
<file path=[Content_Types].xml><?xml version="1.0" encoding="utf-8"?>
<Types xmlns="http://schemas.openxmlformats.org/package/2006/content-types">
  <Default Extension="bin" ContentType="application/vnd.openxmlformats-officedocument.spreadsheetml.printerSettings"/>
  <Override PartName="/xl/tables/table3.xml" ContentType="application/vnd.openxmlformats-officedocument.spreadsheetml.table+xml"/>
  <Default Extension="png" ContentType="image/png"/>
  <Override PartName="/xl/tables/table4.xml" ContentType="application/vnd.openxmlformats-officedocument.spreadsheetml.table+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5" yWindow="-15" windowWidth="9615" windowHeight="11955"/>
  </bookViews>
  <sheets>
    <sheet name="General Info" sheetId="3" r:id="rId1"/>
    <sheet name="Selected Batches" sheetId="6" r:id="rId2"/>
    <sheet name="Sampling Data" sheetId="2" r:id="rId3"/>
    <sheet name="Audit" sheetId="8" r:id="rId4"/>
    <sheet name="Instructions" sheetId="9" r:id="rId5"/>
  </sheets>
  <definedNames>
    <definedName name="_xlnm._FilterDatabase" localSheetId="3" hidden="1">Audit!$A$4:$AN$2168</definedName>
    <definedName name="Candidates">Table10[#All]</definedName>
    <definedName name="Contest">GeneralInfo[[#Headers],[Presidential Delegates-at-Large and Alternates-at-Large (REP)]]</definedName>
    <definedName name="_xlnm.Print_Area" localSheetId="3">Audit!$A$5:$AP$2169</definedName>
    <definedName name="_xlnm.Print_Area" localSheetId="2">'Sampling Data'!$A$5:$X$2169</definedName>
    <definedName name="_xlnm.Print_Titles" localSheetId="3">Audit!$1:$3</definedName>
    <definedName name="_xlnm.Print_Titles" localSheetId="0">'General Info'!$5:$6</definedName>
    <definedName name="_xlnm.Print_Titles" localSheetId="4">Instructions!$1:$1</definedName>
    <definedName name="_xlnm.Print_Titles" localSheetId="2">'Sampling Data'!$1:$3</definedName>
    <definedName name="_xlnm.Print_Titles" localSheetId="1">'Selected Batches'!$1:$2</definedName>
  </definedNames>
  <calcPr calcId="124519"/>
</workbook>
</file>

<file path=xl/calcChain.xml><?xml version="1.0" encoding="utf-8"?>
<calcChain xmlns="http://schemas.openxmlformats.org/spreadsheetml/2006/main">
  <c r="B47" i="8"/>
  <c r="B48"/>
  <c r="B49"/>
  <c r="B50"/>
  <c r="B51"/>
  <c r="B52"/>
  <c r="B53"/>
  <c r="B54"/>
  <c r="B55"/>
  <c r="B56"/>
  <c r="B57"/>
  <c r="B58"/>
  <c r="B59"/>
  <c r="B60"/>
  <c r="B61"/>
  <c r="B62"/>
  <c r="B63"/>
  <c r="B64"/>
  <c r="B65"/>
  <c r="B66"/>
  <c r="B67"/>
  <c r="B68"/>
  <c r="B69"/>
  <c r="B70"/>
  <c r="B71"/>
  <c r="B72"/>
  <c r="B73"/>
  <c r="B74"/>
  <c r="B75"/>
  <c r="B76"/>
  <c r="B9"/>
  <c r="B77"/>
  <c r="B78"/>
  <c r="B79"/>
  <c r="B80"/>
  <c r="B81"/>
  <c r="B15"/>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14"/>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6"/>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7"/>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7"/>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8"/>
  <c r="B1842"/>
  <c r="B1843"/>
  <c r="B1844"/>
  <c r="B1845"/>
  <c r="B1846"/>
  <c r="B1847"/>
  <c r="B1848"/>
  <c r="B1849"/>
  <c r="B1850"/>
  <c r="B1851"/>
  <c r="B1852"/>
  <c r="B1853"/>
  <c r="B1854"/>
  <c r="B1855"/>
  <c r="B1856"/>
  <c r="B1857"/>
  <c r="B1858"/>
  <c r="B12"/>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6"/>
  <c r="B1930"/>
  <c r="B1931"/>
  <c r="B1932"/>
  <c r="B1933"/>
  <c r="B1934"/>
  <c r="B1935"/>
  <c r="B1936"/>
  <c r="B1937"/>
  <c r="B1938"/>
  <c r="B1939"/>
  <c r="B1940"/>
  <c r="B5"/>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10"/>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C47"/>
  <c r="C48"/>
  <c r="C49"/>
  <c r="C50"/>
  <c r="C51"/>
  <c r="C52"/>
  <c r="C53"/>
  <c r="C54"/>
  <c r="C55"/>
  <c r="C56"/>
  <c r="C57"/>
  <c r="C58"/>
  <c r="C59"/>
  <c r="C60"/>
  <c r="C61"/>
  <c r="C62"/>
  <c r="C63"/>
  <c r="C64"/>
  <c r="C65"/>
  <c r="C66"/>
  <c r="C67"/>
  <c r="C68"/>
  <c r="C69"/>
  <c r="C70"/>
  <c r="C71"/>
  <c r="C72"/>
  <c r="C73"/>
  <c r="C74"/>
  <c r="C75"/>
  <c r="C76"/>
  <c r="C9"/>
  <c r="C77"/>
  <c r="C78"/>
  <c r="C79"/>
  <c r="C80"/>
  <c r="C81"/>
  <c r="C15"/>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14"/>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6"/>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7"/>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7"/>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8"/>
  <c r="C1842"/>
  <c r="C1843"/>
  <c r="C1844"/>
  <c r="C1845"/>
  <c r="C1846"/>
  <c r="C1847"/>
  <c r="C1848"/>
  <c r="C1849"/>
  <c r="C1850"/>
  <c r="C1851"/>
  <c r="C1852"/>
  <c r="C1853"/>
  <c r="C1854"/>
  <c r="C1855"/>
  <c r="C1856"/>
  <c r="C1857"/>
  <c r="C1858"/>
  <c r="C12"/>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6"/>
  <c r="C1930"/>
  <c r="C1931"/>
  <c r="C1932"/>
  <c r="C1933"/>
  <c r="C1934"/>
  <c r="C1935"/>
  <c r="C1936"/>
  <c r="C1937"/>
  <c r="C1938"/>
  <c r="C1939"/>
  <c r="C1940"/>
  <c r="C5"/>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10"/>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D47"/>
  <c r="D48"/>
  <c r="D49"/>
  <c r="D50"/>
  <c r="D51"/>
  <c r="D52"/>
  <c r="D53"/>
  <c r="D54"/>
  <c r="D55"/>
  <c r="D56"/>
  <c r="D57"/>
  <c r="D58"/>
  <c r="D59"/>
  <c r="D60"/>
  <c r="D61"/>
  <c r="D62"/>
  <c r="D63"/>
  <c r="D64"/>
  <c r="D65"/>
  <c r="D66"/>
  <c r="D67"/>
  <c r="D68"/>
  <c r="D69"/>
  <c r="D70"/>
  <c r="D71"/>
  <c r="D72"/>
  <c r="D73"/>
  <c r="D74"/>
  <c r="D75"/>
  <c r="D76"/>
  <c r="D9"/>
  <c r="D77"/>
  <c r="D78"/>
  <c r="D79"/>
  <c r="D80"/>
  <c r="D81"/>
  <c r="D15"/>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14"/>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6"/>
  <c r="D974"/>
  <c r="D975"/>
  <c r="D976"/>
  <c r="D977"/>
  <c r="D978"/>
  <c r="D979"/>
  <c r="D980"/>
  <c r="D981"/>
  <c r="D982"/>
  <c r="D983"/>
  <c r="D984"/>
  <c r="D985"/>
  <c r="D986"/>
  <c r="D987"/>
  <c r="D988"/>
  <c r="D989"/>
  <c r="D990"/>
  <c r="D991"/>
  <c r="D992"/>
  <c r="D993"/>
  <c r="D994"/>
  <c r="D995"/>
  <c r="D996"/>
  <c r="D997"/>
  <c r="D998"/>
  <c r="D999"/>
  <c r="D1000"/>
  <c r="D1001"/>
  <c r="D1002"/>
  <c r="D1003"/>
  <c r="D1004"/>
  <c r="D1005"/>
  <c r="D1006"/>
  <c r="D1007"/>
  <c r="D1008"/>
  <c r="D1009"/>
  <c r="D1010"/>
  <c r="D1011"/>
  <c r="D1012"/>
  <c r="D1013"/>
  <c r="D1014"/>
  <c r="D1015"/>
  <c r="D1016"/>
  <c r="D1017"/>
  <c r="D1018"/>
  <c r="D1019"/>
  <c r="D1020"/>
  <c r="D1021"/>
  <c r="D1022"/>
  <c r="D1023"/>
  <c r="D1024"/>
  <c r="D1025"/>
  <c r="D1026"/>
  <c r="D1027"/>
  <c r="D1028"/>
  <c r="D1029"/>
  <c r="D1030"/>
  <c r="D1031"/>
  <c r="D1032"/>
  <c r="D1033"/>
  <c r="D1034"/>
  <c r="D1035"/>
  <c r="D1036"/>
  <c r="D1037"/>
  <c r="D1038"/>
  <c r="D1039"/>
  <c r="D1040"/>
  <c r="D1041"/>
  <c r="D1042"/>
  <c r="D1043"/>
  <c r="D1044"/>
  <c r="D1045"/>
  <c r="D1046"/>
  <c r="D1047"/>
  <c r="D1048"/>
  <c r="D1049"/>
  <c r="D1050"/>
  <c r="D1051"/>
  <c r="D1052"/>
  <c r="D1053"/>
  <c r="D1054"/>
  <c r="D1055"/>
  <c r="D1056"/>
  <c r="D1057"/>
  <c r="D1058"/>
  <c r="D1059"/>
  <c r="D1060"/>
  <c r="D1061"/>
  <c r="D1062"/>
  <c r="D1063"/>
  <c r="D1064"/>
  <c r="D1065"/>
  <c r="D1066"/>
  <c r="D1067"/>
  <c r="D1068"/>
  <c r="D1069"/>
  <c r="D1070"/>
  <c r="D1071"/>
  <c r="D1072"/>
  <c r="D1073"/>
  <c r="D1074"/>
  <c r="D1075"/>
  <c r="D1076"/>
  <c r="D1077"/>
  <c r="D1078"/>
  <c r="D1079"/>
  <c r="D1080"/>
  <c r="D1081"/>
  <c r="D1082"/>
  <c r="D1083"/>
  <c r="D1084"/>
  <c r="D1085"/>
  <c r="D1086"/>
  <c r="D1087"/>
  <c r="D1088"/>
  <c r="D1089"/>
  <c r="D1090"/>
  <c r="D1091"/>
  <c r="D1092"/>
  <c r="D1093"/>
  <c r="D1094"/>
  <c r="D1095"/>
  <c r="D1096"/>
  <c r="D1097"/>
  <c r="D1098"/>
  <c r="D1099"/>
  <c r="D1100"/>
  <c r="D1101"/>
  <c r="D1102"/>
  <c r="D1103"/>
  <c r="D1104"/>
  <c r="D1105"/>
  <c r="D1106"/>
  <c r="D1107"/>
  <c r="D1108"/>
  <c r="D1109"/>
  <c r="D1110"/>
  <c r="D1111"/>
  <c r="D1112"/>
  <c r="D1113"/>
  <c r="D1114"/>
  <c r="D1115"/>
  <c r="D1116"/>
  <c r="D1117"/>
  <c r="D1118"/>
  <c r="D1119"/>
  <c r="D1120"/>
  <c r="D1121"/>
  <c r="D1122"/>
  <c r="D1123"/>
  <c r="D1124"/>
  <c r="D1125"/>
  <c r="D1126"/>
  <c r="D1127"/>
  <c r="D1128"/>
  <c r="D1129"/>
  <c r="D1130"/>
  <c r="D1131"/>
  <c r="D1132"/>
  <c r="D1133"/>
  <c r="D1134"/>
  <c r="D1135"/>
  <c r="D1136"/>
  <c r="D1137"/>
  <c r="D1138"/>
  <c r="D1139"/>
  <c r="D1140"/>
  <c r="D1141"/>
  <c r="D1142"/>
  <c r="D1143"/>
  <c r="D1144"/>
  <c r="D1145"/>
  <c r="D1146"/>
  <c r="D1147"/>
  <c r="D1148"/>
  <c r="D1149"/>
  <c r="D1150"/>
  <c r="D1151"/>
  <c r="D1152"/>
  <c r="D1153"/>
  <c r="D1154"/>
  <c r="D1155"/>
  <c r="D1156"/>
  <c r="D1157"/>
  <c r="D1158"/>
  <c r="D1159"/>
  <c r="D1160"/>
  <c r="D1161"/>
  <c r="D1162"/>
  <c r="D1163"/>
  <c r="D1164"/>
  <c r="D1165"/>
  <c r="D1166"/>
  <c r="D1167"/>
  <c r="D1168"/>
  <c r="D1169"/>
  <c r="D1170"/>
  <c r="D1171"/>
  <c r="D1172"/>
  <c r="D1173"/>
  <c r="D1174"/>
  <c r="D1175"/>
  <c r="D1176"/>
  <c r="D1177"/>
  <c r="D1178"/>
  <c r="D1179"/>
  <c r="D1180"/>
  <c r="D1181"/>
  <c r="D1182"/>
  <c r="D1183"/>
  <c r="D1184"/>
  <c r="D1185"/>
  <c r="D1186"/>
  <c r="D1187"/>
  <c r="D1188"/>
  <c r="D1189"/>
  <c r="D1190"/>
  <c r="D1191"/>
  <c r="D1192"/>
  <c r="D1193"/>
  <c r="D1194"/>
  <c r="D1195"/>
  <c r="D1196"/>
  <c r="D1197"/>
  <c r="D1198"/>
  <c r="D1199"/>
  <c r="D1200"/>
  <c r="D1201"/>
  <c r="D1202"/>
  <c r="D1203"/>
  <c r="D1204"/>
  <c r="D1205"/>
  <c r="D1206"/>
  <c r="D1207"/>
  <c r="D1208"/>
  <c r="D1209"/>
  <c r="D1210"/>
  <c r="D1211"/>
  <c r="D1212"/>
  <c r="D1213"/>
  <c r="D1214"/>
  <c r="D1215"/>
  <c r="D1216"/>
  <c r="D1217"/>
  <c r="D1218"/>
  <c r="D1219"/>
  <c r="D1220"/>
  <c r="D1221"/>
  <c r="D1222"/>
  <c r="D1223"/>
  <c r="D1224"/>
  <c r="D1225"/>
  <c r="D1226"/>
  <c r="D1227"/>
  <c r="D1228"/>
  <c r="D1229"/>
  <c r="D1230"/>
  <c r="D1231"/>
  <c r="D1232"/>
  <c r="D1233"/>
  <c r="D1234"/>
  <c r="D1235"/>
  <c r="D1236"/>
  <c r="D1237"/>
  <c r="D1238"/>
  <c r="D1239"/>
  <c r="D1240"/>
  <c r="D1241"/>
  <c r="D1242"/>
  <c r="D1243"/>
  <c r="D1244"/>
  <c r="D1245"/>
  <c r="D1246"/>
  <c r="D1247"/>
  <c r="D1248"/>
  <c r="D1249"/>
  <c r="D1250"/>
  <c r="D1251"/>
  <c r="D1252"/>
  <c r="D1253"/>
  <c r="D1254"/>
  <c r="D1255"/>
  <c r="D1256"/>
  <c r="D1257"/>
  <c r="D1258"/>
  <c r="D1259"/>
  <c r="D1260"/>
  <c r="D1261"/>
  <c r="D1262"/>
  <c r="D1263"/>
  <c r="D1264"/>
  <c r="D1265"/>
  <c r="D1266"/>
  <c r="D1267"/>
  <c r="D1268"/>
  <c r="D1269"/>
  <c r="D1270"/>
  <c r="D1271"/>
  <c r="D1272"/>
  <c r="D17"/>
  <c r="D1273"/>
  <c r="D1274"/>
  <c r="D1275"/>
  <c r="D1276"/>
  <c r="D1277"/>
  <c r="D1278"/>
  <c r="D1279"/>
  <c r="D1280"/>
  <c r="D1281"/>
  <c r="D1282"/>
  <c r="D1283"/>
  <c r="D1284"/>
  <c r="D1285"/>
  <c r="D1286"/>
  <c r="D1287"/>
  <c r="D1288"/>
  <c r="D1289"/>
  <c r="D1290"/>
  <c r="D1291"/>
  <c r="D1292"/>
  <c r="D1293"/>
  <c r="D1294"/>
  <c r="D1295"/>
  <c r="D1296"/>
  <c r="D1297"/>
  <c r="D1298"/>
  <c r="D1299"/>
  <c r="D1300"/>
  <c r="D1301"/>
  <c r="D1302"/>
  <c r="D1303"/>
  <c r="D1304"/>
  <c r="D1305"/>
  <c r="D1306"/>
  <c r="D1307"/>
  <c r="D1308"/>
  <c r="D1309"/>
  <c r="D1310"/>
  <c r="D1311"/>
  <c r="D1312"/>
  <c r="D1313"/>
  <c r="D1314"/>
  <c r="D1315"/>
  <c r="D1316"/>
  <c r="D1317"/>
  <c r="D1318"/>
  <c r="D1319"/>
  <c r="D1320"/>
  <c r="D1321"/>
  <c r="D1322"/>
  <c r="D1323"/>
  <c r="D1324"/>
  <c r="D1325"/>
  <c r="D1326"/>
  <c r="D1327"/>
  <c r="D1328"/>
  <c r="D1329"/>
  <c r="D1330"/>
  <c r="D1331"/>
  <c r="D1332"/>
  <c r="D1333"/>
  <c r="D1334"/>
  <c r="D1335"/>
  <c r="D1336"/>
  <c r="D1337"/>
  <c r="D1338"/>
  <c r="D1339"/>
  <c r="D1340"/>
  <c r="D1341"/>
  <c r="D1342"/>
  <c r="D1343"/>
  <c r="D1344"/>
  <c r="D1345"/>
  <c r="D1346"/>
  <c r="D1347"/>
  <c r="D1348"/>
  <c r="D1349"/>
  <c r="D1350"/>
  <c r="D1351"/>
  <c r="D1352"/>
  <c r="D1353"/>
  <c r="D1354"/>
  <c r="D1355"/>
  <c r="D1356"/>
  <c r="D1357"/>
  <c r="D1358"/>
  <c r="D1359"/>
  <c r="D1360"/>
  <c r="D1361"/>
  <c r="D1362"/>
  <c r="D1363"/>
  <c r="D1364"/>
  <c r="D1365"/>
  <c r="D1366"/>
  <c r="D1367"/>
  <c r="D1368"/>
  <c r="D1369"/>
  <c r="D1370"/>
  <c r="D1371"/>
  <c r="D1372"/>
  <c r="D1373"/>
  <c r="D1374"/>
  <c r="D1375"/>
  <c r="D1376"/>
  <c r="D1377"/>
  <c r="D1378"/>
  <c r="D1379"/>
  <c r="D1380"/>
  <c r="D1381"/>
  <c r="D1382"/>
  <c r="D1383"/>
  <c r="D1384"/>
  <c r="D1385"/>
  <c r="D1386"/>
  <c r="D1387"/>
  <c r="D1388"/>
  <c r="D1389"/>
  <c r="D1390"/>
  <c r="D1391"/>
  <c r="D1392"/>
  <c r="D1393"/>
  <c r="D1394"/>
  <c r="D1395"/>
  <c r="D1396"/>
  <c r="D1397"/>
  <c r="D1398"/>
  <c r="D1399"/>
  <c r="D1400"/>
  <c r="D1401"/>
  <c r="D1402"/>
  <c r="D1403"/>
  <c r="D1404"/>
  <c r="D1405"/>
  <c r="D1406"/>
  <c r="D1407"/>
  <c r="D1408"/>
  <c r="D1409"/>
  <c r="D1410"/>
  <c r="D1411"/>
  <c r="D1412"/>
  <c r="D1413"/>
  <c r="D1414"/>
  <c r="D1415"/>
  <c r="D1416"/>
  <c r="D1417"/>
  <c r="D1418"/>
  <c r="D1419"/>
  <c r="D1420"/>
  <c r="D1421"/>
  <c r="D1422"/>
  <c r="D1423"/>
  <c r="D1424"/>
  <c r="D1425"/>
  <c r="D1426"/>
  <c r="D1427"/>
  <c r="D1428"/>
  <c r="D1429"/>
  <c r="D1430"/>
  <c r="D1431"/>
  <c r="D1432"/>
  <c r="D1433"/>
  <c r="D1434"/>
  <c r="D1435"/>
  <c r="D1436"/>
  <c r="D1437"/>
  <c r="D1438"/>
  <c r="D1439"/>
  <c r="D1440"/>
  <c r="D1441"/>
  <c r="D1442"/>
  <c r="D1443"/>
  <c r="D1444"/>
  <c r="D1445"/>
  <c r="D1446"/>
  <c r="D1447"/>
  <c r="D1448"/>
  <c r="D1449"/>
  <c r="D1450"/>
  <c r="D1451"/>
  <c r="D1452"/>
  <c r="D1453"/>
  <c r="D1454"/>
  <c r="D1455"/>
  <c r="D1456"/>
  <c r="D1457"/>
  <c r="D1458"/>
  <c r="D1459"/>
  <c r="D1460"/>
  <c r="D1461"/>
  <c r="D1462"/>
  <c r="D1463"/>
  <c r="D1464"/>
  <c r="D1465"/>
  <c r="D1466"/>
  <c r="D1467"/>
  <c r="D1468"/>
  <c r="D1469"/>
  <c r="D1470"/>
  <c r="D1471"/>
  <c r="D1472"/>
  <c r="D1473"/>
  <c r="D1474"/>
  <c r="D1475"/>
  <c r="D1476"/>
  <c r="D1477"/>
  <c r="D1478"/>
  <c r="D1479"/>
  <c r="D1480"/>
  <c r="D1481"/>
  <c r="D1482"/>
  <c r="D1483"/>
  <c r="D1484"/>
  <c r="D1485"/>
  <c r="D1486"/>
  <c r="D1487"/>
  <c r="D1488"/>
  <c r="D1489"/>
  <c r="D1490"/>
  <c r="D1491"/>
  <c r="D1492"/>
  <c r="D1493"/>
  <c r="D1494"/>
  <c r="D1495"/>
  <c r="D1496"/>
  <c r="D1497"/>
  <c r="D1498"/>
  <c r="D1499"/>
  <c r="D1500"/>
  <c r="D1501"/>
  <c r="D1502"/>
  <c r="D1503"/>
  <c r="D1504"/>
  <c r="D1505"/>
  <c r="D1506"/>
  <c r="D1507"/>
  <c r="D1508"/>
  <c r="D1509"/>
  <c r="D1510"/>
  <c r="D1511"/>
  <c r="D1512"/>
  <c r="D1513"/>
  <c r="D1514"/>
  <c r="D1515"/>
  <c r="D1516"/>
  <c r="D1517"/>
  <c r="D1518"/>
  <c r="D1519"/>
  <c r="D1520"/>
  <c r="D1521"/>
  <c r="D1522"/>
  <c r="D1523"/>
  <c r="D1524"/>
  <c r="D1525"/>
  <c r="D1526"/>
  <c r="D1527"/>
  <c r="D1528"/>
  <c r="D1529"/>
  <c r="D1530"/>
  <c r="D1531"/>
  <c r="D1532"/>
  <c r="D1533"/>
  <c r="D1534"/>
  <c r="D1535"/>
  <c r="D1536"/>
  <c r="D1537"/>
  <c r="D1538"/>
  <c r="D1539"/>
  <c r="D1540"/>
  <c r="D1541"/>
  <c r="D1542"/>
  <c r="D1543"/>
  <c r="D1544"/>
  <c r="D1545"/>
  <c r="D1546"/>
  <c r="D1547"/>
  <c r="D1548"/>
  <c r="D1549"/>
  <c r="D1550"/>
  <c r="D1551"/>
  <c r="D1552"/>
  <c r="D1553"/>
  <c r="D1554"/>
  <c r="D1555"/>
  <c r="D1556"/>
  <c r="D1557"/>
  <c r="D1558"/>
  <c r="D1559"/>
  <c r="D1560"/>
  <c r="D1561"/>
  <c r="D1562"/>
  <c r="D1563"/>
  <c r="D1564"/>
  <c r="D1565"/>
  <c r="D1566"/>
  <c r="D1567"/>
  <c r="D1568"/>
  <c r="D1569"/>
  <c r="D1570"/>
  <c r="D1571"/>
  <c r="D1572"/>
  <c r="D1573"/>
  <c r="D1574"/>
  <c r="D1575"/>
  <c r="D1576"/>
  <c r="D1577"/>
  <c r="D1578"/>
  <c r="D1579"/>
  <c r="D1580"/>
  <c r="D1581"/>
  <c r="D1582"/>
  <c r="D1583"/>
  <c r="D1584"/>
  <c r="D1585"/>
  <c r="D1586"/>
  <c r="D1587"/>
  <c r="D1588"/>
  <c r="D1589"/>
  <c r="D1590"/>
  <c r="D1591"/>
  <c r="D1592"/>
  <c r="D1593"/>
  <c r="D1594"/>
  <c r="D1595"/>
  <c r="D1596"/>
  <c r="D1597"/>
  <c r="D1598"/>
  <c r="D1599"/>
  <c r="D1600"/>
  <c r="D1601"/>
  <c r="D1602"/>
  <c r="D1603"/>
  <c r="D1604"/>
  <c r="D1605"/>
  <c r="D1606"/>
  <c r="D1607"/>
  <c r="D1608"/>
  <c r="D1609"/>
  <c r="D1610"/>
  <c r="D1611"/>
  <c r="D1612"/>
  <c r="D1613"/>
  <c r="D1614"/>
  <c r="D1615"/>
  <c r="D1616"/>
  <c r="D1617"/>
  <c r="D1618"/>
  <c r="D1619"/>
  <c r="D1620"/>
  <c r="D1621"/>
  <c r="D11"/>
  <c r="D1622"/>
  <c r="D1623"/>
  <c r="D1624"/>
  <c r="D1625"/>
  <c r="D1626"/>
  <c r="D1627"/>
  <c r="D1628"/>
  <c r="D1629"/>
  <c r="D1630"/>
  <c r="D1631"/>
  <c r="D1632"/>
  <c r="D1633"/>
  <c r="D1634"/>
  <c r="D1635"/>
  <c r="D1636"/>
  <c r="D1637"/>
  <c r="D1638"/>
  <c r="D1639"/>
  <c r="D1640"/>
  <c r="D1641"/>
  <c r="D1642"/>
  <c r="D1643"/>
  <c r="D1644"/>
  <c r="D1645"/>
  <c r="D1646"/>
  <c r="D1647"/>
  <c r="D1648"/>
  <c r="D1649"/>
  <c r="D1650"/>
  <c r="D1651"/>
  <c r="D1652"/>
  <c r="D1653"/>
  <c r="D1654"/>
  <c r="D1655"/>
  <c r="D1656"/>
  <c r="D1657"/>
  <c r="D1658"/>
  <c r="D1659"/>
  <c r="D1660"/>
  <c r="D1661"/>
  <c r="D1662"/>
  <c r="D1663"/>
  <c r="D1664"/>
  <c r="D1665"/>
  <c r="D1666"/>
  <c r="D1667"/>
  <c r="D1668"/>
  <c r="D1669"/>
  <c r="D1670"/>
  <c r="D1671"/>
  <c r="D1672"/>
  <c r="D1673"/>
  <c r="D1674"/>
  <c r="D1675"/>
  <c r="D1676"/>
  <c r="D1677"/>
  <c r="D1678"/>
  <c r="D1679"/>
  <c r="D1680"/>
  <c r="D1681"/>
  <c r="D1682"/>
  <c r="D1683"/>
  <c r="D1684"/>
  <c r="D1685"/>
  <c r="D1686"/>
  <c r="D1687"/>
  <c r="D1688"/>
  <c r="D1689"/>
  <c r="D1690"/>
  <c r="D1691"/>
  <c r="D1692"/>
  <c r="D1693"/>
  <c r="D1694"/>
  <c r="D1695"/>
  <c r="D1696"/>
  <c r="D1697"/>
  <c r="D1698"/>
  <c r="D1699"/>
  <c r="D1700"/>
  <c r="D1701"/>
  <c r="D1702"/>
  <c r="D1703"/>
  <c r="D1704"/>
  <c r="D1705"/>
  <c r="D1706"/>
  <c r="D1707"/>
  <c r="D1708"/>
  <c r="D1709"/>
  <c r="D1710"/>
  <c r="D1711"/>
  <c r="D1712"/>
  <c r="D1713"/>
  <c r="D1714"/>
  <c r="D1715"/>
  <c r="D1716"/>
  <c r="D1717"/>
  <c r="D1718"/>
  <c r="D1719"/>
  <c r="D1720"/>
  <c r="D1721"/>
  <c r="D1722"/>
  <c r="D1723"/>
  <c r="D1724"/>
  <c r="D1725"/>
  <c r="D1726"/>
  <c r="D1727"/>
  <c r="D1728"/>
  <c r="D1729"/>
  <c r="D1730"/>
  <c r="D1731"/>
  <c r="D7"/>
  <c r="D1732"/>
  <c r="D1733"/>
  <c r="D1734"/>
  <c r="D1735"/>
  <c r="D1736"/>
  <c r="D1737"/>
  <c r="D1738"/>
  <c r="D1739"/>
  <c r="D1740"/>
  <c r="D1741"/>
  <c r="D1742"/>
  <c r="D1743"/>
  <c r="D1744"/>
  <c r="D1745"/>
  <c r="D1746"/>
  <c r="D1747"/>
  <c r="D1748"/>
  <c r="D1749"/>
  <c r="D1750"/>
  <c r="D1751"/>
  <c r="D1752"/>
  <c r="D1753"/>
  <c r="D1754"/>
  <c r="D1755"/>
  <c r="D1756"/>
  <c r="D1757"/>
  <c r="D1758"/>
  <c r="D1759"/>
  <c r="D1760"/>
  <c r="D1761"/>
  <c r="D1762"/>
  <c r="D1763"/>
  <c r="D1764"/>
  <c r="D1765"/>
  <c r="D1766"/>
  <c r="D1767"/>
  <c r="D1768"/>
  <c r="D1769"/>
  <c r="D1770"/>
  <c r="D1771"/>
  <c r="D1772"/>
  <c r="D1773"/>
  <c r="D1774"/>
  <c r="D1775"/>
  <c r="D1776"/>
  <c r="D1777"/>
  <c r="D1778"/>
  <c r="D1779"/>
  <c r="D1780"/>
  <c r="D1781"/>
  <c r="D1782"/>
  <c r="D1783"/>
  <c r="D1784"/>
  <c r="D1785"/>
  <c r="D1786"/>
  <c r="D1787"/>
  <c r="D1788"/>
  <c r="D1789"/>
  <c r="D1790"/>
  <c r="D1791"/>
  <c r="D1792"/>
  <c r="D1793"/>
  <c r="D1794"/>
  <c r="D1795"/>
  <c r="D1796"/>
  <c r="D1797"/>
  <c r="D1798"/>
  <c r="D1799"/>
  <c r="D1800"/>
  <c r="D1801"/>
  <c r="D1802"/>
  <c r="D1803"/>
  <c r="D1804"/>
  <c r="D1805"/>
  <c r="D1806"/>
  <c r="D1807"/>
  <c r="D1808"/>
  <c r="D1809"/>
  <c r="D1810"/>
  <c r="D1811"/>
  <c r="D1812"/>
  <c r="D1813"/>
  <c r="D1814"/>
  <c r="D1815"/>
  <c r="D1816"/>
  <c r="D1817"/>
  <c r="D1818"/>
  <c r="D1819"/>
  <c r="D1820"/>
  <c r="D1821"/>
  <c r="D1822"/>
  <c r="D1823"/>
  <c r="D1824"/>
  <c r="D1825"/>
  <c r="D1826"/>
  <c r="D1827"/>
  <c r="D1828"/>
  <c r="D1829"/>
  <c r="D1830"/>
  <c r="D1831"/>
  <c r="D1832"/>
  <c r="D1833"/>
  <c r="D1834"/>
  <c r="D1835"/>
  <c r="D1836"/>
  <c r="D1837"/>
  <c r="D1838"/>
  <c r="D1839"/>
  <c r="D1840"/>
  <c r="D1841"/>
  <c r="D8"/>
  <c r="D1842"/>
  <c r="D1843"/>
  <c r="D1844"/>
  <c r="D1845"/>
  <c r="D1846"/>
  <c r="D1847"/>
  <c r="D1848"/>
  <c r="D1849"/>
  <c r="D1850"/>
  <c r="D1851"/>
  <c r="D1852"/>
  <c r="D1853"/>
  <c r="D1854"/>
  <c r="D1855"/>
  <c r="D1856"/>
  <c r="D1857"/>
  <c r="D1858"/>
  <c r="D12"/>
  <c r="D1859"/>
  <c r="D1860"/>
  <c r="D1861"/>
  <c r="D1862"/>
  <c r="D1863"/>
  <c r="D1864"/>
  <c r="D1865"/>
  <c r="D1866"/>
  <c r="D1867"/>
  <c r="D1868"/>
  <c r="D1869"/>
  <c r="D1870"/>
  <c r="D1871"/>
  <c r="D1872"/>
  <c r="D1873"/>
  <c r="D1874"/>
  <c r="D1875"/>
  <c r="D1876"/>
  <c r="D1877"/>
  <c r="D1878"/>
  <c r="D1879"/>
  <c r="D1880"/>
  <c r="D1881"/>
  <c r="D1882"/>
  <c r="D1883"/>
  <c r="D1884"/>
  <c r="D1885"/>
  <c r="D1886"/>
  <c r="D1887"/>
  <c r="D1888"/>
  <c r="D1889"/>
  <c r="D1890"/>
  <c r="D1891"/>
  <c r="D1892"/>
  <c r="D1893"/>
  <c r="D1894"/>
  <c r="D1895"/>
  <c r="D1896"/>
  <c r="D1897"/>
  <c r="D1898"/>
  <c r="D1899"/>
  <c r="D1900"/>
  <c r="D1901"/>
  <c r="D1902"/>
  <c r="D1903"/>
  <c r="D1904"/>
  <c r="D1905"/>
  <c r="D1906"/>
  <c r="D1907"/>
  <c r="D1908"/>
  <c r="D1909"/>
  <c r="D1910"/>
  <c r="D1911"/>
  <c r="D1912"/>
  <c r="D1913"/>
  <c r="D1914"/>
  <c r="D1915"/>
  <c r="D1916"/>
  <c r="D1917"/>
  <c r="D1918"/>
  <c r="D1919"/>
  <c r="D1920"/>
  <c r="D1921"/>
  <c r="D1922"/>
  <c r="D1923"/>
  <c r="D1924"/>
  <c r="D1925"/>
  <c r="D1926"/>
  <c r="D1927"/>
  <c r="D1928"/>
  <c r="D1929"/>
  <c r="D16"/>
  <c r="D1930"/>
  <c r="D1931"/>
  <c r="D1932"/>
  <c r="D1933"/>
  <c r="D1934"/>
  <c r="D1935"/>
  <c r="D1936"/>
  <c r="D1937"/>
  <c r="D1938"/>
  <c r="D1939"/>
  <c r="D1940"/>
  <c r="D5"/>
  <c r="D1941"/>
  <c r="D1942"/>
  <c r="D1943"/>
  <c r="D1944"/>
  <c r="D1945"/>
  <c r="D1946"/>
  <c r="D1947"/>
  <c r="D1948"/>
  <c r="D1949"/>
  <c r="D1950"/>
  <c r="D1951"/>
  <c r="D1952"/>
  <c r="D1953"/>
  <c r="D1954"/>
  <c r="D1955"/>
  <c r="D1956"/>
  <c r="D1957"/>
  <c r="D1958"/>
  <c r="D1959"/>
  <c r="D1960"/>
  <c r="D1961"/>
  <c r="D1962"/>
  <c r="D1963"/>
  <c r="D1964"/>
  <c r="D1965"/>
  <c r="D1966"/>
  <c r="D1967"/>
  <c r="D1968"/>
  <c r="D1969"/>
  <c r="D1970"/>
  <c r="D1971"/>
  <c r="D1972"/>
  <c r="D1973"/>
  <c r="D1974"/>
  <c r="D1975"/>
  <c r="D1976"/>
  <c r="D1977"/>
  <c r="D1978"/>
  <c r="D1979"/>
  <c r="D1980"/>
  <c r="D1981"/>
  <c r="D1982"/>
  <c r="D1983"/>
  <c r="D1984"/>
  <c r="D1985"/>
  <c r="D1986"/>
  <c r="D1987"/>
  <c r="D1988"/>
  <c r="D1989"/>
  <c r="D1990"/>
  <c r="D1991"/>
  <c r="D1992"/>
  <c r="D1993"/>
  <c r="D1994"/>
  <c r="D1995"/>
  <c r="D1996"/>
  <c r="D1997"/>
  <c r="D1998"/>
  <c r="D1999"/>
  <c r="D2000"/>
  <c r="D2001"/>
  <c r="D2002"/>
  <c r="D2003"/>
  <c r="D2004"/>
  <c r="D2005"/>
  <c r="D2006"/>
  <c r="D2007"/>
  <c r="D2008"/>
  <c r="D2009"/>
  <c r="D2010"/>
  <c r="D2011"/>
  <c r="D2012"/>
  <c r="D2013"/>
  <c r="D2014"/>
  <c r="D2015"/>
  <c r="D2016"/>
  <c r="D2017"/>
  <c r="D2018"/>
  <c r="D2019"/>
  <c r="D2020"/>
  <c r="D2021"/>
  <c r="D2022"/>
  <c r="D2023"/>
  <c r="D2024"/>
  <c r="D2025"/>
  <c r="D2026"/>
  <c r="D2027"/>
  <c r="D2028"/>
  <c r="D2029"/>
  <c r="D2030"/>
  <c r="D2031"/>
  <c r="D2032"/>
  <c r="D2033"/>
  <c r="D2034"/>
  <c r="D2035"/>
  <c r="D2036"/>
  <c r="D2037"/>
  <c r="D2038"/>
  <c r="D2039"/>
  <c r="D2040"/>
  <c r="D2041"/>
  <c r="D2042"/>
  <c r="D2043"/>
  <c r="D2044"/>
  <c r="D2045"/>
  <c r="D2046"/>
  <c r="D2047"/>
  <c r="D2048"/>
  <c r="D2049"/>
  <c r="D2050"/>
  <c r="D2051"/>
  <c r="D2052"/>
  <c r="D2053"/>
  <c r="D2054"/>
  <c r="D2055"/>
  <c r="D2056"/>
  <c r="D2057"/>
  <c r="D2058"/>
  <c r="D2059"/>
  <c r="D2060"/>
  <c r="D2061"/>
  <c r="D2062"/>
  <c r="D2063"/>
  <c r="D2064"/>
  <c r="D2065"/>
  <c r="D2066"/>
  <c r="D2067"/>
  <c r="D2068"/>
  <c r="D2069"/>
  <c r="D2070"/>
  <c r="D2071"/>
  <c r="D2072"/>
  <c r="D2073"/>
  <c r="D2074"/>
  <c r="D2075"/>
  <c r="D2076"/>
  <c r="D2077"/>
  <c r="D2078"/>
  <c r="D2079"/>
  <c r="D2080"/>
  <c r="D2081"/>
  <c r="D2082"/>
  <c r="D2083"/>
  <c r="D2084"/>
  <c r="D2085"/>
  <c r="D10"/>
  <c r="D2086"/>
  <c r="D2087"/>
  <c r="D2088"/>
  <c r="D2089"/>
  <c r="D2090"/>
  <c r="D2091"/>
  <c r="D2092"/>
  <c r="D2093"/>
  <c r="D2094"/>
  <c r="D2095"/>
  <c r="D2096"/>
  <c r="D2097"/>
  <c r="D2098"/>
  <c r="D2099"/>
  <c r="D2100"/>
  <c r="D2101"/>
  <c r="D2102"/>
  <c r="D2103"/>
  <c r="D2104"/>
  <c r="D2105"/>
  <c r="D2106"/>
  <c r="D2107"/>
  <c r="D2108"/>
  <c r="D2109"/>
  <c r="D2110"/>
  <c r="D2111"/>
  <c r="D2112"/>
  <c r="D2113"/>
  <c r="D2114"/>
  <c r="D2115"/>
  <c r="D2116"/>
  <c r="D2117"/>
  <c r="D2118"/>
  <c r="D2119"/>
  <c r="D2120"/>
  <c r="D2121"/>
  <c r="D2122"/>
  <c r="D2123"/>
  <c r="D2124"/>
  <c r="D2125"/>
  <c r="D2126"/>
  <c r="D2127"/>
  <c r="D2128"/>
  <c r="D2129"/>
  <c r="D2130"/>
  <c r="D2131"/>
  <c r="D2132"/>
  <c r="D2133"/>
  <c r="D2134"/>
  <c r="D2135"/>
  <c r="D2136"/>
  <c r="D2137"/>
  <c r="D2138"/>
  <c r="D2139"/>
  <c r="D2140"/>
  <c r="D2141"/>
  <c r="D2142"/>
  <c r="D2143"/>
  <c r="D2144"/>
  <c r="D2145"/>
  <c r="D2146"/>
  <c r="D2147"/>
  <c r="D2148"/>
  <c r="D2149"/>
  <c r="D2150"/>
  <c r="D2151"/>
  <c r="D2152"/>
  <c r="D2153"/>
  <c r="D2154"/>
  <c r="D2155"/>
  <c r="D2156"/>
  <c r="D2157"/>
  <c r="D2158"/>
  <c r="D2159"/>
  <c r="D2160"/>
  <c r="D2161"/>
  <c r="D2162"/>
  <c r="D2163"/>
  <c r="D2164"/>
  <c r="D2165"/>
  <c r="D2166"/>
  <c r="D2167"/>
  <c r="D2168"/>
  <c r="E47"/>
  <c r="E48"/>
  <c r="E49"/>
  <c r="E50"/>
  <c r="E51"/>
  <c r="E52"/>
  <c r="E53"/>
  <c r="E54"/>
  <c r="E55"/>
  <c r="E56"/>
  <c r="E57"/>
  <c r="E58"/>
  <c r="E59"/>
  <c r="E60"/>
  <c r="E61"/>
  <c r="E62"/>
  <c r="E63"/>
  <c r="E64"/>
  <c r="E65"/>
  <c r="E66"/>
  <c r="E67"/>
  <c r="E68"/>
  <c r="E69"/>
  <c r="E70"/>
  <c r="E71"/>
  <c r="E72"/>
  <c r="E73"/>
  <c r="E74"/>
  <c r="E75"/>
  <c r="E76"/>
  <c r="E9"/>
  <c r="E77"/>
  <c r="E78"/>
  <c r="E79"/>
  <c r="E80"/>
  <c r="E81"/>
  <c r="E15"/>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14"/>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6"/>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7"/>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7"/>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8"/>
  <c r="E1842"/>
  <c r="E1843"/>
  <c r="E1844"/>
  <c r="E1845"/>
  <c r="E1846"/>
  <c r="E1847"/>
  <c r="E1848"/>
  <c r="E1849"/>
  <c r="E1850"/>
  <c r="E1851"/>
  <c r="E1852"/>
  <c r="E1853"/>
  <c r="E1854"/>
  <c r="E1855"/>
  <c r="E1856"/>
  <c r="E1857"/>
  <c r="E1858"/>
  <c r="E12"/>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6"/>
  <c r="E1930"/>
  <c r="E1931"/>
  <c r="E1932"/>
  <c r="E1933"/>
  <c r="E1934"/>
  <c r="E1935"/>
  <c r="E1936"/>
  <c r="E1937"/>
  <c r="E1938"/>
  <c r="E1939"/>
  <c r="E1940"/>
  <c r="E5"/>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10"/>
  <c r="E2086"/>
  <c r="E2087"/>
  <c r="E2088"/>
  <c r="E2089"/>
  <c r="E2090"/>
  <c r="E2091"/>
  <c r="E2092"/>
  <c r="E2093"/>
  <c r="E2094"/>
  <c r="E2095"/>
  <c r="E2096"/>
  <c r="E2097"/>
  <c r="E2098"/>
  <c r="E2099"/>
  <c r="E2100"/>
  <c r="E2101"/>
  <c r="E2102"/>
  <c r="E2103"/>
  <c r="E2104"/>
  <c r="E2105"/>
  <c r="E2106"/>
  <c r="E2107"/>
  <c r="E2108"/>
  <c r="E2109"/>
  <c r="E2110"/>
  <c r="E2111"/>
  <c r="E2112"/>
  <c r="E2113"/>
  <c r="E2114"/>
  <c r="E2115"/>
  <c r="E2116"/>
  <c r="E2117"/>
  <c r="E2118"/>
  <c r="E2119"/>
  <c r="E2120"/>
  <c r="E2121"/>
  <c r="E2122"/>
  <c r="E2123"/>
  <c r="E2124"/>
  <c r="E2125"/>
  <c r="E2126"/>
  <c r="E2127"/>
  <c r="E2128"/>
  <c r="E2129"/>
  <c r="E2130"/>
  <c r="E2131"/>
  <c r="E2132"/>
  <c r="E2133"/>
  <c r="E2134"/>
  <c r="E2135"/>
  <c r="E2136"/>
  <c r="E2137"/>
  <c r="E2138"/>
  <c r="E2139"/>
  <c r="E2140"/>
  <c r="E2141"/>
  <c r="E2142"/>
  <c r="E2143"/>
  <c r="E2144"/>
  <c r="E2145"/>
  <c r="E2146"/>
  <c r="E2147"/>
  <c r="E2148"/>
  <c r="E2149"/>
  <c r="E2150"/>
  <c r="E2151"/>
  <c r="E2152"/>
  <c r="E2153"/>
  <c r="E2154"/>
  <c r="E2155"/>
  <c r="E2156"/>
  <c r="E2157"/>
  <c r="E2158"/>
  <c r="E2159"/>
  <c r="E2160"/>
  <c r="E2161"/>
  <c r="E2162"/>
  <c r="E2163"/>
  <c r="E2164"/>
  <c r="E2165"/>
  <c r="E2166"/>
  <c r="E2167"/>
  <c r="E2168"/>
  <c r="F47"/>
  <c r="F48"/>
  <c r="F49"/>
  <c r="F50"/>
  <c r="F51"/>
  <c r="F52"/>
  <c r="F53"/>
  <c r="F54"/>
  <c r="F55"/>
  <c r="F56"/>
  <c r="F57"/>
  <c r="F58"/>
  <c r="F59"/>
  <c r="F60"/>
  <c r="F61"/>
  <c r="F62"/>
  <c r="F63"/>
  <c r="F64"/>
  <c r="F65"/>
  <c r="F66"/>
  <c r="F67"/>
  <c r="F68"/>
  <c r="F69"/>
  <c r="F70"/>
  <c r="F71"/>
  <c r="F72"/>
  <c r="F73"/>
  <c r="F74"/>
  <c r="F75"/>
  <c r="F76"/>
  <c r="F9"/>
  <c r="F77"/>
  <c r="F78"/>
  <c r="F79"/>
  <c r="F80"/>
  <c r="F81"/>
  <c r="F15"/>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14"/>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6"/>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7"/>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1"/>
  <c r="F1392"/>
  <c r="F1393"/>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1428"/>
  <c r="F1429"/>
  <c r="F1430"/>
  <c r="F1431"/>
  <c r="F1432"/>
  <c r="F1433"/>
  <c r="F1434"/>
  <c r="F1435"/>
  <c r="F1436"/>
  <c r="F1437"/>
  <c r="F1438"/>
  <c r="F1439"/>
  <c r="F1440"/>
  <c r="F1441"/>
  <c r="F1442"/>
  <c r="F1443"/>
  <c r="F1444"/>
  <c r="F1445"/>
  <c r="F1446"/>
  <c r="F1447"/>
  <c r="F1448"/>
  <c r="F1449"/>
  <c r="F1450"/>
  <c r="F1451"/>
  <c r="F1452"/>
  <c r="F1453"/>
  <c r="F1454"/>
  <c r="F1455"/>
  <c r="F1456"/>
  <c r="F1457"/>
  <c r="F1458"/>
  <c r="F1459"/>
  <c r="F1460"/>
  <c r="F1461"/>
  <c r="F1462"/>
  <c r="F1463"/>
  <c r="F1464"/>
  <c r="F1465"/>
  <c r="F1466"/>
  <c r="F1467"/>
  <c r="F1468"/>
  <c r="F1469"/>
  <c r="F1470"/>
  <c r="F1471"/>
  <c r="F1472"/>
  <c r="F1473"/>
  <c r="F1474"/>
  <c r="F1475"/>
  <c r="F1476"/>
  <c r="F1477"/>
  <c r="F1478"/>
  <c r="F1479"/>
  <c r="F1480"/>
  <c r="F1481"/>
  <c r="F1482"/>
  <c r="F1483"/>
  <c r="F1484"/>
  <c r="F1485"/>
  <c r="F1486"/>
  <c r="F1487"/>
  <c r="F1488"/>
  <c r="F1489"/>
  <c r="F1490"/>
  <c r="F1491"/>
  <c r="F1492"/>
  <c r="F1493"/>
  <c r="F1494"/>
  <c r="F1495"/>
  <c r="F1496"/>
  <c r="F1497"/>
  <c r="F1498"/>
  <c r="F1499"/>
  <c r="F1500"/>
  <c r="F1501"/>
  <c r="F1502"/>
  <c r="F1503"/>
  <c r="F1504"/>
  <c r="F1505"/>
  <c r="F1506"/>
  <c r="F1507"/>
  <c r="F1508"/>
  <c r="F1509"/>
  <c r="F1510"/>
  <c r="F1511"/>
  <c r="F1512"/>
  <c r="F1513"/>
  <c r="F1514"/>
  <c r="F1515"/>
  <c r="F1516"/>
  <c r="F1517"/>
  <c r="F1518"/>
  <c r="F1519"/>
  <c r="F1520"/>
  <c r="F1521"/>
  <c r="F1522"/>
  <c r="F1523"/>
  <c r="F1524"/>
  <c r="F1525"/>
  <c r="F1526"/>
  <c r="F1527"/>
  <c r="F1528"/>
  <c r="F1529"/>
  <c r="F1530"/>
  <c r="F1531"/>
  <c r="F1532"/>
  <c r="F1533"/>
  <c r="F1534"/>
  <c r="F1535"/>
  <c r="F1536"/>
  <c r="F1537"/>
  <c r="F1538"/>
  <c r="F1539"/>
  <c r="F1540"/>
  <c r="F1541"/>
  <c r="F1542"/>
  <c r="F1543"/>
  <c r="F1544"/>
  <c r="F1545"/>
  <c r="F1546"/>
  <c r="F1547"/>
  <c r="F1548"/>
  <c r="F1549"/>
  <c r="F1550"/>
  <c r="F1551"/>
  <c r="F1552"/>
  <c r="F1553"/>
  <c r="F1554"/>
  <c r="F1555"/>
  <c r="F1556"/>
  <c r="F1557"/>
  <c r="F1558"/>
  <c r="F1559"/>
  <c r="F1560"/>
  <c r="F1561"/>
  <c r="F1562"/>
  <c r="F1563"/>
  <c r="F1564"/>
  <c r="F1565"/>
  <c r="F1566"/>
  <c r="F1567"/>
  <c r="F1568"/>
  <c r="F1569"/>
  <c r="F1570"/>
  <c r="F1571"/>
  <c r="F1572"/>
  <c r="F1573"/>
  <c r="F1574"/>
  <c r="F1575"/>
  <c r="F1576"/>
  <c r="F1577"/>
  <c r="F1578"/>
  <c r="F1579"/>
  <c r="F1580"/>
  <c r="F1581"/>
  <c r="F1582"/>
  <c r="F1583"/>
  <c r="F1584"/>
  <c r="F1585"/>
  <c r="F1586"/>
  <c r="F1587"/>
  <c r="F1588"/>
  <c r="F1589"/>
  <c r="F1590"/>
  <c r="F1591"/>
  <c r="F1592"/>
  <c r="F1593"/>
  <c r="F1594"/>
  <c r="F1595"/>
  <c r="F1596"/>
  <c r="F1597"/>
  <c r="F1598"/>
  <c r="F1599"/>
  <c r="F1600"/>
  <c r="F1601"/>
  <c r="F1602"/>
  <c r="F1603"/>
  <c r="F1604"/>
  <c r="F1605"/>
  <c r="F1606"/>
  <c r="F1607"/>
  <c r="F1608"/>
  <c r="F1609"/>
  <c r="F1610"/>
  <c r="F1611"/>
  <c r="F1612"/>
  <c r="F1613"/>
  <c r="F1614"/>
  <c r="F1615"/>
  <c r="F1616"/>
  <c r="F1617"/>
  <c r="F1618"/>
  <c r="F1619"/>
  <c r="F1620"/>
  <c r="F1621"/>
  <c r="F11"/>
  <c r="F1622"/>
  <c r="F1623"/>
  <c r="F1624"/>
  <c r="F1625"/>
  <c r="F1626"/>
  <c r="F1627"/>
  <c r="F1628"/>
  <c r="F1629"/>
  <c r="F1630"/>
  <c r="F1631"/>
  <c r="F1632"/>
  <c r="F1633"/>
  <c r="F1634"/>
  <c r="F1635"/>
  <c r="F1636"/>
  <c r="F1637"/>
  <c r="F1638"/>
  <c r="F1639"/>
  <c r="F1640"/>
  <c r="F1641"/>
  <c r="F1642"/>
  <c r="F1643"/>
  <c r="F1644"/>
  <c r="F1645"/>
  <c r="F1646"/>
  <c r="F1647"/>
  <c r="F1648"/>
  <c r="F1649"/>
  <c r="F1650"/>
  <c r="F1651"/>
  <c r="F1652"/>
  <c r="F1653"/>
  <c r="F1654"/>
  <c r="F1655"/>
  <c r="F1656"/>
  <c r="F1657"/>
  <c r="F1658"/>
  <c r="F1659"/>
  <c r="F1660"/>
  <c r="F1661"/>
  <c r="F1662"/>
  <c r="F1663"/>
  <c r="F1664"/>
  <c r="F1665"/>
  <c r="F1666"/>
  <c r="F1667"/>
  <c r="F1668"/>
  <c r="F1669"/>
  <c r="F1670"/>
  <c r="F1671"/>
  <c r="F1672"/>
  <c r="F1673"/>
  <c r="F1674"/>
  <c r="F1675"/>
  <c r="F1676"/>
  <c r="F1677"/>
  <c r="F1678"/>
  <c r="F1679"/>
  <c r="F1680"/>
  <c r="F1681"/>
  <c r="F1682"/>
  <c r="F1683"/>
  <c r="F1684"/>
  <c r="F1685"/>
  <c r="F1686"/>
  <c r="F1687"/>
  <c r="F1688"/>
  <c r="F1689"/>
  <c r="F1690"/>
  <c r="F1691"/>
  <c r="F1692"/>
  <c r="F1693"/>
  <c r="F1694"/>
  <c r="F1695"/>
  <c r="F1696"/>
  <c r="F1697"/>
  <c r="F1698"/>
  <c r="F1699"/>
  <c r="F1700"/>
  <c r="F1701"/>
  <c r="F1702"/>
  <c r="F1703"/>
  <c r="F1704"/>
  <c r="F1705"/>
  <c r="F1706"/>
  <c r="F1707"/>
  <c r="F1708"/>
  <c r="F1709"/>
  <c r="F1710"/>
  <c r="F1711"/>
  <c r="F1712"/>
  <c r="F1713"/>
  <c r="F1714"/>
  <c r="F1715"/>
  <c r="F1716"/>
  <c r="F1717"/>
  <c r="F1718"/>
  <c r="F1719"/>
  <c r="F1720"/>
  <c r="F1721"/>
  <c r="F1722"/>
  <c r="F1723"/>
  <c r="F1724"/>
  <c r="F1725"/>
  <c r="F1726"/>
  <c r="F1727"/>
  <c r="F1728"/>
  <c r="F1729"/>
  <c r="F1730"/>
  <c r="F1731"/>
  <c r="F7"/>
  <c r="F1732"/>
  <c r="F1733"/>
  <c r="F1734"/>
  <c r="F1735"/>
  <c r="F1736"/>
  <c r="F1737"/>
  <c r="F1738"/>
  <c r="F1739"/>
  <c r="F1740"/>
  <c r="F1741"/>
  <c r="F1742"/>
  <c r="F1743"/>
  <c r="F1744"/>
  <c r="F1745"/>
  <c r="F1746"/>
  <c r="F1747"/>
  <c r="F1748"/>
  <c r="F1749"/>
  <c r="F1750"/>
  <c r="F1751"/>
  <c r="F1752"/>
  <c r="F1753"/>
  <c r="F1754"/>
  <c r="F1755"/>
  <c r="F1756"/>
  <c r="F1757"/>
  <c r="F1758"/>
  <c r="F1759"/>
  <c r="F1760"/>
  <c r="F1761"/>
  <c r="F1762"/>
  <c r="F1763"/>
  <c r="F1764"/>
  <c r="F1765"/>
  <c r="F1766"/>
  <c r="F1767"/>
  <c r="F1768"/>
  <c r="F1769"/>
  <c r="F1770"/>
  <c r="F1771"/>
  <c r="F1772"/>
  <c r="F1773"/>
  <c r="F1774"/>
  <c r="F1775"/>
  <c r="F1776"/>
  <c r="F1777"/>
  <c r="F1778"/>
  <c r="F1779"/>
  <c r="F1780"/>
  <c r="F1781"/>
  <c r="F1782"/>
  <c r="F1783"/>
  <c r="F1784"/>
  <c r="F1785"/>
  <c r="F1786"/>
  <c r="F1787"/>
  <c r="F1788"/>
  <c r="F1789"/>
  <c r="F1790"/>
  <c r="F1791"/>
  <c r="F1792"/>
  <c r="F1793"/>
  <c r="F1794"/>
  <c r="F1795"/>
  <c r="F1796"/>
  <c r="F1797"/>
  <c r="F1798"/>
  <c r="F1799"/>
  <c r="F1800"/>
  <c r="F1801"/>
  <c r="F1802"/>
  <c r="F1803"/>
  <c r="F1804"/>
  <c r="F1805"/>
  <c r="F1806"/>
  <c r="F1807"/>
  <c r="F1808"/>
  <c r="F1809"/>
  <c r="F1810"/>
  <c r="F1811"/>
  <c r="F1812"/>
  <c r="F1813"/>
  <c r="F1814"/>
  <c r="F1815"/>
  <c r="F1816"/>
  <c r="F1817"/>
  <c r="F1818"/>
  <c r="F1819"/>
  <c r="F1820"/>
  <c r="F1821"/>
  <c r="F1822"/>
  <c r="F1823"/>
  <c r="F1824"/>
  <c r="F1825"/>
  <c r="F1826"/>
  <c r="F1827"/>
  <c r="F1828"/>
  <c r="F1829"/>
  <c r="F1830"/>
  <c r="F1831"/>
  <c r="F1832"/>
  <c r="F1833"/>
  <c r="F1834"/>
  <c r="F1835"/>
  <c r="F1836"/>
  <c r="F1837"/>
  <c r="F1838"/>
  <c r="F1839"/>
  <c r="F1840"/>
  <c r="F1841"/>
  <c r="F8"/>
  <c r="F1842"/>
  <c r="F1843"/>
  <c r="F1844"/>
  <c r="F1845"/>
  <c r="F1846"/>
  <c r="F1847"/>
  <c r="F1848"/>
  <c r="F1849"/>
  <c r="F1850"/>
  <c r="F1851"/>
  <c r="F1852"/>
  <c r="F1853"/>
  <c r="F1854"/>
  <c r="F1855"/>
  <c r="F1856"/>
  <c r="F1857"/>
  <c r="F1858"/>
  <c r="F12"/>
  <c r="F1859"/>
  <c r="F1860"/>
  <c r="F1861"/>
  <c r="F1862"/>
  <c r="F1863"/>
  <c r="F1864"/>
  <c r="F1865"/>
  <c r="F1866"/>
  <c r="F1867"/>
  <c r="F1868"/>
  <c r="F1869"/>
  <c r="F1870"/>
  <c r="F1871"/>
  <c r="F1872"/>
  <c r="F1873"/>
  <c r="F1874"/>
  <c r="F1875"/>
  <c r="F1876"/>
  <c r="F1877"/>
  <c r="F1878"/>
  <c r="F1879"/>
  <c r="F1880"/>
  <c r="F1881"/>
  <c r="F1882"/>
  <c r="F1883"/>
  <c r="F1884"/>
  <c r="F1885"/>
  <c r="F1886"/>
  <c r="F1887"/>
  <c r="F1888"/>
  <c r="F1889"/>
  <c r="F1890"/>
  <c r="F1891"/>
  <c r="F1892"/>
  <c r="F1893"/>
  <c r="F1894"/>
  <c r="F1895"/>
  <c r="F1896"/>
  <c r="F1897"/>
  <c r="F1898"/>
  <c r="F1899"/>
  <c r="F1900"/>
  <c r="F1901"/>
  <c r="F1902"/>
  <c r="F1903"/>
  <c r="F1904"/>
  <c r="F1905"/>
  <c r="F1906"/>
  <c r="F1907"/>
  <c r="F1908"/>
  <c r="F1909"/>
  <c r="F1910"/>
  <c r="F1911"/>
  <c r="F1912"/>
  <c r="F1913"/>
  <c r="F1914"/>
  <c r="F1915"/>
  <c r="F1916"/>
  <c r="F1917"/>
  <c r="F1918"/>
  <c r="F1919"/>
  <c r="F1920"/>
  <c r="F1921"/>
  <c r="F1922"/>
  <c r="F1923"/>
  <c r="F1924"/>
  <c r="F1925"/>
  <c r="F1926"/>
  <c r="F1927"/>
  <c r="F1928"/>
  <c r="F1929"/>
  <c r="F16"/>
  <c r="F1930"/>
  <c r="F1931"/>
  <c r="F1932"/>
  <c r="F1933"/>
  <c r="F1934"/>
  <c r="F1935"/>
  <c r="F1936"/>
  <c r="F1937"/>
  <c r="F1938"/>
  <c r="F1939"/>
  <c r="F1940"/>
  <c r="F5"/>
  <c r="F1941"/>
  <c r="F1942"/>
  <c r="F1943"/>
  <c r="F1944"/>
  <c r="F1945"/>
  <c r="F1946"/>
  <c r="F1947"/>
  <c r="F1948"/>
  <c r="F1949"/>
  <c r="F1950"/>
  <c r="F1951"/>
  <c r="F1952"/>
  <c r="F1953"/>
  <c r="F1954"/>
  <c r="F1955"/>
  <c r="F1956"/>
  <c r="F1957"/>
  <c r="F1958"/>
  <c r="F1959"/>
  <c r="F1960"/>
  <c r="F1961"/>
  <c r="F1962"/>
  <c r="F1963"/>
  <c r="F1964"/>
  <c r="F1965"/>
  <c r="F1966"/>
  <c r="F1967"/>
  <c r="F1968"/>
  <c r="F1969"/>
  <c r="F1970"/>
  <c r="F1971"/>
  <c r="F1972"/>
  <c r="F1973"/>
  <c r="F1974"/>
  <c r="F1975"/>
  <c r="F1976"/>
  <c r="F1977"/>
  <c r="F1978"/>
  <c r="F1979"/>
  <c r="F1980"/>
  <c r="F1981"/>
  <c r="F1982"/>
  <c r="F1983"/>
  <c r="F1984"/>
  <c r="F1985"/>
  <c r="F1986"/>
  <c r="F1987"/>
  <c r="F1988"/>
  <c r="F1989"/>
  <c r="F1990"/>
  <c r="F1991"/>
  <c r="F1992"/>
  <c r="F1993"/>
  <c r="F1994"/>
  <c r="F1995"/>
  <c r="F1996"/>
  <c r="F1997"/>
  <c r="F1998"/>
  <c r="F1999"/>
  <c r="F2000"/>
  <c r="F2001"/>
  <c r="F2002"/>
  <c r="F2003"/>
  <c r="F2004"/>
  <c r="F2005"/>
  <c r="F2006"/>
  <c r="F2007"/>
  <c r="F2008"/>
  <c r="F2009"/>
  <c r="F2010"/>
  <c r="F2011"/>
  <c r="F2012"/>
  <c r="F2013"/>
  <c r="F2014"/>
  <c r="F2015"/>
  <c r="F2016"/>
  <c r="F2017"/>
  <c r="F2018"/>
  <c r="F2019"/>
  <c r="F2020"/>
  <c r="F2021"/>
  <c r="F2022"/>
  <c r="F2023"/>
  <c r="F2024"/>
  <c r="F2025"/>
  <c r="F2026"/>
  <c r="F2027"/>
  <c r="F2028"/>
  <c r="F2029"/>
  <c r="F2030"/>
  <c r="F2031"/>
  <c r="F2032"/>
  <c r="F2033"/>
  <c r="F2034"/>
  <c r="F2035"/>
  <c r="F2036"/>
  <c r="F2037"/>
  <c r="F2038"/>
  <c r="F2039"/>
  <c r="F2040"/>
  <c r="F2041"/>
  <c r="F2042"/>
  <c r="F2043"/>
  <c r="F2044"/>
  <c r="F2045"/>
  <c r="F2046"/>
  <c r="F2047"/>
  <c r="F2048"/>
  <c r="F2049"/>
  <c r="F2050"/>
  <c r="F2051"/>
  <c r="F2052"/>
  <c r="F2053"/>
  <c r="F2054"/>
  <c r="F2055"/>
  <c r="F2056"/>
  <c r="F2057"/>
  <c r="F2058"/>
  <c r="F2059"/>
  <c r="F2060"/>
  <c r="F2061"/>
  <c r="F2062"/>
  <c r="F2063"/>
  <c r="F2064"/>
  <c r="F2065"/>
  <c r="F2066"/>
  <c r="F2067"/>
  <c r="F2068"/>
  <c r="F2069"/>
  <c r="F2070"/>
  <c r="F2071"/>
  <c r="F2072"/>
  <c r="F2073"/>
  <c r="F2074"/>
  <c r="F2075"/>
  <c r="F2076"/>
  <c r="F2077"/>
  <c r="F2078"/>
  <c r="F2079"/>
  <c r="F2080"/>
  <c r="F2081"/>
  <c r="F2082"/>
  <c r="F2083"/>
  <c r="F2084"/>
  <c r="F2085"/>
  <c r="F10"/>
  <c r="F2086"/>
  <c r="F2087"/>
  <c r="F2088"/>
  <c r="F2089"/>
  <c r="F2090"/>
  <c r="F2091"/>
  <c r="F2092"/>
  <c r="F2093"/>
  <c r="F2094"/>
  <c r="F2095"/>
  <c r="F2096"/>
  <c r="F2097"/>
  <c r="F2098"/>
  <c r="F2099"/>
  <c r="F2100"/>
  <c r="F2101"/>
  <c r="F2102"/>
  <c r="F2103"/>
  <c r="F2104"/>
  <c r="F2105"/>
  <c r="F2106"/>
  <c r="F2107"/>
  <c r="F2108"/>
  <c r="F2109"/>
  <c r="F2110"/>
  <c r="F2111"/>
  <c r="F2112"/>
  <c r="F2113"/>
  <c r="F2114"/>
  <c r="F2115"/>
  <c r="F2116"/>
  <c r="F2117"/>
  <c r="F2118"/>
  <c r="F2119"/>
  <c r="F2120"/>
  <c r="F2121"/>
  <c r="F2122"/>
  <c r="F2123"/>
  <c r="F2124"/>
  <c r="F2125"/>
  <c r="F2126"/>
  <c r="F2127"/>
  <c r="F2128"/>
  <c r="F2129"/>
  <c r="F2130"/>
  <c r="F2131"/>
  <c r="F2132"/>
  <c r="F2133"/>
  <c r="F2134"/>
  <c r="F2135"/>
  <c r="F2136"/>
  <c r="F2137"/>
  <c r="F2138"/>
  <c r="F2139"/>
  <c r="F2140"/>
  <c r="F2141"/>
  <c r="F2142"/>
  <c r="F2143"/>
  <c r="F2144"/>
  <c r="F2145"/>
  <c r="F2146"/>
  <c r="F2147"/>
  <c r="F2148"/>
  <c r="F2149"/>
  <c r="F2150"/>
  <c r="F2151"/>
  <c r="F2152"/>
  <c r="F2153"/>
  <c r="F2154"/>
  <c r="F2155"/>
  <c r="F2156"/>
  <c r="F2157"/>
  <c r="F2158"/>
  <c r="F2159"/>
  <c r="F2160"/>
  <c r="F2161"/>
  <c r="F2162"/>
  <c r="F2163"/>
  <c r="F2164"/>
  <c r="F2165"/>
  <c r="F2166"/>
  <c r="F2167"/>
  <c r="F2168"/>
  <c r="G47"/>
  <c r="G48"/>
  <c r="G49"/>
  <c r="G50"/>
  <c r="G51"/>
  <c r="G52"/>
  <c r="G53"/>
  <c r="G54"/>
  <c r="G55"/>
  <c r="G56"/>
  <c r="G57"/>
  <c r="G58"/>
  <c r="G59"/>
  <c r="G60"/>
  <c r="G61"/>
  <c r="G62"/>
  <c r="G63"/>
  <c r="G64"/>
  <c r="G65"/>
  <c r="G66"/>
  <c r="G67"/>
  <c r="G68"/>
  <c r="G69"/>
  <c r="G70"/>
  <c r="G71"/>
  <c r="G72"/>
  <c r="G73"/>
  <c r="G74"/>
  <c r="G75"/>
  <c r="G76"/>
  <c r="G9"/>
  <c r="G77"/>
  <c r="G78"/>
  <c r="G79"/>
  <c r="G80"/>
  <c r="G81"/>
  <c r="G15"/>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14"/>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6"/>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7"/>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7"/>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8"/>
  <c r="G1842"/>
  <c r="G1843"/>
  <c r="G1844"/>
  <c r="G1845"/>
  <c r="G1846"/>
  <c r="G1847"/>
  <c r="G1848"/>
  <c r="G1849"/>
  <c r="G1850"/>
  <c r="G1851"/>
  <c r="G1852"/>
  <c r="G1853"/>
  <c r="G1854"/>
  <c r="G1855"/>
  <c r="G1856"/>
  <c r="G1857"/>
  <c r="G1858"/>
  <c r="G12"/>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6"/>
  <c r="G1930"/>
  <c r="G1931"/>
  <c r="G1932"/>
  <c r="G1933"/>
  <c r="G1934"/>
  <c r="G1935"/>
  <c r="G1936"/>
  <c r="G1937"/>
  <c r="G1938"/>
  <c r="G1939"/>
  <c r="G1940"/>
  <c r="G5"/>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10"/>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H47"/>
  <c r="H48"/>
  <c r="H49"/>
  <c r="H50"/>
  <c r="H51"/>
  <c r="H52"/>
  <c r="H53"/>
  <c r="H54"/>
  <c r="H55"/>
  <c r="H56"/>
  <c r="H57"/>
  <c r="H58"/>
  <c r="H59"/>
  <c r="H60"/>
  <c r="H61"/>
  <c r="H62"/>
  <c r="H63"/>
  <c r="H64"/>
  <c r="H65"/>
  <c r="H66"/>
  <c r="H67"/>
  <c r="H68"/>
  <c r="H69"/>
  <c r="H70"/>
  <c r="H71"/>
  <c r="H72"/>
  <c r="H73"/>
  <c r="H74"/>
  <c r="H75"/>
  <c r="H76"/>
  <c r="H9"/>
  <c r="H77"/>
  <c r="H78"/>
  <c r="H79"/>
  <c r="H80"/>
  <c r="H81"/>
  <c r="H15"/>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14"/>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6"/>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7"/>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7"/>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8"/>
  <c r="H1842"/>
  <c r="H1843"/>
  <c r="H1844"/>
  <c r="H1845"/>
  <c r="H1846"/>
  <c r="H1847"/>
  <c r="H1848"/>
  <c r="H1849"/>
  <c r="H1850"/>
  <c r="H1851"/>
  <c r="H1852"/>
  <c r="H1853"/>
  <c r="H1854"/>
  <c r="H1855"/>
  <c r="H1856"/>
  <c r="H1857"/>
  <c r="H1858"/>
  <c r="H12"/>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6"/>
  <c r="H1930"/>
  <c r="H1931"/>
  <c r="H1932"/>
  <c r="H1933"/>
  <c r="H1934"/>
  <c r="H1935"/>
  <c r="H1936"/>
  <c r="H1937"/>
  <c r="H1938"/>
  <c r="H1939"/>
  <c r="H1940"/>
  <c r="H5"/>
  <c r="H1941"/>
  <c r="H1942"/>
  <c r="H1943"/>
  <c r="H1944"/>
  <c r="H1945"/>
  <c r="H1946"/>
  <c r="H1947"/>
  <c r="H1948"/>
  <c r="H1949"/>
  <c r="H1950"/>
  <c r="H1951"/>
  <c r="H1952"/>
  <c r="H1953"/>
  <c r="H1954"/>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10"/>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I47"/>
  <c r="I48"/>
  <c r="I49"/>
  <c r="I50"/>
  <c r="I51"/>
  <c r="I52"/>
  <c r="I53"/>
  <c r="I54"/>
  <c r="I55"/>
  <c r="I56"/>
  <c r="I57"/>
  <c r="I58"/>
  <c r="I59"/>
  <c r="I60"/>
  <c r="I61"/>
  <c r="I62"/>
  <c r="I63"/>
  <c r="I64"/>
  <c r="I65"/>
  <c r="I66"/>
  <c r="I67"/>
  <c r="I68"/>
  <c r="I69"/>
  <c r="I70"/>
  <c r="I71"/>
  <c r="I72"/>
  <c r="I73"/>
  <c r="I74"/>
  <c r="I75"/>
  <c r="I76"/>
  <c r="I9"/>
  <c r="I77"/>
  <c r="I78"/>
  <c r="I79"/>
  <c r="I80"/>
  <c r="I81"/>
  <c r="I15"/>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I528"/>
  <c r="I529"/>
  <c r="I530"/>
  <c r="I531"/>
  <c r="I532"/>
  <c r="I533"/>
  <c r="I534"/>
  <c r="I535"/>
  <c r="I536"/>
  <c r="I537"/>
  <c r="I538"/>
  <c r="I539"/>
  <c r="I540"/>
  <c r="I541"/>
  <c r="I542"/>
  <c r="I543"/>
  <c r="I544"/>
  <c r="I545"/>
  <c r="I546"/>
  <c r="I547"/>
  <c r="I548"/>
  <c r="I549"/>
  <c r="I550"/>
  <c r="I551"/>
  <c r="I552"/>
  <c r="I553"/>
  <c r="I554"/>
  <c r="I555"/>
  <c r="I556"/>
  <c r="I557"/>
  <c r="I558"/>
  <c r="I559"/>
  <c r="I560"/>
  <c r="I561"/>
  <c r="I562"/>
  <c r="I563"/>
  <c r="I564"/>
  <c r="I565"/>
  <c r="I566"/>
  <c r="I567"/>
  <c r="I568"/>
  <c r="I569"/>
  <c r="I570"/>
  <c r="I571"/>
  <c r="I572"/>
  <c r="I573"/>
  <c r="I574"/>
  <c r="I575"/>
  <c r="I576"/>
  <c r="I577"/>
  <c r="I578"/>
  <c r="I579"/>
  <c r="I580"/>
  <c r="I581"/>
  <c r="I582"/>
  <c r="I583"/>
  <c r="I584"/>
  <c r="I585"/>
  <c r="I586"/>
  <c r="I587"/>
  <c r="I588"/>
  <c r="I589"/>
  <c r="I590"/>
  <c r="I591"/>
  <c r="I592"/>
  <c r="I593"/>
  <c r="I594"/>
  <c r="I595"/>
  <c r="I596"/>
  <c r="I597"/>
  <c r="I598"/>
  <c r="I599"/>
  <c r="I600"/>
  <c r="I601"/>
  <c r="I602"/>
  <c r="I603"/>
  <c r="I604"/>
  <c r="I605"/>
  <c r="I606"/>
  <c r="I607"/>
  <c r="I608"/>
  <c r="I609"/>
  <c r="I610"/>
  <c r="I611"/>
  <c r="I612"/>
  <c r="I613"/>
  <c r="I614"/>
  <c r="I615"/>
  <c r="I616"/>
  <c r="I617"/>
  <c r="I618"/>
  <c r="I619"/>
  <c r="I620"/>
  <c r="I621"/>
  <c r="I622"/>
  <c r="I623"/>
  <c r="I624"/>
  <c r="I625"/>
  <c r="I626"/>
  <c r="I627"/>
  <c r="I628"/>
  <c r="I629"/>
  <c r="I630"/>
  <c r="I631"/>
  <c r="I632"/>
  <c r="I633"/>
  <c r="I634"/>
  <c r="I635"/>
  <c r="I636"/>
  <c r="I637"/>
  <c r="I638"/>
  <c r="I639"/>
  <c r="I640"/>
  <c r="I641"/>
  <c r="I642"/>
  <c r="I643"/>
  <c r="I644"/>
  <c r="I645"/>
  <c r="I646"/>
  <c r="I647"/>
  <c r="I648"/>
  <c r="I649"/>
  <c r="I650"/>
  <c r="I651"/>
  <c r="I652"/>
  <c r="I653"/>
  <c r="I654"/>
  <c r="I655"/>
  <c r="I656"/>
  <c r="I657"/>
  <c r="I658"/>
  <c r="I659"/>
  <c r="I660"/>
  <c r="I661"/>
  <c r="I662"/>
  <c r="I663"/>
  <c r="I664"/>
  <c r="I665"/>
  <c r="I666"/>
  <c r="I667"/>
  <c r="I668"/>
  <c r="I669"/>
  <c r="I670"/>
  <c r="I671"/>
  <c r="I672"/>
  <c r="I673"/>
  <c r="I674"/>
  <c r="I675"/>
  <c r="I676"/>
  <c r="I677"/>
  <c r="I678"/>
  <c r="I679"/>
  <c r="I680"/>
  <c r="I681"/>
  <c r="I682"/>
  <c r="I683"/>
  <c r="I684"/>
  <c r="I685"/>
  <c r="I686"/>
  <c r="I687"/>
  <c r="I688"/>
  <c r="I689"/>
  <c r="I690"/>
  <c r="I691"/>
  <c r="I692"/>
  <c r="I693"/>
  <c r="I694"/>
  <c r="I695"/>
  <c r="I696"/>
  <c r="I697"/>
  <c r="I698"/>
  <c r="I699"/>
  <c r="I700"/>
  <c r="I701"/>
  <c r="I702"/>
  <c r="I703"/>
  <c r="I704"/>
  <c r="I705"/>
  <c r="I706"/>
  <c r="I707"/>
  <c r="I708"/>
  <c r="I709"/>
  <c r="I710"/>
  <c r="I711"/>
  <c r="I712"/>
  <c r="I713"/>
  <c r="I714"/>
  <c r="I715"/>
  <c r="I716"/>
  <c r="I717"/>
  <c r="I718"/>
  <c r="I719"/>
  <c r="I720"/>
  <c r="I721"/>
  <c r="I722"/>
  <c r="I723"/>
  <c r="I724"/>
  <c r="I725"/>
  <c r="I726"/>
  <c r="I14"/>
  <c r="I727"/>
  <c r="I728"/>
  <c r="I729"/>
  <c r="I730"/>
  <c r="I731"/>
  <c r="I732"/>
  <c r="I733"/>
  <c r="I734"/>
  <c r="I735"/>
  <c r="I736"/>
  <c r="I737"/>
  <c r="I738"/>
  <c r="I739"/>
  <c r="I740"/>
  <c r="I741"/>
  <c r="I742"/>
  <c r="I743"/>
  <c r="I744"/>
  <c r="I745"/>
  <c r="I746"/>
  <c r="I747"/>
  <c r="I748"/>
  <c r="I749"/>
  <c r="I750"/>
  <c r="I751"/>
  <c r="I752"/>
  <c r="I753"/>
  <c r="I754"/>
  <c r="I755"/>
  <c r="I756"/>
  <c r="I757"/>
  <c r="I758"/>
  <c r="I759"/>
  <c r="I760"/>
  <c r="I761"/>
  <c r="I762"/>
  <c r="I763"/>
  <c r="I764"/>
  <c r="I765"/>
  <c r="I766"/>
  <c r="I767"/>
  <c r="I768"/>
  <c r="I769"/>
  <c r="I770"/>
  <c r="I771"/>
  <c r="I772"/>
  <c r="I773"/>
  <c r="I774"/>
  <c r="I775"/>
  <c r="I776"/>
  <c r="I777"/>
  <c r="I778"/>
  <c r="I779"/>
  <c r="I780"/>
  <c r="I781"/>
  <c r="I782"/>
  <c r="I783"/>
  <c r="I784"/>
  <c r="I785"/>
  <c r="I786"/>
  <c r="I787"/>
  <c r="I788"/>
  <c r="I789"/>
  <c r="I790"/>
  <c r="I791"/>
  <c r="I792"/>
  <c r="I793"/>
  <c r="I794"/>
  <c r="I795"/>
  <c r="I796"/>
  <c r="I797"/>
  <c r="I798"/>
  <c r="I799"/>
  <c r="I800"/>
  <c r="I801"/>
  <c r="I802"/>
  <c r="I803"/>
  <c r="I804"/>
  <c r="I805"/>
  <c r="I806"/>
  <c r="I807"/>
  <c r="I808"/>
  <c r="I809"/>
  <c r="I810"/>
  <c r="I811"/>
  <c r="I812"/>
  <c r="I813"/>
  <c r="I814"/>
  <c r="I815"/>
  <c r="I816"/>
  <c r="I817"/>
  <c r="I818"/>
  <c r="I819"/>
  <c r="I820"/>
  <c r="I821"/>
  <c r="I822"/>
  <c r="I823"/>
  <c r="I824"/>
  <c r="I825"/>
  <c r="I826"/>
  <c r="I827"/>
  <c r="I828"/>
  <c r="I829"/>
  <c r="I830"/>
  <c r="I831"/>
  <c r="I832"/>
  <c r="I833"/>
  <c r="I834"/>
  <c r="I835"/>
  <c r="I836"/>
  <c r="I837"/>
  <c r="I838"/>
  <c r="I839"/>
  <c r="I840"/>
  <c r="I841"/>
  <c r="I842"/>
  <c r="I843"/>
  <c r="I844"/>
  <c r="I845"/>
  <c r="I846"/>
  <c r="I847"/>
  <c r="I848"/>
  <c r="I849"/>
  <c r="I850"/>
  <c r="I851"/>
  <c r="I852"/>
  <c r="I853"/>
  <c r="I854"/>
  <c r="I855"/>
  <c r="I856"/>
  <c r="I857"/>
  <c r="I858"/>
  <c r="I859"/>
  <c r="I860"/>
  <c r="I861"/>
  <c r="I862"/>
  <c r="I863"/>
  <c r="I864"/>
  <c r="I865"/>
  <c r="I866"/>
  <c r="I867"/>
  <c r="I868"/>
  <c r="I869"/>
  <c r="I870"/>
  <c r="I871"/>
  <c r="I872"/>
  <c r="I873"/>
  <c r="I874"/>
  <c r="I875"/>
  <c r="I876"/>
  <c r="I877"/>
  <c r="I878"/>
  <c r="I879"/>
  <c r="I880"/>
  <c r="I881"/>
  <c r="I882"/>
  <c r="I883"/>
  <c r="I884"/>
  <c r="I885"/>
  <c r="I886"/>
  <c r="I887"/>
  <c r="I888"/>
  <c r="I889"/>
  <c r="I890"/>
  <c r="I891"/>
  <c r="I892"/>
  <c r="I893"/>
  <c r="I894"/>
  <c r="I895"/>
  <c r="I896"/>
  <c r="I897"/>
  <c r="I898"/>
  <c r="I899"/>
  <c r="I900"/>
  <c r="I901"/>
  <c r="I902"/>
  <c r="I903"/>
  <c r="I904"/>
  <c r="I905"/>
  <c r="I906"/>
  <c r="I907"/>
  <c r="I908"/>
  <c r="I909"/>
  <c r="I910"/>
  <c r="I911"/>
  <c r="I912"/>
  <c r="I913"/>
  <c r="I914"/>
  <c r="I915"/>
  <c r="I916"/>
  <c r="I917"/>
  <c r="I918"/>
  <c r="I919"/>
  <c r="I920"/>
  <c r="I921"/>
  <c r="I922"/>
  <c r="I923"/>
  <c r="I924"/>
  <c r="I925"/>
  <c r="I926"/>
  <c r="I927"/>
  <c r="I928"/>
  <c r="I929"/>
  <c r="I930"/>
  <c r="I931"/>
  <c r="I932"/>
  <c r="I933"/>
  <c r="I934"/>
  <c r="I935"/>
  <c r="I936"/>
  <c r="I937"/>
  <c r="I938"/>
  <c r="I939"/>
  <c r="I940"/>
  <c r="I941"/>
  <c r="I942"/>
  <c r="I943"/>
  <c r="I944"/>
  <c r="I945"/>
  <c r="I946"/>
  <c r="I947"/>
  <c r="I948"/>
  <c r="I949"/>
  <c r="I950"/>
  <c r="I951"/>
  <c r="I952"/>
  <c r="I953"/>
  <c r="I954"/>
  <c r="I955"/>
  <c r="I956"/>
  <c r="I957"/>
  <c r="I958"/>
  <c r="I959"/>
  <c r="I960"/>
  <c r="I961"/>
  <c r="I962"/>
  <c r="I963"/>
  <c r="I964"/>
  <c r="I965"/>
  <c r="I966"/>
  <c r="I967"/>
  <c r="I968"/>
  <c r="I969"/>
  <c r="I970"/>
  <c r="I971"/>
  <c r="I972"/>
  <c r="I973"/>
  <c r="I6"/>
  <c r="I974"/>
  <c r="I975"/>
  <c r="I976"/>
  <c r="I977"/>
  <c r="I978"/>
  <c r="I979"/>
  <c r="I980"/>
  <c r="I981"/>
  <c r="I982"/>
  <c r="I983"/>
  <c r="I984"/>
  <c r="I985"/>
  <c r="I986"/>
  <c r="I987"/>
  <c r="I988"/>
  <c r="I989"/>
  <c r="I990"/>
  <c r="I991"/>
  <c r="I992"/>
  <c r="I993"/>
  <c r="I994"/>
  <c r="I995"/>
  <c r="I996"/>
  <c r="I997"/>
  <c r="I998"/>
  <c r="I999"/>
  <c r="I1000"/>
  <c r="I1001"/>
  <c r="I1002"/>
  <c r="I1003"/>
  <c r="I1004"/>
  <c r="I1005"/>
  <c r="I1006"/>
  <c r="I1007"/>
  <c r="I1008"/>
  <c r="I1009"/>
  <c r="I1010"/>
  <c r="I1011"/>
  <c r="I1012"/>
  <c r="I1013"/>
  <c r="I1014"/>
  <c r="I1015"/>
  <c r="I1016"/>
  <c r="I1017"/>
  <c r="I1018"/>
  <c r="I1019"/>
  <c r="I1020"/>
  <c r="I1021"/>
  <c r="I1022"/>
  <c r="I1023"/>
  <c r="I1024"/>
  <c r="I1025"/>
  <c r="I1026"/>
  <c r="I1027"/>
  <c r="I1028"/>
  <c r="I1029"/>
  <c r="I1030"/>
  <c r="I1031"/>
  <c r="I1032"/>
  <c r="I1033"/>
  <c r="I1034"/>
  <c r="I1035"/>
  <c r="I1036"/>
  <c r="I1037"/>
  <c r="I1038"/>
  <c r="I1039"/>
  <c r="I1040"/>
  <c r="I1041"/>
  <c r="I1042"/>
  <c r="I1043"/>
  <c r="I1044"/>
  <c r="I1045"/>
  <c r="I1046"/>
  <c r="I1047"/>
  <c r="I1048"/>
  <c r="I1049"/>
  <c r="I1050"/>
  <c r="I1051"/>
  <c r="I1052"/>
  <c r="I1053"/>
  <c r="I1054"/>
  <c r="I1055"/>
  <c r="I1056"/>
  <c r="I1057"/>
  <c r="I1058"/>
  <c r="I1059"/>
  <c r="I1060"/>
  <c r="I1061"/>
  <c r="I1062"/>
  <c r="I1063"/>
  <c r="I1064"/>
  <c r="I1065"/>
  <c r="I1066"/>
  <c r="I1067"/>
  <c r="I1068"/>
  <c r="I1069"/>
  <c r="I1070"/>
  <c r="I1071"/>
  <c r="I1072"/>
  <c r="I1073"/>
  <c r="I1074"/>
  <c r="I1075"/>
  <c r="I1076"/>
  <c r="I1077"/>
  <c r="I1078"/>
  <c r="I1079"/>
  <c r="I1080"/>
  <c r="I1081"/>
  <c r="I1082"/>
  <c r="I1083"/>
  <c r="I1084"/>
  <c r="I1085"/>
  <c r="I1086"/>
  <c r="I1087"/>
  <c r="I1088"/>
  <c r="I1089"/>
  <c r="I1090"/>
  <c r="I1091"/>
  <c r="I1092"/>
  <c r="I1093"/>
  <c r="I1094"/>
  <c r="I1095"/>
  <c r="I1096"/>
  <c r="I1097"/>
  <c r="I1098"/>
  <c r="I1099"/>
  <c r="I1100"/>
  <c r="I1101"/>
  <c r="I1102"/>
  <c r="I1103"/>
  <c r="I1104"/>
  <c r="I1105"/>
  <c r="I1106"/>
  <c r="I1107"/>
  <c r="I1108"/>
  <c r="I1109"/>
  <c r="I1110"/>
  <c r="I1111"/>
  <c r="I1112"/>
  <c r="I1113"/>
  <c r="I1114"/>
  <c r="I1115"/>
  <c r="I1116"/>
  <c r="I1117"/>
  <c r="I1118"/>
  <c r="I1119"/>
  <c r="I1120"/>
  <c r="I1121"/>
  <c r="I1122"/>
  <c r="I1123"/>
  <c r="I1124"/>
  <c r="I1125"/>
  <c r="I1126"/>
  <c r="I1127"/>
  <c r="I1128"/>
  <c r="I1129"/>
  <c r="I1130"/>
  <c r="I1131"/>
  <c r="I1132"/>
  <c r="I1133"/>
  <c r="I1134"/>
  <c r="I1135"/>
  <c r="I1136"/>
  <c r="I1137"/>
  <c r="I1138"/>
  <c r="I1139"/>
  <c r="I1140"/>
  <c r="I1141"/>
  <c r="I1142"/>
  <c r="I1143"/>
  <c r="I1144"/>
  <c r="I1145"/>
  <c r="I1146"/>
  <c r="I1147"/>
  <c r="I1148"/>
  <c r="I1149"/>
  <c r="I1150"/>
  <c r="I1151"/>
  <c r="I1152"/>
  <c r="I1153"/>
  <c r="I1154"/>
  <c r="I1155"/>
  <c r="I1156"/>
  <c r="I1157"/>
  <c r="I1158"/>
  <c r="I1159"/>
  <c r="I1160"/>
  <c r="I1161"/>
  <c r="I1162"/>
  <c r="I1163"/>
  <c r="I1164"/>
  <c r="I1165"/>
  <c r="I1166"/>
  <c r="I1167"/>
  <c r="I1168"/>
  <c r="I1169"/>
  <c r="I1170"/>
  <c r="I1171"/>
  <c r="I1172"/>
  <c r="I1173"/>
  <c r="I1174"/>
  <c r="I1175"/>
  <c r="I1176"/>
  <c r="I1177"/>
  <c r="I1178"/>
  <c r="I1179"/>
  <c r="I1180"/>
  <c r="I1181"/>
  <c r="I1182"/>
  <c r="I1183"/>
  <c r="I1184"/>
  <c r="I1185"/>
  <c r="I1186"/>
  <c r="I1187"/>
  <c r="I1188"/>
  <c r="I1189"/>
  <c r="I1190"/>
  <c r="I1191"/>
  <c r="I1192"/>
  <c r="I1193"/>
  <c r="I1194"/>
  <c r="I1195"/>
  <c r="I1196"/>
  <c r="I1197"/>
  <c r="I1198"/>
  <c r="I1199"/>
  <c r="I1200"/>
  <c r="I1201"/>
  <c r="I1202"/>
  <c r="I1203"/>
  <c r="I1204"/>
  <c r="I1205"/>
  <c r="I1206"/>
  <c r="I1207"/>
  <c r="I1208"/>
  <c r="I1209"/>
  <c r="I1210"/>
  <c r="I1211"/>
  <c r="I1212"/>
  <c r="I1213"/>
  <c r="I1214"/>
  <c r="I1215"/>
  <c r="I1216"/>
  <c r="I1217"/>
  <c r="I1218"/>
  <c r="I1219"/>
  <c r="I1220"/>
  <c r="I1221"/>
  <c r="I1222"/>
  <c r="I1223"/>
  <c r="I1224"/>
  <c r="I1225"/>
  <c r="I1226"/>
  <c r="I1227"/>
  <c r="I1228"/>
  <c r="I1229"/>
  <c r="I1230"/>
  <c r="I1231"/>
  <c r="I1232"/>
  <c r="I1233"/>
  <c r="I1234"/>
  <c r="I1235"/>
  <c r="I1236"/>
  <c r="I1237"/>
  <c r="I1238"/>
  <c r="I1239"/>
  <c r="I1240"/>
  <c r="I1241"/>
  <c r="I1242"/>
  <c r="I1243"/>
  <c r="I1244"/>
  <c r="I1245"/>
  <c r="I1246"/>
  <c r="I1247"/>
  <c r="I1248"/>
  <c r="I1249"/>
  <c r="I1250"/>
  <c r="I1251"/>
  <c r="I1252"/>
  <c r="I1253"/>
  <c r="I1254"/>
  <c r="I1255"/>
  <c r="I1256"/>
  <c r="I1257"/>
  <c r="I1258"/>
  <c r="I1259"/>
  <c r="I1260"/>
  <c r="I1261"/>
  <c r="I1262"/>
  <c r="I1263"/>
  <c r="I1264"/>
  <c r="I1265"/>
  <c r="I1266"/>
  <c r="I1267"/>
  <c r="I1268"/>
  <c r="I1269"/>
  <c r="I1270"/>
  <c r="I1271"/>
  <c r="I1272"/>
  <c r="I17"/>
  <c r="I1273"/>
  <c r="I1274"/>
  <c r="I1275"/>
  <c r="I1276"/>
  <c r="I1277"/>
  <c r="I1278"/>
  <c r="I1279"/>
  <c r="I1280"/>
  <c r="I1281"/>
  <c r="I1282"/>
  <c r="I1283"/>
  <c r="I1284"/>
  <c r="I1285"/>
  <c r="I1286"/>
  <c r="I1287"/>
  <c r="I1288"/>
  <c r="I1289"/>
  <c r="I1290"/>
  <c r="I1291"/>
  <c r="I1292"/>
  <c r="I1293"/>
  <c r="I1294"/>
  <c r="I1295"/>
  <c r="I1296"/>
  <c r="I1297"/>
  <c r="I1298"/>
  <c r="I1299"/>
  <c r="I1300"/>
  <c r="I1301"/>
  <c r="I1302"/>
  <c r="I1303"/>
  <c r="I1304"/>
  <c r="I1305"/>
  <c r="I1306"/>
  <c r="I1307"/>
  <c r="I1308"/>
  <c r="I1309"/>
  <c r="I1310"/>
  <c r="I1311"/>
  <c r="I1312"/>
  <c r="I1313"/>
  <c r="I1314"/>
  <c r="I1315"/>
  <c r="I1316"/>
  <c r="I1317"/>
  <c r="I1318"/>
  <c r="I1319"/>
  <c r="I1320"/>
  <c r="I1321"/>
  <c r="I1322"/>
  <c r="I1323"/>
  <c r="I1324"/>
  <c r="I1325"/>
  <c r="I1326"/>
  <c r="I1327"/>
  <c r="I1328"/>
  <c r="I1329"/>
  <c r="I1330"/>
  <c r="I1331"/>
  <c r="I1332"/>
  <c r="I1333"/>
  <c r="I1334"/>
  <c r="I1335"/>
  <c r="I1336"/>
  <c r="I1337"/>
  <c r="I1338"/>
  <c r="I1339"/>
  <c r="I1340"/>
  <c r="I1341"/>
  <c r="I1342"/>
  <c r="I1343"/>
  <c r="I1344"/>
  <c r="I1345"/>
  <c r="I1346"/>
  <c r="I1347"/>
  <c r="I1348"/>
  <c r="I1349"/>
  <c r="I1350"/>
  <c r="I1351"/>
  <c r="I1352"/>
  <c r="I1353"/>
  <c r="I1354"/>
  <c r="I1355"/>
  <c r="I1356"/>
  <c r="I1357"/>
  <c r="I1358"/>
  <c r="I1359"/>
  <c r="I1360"/>
  <c r="I1361"/>
  <c r="I1362"/>
  <c r="I1363"/>
  <c r="I1364"/>
  <c r="I1365"/>
  <c r="I1366"/>
  <c r="I1367"/>
  <c r="I1368"/>
  <c r="I1369"/>
  <c r="I1370"/>
  <c r="I1371"/>
  <c r="I1372"/>
  <c r="I1373"/>
  <c r="I1374"/>
  <c r="I1375"/>
  <c r="I1376"/>
  <c r="I1377"/>
  <c r="I1378"/>
  <c r="I1379"/>
  <c r="I1380"/>
  <c r="I1381"/>
  <c r="I1382"/>
  <c r="I1383"/>
  <c r="I1384"/>
  <c r="I1385"/>
  <c r="I1386"/>
  <c r="I1387"/>
  <c r="I1388"/>
  <c r="I1389"/>
  <c r="I1390"/>
  <c r="I1391"/>
  <c r="I1392"/>
  <c r="I1393"/>
  <c r="I1394"/>
  <c r="I1395"/>
  <c r="I1396"/>
  <c r="I1397"/>
  <c r="I1398"/>
  <c r="I1399"/>
  <c r="I1400"/>
  <c r="I1401"/>
  <c r="I1402"/>
  <c r="I1403"/>
  <c r="I1404"/>
  <c r="I1405"/>
  <c r="I1406"/>
  <c r="I1407"/>
  <c r="I1408"/>
  <c r="I1409"/>
  <c r="I1410"/>
  <c r="I1411"/>
  <c r="I1412"/>
  <c r="I1413"/>
  <c r="I1414"/>
  <c r="I1415"/>
  <c r="I1416"/>
  <c r="I1417"/>
  <c r="I1418"/>
  <c r="I1419"/>
  <c r="I1420"/>
  <c r="I1421"/>
  <c r="I1422"/>
  <c r="I1423"/>
  <c r="I1424"/>
  <c r="I1425"/>
  <c r="I1426"/>
  <c r="I1427"/>
  <c r="I1428"/>
  <c r="I1429"/>
  <c r="I1430"/>
  <c r="I1431"/>
  <c r="I1432"/>
  <c r="I1433"/>
  <c r="I1434"/>
  <c r="I1435"/>
  <c r="I1436"/>
  <c r="I1437"/>
  <c r="I1438"/>
  <c r="I1439"/>
  <c r="I1440"/>
  <c r="I1441"/>
  <c r="I1442"/>
  <c r="I1443"/>
  <c r="I1444"/>
  <c r="I1445"/>
  <c r="I1446"/>
  <c r="I1447"/>
  <c r="I1448"/>
  <c r="I1449"/>
  <c r="I1450"/>
  <c r="I1451"/>
  <c r="I1452"/>
  <c r="I1453"/>
  <c r="I1454"/>
  <c r="I1455"/>
  <c r="I1456"/>
  <c r="I1457"/>
  <c r="I1458"/>
  <c r="I1459"/>
  <c r="I1460"/>
  <c r="I1461"/>
  <c r="I1462"/>
  <c r="I1463"/>
  <c r="I1464"/>
  <c r="I1465"/>
  <c r="I1466"/>
  <c r="I1467"/>
  <c r="I1468"/>
  <c r="I1469"/>
  <c r="I1470"/>
  <c r="I1471"/>
  <c r="I1472"/>
  <c r="I1473"/>
  <c r="I1474"/>
  <c r="I1475"/>
  <c r="I1476"/>
  <c r="I1477"/>
  <c r="I1478"/>
  <c r="I1479"/>
  <c r="I1480"/>
  <c r="I1481"/>
  <c r="I1482"/>
  <c r="I1483"/>
  <c r="I1484"/>
  <c r="I1485"/>
  <c r="I1486"/>
  <c r="I1487"/>
  <c r="I1488"/>
  <c r="I1489"/>
  <c r="I1490"/>
  <c r="I1491"/>
  <c r="I1492"/>
  <c r="I1493"/>
  <c r="I1494"/>
  <c r="I1495"/>
  <c r="I1496"/>
  <c r="I1497"/>
  <c r="I1498"/>
  <c r="I1499"/>
  <c r="I1500"/>
  <c r="I1501"/>
  <c r="I1502"/>
  <c r="I1503"/>
  <c r="I1504"/>
  <c r="I1505"/>
  <c r="I1506"/>
  <c r="I1507"/>
  <c r="I1508"/>
  <c r="I1509"/>
  <c r="I1510"/>
  <c r="I1511"/>
  <c r="I1512"/>
  <c r="I1513"/>
  <c r="I1514"/>
  <c r="I1515"/>
  <c r="I1516"/>
  <c r="I1517"/>
  <c r="I1518"/>
  <c r="I1519"/>
  <c r="I1520"/>
  <c r="I1521"/>
  <c r="I1522"/>
  <c r="I1523"/>
  <c r="I1524"/>
  <c r="I1525"/>
  <c r="I1526"/>
  <c r="I1527"/>
  <c r="I1528"/>
  <c r="I1529"/>
  <c r="I1530"/>
  <c r="I1531"/>
  <c r="I1532"/>
  <c r="I1533"/>
  <c r="I1534"/>
  <c r="I1535"/>
  <c r="I1536"/>
  <c r="I1537"/>
  <c r="I1538"/>
  <c r="I1539"/>
  <c r="I1540"/>
  <c r="I1541"/>
  <c r="I1542"/>
  <c r="I1543"/>
  <c r="I1544"/>
  <c r="I1545"/>
  <c r="I1546"/>
  <c r="I1547"/>
  <c r="I1548"/>
  <c r="I1549"/>
  <c r="I1550"/>
  <c r="I1551"/>
  <c r="I1552"/>
  <c r="I1553"/>
  <c r="I1554"/>
  <c r="I1555"/>
  <c r="I1556"/>
  <c r="I1557"/>
  <c r="I1558"/>
  <c r="I1559"/>
  <c r="I1560"/>
  <c r="I1561"/>
  <c r="I1562"/>
  <c r="I1563"/>
  <c r="I1564"/>
  <c r="I1565"/>
  <c r="I1566"/>
  <c r="I1567"/>
  <c r="I1568"/>
  <c r="I1569"/>
  <c r="I1570"/>
  <c r="I1571"/>
  <c r="I1572"/>
  <c r="I1573"/>
  <c r="I1574"/>
  <c r="I1575"/>
  <c r="I1576"/>
  <c r="I1577"/>
  <c r="I1578"/>
  <c r="I1579"/>
  <c r="I1580"/>
  <c r="I1581"/>
  <c r="I1582"/>
  <c r="I1583"/>
  <c r="I1584"/>
  <c r="I1585"/>
  <c r="I1586"/>
  <c r="I1587"/>
  <c r="I1588"/>
  <c r="I1589"/>
  <c r="I1590"/>
  <c r="I1591"/>
  <c r="I1592"/>
  <c r="I1593"/>
  <c r="I1594"/>
  <c r="I1595"/>
  <c r="I1596"/>
  <c r="I1597"/>
  <c r="I1598"/>
  <c r="I1599"/>
  <c r="I1600"/>
  <c r="I1601"/>
  <c r="I1602"/>
  <c r="I1603"/>
  <c r="I1604"/>
  <c r="I1605"/>
  <c r="I1606"/>
  <c r="I1607"/>
  <c r="I1608"/>
  <c r="I1609"/>
  <c r="I1610"/>
  <c r="I1611"/>
  <c r="I1612"/>
  <c r="I1613"/>
  <c r="I1614"/>
  <c r="I1615"/>
  <c r="I1616"/>
  <c r="I1617"/>
  <c r="I1618"/>
  <c r="I1619"/>
  <c r="I1620"/>
  <c r="I1621"/>
  <c r="I11"/>
  <c r="I1622"/>
  <c r="I1623"/>
  <c r="I1624"/>
  <c r="I1625"/>
  <c r="I1626"/>
  <c r="I1627"/>
  <c r="I1628"/>
  <c r="I1629"/>
  <c r="I1630"/>
  <c r="I1631"/>
  <c r="I1632"/>
  <c r="I1633"/>
  <c r="I1634"/>
  <c r="I1635"/>
  <c r="I1636"/>
  <c r="I1637"/>
  <c r="I1638"/>
  <c r="I1639"/>
  <c r="I1640"/>
  <c r="I1641"/>
  <c r="I1642"/>
  <c r="I1643"/>
  <c r="I1644"/>
  <c r="I1645"/>
  <c r="I1646"/>
  <c r="I1647"/>
  <c r="I1648"/>
  <c r="I1649"/>
  <c r="I1650"/>
  <c r="I1651"/>
  <c r="I1652"/>
  <c r="I1653"/>
  <c r="I1654"/>
  <c r="I1655"/>
  <c r="I1656"/>
  <c r="I1657"/>
  <c r="I1658"/>
  <c r="I1659"/>
  <c r="I1660"/>
  <c r="I1661"/>
  <c r="I1662"/>
  <c r="I1663"/>
  <c r="I1664"/>
  <c r="I1665"/>
  <c r="I1666"/>
  <c r="I1667"/>
  <c r="I1668"/>
  <c r="I1669"/>
  <c r="I1670"/>
  <c r="I1671"/>
  <c r="I1672"/>
  <c r="I1673"/>
  <c r="I1674"/>
  <c r="I1675"/>
  <c r="I1676"/>
  <c r="I1677"/>
  <c r="I1678"/>
  <c r="I1679"/>
  <c r="I1680"/>
  <c r="I1681"/>
  <c r="I1682"/>
  <c r="I1683"/>
  <c r="I1684"/>
  <c r="I1685"/>
  <c r="I1686"/>
  <c r="I1687"/>
  <c r="I1688"/>
  <c r="I1689"/>
  <c r="I1690"/>
  <c r="I1691"/>
  <c r="I1692"/>
  <c r="I1693"/>
  <c r="I1694"/>
  <c r="I1695"/>
  <c r="I1696"/>
  <c r="I1697"/>
  <c r="I1698"/>
  <c r="I1699"/>
  <c r="I1700"/>
  <c r="I1701"/>
  <c r="I1702"/>
  <c r="I1703"/>
  <c r="I1704"/>
  <c r="I1705"/>
  <c r="I1706"/>
  <c r="I1707"/>
  <c r="I1708"/>
  <c r="I1709"/>
  <c r="I1710"/>
  <c r="I1711"/>
  <c r="I1712"/>
  <c r="I1713"/>
  <c r="I1714"/>
  <c r="I1715"/>
  <c r="I1716"/>
  <c r="I1717"/>
  <c r="I1718"/>
  <c r="I1719"/>
  <c r="I1720"/>
  <c r="I1721"/>
  <c r="I1722"/>
  <c r="I1723"/>
  <c r="I1724"/>
  <c r="I1725"/>
  <c r="I1726"/>
  <c r="I1727"/>
  <c r="I1728"/>
  <c r="I1729"/>
  <c r="I1730"/>
  <c r="I1731"/>
  <c r="I7"/>
  <c r="I1732"/>
  <c r="I1733"/>
  <c r="I1734"/>
  <c r="I1735"/>
  <c r="I1736"/>
  <c r="I1737"/>
  <c r="I1738"/>
  <c r="I1739"/>
  <c r="I1740"/>
  <c r="I1741"/>
  <c r="I1742"/>
  <c r="I1743"/>
  <c r="I1744"/>
  <c r="I1745"/>
  <c r="I1746"/>
  <c r="I1747"/>
  <c r="I1748"/>
  <c r="I1749"/>
  <c r="I1750"/>
  <c r="I1751"/>
  <c r="I1752"/>
  <c r="I1753"/>
  <c r="I1754"/>
  <c r="I1755"/>
  <c r="I1756"/>
  <c r="I1757"/>
  <c r="I1758"/>
  <c r="I1759"/>
  <c r="I1760"/>
  <c r="I1761"/>
  <c r="I1762"/>
  <c r="I1763"/>
  <c r="I1764"/>
  <c r="I1765"/>
  <c r="I1766"/>
  <c r="I1767"/>
  <c r="I1768"/>
  <c r="I1769"/>
  <c r="I1770"/>
  <c r="I1771"/>
  <c r="I1772"/>
  <c r="I1773"/>
  <c r="I1774"/>
  <c r="I1775"/>
  <c r="I1776"/>
  <c r="I1777"/>
  <c r="I1778"/>
  <c r="I1779"/>
  <c r="I1780"/>
  <c r="I1781"/>
  <c r="I1782"/>
  <c r="I1783"/>
  <c r="I1784"/>
  <c r="I1785"/>
  <c r="I1786"/>
  <c r="I1787"/>
  <c r="I1788"/>
  <c r="I1789"/>
  <c r="I1790"/>
  <c r="I1791"/>
  <c r="I1792"/>
  <c r="I1793"/>
  <c r="I1794"/>
  <c r="I1795"/>
  <c r="I1796"/>
  <c r="I1797"/>
  <c r="I1798"/>
  <c r="I1799"/>
  <c r="I1800"/>
  <c r="I1801"/>
  <c r="I1802"/>
  <c r="I1803"/>
  <c r="I1804"/>
  <c r="I1805"/>
  <c r="I1806"/>
  <c r="I1807"/>
  <c r="I1808"/>
  <c r="I1809"/>
  <c r="I1810"/>
  <c r="I1811"/>
  <c r="I1812"/>
  <c r="I1813"/>
  <c r="I1814"/>
  <c r="I1815"/>
  <c r="I1816"/>
  <c r="I1817"/>
  <c r="I1818"/>
  <c r="I1819"/>
  <c r="I1820"/>
  <c r="I1821"/>
  <c r="I1822"/>
  <c r="I1823"/>
  <c r="I1824"/>
  <c r="I1825"/>
  <c r="I1826"/>
  <c r="I1827"/>
  <c r="I1828"/>
  <c r="I1829"/>
  <c r="I1830"/>
  <c r="I1831"/>
  <c r="I1832"/>
  <c r="I1833"/>
  <c r="I1834"/>
  <c r="I1835"/>
  <c r="I1836"/>
  <c r="I1837"/>
  <c r="I1838"/>
  <c r="I1839"/>
  <c r="I1840"/>
  <c r="I1841"/>
  <c r="I8"/>
  <c r="I1842"/>
  <c r="I1843"/>
  <c r="I1844"/>
  <c r="I1845"/>
  <c r="I1846"/>
  <c r="I1847"/>
  <c r="I1848"/>
  <c r="I1849"/>
  <c r="I1850"/>
  <c r="I1851"/>
  <c r="I1852"/>
  <c r="I1853"/>
  <c r="I1854"/>
  <c r="I1855"/>
  <c r="I1856"/>
  <c r="I1857"/>
  <c r="I1858"/>
  <c r="I12"/>
  <c r="I1859"/>
  <c r="I1860"/>
  <c r="I1861"/>
  <c r="I1862"/>
  <c r="I1863"/>
  <c r="I1864"/>
  <c r="I1865"/>
  <c r="I1866"/>
  <c r="I1867"/>
  <c r="I1868"/>
  <c r="I1869"/>
  <c r="I1870"/>
  <c r="I1871"/>
  <c r="I1872"/>
  <c r="I1873"/>
  <c r="I1874"/>
  <c r="I1875"/>
  <c r="I1876"/>
  <c r="I1877"/>
  <c r="I1878"/>
  <c r="I1879"/>
  <c r="I1880"/>
  <c r="I1881"/>
  <c r="I1882"/>
  <c r="I1883"/>
  <c r="I1884"/>
  <c r="I1885"/>
  <c r="I1886"/>
  <c r="I1887"/>
  <c r="I1888"/>
  <c r="I1889"/>
  <c r="I1890"/>
  <c r="I1891"/>
  <c r="I1892"/>
  <c r="I1893"/>
  <c r="I1894"/>
  <c r="I1895"/>
  <c r="I1896"/>
  <c r="I1897"/>
  <c r="I1898"/>
  <c r="I1899"/>
  <c r="I1900"/>
  <c r="I1901"/>
  <c r="I1902"/>
  <c r="I1903"/>
  <c r="I1904"/>
  <c r="I1905"/>
  <c r="I1906"/>
  <c r="I1907"/>
  <c r="I1908"/>
  <c r="I1909"/>
  <c r="I1910"/>
  <c r="I1911"/>
  <c r="I1912"/>
  <c r="I1913"/>
  <c r="I1914"/>
  <c r="I1915"/>
  <c r="I1916"/>
  <c r="I1917"/>
  <c r="I1918"/>
  <c r="I1919"/>
  <c r="I1920"/>
  <c r="I1921"/>
  <c r="I1922"/>
  <c r="I1923"/>
  <c r="I1924"/>
  <c r="I1925"/>
  <c r="I1926"/>
  <c r="I1927"/>
  <c r="I1928"/>
  <c r="I1929"/>
  <c r="I16"/>
  <c r="I1930"/>
  <c r="I1931"/>
  <c r="I1932"/>
  <c r="I1933"/>
  <c r="I1934"/>
  <c r="I1935"/>
  <c r="I1936"/>
  <c r="I1937"/>
  <c r="I1938"/>
  <c r="I1939"/>
  <c r="I1940"/>
  <c r="I5"/>
  <c r="I1941"/>
  <c r="I1942"/>
  <c r="I1943"/>
  <c r="I1944"/>
  <c r="I1945"/>
  <c r="I1946"/>
  <c r="I1947"/>
  <c r="I1948"/>
  <c r="I1949"/>
  <c r="I1950"/>
  <c r="I1951"/>
  <c r="I1952"/>
  <c r="I1953"/>
  <c r="I1954"/>
  <c r="I1955"/>
  <c r="I1956"/>
  <c r="I1957"/>
  <c r="I1958"/>
  <c r="I1959"/>
  <c r="I1960"/>
  <c r="I1961"/>
  <c r="I1962"/>
  <c r="I1963"/>
  <c r="I1964"/>
  <c r="I1965"/>
  <c r="I1966"/>
  <c r="I1967"/>
  <c r="I1968"/>
  <c r="I1969"/>
  <c r="I1970"/>
  <c r="I1971"/>
  <c r="I1972"/>
  <c r="I1973"/>
  <c r="I1974"/>
  <c r="I1975"/>
  <c r="I1976"/>
  <c r="I1977"/>
  <c r="I1978"/>
  <c r="I1979"/>
  <c r="I1980"/>
  <c r="I1981"/>
  <c r="I1982"/>
  <c r="I1983"/>
  <c r="I1984"/>
  <c r="I1985"/>
  <c r="I1986"/>
  <c r="I1987"/>
  <c r="I1988"/>
  <c r="I1989"/>
  <c r="I1990"/>
  <c r="I1991"/>
  <c r="I1992"/>
  <c r="I1993"/>
  <c r="I1994"/>
  <c r="I1995"/>
  <c r="I1996"/>
  <c r="I1997"/>
  <c r="I1998"/>
  <c r="I1999"/>
  <c r="I2000"/>
  <c r="I2001"/>
  <c r="I2002"/>
  <c r="I2003"/>
  <c r="I2004"/>
  <c r="I2005"/>
  <c r="I2006"/>
  <c r="I2007"/>
  <c r="I2008"/>
  <c r="I2009"/>
  <c r="I2010"/>
  <c r="I2011"/>
  <c r="I2012"/>
  <c r="I2013"/>
  <c r="I2014"/>
  <c r="I2015"/>
  <c r="I2016"/>
  <c r="I2017"/>
  <c r="I2018"/>
  <c r="I2019"/>
  <c r="I2020"/>
  <c r="I2021"/>
  <c r="I2022"/>
  <c r="I2023"/>
  <c r="I2024"/>
  <c r="I2025"/>
  <c r="I2026"/>
  <c r="I2027"/>
  <c r="I2028"/>
  <c r="I2029"/>
  <c r="I2030"/>
  <c r="I2031"/>
  <c r="I2032"/>
  <c r="I2033"/>
  <c r="I2034"/>
  <c r="I2035"/>
  <c r="I2036"/>
  <c r="I2037"/>
  <c r="I2038"/>
  <c r="I2039"/>
  <c r="I2040"/>
  <c r="I2041"/>
  <c r="I2042"/>
  <c r="I2043"/>
  <c r="I2044"/>
  <c r="I2045"/>
  <c r="I2046"/>
  <c r="I2047"/>
  <c r="I2048"/>
  <c r="I2049"/>
  <c r="I2050"/>
  <c r="I2051"/>
  <c r="I2052"/>
  <c r="I2053"/>
  <c r="I2054"/>
  <c r="I2055"/>
  <c r="I2056"/>
  <c r="I2057"/>
  <c r="I2058"/>
  <c r="I2059"/>
  <c r="I2060"/>
  <c r="I2061"/>
  <c r="I2062"/>
  <c r="I2063"/>
  <c r="I2064"/>
  <c r="I2065"/>
  <c r="I2066"/>
  <c r="I2067"/>
  <c r="I2068"/>
  <c r="I2069"/>
  <c r="I2070"/>
  <c r="I2071"/>
  <c r="I2072"/>
  <c r="I2073"/>
  <c r="I2074"/>
  <c r="I2075"/>
  <c r="I2076"/>
  <c r="I2077"/>
  <c r="I2078"/>
  <c r="I2079"/>
  <c r="I2080"/>
  <c r="I2081"/>
  <c r="I2082"/>
  <c r="I2083"/>
  <c r="I2084"/>
  <c r="I2085"/>
  <c r="I10"/>
  <c r="I2086"/>
  <c r="I2087"/>
  <c r="I2088"/>
  <c r="I2089"/>
  <c r="I2090"/>
  <c r="I2091"/>
  <c r="I2092"/>
  <c r="I2093"/>
  <c r="I2094"/>
  <c r="I2095"/>
  <c r="I2096"/>
  <c r="I2097"/>
  <c r="I2098"/>
  <c r="I2099"/>
  <c r="I2100"/>
  <c r="I2101"/>
  <c r="I2102"/>
  <c r="I2103"/>
  <c r="I2104"/>
  <c r="I2105"/>
  <c r="I2106"/>
  <c r="I2107"/>
  <c r="I2108"/>
  <c r="I2109"/>
  <c r="I2110"/>
  <c r="I2111"/>
  <c r="I2112"/>
  <c r="I2113"/>
  <c r="I2114"/>
  <c r="I2115"/>
  <c r="I2116"/>
  <c r="I2117"/>
  <c r="I2118"/>
  <c r="I2119"/>
  <c r="I2120"/>
  <c r="I2121"/>
  <c r="I2122"/>
  <c r="I2123"/>
  <c r="I2124"/>
  <c r="I2125"/>
  <c r="I2126"/>
  <c r="I2127"/>
  <c r="I2128"/>
  <c r="I2129"/>
  <c r="I2130"/>
  <c r="I2131"/>
  <c r="I2132"/>
  <c r="I2133"/>
  <c r="I2134"/>
  <c r="I2135"/>
  <c r="I2136"/>
  <c r="I2137"/>
  <c r="I2138"/>
  <c r="I2139"/>
  <c r="I2140"/>
  <c r="I2141"/>
  <c r="I2142"/>
  <c r="I2143"/>
  <c r="I2144"/>
  <c r="I2145"/>
  <c r="I2146"/>
  <c r="I2147"/>
  <c r="I2148"/>
  <c r="I2149"/>
  <c r="I2150"/>
  <c r="I2151"/>
  <c r="I2152"/>
  <c r="I2153"/>
  <c r="I2154"/>
  <c r="I2155"/>
  <c r="I2156"/>
  <c r="I2157"/>
  <c r="I2158"/>
  <c r="I2159"/>
  <c r="I2160"/>
  <c r="I2161"/>
  <c r="I2162"/>
  <c r="I2163"/>
  <c r="I2164"/>
  <c r="I2165"/>
  <c r="I2166"/>
  <c r="I2167"/>
  <c r="I2168"/>
  <c r="J47"/>
  <c r="J48"/>
  <c r="J49"/>
  <c r="J50"/>
  <c r="J51"/>
  <c r="J52"/>
  <c r="J53"/>
  <c r="J54"/>
  <c r="J55"/>
  <c r="J56"/>
  <c r="J57"/>
  <c r="J58"/>
  <c r="J59"/>
  <c r="J60"/>
  <c r="J61"/>
  <c r="J62"/>
  <c r="J63"/>
  <c r="J64"/>
  <c r="J65"/>
  <c r="J66"/>
  <c r="J67"/>
  <c r="J68"/>
  <c r="J69"/>
  <c r="J70"/>
  <c r="J71"/>
  <c r="J72"/>
  <c r="J73"/>
  <c r="J74"/>
  <c r="J75"/>
  <c r="J76"/>
  <c r="J9"/>
  <c r="J77"/>
  <c r="J78"/>
  <c r="J79"/>
  <c r="J80"/>
  <c r="J81"/>
  <c r="J15"/>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575"/>
  <c r="J576"/>
  <c r="J577"/>
  <c r="J578"/>
  <c r="J579"/>
  <c r="J580"/>
  <c r="J581"/>
  <c r="J582"/>
  <c r="J583"/>
  <c r="J584"/>
  <c r="J585"/>
  <c r="J586"/>
  <c r="J587"/>
  <c r="J588"/>
  <c r="J589"/>
  <c r="J590"/>
  <c r="J591"/>
  <c r="J592"/>
  <c r="J593"/>
  <c r="J594"/>
  <c r="J595"/>
  <c r="J596"/>
  <c r="J597"/>
  <c r="J598"/>
  <c r="J599"/>
  <c r="J600"/>
  <c r="J601"/>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5"/>
  <c r="J646"/>
  <c r="J647"/>
  <c r="J648"/>
  <c r="J649"/>
  <c r="J650"/>
  <c r="J651"/>
  <c r="J652"/>
  <c r="J653"/>
  <c r="J654"/>
  <c r="J655"/>
  <c r="J656"/>
  <c r="J657"/>
  <c r="J658"/>
  <c r="J659"/>
  <c r="J660"/>
  <c r="J661"/>
  <c r="J662"/>
  <c r="J663"/>
  <c r="J664"/>
  <c r="J665"/>
  <c r="J666"/>
  <c r="J667"/>
  <c r="J668"/>
  <c r="J669"/>
  <c r="J670"/>
  <c r="J671"/>
  <c r="J672"/>
  <c r="J673"/>
  <c r="J674"/>
  <c r="J675"/>
  <c r="J676"/>
  <c r="J677"/>
  <c r="J678"/>
  <c r="J679"/>
  <c r="J680"/>
  <c r="J681"/>
  <c r="J682"/>
  <c r="J683"/>
  <c r="J684"/>
  <c r="J685"/>
  <c r="J686"/>
  <c r="J687"/>
  <c r="J688"/>
  <c r="J689"/>
  <c r="J690"/>
  <c r="J691"/>
  <c r="J692"/>
  <c r="J693"/>
  <c r="J694"/>
  <c r="J695"/>
  <c r="J696"/>
  <c r="J697"/>
  <c r="J698"/>
  <c r="J699"/>
  <c r="J700"/>
  <c r="J701"/>
  <c r="J702"/>
  <c r="J703"/>
  <c r="J704"/>
  <c r="J705"/>
  <c r="J706"/>
  <c r="J707"/>
  <c r="J708"/>
  <c r="J709"/>
  <c r="J710"/>
  <c r="J711"/>
  <c r="J712"/>
  <c r="J713"/>
  <c r="J714"/>
  <c r="J715"/>
  <c r="J716"/>
  <c r="J717"/>
  <c r="J718"/>
  <c r="J719"/>
  <c r="J720"/>
  <c r="J721"/>
  <c r="J722"/>
  <c r="J723"/>
  <c r="J724"/>
  <c r="J725"/>
  <c r="J726"/>
  <c r="J14"/>
  <c r="J727"/>
  <c r="J728"/>
  <c r="J729"/>
  <c r="J730"/>
  <c r="J731"/>
  <c r="J732"/>
  <c r="J733"/>
  <c r="J734"/>
  <c r="J735"/>
  <c r="J736"/>
  <c r="J737"/>
  <c r="J738"/>
  <c r="J739"/>
  <c r="J740"/>
  <c r="J741"/>
  <c r="J742"/>
  <c r="J743"/>
  <c r="J744"/>
  <c r="J745"/>
  <c r="J746"/>
  <c r="J747"/>
  <c r="J748"/>
  <c r="J749"/>
  <c r="J750"/>
  <c r="J751"/>
  <c r="J752"/>
  <c r="J753"/>
  <c r="J754"/>
  <c r="J755"/>
  <c r="J756"/>
  <c r="J757"/>
  <c r="J758"/>
  <c r="J759"/>
  <c r="J760"/>
  <c r="J761"/>
  <c r="J762"/>
  <c r="J763"/>
  <c r="J764"/>
  <c r="J765"/>
  <c r="J766"/>
  <c r="J767"/>
  <c r="J768"/>
  <c r="J769"/>
  <c r="J770"/>
  <c r="J771"/>
  <c r="J772"/>
  <c r="J773"/>
  <c r="J774"/>
  <c r="J775"/>
  <c r="J776"/>
  <c r="J777"/>
  <c r="J778"/>
  <c r="J779"/>
  <c r="J780"/>
  <c r="J781"/>
  <c r="J782"/>
  <c r="J783"/>
  <c r="J784"/>
  <c r="J785"/>
  <c r="J786"/>
  <c r="J787"/>
  <c r="J788"/>
  <c r="J789"/>
  <c r="J790"/>
  <c r="J791"/>
  <c r="J792"/>
  <c r="J793"/>
  <c r="J794"/>
  <c r="J795"/>
  <c r="J796"/>
  <c r="J797"/>
  <c r="J798"/>
  <c r="J799"/>
  <c r="J800"/>
  <c r="J801"/>
  <c r="J802"/>
  <c r="J803"/>
  <c r="J804"/>
  <c r="J805"/>
  <c r="J806"/>
  <c r="J807"/>
  <c r="J808"/>
  <c r="J809"/>
  <c r="J810"/>
  <c r="J811"/>
  <c r="J812"/>
  <c r="J813"/>
  <c r="J814"/>
  <c r="J815"/>
  <c r="J816"/>
  <c r="J817"/>
  <c r="J818"/>
  <c r="J819"/>
  <c r="J820"/>
  <c r="J821"/>
  <c r="J822"/>
  <c r="J823"/>
  <c r="J824"/>
  <c r="J825"/>
  <c r="J826"/>
  <c r="J827"/>
  <c r="J828"/>
  <c r="J829"/>
  <c r="J830"/>
  <c r="J831"/>
  <c r="J832"/>
  <c r="J833"/>
  <c r="J834"/>
  <c r="J835"/>
  <c r="J836"/>
  <c r="J837"/>
  <c r="J838"/>
  <c r="J839"/>
  <c r="J840"/>
  <c r="J841"/>
  <c r="J842"/>
  <c r="J843"/>
  <c r="J844"/>
  <c r="J845"/>
  <c r="J846"/>
  <c r="J847"/>
  <c r="J848"/>
  <c r="J849"/>
  <c r="J850"/>
  <c r="J851"/>
  <c r="J852"/>
  <c r="J853"/>
  <c r="J854"/>
  <c r="J855"/>
  <c r="J856"/>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1"/>
  <c r="J902"/>
  <c r="J903"/>
  <c r="J904"/>
  <c r="J905"/>
  <c r="J906"/>
  <c r="J907"/>
  <c r="J908"/>
  <c r="J909"/>
  <c r="J910"/>
  <c r="J911"/>
  <c r="J912"/>
  <c r="J913"/>
  <c r="J914"/>
  <c r="J915"/>
  <c r="J916"/>
  <c r="J917"/>
  <c r="J918"/>
  <c r="J919"/>
  <c r="J920"/>
  <c r="J921"/>
  <c r="J922"/>
  <c r="J923"/>
  <c r="J924"/>
  <c r="J925"/>
  <c r="J926"/>
  <c r="J927"/>
  <c r="J928"/>
  <c r="J929"/>
  <c r="J930"/>
  <c r="J931"/>
  <c r="J932"/>
  <c r="J933"/>
  <c r="J934"/>
  <c r="J935"/>
  <c r="J936"/>
  <c r="J937"/>
  <c r="J938"/>
  <c r="J939"/>
  <c r="J940"/>
  <c r="J941"/>
  <c r="J942"/>
  <c r="J943"/>
  <c r="J944"/>
  <c r="J945"/>
  <c r="J946"/>
  <c r="J947"/>
  <c r="J948"/>
  <c r="J949"/>
  <c r="J950"/>
  <c r="J951"/>
  <c r="J952"/>
  <c r="J953"/>
  <c r="J954"/>
  <c r="J955"/>
  <c r="J956"/>
  <c r="J957"/>
  <c r="J958"/>
  <c r="J959"/>
  <c r="J960"/>
  <c r="J961"/>
  <c r="J962"/>
  <c r="J963"/>
  <c r="J964"/>
  <c r="J965"/>
  <c r="J966"/>
  <c r="J967"/>
  <c r="J968"/>
  <c r="J969"/>
  <c r="J970"/>
  <c r="J971"/>
  <c r="J972"/>
  <c r="J973"/>
  <c r="J6"/>
  <c r="J974"/>
  <c r="J975"/>
  <c r="J976"/>
  <c r="J977"/>
  <c r="J978"/>
  <c r="J979"/>
  <c r="J980"/>
  <c r="J981"/>
  <c r="J982"/>
  <c r="J983"/>
  <c r="J984"/>
  <c r="J985"/>
  <c r="J986"/>
  <c r="J987"/>
  <c r="J988"/>
  <c r="J989"/>
  <c r="J990"/>
  <c r="J991"/>
  <c r="J992"/>
  <c r="J993"/>
  <c r="J994"/>
  <c r="J995"/>
  <c r="J996"/>
  <c r="J997"/>
  <c r="J998"/>
  <c r="J999"/>
  <c r="J1000"/>
  <c r="J1001"/>
  <c r="J1002"/>
  <c r="J1003"/>
  <c r="J1004"/>
  <c r="J1005"/>
  <c r="J1006"/>
  <c r="J1007"/>
  <c r="J1008"/>
  <c r="J1009"/>
  <c r="J1010"/>
  <c r="J1011"/>
  <c r="J1012"/>
  <c r="J1013"/>
  <c r="J1014"/>
  <c r="J1015"/>
  <c r="J1016"/>
  <c r="J1017"/>
  <c r="J1018"/>
  <c r="J1019"/>
  <c r="J1020"/>
  <c r="J1021"/>
  <c r="J1022"/>
  <c r="J1023"/>
  <c r="J1024"/>
  <c r="J1025"/>
  <c r="J1026"/>
  <c r="J1027"/>
  <c r="J1028"/>
  <c r="J1029"/>
  <c r="J1030"/>
  <c r="J1031"/>
  <c r="J1032"/>
  <c r="J1033"/>
  <c r="J1034"/>
  <c r="J1035"/>
  <c r="J1036"/>
  <c r="J1037"/>
  <c r="J1038"/>
  <c r="J1039"/>
  <c r="J1040"/>
  <c r="J1041"/>
  <c r="J1042"/>
  <c r="J1043"/>
  <c r="J1044"/>
  <c r="J1045"/>
  <c r="J1046"/>
  <c r="J1047"/>
  <c r="J1048"/>
  <c r="J1049"/>
  <c r="J1050"/>
  <c r="J1051"/>
  <c r="J1052"/>
  <c r="J1053"/>
  <c r="J1054"/>
  <c r="J1055"/>
  <c r="J1056"/>
  <c r="J1057"/>
  <c r="J1058"/>
  <c r="J1059"/>
  <c r="J1060"/>
  <c r="J1061"/>
  <c r="J1062"/>
  <c r="J1063"/>
  <c r="J1064"/>
  <c r="J1065"/>
  <c r="J1066"/>
  <c r="J1067"/>
  <c r="J1068"/>
  <c r="J1069"/>
  <c r="J1070"/>
  <c r="J1071"/>
  <c r="J1072"/>
  <c r="J1073"/>
  <c r="J1074"/>
  <c r="J1075"/>
  <c r="J1076"/>
  <c r="J1077"/>
  <c r="J1078"/>
  <c r="J1079"/>
  <c r="J1080"/>
  <c r="J1081"/>
  <c r="J1082"/>
  <c r="J1083"/>
  <c r="J1084"/>
  <c r="J1085"/>
  <c r="J1086"/>
  <c r="J1087"/>
  <c r="J1088"/>
  <c r="J1089"/>
  <c r="J1090"/>
  <c r="J1091"/>
  <c r="J1092"/>
  <c r="J1093"/>
  <c r="J1094"/>
  <c r="J1095"/>
  <c r="J1096"/>
  <c r="J1097"/>
  <c r="J1098"/>
  <c r="J1099"/>
  <c r="J1100"/>
  <c r="J1101"/>
  <c r="J1102"/>
  <c r="J1103"/>
  <c r="J1104"/>
  <c r="J1105"/>
  <c r="J1106"/>
  <c r="J1107"/>
  <c r="J1108"/>
  <c r="J1109"/>
  <c r="J1110"/>
  <c r="J1111"/>
  <c r="J1112"/>
  <c r="J1113"/>
  <c r="J1114"/>
  <c r="J1115"/>
  <c r="J1116"/>
  <c r="J1117"/>
  <c r="J1118"/>
  <c r="J1119"/>
  <c r="J1120"/>
  <c r="J1121"/>
  <c r="J1122"/>
  <c r="J1123"/>
  <c r="J1124"/>
  <c r="J1125"/>
  <c r="J1126"/>
  <c r="J1127"/>
  <c r="J1128"/>
  <c r="J1129"/>
  <c r="J1130"/>
  <c r="J1131"/>
  <c r="J1132"/>
  <c r="J1133"/>
  <c r="J1134"/>
  <c r="J1135"/>
  <c r="J1136"/>
  <c r="J1137"/>
  <c r="J1138"/>
  <c r="J1139"/>
  <c r="J1140"/>
  <c r="J1141"/>
  <c r="J1142"/>
  <c r="J1143"/>
  <c r="J1144"/>
  <c r="J1145"/>
  <c r="J1146"/>
  <c r="J1147"/>
  <c r="J1148"/>
  <c r="J1149"/>
  <c r="J1150"/>
  <c r="J1151"/>
  <c r="J1152"/>
  <c r="J1153"/>
  <c r="J1154"/>
  <c r="J1155"/>
  <c r="J1156"/>
  <c r="J1157"/>
  <c r="J1158"/>
  <c r="J1159"/>
  <c r="J1160"/>
  <c r="J1161"/>
  <c r="J1162"/>
  <c r="J1163"/>
  <c r="J1164"/>
  <c r="J1165"/>
  <c r="J1166"/>
  <c r="J1167"/>
  <c r="J1168"/>
  <c r="J1169"/>
  <c r="J1170"/>
  <c r="J1171"/>
  <c r="J1172"/>
  <c r="J1173"/>
  <c r="J1174"/>
  <c r="J1175"/>
  <c r="J1176"/>
  <c r="J1177"/>
  <c r="J1178"/>
  <c r="J1179"/>
  <c r="J1180"/>
  <c r="J1181"/>
  <c r="J1182"/>
  <c r="J1183"/>
  <c r="J1184"/>
  <c r="J1185"/>
  <c r="J1186"/>
  <c r="J1187"/>
  <c r="J1188"/>
  <c r="J1189"/>
  <c r="J1190"/>
  <c r="J1191"/>
  <c r="J1192"/>
  <c r="J1193"/>
  <c r="J1194"/>
  <c r="J1195"/>
  <c r="J1196"/>
  <c r="J1197"/>
  <c r="J1198"/>
  <c r="J1199"/>
  <c r="J1200"/>
  <c r="J1201"/>
  <c r="J1202"/>
  <c r="J1203"/>
  <c r="J1204"/>
  <c r="J1205"/>
  <c r="J1206"/>
  <c r="J1207"/>
  <c r="J1208"/>
  <c r="J1209"/>
  <c r="J1210"/>
  <c r="J1211"/>
  <c r="J1212"/>
  <c r="J1213"/>
  <c r="J1214"/>
  <c r="J1215"/>
  <c r="J1216"/>
  <c r="J1217"/>
  <c r="J1218"/>
  <c r="J1219"/>
  <c r="J1220"/>
  <c r="J1221"/>
  <c r="J1222"/>
  <c r="J1223"/>
  <c r="J1224"/>
  <c r="J1225"/>
  <c r="J1226"/>
  <c r="J1227"/>
  <c r="J1228"/>
  <c r="J1229"/>
  <c r="J1230"/>
  <c r="J1231"/>
  <c r="J1232"/>
  <c r="J1233"/>
  <c r="J1234"/>
  <c r="J1235"/>
  <c r="J1236"/>
  <c r="J1237"/>
  <c r="J1238"/>
  <c r="J1239"/>
  <c r="J1240"/>
  <c r="J1241"/>
  <c r="J1242"/>
  <c r="J1243"/>
  <c r="J1244"/>
  <c r="J1245"/>
  <c r="J1246"/>
  <c r="J1247"/>
  <c r="J1248"/>
  <c r="J1249"/>
  <c r="J1250"/>
  <c r="J1251"/>
  <c r="J1252"/>
  <c r="J1253"/>
  <c r="J1254"/>
  <c r="J1255"/>
  <c r="J1256"/>
  <c r="J1257"/>
  <c r="J1258"/>
  <c r="J1259"/>
  <c r="J1260"/>
  <c r="J1261"/>
  <c r="J1262"/>
  <c r="J1263"/>
  <c r="J1264"/>
  <c r="J1265"/>
  <c r="J1266"/>
  <c r="J1267"/>
  <c r="J1268"/>
  <c r="J1269"/>
  <c r="J1270"/>
  <c r="J1271"/>
  <c r="J1272"/>
  <c r="J17"/>
  <c r="J1273"/>
  <c r="J1274"/>
  <c r="J1275"/>
  <c r="J1276"/>
  <c r="J1277"/>
  <c r="J1278"/>
  <c r="J1279"/>
  <c r="J1280"/>
  <c r="J1281"/>
  <c r="J1282"/>
  <c r="J1283"/>
  <c r="J1284"/>
  <c r="J1285"/>
  <c r="J1286"/>
  <c r="J1287"/>
  <c r="J1288"/>
  <c r="J1289"/>
  <c r="J1290"/>
  <c r="J1291"/>
  <c r="J1292"/>
  <c r="J1293"/>
  <c r="J1294"/>
  <c r="J1295"/>
  <c r="J1296"/>
  <c r="J1297"/>
  <c r="J1298"/>
  <c r="J1299"/>
  <c r="J1300"/>
  <c r="J1301"/>
  <c r="J1302"/>
  <c r="J1303"/>
  <c r="J1304"/>
  <c r="J1305"/>
  <c r="J1306"/>
  <c r="J1307"/>
  <c r="J1308"/>
  <c r="J1309"/>
  <c r="J1310"/>
  <c r="J1311"/>
  <c r="J1312"/>
  <c r="J1313"/>
  <c r="J1314"/>
  <c r="J1315"/>
  <c r="J1316"/>
  <c r="J1317"/>
  <c r="J1318"/>
  <c r="J1319"/>
  <c r="J1320"/>
  <c r="J1321"/>
  <c r="J1322"/>
  <c r="J1323"/>
  <c r="J1324"/>
  <c r="J1325"/>
  <c r="J1326"/>
  <c r="J1327"/>
  <c r="J1328"/>
  <c r="J1329"/>
  <c r="J1330"/>
  <c r="J1331"/>
  <c r="J1332"/>
  <c r="J1333"/>
  <c r="J1334"/>
  <c r="J1335"/>
  <c r="J1336"/>
  <c r="J1337"/>
  <c r="J1338"/>
  <c r="J1339"/>
  <c r="J1340"/>
  <c r="J1341"/>
  <c r="J1342"/>
  <c r="J1343"/>
  <c r="J1344"/>
  <c r="J1345"/>
  <c r="J1346"/>
  <c r="J1347"/>
  <c r="J1348"/>
  <c r="J1349"/>
  <c r="J1350"/>
  <c r="J1351"/>
  <c r="J1352"/>
  <c r="J1353"/>
  <c r="J1354"/>
  <c r="J1355"/>
  <c r="J1356"/>
  <c r="J1357"/>
  <c r="J1358"/>
  <c r="J1359"/>
  <c r="J1360"/>
  <c r="J1361"/>
  <c r="J1362"/>
  <c r="J1363"/>
  <c r="J1364"/>
  <c r="J1365"/>
  <c r="J1366"/>
  <c r="J1367"/>
  <c r="J1368"/>
  <c r="J1369"/>
  <c r="J1370"/>
  <c r="J1371"/>
  <c r="J1372"/>
  <c r="J1373"/>
  <c r="J1374"/>
  <c r="J1375"/>
  <c r="J1376"/>
  <c r="J1377"/>
  <c r="J1378"/>
  <c r="J1379"/>
  <c r="J1380"/>
  <c r="J1381"/>
  <c r="J1382"/>
  <c r="J1383"/>
  <c r="J1384"/>
  <c r="J1385"/>
  <c r="J1386"/>
  <c r="J1387"/>
  <c r="J1388"/>
  <c r="J1389"/>
  <c r="J1390"/>
  <c r="J1391"/>
  <c r="J1392"/>
  <c r="J1393"/>
  <c r="J1394"/>
  <c r="J1395"/>
  <c r="J1396"/>
  <c r="J1397"/>
  <c r="J1398"/>
  <c r="J1399"/>
  <c r="J1400"/>
  <c r="J1401"/>
  <c r="J1402"/>
  <c r="J1403"/>
  <c r="J1404"/>
  <c r="J1405"/>
  <c r="J1406"/>
  <c r="J1407"/>
  <c r="J1408"/>
  <c r="J1409"/>
  <c r="J1410"/>
  <c r="J1411"/>
  <c r="J1412"/>
  <c r="J1413"/>
  <c r="J1414"/>
  <c r="J1415"/>
  <c r="J1416"/>
  <c r="J1417"/>
  <c r="J1418"/>
  <c r="J1419"/>
  <c r="J1420"/>
  <c r="J1421"/>
  <c r="J1422"/>
  <c r="J1423"/>
  <c r="J1424"/>
  <c r="J1425"/>
  <c r="J1426"/>
  <c r="J1427"/>
  <c r="J1428"/>
  <c r="J1429"/>
  <c r="J1430"/>
  <c r="J1431"/>
  <c r="J1432"/>
  <c r="J1433"/>
  <c r="J1434"/>
  <c r="J1435"/>
  <c r="J1436"/>
  <c r="J1437"/>
  <c r="J1438"/>
  <c r="J1439"/>
  <c r="J1440"/>
  <c r="J1441"/>
  <c r="J1442"/>
  <c r="J1443"/>
  <c r="J1444"/>
  <c r="J1445"/>
  <c r="J1446"/>
  <c r="J1447"/>
  <c r="J1448"/>
  <c r="J1449"/>
  <c r="J1450"/>
  <c r="J1451"/>
  <c r="J1452"/>
  <c r="J1453"/>
  <c r="J1454"/>
  <c r="J1455"/>
  <c r="J1456"/>
  <c r="J1457"/>
  <c r="J1458"/>
  <c r="J1459"/>
  <c r="J1460"/>
  <c r="J1461"/>
  <c r="J1462"/>
  <c r="J1463"/>
  <c r="J1464"/>
  <c r="J1465"/>
  <c r="J1466"/>
  <c r="J1467"/>
  <c r="J1468"/>
  <c r="J1469"/>
  <c r="J1470"/>
  <c r="J1471"/>
  <c r="J1472"/>
  <c r="J1473"/>
  <c r="J1474"/>
  <c r="J1475"/>
  <c r="J1476"/>
  <c r="J1477"/>
  <c r="J1478"/>
  <c r="J1479"/>
  <c r="J1480"/>
  <c r="J1481"/>
  <c r="J1482"/>
  <c r="J1483"/>
  <c r="J1484"/>
  <c r="J1485"/>
  <c r="J1486"/>
  <c r="J1487"/>
  <c r="J1488"/>
  <c r="J1489"/>
  <c r="J1490"/>
  <c r="J1491"/>
  <c r="J1492"/>
  <c r="J1493"/>
  <c r="J1494"/>
  <c r="J1495"/>
  <c r="J1496"/>
  <c r="J1497"/>
  <c r="J1498"/>
  <c r="J1499"/>
  <c r="J1500"/>
  <c r="J1501"/>
  <c r="J1502"/>
  <c r="J1503"/>
  <c r="J1504"/>
  <c r="J1505"/>
  <c r="J1506"/>
  <c r="J1507"/>
  <c r="J1508"/>
  <c r="J1509"/>
  <c r="J1510"/>
  <c r="J1511"/>
  <c r="J1512"/>
  <c r="J1513"/>
  <c r="J1514"/>
  <c r="J1515"/>
  <c r="J1516"/>
  <c r="J1517"/>
  <c r="J1518"/>
  <c r="J1519"/>
  <c r="J1520"/>
  <c r="J1521"/>
  <c r="J1522"/>
  <c r="J1523"/>
  <c r="J1524"/>
  <c r="J1525"/>
  <c r="J1526"/>
  <c r="J1527"/>
  <c r="J1528"/>
  <c r="J1529"/>
  <c r="J1530"/>
  <c r="J1531"/>
  <c r="J1532"/>
  <c r="J1533"/>
  <c r="J1534"/>
  <c r="J1535"/>
  <c r="J1536"/>
  <c r="J1537"/>
  <c r="J1538"/>
  <c r="J1539"/>
  <c r="J1540"/>
  <c r="J1541"/>
  <c r="J1542"/>
  <c r="J1543"/>
  <c r="J1544"/>
  <c r="J1545"/>
  <c r="J1546"/>
  <c r="J1547"/>
  <c r="J1548"/>
  <c r="J1549"/>
  <c r="J1550"/>
  <c r="J1551"/>
  <c r="J1552"/>
  <c r="J1553"/>
  <c r="J1554"/>
  <c r="J1555"/>
  <c r="J1556"/>
  <c r="J1557"/>
  <c r="J1558"/>
  <c r="J1559"/>
  <c r="J1560"/>
  <c r="J1561"/>
  <c r="J1562"/>
  <c r="J1563"/>
  <c r="J1564"/>
  <c r="J1565"/>
  <c r="J1566"/>
  <c r="J1567"/>
  <c r="J1568"/>
  <c r="J1569"/>
  <c r="J1570"/>
  <c r="J1571"/>
  <c r="J1572"/>
  <c r="J1573"/>
  <c r="J1574"/>
  <c r="J1575"/>
  <c r="J1576"/>
  <c r="J1577"/>
  <c r="J1578"/>
  <c r="J1579"/>
  <c r="J1580"/>
  <c r="J1581"/>
  <c r="J1582"/>
  <c r="J1583"/>
  <c r="J1584"/>
  <c r="J1585"/>
  <c r="J1586"/>
  <c r="J1587"/>
  <c r="J1588"/>
  <c r="J1589"/>
  <c r="J1590"/>
  <c r="J1591"/>
  <c r="J1592"/>
  <c r="J1593"/>
  <c r="J1594"/>
  <c r="J1595"/>
  <c r="J1596"/>
  <c r="J1597"/>
  <c r="J1598"/>
  <c r="J1599"/>
  <c r="J1600"/>
  <c r="J1601"/>
  <c r="J1602"/>
  <c r="J1603"/>
  <c r="J1604"/>
  <c r="J1605"/>
  <c r="J1606"/>
  <c r="J1607"/>
  <c r="J1608"/>
  <c r="J1609"/>
  <c r="J1610"/>
  <c r="J1611"/>
  <c r="J1612"/>
  <c r="J1613"/>
  <c r="J1614"/>
  <c r="J1615"/>
  <c r="J1616"/>
  <c r="J1617"/>
  <c r="J1618"/>
  <c r="J1619"/>
  <c r="J1620"/>
  <c r="J1621"/>
  <c r="J11"/>
  <c r="J1622"/>
  <c r="J1623"/>
  <c r="J1624"/>
  <c r="J1625"/>
  <c r="J1626"/>
  <c r="J1627"/>
  <c r="J1628"/>
  <c r="J1629"/>
  <c r="J1630"/>
  <c r="J1631"/>
  <c r="J1632"/>
  <c r="J1633"/>
  <c r="J1634"/>
  <c r="J1635"/>
  <c r="J1636"/>
  <c r="J1637"/>
  <c r="J1638"/>
  <c r="J1639"/>
  <c r="J1640"/>
  <c r="J1641"/>
  <c r="J1642"/>
  <c r="J1643"/>
  <c r="J1644"/>
  <c r="J1645"/>
  <c r="J1646"/>
  <c r="J1647"/>
  <c r="J1648"/>
  <c r="J1649"/>
  <c r="J1650"/>
  <c r="J1651"/>
  <c r="J1652"/>
  <c r="J1653"/>
  <c r="J1654"/>
  <c r="J1655"/>
  <c r="J1656"/>
  <c r="J1657"/>
  <c r="J1658"/>
  <c r="J1659"/>
  <c r="J1660"/>
  <c r="J1661"/>
  <c r="J1662"/>
  <c r="J1663"/>
  <c r="J1664"/>
  <c r="J1665"/>
  <c r="J1666"/>
  <c r="J1667"/>
  <c r="J1668"/>
  <c r="J1669"/>
  <c r="J1670"/>
  <c r="J1671"/>
  <c r="J1672"/>
  <c r="J1673"/>
  <c r="J1674"/>
  <c r="J1675"/>
  <c r="J1676"/>
  <c r="J1677"/>
  <c r="J1678"/>
  <c r="J1679"/>
  <c r="J1680"/>
  <c r="J1681"/>
  <c r="J1682"/>
  <c r="J1683"/>
  <c r="J1684"/>
  <c r="J1685"/>
  <c r="J1686"/>
  <c r="J1687"/>
  <c r="J1688"/>
  <c r="J1689"/>
  <c r="J1690"/>
  <c r="J1691"/>
  <c r="J1692"/>
  <c r="J1693"/>
  <c r="J1694"/>
  <c r="J1695"/>
  <c r="J1696"/>
  <c r="J1697"/>
  <c r="J1698"/>
  <c r="J1699"/>
  <c r="J1700"/>
  <c r="J1701"/>
  <c r="J1702"/>
  <c r="J1703"/>
  <c r="J1704"/>
  <c r="J1705"/>
  <c r="J1706"/>
  <c r="J1707"/>
  <c r="J1708"/>
  <c r="J1709"/>
  <c r="J1710"/>
  <c r="J1711"/>
  <c r="J1712"/>
  <c r="J1713"/>
  <c r="J1714"/>
  <c r="J1715"/>
  <c r="J1716"/>
  <c r="J1717"/>
  <c r="J1718"/>
  <c r="J1719"/>
  <c r="J1720"/>
  <c r="J1721"/>
  <c r="J1722"/>
  <c r="J1723"/>
  <c r="J1724"/>
  <c r="J1725"/>
  <c r="J1726"/>
  <c r="J1727"/>
  <c r="J1728"/>
  <c r="J1729"/>
  <c r="J1730"/>
  <c r="J1731"/>
  <c r="J7"/>
  <c r="J1732"/>
  <c r="J1733"/>
  <c r="J1734"/>
  <c r="J1735"/>
  <c r="J1736"/>
  <c r="J1737"/>
  <c r="J1738"/>
  <c r="J1739"/>
  <c r="J1740"/>
  <c r="J1741"/>
  <c r="J1742"/>
  <c r="J1743"/>
  <c r="J1744"/>
  <c r="J1745"/>
  <c r="J1746"/>
  <c r="J1747"/>
  <c r="J1748"/>
  <c r="J1749"/>
  <c r="J1750"/>
  <c r="J1751"/>
  <c r="J1752"/>
  <c r="J1753"/>
  <c r="J1754"/>
  <c r="J1755"/>
  <c r="J1756"/>
  <c r="J1757"/>
  <c r="J1758"/>
  <c r="J1759"/>
  <c r="J1760"/>
  <c r="J1761"/>
  <c r="J1762"/>
  <c r="J1763"/>
  <c r="J1764"/>
  <c r="J1765"/>
  <c r="J1766"/>
  <c r="J1767"/>
  <c r="J1768"/>
  <c r="J1769"/>
  <c r="J1770"/>
  <c r="J1771"/>
  <c r="J1772"/>
  <c r="J1773"/>
  <c r="J1774"/>
  <c r="J1775"/>
  <c r="J1776"/>
  <c r="J1777"/>
  <c r="J1778"/>
  <c r="J1779"/>
  <c r="J1780"/>
  <c r="J1781"/>
  <c r="J1782"/>
  <c r="J1783"/>
  <c r="J1784"/>
  <c r="J1785"/>
  <c r="J1786"/>
  <c r="J1787"/>
  <c r="J1788"/>
  <c r="J1789"/>
  <c r="J1790"/>
  <c r="J1791"/>
  <c r="J1792"/>
  <c r="J1793"/>
  <c r="J1794"/>
  <c r="J1795"/>
  <c r="J1796"/>
  <c r="J1797"/>
  <c r="J1798"/>
  <c r="J1799"/>
  <c r="J1800"/>
  <c r="J1801"/>
  <c r="J1802"/>
  <c r="J1803"/>
  <c r="J1804"/>
  <c r="J1805"/>
  <c r="J1806"/>
  <c r="J1807"/>
  <c r="J1808"/>
  <c r="J1809"/>
  <c r="J1810"/>
  <c r="J1811"/>
  <c r="J1812"/>
  <c r="J1813"/>
  <c r="J1814"/>
  <c r="J1815"/>
  <c r="J1816"/>
  <c r="J1817"/>
  <c r="J1818"/>
  <c r="J1819"/>
  <c r="J1820"/>
  <c r="J1821"/>
  <c r="J1822"/>
  <c r="J1823"/>
  <c r="J1824"/>
  <c r="J1825"/>
  <c r="J1826"/>
  <c r="J1827"/>
  <c r="J1828"/>
  <c r="J1829"/>
  <c r="J1830"/>
  <c r="J1831"/>
  <c r="J1832"/>
  <c r="J1833"/>
  <c r="J1834"/>
  <c r="J1835"/>
  <c r="J1836"/>
  <c r="J1837"/>
  <c r="J1838"/>
  <c r="J1839"/>
  <c r="J1840"/>
  <c r="J1841"/>
  <c r="J8"/>
  <c r="J1842"/>
  <c r="J1843"/>
  <c r="J1844"/>
  <c r="J1845"/>
  <c r="J1846"/>
  <c r="J1847"/>
  <c r="J1848"/>
  <c r="J1849"/>
  <c r="J1850"/>
  <c r="J1851"/>
  <c r="J1852"/>
  <c r="J1853"/>
  <c r="J1854"/>
  <c r="J1855"/>
  <c r="J1856"/>
  <c r="J1857"/>
  <c r="J1858"/>
  <c r="J12"/>
  <c r="J1859"/>
  <c r="J1860"/>
  <c r="J1861"/>
  <c r="J1862"/>
  <c r="J1863"/>
  <c r="J1864"/>
  <c r="J1865"/>
  <c r="J1866"/>
  <c r="J1867"/>
  <c r="J1868"/>
  <c r="J1869"/>
  <c r="J1870"/>
  <c r="J1871"/>
  <c r="J1872"/>
  <c r="J1873"/>
  <c r="J1874"/>
  <c r="J1875"/>
  <c r="J1876"/>
  <c r="J1877"/>
  <c r="J1878"/>
  <c r="J1879"/>
  <c r="J1880"/>
  <c r="J1881"/>
  <c r="J1882"/>
  <c r="J1883"/>
  <c r="J1884"/>
  <c r="J1885"/>
  <c r="J1886"/>
  <c r="J1887"/>
  <c r="J1888"/>
  <c r="J1889"/>
  <c r="J1890"/>
  <c r="J1891"/>
  <c r="J1892"/>
  <c r="J1893"/>
  <c r="J1894"/>
  <c r="J1895"/>
  <c r="J1896"/>
  <c r="J1897"/>
  <c r="J1898"/>
  <c r="J1899"/>
  <c r="J1900"/>
  <c r="J1901"/>
  <c r="J1902"/>
  <c r="J1903"/>
  <c r="J1904"/>
  <c r="J1905"/>
  <c r="J1906"/>
  <c r="J1907"/>
  <c r="J1908"/>
  <c r="J1909"/>
  <c r="J1910"/>
  <c r="J1911"/>
  <c r="J1912"/>
  <c r="J1913"/>
  <c r="J1914"/>
  <c r="J1915"/>
  <c r="J1916"/>
  <c r="J1917"/>
  <c r="J1918"/>
  <c r="J1919"/>
  <c r="J1920"/>
  <c r="J1921"/>
  <c r="J1922"/>
  <c r="J1923"/>
  <c r="J1924"/>
  <c r="J1925"/>
  <c r="J1926"/>
  <c r="J1927"/>
  <c r="J1928"/>
  <c r="J1929"/>
  <c r="J16"/>
  <c r="J1930"/>
  <c r="J1931"/>
  <c r="J1932"/>
  <c r="J1933"/>
  <c r="J1934"/>
  <c r="J1935"/>
  <c r="J1936"/>
  <c r="J1937"/>
  <c r="J1938"/>
  <c r="J1939"/>
  <c r="J1940"/>
  <c r="J5"/>
  <c r="J1941"/>
  <c r="J1942"/>
  <c r="J1943"/>
  <c r="J1944"/>
  <c r="J1945"/>
  <c r="J1946"/>
  <c r="J1947"/>
  <c r="J1948"/>
  <c r="J1949"/>
  <c r="J1950"/>
  <c r="J1951"/>
  <c r="J1952"/>
  <c r="J1953"/>
  <c r="J1954"/>
  <c r="J1955"/>
  <c r="J1956"/>
  <c r="J1957"/>
  <c r="J1958"/>
  <c r="J1959"/>
  <c r="J1960"/>
  <c r="J1961"/>
  <c r="J1962"/>
  <c r="J1963"/>
  <c r="J1964"/>
  <c r="J1965"/>
  <c r="J1966"/>
  <c r="J1967"/>
  <c r="J1968"/>
  <c r="J1969"/>
  <c r="J1970"/>
  <c r="J1971"/>
  <c r="J1972"/>
  <c r="J1973"/>
  <c r="J1974"/>
  <c r="J1975"/>
  <c r="J1976"/>
  <c r="J1977"/>
  <c r="J1978"/>
  <c r="J1979"/>
  <c r="J1980"/>
  <c r="J1981"/>
  <c r="J1982"/>
  <c r="J1983"/>
  <c r="J1984"/>
  <c r="J1985"/>
  <c r="J1986"/>
  <c r="J1987"/>
  <c r="J1988"/>
  <c r="J1989"/>
  <c r="J1990"/>
  <c r="J1991"/>
  <c r="J1992"/>
  <c r="J1993"/>
  <c r="J1994"/>
  <c r="J1995"/>
  <c r="J1996"/>
  <c r="J1997"/>
  <c r="J1998"/>
  <c r="J1999"/>
  <c r="J2000"/>
  <c r="J2001"/>
  <c r="J2002"/>
  <c r="J2003"/>
  <c r="J2004"/>
  <c r="J2005"/>
  <c r="J2006"/>
  <c r="J2007"/>
  <c r="J2008"/>
  <c r="J2009"/>
  <c r="J2010"/>
  <c r="J2011"/>
  <c r="J2012"/>
  <c r="J2013"/>
  <c r="J2014"/>
  <c r="J2015"/>
  <c r="J2016"/>
  <c r="J2017"/>
  <c r="J2018"/>
  <c r="J2019"/>
  <c r="J2020"/>
  <c r="J2021"/>
  <c r="J2022"/>
  <c r="J2023"/>
  <c r="J2024"/>
  <c r="J2025"/>
  <c r="J2026"/>
  <c r="J2027"/>
  <c r="J2028"/>
  <c r="J2029"/>
  <c r="J2030"/>
  <c r="J2031"/>
  <c r="J2032"/>
  <c r="J2033"/>
  <c r="J2034"/>
  <c r="J2035"/>
  <c r="J2036"/>
  <c r="J2037"/>
  <c r="J2038"/>
  <c r="J2039"/>
  <c r="J2040"/>
  <c r="J2041"/>
  <c r="J2042"/>
  <c r="J2043"/>
  <c r="J2044"/>
  <c r="J2045"/>
  <c r="J2046"/>
  <c r="J2047"/>
  <c r="J2048"/>
  <c r="J2049"/>
  <c r="J2050"/>
  <c r="J2051"/>
  <c r="J2052"/>
  <c r="J2053"/>
  <c r="J2054"/>
  <c r="J2055"/>
  <c r="J2056"/>
  <c r="J2057"/>
  <c r="J2058"/>
  <c r="J2059"/>
  <c r="J2060"/>
  <c r="J2061"/>
  <c r="J2062"/>
  <c r="J2063"/>
  <c r="J2064"/>
  <c r="J2065"/>
  <c r="J2066"/>
  <c r="J2067"/>
  <c r="J2068"/>
  <c r="J2069"/>
  <c r="J2070"/>
  <c r="J2071"/>
  <c r="J2072"/>
  <c r="J2073"/>
  <c r="J2074"/>
  <c r="J2075"/>
  <c r="J2076"/>
  <c r="J2077"/>
  <c r="J2078"/>
  <c r="J2079"/>
  <c r="J2080"/>
  <c r="J2081"/>
  <c r="J2082"/>
  <c r="J2083"/>
  <c r="J2084"/>
  <c r="J2085"/>
  <c r="J10"/>
  <c r="J2086"/>
  <c r="J2087"/>
  <c r="J2088"/>
  <c r="J2089"/>
  <c r="J2090"/>
  <c r="J2091"/>
  <c r="J2092"/>
  <c r="J2093"/>
  <c r="J2094"/>
  <c r="J2095"/>
  <c r="J2096"/>
  <c r="J2097"/>
  <c r="J2098"/>
  <c r="J2099"/>
  <c r="J2100"/>
  <c r="J2101"/>
  <c r="J2102"/>
  <c r="J2103"/>
  <c r="J2104"/>
  <c r="J2105"/>
  <c r="J2106"/>
  <c r="J2107"/>
  <c r="J2108"/>
  <c r="J2109"/>
  <c r="J2110"/>
  <c r="J2111"/>
  <c r="J2112"/>
  <c r="J2113"/>
  <c r="J2114"/>
  <c r="J2115"/>
  <c r="J2116"/>
  <c r="J2117"/>
  <c r="J2118"/>
  <c r="J2119"/>
  <c r="J2120"/>
  <c r="J2121"/>
  <c r="J2122"/>
  <c r="J2123"/>
  <c r="J2124"/>
  <c r="J2125"/>
  <c r="J2126"/>
  <c r="J2127"/>
  <c r="J2128"/>
  <c r="J2129"/>
  <c r="J2130"/>
  <c r="J2131"/>
  <c r="J2132"/>
  <c r="J2133"/>
  <c r="J2134"/>
  <c r="J2135"/>
  <c r="J2136"/>
  <c r="J2137"/>
  <c r="J2138"/>
  <c r="J2139"/>
  <c r="J2140"/>
  <c r="J2141"/>
  <c r="J2142"/>
  <c r="J2143"/>
  <c r="J2144"/>
  <c r="J2145"/>
  <c r="J2146"/>
  <c r="J2147"/>
  <c r="J2148"/>
  <c r="J2149"/>
  <c r="J2150"/>
  <c r="J2151"/>
  <c r="J2152"/>
  <c r="J2153"/>
  <c r="J2154"/>
  <c r="J2155"/>
  <c r="J2156"/>
  <c r="J2157"/>
  <c r="J2158"/>
  <c r="J2159"/>
  <c r="J2160"/>
  <c r="J2161"/>
  <c r="J2162"/>
  <c r="J2163"/>
  <c r="J2164"/>
  <c r="J2165"/>
  <c r="J2166"/>
  <c r="J2167"/>
  <c r="J2168"/>
  <c r="S47"/>
  <c r="S48"/>
  <c r="S49"/>
  <c r="S50"/>
  <c r="S51"/>
  <c r="S52"/>
  <c r="S53"/>
  <c r="S54"/>
  <c r="S55"/>
  <c r="S56"/>
  <c r="S57"/>
  <c r="S58"/>
  <c r="S59"/>
  <c r="S60"/>
  <c r="S61"/>
  <c r="S62"/>
  <c r="S63"/>
  <c r="S64"/>
  <c r="S65"/>
  <c r="S66"/>
  <c r="S67"/>
  <c r="S68"/>
  <c r="S69"/>
  <c r="S70"/>
  <c r="S71"/>
  <c r="S72"/>
  <c r="S73"/>
  <c r="S74"/>
  <c r="S75"/>
  <c r="S76"/>
  <c r="S9"/>
  <c r="S77"/>
  <c r="S78"/>
  <c r="S79"/>
  <c r="S80"/>
  <c r="S81"/>
  <c r="S15"/>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Z352" s="1"/>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Z491" s="1"/>
  <c r="S492"/>
  <c r="S493"/>
  <c r="S494"/>
  <c r="S495"/>
  <c r="S496"/>
  <c r="S497"/>
  <c r="S498"/>
  <c r="S499"/>
  <c r="S500"/>
  <c r="S501"/>
  <c r="S502"/>
  <c r="S503"/>
  <c r="S504"/>
  <c r="S505"/>
  <c r="S506"/>
  <c r="S507"/>
  <c r="S508"/>
  <c r="S509"/>
  <c r="S510"/>
  <c r="S511"/>
  <c r="S512"/>
  <c r="S513"/>
  <c r="S514"/>
  <c r="S515"/>
  <c r="S516"/>
  <c r="S517"/>
  <c r="S518"/>
  <c r="S519"/>
  <c r="S520"/>
  <c r="S521"/>
  <c r="S522"/>
  <c r="S523"/>
  <c r="S524"/>
  <c r="S525"/>
  <c r="S526"/>
  <c r="S527"/>
  <c r="S528"/>
  <c r="S529"/>
  <c r="S530"/>
  <c r="S531"/>
  <c r="S532"/>
  <c r="S533"/>
  <c r="S534"/>
  <c r="S535"/>
  <c r="S536"/>
  <c r="S537"/>
  <c r="S538"/>
  <c r="S539"/>
  <c r="S540"/>
  <c r="S541"/>
  <c r="S542"/>
  <c r="S543"/>
  <c r="S544"/>
  <c r="S545"/>
  <c r="S546"/>
  <c r="S547"/>
  <c r="S548"/>
  <c r="S549"/>
  <c r="S550"/>
  <c r="S551"/>
  <c r="S552"/>
  <c r="S553"/>
  <c r="S554"/>
  <c r="S555"/>
  <c r="S556"/>
  <c r="S557"/>
  <c r="S558"/>
  <c r="S559"/>
  <c r="S560"/>
  <c r="S561"/>
  <c r="S562"/>
  <c r="S563"/>
  <c r="S564"/>
  <c r="S565"/>
  <c r="S566"/>
  <c r="S567"/>
  <c r="S568"/>
  <c r="S569"/>
  <c r="S570"/>
  <c r="S571"/>
  <c r="S572"/>
  <c r="S573"/>
  <c r="S574"/>
  <c r="S575"/>
  <c r="S576"/>
  <c r="S577"/>
  <c r="S578"/>
  <c r="S579"/>
  <c r="S580"/>
  <c r="S581"/>
  <c r="S582"/>
  <c r="S583"/>
  <c r="S584"/>
  <c r="S585"/>
  <c r="S586"/>
  <c r="S587"/>
  <c r="S588"/>
  <c r="S589"/>
  <c r="S590"/>
  <c r="S591"/>
  <c r="S592"/>
  <c r="S593"/>
  <c r="S594"/>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722"/>
  <c r="S723"/>
  <c r="S724"/>
  <c r="S725"/>
  <c r="S726"/>
  <c r="S14"/>
  <c r="S727"/>
  <c r="S728"/>
  <c r="S729"/>
  <c r="S730"/>
  <c r="S731"/>
  <c r="S732"/>
  <c r="S733"/>
  <c r="S734"/>
  <c r="S735"/>
  <c r="S736"/>
  <c r="S737"/>
  <c r="S738"/>
  <c r="S739"/>
  <c r="S740"/>
  <c r="S741"/>
  <c r="S742"/>
  <c r="S743"/>
  <c r="S744"/>
  <c r="S745"/>
  <c r="S746"/>
  <c r="S747"/>
  <c r="S748"/>
  <c r="S749"/>
  <c r="S750"/>
  <c r="S751"/>
  <c r="S752"/>
  <c r="S753"/>
  <c r="S754"/>
  <c r="S755"/>
  <c r="S756"/>
  <c r="S757"/>
  <c r="S758"/>
  <c r="S759"/>
  <c r="S760"/>
  <c r="S761"/>
  <c r="S762"/>
  <c r="S763"/>
  <c r="S764"/>
  <c r="S765"/>
  <c r="S766"/>
  <c r="S767"/>
  <c r="S768"/>
  <c r="S769"/>
  <c r="S770"/>
  <c r="S771"/>
  <c r="S772"/>
  <c r="S773"/>
  <c r="S774"/>
  <c r="S775"/>
  <c r="S776"/>
  <c r="S777"/>
  <c r="S778"/>
  <c r="S779"/>
  <c r="S780"/>
  <c r="S781"/>
  <c r="S782"/>
  <c r="S783"/>
  <c r="S784"/>
  <c r="S785"/>
  <c r="S786"/>
  <c r="S787"/>
  <c r="S788"/>
  <c r="S789"/>
  <c r="S790"/>
  <c r="S791"/>
  <c r="S792"/>
  <c r="S793"/>
  <c r="S794"/>
  <c r="S795"/>
  <c r="S796"/>
  <c r="S797"/>
  <c r="S798"/>
  <c r="S799"/>
  <c r="S800"/>
  <c r="S801"/>
  <c r="S802"/>
  <c r="S803"/>
  <c r="S804"/>
  <c r="S805"/>
  <c r="S806"/>
  <c r="S807"/>
  <c r="S808"/>
  <c r="S809"/>
  <c r="S810"/>
  <c r="S811"/>
  <c r="S812"/>
  <c r="S813"/>
  <c r="S814"/>
  <c r="S815"/>
  <c r="S816"/>
  <c r="S817"/>
  <c r="S818"/>
  <c r="S819"/>
  <c r="S820"/>
  <c r="S821"/>
  <c r="S822"/>
  <c r="S823"/>
  <c r="S824"/>
  <c r="S825"/>
  <c r="S826"/>
  <c r="S827"/>
  <c r="S828"/>
  <c r="S829"/>
  <c r="S830"/>
  <c r="S831"/>
  <c r="S832"/>
  <c r="S833"/>
  <c r="S834"/>
  <c r="S835"/>
  <c r="S836"/>
  <c r="S837"/>
  <c r="S838"/>
  <c r="S839"/>
  <c r="S840"/>
  <c r="S841"/>
  <c r="S842"/>
  <c r="S843"/>
  <c r="S844"/>
  <c r="S845"/>
  <c r="S846"/>
  <c r="S847"/>
  <c r="S848"/>
  <c r="S849"/>
  <c r="S850"/>
  <c r="S851"/>
  <c r="S852"/>
  <c r="S853"/>
  <c r="S854"/>
  <c r="S855"/>
  <c r="S856"/>
  <c r="S857"/>
  <c r="S858"/>
  <c r="S859"/>
  <c r="S860"/>
  <c r="S861"/>
  <c r="S862"/>
  <c r="S863"/>
  <c r="S864"/>
  <c r="S865"/>
  <c r="S866"/>
  <c r="S867"/>
  <c r="S868"/>
  <c r="S869"/>
  <c r="S870"/>
  <c r="S871"/>
  <c r="S872"/>
  <c r="S873"/>
  <c r="S874"/>
  <c r="S875"/>
  <c r="S876"/>
  <c r="S877"/>
  <c r="S878"/>
  <c r="S879"/>
  <c r="S880"/>
  <c r="S881"/>
  <c r="S882"/>
  <c r="S883"/>
  <c r="S884"/>
  <c r="S885"/>
  <c r="S886"/>
  <c r="S887"/>
  <c r="S888"/>
  <c r="S889"/>
  <c r="S890"/>
  <c r="S891"/>
  <c r="S892"/>
  <c r="S893"/>
  <c r="S894"/>
  <c r="S895"/>
  <c r="S896"/>
  <c r="S897"/>
  <c r="S898"/>
  <c r="S899"/>
  <c r="S900"/>
  <c r="S901"/>
  <c r="S902"/>
  <c r="S903"/>
  <c r="S904"/>
  <c r="S905"/>
  <c r="S906"/>
  <c r="S907"/>
  <c r="S908"/>
  <c r="S909"/>
  <c r="S910"/>
  <c r="S911"/>
  <c r="S912"/>
  <c r="S913"/>
  <c r="S914"/>
  <c r="S915"/>
  <c r="S916"/>
  <c r="S917"/>
  <c r="S918"/>
  <c r="S919"/>
  <c r="S920"/>
  <c r="S921"/>
  <c r="S922"/>
  <c r="S923"/>
  <c r="S924"/>
  <c r="S925"/>
  <c r="S926"/>
  <c r="S927"/>
  <c r="S928"/>
  <c r="S929"/>
  <c r="S930"/>
  <c r="S931"/>
  <c r="S932"/>
  <c r="S933"/>
  <c r="S934"/>
  <c r="S935"/>
  <c r="S936"/>
  <c r="S937"/>
  <c r="S938"/>
  <c r="S939"/>
  <c r="S940"/>
  <c r="S941"/>
  <c r="S942"/>
  <c r="S943"/>
  <c r="S944"/>
  <c r="S945"/>
  <c r="S946"/>
  <c r="S947"/>
  <c r="S948"/>
  <c r="S949"/>
  <c r="S950"/>
  <c r="S951"/>
  <c r="S952"/>
  <c r="S953"/>
  <c r="S954"/>
  <c r="S955"/>
  <c r="S956"/>
  <c r="S957"/>
  <c r="S958"/>
  <c r="S959"/>
  <c r="S960"/>
  <c r="S961"/>
  <c r="S962"/>
  <c r="S963"/>
  <c r="S964"/>
  <c r="S965"/>
  <c r="S966"/>
  <c r="S967"/>
  <c r="S968"/>
  <c r="S969"/>
  <c r="S970"/>
  <c r="S971"/>
  <c r="S972"/>
  <c r="S973"/>
  <c r="S6"/>
  <c r="S974"/>
  <c r="S975"/>
  <c r="S976"/>
  <c r="S977"/>
  <c r="S978"/>
  <c r="S979"/>
  <c r="S980"/>
  <c r="S981"/>
  <c r="S982"/>
  <c r="S983"/>
  <c r="S984"/>
  <c r="S985"/>
  <c r="S986"/>
  <c r="S987"/>
  <c r="S988"/>
  <c r="S989"/>
  <c r="S990"/>
  <c r="S991"/>
  <c r="S992"/>
  <c r="S993"/>
  <c r="S994"/>
  <c r="S995"/>
  <c r="S996"/>
  <c r="S997"/>
  <c r="S998"/>
  <c r="S999"/>
  <c r="S1000"/>
  <c r="S1001"/>
  <c r="S1002"/>
  <c r="S1003"/>
  <c r="S1004"/>
  <c r="S1005"/>
  <c r="S1006"/>
  <c r="S1007"/>
  <c r="S1008"/>
  <c r="S1009"/>
  <c r="S1010"/>
  <c r="S1011"/>
  <c r="S1012"/>
  <c r="S1013"/>
  <c r="S1014"/>
  <c r="S1015"/>
  <c r="S1016"/>
  <c r="S1017"/>
  <c r="S1018"/>
  <c r="S1019"/>
  <c r="S1020"/>
  <c r="S1021"/>
  <c r="S1022"/>
  <c r="S1023"/>
  <c r="S1024"/>
  <c r="S1025"/>
  <c r="S1026"/>
  <c r="S1027"/>
  <c r="S1028"/>
  <c r="S1029"/>
  <c r="S1030"/>
  <c r="S1031"/>
  <c r="S1032"/>
  <c r="S1033"/>
  <c r="S1034"/>
  <c r="S1035"/>
  <c r="S1036"/>
  <c r="S1037"/>
  <c r="S1038"/>
  <c r="Z1038" s="1"/>
  <c r="S1039"/>
  <c r="S1040"/>
  <c r="S1041"/>
  <c r="S1042"/>
  <c r="S1043"/>
  <c r="S1044"/>
  <c r="S1045"/>
  <c r="S1046"/>
  <c r="S1047"/>
  <c r="S1048"/>
  <c r="S1049"/>
  <c r="S1050"/>
  <c r="S1051"/>
  <c r="S1052"/>
  <c r="S1053"/>
  <c r="S1054"/>
  <c r="S1055"/>
  <c r="S1056"/>
  <c r="S1057"/>
  <c r="S1058"/>
  <c r="S1059"/>
  <c r="S1060"/>
  <c r="S1061"/>
  <c r="S1062"/>
  <c r="S1063"/>
  <c r="S1064"/>
  <c r="S1065"/>
  <c r="S1066"/>
  <c r="S1067"/>
  <c r="S1068"/>
  <c r="S1069"/>
  <c r="S1070"/>
  <c r="S1071"/>
  <c r="S1072"/>
  <c r="S1073"/>
  <c r="S1074"/>
  <c r="S1075"/>
  <c r="S1076"/>
  <c r="S1077"/>
  <c r="S1078"/>
  <c r="S1079"/>
  <c r="S1080"/>
  <c r="S1081"/>
  <c r="S1082"/>
  <c r="S1083"/>
  <c r="S1084"/>
  <c r="S1085"/>
  <c r="S1086"/>
  <c r="S1087"/>
  <c r="S1088"/>
  <c r="S1089"/>
  <c r="S1090"/>
  <c r="S1091"/>
  <c r="S1092"/>
  <c r="S1093"/>
  <c r="S1094"/>
  <c r="S1095"/>
  <c r="S1096"/>
  <c r="S1097"/>
  <c r="S1098"/>
  <c r="S1099"/>
  <c r="S1100"/>
  <c r="S1101"/>
  <c r="S1102"/>
  <c r="S1103"/>
  <c r="S1104"/>
  <c r="S1105"/>
  <c r="S1106"/>
  <c r="S1107"/>
  <c r="S1108"/>
  <c r="S1109"/>
  <c r="S1110"/>
  <c r="S1111"/>
  <c r="S1112"/>
  <c r="S1113"/>
  <c r="S1114"/>
  <c r="S1115"/>
  <c r="S1116"/>
  <c r="S1117"/>
  <c r="S1118"/>
  <c r="S1119"/>
  <c r="S1120"/>
  <c r="S1121"/>
  <c r="S1122"/>
  <c r="S1123"/>
  <c r="S1124"/>
  <c r="S1125"/>
  <c r="S1126"/>
  <c r="S1127"/>
  <c r="S1128"/>
  <c r="S1129"/>
  <c r="S1130"/>
  <c r="S1131"/>
  <c r="S1132"/>
  <c r="S1133"/>
  <c r="S1134"/>
  <c r="S1135"/>
  <c r="S1136"/>
  <c r="S1137"/>
  <c r="S1138"/>
  <c r="S1139"/>
  <c r="S1140"/>
  <c r="S1141"/>
  <c r="S1142"/>
  <c r="S1143"/>
  <c r="S1144"/>
  <c r="S1145"/>
  <c r="S1146"/>
  <c r="S1147"/>
  <c r="S1148"/>
  <c r="S1149"/>
  <c r="S1150"/>
  <c r="S1151"/>
  <c r="S1152"/>
  <c r="S1153"/>
  <c r="S1154"/>
  <c r="S1155"/>
  <c r="S1156"/>
  <c r="S1157"/>
  <c r="S1158"/>
  <c r="S1159"/>
  <c r="S1160"/>
  <c r="S1161"/>
  <c r="S1162"/>
  <c r="S1163"/>
  <c r="S1164"/>
  <c r="S1165"/>
  <c r="S1166"/>
  <c r="S1167"/>
  <c r="S1168"/>
  <c r="S1169"/>
  <c r="Z1169" s="1"/>
  <c r="S1170"/>
  <c r="S1171"/>
  <c r="S1172"/>
  <c r="S1173"/>
  <c r="S1174"/>
  <c r="S1175"/>
  <c r="S1176"/>
  <c r="S1177"/>
  <c r="S1178"/>
  <c r="S1179"/>
  <c r="S1180"/>
  <c r="S1181"/>
  <c r="S1182"/>
  <c r="S1183"/>
  <c r="S1184"/>
  <c r="S1185"/>
  <c r="S1186"/>
  <c r="S1187"/>
  <c r="S1188"/>
  <c r="S1189"/>
  <c r="S1190"/>
  <c r="S1191"/>
  <c r="S1192"/>
  <c r="S1193"/>
  <c r="S1194"/>
  <c r="S1195"/>
  <c r="S1196"/>
  <c r="S1197"/>
  <c r="S1198"/>
  <c r="S1199"/>
  <c r="S1200"/>
  <c r="S1201"/>
  <c r="S1202"/>
  <c r="S1203"/>
  <c r="S1204"/>
  <c r="S1205"/>
  <c r="S1206"/>
  <c r="S1207"/>
  <c r="S1208"/>
  <c r="S1209"/>
  <c r="S1210"/>
  <c r="S1211"/>
  <c r="S1212"/>
  <c r="S1213"/>
  <c r="S1214"/>
  <c r="S1215"/>
  <c r="S1216"/>
  <c r="S1217"/>
  <c r="S1218"/>
  <c r="S1219"/>
  <c r="S1220"/>
  <c r="S1221"/>
  <c r="S1222"/>
  <c r="S1223"/>
  <c r="S1224"/>
  <c r="S1225"/>
  <c r="Y1225" s="1"/>
  <c r="S1226"/>
  <c r="S1227"/>
  <c r="S1228"/>
  <c r="S1229"/>
  <c r="S1230"/>
  <c r="S1231"/>
  <c r="S1232"/>
  <c r="S1233"/>
  <c r="S1234"/>
  <c r="S1235"/>
  <c r="S1236"/>
  <c r="S1237"/>
  <c r="S1238"/>
  <c r="S1239"/>
  <c r="S1240"/>
  <c r="S1241"/>
  <c r="S1242"/>
  <c r="S1243"/>
  <c r="S1244"/>
  <c r="S1245"/>
  <c r="S1246"/>
  <c r="S1247"/>
  <c r="S1248"/>
  <c r="S1249"/>
  <c r="S1250"/>
  <c r="S1251"/>
  <c r="S1252"/>
  <c r="S1253"/>
  <c r="S1254"/>
  <c r="S1255"/>
  <c r="S1256"/>
  <c r="S1257"/>
  <c r="S1258"/>
  <c r="S1259"/>
  <c r="S1260"/>
  <c r="S1261"/>
  <c r="S1262"/>
  <c r="S1263"/>
  <c r="S1264"/>
  <c r="S1265"/>
  <c r="S1266"/>
  <c r="S1267"/>
  <c r="S1268"/>
  <c r="S1269"/>
  <c r="S1270"/>
  <c r="S1271"/>
  <c r="S1272"/>
  <c r="S17"/>
  <c r="S1273"/>
  <c r="S1274"/>
  <c r="S1275"/>
  <c r="S1276"/>
  <c r="S1277"/>
  <c r="S1278"/>
  <c r="S1279"/>
  <c r="S1280"/>
  <c r="S1281"/>
  <c r="S1282"/>
  <c r="S1283"/>
  <c r="S1284"/>
  <c r="S1285"/>
  <c r="S1286"/>
  <c r="S1287"/>
  <c r="S1288"/>
  <c r="S1289"/>
  <c r="S1290"/>
  <c r="S1291"/>
  <c r="S1292"/>
  <c r="S1293"/>
  <c r="S1294"/>
  <c r="S1295"/>
  <c r="S1296"/>
  <c r="S1297"/>
  <c r="S1298"/>
  <c r="S1299"/>
  <c r="S1300"/>
  <c r="S1301"/>
  <c r="S1302"/>
  <c r="S1303"/>
  <c r="S1304"/>
  <c r="S1305"/>
  <c r="S1306"/>
  <c r="S1307"/>
  <c r="S1308"/>
  <c r="S1309"/>
  <c r="S1310"/>
  <c r="S1311"/>
  <c r="S1312"/>
  <c r="S1313"/>
  <c r="S1314"/>
  <c r="S1315"/>
  <c r="S1316"/>
  <c r="S1317"/>
  <c r="S1318"/>
  <c r="S1319"/>
  <c r="S1320"/>
  <c r="S1321"/>
  <c r="S1322"/>
  <c r="S1323"/>
  <c r="S1324"/>
  <c r="S1325"/>
  <c r="S1326"/>
  <c r="S1327"/>
  <c r="S1328"/>
  <c r="S1329"/>
  <c r="S1330"/>
  <c r="S1331"/>
  <c r="S1332"/>
  <c r="S1333"/>
  <c r="S1334"/>
  <c r="S1335"/>
  <c r="S1336"/>
  <c r="S1337"/>
  <c r="S1338"/>
  <c r="S1339"/>
  <c r="S1340"/>
  <c r="S1341"/>
  <c r="S1342"/>
  <c r="S1343"/>
  <c r="S1344"/>
  <c r="S1345"/>
  <c r="S1346"/>
  <c r="S1347"/>
  <c r="S1348"/>
  <c r="S1349"/>
  <c r="S1350"/>
  <c r="S1351"/>
  <c r="S1352"/>
  <c r="S1353"/>
  <c r="S1354"/>
  <c r="S1355"/>
  <c r="S1356"/>
  <c r="S1357"/>
  <c r="S1358"/>
  <c r="S1359"/>
  <c r="S1360"/>
  <c r="S1361"/>
  <c r="S1362"/>
  <c r="S1363"/>
  <c r="S1364"/>
  <c r="S1365"/>
  <c r="S1366"/>
  <c r="S1367"/>
  <c r="S1368"/>
  <c r="S1369"/>
  <c r="S1370"/>
  <c r="S1371"/>
  <c r="S1372"/>
  <c r="S1373"/>
  <c r="S1374"/>
  <c r="S1375"/>
  <c r="S1376"/>
  <c r="S1377"/>
  <c r="S1378"/>
  <c r="S1379"/>
  <c r="S1380"/>
  <c r="S1381"/>
  <c r="S1382"/>
  <c r="S1383"/>
  <c r="S1384"/>
  <c r="S1385"/>
  <c r="S1386"/>
  <c r="S1387"/>
  <c r="S1388"/>
  <c r="S1389"/>
  <c r="S1390"/>
  <c r="S1391"/>
  <c r="S1392"/>
  <c r="S1393"/>
  <c r="S1394"/>
  <c r="S1395"/>
  <c r="S1396"/>
  <c r="S1397"/>
  <c r="S1398"/>
  <c r="S1399"/>
  <c r="S1400"/>
  <c r="S1401"/>
  <c r="S1402"/>
  <c r="S1403"/>
  <c r="S1404"/>
  <c r="S1405"/>
  <c r="S1406"/>
  <c r="S1407"/>
  <c r="S1408"/>
  <c r="S1409"/>
  <c r="S1410"/>
  <c r="S1411"/>
  <c r="S1412"/>
  <c r="S1413"/>
  <c r="S1414"/>
  <c r="S1415"/>
  <c r="S1416"/>
  <c r="S1417"/>
  <c r="S1418"/>
  <c r="S1419"/>
  <c r="S1420"/>
  <c r="S1421"/>
  <c r="S1422"/>
  <c r="S1423"/>
  <c r="S1424"/>
  <c r="S1425"/>
  <c r="S1426"/>
  <c r="S1427"/>
  <c r="S1428"/>
  <c r="S1429"/>
  <c r="S1430"/>
  <c r="S1431"/>
  <c r="S1432"/>
  <c r="S1433"/>
  <c r="S1434"/>
  <c r="S1435"/>
  <c r="S1436"/>
  <c r="S1437"/>
  <c r="S1438"/>
  <c r="S1439"/>
  <c r="S1440"/>
  <c r="S1441"/>
  <c r="S1442"/>
  <c r="S1443"/>
  <c r="S1444"/>
  <c r="S1445"/>
  <c r="S1446"/>
  <c r="S1447"/>
  <c r="S1448"/>
  <c r="S1449"/>
  <c r="S1450"/>
  <c r="S1451"/>
  <c r="S1452"/>
  <c r="S1453"/>
  <c r="S1454"/>
  <c r="S1455"/>
  <c r="S1456"/>
  <c r="S1457"/>
  <c r="S1458"/>
  <c r="S1459"/>
  <c r="S1460"/>
  <c r="S1461"/>
  <c r="S1462"/>
  <c r="S1463"/>
  <c r="S1464"/>
  <c r="S1465"/>
  <c r="S1466"/>
  <c r="S1467"/>
  <c r="S1468"/>
  <c r="S1469"/>
  <c r="S1470"/>
  <c r="S1471"/>
  <c r="S1472"/>
  <c r="S1473"/>
  <c r="S1474"/>
  <c r="S1475"/>
  <c r="S1476"/>
  <c r="S1477"/>
  <c r="S1478"/>
  <c r="S1479"/>
  <c r="S1480"/>
  <c r="S1481"/>
  <c r="S1482"/>
  <c r="S1483"/>
  <c r="S1484"/>
  <c r="S1485"/>
  <c r="S1486"/>
  <c r="S1487"/>
  <c r="S1488"/>
  <c r="S1489"/>
  <c r="S1490"/>
  <c r="S1491"/>
  <c r="S1492"/>
  <c r="S1493"/>
  <c r="S1494"/>
  <c r="S1495"/>
  <c r="S1496"/>
  <c r="S1497"/>
  <c r="S1498"/>
  <c r="S1499"/>
  <c r="S1500"/>
  <c r="S1501"/>
  <c r="S1502"/>
  <c r="S1503"/>
  <c r="S1504"/>
  <c r="S1505"/>
  <c r="S1506"/>
  <c r="S1507"/>
  <c r="S1508"/>
  <c r="S1509"/>
  <c r="S1510"/>
  <c r="S1511"/>
  <c r="S1512"/>
  <c r="S1513"/>
  <c r="S1514"/>
  <c r="S1515"/>
  <c r="S1516"/>
  <c r="S1517"/>
  <c r="S1518"/>
  <c r="S1519"/>
  <c r="S1520"/>
  <c r="S1521"/>
  <c r="S1522"/>
  <c r="S1523"/>
  <c r="S1524"/>
  <c r="S1525"/>
  <c r="S1526"/>
  <c r="S1527"/>
  <c r="S1528"/>
  <c r="S1529"/>
  <c r="S1530"/>
  <c r="S1531"/>
  <c r="S1532"/>
  <c r="S1533"/>
  <c r="S1534"/>
  <c r="S1535"/>
  <c r="S1536"/>
  <c r="S1537"/>
  <c r="S1538"/>
  <c r="S1539"/>
  <c r="S1540"/>
  <c r="S1541"/>
  <c r="S1542"/>
  <c r="S1543"/>
  <c r="S1544"/>
  <c r="S1545"/>
  <c r="S1546"/>
  <c r="S1547"/>
  <c r="S1548"/>
  <c r="S1549"/>
  <c r="S1550"/>
  <c r="S1551"/>
  <c r="S1552"/>
  <c r="S1553"/>
  <c r="S1554"/>
  <c r="S1555"/>
  <c r="S1556"/>
  <c r="S1557"/>
  <c r="S1558"/>
  <c r="S1559"/>
  <c r="S1560"/>
  <c r="S1561"/>
  <c r="S1562"/>
  <c r="S1563"/>
  <c r="S1564"/>
  <c r="S1565"/>
  <c r="S1566"/>
  <c r="S1567"/>
  <c r="S1568"/>
  <c r="Y1568" s="1"/>
  <c r="S1569"/>
  <c r="S1570"/>
  <c r="S1571"/>
  <c r="S1572"/>
  <c r="S1573"/>
  <c r="S1574"/>
  <c r="S1575"/>
  <c r="S1576"/>
  <c r="S1577"/>
  <c r="S1578"/>
  <c r="S1579"/>
  <c r="S1580"/>
  <c r="S1581"/>
  <c r="S1582"/>
  <c r="S1583"/>
  <c r="S1584"/>
  <c r="S1585"/>
  <c r="S1586"/>
  <c r="S1587"/>
  <c r="S1588"/>
  <c r="S1589"/>
  <c r="S1590"/>
  <c r="S1591"/>
  <c r="S1592"/>
  <c r="S1593"/>
  <c r="S1594"/>
  <c r="S1595"/>
  <c r="S1596"/>
  <c r="S1597"/>
  <c r="S1598"/>
  <c r="S1599"/>
  <c r="S1600"/>
  <c r="S1601"/>
  <c r="S1602"/>
  <c r="S1603"/>
  <c r="S1604"/>
  <c r="S1605"/>
  <c r="S1606"/>
  <c r="S1607"/>
  <c r="S1608"/>
  <c r="S1609"/>
  <c r="S1610"/>
  <c r="S1611"/>
  <c r="S1612"/>
  <c r="S1613"/>
  <c r="S1614"/>
  <c r="S1615"/>
  <c r="S1616"/>
  <c r="S1617"/>
  <c r="S1618"/>
  <c r="S1619"/>
  <c r="S1620"/>
  <c r="S1621"/>
  <c r="S11"/>
  <c r="S1622"/>
  <c r="S1623"/>
  <c r="S1624"/>
  <c r="S1625"/>
  <c r="S1626"/>
  <c r="S1627"/>
  <c r="S1628"/>
  <c r="S1629"/>
  <c r="S1630"/>
  <c r="S1631"/>
  <c r="S1632"/>
  <c r="S1633"/>
  <c r="S1634"/>
  <c r="S1635"/>
  <c r="S1636"/>
  <c r="S1637"/>
  <c r="S1638"/>
  <c r="S1639"/>
  <c r="S1640"/>
  <c r="S1641"/>
  <c r="S1642"/>
  <c r="S1643"/>
  <c r="S1644"/>
  <c r="S1645"/>
  <c r="S1646"/>
  <c r="S1647"/>
  <c r="S1648"/>
  <c r="S1649"/>
  <c r="S1650"/>
  <c r="S1651"/>
  <c r="S1652"/>
  <c r="S1653"/>
  <c r="S1654"/>
  <c r="S1655"/>
  <c r="S1656"/>
  <c r="S1657"/>
  <c r="S1658"/>
  <c r="S1659"/>
  <c r="S1660"/>
  <c r="S1661"/>
  <c r="S1662"/>
  <c r="S1663"/>
  <c r="S1664"/>
  <c r="S1665"/>
  <c r="S1666"/>
  <c r="S1667"/>
  <c r="S1668"/>
  <c r="S1669"/>
  <c r="S1670"/>
  <c r="S1671"/>
  <c r="S1672"/>
  <c r="S1673"/>
  <c r="S1674"/>
  <c r="S1675"/>
  <c r="S1676"/>
  <c r="S1677"/>
  <c r="S1678"/>
  <c r="S1679"/>
  <c r="S1680"/>
  <c r="S1681"/>
  <c r="S1682"/>
  <c r="S1683"/>
  <c r="S1684"/>
  <c r="S1685"/>
  <c r="S1686"/>
  <c r="S1687"/>
  <c r="S1688"/>
  <c r="S1689"/>
  <c r="S1690"/>
  <c r="S1691"/>
  <c r="S1692"/>
  <c r="S1693"/>
  <c r="S1694"/>
  <c r="S1695"/>
  <c r="S1696"/>
  <c r="S1697"/>
  <c r="S1698"/>
  <c r="S1699"/>
  <c r="S1700"/>
  <c r="S1701"/>
  <c r="S1702"/>
  <c r="Z1702" s="1"/>
  <c r="S1703"/>
  <c r="Z1703" s="1"/>
  <c r="S1704"/>
  <c r="S1705"/>
  <c r="S1706"/>
  <c r="S1707"/>
  <c r="S1708"/>
  <c r="S1709"/>
  <c r="S1710"/>
  <c r="S1711"/>
  <c r="S1712"/>
  <c r="S1713"/>
  <c r="S1714"/>
  <c r="S1715"/>
  <c r="S1716"/>
  <c r="S1717"/>
  <c r="S1718"/>
  <c r="S1719"/>
  <c r="S1720"/>
  <c r="S1721"/>
  <c r="S1722"/>
  <c r="S1723"/>
  <c r="S1724"/>
  <c r="S1725"/>
  <c r="S1726"/>
  <c r="S1727"/>
  <c r="S1728"/>
  <c r="S1729"/>
  <c r="S1730"/>
  <c r="S1731"/>
  <c r="S7"/>
  <c r="S1732"/>
  <c r="S1733"/>
  <c r="S1734"/>
  <c r="S1735"/>
  <c r="S1736"/>
  <c r="S1737"/>
  <c r="S1738"/>
  <c r="S1739"/>
  <c r="S1740"/>
  <c r="S1741"/>
  <c r="S1742"/>
  <c r="S1743"/>
  <c r="S1744"/>
  <c r="S1745"/>
  <c r="S1746"/>
  <c r="S1747"/>
  <c r="S1748"/>
  <c r="S1749"/>
  <c r="S1750"/>
  <c r="S1751"/>
  <c r="S1752"/>
  <c r="S1753"/>
  <c r="S1754"/>
  <c r="S1755"/>
  <c r="S1756"/>
  <c r="S1757"/>
  <c r="S1758"/>
  <c r="S1759"/>
  <c r="S1760"/>
  <c r="S1761"/>
  <c r="S1762"/>
  <c r="S1763"/>
  <c r="S1764"/>
  <c r="S1765"/>
  <c r="S1766"/>
  <c r="S1767"/>
  <c r="S1768"/>
  <c r="S1769"/>
  <c r="S1770"/>
  <c r="S1771"/>
  <c r="S1772"/>
  <c r="S1773"/>
  <c r="S1774"/>
  <c r="S1775"/>
  <c r="S1776"/>
  <c r="S1777"/>
  <c r="S1778"/>
  <c r="S1779"/>
  <c r="S1780"/>
  <c r="S1781"/>
  <c r="S1782"/>
  <c r="S1783"/>
  <c r="S1784"/>
  <c r="S1785"/>
  <c r="S1786"/>
  <c r="S1787"/>
  <c r="S1788"/>
  <c r="S1789"/>
  <c r="S1790"/>
  <c r="S1791"/>
  <c r="S1792"/>
  <c r="S1793"/>
  <c r="S1794"/>
  <c r="S1795"/>
  <c r="S1796"/>
  <c r="S1797"/>
  <c r="S1798"/>
  <c r="S1799"/>
  <c r="S1800"/>
  <c r="S1801"/>
  <c r="S1802"/>
  <c r="S1803"/>
  <c r="S1804"/>
  <c r="S1805"/>
  <c r="S1806"/>
  <c r="S1807"/>
  <c r="S1808"/>
  <c r="S1809"/>
  <c r="S1810"/>
  <c r="S1811"/>
  <c r="S1812"/>
  <c r="S1813"/>
  <c r="S1814"/>
  <c r="S1815"/>
  <c r="S1816"/>
  <c r="S1817"/>
  <c r="S1818"/>
  <c r="S1819"/>
  <c r="S1820"/>
  <c r="S1821"/>
  <c r="S1822"/>
  <c r="S1823"/>
  <c r="S1824"/>
  <c r="S1825"/>
  <c r="S1826"/>
  <c r="S1827"/>
  <c r="S1828"/>
  <c r="S1829"/>
  <c r="S1830"/>
  <c r="S1831"/>
  <c r="S1832"/>
  <c r="S1833"/>
  <c r="S1834"/>
  <c r="S1835"/>
  <c r="S1836"/>
  <c r="S1837"/>
  <c r="S1838"/>
  <c r="S1839"/>
  <c r="S1840"/>
  <c r="S1841"/>
  <c r="S8"/>
  <c r="S1842"/>
  <c r="S1843"/>
  <c r="S1844"/>
  <c r="S1845"/>
  <c r="S1846"/>
  <c r="S1847"/>
  <c r="S1848"/>
  <c r="S1849"/>
  <c r="S1850"/>
  <c r="S1851"/>
  <c r="S1852"/>
  <c r="S1853"/>
  <c r="S1854"/>
  <c r="S1855"/>
  <c r="S1856"/>
  <c r="S1857"/>
  <c r="S1858"/>
  <c r="S12"/>
  <c r="S1859"/>
  <c r="S1860"/>
  <c r="S1861"/>
  <c r="S1862"/>
  <c r="S1863"/>
  <c r="S1864"/>
  <c r="S1865"/>
  <c r="S1866"/>
  <c r="S1867"/>
  <c r="S1868"/>
  <c r="Z1868" s="1"/>
  <c r="S1869"/>
  <c r="S1870"/>
  <c r="S1871"/>
  <c r="S1872"/>
  <c r="S1873"/>
  <c r="S1874"/>
  <c r="S1875"/>
  <c r="S1876"/>
  <c r="S1877"/>
  <c r="S1878"/>
  <c r="S1879"/>
  <c r="S1880"/>
  <c r="S1881"/>
  <c r="S1882"/>
  <c r="S1883"/>
  <c r="S1884"/>
  <c r="S1885"/>
  <c r="S1886"/>
  <c r="S1887"/>
  <c r="S1888"/>
  <c r="S1889"/>
  <c r="S1890"/>
  <c r="S1891"/>
  <c r="S1892"/>
  <c r="S1893"/>
  <c r="S1894"/>
  <c r="S1895"/>
  <c r="S1896"/>
  <c r="S1897"/>
  <c r="S1898"/>
  <c r="S1899"/>
  <c r="S1900"/>
  <c r="S1901"/>
  <c r="S1902"/>
  <c r="S1903"/>
  <c r="S1904"/>
  <c r="S1905"/>
  <c r="S1906"/>
  <c r="S1907"/>
  <c r="S1908"/>
  <c r="S1909"/>
  <c r="S1910"/>
  <c r="S1911"/>
  <c r="S1912"/>
  <c r="S1913"/>
  <c r="S1914"/>
  <c r="S1915"/>
  <c r="S1916"/>
  <c r="S1917"/>
  <c r="S1918"/>
  <c r="S1919"/>
  <c r="S1920"/>
  <c r="S1921"/>
  <c r="S1922"/>
  <c r="S1923"/>
  <c r="S1924"/>
  <c r="S1925"/>
  <c r="S1926"/>
  <c r="S1927"/>
  <c r="S1928"/>
  <c r="S1929"/>
  <c r="S16"/>
  <c r="S1930"/>
  <c r="S1931"/>
  <c r="S1932"/>
  <c r="S1933"/>
  <c r="S1934"/>
  <c r="S1935"/>
  <c r="S1936"/>
  <c r="S1937"/>
  <c r="S1938"/>
  <c r="S1939"/>
  <c r="S1940"/>
  <c r="S5"/>
  <c r="S1941"/>
  <c r="S1942"/>
  <c r="S1943"/>
  <c r="S1944"/>
  <c r="S1945"/>
  <c r="S1946"/>
  <c r="S1947"/>
  <c r="S1948"/>
  <c r="S1949"/>
  <c r="S1950"/>
  <c r="S1951"/>
  <c r="S1952"/>
  <c r="S1953"/>
  <c r="S1954"/>
  <c r="S1955"/>
  <c r="S1956"/>
  <c r="S1957"/>
  <c r="S1958"/>
  <c r="S1959"/>
  <c r="S1960"/>
  <c r="S1961"/>
  <c r="S1962"/>
  <c r="S1963"/>
  <c r="S1964"/>
  <c r="S1965"/>
  <c r="S1966"/>
  <c r="S1967"/>
  <c r="S1968"/>
  <c r="S1969"/>
  <c r="S1970"/>
  <c r="S1971"/>
  <c r="S1972"/>
  <c r="S1973"/>
  <c r="S1974"/>
  <c r="S1975"/>
  <c r="S1976"/>
  <c r="S1977"/>
  <c r="S1978"/>
  <c r="S1979"/>
  <c r="S1980"/>
  <c r="S1981"/>
  <c r="S1982"/>
  <c r="S1983"/>
  <c r="S1984"/>
  <c r="S1985"/>
  <c r="S1986"/>
  <c r="S1987"/>
  <c r="S1988"/>
  <c r="S1989"/>
  <c r="S1990"/>
  <c r="S1991"/>
  <c r="S1992"/>
  <c r="S1993"/>
  <c r="S1994"/>
  <c r="S1995"/>
  <c r="S1996"/>
  <c r="S1997"/>
  <c r="S1998"/>
  <c r="S1999"/>
  <c r="S2000"/>
  <c r="S2001"/>
  <c r="S2002"/>
  <c r="S2003"/>
  <c r="S2004"/>
  <c r="S2005"/>
  <c r="S2006"/>
  <c r="S2007"/>
  <c r="S2008"/>
  <c r="S2009"/>
  <c r="S2010"/>
  <c r="S2011"/>
  <c r="S2012"/>
  <c r="S2013"/>
  <c r="S2014"/>
  <c r="S2015"/>
  <c r="S2016"/>
  <c r="S2017"/>
  <c r="S2018"/>
  <c r="S2019"/>
  <c r="S2020"/>
  <c r="S2021"/>
  <c r="S2022"/>
  <c r="S2023"/>
  <c r="S2024"/>
  <c r="S2025"/>
  <c r="S2026"/>
  <c r="S2027"/>
  <c r="S2028"/>
  <c r="S2029"/>
  <c r="S2030"/>
  <c r="S2031"/>
  <c r="S2032"/>
  <c r="S2033"/>
  <c r="S2034"/>
  <c r="S2035"/>
  <c r="S2036"/>
  <c r="S2037"/>
  <c r="S2038"/>
  <c r="S2039"/>
  <c r="S2040"/>
  <c r="S2041"/>
  <c r="S2042"/>
  <c r="S2043"/>
  <c r="S2044"/>
  <c r="S2045"/>
  <c r="S2046"/>
  <c r="S2047"/>
  <c r="S2048"/>
  <c r="S2049"/>
  <c r="S2050"/>
  <c r="S2051"/>
  <c r="S2052"/>
  <c r="S2053"/>
  <c r="S2054"/>
  <c r="S2055"/>
  <c r="S2056"/>
  <c r="S2057"/>
  <c r="S2058"/>
  <c r="S2059"/>
  <c r="S2060"/>
  <c r="S2061"/>
  <c r="S2062"/>
  <c r="S2063"/>
  <c r="S2064"/>
  <c r="S2065"/>
  <c r="S2066"/>
  <c r="S2067"/>
  <c r="S2068"/>
  <c r="S2069"/>
  <c r="S2070"/>
  <c r="S2071"/>
  <c r="S2072"/>
  <c r="S2073"/>
  <c r="S2074"/>
  <c r="S2075"/>
  <c r="S2076"/>
  <c r="S2077"/>
  <c r="S2078"/>
  <c r="S2079"/>
  <c r="S2080"/>
  <c r="S2081"/>
  <c r="S2082"/>
  <c r="S2083"/>
  <c r="S2084"/>
  <c r="S2085"/>
  <c r="S10"/>
  <c r="S2086"/>
  <c r="S2087"/>
  <c r="S2088"/>
  <c r="S2089"/>
  <c r="S2090"/>
  <c r="S2091"/>
  <c r="S2092"/>
  <c r="S2093"/>
  <c r="S2094"/>
  <c r="S2095"/>
  <c r="S2096"/>
  <c r="S2097"/>
  <c r="S2098"/>
  <c r="S2099"/>
  <c r="S2100"/>
  <c r="S2101"/>
  <c r="S2102"/>
  <c r="S2103"/>
  <c r="S2104"/>
  <c r="S2105"/>
  <c r="S2106"/>
  <c r="S2107"/>
  <c r="S2108"/>
  <c r="S2109"/>
  <c r="S2110"/>
  <c r="S2111"/>
  <c r="S2112"/>
  <c r="S2113"/>
  <c r="S2114"/>
  <c r="S2115"/>
  <c r="S2116"/>
  <c r="S2117"/>
  <c r="S2118"/>
  <c r="S2119"/>
  <c r="S2120"/>
  <c r="S2121"/>
  <c r="S2122"/>
  <c r="S2123"/>
  <c r="S2124"/>
  <c r="S2125"/>
  <c r="S2126"/>
  <c r="S2127"/>
  <c r="S2128"/>
  <c r="S2129"/>
  <c r="S2130"/>
  <c r="S2131"/>
  <c r="S2132"/>
  <c r="S2133"/>
  <c r="S2134"/>
  <c r="S2135"/>
  <c r="S2136"/>
  <c r="S2137"/>
  <c r="S2138"/>
  <c r="S2139"/>
  <c r="S2140"/>
  <c r="S2141"/>
  <c r="S2142"/>
  <c r="S2143"/>
  <c r="S2144"/>
  <c r="S2145"/>
  <c r="S2146"/>
  <c r="S2147"/>
  <c r="S2148"/>
  <c r="S2149"/>
  <c r="S2150"/>
  <c r="S2151"/>
  <c r="S2152"/>
  <c r="S2153"/>
  <c r="S2154"/>
  <c r="S2155"/>
  <c r="S2156"/>
  <c r="S2157"/>
  <c r="S2158"/>
  <c r="S2159"/>
  <c r="S2160"/>
  <c r="S2161"/>
  <c r="S2162"/>
  <c r="S2163"/>
  <c r="S2164"/>
  <c r="S2165"/>
  <c r="S2166"/>
  <c r="S2167"/>
  <c r="Y2167" s="1"/>
  <c r="S2168"/>
  <c r="T47"/>
  <c r="T48"/>
  <c r="T49"/>
  <c r="T50"/>
  <c r="T51"/>
  <c r="T52"/>
  <c r="T53"/>
  <c r="T54"/>
  <c r="T55"/>
  <c r="T56"/>
  <c r="T57"/>
  <c r="T58"/>
  <c r="T59"/>
  <c r="T60"/>
  <c r="T61"/>
  <c r="T62"/>
  <c r="T63"/>
  <c r="T64"/>
  <c r="T65"/>
  <c r="T66"/>
  <c r="T67"/>
  <c r="T68"/>
  <c r="T69"/>
  <c r="T70"/>
  <c r="T71"/>
  <c r="T72"/>
  <c r="T73"/>
  <c r="T74"/>
  <c r="T75"/>
  <c r="T76"/>
  <c r="T9"/>
  <c r="T77"/>
  <c r="T78"/>
  <c r="T79"/>
  <c r="T80"/>
  <c r="T81"/>
  <c r="T15"/>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209"/>
  <c r="T210"/>
  <c r="T211"/>
  <c r="T212"/>
  <c r="T213"/>
  <c r="T214"/>
  <c r="T215"/>
  <c r="T216"/>
  <c r="T217"/>
  <c r="T218"/>
  <c r="T219"/>
  <c r="T220"/>
  <c r="Z220" s="1"/>
  <c r="T221"/>
  <c r="Z221" s="1"/>
  <c r="T222"/>
  <c r="T223"/>
  <c r="T224"/>
  <c r="T225"/>
  <c r="T226"/>
  <c r="T227"/>
  <c r="T228"/>
  <c r="T229"/>
  <c r="T230"/>
  <c r="T231"/>
  <c r="T232"/>
  <c r="T233"/>
  <c r="T234"/>
  <c r="T235"/>
  <c r="T236"/>
  <c r="T237"/>
  <c r="T238"/>
  <c r="T239"/>
  <c r="T240"/>
  <c r="T241"/>
  <c r="T242"/>
  <c r="T243"/>
  <c r="T244"/>
  <c r="T245"/>
  <c r="T246"/>
  <c r="T247"/>
  <c r="T248"/>
  <c r="T249"/>
  <c r="T250"/>
  <c r="T251"/>
  <c r="T252"/>
  <c r="T253"/>
  <c r="T254"/>
  <c r="T255"/>
  <c r="T256"/>
  <c r="T257"/>
  <c r="T258"/>
  <c r="T259"/>
  <c r="T260"/>
  <c r="T261"/>
  <c r="T262"/>
  <c r="T263"/>
  <c r="T264"/>
  <c r="T265"/>
  <c r="T266"/>
  <c r="T267"/>
  <c r="T268"/>
  <c r="T269"/>
  <c r="T270"/>
  <c r="T271"/>
  <c r="T272"/>
  <c r="T273"/>
  <c r="T274"/>
  <c r="T275"/>
  <c r="T276"/>
  <c r="T277"/>
  <c r="T278"/>
  <c r="T279"/>
  <c r="T280"/>
  <c r="T281"/>
  <c r="T282"/>
  <c r="T283"/>
  <c r="T284"/>
  <c r="T285"/>
  <c r="T286"/>
  <c r="T287"/>
  <c r="T288"/>
  <c r="T289"/>
  <c r="T290"/>
  <c r="T291"/>
  <c r="T292"/>
  <c r="T293"/>
  <c r="T294"/>
  <c r="T295"/>
  <c r="T296"/>
  <c r="T297"/>
  <c r="T298"/>
  <c r="T299"/>
  <c r="T300"/>
  <c r="T301"/>
  <c r="T302"/>
  <c r="T303"/>
  <c r="T304"/>
  <c r="T305"/>
  <c r="T306"/>
  <c r="T307"/>
  <c r="T308"/>
  <c r="T309"/>
  <c r="T310"/>
  <c r="T311"/>
  <c r="T312"/>
  <c r="T313"/>
  <c r="T314"/>
  <c r="T315"/>
  <c r="T316"/>
  <c r="T317"/>
  <c r="T318"/>
  <c r="T319"/>
  <c r="T320"/>
  <c r="T321"/>
  <c r="T322"/>
  <c r="T323"/>
  <c r="T324"/>
  <c r="T325"/>
  <c r="T326"/>
  <c r="T327"/>
  <c r="T328"/>
  <c r="T329"/>
  <c r="T330"/>
  <c r="T331"/>
  <c r="T332"/>
  <c r="T333"/>
  <c r="T334"/>
  <c r="T335"/>
  <c r="T336"/>
  <c r="T337"/>
  <c r="T338"/>
  <c r="T339"/>
  <c r="T340"/>
  <c r="T341"/>
  <c r="T342"/>
  <c r="T343"/>
  <c r="T344"/>
  <c r="T345"/>
  <c r="T346"/>
  <c r="T347"/>
  <c r="T348"/>
  <c r="T349"/>
  <c r="T350"/>
  <c r="T351"/>
  <c r="T352"/>
  <c r="T353"/>
  <c r="T354"/>
  <c r="T355"/>
  <c r="T356"/>
  <c r="T357"/>
  <c r="T358"/>
  <c r="T359"/>
  <c r="T360"/>
  <c r="T361"/>
  <c r="T362"/>
  <c r="T363"/>
  <c r="T364"/>
  <c r="T365"/>
  <c r="T366"/>
  <c r="T367"/>
  <c r="T368"/>
  <c r="T369"/>
  <c r="T370"/>
  <c r="T371"/>
  <c r="T372"/>
  <c r="T373"/>
  <c r="T374"/>
  <c r="T375"/>
  <c r="T376"/>
  <c r="T377"/>
  <c r="T378"/>
  <c r="T379"/>
  <c r="T380"/>
  <c r="T381"/>
  <c r="T382"/>
  <c r="T383"/>
  <c r="T384"/>
  <c r="T385"/>
  <c r="T386"/>
  <c r="T387"/>
  <c r="T388"/>
  <c r="T389"/>
  <c r="T390"/>
  <c r="T391"/>
  <c r="T392"/>
  <c r="T393"/>
  <c r="T394"/>
  <c r="T395"/>
  <c r="T396"/>
  <c r="T397"/>
  <c r="T398"/>
  <c r="T399"/>
  <c r="T400"/>
  <c r="T401"/>
  <c r="T402"/>
  <c r="T403"/>
  <c r="T404"/>
  <c r="T405"/>
  <c r="T406"/>
  <c r="T407"/>
  <c r="T408"/>
  <c r="T409"/>
  <c r="T410"/>
  <c r="T411"/>
  <c r="T412"/>
  <c r="T413"/>
  <c r="T414"/>
  <c r="T415"/>
  <c r="T416"/>
  <c r="T417"/>
  <c r="T418"/>
  <c r="T419"/>
  <c r="T420"/>
  <c r="T421"/>
  <c r="T422"/>
  <c r="T423"/>
  <c r="T424"/>
  <c r="T425"/>
  <c r="T426"/>
  <c r="T427"/>
  <c r="T428"/>
  <c r="T429"/>
  <c r="T430"/>
  <c r="T431"/>
  <c r="T432"/>
  <c r="T433"/>
  <c r="T434"/>
  <c r="T435"/>
  <c r="T436"/>
  <c r="T437"/>
  <c r="T438"/>
  <c r="T439"/>
  <c r="T440"/>
  <c r="T441"/>
  <c r="T442"/>
  <c r="T443"/>
  <c r="T444"/>
  <c r="T445"/>
  <c r="T446"/>
  <c r="T447"/>
  <c r="T448"/>
  <c r="T449"/>
  <c r="T450"/>
  <c r="T451"/>
  <c r="T452"/>
  <c r="T453"/>
  <c r="T454"/>
  <c r="T455"/>
  <c r="T456"/>
  <c r="T457"/>
  <c r="T458"/>
  <c r="T459"/>
  <c r="T460"/>
  <c r="T461"/>
  <c r="T462"/>
  <c r="T463"/>
  <c r="T464"/>
  <c r="T465"/>
  <c r="T466"/>
  <c r="T467"/>
  <c r="T468"/>
  <c r="T469"/>
  <c r="T470"/>
  <c r="T471"/>
  <c r="T472"/>
  <c r="T473"/>
  <c r="T474"/>
  <c r="T475"/>
  <c r="T476"/>
  <c r="T477"/>
  <c r="T478"/>
  <c r="T479"/>
  <c r="T480"/>
  <c r="T481"/>
  <c r="T482"/>
  <c r="T483"/>
  <c r="T484"/>
  <c r="T485"/>
  <c r="T486"/>
  <c r="T487"/>
  <c r="T488"/>
  <c r="T489"/>
  <c r="T490"/>
  <c r="T491"/>
  <c r="T492"/>
  <c r="T493"/>
  <c r="T494"/>
  <c r="T495"/>
  <c r="T496"/>
  <c r="T497"/>
  <c r="T498"/>
  <c r="T499"/>
  <c r="T500"/>
  <c r="T501"/>
  <c r="T502"/>
  <c r="T503"/>
  <c r="T504"/>
  <c r="T505"/>
  <c r="T506"/>
  <c r="T507"/>
  <c r="T508"/>
  <c r="T509"/>
  <c r="T510"/>
  <c r="T511"/>
  <c r="T512"/>
  <c r="T513"/>
  <c r="T514"/>
  <c r="T515"/>
  <c r="T516"/>
  <c r="T517"/>
  <c r="T518"/>
  <c r="T519"/>
  <c r="T520"/>
  <c r="T521"/>
  <c r="T522"/>
  <c r="T523"/>
  <c r="T524"/>
  <c r="T525"/>
  <c r="T526"/>
  <c r="T527"/>
  <c r="T528"/>
  <c r="T529"/>
  <c r="T530"/>
  <c r="T531"/>
  <c r="T532"/>
  <c r="T533"/>
  <c r="T534"/>
  <c r="T535"/>
  <c r="T536"/>
  <c r="T537"/>
  <c r="T538"/>
  <c r="T539"/>
  <c r="T540"/>
  <c r="T541"/>
  <c r="T542"/>
  <c r="T543"/>
  <c r="T544"/>
  <c r="T545"/>
  <c r="T546"/>
  <c r="T547"/>
  <c r="T548"/>
  <c r="T549"/>
  <c r="T550"/>
  <c r="T551"/>
  <c r="T552"/>
  <c r="T553"/>
  <c r="T554"/>
  <c r="T555"/>
  <c r="T556"/>
  <c r="T557"/>
  <c r="T558"/>
  <c r="T559"/>
  <c r="T560"/>
  <c r="T561"/>
  <c r="T562"/>
  <c r="T563"/>
  <c r="T564"/>
  <c r="T565"/>
  <c r="T566"/>
  <c r="T567"/>
  <c r="T568"/>
  <c r="T569"/>
  <c r="T570"/>
  <c r="T571"/>
  <c r="T572"/>
  <c r="T573"/>
  <c r="T574"/>
  <c r="T575"/>
  <c r="T576"/>
  <c r="T577"/>
  <c r="T578"/>
  <c r="T579"/>
  <c r="T580"/>
  <c r="T581"/>
  <c r="T582"/>
  <c r="T583"/>
  <c r="T584"/>
  <c r="T585"/>
  <c r="T586"/>
  <c r="T587"/>
  <c r="T588"/>
  <c r="T589"/>
  <c r="T590"/>
  <c r="T591"/>
  <c r="T592"/>
  <c r="T593"/>
  <c r="T594"/>
  <c r="T595"/>
  <c r="T596"/>
  <c r="T597"/>
  <c r="T598"/>
  <c r="T599"/>
  <c r="T600"/>
  <c r="T601"/>
  <c r="T602"/>
  <c r="T603"/>
  <c r="T604"/>
  <c r="T605"/>
  <c r="T606"/>
  <c r="T607"/>
  <c r="T608"/>
  <c r="T609"/>
  <c r="T610"/>
  <c r="T611"/>
  <c r="T612"/>
  <c r="T613"/>
  <c r="T614"/>
  <c r="T615"/>
  <c r="T616"/>
  <c r="T617"/>
  <c r="T618"/>
  <c r="T619"/>
  <c r="T620"/>
  <c r="T621"/>
  <c r="T622"/>
  <c r="T623"/>
  <c r="T624"/>
  <c r="T625"/>
  <c r="T626"/>
  <c r="T627"/>
  <c r="Y627" s="1"/>
  <c r="T628"/>
  <c r="T629"/>
  <c r="T630"/>
  <c r="T631"/>
  <c r="T632"/>
  <c r="T633"/>
  <c r="T634"/>
  <c r="T635"/>
  <c r="T636"/>
  <c r="T637"/>
  <c r="T638"/>
  <c r="T639"/>
  <c r="T640"/>
  <c r="T641"/>
  <c r="T642"/>
  <c r="T643"/>
  <c r="T644"/>
  <c r="T645"/>
  <c r="T646"/>
  <c r="T647"/>
  <c r="T648"/>
  <c r="T649"/>
  <c r="T650"/>
  <c r="T651"/>
  <c r="T652"/>
  <c r="T653"/>
  <c r="T654"/>
  <c r="T655"/>
  <c r="T656"/>
  <c r="T657"/>
  <c r="T658"/>
  <c r="T659"/>
  <c r="T660"/>
  <c r="T661"/>
  <c r="T662"/>
  <c r="T663"/>
  <c r="T664"/>
  <c r="T665"/>
  <c r="T666"/>
  <c r="T667"/>
  <c r="T668"/>
  <c r="T669"/>
  <c r="T670"/>
  <c r="T671"/>
  <c r="T672"/>
  <c r="T673"/>
  <c r="T674"/>
  <c r="T675"/>
  <c r="T676"/>
  <c r="T677"/>
  <c r="T678"/>
  <c r="T679"/>
  <c r="T680"/>
  <c r="T681"/>
  <c r="T682"/>
  <c r="T683"/>
  <c r="T684"/>
  <c r="T685"/>
  <c r="T686"/>
  <c r="T687"/>
  <c r="T688"/>
  <c r="T689"/>
  <c r="T690"/>
  <c r="T691"/>
  <c r="T692"/>
  <c r="T693"/>
  <c r="T694"/>
  <c r="T695"/>
  <c r="T696"/>
  <c r="T697"/>
  <c r="T698"/>
  <c r="T699"/>
  <c r="T700"/>
  <c r="T701"/>
  <c r="T702"/>
  <c r="T703"/>
  <c r="T704"/>
  <c r="T705"/>
  <c r="T706"/>
  <c r="T707"/>
  <c r="T708"/>
  <c r="T709"/>
  <c r="T710"/>
  <c r="T711"/>
  <c r="T712"/>
  <c r="T713"/>
  <c r="T714"/>
  <c r="T715"/>
  <c r="T716"/>
  <c r="T717"/>
  <c r="T718"/>
  <c r="T719"/>
  <c r="T720"/>
  <c r="T721"/>
  <c r="T722"/>
  <c r="T723"/>
  <c r="T724"/>
  <c r="T725"/>
  <c r="T726"/>
  <c r="T14"/>
  <c r="T727"/>
  <c r="T728"/>
  <c r="T729"/>
  <c r="T730"/>
  <c r="T731"/>
  <c r="T732"/>
  <c r="T733"/>
  <c r="T734"/>
  <c r="T735"/>
  <c r="T736"/>
  <c r="T737"/>
  <c r="T738"/>
  <c r="T739"/>
  <c r="T740"/>
  <c r="T741"/>
  <c r="T742"/>
  <c r="T743"/>
  <c r="T744"/>
  <c r="T745"/>
  <c r="T746"/>
  <c r="T747"/>
  <c r="T748"/>
  <c r="T749"/>
  <c r="T750"/>
  <c r="T751"/>
  <c r="T752"/>
  <c r="T753"/>
  <c r="T754"/>
  <c r="T755"/>
  <c r="T756"/>
  <c r="T757"/>
  <c r="T758"/>
  <c r="T759"/>
  <c r="T760"/>
  <c r="T761"/>
  <c r="Z761" s="1"/>
  <c r="T762"/>
  <c r="T763"/>
  <c r="T764"/>
  <c r="T765"/>
  <c r="T766"/>
  <c r="T767"/>
  <c r="T768"/>
  <c r="T769"/>
  <c r="T770"/>
  <c r="Z770" s="1"/>
  <c r="T771"/>
  <c r="T772"/>
  <c r="T773"/>
  <c r="T774"/>
  <c r="T775"/>
  <c r="T776"/>
  <c r="T777"/>
  <c r="T778"/>
  <c r="T779"/>
  <c r="T780"/>
  <c r="T781"/>
  <c r="T782"/>
  <c r="T783"/>
  <c r="T784"/>
  <c r="T785"/>
  <c r="T786"/>
  <c r="T787"/>
  <c r="T788"/>
  <c r="T789"/>
  <c r="T790"/>
  <c r="T791"/>
  <c r="T792"/>
  <c r="T793"/>
  <c r="T794"/>
  <c r="T795"/>
  <c r="T796"/>
  <c r="T797"/>
  <c r="T798"/>
  <c r="T799"/>
  <c r="T800"/>
  <c r="T801"/>
  <c r="T802"/>
  <c r="T803"/>
  <c r="T804"/>
  <c r="T805"/>
  <c r="T806"/>
  <c r="T807"/>
  <c r="T808"/>
  <c r="T809"/>
  <c r="T810"/>
  <c r="T811"/>
  <c r="T812"/>
  <c r="T813"/>
  <c r="T814"/>
  <c r="T815"/>
  <c r="T816"/>
  <c r="T817"/>
  <c r="T818"/>
  <c r="T819"/>
  <c r="T820"/>
  <c r="T821"/>
  <c r="T822"/>
  <c r="T823"/>
  <c r="T824"/>
  <c r="T825"/>
  <c r="T826"/>
  <c r="T827"/>
  <c r="T828"/>
  <c r="T829"/>
  <c r="T830"/>
  <c r="T831"/>
  <c r="T832"/>
  <c r="T833"/>
  <c r="T834"/>
  <c r="T835"/>
  <c r="T836"/>
  <c r="T837"/>
  <c r="T838"/>
  <c r="T839"/>
  <c r="T840"/>
  <c r="T841"/>
  <c r="T842"/>
  <c r="T843"/>
  <c r="T844"/>
  <c r="T845"/>
  <c r="T846"/>
  <c r="T847"/>
  <c r="T848"/>
  <c r="T849"/>
  <c r="T850"/>
  <c r="T851"/>
  <c r="T852"/>
  <c r="T853"/>
  <c r="T854"/>
  <c r="T855"/>
  <c r="T856"/>
  <c r="T857"/>
  <c r="T858"/>
  <c r="T859"/>
  <c r="T860"/>
  <c r="T861"/>
  <c r="T862"/>
  <c r="T863"/>
  <c r="T864"/>
  <c r="T865"/>
  <c r="T866"/>
  <c r="T867"/>
  <c r="T868"/>
  <c r="T869"/>
  <c r="T870"/>
  <c r="T871"/>
  <c r="T872"/>
  <c r="T873"/>
  <c r="T874"/>
  <c r="T875"/>
  <c r="T876"/>
  <c r="T877"/>
  <c r="T878"/>
  <c r="T879"/>
  <c r="T880"/>
  <c r="T881"/>
  <c r="T882"/>
  <c r="T883"/>
  <c r="T884"/>
  <c r="T885"/>
  <c r="T886"/>
  <c r="T887"/>
  <c r="T888"/>
  <c r="T889"/>
  <c r="T890"/>
  <c r="T891"/>
  <c r="T892"/>
  <c r="T893"/>
  <c r="T894"/>
  <c r="T895"/>
  <c r="T896"/>
  <c r="T897"/>
  <c r="T898"/>
  <c r="T899"/>
  <c r="Z899" s="1"/>
  <c r="T900"/>
  <c r="Z900" s="1"/>
  <c r="T901"/>
  <c r="T902"/>
  <c r="T903"/>
  <c r="T904"/>
  <c r="T905"/>
  <c r="T906"/>
  <c r="T907"/>
  <c r="T908"/>
  <c r="T909"/>
  <c r="T910"/>
  <c r="T911"/>
  <c r="T912"/>
  <c r="T913"/>
  <c r="T914"/>
  <c r="T915"/>
  <c r="T916"/>
  <c r="T917"/>
  <c r="T918"/>
  <c r="T919"/>
  <c r="T920"/>
  <c r="T921"/>
  <c r="T922"/>
  <c r="T923"/>
  <c r="T924"/>
  <c r="T925"/>
  <c r="T926"/>
  <c r="T927"/>
  <c r="T928"/>
  <c r="T929"/>
  <c r="T930"/>
  <c r="T931"/>
  <c r="T932"/>
  <c r="T933"/>
  <c r="T934"/>
  <c r="T935"/>
  <c r="T936"/>
  <c r="T937"/>
  <c r="T938"/>
  <c r="T939"/>
  <c r="T940"/>
  <c r="T941"/>
  <c r="T942"/>
  <c r="T943"/>
  <c r="T944"/>
  <c r="T945"/>
  <c r="T946"/>
  <c r="T947"/>
  <c r="T948"/>
  <c r="T949"/>
  <c r="T950"/>
  <c r="T951"/>
  <c r="T952"/>
  <c r="T953"/>
  <c r="T954"/>
  <c r="T955"/>
  <c r="T956"/>
  <c r="T957"/>
  <c r="T958"/>
  <c r="T959"/>
  <c r="T960"/>
  <c r="T961"/>
  <c r="T962"/>
  <c r="T963"/>
  <c r="T964"/>
  <c r="T965"/>
  <c r="T966"/>
  <c r="T967"/>
  <c r="T968"/>
  <c r="T969"/>
  <c r="T970"/>
  <c r="T971"/>
  <c r="T972"/>
  <c r="T973"/>
  <c r="T6"/>
  <c r="T974"/>
  <c r="T975"/>
  <c r="T976"/>
  <c r="T977"/>
  <c r="T978"/>
  <c r="T979"/>
  <c r="T980"/>
  <c r="T981"/>
  <c r="T982"/>
  <c r="T983"/>
  <c r="T984"/>
  <c r="T985"/>
  <c r="T986"/>
  <c r="T987"/>
  <c r="T988"/>
  <c r="T989"/>
  <c r="T990"/>
  <c r="T991"/>
  <c r="T992"/>
  <c r="T993"/>
  <c r="T994"/>
  <c r="T995"/>
  <c r="T996"/>
  <c r="T997"/>
  <c r="T998"/>
  <c r="T999"/>
  <c r="T1000"/>
  <c r="T1001"/>
  <c r="T1002"/>
  <c r="T1003"/>
  <c r="T1004"/>
  <c r="T1005"/>
  <c r="T1006"/>
  <c r="T1007"/>
  <c r="T1008"/>
  <c r="T1009"/>
  <c r="T1010"/>
  <c r="T1011"/>
  <c r="T1012"/>
  <c r="T1013"/>
  <c r="T1014"/>
  <c r="T1015"/>
  <c r="T1016"/>
  <c r="T1017"/>
  <c r="T1018"/>
  <c r="T1019"/>
  <c r="T1020"/>
  <c r="T1021"/>
  <c r="T1022"/>
  <c r="T1023"/>
  <c r="T1024"/>
  <c r="T1025"/>
  <c r="T1026"/>
  <c r="T1027"/>
  <c r="T1028"/>
  <c r="T1029"/>
  <c r="T1030"/>
  <c r="T1031"/>
  <c r="T1032"/>
  <c r="T1033"/>
  <c r="T1034"/>
  <c r="T1035"/>
  <c r="T1036"/>
  <c r="T1037"/>
  <c r="T1038"/>
  <c r="T1039"/>
  <c r="T1040"/>
  <c r="T1041"/>
  <c r="T1042"/>
  <c r="T1043"/>
  <c r="T1044"/>
  <c r="T1045"/>
  <c r="T1046"/>
  <c r="T1047"/>
  <c r="T1048"/>
  <c r="T1049"/>
  <c r="T1050"/>
  <c r="T1051"/>
  <c r="T1052"/>
  <c r="T1053"/>
  <c r="T1054"/>
  <c r="T1055"/>
  <c r="T1056"/>
  <c r="T1057"/>
  <c r="T1058"/>
  <c r="T1059"/>
  <c r="T1060"/>
  <c r="T1061"/>
  <c r="T1062"/>
  <c r="T1063"/>
  <c r="T1064"/>
  <c r="T1065"/>
  <c r="T1066"/>
  <c r="T1067"/>
  <c r="T1068"/>
  <c r="T1069"/>
  <c r="T1070"/>
  <c r="T1071"/>
  <c r="T1072"/>
  <c r="T1073"/>
  <c r="T1074"/>
  <c r="T1075"/>
  <c r="T1076"/>
  <c r="T1077"/>
  <c r="T1078"/>
  <c r="T1079"/>
  <c r="T1080"/>
  <c r="T1081"/>
  <c r="T1082"/>
  <c r="T1083"/>
  <c r="T1084"/>
  <c r="T1085"/>
  <c r="T1086"/>
  <c r="T1087"/>
  <c r="T1088"/>
  <c r="T1089"/>
  <c r="T1090"/>
  <c r="T1091"/>
  <c r="T1092"/>
  <c r="T1093"/>
  <c r="T1094"/>
  <c r="T1095"/>
  <c r="T1096"/>
  <c r="T1097"/>
  <c r="T1098"/>
  <c r="T1099"/>
  <c r="T1100"/>
  <c r="T1101"/>
  <c r="T1102"/>
  <c r="T1103"/>
  <c r="T1104"/>
  <c r="T1105"/>
  <c r="T1106"/>
  <c r="T1107"/>
  <c r="T1108"/>
  <c r="T1109"/>
  <c r="T1110"/>
  <c r="T1111"/>
  <c r="T1112"/>
  <c r="T1113"/>
  <c r="T1114"/>
  <c r="T1115"/>
  <c r="T1116"/>
  <c r="T1117"/>
  <c r="T1118"/>
  <c r="T1119"/>
  <c r="T1120"/>
  <c r="T1121"/>
  <c r="T1122"/>
  <c r="T1123"/>
  <c r="T1124"/>
  <c r="T1125"/>
  <c r="T1126"/>
  <c r="T1127"/>
  <c r="T1128"/>
  <c r="T1129"/>
  <c r="T1130"/>
  <c r="T1131"/>
  <c r="T1132"/>
  <c r="T1133"/>
  <c r="T1134"/>
  <c r="T1135"/>
  <c r="T1136"/>
  <c r="T1137"/>
  <c r="T1138"/>
  <c r="T1139"/>
  <c r="T1140"/>
  <c r="T1141"/>
  <c r="T1142"/>
  <c r="T1143"/>
  <c r="T1144"/>
  <c r="T1145"/>
  <c r="T1146"/>
  <c r="T1147"/>
  <c r="T1148"/>
  <c r="T1149"/>
  <c r="T1150"/>
  <c r="T1151"/>
  <c r="T1152"/>
  <c r="T1153"/>
  <c r="T1154"/>
  <c r="T1155"/>
  <c r="T1156"/>
  <c r="T1157"/>
  <c r="T1158"/>
  <c r="T1159"/>
  <c r="T1160"/>
  <c r="T1161"/>
  <c r="T1162"/>
  <c r="T1163"/>
  <c r="T1164"/>
  <c r="T1165"/>
  <c r="T1166"/>
  <c r="T1167"/>
  <c r="T1168"/>
  <c r="T1169"/>
  <c r="T1170"/>
  <c r="T1171"/>
  <c r="T1172"/>
  <c r="T1173"/>
  <c r="T1174"/>
  <c r="T1175"/>
  <c r="T1176"/>
  <c r="T1177"/>
  <c r="T1178"/>
  <c r="T1179"/>
  <c r="T1180"/>
  <c r="T1181"/>
  <c r="T1182"/>
  <c r="T1183"/>
  <c r="T1184"/>
  <c r="T1185"/>
  <c r="T1186"/>
  <c r="T1187"/>
  <c r="T1188"/>
  <c r="T1189"/>
  <c r="T1190"/>
  <c r="T1191"/>
  <c r="T1192"/>
  <c r="T1193"/>
  <c r="T1194"/>
  <c r="T1195"/>
  <c r="T1196"/>
  <c r="T1197"/>
  <c r="T1198"/>
  <c r="T1199"/>
  <c r="T1200"/>
  <c r="T1201"/>
  <c r="T1202"/>
  <c r="T1203"/>
  <c r="T1204"/>
  <c r="T1205"/>
  <c r="T1206"/>
  <c r="T1207"/>
  <c r="T1208"/>
  <c r="T1209"/>
  <c r="T1210"/>
  <c r="T1211"/>
  <c r="T1212"/>
  <c r="T1213"/>
  <c r="T1214"/>
  <c r="T1215"/>
  <c r="T1216"/>
  <c r="T1217"/>
  <c r="T1218"/>
  <c r="T1219"/>
  <c r="T1220"/>
  <c r="T1221"/>
  <c r="T1222"/>
  <c r="T1223"/>
  <c r="T1224"/>
  <c r="T1225"/>
  <c r="T1226"/>
  <c r="T1227"/>
  <c r="T1228"/>
  <c r="T1229"/>
  <c r="T1230"/>
  <c r="T1231"/>
  <c r="T1232"/>
  <c r="T1233"/>
  <c r="T1234"/>
  <c r="T1235"/>
  <c r="T1236"/>
  <c r="T1237"/>
  <c r="T1238"/>
  <c r="T1239"/>
  <c r="T1240"/>
  <c r="T1241"/>
  <c r="T1242"/>
  <c r="T1243"/>
  <c r="T1244"/>
  <c r="T1245"/>
  <c r="T1246"/>
  <c r="T1247"/>
  <c r="T1248"/>
  <c r="T1249"/>
  <c r="T1250"/>
  <c r="T1251"/>
  <c r="T1252"/>
  <c r="T1253"/>
  <c r="T1254"/>
  <c r="T1255"/>
  <c r="T1256"/>
  <c r="T1257"/>
  <c r="T1258"/>
  <c r="T1259"/>
  <c r="T1260"/>
  <c r="T1261"/>
  <c r="T1262"/>
  <c r="T1263"/>
  <c r="T1264"/>
  <c r="T1265"/>
  <c r="T1266"/>
  <c r="T1267"/>
  <c r="T1268"/>
  <c r="T1269"/>
  <c r="T1270"/>
  <c r="T1271"/>
  <c r="T1272"/>
  <c r="T17"/>
  <c r="T1273"/>
  <c r="T1274"/>
  <c r="T1275"/>
  <c r="T1276"/>
  <c r="T1277"/>
  <c r="T1278"/>
  <c r="T1279"/>
  <c r="T1280"/>
  <c r="T1281"/>
  <c r="T1282"/>
  <c r="T1283"/>
  <c r="T1284"/>
  <c r="T1285"/>
  <c r="T1286"/>
  <c r="T1287"/>
  <c r="T1288"/>
  <c r="T1289"/>
  <c r="T1290"/>
  <c r="T1291"/>
  <c r="T1292"/>
  <c r="T1293"/>
  <c r="T1294"/>
  <c r="T1295"/>
  <c r="T1296"/>
  <c r="T1297"/>
  <c r="T1298"/>
  <c r="T1299"/>
  <c r="T1300"/>
  <c r="T1301"/>
  <c r="T1302"/>
  <c r="T1303"/>
  <c r="T1304"/>
  <c r="T1305"/>
  <c r="T1306"/>
  <c r="Z1306" s="1"/>
  <c r="T1307"/>
  <c r="T1308"/>
  <c r="T1309"/>
  <c r="T1310"/>
  <c r="T1311"/>
  <c r="T1312"/>
  <c r="T1313"/>
  <c r="T1314"/>
  <c r="T1315"/>
  <c r="T1316"/>
  <c r="T1317"/>
  <c r="T1318"/>
  <c r="T1319"/>
  <c r="T1320"/>
  <c r="T1321"/>
  <c r="T1322"/>
  <c r="T1323"/>
  <c r="T1324"/>
  <c r="T1325"/>
  <c r="T1326"/>
  <c r="T1327"/>
  <c r="T1328"/>
  <c r="T1329"/>
  <c r="T1330"/>
  <c r="T1331"/>
  <c r="T1332"/>
  <c r="T1333"/>
  <c r="T1334"/>
  <c r="T1335"/>
  <c r="T1336"/>
  <c r="T1337"/>
  <c r="T1338"/>
  <c r="T1339"/>
  <c r="T1340"/>
  <c r="T1341"/>
  <c r="T1342"/>
  <c r="T1343"/>
  <c r="T1344"/>
  <c r="T1345"/>
  <c r="T1346"/>
  <c r="T1347"/>
  <c r="T1348"/>
  <c r="T1349"/>
  <c r="T1350"/>
  <c r="T1351"/>
  <c r="T1352"/>
  <c r="T1353"/>
  <c r="T1354"/>
  <c r="T1355"/>
  <c r="T1356"/>
  <c r="T1357"/>
  <c r="T1358"/>
  <c r="T1359"/>
  <c r="T1360"/>
  <c r="T1361"/>
  <c r="T1362"/>
  <c r="T1363"/>
  <c r="T1364"/>
  <c r="T1365"/>
  <c r="T1366"/>
  <c r="T1367"/>
  <c r="T1368"/>
  <c r="T1369"/>
  <c r="T1370"/>
  <c r="T1371"/>
  <c r="T1372"/>
  <c r="T1373"/>
  <c r="T1374"/>
  <c r="T1375"/>
  <c r="T1376"/>
  <c r="T1377"/>
  <c r="T1378"/>
  <c r="T1379"/>
  <c r="T1380"/>
  <c r="T1381"/>
  <c r="T1382"/>
  <c r="T1383"/>
  <c r="T1384"/>
  <c r="T1385"/>
  <c r="T1386"/>
  <c r="T1387"/>
  <c r="T1388"/>
  <c r="T1389"/>
  <c r="T1390"/>
  <c r="T1391"/>
  <c r="T1392"/>
  <c r="T1393"/>
  <c r="T1394"/>
  <c r="T1395"/>
  <c r="T1396"/>
  <c r="T1397"/>
  <c r="T1398"/>
  <c r="T1399"/>
  <c r="T1400"/>
  <c r="T1401"/>
  <c r="T1402"/>
  <c r="T1403"/>
  <c r="T1404"/>
  <c r="T1405"/>
  <c r="T1406"/>
  <c r="T1407"/>
  <c r="T1408"/>
  <c r="T1409"/>
  <c r="T1410"/>
  <c r="T1411"/>
  <c r="T1412"/>
  <c r="T1413"/>
  <c r="T1414"/>
  <c r="T1415"/>
  <c r="T1416"/>
  <c r="T1417"/>
  <c r="T1418"/>
  <c r="T1419"/>
  <c r="T1420"/>
  <c r="T1421"/>
  <c r="T1422"/>
  <c r="T1423"/>
  <c r="T1424"/>
  <c r="T1425"/>
  <c r="T1426"/>
  <c r="T1427"/>
  <c r="T1428"/>
  <c r="T1429"/>
  <c r="T1430"/>
  <c r="T1431"/>
  <c r="T1432"/>
  <c r="T1433"/>
  <c r="T1434"/>
  <c r="T1435"/>
  <c r="T1436"/>
  <c r="T1437"/>
  <c r="T1438"/>
  <c r="T1439"/>
  <c r="T1440"/>
  <c r="T1441"/>
  <c r="T1442"/>
  <c r="T1443"/>
  <c r="T1444"/>
  <c r="T1445"/>
  <c r="T1446"/>
  <c r="T1447"/>
  <c r="T1448"/>
  <c r="T1449"/>
  <c r="T1450"/>
  <c r="T1451"/>
  <c r="T1452"/>
  <c r="T1453"/>
  <c r="T1454"/>
  <c r="T1455"/>
  <c r="T1456"/>
  <c r="T1457"/>
  <c r="T1458"/>
  <c r="T1459"/>
  <c r="T1460"/>
  <c r="T1461"/>
  <c r="T1462"/>
  <c r="T1463"/>
  <c r="T1464"/>
  <c r="T1465"/>
  <c r="T1466"/>
  <c r="T1467"/>
  <c r="T1468"/>
  <c r="T1469"/>
  <c r="T1470"/>
  <c r="T1471"/>
  <c r="T1472"/>
  <c r="T1473"/>
  <c r="T1474"/>
  <c r="T1475"/>
  <c r="T1476"/>
  <c r="T1477"/>
  <c r="T1478"/>
  <c r="T1479"/>
  <c r="T1480"/>
  <c r="T1481"/>
  <c r="T1482"/>
  <c r="T1483"/>
  <c r="T1484"/>
  <c r="T1485"/>
  <c r="T1486"/>
  <c r="T1487"/>
  <c r="T1488"/>
  <c r="T1489"/>
  <c r="T1490"/>
  <c r="T1491"/>
  <c r="T1492"/>
  <c r="T1493"/>
  <c r="T1494"/>
  <c r="T1495"/>
  <c r="T1496"/>
  <c r="T1497"/>
  <c r="T1498"/>
  <c r="T1499"/>
  <c r="T1500"/>
  <c r="T1501"/>
  <c r="T1502"/>
  <c r="T1503"/>
  <c r="T1504"/>
  <c r="T1505"/>
  <c r="T1506"/>
  <c r="T1507"/>
  <c r="T1508"/>
  <c r="T1509"/>
  <c r="T1510"/>
  <c r="T1511"/>
  <c r="T1512"/>
  <c r="T1513"/>
  <c r="T1514"/>
  <c r="T1515"/>
  <c r="T1516"/>
  <c r="T1517"/>
  <c r="T1518"/>
  <c r="T1519"/>
  <c r="T1520"/>
  <c r="T1521"/>
  <c r="T1522"/>
  <c r="T1523"/>
  <c r="T1524"/>
  <c r="T1525"/>
  <c r="T1526"/>
  <c r="T1527"/>
  <c r="T1528"/>
  <c r="T1529"/>
  <c r="T1530"/>
  <c r="T1531"/>
  <c r="T1532"/>
  <c r="T1533"/>
  <c r="T1534"/>
  <c r="T1535"/>
  <c r="T1536"/>
  <c r="T1537"/>
  <c r="T1538"/>
  <c r="T1539"/>
  <c r="T1540"/>
  <c r="T1541"/>
  <c r="T1542"/>
  <c r="T1543"/>
  <c r="T1544"/>
  <c r="T1545"/>
  <c r="T1546"/>
  <c r="T1547"/>
  <c r="T1548"/>
  <c r="T1549"/>
  <c r="T1550"/>
  <c r="T1551"/>
  <c r="T1552"/>
  <c r="T1553"/>
  <c r="T1554"/>
  <c r="T1555"/>
  <c r="T1556"/>
  <c r="T1557"/>
  <c r="T1558"/>
  <c r="T1559"/>
  <c r="T1560"/>
  <c r="T1561"/>
  <c r="T1562"/>
  <c r="T1563"/>
  <c r="T1564"/>
  <c r="T1565"/>
  <c r="T1566"/>
  <c r="T1567"/>
  <c r="T1568"/>
  <c r="T1569"/>
  <c r="T1570"/>
  <c r="Y1570" s="1"/>
  <c r="T1571"/>
  <c r="T1572"/>
  <c r="T1573"/>
  <c r="T1574"/>
  <c r="T1575"/>
  <c r="T1576"/>
  <c r="T1577"/>
  <c r="T1578"/>
  <c r="T1579"/>
  <c r="T1580"/>
  <c r="T1581"/>
  <c r="T1582"/>
  <c r="T1583"/>
  <c r="T1584"/>
  <c r="T1585"/>
  <c r="T1586"/>
  <c r="T1587"/>
  <c r="T1588"/>
  <c r="T1589"/>
  <c r="T1590"/>
  <c r="T1591"/>
  <c r="T1592"/>
  <c r="T1593"/>
  <c r="T1594"/>
  <c r="T1595"/>
  <c r="T1596"/>
  <c r="T1597"/>
  <c r="T1598"/>
  <c r="T1599"/>
  <c r="T1600"/>
  <c r="T1601"/>
  <c r="T1602"/>
  <c r="T1603"/>
  <c r="T1604"/>
  <c r="T1605"/>
  <c r="T1606"/>
  <c r="T1607"/>
  <c r="T1608"/>
  <c r="T1609"/>
  <c r="T1610"/>
  <c r="T1611"/>
  <c r="T1612"/>
  <c r="T1613"/>
  <c r="T1614"/>
  <c r="T1615"/>
  <c r="T1616"/>
  <c r="Z1616" s="1"/>
  <c r="T1617"/>
  <c r="T1618"/>
  <c r="T1619"/>
  <c r="T1620"/>
  <c r="T1621"/>
  <c r="T11"/>
  <c r="T1622"/>
  <c r="T1623"/>
  <c r="T1624"/>
  <c r="T1625"/>
  <c r="T1626"/>
  <c r="T1627"/>
  <c r="T1628"/>
  <c r="T1629"/>
  <c r="T1630"/>
  <c r="T1631"/>
  <c r="T1632"/>
  <c r="T1633"/>
  <c r="T1634"/>
  <c r="T1635"/>
  <c r="T1636"/>
  <c r="T1637"/>
  <c r="T1638"/>
  <c r="T1639"/>
  <c r="T1640"/>
  <c r="T1641"/>
  <c r="T1642"/>
  <c r="T1643"/>
  <c r="T1644"/>
  <c r="T1645"/>
  <c r="T1646"/>
  <c r="T1647"/>
  <c r="T1648"/>
  <c r="T1649"/>
  <c r="T1650"/>
  <c r="T1651"/>
  <c r="T1652"/>
  <c r="T1653"/>
  <c r="T1654"/>
  <c r="T1655"/>
  <c r="T1656"/>
  <c r="T1657"/>
  <c r="T1658"/>
  <c r="T1659"/>
  <c r="T1660"/>
  <c r="T1661"/>
  <c r="T1662"/>
  <c r="T1663"/>
  <c r="T1664"/>
  <c r="T1665"/>
  <c r="T1666"/>
  <c r="T1667"/>
  <c r="T1668"/>
  <c r="T1669"/>
  <c r="T1670"/>
  <c r="T1671"/>
  <c r="T1672"/>
  <c r="T1673"/>
  <c r="T1674"/>
  <c r="T1675"/>
  <c r="T1676"/>
  <c r="T1677"/>
  <c r="T1678"/>
  <c r="T1679"/>
  <c r="T1680"/>
  <c r="T1681"/>
  <c r="T1682"/>
  <c r="T1683"/>
  <c r="T1684"/>
  <c r="T1685"/>
  <c r="T1686"/>
  <c r="T1687"/>
  <c r="T1688"/>
  <c r="T1689"/>
  <c r="T1690"/>
  <c r="T1691"/>
  <c r="T1692"/>
  <c r="T1693"/>
  <c r="T1694"/>
  <c r="T1695"/>
  <c r="T1696"/>
  <c r="T1697"/>
  <c r="T1698"/>
  <c r="T1699"/>
  <c r="T1700"/>
  <c r="T1701"/>
  <c r="T1702"/>
  <c r="T1703"/>
  <c r="T1704"/>
  <c r="T1705"/>
  <c r="T1706"/>
  <c r="T1707"/>
  <c r="T1708"/>
  <c r="T1709"/>
  <c r="T1710"/>
  <c r="T1711"/>
  <c r="T1712"/>
  <c r="T1713"/>
  <c r="T1714"/>
  <c r="T1715"/>
  <c r="T1716"/>
  <c r="T1717"/>
  <c r="T1718"/>
  <c r="T1719"/>
  <c r="T1720"/>
  <c r="T1721"/>
  <c r="T1722"/>
  <c r="T1723"/>
  <c r="T1724"/>
  <c r="T1725"/>
  <c r="T1726"/>
  <c r="T1727"/>
  <c r="T1728"/>
  <c r="T1729"/>
  <c r="T1730"/>
  <c r="T1731"/>
  <c r="T7"/>
  <c r="T1732"/>
  <c r="T1733"/>
  <c r="T1734"/>
  <c r="T1735"/>
  <c r="T1736"/>
  <c r="T1737"/>
  <c r="T1738"/>
  <c r="T1739"/>
  <c r="T1740"/>
  <c r="T1741"/>
  <c r="T1742"/>
  <c r="T1743"/>
  <c r="T1744"/>
  <c r="T1745"/>
  <c r="T1746"/>
  <c r="T1747"/>
  <c r="T1748"/>
  <c r="T1749"/>
  <c r="T1750"/>
  <c r="T1751"/>
  <c r="T1752"/>
  <c r="T1753"/>
  <c r="T1754"/>
  <c r="T1755"/>
  <c r="T1756"/>
  <c r="T1757"/>
  <c r="T1758"/>
  <c r="T1759"/>
  <c r="T1760"/>
  <c r="T1761"/>
  <c r="T1762"/>
  <c r="T1763"/>
  <c r="T1764"/>
  <c r="T1765"/>
  <c r="T1766"/>
  <c r="T1767"/>
  <c r="T1768"/>
  <c r="T1769"/>
  <c r="T1770"/>
  <c r="T1771"/>
  <c r="T1772"/>
  <c r="T1773"/>
  <c r="T1774"/>
  <c r="T1775"/>
  <c r="T1776"/>
  <c r="T1777"/>
  <c r="T1778"/>
  <c r="T1779"/>
  <c r="T1780"/>
  <c r="T1781"/>
  <c r="T1782"/>
  <c r="T1783"/>
  <c r="Z1783" s="1"/>
  <c r="T1784"/>
  <c r="T1785"/>
  <c r="T1786"/>
  <c r="T1787"/>
  <c r="T1788"/>
  <c r="T1789"/>
  <c r="T1790"/>
  <c r="T1791"/>
  <c r="T1792"/>
  <c r="T1793"/>
  <c r="T1794"/>
  <c r="T1795"/>
  <c r="T1796"/>
  <c r="T1797"/>
  <c r="T1798"/>
  <c r="T1799"/>
  <c r="T1800"/>
  <c r="T1801"/>
  <c r="T1802"/>
  <c r="T1803"/>
  <c r="T1804"/>
  <c r="T1805"/>
  <c r="T1806"/>
  <c r="T1807"/>
  <c r="T1808"/>
  <c r="T1809"/>
  <c r="T1810"/>
  <c r="T1811"/>
  <c r="T1812"/>
  <c r="T1813"/>
  <c r="T1814"/>
  <c r="T1815"/>
  <c r="T1816"/>
  <c r="T1817"/>
  <c r="T1818"/>
  <c r="T1819"/>
  <c r="T1820"/>
  <c r="T1821"/>
  <c r="T1822"/>
  <c r="T1823"/>
  <c r="T1824"/>
  <c r="T1825"/>
  <c r="T1826"/>
  <c r="T1827"/>
  <c r="T1828"/>
  <c r="T1829"/>
  <c r="T1830"/>
  <c r="T1831"/>
  <c r="T1832"/>
  <c r="T1833"/>
  <c r="T1834"/>
  <c r="T1835"/>
  <c r="T1836"/>
  <c r="T1837"/>
  <c r="T1838"/>
  <c r="T1839"/>
  <c r="T1840"/>
  <c r="T1841"/>
  <c r="T8"/>
  <c r="T1842"/>
  <c r="T1843"/>
  <c r="T1844"/>
  <c r="T1845"/>
  <c r="T1846"/>
  <c r="T1847"/>
  <c r="T1848"/>
  <c r="T1849"/>
  <c r="T1850"/>
  <c r="T1851"/>
  <c r="T1852"/>
  <c r="T1853"/>
  <c r="T1854"/>
  <c r="T1855"/>
  <c r="T1856"/>
  <c r="T1857"/>
  <c r="T1858"/>
  <c r="T12"/>
  <c r="T1859"/>
  <c r="T1860"/>
  <c r="T1861"/>
  <c r="T1862"/>
  <c r="T1863"/>
  <c r="T1864"/>
  <c r="T1865"/>
  <c r="T1866"/>
  <c r="T1867"/>
  <c r="T1868"/>
  <c r="T1869"/>
  <c r="T1870"/>
  <c r="T1871"/>
  <c r="T1872"/>
  <c r="T1873"/>
  <c r="T1874"/>
  <c r="T1875"/>
  <c r="T1876"/>
  <c r="T1877"/>
  <c r="T1878"/>
  <c r="T1879"/>
  <c r="T1880"/>
  <c r="T1881"/>
  <c r="T1882"/>
  <c r="T1883"/>
  <c r="T1884"/>
  <c r="T1885"/>
  <c r="T1886"/>
  <c r="T1887"/>
  <c r="T1888"/>
  <c r="T1889"/>
  <c r="T1890"/>
  <c r="T1891"/>
  <c r="T1892"/>
  <c r="T1893"/>
  <c r="T1894"/>
  <c r="T1895"/>
  <c r="T1896"/>
  <c r="T1897"/>
  <c r="T1898"/>
  <c r="T1899"/>
  <c r="T1900"/>
  <c r="T1901"/>
  <c r="T1902"/>
  <c r="T1903"/>
  <c r="T1904"/>
  <c r="T1905"/>
  <c r="T1906"/>
  <c r="T1907"/>
  <c r="T1908"/>
  <c r="T1909"/>
  <c r="T1910"/>
  <c r="T1911"/>
  <c r="T1912"/>
  <c r="T1913"/>
  <c r="T1914"/>
  <c r="T1915"/>
  <c r="T1916"/>
  <c r="T1917"/>
  <c r="T1918"/>
  <c r="T1919"/>
  <c r="T1920"/>
  <c r="T1921"/>
  <c r="T1922"/>
  <c r="T1923"/>
  <c r="T1924"/>
  <c r="T1925"/>
  <c r="T1926"/>
  <c r="T1927"/>
  <c r="T1928"/>
  <c r="T1929"/>
  <c r="T16"/>
  <c r="T1930"/>
  <c r="T1931"/>
  <c r="T1932"/>
  <c r="T1933"/>
  <c r="T1934"/>
  <c r="T1935"/>
  <c r="T1936"/>
  <c r="T1937"/>
  <c r="T1938"/>
  <c r="T1939"/>
  <c r="T1940"/>
  <c r="T5"/>
  <c r="T1941"/>
  <c r="T1942"/>
  <c r="T1943"/>
  <c r="T1944"/>
  <c r="T1945"/>
  <c r="T1946"/>
  <c r="T1947"/>
  <c r="T1948"/>
  <c r="T1949"/>
  <c r="T1950"/>
  <c r="T1951"/>
  <c r="T1952"/>
  <c r="T1953"/>
  <c r="T1954"/>
  <c r="T1955"/>
  <c r="T1956"/>
  <c r="T1957"/>
  <c r="T1958"/>
  <c r="T1959"/>
  <c r="T1960"/>
  <c r="T1961"/>
  <c r="T1962"/>
  <c r="T1963"/>
  <c r="T1964"/>
  <c r="T1965"/>
  <c r="T1966"/>
  <c r="T1967"/>
  <c r="T1968"/>
  <c r="T1969"/>
  <c r="T1970"/>
  <c r="T1971"/>
  <c r="T1972"/>
  <c r="T1973"/>
  <c r="T1974"/>
  <c r="T1975"/>
  <c r="T1976"/>
  <c r="T1977"/>
  <c r="T1978"/>
  <c r="T1979"/>
  <c r="T1980"/>
  <c r="T1981"/>
  <c r="T1982"/>
  <c r="T1983"/>
  <c r="T1984"/>
  <c r="T1985"/>
  <c r="T1986"/>
  <c r="T1987"/>
  <c r="T1988"/>
  <c r="T1989"/>
  <c r="T1990"/>
  <c r="T1991"/>
  <c r="T1992"/>
  <c r="T1993"/>
  <c r="T1994"/>
  <c r="T1995"/>
  <c r="T1996"/>
  <c r="T1997"/>
  <c r="T1998"/>
  <c r="T1999"/>
  <c r="T2000"/>
  <c r="T2001"/>
  <c r="T2002"/>
  <c r="T2003"/>
  <c r="T2004"/>
  <c r="T2005"/>
  <c r="T2006"/>
  <c r="T2007"/>
  <c r="T2008"/>
  <c r="T2009"/>
  <c r="T2010"/>
  <c r="T2011"/>
  <c r="T2012"/>
  <c r="T2013"/>
  <c r="T2014"/>
  <c r="T2015"/>
  <c r="T2016"/>
  <c r="T2017"/>
  <c r="T2018"/>
  <c r="T2019"/>
  <c r="T2020"/>
  <c r="T2021"/>
  <c r="T2022"/>
  <c r="T2023"/>
  <c r="T2024"/>
  <c r="T2025"/>
  <c r="T2026"/>
  <c r="T2027"/>
  <c r="T2028"/>
  <c r="T2029"/>
  <c r="T2030"/>
  <c r="T2031"/>
  <c r="T2032"/>
  <c r="T2033"/>
  <c r="T2034"/>
  <c r="T2035"/>
  <c r="T2036"/>
  <c r="T2037"/>
  <c r="T2038"/>
  <c r="T2039"/>
  <c r="T2040"/>
  <c r="T2041"/>
  <c r="T2042"/>
  <c r="T2043"/>
  <c r="T2044"/>
  <c r="T2045"/>
  <c r="T2046"/>
  <c r="T2047"/>
  <c r="T2048"/>
  <c r="T2049"/>
  <c r="T2050"/>
  <c r="T2051"/>
  <c r="T2052"/>
  <c r="T2053"/>
  <c r="T2054"/>
  <c r="T2055"/>
  <c r="T2056"/>
  <c r="T2057"/>
  <c r="T2058"/>
  <c r="T2059"/>
  <c r="T2060"/>
  <c r="T2061"/>
  <c r="T2062"/>
  <c r="T2063"/>
  <c r="T2064"/>
  <c r="T2065"/>
  <c r="T2066"/>
  <c r="T2067"/>
  <c r="T2068"/>
  <c r="T2069"/>
  <c r="T2070"/>
  <c r="T2071"/>
  <c r="T2072"/>
  <c r="T2073"/>
  <c r="T2074"/>
  <c r="T2075"/>
  <c r="T2076"/>
  <c r="T2077"/>
  <c r="T2078"/>
  <c r="T2079"/>
  <c r="T2080"/>
  <c r="T2081"/>
  <c r="T2082"/>
  <c r="T2083"/>
  <c r="T2084"/>
  <c r="T2085"/>
  <c r="T10"/>
  <c r="T2086"/>
  <c r="T2087"/>
  <c r="T2088"/>
  <c r="T2089"/>
  <c r="T2090"/>
  <c r="T2091"/>
  <c r="T2092"/>
  <c r="T2093"/>
  <c r="T2094"/>
  <c r="T2095"/>
  <c r="T2096"/>
  <c r="T2097"/>
  <c r="T2098"/>
  <c r="T2099"/>
  <c r="T2100"/>
  <c r="T2101"/>
  <c r="T2102"/>
  <c r="T2103"/>
  <c r="T2104"/>
  <c r="T2105"/>
  <c r="T2106"/>
  <c r="T2107"/>
  <c r="T2108"/>
  <c r="T2109"/>
  <c r="T2110"/>
  <c r="T2111"/>
  <c r="T2112"/>
  <c r="T2113"/>
  <c r="T2114"/>
  <c r="T2115"/>
  <c r="T2116"/>
  <c r="T2117"/>
  <c r="T2118"/>
  <c r="T2119"/>
  <c r="T2120"/>
  <c r="T2121"/>
  <c r="Z2121" s="1"/>
  <c r="T2122"/>
  <c r="T2123"/>
  <c r="T2124"/>
  <c r="T2125"/>
  <c r="T2126"/>
  <c r="T2127"/>
  <c r="T2128"/>
  <c r="T2129"/>
  <c r="T2130"/>
  <c r="T2131"/>
  <c r="T2132"/>
  <c r="T2133"/>
  <c r="T2134"/>
  <c r="T2135"/>
  <c r="T2136"/>
  <c r="T2137"/>
  <c r="T2138"/>
  <c r="T2139"/>
  <c r="T2140"/>
  <c r="T2141"/>
  <c r="T2142"/>
  <c r="T2143"/>
  <c r="T2144"/>
  <c r="T2145"/>
  <c r="T2146"/>
  <c r="T2147"/>
  <c r="T2148"/>
  <c r="T2149"/>
  <c r="T2150"/>
  <c r="T2151"/>
  <c r="T2152"/>
  <c r="T2153"/>
  <c r="T2154"/>
  <c r="T2155"/>
  <c r="T2156"/>
  <c r="T2157"/>
  <c r="T2158"/>
  <c r="T2159"/>
  <c r="T2160"/>
  <c r="T2161"/>
  <c r="T2162"/>
  <c r="T2163"/>
  <c r="T2164"/>
  <c r="T2165"/>
  <c r="T2166"/>
  <c r="T2167"/>
  <c r="T2168"/>
  <c r="U47"/>
  <c r="Z47" s="1"/>
  <c r="U48"/>
  <c r="U49"/>
  <c r="U50"/>
  <c r="U51"/>
  <c r="U52"/>
  <c r="U53"/>
  <c r="U54"/>
  <c r="U55"/>
  <c r="U56"/>
  <c r="U57"/>
  <c r="U58"/>
  <c r="U59"/>
  <c r="U60"/>
  <c r="U61"/>
  <c r="U62"/>
  <c r="U63"/>
  <c r="U64"/>
  <c r="U65"/>
  <c r="U66"/>
  <c r="U67"/>
  <c r="U68"/>
  <c r="U69"/>
  <c r="U70"/>
  <c r="U71"/>
  <c r="U72"/>
  <c r="U73"/>
  <c r="U74"/>
  <c r="U75"/>
  <c r="U76"/>
  <c r="U9"/>
  <c r="U77"/>
  <c r="U78"/>
  <c r="Z78" s="1"/>
  <c r="U79"/>
  <c r="U80"/>
  <c r="U81"/>
  <c r="U15"/>
  <c r="U82"/>
  <c r="U83"/>
  <c r="U84"/>
  <c r="U85"/>
  <c r="U86"/>
  <c r="U87"/>
  <c r="U88"/>
  <c r="U89"/>
  <c r="U90"/>
  <c r="U91"/>
  <c r="U92"/>
  <c r="U93"/>
  <c r="U94"/>
  <c r="U95"/>
  <c r="U96"/>
  <c r="U97"/>
  <c r="U98"/>
  <c r="U99"/>
  <c r="U100"/>
  <c r="U101"/>
  <c r="U102"/>
  <c r="U103"/>
  <c r="U104"/>
  <c r="U105"/>
  <c r="U106"/>
  <c r="U107"/>
  <c r="U108"/>
  <c r="U109"/>
  <c r="Z109" s="1"/>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145"/>
  <c r="U146"/>
  <c r="U147"/>
  <c r="U148"/>
  <c r="U149"/>
  <c r="U150"/>
  <c r="U151"/>
  <c r="U152"/>
  <c r="U153"/>
  <c r="U154"/>
  <c r="U155"/>
  <c r="U156"/>
  <c r="U157"/>
  <c r="U158"/>
  <c r="U159"/>
  <c r="U160"/>
  <c r="U161"/>
  <c r="U162"/>
  <c r="U163"/>
  <c r="U164"/>
  <c r="U165"/>
  <c r="Z165" s="1"/>
  <c r="U166"/>
  <c r="U167"/>
  <c r="U168"/>
  <c r="U169"/>
  <c r="U170"/>
  <c r="U171"/>
  <c r="U172"/>
  <c r="U173"/>
  <c r="U174"/>
  <c r="U175"/>
  <c r="U176"/>
  <c r="U177"/>
  <c r="U178"/>
  <c r="U179"/>
  <c r="U180"/>
  <c r="U181"/>
  <c r="U182"/>
  <c r="U183"/>
  <c r="U184"/>
  <c r="U185"/>
  <c r="U186"/>
  <c r="U187"/>
  <c r="U188"/>
  <c r="U189"/>
  <c r="U190"/>
  <c r="U191"/>
  <c r="U192"/>
  <c r="U193"/>
  <c r="U194"/>
  <c r="U195"/>
  <c r="U196"/>
  <c r="U197"/>
  <c r="Z197" s="1"/>
  <c r="U198"/>
  <c r="U199"/>
  <c r="U200"/>
  <c r="U201"/>
  <c r="U202"/>
  <c r="U203"/>
  <c r="U204"/>
  <c r="U205"/>
  <c r="U206"/>
  <c r="U207"/>
  <c r="U208"/>
  <c r="U209"/>
  <c r="U210"/>
  <c r="U211"/>
  <c r="U212"/>
  <c r="U213"/>
  <c r="U214"/>
  <c r="U215"/>
  <c r="U216"/>
  <c r="U217"/>
  <c r="U218"/>
  <c r="U219"/>
  <c r="U220"/>
  <c r="U221"/>
  <c r="U222"/>
  <c r="U223"/>
  <c r="U224"/>
  <c r="U225"/>
  <c r="U226"/>
  <c r="U227"/>
  <c r="U228"/>
  <c r="U229"/>
  <c r="U230"/>
  <c r="U231"/>
  <c r="U232"/>
  <c r="U233"/>
  <c r="U234"/>
  <c r="U235"/>
  <c r="U236"/>
  <c r="Z236" s="1"/>
  <c r="U237"/>
  <c r="Z237" s="1"/>
  <c r="U238"/>
  <c r="U239"/>
  <c r="U240"/>
  <c r="U241"/>
  <c r="U242"/>
  <c r="U243"/>
  <c r="U244"/>
  <c r="U245"/>
  <c r="Z245" s="1"/>
  <c r="U246"/>
  <c r="U247"/>
  <c r="U248"/>
  <c r="U249"/>
  <c r="U250"/>
  <c r="U251"/>
  <c r="U252"/>
  <c r="U253"/>
  <c r="U254"/>
  <c r="U255"/>
  <c r="U256"/>
  <c r="U257"/>
  <c r="U258"/>
  <c r="U259"/>
  <c r="U260"/>
  <c r="Z260" s="1"/>
  <c r="U261"/>
  <c r="Z261" s="1"/>
  <c r="U262"/>
  <c r="U263"/>
  <c r="U264"/>
  <c r="U265"/>
  <c r="U266"/>
  <c r="U267"/>
  <c r="U268"/>
  <c r="U269"/>
  <c r="U270"/>
  <c r="U271"/>
  <c r="U272"/>
  <c r="U273"/>
  <c r="U274"/>
  <c r="U275"/>
  <c r="U276"/>
  <c r="U277"/>
  <c r="U278"/>
  <c r="U279"/>
  <c r="U280"/>
  <c r="U281"/>
  <c r="U282"/>
  <c r="U283"/>
  <c r="U284"/>
  <c r="Z284" s="1"/>
  <c r="U285"/>
  <c r="Z285" s="1"/>
  <c r="U286"/>
  <c r="U287"/>
  <c r="U288"/>
  <c r="U289"/>
  <c r="U290"/>
  <c r="U291"/>
  <c r="U292"/>
  <c r="U293"/>
  <c r="U294"/>
  <c r="U295"/>
  <c r="U296"/>
  <c r="U297"/>
  <c r="U298"/>
  <c r="U299"/>
  <c r="U300"/>
  <c r="Z300" s="1"/>
  <c r="U301"/>
  <c r="Z301" s="1"/>
  <c r="U302"/>
  <c r="U303"/>
  <c r="U304"/>
  <c r="U305"/>
  <c r="U306"/>
  <c r="U307"/>
  <c r="U308"/>
  <c r="U309"/>
  <c r="Z309" s="1"/>
  <c r="U310"/>
  <c r="U311"/>
  <c r="U312"/>
  <c r="U313"/>
  <c r="U314"/>
  <c r="U315"/>
  <c r="U316"/>
  <c r="U317"/>
  <c r="U318"/>
  <c r="U319"/>
  <c r="U320"/>
  <c r="U321"/>
  <c r="U322"/>
  <c r="U323"/>
  <c r="U324"/>
  <c r="Z324" s="1"/>
  <c r="U325"/>
  <c r="Z325" s="1"/>
  <c r="U326"/>
  <c r="U327"/>
  <c r="U328"/>
  <c r="U329"/>
  <c r="U330"/>
  <c r="U331"/>
  <c r="U332"/>
  <c r="U333"/>
  <c r="U334"/>
  <c r="U335"/>
  <c r="U336"/>
  <c r="U337"/>
  <c r="U338"/>
  <c r="U339"/>
  <c r="U340"/>
  <c r="U341"/>
  <c r="U342"/>
  <c r="U343"/>
  <c r="U344"/>
  <c r="U345"/>
  <c r="U346"/>
  <c r="U347"/>
  <c r="U348"/>
  <c r="Z348" s="1"/>
  <c r="U349"/>
  <c r="Z349" s="1"/>
  <c r="U350"/>
  <c r="U351"/>
  <c r="U352"/>
  <c r="U353"/>
  <c r="U354"/>
  <c r="U355"/>
  <c r="U356"/>
  <c r="U357"/>
  <c r="U358"/>
  <c r="U359"/>
  <c r="U360"/>
  <c r="U361"/>
  <c r="U362"/>
  <c r="U363"/>
  <c r="U364"/>
  <c r="Z364" s="1"/>
  <c r="U365"/>
  <c r="Z365" s="1"/>
  <c r="U366"/>
  <c r="U367"/>
  <c r="U368"/>
  <c r="U369"/>
  <c r="U370"/>
  <c r="U371"/>
  <c r="U372"/>
  <c r="U373"/>
  <c r="Z373" s="1"/>
  <c r="U374"/>
  <c r="U375"/>
  <c r="U376"/>
  <c r="U377"/>
  <c r="U378"/>
  <c r="U379"/>
  <c r="U380"/>
  <c r="U381"/>
  <c r="U382"/>
  <c r="U383"/>
  <c r="U384"/>
  <c r="U385"/>
  <c r="U386"/>
  <c r="U387"/>
  <c r="U388"/>
  <c r="Z388" s="1"/>
  <c r="U389"/>
  <c r="Z389" s="1"/>
  <c r="U390"/>
  <c r="U391"/>
  <c r="U392"/>
  <c r="U393"/>
  <c r="U394"/>
  <c r="U395"/>
  <c r="U396"/>
  <c r="U397"/>
  <c r="U398"/>
  <c r="U399"/>
  <c r="U400"/>
  <c r="U401"/>
  <c r="U402"/>
  <c r="U403"/>
  <c r="U404"/>
  <c r="U405"/>
  <c r="U406"/>
  <c r="U407"/>
  <c r="U408"/>
  <c r="U409"/>
  <c r="U410"/>
  <c r="U411"/>
  <c r="U412"/>
  <c r="Z412" s="1"/>
  <c r="U413"/>
  <c r="Z413" s="1"/>
  <c r="U414"/>
  <c r="U415"/>
  <c r="U416"/>
  <c r="U417"/>
  <c r="U418"/>
  <c r="U419"/>
  <c r="U420"/>
  <c r="U421"/>
  <c r="U422"/>
  <c r="U423"/>
  <c r="U424"/>
  <c r="U425"/>
  <c r="U426"/>
  <c r="U427"/>
  <c r="U428"/>
  <c r="Z428" s="1"/>
  <c r="U429"/>
  <c r="Z429" s="1"/>
  <c r="U430"/>
  <c r="U431"/>
  <c r="U432"/>
  <c r="U433"/>
  <c r="U434"/>
  <c r="U435"/>
  <c r="U436"/>
  <c r="U437"/>
  <c r="Z437" s="1"/>
  <c r="U438"/>
  <c r="U439"/>
  <c r="U440"/>
  <c r="U441"/>
  <c r="U442"/>
  <c r="U443"/>
  <c r="U444"/>
  <c r="U445"/>
  <c r="U446"/>
  <c r="U447"/>
  <c r="U448"/>
  <c r="U449"/>
  <c r="U450"/>
  <c r="U451"/>
  <c r="U452"/>
  <c r="Z452" s="1"/>
  <c r="U453"/>
  <c r="Z453" s="1"/>
  <c r="U454"/>
  <c r="U455"/>
  <c r="U456"/>
  <c r="U457"/>
  <c r="U458"/>
  <c r="U459"/>
  <c r="U460"/>
  <c r="U461"/>
  <c r="U462"/>
  <c r="U463"/>
  <c r="U464"/>
  <c r="U465"/>
  <c r="U466"/>
  <c r="U467"/>
  <c r="U468"/>
  <c r="U469"/>
  <c r="U470"/>
  <c r="U471"/>
  <c r="U472"/>
  <c r="U473"/>
  <c r="U474"/>
  <c r="U475"/>
  <c r="U476"/>
  <c r="Z476" s="1"/>
  <c r="U477"/>
  <c r="Z477" s="1"/>
  <c r="U478"/>
  <c r="U479"/>
  <c r="U480"/>
  <c r="U481"/>
  <c r="U482"/>
  <c r="U483"/>
  <c r="U484"/>
  <c r="U485"/>
  <c r="U486"/>
  <c r="U487"/>
  <c r="U488"/>
  <c r="U489"/>
  <c r="U490"/>
  <c r="U491"/>
  <c r="U492"/>
  <c r="Z492" s="1"/>
  <c r="U493"/>
  <c r="Z493" s="1"/>
  <c r="U494"/>
  <c r="U495"/>
  <c r="U496"/>
  <c r="U497"/>
  <c r="U498"/>
  <c r="U499"/>
  <c r="U500"/>
  <c r="U501"/>
  <c r="Z501" s="1"/>
  <c r="U502"/>
  <c r="U503"/>
  <c r="U504"/>
  <c r="U505"/>
  <c r="U506"/>
  <c r="U507"/>
  <c r="U508"/>
  <c r="U509"/>
  <c r="U510"/>
  <c r="U511"/>
  <c r="U512"/>
  <c r="U513"/>
  <c r="U514"/>
  <c r="U515"/>
  <c r="U516"/>
  <c r="Z516" s="1"/>
  <c r="U517"/>
  <c r="Z517" s="1"/>
  <c r="U518"/>
  <c r="U519"/>
  <c r="U520"/>
  <c r="U521"/>
  <c r="U522"/>
  <c r="U523"/>
  <c r="U524"/>
  <c r="U525"/>
  <c r="U526"/>
  <c r="U527"/>
  <c r="U528"/>
  <c r="U529"/>
  <c r="U530"/>
  <c r="U531"/>
  <c r="U532"/>
  <c r="U533"/>
  <c r="U534"/>
  <c r="U535"/>
  <c r="U536"/>
  <c r="U537"/>
  <c r="U538"/>
  <c r="U539"/>
  <c r="U540"/>
  <c r="Z540" s="1"/>
  <c r="U541"/>
  <c r="Z541" s="1"/>
  <c r="U542"/>
  <c r="U543"/>
  <c r="U544"/>
  <c r="U545"/>
  <c r="U546"/>
  <c r="U547"/>
  <c r="U548"/>
  <c r="U549"/>
  <c r="U550"/>
  <c r="U551"/>
  <c r="U552"/>
  <c r="U553"/>
  <c r="U554"/>
  <c r="U555"/>
  <c r="U556"/>
  <c r="Z556" s="1"/>
  <c r="U557"/>
  <c r="Z557" s="1"/>
  <c r="U558"/>
  <c r="U559"/>
  <c r="U560"/>
  <c r="U561"/>
  <c r="U562"/>
  <c r="U563"/>
  <c r="U564"/>
  <c r="U565"/>
  <c r="Z565" s="1"/>
  <c r="U566"/>
  <c r="U567"/>
  <c r="U568"/>
  <c r="U569"/>
  <c r="U570"/>
  <c r="U571"/>
  <c r="U572"/>
  <c r="U573"/>
  <c r="U574"/>
  <c r="U575"/>
  <c r="U576"/>
  <c r="U577"/>
  <c r="U578"/>
  <c r="U579"/>
  <c r="U580"/>
  <c r="Z580" s="1"/>
  <c r="U581"/>
  <c r="Z581" s="1"/>
  <c r="U582"/>
  <c r="U583"/>
  <c r="U584"/>
  <c r="U585"/>
  <c r="U586"/>
  <c r="U587"/>
  <c r="U588"/>
  <c r="U589"/>
  <c r="U590"/>
  <c r="U591"/>
  <c r="U592"/>
  <c r="U593"/>
  <c r="U594"/>
  <c r="U595"/>
  <c r="U596"/>
  <c r="U597"/>
  <c r="U598"/>
  <c r="U599"/>
  <c r="U600"/>
  <c r="U601"/>
  <c r="U602"/>
  <c r="U603"/>
  <c r="U604"/>
  <c r="Z604" s="1"/>
  <c r="U605"/>
  <c r="Z605" s="1"/>
  <c r="U606"/>
  <c r="U607"/>
  <c r="U608"/>
  <c r="U609"/>
  <c r="U610"/>
  <c r="U611"/>
  <c r="U612"/>
  <c r="U613"/>
  <c r="U614"/>
  <c r="U615"/>
  <c r="U616"/>
  <c r="U617"/>
  <c r="U618"/>
  <c r="U619"/>
  <c r="U620"/>
  <c r="Z620" s="1"/>
  <c r="U621"/>
  <c r="Z621" s="1"/>
  <c r="U622"/>
  <c r="U623"/>
  <c r="U624"/>
  <c r="U625"/>
  <c r="U626"/>
  <c r="U627"/>
  <c r="U628"/>
  <c r="U629"/>
  <c r="U630"/>
  <c r="U631"/>
  <c r="U632"/>
  <c r="U633"/>
  <c r="U634"/>
  <c r="U635"/>
  <c r="U636"/>
  <c r="U637"/>
  <c r="U638"/>
  <c r="U639"/>
  <c r="U640"/>
  <c r="U641"/>
  <c r="U642"/>
  <c r="U643"/>
  <c r="U644"/>
  <c r="Z644" s="1"/>
  <c r="U645"/>
  <c r="Z645" s="1"/>
  <c r="U646"/>
  <c r="U647"/>
  <c r="U648"/>
  <c r="U649"/>
  <c r="U650"/>
  <c r="U651"/>
  <c r="U652"/>
  <c r="U653"/>
  <c r="U654"/>
  <c r="U655"/>
  <c r="U656"/>
  <c r="U657"/>
  <c r="U658"/>
  <c r="U659"/>
  <c r="U660"/>
  <c r="U661"/>
  <c r="U662"/>
  <c r="U663"/>
  <c r="U664"/>
  <c r="U665"/>
  <c r="U666"/>
  <c r="U667"/>
  <c r="U668"/>
  <c r="Z668" s="1"/>
  <c r="U669"/>
  <c r="Z669" s="1"/>
  <c r="U670"/>
  <c r="U671"/>
  <c r="U672"/>
  <c r="U673"/>
  <c r="U674"/>
  <c r="U675"/>
  <c r="U676"/>
  <c r="U677"/>
  <c r="U678"/>
  <c r="U679"/>
  <c r="U680"/>
  <c r="U681"/>
  <c r="U682"/>
  <c r="U683"/>
  <c r="U684"/>
  <c r="Z684" s="1"/>
  <c r="U685"/>
  <c r="Z685" s="1"/>
  <c r="U686"/>
  <c r="U687"/>
  <c r="U688"/>
  <c r="U689"/>
  <c r="U690"/>
  <c r="U691"/>
  <c r="U692"/>
  <c r="U693"/>
  <c r="Z693" s="1"/>
  <c r="U694"/>
  <c r="U695"/>
  <c r="U696"/>
  <c r="U697"/>
  <c r="U698"/>
  <c r="U699"/>
  <c r="U700"/>
  <c r="U701"/>
  <c r="U702"/>
  <c r="U703"/>
  <c r="U704"/>
  <c r="U705"/>
  <c r="U706"/>
  <c r="U707"/>
  <c r="U708"/>
  <c r="Z708" s="1"/>
  <c r="U709"/>
  <c r="Z709" s="1"/>
  <c r="U710"/>
  <c r="U711"/>
  <c r="U712"/>
  <c r="U713"/>
  <c r="U714"/>
  <c r="U715"/>
  <c r="U716"/>
  <c r="U717"/>
  <c r="U718"/>
  <c r="U719"/>
  <c r="U720"/>
  <c r="U721"/>
  <c r="U722"/>
  <c r="U723"/>
  <c r="U724"/>
  <c r="U725"/>
  <c r="U726"/>
  <c r="U14"/>
  <c r="U727"/>
  <c r="U728"/>
  <c r="U729"/>
  <c r="U730"/>
  <c r="U731"/>
  <c r="Z731" s="1"/>
  <c r="U732"/>
  <c r="Z732" s="1"/>
  <c r="U733"/>
  <c r="U734"/>
  <c r="U735"/>
  <c r="U736"/>
  <c r="U737"/>
  <c r="U738"/>
  <c r="U739"/>
  <c r="U740"/>
  <c r="U741"/>
  <c r="U742"/>
  <c r="U743"/>
  <c r="U744"/>
  <c r="U745"/>
  <c r="U746"/>
  <c r="U747"/>
  <c r="Z747" s="1"/>
  <c r="U748"/>
  <c r="Z748" s="1"/>
  <c r="U749"/>
  <c r="U750"/>
  <c r="U751"/>
  <c r="U752"/>
  <c r="U753"/>
  <c r="U754"/>
  <c r="U755"/>
  <c r="U756"/>
  <c r="Z756" s="1"/>
  <c r="U757"/>
  <c r="U758"/>
  <c r="U759"/>
  <c r="U760"/>
  <c r="U761"/>
  <c r="U762"/>
  <c r="U763"/>
  <c r="U764"/>
  <c r="U765"/>
  <c r="U766"/>
  <c r="U767"/>
  <c r="U768"/>
  <c r="U769"/>
  <c r="U770"/>
  <c r="U771"/>
  <c r="Z771" s="1"/>
  <c r="U772"/>
  <c r="Z772" s="1"/>
  <c r="U773"/>
  <c r="U774"/>
  <c r="U775"/>
  <c r="U776"/>
  <c r="U777"/>
  <c r="U778"/>
  <c r="U779"/>
  <c r="U780"/>
  <c r="U781"/>
  <c r="U782"/>
  <c r="U783"/>
  <c r="U784"/>
  <c r="U785"/>
  <c r="U786"/>
  <c r="U787"/>
  <c r="U788"/>
  <c r="U789"/>
  <c r="U790"/>
  <c r="U791"/>
  <c r="U792"/>
  <c r="U793"/>
  <c r="U794"/>
  <c r="U795"/>
  <c r="Z795" s="1"/>
  <c r="U796"/>
  <c r="Z796" s="1"/>
  <c r="U797"/>
  <c r="U798"/>
  <c r="U799"/>
  <c r="U800"/>
  <c r="U801"/>
  <c r="U802"/>
  <c r="U803"/>
  <c r="U804"/>
  <c r="U805"/>
  <c r="U806"/>
  <c r="U807"/>
  <c r="U808"/>
  <c r="U809"/>
  <c r="U810"/>
  <c r="U811"/>
  <c r="Z811" s="1"/>
  <c r="U812"/>
  <c r="Z812" s="1"/>
  <c r="U813"/>
  <c r="U814"/>
  <c r="U815"/>
  <c r="U816"/>
  <c r="U817"/>
  <c r="U818"/>
  <c r="U819"/>
  <c r="U820"/>
  <c r="Z820" s="1"/>
  <c r="U821"/>
  <c r="U822"/>
  <c r="U823"/>
  <c r="U824"/>
  <c r="U825"/>
  <c r="U826"/>
  <c r="U827"/>
  <c r="U828"/>
  <c r="U829"/>
  <c r="U830"/>
  <c r="U831"/>
  <c r="U832"/>
  <c r="U833"/>
  <c r="U834"/>
  <c r="U835"/>
  <c r="Z835" s="1"/>
  <c r="U836"/>
  <c r="Z836" s="1"/>
  <c r="U837"/>
  <c r="U838"/>
  <c r="U839"/>
  <c r="U840"/>
  <c r="U841"/>
  <c r="U842"/>
  <c r="U843"/>
  <c r="U844"/>
  <c r="U845"/>
  <c r="U846"/>
  <c r="U847"/>
  <c r="U848"/>
  <c r="U849"/>
  <c r="U850"/>
  <c r="U851"/>
  <c r="U852"/>
  <c r="U853"/>
  <c r="U854"/>
  <c r="U855"/>
  <c r="U856"/>
  <c r="U857"/>
  <c r="U858"/>
  <c r="U859"/>
  <c r="Z859" s="1"/>
  <c r="U860"/>
  <c r="Z860" s="1"/>
  <c r="U861"/>
  <c r="U862"/>
  <c r="U863"/>
  <c r="U864"/>
  <c r="U865"/>
  <c r="U866"/>
  <c r="U867"/>
  <c r="U868"/>
  <c r="U869"/>
  <c r="U870"/>
  <c r="U871"/>
  <c r="U872"/>
  <c r="U873"/>
  <c r="U874"/>
  <c r="U875"/>
  <c r="Z875" s="1"/>
  <c r="U876"/>
  <c r="Z876" s="1"/>
  <c r="U877"/>
  <c r="U878"/>
  <c r="U879"/>
  <c r="U880"/>
  <c r="U881"/>
  <c r="U882"/>
  <c r="U883"/>
  <c r="U884"/>
  <c r="Z884" s="1"/>
  <c r="U885"/>
  <c r="U886"/>
  <c r="U887"/>
  <c r="U888"/>
  <c r="U889"/>
  <c r="U890"/>
  <c r="U891"/>
  <c r="U892"/>
  <c r="U893"/>
  <c r="U894"/>
  <c r="U895"/>
  <c r="U896"/>
  <c r="U897"/>
  <c r="U898"/>
  <c r="U899"/>
  <c r="U900"/>
  <c r="U901"/>
  <c r="U902"/>
  <c r="U903"/>
  <c r="U904"/>
  <c r="U905"/>
  <c r="U906"/>
  <c r="U907"/>
  <c r="U908"/>
  <c r="U909"/>
  <c r="U910"/>
  <c r="U911"/>
  <c r="U912"/>
  <c r="U913"/>
  <c r="U914"/>
  <c r="U915"/>
  <c r="U916"/>
  <c r="U917"/>
  <c r="U918"/>
  <c r="U919"/>
  <c r="U920"/>
  <c r="U921"/>
  <c r="U922"/>
  <c r="U923"/>
  <c r="Z923" s="1"/>
  <c r="U924"/>
  <c r="Z924" s="1"/>
  <c r="U925"/>
  <c r="U926"/>
  <c r="U927"/>
  <c r="U928"/>
  <c r="U929"/>
  <c r="U930"/>
  <c r="U931"/>
  <c r="U932"/>
  <c r="U933"/>
  <c r="U934"/>
  <c r="U935"/>
  <c r="U936"/>
  <c r="U937"/>
  <c r="U938"/>
  <c r="U939"/>
  <c r="Z939" s="1"/>
  <c r="U940"/>
  <c r="Z940" s="1"/>
  <c r="U941"/>
  <c r="U942"/>
  <c r="U943"/>
  <c r="U944"/>
  <c r="U945"/>
  <c r="U946"/>
  <c r="U947"/>
  <c r="U948"/>
  <c r="Z948" s="1"/>
  <c r="U949"/>
  <c r="U950"/>
  <c r="U951"/>
  <c r="U952"/>
  <c r="U953"/>
  <c r="U954"/>
  <c r="U955"/>
  <c r="U956"/>
  <c r="U957"/>
  <c r="U958"/>
  <c r="U959"/>
  <c r="U960"/>
  <c r="U961"/>
  <c r="U962"/>
  <c r="U963"/>
  <c r="Z963" s="1"/>
  <c r="U964"/>
  <c r="Z964" s="1"/>
  <c r="U965"/>
  <c r="U966"/>
  <c r="U967"/>
  <c r="U968"/>
  <c r="U969"/>
  <c r="U970"/>
  <c r="U971"/>
  <c r="U972"/>
  <c r="U973"/>
  <c r="U6"/>
  <c r="U974"/>
  <c r="U975"/>
  <c r="U976"/>
  <c r="U977"/>
  <c r="U978"/>
  <c r="U979"/>
  <c r="U980"/>
  <c r="U981"/>
  <c r="U982"/>
  <c r="U983"/>
  <c r="U984"/>
  <c r="U985"/>
  <c r="U986"/>
  <c r="Z986" s="1"/>
  <c r="U987"/>
  <c r="Z987" s="1"/>
  <c r="U988"/>
  <c r="U989"/>
  <c r="U990"/>
  <c r="U991"/>
  <c r="U992"/>
  <c r="U993"/>
  <c r="U994"/>
  <c r="U995"/>
  <c r="U996"/>
  <c r="U997"/>
  <c r="U998"/>
  <c r="U999"/>
  <c r="U1000"/>
  <c r="U1001"/>
  <c r="U1002"/>
  <c r="Z1002" s="1"/>
  <c r="U1003"/>
  <c r="Z1003" s="1"/>
  <c r="U1004"/>
  <c r="U1005"/>
  <c r="U1006"/>
  <c r="U1007"/>
  <c r="U1008"/>
  <c r="U1009"/>
  <c r="U1010"/>
  <c r="U1011"/>
  <c r="Z1011" s="1"/>
  <c r="U1012"/>
  <c r="U1013"/>
  <c r="U1014"/>
  <c r="U1015"/>
  <c r="U1016"/>
  <c r="U1017"/>
  <c r="U1018"/>
  <c r="U1019"/>
  <c r="U1020"/>
  <c r="U1021"/>
  <c r="U1022"/>
  <c r="U1023"/>
  <c r="U1024"/>
  <c r="U1025"/>
  <c r="U1026"/>
  <c r="Z1026" s="1"/>
  <c r="U1027"/>
  <c r="Z1027" s="1"/>
  <c r="U1028"/>
  <c r="U1029"/>
  <c r="U1030"/>
  <c r="U1031"/>
  <c r="U1032"/>
  <c r="U1033"/>
  <c r="U1034"/>
  <c r="U1035"/>
  <c r="U1036"/>
  <c r="U1037"/>
  <c r="U1038"/>
  <c r="U1039"/>
  <c r="U1040"/>
  <c r="U1041"/>
  <c r="U1042"/>
  <c r="U1043"/>
  <c r="U1044"/>
  <c r="U1045"/>
  <c r="U1046"/>
  <c r="U1047"/>
  <c r="U1048"/>
  <c r="U1049"/>
  <c r="U1050"/>
  <c r="Z1050" s="1"/>
  <c r="U1051"/>
  <c r="Z1051" s="1"/>
  <c r="U1052"/>
  <c r="U1053"/>
  <c r="U1054"/>
  <c r="U1055"/>
  <c r="U1056"/>
  <c r="U1057"/>
  <c r="U1058"/>
  <c r="U1059"/>
  <c r="U1060"/>
  <c r="U1061"/>
  <c r="U1062"/>
  <c r="U1063"/>
  <c r="U1064"/>
  <c r="U1065"/>
  <c r="U1066"/>
  <c r="Z1066" s="1"/>
  <c r="U1067"/>
  <c r="Z1067" s="1"/>
  <c r="U1068"/>
  <c r="U1069"/>
  <c r="U1070"/>
  <c r="U1071"/>
  <c r="U1072"/>
  <c r="U1073"/>
  <c r="U1074"/>
  <c r="U1075"/>
  <c r="Z1075" s="1"/>
  <c r="U1076"/>
  <c r="U1077"/>
  <c r="U1078"/>
  <c r="U1079"/>
  <c r="U1080"/>
  <c r="U1081"/>
  <c r="U1082"/>
  <c r="U1083"/>
  <c r="U1084"/>
  <c r="U1085"/>
  <c r="U1086"/>
  <c r="U1087"/>
  <c r="U1088"/>
  <c r="U1089"/>
  <c r="U1090"/>
  <c r="Z1090" s="1"/>
  <c r="U1091"/>
  <c r="Z1091" s="1"/>
  <c r="U1092"/>
  <c r="U1093"/>
  <c r="U1094"/>
  <c r="U1095"/>
  <c r="U1096"/>
  <c r="U1097"/>
  <c r="U1098"/>
  <c r="U1099"/>
  <c r="U1100"/>
  <c r="U1101"/>
  <c r="U1102"/>
  <c r="U1103"/>
  <c r="U1104"/>
  <c r="U1105"/>
  <c r="U1106"/>
  <c r="U1107"/>
  <c r="U1108"/>
  <c r="U1109"/>
  <c r="U1110"/>
  <c r="U1111"/>
  <c r="U1112"/>
  <c r="U1113"/>
  <c r="U1114"/>
  <c r="Z1114" s="1"/>
  <c r="U1115"/>
  <c r="Z1115" s="1"/>
  <c r="U1116"/>
  <c r="U1117"/>
  <c r="U1118"/>
  <c r="U1119"/>
  <c r="U1120"/>
  <c r="U1121"/>
  <c r="U1122"/>
  <c r="U1123"/>
  <c r="U1124"/>
  <c r="U1125"/>
  <c r="U1126"/>
  <c r="U1127"/>
  <c r="U1128"/>
  <c r="U1129"/>
  <c r="U1130"/>
  <c r="Z1130" s="1"/>
  <c r="U1131"/>
  <c r="Z1131" s="1"/>
  <c r="U1132"/>
  <c r="U1133"/>
  <c r="U1134"/>
  <c r="U1135"/>
  <c r="U1136"/>
  <c r="U1137"/>
  <c r="U1138"/>
  <c r="U1139"/>
  <c r="Z1139" s="1"/>
  <c r="U1140"/>
  <c r="U1141"/>
  <c r="U1142"/>
  <c r="U1143"/>
  <c r="U1144"/>
  <c r="U1145"/>
  <c r="U1146"/>
  <c r="U1147"/>
  <c r="U1148"/>
  <c r="U1149"/>
  <c r="U1150"/>
  <c r="U1151"/>
  <c r="U1152"/>
  <c r="U1153"/>
  <c r="U1154"/>
  <c r="Z1154" s="1"/>
  <c r="U1155"/>
  <c r="Z1155" s="1"/>
  <c r="U1156"/>
  <c r="U1157"/>
  <c r="U1158"/>
  <c r="U1159"/>
  <c r="U1160"/>
  <c r="U1161"/>
  <c r="U1162"/>
  <c r="U1163"/>
  <c r="U1164"/>
  <c r="U1165"/>
  <c r="U1166"/>
  <c r="U1167"/>
  <c r="U1168"/>
  <c r="U1169"/>
  <c r="U1170"/>
  <c r="U1171"/>
  <c r="U1172"/>
  <c r="U1173"/>
  <c r="U1174"/>
  <c r="U1175"/>
  <c r="U1176"/>
  <c r="U1177"/>
  <c r="U1178"/>
  <c r="Z1178" s="1"/>
  <c r="U1179"/>
  <c r="Z1179" s="1"/>
  <c r="U1180"/>
  <c r="U1181"/>
  <c r="U1182"/>
  <c r="U1183"/>
  <c r="U1184"/>
  <c r="U1185"/>
  <c r="U1186"/>
  <c r="U1187"/>
  <c r="U1188"/>
  <c r="U1189"/>
  <c r="U1190"/>
  <c r="U1191"/>
  <c r="U1192"/>
  <c r="U1193"/>
  <c r="U1194"/>
  <c r="Z1194" s="1"/>
  <c r="U1195"/>
  <c r="Z1195" s="1"/>
  <c r="U1196"/>
  <c r="U1197"/>
  <c r="U1198"/>
  <c r="U1199"/>
  <c r="U1200"/>
  <c r="U1201"/>
  <c r="U1202"/>
  <c r="U1203"/>
  <c r="Z1203" s="1"/>
  <c r="U1204"/>
  <c r="U1205"/>
  <c r="U1206"/>
  <c r="U1207"/>
  <c r="U1208"/>
  <c r="U1209"/>
  <c r="U1210"/>
  <c r="U1211"/>
  <c r="U1212"/>
  <c r="U1213"/>
  <c r="U1214"/>
  <c r="U1215"/>
  <c r="U1216"/>
  <c r="U1217"/>
  <c r="U1218"/>
  <c r="Z1218" s="1"/>
  <c r="U1219"/>
  <c r="Z1219" s="1"/>
  <c r="U1220"/>
  <c r="U1221"/>
  <c r="Y1221" s="1"/>
  <c r="U1222"/>
  <c r="U1223"/>
  <c r="U1224"/>
  <c r="U1225"/>
  <c r="U1226"/>
  <c r="U1227"/>
  <c r="U1228"/>
  <c r="U1229"/>
  <c r="U1230"/>
  <c r="U1231"/>
  <c r="U1232"/>
  <c r="U1233"/>
  <c r="U1234"/>
  <c r="U1235"/>
  <c r="U1236"/>
  <c r="U1237"/>
  <c r="U1238"/>
  <c r="U1239"/>
  <c r="U1240"/>
  <c r="U1241"/>
  <c r="U1242"/>
  <c r="Z1242" s="1"/>
  <c r="U1243"/>
  <c r="Z1243" s="1"/>
  <c r="U1244"/>
  <c r="U1245"/>
  <c r="U1246"/>
  <c r="U1247"/>
  <c r="U1248"/>
  <c r="U1249"/>
  <c r="U1250"/>
  <c r="U1251"/>
  <c r="U1252"/>
  <c r="U1253"/>
  <c r="U1254"/>
  <c r="U1255"/>
  <c r="U1256"/>
  <c r="U1257"/>
  <c r="U1258"/>
  <c r="Z1258" s="1"/>
  <c r="U1259"/>
  <c r="Z1259" s="1"/>
  <c r="U1260"/>
  <c r="U1261"/>
  <c r="U1262"/>
  <c r="U1263"/>
  <c r="U1264"/>
  <c r="U1265"/>
  <c r="U1266"/>
  <c r="U1267"/>
  <c r="Z1267" s="1"/>
  <c r="U1268"/>
  <c r="U1269"/>
  <c r="U1270"/>
  <c r="U1271"/>
  <c r="U1272"/>
  <c r="U17"/>
  <c r="U1273"/>
  <c r="U1274"/>
  <c r="U1275"/>
  <c r="U1276"/>
  <c r="U1277"/>
  <c r="U1278"/>
  <c r="U1279"/>
  <c r="U1280"/>
  <c r="U1281"/>
  <c r="Z1281" s="1"/>
  <c r="U1282"/>
  <c r="Z1282" s="1"/>
  <c r="U1283"/>
  <c r="U1284"/>
  <c r="U1285"/>
  <c r="U1286"/>
  <c r="U1287"/>
  <c r="U1288"/>
  <c r="U1289"/>
  <c r="U1290"/>
  <c r="U1291"/>
  <c r="U1292"/>
  <c r="U1293"/>
  <c r="U1294"/>
  <c r="U1295"/>
  <c r="U1296"/>
  <c r="U1297"/>
  <c r="U1298"/>
  <c r="U1299"/>
  <c r="U1300"/>
  <c r="U1301"/>
  <c r="U1302"/>
  <c r="U1303"/>
  <c r="U1304"/>
  <c r="U1305"/>
  <c r="Z1305" s="1"/>
  <c r="U1306"/>
  <c r="U1307"/>
  <c r="U1308"/>
  <c r="U1309"/>
  <c r="U1310"/>
  <c r="U1311"/>
  <c r="U1312"/>
  <c r="U1313"/>
  <c r="U1314"/>
  <c r="U1315"/>
  <c r="U1316"/>
  <c r="U1317"/>
  <c r="U1318"/>
  <c r="U1319"/>
  <c r="U1320"/>
  <c r="U1321"/>
  <c r="Z1321" s="1"/>
  <c r="U1322"/>
  <c r="Z1322" s="1"/>
  <c r="U1323"/>
  <c r="U1324"/>
  <c r="U1325"/>
  <c r="U1326"/>
  <c r="U1327"/>
  <c r="U1328"/>
  <c r="U1329"/>
  <c r="U1330"/>
  <c r="Z1330" s="1"/>
  <c r="U1331"/>
  <c r="U1332"/>
  <c r="U1333"/>
  <c r="U1334"/>
  <c r="U1335"/>
  <c r="U1336"/>
  <c r="U1337"/>
  <c r="U1338"/>
  <c r="U1339"/>
  <c r="U1340"/>
  <c r="U1341"/>
  <c r="U1342"/>
  <c r="U1343"/>
  <c r="U1344"/>
  <c r="U1345"/>
  <c r="Z1345" s="1"/>
  <c r="U1346"/>
  <c r="Z1346" s="1"/>
  <c r="U1347"/>
  <c r="U1348"/>
  <c r="U1349"/>
  <c r="U1350"/>
  <c r="U1351"/>
  <c r="U1352"/>
  <c r="U1353"/>
  <c r="U1354"/>
  <c r="U1355"/>
  <c r="U1356"/>
  <c r="U1357"/>
  <c r="U1358"/>
  <c r="U1359"/>
  <c r="U1360"/>
  <c r="U1361"/>
  <c r="U1362"/>
  <c r="U1363"/>
  <c r="U1364"/>
  <c r="U1365"/>
  <c r="U1366"/>
  <c r="U1367"/>
  <c r="U1368"/>
  <c r="U1369"/>
  <c r="Z1369" s="1"/>
  <c r="U1370"/>
  <c r="Z1370" s="1"/>
  <c r="U1371"/>
  <c r="U1372"/>
  <c r="U1373"/>
  <c r="U1374"/>
  <c r="U1375"/>
  <c r="U1376"/>
  <c r="U1377"/>
  <c r="U1378"/>
  <c r="U1379"/>
  <c r="U1380"/>
  <c r="U1381"/>
  <c r="U1382"/>
  <c r="U1383"/>
  <c r="U1384"/>
  <c r="U1385"/>
  <c r="Z1385" s="1"/>
  <c r="U1386"/>
  <c r="Z1386" s="1"/>
  <c r="U1387"/>
  <c r="U1388"/>
  <c r="U1389"/>
  <c r="U1390"/>
  <c r="U1391"/>
  <c r="U1392"/>
  <c r="U1393"/>
  <c r="U1394"/>
  <c r="Z1394" s="1"/>
  <c r="U1395"/>
  <c r="U1396"/>
  <c r="U1397"/>
  <c r="U1398"/>
  <c r="U1399"/>
  <c r="U1400"/>
  <c r="U1401"/>
  <c r="U1402"/>
  <c r="U1403"/>
  <c r="U1404"/>
  <c r="U1405"/>
  <c r="U1406"/>
  <c r="U1407"/>
  <c r="U1408"/>
  <c r="U1409"/>
  <c r="Z1409" s="1"/>
  <c r="U1410"/>
  <c r="Z1410" s="1"/>
  <c r="U1411"/>
  <c r="U1412"/>
  <c r="U1413"/>
  <c r="U1414"/>
  <c r="U1415"/>
  <c r="U1416"/>
  <c r="U1417"/>
  <c r="U1418"/>
  <c r="U1419"/>
  <c r="U1420"/>
  <c r="U1421"/>
  <c r="U1422"/>
  <c r="U1423"/>
  <c r="U1424"/>
  <c r="U1425"/>
  <c r="U1426"/>
  <c r="U1427"/>
  <c r="U1428"/>
  <c r="U1429"/>
  <c r="U1430"/>
  <c r="U1431"/>
  <c r="U1432"/>
  <c r="U1433"/>
  <c r="Z1433" s="1"/>
  <c r="U1434"/>
  <c r="Z1434" s="1"/>
  <c r="U1435"/>
  <c r="U1436"/>
  <c r="U1437"/>
  <c r="U1438"/>
  <c r="U1439"/>
  <c r="U1440"/>
  <c r="U1441"/>
  <c r="U1442"/>
  <c r="U1443"/>
  <c r="U1444"/>
  <c r="U1445"/>
  <c r="U1446"/>
  <c r="U1447"/>
  <c r="U1448"/>
  <c r="U1449"/>
  <c r="Z1449" s="1"/>
  <c r="U1450"/>
  <c r="U1451"/>
  <c r="U1452"/>
  <c r="U1453"/>
  <c r="U1454"/>
  <c r="U1455"/>
  <c r="U1456"/>
  <c r="U1457"/>
  <c r="Z1457" s="1"/>
  <c r="U1458"/>
  <c r="Z1458" s="1"/>
  <c r="U1459"/>
  <c r="U1460"/>
  <c r="U1461"/>
  <c r="U1462"/>
  <c r="U1463"/>
  <c r="U1464"/>
  <c r="U1465"/>
  <c r="Z1465" s="1"/>
  <c r="U1466"/>
  <c r="Z1466" s="1"/>
  <c r="U1467"/>
  <c r="U1468"/>
  <c r="U1469"/>
  <c r="U1470"/>
  <c r="U1471"/>
  <c r="U1472"/>
  <c r="U1473"/>
  <c r="Z1473" s="1"/>
  <c r="U1474"/>
  <c r="Z1474" s="1"/>
  <c r="U1475"/>
  <c r="U1476"/>
  <c r="U1477"/>
  <c r="U1478"/>
  <c r="U1479"/>
  <c r="U1480"/>
  <c r="U1481"/>
  <c r="Z1481" s="1"/>
  <c r="U1482"/>
  <c r="Z1482" s="1"/>
  <c r="U1483"/>
  <c r="U1484"/>
  <c r="U1485"/>
  <c r="U1486"/>
  <c r="U1487"/>
  <c r="U1488"/>
  <c r="U1489"/>
  <c r="Z1489" s="1"/>
  <c r="U1490"/>
  <c r="Z1490" s="1"/>
  <c r="U1491"/>
  <c r="U1492"/>
  <c r="U1493"/>
  <c r="U1494"/>
  <c r="U1495"/>
  <c r="U1496"/>
  <c r="U1497"/>
  <c r="Z1497" s="1"/>
  <c r="U1498"/>
  <c r="Z1498" s="1"/>
  <c r="U1499"/>
  <c r="U1500"/>
  <c r="U1501"/>
  <c r="U1502"/>
  <c r="U1503"/>
  <c r="U1504"/>
  <c r="U1505"/>
  <c r="Z1505" s="1"/>
  <c r="U1506"/>
  <c r="Z1506" s="1"/>
  <c r="U1507"/>
  <c r="U1508"/>
  <c r="U1509"/>
  <c r="U1510"/>
  <c r="U1511"/>
  <c r="U1512"/>
  <c r="U1513"/>
  <c r="Z1513" s="1"/>
  <c r="U1514"/>
  <c r="U1515"/>
  <c r="U1516"/>
  <c r="U1517"/>
  <c r="U1518"/>
  <c r="U1519"/>
  <c r="U1520"/>
  <c r="U1521"/>
  <c r="Z1521" s="1"/>
  <c r="U1522"/>
  <c r="Z1522" s="1"/>
  <c r="U1523"/>
  <c r="U1524"/>
  <c r="U1525"/>
  <c r="U1526"/>
  <c r="U1527"/>
  <c r="U1528"/>
  <c r="U1529"/>
  <c r="Z1529" s="1"/>
  <c r="U1530"/>
  <c r="Z1530" s="1"/>
  <c r="U1531"/>
  <c r="U1532"/>
  <c r="U1533"/>
  <c r="U1534"/>
  <c r="U1535"/>
  <c r="U1536"/>
  <c r="U1537"/>
  <c r="Z1537" s="1"/>
  <c r="U1538"/>
  <c r="Z1538" s="1"/>
  <c r="U1539"/>
  <c r="U1540"/>
  <c r="U1541"/>
  <c r="U1542"/>
  <c r="U1543"/>
  <c r="U1544"/>
  <c r="U1545"/>
  <c r="Z1545" s="1"/>
  <c r="U1546"/>
  <c r="Z1546" s="1"/>
  <c r="U1547"/>
  <c r="U1548"/>
  <c r="U1549"/>
  <c r="U1550"/>
  <c r="U1551"/>
  <c r="U1552"/>
  <c r="U1553"/>
  <c r="Z1553" s="1"/>
  <c r="U1554"/>
  <c r="Z1554" s="1"/>
  <c r="U1555"/>
  <c r="U1556"/>
  <c r="U1557"/>
  <c r="U1558"/>
  <c r="U1559"/>
  <c r="U1560"/>
  <c r="U1561"/>
  <c r="Z1561" s="1"/>
  <c r="U1562"/>
  <c r="Z1562" s="1"/>
  <c r="U1563"/>
  <c r="U1564"/>
  <c r="U1565"/>
  <c r="U1566"/>
  <c r="U1567"/>
  <c r="U1568"/>
  <c r="U1569"/>
  <c r="Z1569" s="1"/>
  <c r="U1570"/>
  <c r="Z1570" s="1"/>
  <c r="U1571"/>
  <c r="U1572"/>
  <c r="U1573"/>
  <c r="U1574"/>
  <c r="U1575"/>
  <c r="U1576"/>
  <c r="U1577"/>
  <c r="Z1577" s="1"/>
  <c r="U1578"/>
  <c r="Z1578" s="1"/>
  <c r="U1579"/>
  <c r="U1580"/>
  <c r="U1581"/>
  <c r="U1582"/>
  <c r="U1583"/>
  <c r="U1584"/>
  <c r="U1585"/>
  <c r="Z1585" s="1"/>
  <c r="U1586"/>
  <c r="Z1586" s="1"/>
  <c r="U1587"/>
  <c r="U1588"/>
  <c r="U1589"/>
  <c r="U1590"/>
  <c r="U1591"/>
  <c r="U1592"/>
  <c r="U1593"/>
  <c r="Z1593" s="1"/>
  <c r="U1594"/>
  <c r="Z1594" s="1"/>
  <c r="U1595"/>
  <c r="U1596"/>
  <c r="U1597"/>
  <c r="U1598"/>
  <c r="U1599"/>
  <c r="U1600"/>
  <c r="U1601"/>
  <c r="Z1601" s="1"/>
  <c r="U1602"/>
  <c r="U1603"/>
  <c r="U1604"/>
  <c r="U1605"/>
  <c r="U1606"/>
  <c r="U1607"/>
  <c r="U1608"/>
  <c r="U1609"/>
  <c r="Z1609" s="1"/>
  <c r="U1610"/>
  <c r="U1611"/>
  <c r="U1612"/>
  <c r="U1613"/>
  <c r="U1614"/>
  <c r="U1615"/>
  <c r="U1616"/>
  <c r="U1617"/>
  <c r="Z1617" s="1"/>
  <c r="U1618"/>
  <c r="Z1618" s="1"/>
  <c r="U1619"/>
  <c r="U1620"/>
  <c r="U1621"/>
  <c r="U11"/>
  <c r="U1622"/>
  <c r="U1623"/>
  <c r="U1624"/>
  <c r="Z1624" s="1"/>
  <c r="U1625"/>
  <c r="Z1625" s="1"/>
  <c r="U1626"/>
  <c r="U1627"/>
  <c r="U1628"/>
  <c r="U1629"/>
  <c r="U1630"/>
  <c r="U1631"/>
  <c r="U1632"/>
  <c r="Z1632" s="1"/>
  <c r="U1633"/>
  <c r="U1634"/>
  <c r="U1635"/>
  <c r="U1636"/>
  <c r="U1637"/>
  <c r="U1638"/>
  <c r="U1639"/>
  <c r="U1640"/>
  <c r="Z1640" s="1"/>
  <c r="U1641"/>
  <c r="Z1641" s="1"/>
  <c r="U1642"/>
  <c r="U1643"/>
  <c r="U1644"/>
  <c r="U1645"/>
  <c r="U1646"/>
  <c r="U1647"/>
  <c r="U1648"/>
  <c r="Z1648" s="1"/>
  <c r="U1649"/>
  <c r="U1650"/>
  <c r="U1651"/>
  <c r="U1652"/>
  <c r="U1653"/>
  <c r="U1654"/>
  <c r="U1655"/>
  <c r="U1656"/>
  <c r="Z1656" s="1"/>
  <c r="U1657"/>
  <c r="Z1657" s="1"/>
  <c r="U1658"/>
  <c r="U1659"/>
  <c r="U1660"/>
  <c r="U1661"/>
  <c r="U1662"/>
  <c r="U1663"/>
  <c r="U1664"/>
  <c r="Z1664" s="1"/>
  <c r="U1665"/>
  <c r="Z1665" s="1"/>
  <c r="U1666"/>
  <c r="U1667"/>
  <c r="U1668"/>
  <c r="U1669"/>
  <c r="U1670"/>
  <c r="U1671"/>
  <c r="U1672"/>
  <c r="Z1672" s="1"/>
  <c r="U1673"/>
  <c r="Z1673" s="1"/>
  <c r="U1674"/>
  <c r="U1675"/>
  <c r="U1676"/>
  <c r="U1677"/>
  <c r="U1678"/>
  <c r="U1679"/>
  <c r="U1680"/>
  <c r="Z1680" s="1"/>
  <c r="U1681"/>
  <c r="Z1681" s="1"/>
  <c r="U1682"/>
  <c r="U1683"/>
  <c r="U1684"/>
  <c r="U1685"/>
  <c r="U1686"/>
  <c r="U1687"/>
  <c r="U1688"/>
  <c r="Z1688" s="1"/>
  <c r="U1689"/>
  <c r="Z1689" s="1"/>
  <c r="U1690"/>
  <c r="U1691"/>
  <c r="U1692"/>
  <c r="U1693"/>
  <c r="U1694"/>
  <c r="U1695"/>
  <c r="U1696"/>
  <c r="Z1696" s="1"/>
  <c r="U1697"/>
  <c r="Z1697" s="1"/>
  <c r="U1698"/>
  <c r="U1699"/>
  <c r="U1700"/>
  <c r="U1701"/>
  <c r="U1702"/>
  <c r="U1703"/>
  <c r="U1704"/>
  <c r="Z1704" s="1"/>
  <c r="U1705"/>
  <c r="Z1705" s="1"/>
  <c r="U1706"/>
  <c r="U1707"/>
  <c r="U1708"/>
  <c r="U1709"/>
  <c r="U1710"/>
  <c r="U1711"/>
  <c r="U1712"/>
  <c r="Z1712" s="1"/>
  <c r="U1713"/>
  <c r="U1714"/>
  <c r="U1715"/>
  <c r="U1716"/>
  <c r="U1717"/>
  <c r="U1718"/>
  <c r="U1719"/>
  <c r="U1720"/>
  <c r="Z1720" s="1"/>
  <c r="U1721"/>
  <c r="Z1721" s="1"/>
  <c r="U1722"/>
  <c r="U1723"/>
  <c r="U1724"/>
  <c r="U1725"/>
  <c r="U1726"/>
  <c r="U1727"/>
  <c r="U1728"/>
  <c r="Z1728" s="1"/>
  <c r="U1729"/>
  <c r="Z1729" s="1"/>
  <c r="U1730"/>
  <c r="U1731"/>
  <c r="U7"/>
  <c r="U1732"/>
  <c r="U1733"/>
  <c r="U1734"/>
  <c r="U1735"/>
  <c r="Z1735" s="1"/>
  <c r="U1736"/>
  <c r="Z1736" s="1"/>
  <c r="U1737"/>
  <c r="U1738"/>
  <c r="U1739"/>
  <c r="U1740"/>
  <c r="U1741"/>
  <c r="U1742"/>
  <c r="U1743"/>
  <c r="Z1743" s="1"/>
  <c r="U1744"/>
  <c r="Z1744" s="1"/>
  <c r="U1745"/>
  <c r="U1746"/>
  <c r="U1747"/>
  <c r="U1748"/>
  <c r="U1749"/>
  <c r="U1750"/>
  <c r="U1751"/>
  <c r="Z1751" s="1"/>
  <c r="U1752"/>
  <c r="U1753"/>
  <c r="U1754"/>
  <c r="U1755"/>
  <c r="U1756"/>
  <c r="U1757"/>
  <c r="U1758"/>
  <c r="U1759"/>
  <c r="Z1759" s="1"/>
  <c r="U1760"/>
  <c r="Z1760" s="1"/>
  <c r="U1761"/>
  <c r="U1762"/>
  <c r="U1763"/>
  <c r="U1764"/>
  <c r="U1765"/>
  <c r="U1766"/>
  <c r="U1767"/>
  <c r="Z1767" s="1"/>
  <c r="U1768"/>
  <c r="Z1768" s="1"/>
  <c r="U1769"/>
  <c r="U1770"/>
  <c r="U1771"/>
  <c r="U1772"/>
  <c r="U1773"/>
  <c r="U1774"/>
  <c r="U1775"/>
  <c r="Z1775" s="1"/>
  <c r="U1776"/>
  <c r="U1777"/>
  <c r="U1778"/>
  <c r="U1779"/>
  <c r="U1780"/>
  <c r="U1781"/>
  <c r="U1782"/>
  <c r="U1783"/>
  <c r="U1784"/>
  <c r="U1785"/>
  <c r="U1786"/>
  <c r="U1787"/>
  <c r="U1788"/>
  <c r="U1789"/>
  <c r="U1790"/>
  <c r="U1791"/>
  <c r="Z1791" s="1"/>
  <c r="U1792"/>
  <c r="Z1792" s="1"/>
  <c r="U1793"/>
  <c r="U1794"/>
  <c r="U1795"/>
  <c r="U1796"/>
  <c r="U1797"/>
  <c r="U1798"/>
  <c r="U1799"/>
  <c r="Z1799" s="1"/>
  <c r="U1800"/>
  <c r="Z1800" s="1"/>
  <c r="U1801"/>
  <c r="U1802"/>
  <c r="U1803"/>
  <c r="U1804"/>
  <c r="U1805"/>
  <c r="U1806"/>
  <c r="U1807"/>
  <c r="Z1807" s="1"/>
  <c r="U1808"/>
  <c r="Z1808" s="1"/>
  <c r="U1809"/>
  <c r="U1810"/>
  <c r="U1811"/>
  <c r="U1812"/>
  <c r="U1813"/>
  <c r="U1814"/>
  <c r="U1815"/>
  <c r="Z1815" s="1"/>
  <c r="U1816"/>
  <c r="U1817"/>
  <c r="U1818"/>
  <c r="U1819"/>
  <c r="U1820"/>
  <c r="U1821"/>
  <c r="U1822"/>
  <c r="U1823"/>
  <c r="Z1823" s="1"/>
  <c r="U1824"/>
  <c r="Z1824" s="1"/>
  <c r="U1825"/>
  <c r="U1826"/>
  <c r="U1827"/>
  <c r="U1828"/>
  <c r="U1829"/>
  <c r="U1830"/>
  <c r="U1831"/>
  <c r="Z1831" s="1"/>
  <c r="U1832"/>
  <c r="Z1832" s="1"/>
  <c r="U1833"/>
  <c r="U1834"/>
  <c r="U1835"/>
  <c r="U1836"/>
  <c r="U1837"/>
  <c r="U1838"/>
  <c r="U1839"/>
  <c r="Z1839" s="1"/>
  <c r="U1840"/>
  <c r="U1841"/>
  <c r="U8"/>
  <c r="U1842"/>
  <c r="U1843"/>
  <c r="U1844"/>
  <c r="U1845"/>
  <c r="U1846"/>
  <c r="Z1846" s="1"/>
  <c r="U1847"/>
  <c r="Z1847" s="1"/>
  <c r="U1848"/>
  <c r="U1849"/>
  <c r="U1850"/>
  <c r="U1851"/>
  <c r="U1852"/>
  <c r="U1853"/>
  <c r="U1854"/>
  <c r="Z1854" s="1"/>
  <c r="U1855"/>
  <c r="Z1855" s="1"/>
  <c r="U1856"/>
  <c r="U1857"/>
  <c r="U1858"/>
  <c r="U12"/>
  <c r="U1859"/>
  <c r="U1860"/>
  <c r="U1861"/>
  <c r="Z1861" s="1"/>
  <c r="U1862"/>
  <c r="U1863"/>
  <c r="U1864"/>
  <c r="U1865"/>
  <c r="U1866"/>
  <c r="U1867"/>
  <c r="U1868"/>
  <c r="U1869"/>
  <c r="Z1869" s="1"/>
  <c r="U1870"/>
  <c r="Z1870" s="1"/>
  <c r="U1871"/>
  <c r="U1872"/>
  <c r="U1873"/>
  <c r="U1874"/>
  <c r="U1875"/>
  <c r="U1876"/>
  <c r="U1877"/>
  <c r="Z1877" s="1"/>
  <c r="U1878"/>
  <c r="Z1878" s="1"/>
  <c r="U1879"/>
  <c r="U1880"/>
  <c r="U1881"/>
  <c r="U1882"/>
  <c r="U1883"/>
  <c r="U1884"/>
  <c r="U1885"/>
  <c r="Z1885" s="1"/>
  <c r="U1886"/>
  <c r="U1887"/>
  <c r="U1888"/>
  <c r="U1889"/>
  <c r="U1890"/>
  <c r="U1891"/>
  <c r="U1892"/>
  <c r="U1893"/>
  <c r="Z1893" s="1"/>
  <c r="U1894"/>
  <c r="U1895"/>
  <c r="U1896"/>
  <c r="U1897"/>
  <c r="U1898"/>
  <c r="U1899"/>
  <c r="U1900"/>
  <c r="U1901"/>
  <c r="Z1901" s="1"/>
  <c r="U1902"/>
  <c r="Z1902" s="1"/>
  <c r="U1903"/>
  <c r="U1904"/>
  <c r="U1905"/>
  <c r="U1906"/>
  <c r="U1907"/>
  <c r="U1908"/>
  <c r="U1909"/>
  <c r="Z1909" s="1"/>
  <c r="U1910"/>
  <c r="Z1910" s="1"/>
  <c r="U1911"/>
  <c r="U1912"/>
  <c r="U1913"/>
  <c r="U1914"/>
  <c r="U1915"/>
  <c r="U1916"/>
  <c r="U1917"/>
  <c r="Z1917" s="1"/>
  <c r="U1918"/>
  <c r="U1919"/>
  <c r="U1920"/>
  <c r="U1921"/>
  <c r="U1922"/>
  <c r="U1923"/>
  <c r="U1924"/>
  <c r="U1925"/>
  <c r="Z1925" s="1"/>
  <c r="U1926"/>
  <c r="Z1926" s="1"/>
  <c r="U1927"/>
  <c r="U1928"/>
  <c r="U1929"/>
  <c r="U16"/>
  <c r="U1930"/>
  <c r="U1931"/>
  <c r="U1932"/>
  <c r="Z1932" s="1"/>
  <c r="U1933"/>
  <c r="U1934"/>
  <c r="U1935"/>
  <c r="U1936"/>
  <c r="U1937"/>
  <c r="U1938"/>
  <c r="U1939"/>
  <c r="U1940"/>
  <c r="Z1940" s="1"/>
  <c r="U5"/>
  <c r="U1941"/>
  <c r="U1942"/>
  <c r="U1943"/>
  <c r="U1944"/>
  <c r="U1945"/>
  <c r="U1946"/>
  <c r="U1947"/>
  <c r="Z1947" s="1"/>
  <c r="U1948"/>
  <c r="Z1948" s="1"/>
  <c r="U1949"/>
  <c r="U1950"/>
  <c r="U1951"/>
  <c r="U1952"/>
  <c r="U1953"/>
  <c r="U1954"/>
  <c r="U1955"/>
  <c r="Z1955" s="1"/>
  <c r="U1956"/>
  <c r="Z1956" s="1"/>
  <c r="U1957"/>
  <c r="U1958"/>
  <c r="U1959"/>
  <c r="U1960"/>
  <c r="U1961"/>
  <c r="U1962"/>
  <c r="U1963"/>
  <c r="Z1963" s="1"/>
  <c r="U1964"/>
  <c r="Z1964" s="1"/>
  <c r="U1965"/>
  <c r="U1966"/>
  <c r="U1967"/>
  <c r="U1968"/>
  <c r="U1969"/>
  <c r="U1970"/>
  <c r="U1971"/>
  <c r="Z1971" s="1"/>
  <c r="U1972"/>
  <c r="Z1972" s="1"/>
  <c r="U1973"/>
  <c r="U1974"/>
  <c r="U1975"/>
  <c r="U1976"/>
  <c r="U1977"/>
  <c r="U1978"/>
  <c r="U1979"/>
  <c r="Z1979" s="1"/>
  <c r="U1980"/>
  <c r="Z1980" s="1"/>
  <c r="U1981"/>
  <c r="U1982"/>
  <c r="U1983"/>
  <c r="U1984"/>
  <c r="U1985"/>
  <c r="U1986"/>
  <c r="U1987"/>
  <c r="Z1987" s="1"/>
  <c r="U1988"/>
  <c r="U1989"/>
  <c r="U1990"/>
  <c r="U1991"/>
  <c r="U1992"/>
  <c r="U1993"/>
  <c r="U1994"/>
  <c r="U1995"/>
  <c r="Z1995" s="1"/>
  <c r="U1996"/>
  <c r="Z1996" s="1"/>
  <c r="U1997"/>
  <c r="U1998"/>
  <c r="U1999"/>
  <c r="U2000"/>
  <c r="U2001"/>
  <c r="U2002"/>
  <c r="U2003"/>
  <c r="Z2003" s="1"/>
  <c r="U2004"/>
  <c r="Z2004" s="1"/>
  <c r="U2005"/>
  <c r="U2006"/>
  <c r="U2007"/>
  <c r="U2008"/>
  <c r="U2009"/>
  <c r="U2010"/>
  <c r="U2011"/>
  <c r="Z2011" s="1"/>
  <c r="U2012"/>
  <c r="U2013"/>
  <c r="U2014"/>
  <c r="U2015"/>
  <c r="U2016"/>
  <c r="U2017"/>
  <c r="U2018"/>
  <c r="U2019"/>
  <c r="Z2019" s="1"/>
  <c r="U2020"/>
  <c r="U2021"/>
  <c r="U2022"/>
  <c r="U2023"/>
  <c r="U2024"/>
  <c r="U2025"/>
  <c r="U2026"/>
  <c r="U2027"/>
  <c r="Z2027" s="1"/>
  <c r="U2028"/>
  <c r="Z2028" s="1"/>
  <c r="U2029"/>
  <c r="U2030"/>
  <c r="U2031"/>
  <c r="U2032"/>
  <c r="U2033"/>
  <c r="U2034"/>
  <c r="U2035"/>
  <c r="Z2035" s="1"/>
  <c r="U2036"/>
  <c r="Z2036" s="1"/>
  <c r="U2037"/>
  <c r="U2038"/>
  <c r="U2039"/>
  <c r="U2040"/>
  <c r="U2041"/>
  <c r="U2042"/>
  <c r="U2043"/>
  <c r="Z2043" s="1"/>
  <c r="U2044"/>
  <c r="U2045"/>
  <c r="U2046"/>
  <c r="U2047"/>
  <c r="U2048"/>
  <c r="U2049"/>
  <c r="U2050"/>
  <c r="U2051"/>
  <c r="Z2051" s="1"/>
  <c r="U2052"/>
  <c r="Z2052" s="1"/>
  <c r="U2053"/>
  <c r="U2054"/>
  <c r="U2055"/>
  <c r="U2056"/>
  <c r="U2057"/>
  <c r="U2058"/>
  <c r="U2059"/>
  <c r="Z2059" s="1"/>
  <c r="U2060"/>
  <c r="U2061"/>
  <c r="U2062"/>
  <c r="U2063"/>
  <c r="U2064"/>
  <c r="U2065"/>
  <c r="U2066"/>
  <c r="U2067"/>
  <c r="Z2067" s="1"/>
  <c r="U2068"/>
  <c r="U2069"/>
  <c r="U2070"/>
  <c r="U2071"/>
  <c r="U2072"/>
  <c r="U2073"/>
  <c r="U2074"/>
  <c r="U2075"/>
  <c r="Z2075" s="1"/>
  <c r="U2076"/>
  <c r="Z2076" s="1"/>
  <c r="U2077"/>
  <c r="U2078"/>
  <c r="U2079"/>
  <c r="U2080"/>
  <c r="U2081"/>
  <c r="U2082"/>
  <c r="U2083"/>
  <c r="Z2083" s="1"/>
  <c r="U2084"/>
  <c r="Z2084" s="1"/>
  <c r="U2085"/>
  <c r="U10"/>
  <c r="U2086"/>
  <c r="U2087"/>
  <c r="U2088"/>
  <c r="U2089"/>
  <c r="U2090"/>
  <c r="Z2090" s="1"/>
  <c r="U2091"/>
  <c r="Z2091" s="1"/>
  <c r="U2092"/>
  <c r="U2093"/>
  <c r="U2094"/>
  <c r="U2095"/>
  <c r="U2096"/>
  <c r="U2097"/>
  <c r="U2098"/>
  <c r="Z2098" s="1"/>
  <c r="U2099"/>
  <c r="Z2099" s="1"/>
  <c r="U2100"/>
  <c r="U2101"/>
  <c r="U2102"/>
  <c r="U2103"/>
  <c r="U2104"/>
  <c r="U2105"/>
  <c r="U2106"/>
  <c r="Z2106" s="1"/>
  <c r="U2107"/>
  <c r="Z2107" s="1"/>
  <c r="U2108"/>
  <c r="U2109"/>
  <c r="U2110"/>
  <c r="U2111"/>
  <c r="U2112"/>
  <c r="U2113"/>
  <c r="U2114"/>
  <c r="Z2114" s="1"/>
  <c r="U2115"/>
  <c r="U2116"/>
  <c r="U2117"/>
  <c r="U2118"/>
  <c r="U2119"/>
  <c r="U2120"/>
  <c r="U2121"/>
  <c r="U2122"/>
  <c r="Z2122" s="1"/>
  <c r="U2123"/>
  <c r="Z2123" s="1"/>
  <c r="U2124"/>
  <c r="U2125"/>
  <c r="U2126"/>
  <c r="U2127"/>
  <c r="U2128"/>
  <c r="U2129"/>
  <c r="U2130"/>
  <c r="Z2130" s="1"/>
  <c r="U2131"/>
  <c r="Z2131" s="1"/>
  <c r="U2132"/>
  <c r="U2133"/>
  <c r="U2134"/>
  <c r="U2135"/>
  <c r="U2136"/>
  <c r="U2137"/>
  <c r="U2138"/>
  <c r="Z2138" s="1"/>
  <c r="U2139"/>
  <c r="U2140"/>
  <c r="U2141"/>
  <c r="U2142"/>
  <c r="U2143"/>
  <c r="U2144"/>
  <c r="U2145"/>
  <c r="U2146"/>
  <c r="Z2146" s="1"/>
  <c r="U2147"/>
  <c r="U2148"/>
  <c r="U2149"/>
  <c r="U2150"/>
  <c r="U2151"/>
  <c r="U2152"/>
  <c r="U2153"/>
  <c r="U2154"/>
  <c r="Z2154" s="1"/>
  <c r="U2155"/>
  <c r="Z2155" s="1"/>
  <c r="U2156"/>
  <c r="U2157"/>
  <c r="U2158"/>
  <c r="U2159"/>
  <c r="U2160"/>
  <c r="U2161"/>
  <c r="U2162"/>
  <c r="Z2162" s="1"/>
  <c r="U2163"/>
  <c r="U2164"/>
  <c r="U2165"/>
  <c r="U2166"/>
  <c r="U2167"/>
  <c r="U2168"/>
  <c r="V47"/>
  <c r="V48"/>
  <c r="V49"/>
  <c r="V50"/>
  <c r="V51"/>
  <c r="V52"/>
  <c r="V53"/>
  <c r="V54"/>
  <c r="V55"/>
  <c r="V56"/>
  <c r="V57"/>
  <c r="Y57" s="1"/>
  <c r="V58"/>
  <c r="V59"/>
  <c r="V60"/>
  <c r="V61"/>
  <c r="V62"/>
  <c r="V63"/>
  <c r="V64"/>
  <c r="Z64" s="1"/>
  <c r="V65"/>
  <c r="V66"/>
  <c r="V67"/>
  <c r="V68"/>
  <c r="V69"/>
  <c r="V70"/>
  <c r="V71"/>
  <c r="V72"/>
  <c r="V73"/>
  <c r="V74"/>
  <c r="V75"/>
  <c r="V76"/>
  <c r="V9"/>
  <c r="V77"/>
  <c r="V78"/>
  <c r="V79"/>
  <c r="Z79" s="1"/>
  <c r="V80"/>
  <c r="Z80" s="1"/>
  <c r="V81"/>
  <c r="V15"/>
  <c r="V82"/>
  <c r="V83"/>
  <c r="V84"/>
  <c r="V85"/>
  <c r="V86"/>
  <c r="V87"/>
  <c r="V88"/>
  <c r="V89"/>
  <c r="V90"/>
  <c r="V91"/>
  <c r="V92"/>
  <c r="V93"/>
  <c r="V94"/>
  <c r="Z94" s="1"/>
  <c r="V95"/>
  <c r="V96"/>
  <c r="V97"/>
  <c r="V98"/>
  <c r="V99"/>
  <c r="V100"/>
  <c r="V101"/>
  <c r="V102"/>
  <c r="V103"/>
  <c r="Y103" s="1"/>
  <c r="V104"/>
  <c r="V105"/>
  <c r="V106"/>
  <c r="V107"/>
  <c r="V108"/>
  <c r="V109"/>
  <c r="V110"/>
  <c r="Z110" s="1"/>
  <c r="V111"/>
  <c r="Z111" s="1"/>
  <c r="V112"/>
  <c r="V113"/>
  <c r="V114"/>
  <c r="V115"/>
  <c r="V116"/>
  <c r="V117"/>
  <c r="V118"/>
  <c r="V119"/>
  <c r="Y119" s="1"/>
  <c r="V120"/>
  <c r="V121"/>
  <c r="V122"/>
  <c r="V123"/>
  <c r="V124"/>
  <c r="V125"/>
  <c r="V126"/>
  <c r="Z126" s="1"/>
  <c r="V127"/>
  <c r="V128"/>
  <c r="V129"/>
  <c r="V130"/>
  <c r="V131"/>
  <c r="V132"/>
  <c r="V133"/>
  <c r="V134"/>
  <c r="V135"/>
  <c r="V136"/>
  <c r="V137"/>
  <c r="V138"/>
  <c r="V139"/>
  <c r="V140"/>
  <c r="V141"/>
  <c r="V142"/>
  <c r="Z142" s="1"/>
  <c r="V143"/>
  <c r="Z143" s="1"/>
  <c r="V144"/>
  <c r="V145"/>
  <c r="V146"/>
  <c r="V147"/>
  <c r="V148"/>
  <c r="V149"/>
  <c r="V150"/>
  <c r="V151"/>
  <c r="Y151" s="1"/>
  <c r="V152"/>
  <c r="V153"/>
  <c r="V154"/>
  <c r="V155"/>
  <c r="V156"/>
  <c r="V157"/>
  <c r="V158"/>
  <c r="V159"/>
  <c r="V160"/>
  <c r="V161"/>
  <c r="V162"/>
  <c r="V163"/>
  <c r="V164"/>
  <c r="V165"/>
  <c r="V166"/>
  <c r="V167"/>
  <c r="V168"/>
  <c r="V169"/>
  <c r="V170"/>
  <c r="V171"/>
  <c r="V172"/>
  <c r="V173"/>
  <c r="V174"/>
  <c r="V175"/>
  <c r="Z175" s="1"/>
  <c r="V176"/>
  <c r="V177"/>
  <c r="V178"/>
  <c r="V179"/>
  <c r="V180"/>
  <c r="V181"/>
  <c r="V182"/>
  <c r="Z182" s="1"/>
  <c r="V183"/>
  <c r="Z183" s="1"/>
  <c r="V184"/>
  <c r="V185"/>
  <c r="V186"/>
  <c r="V187"/>
  <c r="V188"/>
  <c r="V189"/>
  <c r="V190"/>
  <c r="V191"/>
  <c r="V192"/>
  <c r="V193"/>
  <c r="V194"/>
  <c r="V195"/>
  <c r="V196"/>
  <c r="V197"/>
  <c r="V198"/>
  <c r="V199"/>
  <c r="V200"/>
  <c r="V201"/>
  <c r="V202"/>
  <c r="V203"/>
  <c r="V204"/>
  <c r="V205"/>
  <c r="V206"/>
  <c r="V207"/>
  <c r="V208"/>
  <c r="V209"/>
  <c r="V210"/>
  <c r="V211"/>
  <c r="V212"/>
  <c r="V213"/>
  <c r="V214"/>
  <c r="V215"/>
  <c r="V216"/>
  <c r="V217"/>
  <c r="V218"/>
  <c r="V219"/>
  <c r="V220"/>
  <c r="V221"/>
  <c r="V222"/>
  <c r="V223"/>
  <c r="Y223" s="1"/>
  <c r="V224"/>
  <c r="V225"/>
  <c r="V226"/>
  <c r="V227"/>
  <c r="V228"/>
  <c r="V229"/>
  <c r="V230"/>
  <c r="V231"/>
  <c r="V232"/>
  <c r="V233"/>
  <c r="V234"/>
  <c r="V235"/>
  <c r="V236"/>
  <c r="V237"/>
  <c r="V238"/>
  <c r="V239"/>
  <c r="V240"/>
  <c r="V241"/>
  <c r="V242"/>
  <c r="V243"/>
  <c r="V244"/>
  <c r="V245"/>
  <c r="V246"/>
  <c r="V247"/>
  <c r="V248"/>
  <c r="V249"/>
  <c r="V250"/>
  <c r="V251"/>
  <c r="V252"/>
  <c r="V253"/>
  <c r="V254"/>
  <c r="V255"/>
  <c r="Y255" s="1"/>
  <c r="V256"/>
  <c r="V257"/>
  <c r="V258"/>
  <c r="V259"/>
  <c r="V260"/>
  <c r="V261"/>
  <c r="V262"/>
  <c r="V263"/>
  <c r="V264"/>
  <c r="V265"/>
  <c r="V266"/>
  <c r="V267"/>
  <c r="V268"/>
  <c r="V269"/>
  <c r="V270"/>
  <c r="V271"/>
  <c r="V272"/>
  <c r="V273"/>
  <c r="V274"/>
  <c r="V275"/>
  <c r="V276"/>
  <c r="V277"/>
  <c r="V278"/>
  <c r="V279"/>
  <c r="V280"/>
  <c r="V281"/>
  <c r="V282"/>
  <c r="V283"/>
  <c r="V284"/>
  <c r="V285"/>
  <c r="V286"/>
  <c r="V287"/>
  <c r="V288"/>
  <c r="V289"/>
  <c r="V290"/>
  <c r="V291"/>
  <c r="V292"/>
  <c r="V293"/>
  <c r="V294"/>
  <c r="V295"/>
  <c r="V296"/>
  <c r="V297"/>
  <c r="V298"/>
  <c r="V299"/>
  <c r="V300"/>
  <c r="V301"/>
  <c r="V302"/>
  <c r="V303"/>
  <c r="V304"/>
  <c r="V305"/>
  <c r="V306"/>
  <c r="V307"/>
  <c r="V308"/>
  <c r="V309"/>
  <c r="V310"/>
  <c r="V311"/>
  <c r="V312"/>
  <c r="V313"/>
  <c r="V314"/>
  <c r="V315"/>
  <c r="V316"/>
  <c r="V317"/>
  <c r="V318"/>
  <c r="V319"/>
  <c r="Y319" s="1"/>
  <c r="V320"/>
  <c r="V321"/>
  <c r="V322"/>
  <c r="V323"/>
  <c r="V324"/>
  <c r="V325"/>
  <c r="V326"/>
  <c r="V327"/>
  <c r="Y327" s="1"/>
  <c r="V328"/>
  <c r="V329"/>
  <c r="V330"/>
  <c r="V331"/>
  <c r="V332"/>
  <c r="V333"/>
  <c r="V334"/>
  <c r="V335"/>
  <c r="V336"/>
  <c r="V337"/>
  <c r="V338"/>
  <c r="V339"/>
  <c r="V340"/>
  <c r="V341"/>
  <c r="V342"/>
  <c r="V343"/>
  <c r="V344"/>
  <c r="V345"/>
  <c r="V346"/>
  <c r="V347"/>
  <c r="V348"/>
  <c r="V349"/>
  <c r="V350"/>
  <c r="V351"/>
  <c r="V352"/>
  <c r="V353"/>
  <c r="V354"/>
  <c r="V355"/>
  <c r="V356"/>
  <c r="V357"/>
  <c r="V358"/>
  <c r="V359"/>
  <c r="V360"/>
  <c r="V361"/>
  <c r="V362"/>
  <c r="V363"/>
  <c r="V364"/>
  <c r="V365"/>
  <c r="V366"/>
  <c r="V367"/>
  <c r="V368"/>
  <c r="V369"/>
  <c r="V370"/>
  <c r="V371"/>
  <c r="V372"/>
  <c r="V373"/>
  <c r="V374"/>
  <c r="V375"/>
  <c r="V376"/>
  <c r="V377"/>
  <c r="V378"/>
  <c r="V379"/>
  <c r="V380"/>
  <c r="V381"/>
  <c r="V382"/>
  <c r="V383"/>
  <c r="Y383" s="1"/>
  <c r="V384"/>
  <c r="V385"/>
  <c r="V386"/>
  <c r="V387"/>
  <c r="V388"/>
  <c r="V389"/>
  <c r="V390"/>
  <c r="V391"/>
  <c r="V392"/>
  <c r="V393"/>
  <c r="V394"/>
  <c r="V395"/>
  <c r="V396"/>
  <c r="V397"/>
  <c r="V398"/>
  <c r="V399"/>
  <c r="V400"/>
  <c r="V401"/>
  <c r="V402"/>
  <c r="V403"/>
  <c r="V404"/>
  <c r="V405"/>
  <c r="V406"/>
  <c r="V407"/>
  <c r="V408"/>
  <c r="V409"/>
  <c r="V410"/>
  <c r="V411"/>
  <c r="V412"/>
  <c r="V413"/>
  <c r="V414"/>
  <c r="V415"/>
  <c r="V416"/>
  <c r="V417"/>
  <c r="V418"/>
  <c r="V419"/>
  <c r="V420"/>
  <c r="V421"/>
  <c r="V422"/>
  <c r="V423"/>
  <c r="V424"/>
  <c r="V425"/>
  <c r="V426"/>
  <c r="V427"/>
  <c r="V428"/>
  <c r="V429"/>
  <c r="V430"/>
  <c r="V431"/>
  <c r="Y431" s="1"/>
  <c r="V432"/>
  <c r="V433"/>
  <c r="V434"/>
  <c r="V435"/>
  <c r="V436"/>
  <c r="V437"/>
  <c r="V438"/>
  <c r="V439"/>
  <c r="V440"/>
  <c r="V441"/>
  <c r="V442"/>
  <c r="V443"/>
  <c r="V444"/>
  <c r="V445"/>
  <c r="V446"/>
  <c r="V447"/>
  <c r="Y447" s="1"/>
  <c r="V448"/>
  <c r="V449"/>
  <c r="V450"/>
  <c r="V451"/>
  <c r="V452"/>
  <c r="V453"/>
  <c r="V454"/>
  <c r="V455"/>
  <c r="V456"/>
  <c r="V457"/>
  <c r="V458"/>
  <c r="V459"/>
  <c r="V460"/>
  <c r="V461"/>
  <c r="V462"/>
  <c r="V463"/>
  <c r="V464"/>
  <c r="V465"/>
  <c r="V466"/>
  <c r="V467"/>
  <c r="V468"/>
  <c r="V469"/>
  <c r="V470"/>
  <c r="V471"/>
  <c r="V472"/>
  <c r="V473"/>
  <c r="V474"/>
  <c r="V475"/>
  <c r="V476"/>
  <c r="V477"/>
  <c r="V478"/>
  <c r="V479"/>
  <c r="Y479" s="1"/>
  <c r="V480"/>
  <c r="V481"/>
  <c r="V482"/>
  <c r="V483"/>
  <c r="V484"/>
  <c r="V485"/>
  <c r="V486"/>
  <c r="V487"/>
  <c r="Y487" s="1"/>
  <c r="V488"/>
  <c r="V489"/>
  <c r="V490"/>
  <c r="V491"/>
  <c r="V492"/>
  <c r="V493"/>
  <c r="V494"/>
  <c r="V495"/>
  <c r="V496"/>
  <c r="V497"/>
  <c r="V498"/>
  <c r="V499"/>
  <c r="V500"/>
  <c r="V501"/>
  <c r="V502"/>
  <c r="V503"/>
  <c r="V504"/>
  <c r="V505"/>
  <c r="V506"/>
  <c r="V507"/>
  <c r="V508"/>
  <c r="V509"/>
  <c r="V510"/>
  <c r="V511"/>
  <c r="V512"/>
  <c r="V513"/>
  <c r="V514"/>
  <c r="V515"/>
  <c r="V516"/>
  <c r="V517"/>
  <c r="V518"/>
  <c r="V519"/>
  <c r="V520"/>
  <c r="V521"/>
  <c r="V522"/>
  <c r="V523"/>
  <c r="V524"/>
  <c r="V525"/>
  <c r="V526"/>
  <c r="V527"/>
  <c r="V528"/>
  <c r="V529"/>
  <c r="V530"/>
  <c r="V531"/>
  <c r="V532"/>
  <c r="V533"/>
  <c r="V534"/>
  <c r="V535"/>
  <c r="V536"/>
  <c r="V537"/>
  <c r="V538"/>
  <c r="V539"/>
  <c r="V540"/>
  <c r="V541"/>
  <c r="V542"/>
  <c r="V543"/>
  <c r="Y543" s="1"/>
  <c r="V544"/>
  <c r="V545"/>
  <c r="V546"/>
  <c r="V547"/>
  <c r="V548"/>
  <c r="V549"/>
  <c r="V550"/>
  <c r="V551"/>
  <c r="V552"/>
  <c r="V553"/>
  <c r="V554"/>
  <c r="V555"/>
  <c r="V556"/>
  <c r="V557"/>
  <c r="V558"/>
  <c r="V559"/>
  <c r="V560"/>
  <c r="V561"/>
  <c r="V562"/>
  <c r="V563"/>
  <c r="V564"/>
  <c r="V565"/>
  <c r="V566"/>
  <c r="V567"/>
  <c r="V568"/>
  <c r="V569"/>
  <c r="V570"/>
  <c r="V571"/>
  <c r="V572"/>
  <c r="V573"/>
  <c r="V574"/>
  <c r="V575"/>
  <c r="V576"/>
  <c r="V577"/>
  <c r="V578"/>
  <c r="V579"/>
  <c r="V580"/>
  <c r="V581"/>
  <c r="V582"/>
  <c r="V583"/>
  <c r="V584"/>
  <c r="V585"/>
  <c r="V586"/>
  <c r="V587"/>
  <c r="V588"/>
  <c r="V589"/>
  <c r="V590"/>
  <c r="V591"/>
  <c r="V592"/>
  <c r="V593"/>
  <c r="V594"/>
  <c r="V595"/>
  <c r="V596"/>
  <c r="V597"/>
  <c r="V598"/>
  <c r="V599"/>
  <c r="V600"/>
  <c r="V601"/>
  <c r="V602"/>
  <c r="V603"/>
  <c r="V604"/>
  <c r="V605"/>
  <c r="V606"/>
  <c r="V607"/>
  <c r="V608"/>
  <c r="V609"/>
  <c r="V610"/>
  <c r="V611"/>
  <c r="V612"/>
  <c r="V613"/>
  <c r="V614"/>
  <c r="V615"/>
  <c r="Y615" s="1"/>
  <c r="V616"/>
  <c r="V617"/>
  <c r="V618"/>
  <c r="V619"/>
  <c r="V620"/>
  <c r="V621"/>
  <c r="V622"/>
  <c r="V623"/>
  <c r="V624"/>
  <c r="V625"/>
  <c r="V626"/>
  <c r="V627"/>
  <c r="V628"/>
  <c r="V629"/>
  <c r="V630"/>
  <c r="V631"/>
  <c r="Y631" s="1"/>
  <c r="V632"/>
  <c r="V633"/>
  <c r="V634"/>
  <c r="V635"/>
  <c r="V636"/>
  <c r="V637"/>
  <c r="V638"/>
  <c r="V639"/>
  <c r="V640"/>
  <c r="V641"/>
  <c r="V642"/>
  <c r="V643"/>
  <c r="V644"/>
  <c r="V645"/>
  <c r="V646"/>
  <c r="V647"/>
  <c r="V648"/>
  <c r="V649"/>
  <c r="V650"/>
  <c r="V651"/>
  <c r="V652"/>
  <c r="V653"/>
  <c r="V654"/>
  <c r="V655"/>
  <c r="V656"/>
  <c r="V657"/>
  <c r="V658"/>
  <c r="V659"/>
  <c r="V660"/>
  <c r="V661"/>
  <c r="V662"/>
  <c r="V663"/>
  <c r="V664"/>
  <c r="V665"/>
  <c r="V666"/>
  <c r="V667"/>
  <c r="V668"/>
  <c r="V669"/>
  <c r="V670"/>
  <c r="V671"/>
  <c r="Y671" s="1"/>
  <c r="V672"/>
  <c r="V673"/>
  <c r="V674"/>
  <c r="V675"/>
  <c r="V676"/>
  <c r="V677"/>
  <c r="V678"/>
  <c r="V679"/>
  <c r="V680"/>
  <c r="V681"/>
  <c r="V682"/>
  <c r="V683"/>
  <c r="V684"/>
  <c r="V685"/>
  <c r="V686"/>
  <c r="V687"/>
  <c r="V688"/>
  <c r="V689"/>
  <c r="V690"/>
  <c r="V691"/>
  <c r="V692"/>
  <c r="V693"/>
  <c r="V694"/>
  <c r="V695"/>
  <c r="V696"/>
  <c r="V697"/>
  <c r="V698"/>
  <c r="V699"/>
  <c r="V700"/>
  <c r="V701"/>
  <c r="V702"/>
  <c r="V703"/>
  <c r="Y703" s="1"/>
  <c r="V704"/>
  <c r="V705"/>
  <c r="V706"/>
  <c r="V707"/>
  <c r="V708"/>
  <c r="V709"/>
  <c r="V710"/>
  <c r="V711"/>
  <c r="V712"/>
  <c r="V713"/>
  <c r="V714"/>
  <c r="V715"/>
  <c r="V716"/>
  <c r="V717"/>
  <c r="V718"/>
  <c r="V719"/>
  <c r="V720"/>
  <c r="V721"/>
  <c r="V722"/>
  <c r="V723"/>
  <c r="V724"/>
  <c r="V725"/>
  <c r="V726"/>
  <c r="V14"/>
  <c r="V727"/>
  <c r="V728"/>
  <c r="V729"/>
  <c r="V730"/>
  <c r="V731"/>
  <c r="V732"/>
  <c r="V733"/>
  <c r="V734"/>
  <c r="V735"/>
  <c r="V736"/>
  <c r="V737"/>
  <c r="V738"/>
  <c r="V739"/>
  <c r="V740"/>
  <c r="V741"/>
  <c r="V742"/>
  <c r="Y742" s="1"/>
  <c r="V743"/>
  <c r="V744"/>
  <c r="V745"/>
  <c r="V746"/>
  <c r="V747"/>
  <c r="V748"/>
  <c r="V749"/>
  <c r="V750"/>
  <c r="V751"/>
  <c r="V752"/>
  <c r="V753"/>
  <c r="V754"/>
  <c r="V755"/>
  <c r="V756"/>
  <c r="V757"/>
  <c r="V758"/>
  <c r="Y758" s="1"/>
  <c r="V759"/>
  <c r="V760"/>
  <c r="V761"/>
  <c r="V762"/>
  <c r="V763"/>
  <c r="V764"/>
  <c r="V765"/>
  <c r="V766"/>
  <c r="V767"/>
  <c r="V768"/>
  <c r="V769"/>
  <c r="V770"/>
  <c r="V771"/>
  <c r="V772"/>
  <c r="V773"/>
  <c r="V774"/>
  <c r="V775"/>
  <c r="V776"/>
  <c r="V777"/>
  <c r="V778"/>
  <c r="V779"/>
  <c r="V780"/>
  <c r="V781"/>
  <c r="V782"/>
  <c r="V783"/>
  <c r="V784"/>
  <c r="V785"/>
  <c r="V786"/>
  <c r="V787"/>
  <c r="V788"/>
  <c r="V789"/>
  <c r="V790"/>
  <c r="V791"/>
  <c r="V792"/>
  <c r="V793"/>
  <c r="V794"/>
  <c r="V795"/>
  <c r="V796"/>
  <c r="V797"/>
  <c r="V798"/>
  <c r="V799"/>
  <c r="V800"/>
  <c r="V801"/>
  <c r="V802"/>
  <c r="V803"/>
  <c r="V804"/>
  <c r="V805"/>
  <c r="V806"/>
  <c r="V807"/>
  <c r="V808"/>
  <c r="V809"/>
  <c r="V810"/>
  <c r="V811"/>
  <c r="V812"/>
  <c r="V813"/>
  <c r="V814"/>
  <c r="V815"/>
  <c r="V816"/>
  <c r="V817"/>
  <c r="V818"/>
  <c r="V819"/>
  <c r="V820"/>
  <c r="V821"/>
  <c r="V822"/>
  <c r="Y822" s="1"/>
  <c r="V823"/>
  <c r="V824"/>
  <c r="V825"/>
  <c r="V826"/>
  <c r="V827"/>
  <c r="V828"/>
  <c r="V829"/>
  <c r="V830"/>
  <c r="V831"/>
  <c r="V832"/>
  <c r="V833"/>
  <c r="V834"/>
  <c r="V835"/>
  <c r="V836"/>
  <c r="V837"/>
  <c r="V838"/>
  <c r="V839"/>
  <c r="V840"/>
  <c r="V841"/>
  <c r="V842"/>
  <c r="V843"/>
  <c r="V844"/>
  <c r="V845"/>
  <c r="V846"/>
  <c r="V847"/>
  <c r="V848"/>
  <c r="V849"/>
  <c r="V850"/>
  <c r="V851"/>
  <c r="V852"/>
  <c r="V853"/>
  <c r="V854"/>
  <c r="V855"/>
  <c r="V856"/>
  <c r="V857"/>
  <c r="V858"/>
  <c r="V859"/>
  <c r="V860"/>
  <c r="V861"/>
  <c r="V862"/>
  <c r="Y862" s="1"/>
  <c r="V863"/>
  <c r="V864"/>
  <c r="V865"/>
  <c r="V866"/>
  <c r="V867"/>
  <c r="V868"/>
  <c r="V869"/>
  <c r="V870"/>
  <c r="V871"/>
  <c r="V872"/>
  <c r="V873"/>
  <c r="V874"/>
  <c r="V875"/>
  <c r="V876"/>
  <c r="V877"/>
  <c r="V878"/>
  <c r="V879"/>
  <c r="V880"/>
  <c r="V881"/>
  <c r="V882"/>
  <c r="V883"/>
  <c r="V884"/>
  <c r="V885"/>
  <c r="V886"/>
  <c r="V887"/>
  <c r="V888"/>
  <c r="V889"/>
  <c r="V890"/>
  <c r="V891"/>
  <c r="V892"/>
  <c r="V893"/>
  <c r="V894"/>
  <c r="V895"/>
  <c r="V896"/>
  <c r="V897"/>
  <c r="V898"/>
  <c r="V899"/>
  <c r="V900"/>
  <c r="V901"/>
  <c r="V902"/>
  <c r="V903"/>
  <c r="V904"/>
  <c r="V905"/>
  <c r="V906"/>
  <c r="V907"/>
  <c r="V908"/>
  <c r="V909"/>
  <c r="V910"/>
  <c r="V911"/>
  <c r="V912"/>
  <c r="V913"/>
  <c r="V914"/>
  <c r="V915"/>
  <c r="V916"/>
  <c r="V917"/>
  <c r="V918"/>
  <c r="V919"/>
  <c r="V920"/>
  <c r="V921"/>
  <c r="V922"/>
  <c r="V923"/>
  <c r="V924"/>
  <c r="V925"/>
  <c r="V926"/>
  <c r="Y926" s="1"/>
  <c r="V927"/>
  <c r="V928"/>
  <c r="V929"/>
  <c r="V930"/>
  <c r="V931"/>
  <c r="V932"/>
  <c r="V933"/>
  <c r="V934"/>
  <c r="V935"/>
  <c r="V936"/>
  <c r="V937"/>
  <c r="V938"/>
  <c r="V939"/>
  <c r="V940"/>
  <c r="V941"/>
  <c r="V942"/>
  <c r="V943"/>
  <c r="V944"/>
  <c r="V945"/>
  <c r="V946"/>
  <c r="V947"/>
  <c r="V948"/>
  <c r="V949"/>
  <c r="V950"/>
  <c r="V951"/>
  <c r="V952"/>
  <c r="V953"/>
  <c r="V954"/>
  <c r="V955"/>
  <c r="V956"/>
  <c r="V957"/>
  <c r="V958"/>
  <c r="V959"/>
  <c r="V960"/>
  <c r="V961"/>
  <c r="V962"/>
  <c r="V963"/>
  <c r="V964"/>
  <c r="V965"/>
  <c r="V966"/>
  <c r="V967"/>
  <c r="V968"/>
  <c r="V969"/>
  <c r="V970"/>
  <c r="V971"/>
  <c r="V972"/>
  <c r="V973"/>
  <c r="V6"/>
  <c r="V974"/>
  <c r="V975"/>
  <c r="V976"/>
  <c r="V977"/>
  <c r="V978"/>
  <c r="V979"/>
  <c r="V980"/>
  <c r="V981"/>
  <c r="V982"/>
  <c r="V983"/>
  <c r="V984"/>
  <c r="V985"/>
  <c r="V986"/>
  <c r="V987"/>
  <c r="V988"/>
  <c r="V989"/>
  <c r="Y989" s="1"/>
  <c r="V990"/>
  <c r="V991"/>
  <c r="V992"/>
  <c r="V993"/>
  <c r="V994"/>
  <c r="V995"/>
  <c r="V996"/>
  <c r="V997"/>
  <c r="V998"/>
  <c r="V999"/>
  <c r="V1000"/>
  <c r="V1001"/>
  <c r="V1002"/>
  <c r="V1003"/>
  <c r="V1004"/>
  <c r="V1005"/>
  <c r="V1006"/>
  <c r="V1007"/>
  <c r="V1008"/>
  <c r="V1009"/>
  <c r="V1010"/>
  <c r="V1011"/>
  <c r="V1012"/>
  <c r="V1013"/>
  <c r="V1014"/>
  <c r="V1015"/>
  <c r="V1016"/>
  <c r="V1017"/>
  <c r="V1018"/>
  <c r="V1019"/>
  <c r="V1020"/>
  <c r="V1021"/>
  <c r="V1022"/>
  <c r="V1023"/>
  <c r="V1024"/>
  <c r="V1025"/>
  <c r="V1026"/>
  <c r="V1027"/>
  <c r="V1028"/>
  <c r="V1029"/>
  <c r="Y1029" s="1"/>
  <c r="V1030"/>
  <c r="V1031"/>
  <c r="V1032"/>
  <c r="V1033"/>
  <c r="V1034"/>
  <c r="V1035"/>
  <c r="V1036"/>
  <c r="V1037"/>
  <c r="V1038"/>
  <c r="V1039"/>
  <c r="V1040"/>
  <c r="V1041"/>
  <c r="V1042"/>
  <c r="V1043"/>
  <c r="V1044"/>
  <c r="V1045"/>
  <c r="V1046"/>
  <c r="V1047"/>
  <c r="V1048"/>
  <c r="V1049"/>
  <c r="V1050"/>
  <c r="V1051"/>
  <c r="V1052"/>
  <c r="V1053"/>
  <c r="V1054"/>
  <c r="V1055"/>
  <c r="V1056"/>
  <c r="V1057"/>
  <c r="V1058"/>
  <c r="V1059"/>
  <c r="V1060"/>
  <c r="V1061"/>
  <c r="V1062"/>
  <c r="V1063"/>
  <c r="V1064"/>
  <c r="V1065"/>
  <c r="V1066"/>
  <c r="V1067"/>
  <c r="V1068"/>
  <c r="V1069"/>
  <c r="V1070"/>
  <c r="V1071"/>
  <c r="V1072"/>
  <c r="V1073"/>
  <c r="V1074"/>
  <c r="V1075"/>
  <c r="V1076"/>
  <c r="V1077"/>
  <c r="Y1077" s="1"/>
  <c r="V1078"/>
  <c r="V1079"/>
  <c r="V1080"/>
  <c r="V1081"/>
  <c r="V1082"/>
  <c r="V1083"/>
  <c r="V1084"/>
  <c r="V1085"/>
  <c r="V1086"/>
  <c r="V1087"/>
  <c r="V1088"/>
  <c r="V1089"/>
  <c r="V1090"/>
  <c r="V1091"/>
  <c r="V1092"/>
  <c r="V1093"/>
  <c r="Y1093" s="1"/>
  <c r="V1094"/>
  <c r="V1095"/>
  <c r="V1096"/>
  <c r="V1097"/>
  <c r="V1098"/>
  <c r="V1099"/>
  <c r="V1100"/>
  <c r="V1101"/>
  <c r="V1102"/>
  <c r="V1103"/>
  <c r="V1104"/>
  <c r="V1105"/>
  <c r="V1106"/>
  <c r="V1107"/>
  <c r="V1108"/>
  <c r="V1109"/>
  <c r="V1110"/>
  <c r="V1111"/>
  <c r="V1112"/>
  <c r="V1113"/>
  <c r="V1114"/>
  <c r="V1115"/>
  <c r="V1116"/>
  <c r="V1117"/>
  <c r="V1118"/>
  <c r="V1119"/>
  <c r="V1120"/>
  <c r="V1121"/>
  <c r="V1122"/>
  <c r="V1123"/>
  <c r="V1124"/>
  <c r="V1125"/>
  <c r="V1126"/>
  <c r="V1127"/>
  <c r="V1128"/>
  <c r="V1129"/>
  <c r="V1130"/>
  <c r="V1131"/>
  <c r="V1132"/>
  <c r="V1133"/>
  <c r="V1134"/>
  <c r="V1135"/>
  <c r="V1136"/>
  <c r="V1137"/>
  <c r="V1138"/>
  <c r="V1139"/>
  <c r="V1140"/>
  <c r="V1141"/>
  <c r="Y1141" s="1"/>
  <c r="V1142"/>
  <c r="V1143"/>
  <c r="V1144"/>
  <c r="V1145"/>
  <c r="V1146"/>
  <c r="V1147"/>
  <c r="V1148"/>
  <c r="V1149"/>
  <c r="V1150"/>
  <c r="V1151"/>
  <c r="V1152"/>
  <c r="V1153"/>
  <c r="V1154"/>
  <c r="V1155"/>
  <c r="V1156"/>
  <c r="V1157"/>
  <c r="V1158"/>
  <c r="V1159"/>
  <c r="V1160"/>
  <c r="V1161"/>
  <c r="V1162"/>
  <c r="V1163"/>
  <c r="V1164"/>
  <c r="V1165"/>
  <c r="V1166"/>
  <c r="V1167"/>
  <c r="V1168"/>
  <c r="V1169"/>
  <c r="V1170"/>
  <c r="V1171"/>
  <c r="V1172"/>
  <c r="V1173"/>
  <c r="Y1173" s="1"/>
  <c r="V1174"/>
  <c r="V1175"/>
  <c r="V1176"/>
  <c r="V1177"/>
  <c r="V1178"/>
  <c r="V1179"/>
  <c r="V1180"/>
  <c r="V1181"/>
  <c r="Y1181" s="1"/>
  <c r="V1182"/>
  <c r="V1183"/>
  <c r="V1184"/>
  <c r="V1185"/>
  <c r="V1186"/>
  <c r="V1187"/>
  <c r="V1188"/>
  <c r="V1189"/>
  <c r="V1190"/>
  <c r="V1191"/>
  <c r="V1192"/>
  <c r="V1193"/>
  <c r="V1194"/>
  <c r="V1195"/>
  <c r="V1196"/>
  <c r="V1197"/>
  <c r="V1198"/>
  <c r="V1199"/>
  <c r="V1200"/>
  <c r="V1201"/>
  <c r="V1202"/>
  <c r="V1203"/>
  <c r="V1204"/>
  <c r="V1205"/>
  <c r="V1206"/>
  <c r="V1207"/>
  <c r="V1208"/>
  <c r="V1209"/>
  <c r="V1210"/>
  <c r="V1211"/>
  <c r="V1212"/>
  <c r="V1213"/>
  <c r="V1214"/>
  <c r="V1215"/>
  <c r="V1216"/>
  <c r="V1217"/>
  <c r="V1218"/>
  <c r="V1219"/>
  <c r="V1220"/>
  <c r="V1221"/>
  <c r="V1222"/>
  <c r="V1223"/>
  <c r="V1224"/>
  <c r="V1225"/>
  <c r="V1226"/>
  <c r="V1227"/>
  <c r="V1228"/>
  <c r="V1229"/>
  <c r="Y1229" s="1"/>
  <c r="V1230"/>
  <c r="V1231"/>
  <c r="V1232"/>
  <c r="V1233"/>
  <c r="V1234"/>
  <c r="V1235"/>
  <c r="V1236"/>
  <c r="V1237"/>
  <c r="V1238"/>
  <c r="V1239"/>
  <c r="V1240"/>
  <c r="V1241"/>
  <c r="V1242"/>
  <c r="V1243"/>
  <c r="V1244"/>
  <c r="V1245"/>
  <c r="V1246"/>
  <c r="V1247"/>
  <c r="V1248"/>
  <c r="V1249"/>
  <c r="V1250"/>
  <c r="V1251"/>
  <c r="V1252"/>
  <c r="V1253"/>
  <c r="V1254"/>
  <c r="V1255"/>
  <c r="V1256"/>
  <c r="V1257"/>
  <c r="V1258"/>
  <c r="V1259"/>
  <c r="V1260"/>
  <c r="V1261"/>
  <c r="Y1261" s="1"/>
  <c r="V1262"/>
  <c r="V1263"/>
  <c r="V1264"/>
  <c r="V1265"/>
  <c r="V1266"/>
  <c r="V1267"/>
  <c r="V1268"/>
  <c r="V1269"/>
  <c r="V1270"/>
  <c r="V1271"/>
  <c r="V1272"/>
  <c r="V17"/>
  <c r="V1273"/>
  <c r="V1274"/>
  <c r="V1275"/>
  <c r="V1276"/>
  <c r="V1277"/>
  <c r="V1278"/>
  <c r="V1279"/>
  <c r="V1280"/>
  <c r="V1281"/>
  <c r="V1282"/>
  <c r="V1283"/>
  <c r="V1284"/>
  <c r="V1285"/>
  <c r="V1286"/>
  <c r="V1287"/>
  <c r="V1288"/>
  <c r="V1289"/>
  <c r="V1290"/>
  <c r="V1291"/>
  <c r="V1292"/>
  <c r="V1293"/>
  <c r="V1294"/>
  <c r="V1295"/>
  <c r="V1296"/>
  <c r="V1297"/>
  <c r="V1298"/>
  <c r="V1299"/>
  <c r="V1300"/>
  <c r="Y1300" s="1"/>
  <c r="V1301"/>
  <c r="V1302"/>
  <c r="V1303"/>
  <c r="V1304"/>
  <c r="V1305"/>
  <c r="V1306"/>
  <c r="V1307"/>
  <c r="V1308"/>
  <c r="Y1308" s="1"/>
  <c r="V1309"/>
  <c r="V1310"/>
  <c r="V1311"/>
  <c r="V1312"/>
  <c r="V1313"/>
  <c r="V1314"/>
  <c r="V1315"/>
  <c r="V1316"/>
  <c r="V1317"/>
  <c r="V1318"/>
  <c r="V1319"/>
  <c r="V1320"/>
  <c r="V1321"/>
  <c r="V1322"/>
  <c r="V1323"/>
  <c r="V1324"/>
  <c r="V1325"/>
  <c r="V1326"/>
  <c r="V1327"/>
  <c r="V1328"/>
  <c r="V1329"/>
  <c r="V1330"/>
  <c r="V1331"/>
  <c r="V1332"/>
  <c r="V1333"/>
  <c r="V1334"/>
  <c r="V1335"/>
  <c r="V1336"/>
  <c r="V1337"/>
  <c r="V1338"/>
  <c r="V1339"/>
  <c r="V1340"/>
  <c r="Y1340" s="1"/>
  <c r="V1341"/>
  <c r="V1342"/>
  <c r="V1343"/>
  <c r="V1344"/>
  <c r="V1345"/>
  <c r="V1346"/>
  <c r="V1347"/>
  <c r="V1348"/>
  <c r="V1349"/>
  <c r="V1350"/>
  <c r="V1351"/>
  <c r="V1352"/>
  <c r="V1353"/>
  <c r="V1354"/>
  <c r="V1355"/>
  <c r="V1356"/>
  <c r="V1357"/>
  <c r="V1358"/>
  <c r="V1359"/>
  <c r="V1360"/>
  <c r="V1361"/>
  <c r="V1362"/>
  <c r="V1363"/>
  <c r="V1364"/>
  <c r="Y1364" s="1"/>
  <c r="V1365"/>
  <c r="V1366"/>
  <c r="V1367"/>
  <c r="V1368"/>
  <c r="V1369"/>
  <c r="V1370"/>
  <c r="V1371"/>
  <c r="V1372"/>
  <c r="V1373"/>
  <c r="V1374"/>
  <c r="V1375"/>
  <c r="V1376"/>
  <c r="V1377"/>
  <c r="V1378"/>
  <c r="V1379"/>
  <c r="V1380"/>
  <c r="V1381"/>
  <c r="V1382"/>
  <c r="V1383"/>
  <c r="V1384"/>
  <c r="V1385"/>
  <c r="V1386"/>
  <c r="V1387"/>
  <c r="V1388"/>
  <c r="V1389"/>
  <c r="V1390"/>
  <c r="V1391"/>
  <c r="V1392"/>
  <c r="V1393"/>
  <c r="V1394"/>
  <c r="V1395"/>
  <c r="V1396"/>
  <c r="Y1396" s="1"/>
  <c r="V1397"/>
  <c r="V1398"/>
  <c r="V1399"/>
  <c r="V1400"/>
  <c r="V1401"/>
  <c r="V1402"/>
  <c r="V1403"/>
  <c r="V1404"/>
  <c r="V1405"/>
  <c r="V1406"/>
  <c r="V1407"/>
  <c r="V1408"/>
  <c r="V1409"/>
  <c r="V1410"/>
  <c r="V1411"/>
  <c r="V1412"/>
  <c r="V1413"/>
  <c r="V1414"/>
  <c r="V1415"/>
  <c r="V1416"/>
  <c r="V1417"/>
  <c r="V1418"/>
  <c r="V1419"/>
  <c r="V1420"/>
  <c r="V1421"/>
  <c r="V1422"/>
  <c r="V1423"/>
  <c r="V1424"/>
  <c r="V1425"/>
  <c r="V1426"/>
  <c r="V1427"/>
  <c r="V1428"/>
  <c r="Y1428" s="1"/>
  <c r="V1429"/>
  <c r="V1430"/>
  <c r="V1431"/>
  <c r="V1432"/>
  <c r="V1433"/>
  <c r="V1434"/>
  <c r="V1435"/>
  <c r="V1436"/>
  <c r="V1437"/>
  <c r="V1438"/>
  <c r="V1439"/>
  <c r="V1440"/>
  <c r="V1441"/>
  <c r="V1442"/>
  <c r="V1443"/>
  <c r="V1444"/>
  <c r="V1445"/>
  <c r="V1446"/>
  <c r="V1447"/>
  <c r="V1448"/>
  <c r="V1449"/>
  <c r="V1450"/>
  <c r="V1451"/>
  <c r="V1452"/>
  <c r="V1453"/>
  <c r="V1454"/>
  <c r="V1455"/>
  <c r="V1456"/>
  <c r="V1457"/>
  <c r="V1458"/>
  <c r="V1459"/>
  <c r="V1460"/>
  <c r="V1461"/>
  <c r="V1462"/>
  <c r="V1463"/>
  <c r="V1464"/>
  <c r="V1465"/>
  <c r="V1466"/>
  <c r="V1467"/>
  <c r="V1468"/>
  <c r="V1469"/>
  <c r="V1470"/>
  <c r="V1471"/>
  <c r="V1472"/>
  <c r="V1473"/>
  <c r="V1474"/>
  <c r="V1475"/>
  <c r="V1476"/>
  <c r="V1477"/>
  <c r="V1478"/>
  <c r="V1479"/>
  <c r="V1480"/>
  <c r="V1481"/>
  <c r="V1482"/>
  <c r="V1483"/>
  <c r="V1484"/>
  <c r="V1485"/>
  <c r="V1486"/>
  <c r="V1487"/>
  <c r="V1488"/>
  <c r="V1489"/>
  <c r="V1490"/>
  <c r="V1491"/>
  <c r="V1492"/>
  <c r="Y1492" s="1"/>
  <c r="V1493"/>
  <c r="V1494"/>
  <c r="V1495"/>
  <c r="V1496"/>
  <c r="V1497"/>
  <c r="V1498"/>
  <c r="V1499"/>
  <c r="V1500"/>
  <c r="V1501"/>
  <c r="V1502"/>
  <c r="V1503"/>
  <c r="V1504"/>
  <c r="V1505"/>
  <c r="V1506"/>
  <c r="V1507"/>
  <c r="V1508"/>
  <c r="V1509"/>
  <c r="V1510"/>
  <c r="V1511"/>
  <c r="V1512"/>
  <c r="V1513"/>
  <c r="V1514"/>
  <c r="V1515"/>
  <c r="V1516"/>
  <c r="Y1516" s="1"/>
  <c r="V1517"/>
  <c r="V1518"/>
  <c r="V1519"/>
  <c r="V1520"/>
  <c r="V1521"/>
  <c r="V1522"/>
  <c r="V1523"/>
  <c r="V1524"/>
  <c r="V1525"/>
  <c r="V1526"/>
  <c r="V1527"/>
  <c r="V1528"/>
  <c r="V1529"/>
  <c r="V1530"/>
  <c r="V1531"/>
  <c r="V1532"/>
  <c r="V1533"/>
  <c r="V1534"/>
  <c r="V1535"/>
  <c r="V1536"/>
  <c r="V1537"/>
  <c r="V1538"/>
  <c r="V1539"/>
  <c r="V1540"/>
  <c r="V1541"/>
  <c r="V1542"/>
  <c r="V1543"/>
  <c r="V1544"/>
  <c r="V1545"/>
  <c r="V1546"/>
  <c r="V1547"/>
  <c r="V1548"/>
  <c r="V1549"/>
  <c r="V1550"/>
  <c r="V1551"/>
  <c r="V1552"/>
  <c r="V1553"/>
  <c r="V1554"/>
  <c r="V1555"/>
  <c r="V1556"/>
  <c r="V1557"/>
  <c r="V1558"/>
  <c r="V1559"/>
  <c r="V1560"/>
  <c r="V1561"/>
  <c r="V1562"/>
  <c r="V1563"/>
  <c r="V1564"/>
  <c r="V1565"/>
  <c r="V1566"/>
  <c r="V1567"/>
  <c r="V1568"/>
  <c r="V1569"/>
  <c r="V1570"/>
  <c r="V1571"/>
  <c r="V1572"/>
  <c r="Y1572" s="1"/>
  <c r="V1573"/>
  <c r="V1574"/>
  <c r="V1575"/>
  <c r="V1576"/>
  <c r="V1577"/>
  <c r="V1578"/>
  <c r="V1579"/>
  <c r="V1580"/>
  <c r="V1581"/>
  <c r="V1582"/>
  <c r="V1583"/>
  <c r="V1584"/>
  <c r="V1585"/>
  <c r="V1586"/>
  <c r="V1587"/>
  <c r="V1588"/>
  <c r="V1589"/>
  <c r="V1590"/>
  <c r="V1591"/>
  <c r="V1592"/>
  <c r="V1593"/>
  <c r="V1594"/>
  <c r="V1595"/>
  <c r="V1596"/>
  <c r="V1597"/>
  <c r="V1598"/>
  <c r="V1599"/>
  <c r="V1600"/>
  <c r="V1601"/>
  <c r="V1602"/>
  <c r="V1603"/>
  <c r="V1604"/>
  <c r="V1605"/>
  <c r="V1606"/>
  <c r="V1607"/>
  <c r="V1608"/>
  <c r="V1609"/>
  <c r="V1610"/>
  <c r="V1611"/>
  <c r="V1612"/>
  <c r="Y1612" s="1"/>
  <c r="V1613"/>
  <c r="V1614"/>
  <c r="V1615"/>
  <c r="V1616"/>
  <c r="V1617"/>
  <c r="V1618"/>
  <c r="V1619"/>
  <c r="V1620"/>
  <c r="V1621"/>
  <c r="V11"/>
  <c r="V1622"/>
  <c r="V1623"/>
  <c r="V1624"/>
  <c r="V1625"/>
  <c r="V1626"/>
  <c r="V1627"/>
  <c r="V1628"/>
  <c r="V1629"/>
  <c r="V1630"/>
  <c r="V1631"/>
  <c r="V1632"/>
  <c r="V1633"/>
  <c r="V1634"/>
  <c r="V1635"/>
  <c r="Y1635" s="1"/>
  <c r="V1636"/>
  <c r="V1637"/>
  <c r="V1638"/>
  <c r="V1639"/>
  <c r="V1640"/>
  <c r="V1641"/>
  <c r="V1642"/>
  <c r="V1643"/>
  <c r="V1644"/>
  <c r="V1645"/>
  <c r="V1646"/>
  <c r="V1647"/>
  <c r="V1648"/>
  <c r="V1649"/>
  <c r="V1650"/>
  <c r="V1651"/>
  <c r="V1652"/>
  <c r="V1653"/>
  <c r="V1654"/>
  <c r="V1655"/>
  <c r="V1656"/>
  <c r="V1657"/>
  <c r="V1658"/>
  <c r="V1659"/>
  <c r="V1660"/>
  <c r="V1661"/>
  <c r="V1662"/>
  <c r="V1663"/>
  <c r="V1664"/>
  <c r="V1665"/>
  <c r="V1666"/>
  <c r="V1667"/>
  <c r="V1668"/>
  <c r="V1669"/>
  <c r="V1670"/>
  <c r="V1671"/>
  <c r="V1672"/>
  <c r="V1673"/>
  <c r="V1674"/>
  <c r="V1675"/>
  <c r="Y1675" s="1"/>
  <c r="V1676"/>
  <c r="V1677"/>
  <c r="V1678"/>
  <c r="V1679"/>
  <c r="V1680"/>
  <c r="V1681"/>
  <c r="V1682"/>
  <c r="V1683"/>
  <c r="V1684"/>
  <c r="V1685"/>
  <c r="V1686"/>
  <c r="V1687"/>
  <c r="V1688"/>
  <c r="V1689"/>
  <c r="V1690"/>
  <c r="V1691"/>
  <c r="V1692"/>
  <c r="V1693"/>
  <c r="V1694"/>
  <c r="V1695"/>
  <c r="V1696"/>
  <c r="V1697"/>
  <c r="V1698"/>
  <c r="V1699"/>
  <c r="Y1699" s="1"/>
  <c r="V1700"/>
  <c r="V1701"/>
  <c r="V1702"/>
  <c r="V1703"/>
  <c r="V1704"/>
  <c r="V1705"/>
  <c r="V1706"/>
  <c r="V1707"/>
  <c r="V1708"/>
  <c r="V1709"/>
  <c r="V1710"/>
  <c r="V1711"/>
  <c r="V1712"/>
  <c r="V1713"/>
  <c r="V1714"/>
  <c r="V1715"/>
  <c r="Y1715" s="1"/>
  <c r="V1716"/>
  <c r="V1717"/>
  <c r="V1718"/>
  <c r="V1719"/>
  <c r="V1720"/>
  <c r="V1721"/>
  <c r="V1722"/>
  <c r="V1723"/>
  <c r="V1724"/>
  <c r="V1725"/>
  <c r="V1726"/>
  <c r="V1727"/>
  <c r="V1728"/>
  <c r="V1729"/>
  <c r="V1730"/>
  <c r="V1731"/>
  <c r="V7"/>
  <c r="V1732"/>
  <c r="V1733"/>
  <c r="V1734"/>
  <c r="V1735"/>
  <c r="V1736"/>
  <c r="V1737"/>
  <c r="V1738"/>
  <c r="Y1738" s="1"/>
  <c r="V1739"/>
  <c r="V1740"/>
  <c r="V1741"/>
  <c r="V1742"/>
  <c r="V1743"/>
  <c r="V1744"/>
  <c r="V1745"/>
  <c r="V1746"/>
  <c r="V1747"/>
  <c r="V1748"/>
  <c r="V1749"/>
  <c r="V1750"/>
  <c r="V1751"/>
  <c r="V1752"/>
  <c r="V1753"/>
  <c r="V1754"/>
  <c r="V1755"/>
  <c r="V1756"/>
  <c r="V1757"/>
  <c r="V1758"/>
  <c r="V1759"/>
  <c r="V1760"/>
  <c r="V1761"/>
  <c r="V1762"/>
  <c r="V1763"/>
  <c r="V1764"/>
  <c r="V1765"/>
  <c r="V1766"/>
  <c r="V1767"/>
  <c r="V1768"/>
  <c r="V1769"/>
  <c r="V1770"/>
  <c r="V1771"/>
  <c r="V1772"/>
  <c r="V1773"/>
  <c r="V1774"/>
  <c r="V1775"/>
  <c r="V1776"/>
  <c r="V1777"/>
  <c r="V1778"/>
  <c r="Y1778" s="1"/>
  <c r="V1779"/>
  <c r="V1780"/>
  <c r="V1781"/>
  <c r="V1782"/>
  <c r="V1783"/>
  <c r="V1784"/>
  <c r="V1785"/>
  <c r="V1786"/>
  <c r="V1787"/>
  <c r="V1788"/>
  <c r="V1789"/>
  <c r="V1790"/>
  <c r="V1791"/>
  <c r="V1792"/>
  <c r="V1793"/>
  <c r="V1794"/>
  <c r="V1795"/>
  <c r="V1796"/>
  <c r="V1797"/>
  <c r="V1798"/>
  <c r="V1799"/>
  <c r="V1800"/>
  <c r="V1801"/>
  <c r="V1802"/>
  <c r="V1803"/>
  <c r="V1804"/>
  <c r="V1805"/>
  <c r="V1806"/>
  <c r="V1807"/>
  <c r="V1808"/>
  <c r="V1809"/>
  <c r="V1810"/>
  <c r="V1811"/>
  <c r="V1812"/>
  <c r="V1813"/>
  <c r="V1814"/>
  <c r="V1815"/>
  <c r="V1816"/>
  <c r="V1817"/>
  <c r="V1818"/>
  <c r="V1819"/>
  <c r="V1820"/>
  <c r="V1821"/>
  <c r="V1822"/>
  <c r="V1823"/>
  <c r="V1824"/>
  <c r="V1825"/>
  <c r="V1826"/>
  <c r="V1827"/>
  <c r="V1828"/>
  <c r="V1829"/>
  <c r="V1830"/>
  <c r="V1831"/>
  <c r="V1832"/>
  <c r="V1833"/>
  <c r="V1834"/>
  <c r="V1835"/>
  <c r="V1836"/>
  <c r="V1837"/>
  <c r="V1838"/>
  <c r="V1839"/>
  <c r="V1840"/>
  <c r="V1841"/>
  <c r="V8"/>
  <c r="V1842"/>
  <c r="V1843"/>
  <c r="V1844"/>
  <c r="V1845"/>
  <c r="V1846"/>
  <c r="V1847"/>
  <c r="V1848"/>
  <c r="V1849"/>
  <c r="V1850"/>
  <c r="V1851"/>
  <c r="V1852"/>
  <c r="V1853"/>
  <c r="V1854"/>
  <c r="V1855"/>
  <c r="V1856"/>
  <c r="V1857"/>
  <c r="Y1857" s="1"/>
  <c r="V1858"/>
  <c r="V12"/>
  <c r="V1859"/>
  <c r="V1860"/>
  <c r="V1861"/>
  <c r="V1862"/>
  <c r="V1863"/>
  <c r="V1864"/>
  <c r="V1865"/>
  <c r="V1866"/>
  <c r="V1867"/>
  <c r="V1868"/>
  <c r="V1869"/>
  <c r="V1870"/>
  <c r="V1871"/>
  <c r="V1872"/>
  <c r="V1873"/>
  <c r="V1874"/>
  <c r="V1875"/>
  <c r="V1876"/>
  <c r="V1877"/>
  <c r="V1878"/>
  <c r="V1879"/>
  <c r="V1880"/>
  <c r="V1881"/>
  <c r="V1882"/>
  <c r="V1883"/>
  <c r="V1884"/>
  <c r="V1885"/>
  <c r="V1886"/>
  <c r="V1887"/>
  <c r="V1888"/>
  <c r="V1889"/>
  <c r="V1890"/>
  <c r="V1891"/>
  <c r="V1892"/>
  <c r="V1893"/>
  <c r="V1894"/>
  <c r="V1895"/>
  <c r="V1896"/>
  <c r="V1897"/>
  <c r="V1898"/>
  <c r="V1899"/>
  <c r="V1900"/>
  <c r="V1901"/>
  <c r="V1902"/>
  <c r="V1903"/>
  <c r="V1904"/>
  <c r="V1905"/>
  <c r="V1906"/>
  <c r="V1907"/>
  <c r="V1908"/>
  <c r="V1909"/>
  <c r="V1910"/>
  <c r="V1911"/>
  <c r="V1912"/>
  <c r="V1913"/>
  <c r="V1914"/>
  <c r="V1915"/>
  <c r="V1916"/>
  <c r="V1917"/>
  <c r="V1918"/>
  <c r="V1919"/>
  <c r="V1920"/>
  <c r="V1921"/>
  <c r="V1922"/>
  <c r="V1923"/>
  <c r="V1924"/>
  <c r="V1925"/>
  <c r="V1926"/>
  <c r="V1927"/>
  <c r="V1928"/>
  <c r="V1929"/>
  <c r="V16"/>
  <c r="V1930"/>
  <c r="V1931"/>
  <c r="V1932"/>
  <c r="V1933"/>
  <c r="V1934"/>
  <c r="V1935"/>
  <c r="Y1935" s="1"/>
  <c r="V1936"/>
  <c r="V1937"/>
  <c r="V1938"/>
  <c r="V1939"/>
  <c r="V1940"/>
  <c r="V5"/>
  <c r="V1941"/>
  <c r="V1942"/>
  <c r="V1943"/>
  <c r="V1944"/>
  <c r="V1945"/>
  <c r="V1946"/>
  <c r="V1947"/>
  <c r="V1948"/>
  <c r="V1949"/>
  <c r="V1950"/>
  <c r="V1951"/>
  <c r="V1952"/>
  <c r="V1953"/>
  <c r="V1954"/>
  <c r="V1955"/>
  <c r="V1956"/>
  <c r="V1957"/>
  <c r="V1958"/>
  <c r="V1959"/>
  <c r="V1960"/>
  <c r="V1961"/>
  <c r="V1962"/>
  <c r="V1963"/>
  <c r="V1964"/>
  <c r="V1965"/>
  <c r="V1966"/>
  <c r="Y1966" s="1"/>
  <c r="V1967"/>
  <c r="V1968"/>
  <c r="V1969"/>
  <c r="V1970"/>
  <c r="V1971"/>
  <c r="V1972"/>
  <c r="V1973"/>
  <c r="V1974"/>
  <c r="V1975"/>
  <c r="V1976"/>
  <c r="V1977"/>
  <c r="V1978"/>
  <c r="V1979"/>
  <c r="V1980"/>
  <c r="V1981"/>
  <c r="V1982"/>
  <c r="Y1982" s="1"/>
  <c r="V1983"/>
  <c r="V1984"/>
  <c r="V1985"/>
  <c r="V1986"/>
  <c r="V1987"/>
  <c r="V1988"/>
  <c r="V1989"/>
  <c r="V1990"/>
  <c r="V1991"/>
  <c r="V1992"/>
  <c r="V1993"/>
  <c r="V1994"/>
  <c r="V1995"/>
  <c r="V1996"/>
  <c r="V1997"/>
  <c r="V1998"/>
  <c r="V1999"/>
  <c r="V2000"/>
  <c r="V2001"/>
  <c r="V2002"/>
  <c r="V2003"/>
  <c r="V2004"/>
  <c r="V2005"/>
  <c r="V2006"/>
  <c r="V2007"/>
  <c r="V2008"/>
  <c r="V2009"/>
  <c r="V2010"/>
  <c r="V2011"/>
  <c r="V2012"/>
  <c r="V2013"/>
  <c r="V2014"/>
  <c r="Y2014" s="1"/>
  <c r="V2015"/>
  <c r="V2016"/>
  <c r="V2017"/>
  <c r="V2018"/>
  <c r="V2019"/>
  <c r="V2020"/>
  <c r="V2021"/>
  <c r="V2022"/>
  <c r="V2023"/>
  <c r="V2024"/>
  <c r="V2025"/>
  <c r="V2026"/>
  <c r="V2027"/>
  <c r="V2028"/>
  <c r="V2029"/>
  <c r="V2030"/>
  <c r="V2031"/>
  <c r="V2032"/>
  <c r="V2033"/>
  <c r="V2034"/>
  <c r="V2035"/>
  <c r="V2036"/>
  <c r="V2037"/>
  <c r="V2038"/>
  <c r="V2039"/>
  <c r="V2040"/>
  <c r="V2041"/>
  <c r="V2042"/>
  <c r="V2043"/>
  <c r="V2044"/>
  <c r="V2045"/>
  <c r="V2046"/>
  <c r="V2047"/>
  <c r="V2048"/>
  <c r="V2049"/>
  <c r="V2050"/>
  <c r="V2051"/>
  <c r="V2052"/>
  <c r="V2053"/>
  <c r="V2054"/>
  <c r="V2055"/>
  <c r="V2056"/>
  <c r="V2057"/>
  <c r="V2058"/>
  <c r="V2059"/>
  <c r="V2060"/>
  <c r="V2061"/>
  <c r="V2062"/>
  <c r="Y2062" s="1"/>
  <c r="V2063"/>
  <c r="V2064"/>
  <c r="V2065"/>
  <c r="V2066"/>
  <c r="V2067"/>
  <c r="V2068"/>
  <c r="V2069"/>
  <c r="V2070"/>
  <c r="V2071"/>
  <c r="V2072"/>
  <c r="V2073"/>
  <c r="V2074"/>
  <c r="V2075"/>
  <c r="V2076"/>
  <c r="V2077"/>
  <c r="V2078"/>
  <c r="V2079"/>
  <c r="V2080"/>
  <c r="V2081"/>
  <c r="V2082"/>
  <c r="V2083"/>
  <c r="V2084"/>
  <c r="V2085"/>
  <c r="V10"/>
  <c r="V2086"/>
  <c r="V2087"/>
  <c r="V2088"/>
  <c r="V2089"/>
  <c r="V2090"/>
  <c r="V2091"/>
  <c r="V2092"/>
  <c r="V2093"/>
  <c r="Y2093" s="1"/>
  <c r="V2094"/>
  <c r="V2095"/>
  <c r="V2096"/>
  <c r="V2097"/>
  <c r="V2098"/>
  <c r="V2099"/>
  <c r="V2100"/>
  <c r="V2101"/>
  <c r="V2102"/>
  <c r="V2103"/>
  <c r="V2104"/>
  <c r="V2105"/>
  <c r="V2106"/>
  <c r="V2107"/>
  <c r="V2108"/>
  <c r="V2109"/>
  <c r="Y2109" s="1"/>
  <c r="V2110"/>
  <c r="V2111"/>
  <c r="V2112"/>
  <c r="V2113"/>
  <c r="V2114"/>
  <c r="V2115"/>
  <c r="V2116"/>
  <c r="V2117"/>
  <c r="V2118"/>
  <c r="V2119"/>
  <c r="V2120"/>
  <c r="V2121"/>
  <c r="V2122"/>
  <c r="V2123"/>
  <c r="V2124"/>
  <c r="V2125"/>
  <c r="V2126"/>
  <c r="V2127"/>
  <c r="V2128"/>
  <c r="V2129"/>
  <c r="V2130"/>
  <c r="V2131"/>
  <c r="V2132"/>
  <c r="V2133"/>
  <c r="V2134"/>
  <c r="V2135"/>
  <c r="V2136"/>
  <c r="V2137"/>
  <c r="V2138"/>
  <c r="V2139"/>
  <c r="V2140"/>
  <c r="V2141"/>
  <c r="Y2141" s="1"/>
  <c r="V2142"/>
  <c r="V2143"/>
  <c r="V2144"/>
  <c r="V2145"/>
  <c r="V2146"/>
  <c r="V2147"/>
  <c r="V2148"/>
  <c r="V2149"/>
  <c r="V2150"/>
  <c r="V2151"/>
  <c r="V2152"/>
  <c r="V2153"/>
  <c r="V2154"/>
  <c r="V2155"/>
  <c r="V2156"/>
  <c r="V2157"/>
  <c r="V2158"/>
  <c r="V2159"/>
  <c r="V2160"/>
  <c r="V2161"/>
  <c r="V2162"/>
  <c r="V2163"/>
  <c r="V2164"/>
  <c r="V2165"/>
  <c r="V2166"/>
  <c r="V2167"/>
  <c r="V2168"/>
  <c r="W47"/>
  <c r="W48"/>
  <c r="W49"/>
  <c r="W50"/>
  <c r="W51"/>
  <c r="W52"/>
  <c r="W53"/>
  <c r="W54"/>
  <c r="W55"/>
  <c r="W56"/>
  <c r="W57"/>
  <c r="W58"/>
  <c r="W59"/>
  <c r="W60"/>
  <c r="W61"/>
  <c r="W62"/>
  <c r="W63"/>
  <c r="W64"/>
  <c r="W65"/>
  <c r="W66"/>
  <c r="W67"/>
  <c r="W68"/>
  <c r="W69"/>
  <c r="W70"/>
  <c r="W71"/>
  <c r="W72"/>
  <c r="W73"/>
  <c r="W74"/>
  <c r="W75"/>
  <c r="W76"/>
  <c r="W9"/>
  <c r="W77"/>
  <c r="W78"/>
  <c r="W79"/>
  <c r="W80"/>
  <c r="W81"/>
  <c r="W15"/>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W146"/>
  <c r="W147"/>
  <c r="W148"/>
  <c r="W149"/>
  <c r="W150"/>
  <c r="W151"/>
  <c r="W152"/>
  <c r="W153"/>
  <c r="W154"/>
  <c r="W155"/>
  <c r="W156"/>
  <c r="W157"/>
  <c r="W158"/>
  <c r="W159"/>
  <c r="W160"/>
  <c r="W161"/>
  <c r="W162"/>
  <c r="W163"/>
  <c r="W164"/>
  <c r="W165"/>
  <c r="W166"/>
  <c r="W167"/>
  <c r="W168"/>
  <c r="W169"/>
  <c r="W170"/>
  <c r="W171"/>
  <c r="W172"/>
  <c r="W173"/>
  <c r="W174"/>
  <c r="W175"/>
  <c r="W176"/>
  <c r="W177"/>
  <c r="W178"/>
  <c r="W179"/>
  <c r="W180"/>
  <c r="W181"/>
  <c r="W182"/>
  <c r="W183"/>
  <c r="W184"/>
  <c r="W185"/>
  <c r="W186"/>
  <c r="W187"/>
  <c r="W188"/>
  <c r="W189"/>
  <c r="W190"/>
  <c r="W191"/>
  <c r="W192"/>
  <c r="W193"/>
  <c r="W194"/>
  <c r="W195"/>
  <c r="W196"/>
  <c r="W197"/>
  <c r="W198"/>
  <c r="W199"/>
  <c r="W200"/>
  <c r="W201"/>
  <c r="W202"/>
  <c r="W203"/>
  <c r="W204"/>
  <c r="W205"/>
  <c r="W206"/>
  <c r="W207"/>
  <c r="W208"/>
  <c r="W209"/>
  <c r="W210"/>
  <c r="W211"/>
  <c r="W212"/>
  <c r="W213"/>
  <c r="W214"/>
  <c r="W215"/>
  <c r="W216"/>
  <c r="W217"/>
  <c r="W218"/>
  <c r="W219"/>
  <c r="W220"/>
  <c r="W221"/>
  <c r="W222"/>
  <c r="W223"/>
  <c r="W224"/>
  <c r="W225"/>
  <c r="W226"/>
  <c r="W227"/>
  <c r="W228"/>
  <c r="W229"/>
  <c r="W230"/>
  <c r="W231"/>
  <c r="W232"/>
  <c r="W233"/>
  <c r="W234"/>
  <c r="W235"/>
  <c r="W236"/>
  <c r="W237"/>
  <c r="W238"/>
  <c r="W239"/>
  <c r="W240"/>
  <c r="W241"/>
  <c r="W242"/>
  <c r="W243"/>
  <c r="W244"/>
  <c r="W245"/>
  <c r="W246"/>
  <c r="W247"/>
  <c r="W248"/>
  <c r="W249"/>
  <c r="W250"/>
  <c r="W251"/>
  <c r="W252"/>
  <c r="W253"/>
  <c r="W254"/>
  <c r="W255"/>
  <c r="W256"/>
  <c r="W257"/>
  <c r="W258"/>
  <c r="W259"/>
  <c r="W260"/>
  <c r="W261"/>
  <c r="W262"/>
  <c r="W263"/>
  <c r="W264"/>
  <c r="W265"/>
  <c r="W266"/>
  <c r="W267"/>
  <c r="W268"/>
  <c r="W269"/>
  <c r="W270"/>
  <c r="W271"/>
  <c r="W272"/>
  <c r="W273"/>
  <c r="W274"/>
  <c r="W275"/>
  <c r="W276"/>
  <c r="W277"/>
  <c r="W278"/>
  <c r="W279"/>
  <c r="W280"/>
  <c r="W281"/>
  <c r="W282"/>
  <c r="W283"/>
  <c r="W284"/>
  <c r="W285"/>
  <c r="W286"/>
  <c r="W287"/>
  <c r="W288"/>
  <c r="W289"/>
  <c r="W290"/>
  <c r="W291"/>
  <c r="W292"/>
  <c r="W293"/>
  <c r="W294"/>
  <c r="W295"/>
  <c r="W296"/>
  <c r="W297"/>
  <c r="W298"/>
  <c r="W299"/>
  <c r="W300"/>
  <c r="W301"/>
  <c r="W302"/>
  <c r="W303"/>
  <c r="W304"/>
  <c r="W305"/>
  <c r="W306"/>
  <c r="W307"/>
  <c r="W308"/>
  <c r="W309"/>
  <c r="W310"/>
  <c r="W311"/>
  <c r="W312"/>
  <c r="W313"/>
  <c r="W314"/>
  <c r="W315"/>
  <c r="W316"/>
  <c r="W317"/>
  <c r="W318"/>
  <c r="W319"/>
  <c r="W320"/>
  <c r="W321"/>
  <c r="W322"/>
  <c r="W323"/>
  <c r="W324"/>
  <c r="W325"/>
  <c r="W326"/>
  <c r="W327"/>
  <c r="W328"/>
  <c r="W329"/>
  <c r="W330"/>
  <c r="W331"/>
  <c r="W332"/>
  <c r="W333"/>
  <c r="W334"/>
  <c r="W335"/>
  <c r="W336"/>
  <c r="W337"/>
  <c r="W338"/>
  <c r="W339"/>
  <c r="W340"/>
  <c r="W341"/>
  <c r="W342"/>
  <c r="W343"/>
  <c r="W344"/>
  <c r="W345"/>
  <c r="W346"/>
  <c r="W347"/>
  <c r="W348"/>
  <c r="W349"/>
  <c r="W350"/>
  <c r="W351"/>
  <c r="W352"/>
  <c r="W353"/>
  <c r="W354"/>
  <c r="W355"/>
  <c r="W356"/>
  <c r="W357"/>
  <c r="W358"/>
  <c r="W359"/>
  <c r="W360"/>
  <c r="W361"/>
  <c r="W362"/>
  <c r="W363"/>
  <c r="W364"/>
  <c r="W365"/>
  <c r="W366"/>
  <c r="W367"/>
  <c r="W368"/>
  <c r="W369"/>
  <c r="W370"/>
  <c r="W371"/>
  <c r="W372"/>
  <c r="W373"/>
  <c r="W374"/>
  <c r="W375"/>
  <c r="W376"/>
  <c r="W377"/>
  <c r="W378"/>
  <c r="W379"/>
  <c r="W380"/>
  <c r="W381"/>
  <c r="W382"/>
  <c r="W383"/>
  <c r="W384"/>
  <c r="W385"/>
  <c r="W386"/>
  <c r="W387"/>
  <c r="W388"/>
  <c r="W389"/>
  <c r="W390"/>
  <c r="W391"/>
  <c r="W392"/>
  <c r="W393"/>
  <c r="W394"/>
  <c r="W395"/>
  <c r="W396"/>
  <c r="W397"/>
  <c r="W398"/>
  <c r="W399"/>
  <c r="W400"/>
  <c r="W401"/>
  <c r="W402"/>
  <c r="W403"/>
  <c r="W404"/>
  <c r="W405"/>
  <c r="W406"/>
  <c r="W407"/>
  <c r="W408"/>
  <c r="W409"/>
  <c r="W410"/>
  <c r="W411"/>
  <c r="W412"/>
  <c r="W413"/>
  <c r="W414"/>
  <c r="W415"/>
  <c r="W416"/>
  <c r="W417"/>
  <c r="W418"/>
  <c r="W419"/>
  <c r="W420"/>
  <c r="W421"/>
  <c r="W422"/>
  <c r="W423"/>
  <c r="W424"/>
  <c r="W425"/>
  <c r="W426"/>
  <c r="W427"/>
  <c r="W428"/>
  <c r="W429"/>
  <c r="W430"/>
  <c r="W431"/>
  <c r="W432"/>
  <c r="W433"/>
  <c r="W434"/>
  <c r="W435"/>
  <c r="W436"/>
  <c r="W437"/>
  <c r="W438"/>
  <c r="W439"/>
  <c r="W440"/>
  <c r="W441"/>
  <c r="W442"/>
  <c r="W443"/>
  <c r="W444"/>
  <c r="W445"/>
  <c r="W446"/>
  <c r="W447"/>
  <c r="W448"/>
  <c r="W449"/>
  <c r="W450"/>
  <c r="W451"/>
  <c r="W452"/>
  <c r="W453"/>
  <c r="W454"/>
  <c r="W455"/>
  <c r="W456"/>
  <c r="W457"/>
  <c r="W458"/>
  <c r="W459"/>
  <c r="W460"/>
  <c r="W461"/>
  <c r="W462"/>
  <c r="W463"/>
  <c r="W464"/>
  <c r="W465"/>
  <c r="W466"/>
  <c r="W467"/>
  <c r="W468"/>
  <c r="W469"/>
  <c r="W470"/>
  <c r="W471"/>
  <c r="W472"/>
  <c r="W473"/>
  <c r="W474"/>
  <c r="W475"/>
  <c r="W476"/>
  <c r="W477"/>
  <c r="W478"/>
  <c r="W479"/>
  <c r="W480"/>
  <c r="W481"/>
  <c r="W482"/>
  <c r="W483"/>
  <c r="W484"/>
  <c r="W485"/>
  <c r="W486"/>
  <c r="W487"/>
  <c r="W488"/>
  <c r="W489"/>
  <c r="W490"/>
  <c r="W491"/>
  <c r="W492"/>
  <c r="W493"/>
  <c r="W494"/>
  <c r="W495"/>
  <c r="W496"/>
  <c r="W497"/>
  <c r="W498"/>
  <c r="W499"/>
  <c r="W500"/>
  <c r="W501"/>
  <c r="W502"/>
  <c r="W503"/>
  <c r="W504"/>
  <c r="W505"/>
  <c r="W506"/>
  <c r="W507"/>
  <c r="W508"/>
  <c r="W509"/>
  <c r="W510"/>
  <c r="W511"/>
  <c r="W512"/>
  <c r="W513"/>
  <c r="W514"/>
  <c r="W515"/>
  <c r="W516"/>
  <c r="W517"/>
  <c r="W518"/>
  <c r="W519"/>
  <c r="W520"/>
  <c r="W521"/>
  <c r="W522"/>
  <c r="W523"/>
  <c r="W524"/>
  <c r="W525"/>
  <c r="W526"/>
  <c r="W527"/>
  <c r="W528"/>
  <c r="W529"/>
  <c r="W530"/>
  <c r="W531"/>
  <c r="W532"/>
  <c r="W533"/>
  <c r="W534"/>
  <c r="W535"/>
  <c r="W536"/>
  <c r="W537"/>
  <c r="W538"/>
  <c r="W539"/>
  <c r="W540"/>
  <c r="W541"/>
  <c r="W542"/>
  <c r="W543"/>
  <c r="W544"/>
  <c r="W545"/>
  <c r="W546"/>
  <c r="W547"/>
  <c r="W548"/>
  <c r="W549"/>
  <c r="W550"/>
  <c r="W551"/>
  <c r="W552"/>
  <c r="W553"/>
  <c r="W554"/>
  <c r="W555"/>
  <c r="W556"/>
  <c r="W557"/>
  <c r="W558"/>
  <c r="W559"/>
  <c r="W560"/>
  <c r="W561"/>
  <c r="W562"/>
  <c r="W563"/>
  <c r="W564"/>
  <c r="W565"/>
  <c r="W566"/>
  <c r="W567"/>
  <c r="W568"/>
  <c r="W569"/>
  <c r="W570"/>
  <c r="W571"/>
  <c r="W572"/>
  <c r="W573"/>
  <c r="W574"/>
  <c r="W575"/>
  <c r="W576"/>
  <c r="W577"/>
  <c r="W578"/>
  <c r="W579"/>
  <c r="W580"/>
  <c r="W581"/>
  <c r="W582"/>
  <c r="W583"/>
  <c r="W584"/>
  <c r="W585"/>
  <c r="W586"/>
  <c r="W587"/>
  <c r="W588"/>
  <c r="W589"/>
  <c r="W590"/>
  <c r="W591"/>
  <c r="W592"/>
  <c r="W593"/>
  <c r="W594"/>
  <c r="W595"/>
  <c r="W596"/>
  <c r="W597"/>
  <c r="W598"/>
  <c r="W599"/>
  <c r="W600"/>
  <c r="W601"/>
  <c r="W602"/>
  <c r="W603"/>
  <c r="W604"/>
  <c r="W605"/>
  <c r="W606"/>
  <c r="W607"/>
  <c r="W608"/>
  <c r="W609"/>
  <c r="W610"/>
  <c r="W611"/>
  <c r="W612"/>
  <c r="W613"/>
  <c r="W614"/>
  <c r="W615"/>
  <c r="W616"/>
  <c r="W617"/>
  <c r="W618"/>
  <c r="W619"/>
  <c r="W620"/>
  <c r="W621"/>
  <c r="W622"/>
  <c r="W623"/>
  <c r="W624"/>
  <c r="W625"/>
  <c r="W626"/>
  <c r="W627"/>
  <c r="W628"/>
  <c r="W629"/>
  <c r="W630"/>
  <c r="W631"/>
  <c r="W632"/>
  <c r="W633"/>
  <c r="W634"/>
  <c r="W635"/>
  <c r="W636"/>
  <c r="W637"/>
  <c r="W638"/>
  <c r="W639"/>
  <c r="W640"/>
  <c r="W641"/>
  <c r="W642"/>
  <c r="W643"/>
  <c r="W644"/>
  <c r="W645"/>
  <c r="W646"/>
  <c r="W647"/>
  <c r="W648"/>
  <c r="W649"/>
  <c r="W650"/>
  <c r="W651"/>
  <c r="W652"/>
  <c r="W653"/>
  <c r="W654"/>
  <c r="W655"/>
  <c r="W656"/>
  <c r="W657"/>
  <c r="W658"/>
  <c r="W659"/>
  <c r="W660"/>
  <c r="W661"/>
  <c r="W662"/>
  <c r="W663"/>
  <c r="W664"/>
  <c r="W665"/>
  <c r="W666"/>
  <c r="W667"/>
  <c r="W668"/>
  <c r="W669"/>
  <c r="W670"/>
  <c r="W671"/>
  <c r="W672"/>
  <c r="W673"/>
  <c r="W674"/>
  <c r="W675"/>
  <c r="W676"/>
  <c r="W677"/>
  <c r="W678"/>
  <c r="W679"/>
  <c r="W680"/>
  <c r="W681"/>
  <c r="W682"/>
  <c r="W683"/>
  <c r="W684"/>
  <c r="W685"/>
  <c r="W686"/>
  <c r="W687"/>
  <c r="W688"/>
  <c r="W689"/>
  <c r="W690"/>
  <c r="W691"/>
  <c r="W692"/>
  <c r="W693"/>
  <c r="W694"/>
  <c r="W695"/>
  <c r="W696"/>
  <c r="W697"/>
  <c r="W698"/>
  <c r="W699"/>
  <c r="W700"/>
  <c r="W701"/>
  <c r="W702"/>
  <c r="W703"/>
  <c r="W704"/>
  <c r="W705"/>
  <c r="W706"/>
  <c r="W707"/>
  <c r="W708"/>
  <c r="W709"/>
  <c r="W710"/>
  <c r="W711"/>
  <c r="W712"/>
  <c r="W713"/>
  <c r="W714"/>
  <c r="W715"/>
  <c r="W716"/>
  <c r="W717"/>
  <c r="W718"/>
  <c r="W719"/>
  <c r="W720"/>
  <c r="W721"/>
  <c r="W722"/>
  <c r="W723"/>
  <c r="W724"/>
  <c r="W725"/>
  <c r="W726"/>
  <c r="W14"/>
  <c r="W727"/>
  <c r="W728"/>
  <c r="W729"/>
  <c r="W730"/>
  <c r="W731"/>
  <c r="W732"/>
  <c r="W733"/>
  <c r="W734"/>
  <c r="W735"/>
  <c r="W736"/>
  <c r="W737"/>
  <c r="W738"/>
  <c r="W739"/>
  <c r="W740"/>
  <c r="W741"/>
  <c r="W742"/>
  <c r="W743"/>
  <c r="W744"/>
  <c r="W745"/>
  <c r="W746"/>
  <c r="W747"/>
  <c r="W748"/>
  <c r="W749"/>
  <c r="W750"/>
  <c r="W751"/>
  <c r="W752"/>
  <c r="W753"/>
  <c r="W754"/>
  <c r="W755"/>
  <c r="W756"/>
  <c r="W757"/>
  <c r="W758"/>
  <c r="W759"/>
  <c r="W760"/>
  <c r="W761"/>
  <c r="W762"/>
  <c r="W763"/>
  <c r="W764"/>
  <c r="W765"/>
  <c r="W766"/>
  <c r="W767"/>
  <c r="W768"/>
  <c r="W769"/>
  <c r="W770"/>
  <c r="W771"/>
  <c r="W772"/>
  <c r="W773"/>
  <c r="W774"/>
  <c r="W775"/>
  <c r="W776"/>
  <c r="W777"/>
  <c r="W778"/>
  <c r="W779"/>
  <c r="W780"/>
  <c r="W781"/>
  <c r="W782"/>
  <c r="W783"/>
  <c r="W784"/>
  <c r="W785"/>
  <c r="W786"/>
  <c r="W787"/>
  <c r="W788"/>
  <c r="W789"/>
  <c r="W790"/>
  <c r="W791"/>
  <c r="W792"/>
  <c r="W793"/>
  <c r="W794"/>
  <c r="W795"/>
  <c r="W796"/>
  <c r="W797"/>
  <c r="W798"/>
  <c r="W799"/>
  <c r="W800"/>
  <c r="W801"/>
  <c r="W802"/>
  <c r="W803"/>
  <c r="W804"/>
  <c r="W805"/>
  <c r="W806"/>
  <c r="W807"/>
  <c r="W808"/>
  <c r="W809"/>
  <c r="W810"/>
  <c r="W811"/>
  <c r="W812"/>
  <c r="W813"/>
  <c r="W814"/>
  <c r="W815"/>
  <c r="W816"/>
  <c r="W817"/>
  <c r="W818"/>
  <c r="W819"/>
  <c r="W820"/>
  <c r="W821"/>
  <c r="W822"/>
  <c r="W823"/>
  <c r="W824"/>
  <c r="W825"/>
  <c r="W826"/>
  <c r="W827"/>
  <c r="W828"/>
  <c r="W829"/>
  <c r="W830"/>
  <c r="W831"/>
  <c r="W832"/>
  <c r="W833"/>
  <c r="W834"/>
  <c r="W835"/>
  <c r="W836"/>
  <c r="W837"/>
  <c r="W838"/>
  <c r="W839"/>
  <c r="W840"/>
  <c r="W841"/>
  <c r="W842"/>
  <c r="W843"/>
  <c r="W844"/>
  <c r="W845"/>
  <c r="W846"/>
  <c r="W847"/>
  <c r="W848"/>
  <c r="W849"/>
  <c r="W850"/>
  <c r="W851"/>
  <c r="W852"/>
  <c r="W853"/>
  <c r="W854"/>
  <c r="W855"/>
  <c r="W856"/>
  <c r="W857"/>
  <c r="W858"/>
  <c r="W859"/>
  <c r="W860"/>
  <c r="W861"/>
  <c r="W862"/>
  <c r="W863"/>
  <c r="W864"/>
  <c r="W865"/>
  <c r="W866"/>
  <c r="W867"/>
  <c r="W868"/>
  <c r="W869"/>
  <c r="W870"/>
  <c r="W871"/>
  <c r="W872"/>
  <c r="W873"/>
  <c r="W874"/>
  <c r="W875"/>
  <c r="W876"/>
  <c r="W877"/>
  <c r="W878"/>
  <c r="W879"/>
  <c r="W880"/>
  <c r="W881"/>
  <c r="W882"/>
  <c r="W883"/>
  <c r="W884"/>
  <c r="W885"/>
  <c r="W886"/>
  <c r="W887"/>
  <c r="W888"/>
  <c r="W889"/>
  <c r="W890"/>
  <c r="W891"/>
  <c r="W892"/>
  <c r="W893"/>
  <c r="W894"/>
  <c r="W895"/>
  <c r="W896"/>
  <c r="W897"/>
  <c r="W898"/>
  <c r="W899"/>
  <c r="W900"/>
  <c r="W901"/>
  <c r="W902"/>
  <c r="W903"/>
  <c r="W904"/>
  <c r="W905"/>
  <c r="W906"/>
  <c r="W907"/>
  <c r="W908"/>
  <c r="W909"/>
  <c r="W910"/>
  <c r="W911"/>
  <c r="W912"/>
  <c r="W913"/>
  <c r="W914"/>
  <c r="W915"/>
  <c r="W916"/>
  <c r="W917"/>
  <c r="W918"/>
  <c r="W919"/>
  <c r="W920"/>
  <c r="W921"/>
  <c r="W922"/>
  <c r="W923"/>
  <c r="W924"/>
  <c r="W925"/>
  <c r="W926"/>
  <c r="W927"/>
  <c r="W928"/>
  <c r="W929"/>
  <c r="W930"/>
  <c r="W931"/>
  <c r="W932"/>
  <c r="W933"/>
  <c r="W934"/>
  <c r="W935"/>
  <c r="W936"/>
  <c r="W937"/>
  <c r="W938"/>
  <c r="W939"/>
  <c r="W940"/>
  <c r="W941"/>
  <c r="W942"/>
  <c r="W943"/>
  <c r="W944"/>
  <c r="W945"/>
  <c r="W946"/>
  <c r="W947"/>
  <c r="W948"/>
  <c r="W949"/>
  <c r="W950"/>
  <c r="W951"/>
  <c r="W952"/>
  <c r="W953"/>
  <c r="W954"/>
  <c r="W955"/>
  <c r="W956"/>
  <c r="W957"/>
  <c r="W958"/>
  <c r="W959"/>
  <c r="W960"/>
  <c r="W961"/>
  <c r="W962"/>
  <c r="W963"/>
  <c r="W964"/>
  <c r="W965"/>
  <c r="W966"/>
  <c r="W967"/>
  <c r="W968"/>
  <c r="W969"/>
  <c r="W970"/>
  <c r="W971"/>
  <c r="W972"/>
  <c r="W973"/>
  <c r="W6"/>
  <c r="W974"/>
  <c r="W975"/>
  <c r="W976"/>
  <c r="W977"/>
  <c r="W978"/>
  <c r="W979"/>
  <c r="W980"/>
  <c r="W981"/>
  <c r="W982"/>
  <c r="W983"/>
  <c r="W984"/>
  <c r="W985"/>
  <c r="W986"/>
  <c r="W987"/>
  <c r="W988"/>
  <c r="W989"/>
  <c r="W990"/>
  <c r="W991"/>
  <c r="W992"/>
  <c r="W993"/>
  <c r="W994"/>
  <c r="W995"/>
  <c r="W996"/>
  <c r="W997"/>
  <c r="W998"/>
  <c r="W999"/>
  <c r="W1000"/>
  <c r="W1001"/>
  <c r="W1002"/>
  <c r="W1003"/>
  <c r="W1004"/>
  <c r="W1005"/>
  <c r="W1006"/>
  <c r="W1007"/>
  <c r="W1008"/>
  <c r="W1009"/>
  <c r="W1010"/>
  <c r="W1011"/>
  <c r="W1012"/>
  <c r="W1013"/>
  <c r="W1014"/>
  <c r="W1015"/>
  <c r="W1016"/>
  <c r="W1017"/>
  <c r="W1018"/>
  <c r="W1019"/>
  <c r="W1020"/>
  <c r="W1021"/>
  <c r="W1022"/>
  <c r="W1023"/>
  <c r="W1024"/>
  <c r="W1025"/>
  <c r="W1026"/>
  <c r="W1027"/>
  <c r="W1028"/>
  <c r="W1029"/>
  <c r="W1030"/>
  <c r="W1031"/>
  <c r="W1032"/>
  <c r="W1033"/>
  <c r="W1034"/>
  <c r="W1035"/>
  <c r="W1036"/>
  <c r="W1037"/>
  <c r="W1038"/>
  <c r="W1039"/>
  <c r="W1040"/>
  <c r="W1041"/>
  <c r="W1042"/>
  <c r="W1043"/>
  <c r="W1044"/>
  <c r="W1045"/>
  <c r="W1046"/>
  <c r="W1047"/>
  <c r="W1048"/>
  <c r="W1049"/>
  <c r="W1050"/>
  <c r="W1051"/>
  <c r="W1052"/>
  <c r="W1053"/>
  <c r="W1054"/>
  <c r="W1055"/>
  <c r="W1056"/>
  <c r="W1057"/>
  <c r="W1058"/>
  <c r="W1059"/>
  <c r="W1060"/>
  <c r="W1061"/>
  <c r="W1062"/>
  <c r="W1063"/>
  <c r="W1064"/>
  <c r="W1065"/>
  <c r="W1066"/>
  <c r="W1067"/>
  <c r="W1068"/>
  <c r="W1069"/>
  <c r="W1070"/>
  <c r="W1071"/>
  <c r="W1072"/>
  <c r="W1073"/>
  <c r="W1074"/>
  <c r="W1075"/>
  <c r="W1076"/>
  <c r="W1077"/>
  <c r="W1078"/>
  <c r="W1079"/>
  <c r="W1080"/>
  <c r="W1081"/>
  <c r="W1082"/>
  <c r="W1083"/>
  <c r="W1084"/>
  <c r="W1085"/>
  <c r="W1086"/>
  <c r="W1087"/>
  <c r="W1088"/>
  <c r="W1089"/>
  <c r="W1090"/>
  <c r="W1091"/>
  <c r="W1092"/>
  <c r="W1093"/>
  <c r="W1094"/>
  <c r="W1095"/>
  <c r="W1096"/>
  <c r="W1097"/>
  <c r="W1098"/>
  <c r="W1099"/>
  <c r="W1100"/>
  <c r="W1101"/>
  <c r="W1102"/>
  <c r="W1103"/>
  <c r="W1104"/>
  <c r="W1105"/>
  <c r="W1106"/>
  <c r="W1107"/>
  <c r="W1108"/>
  <c r="W1109"/>
  <c r="W1110"/>
  <c r="W1111"/>
  <c r="W1112"/>
  <c r="W1113"/>
  <c r="W1114"/>
  <c r="W1115"/>
  <c r="W1116"/>
  <c r="W1117"/>
  <c r="W1118"/>
  <c r="W1119"/>
  <c r="W1120"/>
  <c r="W1121"/>
  <c r="W1122"/>
  <c r="W1123"/>
  <c r="W1124"/>
  <c r="W1125"/>
  <c r="W1126"/>
  <c r="W1127"/>
  <c r="W1128"/>
  <c r="W1129"/>
  <c r="W1130"/>
  <c r="W1131"/>
  <c r="W1132"/>
  <c r="W1133"/>
  <c r="W1134"/>
  <c r="W1135"/>
  <c r="W1136"/>
  <c r="W1137"/>
  <c r="W1138"/>
  <c r="W1139"/>
  <c r="W1140"/>
  <c r="W1141"/>
  <c r="W1142"/>
  <c r="W1143"/>
  <c r="W1144"/>
  <c r="W1145"/>
  <c r="W1146"/>
  <c r="W1147"/>
  <c r="W1148"/>
  <c r="W1149"/>
  <c r="W1150"/>
  <c r="W1151"/>
  <c r="W1152"/>
  <c r="W1153"/>
  <c r="W1154"/>
  <c r="W1155"/>
  <c r="W1156"/>
  <c r="W1157"/>
  <c r="W1158"/>
  <c r="W1159"/>
  <c r="W1160"/>
  <c r="W1161"/>
  <c r="W1162"/>
  <c r="W1163"/>
  <c r="W1164"/>
  <c r="W1165"/>
  <c r="W1166"/>
  <c r="W1167"/>
  <c r="W1168"/>
  <c r="W1169"/>
  <c r="W1170"/>
  <c r="W1171"/>
  <c r="W1172"/>
  <c r="W1173"/>
  <c r="W1174"/>
  <c r="W1175"/>
  <c r="W1176"/>
  <c r="W1177"/>
  <c r="W1178"/>
  <c r="W1179"/>
  <c r="W1180"/>
  <c r="W1181"/>
  <c r="W1182"/>
  <c r="W1183"/>
  <c r="W1184"/>
  <c r="W1185"/>
  <c r="W1186"/>
  <c r="W1187"/>
  <c r="W1188"/>
  <c r="W1189"/>
  <c r="W1190"/>
  <c r="W1191"/>
  <c r="W1192"/>
  <c r="W1193"/>
  <c r="W1194"/>
  <c r="W1195"/>
  <c r="W1196"/>
  <c r="W1197"/>
  <c r="W1198"/>
  <c r="W1199"/>
  <c r="W1200"/>
  <c r="W1201"/>
  <c r="W1202"/>
  <c r="W1203"/>
  <c r="W1204"/>
  <c r="W1205"/>
  <c r="W1206"/>
  <c r="W1207"/>
  <c r="W1208"/>
  <c r="W1209"/>
  <c r="W1210"/>
  <c r="W1211"/>
  <c r="W1212"/>
  <c r="W1213"/>
  <c r="W1214"/>
  <c r="W1215"/>
  <c r="W1216"/>
  <c r="W1217"/>
  <c r="W1218"/>
  <c r="W1219"/>
  <c r="W1220"/>
  <c r="W1221"/>
  <c r="W1222"/>
  <c r="W1223"/>
  <c r="W1224"/>
  <c r="W1225"/>
  <c r="W1226"/>
  <c r="W1227"/>
  <c r="W1228"/>
  <c r="W1229"/>
  <c r="W1230"/>
  <c r="W1231"/>
  <c r="W1232"/>
  <c r="W1233"/>
  <c r="W1234"/>
  <c r="W1235"/>
  <c r="W1236"/>
  <c r="W1237"/>
  <c r="W1238"/>
  <c r="W1239"/>
  <c r="W1240"/>
  <c r="W1241"/>
  <c r="W1242"/>
  <c r="W1243"/>
  <c r="W1244"/>
  <c r="W1245"/>
  <c r="W1246"/>
  <c r="W1247"/>
  <c r="W1248"/>
  <c r="W1249"/>
  <c r="W1250"/>
  <c r="W1251"/>
  <c r="W1252"/>
  <c r="W1253"/>
  <c r="W1254"/>
  <c r="W1255"/>
  <c r="W1256"/>
  <c r="W1257"/>
  <c r="W1258"/>
  <c r="W1259"/>
  <c r="W1260"/>
  <c r="W1261"/>
  <c r="W1262"/>
  <c r="W1263"/>
  <c r="W1264"/>
  <c r="W1265"/>
  <c r="W1266"/>
  <c r="W1267"/>
  <c r="W1268"/>
  <c r="W1269"/>
  <c r="W1270"/>
  <c r="W1271"/>
  <c r="W1272"/>
  <c r="W17"/>
  <c r="W1273"/>
  <c r="W1274"/>
  <c r="W1275"/>
  <c r="W1276"/>
  <c r="W1277"/>
  <c r="W1278"/>
  <c r="W1279"/>
  <c r="W1280"/>
  <c r="W1281"/>
  <c r="W1282"/>
  <c r="W1283"/>
  <c r="W1284"/>
  <c r="W1285"/>
  <c r="W1286"/>
  <c r="W1287"/>
  <c r="W1288"/>
  <c r="W1289"/>
  <c r="W1290"/>
  <c r="W1291"/>
  <c r="W1292"/>
  <c r="W1293"/>
  <c r="W1294"/>
  <c r="W1295"/>
  <c r="W1296"/>
  <c r="W1297"/>
  <c r="W1298"/>
  <c r="W1299"/>
  <c r="W1300"/>
  <c r="W1301"/>
  <c r="W1302"/>
  <c r="W1303"/>
  <c r="W1304"/>
  <c r="W1305"/>
  <c r="W1306"/>
  <c r="W1307"/>
  <c r="W1308"/>
  <c r="W1309"/>
  <c r="W1310"/>
  <c r="W1311"/>
  <c r="W1312"/>
  <c r="W1313"/>
  <c r="W1314"/>
  <c r="W1315"/>
  <c r="W1316"/>
  <c r="W1317"/>
  <c r="W1318"/>
  <c r="W1319"/>
  <c r="W1320"/>
  <c r="W1321"/>
  <c r="W1322"/>
  <c r="W1323"/>
  <c r="W1324"/>
  <c r="W1325"/>
  <c r="W1326"/>
  <c r="Y1326" s="1"/>
  <c r="W1327"/>
  <c r="W1328"/>
  <c r="W1329"/>
  <c r="W1330"/>
  <c r="W1331"/>
  <c r="W1332"/>
  <c r="W1333"/>
  <c r="W1334"/>
  <c r="W1335"/>
  <c r="W1336"/>
  <c r="W1337"/>
  <c r="W1338"/>
  <c r="W1339"/>
  <c r="W1340"/>
  <c r="W1341"/>
  <c r="W1342"/>
  <c r="W1343"/>
  <c r="W1344"/>
  <c r="W1345"/>
  <c r="W1346"/>
  <c r="W1347"/>
  <c r="W1348"/>
  <c r="W1349"/>
  <c r="W1350"/>
  <c r="W1351"/>
  <c r="W1352"/>
  <c r="W1353"/>
  <c r="W1354"/>
  <c r="W1355"/>
  <c r="W1356"/>
  <c r="W1357"/>
  <c r="W1358"/>
  <c r="W1359"/>
  <c r="W1360"/>
  <c r="W1361"/>
  <c r="W1362"/>
  <c r="W1363"/>
  <c r="W1364"/>
  <c r="W1365"/>
  <c r="W1366"/>
  <c r="W1367"/>
  <c r="W1368"/>
  <c r="W1369"/>
  <c r="W1370"/>
  <c r="W1371"/>
  <c r="W1372"/>
  <c r="W1373"/>
  <c r="W1374"/>
  <c r="W1375"/>
  <c r="W1376"/>
  <c r="W1377"/>
  <c r="W1378"/>
  <c r="W1379"/>
  <c r="W1380"/>
  <c r="W1381"/>
  <c r="W1382"/>
  <c r="W1383"/>
  <c r="W1384"/>
  <c r="W1385"/>
  <c r="W1386"/>
  <c r="W1387"/>
  <c r="W1388"/>
  <c r="W1389"/>
  <c r="W1390"/>
  <c r="W1391"/>
  <c r="W1392"/>
  <c r="W1393"/>
  <c r="W1394"/>
  <c r="W1395"/>
  <c r="W1396"/>
  <c r="W1397"/>
  <c r="W1398"/>
  <c r="W1399"/>
  <c r="W1400"/>
  <c r="W1401"/>
  <c r="W1402"/>
  <c r="W1403"/>
  <c r="W1404"/>
  <c r="W1405"/>
  <c r="W1406"/>
  <c r="W1407"/>
  <c r="W1408"/>
  <c r="W1409"/>
  <c r="W1410"/>
  <c r="W1411"/>
  <c r="W1412"/>
  <c r="W1413"/>
  <c r="W1414"/>
  <c r="W1415"/>
  <c r="W1416"/>
  <c r="W1417"/>
  <c r="W1418"/>
  <c r="W1419"/>
  <c r="W1420"/>
  <c r="W1421"/>
  <c r="W1422"/>
  <c r="W1423"/>
  <c r="W1424"/>
  <c r="W1425"/>
  <c r="W1426"/>
  <c r="W1427"/>
  <c r="W1428"/>
  <c r="W1429"/>
  <c r="W1430"/>
  <c r="W1431"/>
  <c r="W1432"/>
  <c r="W1433"/>
  <c r="W1434"/>
  <c r="W1435"/>
  <c r="W1436"/>
  <c r="W1437"/>
  <c r="W1438"/>
  <c r="W1439"/>
  <c r="W1440"/>
  <c r="W1441"/>
  <c r="W1442"/>
  <c r="W1443"/>
  <c r="W1444"/>
  <c r="W1445"/>
  <c r="W1446"/>
  <c r="W1447"/>
  <c r="W1448"/>
  <c r="W1449"/>
  <c r="W1450"/>
  <c r="W1451"/>
  <c r="W1452"/>
  <c r="W1453"/>
  <c r="W1454"/>
  <c r="W1455"/>
  <c r="W1456"/>
  <c r="W1457"/>
  <c r="W1458"/>
  <c r="W1459"/>
  <c r="W1460"/>
  <c r="W1461"/>
  <c r="W1462"/>
  <c r="W1463"/>
  <c r="W1464"/>
  <c r="W1465"/>
  <c r="W1466"/>
  <c r="W1467"/>
  <c r="W1468"/>
  <c r="W1469"/>
  <c r="W1470"/>
  <c r="W1471"/>
  <c r="W1472"/>
  <c r="W1473"/>
  <c r="W1474"/>
  <c r="W1475"/>
  <c r="W1476"/>
  <c r="W1477"/>
  <c r="W1478"/>
  <c r="W1479"/>
  <c r="W1480"/>
  <c r="W1481"/>
  <c r="W1482"/>
  <c r="W1483"/>
  <c r="W1484"/>
  <c r="W1485"/>
  <c r="W1486"/>
  <c r="Y1486" s="1"/>
  <c r="W1487"/>
  <c r="W1488"/>
  <c r="W1489"/>
  <c r="W1490"/>
  <c r="W1491"/>
  <c r="W1492"/>
  <c r="W1493"/>
  <c r="W1494"/>
  <c r="W1495"/>
  <c r="W1496"/>
  <c r="W1497"/>
  <c r="W1498"/>
  <c r="W1499"/>
  <c r="W1500"/>
  <c r="W1501"/>
  <c r="W1502"/>
  <c r="W1503"/>
  <c r="W1504"/>
  <c r="W1505"/>
  <c r="W1506"/>
  <c r="W1507"/>
  <c r="W1508"/>
  <c r="W1509"/>
  <c r="W1510"/>
  <c r="W1511"/>
  <c r="W1512"/>
  <c r="W1513"/>
  <c r="W1514"/>
  <c r="W1515"/>
  <c r="W1516"/>
  <c r="W1517"/>
  <c r="W1518"/>
  <c r="W1519"/>
  <c r="W1520"/>
  <c r="W1521"/>
  <c r="W1522"/>
  <c r="W1523"/>
  <c r="W1524"/>
  <c r="W1525"/>
  <c r="W1526"/>
  <c r="W1527"/>
  <c r="W1528"/>
  <c r="W1529"/>
  <c r="W1530"/>
  <c r="W1531"/>
  <c r="W1532"/>
  <c r="W1533"/>
  <c r="W1534"/>
  <c r="W1535"/>
  <c r="W1536"/>
  <c r="W1537"/>
  <c r="W1538"/>
  <c r="W1539"/>
  <c r="W1540"/>
  <c r="W1541"/>
  <c r="W1542"/>
  <c r="W1543"/>
  <c r="W1544"/>
  <c r="W1545"/>
  <c r="W1546"/>
  <c r="W1547"/>
  <c r="W1548"/>
  <c r="W1549"/>
  <c r="W1550"/>
  <c r="W1551"/>
  <c r="W1552"/>
  <c r="W1553"/>
  <c r="W1554"/>
  <c r="W1555"/>
  <c r="W1556"/>
  <c r="W1557"/>
  <c r="W1558"/>
  <c r="W1559"/>
  <c r="W1560"/>
  <c r="W1561"/>
  <c r="W1562"/>
  <c r="W1563"/>
  <c r="W1564"/>
  <c r="W1565"/>
  <c r="W1566"/>
  <c r="W1567"/>
  <c r="W1568"/>
  <c r="W1569"/>
  <c r="W1570"/>
  <c r="W1571"/>
  <c r="W1572"/>
  <c r="W1573"/>
  <c r="W1574"/>
  <c r="W1575"/>
  <c r="W1576"/>
  <c r="W1577"/>
  <c r="W1578"/>
  <c r="W1579"/>
  <c r="W1580"/>
  <c r="W1581"/>
  <c r="W1582"/>
  <c r="W1583"/>
  <c r="W1584"/>
  <c r="W1585"/>
  <c r="W1586"/>
  <c r="W1587"/>
  <c r="W1588"/>
  <c r="W1589"/>
  <c r="W1590"/>
  <c r="W1591"/>
  <c r="W1592"/>
  <c r="W1593"/>
  <c r="W1594"/>
  <c r="W1595"/>
  <c r="W1596"/>
  <c r="W1597"/>
  <c r="W1598"/>
  <c r="W1599"/>
  <c r="W1600"/>
  <c r="W1601"/>
  <c r="W1602"/>
  <c r="W1603"/>
  <c r="W1604"/>
  <c r="W1605"/>
  <c r="W1606"/>
  <c r="W1607"/>
  <c r="W1608"/>
  <c r="W1609"/>
  <c r="W1610"/>
  <c r="W1611"/>
  <c r="W1612"/>
  <c r="W1613"/>
  <c r="W1614"/>
  <c r="W1615"/>
  <c r="W1616"/>
  <c r="W1617"/>
  <c r="W1618"/>
  <c r="W1619"/>
  <c r="W1620"/>
  <c r="W1621"/>
  <c r="W11"/>
  <c r="W1622"/>
  <c r="W1623"/>
  <c r="W1624"/>
  <c r="W1625"/>
  <c r="W1626"/>
  <c r="W1627"/>
  <c r="W1628"/>
  <c r="W1629"/>
  <c r="W1630"/>
  <c r="W1631"/>
  <c r="W1632"/>
  <c r="W1633"/>
  <c r="W1634"/>
  <c r="W1635"/>
  <c r="W1636"/>
  <c r="W1637"/>
  <c r="W1638"/>
  <c r="W1639"/>
  <c r="W1640"/>
  <c r="W1641"/>
  <c r="W1642"/>
  <c r="W1643"/>
  <c r="W1644"/>
  <c r="W1645"/>
  <c r="Y1645" s="1"/>
  <c r="W1646"/>
  <c r="W1647"/>
  <c r="W1648"/>
  <c r="W1649"/>
  <c r="W1650"/>
  <c r="W1651"/>
  <c r="W1652"/>
  <c r="W1653"/>
  <c r="W1654"/>
  <c r="W1655"/>
  <c r="W1656"/>
  <c r="W1657"/>
  <c r="W1658"/>
  <c r="W1659"/>
  <c r="W1660"/>
  <c r="W1661"/>
  <c r="W1662"/>
  <c r="W1663"/>
  <c r="W1664"/>
  <c r="W1665"/>
  <c r="W1666"/>
  <c r="W1667"/>
  <c r="W1668"/>
  <c r="W1669"/>
  <c r="W1670"/>
  <c r="W1671"/>
  <c r="W1672"/>
  <c r="W1673"/>
  <c r="W1674"/>
  <c r="W1675"/>
  <c r="W1676"/>
  <c r="W1677"/>
  <c r="W1678"/>
  <c r="W1679"/>
  <c r="W1680"/>
  <c r="W1681"/>
  <c r="W1682"/>
  <c r="W1683"/>
  <c r="W1684"/>
  <c r="W1685"/>
  <c r="W1686"/>
  <c r="W1687"/>
  <c r="W1688"/>
  <c r="W1689"/>
  <c r="W1690"/>
  <c r="W1691"/>
  <c r="W1692"/>
  <c r="W1693"/>
  <c r="W1694"/>
  <c r="W1695"/>
  <c r="W1696"/>
  <c r="W1697"/>
  <c r="W1698"/>
  <c r="W1699"/>
  <c r="W1700"/>
  <c r="W1701"/>
  <c r="W1702"/>
  <c r="W1703"/>
  <c r="W1704"/>
  <c r="W1705"/>
  <c r="W1706"/>
  <c r="W1707"/>
  <c r="W1708"/>
  <c r="W1709"/>
  <c r="W1710"/>
  <c r="W1711"/>
  <c r="W1712"/>
  <c r="W1713"/>
  <c r="W1714"/>
  <c r="W1715"/>
  <c r="W1716"/>
  <c r="W1717"/>
  <c r="W1718"/>
  <c r="W1719"/>
  <c r="W1720"/>
  <c r="W1721"/>
  <c r="W1722"/>
  <c r="W1723"/>
  <c r="W1724"/>
  <c r="W1725"/>
  <c r="W1726"/>
  <c r="W1727"/>
  <c r="W1728"/>
  <c r="W1729"/>
  <c r="W1730"/>
  <c r="W1731"/>
  <c r="W7"/>
  <c r="W1732"/>
  <c r="W1733"/>
  <c r="W1734"/>
  <c r="W1735"/>
  <c r="W1736"/>
  <c r="W1737"/>
  <c r="W1738"/>
  <c r="W1739"/>
  <c r="W1740"/>
  <c r="Y1740" s="1"/>
  <c r="W1741"/>
  <c r="W1742"/>
  <c r="W1743"/>
  <c r="W1744"/>
  <c r="W1745"/>
  <c r="W1746"/>
  <c r="W1747"/>
  <c r="W1748"/>
  <c r="W1749"/>
  <c r="W1750"/>
  <c r="W1751"/>
  <c r="W1752"/>
  <c r="W1753"/>
  <c r="W1754"/>
  <c r="W1755"/>
  <c r="W1756"/>
  <c r="W1757"/>
  <c r="W1758"/>
  <c r="W1759"/>
  <c r="W1760"/>
  <c r="W1761"/>
  <c r="W1762"/>
  <c r="W1763"/>
  <c r="W1764"/>
  <c r="W1765"/>
  <c r="W1766"/>
  <c r="W1767"/>
  <c r="W1768"/>
  <c r="W1769"/>
  <c r="W1770"/>
  <c r="W1771"/>
  <c r="W1772"/>
  <c r="W1773"/>
  <c r="W1774"/>
  <c r="W1775"/>
  <c r="W1776"/>
  <c r="W1777"/>
  <c r="W1778"/>
  <c r="W1779"/>
  <c r="W1780"/>
  <c r="W1781"/>
  <c r="W1782"/>
  <c r="W1783"/>
  <c r="W1784"/>
  <c r="W1785"/>
  <c r="W1786"/>
  <c r="W1787"/>
  <c r="W1788"/>
  <c r="W1789"/>
  <c r="W1790"/>
  <c r="W1791"/>
  <c r="W1792"/>
  <c r="W1793"/>
  <c r="W1794"/>
  <c r="W1795"/>
  <c r="W1796"/>
  <c r="W1797"/>
  <c r="W1798"/>
  <c r="W1799"/>
  <c r="W1800"/>
  <c r="W1801"/>
  <c r="W1802"/>
  <c r="W1803"/>
  <c r="W1804"/>
  <c r="W1805"/>
  <c r="W1806"/>
  <c r="W1807"/>
  <c r="W1808"/>
  <c r="W1809"/>
  <c r="W1810"/>
  <c r="W1811"/>
  <c r="W1812"/>
  <c r="W1813"/>
  <c r="W1814"/>
  <c r="W1815"/>
  <c r="W1816"/>
  <c r="W1817"/>
  <c r="W1818"/>
  <c r="W1819"/>
  <c r="W1820"/>
  <c r="W1821"/>
  <c r="W1822"/>
  <c r="W1823"/>
  <c r="W1824"/>
  <c r="W1825"/>
  <c r="W1826"/>
  <c r="W1827"/>
  <c r="W1828"/>
  <c r="W1829"/>
  <c r="W1830"/>
  <c r="W1831"/>
  <c r="W1832"/>
  <c r="W1833"/>
  <c r="W1834"/>
  <c r="W1835"/>
  <c r="W1836"/>
  <c r="Y1836" s="1"/>
  <c r="W1837"/>
  <c r="W1838"/>
  <c r="W1839"/>
  <c r="W1840"/>
  <c r="W1841"/>
  <c r="W8"/>
  <c r="W1842"/>
  <c r="W1843"/>
  <c r="W1844"/>
  <c r="W1845"/>
  <c r="W1846"/>
  <c r="W1847"/>
  <c r="W1848"/>
  <c r="W1849"/>
  <c r="W1850"/>
  <c r="W1851"/>
  <c r="W1852"/>
  <c r="W1853"/>
  <c r="W1854"/>
  <c r="W1855"/>
  <c r="W1856"/>
  <c r="W1857"/>
  <c r="W1858"/>
  <c r="W12"/>
  <c r="W1859"/>
  <c r="W1860"/>
  <c r="W1861"/>
  <c r="W1862"/>
  <c r="W1863"/>
  <c r="W1864"/>
  <c r="W1865"/>
  <c r="W1866"/>
  <c r="W1867"/>
  <c r="W1868"/>
  <c r="W1869"/>
  <c r="W1870"/>
  <c r="W1871"/>
  <c r="W1872"/>
  <c r="W1873"/>
  <c r="W1874"/>
  <c r="W1875"/>
  <c r="W1876"/>
  <c r="W1877"/>
  <c r="W1878"/>
  <c r="W1879"/>
  <c r="W1880"/>
  <c r="W1881"/>
  <c r="W1882"/>
  <c r="W1883"/>
  <c r="W1884"/>
  <c r="W1885"/>
  <c r="W1886"/>
  <c r="W1887"/>
  <c r="W1888"/>
  <c r="W1889"/>
  <c r="W1890"/>
  <c r="W1891"/>
  <c r="W1892"/>
  <c r="W1893"/>
  <c r="W1894"/>
  <c r="W1895"/>
  <c r="W1896"/>
  <c r="W1897"/>
  <c r="W1898"/>
  <c r="W1899"/>
  <c r="W1900"/>
  <c r="W1901"/>
  <c r="W1902"/>
  <c r="W1903"/>
  <c r="W1904"/>
  <c r="W1905"/>
  <c r="W1906"/>
  <c r="W1907"/>
  <c r="W1908"/>
  <c r="W1909"/>
  <c r="W1910"/>
  <c r="W1911"/>
  <c r="W1912"/>
  <c r="W1913"/>
  <c r="W1914"/>
  <c r="W1915"/>
  <c r="W1916"/>
  <c r="W1917"/>
  <c r="W1918"/>
  <c r="W1919"/>
  <c r="W1920"/>
  <c r="W1921"/>
  <c r="W1922"/>
  <c r="W1923"/>
  <c r="W1924"/>
  <c r="W1925"/>
  <c r="W1926"/>
  <c r="W1927"/>
  <c r="W1928"/>
  <c r="W1929"/>
  <c r="W16"/>
  <c r="W1930"/>
  <c r="W1931"/>
  <c r="W1932"/>
  <c r="W1933"/>
  <c r="W1934"/>
  <c r="W1935"/>
  <c r="W1936"/>
  <c r="W1937"/>
  <c r="W1938"/>
  <c r="W1939"/>
  <c r="W1940"/>
  <c r="W5"/>
  <c r="W1941"/>
  <c r="W1942"/>
  <c r="W1943"/>
  <c r="W1944"/>
  <c r="W1945"/>
  <c r="W1946"/>
  <c r="W1947"/>
  <c r="W1948"/>
  <c r="W1949"/>
  <c r="W1950"/>
  <c r="W1951"/>
  <c r="W1952"/>
  <c r="W1953"/>
  <c r="W1954"/>
  <c r="W1955"/>
  <c r="W1956"/>
  <c r="W1957"/>
  <c r="W1958"/>
  <c r="W1959"/>
  <c r="W1960"/>
  <c r="W1961"/>
  <c r="W1962"/>
  <c r="W1963"/>
  <c r="W1964"/>
  <c r="W1965"/>
  <c r="W1966"/>
  <c r="W1967"/>
  <c r="W1968"/>
  <c r="W1969"/>
  <c r="W1970"/>
  <c r="W1971"/>
  <c r="W1972"/>
  <c r="W1973"/>
  <c r="W1974"/>
  <c r="W1975"/>
  <c r="W1976"/>
  <c r="W1977"/>
  <c r="W1978"/>
  <c r="W1979"/>
  <c r="W1980"/>
  <c r="W1981"/>
  <c r="W1982"/>
  <c r="W1983"/>
  <c r="W1984"/>
  <c r="W1985"/>
  <c r="W1986"/>
  <c r="W1987"/>
  <c r="W1988"/>
  <c r="W1989"/>
  <c r="W1990"/>
  <c r="W1991"/>
  <c r="W1992"/>
  <c r="W1993"/>
  <c r="W1994"/>
  <c r="W1995"/>
  <c r="W1996"/>
  <c r="W1997"/>
  <c r="W1998"/>
  <c r="W1999"/>
  <c r="W2000"/>
  <c r="W2001"/>
  <c r="W2002"/>
  <c r="W2003"/>
  <c r="W2004"/>
  <c r="W2005"/>
  <c r="W2006"/>
  <c r="W2007"/>
  <c r="W2008"/>
  <c r="W2009"/>
  <c r="W2010"/>
  <c r="W2011"/>
  <c r="W2012"/>
  <c r="W2013"/>
  <c r="W2014"/>
  <c r="W2015"/>
  <c r="W2016"/>
  <c r="W2017"/>
  <c r="W2018"/>
  <c r="W2019"/>
  <c r="W2020"/>
  <c r="W2021"/>
  <c r="W2022"/>
  <c r="W2023"/>
  <c r="W2024"/>
  <c r="W2025"/>
  <c r="W2026"/>
  <c r="W2027"/>
  <c r="W2028"/>
  <c r="W2029"/>
  <c r="W2030"/>
  <c r="W2031"/>
  <c r="W2032"/>
  <c r="W2033"/>
  <c r="W2034"/>
  <c r="W2035"/>
  <c r="W2036"/>
  <c r="W2037"/>
  <c r="W2038"/>
  <c r="W2039"/>
  <c r="W2040"/>
  <c r="Y2040" s="1"/>
  <c r="W2041"/>
  <c r="W2042"/>
  <c r="W2043"/>
  <c r="W2044"/>
  <c r="W2045"/>
  <c r="W2046"/>
  <c r="W2047"/>
  <c r="W2048"/>
  <c r="W2049"/>
  <c r="W2050"/>
  <c r="W2051"/>
  <c r="W2052"/>
  <c r="W2053"/>
  <c r="W2054"/>
  <c r="W2055"/>
  <c r="W2056"/>
  <c r="W2057"/>
  <c r="W2058"/>
  <c r="W2059"/>
  <c r="W2060"/>
  <c r="W2061"/>
  <c r="W2062"/>
  <c r="W2063"/>
  <c r="W2064"/>
  <c r="W2065"/>
  <c r="W2066"/>
  <c r="W2067"/>
  <c r="W2068"/>
  <c r="W2069"/>
  <c r="W2070"/>
  <c r="W2071"/>
  <c r="W2072"/>
  <c r="W2073"/>
  <c r="W2074"/>
  <c r="W2075"/>
  <c r="W2076"/>
  <c r="W2077"/>
  <c r="W2078"/>
  <c r="W2079"/>
  <c r="W2080"/>
  <c r="W2081"/>
  <c r="W2082"/>
  <c r="W2083"/>
  <c r="W2084"/>
  <c r="W2085"/>
  <c r="W10"/>
  <c r="W2086"/>
  <c r="W2087"/>
  <c r="W2088"/>
  <c r="W2089"/>
  <c r="W2090"/>
  <c r="W2091"/>
  <c r="W2092"/>
  <c r="W2093"/>
  <c r="W2094"/>
  <c r="W2095"/>
  <c r="W2096"/>
  <c r="W2097"/>
  <c r="W2098"/>
  <c r="W2099"/>
  <c r="W2100"/>
  <c r="W2101"/>
  <c r="W2102"/>
  <c r="W2103"/>
  <c r="W2104"/>
  <c r="W2105"/>
  <c r="W2106"/>
  <c r="W2107"/>
  <c r="W2108"/>
  <c r="W2109"/>
  <c r="W2110"/>
  <c r="W2111"/>
  <c r="W2112"/>
  <c r="W2113"/>
  <c r="W2114"/>
  <c r="W2115"/>
  <c r="W2116"/>
  <c r="W2117"/>
  <c r="W2118"/>
  <c r="W2119"/>
  <c r="W2120"/>
  <c r="W2121"/>
  <c r="W2122"/>
  <c r="W2123"/>
  <c r="W2124"/>
  <c r="W2125"/>
  <c r="W2126"/>
  <c r="W2127"/>
  <c r="W2128"/>
  <c r="W2129"/>
  <c r="W2130"/>
  <c r="W2131"/>
  <c r="W2132"/>
  <c r="W2133"/>
  <c r="W2134"/>
  <c r="W2135"/>
  <c r="W2136"/>
  <c r="W2137"/>
  <c r="W2138"/>
  <c r="W2139"/>
  <c r="W2140"/>
  <c r="W2141"/>
  <c r="W2142"/>
  <c r="W2143"/>
  <c r="W2144"/>
  <c r="W2145"/>
  <c r="W2146"/>
  <c r="W2147"/>
  <c r="W2148"/>
  <c r="W2149"/>
  <c r="W2150"/>
  <c r="W2151"/>
  <c r="W2152"/>
  <c r="W2153"/>
  <c r="W2154"/>
  <c r="W2155"/>
  <c r="W2156"/>
  <c r="W2157"/>
  <c r="W2158"/>
  <c r="W2159"/>
  <c r="W2160"/>
  <c r="W2161"/>
  <c r="W2162"/>
  <c r="W2163"/>
  <c r="W2164"/>
  <c r="W2165"/>
  <c r="W2166"/>
  <c r="W2167"/>
  <c r="W2168"/>
  <c r="X47"/>
  <c r="X48"/>
  <c r="X49"/>
  <c r="X50"/>
  <c r="X51"/>
  <c r="X52"/>
  <c r="X53"/>
  <c r="X54"/>
  <c r="X55"/>
  <c r="X56"/>
  <c r="X57"/>
  <c r="X58"/>
  <c r="X59"/>
  <c r="X60"/>
  <c r="X61"/>
  <c r="X62"/>
  <c r="X63"/>
  <c r="X64"/>
  <c r="X65"/>
  <c r="X66"/>
  <c r="X67"/>
  <c r="X68"/>
  <c r="X69"/>
  <c r="X70"/>
  <c r="X71"/>
  <c r="X72"/>
  <c r="X73"/>
  <c r="X74"/>
  <c r="X75"/>
  <c r="X76"/>
  <c r="X9"/>
  <c r="X77"/>
  <c r="X78"/>
  <c r="X79"/>
  <c r="X80"/>
  <c r="X81"/>
  <c r="X15"/>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Y155" s="1"/>
  <c r="X156"/>
  <c r="X157"/>
  <c r="X158"/>
  <c r="X159"/>
  <c r="X160"/>
  <c r="X161"/>
  <c r="X162"/>
  <c r="X163"/>
  <c r="X164"/>
  <c r="X165"/>
  <c r="X166"/>
  <c r="X167"/>
  <c r="X168"/>
  <c r="X169"/>
  <c r="X170"/>
  <c r="X171"/>
  <c r="X172"/>
  <c r="X173"/>
  <c r="X174"/>
  <c r="X175"/>
  <c r="X176"/>
  <c r="X177"/>
  <c r="X178"/>
  <c r="X179"/>
  <c r="Z179" s="1"/>
  <c r="X180"/>
  <c r="X181"/>
  <c r="X182"/>
  <c r="X183"/>
  <c r="X184"/>
  <c r="X185"/>
  <c r="X186"/>
  <c r="X187"/>
  <c r="X188"/>
  <c r="X189"/>
  <c r="X190"/>
  <c r="X191"/>
  <c r="X192"/>
  <c r="X193"/>
  <c r="X194"/>
  <c r="X195"/>
  <c r="X196"/>
  <c r="X197"/>
  <c r="X198"/>
  <c r="X199"/>
  <c r="X200"/>
  <c r="X201"/>
  <c r="X202"/>
  <c r="X203"/>
  <c r="Y203" s="1"/>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Z259" s="1"/>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Z323" s="1"/>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6"/>
  <c r="X397"/>
  <c r="X398"/>
  <c r="X399"/>
  <c r="X400"/>
  <c r="X401"/>
  <c r="X402"/>
  <c r="X403"/>
  <c r="X404"/>
  <c r="X405"/>
  <c r="X406"/>
  <c r="X407"/>
  <c r="X408"/>
  <c r="X409"/>
  <c r="X410"/>
  <c r="X411"/>
  <c r="X412"/>
  <c r="X413"/>
  <c r="X414"/>
  <c r="X415"/>
  <c r="X416"/>
  <c r="X417"/>
  <c r="X418"/>
  <c r="X419"/>
  <c r="X420"/>
  <c r="X421"/>
  <c r="X422"/>
  <c r="X423"/>
  <c r="X424"/>
  <c r="X425"/>
  <c r="X426"/>
  <c r="X427"/>
  <c r="Z427" s="1"/>
  <c r="X428"/>
  <c r="X429"/>
  <c r="X430"/>
  <c r="X431"/>
  <c r="X432"/>
  <c r="X433"/>
  <c r="X434"/>
  <c r="X435"/>
  <c r="X436"/>
  <c r="X437"/>
  <c r="X438"/>
  <c r="X439"/>
  <c r="X440"/>
  <c r="X441"/>
  <c r="X442"/>
  <c r="X443"/>
  <c r="X444"/>
  <c r="X445"/>
  <c r="X446"/>
  <c r="X447"/>
  <c r="X448"/>
  <c r="X449"/>
  <c r="X450"/>
  <c r="X451"/>
  <c r="X452"/>
  <c r="X453"/>
  <c r="X454"/>
  <c r="X455"/>
  <c r="X456"/>
  <c r="X457"/>
  <c r="X458"/>
  <c r="X459"/>
  <c r="X460"/>
  <c r="X461"/>
  <c r="X462"/>
  <c r="X463"/>
  <c r="X464"/>
  <c r="X465"/>
  <c r="X466"/>
  <c r="X467"/>
  <c r="X468"/>
  <c r="X469"/>
  <c r="X470"/>
  <c r="X471"/>
  <c r="X472"/>
  <c r="X473"/>
  <c r="X474"/>
  <c r="X475"/>
  <c r="X476"/>
  <c r="X477"/>
  <c r="X478"/>
  <c r="X479"/>
  <c r="X480"/>
  <c r="X481"/>
  <c r="X482"/>
  <c r="X483"/>
  <c r="X484"/>
  <c r="X485"/>
  <c r="X486"/>
  <c r="X487"/>
  <c r="X488"/>
  <c r="X489"/>
  <c r="X490"/>
  <c r="X491"/>
  <c r="X492"/>
  <c r="X493"/>
  <c r="X494"/>
  <c r="X495"/>
  <c r="X496"/>
  <c r="X497"/>
  <c r="X498"/>
  <c r="X499"/>
  <c r="X500"/>
  <c r="X501"/>
  <c r="X502"/>
  <c r="X503"/>
  <c r="X504"/>
  <c r="X505"/>
  <c r="X506"/>
  <c r="X507"/>
  <c r="X508"/>
  <c r="X509"/>
  <c r="X510"/>
  <c r="X511"/>
  <c r="X512"/>
  <c r="X513"/>
  <c r="X514"/>
  <c r="X515"/>
  <c r="X516"/>
  <c r="X517"/>
  <c r="X518"/>
  <c r="X519"/>
  <c r="X520"/>
  <c r="X521"/>
  <c r="X522"/>
  <c r="X523"/>
  <c r="X524"/>
  <c r="X525"/>
  <c r="X526"/>
  <c r="X527"/>
  <c r="X528"/>
  <c r="X529"/>
  <c r="X530"/>
  <c r="X531"/>
  <c r="X532"/>
  <c r="X533"/>
  <c r="X534"/>
  <c r="X535"/>
  <c r="X536"/>
  <c r="X537"/>
  <c r="X538"/>
  <c r="X539"/>
  <c r="X540"/>
  <c r="X541"/>
  <c r="X542"/>
  <c r="X543"/>
  <c r="X544"/>
  <c r="X545"/>
  <c r="X546"/>
  <c r="X547"/>
  <c r="X548"/>
  <c r="X549"/>
  <c r="X550"/>
  <c r="X551"/>
  <c r="X552"/>
  <c r="X553"/>
  <c r="X554"/>
  <c r="X555"/>
  <c r="X556"/>
  <c r="X557"/>
  <c r="X558"/>
  <c r="X559"/>
  <c r="X560"/>
  <c r="X561"/>
  <c r="X562"/>
  <c r="X563"/>
  <c r="X564"/>
  <c r="X565"/>
  <c r="X566"/>
  <c r="X567"/>
  <c r="X568"/>
  <c r="X569"/>
  <c r="X570"/>
  <c r="X571"/>
  <c r="X572"/>
  <c r="X573"/>
  <c r="X574"/>
  <c r="X575"/>
  <c r="X576"/>
  <c r="X577"/>
  <c r="X578"/>
  <c r="X579"/>
  <c r="X580"/>
  <c r="X581"/>
  <c r="X582"/>
  <c r="X583"/>
  <c r="X584"/>
  <c r="X585"/>
  <c r="X586"/>
  <c r="X587"/>
  <c r="X588"/>
  <c r="X589"/>
  <c r="X590"/>
  <c r="X591"/>
  <c r="X592"/>
  <c r="X593"/>
  <c r="X594"/>
  <c r="X595"/>
  <c r="Z595" s="1"/>
  <c r="X596"/>
  <c r="X597"/>
  <c r="X598"/>
  <c r="X599"/>
  <c r="X600"/>
  <c r="X601"/>
  <c r="X602"/>
  <c r="X603"/>
  <c r="X604"/>
  <c r="X605"/>
  <c r="X606"/>
  <c r="X607"/>
  <c r="X608"/>
  <c r="X609"/>
  <c r="X610"/>
  <c r="X611"/>
  <c r="X612"/>
  <c r="X613"/>
  <c r="X614"/>
  <c r="X615"/>
  <c r="X616"/>
  <c r="X617"/>
  <c r="X618"/>
  <c r="X619"/>
  <c r="X620"/>
  <c r="X621"/>
  <c r="X622"/>
  <c r="X623"/>
  <c r="X624"/>
  <c r="X625"/>
  <c r="X626"/>
  <c r="X627"/>
  <c r="X628"/>
  <c r="X629"/>
  <c r="X630"/>
  <c r="X631"/>
  <c r="X632"/>
  <c r="X633"/>
  <c r="X634"/>
  <c r="X635"/>
  <c r="X636"/>
  <c r="X637"/>
  <c r="X638"/>
  <c r="X639"/>
  <c r="X640"/>
  <c r="X641"/>
  <c r="X642"/>
  <c r="X643"/>
  <c r="X644"/>
  <c r="X645"/>
  <c r="X646"/>
  <c r="X647"/>
  <c r="X648"/>
  <c r="X649"/>
  <c r="X650"/>
  <c r="X651"/>
  <c r="X652"/>
  <c r="X653"/>
  <c r="X654"/>
  <c r="X655"/>
  <c r="X656"/>
  <c r="X657"/>
  <c r="X658"/>
  <c r="X659"/>
  <c r="Z659" s="1"/>
  <c r="X660"/>
  <c r="X661"/>
  <c r="X662"/>
  <c r="X663"/>
  <c r="X664"/>
  <c r="X665"/>
  <c r="X666"/>
  <c r="X667"/>
  <c r="X668"/>
  <c r="X669"/>
  <c r="X670"/>
  <c r="X671"/>
  <c r="X672"/>
  <c r="X673"/>
  <c r="X674"/>
  <c r="X675"/>
  <c r="X676"/>
  <c r="X677"/>
  <c r="X678"/>
  <c r="X679"/>
  <c r="X680"/>
  <c r="X681"/>
  <c r="X682"/>
  <c r="X683"/>
  <c r="X684"/>
  <c r="X685"/>
  <c r="X686"/>
  <c r="X687"/>
  <c r="X688"/>
  <c r="X689"/>
  <c r="X690"/>
  <c r="X691"/>
  <c r="X692"/>
  <c r="X693"/>
  <c r="X694"/>
  <c r="X695"/>
  <c r="X696"/>
  <c r="X697"/>
  <c r="X698"/>
  <c r="X699"/>
  <c r="X700"/>
  <c r="X701"/>
  <c r="X702"/>
  <c r="X703"/>
  <c r="X704"/>
  <c r="X705"/>
  <c r="X706"/>
  <c r="X707"/>
  <c r="X708"/>
  <c r="X709"/>
  <c r="X710"/>
  <c r="X711"/>
  <c r="X712"/>
  <c r="X713"/>
  <c r="X714"/>
  <c r="X715"/>
  <c r="X716"/>
  <c r="X717"/>
  <c r="X718"/>
  <c r="X719"/>
  <c r="X720"/>
  <c r="X721"/>
  <c r="X722"/>
  <c r="X723"/>
  <c r="X724"/>
  <c r="X725"/>
  <c r="X726"/>
  <c r="X14"/>
  <c r="X727"/>
  <c r="X728"/>
  <c r="X729"/>
  <c r="X730"/>
  <c r="X731"/>
  <c r="X732"/>
  <c r="X733"/>
  <c r="X734"/>
  <c r="X735"/>
  <c r="X736"/>
  <c r="X737"/>
  <c r="X738"/>
  <c r="X739"/>
  <c r="X740"/>
  <c r="X741"/>
  <c r="X742"/>
  <c r="X743"/>
  <c r="X744"/>
  <c r="X745"/>
  <c r="X746"/>
  <c r="X747"/>
  <c r="X748"/>
  <c r="X749"/>
  <c r="X750"/>
  <c r="X751"/>
  <c r="X752"/>
  <c r="X753"/>
  <c r="X754"/>
  <c r="X755"/>
  <c r="X756"/>
  <c r="X757"/>
  <c r="X758"/>
  <c r="X759"/>
  <c r="X760"/>
  <c r="X761"/>
  <c r="X762"/>
  <c r="X763"/>
  <c r="X764"/>
  <c r="X765"/>
  <c r="X766"/>
  <c r="X767"/>
  <c r="X768"/>
  <c r="X769"/>
  <c r="X770"/>
  <c r="X771"/>
  <c r="X772"/>
  <c r="X773"/>
  <c r="X774"/>
  <c r="X775"/>
  <c r="X776"/>
  <c r="X777"/>
  <c r="X778"/>
  <c r="X779"/>
  <c r="X780"/>
  <c r="X781"/>
  <c r="X782"/>
  <c r="X783"/>
  <c r="X784"/>
  <c r="X785"/>
  <c r="X786"/>
  <c r="X787"/>
  <c r="X788"/>
  <c r="X789"/>
  <c r="X790"/>
  <c r="X791"/>
  <c r="X792"/>
  <c r="X793"/>
  <c r="X794"/>
  <c r="X795"/>
  <c r="X796"/>
  <c r="X797"/>
  <c r="X798"/>
  <c r="X799"/>
  <c r="X800"/>
  <c r="X801"/>
  <c r="X802"/>
  <c r="X803"/>
  <c r="X804"/>
  <c r="X805"/>
  <c r="X806"/>
  <c r="X807"/>
  <c r="X808"/>
  <c r="X809"/>
  <c r="X810"/>
  <c r="X811"/>
  <c r="X812"/>
  <c r="X813"/>
  <c r="X814"/>
  <c r="X815"/>
  <c r="X816"/>
  <c r="X817"/>
  <c r="X818"/>
  <c r="Y818" s="1"/>
  <c r="X819"/>
  <c r="X820"/>
  <c r="X821"/>
  <c r="X822"/>
  <c r="X823"/>
  <c r="X824"/>
  <c r="X825"/>
  <c r="X826"/>
  <c r="X827"/>
  <c r="X828"/>
  <c r="X829"/>
  <c r="X830"/>
  <c r="X831"/>
  <c r="X832"/>
  <c r="X833"/>
  <c r="X834"/>
  <c r="X835"/>
  <c r="X836"/>
  <c r="X837"/>
  <c r="X838"/>
  <c r="X839"/>
  <c r="X840"/>
  <c r="X841"/>
  <c r="X842"/>
  <c r="X843"/>
  <c r="X844"/>
  <c r="X845"/>
  <c r="X846"/>
  <c r="X847"/>
  <c r="X848"/>
  <c r="X849"/>
  <c r="X850"/>
  <c r="X851"/>
  <c r="X852"/>
  <c r="X853"/>
  <c r="X854"/>
  <c r="X855"/>
  <c r="X856"/>
  <c r="X857"/>
  <c r="X858"/>
  <c r="X859"/>
  <c r="X860"/>
  <c r="X861"/>
  <c r="X862"/>
  <c r="X863"/>
  <c r="X864"/>
  <c r="X865"/>
  <c r="X866"/>
  <c r="X867"/>
  <c r="X868"/>
  <c r="X869"/>
  <c r="X870"/>
  <c r="X871"/>
  <c r="X872"/>
  <c r="X873"/>
  <c r="X874"/>
  <c r="X875"/>
  <c r="X876"/>
  <c r="X877"/>
  <c r="X878"/>
  <c r="X879"/>
  <c r="X880"/>
  <c r="X881"/>
  <c r="X882"/>
  <c r="X883"/>
  <c r="X884"/>
  <c r="X885"/>
  <c r="X886"/>
  <c r="X887"/>
  <c r="X888"/>
  <c r="X889"/>
  <c r="X890"/>
  <c r="X891"/>
  <c r="X892"/>
  <c r="X893"/>
  <c r="X894"/>
  <c r="X895"/>
  <c r="X896"/>
  <c r="X897"/>
  <c r="X898"/>
  <c r="X899"/>
  <c r="X900"/>
  <c r="X901"/>
  <c r="X902"/>
  <c r="X903"/>
  <c r="X904"/>
  <c r="X905"/>
  <c r="X906"/>
  <c r="X907"/>
  <c r="X908"/>
  <c r="X909"/>
  <c r="X910"/>
  <c r="X911"/>
  <c r="X912"/>
  <c r="X913"/>
  <c r="X914"/>
  <c r="X915"/>
  <c r="X916"/>
  <c r="X917"/>
  <c r="X918"/>
  <c r="X919"/>
  <c r="X920"/>
  <c r="X921"/>
  <c r="X922"/>
  <c r="X923"/>
  <c r="X924"/>
  <c r="X925"/>
  <c r="X926"/>
  <c r="X927"/>
  <c r="X928"/>
  <c r="X929"/>
  <c r="X930"/>
  <c r="X931"/>
  <c r="X932"/>
  <c r="X933"/>
  <c r="X934"/>
  <c r="X935"/>
  <c r="X936"/>
  <c r="X937"/>
  <c r="X938"/>
  <c r="Z938" s="1"/>
  <c r="X939"/>
  <c r="X940"/>
  <c r="X941"/>
  <c r="X942"/>
  <c r="X943"/>
  <c r="X944"/>
  <c r="X945"/>
  <c r="X946"/>
  <c r="X947"/>
  <c r="X948"/>
  <c r="X949"/>
  <c r="X950"/>
  <c r="X951"/>
  <c r="X952"/>
  <c r="X953"/>
  <c r="X954"/>
  <c r="X955"/>
  <c r="X956"/>
  <c r="X957"/>
  <c r="X958"/>
  <c r="X959"/>
  <c r="X960"/>
  <c r="X961"/>
  <c r="X962"/>
  <c r="X963"/>
  <c r="X964"/>
  <c r="X965"/>
  <c r="X966"/>
  <c r="X967"/>
  <c r="X968"/>
  <c r="X969"/>
  <c r="X970"/>
  <c r="X971"/>
  <c r="X972"/>
  <c r="X973"/>
  <c r="X6"/>
  <c r="X974"/>
  <c r="X975"/>
  <c r="X976"/>
  <c r="X977"/>
  <c r="Y977" s="1"/>
  <c r="X978"/>
  <c r="X979"/>
  <c r="X980"/>
  <c r="X981"/>
  <c r="X982"/>
  <c r="X983"/>
  <c r="X984"/>
  <c r="X985"/>
  <c r="X986"/>
  <c r="X987"/>
  <c r="X988"/>
  <c r="X989"/>
  <c r="X990"/>
  <c r="X991"/>
  <c r="X992"/>
  <c r="X993"/>
  <c r="X994"/>
  <c r="X995"/>
  <c r="X996"/>
  <c r="X997"/>
  <c r="X998"/>
  <c r="X999"/>
  <c r="X1000"/>
  <c r="X1001"/>
  <c r="Z1001" s="1"/>
  <c r="X1002"/>
  <c r="X1003"/>
  <c r="X1004"/>
  <c r="X1005"/>
  <c r="X1006"/>
  <c r="X1007"/>
  <c r="X1008"/>
  <c r="X1009"/>
  <c r="X1010"/>
  <c r="X1011"/>
  <c r="X1012"/>
  <c r="X1013"/>
  <c r="X1014"/>
  <c r="X1015"/>
  <c r="X1016"/>
  <c r="X1017"/>
  <c r="X1018"/>
  <c r="X1019"/>
  <c r="X1020"/>
  <c r="X1021"/>
  <c r="X1022"/>
  <c r="X1023"/>
  <c r="X1024"/>
  <c r="X1025"/>
  <c r="X1026"/>
  <c r="X1027"/>
  <c r="X1028"/>
  <c r="X1029"/>
  <c r="X1030"/>
  <c r="X1031"/>
  <c r="X1032"/>
  <c r="X1033"/>
  <c r="X1034"/>
  <c r="X1035"/>
  <c r="X1036"/>
  <c r="X1037"/>
  <c r="X1038"/>
  <c r="X1039"/>
  <c r="X1040"/>
  <c r="X1041"/>
  <c r="X1042"/>
  <c r="X1043"/>
  <c r="X1044"/>
  <c r="X1045"/>
  <c r="X1046"/>
  <c r="X1047"/>
  <c r="X1048"/>
  <c r="X1049"/>
  <c r="X1050"/>
  <c r="X1051"/>
  <c r="X1052"/>
  <c r="X1053"/>
  <c r="X1054"/>
  <c r="X1055"/>
  <c r="X1056"/>
  <c r="X1057"/>
  <c r="X1058"/>
  <c r="X1059"/>
  <c r="X1060"/>
  <c r="X1061"/>
  <c r="X1062"/>
  <c r="X1063"/>
  <c r="X1064"/>
  <c r="X1065"/>
  <c r="X1066"/>
  <c r="X1067"/>
  <c r="X1068"/>
  <c r="X1069"/>
  <c r="X1070"/>
  <c r="X1071"/>
  <c r="X1072"/>
  <c r="X1073"/>
  <c r="X1074"/>
  <c r="X1075"/>
  <c r="X1076"/>
  <c r="X1077"/>
  <c r="X1078"/>
  <c r="X1079"/>
  <c r="X1080"/>
  <c r="X1081"/>
  <c r="X1082"/>
  <c r="X1083"/>
  <c r="X1084"/>
  <c r="X1085"/>
  <c r="X1086"/>
  <c r="X1087"/>
  <c r="X1088"/>
  <c r="X1089"/>
  <c r="X1090"/>
  <c r="X1091"/>
  <c r="X1092"/>
  <c r="X1093"/>
  <c r="X1094"/>
  <c r="X1095"/>
  <c r="X1096"/>
  <c r="X1097"/>
  <c r="X1098"/>
  <c r="X1099"/>
  <c r="X1100"/>
  <c r="X1101"/>
  <c r="X1102"/>
  <c r="X1103"/>
  <c r="X1104"/>
  <c r="X1105"/>
  <c r="X1106"/>
  <c r="X1107"/>
  <c r="X1108"/>
  <c r="X1109"/>
  <c r="X1110"/>
  <c r="X1111"/>
  <c r="X1112"/>
  <c r="X1113"/>
  <c r="X1114"/>
  <c r="X1115"/>
  <c r="X1116"/>
  <c r="X1117"/>
  <c r="X1118"/>
  <c r="X1119"/>
  <c r="X1120"/>
  <c r="X1121"/>
  <c r="X1122"/>
  <c r="X1123"/>
  <c r="X1124"/>
  <c r="X1125"/>
  <c r="X1126"/>
  <c r="X1127"/>
  <c r="X1128"/>
  <c r="X1129"/>
  <c r="X1130"/>
  <c r="X1131"/>
  <c r="X1132"/>
  <c r="X1133"/>
  <c r="X1134"/>
  <c r="X1135"/>
  <c r="X1136"/>
  <c r="X1137"/>
  <c r="X1138"/>
  <c r="X1139"/>
  <c r="X1140"/>
  <c r="X1141"/>
  <c r="X1142"/>
  <c r="X1143"/>
  <c r="X1144"/>
  <c r="X1145"/>
  <c r="X1146"/>
  <c r="X1147"/>
  <c r="X1148"/>
  <c r="X1149"/>
  <c r="X1150"/>
  <c r="X1151"/>
  <c r="X1152"/>
  <c r="X1153"/>
  <c r="X1154"/>
  <c r="X1155"/>
  <c r="X1156"/>
  <c r="X1157"/>
  <c r="X1158"/>
  <c r="X1159"/>
  <c r="X1160"/>
  <c r="X1161"/>
  <c r="X1162"/>
  <c r="X1163"/>
  <c r="X1164"/>
  <c r="X1165"/>
  <c r="X1166"/>
  <c r="X1167"/>
  <c r="X1168"/>
  <c r="X1169"/>
  <c r="X1170"/>
  <c r="X1171"/>
  <c r="X1172"/>
  <c r="X1173"/>
  <c r="X1174"/>
  <c r="X1175"/>
  <c r="X1176"/>
  <c r="X1177"/>
  <c r="X1178"/>
  <c r="X1179"/>
  <c r="X1180"/>
  <c r="X1181"/>
  <c r="X1182"/>
  <c r="X1183"/>
  <c r="X1184"/>
  <c r="X1185"/>
  <c r="X1186"/>
  <c r="X1187"/>
  <c r="X1188"/>
  <c r="X1189"/>
  <c r="X1190"/>
  <c r="X1191"/>
  <c r="X1192"/>
  <c r="X1193"/>
  <c r="X1194"/>
  <c r="X1195"/>
  <c r="X1196"/>
  <c r="X1197"/>
  <c r="X1198"/>
  <c r="X1199"/>
  <c r="X1200"/>
  <c r="X1201"/>
  <c r="X1202"/>
  <c r="X1203"/>
  <c r="X1204"/>
  <c r="X1205"/>
  <c r="X1206"/>
  <c r="X1207"/>
  <c r="X1208"/>
  <c r="X1209"/>
  <c r="X1210"/>
  <c r="X1211"/>
  <c r="X1212"/>
  <c r="X1213"/>
  <c r="X1214"/>
  <c r="X1215"/>
  <c r="X1216"/>
  <c r="X1217"/>
  <c r="X1218"/>
  <c r="X1219"/>
  <c r="X1220"/>
  <c r="X1221"/>
  <c r="X1222"/>
  <c r="X1223"/>
  <c r="X1224"/>
  <c r="X1225"/>
  <c r="X1226"/>
  <c r="X1227"/>
  <c r="X1228"/>
  <c r="X1229"/>
  <c r="X1230"/>
  <c r="X1231"/>
  <c r="X1232"/>
  <c r="X1233"/>
  <c r="X1234"/>
  <c r="X1235"/>
  <c r="X1236"/>
  <c r="X1237"/>
  <c r="X1238"/>
  <c r="X1239"/>
  <c r="X1240"/>
  <c r="X1241"/>
  <c r="X1242"/>
  <c r="X1243"/>
  <c r="X1244"/>
  <c r="X1245"/>
  <c r="X1246"/>
  <c r="X1247"/>
  <c r="X1248"/>
  <c r="X1249"/>
  <c r="X1250"/>
  <c r="X1251"/>
  <c r="X1252"/>
  <c r="X1253"/>
  <c r="X1254"/>
  <c r="X1255"/>
  <c r="X1256"/>
  <c r="X1257"/>
  <c r="X1258"/>
  <c r="X1259"/>
  <c r="X1260"/>
  <c r="X1261"/>
  <c r="X1262"/>
  <c r="X1263"/>
  <c r="X1264"/>
  <c r="X1265"/>
  <c r="X1266"/>
  <c r="X1267"/>
  <c r="X1268"/>
  <c r="X1269"/>
  <c r="X1270"/>
  <c r="X1271"/>
  <c r="X1272"/>
  <c r="X17"/>
  <c r="X1273"/>
  <c r="X1274"/>
  <c r="X1275"/>
  <c r="X1276"/>
  <c r="X1277"/>
  <c r="X1278"/>
  <c r="X1279"/>
  <c r="X1280"/>
  <c r="X1281"/>
  <c r="X1282"/>
  <c r="X1283"/>
  <c r="X1284"/>
  <c r="X1285"/>
  <c r="X1286"/>
  <c r="X1287"/>
  <c r="X1288"/>
  <c r="X1289"/>
  <c r="X1290"/>
  <c r="X1291"/>
  <c r="X1292"/>
  <c r="X1293"/>
  <c r="X1294"/>
  <c r="X1295"/>
  <c r="X1296"/>
  <c r="X1297"/>
  <c r="X1298"/>
  <c r="X1299"/>
  <c r="X1300"/>
  <c r="X1301"/>
  <c r="X1302"/>
  <c r="X1303"/>
  <c r="X1304"/>
  <c r="X1305"/>
  <c r="X1306"/>
  <c r="X1307"/>
  <c r="X1308"/>
  <c r="X1309"/>
  <c r="X1310"/>
  <c r="X1311"/>
  <c r="X1312"/>
  <c r="X1313"/>
  <c r="X1314"/>
  <c r="X1315"/>
  <c r="X1316"/>
  <c r="X1317"/>
  <c r="X1318"/>
  <c r="X1319"/>
  <c r="X1320"/>
  <c r="X1321"/>
  <c r="X1322"/>
  <c r="X1323"/>
  <c r="X1324"/>
  <c r="X1325"/>
  <c r="X1326"/>
  <c r="X1327"/>
  <c r="X1328"/>
  <c r="X1329"/>
  <c r="X1330"/>
  <c r="X1331"/>
  <c r="X1332"/>
  <c r="X1333"/>
  <c r="X1334"/>
  <c r="X1335"/>
  <c r="X1336"/>
  <c r="X1337"/>
  <c r="X1338"/>
  <c r="X1339"/>
  <c r="X1340"/>
  <c r="X1341"/>
  <c r="X1342"/>
  <c r="X1343"/>
  <c r="X1344"/>
  <c r="X1345"/>
  <c r="X1346"/>
  <c r="X1347"/>
  <c r="X1348"/>
  <c r="X1349"/>
  <c r="X1350"/>
  <c r="X1351"/>
  <c r="X1352"/>
  <c r="X1353"/>
  <c r="X1354"/>
  <c r="X1355"/>
  <c r="X1356"/>
  <c r="X1357"/>
  <c r="X1358"/>
  <c r="X1359"/>
  <c r="X1360"/>
  <c r="X1361"/>
  <c r="X1362"/>
  <c r="X1363"/>
  <c r="X1364"/>
  <c r="X1365"/>
  <c r="X1366"/>
  <c r="X1367"/>
  <c r="X1368"/>
  <c r="X1369"/>
  <c r="X1370"/>
  <c r="X1371"/>
  <c r="X1372"/>
  <c r="X1373"/>
  <c r="X1374"/>
  <c r="X1375"/>
  <c r="X1376"/>
  <c r="X1377"/>
  <c r="X1378"/>
  <c r="X1379"/>
  <c r="X1380"/>
  <c r="X1381"/>
  <c r="X1382"/>
  <c r="X1383"/>
  <c r="X1384"/>
  <c r="X1385"/>
  <c r="X1386"/>
  <c r="X1387"/>
  <c r="X1388"/>
  <c r="X1389"/>
  <c r="X1390"/>
  <c r="X1391"/>
  <c r="X1392"/>
  <c r="X1393"/>
  <c r="X1394"/>
  <c r="X1395"/>
  <c r="X1396"/>
  <c r="X1397"/>
  <c r="X1398"/>
  <c r="X1399"/>
  <c r="X1400"/>
  <c r="X1401"/>
  <c r="X1402"/>
  <c r="X1403"/>
  <c r="X1404"/>
  <c r="X1405"/>
  <c r="X1406"/>
  <c r="X1407"/>
  <c r="X1408"/>
  <c r="X1409"/>
  <c r="X1410"/>
  <c r="X1411"/>
  <c r="X1412"/>
  <c r="X1413"/>
  <c r="X1414"/>
  <c r="X1415"/>
  <c r="X1416"/>
  <c r="X1417"/>
  <c r="X1418"/>
  <c r="X1419"/>
  <c r="X1420"/>
  <c r="X1421"/>
  <c r="X1422"/>
  <c r="X1423"/>
  <c r="X1424"/>
  <c r="X1425"/>
  <c r="X1426"/>
  <c r="X1427"/>
  <c r="X1428"/>
  <c r="X1429"/>
  <c r="X1430"/>
  <c r="X1431"/>
  <c r="X1432"/>
  <c r="X1433"/>
  <c r="X1434"/>
  <c r="X1435"/>
  <c r="X1436"/>
  <c r="X1437"/>
  <c r="X1438"/>
  <c r="X1439"/>
  <c r="X1440"/>
  <c r="X1441"/>
  <c r="X1442"/>
  <c r="X1443"/>
  <c r="X1444"/>
  <c r="X1445"/>
  <c r="X1446"/>
  <c r="X1447"/>
  <c r="X1448"/>
  <c r="X1449"/>
  <c r="X1450"/>
  <c r="X1451"/>
  <c r="X1452"/>
  <c r="X1453"/>
  <c r="X1454"/>
  <c r="X1455"/>
  <c r="X1456"/>
  <c r="X1457"/>
  <c r="X1458"/>
  <c r="X1459"/>
  <c r="X1460"/>
  <c r="X1461"/>
  <c r="X1462"/>
  <c r="X1463"/>
  <c r="X1464"/>
  <c r="X1465"/>
  <c r="X1466"/>
  <c r="X1467"/>
  <c r="X1468"/>
  <c r="X1469"/>
  <c r="X1470"/>
  <c r="X1471"/>
  <c r="X1472"/>
  <c r="X1473"/>
  <c r="X1474"/>
  <c r="X1475"/>
  <c r="X1476"/>
  <c r="X1477"/>
  <c r="X1478"/>
  <c r="X1479"/>
  <c r="X1480"/>
  <c r="X1481"/>
  <c r="X1482"/>
  <c r="X1483"/>
  <c r="X1484"/>
  <c r="X1485"/>
  <c r="X1486"/>
  <c r="X1487"/>
  <c r="X1488"/>
  <c r="X1489"/>
  <c r="X1490"/>
  <c r="X1491"/>
  <c r="X1492"/>
  <c r="X1493"/>
  <c r="X1494"/>
  <c r="X1495"/>
  <c r="X1496"/>
  <c r="X1497"/>
  <c r="X1498"/>
  <c r="X1499"/>
  <c r="X1500"/>
  <c r="X1501"/>
  <c r="X1502"/>
  <c r="X1503"/>
  <c r="X1504"/>
  <c r="X1505"/>
  <c r="X1506"/>
  <c r="X1507"/>
  <c r="X1508"/>
  <c r="X1509"/>
  <c r="X1510"/>
  <c r="X1511"/>
  <c r="X1512"/>
  <c r="X1513"/>
  <c r="X1514"/>
  <c r="X1515"/>
  <c r="X1516"/>
  <c r="X1517"/>
  <c r="X1518"/>
  <c r="X1519"/>
  <c r="X1520"/>
  <c r="X1521"/>
  <c r="X1522"/>
  <c r="X1523"/>
  <c r="X1524"/>
  <c r="X1525"/>
  <c r="X1526"/>
  <c r="X1527"/>
  <c r="X1528"/>
  <c r="X1529"/>
  <c r="X1530"/>
  <c r="X1531"/>
  <c r="X1532"/>
  <c r="X1533"/>
  <c r="X1534"/>
  <c r="X1535"/>
  <c r="X1536"/>
  <c r="X1537"/>
  <c r="X1538"/>
  <c r="X1539"/>
  <c r="X1540"/>
  <c r="X1541"/>
  <c r="X1542"/>
  <c r="X1543"/>
  <c r="X1544"/>
  <c r="X1545"/>
  <c r="X1546"/>
  <c r="X1547"/>
  <c r="X1548"/>
  <c r="X1549"/>
  <c r="X1550"/>
  <c r="X1551"/>
  <c r="X1552"/>
  <c r="X1553"/>
  <c r="X1554"/>
  <c r="X1555"/>
  <c r="X1556"/>
  <c r="X1557"/>
  <c r="X1558"/>
  <c r="X1559"/>
  <c r="X1560"/>
  <c r="X1561"/>
  <c r="X1562"/>
  <c r="X1563"/>
  <c r="X1564"/>
  <c r="X1565"/>
  <c r="X1566"/>
  <c r="X1567"/>
  <c r="X1568"/>
  <c r="X1569"/>
  <c r="X1570"/>
  <c r="X1571"/>
  <c r="X1572"/>
  <c r="X1573"/>
  <c r="X1574"/>
  <c r="X1575"/>
  <c r="X1576"/>
  <c r="X1577"/>
  <c r="X1578"/>
  <c r="X1579"/>
  <c r="X1580"/>
  <c r="X1581"/>
  <c r="X1582"/>
  <c r="X1583"/>
  <c r="X1584"/>
  <c r="X1585"/>
  <c r="X1586"/>
  <c r="X1587"/>
  <c r="X1588"/>
  <c r="X1589"/>
  <c r="X1590"/>
  <c r="X1591"/>
  <c r="X1592"/>
  <c r="X1593"/>
  <c r="X1594"/>
  <c r="X1595"/>
  <c r="X1596"/>
  <c r="X1597"/>
  <c r="X1598"/>
  <c r="X1599"/>
  <c r="X1600"/>
  <c r="X1601"/>
  <c r="X1602"/>
  <c r="X1603"/>
  <c r="X1604"/>
  <c r="X1605"/>
  <c r="X1606"/>
  <c r="X1607"/>
  <c r="X1608"/>
  <c r="X1609"/>
  <c r="X1610"/>
  <c r="X1611"/>
  <c r="X1612"/>
  <c r="X1613"/>
  <c r="X1614"/>
  <c r="X1615"/>
  <c r="X1616"/>
  <c r="X1617"/>
  <c r="X1618"/>
  <c r="X1619"/>
  <c r="X1620"/>
  <c r="X1621"/>
  <c r="X11"/>
  <c r="X1622"/>
  <c r="X1623"/>
  <c r="X1624"/>
  <c r="X1625"/>
  <c r="X1626"/>
  <c r="X1627"/>
  <c r="X1628"/>
  <c r="X1629"/>
  <c r="X1630"/>
  <c r="X1631"/>
  <c r="X1632"/>
  <c r="X1633"/>
  <c r="X1634"/>
  <c r="X1635"/>
  <c r="X1636"/>
  <c r="X1637"/>
  <c r="X1638"/>
  <c r="X1639"/>
  <c r="X1640"/>
  <c r="X1641"/>
  <c r="X1642"/>
  <c r="X1643"/>
  <c r="X1644"/>
  <c r="X1645"/>
  <c r="X1646"/>
  <c r="X1647"/>
  <c r="X1648"/>
  <c r="X1649"/>
  <c r="X1650"/>
  <c r="X1651"/>
  <c r="X1652"/>
  <c r="X1653"/>
  <c r="X1654"/>
  <c r="X1655"/>
  <c r="X1656"/>
  <c r="X1657"/>
  <c r="X1658"/>
  <c r="X1659"/>
  <c r="X1660"/>
  <c r="X1661"/>
  <c r="X1662"/>
  <c r="X1663"/>
  <c r="X1664"/>
  <c r="X1665"/>
  <c r="X1666"/>
  <c r="X1667"/>
  <c r="X1668"/>
  <c r="X1669"/>
  <c r="X1670"/>
  <c r="X1671"/>
  <c r="X1672"/>
  <c r="X1673"/>
  <c r="X1674"/>
  <c r="X1675"/>
  <c r="X1676"/>
  <c r="X1677"/>
  <c r="X1678"/>
  <c r="X1679"/>
  <c r="X1680"/>
  <c r="X1681"/>
  <c r="X1682"/>
  <c r="X1683"/>
  <c r="X1684"/>
  <c r="X1685"/>
  <c r="X1686"/>
  <c r="X1687"/>
  <c r="X1688"/>
  <c r="X1689"/>
  <c r="X1690"/>
  <c r="X1691"/>
  <c r="X1692"/>
  <c r="X1693"/>
  <c r="X1694"/>
  <c r="X1695"/>
  <c r="X1696"/>
  <c r="X1697"/>
  <c r="X1698"/>
  <c r="X1699"/>
  <c r="X1700"/>
  <c r="X1701"/>
  <c r="X1702"/>
  <c r="X1703"/>
  <c r="X1704"/>
  <c r="X1705"/>
  <c r="X1706"/>
  <c r="X1707"/>
  <c r="X1708"/>
  <c r="X1709"/>
  <c r="X1710"/>
  <c r="X1711"/>
  <c r="X1712"/>
  <c r="X1713"/>
  <c r="X1714"/>
  <c r="X1715"/>
  <c r="X1716"/>
  <c r="X1717"/>
  <c r="X1718"/>
  <c r="X1719"/>
  <c r="X1720"/>
  <c r="X1721"/>
  <c r="X1722"/>
  <c r="X1723"/>
  <c r="X1724"/>
  <c r="X1725"/>
  <c r="X1726"/>
  <c r="X1727"/>
  <c r="X1728"/>
  <c r="X1729"/>
  <c r="X1730"/>
  <c r="X1731"/>
  <c r="X7"/>
  <c r="X1732"/>
  <c r="X1733"/>
  <c r="X1734"/>
  <c r="X1735"/>
  <c r="X1736"/>
  <c r="X1737"/>
  <c r="X1738"/>
  <c r="X1739"/>
  <c r="X1740"/>
  <c r="X1741"/>
  <c r="X1742"/>
  <c r="X1743"/>
  <c r="X1744"/>
  <c r="X1745"/>
  <c r="X1746"/>
  <c r="X1747"/>
  <c r="X1748"/>
  <c r="X1749"/>
  <c r="X1750"/>
  <c r="X1751"/>
  <c r="X1752"/>
  <c r="X1753"/>
  <c r="X1754"/>
  <c r="X1755"/>
  <c r="X1756"/>
  <c r="X1757"/>
  <c r="X1758"/>
  <c r="X1759"/>
  <c r="X1760"/>
  <c r="X1761"/>
  <c r="X1762"/>
  <c r="X1763"/>
  <c r="X1764"/>
  <c r="X1765"/>
  <c r="X1766"/>
  <c r="X1767"/>
  <c r="X1768"/>
  <c r="X1769"/>
  <c r="X1770"/>
  <c r="X1771"/>
  <c r="X1772"/>
  <c r="X1773"/>
  <c r="X1774"/>
  <c r="X1775"/>
  <c r="X1776"/>
  <c r="X1777"/>
  <c r="X1778"/>
  <c r="X1779"/>
  <c r="X1780"/>
  <c r="X1781"/>
  <c r="X1782"/>
  <c r="X1783"/>
  <c r="X1784"/>
  <c r="X1785"/>
  <c r="X1786"/>
  <c r="X1787"/>
  <c r="X1788"/>
  <c r="X1789"/>
  <c r="X1790"/>
  <c r="X1791"/>
  <c r="X1792"/>
  <c r="X1793"/>
  <c r="X1794"/>
  <c r="X1795"/>
  <c r="X1796"/>
  <c r="X1797"/>
  <c r="X1798"/>
  <c r="X1799"/>
  <c r="X1800"/>
  <c r="X1801"/>
  <c r="X1802"/>
  <c r="X1803"/>
  <c r="X1804"/>
  <c r="X1805"/>
  <c r="X1806"/>
  <c r="X1807"/>
  <c r="X1808"/>
  <c r="X1809"/>
  <c r="X1810"/>
  <c r="X1811"/>
  <c r="X1812"/>
  <c r="X1813"/>
  <c r="X1814"/>
  <c r="X1815"/>
  <c r="X1816"/>
  <c r="X1817"/>
  <c r="X1818"/>
  <c r="X1819"/>
  <c r="X1820"/>
  <c r="X1821"/>
  <c r="X1822"/>
  <c r="X1823"/>
  <c r="X1824"/>
  <c r="X1825"/>
  <c r="X1826"/>
  <c r="X1827"/>
  <c r="X1828"/>
  <c r="X1829"/>
  <c r="X1830"/>
  <c r="X1831"/>
  <c r="X1832"/>
  <c r="X1833"/>
  <c r="X1834"/>
  <c r="X1835"/>
  <c r="X1836"/>
  <c r="X1837"/>
  <c r="X1838"/>
  <c r="X1839"/>
  <c r="X1840"/>
  <c r="X1841"/>
  <c r="X8"/>
  <c r="X1842"/>
  <c r="X1843"/>
  <c r="X1844"/>
  <c r="X1845"/>
  <c r="X1846"/>
  <c r="X1847"/>
  <c r="X1848"/>
  <c r="X1849"/>
  <c r="X1850"/>
  <c r="X1851"/>
  <c r="X1852"/>
  <c r="X1853"/>
  <c r="X1854"/>
  <c r="X1855"/>
  <c r="X1856"/>
  <c r="X1857"/>
  <c r="X1858"/>
  <c r="X12"/>
  <c r="X1859"/>
  <c r="X1860"/>
  <c r="X1861"/>
  <c r="X1862"/>
  <c r="X1863"/>
  <c r="X1864"/>
  <c r="X1865"/>
  <c r="X1866"/>
  <c r="X1867"/>
  <c r="X1868"/>
  <c r="X1869"/>
  <c r="X1870"/>
  <c r="X1871"/>
  <c r="X1872"/>
  <c r="X1873"/>
  <c r="X1874"/>
  <c r="X1875"/>
  <c r="X1876"/>
  <c r="X1877"/>
  <c r="X1878"/>
  <c r="X1879"/>
  <c r="X1880"/>
  <c r="X1881"/>
  <c r="X1882"/>
  <c r="X1883"/>
  <c r="X1884"/>
  <c r="X1885"/>
  <c r="X1886"/>
  <c r="X1887"/>
  <c r="X1888"/>
  <c r="X1889"/>
  <c r="X1890"/>
  <c r="X1891"/>
  <c r="X1892"/>
  <c r="X1893"/>
  <c r="X1894"/>
  <c r="X1895"/>
  <c r="X1896"/>
  <c r="X1897"/>
  <c r="X1898"/>
  <c r="X1899"/>
  <c r="X1900"/>
  <c r="X1901"/>
  <c r="X1902"/>
  <c r="X1903"/>
  <c r="X1904"/>
  <c r="X1905"/>
  <c r="X1906"/>
  <c r="X1907"/>
  <c r="X1908"/>
  <c r="X1909"/>
  <c r="X1910"/>
  <c r="X1911"/>
  <c r="X1912"/>
  <c r="X1913"/>
  <c r="X1914"/>
  <c r="X1915"/>
  <c r="X1916"/>
  <c r="X1917"/>
  <c r="X1918"/>
  <c r="X1919"/>
  <c r="X1920"/>
  <c r="X1921"/>
  <c r="X1922"/>
  <c r="X1923"/>
  <c r="X1924"/>
  <c r="X1925"/>
  <c r="X1926"/>
  <c r="X1927"/>
  <c r="X1928"/>
  <c r="X1929"/>
  <c r="X16"/>
  <c r="X1930"/>
  <c r="X1931"/>
  <c r="X1932"/>
  <c r="X1933"/>
  <c r="X1934"/>
  <c r="X1935"/>
  <c r="X1936"/>
  <c r="X1937"/>
  <c r="X1938"/>
  <c r="X1939"/>
  <c r="X1940"/>
  <c r="X5"/>
  <c r="X1941"/>
  <c r="X1942"/>
  <c r="X1943"/>
  <c r="X1944"/>
  <c r="X1945"/>
  <c r="X1946"/>
  <c r="X1947"/>
  <c r="X1948"/>
  <c r="X1949"/>
  <c r="X1950"/>
  <c r="X1951"/>
  <c r="X1952"/>
  <c r="X1953"/>
  <c r="X1954"/>
  <c r="X1955"/>
  <c r="X1956"/>
  <c r="X1957"/>
  <c r="X1958"/>
  <c r="X1959"/>
  <c r="X1960"/>
  <c r="X1961"/>
  <c r="X1962"/>
  <c r="X1963"/>
  <c r="X1964"/>
  <c r="X1965"/>
  <c r="X1966"/>
  <c r="X1967"/>
  <c r="X1968"/>
  <c r="X1969"/>
  <c r="X1970"/>
  <c r="X1971"/>
  <c r="X1972"/>
  <c r="X1973"/>
  <c r="X1974"/>
  <c r="X1975"/>
  <c r="X1976"/>
  <c r="X1977"/>
  <c r="X1978"/>
  <c r="X1979"/>
  <c r="X1980"/>
  <c r="X1981"/>
  <c r="X1982"/>
  <c r="X1983"/>
  <c r="X1984"/>
  <c r="X1985"/>
  <c r="X1986"/>
  <c r="X1987"/>
  <c r="X1988"/>
  <c r="X1989"/>
  <c r="X1990"/>
  <c r="X1991"/>
  <c r="X1992"/>
  <c r="X1993"/>
  <c r="X1994"/>
  <c r="X1995"/>
  <c r="X1996"/>
  <c r="X1997"/>
  <c r="X1998"/>
  <c r="X1999"/>
  <c r="X2000"/>
  <c r="X2001"/>
  <c r="X2002"/>
  <c r="X2003"/>
  <c r="X2004"/>
  <c r="X2005"/>
  <c r="X2006"/>
  <c r="X2007"/>
  <c r="X2008"/>
  <c r="X2009"/>
  <c r="X2010"/>
  <c r="X2011"/>
  <c r="X2012"/>
  <c r="X2013"/>
  <c r="X2014"/>
  <c r="X2015"/>
  <c r="X2016"/>
  <c r="X2017"/>
  <c r="X2018"/>
  <c r="X2019"/>
  <c r="X2020"/>
  <c r="X2021"/>
  <c r="X2022"/>
  <c r="X2023"/>
  <c r="X2024"/>
  <c r="X2025"/>
  <c r="X2026"/>
  <c r="X2027"/>
  <c r="X2028"/>
  <c r="X2029"/>
  <c r="X2030"/>
  <c r="X2031"/>
  <c r="X2032"/>
  <c r="X2033"/>
  <c r="X2034"/>
  <c r="X2035"/>
  <c r="X2036"/>
  <c r="X2037"/>
  <c r="X2038"/>
  <c r="X2039"/>
  <c r="X2040"/>
  <c r="X2041"/>
  <c r="X2042"/>
  <c r="X2043"/>
  <c r="X2044"/>
  <c r="X2045"/>
  <c r="X2046"/>
  <c r="X2047"/>
  <c r="X2048"/>
  <c r="X2049"/>
  <c r="X2050"/>
  <c r="X2051"/>
  <c r="X2052"/>
  <c r="X2053"/>
  <c r="X2054"/>
  <c r="X2055"/>
  <c r="X2056"/>
  <c r="X2057"/>
  <c r="X2058"/>
  <c r="X2059"/>
  <c r="X2060"/>
  <c r="X2061"/>
  <c r="X2062"/>
  <c r="X2063"/>
  <c r="X2064"/>
  <c r="X2065"/>
  <c r="X2066"/>
  <c r="X2067"/>
  <c r="X2068"/>
  <c r="X2069"/>
  <c r="X2070"/>
  <c r="X2071"/>
  <c r="X2072"/>
  <c r="X2073"/>
  <c r="X2074"/>
  <c r="X2075"/>
  <c r="X2076"/>
  <c r="X2077"/>
  <c r="X2078"/>
  <c r="X2079"/>
  <c r="X2080"/>
  <c r="X2081"/>
  <c r="X2082"/>
  <c r="X2083"/>
  <c r="X2084"/>
  <c r="X2085"/>
  <c r="X10"/>
  <c r="X2086"/>
  <c r="X2087"/>
  <c r="X2088"/>
  <c r="X2089"/>
  <c r="X2090"/>
  <c r="X2091"/>
  <c r="X2092"/>
  <c r="X2093"/>
  <c r="X2094"/>
  <c r="X2095"/>
  <c r="X2096"/>
  <c r="X2097"/>
  <c r="X2098"/>
  <c r="X2099"/>
  <c r="X2100"/>
  <c r="X2101"/>
  <c r="X2102"/>
  <c r="X2103"/>
  <c r="X2104"/>
  <c r="X2105"/>
  <c r="X2106"/>
  <c r="X2107"/>
  <c r="X2108"/>
  <c r="X2109"/>
  <c r="X2110"/>
  <c r="X2111"/>
  <c r="X2112"/>
  <c r="X2113"/>
  <c r="X2114"/>
  <c r="X2115"/>
  <c r="X2116"/>
  <c r="X2117"/>
  <c r="X2118"/>
  <c r="X2119"/>
  <c r="X2120"/>
  <c r="X2121"/>
  <c r="X2122"/>
  <c r="X2123"/>
  <c r="X2124"/>
  <c r="X2125"/>
  <c r="X2126"/>
  <c r="X2127"/>
  <c r="X2128"/>
  <c r="X2129"/>
  <c r="X2130"/>
  <c r="X2131"/>
  <c r="X2132"/>
  <c r="X2133"/>
  <c r="X2134"/>
  <c r="X2135"/>
  <c r="X2136"/>
  <c r="X2137"/>
  <c r="X2138"/>
  <c r="X2139"/>
  <c r="X2140"/>
  <c r="X2141"/>
  <c r="X2142"/>
  <c r="X2143"/>
  <c r="X2144"/>
  <c r="X2145"/>
  <c r="X2146"/>
  <c r="X2147"/>
  <c r="X2148"/>
  <c r="X2149"/>
  <c r="X2150"/>
  <c r="X2151"/>
  <c r="X2152"/>
  <c r="X2153"/>
  <c r="X2154"/>
  <c r="X2155"/>
  <c r="X2156"/>
  <c r="X2157"/>
  <c r="X2158"/>
  <c r="X2159"/>
  <c r="X2160"/>
  <c r="X2161"/>
  <c r="X2162"/>
  <c r="X2163"/>
  <c r="X2164"/>
  <c r="X2165"/>
  <c r="X2166"/>
  <c r="X2167"/>
  <c r="X2168"/>
  <c r="Y49"/>
  <c r="Y1888"/>
  <c r="Y1910"/>
  <c r="Z629"/>
  <c r="Z1447"/>
  <c r="Z1448"/>
  <c r="Z1953"/>
  <c r="Z1954"/>
  <c r="AC47"/>
  <c r="AC48"/>
  <c r="AC49"/>
  <c r="AC50"/>
  <c r="AC51"/>
  <c r="AC52"/>
  <c r="AC53"/>
  <c r="AC54"/>
  <c r="AC55"/>
  <c r="AC56"/>
  <c r="AC57"/>
  <c r="AC58"/>
  <c r="AC59"/>
  <c r="AC60"/>
  <c r="AC61"/>
  <c r="AC62"/>
  <c r="AC63"/>
  <c r="AC64"/>
  <c r="AC65"/>
  <c r="AC66"/>
  <c r="AC67"/>
  <c r="AC68"/>
  <c r="AC69"/>
  <c r="AC70"/>
  <c r="AC71"/>
  <c r="AC72"/>
  <c r="AC73"/>
  <c r="AC74"/>
  <c r="AC75"/>
  <c r="AC76"/>
  <c r="AC9"/>
  <c r="AC77"/>
  <c r="AC78"/>
  <c r="AC79"/>
  <c r="AC80"/>
  <c r="AC81"/>
  <c r="AC15"/>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163"/>
  <c r="AC164"/>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29"/>
  <c r="AC230"/>
  <c r="AC231"/>
  <c r="AC232"/>
  <c r="AC233"/>
  <c r="AC234"/>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4"/>
  <c r="AC295"/>
  <c r="AC296"/>
  <c r="AC297"/>
  <c r="AC298"/>
  <c r="AC299"/>
  <c r="AC300"/>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4"/>
  <c r="AC345"/>
  <c r="AC346"/>
  <c r="AC347"/>
  <c r="AC348"/>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18"/>
  <c r="AC419"/>
  <c r="AC420"/>
  <c r="AC421"/>
  <c r="AC422"/>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3"/>
  <c r="AC484"/>
  <c r="AC485"/>
  <c r="AC486"/>
  <c r="AC487"/>
  <c r="AC488"/>
  <c r="AC489"/>
  <c r="AC490"/>
  <c r="AC491"/>
  <c r="AC492"/>
  <c r="AC493"/>
  <c r="AC494"/>
  <c r="AC495"/>
  <c r="AC496"/>
  <c r="AC497"/>
  <c r="AC498"/>
  <c r="AC499"/>
  <c r="AC500"/>
  <c r="AC501"/>
  <c r="AC502"/>
  <c r="AC503"/>
  <c r="AC504"/>
  <c r="AC505"/>
  <c r="AC506"/>
  <c r="AC507"/>
  <c r="AC508"/>
  <c r="AC509"/>
  <c r="AC510"/>
  <c r="AC511"/>
  <c r="AC512"/>
  <c r="AC513"/>
  <c r="AC514"/>
  <c r="AC515"/>
  <c r="AC516"/>
  <c r="AC517"/>
  <c r="AC518"/>
  <c r="AC519"/>
  <c r="AC520"/>
  <c r="AC521"/>
  <c r="AC522"/>
  <c r="AC523"/>
  <c r="AC524"/>
  <c r="AC525"/>
  <c r="AC526"/>
  <c r="AC527"/>
  <c r="AC528"/>
  <c r="AC529"/>
  <c r="AC530"/>
  <c r="AC531"/>
  <c r="AC532"/>
  <c r="AC533"/>
  <c r="AC534"/>
  <c r="AC535"/>
  <c r="AC536"/>
  <c r="AC537"/>
  <c r="AC538"/>
  <c r="AC539"/>
  <c r="AC540"/>
  <c r="AC541"/>
  <c r="AC542"/>
  <c r="AC543"/>
  <c r="AC544"/>
  <c r="AC545"/>
  <c r="AC546"/>
  <c r="AC547"/>
  <c r="AC548"/>
  <c r="AC549"/>
  <c r="AC550"/>
  <c r="AC551"/>
  <c r="AC552"/>
  <c r="AC553"/>
  <c r="AC554"/>
  <c r="AC555"/>
  <c r="AC556"/>
  <c r="AC557"/>
  <c r="AC558"/>
  <c r="AC559"/>
  <c r="AC560"/>
  <c r="AC561"/>
  <c r="AC562"/>
  <c r="AC563"/>
  <c r="AC564"/>
  <c r="AC565"/>
  <c r="AC566"/>
  <c r="AC567"/>
  <c r="AC568"/>
  <c r="AC569"/>
  <c r="AC570"/>
  <c r="AC571"/>
  <c r="AC572"/>
  <c r="AC573"/>
  <c r="AC574"/>
  <c r="AC575"/>
  <c r="AC576"/>
  <c r="AC577"/>
  <c r="AC578"/>
  <c r="AC579"/>
  <c r="AC580"/>
  <c r="AC581"/>
  <c r="AC582"/>
  <c r="AC583"/>
  <c r="AC584"/>
  <c r="AC585"/>
  <c r="AC586"/>
  <c r="AC587"/>
  <c r="AC588"/>
  <c r="AC589"/>
  <c r="AC590"/>
  <c r="AC591"/>
  <c r="AC592"/>
  <c r="AC593"/>
  <c r="AC594"/>
  <c r="AC595"/>
  <c r="AC596"/>
  <c r="AC597"/>
  <c r="AC598"/>
  <c r="AC599"/>
  <c r="AC600"/>
  <c r="AC601"/>
  <c r="AC602"/>
  <c r="AC603"/>
  <c r="AC604"/>
  <c r="AC605"/>
  <c r="AC606"/>
  <c r="AC607"/>
  <c r="AC608"/>
  <c r="AC609"/>
  <c r="AC610"/>
  <c r="AC611"/>
  <c r="AC612"/>
  <c r="AC613"/>
  <c r="AC614"/>
  <c r="AC615"/>
  <c r="AC616"/>
  <c r="AC617"/>
  <c r="AC618"/>
  <c r="AC619"/>
  <c r="AC620"/>
  <c r="AC621"/>
  <c r="AC622"/>
  <c r="AC623"/>
  <c r="AC624"/>
  <c r="AC625"/>
  <c r="AC626"/>
  <c r="AC627"/>
  <c r="AC628"/>
  <c r="AC629"/>
  <c r="AC630"/>
  <c r="AC631"/>
  <c r="AC632"/>
  <c r="AC633"/>
  <c r="AC634"/>
  <c r="AC635"/>
  <c r="AC636"/>
  <c r="AC637"/>
  <c r="AC638"/>
  <c r="AC639"/>
  <c r="AC640"/>
  <c r="AC641"/>
  <c r="AC642"/>
  <c r="AC643"/>
  <c r="AC644"/>
  <c r="AC645"/>
  <c r="AC646"/>
  <c r="AC647"/>
  <c r="AC648"/>
  <c r="AC649"/>
  <c r="AC650"/>
  <c r="AC651"/>
  <c r="AC652"/>
  <c r="AC653"/>
  <c r="AC654"/>
  <c r="AC655"/>
  <c r="AC656"/>
  <c r="AC657"/>
  <c r="AC658"/>
  <c r="AC659"/>
  <c r="AC660"/>
  <c r="AC661"/>
  <c r="AC662"/>
  <c r="AC663"/>
  <c r="AC664"/>
  <c r="AC665"/>
  <c r="AC666"/>
  <c r="AC667"/>
  <c r="AC668"/>
  <c r="AC669"/>
  <c r="AC670"/>
  <c r="AC671"/>
  <c r="AC672"/>
  <c r="AC673"/>
  <c r="AC674"/>
  <c r="AC675"/>
  <c r="AC676"/>
  <c r="AC677"/>
  <c r="AC678"/>
  <c r="AC679"/>
  <c r="AC680"/>
  <c r="AC681"/>
  <c r="AC682"/>
  <c r="AC683"/>
  <c r="AC684"/>
  <c r="AC685"/>
  <c r="AC686"/>
  <c r="AC687"/>
  <c r="AC688"/>
  <c r="AC689"/>
  <c r="AC690"/>
  <c r="AC691"/>
  <c r="AC692"/>
  <c r="AC693"/>
  <c r="AC694"/>
  <c r="AC695"/>
  <c r="AC696"/>
  <c r="AC697"/>
  <c r="AC698"/>
  <c r="AC699"/>
  <c r="AC700"/>
  <c r="AC701"/>
  <c r="AC702"/>
  <c r="AC703"/>
  <c r="AC704"/>
  <c r="AC705"/>
  <c r="AC706"/>
  <c r="AC707"/>
  <c r="AC708"/>
  <c r="AC709"/>
  <c r="AC710"/>
  <c r="AC711"/>
  <c r="AC712"/>
  <c r="AC713"/>
  <c r="AC714"/>
  <c r="AC715"/>
  <c r="AC716"/>
  <c r="AC717"/>
  <c r="AC718"/>
  <c r="AC719"/>
  <c r="AC720"/>
  <c r="AC721"/>
  <c r="AC722"/>
  <c r="AC723"/>
  <c r="AC724"/>
  <c r="AC725"/>
  <c r="AC726"/>
  <c r="AC14"/>
  <c r="AC727"/>
  <c r="AC728"/>
  <c r="AC729"/>
  <c r="AC730"/>
  <c r="AC731"/>
  <c r="AC732"/>
  <c r="AC733"/>
  <c r="AC734"/>
  <c r="AC735"/>
  <c r="AC736"/>
  <c r="AC737"/>
  <c r="AC738"/>
  <c r="AC739"/>
  <c r="AC740"/>
  <c r="AC741"/>
  <c r="AC742"/>
  <c r="AC743"/>
  <c r="AC744"/>
  <c r="AC745"/>
  <c r="AC746"/>
  <c r="AC747"/>
  <c r="AC748"/>
  <c r="AC749"/>
  <c r="AC750"/>
  <c r="AC751"/>
  <c r="AC752"/>
  <c r="AC753"/>
  <c r="AC754"/>
  <c r="AC755"/>
  <c r="AC756"/>
  <c r="AC757"/>
  <c r="AC758"/>
  <c r="AC759"/>
  <c r="AC760"/>
  <c r="AC761"/>
  <c r="AC762"/>
  <c r="AC763"/>
  <c r="AC764"/>
  <c r="AC765"/>
  <c r="AC766"/>
  <c r="AC767"/>
  <c r="AC768"/>
  <c r="AC769"/>
  <c r="AC770"/>
  <c r="AC771"/>
  <c r="AC772"/>
  <c r="AC773"/>
  <c r="AC774"/>
  <c r="AC775"/>
  <c r="AC776"/>
  <c r="AC777"/>
  <c r="AC778"/>
  <c r="AC779"/>
  <c r="AC780"/>
  <c r="AC781"/>
  <c r="AC782"/>
  <c r="AC783"/>
  <c r="AC784"/>
  <c r="AC785"/>
  <c r="AC786"/>
  <c r="AC787"/>
  <c r="AC788"/>
  <c r="AC789"/>
  <c r="AC790"/>
  <c r="AC791"/>
  <c r="AC792"/>
  <c r="AC793"/>
  <c r="AC794"/>
  <c r="AC795"/>
  <c r="AC796"/>
  <c r="AC797"/>
  <c r="AC798"/>
  <c r="AC799"/>
  <c r="AC800"/>
  <c r="AC801"/>
  <c r="AC802"/>
  <c r="AC803"/>
  <c r="AC804"/>
  <c r="AC805"/>
  <c r="AC806"/>
  <c r="AC807"/>
  <c r="AC808"/>
  <c r="AC809"/>
  <c r="AC810"/>
  <c r="AC811"/>
  <c r="AC812"/>
  <c r="AC813"/>
  <c r="AC814"/>
  <c r="AC815"/>
  <c r="AC816"/>
  <c r="AC817"/>
  <c r="AC818"/>
  <c r="AC819"/>
  <c r="AC820"/>
  <c r="AC821"/>
  <c r="AC822"/>
  <c r="AC823"/>
  <c r="AC824"/>
  <c r="AC825"/>
  <c r="AC826"/>
  <c r="AC827"/>
  <c r="AC828"/>
  <c r="AC829"/>
  <c r="AC830"/>
  <c r="AC831"/>
  <c r="AC832"/>
  <c r="AC833"/>
  <c r="AC834"/>
  <c r="AC835"/>
  <c r="AC836"/>
  <c r="AC837"/>
  <c r="AC838"/>
  <c r="AC839"/>
  <c r="AC840"/>
  <c r="AC841"/>
  <c r="AC842"/>
  <c r="AC843"/>
  <c r="AC844"/>
  <c r="AC845"/>
  <c r="AC846"/>
  <c r="AC847"/>
  <c r="AC848"/>
  <c r="AC849"/>
  <c r="AC850"/>
  <c r="AC851"/>
  <c r="AC852"/>
  <c r="AC853"/>
  <c r="AC854"/>
  <c r="AC855"/>
  <c r="AC856"/>
  <c r="AC857"/>
  <c r="AC858"/>
  <c r="AC859"/>
  <c r="AC860"/>
  <c r="AC861"/>
  <c r="AC862"/>
  <c r="AC863"/>
  <c r="AC864"/>
  <c r="AC865"/>
  <c r="AC866"/>
  <c r="AC867"/>
  <c r="AC868"/>
  <c r="AC869"/>
  <c r="AC870"/>
  <c r="AC871"/>
  <c r="AC872"/>
  <c r="AC873"/>
  <c r="AC874"/>
  <c r="AC875"/>
  <c r="AC876"/>
  <c r="AC877"/>
  <c r="AC878"/>
  <c r="AC879"/>
  <c r="AC880"/>
  <c r="AC881"/>
  <c r="AC882"/>
  <c r="AC883"/>
  <c r="AC884"/>
  <c r="AC885"/>
  <c r="AC886"/>
  <c r="AC887"/>
  <c r="AC888"/>
  <c r="AC889"/>
  <c r="AC890"/>
  <c r="AC891"/>
  <c r="AC892"/>
  <c r="AC893"/>
  <c r="AC894"/>
  <c r="AC895"/>
  <c r="AC896"/>
  <c r="AC897"/>
  <c r="AC898"/>
  <c r="AC899"/>
  <c r="AC900"/>
  <c r="AC901"/>
  <c r="AC902"/>
  <c r="AC903"/>
  <c r="AC904"/>
  <c r="AC905"/>
  <c r="AC906"/>
  <c r="AC907"/>
  <c r="AC908"/>
  <c r="AC909"/>
  <c r="AC910"/>
  <c r="AC911"/>
  <c r="AC912"/>
  <c r="AC913"/>
  <c r="AC914"/>
  <c r="AC915"/>
  <c r="AC916"/>
  <c r="AC917"/>
  <c r="AC918"/>
  <c r="AC919"/>
  <c r="AC920"/>
  <c r="AC921"/>
  <c r="AC922"/>
  <c r="AC923"/>
  <c r="AC924"/>
  <c r="AC925"/>
  <c r="AC926"/>
  <c r="AC927"/>
  <c r="AC928"/>
  <c r="AC929"/>
  <c r="AC930"/>
  <c r="AC931"/>
  <c r="AC932"/>
  <c r="AC933"/>
  <c r="AC934"/>
  <c r="AC935"/>
  <c r="AC936"/>
  <c r="AC937"/>
  <c r="AC938"/>
  <c r="AC939"/>
  <c r="AC940"/>
  <c r="AC941"/>
  <c r="AC942"/>
  <c r="AC943"/>
  <c r="AC944"/>
  <c r="AC945"/>
  <c r="AC946"/>
  <c r="AC947"/>
  <c r="AC948"/>
  <c r="AC949"/>
  <c r="AC950"/>
  <c r="AC951"/>
  <c r="AC952"/>
  <c r="AC953"/>
  <c r="AC954"/>
  <c r="AC955"/>
  <c r="AC956"/>
  <c r="AC957"/>
  <c r="AC958"/>
  <c r="AC959"/>
  <c r="AC960"/>
  <c r="AC961"/>
  <c r="AC962"/>
  <c r="AC963"/>
  <c r="AC964"/>
  <c r="AC965"/>
  <c r="AC966"/>
  <c r="AC967"/>
  <c r="AC968"/>
  <c r="AC969"/>
  <c r="AC970"/>
  <c r="AC971"/>
  <c r="AC972"/>
  <c r="AC973"/>
  <c r="AC6"/>
  <c r="AC974"/>
  <c r="AC975"/>
  <c r="AC976"/>
  <c r="AC977"/>
  <c r="AC978"/>
  <c r="AC979"/>
  <c r="AC980"/>
  <c r="AC981"/>
  <c r="AC982"/>
  <c r="AC983"/>
  <c r="AC984"/>
  <c r="AC985"/>
  <c r="AC986"/>
  <c r="AC987"/>
  <c r="AC988"/>
  <c r="AC989"/>
  <c r="AC990"/>
  <c r="AC991"/>
  <c r="AC992"/>
  <c r="AC993"/>
  <c r="AC994"/>
  <c r="AC995"/>
  <c r="AC996"/>
  <c r="AC997"/>
  <c r="AC998"/>
  <c r="AC999"/>
  <c r="AC1000"/>
  <c r="AC1001"/>
  <c r="AC1002"/>
  <c r="AC1003"/>
  <c r="AC1004"/>
  <c r="AC1005"/>
  <c r="AC1006"/>
  <c r="AC1007"/>
  <c r="AC1008"/>
  <c r="AC1009"/>
  <c r="AC1010"/>
  <c r="AC1011"/>
  <c r="AC1012"/>
  <c r="AC1013"/>
  <c r="AC1014"/>
  <c r="AC1015"/>
  <c r="AC1016"/>
  <c r="AC1017"/>
  <c r="AC1018"/>
  <c r="AC1019"/>
  <c r="AC1020"/>
  <c r="AC1021"/>
  <c r="AC1022"/>
  <c r="AC1023"/>
  <c r="AC1024"/>
  <c r="AC1025"/>
  <c r="AC1026"/>
  <c r="AC1027"/>
  <c r="AC1028"/>
  <c r="AC1029"/>
  <c r="AC1030"/>
  <c r="AC1031"/>
  <c r="AC1032"/>
  <c r="AC1033"/>
  <c r="AC1034"/>
  <c r="AC1035"/>
  <c r="AC1036"/>
  <c r="AC1037"/>
  <c r="AC1038"/>
  <c r="AC1039"/>
  <c r="AC1040"/>
  <c r="AC1041"/>
  <c r="AC1042"/>
  <c r="AC1043"/>
  <c r="AC1044"/>
  <c r="AC1045"/>
  <c r="AC1046"/>
  <c r="AC1047"/>
  <c r="AC1048"/>
  <c r="AC1049"/>
  <c r="AC1050"/>
  <c r="AC1051"/>
  <c r="AC1052"/>
  <c r="AC1053"/>
  <c r="AC1054"/>
  <c r="AC1055"/>
  <c r="AC1056"/>
  <c r="AC1057"/>
  <c r="AC1058"/>
  <c r="AC1059"/>
  <c r="AC1060"/>
  <c r="AC1061"/>
  <c r="AC1062"/>
  <c r="AC1063"/>
  <c r="AC1064"/>
  <c r="AC1065"/>
  <c r="AC1066"/>
  <c r="AC1067"/>
  <c r="AC1068"/>
  <c r="AC1069"/>
  <c r="AC1070"/>
  <c r="AC1071"/>
  <c r="AC1072"/>
  <c r="AC1073"/>
  <c r="AC1074"/>
  <c r="AC1075"/>
  <c r="AC1076"/>
  <c r="AC1077"/>
  <c r="AC1078"/>
  <c r="AC1079"/>
  <c r="AC1080"/>
  <c r="AC1081"/>
  <c r="AC1082"/>
  <c r="AC1083"/>
  <c r="AC1084"/>
  <c r="AC1085"/>
  <c r="AC1086"/>
  <c r="AC1087"/>
  <c r="AC1088"/>
  <c r="AC1089"/>
  <c r="AC1090"/>
  <c r="AC1091"/>
  <c r="AC1092"/>
  <c r="AC1093"/>
  <c r="AC1094"/>
  <c r="AC1095"/>
  <c r="AC1096"/>
  <c r="AC1097"/>
  <c r="AC1098"/>
  <c r="AC1099"/>
  <c r="AC1100"/>
  <c r="AC1101"/>
  <c r="AC1102"/>
  <c r="AC1103"/>
  <c r="AC1104"/>
  <c r="AC1105"/>
  <c r="AC1106"/>
  <c r="AC1107"/>
  <c r="AC1108"/>
  <c r="AC1109"/>
  <c r="AC1110"/>
  <c r="AC1111"/>
  <c r="AC1112"/>
  <c r="AC1113"/>
  <c r="AC1114"/>
  <c r="AC1115"/>
  <c r="AC1116"/>
  <c r="AC1117"/>
  <c r="AC1118"/>
  <c r="AC1119"/>
  <c r="AC1120"/>
  <c r="AC1121"/>
  <c r="AC1122"/>
  <c r="AC1123"/>
  <c r="AC1124"/>
  <c r="AC1125"/>
  <c r="AC1126"/>
  <c r="AC1127"/>
  <c r="AC1128"/>
  <c r="AC1129"/>
  <c r="AC1130"/>
  <c r="AC1131"/>
  <c r="AC1132"/>
  <c r="AC1133"/>
  <c r="AC1134"/>
  <c r="AC1135"/>
  <c r="AC1136"/>
  <c r="AC1137"/>
  <c r="AC1138"/>
  <c r="AC1139"/>
  <c r="AC1140"/>
  <c r="AC1141"/>
  <c r="AC1142"/>
  <c r="AC1143"/>
  <c r="AC1144"/>
  <c r="AC1145"/>
  <c r="AC1146"/>
  <c r="AC1147"/>
  <c r="AC1148"/>
  <c r="AC1149"/>
  <c r="AC1150"/>
  <c r="AC1151"/>
  <c r="AC1152"/>
  <c r="AC1153"/>
  <c r="AC1154"/>
  <c r="AC1155"/>
  <c r="AC1156"/>
  <c r="AC1157"/>
  <c r="AC1158"/>
  <c r="AC1159"/>
  <c r="AC1160"/>
  <c r="AC1161"/>
  <c r="AC1162"/>
  <c r="AC1163"/>
  <c r="AC1164"/>
  <c r="AC1165"/>
  <c r="AC1166"/>
  <c r="AC1167"/>
  <c r="AC1168"/>
  <c r="AC1169"/>
  <c r="AC1170"/>
  <c r="AC1171"/>
  <c r="AC1172"/>
  <c r="AC1173"/>
  <c r="AC1174"/>
  <c r="AC1175"/>
  <c r="AC1176"/>
  <c r="AC1177"/>
  <c r="AC1178"/>
  <c r="AC1179"/>
  <c r="AC1180"/>
  <c r="AC1181"/>
  <c r="AC1182"/>
  <c r="AC1183"/>
  <c r="AC1184"/>
  <c r="AC1185"/>
  <c r="AC1186"/>
  <c r="AC1187"/>
  <c r="AC1188"/>
  <c r="AC1189"/>
  <c r="AC1190"/>
  <c r="AC1191"/>
  <c r="AC1192"/>
  <c r="AC1193"/>
  <c r="AC1194"/>
  <c r="AC1195"/>
  <c r="AC1196"/>
  <c r="AC1197"/>
  <c r="AC1198"/>
  <c r="AC1199"/>
  <c r="AC1200"/>
  <c r="AC1201"/>
  <c r="AC1202"/>
  <c r="AC1203"/>
  <c r="AC1204"/>
  <c r="AC1205"/>
  <c r="AC1206"/>
  <c r="AC1207"/>
  <c r="AC1208"/>
  <c r="AC1209"/>
  <c r="AC1210"/>
  <c r="AC1211"/>
  <c r="AC1212"/>
  <c r="AC1213"/>
  <c r="AC1214"/>
  <c r="AC1215"/>
  <c r="AC1216"/>
  <c r="AC1217"/>
  <c r="AC1218"/>
  <c r="AC1219"/>
  <c r="AC1220"/>
  <c r="AC1221"/>
  <c r="AC1222"/>
  <c r="AC1223"/>
  <c r="AC1224"/>
  <c r="AC1225"/>
  <c r="AC1226"/>
  <c r="AC1227"/>
  <c r="AC1228"/>
  <c r="AC1229"/>
  <c r="AC1230"/>
  <c r="AC1231"/>
  <c r="AC1232"/>
  <c r="AC1233"/>
  <c r="AC1234"/>
  <c r="AC1235"/>
  <c r="AC1236"/>
  <c r="AC1237"/>
  <c r="AC1238"/>
  <c r="AC1239"/>
  <c r="AC1240"/>
  <c r="AC1241"/>
  <c r="AC1242"/>
  <c r="AC1243"/>
  <c r="AC1244"/>
  <c r="AC1245"/>
  <c r="AC1246"/>
  <c r="AC1247"/>
  <c r="AC1248"/>
  <c r="AC1249"/>
  <c r="AC1250"/>
  <c r="AC1251"/>
  <c r="AC1252"/>
  <c r="AC1253"/>
  <c r="AC1254"/>
  <c r="AC1255"/>
  <c r="AC1256"/>
  <c r="AC1257"/>
  <c r="AC1258"/>
  <c r="AC1259"/>
  <c r="AC1260"/>
  <c r="AC1261"/>
  <c r="AC1262"/>
  <c r="AC1263"/>
  <c r="AC1264"/>
  <c r="AC1265"/>
  <c r="AC1266"/>
  <c r="AC1267"/>
  <c r="AC1268"/>
  <c r="AC1269"/>
  <c r="AC1270"/>
  <c r="AC1271"/>
  <c r="AC1272"/>
  <c r="AC17"/>
  <c r="AC1273"/>
  <c r="AC1274"/>
  <c r="AC1275"/>
  <c r="AC1276"/>
  <c r="AC1277"/>
  <c r="AC1278"/>
  <c r="AC1279"/>
  <c r="AC1280"/>
  <c r="AC1281"/>
  <c r="AC1282"/>
  <c r="AC1283"/>
  <c r="AC1284"/>
  <c r="AC1285"/>
  <c r="AC1286"/>
  <c r="AC1287"/>
  <c r="AC1288"/>
  <c r="AC1289"/>
  <c r="AC1290"/>
  <c r="AC1291"/>
  <c r="AC1292"/>
  <c r="AC1293"/>
  <c r="AC1294"/>
  <c r="AC1295"/>
  <c r="AC1296"/>
  <c r="AC1297"/>
  <c r="AC1298"/>
  <c r="AC1299"/>
  <c r="AC1300"/>
  <c r="AC1301"/>
  <c r="AC1302"/>
  <c r="AC1303"/>
  <c r="AC1304"/>
  <c r="AC1305"/>
  <c r="AC1306"/>
  <c r="AC1307"/>
  <c r="AC1308"/>
  <c r="AC1309"/>
  <c r="AC1310"/>
  <c r="AC1311"/>
  <c r="AC1312"/>
  <c r="AC1313"/>
  <c r="AC1314"/>
  <c r="AC1315"/>
  <c r="AC1316"/>
  <c r="AC1317"/>
  <c r="AC1318"/>
  <c r="AC1319"/>
  <c r="AC1320"/>
  <c r="AC1321"/>
  <c r="AC1322"/>
  <c r="AC1323"/>
  <c r="AC1324"/>
  <c r="AC1325"/>
  <c r="AC1326"/>
  <c r="AC1327"/>
  <c r="AC1328"/>
  <c r="AC1329"/>
  <c r="AC1330"/>
  <c r="AC1331"/>
  <c r="AC1332"/>
  <c r="AC1333"/>
  <c r="AC1334"/>
  <c r="AC1335"/>
  <c r="AC1336"/>
  <c r="AC1337"/>
  <c r="AC1338"/>
  <c r="AC1339"/>
  <c r="AC1340"/>
  <c r="AC1341"/>
  <c r="AC1342"/>
  <c r="AC1343"/>
  <c r="AC1344"/>
  <c r="AC1345"/>
  <c r="AC1346"/>
  <c r="AC1347"/>
  <c r="AC1348"/>
  <c r="AC1349"/>
  <c r="AC1350"/>
  <c r="AC1351"/>
  <c r="AC1352"/>
  <c r="AC1353"/>
  <c r="AC1354"/>
  <c r="AC1355"/>
  <c r="AC1356"/>
  <c r="AC1357"/>
  <c r="AC1358"/>
  <c r="AC1359"/>
  <c r="AC1360"/>
  <c r="AC1361"/>
  <c r="AC1362"/>
  <c r="AC1363"/>
  <c r="AC1364"/>
  <c r="AC1365"/>
  <c r="AC1366"/>
  <c r="AC1367"/>
  <c r="AC1368"/>
  <c r="AC1369"/>
  <c r="AC1370"/>
  <c r="AC1371"/>
  <c r="AC1372"/>
  <c r="AC1373"/>
  <c r="AC1374"/>
  <c r="AC1375"/>
  <c r="AC1376"/>
  <c r="AC1377"/>
  <c r="AC1378"/>
  <c r="AC1379"/>
  <c r="AC1380"/>
  <c r="AC1381"/>
  <c r="AC1382"/>
  <c r="AC1383"/>
  <c r="AC1384"/>
  <c r="AC1385"/>
  <c r="AC1386"/>
  <c r="AC1387"/>
  <c r="AC1388"/>
  <c r="AC1389"/>
  <c r="AC1390"/>
  <c r="AC1391"/>
  <c r="AC1392"/>
  <c r="AC1393"/>
  <c r="AC1394"/>
  <c r="AC1395"/>
  <c r="AC1396"/>
  <c r="AC1397"/>
  <c r="AC1398"/>
  <c r="AC1399"/>
  <c r="AC1400"/>
  <c r="AC1401"/>
  <c r="AC1402"/>
  <c r="AC1403"/>
  <c r="AC1404"/>
  <c r="AC1405"/>
  <c r="AC1406"/>
  <c r="AC1407"/>
  <c r="AC1408"/>
  <c r="AC1409"/>
  <c r="AC1410"/>
  <c r="AC1411"/>
  <c r="AC1412"/>
  <c r="AC1413"/>
  <c r="AC1414"/>
  <c r="AC1415"/>
  <c r="AC1416"/>
  <c r="AC1417"/>
  <c r="AC1418"/>
  <c r="AC1419"/>
  <c r="AC1420"/>
  <c r="AC1421"/>
  <c r="AC1422"/>
  <c r="AC1423"/>
  <c r="AC1424"/>
  <c r="AC1425"/>
  <c r="AC1426"/>
  <c r="AC1427"/>
  <c r="AC1428"/>
  <c r="AC1429"/>
  <c r="AC1430"/>
  <c r="AC1431"/>
  <c r="AC1432"/>
  <c r="AC1433"/>
  <c r="AC1434"/>
  <c r="AC1435"/>
  <c r="AC1436"/>
  <c r="AC1437"/>
  <c r="AC1438"/>
  <c r="AC1439"/>
  <c r="AC1440"/>
  <c r="AC1441"/>
  <c r="AC1442"/>
  <c r="AC1443"/>
  <c r="AC1444"/>
  <c r="AC1445"/>
  <c r="AC1446"/>
  <c r="AC1447"/>
  <c r="AC1448"/>
  <c r="AC1449"/>
  <c r="AC1450"/>
  <c r="AC1451"/>
  <c r="AC1452"/>
  <c r="AC1453"/>
  <c r="AC1454"/>
  <c r="AC1455"/>
  <c r="AC1456"/>
  <c r="AC1457"/>
  <c r="AC1458"/>
  <c r="AC1459"/>
  <c r="AC1460"/>
  <c r="AC1461"/>
  <c r="AC1462"/>
  <c r="AC1463"/>
  <c r="AC1464"/>
  <c r="AC1465"/>
  <c r="AC1466"/>
  <c r="AC1467"/>
  <c r="AC1468"/>
  <c r="AC1469"/>
  <c r="AC1470"/>
  <c r="AC1471"/>
  <c r="AC1472"/>
  <c r="AC1473"/>
  <c r="AC1474"/>
  <c r="AC1475"/>
  <c r="AC1476"/>
  <c r="AC1477"/>
  <c r="AC1478"/>
  <c r="AC1479"/>
  <c r="AC1480"/>
  <c r="AC1481"/>
  <c r="AC1482"/>
  <c r="AC1483"/>
  <c r="AC1484"/>
  <c r="AC1485"/>
  <c r="AC1486"/>
  <c r="AC1487"/>
  <c r="AC1488"/>
  <c r="AC1489"/>
  <c r="AC1490"/>
  <c r="AC1491"/>
  <c r="AC1492"/>
  <c r="AC1493"/>
  <c r="AC1494"/>
  <c r="AC1495"/>
  <c r="AC1496"/>
  <c r="AC1497"/>
  <c r="AC1498"/>
  <c r="AC1499"/>
  <c r="AC1500"/>
  <c r="AC1501"/>
  <c r="AC1502"/>
  <c r="AC1503"/>
  <c r="AC1504"/>
  <c r="AC1505"/>
  <c r="AC1506"/>
  <c r="AC1507"/>
  <c r="AC1508"/>
  <c r="AC1509"/>
  <c r="AC1510"/>
  <c r="AC1511"/>
  <c r="AC1512"/>
  <c r="AC1513"/>
  <c r="AC1514"/>
  <c r="AC1515"/>
  <c r="AC1516"/>
  <c r="AC1517"/>
  <c r="AC1518"/>
  <c r="AC1519"/>
  <c r="AC1520"/>
  <c r="AC1521"/>
  <c r="AC1522"/>
  <c r="AC1523"/>
  <c r="AC1524"/>
  <c r="AC1525"/>
  <c r="AC1526"/>
  <c r="AC1527"/>
  <c r="AC1528"/>
  <c r="AC1529"/>
  <c r="AC1530"/>
  <c r="AC1531"/>
  <c r="AC1532"/>
  <c r="AC1533"/>
  <c r="AC1534"/>
  <c r="AC1535"/>
  <c r="AC1536"/>
  <c r="AC1537"/>
  <c r="AC1538"/>
  <c r="AC1539"/>
  <c r="AC1540"/>
  <c r="AC1541"/>
  <c r="AC1542"/>
  <c r="AC1543"/>
  <c r="AC1544"/>
  <c r="AC1545"/>
  <c r="AC1546"/>
  <c r="AC1547"/>
  <c r="AC1548"/>
  <c r="AC1549"/>
  <c r="AC1550"/>
  <c r="AC1551"/>
  <c r="AC1552"/>
  <c r="AC1553"/>
  <c r="AC1554"/>
  <c r="AC1555"/>
  <c r="AC1556"/>
  <c r="AC1557"/>
  <c r="AC1558"/>
  <c r="AC1559"/>
  <c r="AC1560"/>
  <c r="AC1561"/>
  <c r="AC1562"/>
  <c r="AC1563"/>
  <c r="AC1564"/>
  <c r="AC1565"/>
  <c r="AC1566"/>
  <c r="AC1567"/>
  <c r="AC1568"/>
  <c r="AC1569"/>
  <c r="AC1570"/>
  <c r="AC1571"/>
  <c r="AC1572"/>
  <c r="AC1573"/>
  <c r="AC1574"/>
  <c r="AC1575"/>
  <c r="AC1576"/>
  <c r="AC1577"/>
  <c r="AC1578"/>
  <c r="AC1579"/>
  <c r="AC1580"/>
  <c r="AC1581"/>
  <c r="AC1582"/>
  <c r="AC1583"/>
  <c r="AC1584"/>
  <c r="AC1585"/>
  <c r="AC1586"/>
  <c r="AC1587"/>
  <c r="AC1588"/>
  <c r="AC1589"/>
  <c r="AC1590"/>
  <c r="AC1591"/>
  <c r="AC1592"/>
  <c r="AC1593"/>
  <c r="AC1594"/>
  <c r="AC1595"/>
  <c r="AC1596"/>
  <c r="AC1597"/>
  <c r="AC1598"/>
  <c r="AC1599"/>
  <c r="AC1600"/>
  <c r="AC1601"/>
  <c r="AC1602"/>
  <c r="AC1603"/>
  <c r="AC1604"/>
  <c r="AC1605"/>
  <c r="AC1606"/>
  <c r="AC1607"/>
  <c r="AC1608"/>
  <c r="AC1609"/>
  <c r="AC1610"/>
  <c r="AC1611"/>
  <c r="AC1612"/>
  <c r="AC1613"/>
  <c r="AC1614"/>
  <c r="AC1615"/>
  <c r="AC1616"/>
  <c r="AC1617"/>
  <c r="AC1618"/>
  <c r="AC1619"/>
  <c r="AC1620"/>
  <c r="AC1621"/>
  <c r="AC11"/>
  <c r="AC1622"/>
  <c r="AC1623"/>
  <c r="AC1624"/>
  <c r="AC1625"/>
  <c r="AC1626"/>
  <c r="AC1627"/>
  <c r="AC1628"/>
  <c r="AC1629"/>
  <c r="AC1630"/>
  <c r="AC1631"/>
  <c r="AC1632"/>
  <c r="AC1633"/>
  <c r="AC1634"/>
  <c r="AC1635"/>
  <c r="AC1636"/>
  <c r="AC1637"/>
  <c r="AC1638"/>
  <c r="AC1639"/>
  <c r="AC1640"/>
  <c r="AC1641"/>
  <c r="AC1642"/>
  <c r="AC1643"/>
  <c r="AC1644"/>
  <c r="AC1645"/>
  <c r="AC1646"/>
  <c r="AC1647"/>
  <c r="AC1648"/>
  <c r="AC1649"/>
  <c r="AC1650"/>
  <c r="AC1651"/>
  <c r="AC1652"/>
  <c r="AC1653"/>
  <c r="AC1654"/>
  <c r="AC1655"/>
  <c r="AC1656"/>
  <c r="AC1657"/>
  <c r="AC1658"/>
  <c r="AC1659"/>
  <c r="AC1660"/>
  <c r="AC1661"/>
  <c r="AC1662"/>
  <c r="AC1663"/>
  <c r="AC1664"/>
  <c r="AC1665"/>
  <c r="AC1666"/>
  <c r="AC1667"/>
  <c r="AC1668"/>
  <c r="AC1669"/>
  <c r="AC1670"/>
  <c r="AC1671"/>
  <c r="AC1672"/>
  <c r="AC1673"/>
  <c r="AC1674"/>
  <c r="AC1675"/>
  <c r="AC1676"/>
  <c r="AC1677"/>
  <c r="AC1678"/>
  <c r="AC1679"/>
  <c r="AC1680"/>
  <c r="AC1681"/>
  <c r="AC1682"/>
  <c r="AC1683"/>
  <c r="AC1684"/>
  <c r="AC1685"/>
  <c r="AC1686"/>
  <c r="AC1687"/>
  <c r="AC1688"/>
  <c r="AC1689"/>
  <c r="AC1690"/>
  <c r="AC1691"/>
  <c r="AC1692"/>
  <c r="AC1693"/>
  <c r="AC1694"/>
  <c r="AC1695"/>
  <c r="AC1696"/>
  <c r="AC1697"/>
  <c r="AC1698"/>
  <c r="AC1699"/>
  <c r="AC1700"/>
  <c r="AC1701"/>
  <c r="AC1702"/>
  <c r="AC1703"/>
  <c r="AC1704"/>
  <c r="AC1705"/>
  <c r="AC1706"/>
  <c r="AC1707"/>
  <c r="AC1708"/>
  <c r="AC1709"/>
  <c r="AC1710"/>
  <c r="AC1711"/>
  <c r="AC1712"/>
  <c r="AC1713"/>
  <c r="AC1714"/>
  <c r="AC1715"/>
  <c r="AC1716"/>
  <c r="AC1717"/>
  <c r="AC1718"/>
  <c r="AC1719"/>
  <c r="AC1720"/>
  <c r="AC1721"/>
  <c r="AC1722"/>
  <c r="AC1723"/>
  <c r="AC1724"/>
  <c r="AC1725"/>
  <c r="AC1726"/>
  <c r="AC1727"/>
  <c r="AC1728"/>
  <c r="AC1729"/>
  <c r="AC1730"/>
  <c r="AC1731"/>
  <c r="AC7"/>
  <c r="AC1732"/>
  <c r="AC1733"/>
  <c r="AC1734"/>
  <c r="AC1735"/>
  <c r="AC1736"/>
  <c r="AC1737"/>
  <c r="AC1738"/>
  <c r="AC1739"/>
  <c r="AC1740"/>
  <c r="AC1741"/>
  <c r="AC1742"/>
  <c r="AC1743"/>
  <c r="AC1744"/>
  <c r="AC1745"/>
  <c r="AC1746"/>
  <c r="AC1747"/>
  <c r="AC1748"/>
  <c r="AC1749"/>
  <c r="AC1750"/>
  <c r="AC1751"/>
  <c r="AC1752"/>
  <c r="AC1753"/>
  <c r="AC1754"/>
  <c r="AC1755"/>
  <c r="AC1756"/>
  <c r="AC1757"/>
  <c r="AC1758"/>
  <c r="AC1759"/>
  <c r="AC1760"/>
  <c r="AC1761"/>
  <c r="AC1762"/>
  <c r="AC1763"/>
  <c r="AC1764"/>
  <c r="AC1765"/>
  <c r="AC1766"/>
  <c r="AC1767"/>
  <c r="AC1768"/>
  <c r="AC1769"/>
  <c r="AC1770"/>
  <c r="AC1771"/>
  <c r="AC1772"/>
  <c r="AC1773"/>
  <c r="AC1774"/>
  <c r="AC1775"/>
  <c r="AC1776"/>
  <c r="AC1777"/>
  <c r="AC1778"/>
  <c r="AC1779"/>
  <c r="AC1780"/>
  <c r="AC1781"/>
  <c r="AC1782"/>
  <c r="AC1783"/>
  <c r="AC1784"/>
  <c r="AC1785"/>
  <c r="AC1786"/>
  <c r="AC1787"/>
  <c r="AC1788"/>
  <c r="AC1789"/>
  <c r="AC1790"/>
  <c r="AC1791"/>
  <c r="AC1792"/>
  <c r="AC1793"/>
  <c r="AC1794"/>
  <c r="AC1795"/>
  <c r="AC1796"/>
  <c r="AC1797"/>
  <c r="AC1798"/>
  <c r="AC1799"/>
  <c r="AC1800"/>
  <c r="AC1801"/>
  <c r="AC1802"/>
  <c r="AC1803"/>
  <c r="AC1804"/>
  <c r="AC1805"/>
  <c r="AC1806"/>
  <c r="AC1807"/>
  <c r="AC1808"/>
  <c r="AC1809"/>
  <c r="AC1810"/>
  <c r="AC1811"/>
  <c r="AC1812"/>
  <c r="AC1813"/>
  <c r="AC1814"/>
  <c r="AC1815"/>
  <c r="AC1816"/>
  <c r="AC1817"/>
  <c r="AC1818"/>
  <c r="AC1819"/>
  <c r="AC1820"/>
  <c r="AC1821"/>
  <c r="AC1822"/>
  <c r="AC1823"/>
  <c r="AC1824"/>
  <c r="AC1825"/>
  <c r="AC1826"/>
  <c r="AC1827"/>
  <c r="AC1828"/>
  <c r="AC1829"/>
  <c r="AC1830"/>
  <c r="AC1831"/>
  <c r="AC1832"/>
  <c r="AC1833"/>
  <c r="AC1834"/>
  <c r="AC1835"/>
  <c r="AC1836"/>
  <c r="AC1837"/>
  <c r="AC1838"/>
  <c r="AC1839"/>
  <c r="AC1840"/>
  <c r="AC1841"/>
  <c r="AC8"/>
  <c r="AC1842"/>
  <c r="AC1843"/>
  <c r="AC1844"/>
  <c r="AC1845"/>
  <c r="AC1846"/>
  <c r="AC1847"/>
  <c r="AC1848"/>
  <c r="AC1849"/>
  <c r="AC1850"/>
  <c r="AC1851"/>
  <c r="AC1852"/>
  <c r="AC1853"/>
  <c r="AC1854"/>
  <c r="AC1855"/>
  <c r="AC1856"/>
  <c r="AC1857"/>
  <c r="AC1858"/>
  <c r="AC12"/>
  <c r="AC1859"/>
  <c r="AC1860"/>
  <c r="AC1861"/>
  <c r="AC1862"/>
  <c r="AC1863"/>
  <c r="AC1864"/>
  <c r="AC1865"/>
  <c r="AC1866"/>
  <c r="AC1867"/>
  <c r="AC1868"/>
  <c r="AC1869"/>
  <c r="AC1870"/>
  <c r="AC1871"/>
  <c r="AC1872"/>
  <c r="AC1873"/>
  <c r="AC1874"/>
  <c r="AC1875"/>
  <c r="AC1876"/>
  <c r="AC1877"/>
  <c r="AC1878"/>
  <c r="AC1879"/>
  <c r="AC1880"/>
  <c r="AC1881"/>
  <c r="AC1882"/>
  <c r="AC1883"/>
  <c r="AC1884"/>
  <c r="AC1885"/>
  <c r="AC1886"/>
  <c r="AC1887"/>
  <c r="AC1888"/>
  <c r="AC1889"/>
  <c r="AC1890"/>
  <c r="AC1891"/>
  <c r="AC1892"/>
  <c r="AC1893"/>
  <c r="AC1894"/>
  <c r="AC1895"/>
  <c r="AC1896"/>
  <c r="AC1897"/>
  <c r="AC1898"/>
  <c r="AC1899"/>
  <c r="AC1900"/>
  <c r="AC1901"/>
  <c r="AC1902"/>
  <c r="AC1903"/>
  <c r="AC1904"/>
  <c r="AC1905"/>
  <c r="AC1906"/>
  <c r="AC1907"/>
  <c r="AC1908"/>
  <c r="AC1909"/>
  <c r="AC1910"/>
  <c r="AC1911"/>
  <c r="AC1912"/>
  <c r="AC1913"/>
  <c r="AC1914"/>
  <c r="AC1915"/>
  <c r="AC1916"/>
  <c r="AC1917"/>
  <c r="AC1918"/>
  <c r="AC1919"/>
  <c r="AC1920"/>
  <c r="AC1921"/>
  <c r="AC1922"/>
  <c r="AC1923"/>
  <c r="AC1924"/>
  <c r="AC1925"/>
  <c r="AC1926"/>
  <c r="AC1927"/>
  <c r="AC1928"/>
  <c r="AC1929"/>
  <c r="AC16"/>
  <c r="AC1930"/>
  <c r="AC1931"/>
  <c r="AC1932"/>
  <c r="AC1933"/>
  <c r="AC1934"/>
  <c r="AC1935"/>
  <c r="AC1936"/>
  <c r="AC1937"/>
  <c r="AC1938"/>
  <c r="AC1939"/>
  <c r="AC1940"/>
  <c r="AC5"/>
  <c r="AC1941"/>
  <c r="AC1942"/>
  <c r="AC1943"/>
  <c r="AC1944"/>
  <c r="AC1945"/>
  <c r="AC1946"/>
  <c r="AC1947"/>
  <c r="AC1948"/>
  <c r="AC1949"/>
  <c r="AC1950"/>
  <c r="AC1951"/>
  <c r="AC1952"/>
  <c r="AC1953"/>
  <c r="AC1954"/>
  <c r="AC1955"/>
  <c r="AC1956"/>
  <c r="AC1957"/>
  <c r="AC1958"/>
  <c r="AC1959"/>
  <c r="AC1960"/>
  <c r="AC1961"/>
  <c r="AC1962"/>
  <c r="AC1963"/>
  <c r="AC1964"/>
  <c r="AC1965"/>
  <c r="AC1966"/>
  <c r="AC1967"/>
  <c r="AC1968"/>
  <c r="AC1969"/>
  <c r="AC1970"/>
  <c r="AC1971"/>
  <c r="AC1972"/>
  <c r="AC1973"/>
  <c r="AC1974"/>
  <c r="AC1975"/>
  <c r="AC1976"/>
  <c r="AC1977"/>
  <c r="AC1978"/>
  <c r="AC1979"/>
  <c r="AC1980"/>
  <c r="AC1981"/>
  <c r="AC1982"/>
  <c r="AC1983"/>
  <c r="AC1984"/>
  <c r="AC1985"/>
  <c r="AC1986"/>
  <c r="AC1987"/>
  <c r="AC1988"/>
  <c r="AC1989"/>
  <c r="AC1990"/>
  <c r="AC1991"/>
  <c r="AC1992"/>
  <c r="AC1993"/>
  <c r="AC1994"/>
  <c r="AC1995"/>
  <c r="AC1996"/>
  <c r="AC1997"/>
  <c r="AC1998"/>
  <c r="AC1999"/>
  <c r="AC2000"/>
  <c r="AC2001"/>
  <c r="AC2002"/>
  <c r="AC2003"/>
  <c r="AC2004"/>
  <c r="AC2005"/>
  <c r="AC2006"/>
  <c r="AC2007"/>
  <c r="AC2008"/>
  <c r="AC2009"/>
  <c r="AC2010"/>
  <c r="AC2011"/>
  <c r="AC2012"/>
  <c r="AC2013"/>
  <c r="AC2014"/>
  <c r="AC2015"/>
  <c r="AC2016"/>
  <c r="AC2017"/>
  <c r="AC2018"/>
  <c r="AC2019"/>
  <c r="AC2020"/>
  <c r="AC2021"/>
  <c r="AC2022"/>
  <c r="AC2023"/>
  <c r="AC2024"/>
  <c r="AC2025"/>
  <c r="AC2026"/>
  <c r="AC2027"/>
  <c r="AC2028"/>
  <c r="AC2029"/>
  <c r="AC2030"/>
  <c r="AC2031"/>
  <c r="AC2032"/>
  <c r="AC2033"/>
  <c r="AC2034"/>
  <c r="AC2035"/>
  <c r="AC2036"/>
  <c r="AC2037"/>
  <c r="AC2038"/>
  <c r="AC2039"/>
  <c r="AC2040"/>
  <c r="AC2041"/>
  <c r="AC2042"/>
  <c r="AC2043"/>
  <c r="AC2044"/>
  <c r="AC2045"/>
  <c r="AC2046"/>
  <c r="AC2047"/>
  <c r="AC2048"/>
  <c r="AC2049"/>
  <c r="AC2050"/>
  <c r="AC2051"/>
  <c r="AC2052"/>
  <c r="AC2053"/>
  <c r="AC2054"/>
  <c r="AC2055"/>
  <c r="AC2056"/>
  <c r="AC2057"/>
  <c r="AC2058"/>
  <c r="AC2059"/>
  <c r="AC2060"/>
  <c r="AC2061"/>
  <c r="AC2062"/>
  <c r="AC2063"/>
  <c r="AC2064"/>
  <c r="AC2065"/>
  <c r="AC2066"/>
  <c r="AC2067"/>
  <c r="AC2068"/>
  <c r="AC2069"/>
  <c r="AC2070"/>
  <c r="AC2071"/>
  <c r="AC2072"/>
  <c r="AC2073"/>
  <c r="AC2074"/>
  <c r="AC2075"/>
  <c r="AC2076"/>
  <c r="AC2077"/>
  <c r="AC2078"/>
  <c r="AC2079"/>
  <c r="AC2080"/>
  <c r="AC2081"/>
  <c r="AC2082"/>
  <c r="AC2083"/>
  <c r="AC2084"/>
  <c r="AC2085"/>
  <c r="AC10"/>
  <c r="AC2086"/>
  <c r="AC2087"/>
  <c r="AC2088"/>
  <c r="AC2089"/>
  <c r="AC2090"/>
  <c r="AC2091"/>
  <c r="AC2092"/>
  <c r="AC2093"/>
  <c r="AC2094"/>
  <c r="AC2095"/>
  <c r="AC2096"/>
  <c r="AC2097"/>
  <c r="AC2098"/>
  <c r="AC2099"/>
  <c r="AC2100"/>
  <c r="AC2101"/>
  <c r="AC2102"/>
  <c r="AC2103"/>
  <c r="AC2104"/>
  <c r="AC2105"/>
  <c r="AC2106"/>
  <c r="AC2107"/>
  <c r="AC2108"/>
  <c r="AC2109"/>
  <c r="AC2110"/>
  <c r="AC2111"/>
  <c r="AC2112"/>
  <c r="AC2113"/>
  <c r="AC2114"/>
  <c r="AC2115"/>
  <c r="AC2116"/>
  <c r="AC2117"/>
  <c r="AC2118"/>
  <c r="AC2119"/>
  <c r="AC2120"/>
  <c r="AC2121"/>
  <c r="AC2122"/>
  <c r="AC2123"/>
  <c r="AC2124"/>
  <c r="AC2125"/>
  <c r="AC2126"/>
  <c r="AC2127"/>
  <c r="AC2128"/>
  <c r="AC2129"/>
  <c r="AC2130"/>
  <c r="AC2131"/>
  <c r="AC2132"/>
  <c r="AC2133"/>
  <c r="AC2134"/>
  <c r="AC2135"/>
  <c r="AC2136"/>
  <c r="AC2137"/>
  <c r="AC2138"/>
  <c r="AC2139"/>
  <c r="AC2140"/>
  <c r="AC2141"/>
  <c r="AC2142"/>
  <c r="AC2143"/>
  <c r="AC2144"/>
  <c r="AC2145"/>
  <c r="AC2146"/>
  <c r="AC2147"/>
  <c r="AC2148"/>
  <c r="AC2149"/>
  <c r="AC2150"/>
  <c r="AC2151"/>
  <c r="AC2152"/>
  <c r="AC2153"/>
  <c r="AC2154"/>
  <c r="AC2155"/>
  <c r="AC2156"/>
  <c r="AC2157"/>
  <c r="AC2158"/>
  <c r="AC2159"/>
  <c r="AC2160"/>
  <c r="AC2161"/>
  <c r="AC2162"/>
  <c r="AC2163"/>
  <c r="AC2164"/>
  <c r="AC2165"/>
  <c r="AC2166"/>
  <c r="AC2167"/>
  <c r="AC2168"/>
  <c r="AD47"/>
  <c r="AD48"/>
  <c r="AD49"/>
  <c r="AD50"/>
  <c r="AD51"/>
  <c r="AD52"/>
  <c r="AD53"/>
  <c r="AD54"/>
  <c r="AD55"/>
  <c r="AD56"/>
  <c r="AD57"/>
  <c r="AD58"/>
  <c r="AD59"/>
  <c r="AD60"/>
  <c r="AD61"/>
  <c r="AD62"/>
  <c r="AD63"/>
  <c r="AD64"/>
  <c r="AD65"/>
  <c r="AD66"/>
  <c r="AD67"/>
  <c r="AD68"/>
  <c r="AD69"/>
  <c r="AD70"/>
  <c r="AD71"/>
  <c r="AD72"/>
  <c r="AD73"/>
  <c r="AD74"/>
  <c r="AD75"/>
  <c r="AD76"/>
  <c r="AD9"/>
  <c r="AD77"/>
  <c r="AD78"/>
  <c r="AD79"/>
  <c r="AD80"/>
  <c r="AD81"/>
  <c r="AD15"/>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AD246"/>
  <c r="AD247"/>
  <c r="AD248"/>
  <c r="AD249"/>
  <c r="AD250"/>
  <c r="AD251"/>
  <c r="AD252"/>
  <c r="AD253"/>
  <c r="AD254"/>
  <c r="AD25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46"/>
  <c r="AD347"/>
  <c r="AD348"/>
  <c r="AD349"/>
  <c r="AD350"/>
  <c r="AD351"/>
  <c r="AD352"/>
  <c r="AD353"/>
  <c r="AD354"/>
  <c r="AD355"/>
  <c r="AD356"/>
  <c r="AD357"/>
  <c r="AD358"/>
  <c r="AD359"/>
  <c r="AD360"/>
  <c r="AD361"/>
  <c r="AD362"/>
  <c r="AD363"/>
  <c r="AD364"/>
  <c r="AD365"/>
  <c r="AD366"/>
  <c r="AD367"/>
  <c r="AD368"/>
  <c r="AD369"/>
  <c r="AD370"/>
  <c r="AD371"/>
  <c r="AD372"/>
  <c r="AD373"/>
  <c r="AD374"/>
  <c r="AD375"/>
  <c r="AD376"/>
  <c r="AD377"/>
  <c r="AD378"/>
  <c r="AD379"/>
  <c r="AD380"/>
  <c r="AD381"/>
  <c r="AD382"/>
  <c r="AD383"/>
  <c r="AD384"/>
  <c r="AD385"/>
  <c r="AD386"/>
  <c r="AD387"/>
  <c r="AD388"/>
  <c r="AD389"/>
  <c r="AD390"/>
  <c r="AD391"/>
  <c r="AD392"/>
  <c r="AD393"/>
  <c r="AD394"/>
  <c r="AD395"/>
  <c r="AD396"/>
  <c r="AD397"/>
  <c r="AD398"/>
  <c r="AD399"/>
  <c r="AD400"/>
  <c r="AD401"/>
  <c r="AD402"/>
  <c r="AD403"/>
  <c r="AD404"/>
  <c r="AD405"/>
  <c r="AD406"/>
  <c r="AD407"/>
  <c r="AD408"/>
  <c r="AD409"/>
  <c r="AD410"/>
  <c r="AD411"/>
  <c r="AD412"/>
  <c r="AD413"/>
  <c r="AD414"/>
  <c r="AD415"/>
  <c r="AD416"/>
  <c r="AD417"/>
  <c r="AD418"/>
  <c r="AD419"/>
  <c r="AD420"/>
  <c r="AD421"/>
  <c r="AD422"/>
  <c r="AD423"/>
  <c r="AD424"/>
  <c r="AD425"/>
  <c r="AD426"/>
  <c r="AD427"/>
  <c r="AD428"/>
  <c r="AD429"/>
  <c r="AD430"/>
  <c r="AD431"/>
  <c r="AD432"/>
  <c r="AD433"/>
  <c r="AD434"/>
  <c r="AD435"/>
  <c r="AD436"/>
  <c r="AD437"/>
  <c r="AD438"/>
  <c r="AD439"/>
  <c r="AD440"/>
  <c r="AD441"/>
  <c r="AD442"/>
  <c r="AD443"/>
  <c r="AD444"/>
  <c r="AD445"/>
  <c r="AD446"/>
  <c r="AD447"/>
  <c r="AD448"/>
  <c r="AD449"/>
  <c r="AD450"/>
  <c r="AD451"/>
  <c r="AD452"/>
  <c r="AD453"/>
  <c r="AD454"/>
  <c r="AD455"/>
  <c r="AD456"/>
  <c r="AD457"/>
  <c r="AD458"/>
  <c r="AD459"/>
  <c r="AD460"/>
  <c r="AD461"/>
  <c r="AD462"/>
  <c r="AD463"/>
  <c r="AD464"/>
  <c r="AD465"/>
  <c r="AD466"/>
  <c r="AD467"/>
  <c r="AD468"/>
  <c r="AD469"/>
  <c r="AD470"/>
  <c r="AD471"/>
  <c r="AD472"/>
  <c r="AD473"/>
  <c r="AD474"/>
  <c r="AD475"/>
  <c r="AD476"/>
  <c r="AD477"/>
  <c r="AD478"/>
  <c r="AD479"/>
  <c r="AD480"/>
  <c r="AD481"/>
  <c r="AD482"/>
  <c r="AD483"/>
  <c r="AD484"/>
  <c r="AD485"/>
  <c r="AD486"/>
  <c r="AD487"/>
  <c r="AD488"/>
  <c r="AD489"/>
  <c r="AD490"/>
  <c r="AD491"/>
  <c r="AD492"/>
  <c r="AD493"/>
  <c r="AD494"/>
  <c r="AD495"/>
  <c r="AD496"/>
  <c r="AD497"/>
  <c r="AD498"/>
  <c r="AD499"/>
  <c r="AD500"/>
  <c r="AD501"/>
  <c r="AD502"/>
  <c r="AD503"/>
  <c r="AD504"/>
  <c r="AD505"/>
  <c r="AD506"/>
  <c r="AD507"/>
  <c r="AD508"/>
  <c r="AD509"/>
  <c r="AD510"/>
  <c r="AD511"/>
  <c r="AD512"/>
  <c r="AD513"/>
  <c r="AD514"/>
  <c r="AD515"/>
  <c r="AD516"/>
  <c r="AD517"/>
  <c r="AD518"/>
  <c r="AD519"/>
  <c r="AD520"/>
  <c r="AD521"/>
  <c r="AD522"/>
  <c r="AD523"/>
  <c r="AD524"/>
  <c r="AD525"/>
  <c r="AD526"/>
  <c r="AD527"/>
  <c r="AD528"/>
  <c r="AD529"/>
  <c r="AD530"/>
  <c r="AD531"/>
  <c r="AD532"/>
  <c r="AD533"/>
  <c r="AD534"/>
  <c r="AD535"/>
  <c r="AD536"/>
  <c r="AD537"/>
  <c r="AD538"/>
  <c r="AD539"/>
  <c r="AD540"/>
  <c r="AD541"/>
  <c r="AD542"/>
  <c r="AD543"/>
  <c r="AD544"/>
  <c r="AD545"/>
  <c r="AD546"/>
  <c r="AD547"/>
  <c r="AD548"/>
  <c r="AD549"/>
  <c r="AD550"/>
  <c r="AD551"/>
  <c r="AD552"/>
  <c r="AD553"/>
  <c r="AD554"/>
  <c r="AD555"/>
  <c r="AD556"/>
  <c r="AD557"/>
  <c r="AD558"/>
  <c r="AD559"/>
  <c r="AD560"/>
  <c r="AD561"/>
  <c r="AD562"/>
  <c r="AD563"/>
  <c r="AD564"/>
  <c r="AD565"/>
  <c r="AD566"/>
  <c r="AD567"/>
  <c r="AD568"/>
  <c r="AD569"/>
  <c r="AD570"/>
  <c r="AD571"/>
  <c r="AD572"/>
  <c r="AD573"/>
  <c r="AD574"/>
  <c r="AD575"/>
  <c r="AD576"/>
  <c r="AD577"/>
  <c r="AD578"/>
  <c r="AD579"/>
  <c r="AD580"/>
  <c r="AD581"/>
  <c r="AD582"/>
  <c r="AD583"/>
  <c r="AD584"/>
  <c r="AD585"/>
  <c r="AD586"/>
  <c r="AD587"/>
  <c r="AD588"/>
  <c r="AD589"/>
  <c r="AD590"/>
  <c r="AD591"/>
  <c r="AD592"/>
  <c r="AD593"/>
  <c r="AD594"/>
  <c r="AD595"/>
  <c r="AD596"/>
  <c r="AD597"/>
  <c r="AD598"/>
  <c r="AD599"/>
  <c r="AD600"/>
  <c r="AD601"/>
  <c r="AD602"/>
  <c r="AD603"/>
  <c r="AD604"/>
  <c r="AD605"/>
  <c r="AD606"/>
  <c r="AD607"/>
  <c r="AD608"/>
  <c r="AD609"/>
  <c r="AD610"/>
  <c r="AD611"/>
  <c r="AD612"/>
  <c r="AD613"/>
  <c r="AD614"/>
  <c r="AD615"/>
  <c r="AD616"/>
  <c r="AD617"/>
  <c r="AD618"/>
  <c r="AD619"/>
  <c r="AD620"/>
  <c r="AD621"/>
  <c r="AD622"/>
  <c r="AD623"/>
  <c r="AD624"/>
  <c r="AD625"/>
  <c r="AD626"/>
  <c r="AD627"/>
  <c r="AD628"/>
  <c r="AD629"/>
  <c r="AD630"/>
  <c r="AD631"/>
  <c r="AD632"/>
  <c r="AD633"/>
  <c r="AD634"/>
  <c r="AD635"/>
  <c r="AD636"/>
  <c r="AD637"/>
  <c r="AD638"/>
  <c r="AD639"/>
  <c r="AD640"/>
  <c r="AD641"/>
  <c r="AD642"/>
  <c r="AD643"/>
  <c r="AD644"/>
  <c r="AD645"/>
  <c r="AD646"/>
  <c r="AD647"/>
  <c r="AD648"/>
  <c r="AD649"/>
  <c r="AD650"/>
  <c r="AD651"/>
  <c r="AD652"/>
  <c r="AD653"/>
  <c r="AD654"/>
  <c r="AD655"/>
  <c r="AD656"/>
  <c r="AD657"/>
  <c r="AD658"/>
  <c r="AD659"/>
  <c r="AD660"/>
  <c r="AD661"/>
  <c r="AD662"/>
  <c r="AD663"/>
  <c r="AD664"/>
  <c r="AD665"/>
  <c r="AD666"/>
  <c r="AD667"/>
  <c r="AD668"/>
  <c r="AD669"/>
  <c r="AD670"/>
  <c r="AD671"/>
  <c r="AD672"/>
  <c r="AD673"/>
  <c r="AD674"/>
  <c r="AD675"/>
  <c r="AD676"/>
  <c r="AD677"/>
  <c r="AD678"/>
  <c r="AD679"/>
  <c r="AD680"/>
  <c r="AD681"/>
  <c r="AD682"/>
  <c r="AD683"/>
  <c r="AD684"/>
  <c r="AD685"/>
  <c r="AD686"/>
  <c r="AD687"/>
  <c r="AD688"/>
  <c r="AD689"/>
  <c r="AD690"/>
  <c r="AD691"/>
  <c r="AD692"/>
  <c r="AD693"/>
  <c r="AD694"/>
  <c r="AD695"/>
  <c r="AD696"/>
  <c r="AD697"/>
  <c r="AD698"/>
  <c r="AD699"/>
  <c r="AD700"/>
  <c r="AD701"/>
  <c r="AD702"/>
  <c r="AD703"/>
  <c r="AD704"/>
  <c r="AD705"/>
  <c r="AD706"/>
  <c r="AD707"/>
  <c r="AD708"/>
  <c r="AD709"/>
  <c r="AD710"/>
  <c r="AD711"/>
  <c r="AD712"/>
  <c r="AD713"/>
  <c r="AD714"/>
  <c r="AD715"/>
  <c r="AD716"/>
  <c r="AD717"/>
  <c r="AD718"/>
  <c r="AD719"/>
  <c r="AD720"/>
  <c r="AD721"/>
  <c r="AD722"/>
  <c r="AD723"/>
  <c r="AD724"/>
  <c r="AD725"/>
  <c r="AD726"/>
  <c r="AD14"/>
  <c r="AD727"/>
  <c r="AD728"/>
  <c r="AD729"/>
  <c r="AD730"/>
  <c r="AD731"/>
  <c r="AD732"/>
  <c r="AD733"/>
  <c r="AD734"/>
  <c r="AD735"/>
  <c r="AD736"/>
  <c r="AD737"/>
  <c r="AD738"/>
  <c r="AD739"/>
  <c r="AD740"/>
  <c r="AD741"/>
  <c r="AD742"/>
  <c r="AD743"/>
  <c r="AD744"/>
  <c r="AD745"/>
  <c r="AD746"/>
  <c r="AD747"/>
  <c r="AD748"/>
  <c r="AD749"/>
  <c r="AD750"/>
  <c r="AD751"/>
  <c r="AD752"/>
  <c r="AD753"/>
  <c r="AD754"/>
  <c r="AD755"/>
  <c r="AD756"/>
  <c r="AD757"/>
  <c r="AD758"/>
  <c r="AD759"/>
  <c r="AD760"/>
  <c r="AD761"/>
  <c r="AD762"/>
  <c r="AD763"/>
  <c r="AD764"/>
  <c r="AD765"/>
  <c r="AD766"/>
  <c r="AD767"/>
  <c r="AD768"/>
  <c r="AD769"/>
  <c r="AD770"/>
  <c r="AD771"/>
  <c r="AD772"/>
  <c r="AD773"/>
  <c r="AD774"/>
  <c r="AD775"/>
  <c r="AD776"/>
  <c r="AD777"/>
  <c r="AD778"/>
  <c r="AD779"/>
  <c r="AD780"/>
  <c r="AD781"/>
  <c r="AD782"/>
  <c r="AD783"/>
  <c r="AD784"/>
  <c r="AD785"/>
  <c r="AD786"/>
  <c r="AD787"/>
  <c r="AD788"/>
  <c r="AD789"/>
  <c r="AD790"/>
  <c r="AD791"/>
  <c r="AD792"/>
  <c r="AD793"/>
  <c r="AD794"/>
  <c r="AD795"/>
  <c r="AD796"/>
  <c r="AD797"/>
  <c r="AD798"/>
  <c r="AD799"/>
  <c r="AD800"/>
  <c r="AD801"/>
  <c r="AD802"/>
  <c r="AD803"/>
  <c r="AD804"/>
  <c r="AD805"/>
  <c r="AD806"/>
  <c r="AD807"/>
  <c r="AD808"/>
  <c r="AD809"/>
  <c r="AD810"/>
  <c r="AD811"/>
  <c r="AD812"/>
  <c r="AD813"/>
  <c r="AD814"/>
  <c r="AD815"/>
  <c r="AD816"/>
  <c r="AD817"/>
  <c r="AD818"/>
  <c r="AD819"/>
  <c r="AD820"/>
  <c r="AD821"/>
  <c r="AD822"/>
  <c r="AD823"/>
  <c r="AD824"/>
  <c r="AD825"/>
  <c r="AD826"/>
  <c r="AD827"/>
  <c r="AD828"/>
  <c r="AD829"/>
  <c r="AD830"/>
  <c r="AD831"/>
  <c r="AD832"/>
  <c r="AD833"/>
  <c r="AD834"/>
  <c r="AD835"/>
  <c r="AD836"/>
  <c r="AD837"/>
  <c r="AD838"/>
  <c r="AD839"/>
  <c r="AD840"/>
  <c r="AD841"/>
  <c r="AD842"/>
  <c r="AD843"/>
  <c r="AD844"/>
  <c r="AD845"/>
  <c r="AD846"/>
  <c r="AD847"/>
  <c r="AD848"/>
  <c r="AD849"/>
  <c r="AD850"/>
  <c r="AD851"/>
  <c r="AD852"/>
  <c r="AD853"/>
  <c r="AD854"/>
  <c r="AD855"/>
  <c r="AD856"/>
  <c r="AD857"/>
  <c r="AD858"/>
  <c r="AD859"/>
  <c r="AD860"/>
  <c r="AD861"/>
  <c r="AD862"/>
  <c r="AD863"/>
  <c r="AD864"/>
  <c r="AD865"/>
  <c r="AD866"/>
  <c r="AD867"/>
  <c r="AD868"/>
  <c r="AD869"/>
  <c r="AD870"/>
  <c r="AD871"/>
  <c r="AD872"/>
  <c r="AD873"/>
  <c r="AD874"/>
  <c r="AD875"/>
  <c r="AD876"/>
  <c r="AD877"/>
  <c r="AD878"/>
  <c r="AD879"/>
  <c r="AD880"/>
  <c r="AD881"/>
  <c r="AD882"/>
  <c r="AD883"/>
  <c r="AD884"/>
  <c r="AD885"/>
  <c r="AD886"/>
  <c r="AD887"/>
  <c r="AD888"/>
  <c r="AD889"/>
  <c r="AD890"/>
  <c r="AD891"/>
  <c r="AD892"/>
  <c r="AD893"/>
  <c r="AD894"/>
  <c r="AD895"/>
  <c r="AD896"/>
  <c r="AD897"/>
  <c r="AD898"/>
  <c r="AD899"/>
  <c r="AD900"/>
  <c r="AD901"/>
  <c r="AD902"/>
  <c r="AD903"/>
  <c r="AD904"/>
  <c r="AD905"/>
  <c r="AD906"/>
  <c r="AD907"/>
  <c r="AD908"/>
  <c r="AD909"/>
  <c r="AD910"/>
  <c r="AD911"/>
  <c r="AD912"/>
  <c r="AD913"/>
  <c r="AD914"/>
  <c r="AD915"/>
  <c r="AD916"/>
  <c r="AD917"/>
  <c r="AD918"/>
  <c r="AD919"/>
  <c r="AD920"/>
  <c r="AD921"/>
  <c r="AD922"/>
  <c r="AD923"/>
  <c r="AD924"/>
  <c r="AD925"/>
  <c r="AD926"/>
  <c r="AD927"/>
  <c r="AD928"/>
  <c r="AD929"/>
  <c r="AD930"/>
  <c r="AD931"/>
  <c r="AD932"/>
  <c r="AD933"/>
  <c r="AD934"/>
  <c r="AD935"/>
  <c r="AD936"/>
  <c r="AD937"/>
  <c r="AD938"/>
  <c r="AD939"/>
  <c r="AD940"/>
  <c r="AD941"/>
  <c r="AD942"/>
  <c r="AD943"/>
  <c r="AD944"/>
  <c r="AD945"/>
  <c r="AD946"/>
  <c r="AD947"/>
  <c r="AD948"/>
  <c r="AD949"/>
  <c r="AD950"/>
  <c r="AD951"/>
  <c r="AD952"/>
  <c r="AD953"/>
  <c r="AD954"/>
  <c r="AD955"/>
  <c r="AD956"/>
  <c r="AD957"/>
  <c r="AD958"/>
  <c r="AD959"/>
  <c r="AD960"/>
  <c r="AD961"/>
  <c r="AD962"/>
  <c r="AD963"/>
  <c r="AD964"/>
  <c r="AD965"/>
  <c r="AD966"/>
  <c r="AD967"/>
  <c r="AD968"/>
  <c r="AD969"/>
  <c r="AD970"/>
  <c r="AD971"/>
  <c r="AD972"/>
  <c r="AD973"/>
  <c r="AD6"/>
  <c r="AD974"/>
  <c r="AD975"/>
  <c r="AD976"/>
  <c r="AD977"/>
  <c r="AD978"/>
  <c r="AD979"/>
  <c r="AD980"/>
  <c r="AD981"/>
  <c r="AD982"/>
  <c r="AD983"/>
  <c r="AD984"/>
  <c r="AD985"/>
  <c r="AD986"/>
  <c r="AD987"/>
  <c r="AD988"/>
  <c r="AD989"/>
  <c r="AD990"/>
  <c r="AD991"/>
  <c r="AD992"/>
  <c r="AD993"/>
  <c r="AD994"/>
  <c r="AD995"/>
  <c r="AD996"/>
  <c r="AD997"/>
  <c r="AD998"/>
  <c r="AD999"/>
  <c r="AD1000"/>
  <c r="AD1001"/>
  <c r="AD1002"/>
  <c r="AD1003"/>
  <c r="AD1004"/>
  <c r="AD1005"/>
  <c r="AD1006"/>
  <c r="AD1007"/>
  <c r="AD1008"/>
  <c r="AD1009"/>
  <c r="AD1010"/>
  <c r="AD1011"/>
  <c r="AD1012"/>
  <c r="AD1013"/>
  <c r="AD1014"/>
  <c r="AD1015"/>
  <c r="AD1016"/>
  <c r="AD1017"/>
  <c r="AD1018"/>
  <c r="AD1019"/>
  <c r="AD1020"/>
  <c r="AD1021"/>
  <c r="AD1022"/>
  <c r="AD1023"/>
  <c r="AD1024"/>
  <c r="AD1025"/>
  <c r="AD1026"/>
  <c r="AD1027"/>
  <c r="AD1028"/>
  <c r="AD1029"/>
  <c r="AD1030"/>
  <c r="AD1031"/>
  <c r="AD1032"/>
  <c r="AD1033"/>
  <c r="AD1034"/>
  <c r="AD1035"/>
  <c r="AD1036"/>
  <c r="AD1037"/>
  <c r="AD1038"/>
  <c r="AD1039"/>
  <c r="AD1040"/>
  <c r="AD1041"/>
  <c r="AD1042"/>
  <c r="AD1043"/>
  <c r="AD1044"/>
  <c r="AD1045"/>
  <c r="AD1046"/>
  <c r="AD1047"/>
  <c r="AD1048"/>
  <c r="AD1049"/>
  <c r="AD1050"/>
  <c r="AD1051"/>
  <c r="AD1052"/>
  <c r="AD1053"/>
  <c r="AD1054"/>
  <c r="AD1055"/>
  <c r="AD1056"/>
  <c r="AD1057"/>
  <c r="AD1058"/>
  <c r="AD1059"/>
  <c r="AD1060"/>
  <c r="AD1061"/>
  <c r="AD1062"/>
  <c r="AD1063"/>
  <c r="AD1064"/>
  <c r="AD1065"/>
  <c r="AD1066"/>
  <c r="AD1067"/>
  <c r="AD1068"/>
  <c r="AD1069"/>
  <c r="AD1070"/>
  <c r="AD1071"/>
  <c r="AD1072"/>
  <c r="AD1073"/>
  <c r="AD1074"/>
  <c r="AD1075"/>
  <c r="AD1076"/>
  <c r="AD1077"/>
  <c r="AD1078"/>
  <c r="AD1079"/>
  <c r="AD1080"/>
  <c r="AD1081"/>
  <c r="AD1082"/>
  <c r="AD1083"/>
  <c r="AD1084"/>
  <c r="AD1085"/>
  <c r="AD1086"/>
  <c r="AD1087"/>
  <c r="AD1088"/>
  <c r="AD1089"/>
  <c r="AD1090"/>
  <c r="AD1091"/>
  <c r="AD1092"/>
  <c r="AD1093"/>
  <c r="AD1094"/>
  <c r="AD1095"/>
  <c r="AD1096"/>
  <c r="AD1097"/>
  <c r="AD1098"/>
  <c r="AD1099"/>
  <c r="AD1100"/>
  <c r="AD1101"/>
  <c r="AD1102"/>
  <c r="AD1103"/>
  <c r="AD1104"/>
  <c r="AD1105"/>
  <c r="AD1106"/>
  <c r="AD1107"/>
  <c r="AD1108"/>
  <c r="AD1109"/>
  <c r="AD1110"/>
  <c r="AD1111"/>
  <c r="AD1112"/>
  <c r="AD1113"/>
  <c r="AD1114"/>
  <c r="AD1115"/>
  <c r="AD1116"/>
  <c r="AD1117"/>
  <c r="AD1118"/>
  <c r="AD1119"/>
  <c r="AD1120"/>
  <c r="AD1121"/>
  <c r="AD1122"/>
  <c r="AD1123"/>
  <c r="AD1124"/>
  <c r="AD1125"/>
  <c r="AD1126"/>
  <c r="AD1127"/>
  <c r="AD1128"/>
  <c r="AD1129"/>
  <c r="AD1130"/>
  <c r="AD1131"/>
  <c r="AD1132"/>
  <c r="AD1133"/>
  <c r="AD1134"/>
  <c r="AD1135"/>
  <c r="AD1136"/>
  <c r="AD1137"/>
  <c r="AD1138"/>
  <c r="AD1139"/>
  <c r="AD1140"/>
  <c r="AD1141"/>
  <c r="AD1142"/>
  <c r="AD1143"/>
  <c r="AD1144"/>
  <c r="AD1145"/>
  <c r="AD1146"/>
  <c r="AD1147"/>
  <c r="AD1148"/>
  <c r="AD1149"/>
  <c r="AD1150"/>
  <c r="AD1151"/>
  <c r="AD1152"/>
  <c r="AD1153"/>
  <c r="AD1154"/>
  <c r="AD1155"/>
  <c r="AD1156"/>
  <c r="AD1157"/>
  <c r="AD1158"/>
  <c r="AD1159"/>
  <c r="AD1160"/>
  <c r="AD1161"/>
  <c r="AD1162"/>
  <c r="AD1163"/>
  <c r="AD1164"/>
  <c r="AD1165"/>
  <c r="AD1166"/>
  <c r="AD1167"/>
  <c r="AD1168"/>
  <c r="AD1169"/>
  <c r="AD1170"/>
  <c r="AD1171"/>
  <c r="AD1172"/>
  <c r="AD1173"/>
  <c r="AD1174"/>
  <c r="AD1175"/>
  <c r="AD1176"/>
  <c r="AD1177"/>
  <c r="AD1178"/>
  <c r="AD1179"/>
  <c r="AD1180"/>
  <c r="AD1181"/>
  <c r="AD1182"/>
  <c r="AD1183"/>
  <c r="AD1184"/>
  <c r="AD1185"/>
  <c r="AD1186"/>
  <c r="AD1187"/>
  <c r="AD1188"/>
  <c r="AD1189"/>
  <c r="AD1190"/>
  <c r="AD1191"/>
  <c r="AD1192"/>
  <c r="AD1193"/>
  <c r="AD1194"/>
  <c r="AD1195"/>
  <c r="AD1196"/>
  <c r="AD1197"/>
  <c r="AD1198"/>
  <c r="AD1199"/>
  <c r="AD1200"/>
  <c r="AD1201"/>
  <c r="AD1202"/>
  <c r="AD1203"/>
  <c r="AD1204"/>
  <c r="AD1205"/>
  <c r="AD1206"/>
  <c r="AD1207"/>
  <c r="AD1208"/>
  <c r="AD1209"/>
  <c r="AD1210"/>
  <c r="AD1211"/>
  <c r="AD1212"/>
  <c r="AD1213"/>
  <c r="AD1214"/>
  <c r="AD1215"/>
  <c r="AD1216"/>
  <c r="AD1217"/>
  <c r="AD1218"/>
  <c r="AD1219"/>
  <c r="AD1220"/>
  <c r="AD1221"/>
  <c r="AD1222"/>
  <c r="AD1223"/>
  <c r="AD1224"/>
  <c r="AD1225"/>
  <c r="AD1226"/>
  <c r="AD1227"/>
  <c r="AD1228"/>
  <c r="AD1229"/>
  <c r="AD1230"/>
  <c r="AD1231"/>
  <c r="AD1232"/>
  <c r="AD1233"/>
  <c r="AD1234"/>
  <c r="AD1235"/>
  <c r="AD1236"/>
  <c r="AD1237"/>
  <c r="AD1238"/>
  <c r="AD1239"/>
  <c r="AD1240"/>
  <c r="AD1241"/>
  <c r="AD1242"/>
  <c r="AD1243"/>
  <c r="AD1244"/>
  <c r="AD1245"/>
  <c r="AD1246"/>
  <c r="AD1247"/>
  <c r="AD1248"/>
  <c r="AD1249"/>
  <c r="AD1250"/>
  <c r="AD1251"/>
  <c r="AD1252"/>
  <c r="AD1253"/>
  <c r="AD1254"/>
  <c r="AD1255"/>
  <c r="AD1256"/>
  <c r="AD1257"/>
  <c r="AD1258"/>
  <c r="AD1259"/>
  <c r="AD1260"/>
  <c r="AD1261"/>
  <c r="AD1262"/>
  <c r="AD1263"/>
  <c r="AD1264"/>
  <c r="AD1265"/>
  <c r="AD1266"/>
  <c r="AD1267"/>
  <c r="AD1268"/>
  <c r="AD1269"/>
  <c r="AD1270"/>
  <c r="AD1271"/>
  <c r="AD1272"/>
  <c r="AD17"/>
  <c r="AD1273"/>
  <c r="AD1274"/>
  <c r="AD1275"/>
  <c r="AD1276"/>
  <c r="AD1277"/>
  <c r="AD1278"/>
  <c r="AD1279"/>
  <c r="AD1280"/>
  <c r="AD1281"/>
  <c r="AD1282"/>
  <c r="AD1283"/>
  <c r="AD1284"/>
  <c r="AD1285"/>
  <c r="AD1286"/>
  <c r="AD1287"/>
  <c r="AD1288"/>
  <c r="AD1289"/>
  <c r="AD1290"/>
  <c r="AD1291"/>
  <c r="AD1292"/>
  <c r="AD1293"/>
  <c r="AD1294"/>
  <c r="AD1295"/>
  <c r="AD1296"/>
  <c r="AD1297"/>
  <c r="AD1298"/>
  <c r="AD1299"/>
  <c r="AD1300"/>
  <c r="AD1301"/>
  <c r="AD1302"/>
  <c r="AD1303"/>
  <c r="AD1304"/>
  <c r="AD1305"/>
  <c r="AD1306"/>
  <c r="AD1307"/>
  <c r="AD1308"/>
  <c r="AD1309"/>
  <c r="AD1310"/>
  <c r="AD1311"/>
  <c r="AD1312"/>
  <c r="AD1313"/>
  <c r="AD1314"/>
  <c r="AD1315"/>
  <c r="AD1316"/>
  <c r="AD1317"/>
  <c r="AD1318"/>
  <c r="AD1319"/>
  <c r="AD1320"/>
  <c r="AD1321"/>
  <c r="AD1322"/>
  <c r="AD1323"/>
  <c r="AD1324"/>
  <c r="AD1325"/>
  <c r="AD1326"/>
  <c r="AD1327"/>
  <c r="AD1328"/>
  <c r="AD1329"/>
  <c r="AD1330"/>
  <c r="AD1331"/>
  <c r="AD1332"/>
  <c r="AD1333"/>
  <c r="AD1334"/>
  <c r="AD1335"/>
  <c r="AD1336"/>
  <c r="AD1337"/>
  <c r="AD1338"/>
  <c r="AD1339"/>
  <c r="AD1340"/>
  <c r="AD1341"/>
  <c r="AD1342"/>
  <c r="AD1343"/>
  <c r="AD1344"/>
  <c r="AD1345"/>
  <c r="AD1346"/>
  <c r="AD1347"/>
  <c r="AD1348"/>
  <c r="AD1349"/>
  <c r="AD1350"/>
  <c r="AD1351"/>
  <c r="AD1352"/>
  <c r="AD1353"/>
  <c r="AD1354"/>
  <c r="AD1355"/>
  <c r="AD1356"/>
  <c r="AD1357"/>
  <c r="AD1358"/>
  <c r="AD1359"/>
  <c r="AD1360"/>
  <c r="AD1361"/>
  <c r="AD1362"/>
  <c r="AD1363"/>
  <c r="AD1364"/>
  <c r="AD1365"/>
  <c r="AD1366"/>
  <c r="AD1367"/>
  <c r="AD1368"/>
  <c r="AD1369"/>
  <c r="AD1370"/>
  <c r="AD1371"/>
  <c r="AD1372"/>
  <c r="AD1373"/>
  <c r="AD1374"/>
  <c r="AD1375"/>
  <c r="AD1376"/>
  <c r="AD1377"/>
  <c r="AD1378"/>
  <c r="AD1379"/>
  <c r="AD1380"/>
  <c r="AD1381"/>
  <c r="AD1382"/>
  <c r="AD1383"/>
  <c r="AD1384"/>
  <c r="AD1385"/>
  <c r="AD1386"/>
  <c r="AD1387"/>
  <c r="AD1388"/>
  <c r="AD1389"/>
  <c r="AD1390"/>
  <c r="AD1391"/>
  <c r="AD1392"/>
  <c r="AD1393"/>
  <c r="AD1394"/>
  <c r="AD1395"/>
  <c r="AD1396"/>
  <c r="AD1397"/>
  <c r="AD1398"/>
  <c r="AD1399"/>
  <c r="AD1400"/>
  <c r="AD1401"/>
  <c r="AD1402"/>
  <c r="AD1403"/>
  <c r="AD1404"/>
  <c r="AD1405"/>
  <c r="AD1406"/>
  <c r="AD1407"/>
  <c r="AD1408"/>
  <c r="AD1409"/>
  <c r="AD1410"/>
  <c r="AD1411"/>
  <c r="AD1412"/>
  <c r="AD1413"/>
  <c r="AD1414"/>
  <c r="AD1415"/>
  <c r="AD1416"/>
  <c r="AD1417"/>
  <c r="AD1418"/>
  <c r="AD1419"/>
  <c r="AD1420"/>
  <c r="AD1421"/>
  <c r="AD1422"/>
  <c r="AD1423"/>
  <c r="AD1424"/>
  <c r="AD1425"/>
  <c r="AD1426"/>
  <c r="AD1427"/>
  <c r="AD1428"/>
  <c r="AD1429"/>
  <c r="AD1430"/>
  <c r="AD1431"/>
  <c r="AD1432"/>
  <c r="AD1433"/>
  <c r="AD1434"/>
  <c r="AD1435"/>
  <c r="AD1436"/>
  <c r="AD1437"/>
  <c r="AD1438"/>
  <c r="AD1439"/>
  <c r="AD1440"/>
  <c r="AD1441"/>
  <c r="AD1442"/>
  <c r="AD1443"/>
  <c r="AD1444"/>
  <c r="AD1445"/>
  <c r="AD1446"/>
  <c r="AD1447"/>
  <c r="AD1448"/>
  <c r="AD1449"/>
  <c r="AD1450"/>
  <c r="AD1451"/>
  <c r="AD1452"/>
  <c r="AD1453"/>
  <c r="AD1454"/>
  <c r="AD1455"/>
  <c r="AD1456"/>
  <c r="AD1457"/>
  <c r="AD1458"/>
  <c r="AD1459"/>
  <c r="AD1460"/>
  <c r="AD1461"/>
  <c r="AD1462"/>
  <c r="AD1463"/>
  <c r="AD1464"/>
  <c r="AD1465"/>
  <c r="AD1466"/>
  <c r="AD1467"/>
  <c r="AD1468"/>
  <c r="AD1469"/>
  <c r="AD1470"/>
  <c r="AD1471"/>
  <c r="AD1472"/>
  <c r="AD1473"/>
  <c r="AD1474"/>
  <c r="AD1475"/>
  <c r="AD1476"/>
  <c r="AD1477"/>
  <c r="AD1478"/>
  <c r="AD1479"/>
  <c r="AD1480"/>
  <c r="AD1481"/>
  <c r="AD1482"/>
  <c r="AD1483"/>
  <c r="AD1484"/>
  <c r="AD1485"/>
  <c r="AD1486"/>
  <c r="AD1487"/>
  <c r="AD1488"/>
  <c r="AD1489"/>
  <c r="AD1490"/>
  <c r="AD1491"/>
  <c r="AD1492"/>
  <c r="AD1493"/>
  <c r="AD1494"/>
  <c r="AD1495"/>
  <c r="AD1496"/>
  <c r="AD1497"/>
  <c r="AD1498"/>
  <c r="AD1499"/>
  <c r="AD1500"/>
  <c r="AD1501"/>
  <c r="AD1502"/>
  <c r="AD1503"/>
  <c r="AD1504"/>
  <c r="AD1505"/>
  <c r="AD1506"/>
  <c r="AD1507"/>
  <c r="AD1508"/>
  <c r="AD1509"/>
  <c r="AD1510"/>
  <c r="AD1511"/>
  <c r="AD1512"/>
  <c r="AD1513"/>
  <c r="AD1514"/>
  <c r="AD1515"/>
  <c r="AD1516"/>
  <c r="AD1517"/>
  <c r="AD1518"/>
  <c r="AD1519"/>
  <c r="AD1520"/>
  <c r="AD1521"/>
  <c r="AD1522"/>
  <c r="AD1523"/>
  <c r="AD1524"/>
  <c r="AD1525"/>
  <c r="AD1526"/>
  <c r="AD1527"/>
  <c r="AD1528"/>
  <c r="AD1529"/>
  <c r="AD1530"/>
  <c r="AD1531"/>
  <c r="AD1532"/>
  <c r="AD1533"/>
  <c r="AD1534"/>
  <c r="AD1535"/>
  <c r="AD1536"/>
  <c r="AD1537"/>
  <c r="AD1538"/>
  <c r="AD1539"/>
  <c r="AD1540"/>
  <c r="AD1541"/>
  <c r="AD1542"/>
  <c r="AD1543"/>
  <c r="AD1544"/>
  <c r="AD1545"/>
  <c r="AD1546"/>
  <c r="AD1547"/>
  <c r="AD1548"/>
  <c r="AD1549"/>
  <c r="AD1550"/>
  <c r="AD1551"/>
  <c r="AD1552"/>
  <c r="AD1553"/>
  <c r="AD1554"/>
  <c r="AD1555"/>
  <c r="AD1556"/>
  <c r="AD1557"/>
  <c r="AD1558"/>
  <c r="AD1559"/>
  <c r="AD1560"/>
  <c r="AD1561"/>
  <c r="AD1562"/>
  <c r="AD1563"/>
  <c r="AD1564"/>
  <c r="AD1565"/>
  <c r="AD1566"/>
  <c r="AD1567"/>
  <c r="AD1568"/>
  <c r="AD1569"/>
  <c r="AD1570"/>
  <c r="AD1571"/>
  <c r="AD1572"/>
  <c r="AD1573"/>
  <c r="AD1574"/>
  <c r="AD1575"/>
  <c r="AD1576"/>
  <c r="AD1577"/>
  <c r="AD1578"/>
  <c r="AD1579"/>
  <c r="AD1580"/>
  <c r="AD1581"/>
  <c r="AD1582"/>
  <c r="AD1583"/>
  <c r="AD1584"/>
  <c r="AD1585"/>
  <c r="AD1586"/>
  <c r="AD1587"/>
  <c r="AD1588"/>
  <c r="AD1589"/>
  <c r="AD1590"/>
  <c r="AD1591"/>
  <c r="AD1592"/>
  <c r="AD1593"/>
  <c r="AD1594"/>
  <c r="AD1595"/>
  <c r="AD1596"/>
  <c r="AD1597"/>
  <c r="AD1598"/>
  <c r="AD1599"/>
  <c r="AD1600"/>
  <c r="AD1601"/>
  <c r="AD1602"/>
  <c r="AD1603"/>
  <c r="AD1604"/>
  <c r="AD1605"/>
  <c r="AD1606"/>
  <c r="AD1607"/>
  <c r="AD1608"/>
  <c r="AD1609"/>
  <c r="AD1610"/>
  <c r="AD1611"/>
  <c r="AD1612"/>
  <c r="AD1613"/>
  <c r="AD1614"/>
  <c r="AD1615"/>
  <c r="AD1616"/>
  <c r="AD1617"/>
  <c r="AD1618"/>
  <c r="AD1619"/>
  <c r="AD1620"/>
  <c r="AD1621"/>
  <c r="AD11"/>
  <c r="AD1622"/>
  <c r="AD1623"/>
  <c r="AD1624"/>
  <c r="AD1625"/>
  <c r="AD1626"/>
  <c r="AD1627"/>
  <c r="AD1628"/>
  <c r="AD1629"/>
  <c r="AD1630"/>
  <c r="AD1631"/>
  <c r="AD1632"/>
  <c r="AD1633"/>
  <c r="AD1634"/>
  <c r="AD1635"/>
  <c r="AD1636"/>
  <c r="AD1637"/>
  <c r="AD1638"/>
  <c r="AD1639"/>
  <c r="AD1640"/>
  <c r="AD1641"/>
  <c r="AD1642"/>
  <c r="AD1643"/>
  <c r="AD1644"/>
  <c r="AD1645"/>
  <c r="AD1646"/>
  <c r="AD1647"/>
  <c r="AD1648"/>
  <c r="AD1649"/>
  <c r="AD1650"/>
  <c r="AD1651"/>
  <c r="AD1652"/>
  <c r="AD1653"/>
  <c r="AD1654"/>
  <c r="AD1655"/>
  <c r="AD1656"/>
  <c r="AD1657"/>
  <c r="AD1658"/>
  <c r="AD1659"/>
  <c r="AD1660"/>
  <c r="AD1661"/>
  <c r="AD1662"/>
  <c r="AD1663"/>
  <c r="AD1664"/>
  <c r="AD1665"/>
  <c r="AD1666"/>
  <c r="AD1667"/>
  <c r="AD1668"/>
  <c r="AD1669"/>
  <c r="AD1670"/>
  <c r="AD1671"/>
  <c r="AD1672"/>
  <c r="AD1673"/>
  <c r="AD1674"/>
  <c r="AD1675"/>
  <c r="AD1676"/>
  <c r="AD1677"/>
  <c r="AD1678"/>
  <c r="AD1679"/>
  <c r="AD1680"/>
  <c r="AD1681"/>
  <c r="AD1682"/>
  <c r="AD1683"/>
  <c r="AD1684"/>
  <c r="AD1685"/>
  <c r="AD1686"/>
  <c r="AD1687"/>
  <c r="AD1688"/>
  <c r="AD1689"/>
  <c r="AD1690"/>
  <c r="AD1691"/>
  <c r="AD1692"/>
  <c r="AD1693"/>
  <c r="AD1694"/>
  <c r="AD1695"/>
  <c r="AD1696"/>
  <c r="AD1697"/>
  <c r="AD1698"/>
  <c r="AD1699"/>
  <c r="AD1700"/>
  <c r="AD1701"/>
  <c r="AD1702"/>
  <c r="AD1703"/>
  <c r="AD1704"/>
  <c r="AD1705"/>
  <c r="AD1706"/>
  <c r="AD1707"/>
  <c r="AD1708"/>
  <c r="AD1709"/>
  <c r="AD1710"/>
  <c r="AD1711"/>
  <c r="AD1712"/>
  <c r="AD1713"/>
  <c r="AD1714"/>
  <c r="AD1715"/>
  <c r="AD1716"/>
  <c r="AD1717"/>
  <c r="AD1718"/>
  <c r="AD1719"/>
  <c r="AD1720"/>
  <c r="AD1721"/>
  <c r="AD1722"/>
  <c r="AD1723"/>
  <c r="AD1724"/>
  <c r="AD1725"/>
  <c r="AD1726"/>
  <c r="AD1727"/>
  <c r="AD1728"/>
  <c r="AD1729"/>
  <c r="AD1730"/>
  <c r="AD1731"/>
  <c r="AD7"/>
  <c r="AD1732"/>
  <c r="AD1733"/>
  <c r="AD1734"/>
  <c r="AD1735"/>
  <c r="AD1736"/>
  <c r="AD1737"/>
  <c r="AD1738"/>
  <c r="AD1739"/>
  <c r="AD1740"/>
  <c r="AD1741"/>
  <c r="AD1742"/>
  <c r="AD1743"/>
  <c r="AD1744"/>
  <c r="AD1745"/>
  <c r="AD1746"/>
  <c r="AD1747"/>
  <c r="AD1748"/>
  <c r="AD1749"/>
  <c r="AD1750"/>
  <c r="AD1751"/>
  <c r="AD1752"/>
  <c r="AD1753"/>
  <c r="AD1754"/>
  <c r="AD1755"/>
  <c r="AD1756"/>
  <c r="AD1757"/>
  <c r="AD1758"/>
  <c r="AD1759"/>
  <c r="AD1760"/>
  <c r="AD1761"/>
  <c r="AD1762"/>
  <c r="AD1763"/>
  <c r="AD1764"/>
  <c r="AD1765"/>
  <c r="AD1766"/>
  <c r="AD1767"/>
  <c r="AD1768"/>
  <c r="AD1769"/>
  <c r="AD1770"/>
  <c r="AD1771"/>
  <c r="AD1772"/>
  <c r="AD1773"/>
  <c r="AD1774"/>
  <c r="AD1775"/>
  <c r="AD1776"/>
  <c r="AD1777"/>
  <c r="AD1778"/>
  <c r="AD1779"/>
  <c r="AD1780"/>
  <c r="AD1781"/>
  <c r="AD1782"/>
  <c r="AD1783"/>
  <c r="AD1784"/>
  <c r="AD1785"/>
  <c r="AD1786"/>
  <c r="AD1787"/>
  <c r="AD1788"/>
  <c r="AD1789"/>
  <c r="AD1790"/>
  <c r="AD1791"/>
  <c r="AD1792"/>
  <c r="AD1793"/>
  <c r="AD1794"/>
  <c r="AD1795"/>
  <c r="AD1796"/>
  <c r="AD1797"/>
  <c r="AD1798"/>
  <c r="AD1799"/>
  <c r="AD1800"/>
  <c r="AD1801"/>
  <c r="AD1802"/>
  <c r="AD1803"/>
  <c r="AD1804"/>
  <c r="AD1805"/>
  <c r="AD1806"/>
  <c r="AD1807"/>
  <c r="AD1808"/>
  <c r="AD1809"/>
  <c r="AD1810"/>
  <c r="AD1811"/>
  <c r="AD1812"/>
  <c r="AD1813"/>
  <c r="AD1814"/>
  <c r="AD1815"/>
  <c r="AD1816"/>
  <c r="AD1817"/>
  <c r="AD1818"/>
  <c r="AD1819"/>
  <c r="AD1820"/>
  <c r="AD1821"/>
  <c r="AD1822"/>
  <c r="AD1823"/>
  <c r="AD1824"/>
  <c r="AD1825"/>
  <c r="AD1826"/>
  <c r="AD1827"/>
  <c r="AD1828"/>
  <c r="AD1829"/>
  <c r="AD1830"/>
  <c r="AD1831"/>
  <c r="AD1832"/>
  <c r="AD1833"/>
  <c r="AD1834"/>
  <c r="AD1835"/>
  <c r="AD1836"/>
  <c r="AD1837"/>
  <c r="AD1838"/>
  <c r="AD1839"/>
  <c r="AD1840"/>
  <c r="AD1841"/>
  <c r="AD8"/>
  <c r="AD1842"/>
  <c r="AD1843"/>
  <c r="AD1844"/>
  <c r="AD1845"/>
  <c r="AD1846"/>
  <c r="AD1847"/>
  <c r="AD1848"/>
  <c r="AD1849"/>
  <c r="AD1850"/>
  <c r="AD1851"/>
  <c r="AD1852"/>
  <c r="AD1853"/>
  <c r="AD1854"/>
  <c r="AD1855"/>
  <c r="AD1856"/>
  <c r="AD1857"/>
  <c r="AD1858"/>
  <c r="AD12"/>
  <c r="AD1859"/>
  <c r="AD1860"/>
  <c r="AD1861"/>
  <c r="AD1862"/>
  <c r="AD1863"/>
  <c r="AD1864"/>
  <c r="AD1865"/>
  <c r="AD1866"/>
  <c r="AD1867"/>
  <c r="AD1868"/>
  <c r="AD1869"/>
  <c r="AD1870"/>
  <c r="AD1871"/>
  <c r="AD1872"/>
  <c r="AD1873"/>
  <c r="AD1874"/>
  <c r="AD1875"/>
  <c r="AD1876"/>
  <c r="AD1877"/>
  <c r="AD1878"/>
  <c r="AD1879"/>
  <c r="AD1880"/>
  <c r="AD1881"/>
  <c r="AD1882"/>
  <c r="AD1883"/>
  <c r="AD1884"/>
  <c r="AD1885"/>
  <c r="AD1886"/>
  <c r="AD1887"/>
  <c r="AD1888"/>
  <c r="AD1889"/>
  <c r="AD1890"/>
  <c r="AD1891"/>
  <c r="AD1892"/>
  <c r="AD1893"/>
  <c r="AD1894"/>
  <c r="AD1895"/>
  <c r="AD1896"/>
  <c r="AD1897"/>
  <c r="AD1898"/>
  <c r="AD1899"/>
  <c r="AD1900"/>
  <c r="AD1901"/>
  <c r="AD1902"/>
  <c r="AD1903"/>
  <c r="AD1904"/>
  <c r="AD1905"/>
  <c r="AD1906"/>
  <c r="AD1907"/>
  <c r="AD1908"/>
  <c r="AD1909"/>
  <c r="AD1910"/>
  <c r="AD1911"/>
  <c r="AD1912"/>
  <c r="AD1913"/>
  <c r="AD1914"/>
  <c r="AD1915"/>
  <c r="AD1916"/>
  <c r="AD1917"/>
  <c r="AD1918"/>
  <c r="AD1919"/>
  <c r="AD1920"/>
  <c r="AD1921"/>
  <c r="AD1922"/>
  <c r="AD1923"/>
  <c r="AD1924"/>
  <c r="AD1925"/>
  <c r="AD1926"/>
  <c r="AD1927"/>
  <c r="AD1928"/>
  <c r="AD1929"/>
  <c r="AD16"/>
  <c r="AD1930"/>
  <c r="AD1931"/>
  <c r="AD1932"/>
  <c r="AD1933"/>
  <c r="AD1934"/>
  <c r="AD1935"/>
  <c r="AD1936"/>
  <c r="AD1937"/>
  <c r="AD1938"/>
  <c r="AD1939"/>
  <c r="AD1940"/>
  <c r="AD5"/>
  <c r="AD1941"/>
  <c r="AD1942"/>
  <c r="AD1943"/>
  <c r="AD1944"/>
  <c r="AD1945"/>
  <c r="AD1946"/>
  <c r="AD1947"/>
  <c r="AD1948"/>
  <c r="AD1949"/>
  <c r="AD1950"/>
  <c r="AD1951"/>
  <c r="AD1952"/>
  <c r="AD1953"/>
  <c r="AD1954"/>
  <c r="AD1955"/>
  <c r="AD1956"/>
  <c r="AD1957"/>
  <c r="AD1958"/>
  <c r="AD1959"/>
  <c r="AD1960"/>
  <c r="AD1961"/>
  <c r="AD1962"/>
  <c r="AD1963"/>
  <c r="AD1964"/>
  <c r="AD1965"/>
  <c r="AD1966"/>
  <c r="AD1967"/>
  <c r="AD1968"/>
  <c r="AD1969"/>
  <c r="AD1970"/>
  <c r="AD1971"/>
  <c r="AD1972"/>
  <c r="AD1973"/>
  <c r="AD1974"/>
  <c r="AD1975"/>
  <c r="AD1976"/>
  <c r="AD1977"/>
  <c r="AD1978"/>
  <c r="AD1979"/>
  <c r="AD1980"/>
  <c r="AD1981"/>
  <c r="AD1982"/>
  <c r="AD1983"/>
  <c r="AD1984"/>
  <c r="AD1985"/>
  <c r="AD1986"/>
  <c r="AD1987"/>
  <c r="AD1988"/>
  <c r="AD1989"/>
  <c r="AD1990"/>
  <c r="AD1991"/>
  <c r="AD1992"/>
  <c r="AD1993"/>
  <c r="AD1994"/>
  <c r="AD1995"/>
  <c r="AD1996"/>
  <c r="AD1997"/>
  <c r="AD1998"/>
  <c r="AD1999"/>
  <c r="AD2000"/>
  <c r="AD2001"/>
  <c r="AD2002"/>
  <c r="AD2003"/>
  <c r="AD2004"/>
  <c r="AD2005"/>
  <c r="AD2006"/>
  <c r="AD2007"/>
  <c r="AD2008"/>
  <c r="AD2009"/>
  <c r="AD2010"/>
  <c r="AD2011"/>
  <c r="AD2012"/>
  <c r="AD2013"/>
  <c r="AD2014"/>
  <c r="AD2015"/>
  <c r="AD2016"/>
  <c r="AD2017"/>
  <c r="AD2018"/>
  <c r="AD2019"/>
  <c r="AD2020"/>
  <c r="AD2021"/>
  <c r="AD2022"/>
  <c r="AD2023"/>
  <c r="AD2024"/>
  <c r="AD2025"/>
  <c r="AD2026"/>
  <c r="AD2027"/>
  <c r="AD2028"/>
  <c r="AD2029"/>
  <c r="AD2030"/>
  <c r="AD2031"/>
  <c r="AD2032"/>
  <c r="AD2033"/>
  <c r="AD2034"/>
  <c r="AD2035"/>
  <c r="AD2036"/>
  <c r="AD2037"/>
  <c r="AD2038"/>
  <c r="AD2039"/>
  <c r="AD2040"/>
  <c r="AD2041"/>
  <c r="AD2042"/>
  <c r="AD2043"/>
  <c r="AD2044"/>
  <c r="AD2045"/>
  <c r="AD2046"/>
  <c r="AD2047"/>
  <c r="AD2048"/>
  <c r="AD2049"/>
  <c r="AD2050"/>
  <c r="AD2051"/>
  <c r="AD2052"/>
  <c r="AD2053"/>
  <c r="AD2054"/>
  <c r="AD2055"/>
  <c r="AD2056"/>
  <c r="AD2057"/>
  <c r="AD2058"/>
  <c r="AD2059"/>
  <c r="AD2060"/>
  <c r="AD2061"/>
  <c r="AD2062"/>
  <c r="AD2063"/>
  <c r="AD2064"/>
  <c r="AD2065"/>
  <c r="AD2066"/>
  <c r="AD2067"/>
  <c r="AD2068"/>
  <c r="AD2069"/>
  <c r="AD2070"/>
  <c r="AD2071"/>
  <c r="AD2072"/>
  <c r="AD2073"/>
  <c r="AD2074"/>
  <c r="AD2075"/>
  <c r="AD2076"/>
  <c r="AD2077"/>
  <c r="AD2078"/>
  <c r="AD2079"/>
  <c r="AD2080"/>
  <c r="AD2081"/>
  <c r="AD2082"/>
  <c r="AD2083"/>
  <c r="AD2084"/>
  <c r="AD2085"/>
  <c r="AD10"/>
  <c r="AD2086"/>
  <c r="AD2087"/>
  <c r="AD2088"/>
  <c r="AD2089"/>
  <c r="AD2090"/>
  <c r="AD2091"/>
  <c r="AD2092"/>
  <c r="AD2093"/>
  <c r="AD2094"/>
  <c r="AD2095"/>
  <c r="AD2096"/>
  <c r="AD2097"/>
  <c r="AD2098"/>
  <c r="AD2099"/>
  <c r="AD2100"/>
  <c r="AD2101"/>
  <c r="AD2102"/>
  <c r="AD2103"/>
  <c r="AD2104"/>
  <c r="AD2105"/>
  <c r="AD2106"/>
  <c r="AD2107"/>
  <c r="AD2108"/>
  <c r="AD2109"/>
  <c r="AD2110"/>
  <c r="AD2111"/>
  <c r="AD2112"/>
  <c r="AD2113"/>
  <c r="AD2114"/>
  <c r="AD2115"/>
  <c r="AD2116"/>
  <c r="AD2117"/>
  <c r="AD2118"/>
  <c r="AD2119"/>
  <c r="AD2120"/>
  <c r="AD2121"/>
  <c r="AD2122"/>
  <c r="AD2123"/>
  <c r="AD2124"/>
  <c r="AD2125"/>
  <c r="AD2126"/>
  <c r="AD2127"/>
  <c r="AD2128"/>
  <c r="AD2129"/>
  <c r="AD2130"/>
  <c r="AD2131"/>
  <c r="AD2132"/>
  <c r="AD2133"/>
  <c r="AD2134"/>
  <c r="AD2135"/>
  <c r="AD2136"/>
  <c r="AD2137"/>
  <c r="AD2138"/>
  <c r="AD2139"/>
  <c r="AD2140"/>
  <c r="AD2141"/>
  <c r="AD2142"/>
  <c r="AD2143"/>
  <c r="AD2144"/>
  <c r="AD2145"/>
  <c r="AD2146"/>
  <c r="AD2147"/>
  <c r="AD2148"/>
  <c r="AD2149"/>
  <c r="AD2150"/>
  <c r="AD2151"/>
  <c r="AD2152"/>
  <c r="AD2153"/>
  <c r="AD2154"/>
  <c r="AD2155"/>
  <c r="AD2156"/>
  <c r="AD2157"/>
  <c r="AD2158"/>
  <c r="AD2159"/>
  <c r="AD2160"/>
  <c r="AD2161"/>
  <c r="AD2162"/>
  <c r="AD2163"/>
  <c r="AD2164"/>
  <c r="AD2165"/>
  <c r="AD2166"/>
  <c r="AD2167"/>
  <c r="AD2168"/>
  <c r="AE47"/>
  <c r="AE48"/>
  <c r="AE49"/>
  <c r="AE50"/>
  <c r="AE51"/>
  <c r="AE52"/>
  <c r="AE53"/>
  <c r="AE54"/>
  <c r="AE55"/>
  <c r="AE56"/>
  <c r="AE57"/>
  <c r="AE58"/>
  <c r="AE59"/>
  <c r="AE60"/>
  <c r="AE61"/>
  <c r="AE62"/>
  <c r="AE63"/>
  <c r="AE64"/>
  <c r="AE65"/>
  <c r="AE66"/>
  <c r="AE67"/>
  <c r="AE68"/>
  <c r="AE69"/>
  <c r="AE70"/>
  <c r="AE71"/>
  <c r="AE72"/>
  <c r="AE73"/>
  <c r="AE74"/>
  <c r="AE75"/>
  <c r="AE76"/>
  <c r="AE9"/>
  <c r="AE77"/>
  <c r="AE78"/>
  <c r="AE79"/>
  <c r="AE80"/>
  <c r="AE81"/>
  <c r="AE15"/>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E146"/>
  <c r="AE147"/>
  <c r="AE148"/>
  <c r="AE149"/>
  <c r="AE150"/>
  <c r="AE151"/>
  <c r="AE152"/>
  <c r="AE153"/>
  <c r="AE154"/>
  <c r="AE15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AE196"/>
  <c r="AE197"/>
  <c r="AE198"/>
  <c r="AE199"/>
  <c r="AE200"/>
  <c r="AE201"/>
  <c r="AE202"/>
  <c r="AE203"/>
  <c r="AE204"/>
  <c r="AE205"/>
  <c r="AE206"/>
  <c r="AE207"/>
  <c r="AE208"/>
  <c r="AE209"/>
  <c r="AE210"/>
  <c r="AE211"/>
  <c r="AE212"/>
  <c r="AE213"/>
  <c r="AE214"/>
  <c r="AE215"/>
  <c r="AE216"/>
  <c r="AE217"/>
  <c r="AE218"/>
  <c r="AE219"/>
  <c r="AE220"/>
  <c r="AE221"/>
  <c r="AE222"/>
  <c r="AE223"/>
  <c r="AE224"/>
  <c r="AE225"/>
  <c r="AE226"/>
  <c r="AE227"/>
  <c r="AE228"/>
  <c r="AE229"/>
  <c r="AE230"/>
  <c r="AE231"/>
  <c r="AE232"/>
  <c r="AE233"/>
  <c r="AE234"/>
  <c r="AE235"/>
  <c r="AE236"/>
  <c r="AE237"/>
  <c r="AE238"/>
  <c r="AE239"/>
  <c r="AE240"/>
  <c r="AE241"/>
  <c r="AE242"/>
  <c r="AE243"/>
  <c r="AE244"/>
  <c r="AE245"/>
  <c r="AE246"/>
  <c r="AE247"/>
  <c r="AE248"/>
  <c r="AE249"/>
  <c r="AE250"/>
  <c r="AE251"/>
  <c r="AE252"/>
  <c r="AE253"/>
  <c r="AE254"/>
  <c r="AE255"/>
  <c r="AE256"/>
  <c r="AE257"/>
  <c r="AE258"/>
  <c r="AE259"/>
  <c r="AE260"/>
  <c r="AE261"/>
  <c r="AE262"/>
  <c r="AE263"/>
  <c r="AE264"/>
  <c r="AE265"/>
  <c r="AE266"/>
  <c r="AE267"/>
  <c r="AE268"/>
  <c r="AE269"/>
  <c r="AE270"/>
  <c r="AE271"/>
  <c r="AE272"/>
  <c r="AE273"/>
  <c r="AE274"/>
  <c r="AE275"/>
  <c r="AE276"/>
  <c r="AE277"/>
  <c r="AE278"/>
  <c r="AE279"/>
  <c r="AE280"/>
  <c r="AE281"/>
  <c r="AE282"/>
  <c r="AE283"/>
  <c r="AE284"/>
  <c r="AE285"/>
  <c r="AE286"/>
  <c r="AE287"/>
  <c r="AE288"/>
  <c r="AE289"/>
  <c r="AE290"/>
  <c r="AE291"/>
  <c r="AE292"/>
  <c r="AE293"/>
  <c r="AE294"/>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AE369"/>
  <c r="AE370"/>
  <c r="AE371"/>
  <c r="AE372"/>
  <c r="AE373"/>
  <c r="AE374"/>
  <c r="AE375"/>
  <c r="AE376"/>
  <c r="AE377"/>
  <c r="AE378"/>
  <c r="AE379"/>
  <c r="AE380"/>
  <c r="AE381"/>
  <c r="AE382"/>
  <c r="AE383"/>
  <c r="AE384"/>
  <c r="AE385"/>
  <c r="AE386"/>
  <c r="AE387"/>
  <c r="AE388"/>
  <c r="AE389"/>
  <c r="AE390"/>
  <c r="AE391"/>
  <c r="AE392"/>
  <c r="AE393"/>
  <c r="AE394"/>
  <c r="AE395"/>
  <c r="AE396"/>
  <c r="AE397"/>
  <c r="AE398"/>
  <c r="AE399"/>
  <c r="AE400"/>
  <c r="AE401"/>
  <c r="AE402"/>
  <c r="AE403"/>
  <c r="AE404"/>
  <c r="AE405"/>
  <c r="AE406"/>
  <c r="AE407"/>
  <c r="AE408"/>
  <c r="AE409"/>
  <c r="AE410"/>
  <c r="AE411"/>
  <c r="AE412"/>
  <c r="AE413"/>
  <c r="AE414"/>
  <c r="AE415"/>
  <c r="AE416"/>
  <c r="AE417"/>
  <c r="AE418"/>
  <c r="AE419"/>
  <c r="AE420"/>
  <c r="AE421"/>
  <c r="AE422"/>
  <c r="AE423"/>
  <c r="AE424"/>
  <c r="AE425"/>
  <c r="AE426"/>
  <c r="AE427"/>
  <c r="AE428"/>
  <c r="AE429"/>
  <c r="AE430"/>
  <c r="AE431"/>
  <c r="AE432"/>
  <c r="AE433"/>
  <c r="AE434"/>
  <c r="AE435"/>
  <c r="AE436"/>
  <c r="AE437"/>
  <c r="AE438"/>
  <c r="AE439"/>
  <c r="AE440"/>
  <c r="AE441"/>
  <c r="AE442"/>
  <c r="AE443"/>
  <c r="AE444"/>
  <c r="AE445"/>
  <c r="AE446"/>
  <c r="AE447"/>
  <c r="AE448"/>
  <c r="AE449"/>
  <c r="AE450"/>
  <c r="AE451"/>
  <c r="AE452"/>
  <c r="AE453"/>
  <c r="AE454"/>
  <c r="AE455"/>
  <c r="AE456"/>
  <c r="AE457"/>
  <c r="AE458"/>
  <c r="AE459"/>
  <c r="AE460"/>
  <c r="AE461"/>
  <c r="AE462"/>
  <c r="AE463"/>
  <c r="AE464"/>
  <c r="AE465"/>
  <c r="AE466"/>
  <c r="AE467"/>
  <c r="AE468"/>
  <c r="AE469"/>
  <c r="AE470"/>
  <c r="AE471"/>
  <c r="AE472"/>
  <c r="AE473"/>
  <c r="AE474"/>
  <c r="AE475"/>
  <c r="AE476"/>
  <c r="AE477"/>
  <c r="AE478"/>
  <c r="AE479"/>
  <c r="AE480"/>
  <c r="AE481"/>
  <c r="AE482"/>
  <c r="AE483"/>
  <c r="AE484"/>
  <c r="AE485"/>
  <c r="AE486"/>
  <c r="AE487"/>
  <c r="AE488"/>
  <c r="AE489"/>
  <c r="AE490"/>
  <c r="AE491"/>
  <c r="AE492"/>
  <c r="AE493"/>
  <c r="AE494"/>
  <c r="AE495"/>
  <c r="AE496"/>
  <c r="AE497"/>
  <c r="AE498"/>
  <c r="AE499"/>
  <c r="AE500"/>
  <c r="AE501"/>
  <c r="AE502"/>
  <c r="AE503"/>
  <c r="AE504"/>
  <c r="AE505"/>
  <c r="AE506"/>
  <c r="AE507"/>
  <c r="AE508"/>
  <c r="AE509"/>
  <c r="AE510"/>
  <c r="AE511"/>
  <c r="AE512"/>
  <c r="AE513"/>
  <c r="AE514"/>
  <c r="AE515"/>
  <c r="AE516"/>
  <c r="AE517"/>
  <c r="AE518"/>
  <c r="AE519"/>
  <c r="AE520"/>
  <c r="AE521"/>
  <c r="AE522"/>
  <c r="AE523"/>
  <c r="AE524"/>
  <c r="AE525"/>
  <c r="AE526"/>
  <c r="AE527"/>
  <c r="AE528"/>
  <c r="AE529"/>
  <c r="AE530"/>
  <c r="AE531"/>
  <c r="AE532"/>
  <c r="AE533"/>
  <c r="AE534"/>
  <c r="AE535"/>
  <c r="AE536"/>
  <c r="AE537"/>
  <c r="AE538"/>
  <c r="AE539"/>
  <c r="AE540"/>
  <c r="AE541"/>
  <c r="AE542"/>
  <c r="AE543"/>
  <c r="AE544"/>
  <c r="AE545"/>
  <c r="AE546"/>
  <c r="AE547"/>
  <c r="AE548"/>
  <c r="AE549"/>
  <c r="AE550"/>
  <c r="AE551"/>
  <c r="AE552"/>
  <c r="AE553"/>
  <c r="AE554"/>
  <c r="AE555"/>
  <c r="AE556"/>
  <c r="AE557"/>
  <c r="AE558"/>
  <c r="AE559"/>
  <c r="AE560"/>
  <c r="AE561"/>
  <c r="AE562"/>
  <c r="AE563"/>
  <c r="AE564"/>
  <c r="AE565"/>
  <c r="AE566"/>
  <c r="AE567"/>
  <c r="AE568"/>
  <c r="AE569"/>
  <c r="AE570"/>
  <c r="AE571"/>
  <c r="AE572"/>
  <c r="AE573"/>
  <c r="AE574"/>
  <c r="AE575"/>
  <c r="AE576"/>
  <c r="AE577"/>
  <c r="AE578"/>
  <c r="AE579"/>
  <c r="AE580"/>
  <c r="AE581"/>
  <c r="AE582"/>
  <c r="AE583"/>
  <c r="AE584"/>
  <c r="AE585"/>
  <c r="AE586"/>
  <c r="AE587"/>
  <c r="AE588"/>
  <c r="AE589"/>
  <c r="AE590"/>
  <c r="AE591"/>
  <c r="AE592"/>
  <c r="AE593"/>
  <c r="AE594"/>
  <c r="AE595"/>
  <c r="AE596"/>
  <c r="AE597"/>
  <c r="AE598"/>
  <c r="AE599"/>
  <c r="AE600"/>
  <c r="AE601"/>
  <c r="AE602"/>
  <c r="AE603"/>
  <c r="AE604"/>
  <c r="AE605"/>
  <c r="AE606"/>
  <c r="AE607"/>
  <c r="AE608"/>
  <c r="AE609"/>
  <c r="AE610"/>
  <c r="AE611"/>
  <c r="AE612"/>
  <c r="AE613"/>
  <c r="AE614"/>
  <c r="AE615"/>
  <c r="AE616"/>
  <c r="AE617"/>
  <c r="AE618"/>
  <c r="AE619"/>
  <c r="AE620"/>
  <c r="AE621"/>
  <c r="AE622"/>
  <c r="AE623"/>
  <c r="AE624"/>
  <c r="AE625"/>
  <c r="AE626"/>
  <c r="AE627"/>
  <c r="AE628"/>
  <c r="AE629"/>
  <c r="AE630"/>
  <c r="AE631"/>
  <c r="AE632"/>
  <c r="AE633"/>
  <c r="AE634"/>
  <c r="AE635"/>
  <c r="AE636"/>
  <c r="AE637"/>
  <c r="AE638"/>
  <c r="AE639"/>
  <c r="AE640"/>
  <c r="AE641"/>
  <c r="AE642"/>
  <c r="AE643"/>
  <c r="AE644"/>
  <c r="AE645"/>
  <c r="AE646"/>
  <c r="AE647"/>
  <c r="AE648"/>
  <c r="AE649"/>
  <c r="AE650"/>
  <c r="AE651"/>
  <c r="AE652"/>
  <c r="AE653"/>
  <c r="AE654"/>
  <c r="AE655"/>
  <c r="AE656"/>
  <c r="AE657"/>
  <c r="AE658"/>
  <c r="AE659"/>
  <c r="AE660"/>
  <c r="AE661"/>
  <c r="AE662"/>
  <c r="AE663"/>
  <c r="AE664"/>
  <c r="AE665"/>
  <c r="AE666"/>
  <c r="AE667"/>
  <c r="AE668"/>
  <c r="AE669"/>
  <c r="AE670"/>
  <c r="AE671"/>
  <c r="AE672"/>
  <c r="AE673"/>
  <c r="AE674"/>
  <c r="AE675"/>
  <c r="AE676"/>
  <c r="AE677"/>
  <c r="AE678"/>
  <c r="AE679"/>
  <c r="AE680"/>
  <c r="AE681"/>
  <c r="AE682"/>
  <c r="AE683"/>
  <c r="AE684"/>
  <c r="AE685"/>
  <c r="AE686"/>
  <c r="AE687"/>
  <c r="AE688"/>
  <c r="AE689"/>
  <c r="AE690"/>
  <c r="AE691"/>
  <c r="AE692"/>
  <c r="AE693"/>
  <c r="AE694"/>
  <c r="AE695"/>
  <c r="AE696"/>
  <c r="AE697"/>
  <c r="AE698"/>
  <c r="AE699"/>
  <c r="AE700"/>
  <c r="AE701"/>
  <c r="AE702"/>
  <c r="AE703"/>
  <c r="AE704"/>
  <c r="AE705"/>
  <c r="AE706"/>
  <c r="AE707"/>
  <c r="AE708"/>
  <c r="AE709"/>
  <c r="AE710"/>
  <c r="AE711"/>
  <c r="AE712"/>
  <c r="AE713"/>
  <c r="AE714"/>
  <c r="AE715"/>
  <c r="AE716"/>
  <c r="AE717"/>
  <c r="AE718"/>
  <c r="AE719"/>
  <c r="AE720"/>
  <c r="AE721"/>
  <c r="AE722"/>
  <c r="AE723"/>
  <c r="AE724"/>
  <c r="AE725"/>
  <c r="AE726"/>
  <c r="AE14"/>
  <c r="AE727"/>
  <c r="AE728"/>
  <c r="AE729"/>
  <c r="AE730"/>
  <c r="AE731"/>
  <c r="AE732"/>
  <c r="AE733"/>
  <c r="AE734"/>
  <c r="AE735"/>
  <c r="AE736"/>
  <c r="AE737"/>
  <c r="AE738"/>
  <c r="AE739"/>
  <c r="AE740"/>
  <c r="AE741"/>
  <c r="AE742"/>
  <c r="AE743"/>
  <c r="AE744"/>
  <c r="AE745"/>
  <c r="AE746"/>
  <c r="AE747"/>
  <c r="AE748"/>
  <c r="AE749"/>
  <c r="AE750"/>
  <c r="AE751"/>
  <c r="AE752"/>
  <c r="AE753"/>
  <c r="AE754"/>
  <c r="AE755"/>
  <c r="AE756"/>
  <c r="AE757"/>
  <c r="AE758"/>
  <c r="AE759"/>
  <c r="AE760"/>
  <c r="AE761"/>
  <c r="AE762"/>
  <c r="AE763"/>
  <c r="AE764"/>
  <c r="AE765"/>
  <c r="AE766"/>
  <c r="AE767"/>
  <c r="AE768"/>
  <c r="AE769"/>
  <c r="AE770"/>
  <c r="AE771"/>
  <c r="AE772"/>
  <c r="AE773"/>
  <c r="AE774"/>
  <c r="AE775"/>
  <c r="AE776"/>
  <c r="AE777"/>
  <c r="AE778"/>
  <c r="AE779"/>
  <c r="AE780"/>
  <c r="AE781"/>
  <c r="AE782"/>
  <c r="AE783"/>
  <c r="AE784"/>
  <c r="AE785"/>
  <c r="AE786"/>
  <c r="AE787"/>
  <c r="AE788"/>
  <c r="AE789"/>
  <c r="AE790"/>
  <c r="AE791"/>
  <c r="AE792"/>
  <c r="AE793"/>
  <c r="AE794"/>
  <c r="AE795"/>
  <c r="AE796"/>
  <c r="AE797"/>
  <c r="AE798"/>
  <c r="AE799"/>
  <c r="AE800"/>
  <c r="AE801"/>
  <c r="AE802"/>
  <c r="AE803"/>
  <c r="AE804"/>
  <c r="AE805"/>
  <c r="AE806"/>
  <c r="AE807"/>
  <c r="AE808"/>
  <c r="AE809"/>
  <c r="AE810"/>
  <c r="AE811"/>
  <c r="AE812"/>
  <c r="AE813"/>
  <c r="AE814"/>
  <c r="AE815"/>
  <c r="AE816"/>
  <c r="AE817"/>
  <c r="AE818"/>
  <c r="AE819"/>
  <c r="AE820"/>
  <c r="AE821"/>
  <c r="AE822"/>
  <c r="AE823"/>
  <c r="AE824"/>
  <c r="AE825"/>
  <c r="AE826"/>
  <c r="AE827"/>
  <c r="AE828"/>
  <c r="AE829"/>
  <c r="AE830"/>
  <c r="AE831"/>
  <c r="AE832"/>
  <c r="AE833"/>
  <c r="AE834"/>
  <c r="AE835"/>
  <c r="AE836"/>
  <c r="AE837"/>
  <c r="AE838"/>
  <c r="AE839"/>
  <c r="AE840"/>
  <c r="AE841"/>
  <c r="AE842"/>
  <c r="AE843"/>
  <c r="AE844"/>
  <c r="AE845"/>
  <c r="AE846"/>
  <c r="AE847"/>
  <c r="AE848"/>
  <c r="AE849"/>
  <c r="AE850"/>
  <c r="AE851"/>
  <c r="AE852"/>
  <c r="AE853"/>
  <c r="AE854"/>
  <c r="AE855"/>
  <c r="AE856"/>
  <c r="AE857"/>
  <c r="AE858"/>
  <c r="AE859"/>
  <c r="AE860"/>
  <c r="AE861"/>
  <c r="AE862"/>
  <c r="AE863"/>
  <c r="AE864"/>
  <c r="AE865"/>
  <c r="AE866"/>
  <c r="AE867"/>
  <c r="AE868"/>
  <c r="AE869"/>
  <c r="AE870"/>
  <c r="AE871"/>
  <c r="AE872"/>
  <c r="AE873"/>
  <c r="AE874"/>
  <c r="AE875"/>
  <c r="AE876"/>
  <c r="AE877"/>
  <c r="AE878"/>
  <c r="AE879"/>
  <c r="AE880"/>
  <c r="AE881"/>
  <c r="AE882"/>
  <c r="AE883"/>
  <c r="AE884"/>
  <c r="AE885"/>
  <c r="AE886"/>
  <c r="AE887"/>
  <c r="AE888"/>
  <c r="AE889"/>
  <c r="AE890"/>
  <c r="AE891"/>
  <c r="AE892"/>
  <c r="AE893"/>
  <c r="AE894"/>
  <c r="AE895"/>
  <c r="AE896"/>
  <c r="AE897"/>
  <c r="AE898"/>
  <c r="AE899"/>
  <c r="AE900"/>
  <c r="AE901"/>
  <c r="AE902"/>
  <c r="AE903"/>
  <c r="AE904"/>
  <c r="AE905"/>
  <c r="AE906"/>
  <c r="AE907"/>
  <c r="AE908"/>
  <c r="AE909"/>
  <c r="AE910"/>
  <c r="AE911"/>
  <c r="AE912"/>
  <c r="AE913"/>
  <c r="AE914"/>
  <c r="AE915"/>
  <c r="AE916"/>
  <c r="AE917"/>
  <c r="AE918"/>
  <c r="AE919"/>
  <c r="AE920"/>
  <c r="AE921"/>
  <c r="AE922"/>
  <c r="AE923"/>
  <c r="AE924"/>
  <c r="AE925"/>
  <c r="AE926"/>
  <c r="AE927"/>
  <c r="AE928"/>
  <c r="AE929"/>
  <c r="AE930"/>
  <c r="AE931"/>
  <c r="AE932"/>
  <c r="AE933"/>
  <c r="AE934"/>
  <c r="AE935"/>
  <c r="AE936"/>
  <c r="AE937"/>
  <c r="AE938"/>
  <c r="AE939"/>
  <c r="AE940"/>
  <c r="AE941"/>
  <c r="AE942"/>
  <c r="AE943"/>
  <c r="AE944"/>
  <c r="AE945"/>
  <c r="AE946"/>
  <c r="AE947"/>
  <c r="AE948"/>
  <c r="AE949"/>
  <c r="AE950"/>
  <c r="AE951"/>
  <c r="AE952"/>
  <c r="AE953"/>
  <c r="AE954"/>
  <c r="AE955"/>
  <c r="AE956"/>
  <c r="AE957"/>
  <c r="AE958"/>
  <c r="AE959"/>
  <c r="AE960"/>
  <c r="AE961"/>
  <c r="AE962"/>
  <c r="AE963"/>
  <c r="AE964"/>
  <c r="AE965"/>
  <c r="AE966"/>
  <c r="AE967"/>
  <c r="AE968"/>
  <c r="AE969"/>
  <c r="AE970"/>
  <c r="AE971"/>
  <c r="AE972"/>
  <c r="AE973"/>
  <c r="AE6"/>
  <c r="AE974"/>
  <c r="AE975"/>
  <c r="AE976"/>
  <c r="AE977"/>
  <c r="AE978"/>
  <c r="AE979"/>
  <c r="AE980"/>
  <c r="AE981"/>
  <c r="AE982"/>
  <c r="AE983"/>
  <c r="AE984"/>
  <c r="AE985"/>
  <c r="AE986"/>
  <c r="AE987"/>
  <c r="AE988"/>
  <c r="AE989"/>
  <c r="AE990"/>
  <c r="AE991"/>
  <c r="AE992"/>
  <c r="AE993"/>
  <c r="AE994"/>
  <c r="AE995"/>
  <c r="AE996"/>
  <c r="AE997"/>
  <c r="AE998"/>
  <c r="AE999"/>
  <c r="AE1000"/>
  <c r="AE1001"/>
  <c r="AE1002"/>
  <c r="AE1003"/>
  <c r="AE1004"/>
  <c r="AE1005"/>
  <c r="AE1006"/>
  <c r="AE1007"/>
  <c r="AE1008"/>
  <c r="AE1009"/>
  <c r="AE1010"/>
  <c r="AE1011"/>
  <c r="AE1012"/>
  <c r="AE1013"/>
  <c r="AE1014"/>
  <c r="AE1015"/>
  <c r="AE1016"/>
  <c r="AE1017"/>
  <c r="AE1018"/>
  <c r="AE1019"/>
  <c r="AE1020"/>
  <c r="AE1021"/>
  <c r="AE1022"/>
  <c r="AE1023"/>
  <c r="AE1024"/>
  <c r="AE1025"/>
  <c r="AE1026"/>
  <c r="AE1027"/>
  <c r="AE1028"/>
  <c r="AE1029"/>
  <c r="AE1030"/>
  <c r="AE1031"/>
  <c r="AE1032"/>
  <c r="AE1033"/>
  <c r="AE1034"/>
  <c r="AE1035"/>
  <c r="AE1036"/>
  <c r="AE1037"/>
  <c r="AE1038"/>
  <c r="AE1039"/>
  <c r="AE1040"/>
  <c r="AE1041"/>
  <c r="AE1042"/>
  <c r="AE1043"/>
  <c r="AE1044"/>
  <c r="AE1045"/>
  <c r="AE1046"/>
  <c r="AE1047"/>
  <c r="AE1048"/>
  <c r="AE1049"/>
  <c r="AE1050"/>
  <c r="AE1051"/>
  <c r="AE1052"/>
  <c r="AE1053"/>
  <c r="AE1054"/>
  <c r="AE1055"/>
  <c r="AE1056"/>
  <c r="AE1057"/>
  <c r="AE1058"/>
  <c r="AE1059"/>
  <c r="AE1060"/>
  <c r="AE1061"/>
  <c r="AE1062"/>
  <c r="AE1063"/>
  <c r="AE1064"/>
  <c r="AE1065"/>
  <c r="AE1066"/>
  <c r="AE1067"/>
  <c r="AE1068"/>
  <c r="AE1069"/>
  <c r="AE1070"/>
  <c r="AE1071"/>
  <c r="AE1072"/>
  <c r="AE1073"/>
  <c r="AE1074"/>
  <c r="AE1075"/>
  <c r="AE1076"/>
  <c r="AE1077"/>
  <c r="AE1078"/>
  <c r="AE1079"/>
  <c r="AE1080"/>
  <c r="AE1081"/>
  <c r="AE1082"/>
  <c r="AE1083"/>
  <c r="AE1084"/>
  <c r="AE1085"/>
  <c r="AE1086"/>
  <c r="AE1087"/>
  <c r="AE1088"/>
  <c r="AE1089"/>
  <c r="AE1090"/>
  <c r="AE1091"/>
  <c r="AE1092"/>
  <c r="AE1093"/>
  <c r="AE1094"/>
  <c r="AE1095"/>
  <c r="AE1096"/>
  <c r="AE1097"/>
  <c r="AE1098"/>
  <c r="AE1099"/>
  <c r="AE1100"/>
  <c r="AE1101"/>
  <c r="AE1102"/>
  <c r="AE1103"/>
  <c r="AE1104"/>
  <c r="AE1105"/>
  <c r="AE1106"/>
  <c r="AE1107"/>
  <c r="AE1108"/>
  <c r="AE1109"/>
  <c r="AE1110"/>
  <c r="AE1111"/>
  <c r="AE1112"/>
  <c r="AE1113"/>
  <c r="AE1114"/>
  <c r="AE1115"/>
  <c r="AE1116"/>
  <c r="AE1117"/>
  <c r="AE1118"/>
  <c r="AE1119"/>
  <c r="AE1120"/>
  <c r="AE1121"/>
  <c r="AE1122"/>
  <c r="AE1123"/>
  <c r="AE1124"/>
  <c r="AE1125"/>
  <c r="AE1126"/>
  <c r="AE1127"/>
  <c r="AE1128"/>
  <c r="AE1129"/>
  <c r="AE1130"/>
  <c r="AE1131"/>
  <c r="AE1132"/>
  <c r="AE1133"/>
  <c r="AE1134"/>
  <c r="AE1135"/>
  <c r="AE1136"/>
  <c r="AE1137"/>
  <c r="AE1138"/>
  <c r="AE1139"/>
  <c r="AE1140"/>
  <c r="AE1141"/>
  <c r="AE1142"/>
  <c r="AE1143"/>
  <c r="AE1144"/>
  <c r="AE1145"/>
  <c r="AE1146"/>
  <c r="AE1147"/>
  <c r="AE1148"/>
  <c r="AE1149"/>
  <c r="AE1150"/>
  <c r="AE1151"/>
  <c r="AE1152"/>
  <c r="AE1153"/>
  <c r="AE1154"/>
  <c r="AE1155"/>
  <c r="AE1156"/>
  <c r="AE1157"/>
  <c r="AE1158"/>
  <c r="AE1159"/>
  <c r="AE1160"/>
  <c r="AE1161"/>
  <c r="AE1162"/>
  <c r="AE1163"/>
  <c r="AE1164"/>
  <c r="AE1165"/>
  <c r="AE1166"/>
  <c r="AE1167"/>
  <c r="AE1168"/>
  <c r="AE1169"/>
  <c r="AE1170"/>
  <c r="AE1171"/>
  <c r="AE1172"/>
  <c r="AE1173"/>
  <c r="AE1174"/>
  <c r="AE1175"/>
  <c r="AE1176"/>
  <c r="AE1177"/>
  <c r="AE1178"/>
  <c r="AE1179"/>
  <c r="AE1180"/>
  <c r="AE1181"/>
  <c r="AE1182"/>
  <c r="AE1183"/>
  <c r="AE1184"/>
  <c r="AE1185"/>
  <c r="AE1186"/>
  <c r="AE1187"/>
  <c r="AE1188"/>
  <c r="AE1189"/>
  <c r="AE1190"/>
  <c r="AE1191"/>
  <c r="AE1192"/>
  <c r="AE1193"/>
  <c r="AE1194"/>
  <c r="AE1195"/>
  <c r="AE1196"/>
  <c r="AE1197"/>
  <c r="AE1198"/>
  <c r="AE1199"/>
  <c r="AE1200"/>
  <c r="AE1201"/>
  <c r="AE1202"/>
  <c r="AE1203"/>
  <c r="AE1204"/>
  <c r="AE1205"/>
  <c r="AE1206"/>
  <c r="AE1207"/>
  <c r="AE1208"/>
  <c r="AE1209"/>
  <c r="AE1210"/>
  <c r="AE1211"/>
  <c r="AE1212"/>
  <c r="AE1213"/>
  <c r="AE1214"/>
  <c r="AE1215"/>
  <c r="AE1216"/>
  <c r="AE1217"/>
  <c r="AE1218"/>
  <c r="AE1219"/>
  <c r="AE1220"/>
  <c r="AE1221"/>
  <c r="AE1222"/>
  <c r="AE1223"/>
  <c r="AE1224"/>
  <c r="AE1225"/>
  <c r="AE1226"/>
  <c r="AE1227"/>
  <c r="AE1228"/>
  <c r="AE1229"/>
  <c r="AE1230"/>
  <c r="AE1231"/>
  <c r="AE1232"/>
  <c r="AE1233"/>
  <c r="AE1234"/>
  <c r="AE1235"/>
  <c r="AE1236"/>
  <c r="AE1237"/>
  <c r="AE1238"/>
  <c r="AE1239"/>
  <c r="AE1240"/>
  <c r="AE1241"/>
  <c r="AE1242"/>
  <c r="AE1243"/>
  <c r="AE1244"/>
  <c r="AE1245"/>
  <c r="AE1246"/>
  <c r="AE1247"/>
  <c r="AE1248"/>
  <c r="AE1249"/>
  <c r="AE1250"/>
  <c r="AE1251"/>
  <c r="AE1252"/>
  <c r="AE1253"/>
  <c r="AE1254"/>
  <c r="AE1255"/>
  <c r="AE1256"/>
  <c r="AE1257"/>
  <c r="AE1258"/>
  <c r="AE1259"/>
  <c r="AE1260"/>
  <c r="AE1261"/>
  <c r="AE1262"/>
  <c r="AE1263"/>
  <c r="AE1264"/>
  <c r="AE1265"/>
  <c r="AE1266"/>
  <c r="AE1267"/>
  <c r="AE1268"/>
  <c r="AE1269"/>
  <c r="AE1270"/>
  <c r="AE1271"/>
  <c r="AE1272"/>
  <c r="AE17"/>
  <c r="AE1273"/>
  <c r="AE1274"/>
  <c r="AE1275"/>
  <c r="AE1276"/>
  <c r="AE1277"/>
  <c r="AE1278"/>
  <c r="AE1279"/>
  <c r="AE1280"/>
  <c r="AE1281"/>
  <c r="AE1282"/>
  <c r="AE1283"/>
  <c r="AE1284"/>
  <c r="AE1285"/>
  <c r="AE1286"/>
  <c r="AE1287"/>
  <c r="AE1288"/>
  <c r="AE1289"/>
  <c r="AE1290"/>
  <c r="AE1291"/>
  <c r="AE1292"/>
  <c r="AE1293"/>
  <c r="AE1294"/>
  <c r="AE1295"/>
  <c r="AE1296"/>
  <c r="AE1297"/>
  <c r="AE1298"/>
  <c r="AE1299"/>
  <c r="AE1300"/>
  <c r="AE1301"/>
  <c r="AE1302"/>
  <c r="AE1303"/>
  <c r="AE1304"/>
  <c r="AE1305"/>
  <c r="AE1306"/>
  <c r="AE1307"/>
  <c r="AE1308"/>
  <c r="AE1309"/>
  <c r="AE1310"/>
  <c r="AE1311"/>
  <c r="AE1312"/>
  <c r="AE1313"/>
  <c r="AE1314"/>
  <c r="AE1315"/>
  <c r="AE1316"/>
  <c r="AE1317"/>
  <c r="AE1318"/>
  <c r="AE1319"/>
  <c r="AE1320"/>
  <c r="AE1321"/>
  <c r="AE1322"/>
  <c r="AE1323"/>
  <c r="AE1324"/>
  <c r="AE1325"/>
  <c r="AE1326"/>
  <c r="AE1327"/>
  <c r="AE1328"/>
  <c r="AE1329"/>
  <c r="AE1330"/>
  <c r="AE1331"/>
  <c r="AE1332"/>
  <c r="AE1333"/>
  <c r="AE1334"/>
  <c r="AE1335"/>
  <c r="AE1336"/>
  <c r="AE1337"/>
  <c r="AE1338"/>
  <c r="AE1339"/>
  <c r="AE1340"/>
  <c r="AE1341"/>
  <c r="AE1342"/>
  <c r="AE1343"/>
  <c r="AE1344"/>
  <c r="AE1345"/>
  <c r="AE1346"/>
  <c r="AE1347"/>
  <c r="AE1348"/>
  <c r="AE1349"/>
  <c r="AE1350"/>
  <c r="AE1351"/>
  <c r="AE1352"/>
  <c r="AE1353"/>
  <c r="AE1354"/>
  <c r="AE1355"/>
  <c r="AE1356"/>
  <c r="AE1357"/>
  <c r="AE1358"/>
  <c r="AE1359"/>
  <c r="AE1360"/>
  <c r="AE1361"/>
  <c r="AE1362"/>
  <c r="AE1363"/>
  <c r="AE1364"/>
  <c r="AE1365"/>
  <c r="AE1366"/>
  <c r="AE1367"/>
  <c r="AE1368"/>
  <c r="AE1369"/>
  <c r="AE1370"/>
  <c r="AE1371"/>
  <c r="AE1372"/>
  <c r="AE1373"/>
  <c r="AE1374"/>
  <c r="AE1375"/>
  <c r="AE1376"/>
  <c r="AE1377"/>
  <c r="AE1378"/>
  <c r="AE1379"/>
  <c r="AE1380"/>
  <c r="AE1381"/>
  <c r="AE1382"/>
  <c r="AE1383"/>
  <c r="AE1384"/>
  <c r="AE1385"/>
  <c r="AE1386"/>
  <c r="AE1387"/>
  <c r="AE1388"/>
  <c r="AE1389"/>
  <c r="AE1390"/>
  <c r="AE1391"/>
  <c r="AE1392"/>
  <c r="AE1393"/>
  <c r="AE1394"/>
  <c r="AE1395"/>
  <c r="AE1396"/>
  <c r="AE1397"/>
  <c r="AE1398"/>
  <c r="AE1399"/>
  <c r="AE1400"/>
  <c r="AE1401"/>
  <c r="AE1402"/>
  <c r="AE1403"/>
  <c r="AE1404"/>
  <c r="AE1405"/>
  <c r="AE1406"/>
  <c r="AE1407"/>
  <c r="AE1408"/>
  <c r="AE1409"/>
  <c r="AE1410"/>
  <c r="AE1411"/>
  <c r="AE1412"/>
  <c r="AE1413"/>
  <c r="AE1414"/>
  <c r="AE1415"/>
  <c r="AE1416"/>
  <c r="AE1417"/>
  <c r="AE1418"/>
  <c r="AE1419"/>
  <c r="AE1420"/>
  <c r="AE1421"/>
  <c r="AE1422"/>
  <c r="AE1423"/>
  <c r="AE1424"/>
  <c r="AE1425"/>
  <c r="AE1426"/>
  <c r="AE1427"/>
  <c r="AE1428"/>
  <c r="AE1429"/>
  <c r="AE1430"/>
  <c r="AE1431"/>
  <c r="AE1432"/>
  <c r="AE1433"/>
  <c r="AE1434"/>
  <c r="AE1435"/>
  <c r="AE1436"/>
  <c r="AE1437"/>
  <c r="AE1438"/>
  <c r="AE1439"/>
  <c r="AE1440"/>
  <c r="AE1441"/>
  <c r="AE1442"/>
  <c r="AE1443"/>
  <c r="AE1444"/>
  <c r="AE1445"/>
  <c r="AE1446"/>
  <c r="AE1447"/>
  <c r="AE1448"/>
  <c r="AE1449"/>
  <c r="AE1450"/>
  <c r="AE1451"/>
  <c r="AE1452"/>
  <c r="AE1453"/>
  <c r="AE1454"/>
  <c r="AE1455"/>
  <c r="AE1456"/>
  <c r="AE1457"/>
  <c r="AE1458"/>
  <c r="AE1459"/>
  <c r="AE1460"/>
  <c r="AE1461"/>
  <c r="AE1462"/>
  <c r="AE1463"/>
  <c r="AE1464"/>
  <c r="AE1465"/>
  <c r="AE1466"/>
  <c r="AE1467"/>
  <c r="AE1468"/>
  <c r="AE1469"/>
  <c r="AE1470"/>
  <c r="AE1471"/>
  <c r="AE1472"/>
  <c r="AE1473"/>
  <c r="AE1474"/>
  <c r="AE1475"/>
  <c r="AE1476"/>
  <c r="AE1477"/>
  <c r="AE1478"/>
  <c r="AE1479"/>
  <c r="AE1480"/>
  <c r="AE1481"/>
  <c r="AE1482"/>
  <c r="AE1483"/>
  <c r="AE1484"/>
  <c r="AE1485"/>
  <c r="AE1486"/>
  <c r="AE1487"/>
  <c r="AE1488"/>
  <c r="AE1489"/>
  <c r="AE1490"/>
  <c r="AE1491"/>
  <c r="AE1492"/>
  <c r="AE1493"/>
  <c r="AE1494"/>
  <c r="AE1495"/>
  <c r="AE1496"/>
  <c r="AE1497"/>
  <c r="AE1498"/>
  <c r="AE1499"/>
  <c r="AE1500"/>
  <c r="AE1501"/>
  <c r="AE1502"/>
  <c r="AE1503"/>
  <c r="AE1504"/>
  <c r="AE1505"/>
  <c r="AE1506"/>
  <c r="AE1507"/>
  <c r="AE1508"/>
  <c r="AE1509"/>
  <c r="AE1510"/>
  <c r="AE1511"/>
  <c r="AE1512"/>
  <c r="AE1513"/>
  <c r="AE1514"/>
  <c r="AE1515"/>
  <c r="AE1516"/>
  <c r="AE1517"/>
  <c r="AE1518"/>
  <c r="AE1519"/>
  <c r="AE1520"/>
  <c r="AE1521"/>
  <c r="AE1522"/>
  <c r="AE1523"/>
  <c r="AE1524"/>
  <c r="AE1525"/>
  <c r="AE1526"/>
  <c r="AE1527"/>
  <c r="AE1528"/>
  <c r="AE1529"/>
  <c r="AE1530"/>
  <c r="AE1531"/>
  <c r="AE1532"/>
  <c r="AE1533"/>
  <c r="AE1534"/>
  <c r="AE1535"/>
  <c r="AE1536"/>
  <c r="AE1537"/>
  <c r="AE1538"/>
  <c r="AE1539"/>
  <c r="AE1540"/>
  <c r="AE1541"/>
  <c r="AE1542"/>
  <c r="AE1543"/>
  <c r="AE1544"/>
  <c r="AE1545"/>
  <c r="AE1546"/>
  <c r="AE1547"/>
  <c r="AE1548"/>
  <c r="AE1549"/>
  <c r="AE1550"/>
  <c r="AE1551"/>
  <c r="AE1552"/>
  <c r="AE1553"/>
  <c r="AE1554"/>
  <c r="AE1555"/>
  <c r="AE1556"/>
  <c r="AE1557"/>
  <c r="AE1558"/>
  <c r="AE1559"/>
  <c r="AE1560"/>
  <c r="AE1561"/>
  <c r="AE1562"/>
  <c r="AE1563"/>
  <c r="AE1564"/>
  <c r="AE1565"/>
  <c r="AE1566"/>
  <c r="AE1567"/>
  <c r="AE1568"/>
  <c r="AE1569"/>
  <c r="AE1570"/>
  <c r="AE1571"/>
  <c r="AE1572"/>
  <c r="AE1573"/>
  <c r="AE1574"/>
  <c r="AE1575"/>
  <c r="AE1576"/>
  <c r="AE1577"/>
  <c r="AE1578"/>
  <c r="AE1579"/>
  <c r="AE1580"/>
  <c r="AE1581"/>
  <c r="AE1582"/>
  <c r="AE1583"/>
  <c r="AE1584"/>
  <c r="AE1585"/>
  <c r="AE1586"/>
  <c r="AE1587"/>
  <c r="AE1588"/>
  <c r="AE1589"/>
  <c r="AE1590"/>
  <c r="AE1591"/>
  <c r="AE1592"/>
  <c r="AE1593"/>
  <c r="AE1594"/>
  <c r="AE1595"/>
  <c r="AE1596"/>
  <c r="AE1597"/>
  <c r="AE1598"/>
  <c r="AE1599"/>
  <c r="AE1600"/>
  <c r="AE1601"/>
  <c r="AE1602"/>
  <c r="AE1603"/>
  <c r="AE1604"/>
  <c r="AE1605"/>
  <c r="AE1606"/>
  <c r="AE1607"/>
  <c r="AE1608"/>
  <c r="AE1609"/>
  <c r="AE1610"/>
  <c r="AE1611"/>
  <c r="AE1612"/>
  <c r="AE1613"/>
  <c r="AE1614"/>
  <c r="AE1615"/>
  <c r="AE1616"/>
  <c r="AE1617"/>
  <c r="AE1618"/>
  <c r="AE1619"/>
  <c r="AE1620"/>
  <c r="AE1621"/>
  <c r="AE11"/>
  <c r="AE1622"/>
  <c r="AE1623"/>
  <c r="AE1624"/>
  <c r="AE1625"/>
  <c r="AE1626"/>
  <c r="AE1627"/>
  <c r="AE1628"/>
  <c r="AE1629"/>
  <c r="AE1630"/>
  <c r="AE1631"/>
  <c r="AE1632"/>
  <c r="AE1633"/>
  <c r="AE1634"/>
  <c r="AE1635"/>
  <c r="AE1636"/>
  <c r="AE1637"/>
  <c r="AE1638"/>
  <c r="AE1639"/>
  <c r="AE1640"/>
  <c r="AE1641"/>
  <c r="AE1642"/>
  <c r="AE1643"/>
  <c r="AE1644"/>
  <c r="AE1645"/>
  <c r="AE1646"/>
  <c r="AE1647"/>
  <c r="AE1648"/>
  <c r="AE1649"/>
  <c r="AE1650"/>
  <c r="AE1651"/>
  <c r="AE1652"/>
  <c r="AE1653"/>
  <c r="AE1654"/>
  <c r="AE1655"/>
  <c r="AE1656"/>
  <c r="AE1657"/>
  <c r="AE1658"/>
  <c r="AE1659"/>
  <c r="AE1660"/>
  <c r="AE1661"/>
  <c r="AE1662"/>
  <c r="AE1663"/>
  <c r="AE1664"/>
  <c r="AE1665"/>
  <c r="AE1666"/>
  <c r="AE1667"/>
  <c r="AE1668"/>
  <c r="AE1669"/>
  <c r="AE1670"/>
  <c r="AE1671"/>
  <c r="AE1672"/>
  <c r="AE1673"/>
  <c r="AE1674"/>
  <c r="AE1675"/>
  <c r="AE1676"/>
  <c r="AE1677"/>
  <c r="AE1678"/>
  <c r="AE1679"/>
  <c r="AE1680"/>
  <c r="AE1681"/>
  <c r="AE1682"/>
  <c r="AE1683"/>
  <c r="AE1684"/>
  <c r="AE1685"/>
  <c r="AE1686"/>
  <c r="AE1687"/>
  <c r="AE1688"/>
  <c r="AE1689"/>
  <c r="AE1690"/>
  <c r="AE1691"/>
  <c r="AE1692"/>
  <c r="AE1693"/>
  <c r="AE1694"/>
  <c r="AE1695"/>
  <c r="AE1696"/>
  <c r="AE1697"/>
  <c r="AE1698"/>
  <c r="AE1699"/>
  <c r="AE1700"/>
  <c r="AE1701"/>
  <c r="AE1702"/>
  <c r="AE1703"/>
  <c r="AE1704"/>
  <c r="AE1705"/>
  <c r="AE1706"/>
  <c r="AE1707"/>
  <c r="AE1708"/>
  <c r="AE1709"/>
  <c r="AE1710"/>
  <c r="AE1711"/>
  <c r="AE1712"/>
  <c r="AE1713"/>
  <c r="AE1714"/>
  <c r="AE1715"/>
  <c r="AE1716"/>
  <c r="AE1717"/>
  <c r="AE1718"/>
  <c r="AE1719"/>
  <c r="AE1720"/>
  <c r="AE1721"/>
  <c r="AE1722"/>
  <c r="AE1723"/>
  <c r="AE1724"/>
  <c r="AE1725"/>
  <c r="AE1726"/>
  <c r="AE1727"/>
  <c r="AE1728"/>
  <c r="AE1729"/>
  <c r="AE1730"/>
  <c r="AE1731"/>
  <c r="AE7"/>
  <c r="AE1732"/>
  <c r="AE1733"/>
  <c r="AE1734"/>
  <c r="AE1735"/>
  <c r="AE1736"/>
  <c r="AE1737"/>
  <c r="AE1738"/>
  <c r="AE1739"/>
  <c r="AE1740"/>
  <c r="AE1741"/>
  <c r="AE1742"/>
  <c r="AE1743"/>
  <c r="AE1744"/>
  <c r="AE1745"/>
  <c r="AE1746"/>
  <c r="AE1747"/>
  <c r="AE1748"/>
  <c r="AE1749"/>
  <c r="AE1750"/>
  <c r="AE1751"/>
  <c r="AE1752"/>
  <c r="AE1753"/>
  <c r="AE1754"/>
  <c r="AE1755"/>
  <c r="AE1756"/>
  <c r="AE1757"/>
  <c r="AE1758"/>
  <c r="AE1759"/>
  <c r="AE1760"/>
  <c r="AE1761"/>
  <c r="AE1762"/>
  <c r="AE1763"/>
  <c r="AE1764"/>
  <c r="AE1765"/>
  <c r="AE1766"/>
  <c r="AE1767"/>
  <c r="AE1768"/>
  <c r="AE1769"/>
  <c r="AE1770"/>
  <c r="AE1771"/>
  <c r="AE1772"/>
  <c r="AE1773"/>
  <c r="AE1774"/>
  <c r="AE1775"/>
  <c r="AE1776"/>
  <c r="AE1777"/>
  <c r="AE1778"/>
  <c r="AE1779"/>
  <c r="AE1780"/>
  <c r="AE1781"/>
  <c r="AE1782"/>
  <c r="AE1783"/>
  <c r="AE1784"/>
  <c r="AE1785"/>
  <c r="AE1786"/>
  <c r="AE1787"/>
  <c r="AE1788"/>
  <c r="AE1789"/>
  <c r="AE1790"/>
  <c r="AE1791"/>
  <c r="AE1792"/>
  <c r="AE1793"/>
  <c r="AE1794"/>
  <c r="AE1795"/>
  <c r="AE1796"/>
  <c r="AE1797"/>
  <c r="AE1798"/>
  <c r="AE1799"/>
  <c r="AE1800"/>
  <c r="AE1801"/>
  <c r="AE1802"/>
  <c r="AE1803"/>
  <c r="AE1804"/>
  <c r="AE1805"/>
  <c r="AE1806"/>
  <c r="AE1807"/>
  <c r="AE1808"/>
  <c r="AE1809"/>
  <c r="AE1810"/>
  <c r="AE1811"/>
  <c r="AE1812"/>
  <c r="AE1813"/>
  <c r="AE1814"/>
  <c r="AE1815"/>
  <c r="AE1816"/>
  <c r="AE1817"/>
  <c r="AE1818"/>
  <c r="AE1819"/>
  <c r="AE1820"/>
  <c r="AE1821"/>
  <c r="AE1822"/>
  <c r="AE1823"/>
  <c r="AE1824"/>
  <c r="AE1825"/>
  <c r="AE1826"/>
  <c r="AE1827"/>
  <c r="AE1828"/>
  <c r="AE1829"/>
  <c r="AE1830"/>
  <c r="AE1831"/>
  <c r="AE1832"/>
  <c r="AE1833"/>
  <c r="AE1834"/>
  <c r="AE1835"/>
  <c r="AE1836"/>
  <c r="AE1837"/>
  <c r="AE1838"/>
  <c r="AE1839"/>
  <c r="AE1840"/>
  <c r="AE1841"/>
  <c r="AE8"/>
  <c r="AE1842"/>
  <c r="AE1843"/>
  <c r="AE1844"/>
  <c r="AE1845"/>
  <c r="AE1846"/>
  <c r="AE1847"/>
  <c r="AE1848"/>
  <c r="AE1849"/>
  <c r="AE1850"/>
  <c r="AE1851"/>
  <c r="AE1852"/>
  <c r="AE1853"/>
  <c r="AE1854"/>
  <c r="AE1855"/>
  <c r="AE1856"/>
  <c r="AE1857"/>
  <c r="AE1858"/>
  <c r="AE12"/>
  <c r="AE1859"/>
  <c r="AE1860"/>
  <c r="AE1861"/>
  <c r="AE1862"/>
  <c r="AE1863"/>
  <c r="AE1864"/>
  <c r="AE1865"/>
  <c r="AE1866"/>
  <c r="AE1867"/>
  <c r="AE1868"/>
  <c r="AE1869"/>
  <c r="AE1870"/>
  <c r="AE1871"/>
  <c r="AE1872"/>
  <c r="AE1873"/>
  <c r="AE1874"/>
  <c r="AE1875"/>
  <c r="AE1876"/>
  <c r="AE1877"/>
  <c r="AE1878"/>
  <c r="AE1879"/>
  <c r="AE1880"/>
  <c r="AE1881"/>
  <c r="AE1882"/>
  <c r="AE1883"/>
  <c r="AE1884"/>
  <c r="AE1885"/>
  <c r="AE1886"/>
  <c r="AE1887"/>
  <c r="AE1888"/>
  <c r="AE1889"/>
  <c r="AE1890"/>
  <c r="AE1891"/>
  <c r="AE1892"/>
  <c r="AE1893"/>
  <c r="AE1894"/>
  <c r="AE1895"/>
  <c r="AE1896"/>
  <c r="AE1897"/>
  <c r="AE1898"/>
  <c r="AE1899"/>
  <c r="AE1900"/>
  <c r="AE1901"/>
  <c r="AE1902"/>
  <c r="AE1903"/>
  <c r="AE1904"/>
  <c r="AE1905"/>
  <c r="AE1906"/>
  <c r="AE1907"/>
  <c r="AE1908"/>
  <c r="AE1909"/>
  <c r="AE1910"/>
  <c r="AE1911"/>
  <c r="AE1912"/>
  <c r="AE1913"/>
  <c r="AE1914"/>
  <c r="AE1915"/>
  <c r="AE1916"/>
  <c r="AE1917"/>
  <c r="AE1918"/>
  <c r="AE1919"/>
  <c r="AE1920"/>
  <c r="AE1921"/>
  <c r="AE1922"/>
  <c r="AE1923"/>
  <c r="AE1924"/>
  <c r="AE1925"/>
  <c r="AE1926"/>
  <c r="AE1927"/>
  <c r="AE1928"/>
  <c r="AE1929"/>
  <c r="AE16"/>
  <c r="AE1930"/>
  <c r="AE1931"/>
  <c r="AE1932"/>
  <c r="AE1933"/>
  <c r="AE1934"/>
  <c r="AE1935"/>
  <c r="AE1936"/>
  <c r="AE1937"/>
  <c r="AE1938"/>
  <c r="AE1939"/>
  <c r="AE1940"/>
  <c r="AE5"/>
  <c r="AE1941"/>
  <c r="AE1942"/>
  <c r="AE1943"/>
  <c r="AE1944"/>
  <c r="AE1945"/>
  <c r="AE1946"/>
  <c r="AE1947"/>
  <c r="AE1948"/>
  <c r="AE1949"/>
  <c r="AE1950"/>
  <c r="AE1951"/>
  <c r="AE1952"/>
  <c r="AE1953"/>
  <c r="AE1954"/>
  <c r="AE1955"/>
  <c r="AE1956"/>
  <c r="AE1957"/>
  <c r="AE1958"/>
  <c r="AE1959"/>
  <c r="AE1960"/>
  <c r="AE1961"/>
  <c r="AE1962"/>
  <c r="AE1963"/>
  <c r="AE1964"/>
  <c r="AE1965"/>
  <c r="AE1966"/>
  <c r="AE1967"/>
  <c r="AE1968"/>
  <c r="AE1969"/>
  <c r="AE1970"/>
  <c r="AE1971"/>
  <c r="AE1972"/>
  <c r="AE1973"/>
  <c r="AE1974"/>
  <c r="AE1975"/>
  <c r="AE1976"/>
  <c r="AE1977"/>
  <c r="AE1978"/>
  <c r="AE1979"/>
  <c r="AE1980"/>
  <c r="AE1981"/>
  <c r="AE1982"/>
  <c r="AE1983"/>
  <c r="AE1984"/>
  <c r="AE1985"/>
  <c r="AE1986"/>
  <c r="AE1987"/>
  <c r="AE1988"/>
  <c r="AE1989"/>
  <c r="AE1990"/>
  <c r="AE1991"/>
  <c r="AE1992"/>
  <c r="AE1993"/>
  <c r="AE1994"/>
  <c r="AE1995"/>
  <c r="AE1996"/>
  <c r="AE1997"/>
  <c r="AE1998"/>
  <c r="AE1999"/>
  <c r="AE2000"/>
  <c r="AE2001"/>
  <c r="AE2002"/>
  <c r="AE2003"/>
  <c r="AE2004"/>
  <c r="AE2005"/>
  <c r="AE2006"/>
  <c r="AE2007"/>
  <c r="AE2008"/>
  <c r="AE2009"/>
  <c r="AE2010"/>
  <c r="AE2011"/>
  <c r="AE2012"/>
  <c r="AE2013"/>
  <c r="AE2014"/>
  <c r="AE2015"/>
  <c r="AE2016"/>
  <c r="AE2017"/>
  <c r="AE2018"/>
  <c r="AE2019"/>
  <c r="AE2020"/>
  <c r="AE2021"/>
  <c r="AE2022"/>
  <c r="AE2023"/>
  <c r="AE2024"/>
  <c r="AE2025"/>
  <c r="AE2026"/>
  <c r="AE2027"/>
  <c r="AE2028"/>
  <c r="AE2029"/>
  <c r="AE2030"/>
  <c r="AE2031"/>
  <c r="AE2032"/>
  <c r="AE2033"/>
  <c r="AE2034"/>
  <c r="AE2035"/>
  <c r="AE2036"/>
  <c r="AE2037"/>
  <c r="AE2038"/>
  <c r="AE2039"/>
  <c r="AE2040"/>
  <c r="AE2041"/>
  <c r="AE2042"/>
  <c r="AE2043"/>
  <c r="AE2044"/>
  <c r="AE2045"/>
  <c r="AE2046"/>
  <c r="AE2047"/>
  <c r="AE2048"/>
  <c r="AE2049"/>
  <c r="AE2050"/>
  <c r="AE2051"/>
  <c r="AE2052"/>
  <c r="AE2053"/>
  <c r="AE2054"/>
  <c r="AE2055"/>
  <c r="AE2056"/>
  <c r="AE2057"/>
  <c r="AE2058"/>
  <c r="AE2059"/>
  <c r="AE2060"/>
  <c r="AE2061"/>
  <c r="AE2062"/>
  <c r="AE2063"/>
  <c r="AE2064"/>
  <c r="AE2065"/>
  <c r="AE2066"/>
  <c r="AE2067"/>
  <c r="AE2068"/>
  <c r="AE2069"/>
  <c r="AE2070"/>
  <c r="AE2071"/>
  <c r="AE2072"/>
  <c r="AE2073"/>
  <c r="AE2074"/>
  <c r="AE2075"/>
  <c r="AE2076"/>
  <c r="AE2077"/>
  <c r="AE2078"/>
  <c r="AE2079"/>
  <c r="AE2080"/>
  <c r="AE2081"/>
  <c r="AE2082"/>
  <c r="AE2083"/>
  <c r="AE2084"/>
  <c r="AE2085"/>
  <c r="AE10"/>
  <c r="AE2086"/>
  <c r="AE2087"/>
  <c r="AE2088"/>
  <c r="AE2089"/>
  <c r="AE2090"/>
  <c r="AE2091"/>
  <c r="AE2092"/>
  <c r="AE2093"/>
  <c r="AE2094"/>
  <c r="AE2095"/>
  <c r="AE2096"/>
  <c r="AE2097"/>
  <c r="AE2098"/>
  <c r="AE2099"/>
  <c r="AE2100"/>
  <c r="AE2101"/>
  <c r="AE2102"/>
  <c r="AE2103"/>
  <c r="AE2104"/>
  <c r="AE2105"/>
  <c r="AE2106"/>
  <c r="AE2107"/>
  <c r="AE2108"/>
  <c r="AE2109"/>
  <c r="AE2110"/>
  <c r="AE2111"/>
  <c r="AE2112"/>
  <c r="AE2113"/>
  <c r="AE2114"/>
  <c r="AE2115"/>
  <c r="AE2116"/>
  <c r="AE2117"/>
  <c r="AE2118"/>
  <c r="AE2119"/>
  <c r="AE2120"/>
  <c r="AE2121"/>
  <c r="AE2122"/>
  <c r="AE2123"/>
  <c r="AE2124"/>
  <c r="AE2125"/>
  <c r="AE2126"/>
  <c r="AE2127"/>
  <c r="AE2128"/>
  <c r="AE2129"/>
  <c r="AE2130"/>
  <c r="AE2131"/>
  <c r="AE2132"/>
  <c r="AE2133"/>
  <c r="AE2134"/>
  <c r="AE2135"/>
  <c r="AE2136"/>
  <c r="AE2137"/>
  <c r="AE2138"/>
  <c r="AE2139"/>
  <c r="AE2140"/>
  <c r="AE2141"/>
  <c r="AE2142"/>
  <c r="AE2143"/>
  <c r="AE2144"/>
  <c r="AE2145"/>
  <c r="AE2146"/>
  <c r="AE2147"/>
  <c r="AE2148"/>
  <c r="AE2149"/>
  <c r="AE2150"/>
  <c r="AE2151"/>
  <c r="AE2152"/>
  <c r="AE2153"/>
  <c r="AE2154"/>
  <c r="AE2155"/>
  <c r="AE2156"/>
  <c r="AE2157"/>
  <c r="AE2158"/>
  <c r="AE2159"/>
  <c r="AE2160"/>
  <c r="AE2161"/>
  <c r="AE2162"/>
  <c r="AE2163"/>
  <c r="AE2164"/>
  <c r="AE2165"/>
  <c r="AE2166"/>
  <c r="AE2167"/>
  <c r="AE2168"/>
  <c r="AF47"/>
  <c r="AF48"/>
  <c r="AF49"/>
  <c r="AF50"/>
  <c r="AF51"/>
  <c r="AF52"/>
  <c r="AF53"/>
  <c r="AF54"/>
  <c r="AF55"/>
  <c r="AF56"/>
  <c r="AF57"/>
  <c r="AF58"/>
  <c r="AF59"/>
  <c r="AF60"/>
  <c r="AF61"/>
  <c r="AF62"/>
  <c r="AF63"/>
  <c r="AF64"/>
  <c r="AF65"/>
  <c r="AF66"/>
  <c r="AF67"/>
  <c r="AF68"/>
  <c r="AF69"/>
  <c r="AF70"/>
  <c r="AF71"/>
  <c r="AF72"/>
  <c r="AF73"/>
  <c r="AF74"/>
  <c r="AF75"/>
  <c r="AF76"/>
  <c r="AF9"/>
  <c r="AF77"/>
  <c r="AF78"/>
  <c r="AF79"/>
  <c r="AF80"/>
  <c r="AF81"/>
  <c r="AF15"/>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178"/>
  <c r="AF179"/>
  <c r="AF180"/>
  <c r="AF181"/>
  <c r="AF182"/>
  <c r="AF183"/>
  <c r="AF184"/>
  <c r="AF185"/>
  <c r="AF186"/>
  <c r="AF187"/>
  <c r="AF188"/>
  <c r="AF189"/>
  <c r="AF190"/>
  <c r="AF191"/>
  <c r="AF192"/>
  <c r="AF193"/>
  <c r="AF194"/>
  <c r="AF195"/>
  <c r="AF196"/>
  <c r="AF197"/>
  <c r="AF198"/>
  <c r="AF199"/>
  <c r="AF200"/>
  <c r="AF201"/>
  <c r="AF202"/>
  <c r="AF203"/>
  <c r="AF204"/>
  <c r="AF205"/>
  <c r="AF206"/>
  <c r="AF207"/>
  <c r="AF208"/>
  <c r="AF209"/>
  <c r="AF210"/>
  <c r="AF211"/>
  <c r="AF212"/>
  <c r="AF213"/>
  <c r="AF214"/>
  <c r="AF215"/>
  <c r="AF216"/>
  <c r="AF217"/>
  <c r="AF218"/>
  <c r="AF219"/>
  <c r="AF220"/>
  <c r="AF221"/>
  <c r="AF222"/>
  <c r="AF223"/>
  <c r="AF224"/>
  <c r="AF225"/>
  <c r="AF226"/>
  <c r="AF227"/>
  <c r="AF228"/>
  <c r="AF229"/>
  <c r="AF230"/>
  <c r="AF231"/>
  <c r="AF232"/>
  <c r="AF233"/>
  <c r="AF234"/>
  <c r="AF235"/>
  <c r="AF236"/>
  <c r="AF237"/>
  <c r="AF238"/>
  <c r="AF239"/>
  <c r="AF240"/>
  <c r="AF241"/>
  <c r="AF242"/>
  <c r="AF243"/>
  <c r="AF244"/>
  <c r="AF245"/>
  <c r="AF246"/>
  <c r="AF247"/>
  <c r="AF248"/>
  <c r="AF249"/>
  <c r="AF250"/>
  <c r="AF251"/>
  <c r="AF252"/>
  <c r="AF253"/>
  <c r="AF254"/>
  <c r="AF255"/>
  <c r="AF256"/>
  <c r="AF257"/>
  <c r="AF258"/>
  <c r="AF259"/>
  <c r="AF260"/>
  <c r="AF261"/>
  <c r="AF262"/>
  <c r="AF263"/>
  <c r="AF264"/>
  <c r="AF265"/>
  <c r="AF266"/>
  <c r="AF267"/>
  <c r="AF268"/>
  <c r="AF269"/>
  <c r="AF270"/>
  <c r="AF271"/>
  <c r="AF272"/>
  <c r="AF273"/>
  <c r="AF274"/>
  <c r="AF275"/>
  <c r="AF276"/>
  <c r="AF277"/>
  <c r="AF278"/>
  <c r="AF279"/>
  <c r="AF280"/>
  <c r="AF281"/>
  <c r="AF282"/>
  <c r="AF283"/>
  <c r="AF284"/>
  <c r="AF285"/>
  <c r="AF286"/>
  <c r="AF287"/>
  <c r="AF288"/>
  <c r="AF289"/>
  <c r="AF290"/>
  <c r="AF291"/>
  <c r="AF292"/>
  <c r="AF293"/>
  <c r="AF294"/>
  <c r="AF295"/>
  <c r="AF296"/>
  <c r="AF297"/>
  <c r="AF298"/>
  <c r="AF299"/>
  <c r="AF300"/>
  <c r="AF301"/>
  <c r="AF302"/>
  <c r="AF303"/>
  <c r="AF304"/>
  <c r="AF305"/>
  <c r="AF306"/>
  <c r="AF307"/>
  <c r="AF308"/>
  <c r="AF309"/>
  <c r="AF310"/>
  <c r="AF311"/>
  <c r="AF312"/>
  <c r="AF313"/>
  <c r="AF314"/>
  <c r="AF315"/>
  <c r="AF316"/>
  <c r="AF317"/>
  <c r="AF318"/>
  <c r="AF319"/>
  <c r="AF320"/>
  <c r="AF321"/>
  <c r="AF322"/>
  <c r="AF323"/>
  <c r="AF324"/>
  <c r="AF325"/>
  <c r="AF326"/>
  <c r="AF327"/>
  <c r="AF328"/>
  <c r="AF329"/>
  <c r="AF330"/>
  <c r="AF331"/>
  <c r="AF332"/>
  <c r="AF333"/>
  <c r="AF334"/>
  <c r="AF335"/>
  <c r="AF336"/>
  <c r="AF337"/>
  <c r="AF338"/>
  <c r="AF339"/>
  <c r="AF340"/>
  <c r="AF341"/>
  <c r="AF342"/>
  <c r="AF343"/>
  <c r="AF344"/>
  <c r="AF345"/>
  <c r="AF346"/>
  <c r="AF347"/>
  <c r="AF348"/>
  <c r="AF349"/>
  <c r="AF350"/>
  <c r="AF351"/>
  <c r="AF352"/>
  <c r="AF353"/>
  <c r="AF354"/>
  <c r="AF355"/>
  <c r="AF356"/>
  <c r="AF357"/>
  <c r="AF358"/>
  <c r="AF359"/>
  <c r="AF360"/>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3"/>
  <c r="AF544"/>
  <c r="AF545"/>
  <c r="AF546"/>
  <c r="AF547"/>
  <c r="AF548"/>
  <c r="AF549"/>
  <c r="AF550"/>
  <c r="AF551"/>
  <c r="AF552"/>
  <c r="AF553"/>
  <c r="AF554"/>
  <c r="AF555"/>
  <c r="AF556"/>
  <c r="AF557"/>
  <c r="AF558"/>
  <c r="AF559"/>
  <c r="AF560"/>
  <c r="AF561"/>
  <c r="AF562"/>
  <c r="AF563"/>
  <c r="AF564"/>
  <c r="AF565"/>
  <c r="AF566"/>
  <c r="AF567"/>
  <c r="AF568"/>
  <c r="AF569"/>
  <c r="AF570"/>
  <c r="AF571"/>
  <c r="AF572"/>
  <c r="AF573"/>
  <c r="AF574"/>
  <c r="AF575"/>
  <c r="AF576"/>
  <c r="AF577"/>
  <c r="AF578"/>
  <c r="AF579"/>
  <c r="AF580"/>
  <c r="AF581"/>
  <c r="AF582"/>
  <c r="AF583"/>
  <c r="AF584"/>
  <c r="AF585"/>
  <c r="AF586"/>
  <c r="AF587"/>
  <c r="AF588"/>
  <c r="AF589"/>
  <c r="AF590"/>
  <c r="AF591"/>
  <c r="AF592"/>
  <c r="AF593"/>
  <c r="AF594"/>
  <c r="AF595"/>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6"/>
  <c r="AF667"/>
  <c r="AF668"/>
  <c r="AF669"/>
  <c r="AF670"/>
  <c r="AF671"/>
  <c r="AF672"/>
  <c r="AF673"/>
  <c r="AF674"/>
  <c r="AF675"/>
  <c r="AF676"/>
  <c r="AF677"/>
  <c r="AF678"/>
  <c r="AF679"/>
  <c r="AF680"/>
  <c r="AF681"/>
  <c r="AF682"/>
  <c r="AF683"/>
  <c r="AF684"/>
  <c r="AF685"/>
  <c r="AF686"/>
  <c r="AF687"/>
  <c r="AF688"/>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AF720"/>
  <c r="AF721"/>
  <c r="AF722"/>
  <c r="AF723"/>
  <c r="AF724"/>
  <c r="AF725"/>
  <c r="AF726"/>
  <c r="AF14"/>
  <c r="AF727"/>
  <c r="AF728"/>
  <c r="AF729"/>
  <c r="AF730"/>
  <c r="AF731"/>
  <c r="AF732"/>
  <c r="AF733"/>
  <c r="AF734"/>
  <c r="AF735"/>
  <c r="AF736"/>
  <c r="AF737"/>
  <c r="AF738"/>
  <c r="AF739"/>
  <c r="AF740"/>
  <c r="AF741"/>
  <c r="AF742"/>
  <c r="AF743"/>
  <c r="AF744"/>
  <c r="AF745"/>
  <c r="AF746"/>
  <c r="AF747"/>
  <c r="AF748"/>
  <c r="AF749"/>
  <c r="AF750"/>
  <c r="AF751"/>
  <c r="AF752"/>
  <c r="AF753"/>
  <c r="AF754"/>
  <c r="AF755"/>
  <c r="AF756"/>
  <c r="AF757"/>
  <c r="AF758"/>
  <c r="AF759"/>
  <c r="AF760"/>
  <c r="AF761"/>
  <c r="AF762"/>
  <c r="AF763"/>
  <c r="AF764"/>
  <c r="AF765"/>
  <c r="AF766"/>
  <c r="AF767"/>
  <c r="AF768"/>
  <c r="AF769"/>
  <c r="AF770"/>
  <c r="AF771"/>
  <c r="AF772"/>
  <c r="AF773"/>
  <c r="AF774"/>
  <c r="AF775"/>
  <c r="AF776"/>
  <c r="AF777"/>
  <c r="AF778"/>
  <c r="AF779"/>
  <c r="AF780"/>
  <c r="AF781"/>
  <c r="AF782"/>
  <c r="AF783"/>
  <c r="AF784"/>
  <c r="AF785"/>
  <c r="AF786"/>
  <c r="AF787"/>
  <c r="AF788"/>
  <c r="AF789"/>
  <c r="AF790"/>
  <c r="AF791"/>
  <c r="AF792"/>
  <c r="AF793"/>
  <c r="AF794"/>
  <c r="AF795"/>
  <c r="AF796"/>
  <c r="AF797"/>
  <c r="AF798"/>
  <c r="AF799"/>
  <c r="AF800"/>
  <c r="AF801"/>
  <c r="AF802"/>
  <c r="AF803"/>
  <c r="AF804"/>
  <c r="AF805"/>
  <c r="AF806"/>
  <c r="AF807"/>
  <c r="AF808"/>
  <c r="AF809"/>
  <c r="AF810"/>
  <c r="AF811"/>
  <c r="AF812"/>
  <c r="AF813"/>
  <c r="AF814"/>
  <c r="AF815"/>
  <c r="AF816"/>
  <c r="AF817"/>
  <c r="AF818"/>
  <c r="AF819"/>
  <c r="AF820"/>
  <c r="AF821"/>
  <c r="AF822"/>
  <c r="AF823"/>
  <c r="AF824"/>
  <c r="AF825"/>
  <c r="AF826"/>
  <c r="AF827"/>
  <c r="AF828"/>
  <c r="AF829"/>
  <c r="AF830"/>
  <c r="AF831"/>
  <c r="AF832"/>
  <c r="AF833"/>
  <c r="AF834"/>
  <c r="AF835"/>
  <c r="AF836"/>
  <c r="AF837"/>
  <c r="AF838"/>
  <c r="AF839"/>
  <c r="AF840"/>
  <c r="AF841"/>
  <c r="AF842"/>
  <c r="AF843"/>
  <c r="AF844"/>
  <c r="AF845"/>
  <c r="AF846"/>
  <c r="AF847"/>
  <c r="AF848"/>
  <c r="AF849"/>
  <c r="AF850"/>
  <c r="AF851"/>
  <c r="AF852"/>
  <c r="AF853"/>
  <c r="AF854"/>
  <c r="AF855"/>
  <c r="AF856"/>
  <c r="AF857"/>
  <c r="AF858"/>
  <c r="AF859"/>
  <c r="AF860"/>
  <c r="AF861"/>
  <c r="AF862"/>
  <c r="AF863"/>
  <c r="AF864"/>
  <c r="AF865"/>
  <c r="AF866"/>
  <c r="AF867"/>
  <c r="AF868"/>
  <c r="AF869"/>
  <c r="AF870"/>
  <c r="AF871"/>
  <c r="AF872"/>
  <c r="AF873"/>
  <c r="AF874"/>
  <c r="AF875"/>
  <c r="AF876"/>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938"/>
  <c r="AF939"/>
  <c r="AF940"/>
  <c r="AF941"/>
  <c r="AF942"/>
  <c r="AF943"/>
  <c r="AF944"/>
  <c r="AF945"/>
  <c r="AF946"/>
  <c r="AF947"/>
  <c r="AF948"/>
  <c r="AF949"/>
  <c r="AF950"/>
  <c r="AF951"/>
  <c r="AF952"/>
  <c r="AF953"/>
  <c r="AF954"/>
  <c r="AF955"/>
  <c r="AF956"/>
  <c r="AF957"/>
  <c r="AF958"/>
  <c r="AF959"/>
  <c r="AF960"/>
  <c r="AF961"/>
  <c r="AF962"/>
  <c r="AF963"/>
  <c r="AF964"/>
  <c r="AF965"/>
  <c r="AF966"/>
  <c r="AF967"/>
  <c r="AF968"/>
  <c r="AF969"/>
  <c r="AF970"/>
  <c r="AF971"/>
  <c r="AF972"/>
  <c r="AF973"/>
  <c r="AF6"/>
  <c r="AF974"/>
  <c r="AF975"/>
  <c r="AF976"/>
  <c r="AF977"/>
  <c r="AF978"/>
  <c r="AF979"/>
  <c r="AF980"/>
  <c r="AF981"/>
  <c r="AF982"/>
  <c r="AF983"/>
  <c r="AF984"/>
  <c r="AF985"/>
  <c r="AF986"/>
  <c r="AF987"/>
  <c r="AF988"/>
  <c r="AF989"/>
  <c r="AF990"/>
  <c r="AF991"/>
  <c r="AF992"/>
  <c r="AF993"/>
  <c r="AF994"/>
  <c r="AF995"/>
  <c r="AF996"/>
  <c r="AF997"/>
  <c r="AF998"/>
  <c r="AF999"/>
  <c r="AF1000"/>
  <c r="AF1001"/>
  <c r="AF1002"/>
  <c r="AF1003"/>
  <c r="AF1004"/>
  <c r="AF1005"/>
  <c r="AF1006"/>
  <c r="AF1007"/>
  <c r="AF1008"/>
  <c r="AF1009"/>
  <c r="AF1010"/>
  <c r="AF1011"/>
  <c r="AF1012"/>
  <c r="AF1013"/>
  <c r="AF1014"/>
  <c r="AF1015"/>
  <c r="AF1016"/>
  <c r="AF1017"/>
  <c r="AF1018"/>
  <c r="AF1019"/>
  <c r="AF1020"/>
  <c r="AF1021"/>
  <c r="AF1022"/>
  <c r="AF1023"/>
  <c r="AF1024"/>
  <c r="AF1025"/>
  <c r="AF1026"/>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1164"/>
  <c r="AF1165"/>
  <c r="AF1166"/>
  <c r="AF1167"/>
  <c r="AF1168"/>
  <c r="AF1169"/>
  <c r="AF1170"/>
  <c r="AF1171"/>
  <c r="AF1172"/>
  <c r="AF1173"/>
  <c r="AF1174"/>
  <c r="AF1175"/>
  <c r="AF1176"/>
  <c r="AF1177"/>
  <c r="AF1178"/>
  <c r="AF1179"/>
  <c r="AF1180"/>
  <c r="AF1181"/>
  <c r="AF1182"/>
  <c r="AF1183"/>
  <c r="AF1184"/>
  <c r="AF1185"/>
  <c r="AF1186"/>
  <c r="AF1187"/>
  <c r="AF1188"/>
  <c r="AF1189"/>
  <c r="AF1190"/>
  <c r="AF1191"/>
  <c r="AF1192"/>
  <c r="AF1193"/>
  <c r="AF1194"/>
  <c r="AF1195"/>
  <c r="AF1196"/>
  <c r="AF1197"/>
  <c r="AF1198"/>
  <c r="AF1199"/>
  <c r="AF1200"/>
  <c r="AF1201"/>
  <c r="AF1202"/>
  <c r="AF1203"/>
  <c r="AF1204"/>
  <c r="AF1205"/>
  <c r="AF1206"/>
  <c r="AF1207"/>
  <c r="AF1208"/>
  <c r="AF1209"/>
  <c r="AF1210"/>
  <c r="AF1211"/>
  <c r="AF1212"/>
  <c r="AF1213"/>
  <c r="AF1214"/>
  <c r="AF1215"/>
  <c r="AF1216"/>
  <c r="AF1217"/>
  <c r="AF1218"/>
  <c r="AF1219"/>
  <c r="AF1220"/>
  <c r="AF1221"/>
  <c r="AF1222"/>
  <c r="AF1223"/>
  <c r="AF1224"/>
  <c r="AF1225"/>
  <c r="AF1226"/>
  <c r="AF1227"/>
  <c r="AF1228"/>
  <c r="AF1229"/>
  <c r="AF1230"/>
  <c r="AF1231"/>
  <c r="AF1232"/>
  <c r="AF1233"/>
  <c r="AF1234"/>
  <c r="AF1235"/>
  <c r="AF1236"/>
  <c r="AF1237"/>
  <c r="AF1238"/>
  <c r="AF1239"/>
  <c r="AF1240"/>
  <c r="AF1241"/>
  <c r="AF1242"/>
  <c r="AF1243"/>
  <c r="AF1244"/>
  <c r="AF1245"/>
  <c r="AF1246"/>
  <c r="AF1247"/>
  <c r="AF1248"/>
  <c r="AF1249"/>
  <c r="AF1250"/>
  <c r="AF1251"/>
  <c r="AF1252"/>
  <c r="AF1253"/>
  <c r="AF1254"/>
  <c r="AF1255"/>
  <c r="AF1256"/>
  <c r="AF1257"/>
  <c r="AF1258"/>
  <c r="AF1259"/>
  <c r="AF1260"/>
  <c r="AF1261"/>
  <c r="AF1262"/>
  <c r="AF1263"/>
  <c r="AF1264"/>
  <c r="AF1265"/>
  <c r="AF1266"/>
  <c r="AF1267"/>
  <c r="AF1268"/>
  <c r="AF1269"/>
  <c r="AF1270"/>
  <c r="AF1271"/>
  <c r="AF1272"/>
  <c r="AF17"/>
  <c r="AF1273"/>
  <c r="AF1274"/>
  <c r="AF1275"/>
  <c r="AF1276"/>
  <c r="AF1277"/>
  <c r="AF1278"/>
  <c r="AF1279"/>
  <c r="AF1280"/>
  <c r="AF1281"/>
  <c r="AF1282"/>
  <c r="AF1283"/>
  <c r="AF1284"/>
  <c r="AF1285"/>
  <c r="AF1286"/>
  <c r="AF1287"/>
  <c r="AF1288"/>
  <c r="AF1289"/>
  <c r="AF1290"/>
  <c r="AF1291"/>
  <c r="AF1292"/>
  <c r="AF1293"/>
  <c r="AF1294"/>
  <c r="AF1295"/>
  <c r="AF1296"/>
  <c r="AF1297"/>
  <c r="AF1298"/>
  <c r="AF1299"/>
  <c r="AF1300"/>
  <c r="AF1301"/>
  <c r="AF1302"/>
  <c r="AF1303"/>
  <c r="AF1304"/>
  <c r="AF1305"/>
  <c r="AF1306"/>
  <c r="AF1307"/>
  <c r="AF1308"/>
  <c r="AF1309"/>
  <c r="AF1310"/>
  <c r="AF1311"/>
  <c r="AF1312"/>
  <c r="AF1313"/>
  <c r="AF1314"/>
  <c r="AF1315"/>
  <c r="AF1316"/>
  <c r="AF1317"/>
  <c r="AF1318"/>
  <c r="AF1319"/>
  <c r="AF1320"/>
  <c r="AF1321"/>
  <c r="AF1322"/>
  <c r="AF1323"/>
  <c r="AF1324"/>
  <c r="AF1325"/>
  <c r="AF1326"/>
  <c r="AF1327"/>
  <c r="AF1328"/>
  <c r="AF1329"/>
  <c r="AF1330"/>
  <c r="AF1331"/>
  <c r="AF1332"/>
  <c r="AF1333"/>
  <c r="AF1334"/>
  <c r="AF1335"/>
  <c r="AF1336"/>
  <c r="AF1337"/>
  <c r="AF1338"/>
  <c r="AF1339"/>
  <c r="AF1340"/>
  <c r="AF1341"/>
  <c r="AF1342"/>
  <c r="AF1343"/>
  <c r="AF1344"/>
  <c r="AF1345"/>
  <c r="AF1346"/>
  <c r="AF1347"/>
  <c r="AF1348"/>
  <c r="AF1349"/>
  <c r="AF1350"/>
  <c r="AF1351"/>
  <c r="AF1352"/>
  <c r="AF1353"/>
  <c r="AF1354"/>
  <c r="AF1355"/>
  <c r="AF1356"/>
  <c r="AF1357"/>
  <c r="AF1358"/>
  <c r="AF1359"/>
  <c r="AF1360"/>
  <c r="AF1361"/>
  <c r="AF1362"/>
  <c r="AF1363"/>
  <c r="AF1364"/>
  <c r="AF1365"/>
  <c r="AF1366"/>
  <c r="AF1367"/>
  <c r="AF1368"/>
  <c r="AF1369"/>
  <c r="AF1370"/>
  <c r="AF1371"/>
  <c r="AF1372"/>
  <c r="AF1373"/>
  <c r="AF1374"/>
  <c r="AF1375"/>
  <c r="AF1376"/>
  <c r="AF1377"/>
  <c r="AF1378"/>
  <c r="AF1379"/>
  <c r="AF1380"/>
  <c r="AF1381"/>
  <c r="AF1382"/>
  <c r="AF1383"/>
  <c r="AF1384"/>
  <c r="AF1385"/>
  <c r="AF1386"/>
  <c r="AF1387"/>
  <c r="AF1388"/>
  <c r="AF1389"/>
  <c r="AF1390"/>
  <c r="AF1391"/>
  <c r="AF1392"/>
  <c r="AF1393"/>
  <c r="AF1394"/>
  <c r="AF1395"/>
  <c r="AF1396"/>
  <c r="AF1397"/>
  <c r="AF1398"/>
  <c r="AF1399"/>
  <c r="AF1400"/>
  <c r="AF1401"/>
  <c r="AF1402"/>
  <c r="AF1403"/>
  <c r="AF1404"/>
  <c r="AF1405"/>
  <c r="AF1406"/>
  <c r="AF1407"/>
  <c r="AF1408"/>
  <c r="AF1409"/>
  <c r="AF1410"/>
  <c r="AF1411"/>
  <c r="AF1412"/>
  <c r="AF1413"/>
  <c r="AF1414"/>
  <c r="AF1415"/>
  <c r="AF1416"/>
  <c r="AF1417"/>
  <c r="AF1418"/>
  <c r="AF1419"/>
  <c r="AF1420"/>
  <c r="AF1421"/>
  <c r="AF1422"/>
  <c r="AF1423"/>
  <c r="AF1424"/>
  <c r="AF1425"/>
  <c r="AF1426"/>
  <c r="AF1427"/>
  <c r="AF1428"/>
  <c r="AF1429"/>
  <c r="AF1430"/>
  <c r="AF1431"/>
  <c r="AF1432"/>
  <c r="AF1433"/>
  <c r="AF1434"/>
  <c r="AF1435"/>
  <c r="AF1436"/>
  <c r="AF1437"/>
  <c r="AF1438"/>
  <c r="AF1439"/>
  <c r="AF1440"/>
  <c r="AF1441"/>
  <c r="AF1442"/>
  <c r="AF1443"/>
  <c r="AF1444"/>
  <c r="AF1445"/>
  <c r="AF1446"/>
  <c r="AF1447"/>
  <c r="AF1448"/>
  <c r="AF1449"/>
  <c r="AF1450"/>
  <c r="AF1451"/>
  <c r="AF1452"/>
  <c r="AF1453"/>
  <c r="AF1454"/>
  <c r="AF1455"/>
  <c r="AF1456"/>
  <c r="AF1457"/>
  <c r="AF1458"/>
  <c r="AF1459"/>
  <c r="AF1460"/>
  <c r="AF1461"/>
  <c r="AF1462"/>
  <c r="AF1463"/>
  <c r="AF1464"/>
  <c r="AF1465"/>
  <c r="AF1466"/>
  <c r="AF1467"/>
  <c r="AF1468"/>
  <c r="AF1469"/>
  <c r="AF1470"/>
  <c r="AF1471"/>
  <c r="AF1472"/>
  <c r="AF1473"/>
  <c r="AF1474"/>
  <c r="AF1475"/>
  <c r="AF1476"/>
  <c r="AF1477"/>
  <c r="AF1478"/>
  <c r="AF1479"/>
  <c r="AF1480"/>
  <c r="AF1481"/>
  <c r="AF1482"/>
  <c r="AF1483"/>
  <c r="AF1484"/>
  <c r="AF1485"/>
  <c r="AF1486"/>
  <c r="AF1487"/>
  <c r="AF1488"/>
  <c r="AF1489"/>
  <c r="AF1490"/>
  <c r="AF1491"/>
  <c r="AF1492"/>
  <c r="AF1493"/>
  <c r="AF1494"/>
  <c r="AF1495"/>
  <c r="AF1496"/>
  <c r="AF1497"/>
  <c r="AF1498"/>
  <c r="AF1499"/>
  <c r="AF1500"/>
  <c r="AF1501"/>
  <c r="AF1502"/>
  <c r="AF1503"/>
  <c r="AF1504"/>
  <c r="AF1505"/>
  <c r="AF1506"/>
  <c r="AF1507"/>
  <c r="AF1508"/>
  <c r="AF1509"/>
  <c r="AF1510"/>
  <c r="AF1511"/>
  <c r="AF1512"/>
  <c r="AF1513"/>
  <c r="AF1514"/>
  <c r="AF1515"/>
  <c r="AF1516"/>
  <c r="AF1517"/>
  <c r="AF1518"/>
  <c r="AF1519"/>
  <c r="AF1520"/>
  <c r="AF1521"/>
  <c r="AF1522"/>
  <c r="AF1523"/>
  <c r="AF1524"/>
  <c r="AF1525"/>
  <c r="AF1526"/>
  <c r="AF1527"/>
  <c r="AF1528"/>
  <c r="AF1529"/>
  <c r="AF1530"/>
  <c r="AF1531"/>
  <c r="AF1532"/>
  <c r="AF1533"/>
  <c r="AF1534"/>
  <c r="AF1535"/>
  <c r="AF1536"/>
  <c r="AF1537"/>
  <c r="AF1538"/>
  <c r="AF1539"/>
  <c r="AF1540"/>
  <c r="AF1541"/>
  <c r="AF1542"/>
  <c r="AF1543"/>
  <c r="AF1544"/>
  <c r="AF1545"/>
  <c r="AF1546"/>
  <c r="AF1547"/>
  <c r="AF1548"/>
  <c r="AF1549"/>
  <c r="AF1550"/>
  <c r="AF1551"/>
  <c r="AF1552"/>
  <c r="AF1553"/>
  <c r="AF1554"/>
  <c r="AF1555"/>
  <c r="AF1556"/>
  <c r="AF1557"/>
  <c r="AF1558"/>
  <c r="AF1559"/>
  <c r="AF1560"/>
  <c r="AF1561"/>
  <c r="AF1562"/>
  <c r="AF1563"/>
  <c r="AF1564"/>
  <c r="AF1565"/>
  <c r="AF1566"/>
  <c r="AF1567"/>
  <c r="AF1568"/>
  <c r="AF1569"/>
  <c r="AF1570"/>
  <c r="AF1571"/>
  <c r="AF1572"/>
  <c r="AF1573"/>
  <c r="AF1574"/>
  <c r="AF1575"/>
  <c r="AF1576"/>
  <c r="AF1577"/>
  <c r="AF1578"/>
  <c r="AF1579"/>
  <c r="AF1580"/>
  <c r="AF1581"/>
  <c r="AF1582"/>
  <c r="AF1583"/>
  <c r="AF1584"/>
  <c r="AF1585"/>
  <c r="AF1586"/>
  <c r="AF1587"/>
  <c r="AF1588"/>
  <c r="AF1589"/>
  <c r="AF1590"/>
  <c r="AF1591"/>
  <c r="AF1592"/>
  <c r="AF1593"/>
  <c r="AF1594"/>
  <c r="AF1595"/>
  <c r="AF1596"/>
  <c r="AF1597"/>
  <c r="AF1598"/>
  <c r="AF1599"/>
  <c r="AF1600"/>
  <c r="AF1601"/>
  <c r="AF1602"/>
  <c r="AF1603"/>
  <c r="AF1604"/>
  <c r="AF1605"/>
  <c r="AF1606"/>
  <c r="AF1607"/>
  <c r="AF1608"/>
  <c r="AF1609"/>
  <c r="AF1610"/>
  <c r="AF1611"/>
  <c r="AF1612"/>
  <c r="AF1613"/>
  <c r="AF1614"/>
  <c r="AF1615"/>
  <c r="AF1616"/>
  <c r="AF1617"/>
  <c r="AF1618"/>
  <c r="AF1619"/>
  <c r="AF1620"/>
  <c r="AF1621"/>
  <c r="AF11"/>
  <c r="AF1622"/>
  <c r="AF1623"/>
  <c r="AF1624"/>
  <c r="AF1625"/>
  <c r="AF1626"/>
  <c r="AF1627"/>
  <c r="AF1628"/>
  <c r="AF1629"/>
  <c r="AF1630"/>
  <c r="AF1631"/>
  <c r="AF1632"/>
  <c r="AF1633"/>
  <c r="AF1634"/>
  <c r="AF1635"/>
  <c r="AF1636"/>
  <c r="AF1637"/>
  <c r="AF1638"/>
  <c r="AF1639"/>
  <c r="AF1640"/>
  <c r="AF1641"/>
  <c r="AF1642"/>
  <c r="AF1643"/>
  <c r="AF1644"/>
  <c r="AF1645"/>
  <c r="AF1646"/>
  <c r="AF1647"/>
  <c r="AF1648"/>
  <c r="AF1649"/>
  <c r="AF1650"/>
  <c r="AF1651"/>
  <c r="AF1652"/>
  <c r="AF1653"/>
  <c r="AF1654"/>
  <c r="AF1655"/>
  <c r="AF1656"/>
  <c r="AF1657"/>
  <c r="AF1658"/>
  <c r="AF1659"/>
  <c r="AF1660"/>
  <c r="AF1661"/>
  <c r="AF1662"/>
  <c r="AF1663"/>
  <c r="AF1664"/>
  <c r="AF1665"/>
  <c r="AF1666"/>
  <c r="AF1667"/>
  <c r="AF1668"/>
  <c r="AF1669"/>
  <c r="AF1670"/>
  <c r="AF1671"/>
  <c r="AF1672"/>
  <c r="AF1673"/>
  <c r="AF1674"/>
  <c r="AF1675"/>
  <c r="AF1676"/>
  <c r="AF1677"/>
  <c r="AF1678"/>
  <c r="AF1679"/>
  <c r="AF1680"/>
  <c r="AF1681"/>
  <c r="AF1682"/>
  <c r="AF1683"/>
  <c r="AF1684"/>
  <c r="AF1685"/>
  <c r="AF1686"/>
  <c r="AF1687"/>
  <c r="AF1688"/>
  <c r="AF1689"/>
  <c r="AF1690"/>
  <c r="AF1691"/>
  <c r="AF1692"/>
  <c r="AF1693"/>
  <c r="AF1694"/>
  <c r="AF1695"/>
  <c r="AF1696"/>
  <c r="AF1697"/>
  <c r="AF1698"/>
  <c r="AF1699"/>
  <c r="AF1700"/>
  <c r="AF1701"/>
  <c r="AF1702"/>
  <c r="AF1703"/>
  <c r="AF1704"/>
  <c r="AF1705"/>
  <c r="AF1706"/>
  <c r="AF1707"/>
  <c r="AF1708"/>
  <c r="AF1709"/>
  <c r="AF1710"/>
  <c r="AF1711"/>
  <c r="AF1712"/>
  <c r="AF1713"/>
  <c r="AF1714"/>
  <c r="AF1715"/>
  <c r="AF1716"/>
  <c r="AF1717"/>
  <c r="AF1718"/>
  <c r="AF1719"/>
  <c r="AF1720"/>
  <c r="AF1721"/>
  <c r="AF1722"/>
  <c r="AF1723"/>
  <c r="AF1724"/>
  <c r="AF1725"/>
  <c r="AF1726"/>
  <c r="AF1727"/>
  <c r="AF1728"/>
  <c r="AF1729"/>
  <c r="AF1730"/>
  <c r="AF1731"/>
  <c r="AF7"/>
  <c r="AF1732"/>
  <c r="AF1733"/>
  <c r="AF1734"/>
  <c r="AF1735"/>
  <c r="AF1736"/>
  <c r="AF1737"/>
  <c r="AF1738"/>
  <c r="AF1739"/>
  <c r="AF1740"/>
  <c r="AF1741"/>
  <c r="AF1742"/>
  <c r="AF1743"/>
  <c r="AF1744"/>
  <c r="AF1745"/>
  <c r="AF1746"/>
  <c r="AF1747"/>
  <c r="AF1748"/>
  <c r="AF1749"/>
  <c r="AF1750"/>
  <c r="AF1751"/>
  <c r="AF1752"/>
  <c r="AF1753"/>
  <c r="AF1754"/>
  <c r="AF1755"/>
  <c r="AF1756"/>
  <c r="AF1757"/>
  <c r="AF1758"/>
  <c r="AF1759"/>
  <c r="AF1760"/>
  <c r="AF1761"/>
  <c r="AF1762"/>
  <c r="AF1763"/>
  <c r="AF1764"/>
  <c r="AF1765"/>
  <c r="AF1766"/>
  <c r="AF1767"/>
  <c r="AF1768"/>
  <c r="AF1769"/>
  <c r="AF1770"/>
  <c r="AF1771"/>
  <c r="AF1772"/>
  <c r="AF1773"/>
  <c r="AF1774"/>
  <c r="AF1775"/>
  <c r="AF1776"/>
  <c r="AF1777"/>
  <c r="AF1778"/>
  <c r="AF1779"/>
  <c r="AF1780"/>
  <c r="AF1781"/>
  <c r="AF1782"/>
  <c r="AF1783"/>
  <c r="AF1784"/>
  <c r="AF1785"/>
  <c r="AF1786"/>
  <c r="AF1787"/>
  <c r="AF1788"/>
  <c r="AF1789"/>
  <c r="AF1790"/>
  <c r="AF1791"/>
  <c r="AF1792"/>
  <c r="AF1793"/>
  <c r="AF1794"/>
  <c r="AF1795"/>
  <c r="AF1796"/>
  <c r="AF1797"/>
  <c r="AF1798"/>
  <c r="AF1799"/>
  <c r="AF1800"/>
  <c r="AF1801"/>
  <c r="AF1802"/>
  <c r="AF1803"/>
  <c r="AF1804"/>
  <c r="AF1805"/>
  <c r="AF1806"/>
  <c r="AF1807"/>
  <c r="AF1808"/>
  <c r="AF1809"/>
  <c r="AF1810"/>
  <c r="AF1811"/>
  <c r="AF1812"/>
  <c r="AF1813"/>
  <c r="AF1814"/>
  <c r="AF1815"/>
  <c r="AF1816"/>
  <c r="AF1817"/>
  <c r="AF1818"/>
  <c r="AF1819"/>
  <c r="AF1820"/>
  <c r="AF1821"/>
  <c r="AF1822"/>
  <c r="AF1823"/>
  <c r="AF1824"/>
  <c r="AF1825"/>
  <c r="AF1826"/>
  <c r="AF1827"/>
  <c r="AF1828"/>
  <c r="AF1829"/>
  <c r="AF1830"/>
  <c r="AF1831"/>
  <c r="AF1832"/>
  <c r="AF1833"/>
  <c r="AF1834"/>
  <c r="AF1835"/>
  <c r="AF1836"/>
  <c r="AF1837"/>
  <c r="AF1838"/>
  <c r="AF1839"/>
  <c r="AF1840"/>
  <c r="AF1841"/>
  <c r="AF8"/>
  <c r="AF1842"/>
  <c r="AF1843"/>
  <c r="AF1844"/>
  <c r="AF1845"/>
  <c r="AF1846"/>
  <c r="AF1847"/>
  <c r="AF1848"/>
  <c r="AF1849"/>
  <c r="AF1850"/>
  <c r="AF1851"/>
  <c r="AF1852"/>
  <c r="AF1853"/>
  <c r="AF1854"/>
  <c r="AF1855"/>
  <c r="AF1856"/>
  <c r="AF1857"/>
  <c r="AF1858"/>
  <c r="AF12"/>
  <c r="AF1859"/>
  <c r="AF1860"/>
  <c r="AF1861"/>
  <c r="AF1862"/>
  <c r="AF1863"/>
  <c r="AF1864"/>
  <c r="AF1865"/>
  <c r="AF1866"/>
  <c r="AF1867"/>
  <c r="AF1868"/>
  <c r="AF1869"/>
  <c r="AF1870"/>
  <c r="AF1871"/>
  <c r="AF1872"/>
  <c r="AF1873"/>
  <c r="AF1874"/>
  <c r="AF1875"/>
  <c r="AF1876"/>
  <c r="AF1877"/>
  <c r="AF1878"/>
  <c r="AF1879"/>
  <c r="AF1880"/>
  <c r="AF1881"/>
  <c r="AF1882"/>
  <c r="AF1883"/>
  <c r="AF1884"/>
  <c r="AF1885"/>
  <c r="AF1886"/>
  <c r="AF1887"/>
  <c r="AF1888"/>
  <c r="AF1889"/>
  <c r="AF1890"/>
  <c r="AF1891"/>
  <c r="AF1892"/>
  <c r="AF1893"/>
  <c r="AF1894"/>
  <c r="AF1895"/>
  <c r="AF1896"/>
  <c r="AF1897"/>
  <c r="AF1898"/>
  <c r="AF1899"/>
  <c r="AF1900"/>
  <c r="AF1901"/>
  <c r="AF1902"/>
  <c r="AF1903"/>
  <c r="AF1904"/>
  <c r="AF1905"/>
  <c r="AF1906"/>
  <c r="AF1907"/>
  <c r="AF1908"/>
  <c r="AF1909"/>
  <c r="AF1910"/>
  <c r="AF1911"/>
  <c r="AF1912"/>
  <c r="AF1913"/>
  <c r="AF1914"/>
  <c r="AF1915"/>
  <c r="AF1916"/>
  <c r="AF1917"/>
  <c r="AF1918"/>
  <c r="AF1919"/>
  <c r="AF1920"/>
  <c r="AF1921"/>
  <c r="AF1922"/>
  <c r="AF1923"/>
  <c r="AF1924"/>
  <c r="AF1925"/>
  <c r="AF1926"/>
  <c r="AF1927"/>
  <c r="AF1928"/>
  <c r="AF1929"/>
  <c r="AF16"/>
  <c r="AF1930"/>
  <c r="AF1931"/>
  <c r="AF1932"/>
  <c r="AF1933"/>
  <c r="AF1934"/>
  <c r="AF1935"/>
  <c r="AF1936"/>
  <c r="AF1937"/>
  <c r="AF1938"/>
  <c r="AF1939"/>
  <c r="AF1940"/>
  <c r="AF5"/>
  <c r="AF1941"/>
  <c r="AF1942"/>
  <c r="AF1943"/>
  <c r="AF1944"/>
  <c r="AF1945"/>
  <c r="AF1946"/>
  <c r="AF1947"/>
  <c r="AF1948"/>
  <c r="AF1949"/>
  <c r="AF1950"/>
  <c r="AF1951"/>
  <c r="AF1952"/>
  <c r="AF1953"/>
  <c r="AF1954"/>
  <c r="AF1955"/>
  <c r="AF1956"/>
  <c r="AF1957"/>
  <c r="AF1958"/>
  <c r="AF1959"/>
  <c r="AF1960"/>
  <c r="AF1961"/>
  <c r="AF1962"/>
  <c r="AF1963"/>
  <c r="AF1964"/>
  <c r="AF1965"/>
  <c r="AF1966"/>
  <c r="AF1967"/>
  <c r="AF1968"/>
  <c r="AF1969"/>
  <c r="AF1970"/>
  <c r="AF1971"/>
  <c r="AF1972"/>
  <c r="AF1973"/>
  <c r="AF1974"/>
  <c r="AF1975"/>
  <c r="AF1976"/>
  <c r="AF1977"/>
  <c r="AF1978"/>
  <c r="AF1979"/>
  <c r="AF1980"/>
  <c r="AF1981"/>
  <c r="AF1982"/>
  <c r="AF1983"/>
  <c r="AF1984"/>
  <c r="AF1985"/>
  <c r="AF1986"/>
  <c r="AF1987"/>
  <c r="AF1988"/>
  <c r="AF1989"/>
  <c r="AF1990"/>
  <c r="AF1991"/>
  <c r="AF1992"/>
  <c r="AF1993"/>
  <c r="AF1994"/>
  <c r="AF1995"/>
  <c r="AF1996"/>
  <c r="AF1997"/>
  <c r="AF1998"/>
  <c r="AF1999"/>
  <c r="AF2000"/>
  <c r="AF2001"/>
  <c r="AF2002"/>
  <c r="AF2003"/>
  <c r="AF2004"/>
  <c r="AF2005"/>
  <c r="AF2006"/>
  <c r="AF2007"/>
  <c r="AF2008"/>
  <c r="AF2009"/>
  <c r="AF2010"/>
  <c r="AF2011"/>
  <c r="AF2012"/>
  <c r="AF2013"/>
  <c r="AF2014"/>
  <c r="AF2015"/>
  <c r="AF2016"/>
  <c r="AF2017"/>
  <c r="AF2018"/>
  <c r="AF2019"/>
  <c r="AF2020"/>
  <c r="AF2021"/>
  <c r="AF2022"/>
  <c r="AF2023"/>
  <c r="AF2024"/>
  <c r="AF2025"/>
  <c r="AF2026"/>
  <c r="AF2027"/>
  <c r="AF2028"/>
  <c r="AF2029"/>
  <c r="AF2030"/>
  <c r="AF2031"/>
  <c r="AF2032"/>
  <c r="AF2033"/>
  <c r="AF2034"/>
  <c r="AF2035"/>
  <c r="AF2036"/>
  <c r="AF2037"/>
  <c r="AF2038"/>
  <c r="AF2039"/>
  <c r="AF2040"/>
  <c r="AF2041"/>
  <c r="AF2042"/>
  <c r="AF2043"/>
  <c r="AF2044"/>
  <c r="AF2045"/>
  <c r="AF2046"/>
  <c r="AF2047"/>
  <c r="AF2048"/>
  <c r="AF2049"/>
  <c r="AF2050"/>
  <c r="AF2051"/>
  <c r="AF2052"/>
  <c r="AF2053"/>
  <c r="AF2054"/>
  <c r="AF2055"/>
  <c r="AF2056"/>
  <c r="AF2057"/>
  <c r="AF2058"/>
  <c r="AF2059"/>
  <c r="AF2060"/>
  <c r="AF2061"/>
  <c r="AF2062"/>
  <c r="AF2063"/>
  <c r="AF2064"/>
  <c r="AF2065"/>
  <c r="AF2066"/>
  <c r="AF2067"/>
  <c r="AF2068"/>
  <c r="AF2069"/>
  <c r="AF2070"/>
  <c r="AF2071"/>
  <c r="AF2072"/>
  <c r="AF2073"/>
  <c r="AF2074"/>
  <c r="AF2075"/>
  <c r="AF2076"/>
  <c r="AF2077"/>
  <c r="AF2078"/>
  <c r="AF2079"/>
  <c r="AF2080"/>
  <c r="AF2081"/>
  <c r="AF2082"/>
  <c r="AF2083"/>
  <c r="AF2084"/>
  <c r="AF2085"/>
  <c r="AF10"/>
  <c r="AF2086"/>
  <c r="AF2087"/>
  <c r="AF2088"/>
  <c r="AF2089"/>
  <c r="AF2090"/>
  <c r="AF2091"/>
  <c r="AF2092"/>
  <c r="AF2093"/>
  <c r="AF2094"/>
  <c r="AF2095"/>
  <c r="AF2096"/>
  <c r="AF2097"/>
  <c r="AF2098"/>
  <c r="AF2099"/>
  <c r="AF2100"/>
  <c r="AF2101"/>
  <c r="AF2102"/>
  <c r="AF2103"/>
  <c r="AF2104"/>
  <c r="AF2105"/>
  <c r="AF2106"/>
  <c r="AF2107"/>
  <c r="AF2108"/>
  <c r="AF2109"/>
  <c r="AF2110"/>
  <c r="AF2111"/>
  <c r="AF2112"/>
  <c r="AF2113"/>
  <c r="AF2114"/>
  <c r="AF2115"/>
  <c r="AF2116"/>
  <c r="AF2117"/>
  <c r="AF2118"/>
  <c r="AF2119"/>
  <c r="AF2120"/>
  <c r="AF2121"/>
  <c r="AF2122"/>
  <c r="AF2123"/>
  <c r="AF2124"/>
  <c r="AF2125"/>
  <c r="AF2126"/>
  <c r="AF2127"/>
  <c r="AF2128"/>
  <c r="AF2129"/>
  <c r="AF2130"/>
  <c r="AF2131"/>
  <c r="AF2132"/>
  <c r="AF2133"/>
  <c r="AF2134"/>
  <c r="AF2135"/>
  <c r="AF2136"/>
  <c r="AF2137"/>
  <c r="AF2138"/>
  <c r="AF2139"/>
  <c r="AF2140"/>
  <c r="AF2141"/>
  <c r="AF2142"/>
  <c r="AF2143"/>
  <c r="AF2144"/>
  <c r="AF2145"/>
  <c r="AF2146"/>
  <c r="AF2147"/>
  <c r="AF2148"/>
  <c r="AF2149"/>
  <c r="AF2150"/>
  <c r="AF2151"/>
  <c r="AF2152"/>
  <c r="AF2153"/>
  <c r="AF2154"/>
  <c r="AF2155"/>
  <c r="AF2156"/>
  <c r="AF2157"/>
  <c r="AF2158"/>
  <c r="AF2159"/>
  <c r="AF2160"/>
  <c r="AF2161"/>
  <c r="AF2162"/>
  <c r="AF2163"/>
  <c r="AF2164"/>
  <c r="AF2165"/>
  <c r="AF2166"/>
  <c r="AF2167"/>
  <c r="AF2168"/>
  <c r="AG47"/>
  <c r="AG48"/>
  <c r="AG49"/>
  <c r="AG50"/>
  <c r="AG51"/>
  <c r="AG52"/>
  <c r="AG53"/>
  <c r="AG54"/>
  <c r="AG55"/>
  <c r="AG56"/>
  <c r="AG57"/>
  <c r="AG58"/>
  <c r="AG59"/>
  <c r="AG60"/>
  <c r="AG61"/>
  <c r="AG62"/>
  <c r="AG63"/>
  <c r="AG64"/>
  <c r="AG65"/>
  <c r="AG66"/>
  <c r="AG67"/>
  <c r="AG68"/>
  <c r="AG69"/>
  <c r="AG70"/>
  <c r="AG71"/>
  <c r="AG72"/>
  <c r="AG73"/>
  <c r="AG74"/>
  <c r="AG75"/>
  <c r="AG76"/>
  <c r="AG9"/>
  <c r="AG77"/>
  <c r="AG78"/>
  <c r="AG79"/>
  <c r="AG80"/>
  <c r="AG81"/>
  <c r="AG15"/>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135"/>
  <c r="AG136"/>
  <c r="AG137"/>
  <c r="AG138"/>
  <c r="AG139"/>
  <c r="AG140"/>
  <c r="AG141"/>
  <c r="AG142"/>
  <c r="AG143"/>
  <c r="AG144"/>
  <c r="AG145"/>
  <c r="AG146"/>
  <c r="AG147"/>
  <c r="AG148"/>
  <c r="AG149"/>
  <c r="AG150"/>
  <c r="AG151"/>
  <c r="AG152"/>
  <c r="AG153"/>
  <c r="AG154"/>
  <c r="AG155"/>
  <c r="AG156"/>
  <c r="AG157"/>
  <c r="AG158"/>
  <c r="AG159"/>
  <c r="AG160"/>
  <c r="AG161"/>
  <c r="AG162"/>
  <c r="AG163"/>
  <c r="AG164"/>
  <c r="AG165"/>
  <c r="AG166"/>
  <c r="AG167"/>
  <c r="AG168"/>
  <c r="AG169"/>
  <c r="AG170"/>
  <c r="AG171"/>
  <c r="AG172"/>
  <c r="AG173"/>
  <c r="AG174"/>
  <c r="AG175"/>
  <c r="AG176"/>
  <c r="AG177"/>
  <c r="AG178"/>
  <c r="AG179"/>
  <c r="AG180"/>
  <c r="AG181"/>
  <c r="AG182"/>
  <c r="AG183"/>
  <c r="AG184"/>
  <c r="AG185"/>
  <c r="AG186"/>
  <c r="AG187"/>
  <c r="AG188"/>
  <c r="AG189"/>
  <c r="AG190"/>
  <c r="AG191"/>
  <c r="AG192"/>
  <c r="AG193"/>
  <c r="AG194"/>
  <c r="AG195"/>
  <c r="AG196"/>
  <c r="AG197"/>
  <c r="AG198"/>
  <c r="AG199"/>
  <c r="AG200"/>
  <c r="AG201"/>
  <c r="AG202"/>
  <c r="AG203"/>
  <c r="AG204"/>
  <c r="AG205"/>
  <c r="AG206"/>
  <c r="AG207"/>
  <c r="AG208"/>
  <c r="AG209"/>
  <c r="AG210"/>
  <c r="AG211"/>
  <c r="AG212"/>
  <c r="AG213"/>
  <c r="AG214"/>
  <c r="AG215"/>
  <c r="AG216"/>
  <c r="AG217"/>
  <c r="AG218"/>
  <c r="AG219"/>
  <c r="AG220"/>
  <c r="AG221"/>
  <c r="AG222"/>
  <c r="AG223"/>
  <c r="AG224"/>
  <c r="AG225"/>
  <c r="AG226"/>
  <c r="AG227"/>
  <c r="AG228"/>
  <c r="AG229"/>
  <c r="AG230"/>
  <c r="AG231"/>
  <c r="AG232"/>
  <c r="AG233"/>
  <c r="AG234"/>
  <c r="AG235"/>
  <c r="AG236"/>
  <c r="AG237"/>
  <c r="AG238"/>
  <c r="AG239"/>
  <c r="AG240"/>
  <c r="AG241"/>
  <c r="AG242"/>
  <c r="AG243"/>
  <c r="AG244"/>
  <c r="AG245"/>
  <c r="AG246"/>
  <c r="AG247"/>
  <c r="AG248"/>
  <c r="AG249"/>
  <c r="AG250"/>
  <c r="AG251"/>
  <c r="AG252"/>
  <c r="AG253"/>
  <c r="AG254"/>
  <c r="AG255"/>
  <c r="AG256"/>
  <c r="AG257"/>
  <c r="AG258"/>
  <c r="AG259"/>
  <c r="AG260"/>
  <c r="AG261"/>
  <c r="AG262"/>
  <c r="AG263"/>
  <c r="AG264"/>
  <c r="AG265"/>
  <c r="AG266"/>
  <c r="AG267"/>
  <c r="AG268"/>
  <c r="AG269"/>
  <c r="AG270"/>
  <c r="AG271"/>
  <c r="AG272"/>
  <c r="AG273"/>
  <c r="AG274"/>
  <c r="AG275"/>
  <c r="AG276"/>
  <c r="AG277"/>
  <c r="AG278"/>
  <c r="AG279"/>
  <c r="AG280"/>
  <c r="AG281"/>
  <c r="AG282"/>
  <c r="AG283"/>
  <c r="AG284"/>
  <c r="AG285"/>
  <c r="AG286"/>
  <c r="AG287"/>
  <c r="AG288"/>
  <c r="AG289"/>
  <c r="AG290"/>
  <c r="AG291"/>
  <c r="AG292"/>
  <c r="AG293"/>
  <c r="AG294"/>
  <c r="AG295"/>
  <c r="AG296"/>
  <c r="AG297"/>
  <c r="AG298"/>
  <c r="AG299"/>
  <c r="AG300"/>
  <c r="AG301"/>
  <c r="AG302"/>
  <c r="AG303"/>
  <c r="AG304"/>
  <c r="AG305"/>
  <c r="AG306"/>
  <c r="AG307"/>
  <c r="AG308"/>
  <c r="AG309"/>
  <c r="AG310"/>
  <c r="AG311"/>
  <c r="AG312"/>
  <c r="AG313"/>
  <c r="AG314"/>
  <c r="AG315"/>
  <c r="AG316"/>
  <c r="AG317"/>
  <c r="AG318"/>
  <c r="AG319"/>
  <c r="AG320"/>
  <c r="AG321"/>
  <c r="AG322"/>
  <c r="AG323"/>
  <c r="AG324"/>
  <c r="AG325"/>
  <c r="AG326"/>
  <c r="AG327"/>
  <c r="AG328"/>
  <c r="AG329"/>
  <c r="AG330"/>
  <c r="AG331"/>
  <c r="AG332"/>
  <c r="AG333"/>
  <c r="AG334"/>
  <c r="AG335"/>
  <c r="AG336"/>
  <c r="AG337"/>
  <c r="AG338"/>
  <c r="AG339"/>
  <c r="AG340"/>
  <c r="AG341"/>
  <c r="AG342"/>
  <c r="AG343"/>
  <c r="AG344"/>
  <c r="AG345"/>
  <c r="AG346"/>
  <c r="AG347"/>
  <c r="AG348"/>
  <c r="AG349"/>
  <c r="AG350"/>
  <c r="AG351"/>
  <c r="AG352"/>
  <c r="AG353"/>
  <c r="AG354"/>
  <c r="AG355"/>
  <c r="AG356"/>
  <c r="AG357"/>
  <c r="AG358"/>
  <c r="AG359"/>
  <c r="AG360"/>
  <c r="AG361"/>
  <c r="AG362"/>
  <c r="AG363"/>
  <c r="AG364"/>
  <c r="AG365"/>
  <c r="AG366"/>
  <c r="AG367"/>
  <c r="AG368"/>
  <c r="AG369"/>
  <c r="AG370"/>
  <c r="AG371"/>
  <c r="AG372"/>
  <c r="AG373"/>
  <c r="AG374"/>
  <c r="AG375"/>
  <c r="AG376"/>
  <c r="AG377"/>
  <c r="AG378"/>
  <c r="AG379"/>
  <c r="AG380"/>
  <c r="AG381"/>
  <c r="AG382"/>
  <c r="AG383"/>
  <c r="AG384"/>
  <c r="AG385"/>
  <c r="AG386"/>
  <c r="AG387"/>
  <c r="AG388"/>
  <c r="AG389"/>
  <c r="AG390"/>
  <c r="AG391"/>
  <c r="AG392"/>
  <c r="AG393"/>
  <c r="AG394"/>
  <c r="AG395"/>
  <c r="AG396"/>
  <c r="AG397"/>
  <c r="AG398"/>
  <c r="AG399"/>
  <c r="AG400"/>
  <c r="AG401"/>
  <c r="AG402"/>
  <c r="AG403"/>
  <c r="AG404"/>
  <c r="AG405"/>
  <c r="AG406"/>
  <c r="AG407"/>
  <c r="AG408"/>
  <c r="AG409"/>
  <c r="AG410"/>
  <c r="AG411"/>
  <c r="AG412"/>
  <c r="AG413"/>
  <c r="AG414"/>
  <c r="AG415"/>
  <c r="AG416"/>
  <c r="AG417"/>
  <c r="AG418"/>
  <c r="AG419"/>
  <c r="AG420"/>
  <c r="AG421"/>
  <c r="AG422"/>
  <c r="AG423"/>
  <c r="AG424"/>
  <c r="AG425"/>
  <c r="AG426"/>
  <c r="AG427"/>
  <c r="AG428"/>
  <c r="AG429"/>
  <c r="AG430"/>
  <c r="AG431"/>
  <c r="AG432"/>
  <c r="AG433"/>
  <c r="AG434"/>
  <c r="AG435"/>
  <c r="AG436"/>
  <c r="AG437"/>
  <c r="AG438"/>
  <c r="AG439"/>
  <c r="AG440"/>
  <c r="AG441"/>
  <c r="AG442"/>
  <c r="AG443"/>
  <c r="AG444"/>
  <c r="AG445"/>
  <c r="AG446"/>
  <c r="AG447"/>
  <c r="AG448"/>
  <c r="AG449"/>
  <c r="AG450"/>
  <c r="AG451"/>
  <c r="AG452"/>
  <c r="AG453"/>
  <c r="AG454"/>
  <c r="AG455"/>
  <c r="AG456"/>
  <c r="AG457"/>
  <c r="AG458"/>
  <c r="AG459"/>
  <c r="AG460"/>
  <c r="AG461"/>
  <c r="AG462"/>
  <c r="AG463"/>
  <c r="AG464"/>
  <c r="AG465"/>
  <c r="AG466"/>
  <c r="AG467"/>
  <c r="AG468"/>
  <c r="AG469"/>
  <c r="AG470"/>
  <c r="AG471"/>
  <c r="AG472"/>
  <c r="AG473"/>
  <c r="AG474"/>
  <c r="AG475"/>
  <c r="AG476"/>
  <c r="AG477"/>
  <c r="AG478"/>
  <c r="AG479"/>
  <c r="AG480"/>
  <c r="AG481"/>
  <c r="AG482"/>
  <c r="AG483"/>
  <c r="AG484"/>
  <c r="AG485"/>
  <c r="AG486"/>
  <c r="AG487"/>
  <c r="AG488"/>
  <c r="AG489"/>
  <c r="AG490"/>
  <c r="AG491"/>
  <c r="AG492"/>
  <c r="AG493"/>
  <c r="AG494"/>
  <c r="AG495"/>
  <c r="AG496"/>
  <c r="AG497"/>
  <c r="AG498"/>
  <c r="AG499"/>
  <c r="AG500"/>
  <c r="AG501"/>
  <c r="AG502"/>
  <c r="AG503"/>
  <c r="AG504"/>
  <c r="AG505"/>
  <c r="AG506"/>
  <c r="AG507"/>
  <c r="AG508"/>
  <c r="AG509"/>
  <c r="AG510"/>
  <c r="AG511"/>
  <c r="AG512"/>
  <c r="AG513"/>
  <c r="AG514"/>
  <c r="AG515"/>
  <c r="AG516"/>
  <c r="AG517"/>
  <c r="AG518"/>
  <c r="AG519"/>
  <c r="AG520"/>
  <c r="AG521"/>
  <c r="AG522"/>
  <c r="AG523"/>
  <c r="AG524"/>
  <c r="AG525"/>
  <c r="AG526"/>
  <c r="AG527"/>
  <c r="AG528"/>
  <c r="AG529"/>
  <c r="AG530"/>
  <c r="AG531"/>
  <c r="AG532"/>
  <c r="AG533"/>
  <c r="AG534"/>
  <c r="AG535"/>
  <c r="AG536"/>
  <c r="AG537"/>
  <c r="AG538"/>
  <c r="AG539"/>
  <c r="AG540"/>
  <c r="AG541"/>
  <c r="AG542"/>
  <c r="AG543"/>
  <c r="AG544"/>
  <c r="AG545"/>
  <c r="AG546"/>
  <c r="AG547"/>
  <c r="AG548"/>
  <c r="AG549"/>
  <c r="AG550"/>
  <c r="AG551"/>
  <c r="AG552"/>
  <c r="AG553"/>
  <c r="AG554"/>
  <c r="AG555"/>
  <c r="AG556"/>
  <c r="AG557"/>
  <c r="AG558"/>
  <c r="AG559"/>
  <c r="AG560"/>
  <c r="AG561"/>
  <c r="AG562"/>
  <c r="AG563"/>
  <c r="AG564"/>
  <c r="AG565"/>
  <c r="AG566"/>
  <c r="AG567"/>
  <c r="AG568"/>
  <c r="AG569"/>
  <c r="AG570"/>
  <c r="AG571"/>
  <c r="AG572"/>
  <c r="AG573"/>
  <c r="AG574"/>
  <c r="AG575"/>
  <c r="AG576"/>
  <c r="AG577"/>
  <c r="AG578"/>
  <c r="AG579"/>
  <c r="AG580"/>
  <c r="AG581"/>
  <c r="AG582"/>
  <c r="AG583"/>
  <c r="AG584"/>
  <c r="AG585"/>
  <c r="AG586"/>
  <c r="AG587"/>
  <c r="AG588"/>
  <c r="AG589"/>
  <c r="AG590"/>
  <c r="AG591"/>
  <c r="AG592"/>
  <c r="AG593"/>
  <c r="AG594"/>
  <c r="AG595"/>
  <c r="AG596"/>
  <c r="AG597"/>
  <c r="AG598"/>
  <c r="AG599"/>
  <c r="AG600"/>
  <c r="AG601"/>
  <c r="AG602"/>
  <c r="AG603"/>
  <c r="AG604"/>
  <c r="AG605"/>
  <c r="AG606"/>
  <c r="AG607"/>
  <c r="AG608"/>
  <c r="AG609"/>
  <c r="AG610"/>
  <c r="AG611"/>
  <c r="AG612"/>
  <c r="AG613"/>
  <c r="AG614"/>
  <c r="AG615"/>
  <c r="AG616"/>
  <c r="AG617"/>
  <c r="AG618"/>
  <c r="AG619"/>
  <c r="AG620"/>
  <c r="AG621"/>
  <c r="AG622"/>
  <c r="AG623"/>
  <c r="AG624"/>
  <c r="AG625"/>
  <c r="AG626"/>
  <c r="AG627"/>
  <c r="AG628"/>
  <c r="AG629"/>
  <c r="AG630"/>
  <c r="AG631"/>
  <c r="AG632"/>
  <c r="AG633"/>
  <c r="AG634"/>
  <c r="AG635"/>
  <c r="AG636"/>
  <c r="AG637"/>
  <c r="AG638"/>
  <c r="AG639"/>
  <c r="AG640"/>
  <c r="AG641"/>
  <c r="AG642"/>
  <c r="AG643"/>
  <c r="AG644"/>
  <c r="AG645"/>
  <c r="AG646"/>
  <c r="AG647"/>
  <c r="AG648"/>
  <c r="AG649"/>
  <c r="AG650"/>
  <c r="AG651"/>
  <c r="AG652"/>
  <c r="AG653"/>
  <c r="AG654"/>
  <c r="AG655"/>
  <c r="AG656"/>
  <c r="AG657"/>
  <c r="AG658"/>
  <c r="AG659"/>
  <c r="AG660"/>
  <c r="AG661"/>
  <c r="AG662"/>
  <c r="AG663"/>
  <c r="AG664"/>
  <c r="AG665"/>
  <c r="AG666"/>
  <c r="AG667"/>
  <c r="AG668"/>
  <c r="AG669"/>
  <c r="AG670"/>
  <c r="AG671"/>
  <c r="AG672"/>
  <c r="AG673"/>
  <c r="AG674"/>
  <c r="AG675"/>
  <c r="AG676"/>
  <c r="AG677"/>
  <c r="AG678"/>
  <c r="AG679"/>
  <c r="AG680"/>
  <c r="AG681"/>
  <c r="AG682"/>
  <c r="AG683"/>
  <c r="AG684"/>
  <c r="AG685"/>
  <c r="AG686"/>
  <c r="AG687"/>
  <c r="AG688"/>
  <c r="AG689"/>
  <c r="AG690"/>
  <c r="AG691"/>
  <c r="AG692"/>
  <c r="AG693"/>
  <c r="AG694"/>
  <c r="AG695"/>
  <c r="AG696"/>
  <c r="AG697"/>
  <c r="AG698"/>
  <c r="AG699"/>
  <c r="AG700"/>
  <c r="AG701"/>
  <c r="AG702"/>
  <c r="AG703"/>
  <c r="AG704"/>
  <c r="AG705"/>
  <c r="AG706"/>
  <c r="AG707"/>
  <c r="AG708"/>
  <c r="AG709"/>
  <c r="AG710"/>
  <c r="AG711"/>
  <c r="AG712"/>
  <c r="AG713"/>
  <c r="AG714"/>
  <c r="AG715"/>
  <c r="AG716"/>
  <c r="AG717"/>
  <c r="AG718"/>
  <c r="AG719"/>
  <c r="AG720"/>
  <c r="AG721"/>
  <c r="AG722"/>
  <c r="AG723"/>
  <c r="AG724"/>
  <c r="AG725"/>
  <c r="AG726"/>
  <c r="AG14"/>
  <c r="AG727"/>
  <c r="AG728"/>
  <c r="AG729"/>
  <c r="AG730"/>
  <c r="AG731"/>
  <c r="AG732"/>
  <c r="AG733"/>
  <c r="AG734"/>
  <c r="AG735"/>
  <c r="AG736"/>
  <c r="AG737"/>
  <c r="AG738"/>
  <c r="AG739"/>
  <c r="AG740"/>
  <c r="AG741"/>
  <c r="AG742"/>
  <c r="AG743"/>
  <c r="AG744"/>
  <c r="AG745"/>
  <c r="AG746"/>
  <c r="AG747"/>
  <c r="AG748"/>
  <c r="AG749"/>
  <c r="AG750"/>
  <c r="AG751"/>
  <c r="AG752"/>
  <c r="AG753"/>
  <c r="AG754"/>
  <c r="AG755"/>
  <c r="AG756"/>
  <c r="AG757"/>
  <c r="AG758"/>
  <c r="AG759"/>
  <c r="AG760"/>
  <c r="AG761"/>
  <c r="AG762"/>
  <c r="AG763"/>
  <c r="AG764"/>
  <c r="AG765"/>
  <c r="AG766"/>
  <c r="AG767"/>
  <c r="AG768"/>
  <c r="AG769"/>
  <c r="AG770"/>
  <c r="AG771"/>
  <c r="AG772"/>
  <c r="AG773"/>
  <c r="AG774"/>
  <c r="AG775"/>
  <c r="AG776"/>
  <c r="AG777"/>
  <c r="AG778"/>
  <c r="AG779"/>
  <c r="AG780"/>
  <c r="AG781"/>
  <c r="AG782"/>
  <c r="AG783"/>
  <c r="AG784"/>
  <c r="AG785"/>
  <c r="AG786"/>
  <c r="AG787"/>
  <c r="AG788"/>
  <c r="AG789"/>
  <c r="AG790"/>
  <c r="AG791"/>
  <c r="AG792"/>
  <c r="AG793"/>
  <c r="AG794"/>
  <c r="AG795"/>
  <c r="AG796"/>
  <c r="AG797"/>
  <c r="AG798"/>
  <c r="AG799"/>
  <c r="AG800"/>
  <c r="AG801"/>
  <c r="AG802"/>
  <c r="AG803"/>
  <c r="AG804"/>
  <c r="AG805"/>
  <c r="AG806"/>
  <c r="AG807"/>
  <c r="AG808"/>
  <c r="AG809"/>
  <c r="AG810"/>
  <c r="AG811"/>
  <c r="AG812"/>
  <c r="AG813"/>
  <c r="AG814"/>
  <c r="AG815"/>
  <c r="AG816"/>
  <c r="AG817"/>
  <c r="AG818"/>
  <c r="AG819"/>
  <c r="AG820"/>
  <c r="AG821"/>
  <c r="AG822"/>
  <c r="AG823"/>
  <c r="AG824"/>
  <c r="AG825"/>
  <c r="AG826"/>
  <c r="AG827"/>
  <c r="AG828"/>
  <c r="AG829"/>
  <c r="AG830"/>
  <c r="AG831"/>
  <c r="AG832"/>
  <c r="AG833"/>
  <c r="AG834"/>
  <c r="AG835"/>
  <c r="AG836"/>
  <c r="AG837"/>
  <c r="AG838"/>
  <c r="AG839"/>
  <c r="AG840"/>
  <c r="AG841"/>
  <c r="AG842"/>
  <c r="AG843"/>
  <c r="AG844"/>
  <c r="AG845"/>
  <c r="AG846"/>
  <c r="AG847"/>
  <c r="AG848"/>
  <c r="AG849"/>
  <c r="AG850"/>
  <c r="AG851"/>
  <c r="AG852"/>
  <c r="AG853"/>
  <c r="AG854"/>
  <c r="AG855"/>
  <c r="AG856"/>
  <c r="AG857"/>
  <c r="AG858"/>
  <c r="AG859"/>
  <c r="AG860"/>
  <c r="AG861"/>
  <c r="AG862"/>
  <c r="AG863"/>
  <c r="AG864"/>
  <c r="AG865"/>
  <c r="AG866"/>
  <c r="AG867"/>
  <c r="AG868"/>
  <c r="AG869"/>
  <c r="AG870"/>
  <c r="AG871"/>
  <c r="AG872"/>
  <c r="AG873"/>
  <c r="AG874"/>
  <c r="AG875"/>
  <c r="AG876"/>
  <c r="AG877"/>
  <c r="AG878"/>
  <c r="AG879"/>
  <c r="AG880"/>
  <c r="AG881"/>
  <c r="AG882"/>
  <c r="AG883"/>
  <c r="AG884"/>
  <c r="AG885"/>
  <c r="AG886"/>
  <c r="AG887"/>
  <c r="AG888"/>
  <c r="AG889"/>
  <c r="AG890"/>
  <c r="AG891"/>
  <c r="AG892"/>
  <c r="AG893"/>
  <c r="AG894"/>
  <c r="AG895"/>
  <c r="AG896"/>
  <c r="AG897"/>
  <c r="AG898"/>
  <c r="AG899"/>
  <c r="AG900"/>
  <c r="AG901"/>
  <c r="AG902"/>
  <c r="AG903"/>
  <c r="AG904"/>
  <c r="AG905"/>
  <c r="AG906"/>
  <c r="AG907"/>
  <c r="AG908"/>
  <c r="AG909"/>
  <c r="AG910"/>
  <c r="AG911"/>
  <c r="AG912"/>
  <c r="AG913"/>
  <c r="AG914"/>
  <c r="AG915"/>
  <c r="AG916"/>
  <c r="AG917"/>
  <c r="AG918"/>
  <c r="AG919"/>
  <c r="AG920"/>
  <c r="AG921"/>
  <c r="AG922"/>
  <c r="AG923"/>
  <c r="AG924"/>
  <c r="AG925"/>
  <c r="AG926"/>
  <c r="AG927"/>
  <c r="AG928"/>
  <c r="AG929"/>
  <c r="AG930"/>
  <c r="AG931"/>
  <c r="AG932"/>
  <c r="AG933"/>
  <c r="AG934"/>
  <c r="AG935"/>
  <c r="AG936"/>
  <c r="AG937"/>
  <c r="AG938"/>
  <c r="AG939"/>
  <c r="AG940"/>
  <c r="AG941"/>
  <c r="AG942"/>
  <c r="AG943"/>
  <c r="AG944"/>
  <c r="AG945"/>
  <c r="AG946"/>
  <c r="AG947"/>
  <c r="AG948"/>
  <c r="AG949"/>
  <c r="AG950"/>
  <c r="AG951"/>
  <c r="AG952"/>
  <c r="AG953"/>
  <c r="AG954"/>
  <c r="AG955"/>
  <c r="AG956"/>
  <c r="AG957"/>
  <c r="AG958"/>
  <c r="AG959"/>
  <c r="AG960"/>
  <c r="AG961"/>
  <c r="AG962"/>
  <c r="AG963"/>
  <c r="AG964"/>
  <c r="AG965"/>
  <c r="AG966"/>
  <c r="AG967"/>
  <c r="AG968"/>
  <c r="AG969"/>
  <c r="AG970"/>
  <c r="AG971"/>
  <c r="AG972"/>
  <c r="AG973"/>
  <c r="AG6"/>
  <c r="AG974"/>
  <c r="AG975"/>
  <c r="AG976"/>
  <c r="AG977"/>
  <c r="AG978"/>
  <c r="AG979"/>
  <c r="AG980"/>
  <c r="AG981"/>
  <c r="AG982"/>
  <c r="AG983"/>
  <c r="AG984"/>
  <c r="AG985"/>
  <c r="AG986"/>
  <c r="AG987"/>
  <c r="AG988"/>
  <c r="AG989"/>
  <c r="AG990"/>
  <c r="AG991"/>
  <c r="AG992"/>
  <c r="AG993"/>
  <c r="AG994"/>
  <c r="AG995"/>
  <c r="AG996"/>
  <c r="AG997"/>
  <c r="AG998"/>
  <c r="AG999"/>
  <c r="AG1000"/>
  <c r="AG1001"/>
  <c r="AG1002"/>
  <c r="AG1003"/>
  <c r="AG1004"/>
  <c r="AG1005"/>
  <c r="AG1006"/>
  <c r="AG1007"/>
  <c r="AG1008"/>
  <c r="AG1009"/>
  <c r="AG1010"/>
  <c r="AG1011"/>
  <c r="AG1012"/>
  <c r="AG1013"/>
  <c r="AG1014"/>
  <c r="AG1015"/>
  <c r="AG1016"/>
  <c r="AG1017"/>
  <c r="AG1018"/>
  <c r="AG1019"/>
  <c r="AG1020"/>
  <c r="AG1021"/>
  <c r="AG1022"/>
  <c r="AG1023"/>
  <c r="AG1024"/>
  <c r="AG1025"/>
  <c r="AG1026"/>
  <c r="AG1027"/>
  <c r="AG1028"/>
  <c r="AG1029"/>
  <c r="AG1030"/>
  <c r="AG1031"/>
  <c r="AG1032"/>
  <c r="AG1033"/>
  <c r="AG1034"/>
  <c r="AG1035"/>
  <c r="AG1036"/>
  <c r="AG1037"/>
  <c r="AG1038"/>
  <c r="AG1039"/>
  <c r="AG1040"/>
  <c r="AG1041"/>
  <c r="AG1042"/>
  <c r="AG1043"/>
  <c r="AG1044"/>
  <c r="AG1045"/>
  <c r="AG1046"/>
  <c r="AG1047"/>
  <c r="AG1048"/>
  <c r="AG1049"/>
  <c r="AG1050"/>
  <c r="AG1051"/>
  <c r="AG1052"/>
  <c r="AG1053"/>
  <c r="AG1054"/>
  <c r="AG1055"/>
  <c r="AG1056"/>
  <c r="AG1057"/>
  <c r="AG1058"/>
  <c r="AG1059"/>
  <c r="AG1060"/>
  <c r="AG1061"/>
  <c r="AG1062"/>
  <c r="AG1063"/>
  <c r="AG1064"/>
  <c r="AG1065"/>
  <c r="AG1066"/>
  <c r="AG1067"/>
  <c r="AG1068"/>
  <c r="AG1069"/>
  <c r="AG1070"/>
  <c r="AG1071"/>
  <c r="AG1072"/>
  <c r="AG1073"/>
  <c r="AG1074"/>
  <c r="AG1075"/>
  <c r="AG1076"/>
  <c r="AG1077"/>
  <c r="AG1078"/>
  <c r="AG1079"/>
  <c r="AG1080"/>
  <c r="AG1081"/>
  <c r="AG1082"/>
  <c r="AG1083"/>
  <c r="AG1084"/>
  <c r="AG1085"/>
  <c r="AG1086"/>
  <c r="AG1087"/>
  <c r="AG1088"/>
  <c r="AG1089"/>
  <c r="AG1090"/>
  <c r="AG1091"/>
  <c r="AG1092"/>
  <c r="AG1093"/>
  <c r="AG1094"/>
  <c r="AG1095"/>
  <c r="AG1096"/>
  <c r="AG1097"/>
  <c r="AG1098"/>
  <c r="AG1099"/>
  <c r="AG1100"/>
  <c r="AG1101"/>
  <c r="AG1102"/>
  <c r="AG1103"/>
  <c r="AG1104"/>
  <c r="AG1105"/>
  <c r="AG1106"/>
  <c r="AG1107"/>
  <c r="AG1108"/>
  <c r="AG1109"/>
  <c r="AG1110"/>
  <c r="AG1111"/>
  <c r="AG1112"/>
  <c r="AG1113"/>
  <c r="AG1114"/>
  <c r="AG1115"/>
  <c r="AG1116"/>
  <c r="AG1117"/>
  <c r="AG1118"/>
  <c r="AG1119"/>
  <c r="AG1120"/>
  <c r="AG1121"/>
  <c r="AG1122"/>
  <c r="AG1123"/>
  <c r="AG1124"/>
  <c r="AG1125"/>
  <c r="AG1126"/>
  <c r="AG1127"/>
  <c r="AG1128"/>
  <c r="AG1129"/>
  <c r="AG1130"/>
  <c r="AG1131"/>
  <c r="AG1132"/>
  <c r="AG1133"/>
  <c r="AG1134"/>
  <c r="AG1135"/>
  <c r="AG1136"/>
  <c r="AG1137"/>
  <c r="AG1138"/>
  <c r="AG1139"/>
  <c r="AG1140"/>
  <c r="AG1141"/>
  <c r="AG1142"/>
  <c r="AG1143"/>
  <c r="AG1144"/>
  <c r="AG1145"/>
  <c r="AG1146"/>
  <c r="AG1147"/>
  <c r="AG1148"/>
  <c r="AG1149"/>
  <c r="AG1150"/>
  <c r="AG1151"/>
  <c r="AG1152"/>
  <c r="AG1153"/>
  <c r="AG1154"/>
  <c r="AG1155"/>
  <c r="AG1156"/>
  <c r="AG1157"/>
  <c r="AG1158"/>
  <c r="AG1159"/>
  <c r="AG1160"/>
  <c r="AG1161"/>
  <c r="AG1162"/>
  <c r="AG1163"/>
  <c r="AG1164"/>
  <c r="AG1165"/>
  <c r="AG1166"/>
  <c r="AG1167"/>
  <c r="AG1168"/>
  <c r="AG1169"/>
  <c r="AG1170"/>
  <c r="AG1171"/>
  <c r="AG1172"/>
  <c r="AG1173"/>
  <c r="AG1174"/>
  <c r="AG1175"/>
  <c r="AG1176"/>
  <c r="AG1177"/>
  <c r="AG1178"/>
  <c r="AG1179"/>
  <c r="AG1180"/>
  <c r="AG1181"/>
  <c r="AG1182"/>
  <c r="AG1183"/>
  <c r="AG1184"/>
  <c r="AG1185"/>
  <c r="AG1186"/>
  <c r="AG1187"/>
  <c r="AG1188"/>
  <c r="AG1189"/>
  <c r="AG1190"/>
  <c r="AG1191"/>
  <c r="AG1192"/>
  <c r="AG1193"/>
  <c r="AG1194"/>
  <c r="AG1195"/>
  <c r="AG1196"/>
  <c r="AG1197"/>
  <c r="AG1198"/>
  <c r="AG1199"/>
  <c r="AG1200"/>
  <c r="AG1201"/>
  <c r="AG1202"/>
  <c r="AG1203"/>
  <c r="AG1204"/>
  <c r="AG1205"/>
  <c r="AG1206"/>
  <c r="AG1207"/>
  <c r="AG1208"/>
  <c r="AG1209"/>
  <c r="AG1210"/>
  <c r="AG1211"/>
  <c r="AG1212"/>
  <c r="AG1213"/>
  <c r="AG1214"/>
  <c r="AG1215"/>
  <c r="AG1216"/>
  <c r="AG1217"/>
  <c r="AG1218"/>
  <c r="AG1219"/>
  <c r="AG1220"/>
  <c r="AG1221"/>
  <c r="AG1222"/>
  <c r="AG1223"/>
  <c r="AG1224"/>
  <c r="AG1225"/>
  <c r="AG1226"/>
  <c r="AG1227"/>
  <c r="AG1228"/>
  <c r="AG1229"/>
  <c r="AG1230"/>
  <c r="AG1231"/>
  <c r="AG1232"/>
  <c r="AG1233"/>
  <c r="AG1234"/>
  <c r="AG1235"/>
  <c r="AG1236"/>
  <c r="AG1237"/>
  <c r="AG1238"/>
  <c r="AG1239"/>
  <c r="AG1240"/>
  <c r="AG1241"/>
  <c r="AG1242"/>
  <c r="AG1243"/>
  <c r="AG1244"/>
  <c r="AG1245"/>
  <c r="AG1246"/>
  <c r="AG1247"/>
  <c r="AG1248"/>
  <c r="AG1249"/>
  <c r="AG1250"/>
  <c r="AG1251"/>
  <c r="AG1252"/>
  <c r="AG1253"/>
  <c r="AG1254"/>
  <c r="AG1255"/>
  <c r="AG1256"/>
  <c r="AG1257"/>
  <c r="AG1258"/>
  <c r="AG1259"/>
  <c r="AG1260"/>
  <c r="AG1261"/>
  <c r="AG1262"/>
  <c r="AG1263"/>
  <c r="AG1264"/>
  <c r="AG1265"/>
  <c r="AG1266"/>
  <c r="AG1267"/>
  <c r="AG1268"/>
  <c r="AG1269"/>
  <c r="AG1270"/>
  <c r="AG1271"/>
  <c r="AG1272"/>
  <c r="AG17"/>
  <c r="AG1273"/>
  <c r="AG1274"/>
  <c r="AG1275"/>
  <c r="AG1276"/>
  <c r="AG1277"/>
  <c r="AG1278"/>
  <c r="AG1279"/>
  <c r="AG1280"/>
  <c r="AG1281"/>
  <c r="AG1282"/>
  <c r="AG1283"/>
  <c r="AG1284"/>
  <c r="AG1285"/>
  <c r="AG1286"/>
  <c r="AG1287"/>
  <c r="AG1288"/>
  <c r="AG1289"/>
  <c r="AG1290"/>
  <c r="AG1291"/>
  <c r="AG1292"/>
  <c r="AG1293"/>
  <c r="AG1294"/>
  <c r="AG1295"/>
  <c r="AG1296"/>
  <c r="AG1297"/>
  <c r="AG1298"/>
  <c r="AG1299"/>
  <c r="AG1300"/>
  <c r="AG1301"/>
  <c r="AG1302"/>
  <c r="AG1303"/>
  <c r="AG1304"/>
  <c r="AG1305"/>
  <c r="AG1306"/>
  <c r="AG1307"/>
  <c r="AG1308"/>
  <c r="AG1309"/>
  <c r="AG1310"/>
  <c r="AG1311"/>
  <c r="AG1312"/>
  <c r="AG1313"/>
  <c r="AG1314"/>
  <c r="AG1315"/>
  <c r="AG1316"/>
  <c r="AG1317"/>
  <c r="AG1318"/>
  <c r="AG1319"/>
  <c r="AG1320"/>
  <c r="AG1321"/>
  <c r="AG1322"/>
  <c r="AG1323"/>
  <c r="AG1324"/>
  <c r="AG1325"/>
  <c r="AG1326"/>
  <c r="AG1327"/>
  <c r="AG1328"/>
  <c r="AG1329"/>
  <c r="AG1330"/>
  <c r="AG1331"/>
  <c r="AG1332"/>
  <c r="AG1333"/>
  <c r="AG1334"/>
  <c r="AG1335"/>
  <c r="AG1336"/>
  <c r="AG1337"/>
  <c r="AG1338"/>
  <c r="AG1339"/>
  <c r="AG1340"/>
  <c r="AG1341"/>
  <c r="AG1342"/>
  <c r="AG1343"/>
  <c r="AG1344"/>
  <c r="AG1345"/>
  <c r="AG1346"/>
  <c r="AG1347"/>
  <c r="AG1348"/>
  <c r="AG1349"/>
  <c r="AG1350"/>
  <c r="AG1351"/>
  <c r="AG1352"/>
  <c r="AG1353"/>
  <c r="AG1354"/>
  <c r="AG1355"/>
  <c r="AG1356"/>
  <c r="AG1357"/>
  <c r="AG1358"/>
  <c r="AG1359"/>
  <c r="AG1360"/>
  <c r="AG1361"/>
  <c r="AG1362"/>
  <c r="AG1363"/>
  <c r="AG1364"/>
  <c r="AG1365"/>
  <c r="AG1366"/>
  <c r="AG1367"/>
  <c r="AG1368"/>
  <c r="AG1369"/>
  <c r="AG1370"/>
  <c r="AG1371"/>
  <c r="AG1372"/>
  <c r="AG1373"/>
  <c r="AG1374"/>
  <c r="AG1375"/>
  <c r="AG1376"/>
  <c r="AG1377"/>
  <c r="AG1378"/>
  <c r="AG1379"/>
  <c r="AG1380"/>
  <c r="AG1381"/>
  <c r="AG1382"/>
  <c r="AG1383"/>
  <c r="AG1384"/>
  <c r="AG1385"/>
  <c r="AG1386"/>
  <c r="AG1387"/>
  <c r="AG1388"/>
  <c r="AG1389"/>
  <c r="AG1390"/>
  <c r="AG1391"/>
  <c r="AG1392"/>
  <c r="AG1393"/>
  <c r="AG1394"/>
  <c r="AG1395"/>
  <c r="AG1396"/>
  <c r="AG1397"/>
  <c r="AG1398"/>
  <c r="AG1399"/>
  <c r="AG1400"/>
  <c r="AG1401"/>
  <c r="AG1402"/>
  <c r="AG1403"/>
  <c r="AG1404"/>
  <c r="AG1405"/>
  <c r="AG1406"/>
  <c r="AG1407"/>
  <c r="AG1408"/>
  <c r="AG1409"/>
  <c r="AG1410"/>
  <c r="AG1411"/>
  <c r="AG1412"/>
  <c r="AG1413"/>
  <c r="AG1414"/>
  <c r="AG1415"/>
  <c r="AG1416"/>
  <c r="AG1417"/>
  <c r="AG1418"/>
  <c r="AG1419"/>
  <c r="AG1420"/>
  <c r="AG1421"/>
  <c r="AG1422"/>
  <c r="AG1423"/>
  <c r="AG1424"/>
  <c r="AG1425"/>
  <c r="AG1426"/>
  <c r="AG1427"/>
  <c r="AG1428"/>
  <c r="AG1429"/>
  <c r="AG1430"/>
  <c r="AG1431"/>
  <c r="AG1432"/>
  <c r="AG1433"/>
  <c r="AG1434"/>
  <c r="AG1435"/>
  <c r="AG1436"/>
  <c r="AG1437"/>
  <c r="AG1438"/>
  <c r="AG1439"/>
  <c r="AG1440"/>
  <c r="AG1441"/>
  <c r="AG1442"/>
  <c r="AG1443"/>
  <c r="AG1444"/>
  <c r="AG1445"/>
  <c r="AG1446"/>
  <c r="AG1447"/>
  <c r="AG1448"/>
  <c r="AG1449"/>
  <c r="AG1450"/>
  <c r="AG1451"/>
  <c r="AG1452"/>
  <c r="AG1453"/>
  <c r="AG1454"/>
  <c r="AG1455"/>
  <c r="AG1456"/>
  <c r="AG1457"/>
  <c r="AG1458"/>
  <c r="AG1459"/>
  <c r="AG1460"/>
  <c r="AG1461"/>
  <c r="AG1462"/>
  <c r="AG1463"/>
  <c r="AG1464"/>
  <c r="AG1465"/>
  <c r="AG1466"/>
  <c r="AG1467"/>
  <c r="AG1468"/>
  <c r="AG1469"/>
  <c r="AG1470"/>
  <c r="AG1471"/>
  <c r="AG1472"/>
  <c r="AG1473"/>
  <c r="AG1474"/>
  <c r="AG1475"/>
  <c r="AG1476"/>
  <c r="AG1477"/>
  <c r="AG1478"/>
  <c r="AG1479"/>
  <c r="AG1480"/>
  <c r="AG1481"/>
  <c r="AG1482"/>
  <c r="AG1483"/>
  <c r="AG1484"/>
  <c r="AG1485"/>
  <c r="AG1486"/>
  <c r="AG1487"/>
  <c r="AG1488"/>
  <c r="AG1489"/>
  <c r="AG1490"/>
  <c r="AG1491"/>
  <c r="AG1492"/>
  <c r="AG1493"/>
  <c r="AG1494"/>
  <c r="AG1495"/>
  <c r="AG1496"/>
  <c r="AG1497"/>
  <c r="AG1498"/>
  <c r="AG1499"/>
  <c r="AG1500"/>
  <c r="AG1501"/>
  <c r="AG1502"/>
  <c r="AG1503"/>
  <c r="AG1504"/>
  <c r="AG1505"/>
  <c r="AG1506"/>
  <c r="AG1507"/>
  <c r="AG1508"/>
  <c r="AG1509"/>
  <c r="AG1510"/>
  <c r="AG1511"/>
  <c r="AG1512"/>
  <c r="AG1513"/>
  <c r="AG1514"/>
  <c r="AG1515"/>
  <c r="AG1516"/>
  <c r="AG1517"/>
  <c r="AG1518"/>
  <c r="AG1519"/>
  <c r="AG1520"/>
  <c r="AG1521"/>
  <c r="AG1522"/>
  <c r="AG1523"/>
  <c r="AG1524"/>
  <c r="AG1525"/>
  <c r="AG1526"/>
  <c r="AG1527"/>
  <c r="AG1528"/>
  <c r="AG1529"/>
  <c r="AG1530"/>
  <c r="AG1531"/>
  <c r="AG1532"/>
  <c r="AG1533"/>
  <c r="AG1534"/>
  <c r="AG1535"/>
  <c r="AG1536"/>
  <c r="AG1537"/>
  <c r="AG1538"/>
  <c r="AG1539"/>
  <c r="AG1540"/>
  <c r="AG1541"/>
  <c r="AG1542"/>
  <c r="AG1543"/>
  <c r="AG1544"/>
  <c r="AG1545"/>
  <c r="AG1546"/>
  <c r="AG1547"/>
  <c r="AG1548"/>
  <c r="AG1549"/>
  <c r="AG1550"/>
  <c r="AG1551"/>
  <c r="AG1552"/>
  <c r="AG1553"/>
  <c r="AG1554"/>
  <c r="AG1555"/>
  <c r="AG1556"/>
  <c r="AG1557"/>
  <c r="AG1558"/>
  <c r="AG1559"/>
  <c r="AG1560"/>
  <c r="AG1561"/>
  <c r="AG1562"/>
  <c r="AG1563"/>
  <c r="AG1564"/>
  <c r="AG1565"/>
  <c r="AG1566"/>
  <c r="AG1567"/>
  <c r="AG1568"/>
  <c r="AG1569"/>
  <c r="AG1570"/>
  <c r="AG1571"/>
  <c r="AG1572"/>
  <c r="AG1573"/>
  <c r="AG1574"/>
  <c r="AG1575"/>
  <c r="AG1576"/>
  <c r="AG1577"/>
  <c r="AG1578"/>
  <c r="AG1579"/>
  <c r="AG1580"/>
  <c r="AG1581"/>
  <c r="AG1582"/>
  <c r="AG1583"/>
  <c r="AG1584"/>
  <c r="AG1585"/>
  <c r="AG1586"/>
  <c r="AG1587"/>
  <c r="AG1588"/>
  <c r="AG1589"/>
  <c r="AG1590"/>
  <c r="AG1591"/>
  <c r="AG1592"/>
  <c r="AG1593"/>
  <c r="AG1594"/>
  <c r="AG1595"/>
  <c r="AG1596"/>
  <c r="AG1597"/>
  <c r="AG1598"/>
  <c r="AG1599"/>
  <c r="AG1600"/>
  <c r="AG1601"/>
  <c r="AG1602"/>
  <c r="AG1603"/>
  <c r="AG1604"/>
  <c r="AG1605"/>
  <c r="AG1606"/>
  <c r="AG1607"/>
  <c r="AG1608"/>
  <c r="AG1609"/>
  <c r="AG1610"/>
  <c r="AG1611"/>
  <c r="AG1612"/>
  <c r="AG1613"/>
  <c r="AG1614"/>
  <c r="AG1615"/>
  <c r="AG1616"/>
  <c r="AG1617"/>
  <c r="AG1618"/>
  <c r="AG1619"/>
  <c r="AG1620"/>
  <c r="AG1621"/>
  <c r="AG11"/>
  <c r="AG1622"/>
  <c r="AG1623"/>
  <c r="AG1624"/>
  <c r="AG1625"/>
  <c r="AG1626"/>
  <c r="AG1627"/>
  <c r="AG1628"/>
  <c r="AG1629"/>
  <c r="AG1630"/>
  <c r="AG1631"/>
  <c r="AG1632"/>
  <c r="AG1633"/>
  <c r="AG1634"/>
  <c r="AG1635"/>
  <c r="AG1636"/>
  <c r="AG1637"/>
  <c r="AG1638"/>
  <c r="AG1639"/>
  <c r="AG1640"/>
  <c r="AG1641"/>
  <c r="AG1642"/>
  <c r="AG1643"/>
  <c r="AG1644"/>
  <c r="AG1645"/>
  <c r="AG1646"/>
  <c r="AG1647"/>
  <c r="AG1648"/>
  <c r="AG1649"/>
  <c r="AG1650"/>
  <c r="AG1651"/>
  <c r="AG1652"/>
  <c r="AG1653"/>
  <c r="AG1654"/>
  <c r="AG1655"/>
  <c r="AG1656"/>
  <c r="AG1657"/>
  <c r="AG1658"/>
  <c r="AG1659"/>
  <c r="AG1660"/>
  <c r="AG1661"/>
  <c r="AG1662"/>
  <c r="AG1663"/>
  <c r="AG1664"/>
  <c r="AG1665"/>
  <c r="AG1666"/>
  <c r="AG1667"/>
  <c r="AG1668"/>
  <c r="AG1669"/>
  <c r="AG1670"/>
  <c r="AG1671"/>
  <c r="AG1672"/>
  <c r="AG1673"/>
  <c r="AG1674"/>
  <c r="AG1675"/>
  <c r="AG1676"/>
  <c r="AG1677"/>
  <c r="AG1678"/>
  <c r="AG1679"/>
  <c r="AG1680"/>
  <c r="AG1681"/>
  <c r="AG1682"/>
  <c r="AG1683"/>
  <c r="AG1684"/>
  <c r="AG1685"/>
  <c r="AG1686"/>
  <c r="AG1687"/>
  <c r="AG1688"/>
  <c r="AG1689"/>
  <c r="AG1690"/>
  <c r="AG1691"/>
  <c r="AG1692"/>
  <c r="AG1693"/>
  <c r="AG1694"/>
  <c r="AG1695"/>
  <c r="AG1696"/>
  <c r="AG1697"/>
  <c r="AG1698"/>
  <c r="AG1699"/>
  <c r="AG1700"/>
  <c r="AG1701"/>
  <c r="AG1702"/>
  <c r="AG1703"/>
  <c r="AG1704"/>
  <c r="AG1705"/>
  <c r="AG1706"/>
  <c r="AG1707"/>
  <c r="AG1708"/>
  <c r="AG1709"/>
  <c r="AG1710"/>
  <c r="AG1711"/>
  <c r="AG1712"/>
  <c r="AG1713"/>
  <c r="AG1714"/>
  <c r="AG1715"/>
  <c r="AG1716"/>
  <c r="AG1717"/>
  <c r="AG1718"/>
  <c r="AG1719"/>
  <c r="AG1720"/>
  <c r="AG1721"/>
  <c r="AG1722"/>
  <c r="AG1723"/>
  <c r="AG1724"/>
  <c r="AG1725"/>
  <c r="AG1726"/>
  <c r="AG1727"/>
  <c r="AG1728"/>
  <c r="AG1729"/>
  <c r="AG1730"/>
  <c r="AG1731"/>
  <c r="AG7"/>
  <c r="AG1732"/>
  <c r="AG1733"/>
  <c r="AG1734"/>
  <c r="AG1735"/>
  <c r="AG1736"/>
  <c r="AG1737"/>
  <c r="AG1738"/>
  <c r="AG1739"/>
  <c r="AG1740"/>
  <c r="AG1741"/>
  <c r="AG1742"/>
  <c r="AG1743"/>
  <c r="AG1744"/>
  <c r="AG1745"/>
  <c r="AG1746"/>
  <c r="AG1747"/>
  <c r="AG1748"/>
  <c r="AG1749"/>
  <c r="AG1750"/>
  <c r="AG1751"/>
  <c r="AG1752"/>
  <c r="AG1753"/>
  <c r="AG1754"/>
  <c r="AG1755"/>
  <c r="AG1756"/>
  <c r="AG1757"/>
  <c r="AG1758"/>
  <c r="AG1759"/>
  <c r="AG1760"/>
  <c r="AG1761"/>
  <c r="AG1762"/>
  <c r="AG1763"/>
  <c r="AG1764"/>
  <c r="AG1765"/>
  <c r="AG1766"/>
  <c r="AG1767"/>
  <c r="AG1768"/>
  <c r="AG1769"/>
  <c r="AG1770"/>
  <c r="AG1771"/>
  <c r="AG1772"/>
  <c r="AG1773"/>
  <c r="AG1774"/>
  <c r="AG1775"/>
  <c r="AG1776"/>
  <c r="AG1777"/>
  <c r="AG1778"/>
  <c r="AG1779"/>
  <c r="AG1780"/>
  <c r="AG1781"/>
  <c r="AG1782"/>
  <c r="AG1783"/>
  <c r="AG1784"/>
  <c r="AG1785"/>
  <c r="AG1786"/>
  <c r="AG1787"/>
  <c r="AG1788"/>
  <c r="AG1789"/>
  <c r="AG1790"/>
  <c r="AG1791"/>
  <c r="AG1792"/>
  <c r="AG1793"/>
  <c r="AG1794"/>
  <c r="AG1795"/>
  <c r="AG1796"/>
  <c r="AG1797"/>
  <c r="AG1798"/>
  <c r="AG1799"/>
  <c r="AG1800"/>
  <c r="AG1801"/>
  <c r="AG1802"/>
  <c r="AG1803"/>
  <c r="AG1804"/>
  <c r="AG1805"/>
  <c r="AG1806"/>
  <c r="AG1807"/>
  <c r="AG1808"/>
  <c r="AG1809"/>
  <c r="AG1810"/>
  <c r="AG1811"/>
  <c r="AG1812"/>
  <c r="AG1813"/>
  <c r="AG1814"/>
  <c r="AG1815"/>
  <c r="AG1816"/>
  <c r="AG1817"/>
  <c r="AG1818"/>
  <c r="AG1819"/>
  <c r="AG1820"/>
  <c r="AG1821"/>
  <c r="AG1822"/>
  <c r="AG1823"/>
  <c r="AG1824"/>
  <c r="AG1825"/>
  <c r="AG1826"/>
  <c r="AG1827"/>
  <c r="AG1828"/>
  <c r="AG1829"/>
  <c r="AG1830"/>
  <c r="AG1831"/>
  <c r="AG1832"/>
  <c r="AG1833"/>
  <c r="AG1834"/>
  <c r="AG1835"/>
  <c r="AG1836"/>
  <c r="AG1837"/>
  <c r="AG1838"/>
  <c r="AG1839"/>
  <c r="AG1840"/>
  <c r="AG1841"/>
  <c r="AG8"/>
  <c r="AG1842"/>
  <c r="AG1843"/>
  <c r="AG1844"/>
  <c r="AG1845"/>
  <c r="AG1846"/>
  <c r="AG1847"/>
  <c r="AG1848"/>
  <c r="AG1849"/>
  <c r="AG1850"/>
  <c r="AG1851"/>
  <c r="AG1852"/>
  <c r="AG1853"/>
  <c r="AG1854"/>
  <c r="AG1855"/>
  <c r="AG1856"/>
  <c r="AG1857"/>
  <c r="AG1858"/>
  <c r="AG12"/>
  <c r="AG1859"/>
  <c r="AG1860"/>
  <c r="AG1861"/>
  <c r="AG1862"/>
  <c r="AG1863"/>
  <c r="AG1864"/>
  <c r="AG1865"/>
  <c r="AG1866"/>
  <c r="AG1867"/>
  <c r="AG1868"/>
  <c r="AG1869"/>
  <c r="AG1870"/>
  <c r="AG1871"/>
  <c r="AG1872"/>
  <c r="AG1873"/>
  <c r="AG1874"/>
  <c r="AG1875"/>
  <c r="AG1876"/>
  <c r="AG1877"/>
  <c r="AG1878"/>
  <c r="AG1879"/>
  <c r="AG1880"/>
  <c r="AG1881"/>
  <c r="AG1882"/>
  <c r="AG1883"/>
  <c r="AG1884"/>
  <c r="AG1885"/>
  <c r="AG1886"/>
  <c r="AG1887"/>
  <c r="AG1888"/>
  <c r="AG1889"/>
  <c r="AG1890"/>
  <c r="AG1891"/>
  <c r="AG1892"/>
  <c r="AG1893"/>
  <c r="AG1894"/>
  <c r="AG1895"/>
  <c r="AG1896"/>
  <c r="AG1897"/>
  <c r="AG1898"/>
  <c r="AG1899"/>
  <c r="AG1900"/>
  <c r="AG1901"/>
  <c r="AG1902"/>
  <c r="AG1903"/>
  <c r="AG1904"/>
  <c r="AG1905"/>
  <c r="AG1906"/>
  <c r="AG1907"/>
  <c r="AG1908"/>
  <c r="AG1909"/>
  <c r="AG1910"/>
  <c r="AG1911"/>
  <c r="AG1912"/>
  <c r="AG1913"/>
  <c r="AG1914"/>
  <c r="AG1915"/>
  <c r="AG1916"/>
  <c r="AG1917"/>
  <c r="AG1918"/>
  <c r="AG1919"/>
  <c r="AG1920"/>
  <c r="AG1921"/>
  <c r="AG1922"/>
  <c r="AG1923"/>
  <c r="AG1924"/>
  <c r="AG1925"/>
  <c r="AG1926"/>
  <c r="AG1927"/>
  <c r="AG1928"/>
  <c r="AG1929"/>
  <c r="AG16"/>
  <c r="AG1930"/>
  <c r="AG1931"/>
  <c r="AG1932"/>
  <c r="AG1933"/>
  <c r="AG1934"/>
  <c r="AG1935"/>
  <c r="AG1936"/>
  <c r="AG1937"/>
  <c r="AG1938"/>
  <c r="AG1939"/>
  <c r="AG1940"/>
  <c r="AG5"/>
  <c r="AG1941"/>
  <c r="AG1942"/>
  <c r="AG1943"/>
  <c r="AG1944"/>
  <c r="AG1945"/>
  <c r="AG1946"/>
  <c r="AG1947"/>
  <c r="AG1948"/>
  <c r="AG1949"/>
  <c r="AG1950"/>
  <c r="AG1951"/>
  <c r="AG1952"/>
  <c r="AG1953"/>
  <c r="AG1954"/>
  <c r="AG1955"/>
  <c r="AG1956"/>
  <c r="AG1957"/>
  <c r="AG1958"/>
  <c r="AG1959"/>
  <c r="AG1960"/>
  <c r="AG1961"/>
  <c r="AG1962"/>
  <c r="AG1963"/>
  <c r="AG1964"/>
  <c r="AG1965"/>
  <c r="AG1966"/>
  <c r="AG1967"/>
  <c r="AG1968"/>
  <c r="AG1969"/>
  <c r="AG1970"/>
  <c r="AG1971"/>
  <c r="AG1972"/>
  <c r="AG1973"/>
  <c r="AG1974"/>
  <c r="AG1975"/>
  <c r="AG1976"/>
  <c r="AG1977"/>
  <c r="AG1978"/>
  <c r="AG1979"/>
  <c r="AG1980"/>
  <c r="AG1981"/>
  <c r="AG1982"/>
  <c r="AG1983"/>
  <c r="AG1984"/>
  <c r="AG1985"/>
  <c r="AG1986"/>
  <c r="AG1987"/>
  <c r="AG1988"/>
  <c r="AG1989"/>
  <c r="AG1990"/>
  <c r="AG1991"/>
  <c r="AG1992"/>
  <c r="AG1993"/>
  <c r="AG1994"/>
  <c r="AG1995"/>
  <c r="AG1996"/>
  <c r="AG1997"/>
  <c r="AG1998"/>
  <c r="AG1999"/>
  <c r="AG2000"/>
  <c r="AG2001"/>
  <c r="AG2002"/>
  <c r="AG2003"/>
  <c r="AG2004"/>
  <c r="AG2005"/>
  <c r="AG2006"/>
  <c r="AG2007"/>
  <c r="AG2008"/>
  <c r="AG2009"/>
  <c r="AG2010"/>
  <c r="AG2011"/>
  <c r="AG2012"/>
  <c r="AG2013"/>
  <c r="AG2014"/>
  <c r="AG2015"/>
  <c r="AG2016"/>
  <c r="AG2017"/>
  <c r="AG2018"/>
  <c r="AG2019"/>
  <c r="AG2020"/>
  <c r="AG2021"/>
  <c r="AG2022"/>
  <c r="AG2023"/>
  <c r="AG2024"/>
  <c r="AG2025"/>
  <c r="AG2026"/>
  <c r="AG2027"/>
  <c r="AG2028"/>
  <c r="AG2029"/>
  <c r="AG2030"/>
  <c r="AG2031"/>
  <c r="AG2032"/>
  <c r="AG2033"/>
  <c r="AG2034"/>
  <c r="AG2035"/>
  <c r="AG2036"/>
  <c r="AG2037"/>
  <c r="AG2038"/>
  <c r="AG2039"/>
  <c r="AG2040"/>
  <c r="AG2041"/>
  <c r="AG2042"/>
  <c r="AG2043"/>
  <c r="AG2044"/>
  <c r="AG2045"/>
  <c r="AG2046"/>
  <c r="AG2047"/>
  <c r="AG2048"/>
  <c r="AG2049"/>
  <c r="AG2050"/>
  <c r="AG2051"/>
  <c r="AG2052"/>
  <c r="AG2053"/>
  <c r="AG2054"/>
  <c r="AG2055"/>
  <c r="AG2056"/>
  <c r="AG2057"/>
  <c r="AG2058"/>
  <c r="AG2059"/>
  <c r="AG2060"/>
  <c r="AG2061"/>
  <c r="AG2062"/>
  <c r="AG2063"/>
  <c r="AG2064"/>
  <c r="AG2065"/>
  <c r="AG2066"/>
  <c r="AG2067"/>
  <c r="AG2068"/>
  <c r="AG2069"/>
  <c r="AG2070"/>
  <c r="AG2071"/>
  <c r="AG2072"/>
  <c r="AG2073"/>
  <c r="AG2074"/>
  <c r="AG2075"/>
  <c r="AG2076"/>
  <c r="AG2077"/>
  <c r="AG2078"/>
  <c r="AG2079"/>
  <c r="AG2080"/>
  <c r="AG2081"/>
  <c r="AG2082"/>
  <c r="AG2083"/>
  <c r="AG2084"/>
  <c r="AG2085"/>
  <c r="AG10"/>
  <c r="AG2086"/>
  <c r="AG2087"/>
  <c r="AG2088"/>
  <c r="AG2089"/>
  <c r="AG2090"/>
  <c r="AG2091"/>
  <c r="AG2092"/>
  <c r="AG2093"/>
  <c r="AG2094"/>
  <c r="AG2095"/>
  <c r="AG2096"/>
  <c r="AG2097"/>
  <c r="AG2098"/>
  <c r="AG2099"/>
  <c r="AG2100"/>
  <c r="AG2101"/>
  <c r="AG2102"/>
  <c r="AG2103"/>
  <c r="AG2104"/>
  <c r="AG2105"/>
  <c r="AG2106"/>
  <c r="AG2107"/>
  <c r="AG2108"/>
  <c r="AG2109"/>
  <c r="AG2110"/>
  <c r="AG2111"/>
  <c r="AG2112"/>
  <c r="AG2113"/>
  <c r="AG2114"/>
  <c r="AG2115"/>
  <c r="AG2116"/>
  <c r="AG2117"/>
  <c r="AG2118"/>
  <c r="AG2119"/>
  <c r="AG2120"/>
  <c r="AG2121"/>
  <c r="AG2122"/>
  <c r="AG2123"/>
  <c r="AG2124"/>
  <c r="AG2125"/>
  <c r="AG2126"/>
  <c r="AG2127"/>
  <c r="AG2128"/>
  <c r="AG2129"/>
  <c r="AG2130"/>
  <c r="AG2131"/>
  <c r="AG2132"/>
  <c r="AG2133"/>
  <c r="AG2134"/>
  <c r="AG2135"/>
  <c r="AG2136"/>
  <c r="AG2137"/>
  <c r="AG2138"/>
  <c r="AG2139"/>
  <c r="AG2140"/>
  <c r="AG2141"/>
  <c r="AG2142"/>
  <c r="AG2143"/>
  <c r="AG2144"/>
  <c r="AG2145"/>
  <c r="AG2146"/>
  <c r="AG2147"/>
  <c r="AG2148"/>
  <c r="AG2149"/>
  <c r="AG2150"/>
  <c r="AG2151"/>
  <c r="AG2152"/>
  <c r="AG2153"/>
  <c r="AG2154"/>
  <c r="AG2155"/>
  <c r="AG2156"/>
  <c r="AG2157"/>
  <c r="AG2158"/>
  <c r="AG2159"/>
  <c r="AG2160"/>
  <c r="AG2161"/>
  <c r="AG2162"/>
  <c r="AG2163"/>
  <c r="AG2164"/>
  <c r="AG2165"/>
  <c r="AG2166"/>
  <c r="AG2167"/>
  <c r="AG2168"/>
  <c r="A13" i="6"/>
  <c r="A14"/>
  <c r="A15"/>
  <c r="A16"/>
  <c r="J35" i="2"/>
  <c r="K47" i="8" s="1"/>
  <c r="J36" i="2"/>
  <c r="K48" i="8" s="1"/>
  <c r="J37" i="2"/>
  <c r="K49" i="8" s="1"/>
  <c r="J38" i="2"/>
  <c r="K50" i="8" s="1"/>
  <c r="J39" i="2"/>
  <c r="K51" i="8" s="1"/>
  <c r="J40" i="2"/>
  <c r="K52" i="8" s="1"/>
  <c r="J41" i="2"/>
  <c r="K53" i="8" s="1"/>
  <c r="J42" i="2"/>
  <c r="K54" i="8" s="1"/>
  <c r="J43" i="2"/>
  <c r="K55" i="8" s="1"/>
  <c r="J44" i="2"/>
  <c r="K56" i="8" s="1"/>
  <c r="J45" i="2"/>
  <c r="K57" i="8" s="1"/>
  <c r="J46" i="2"/>
  <c r="K58" i="8" s="1"/>
  <c r="J47" i="2"/>
  <c r="K59" i="8" s="1"/>
  <c r="J48" i="2"/>
  <c r="K60" i="8" s="1"/>
  <c r="J49" i="2"/>
  <c r="K61" i="8" s="1"/>
  <c r="J50" i="2"/>
  <c r="K62" i="8" s="1"/>
  <c r="J51" i="2"/>
  <c r="K63" i="8" s="1"/>
  <c r="J52" i="2"/>
  <c r="K64" i="8" s="1"/>
  <c r="J53" i="2"/>
  <c r="K65" i="8" s="1"/>
  <c r="J54" i="2"/>
  <c r="K66" i="8" s="1"/>
  <c r="J55" i="2"/>
  <c r="K67" i="8" s="1"/>
  <c r="J56" i="2"/>
  <c r="K68" i="8" s="1"/>
  <c r="J57" i="2"/>
  <c r="K69" i="8" s="1"/>
  <c r="J58" i="2"/>
  <c r="K70" i="8" s="1"/>
  <c r="J59" i="2"/>
  <c r="K71" i="8" s="1"/>
  <c r="J60" i="2"/>
  <c r="K72" i="8" s="1"/>
  <c r="J61" i="2"/>
  <c r="K73" i="8" s="1"/>
  <c r="J62" i="2"/>
  <c r="K74" i="8" s="1"/>
  <c r="J63" i="2"/>
  <c r="K75" i="8" s="1"/>
  <c r="J64" i="2"/>
  <c r="K76" i="8" s="1"/>
  <c r="J65" i="2"/>
  <c r="K9" i="8" s="1"/>
  <c r="J66" i="2"/>
  <c r="K77" i="8" s="1"/>
  <c r="J67" i="2"/>
  <c r="K78" i="8" s="1"/>
  <c r="J68" i="2"/>
  <c r="K79" i="8" s="1"/>
  <c r="J69" i="2"/>
  <c r="K80" i="8" s="1"/>
  <c r="J70" i="2"/>
  <c r="K81" i="8" s="1"/>
  <c r="J71" i="2"/>
  <c r="K15" i="8" s="1"/>
  <c r="J72" i="2"/>
  <c r="K82" i="8" s="1"/>
  <c r="J73" i="2"/>
  <c r="K83" i="8" s="1"/>
  <c r="J74" i="2"/>
  <c r="K84" i="8" s="1"/>
  <c r="J75" i="2"/>
  <c r="K85" i="8" s="1"/>
  <c r="J76" i="2"/>
  <c r="K86" i="8" s="1"/>
  <c r="J77" i="2"/>
  <c r="K87" i="8" s="1"/>
  <c r="J78" i="2"/>
  <c r="K88" i="8" s="1"/>
  <c r="J79" i="2"/>
  <c r="K89" i="8" s="1"/>
  <c r="J80" i="2"/>
  <c r="K90" i="8" s="1"/>
  <c r="J81" i="2"/>
  <c r="K91" i="8" s="1"/>
  <c r="J82" i="2"/>
  <c r="K92" i="8" s="1"/>
  <c r="J83" i="2"/>
  <c r="K93" i="8" s="1"/>
  <c r="J84" i="2"/>
  <c r="K94" i="8" s="1"/>
  <c r="J85" i="2"/>
  <c r="K95" i="8" s="1"/>
  <c r="J86" i="2"/>
  <c r="K96" i="8" s="1"/>
  <c r="J87" i="2"/>
  <c r="K97" i="8" s="1"/>
  <c r="J88" i="2"/>
  <c r="K98" i="8" s="1"/>
  <c r="J89" i="2"/>
  <c r="K99" i="8" s="1"/>
  <c r="J90" i="2"/>
  <c r="K100" i="8" s="1"/>
  <c r="J91" i="2"/>
  <c r="K101" i="8" s="1"/>
  <c r="J92" i="2"/>
  <c r="K102" i="8" s="1"/>
  <c r="J93" i="2"/>
  <c r="K103" i="8" s="1"/>
  <c r="J94" i="2"/>
  <c r="K104" i="8" s="1"/>
  <c r="J95" i="2"/>
  <c r="K105" i="8" s="1"/>
  <c r="J96" i="2"/>
  <c r="K106" i="8" s="1"/>
  <c r="J97" i="2"/>
  <c r="K107" i="8" s="1"/>
  <c r="J98" i="2"/>
  <c r="K108" i="8" s="1"/>
  <c r="J99" i="2"/>
  <c r="K109" i="8" s="1"/>
  <c r="J100" i="2"/>
  <c r="K110" i="8" s="1"/>
  <c r="J101" i="2"/>
  <c r="K111" i="8" s="1"/>
  <c r="J102" i="2"/>
  <c r="K112" i="8" s="1"/>
  <c r="J103" i="2"/>
  <c r="K113" i="8" s="1"/>
  <c r="J104" i="2"/>
  <c r="K114" i="8" s="1"/>
  <c r="J105" i="2"/>
  <c r="K115" i="8" s="1"/>
  <c r="J106" i="2"/>
  <c r="K116" i="8" s="1"/>
  <c r="J107" i="2"/>
  <c r="K117" i="8" s="1"/>
  <c r="J108" i="2"/>
  <c r="K118" i="8" s="1"/>
  <c r="J109" i="2"/>
  <c r="K119" i="8" s="1"/>
  <c r="J110" i="2"/>
  <c r="K120" i="8" s="1"/>
  <c r="J111" i="2"/>
  <c r="K121" i="8" s="1"/>
  <c r="J112" i="2"/>
  <c r="K122" i="8" s="1"/>
  <c r="J113" i="2"/>
  <c r="K123" i="8" s="1"/>
  <c r="J114" i="2"/>
  <c r="K124" i="8" s="1"/>
  <c r="J115" i="2"/>
  <c r="K125" i="8" s="1"/>
  <c r="J116" i="2"/>
  <c r="K126" i="8" s="1"/>
  <c r="J117" i="2"/>
  <c r="K127" i="8" s="1"/>
  <c r="J118" i="2"/>
  <c r="K128" i="8" s="1"/>
  <c r="J119" i="2"/>
  <c r="K129" i="8" s="1"/>
  <c r="J120" i="2"/>
  <c r="K130" i="8" s="1"/>
  <c r="J121" i="2"/>
  <c r="K131" i="8" s="1"/>
  <c r="J122" i="2"/>
  <c r="K132" i="8" s="1"/>
  <c r="J123" i="2"/>
  <c r="K133" i="8" s="1"/>
  <c r="J124" i="2"/>
  <c r="K134" i="8" s="1"/>
  <c r="J125" i="2"/>
  <c r="K135" i="8" s="1"/>
  <c r="J126" i="2"/>
  <c r="K136" i="8" s="1"/>
  <c r="J127" i="2"/>
  <c r="K137" i="8" s="1"/>
  <c r="J128" i="2"/>
  <c r="K138" i="8" s="1"/>
  <c r="J129" i="2"/>
  <c r="K139" i="8" s="1"/>
  <c r="J130" i="2"/>
  <c r="K140" i="8" s="1"/>
  <c r="J131" i="2"/>
  <c r="K141" i="8" s="1"/>
  <c r="J132" i="2"/>
  <c r="K142" i="8" s="1"/>
  <c r="J133" i="2"/>
  <c r="K143" i="8" s="1"/>
  <c r="J134" i="2"/>
  <c r="K144" i="8" s="1"/>
  <c r="J135" i="2"/>
  <c r="K145" i="8" s="1"/>
  <c r="J136" i="2"/>
  <c r="K146" i="8" s="1"/>
  <c r="J137" i="2"/>
  <c r="K147" i="8" s="1"/>
  <c r="J138" i="2"/>
  <c r="K148" i="8" s="1"/>
  <c r="J139" i="2"/>
  <c r="K149" i="8" s="1"/>
  <c r="J140" i="2"/>
  <c r="K150" i="8" s="1"/>
  <c r="J141" i="2"/>
  <c r="K151" i="8" s="1"/>
  <c r="J142" i="2"/>
  <c r="K152" i="8" s="1"/>
  <c r="J143" i="2"/>
  <c r="K153" i="8" s="1"/>
  <c r="J144" i="2"/>
  <c r="K154" i="8" s="1"/>
  <c r="J145" i="2"/>
  <c r="K155" i="8" s="1"/>
  <c r="J146" i="2"/>
  <c r="K156" i="8" s="1"/>
  <c r="J147" i="2"/>
  <c r="K157" i="8" s="1"/>
  <c r="J148" i="2"/>
  <c r="K158" i="8" s="1"/>
  <c r="J149" i="2"/>
  <c r="K159" i="8" s="1"/>
  <c r="J150" i="2"/>
  <c r="K160" i="8" s="1"/>
  <c r="J151" i="2"/>
  <c r="K161" i="8" s="1"/>
  <c r="J152" i="2"/>
  <c r="K162" i="8" s="1"/>
  <c r="J153" i="2"/>
  <c r="K163" i="8" s="1"/>
  <c r="J154" i="2"/>
  <c r="K164" i="8" s="1"/>
  <c r="J155" i="2"/>
  <c r="K165" i="8" s="1"/>
  <c r="J156" i="2"/>
  <c r="K166" i="8" s="1"/>
  <c r="J157" i="2"/>
  <c r="K167" i="8" s="1"/>
  <c r="J158" i="2"/>
  <c r="K168" i="8" s="1"/>
  <c r="J159" i="2"/>
  <c r="K169" i="8" s="1"/>
  <c r="J160" i="2"/>
  <c r="K170" i="8" s="1"/>
  <c r="J161" i="2"/>
  <c r="K171" i="8" s="1"/>
  <c r="J162" i="2"/>
  <c r="K172" i="8" s="1"/>
  <c r="J163" i="2"/>
  <c r="K173" i="8" s="1"/>
  <c r="J164" i="2"/>
  <c r="K174" i="8" s="1"/>
  <c r="J165" i="2"/>
  <c r="K175" i="8" s="1"/>
  <c r="J166" i="2"/>
  <c r="K176" i="8" s="1"/>
  <c r="J167" i="2"/>
  <c r="K177" i="8" s="1"/>
  <c r="J168" i="2"/>
  <c r="K178" i="8" s="1"/>
  <c r="J169" i="2"/>
  <c r="K179" i="8" s="1"/>
  <c r="J170" i="2"/>
  <c r="K180" i="8" s="1"/>
  <c r="J171" i="2"/>
  <c r="K181" i="8" s="1"/>
  <c r="J172" i="2"/>
  <c r="K182" i="8" s="1"/>
  <c r="J173" i="2"/>
  <c r="K183" i="8" s="1"/>
  <c r="J174" i="2"/>
  <c r="K184" i="8" s="1"/>
  <c r="J175" i="2"/>
  <c r="K185" i="8" s="1"/>
  <c r="J176" i="2"/>
  <c r="K186" i="8" s="1"/>
  <c r="J177" i="2"/>
  <c r="K187" i="8" s="1"/>
  <c r="J178" i="2"/>
  <c r="K188" i="8" s="1"/>
  <c r="J179" i="2"/>
  <c r="K189" i="8" s="1"/>
  <c r="J180" i="2"/>
  <c r="K190" i="8" s="1"/>
  <c r="J181" i="2"/>
  <c r="K191" i="8" s="1"/>
  <c r="J182" i="2"/>
  <c r="K192" i="8" s="1"/>
  <c r="J183" i="2"/>
  <c r="K193" i="8" s="1"/>
  <c r="J184" i="2"/>
  <c r="K194" i="8" s="1"/>
  <c r="J185" i="2"/>
  <c r="K195" i="8" s="1"/>
  <c r="J186" i="2"/>
  <c r="K196" i="8" s="1"/>
  <c r="J187" i="2"/>
  <c r="K197" i="8" s="1"/>
  <c r="J188" i="2"/>
  <c r="K198" i="8" s="1"/>
  <c r="J189" i="2"/>
  <c r="K199" i="8" s="1"/>
  <c r="J190" i="2"/>
  <c r="K200" i="8" s="1"/>
  <c r="J191" i="2"/>
  <c r="K201" i="8" s="1"/>
  <c r="J192" i="2"/>
  <c r="K202" i="8" s="1"/>
  <c r="J193" i="2"/>
  <c r="K203" i="8" s="1"/>
  <c r="J194" i="2"/>
  <c r="K204" i="8" s="1"/>
  <c r="J195" i="2"/>
  <c r="K205" i="8" s="1"/>
  <c r="J196" i="2"/>
  <c r="K206" i="8" s="1"/>
  <c r="J197" i="2"/>
  <c r="K207" i="8" s="1"/>
  <c r="J198" i="2"/>
  <c r="K208" i="8" s="1"/>
  <c r="J199" i="2"/>
  <c r="K209" i="8" s="1"/>
  <c r="J200" i="2"/>
  <c r="K210" i="8" s="1"/>
  <c r="J201" i="2"/>
  <c r="K211" i="8" s="1"/>
  <c r="J202" i="2"/>
  <c r="K212" i="8" s="1"/>
  <c r="J203" i="2"/>
  <c r="K213" i="8" s="1"/>
  <c r="J204" i="2"/>
  <c r="K214" i="8" s="1"/>
  <c r="J205" i="2"/>
  <c r="K215" i="8" s="1"/>
  <c r="J206" i="2"/>
  <c r="K216" i="8" s="1"/>
  <c r="J207" i="2"/>
  <c r="K217" i="8" s="1"/>
  <c r="J208" i="2"/>
  <c r="K218" i="8" s="1"/>
  <c r="J209" i="2"/>
  <c r="K219" i="8" s="1"/>
  <c r="J210" i="2"/>
  <c r="K220" i="8" s="1"/>
  <c r="J211" i="2"/>
  <c r="K221" i="8" s="1"/>
  <c r="J212" i="2"/>
  <c r="K222" i="8" s="1"/>
  <c r="J213" i="2"/>
  <c r="K223" i="8" s="1"/>
  <c r="J214" i="2"/>
  <c r="K224" i="8" s="1"/>
  <c r="J215" i="2"/>
  <c r="K225" i="8" s="1"/>
  <c r="J216" i="2"/>
  <c r="K226" i="8" s="1"/>
  <c r="J217" i="2"/>
  <c r="K227" i="8" s="1"/>
  <c r="J218" i="2"/>
  <c r="K228" i="8" s="1"/>
  <c r="J219" i="2"/>
  <c r="K229" i="8" s="1"/>
  <c r="J220" i="2"/>
  <c r="K230" i="8" s="1"/>
  <c r="J221" i="2"/>
  <c r="K231" i="8" s="1"/>
  <c r="J222" i="2"/>
  <c r="K232" i="8" s="1"/>
  <c r="J223" i="2"/>
  <c r="K233" i="8" s="1"/>
  <c r="J224" i="2"/>
  <c r="K234" i="8" s="1"/>
  <c r="J225" i="2"/>
  <c r="K235" i="8" s="1"/>
  <c r="J226" i="2"/>
  <c r="K236" i="8" s="1"/>
  <c r="J227" i="2"/>
  <c r="K237" i="8" s="1"/>
  <c r="J228" i="2"/>
  <c r="K238" i="8" s="1"/>
  <c r="J229" i="2"/>
  <c r="K239" i="8" s="1"/>
  <c r="J230" i="2"/>
  <c r="K240" i="8" s="1"/>
  <c r="J231" i="2"/>
  <c r="K241" i="8" s="1"/>
  <c r="J232" i="2"/>
  <c r="K242" i="8" s="1"/>
  <c r="J233" i="2"/>
  <c r="K243" i="8" s="1"/>
  <c r="J234" i="2"/>
  <c r="K244" i="8" s="1"/>
  <c r="J235" i="2"/>
  <c r="K245" i="8" s="1"/>
  <c r="J236" i="2"/>
  <c r="K246" i="8" s="1"/>
  <c r="J237" i="2"/>
  <c r="K247" i="8" s="1"/>
  <c r="J238" i="2"/>
  <c r="K248" i="8" s="1"/>
  <c r="J239" i="2"/>
  <c r="K249" i="8" s="1"/>
  <c r="J240" i="2"/>
  <c r="K250" i="8" s="1"/>
  <c r="J241" i="2"/>
  <c r="K251" i="8" s="1"/>
  <c r="J242" i="2"/>
  <c r="K242" s="1"/>
  <c r="J243"/>
  <c r="K253" i="8" s="1"/>
  <c r="J244" i="2"/>
  <c r="K254" i="8" s="1"/>
  <c r="J245" i="2"/>
  <c r="N245" s="1"/>
  <c r="J246"/>
  <c r="K246" s="1"/>
  <c r="J247"/>
  <c r="K257" i="8" s="1"/>
  <c r="J248" i="2"/>
  <c r="K258" i="8" s="1"/>
  <c r="J249" i="2"/>
  <c r="K259" i="8" s="1"/>
  <c r="J250" i="2"/>
  <c r="J251"/>
  <c r="K261" i="8" s="1"/>
  <c r="J252" i="2"/>
  <c r="K262" i="8" s="1"/>
  <c r="J253" i="2"/>
  <c r="K263" i="8" s="1"/>
  <c r="J254" i="2"/>
  <c r="J255"/>
  <c r="K265" i="8" s="1"/>
  <c r="J256" i="2"/>
  <c r="K266" i="8" s="1"/>
  <c r="J257" i="2"/>
  <c r="K267" i="8" s="1"/>
  <c r="J258" i="2"/>
  <c r="K268" i="8" s="1"/>
  <c r="J259" i="2"/>
  <c r="O259" s="1"/>
  <c r="J260"/>
  <c r="K270" i="8" s="1"/>
  <c r="J261" i="2"/>
  <c r="K271" i="8" s="1"/>
  <c r="J262" i="2"/>
  <c r="K272" i="8" s="1"/>
  <c r="J263" i="2"/>
  <c r="K273" i="8" s="1"/>
  <c r="J264" i="2"/>
  <c r="K274" i="8" s="1"/>
  <c r="J265" i="2"/>
  <c r="K275" i="8" s="1"/>
  <c r="J266" i="2"/>
  <c r="K276" i="8" s="1"/>
  <c r="J267" i="2"/>
  <c r="K277" i="8" s="1"/>
  <c r="J268" i="2"/>
  <c r="K278" i="8" s="1"/>
  <c r="J269" i="2"/>
  <c r="K279" i="8" s="1"/>
  <c r="J270" i="2"/>
  <c r="N270" s="1"/>
  <c r="J271"/>
  <c r="K281" i="8" s="1"/>
  <c r="J272" i="2"/>
  <c r="K282" i="8" s="1"/>
  <c r="J273" i="2"/>
  <c r="K283" i="8" s="1"/>
  <c r="J274" i="2"/>
  <c r="K284" i="8" s="1"/>
  <c r="J275" i="2"/>
  <c r="J276"/>
  <c r="K286" i="8" s="1"/>
  <c r="J277" i="2"/>
  <c r="K287" i="8" s="1"/>
  <c r="J278" i="2"/>
  <c r="K288" i="8" s="1"/>
  <c r="J279" i="2"/>
  <c r="K289" i="8" s="1"/>
  <c r="J280" i="2"/>
  <c r="K290" i="8" s="1"/>
  <c r="J281" i="2"/>
  <c r="K291" i="8" s="1"/>
  <c r="J282" i="2"/>
  <c r="K292" i="8" s="1"/>
  <c r="J283" i="2"/>
  <c r="K293" i="8" s="1"/>
  <c r="J284" i="2"/>
  <c r="K294" i="8" s="1"/>
  <c r="J285" i="2"/>
  <c r="K295" i="8" s="1"/>
  <c r="J286" i="2"/>
  <c r="K296" i="8" s="1"/>
  <c r="J287" i="2"/>
  <c r="K297" i="8" s="1"/>
  <c r="J288" i="2"/>
  <c r="K298" i="8" s="1"/>
  <c r="J289" i="2"/>
  <c r="K299" i="8" s="1"/>
  <c r="J290" i="2"/>
  <c r="K300" i="8" s="1"/>
  <c r="J291" i="2"/>
  <c r="K301" i="8" s="1"/>
  <c r="J292" i="2"/>
  <c r="K302" i="8" s="1"/>
  <c r="J293" i="2"/>
  <c r="K303" i="8" s="1"/>
  <c r="J294" i="2"/>
  <c r="N294" s="1"/>
  <c r="J295"/>
  <c r="K305" i="8" s="1"/>
  <c r="J296" i="2"/>
  <c r="K306" i="8" s="1"/>
  <c r="J297" i="2"/>
  <c r="K307" i="8" s="1"/>
  <c r="J298" i="2"/>
  <c r="M298" s="1"/>
  <c r="J299"/>
  <c r="K309" i="8" s="1"/>
  <c r="J300" i="2"/>
  <c r="K310" i="8" s="1"/>
  <c r="J301" i="2"/>
  <c r="L301" s="1"/>
  <c r="J302"/>
  <c r="K312" i="8" s="1"/>
  <c r="J303" i="2"/>
  <c r="K313" i="8" s="1"/>
  <c r="J304" i="2"/>
  <c r="K314" i="8" s="1"/>
  <c r="J305" i="2"/>
  <c r="K315" i="8" s="1"/>
  <c r="J306" i="2"/>
  <c r="J307"/>
  <c r="K307" s="1"/>
  <c r="J308"/>
  <c r="K318" i="8" s="1"/>
  <c r="J309" i="2"/>
  <c r="K319" i="8" s="1"/>
  <c r="J310" i="2"/>
  <c r="L310" s="1"/>
  <c r="J311"/>
  <c r="K321" i="8" s="1"/>
  <c r="J312" i="2"/>
  <c r="K322" i="8" s="1"/>
  <c r="J313" i="2"/>
  <c r="K323" i="8" s="1"/>
  <c r="J314" i="2"/>
  <c r="K324" i="8" s="1"/>
  <c r="J315" i="2"/>
  <c r="J316"/>
  <c r="K326" i="8" s="1"/>
  <c r="J317" i="2"/>
  <c r="N317" s="1"/>
  <c r="J318"/>
  <c r="L318" s="1"/>
  <c r="J319"/>
  <c r="K329" i="8" s="1"/>
  <c r="J320" i="2"/>
  <c r="K330" i="8" s="1"/>
  <c r="J321" i="2"/>
  <c r="K331" i="8" s="1"/>
  <c r="J322" i="2"/>
  <c r="K332" i="8" s="1"/>
  <c r="J323" i="2"/>
  <c r="K333" i="8" s="1"/>
  <c r="J324" i="2"/>
  <c r="K334" i="8" s="1"/>
  <c r="J325" i="2"/>
  <c r="K335" i="8" s="1"/>
  <c r="J326" i="2"/>
  <c r="K336" i="8" s="1"/>
  <c r="J327" i="2"/>
  <c r="K337" i="8" s="1"/>
  <c r="J328" i="2"/>
  <c r="K338" i="8" s="1"/>
  <c r="J329" i="2"/>
  <c r="K339" i="8" s="1"/>
  <c r="J330" i="2"/>
  <c r="K340" i="8" s="1"/>
  <c r="J331" i="2"/>
  <c r="K341" i="8" s="1"/>
  <c r="J332" i="2"/>
  <c r="K342" i="8" s="1"/>
  <c r="J333" i="2"/>
  <c r="K343" i="8" s="1"/>
  <c r="J334" i="2"/>
  <c r="K344" i="8" s="1"/>
  <c r="J335" i="2"/>
  <c r="K345" i="8" s="1"/>
  <c r="J336" i="2"/>
  <c r="K346" i="8" s="1"/>
  <c r="J337" i="2"/>
  <c r="K347" i="8" s="1"/>
  <c r="J338" i="2"/>
  <c r="K348" i="8" s="1"/>
  <c r="J339" i="2"/>
  <c r="K349" i="8" s="1"/>
  <c r="J340" i="2"/>
  <c r="K350" i="8" s="1"/>
  <c r="J341" i="2"/>
  <c r="K351" i="8" s="1"/>
  <c r="J342" i="2"/>
  <c r="K352" i="8" s="1"/>
  <c r="J343" i="2"/>
  <c r="K353" i="8" s="1"/>
  <c r="J344" i="2"/>
  <c r="K354" i="8" s="1"/>
  <c r="J345" i="2"/>
  <c r="K355" i="8" s="1"/>
  <c r="J346" i="2"/>
  <c r="K356" i="8" s="1"/>
  <c r="J347" i="2"/>
  <c r="K357" i="8" s="1"/>
  <c r="J348" i="2"/>
  <c r="K358" i="8" s="1"/>
  <c r="J349" i="2"/>
  <c r="K359" i="8" s="1"/>
  <c r="J350" i="2"/>
  <c r="K360" i="8" s="1"/>
  <c r="J351" i="2"/>
  <c r="K361" i="8" s="1"/>
  <c r="J352" i="2"/>
  <c r="K362" i="8" s="1"/>
  <c r="J353" i="2"/>
  <c r="K363" i="8" s="1"/>
  <c r="J354" i="2"/>
  <c r="K364" i="8" s="1"/>
  <c r="J355" i="2"/>
  <c r="O355" s="1"/>
  <c r="J356"/>
  <c r="K366" i="8" s="1"/>
  <c r="J357" i="2"/>
  <c r="K367" i="8" s="1"/>
  <c r="J358" i="2"/>
  <c r="K368" i="8" s="1"/>
  <c r="J359" i="2"/>
  <c r="K369" i="8" s="1"/>
  <c r="J360" i="2"/>
  <c r="K370" i="8" s="1"/>
  <c r="J361" i="2"/>
  <c r="K371" i="8" s="1"/>
  <c r="J362" i="2"/>
  <c r="K372" i="8" s="1"/>
  <c r="J363" i="2"/>
  <c r="K373" i="8" s="1"/>
  <c r="J364" i="2"/>
  <c r="K374" i="8" s="1"/>
  <c r="J365" i="2"/>
  <c r="K375" i="8" s="1"/>
  <c r="J366" i="2"/>
  <c r="K376" i="8" s="1"/>
  <c r="J367" i="2"/>
  <c r="K377" i="8" s="1"/>
  <c r="J368" i="2"/>
  <c r="K378" i="8" s="1"/>
  <c r="J369" i="2"/>
  <c r="K379" i="8" s="1"/>
  <c r="J370" i="2"/>
  <c r="J371"/>
  <c r="K381" i="8" s="1"/>
  <c r="J372" i="2"/>
  <c r="K382" i="8" s="1"/>
  <c r="J373" i="2"/>
  <c r="K383" i="8" s="1"/>
  <c r="J374" i="2"/>
  <c r="M374" s="1"/>
  <c r="J375"/>
  <c r="K385" i="8" s="1"/>
  <c r="J376" i="2"/>
  <c r="K386" i="8" s="1"/>
  <c r="J377" i="2"/>
  <c r="K387" i="8" s="1"/>
  <c r="J378" i="2"/>
  <c r="K388" i="8" s="1"/>
  <c r="J379" i="2"/>
  <c r="K389" i="8" s="1"/>
  <c r="J380" i="2"/>
  <c r="K390" i="8" s="1"/>
  <c r="J381" i="2"/>
  <c r="O381" s="1"/>
  <c r="J382"/>
  <c r="K392" i="8" s="1"/>
  <c r="J383" i="2"/>
  <c r="K393" i="8" s="1"/>
  <c r="J384" i="2"/>
  <c r="K394" i="8" s="1"/>
  <c r="J385" i="2"/>
  <c r="K395" i="8" s="1"/>
  <c r="J386" i="2"/>
  <c r="K396" i="8" s="1"/>
  <c r="J387" i="2"/>
  <c r="K397" i="8" s="1"/>
  <c r="J388" i="2"/>
  <c r="K398" i="8" s="1"/>
  <c r="J389" i="2"/>
  <c r="N389" s="1"/>
  <c r="J390"/>
  <c r="K400" i="8" s="1"/>
  <c r="J391" i="2"/>
  <c r="K401" i="8" s="1"/>
  <c r="J392" i="2"/>
  <c r="K402" i="8" s="1"/>
  <c r="J393" i="2"/>
  <c r="K403" i="8" s="1"/>
  <c r="J394" i="2"/>
  <c r="K404" i="8" s="1"/>
  <c r="J395" i="2"/>
  <c r="M395" s="1"/>
  <c r="J396"/>
  <c r="K406" i="8" s="1"/>
  <c r="J397" i="2"/>
  <c r="K407" i="8" s="1"/>
  <c r="J398" i="2"/>
  <c r="K408" i="8" s="1"/>
  <c r="J399" i="2"/>
  <c r="K409" i="8" s="1"/>
  <c r="J400" i="2"/>
  <c r="K410" i="8" s="1"/>
  <c r="J401" i="2"/>
  <c r="K411" i="8" s="1"/>
  <c r="J402" i="2"/>
  <c r="K412" i="8" s="1"/>
  <c r="J403" i="2"/>
  <c r="M403" s="1"/>
  <c r="J404"/>
  <c r="K414" i="8" s="1"/>
  <c r="J405" i="2"/>
  <c r="K415" i="8" s="1"/>
  <c r="J406" i="2"/>
  <c r="K416" i="8" s="1"/>
  <c r="J407" i="2"/>
  <c r="K417" i="8" s="1"/>
  <c r="J408" i="2"/>
  <c r="K418" i="8" s="1"/>
  <c r="J409" i="2"/>
  <c r="K419" i="8" s="1"/>
  <c r="J410" i="2"/>
  <c r="J411"/>
  <c r="K411" s="1"/>
  <c r="J412"/>
  <c r="K422" i="8" s="1"/>
  <c r="J413" i="2"/>
  <c r="J414"/>
  <c r="L414" s="1"/>
  <c r="J415"/>
  <c r="K425" i="8" s="1"/>
  <c r="J416" i="2"/>
  <c r="K426" i="8" s="1"/>
  <c r="J417" i="2"/>
  <c r="K427" i="8" s="1"/>
  <c r="J418" i="2"/>
  <c r="K428" i="8" s="1"/>
  <c r="J419" i="2"/>
  <c r="K429" i="8" s="1"/>
  <c r="J420" i="2"/>
  <c r="K430" i="8" s="1"/>
  <c r="J421" i="2"/>
  <c r="K431" i="8" s="1"/>
  <c r="J422" i="2"/>
  <c r="K432" i="8" s="1"/>
  <c r="J423" i="2"/>
  <c r="K433" i="8" s="1"/>
  <c r="J424" i="2"/>
  <c r="K434" i="8" s="1"/>
  <c r="J425" i="2"/>
  <c r="K435" i="8" s="1"/>
  <c r="J426" i="2"/>
  <c r="N426" s="1"/>
  <c r="J427"/>
  <c r="K437" i="8" s="1"/>
  <c r="J428" i="2"/>
  <c r="K438" i="8" s="1"/>
  <c r="J429" i="2"/>
  <c r="K429" s="1"/>
  <c r="J430"/>
  <c r="K440" i="8" s="1"/>
  <c r="J431" i="2"/>
  <c r="K441" i="8" s="1"/>
  <c r="J432" i="2"/>
  <c r="K442" i="8" s="1"/>
  <c r="J433" i="2"/>
  <c r="K443" i="8" s="1"/>
  <c r="J434" i="2"/>
  <c r="K444" i="8" s="1"/>
  <c r="J435" i="2"/>
  <c r="J436"/>
  <c r="K446" i="8" s="1"/>
  <c r="J437" i="2"/>
  <c r="K447" i="8" s="1"/>
  <c r="J438" i="2"/>
  <c r="L438" s="1"/>
  <c r="J439"/>
  <c r="K449" i="8" s="1"/>
  <c r="J440" i="2"/>
  <c r="K450" i="8" s="1"/>
  <c r="J441" i="2"/>
  <c r="K451" i="8" s="1"/>
  <c r="J442" i="2"/>
  <c r="N442" s="1"/>
  <c r="J443"/>
  <c r="K453" i="8" s="1"/>
  <c r="J444" i="2"/>
  <c r="K454" i="8" s="1"/>
  <c r="J445" i="2"/>
  <c r="K455" i="8" s="1"/>
  <c r="J446" i="2"/>
  <c r="K456" i="8" s="1"/>
  <c r="J447" i="2"/>
  <c r="K457" i="8" s="1"/>
  <c r="J448" i="2"/>
  <c r="K458" i="8" s="1"/>
  <c r="J449" i="2"/>
  <c r="K459" i="8" s="1"/>
  <c r="J450" i="2"/>
  <c r="K460" i="8" s="1"/>
  <c r="J451" i="2"/>
  <c r="J452"/>
  <c r="K462" i="8" s="1"/>
  <c r="J453" i="2"/>
  <c r="L453" s="1"/>
  <c r="J454"/>
  <c r="K454" s="1"/>
  <c r="J455"/>
  <c r="K465" i="8" s="1"/>
  <c r="J456" i="2"/>
  <c r="K466" i="8" s="1"/>
  <c r="J457" i="2"/>
  <c r="K467" i="8" s="1"/>
  <c r="J458" i="2"/>
  <c r="L458" s="1"/>
  <c r="J459"/>
  <c r="K469" i="8" s="1"/>
  <c r="J460" i="2"/>
  <c r="K470" i="8" s="1"/>
  <c r="J461" i="2"/>
  <c r="J462"/>
  <c r="K472" i="8" s="1"/>
  <c r="J463" i="2"/>
  <c r="K473" i="8" s="1"/>
  <c r="J464" i="2"/>
  <c r="K474" i="8" s="1"/>
  <c r="J465" i="2"/>
  <c r="K475" i="8" s="1"/>
  <c r="J466" i="2"/>
  <c r="K476" i="8" s="1"/>
  <c r="J467" i="2"/>
  <c r="K477" i="8" s="1"/>
  <c r="J468" i="2"/>
  <c r="K478" i="8" s="1"/>
  <c r="J469" i="2"/>
  <c r="M469" s="1"/>
  <c r="J470"/>
  <c r="K480" i="8" s="1"/>
  <c r="J471" i="2"/>
  <c r="K481" i="8" s="1"/>
  <c r="J472" i="2"/>
  <c r="K482" i="8" s="1"/>
  <c r="J473" i="2"/>
  <c r="K483" i="8" s="1"/>
  <c r="J474" i="2"/>
  <c r="K484" i="8" s="1"/>
  <c r="J475" i="2"/>
  <c r="K485" i="8" s="1"/>
  <c r="J476" i="2"/>
  <c r="K486" i="8" s="1"/>
  <c r="J477" i="2"/>
  <c r="K487" i="8" s="1"/>
  <c r="J478" i="2"/>
  <c r="K488" i="8" s="1"/>
  <c r="J479" i="2"/>
  <c r="K489" i="8" s="1"/>
  <c r="J480" i="2"/>
  <c r="K490" i="8" s="1"/>
  <c r="J481" i="2"/>
  <c r="K491" i="8" s="1"/>
  <c r="J482" i="2"/>
  <c r="K492" i="8" s="1"/>
  <c r="J483" i="2"/>
  <c r="K493" i="8" s="1"/>
  <c r="J484" i="2"/>
  <c r="K494" i="8" s="1"/>
  <c r="J485" i="2"/>
  <c r="J486"/>
  <c r="O486" s="1"/>
  <c r="J487"/>
  <c r="K497" i="8" s="1"/>
  <c r="J488" i="2"/>
  <c r="K498" i="8" s="1"/>
  <c r="J489" i="2"/>
  <c r="K499" i="8" s="1"/>
  <c r="J490" i="2"/>
  <c r="K500" i="8" s="1"/>
  <c r="J491" i="2"/>
  <c r="K501" i="8" s="1"/>
  <c r="J492" i="2"/>
  <c r="K502" i="8" s="1"/>
  <c r="J493" i="2"/>
  <c r="K503" i="8" s="1"/>
  <c r="J494" i="2"/>
  <c r="K504" i="8" s="1"/>
  <c r="J495" i="2"/>
  <c r="K505" i="8" s="1"/>
  <c r="J496" i="2"/>
  <c r="K506" i="8" s="1"/>
  <c r="J497" i="2"/>
  <c r="K507" i="8" s="1"/>
  <c r="J498" i="2"/>
  <c r="K508" i="8" s="1"/>
  <c r="J499" i="2"/>
  <c r="K499" s="1"/>
  <c r="J500"/>
  <c r="K510" i="8" s="1"/>
  <c r="J501" i="2"/>
  <c r="K511" i="8" s="1"/>
  <c r="J502" i="2"/>
  <c r="J503"/>
  <c r="K513" i="8" s="1"/>
  <c r="J504" i="2"/>
  <c r="K514" i="8" s="1"/>
  <c r="J505" i="2"/>
  <c r="K515" i="8" s="1"/>
  <c r="J506" i="2"/>
  <c r="M506" s="1"/>
  <c r="J507"/>
  <c r="K517" i="8" s="1"/>
  <c r="J508" i="2"/>
  <c r="K518" i="8" s="1"/>
  <c r="J509" i="2"/>
  <c r="O509" s="1"/>
  <c r="J510"/>
  <c r="K520" i="8" s="1"/>
  <c r="J511" i="2"/>
  <c r="K521" i="8" s="1"/>
  <c r="J512" i="2"/>
  <c r="K522" i="8" s="1"/>
  <c r="J513" i="2"/>
  <c r="K523" i="8" s="1"/>
  <c r="J514" i="2"/>
  <c r="N514" s="1"/>
  <c r="J515"/>
  <c r="K525" i="8" s="1"/>
  <c r="J516" i="2"/>
  <c r="K526" i="8" s="1"/>
  <c r="J517" i="2"/>
  <c r="K527" i="8" s="1"/>
  <c r="J518" i="2"/>
  <c r="K528" i="8" s="1"/>
  <c r="J519" i="2"/>
  <c r="K529" i="8" s="1"/>
  <c r="J520" i="2"/>
  <c r="K530" i="8" s="1"/>
  <c r="J521" i="2"/>
  <c r="K531" i="8" s="1"/>
  <c r="J522" i="2"/>
  <c r="L522" s="1"/>
  <c r="J523"/>
  <c r="K533" i="8" s="1"/>
  <c r="J524" i="2"/>
  <c r="K534" i="8" s="1"/>
  <c r="J525" i="2"/>
  <c r="K535" i="8" s="1"/>
  <c r="J526" i="2"/>
  <c r="L526" s="1"/>
  <c r="J527"/>
  <c r="K537" i="8" s="1"/>
  <c r="J528" i="2"/>
  <c r="K538" i="8" s="1"/>
  <c r="J529" i="2"/>
  <c r="K539" i="8" s="1"/>
  <c r="J530" i="2"/>
  <c r="K540" i="8" s="1"/>
  <c r="J531" i="2"/>
  <c r="K541" i="8" s="1"/>
  <c r="J532" i="2"/>
  <c r="K542" i="8" s="1"/>
  <c r="J533" i="2"/>
  <c r="K543" i="8" s="1"/>
  <c r="J534" i="2"/>
  <c r="K544" i="8" s="1"/>
  <c r="J535" i="2"/>
  <c r="K545" i="8" s="1"/>
  <c r="J536" i="2"/>
  <c r="K546" i="8" s="1"/>
  <c r="J537" i="2"/>
  <c r="K547" i="8" s="1"/>
  <c r="J538" i="2"/>
  <c r="K548" i="8" s="1"/>
  <c r="J539" i="2"/>
  <c r="O539" s="1"/>
  <c r="J540"/>
  <c r="K550" i="8" s="1"/>
  <c r="J541" i="2"/>
  <c r="K551" i="8" s="1"/>
  <c r="J542" i="2"/>
  <c r="N542" s="1"/>
  <c r="J543"/>
  <c r="K553" i="8" s="1"/>
  <c r="J544" i="2"/>
  <c r="K554" i="8" s="1"/>
  <c r="J545" i="2"/>
  <c r="K555" i="8" s="1"/>
  <c r="J546" i="2"/>
  <c r="O546" s="1"/>
  <c r="J547"/>
  <c r="K557" i="8" s="1"/>
  <c r="J548" i="2"/>
  <c r="K558" i="8" s="1"/>
  <c r="J549" i="2"/>
  <c r="K559" i="8" s="1"/>
  <c r="J550" i="2"/>
  <c r="K560" i="8" s="1"/>
  <c r="J551" i="2"/>
  <c r="K561" i="8" s="1"/>
  <c r="J552" i="2"/>
  <c r="K562" i="8" s="1"/>
  <c r="J553" i="2"/>
  <c r="K563" i="8" s="1"/>
  <c r="J554" i="2"/>
  <c r="K564" i="8" s="1"/>
  <c r="J555" i="2"/>
  <c r="K565" i="8" s="1"/>
  <c r="J556" i="2"/>
  <c r="K566" i="8" s="1"/>
  <c r="J557" i="2"/>
  <c r="L557" s="1"/>
  <c r="J558"/>
  <c r="K568" i="8" s="1"/>
  <c r="J559" i="2"/>
  <c r="K569" i="8" s="1"/>
  <c r="J560" i="2"/>
  <c r="K570" i="8" s="1"/>
  <c r="J561" i="2"/>
  <c r="K571" i="8" s="1"/>
  <c r="J562" i="2"/>
  <c r="K572" i="8" s="1"/>
  <c r="J563" i="2"/>
  <c r="K563" s="1"/>
  <c r="J564"/>
  <c r="K574" i="8" s="1"/>
  <c r="J565" i="2"/>
  <c r="K575" i="8" s="1"/>
  <c r="J566" i="2"/>
  <c r="L566" s="1"/>
  <c r="J567"/>
  <c r="K577" i="8" s="1"/>
  <c r="J568" i="2"/>
  <c r="K578" i="8" s="1"/>
  <c r="J569" i="2"/>
  <c r="K579" i="8" s="1"/>
  <c r="J570" i="2"/>
  <c r="K580" i="8" s="1"/>
  <c r="J571" i="2"/>
  <c r="J572"/>
  <c r="K582" i="8" s="1"/>
  <c r="J573" i="2"/>
  <c r="K573" s="1"/>
  <c r="J574"/>
  <c r="J575"/>
  <c r="K585" i="8" s="1"/>
  <c r="J576" i="2"/>
  <c r="K586" i="8" s="1"/>
  <c r="J577" i="2"/>
  <c r="K587" i="8" s="1"/>
  <c r="J578" i="2"/>
  <c r="O578" s="1"/>
  <c r="J579"/>
  <c r="J580"/>
  <c r="K590" i="8" s="1"/>
  <c r="J581" i="2"/>
  <c r="K591" i="8" s="1"/>
  <c r="J582" i="2"/>
  <c r="N582" s="1"/>
  <c r="J583"/>
  <c r="K593" i="8" s="1"/>
  <c r="J584" i="2"/>
  <c r="K594" i="8" s="1"/>
  <c r="J585" i="2"/>
  <c r="K595" i="8" s="1"/>
  <c r="J586" i="2"/>
  <c r="J587"/>
  <c r="L587" s="1"/>
  <c r="J588"/>
  <c r="K598" i="8" s="1"/>
  <c r="J589" i="2"/>
  <c r="K599" i="8" s="1"/>
  <c r="J590" i="2"/>
  <c r="K600" i="8" s="1"/>
  <c r="J591" i="2"/>
  <c r="K601" i="8" s="1"/>
  <c r="J592" i="2"/>
  <c r="K602" i="8" s="1"/>
  <c r="J593" i="2"/>
  <c r="K603" i="8" s="1"/>
  <c r="J594" i="2"/>
  <c r="K604" i="8" s="1"/>
  <c r="J595" i="2"/>
  <c r="K605" i="8" s="1"/>
  <c r="J596" i="2"/>
  <c r="K606" i="8" s="1"/>
  <c r="J597" i="2"/>
  <c r="K607" i="8" s="1"/>
  <c r="J598" i="2"/>
  <c r="K608" i="8" s="1"/>
  <c r="J599" i="2"/>
  <c r="K609" i="8" s="1"/>
  <c r="J600" i="2"/>
  <c r="K610" i="8" s="1"/>
  <c r="J601" i="2"/>
  <c r="K611" i="8" s="1"/>
  <c r="J602" i="2"/>
  <c r="K612" i="8" s="1"/>
  <c r="J603" i="2"/>
  <c r="J604"/>
  <c r="K614" i="8" s="1"/>
  <c r="J605" i="2"/>
  <c r="K615" i="8" s="1"/>
  <c r="J606" i="2"/>
  <c r="N606" s="1"/>
  <c r="J607"/>
  <c r="K617" i="8" s="1"/>
  <c r="J608" i="2"/>
  <c r="K618" i="8" s="1"/>
  <c r="J609" i="2"/>
  <c r="K619" i="8" s="1"/>
  <c r="J610" i="2"/>
  <c r="J611"/>
  <c r="K621" i="8" s="1"/>
  <c r="J612" i="2"/>
  <c r="K622" i="8" s="1"/>
  <c r="J613" i="2"/>
  <c r="K623" i="8" s="1"/>
  <c r="J614" i="2"/>
  <c r="K624" i="8" s="1"/>
  <c r="J615" i="2"/>
  <c r="K625" i="8" s="1"/>
  <c r="J616" i="2"/>
  <c r="K626" i="8" s="1"/>
  <c r="J617" i="2"/>
  <c r="K627" i="8" s="1"/>
  <c r="J618" i="2"/>
  <c r="L618" s="1"/>
  <c r="J619"/>
  <c r="K619" s="1"/>
  <c r="J620"/>
  <c r="K630" i="8" s="1"/>
  <c r="J621" i="2"/>
  <c r="K631" i="8" s="1"/>
  <c r="J622" i="2"/>
  <c r="L622" s="1"/>
  <c r="J623"/>
  <c r="K633" i="8" s="1"/>
  <c r="J624" i="2"/>
  <c r="K634" i="8" s="1"/>
  <c r="J625" i="2"/>
  <c r="K635" i="8" s="1"/>
  <c r="J626" i="2"/>
  <c r="K636" i="8" s="1"/>
  <c r="J627" i="2"/>
  <c r="K637" i="8" s="1"/>
  <c r="J628" i="2"/>
  <c r="K638" i="8" s="1"/>
  <c r="J629" i="2"/>
  <c r="K639" i="8" s="1"/>
  <c r="J630" i="2"/>
  <c r="K640" i="8" s="1"/>
  <c r="J631" i="2"/>
  <c r="K641" i="8" s="1"/>
  <c r="J632" i="2"/>
  <c r="K642" i="8" s="1"/>
  <c r="J633" i="2"/>
  <c r="K643" i="8" s="1"/>
  <c r="J634" i="2"/>
  <c r="M634" s="1"/>
  <c r="J635"/>
  <c r="O635" s="1"/>
  <c r="J636"/>
  <c r="K646" i="8" s="1"/>
  <c r="J637" i="2"/>
  <c r="K637" s="1"/>
  <c r="J638"/>
  <c r="N638" s="1"/>
  <c r="J639"/>
  <c r="K649" i="8" s="1"/>
  <c r="J640" i="2"/>
  <c r="K650" i="8" s="1"/>
  <c r="J641" i="2"/>
  <c r="K651" i="8" s="1"/>
  <c r="J642" i="2"/>
  <c r="K652" i="8" s="1"/>
  <c r="J643" i="2"/>
  <c r="K653" i="8" s="1"/>
  <c r="J644" i="2"/>
  <c r="K654" i="8" s="1"/>
  <c r="J645" i="2"/>
  <c r="K655" i="8" s="1"/>
  <c r="J646" i="2"/>
  <c r="K656" i="8" s="1"/>
  <c r="J647" i="2"/>
  <c r="K657" i="8" s="1"/>
  <c r="J648" i="2"/>
  <c r="K658" i="8" s="1"/>
  <c r="J649" i="2"/>
  <c r="K659" i="8" s="1"/>
  <c r="J650" i="2"/>
  <c r="K660" i="8" s="1"/>
  <c r="J651" i="2"/>
  <c r="K661" i="8" s="1"/>
  <c r="J652" i="2"/>
  <c r="K662" i="8" s="1"/>
  <c r="J653" i="2"/>
  <c r="K663" i="8" s="1"/>
  <c r="J654" i="2"/>
  <c r="K664" i="8" s="1"/>
  <c r="J655" i="2"/>
  <c r="K665" i="8" s="1"/>
  <c r="J656" i="2"/>
  <c r="K666" i="8" s="1"/>
  <c r="J657" i="2"/>
  <c r="K667" i="8" s="1"/>
  <c r="J658" i="2"/>
  <c r="K668" i="8" s="1"/>
  <c r="J659" i="2"/>
  <c r="K669" i="8" s="1"/>
  <c r="J660" i="2"/>
  <c r="K670" i="8" s="1"/>
  <c r="J661" i="2"/>
  <c r="K671" i="8" s="1"/>
  <c r="J662" i="2"/>
  <c r="K672" i="8" s="1"/>
  <c r="J663" i="2"/>
  <c r="K673" i="8" s="1"/>
  <c r="J664" i="2"/>
  <c r="K674" i="8" s="1"/>
  <c r="J665" i="2"/>
  <c r="K675" i="8" s="1"/>
  <c r="J666" i="2"/>
  <c r="K676" i="8" s="1"/>
  <c r="J667" i="2"/>
  <c r="K677" i="8" s="1"/>
  <c r="J668" i="2"/>
  <c r="K678" i="8" s="1"/>
  <c r="J669" i="2"/>
  <c r="K679" i="8" s="1"/>
  <c r="J670" i="2"/>
  <c r="K680" i="8" s="1"/>
  <c r="J671" i="2"/>
  <c r="K681" i="8" s="1"/>
  <c r="J672" i="2"/>
  <c r="K682" i="8" s="1"/>
  <c r="J673" i="2"/>
  <c r="K683" i="8" s="1"/>
  <c r="J674" i="2"/>
  <c r="K684" i="8" s="1"/>
  <c r="J675" i="2"/>
  <c r="K685" i="8" s="1"/>
  <c r="J676" i="2"/>
  <c r="K686" i="8" s="1"/>
  <c r="J677" i="2"/>
  <c r="K687" i="8" s="1"/>
  <c r="J678" i="2"/>
  <c r="K688" i="8" s="1"/>
  <c r="J679" i="2"/>
  <c r="K689" i="8" s="1"/>
  <c r="J680" i="2"/>
  <c r="K690" i="8" s="1"/>
  <c r="J681" i="2"/>
  <c r="K691" i="8" s="1"/>
  <c r="J682" i="2"/>
  <c r="K692" i="8" s="1"/>
  <c r="J683" i="2"/>
  <c r="K693" i="8" s="1"/>
  <c r="J684" i="2"/>
  <c r="K694" i="8" s="1"/>
  <c r="J685" i="2"/>
  <c r="K695" i="8" s="1"/>
  <c r="J686" i="2"/>
  <c r="K686" s="1"/>
  <c r="J687"/>
  <c r="K697" i="8" s="1"/>
  <c r="J688" i="2"/>
  <c r="K698" i="8" s="1"/>
  <c r="J689" i="2"/>
  <c r="K699" i="8" s="1"/>
  <c r="J690" i="2"/>
  <c r="K700" i="8" s="1"/>
  <c r="J691" i="2"/>
  <c r="K701" i="8" s="1"/>
  <c r="J692" i="2"/>
  <c r="K702" i="8" s="1"/>
  <c r="J693" i="2"/>
  <c r="K703" i="8" s="1"/>
  <c r="J694" i="2"/>
  <c r="K704" i="8" s="1"/>
  <c r="J695" i="2"/>
  <c r="K705" i="8" s="1"/>
  <c r="J696" i="2"/>
  <c r="K706" i="8" s="1"/>
  <c r="J697" i="2"/>
  <c r="K707" i="8" s="1"/>
  <c r="J698" i="2"/>
  <c r="K708" i="8" s="1"/>
  <c r="J699" i="2"/>
  <c r="K709" i="8" s="1"/>
  <c r="J700" i="2"/>
  <c r="K710" i="8" s="1"/>
  <c r="J701" i="2"/>
  <c r="K711" i="8" s="1"/>
  <c r="J702" i="2"/>
  <c r="K712" i="8" s="1"/>
  <c r="J703" i="2"/>
  <c r="K713" i="8" s="1"/>
  <c r="J704" i="2"/>
  <c r="K714" i="8" s="1"/>
  <c r="J705" i="2"/>
  <c r="K715" i="8" s="1"/>
  <c r="J706" i="2"/>
  <c r="K716" i="8" s="1"/>
  <c r="J707" i="2"/>
  <c r="K717" i="8" s="1"/>
  <c r="J708" i="2"/>
  <c r="K718" i="8" s="1"/>
  <c r="J709" i="2"/>
  <c r="K719" i="8" s="1"/>
  <c r="J710" i="2"/>
  <c r="K720" i="8" s="1"/>
  <c r="J711" i="2"/>
  <c r="K721" i="8" s="1"/>
  <c r="J712" i="2"/>
  <c r="K722" i="8" s="1"/>
  <c r="J713" i="2"/>
  <c r="K723" i="8" s="1"/>
  <c r="J714" i="2"/>
  <c r="K724" i="8" s="1"/>
  <c r="J715" i="2"/>
  <c r="K725" i="8" s="1"/>
  <c r="J716" i="2"/>
  <c r="K726" i="8" s="1"/>
  <c r="J717" i="2"/>
  <c r="K14" i="8" s="1"/>
  <c r="J718" i="2"/>
  <c r="K727" i="8" s="1"/>
  <c r="J719" i="2"/>
  <c r="K728" i="8" s="1"/>
  <c r="J720" i="2"/>
  <c r="K729" i="8" s="1"/>
  <c r="J721" i="2"/>
  <c r="K730" i="8" s="1"/>
  <c r="J722" i="2"/>
  <c r="K731" i="8" s="1"/>
  <c r="J723" i="2"/>
  <c r="K732" i="8" s="1"/>
  <c r="J724" i="2"/>
  <c r="K733" i="8" s="1"/>
  <c r="J725" i="2"/>
  <c r="K734" i="8" s="1"/>
  <c r="J726" i="2"/>
  <c r="K735" i="8" s="1"/>
  <c r="J727" i="2"/>
  <c r="K736" i="8" s="1"/>
  <c r="J728" i="2"/>
  <c r="K737" i="8" s="1"/>
  <c r="J729" i="2"/>
  <c r="K738" i="8" s="1"/>
  <c r="J730" i="2"/>
  <c r="K739" i="8" s="1"/>
  <c r="J731" i="2"/>
  <c r="K740" i="8" s="1"/>
  <c r="J732" i="2"/>
  <c r="K741" i="8" s="1"/>
  <c r="J733" i="2"/>
  <c r="K742" i="8" s="1"/>
  <c r="J734" i="2"/>
  <c r="K743" i="8" s="1"/>
  <c r="J735" i="2"/>
  <c r="K744" i="8" s="1"/>
  <c r="J736" i="2"/>
  <c r="K745" i="8" s="1"/>
  <c r="J737" i="2"/>
  <c r="K746" i="8" s="1"/>
  <c r="J738" i="2"/>
  <c r="K747" i="8" s="1"/>
  <c r="J739" i="2"/>
  <c r="K748" i="8" s="1"/>
  <c r="J740" i="2"/>
  <c r="K749" i="8" s="1"/>
  <c r="J741" i="2"/>
  <c r="K750" i="8" s="1"/>
  <c r="J742" i="2"/>
  <c r="K751" i="8" s="1"/>
  <c r="J743" i="2"/>
  <c r="K752" i="8" s="1"/>
  <c r="J744" i="2"/>
  <c r="K753" i="8" s="1"/>
  <c r="J745" i="2"/>
  <c r="K754" i="8" s="1"/>
  <c r="J746" i="2"/>
  <c r="K755" i="8" s="1"/>
  <c r="J747" i="2"/>
  <c r="K756" i="8" s="1"/>
  <c r="J748" i="2"/>
  <c r="K757" i="8" s="1"/>
  <c r="J749" i="2"/>
  <c r="K758" i="8" s="1"/>
  <c r="J750" i="2"/>
  <c r="K759" i="8" s="1"/>
  <c r="J751" i="2"/>
  <c r="K760" i="8" s="1"/>
  <c r="J752" i="2"/>
  <c r="K761" i="8" s="1"/>
  <c r="J753" i="2"/>
  <c r="K762" i="8" s="1"/>
  <c r="J754" i="2"/>
  <c r="K754" s="1"/>
  <c r="J755"/>
  <c r="K764" i="8" s="1"/>
  <c r="J756" i="2"/>
  <c r="K765" i="8" s="1"/>
  <c r="J757" i="2"/>
  <c r="K766" i="8" s="1"/>
  <c r="J758" i="2"/>
  <c r="K767" i="8" s="1"/>
  <c r="J759" i="2"/>
  <c r="K768" i="8" s="1"/>
  <c r="J760" i="2"/>
  <c r="K769" i="8" s="1"/>
  <c r="J761" i="2"/>
  <c r="K770" i="8" s="1"/>
  <c r="J762" i="2"/>
  <c r="K771" i="8" s="1"/>
  <c r="J763" i="2"/>
  <c r="K772" i="8" s="1"/>
  <c r="J764" i="2"/>
  <c r="K773" i="8" s="1"/>
  <c r="J765" i="2"/>
  <c r="K774" i="8" s="1"/>
  <c r="J766" i="2"/>
  <c r="K775" i="8" s="1"/>
  <c r="J767" i="2"/>
  <c r="K776" i="8" s="1"/>
  <c r="J768" i="2"/>
  <c r="K777" i="8" s="1"/>
  <c r="J769" i="2"/>
  <c r="K778" i="8" s="1"/>
  <c r="J770" i="2"/>
  <c r="K779" i="8" s="1"/>
  <c r="J771" i="2"/>
  <c r="K780" i="8" s="1"/>
  <c r="J772" i="2"/>
  <c r="K781" i="8" s="1"/>
  <c r="J773" i="2"/>
  <c r="K782" i="8" s="1"/>
  <c r="J774" i="2"/>
  <c r="L774" s="1"/>
  <c r="J775"/>
  <c r="K784" i="8" s="1"/>
  <c r="J776" i="2"/>
  <c r="K785" i="8" s="1"/>
  <c r="J777" i="2"/>
  <c r="K786" i="8" s="1"/>
  <c r="J778" i="2"/>
  <c r="K787" i="8" s="1"/>
  <c r="J779" i="2"/>
  <c r="K788" i="8" s="1"/>
  <c r="J780" i="2"/>
  <c r="K789" i="8" s="1"/>
  <c r="J781" i="2"/>
  <c r="K790" i="8" s="1"/>
  <c r="J782" i="2"/>
  <c r="K791" i="8" s="1"/>
  <c r="J783" i="2"/>
  <c r="K792" i="8" s="1"/>
  <c r="J784" i="2"/>
  <c r="K793" i="8" s="1"/>
  <c r="J785" i="2"/>
  <c r="K794" i="8" s="1"/>
  <c r="J786" i="2"/>
  <c r="K795" i="8" s="1"/>
  <c r="J787" i="2"/>
  <c r="K796" i="8" s="1"/>
  <c r="J788" i="2"/>
  <c r="K797" i="8" s="1"/>
  <c r="J789" i="2"/>
  <c r="K798" i="8" s="1"/>
  <c r="J790" i="2"/>
  <c r="K799" i="8" s="1"/>
  <c r="J791" i="2"/>
  <c r="K800" i="8" s="1"/>
  <c r="J792" i="2"/>
  <c r="K801" i="8" s="1"/>
  <c r="J793" i="2"/>
  <c r="K802" i="8" s="1"/>
  <c r="J794" i="2"/>
  <c r="O794" s="1"/>
  <c r="J795"/>
  <c r="K804" i="8" s="1"/>
  <c r="J796" i="2"/>
  <c r="K805" i="8" s="1"/>
  <c r="J797" i="2"/>
  <c r="K806" i="8" s="1"/>
  <c r="J798" i="2"/>
  <c r="K807" i="8" s="1"/>
  <c r="J799" i="2"/>
  <c r="K808" i="8" s="1"/>
  <c r="J800" i="2"/>
  <c r="K809" i="8" s="1"/>
  <c r="J801" i="2"/>
  <c r="K810" i="8" s="1"/>
  <c r="J802" i="2"/>
  <c r="K811" i="8" s="1"/>
  <c r="J803" i="2"/>
  <c r="K812" i="8" s="1"/>
  <c r="J804" i="2"/>
  <c r="K813" i="8" s="1"/>
  <c r="J805" i="2"/>
  <c r="K814" i="8" s="1"/>
  <c r="J806" i="2"/>
  <c r="K815" i="8" s="1"/>
  <c r="J807" i="2"/>
  <c r="K816" i="8" s="1"/>
  <c r="J808" i="2"/>
  <c r="K817" i="8" s="1"/>
  <c r="J809" i="2"/>
  <c r="K818" i="8" s="1"/>
  <c r="J810" i="2"/>
  <c r="K819" i="8" s="1"/>
  <c r="J811" i="2"/>
  <c r="K820" i="8" s="1"/>
  <c r="J812" i="2"/>
  <c r="K821" i="8" s="1"/>
  <c r="J813" i="2"/>
  <c r="K822" i="8" s="1"/>
  <c r="J814" i="2"/>
  <c r="K823" i="8" s="1"/>
  <c r="J815" i="2"/>
  <c r="K824" i="8" s="1"/>
  <c r="J816" i="2"/>
  <c r="K825" i="8" s="1"/>
  <c r="J817" i="2"/>
  <c r="K826" i="8" s="1"/>
  <c r="J818" i="2"/>
  <c r="K827" i="8" s="1"/>
  <c r="J819" i="2"/>
  <c r="K828" i="8" s="1"/>
  <c r="J820" i="2"/>
  <c r="K829" i="8" s="1"/>
  <c r="J821" i="2"/>
  <c r="K830" i="8" s="1"/>
  <c r="J822" i="2"/>
  <c r="K831" i="8" s="1"/>
  <c r="J823" i="2"/>
  <c r="K832" i="8" s="1"/>
  <c r="J824" i="2"/>
  <c r="K833" i="8" s="1"/>
  <c r="J825" i="2"/>
  <c r="K834" i="8" s="1"/>
  <c r="J826" i="2"/>
  <c r="K835" i="8" s="1"/>
  <c r="J827" i="2"/>
  <c r="J828"/>
  <c r="K837" i="8" s="1"/>
  <c r="J829" i="2"/>
  <c r="K838" i="8" s="1"/>
  <c r="J830" i="2"/>
  <c r="K839" i="8" s="1"/>
  <c r="J831" i="2"/>
  <c r="K840" i="8" s="1"/>
  <c r="J832" i="2"/>
  <c r="K841" i="8" s="1"/>
  <c r="J833" i="2"/>
  <c r="K842" i="8" s="1"/>
  <c r="J834" i="2"/>
  <c r="K843" i="8" s="1"/>
  <c r="J835" i="2"/>
  <c r="K844" i="8" s="1"/>
  <c r="J836" i="2"/>
  <c r="K845" i="8" s="1"/>
  <c r="J837" i="2"/>
  <c r="K846" i="8" s="1"/>
  <c r="J838" i="2"/>
  <c r="J839"/>
  <c r="K848" i="8" s="1"/>
  <c r="J840" i="2"/>
  <c r="K849" i="8" s="1"/>
  <c r="J841" i="2"/>
  <c r="K850" i="8" s="1"/>
  <c r="J842" i="2"/>
  <c r="K851" i="8" s="1"/>
  <c r="J843" i="2"/>
  <c r="K852" i="8" s="1"/>
  <c r="J844" i="2"/>
  <c r="K853" i="8" s="1"/>
  <c r="J845" i="2"/>
  <c r="K854" i="8" s="1"/>
  <c r="J846" i="2"/>
  <c r="K855" i="8" s="1"/>
  <c r="J847" i="2"/>
  <c r="K856" i="8" s="1"/>
  <c r="J848" i="2"/>
  <c r="K857" i="8" s="1"/>
  <c r="J849" i="2"/>
  <c r="K858" i="8" s="1"/>
  <c r="J850" i="2"/>
  <c r="K859" i="8" s="1"/>
  <c r="J851" i="2"/>
  <c r="K860" i="8" s="1"/>
  <c r="J852" i="2"/>
  <c r="K861" i="8" s="1"/>
  <c r="J853" i="2"/>
  <c r="K862" i="8" s="1"/>
  <c r="J854" i="2"/>
  <c r="K863" i="8" s="1"/>
  <c r="J855" i="2"/>
  <c r="K864" i="8" s="1"/>
  <c r="J856" i="2"/>
  <c r="K865" i="8" s="1"/>
  <c r="J857" i="2"/>
  <c r="K866" i="8" s="1"/>
  <c r="J858" i="2"/>
  <c r="K867" i="8" s="1"/>
  <c r="J859" i="2"/>
  <c r="K868" i="8" s="1"/>
  <c r="J860" i="2"/>
  <c r="K869" i="8" s="1"/>
  <c r="J861" i="2"/>
  <c r="K870" i="8" s="1"/>
  <c r="J862" i="2"/>
  <c r="K871" i="8" s="1"/>
  <c r="J863" i="2"/>
  <c r="K872" i="8" s="1"/>
  <c r="J864" i="2"/>
  <c r="K873" i="8" s="1"/>
  <c r="J865" i="2"/>
  <c r="K874" i="8" s="1"/>
  <c r="J866" i="2"/>
  <c r="K875" i="8" s="1"/>
  <c r="J867" i="2"/>
  <c r="K876" i="8" s="1"/>
  <c r="J868" i="2"/>
  <c r="K877" i="8" s="1"/>
  <c r="J869" i="2"/>
  <c r="K878" i="8" s="1"/>
  <c r="J870" i="2"/>
  <c r="K879" i="8" s="1"/>
  <c r="J871" i="2"/>
  <c r="K880" i="8" s="1"/>
  <c r="J872" i="2"/>
  <c r="K881" i="8" s="1"/>
  <c r="J873" i="2"/>
  <c r="K882" i="8" s="1"/>
  <c r="J874" i="2"/>
  <c r="K883" i="8" s="1"/>
  <c r="J875" i="2"/>
  <c r="K884" i="8" s="1"/>
  <c r="J876" i="2"/>
  <c r="K885" i="8" s="1"/>
  <c r="J877" i="2"/>
  <c r="K886" i="8" s="1"/>
  <c r="J878" i="2"/>
  <c r="K887" i="8" s="1"/>
  <c r="J879" i="2"/>
  <c r="K888" i="8" s="1"/>
  <c r="J880" i="2"/>
  <c r="K889" i="8" s="1"/>
  <c r="J881" i="2"/>
  <c r="K890" i="8" s="1"/>
  <c r="J882" i="2"/>
  <c r="K891" i="8" s="1"/>
  <c r="J883" i="2"/>
  <c r="K892" i="8" s="1"/>
  <c r="J884" i="2"/>
  <c r="K893" i="8" s="1"/>
  <c r="J885" i="2"/>
  <c r="K894" i="8" s="1"/>
  <c r="J886" i="2"/>
  <c r="K895" i="8" s="1"/>
  <c r="J887" i="2"/>
  <c r="K896" i="8" s="1"/>
  <c r="J888" i="2"/>
  <c r="K897" i="8" s="1"/>
  <c r="J889" i="2"/>
  <c r="K898" i="8" s="1"/>
  <c r="J890" i="2"/>
  <c r="K899" i="8" s="1"/>
  <c r="J891" i="2"/>
  <c r="K900" i="8" s="1"/>
  <c r="J892" i="2"/>
  <c r="K901" i="8" s="1"/>
  <c r="J893" i="2"/>
  <c r="K902" i="8" s="1"/>
  <c r="J894" i="2"/>
  <c r="K903" i="8" s="1"/>
  <c r="J895" i="2"/>
  <c r="K904" i="8" s="1"/>
  <c r="J896" i="2"/>
  <c r="K905" i="8" s="1"/>
  <c r="J897" i="2"/>
  <c r="K906" i="8" s="1"/>
  <c r="J898" i="2"/>
  <c r="K907" i="8" s="1"/>
  <c r="J899" i="2"/>
  <c r="K908" i="8" s="1"/>
  <c r="J900" i="2"/>
  <c r="K909" i="8" s="1"/>
  <c r="J901" i="2"/>
  <c r="K910" i="8" s="1"/>
  <c r="J902" i="2"/>
  <c r="K911" i="8" s="1"/>
  <c r="J903" i="2"/>
  <c r="K912" i="8" s="1"/>
  <c r="J904" i="2"/>
  <c r="K913" i="8" s="1"/>
  <c r="J905" i="2"/>
  <c r="K914" i="8" s="1"/>
  <c r="J906" i="2"/>
  <c r="K915" i="8" s="1"/>
  <c r="J907" i="2"/>
  <c r="K916" i="8" s="1"/>
  <c r="J908" i="2"/>
  <c r="K917" i="8" s="1"/>
  <c r="J909" i="2"/>
  <c r="K918" i="8" s="1"/>
  <c r="J910" i="2"/>
  <c r="K919" i="8" s="1"/>
  <c r="J911" i="2"/>
  <c r="K920" i="8" s="1"/>
  <c r="J912" i="2"/>
  <c r="K921" i="8" s="1"/>
  <c r="J913" i="2"/>
  <c r="K922" i="8" s="1"/>
  <c r="J914" i="2"/>
  <c r="K923" i="8" s="1"/>
  <c r="J915" i="2"/>
  <c r="K924" i="8" s="1"/>
  <c r="J916" i="2"/>
  <c r="K925" i="8" s="1"/>
  <c r="J917" i="2"/>
  <c r="K926" i="8" s="1"/>
  <c r="J918" i="2"/>
  <c r="K927" i="8" s="1"/>
  <c r="J919" i="2"/>
  <c r="K928" i="8" s="1"/>
  <c r="J920" i="2"/>
  <c r="K929" i="8" s="1"/>
  <c r="J921" i="2"/>
  <c r="K930" i="8" s="1"/>
  <c r="J922" i="2"/>
  <c r="K931" i="8" s="1"/>
  <c r="J923" i="2"/>
  <c r="K932" i="8" s="1"/>
  <c r="J924" i="2"/>
  <c r="K933" i="8" s="1"/>
  <c r="J925" i="2"/>
  <c r="K934" i="8" s="1"/>
  <c r="J926" i="2"/>
  <c r="K935" i="8" s="1"/>
  <c r="J927" i="2"/>
  <c r="K936" i="8" s="1"/>
  <c r="J928" i="2"/>
  <c r="K937" i="8" s="1"/>
  <c r="J929" i="2"/>
  <c r="K938" i="8" s="1"/>
  <c r="J930" i="2"/>
  <c r="K939" i="8" s="1"/>
  <c r="J931" i="2"/>
  <c r="K940" i="8" s="1"/>
  <c r="J932" i="2"/>
  <c r="K941" i="8" s="1"/>
  <c r="J933" i="2"/>
  <c r="K942" i="8" s="1"/>
  <c r="J934" i="2"/>
  <c r="K943" i="8" s="1"/>
  <c r="J935" i="2"/>
  <c r="K944" i="8" s="1"/>
  <c r="J936" i="2"/>
  <c r="K945" i="8" s="1"/>
  <c r="J937" i="2"/>
  <c r="K946" i="8" s="1"/>
  <c r="J938" i="2"/>
  <c r="K947" i="8" s="1"/>
  <c r="J939" i="2"/>
  <c r="K948" i="8" s="1"/>
  <c r="J940" i="2"/>
  <c r="K949" i="8" s="1"/>
  <c r="J941" i="2"/>
  <c r="K950" i="8" s="1"/>
  <c r="J942" i="2"/>
  <c r="K951" i="8" s="1"/>
  <c r="J943" i="2"/>
  <c r="K952" i="8" s="1"/>
  <c r="J944" i="2"/>
  <c r="K953" i="8" s="1"/>
  <c r="J945" i="2"/>
  <c r="K954" i="8" s="1"/>
  <c r="J946" i="2"/>
  <c r="K955" i="8" s="1"/>
  <c r="J947" i="2"/>
  <c r="K956" i="8" s="1"/>
  <c r="J948" i="2"/>
  <c r="K957" i="8" s="1"/>
  <c r="J949" i="2"/>
  <c r="K958" i="8" s="1"/>
  <c r="J950" i="2"/>
  <c r="K959" i="8" s="1"/>
  <c r="J951" i="2"/>
  <c r="K960" i="8" s="1"/>
  <c r="J952" i="2"/>
  <c r="K961" i="8" s="1"/>
  <c r="J953" i="2"/>
  <c r="K962" i="8" s="1"/>
  <c r="J954" i="2"/>
  <c r="K963" i="8" s="1"/>
  <c r="J955" i="2"/>
  <c r="K964" i="8" s="1"/>
  <c r="J956" i="2"/>
  <c r="K965" i="8" s="1"/>
  <c r="J957" i="2"/>
  <c r="K966" i="8" s="1"/>
  <c r="J958" i="2"/>
  <c r="K967" i="8" s="1"/>
  <c r="J959" i="2"/>
  <c r="K968" i="8" s="1"/>
  <c r="J960" i="2"/>
  <c r="K969" i="8" s="1"/>
  <c r="J961" i="2"/>
  <c r="K970" i="8" s="1"/>
  <c r="J962" i="2"/>
  <c r="K971" i="8" s="1"/>
  <c r="J963" i="2"/>
  <c r="K972" i="8" s="1"/>
  <c r="J964" i="2"/>
  <c r="K973" i="8" s="1"/>
  <c r="J965" i="2"/>
  <c r="K6" i="8" s="1"/>
  <c r="J966" i="2"/>
  <c r="K974" i="8" s="1"/>
  <c r="J967" i="2"/>
  <c r="K975" i="8" s="1"/>
  <c r="J968" i="2"/>
  <c r="K976" i="8" s="1"/>
  <c r="J969" i="2"/>
  <c r="K977" i="8" s="1"/>
  <c r="J970" i="2"/>
  <c r="K978" i="8" s="1"/>
  <c r="J971" i="2"/>
  <c r="K979" i="8" s="1"/>
  <c r="J972" i="2"/>
  <c r="K980" i="8" s="1"/>
  <c r="J973" i="2"/>
  <c r="K981" i="8" s="1"/>
  <c r="J974" i="2"/>
  <c r="K982" i="8" s="1"/>
  <c r="J975" i="2"/>
  <c r="K983" i="8" s="1"/>
  <c r="J976" i="2"/>
  <c r="K984" i="8" s="1"/>
  <c r="J977" i="2"/>
  <c r="K985" i="8" s="1"/>
  <c r="J978" i="2"/>
  <c r="K986" i="8" s="1"/>
  <c r="J979" i="2"/>
  <c r="K987" i="8" s="1"/>
  <c r="J980" i="2"/>
  <c r="K988" i="8" s="1"/>
  <c r="J981" i="2"/>
  <c r="K989" i="8" s="1"/>
  <c r="J982" i="2"/>
  <c r="K990" i="8" s="1"/>
  <c r="J983" i="2"/>
  <c r="K991" i="8" s="1"/>
  <c r="J984" i="2"/>
  <c r="K992" i="8" s="1"/>
  <c r="J985" i="2"/>
  <c r="K993" i="8" s="1"/>
  <c r="J986" i="2"/>
  <c r="K994" i="8" s="1"/>
  <c r="J987" i="2"/>
  <c r="K995" i="8" s="1"/>
  <c r="J988" i="2"/>
  <c r="K996" i="8" s="1"/>
  <c r="J989" i="2"/>
  <c r="K997" i="8" s="1"/>
  <c r="J990" i="2"/>
  <c r="K998" i="8" s="1"/>
  <c r="J991" i="2"/>
  <c r="K999" i="8" s="1"/>
  <c r="J992" i="2"/>
  <c r="K1000" i="8" s="1"/>
  <c r="J993" i="2"/>
  <c r="K1001" i="8" s="1"/>
  <c r="J994" i="2"/>
  <c r="K1002" i="8" s="1"/>
  <c r="J995" i="2"/>
  <c r="K1003" i="8" s="1"/>
  <c r="J996" i="2"/>
  <c r="K1004" i="8" s="1"/>
  <c r="J997" i="2"/>
  <c r="K1005" i="8" s="1"/>
  <c r="J998" i="2"/>
  <c r="K1006" i="8" s="1"/>
  <c r="J999" i="2"/>
  <c r="K1007" i="8" s="1"/>
  <c r="J1000" i="2"/>
  <c r="K1008" i="8" s="1"/>
  <c r="J1001" i="2"/>
  <c r="K1009" i="8" s="1"/>
  <c r="J1002" i="2"/>
  <c r="K1010" i="8" s="1"/>
  <c r="J1003" i="2"/>
  <c r="K1011" i="8" s="1"/>
  <c r="J1004" i="2"/>
  <c r="K1012" i="8" s="1"/>
  <c r="J1005" i="2"/>
  <c r="K1013" i="8" s="1"/>
  <c r="J1006" i="2"/>
  <c r="K1014" i="8" s="1"/>
  <c r="J1007" i="2"/>
  <c r="K1015" i="8" s="1"/>
  <c r="J1008" i="2"/>
  <c r="K1016" i="8" s="1"/>
  <c r="J1009" i="2"/>
  <c r="K1017" i="8" s="1"/>
  <c r="J1010" i="2"/>
  <c r="K1018" i="8" s="1"/>
  <c r="J1011" i="2"/>
  <c r="K1019" i="8" s="1"/>
  <c r="J1012" i="2"/>
  <c r="K1020" i="8" s="1"/>
  <c r="J1013" i="2"/>
  <c r="K1021" i="8" s="1"/>
  <c r="J1014" i="2"/>
  <c r="K1022" i="8" s="1"/>
  <c r="J1015" i="2"/>
  <c r="K1023" i="8" s="1"/>
  <c r="J1016" i="2"/>
  <c r="K1024" i="8" s="1"/>
  <c r="J1017" i="2"/>
  <c r="K1025" i="8" s="1"/>
  <c r="J1018" i="2"/>
  <c r="K1026" i="8" s="1"/>
  <c r="J1019" i="2"/>
  <c r="K1027" i="8" s="1"/>
  <c r="J1020" i="2"/>
  <c r="K1028" i="8" s="1"/>
  <c r="J1021" i="2"/>
  <c r="K1029" i="8" s="1"/>
  <c r="J1022" i="2"/>
  <c r="N1022" s="1"/>
  <c r="J1023"/>
  <c r="K1031" i="8" s="1"/>
  <c r="J1024" i="2"/>
  <c r="K1032" i="8" s="1"/>
  <c r="J1025" i="2"/>
  <c r="K1033" i="8" s="1"/>
  <c r="J1026" i="2"/>
  <c r="J1027"/>
  <c r="K1035" i="8" s="1"/>
  <c r="J1028" i="2"/>
  <c r="K1036" i="8" s="1"/>
  <c r="J1029" i="2"/>
  <c r="K1029" s="1"/>
  <c r="J1030"/>
  <c r="O1030" s="1"/>
  <c r="J1031"/>
  <c r="K1039" i="8" s="1"/>
  <c r="J1032" i="2"/>
  <c r="K1040" i="8" s="1"/>
  <c r="J1033" i="2"/>
  <c r="K1041" i="8" s="1"/>
  <c r="J1034" i="2"/>
  <c r="K1042" i="8" s="1"/>
  <c r="J1035" i="2"/>
  <c r="J1036"/>
  <c r="K1044" i="8" s="1"/>
  <c r="J1037" i="2"/>
  <c r="K1045" i="8" s="1"/>
  <c r="J1038" i="2"/>
  <c r="K1046" i="8" s="1"/>
  <c r="J1039" i="2"/>
  <c r="K1047" i="8" s="1"/>
  <c r="J1040" i="2"/>
  <c r="K1048" i="8" s="1"/>
  <c r="J1041" i="2"/>
  <c r="K1049" i="8" s="1"/>
  <c r="J1042" i="2"/>
  <c r="J1043"/>
  <c r="J1044"/>
  <c r="K1052" i="8" s="1"/>
  <c r="J1045" i="2"/>
  <c r="K1053" i="8" s="1"/>
  <c r="J1046" i="2"/>
  <c r="K1054" i="8" s="1"/>
  <c r="J1047" i="2"/>
  <c r="K1055" i="8" s="1"/>
  <c r="J1048" i="2"/>
  <c r="K1056" i="8" s="1"/>
  <c r="J1049" i="2"/>
  <c r="K1057" i="8" s="1"/>
  <c r="J1050" i="2"/>
  <c r="O1050" s="1"/>
  <c r="J1051"/>
  <c r="K1059" i="8" s="1"/>
  <c r="J1052" i="2"/>
  <c r="K1060" i="8" s="1"/>
  <c r="J1053" i="2"/>
  <c r="K1061" i="8" s="1"/>
  <c r="J1054" i="2"/>
  <c r="O1054" s="1"/>
  <c r="J1055"/>
  <c r="K1063" i="8" s="1"/>
  <c r="J1056" i="2"/>
  <c r="K1064" i="8" s="1"/>
  <c r="J1057" i="2"/>
  <c r="K1065" i="8" s="1"/>
  <c r="J1058" i="2"/>
  <c r="K1066" i="8" s="1"/>
  <c r="J1059" i="2"/>
  <c r="K1067" i="8" s="1"/>
  <c r="J1060" i="2"/>
  <c r="K1068" i="8" s="1"/>
  <c r="J1061" i="2"/>
  <c r="K1069" i="8" s="1"/>
  <c r="J1062" i="2"/>
  <c r="K1070" i="8" s="1"/>
  <c r="J1063" i="2"/>
  <c r="K1071" i="8" s="1"/>
  <c r="J1064" i="2"/>
  <c r="K1072" i="8" s="1"/>
  <c r="J1065" i="2"/>
  <c r="K1073" i="8" s="1"/>
  <c r="J1066" i="2"/>
  <c r="K1074" i="8" s="1"/>
  <c r="J1067" i="2"/>
  <c r="K1075" i="8" s="1"/>
  <c r="J1068" i="2"/>
  <c r="K1076" i="8" s="1"/>
  <c r="J1069" i="2"/>
  <c r="K1077" i="8" s="1"/>
  <c r="J1070" i="2"/>
  <c r="K1078" i="8" s="1"/>
  <c r="J1071" i="2"/>
  <c r="K1079" i="8" s="1"/>
  <c r="J1072" i="2"/>
  <c r="K1080" i="8" s="1"/>
  <c r="J1073" i="2"/>
  <c r="K1081" i="8" s="1"/>
  <c r="J1074" i="2"/>
  <c r="K1082" i="8" s="1"/>
  <c r="J1075" i="2"/>
  <c r="K1083" i="8" s="1"/>
  <c r="J1076" i="2"/>
  <c r="K1084" i="8" s="1"/>
  <c r="J1077" i="2"/>
  <c r="K1085" i="8" s="1"/>
  <c r="J1078" i="2"/>
  <c r="K1086" i="8" s="1"/>
  <c r="J1079" i="2"/>
  <c r="K1087" i="8" s="1"/>
  <c r="J1080" i="2"/>
  <c r="K1088" i="8" s="1"/>
  <c r="J1081" i="2"/>
  <c r="K1089" i="8" s="1"/>
  <c r="J1082" i="2"/>
  <c r="K1090" i="8" s="1"/>
  <c r="J1083" i="2"/>
  <c r="K1091" i="8" s="1"/>
  <c r="J1084" i="2"/>
  <c r="K1092" i="8" s="1"/>
  <c r="J1085" i="2"/>
  <c r="K1093" i="8" s="1"/>
  <c r="J1086" i="2"/>
  <c r="K1094" i="8" s="1"/>
  <c r="J1087" i="2"/>
  <c r="K1095" i="8" s="1"/>
  <c r="J1088" i="2"/>
  <c r="K1096" i="8" s="1"/>
  <c r="J1089" i="2"/>
  <c r="K1097" i="8" s="1"/>
  <c r="J1090" i="2"/>
  <c r="K1098" i="8" s="1"/>
  <c r="J1091" i="2"/>
  <c r="K1099" i="8" s="1"/>
  <c r="J1092" i="2"/>
  <c r="K1100" i="8" s="1"/>
  <c r="J1093" i="2"/>
  <c r="K1101" i="8" s="1"/>
  <c r="J1094" i="2"/>
  <c r="K1102" i="8" s="1"/>
  <c r="J1095" i="2"/>
  <c r="K1103" i="8" s="1"/>
  <c r="J1096" i="2"/>
  <c r="K1104" i="8" s="1"/>
  <c r="J1097" i="2"/>
  <c r="K1105" i="8" s="1"/>
  <c r="J1098" i="2"/>
  <c r="K1106" i="8" s="1"/>
  <c r="J1099" i="2"/>
  <c r="K1107" i="8" s="1"/>
  <c r="J1100" i="2"/>
  <c r="K1108" i="8" s="1"/>
  <c r="J1101" i="2"/>
  <c r="K1109" i="8" s="1"/>
  <c r="J1102" i="2"/>
  <c r="K1110" i="8" s="1"/>
  <c r="J1103" i="2"/>
  <c r="K1111" i="8" s="1"/>
  <c r="J1104" i="2"/>
  <c r="K1112" i="8" s="1"/>
  <c r="J1105" i="2"/>
  <c r="K1113" i="8" s="1"/>
  <c r="J1106" i="2"/>
  <c r="K1114" i="8" s="1"/>
  <c r="J1107" i="2"/>
  <c r="K1115" i="8" s="1"/>
  <c r="J1108" i="2"/>
  <c r="K1116" i="8" s="1"/>
  <c r="J1109" i="2"/>
  <c r="K1117" i="8" s="1"/>
  <c r="J1110" i="2"/>
  <c r="K1118" i="8" s="1"/>
  <c r="J1111" i="2"/>
  <c r="K1119" i="8" s="1"/>
  <c r="J1112" i="2"/>
  <c r="K1120" i="8" s="1"/>
  <c r="J1113" i="2"/>
  <c r="K1121" i="8" s="1"/>
  <c r="J1114" i="2"/>
  <c r="K1122" i="8" s="1"/>
  <c r="J1115" i="2"/>
  <c r="K1123" i="8" s="1"/>
  <c r="J1116" i="2"/>
  <c r="K1124" i="8" s="1"/>
  <c r="J1117" i="2"/>
  <c r="K1125" i="8" s="1"/>
  <c r="J1118" i="2"/>
  <c r="K1126" i="8" s="1"/>
  <c r="J1119" i="2"/>
  <c r="K1127" i="8" s="1"/>
  <c r="J1120" i="2"/>
  <c r="K1128" i="8" s="1"/>
  <c r="J1121" i="2"/>
  <c r="K1129" i="8" s="1"/>
  <c r="J1122" i="2"/>
  <c r="K1130" i="8" s="1"/>
  <c r="J1123" i="2"/>
  <c r="K1131" i="8" s="1"/>
  <c r="J1124" i="2"/>
  <c r="K1132" i="8" s="1"/>
  <c r="J1125" i="2"/>
  <c r="K1133" i="8" s="1"/>
  <c r="J1126" i="2"/>
  <c r="K1134" i="8" s="1"/>
  <c r="J1127" i="2"/>
  <c r="K1135" i="8" s="1"/>
  <c r="J1128" i="2"/>
  <c r="K1136" i="8" s="1"/>
  <c r="J1129" i="2"/>
  <c r="K1137" i="8" s="1"/>
  <c r="J1130" i="2"/>
  <c r="K1138" i="8" s="1"/>
  <c r="J1131" i="2"/>
  <c r="K1139" i="8" s="1"/>
  <c r="J1132" i="2"/>
  <c r="K1140" i="8" s="1"/>
  <c r="J1133" i="2"/>
  <c r="K1141" i="8" s="1"/>
  <c r="J1134" i="2"/>
  <c r="K1142" i="8" s="1"/>
  <c r="J1135" i="2"/>
  <c r="K1143" i="8" s="1"/>
  <c r="J1136" i="2"/>
  <c r="K1144" i="8" s="1"/>
  <c r="J1137" i="2"/>
  <c r="K1145" i="8" s="1"/>
  <c r="J1138" i="2"/>
  <c r="K1146" i="8" s="1"/>
  <c r="J1139" i="2"/>
  <c r="K1147" i="8" s="1"/>
  <c r="J1140" i="2"/>
  <c r="K1148" i="8" s="1"/>
  <c r="J1141" i="2"/>
  <c r="K1149" i="8" s="1"/>
  <c r="J1142" i="2"/>
  <c r="K1150" i="8" s="1"/>
  <c r="J1143" i="2"/>
  <c r="K1151" i="8" s="1"/>
  <c r="J1144" i="2"/>
  <c r="K1152" i="8" s="1"/>
  <c r="J1145" i="2"/>
  <c r="K1153" i="8" s="1"/>
  <c r="J1146" i="2"/>
  <c r="K1154" i="8" s="1"/>
  <c r="J1147" i="2"/>
  <c r="K1155" i="8" s="1"/>
  <c r="J1148" i="2"/>
  <c r="K1156" i="8" s="1"/>
  <c r="J1149" i="2"/>
  <c r="K1157" i="8" s="1"/>
  <c r="J1150" i="2"/>
  <c r="K1158" i="8" s="1"/>
  <c r="J1151" i="2"/>
  <c r="K1159" i="8" s="1"/>
  <c r="J1152" i="2"/>
  <c r="K1160" i="8" s="1"/>
  <c r="J1153" i="2"/>
  <c r="K1161" i="8" s="1"/>
  <c r="J1154" i="2"/>
  <c r="K1162" i="8" s="1"/>
  <c r="J1155" i="2"/>
  <c r="K1163" i="8" s="1"/>
  <c r="J1156" i="2"/>
  <c r="K1164" i="8" s="1"/>
  <c r="J1157" i="2"/>
  <c r="K1165" i="8" s="1"/>
  <c r="J1158" i="2"/>
  <c r="K1166" i="8" s="1"/>
  <c r="J1159" i="2"/>
  <c r="K1167" i="8" s="1"/>
  <c r="J1160" i="2"/>
  <c r="K1168" i="8" s="1"/>
  <c r="J1161" i="2"/>
  <c r="K1169" i="8" s="1"/>
  <c r="J1162" i="2"/>
  <c r="K1170" i="8" s="1"/>
  <c r="J1163" i="2"/>
  <c r="K1171" i="8" s="1"/>
  <c r="J1164" i="2"/>
  <c r="K1172" i="8" s="1"/>
  <c r="J1165" i="2"/>
  <c r="K1173" i="8" s="1"/>
  <c r="J1166" i="2"/>
  <c r="K1174" i="8" s="1"/>
  <c r="J1167" i="2"/>
  <c r="K1175" i="8" s="1"/>
  <c r="J1168" i="2"/>
  <c r="K1176" i="8" s="1"/>
  <c r="J1169" i="2"/>
  <c r="K1177" i="8" s="1"/>
  <c r="J1170" i="2"/>
  <c r="K1178" i="8" s="1"/>
  <c r="J1171" i="2"/>
  <c r="K1179" i="8" s="1"/>
  <c r="J1172" i="2"/>
  <c r="K1180" i="8" s="1"/>
  <c r="J1173" i="2"/>
  <c r="K1181" i="8" s="1"/>
  <c r="J1174" i="2"/>
  <c r="K1182" i="8" s="1"/>
  <c r="J1175" i="2"/>
  <c r="K1183" i="8" s="1"/>
  <c r="J1176" i="2"/>
  <c r="K1184" i="8" s="1"/>
  <c r="J1177" i="2"/>
  <c r="K1185" i="8" s="1"/>
  <c r="J1178" i="2"/>
  <c r="K1186" i="8" s="1"/>
  <c r="J1179" i="2"/>
  <c r="K1187" i="8" s="1"/>
  <c r="J1180" i="2"/>
  <c r="K1188" i="8" s="1"/>
  <c r="J1181" i="2"/>
  <c r="K1189" i="8" s="1"/>
  <c r="J1182" i="2"/>
  <c r="K1190" i="8" s="1"/>
  <c r="J1183" i="2"/>
  <c r="K1191" i="8" s="1"/>
  <c r="J1184" i="2"/>
  <c r="K1192" i="8" s="1"/>
  <c r="J1185" i="2"/>
  <c r="K1193" i="8" s="1"/>
  <c r="J1186" i="2"/>
  <c r="M1186" s="1"/>
  <c r="J1187"/>
  <c r="K1195" i="8" s="1"/>
  <c r="J1188" i="2"/>
  <c r="K1196" i="8" s="1"/>
  <c r="J1189" i="2"/>
  <c r="K1197" i="8" s="1"/>
  <c r="J1190" i="2"/>
  <c r="K1198" i="8" s="1"/>
  <c r="J1191" i="2"/>
  <c r="K1199" i="8" s="1"/>
  <c r="J1192" i="2"/>
  <c r="K1200" i="8" s="1"/>
  <c r="J1193" i="2"/>
  <c r="K1201" i="8" s="1"/>
  <c r="J1194" i="2"/>
  <c r="K1202" i="8" s="1"/>
  <c r="J1195" i="2"/>
  <c r="K1203" i="8" s="1"/>
  <c r="J1196" i="2"/>
  <c r="K1204" i="8" s="1"/>
  <c r="J1197" i="2"/>
  <c r="K1205" i="8" s="1"/>
  <c r="J1198" i="2"/>
  <c r="K1206" i="8" s="1"/>
  <c r="J1199" i="2"/>
  <c r="K1207" i="8" s="1"/>
  <c r="J1200" i="2"/>
  <c r="K1208" i="8" s="1"/>
  <c r="J1201" i="2"/>
  <c r="K1209" i="8" s="1"/>
  <c r="J1202" i="2"/>
  <c r="K1210" i="8" s="1"/>
  <c r="J1203" i="2"/>
  <c r="K1211" i="8" s="1"/>
  <c r="J1204" i="2"/>
  <c r="K1212" i="8" s="1"/>
  <c r="J1205" i="2"/>
  <c r="K1213" i="8" s="1"/>
  <c r="J1206" i="2"/>
  <c r="K1214" i="8" s="1"/>
  <c r="J1207" i="2"/>
  <c r="K1215" i="8" s="1"/>
  <c r="J1208" i="2"/>
  <c r="K1216" i="8" s="1"/>
  <c r="J1209" i="2"/>
  <c r="K1217" i="8" s="1"/>
  <c r="J1210" i="2"/>
  <c r="K1218" i="8" s="1"/>
  <c r="J1211" i="2"/>
  <c r="K1219" i="8" s="1"/>
  <c r="J1212" i="2"/>
  <c r="K1220" i="8" s="1"/>
  <c r="J1213" i="2"/>
  <c r="K1221" i="8" s="1"/>
  <c r="J1214" i="2"/>
  <c r="K1222" i="8" s="1"/>
  <c r="J1215" i="2"/>
  <c r="K1223" i="8" s="1"/>
  <c r="J1216" i="2"/>
  <c r="K1224" i="8" s="1"/>
  <c r="J1217" i="2"/>
  <c r="K1225" i="8" s="1"/>
  <c r="J1218" i="2"/>
  <c r="K1226" i="8" s="1"/>
  <c r="J1219" i="2"/>
  <c r="K1227" i="8" s="1"/>
  <c r="J1220" i="2"/>
  <c r="K1228" i="8" s="1"/>
  <c r="J1221" i="2"/>
  <c r="K1229" i="8" s="1"/>
  <c r="J1222" i="2"/>
  <c r="K1230" i="8" s="1"/>
  <c r="J1223" i="2"/>
  <c r="K1231" i="8" s="1"/>
  <c r="J1224" i="2"/>
  <c r="K1232" i="8" s="1"/>
  <c r="J1225" i="2"/>
  <c r="K1233" i="8" s="1"/>
  <c r="J1226" i="2"/>
  <c r="K1234" i="8" s="1"/>
  <c r="J1227" i="2"/>
  <c r="K1235" i="8" s="1"/>
  <c r="J1228" i="2"/>
  <c r="K1236" i="8" s="1"/>
  <c r="J1229" i="2"/>
  <c r="K1237" i="8" s="1"/>
  <c r="J1230" i="2"/>
  <c r="K1238" i="8" s="1"/>
  <c r="J1231" i="2"/>
  <c r="K1239" i="8" s="1"/>
  <c r="J1232" i="2"/>
  <c r="K1240" i="8" s="1"/>
  <c r="J1233" i="2"/>
  <c r="K1241" i="8" s="1"/>
  <c r="J1234" i="2"/>
  <c r="K1242" i="8" s="1"/>
  <c r="J1235" i="2"/>
  <c r="K1243" i="8" s="1"/>
  <c r="J1236" i="2"/>
  <c r="K1244" i="8" s="1"/>
  <c r="J1237" i="2"/>
  <c r="K1245" i="8" s="1"/>
  <c r="J1238" i="2"/>
  <c r="K1246" i="8" s="1"/>
  <c r="J1239" i="2"/>
  <c r="K1247" i="8" s="1"/>
  <c r="J1240" i="2"/>
  <c r="K1248" i="8" s="1"/>
  <c r="J1241" i="2"/>
  <c r="K1249" i="8" s="1"/>
  <c r="J1242" i="2"/>
  <c r="K1250" i="8" s="1"/>
  <c r="J1243" i="2"/>
  <c r="K1251" i="8" s="1"/>
  <c r="J1244" i="2"/>
  <c r="K1252" i="8" s="1"/>
  <c r="J1245" i="2"/>
  <c r="K1253" i="8" s="1"/>
  <c r="J1246" i="2"/>
  <c r="K1254" i="8" s="1"/>
  <c r="J1247" i="2"/>
  <c r="K1255" i="8" s="1"/>
  <c r="J1248" i="2"/>
  <c r="K1256" i="8" s="1"/>
  <c r="J1249" i="2"/>
  <c r="K1257" i="8" s="1"/>
  <c r="J1250" i="2"/>
  <c r="K1258" i="8" s="1"/>
  <c r="J1251" i="2"/>
  <c r="K1259" i="8" s="1"/>
  <c r="J1252" i="2"/>
  <c r="K1260" i="8" s="1"/>
  <c r="J1253" i="2"/>
  <c r="K1261" i="8" s="1"/>
  <c r="J1254" i="2"/>
  <c r="K1254" s="1"/>
  <c r="J1255"/>
  <c r="K1263" i="8" s="1"/>
  <c r="J1256" i="2"/>
  <c r="K1264" i="8" s="1"/>
  <c r="J1257" i="2"/>
  <c r="K1265" i="8" s="1"/>
  <c r="J1258" i="2"/>
  <c r="K1266" i="8" s="1"/>
  <c r="J1259" i="2"/>
  <c r="K1267" i="8" s="1"/>
  <c r="J1260" i="2"/>
  <c r="K1268" i="8" s="1"/>
  <c r="J1261" i="2"/>
  <c r="K1269" i="8" s="1"/>
  <c r="J1262" i="2"/>
  <c r="K1270" i="8" s="1"/>
  <c r="J1263" i="2"/>
  <c r="K1271" i="8" s="1"/>
  <c r="J1264" i="2"/>
  <c r="K1272" i="8" s="1"/>
  <c r="J1265" i="2"/>
  <c r="K17" i="8" s="1"/>
  <c r="J1266" i="2"/>
  <c r="K1273" i="8" s="1"/>
  <c r="J1267" i="2"/>
  <c r="K1274" i="8" s="1"/>
  <c r="J1268" i="2"/>
  <c r="K1275" i="8" s="1"/>
  <c r="J1269" i="2"/>
  <c r="K1276" i="8" s="1"/>
  <c r="J1270" i="2"/>
  <c r="K1277" i="8" s="1"/>
  <c r="J1271" i="2"/>
  <c r="K1278" i="8" s="1"/>
  <c r="J1272" i="2"/>
  <c r="K1279" i="8" s="1"/>
  <c r="J1273" i="2"/>
  <c r="K1280" i="8" s="1"/>
  <c r="J1274" i="2"/>
  <c r="K1281" i="8" s="1"/>
  <c r="J1275" i="2"/>
  <c r="K1282" i="8" s="1"/>
  <c r="J1276" i="2"/>
  <c r="K1283" i="8" s="1"/>
  <c r="J1277" i="2"/>
  <c r="K1284" i="8" s="1"/>
  <c r="J1278" i="2"/>
  <c r="K1285" i="8" s="1"/>
  <c r="J1279" i="2"/>
  <c r="K1286" i="8" s="1"/>
  <c r="J1280" i="2"/>
  <c r="K1287" i="8" s="1"/>
  <c r="J1281" i="2"/>
  <c r="K1288" i="8" s="1"/>
  <c r="J1282" i="2"/>
  <c r="K1289" i="8" s="1"/>
  <c r="J1283" i="2"/>
  <c r="K1290" i="8" s="1"/>
  <c r="J1284" i="2"/>
  <c r="K1291" i="8" s="1"/>
  <c r="J1285" i="2"/>
  <c r="K1292" i="8" s="1"/>
  <c r="J1286" i="2"/>
  <c r="K1293" i="8" s="1"/>
  <c r="J1287" i="2"/>
  <c r="K1294" i="8" s="1"/>
  <c r="J1288" i="2"/>
  <c r="K1295" i="8" s="1"/>
  <c r="J1289" i="2"/>
  <c r="K1296" i="8" s="1"/>
  <c r="J1290" i="2"/>
  <c r="K1297" i="8" s="1"/>
  <c r="J1291" i="2"/>
  <c r="K1298" i="8" s="1"/>
  <c r="J1292" i="2"/>
  <c r="K1299" i="8" s="1"/>
  <c r="J1293" i="2"/>
  <c r="K1300" i="8" s="1"/>
  <c r="J1294" i="2"/>
  <c r="K1301" i="8" s="1"/>
  <c r="J1295" i="2"/>
  <c r="K1302" i="8" s="1"/>
  <c r="J1296" i="2"/>
  <c r="K1303" i="8" s="1"/>
  <c r="J1297" i="2"/>
  <c r="K1304" i="8" s="1"/>
  <c r="J1298" i="2"/>
  <c r="K1305" i="8" s="1"/>
  <c r="J1299" i="2"/>
  <c r="K1306" i="8" s="1"/>
  <c r="J1300" i="2"/>
  <c r="K1307" i="8" s="1"/>
  <c r="J1301" i="2"/>
  <c r="K1308" i="8" s="1"/>
  <c r="J1302" i="2"/>
  <c r="K1309" i="8" s="1"/>
  <c r="J1303" i="2"/>
  <c r="K1310" i="8" s="1"/>
  <c r="J1304" i="2"/>
  <c r="K1311" i="8" s="1"/>
  <c r="J1305" i="2"/>
  <c r="K1312" i="8" s="1"/>
  <c r="J1306" i="2"/>
  <c r="K1313" i="8" s="1"/>
  <c r="J1307" i="2"/>
  <c r="K1314" i="8" s="1"/>
  <c r="J1308" i="2"/>
  <c r="K1315" i="8" s="1"/>
  <c r="J1309" i="2"/>
  <c r="K1316" i="8" s="1"/>
  <c r="J1310" i="2"/>
  <c r="K1317" i="8" s="1"/>
  <c r="J1311" i="2"/>
  <c r="K1318" i="8" s="1"/>
  <c r="J1312" i="2"/>
  <c r="K1319" i="8" s="1"/>
  <c r="J1313" i="2"/>
  <c r="K1320" i="8" s="1"/>
  <c r="J1314" i="2"/>
  <c r="K1321" i="8" s="1"/>
  <c r="J1315" i="2"/>
  <c r="K1322" i="8" s="1"/>
  <c r="J1316" i="2"/>
  <c r="K1323" i="8" s="1"/>
  <c r="J1317" i="2"/>
  <c r="K1324" i="8" s="1"/>
  <c r="J1318" i="2"/>
  <c r="K1325" i="8" s="1"/>
  <c r="J1319" i="2"/>
  <c r="K1326" i="8" s="1"/>
  <c r="J1320" i="2"/>
  <c r="K1327" i="8" s="1"/>
  <c r="J1321" i="2"/>
  <c r="K1328" i="8" s="1"/>
  <c r="J1322" i="2"/>
  <c r="K1329" i="8" s="1"/>
  <c r="J1323" i="2"/>
  <c r="K1330" i="8" s="1"/>
  <c r="J1324" i="2"/>
  <c r="K1331" i="8" s="1"/>
  <c r="J1325" i="2"/>
  <c r="K1332" i="8" s="1"/>
  <c r="J1326" i="2"/>
  <c r="K1333" i="8" s="1"/>
  <c r="J1327" i="2"/>
  <c r="K1334" i="8" s="1"/>
  <c r="J1328" i="2"/>
  <c r="K1335" i="8" s="1"/>
  <c r="J1329" i="2"/>
  <c r="K1336" i="8" s="1"/>
  <c r="J1330" i="2"/>
  <c r="K1337" i="8" s="1"/>
  <c r="J1331" i="2"/>
  <c r="K1338" i="8" s="1"/>
  <c r="J1332" i="2"/>
  <c r="K1339" i="8" s="1"/>
  <c r="J1333" i="2"/>
  <c r="K1340" i="8" s="1"/>
  <c r="J1334" i="2"/>
  <c r="K1341" i="8" s="1"/>
  <c r="J1335" i="2"/>
  <c r="K1342" i="8" s="1"/>
  <c r="J1336" i="2"/>
  <c r="K1343" i="8" s="1"/>
  <c r="J1337" i="2"/>
  <c r="K1344" i="8" s="1"/>
  <c r="J1338" i="2"/>
  <c r="K1345" i="8" s="1"/>
  <c r="J1339" i="2"/>
  <c r="K1346" i="8" s="1"/>
  <c r="J1340" i="2"/>
  <c r="K1347" i="8" s="1"/>
  <c r="J1341" i="2"/>
  <c r="K1348" i="8" s="1"/>
  <c r="J1342" i="2"/>
  <c r="K1349" i="8" s="1"/>
  <c r="J1343" i="2"/>
  <c r="K1350" i="8" s="1"/>
  <c r="J1344" i="2"/>
  <c r="K1351" i="8" s="1"/>
  <c r="J1345" i="2"/>
  <c r="K1352" i="8" s="1"/>
  <c r="J1346" i="2"/>
  <c r="K1353" i="8" s="1"/>
  <c r="J1347" i="2"/>
  <c r="K1354" i="8" s="1"/>
  <c r="J1348" i="2"/>
  <c r="K1355" i="8" s="1"/>
  <c r="J1349" i="2"/>
  <c r="K1356" i="8" s="1"/>
  <c r="J1350" i="2"/>
  <c r="J1351"/>
  <c r="K1358" i="8" s="1"/>
  <c r="J1352" i="2"/>
  <c r="K1359" i="8" s="1"/>
  <c r="J1353" i="2"/>
  <c r="K1360" i="8" s="1"/>
  <c r="J1354" i="2"/>
  <c r="K1361" i="8" s="1"/>
  <c r="J1355" i="2"/>
  <c r="K1362" i="8" s="1"/>
  <c r="J1356" i="2"/>
  <c r="K1363" i="8" s="1"/>
  <c r="J1357" i="2"/>
  <c r="K1364" i="8" s="1"/>
  <c r="J1358" i="2"/>
  <c r="K1365" i="8" s="1"/>
  <c r="J1359" i="2"/>
  <c r="K1366" i="8" s="1"/>
  <c r="J1360" i="2"/>
  <c r="K1367" i="8" s="1"/>
  <c r="J1361" i="2"/>
  <c r="K1368" i="8" s="1"/>
  <c r="J1362" i="2"/>
  <c r="K1369" i="8" s="1"/>
  <c r="J1363" i="2"/>
  <c r="K1370" i="8" s="1"/>
  <c r="J1364" i="2"/>
  <c r="K1371" i="8" s="1"/>
  <c r="J1365" i="2"/>
  <c r="K1372" i="8" s="1"/>
  <c r="J1366" i="2"/>
  <c r="K1373" i="8" s="1"/>
  <c r="J1367" i="2"/>
  <c r="K1374" i="8" s="1"/>
  <c r="J1368" i="2"/>
  <c r="K1375" i="8" s="1"/>
  <c r="J1369" i="2"/>
  <c r="K1376" i="8" s="1"/>
  <c r="J1370" i="2"/>
  <c r="K1377" i="8" s="1"/>
  <c r="J1371" i="2"/>
  <c r="K1378" i="8" s="1"/>
  <c r="J1372" i="2"/>
  <c r="K1379" i="8" s="1"/>
  <c r="J1373" i="2"/>
  <c r="K1380" i="8" s="1"/>
  <c r="J1374" i="2"/>
  <c r="K1381" i="8" s="1"/>
  <c r="J1375" i="2"/>
  <c r="K1382" i="8" s="1"/>
  <c r="J1376" i="2"/>
  <c r="K1383" i="8" s="1"/>
  <c r="J1377" i="2"/>
  <c r="K1384" i="8" s="1"/>
  <c r="J1378" i="2"/>
  <c r="K1385" i="8" s="1"/>
  <c r="J1379" i="2"/>
  <c r="K1386" i="8" s="1"/>
  <c r="J1380" i="2"/>
  <c r="K1387" i="8" s="1"/>
  <c r="J1381" i="2"/>
  <c r="K1388" i="8" s="1"/>
  <c r="J1382" i="2"/>
  <c r="K1389" i="8" s="1"/>
  <c r="J1383" i="2"/>
  <c r="K1390" i="8" s="1"/>
  <c r="J1384" i="2"/>
  <c r="K1391" i="8" s="1"/>
  <c r="J1385" i="2"/>
  <c r="K1392" i="8" s="1"/>
  <c r="J1386" i="2"/>
  <c r="K1393" i="8" s="1"/>
  <c r="J1387" i="2"/>
  <c r="K1394" i="8" s="1"/>
  <c r="J1388" i="2"/>
  <c r="K1395" i="8" s="1"/>
  <c r="J1389" i="2"/>
  <c r="K1396" i="8" s="1"/>
  <c r="J1390" i="2"/>
  <c r="K1397" i="8" s="1"/>
  <c r="J1391" i="2"/>
  <c r="K1398" i="8" s="1"/>
  <c r="J1392" i="2"/>
  <c r="K1399" i="8" s="1"/>
  <c r="J1393" i="2"/>
  <c r="K1400" i="8" s="1"/>
  <c r="J1394" i="2"/>
  <c r="K1401" i="8" s="1"/>
  <c r="J1395" i="2"/>
  <c r="K1402" i="8" s="1"/>
  <c r="J1396" i="2"/>
  <c r="K1403" i="8" s="1"/>
  <c r="J1397" i="2"/>
  <c r="K1404" i="8" s="1"/>
  <c r="J1398" i="2"/>
  <c r="K1405" i="8" s="1"/>
  <c r="J1399" i="2"/>
  <c r="K1406" i="8" s="1"/>
  <c r="J1400" i="2"/>
  <c r="K1407" i="8" s="1"/>
  <c r="J1401" i="2"/>
  <c r="K1408" i="8" s="1"/>
  <c r="J1402" i="2"/>
  <c r="K1409" i="8" s="1"/>
  <c r="J1403" i="2"/>
  <c r="K1410" i="8" s="1"/>
  <c r="J1404" i="2"/>
  <c r="K1411" i="8" s="1"/>
  <c r="J1405" i="2"/>
  <c r="K1412" i="8" s="1"/>
  <c r="J1406" i="2"/>
  <c r="J1407"/>
  <c r="K1414" i="8" s="1"/>
  <c r="J1408" i="2"/>
  <c r="K1415" i="8" s="1"/>
  <c r="J1409" i="2"/>
  <c r="K1416" i="8" s="1"/>
  <c r="J1410" i="2"/>
  <c r="K1417" i="8" s="1"/>
  <c r="J1411" i="2"/>
  <c r="K1418" i="8" s="1"/>
  <c r="J1412" i="2"/>
  <c r="K1419" i="8" s="1"/>
  <c r="J1413" i="2"/>
  <c r="K1420" i="8" s="1"/>
  <c r="J1414" i="2"/>
  <c r="K1421" i="8" s="1"/>
  <c r="J1415" i="2"/>
  <c r="K1422" i="8" s="1"/>
  <c r="J1416" i="2"/>
  <c r="K1423" i="8" s="1"/>
  <c r="J1417" i="2"/>
  <c r="K1424" i="8" s="1"/>
  <c r="J1418" i="2"/>
  <c r="K1425" i="8" s="1"/>
  <c r="J1419" i="2"/>
  <c r="K1426" i="8" s="1"/>
  <c r="J1420" i="2"/>
  <c r="K1427" i="8" s="1"/>
  <c r="J1421" i="2"/>
  <c r="K1428" i="8" s="1"/>
  <c r="J1422" i="2"/>
  <c r="K1429" i="8" s="1"/>
  <c r="J1423" i="2"/>
  <c r="K1430" i="8" s="1"/>
  <c r="J1424" i="2"/>
  <c r="K1431" i="8" s="1"/>
  <c r="J1425" i="2"/>
  <c r="K1432" i="8" s="1"/>
  <c r="J1426" i="2"/>
  <c r="K1433" i="8" s="1"/>
  <c r="J1427" i="2"/>
  <c r="K1434" i="8" s="1"/>
  <c r="J1428" i="2"/>
  <c r="K1435" i="8" s="1"/>
  <c r="J1429" i="2"/>
  <c r="K1436" i="8" s="1"/>
  <c r="J1430" i="2"/>
  <c r="K1437" i="8" s="1"/>
  <c r="J1431" i="2"/>
  <c r="K1438" i="8" s="1"/>
  <c r="J1432" i="2"/>
  <c r="K1439" i="8" s="1"/>
  <c r="J1433" i="2"/>
  <c r="K1440" i="8" s="1"/>
  <c r="J1434" i="2"/>
  <c r="K1441" i="8" s="1"/>
  <c r="J1435" i="2"/>
  <c r="K1442" i="8" s="1"/>
  <c r="J1436" i="2"/>
  <c r="K1443" i="8" s="1"/>
  <c r="J1437" i="2"/>
  <c r="K1444" i="8" s="1"/>
  <c r="J1438" i="2"/>
  <c r="K1445" i="8" s="1"/>
  <c r="J1439" i="2"/>
  <c r="K1446" i="8" s="1"/>
  <c r="J1440" i="2"/>
  <c r="K1447" i="8" s="1"/>
  <c r="J1441" i="2"/>
  <c r="K1448" i="8" s="1"/>
  <c r="J1442" i="2"/>
  <c r="K1449" i="8" s="1"/>
  <c r="J1443" i="2"/>
  <c r="K1450" i="8" s="1"/>
  <c r="J1444" i="2"/>
  <c r="K1451" i="8" s="1"/>
  <c r="J1445" i="2"/>
  <c r="K1452" i="8" s="1"/>
  <c r="J1446" i="2"/>
  <c r="K1453" i="8" s="1"/>
  <c r="J1447" i="2"/>
  <c r="K1454" i="8" s="1"/>
  <c r="J1448" i="2"/>
  <c r="K1455" i="8" s="1"/>
  <c r="J1449" i="2"/>
  <c r="K1456" i="8" s="1"/>
  <c r="J1450" i="2"/>
  <c r="K1457" i="8" s="1"/>
  <c r="J1451" i="2"/>
  <c r="K1458" i="8" s="1"/>
  <c r="J1452" i="2"/>
  <c r="K1459" i="8" s="1"/>
  <c r="J1453" i="2"/>
  <c r="K1460" i="8" s="1"/>
  <c r="J1454" i="2"/>
  <c r="K1461" i="8" s="1"/>
  <c r="J1455" i="2"/>
  <c r="K1462" i="8" s="1"/>
  <c r="J1456" i="2"/>
  <c r="K1463" i="8" s="1"/>
  <c r="J1457" i="2"/>
  <c r="K1464" i="8" s="1"/>
  <c r="J1458" i="2"/>
  <c r="K1465" i="8" s="1"/>
  <c r="J1459" i="2"/>
  <c r="K1466" i="8" s="1"/>
  <c r="J1460" i="2"/>
  <c r="K1467" i="8" s="1"/>
  <c r="J1461" i="2"/>
  <c r="K1468" i="8" s="1"/>
  <c r="J1462" i="2"/>
  <c r="K1469" i="8" s="1"/>
  <c r="J1463" i="2"/>
  <c r="K1470" i="8" s="1"/>
  <c r="J1464" i="2"/>
  <c r="K1471" i="8" s="1"/>
  <c r="J1465" i="2"/>
  <c r="K1472" i="8" s="1"/>
  <c r="J1466" i="2"/>
  <c r="K1473" i="8" s="1"/>
  <c r="J1467" i="2"/>
  <c r="K1474" i="8" s="1"/>
  <c r="J1468" i="2"/>
  <c r="K1475" i="8" s="1"/>
  <c r="J1469" i="2"/>
  <c r="K1476" i="8" s="1"/>
  <c r="J1470" i="2"/>
  <c r="K1477" i="8" s="1"/>
  <c r="J1471" i="2"/>
  <c r="K1478" i="8" s="1"/>
  <c r="J1472" i="2"/>
  <c r="K1479" i="8" s="1"/>
  <c r="J1473" i="2"/>
  <c r="K1480" i="8" s="1"/>
  <c r="J1474" i="2"/>
  <c r="K1481" i="8" s="1"/>
  <c r="J1475" i="2"/>
  <c r="K1482" i="8" s="1"/>
  <c r="J1476" i="2"/>
  <c r="K1483" i="8" s="1"/>
  <c r="J1477" i="2"/>
  <c r="K1484" i="8" s="1"/>
  <c r="J1478" i="2"/>
  <c r="K1485" i="8" s="1"/>
  <c r="J1479" i="2"/>
  <c r="K1486" i="8" s="1"/>
  <c r="J1480" i="2"/>
  <c r="K1487" i="8" s="1"/>
  <c r="J1481" i="2"/>
  <c r="K1488" i="8" s="1"/>
  <c r="J1482" i="2"/>
  <c r="K1489" i="8" s="1"/>
  <c r="J1483" i="2"/>
  <c r="K1490" i="8" s="1"/>
  <c r="J1484" i="2"/>
  <c r="K1491" i="8" s="1"/>
  <c r="J1485" i="2"/>
  <c r="K1492" i="8" s="1"/>
  <c r="J1486" i="2"/>
  <c r="K1493" i="8" s="1"/>
  <c r="J1487" i="2"/>
  <c r="K1494" i="8" s="1"/>
  <c r="J1488" i="2"/>
  <c r="K1495" i="8" s="1"/>
  <c r="J1489" i="2"/>
  <c r="K1496" i="8" s="1"/>
  <c r="J1490" i="2"/>
  <c r="K1497" i="8" s="1"/>
  <c r="J1491" i="2"/>
  <c r="K1498" i="8" s="1"/>
  <c r="J1492" i="2"/>
  <c r="K1499" i="8" s="1"/>
  <c r="J1493" i="2"/>
  <c r="K1500" i="8" s="1"/>
  <c r="J1494" i="2"/>
  <c r="K1501" i="8" s="1"/>
  <c r="J1495" i="2"/>
  <c r="K1502" i="8" s="1"/>
  <c r="J1496" i="2"/>
  <c r="K1503" i="8" s="1"/>
  <c r="J1497" i="2"/>
  <c r="K1504" i="8" s="1"/>
  <c r="J1498" i="2"/>
  <c r="K1505" i="8" s="1"/>
  <c r="J1499" i="2"/>
  <c r="K1506" i="8" s="1"/>
  <c r="J1500" i="2"/>
  <c r="K1507" i="8" s="1"/>
  <c r="J1501" i="2"/>
  <c r="K1508" i="8" s="1"/>
  <c r="J1502" i="2"/>
  <c r="K1509" i="8" s="1"/>
  <c r="J1503" i="2"/>
  <c r="K1510" i="8" s="1"/>
  <c r="J1504" i="2"/>
  <c r="K1511" i="8" s="1"/>
  <c r="J1505" i="2"/>
  <c r="K1512" i="8" s="1"/>
  <c r="J1506" i="2"/>
  <c r="K1513" i="8" s="1"/>
  <c r="J1507" i="2"/>
  <c r="K1514" i="8" s="1"/>
  <c r="J1508" i="2"/>
  <c r="K1515" i="8" s="1"/>
  <c r="J1509" i="2"/>
  <c r="K1516" i="8" s="1"/>
  <c r="J1510" i="2"/>
  <c r="K1517" i="8" s="1"/>
  <c r="J1511" i="2"/>
  <c r="K1518" i="8" s="1"/>
  <c r="J1512" i="2"/>
  <c r="K1519" i="8" s="1"/>
  <c r="J1513" i="2"/>
  <c r="K1520" i="8" s="1"/>
  <c r="J1514" i="2"/>
  <c r="K1521" i="8" s="1"/>
  <c r="J1515" i="2"/>
  <c r="K1522" i="8" s="1"/>
  <c r="J1516" i="2"/>
  <c r="K1523" i="8" s="1"/>
  <c r="J1517" i="2"/>
  <c r="K1524" i="8" s="1"/>
  <c r="J1518" i="2"/>
  <c r="K1525" i="8" s="1"/>
  <c r="J1519" i="2"/>
  <c r="K1526" i="8" s="1"/>
  <c r="J1520" i="2"/>
  <c r="K1527" i="8" s="1"/>
  <c r="J1521" i="2"/>
  <c r="K1528" i="8" s="1"/>
  <c r="J1522" i="2"/>
  <c r="K1529" i="8" s="1"/>
  <c r="J1523" i="2"/>
  <c r="K1530" i="8" s="1"/>
  <c r="J1524" i="2"/>
  <c r="K1531" i="8" s="1"/>
  <c r="J1525" i="2"/>
  <c r="K1532" i="8" s="1"/>
  <c r="J1526" i="2"/>
  <c r="K1533" i="8" s="1"/>
  <c r="J1527" i="2"/>
  <c r="K1534" i="8" s="1"/>
  <c r="J1528" i="2"/>
  <c r="K1535" i="8" s="1"/>
  <c r="J1529" i="2"/>
  <c r="K1536" i="8" s="1"/>
  <c r="J1530" i="2"/>
  <c r="K1537" i="8" s="1"/>
  <c r="J1531" i="2"/>
  <c r="K1538" i="8" s="1"/>
  <c r="J1532" i="2"/>
  <c r="K1539" i="8" s="1"/>
  <c r="J1533" i="2"/>
  <c r="K1540" i="8" s="1"/>
  <c r="J1534" i="2"/>
  <c r="K1541" i="8" s="1"/>
  <c r="J1535" i="2"/>
  <c r="K1542" i="8" s="1"/>
  <c r="J1536" i="2"/>
  <c r="K1543" i="8" s="1"/>
  <c r="J1537" i="2"/>
  <c r="K1544" i="8" s="1"/>
  <c r="J1538" i="2"/>
  <c r="K1545" i="8" s="1"/>
  <c r="J1539" i="2"/>
  <c r="K1546" i="8" s="1"/>
  <c r="J1540" i="2"/>
  <c r="K1547" i="8" s="1"/>
  <c r="J1541" i="2"/>
  <c r="K1548" i="8" s="1"/>
  <c r="J1542" i="2"/>
  <c r="K1549" i="8" s="1"/>
  <c r="J1543" i="2"/>
  <c r="K1550" i="8" s="1"/>
  <c r="J1544" i="2"/>
  <c r="K1551" i="8" s="1"/>
  <c r="J1545" i="2"/>
  <c r="K1552" i="8" s="1"/>
  <c r="J1546" i="2"/>
  <c r="K1553" i="8" s="1"/>
  <c r="J1547" i="2"/>
  <c r="K1554" i="8" s="1"/>
  <c r="J1548" i="2"/>
  <c r="K1555" i="8" s="1"/>
  <c r="J1549" i="2"/>
  <c r="K1556" i="8" s="1"/>
  <c r="J1550" i="2"/>
  <c r="K1557" i="8" s="1"/>
  <c r="J1551" i="2"/>
  <c r="K1558" i="8" s="1"/>
  <c r="J1552" i="2"/>
  <c r="K1559" i="8" s="1"/>
  <c r="J1553" i="2"/>
  <c r="K1560" i="8" s="1"/>
  <c r="J1554" i="2"/>
  <c r="K1561" i="8" s="1"/>
  <c r="J1555" i="2"/>
  <c r="K1562" i="8" s="1"/>
  <c r="J1556" i="2"/>
  <c r="K1563" i="8" s="1"/>
  <c r="J1557" i="2"/>
  <c r="K1564" i="8" s="1"/>
  <c r="J1558" i="2"/>
  <c r="K1565" i="8" s="1"/>
  <c r="J1559" i="2"/>
  <c r="K1566" i="8" s="1"/>
  <c r="J1560" i="2"/>
  <c r="K1567" i="8" s="1"/>
  <c r="J1561" i="2"/>
  <c r="K1568" i="8" s="1"/>
  <c r="J1562" i="2"/>
  <c r="K1569" i="8" s="1"/>
  <c r="J1563" i="2"/>
  <c r="K1570" i="8" s="1"/>
  <c r="J1564" i="2"/>
  <c r="K1571" i="8" s="1"/>
  <c r="J1565" i="2"/>
  <c r="K1572" i="8" s="1"/>
  <c r="J1566" i="2"/>
  <c r="K1573" i="8" s="1"/>
  <c r="J1567" i="2"/>
  <c r="K1574" i="8" s="1"/>
  <c r="J1568" i="2"/>
  <c r="K1575" i="8" s="1"/>
  <c r="J1569" i="2"/>
  <c r="K1576" i="8" s="1"/>
  <c r="J1570" i="2"/>
  <c r="K1577" i="8" s="1"/>
  <c r="J1571" i="2"/>
  <c r="K1578" i="8" s="1"/>
  <c r="J1572" i="2"/>
  <c r="K1579" i="8" s="1"/>
  <c r="J1573" i="2"/>
  <c r="K1580" i="8" s="1"/>
  <c r="J1574" i="2"/>
  <c r="K1581" i="8" s="1"/>
  <c r="J1575" i="2"/>
  <c r="K1582" i="8" s="1"/>
  <c r="J1576" i="2"/>
  <c r="K1583" i="8" s="1"/>
  <c r="J1577" i="2"/>
  <c r="K1584" i="8" s="1"/>
  <c r="J1578" i="2"/>
  <c r="K1585" i="8" s="1"/>
  <c r="J1579" i="2"/>
  <c r="K1586" i="8" s="1"/>
  <c r="J1580" i="2"/>
  <c r="K1587" i="8" s="1"/>
  <c r="J1581" i="2"/>
  <c r="K1588" i="8" s="1"/>
  <c r="J1582" i="2"/>
  <c r="K1589" i="8" s="1"/>
  <c r="J1583" i="2"/>
  <c r="K1590" i="8" s="1"/>
  <c r="J1584" i="2"/>
  <c r="K1591" i="8" s="1"/>
  <c r="J1585" i="2"/>
  <c r="K1592" i="8" s="1"/>
  <c r="J1586" i="2"/>
  <c r="K1593" i="8" s="1"/>
  <c r="J1587" i="2"/>
  <c r="K1594" i="8" s="1"/>
  <c r="J1588" i="2"/>
  <c r="K1595" i="8" s="1"/>
  <c r="J1589" i="2"/>
  <c r="K1596" i="8" s="1"/>
  <c r="J1590" i="2"/>
  <c r="N1590" s="1"/>
  <c r="J1591"/>
  <c r="K1598" i="8" s="1"/>
  <c r="J1592" i="2"/>
  <c r="K1599" i="8" s="1"/>
  <c r="J1593" i="2"/>
  <c r="K1600" i="8" s="1"/>
  <c r="J1594" i="2"/>
  <c r="N1594" s="1"/>
  <c r="J1595"/>
  <c r="K1602" i="8" s="1"/>
  <c r="J1596" i="2"/>
  <c r="K1603" i="8" s="1"/>
  <c r="J1597" i="2"/>
  <c r="K1604" i="8" s="1"/>
  <c r="J1598" i="2"/>
  <c r="K1605" i="8" s="1"/>
  <c r="J1599" i="2"/>
  <c r="K1606" i="8" s="1"/>
  <c r="J1600" i="2"/>
  <c r="K1607" i="8" s="1"/>
  <c r="J1601" i="2"/>
  <c r="K1608" i="8" s="1"/>
  <c r="J1602" i="2"/>
  <c r="K1609" i="8" s="1"/>
  <c r="J1603" i="2"/>
  <c r="K1610" i="8" s="1"/>
  <c r="J1604" i="2"/>
  <c r="K1611" i="8" s="1"/>
  <c r="J1605" i="2"/>
  <c r="K1612" i="8" s="1"/>
  <c r="J1606" i="2"/>
  <c r="K1613" i="8" s="1"/>
  <c r="J1607" i="2"/>
  <c r="K1614" i="8" s="1"/>
  <c r="J1608" i="2"/>
  <c r="K1615" i="8" s="1"/>
  <c r="J1609" i="2"/>
  <c r="K1616" i="8" s="1"/>
  <c r="J1610" i="2"/>
  <c r="K1617" i="8" s="1"/>
  <c r="J1611" i="2"/>
  <c r="K1618" i="8" s="1"/>
  <c r="J1612" i="2"/>
  <c r="K1619" i="8" s="1"/>
  <c r="J1613" i="2"/>
  <c r="K1620" i="8" s="1"/>
  <c r="J1614" i="2"/>
  <c r="K1621" i="8" s="1"/>
  <c r="J1615" i="2"/>
  <c r="K11" i="8" s="1"/>
  <c r="J1616" i="2"/>
  <c r="K1622" i="8" s="1"/>
  <c r="J1617" i="2"/>
  <c r="K1623" i="8" s="1"/>
  <c r="J1618" i="2"/>
  <c r="K1624" i="8" s="1"/>
  <c r="J1619" i="2"/>
  <c r="K1625" i="8" s="1"/>
  <c r="J1620" i="2"/>
  <c r="K1626" i="8" s="1"/>
  <c r="J1621" i="2"/>
  <c r="K1627" i="8" s="1"/>
  <c r="J1622" i="2"/>
  <c r="K1628" i="8" s="1"/>
  <c r="J1623" i="2"/>
  <c r="K1629" i="8" s="1"/>
  <c r="J1624" i="2"/>
  <c r="K1630" i="8" s="1"/>
  <c r="J1625" i="2"/>
  <c r="K1631" i="8" s="1"/>
  <c r="J1626" i="2"/>
  <c r="K1632" i="8" s="1"/>
  <c r="J1627" i="2"/>
  <c r="K1633" i="8" s="1"/>
  <c r="J1628" i="2"/>
  <c r="K1634" i="8" s="1"/>
  <c r="J1629" i="2"/>
  <c r="K1635" i="8" s="1"/>
  <c r="J1630" i="2"/>
  <c r="K1636" i="8" s="1"/>
  <c r="J1631" i="2"/>
  <c r="K1637" i="8" s="1"/>
  <c r="J1632" i="2"/>
  <c r="K1638" i="8" s="1"/>
  <c r="J1633" i="2"/>
  <c r="K1639" i="8" s="1"/>
  <c r="J1634" i="2"/>
  <c r="K1640" i="8" s="1"/>
  <c r="J1635" i="2"/>
  <c r="K1641" i="8" s="1"/>
  <c r="J1636" i="2"/>
  <c r="K1642" i="8" s="1"/>
  <c r="J1637" i="2"/>
  <c r="K1643" i="8" s="1"/>
  <c r="J1638" i="2"/>
  <c r="K1644" i="8" s="1"/>
  <c r="J1639" i="2"/>
  <c r="K1645" i="8" s="1"/>
  <c r="J1640" i="2"/>
  <c r="K1646" i="8" s="1"/>
  <c r="J1641" i="2"/>
  <c r="K1647" i="8" s="1"/>
  <c r="J1642" i="2"/>
  <c r="K1648" i="8" s="1"/>
  <c r="J1643" i="2"/>
  <c r="K1649" i="8" s="1"/>
  <c r="J1644" i="2"/>
  <c r="K1650" i="8" s="1"/>
  <c r="J1645" i="2"/>
  <c r="K1651" i="8" s="1"/>
  <c r="J1646" i="2"/>
  <c r="K1652" i="8" s="1"/>
  <c r="J1647" i="2"/>
  <c r="K1653" i="8" s="1"/>
  <c r="J1648" i="2"/>
  <c r="K1654" i="8" s="1"/>
  <c r="J1649" i="2"/>
  <c r="K1655" i="8" s="1"/>
  <c r="J1650" i="2"/>
  <c r="K1656" i="8" s="1"/>
  <c r="J1651" i="2"/>
  <c r="K1657" i="8" s="1"/>
  <c r="J1652" i="2"/>
  <c r="K1658" i="8" s="1"/>
  <c r="J1653" i="2"/>
  <c r="K1659" i="8" s="1"/>
  <c r="J1654" i="2"/>
  <c r="K1660" i="8" s="1"/>
  <c r="J1655" i="2"/>
  <c r="K1661" i="8" s="1"/>
  <c r="J1656" i="2"/>
  <c r="K1662" i="8" s="1"/>
  <c r="J1657" i="2"/>
  <c r="K1663" i="8" s="1"/>
  <c r="J1658" i="2"/>
  <c r="K1664" i="8" s="1"/>
  <c r="J1659" i="2"/>
  <c r="K1665" i="8" s="1"/>
  <c r="J1660" i="2"/>
  <c r="K1666" i="8" s="1"/>
  <c r="J1661" i="2"/>
  <c r="K1667" i="8" s="1"/>
  <c r="J1662" i="2"/>
  <c r="K1668" i="8" s="1"/>
  <c r="J1663" i="2"/>
  <c r="K1669" i="8" s="1"/>
  <c r="J1664" i="2"/>
  <c r="K1670" i="8" s="1"/>
  <c r="J1665" i="2"/>
  <c r="K1671" i="8" s="1"/>
  <c r="J1666" i="2"/>
  <c r="K1672" i="8" s="1"/>
  <c r="J1667" i="2"/>
  <c r="K1673" i="8" s="1"/>
  <c r="J1668" i="2"/>
  <c r="K1674" i="8" s="1"/>
  <c r="J1669" i="2"/>
  <c r="K1675" i="8" s="1"/>
  <c r="J1670" i="2"/>
  <c r="K1676" i="8" s="1"/>
  <c r="J1671" i="2"/>
  <c r="K1677" i="8" s="1"/>
  <c r="J1672" i="2"/>
  <c r="K1678" i="8" s="1"/>
  <c r="J1673" i="2"/>
  <c r="K1679" i="8" s="1"/>
  <c r="J1674" i="2"/>
  <c r="K1680" i="8" s="1"/>
  <c r="J1675" i="2"/>
  <c r="K1681" i="8" s="1"/>
  <c r="J1676" i="2"/>
  <c r="K1682" i="8" s="1"/>
  <c r="J1677" i="2"/>
  <c r="K1683" i="8" s="1"/>
  <c r="J1678" i="2"/>
  <c r="K1684" i="8" s="1"/>
  <c r="J1679" i="2"/>
  <c r="K1685" i="8" s="1"/>
  <c r="J1680" i="2"/>
  <c r="K1686" i="8" s="1"/>
  <c r="J1681" i="2"/>
  <c r="K1687" i="8" s="1"/>
  <c r="J1682" i="2"/>
  <c r="K1688" i="8" s="1"/>
  <c r="J1683" i="2"/>
  <c r="K1689" i="8" s="1"/>
  <c r="J1684" i="2"/>
  <c r="K1690" i="8" s="1"/>
  <c r="J1685" i="2"/>
  <c r="K1691" i="8" s="1"/>
  <c r="J1686" i="2"/>
  <c r="K1692" i="8" s="1"/>
  <c r="J1687" i="2"/>
  <c r="K1693" i="8" s="1"/>
  <c r="J1688" i="2"/>
  <c r="K1694" i="8" s="1"/>
  <c r="J1689" i="2"/>
  <c r="K1695" i="8" s="1"/>
  <c r="J1690" i="2"/>
  <c r="K1696" i="8" s="1"/>
  <c r="J1691" i="2"/>
  <c r="K1697" i="8" s="1"/>
  <c r="J1692" i="2"/>
  <c r="K1698" i="8" s="1"/>
  <c r="J1693" i="2"/>
  <c r="K1699" i="8" s="1"/>
  <c r="J1694" i="2"/>
  <c r="K1700" i="8" s="1"/>
  <c r="J1695" i="2"/>
  <c r="K1701" i="8" s="1"/>
  <c r="J1696" i="2"/>
  <c r="K1702" i="8" s="1"/>
  <c r="J1697" i="2"/>
  <c r="K1703" i="8" s="1"/>
  <c r="J1698" i="2"/>
  <c r="K1704" i="8" s="1"/>
  <c r="J1699" i="2"/>
  <c r="K1705" i="8" s="1"/>
  <c r="J1700" i="2"/>
  <c r="K1706" i="8" s="1"/>
  <c r="J1701" i="2"/>
  <c r="K1707" i="8" s="1"/>
  <c r="J1702" i="2"/>
  <c r="K1708" i="8" s="1"/>
  <c r="J1703" i="2"/>
  <c r="K1709" i="8" s="1"/>
  <c r="J1704" i="2"/>
  <c r="K1710" i="8" s="1"/>
  <c r="J1705" i="2"/>
  <c r="K1711" i="8" s="1"/>
  <c r="J1706" i="2"/>
  <c r="K1712" i="8" s="1"/>
  <c r="J1707" i="2"/>
  <c r="K1713" i="8" s="1"/>
  <c r="J1708" i="2"/>
  <c r="K1714" i="8" s="1"/>
  <c r="J1709" i="2"/>
  <c r="K1715" i="8" s="1"/>
  <c r="J1710" i="2"/>
  <c r="K1716" i="8" s="1"/>
  <c r="J1711" i="2"/>
  <c r="K1717" i="8" s="1"/>
  <c r="J1712" i="2"/>
  <c r="K1718" i="8" s="1"/>
  <c r="J1713" i="2"/>
  <c r="K1719" i="8" s="1"/>
  <c r="J1714" i="2"/>
  <c r="K1720" i="8" s="1"/>
  <c r="J1715" i="2"/>
  <c r="K1721" i="8" s="1"/>
  <c r="J1716" i="2"/>
  <c r="K1722" i="8" s="1"/>
  <c r="J1717" i="2"/>
  <c r="K1723" i="8" s="1"/>
  <c r="J1718" i="2"/>
  <c r="K1724" i="8" s="1"/>
  <c r="J1719" i="2"/>
  <c r="K1725" i="8" s="1"/>
  <c r="J1720" i="2"/>
  <c r="K1726" i="8" s="1"/>
  <c r="J1721" i="2"/>
  <c r="K1727" i="8" s="1"/>
  <c r="J1722" i="2"/>
  <c r="K1728" i="8" s="1"/>
  <c r="J1723" i="2"/>
  <c r="K1729" i="8" s="1"/>
  <c r="J1724" i="2"/>
  <c r="K1730" i="8" s="1"/>
  <c r="J1725" i="2"/>
  <c r="K1731" i="8" s="1"/>
  <c r="J1726" i="2"/>
  <c r="K7" i="8" s="1"/>
  <c r="J1727" i="2"/>
  <c r="K1732" i="8" s="1"/>
  <c r="J1728" i="2"/>
  <c r="K1733" i="8" s="1"/>
  <c r="J1729" i="2"/>
  <c r="K1734" i="8" s="1"/>
  <c r="J1730" i="2"/>
  <c r="K1735" i="8" s="1"/>
  <c r="J1731" i="2"/>
  <c r="K1736" i="8" s="1"/>
  <c r="J1732" i="2"/>
  <c r="K1737" i="8" s="1"/>
  <c r="J1733" i="2"/>
  <c r="K1738" i="8" s="1"/>
  <c r="J1734" i="2"/>
  <c r="K1739" i="8" s="1"/>
  <c r="J1735" i="2"/>
  <c r="K1740" i="8" s="1"/>
  <c r="J1736" i="2"/>
  <c r="K1741" i="8" s="1"/>
  <c r="J1737" i="2"/>
  <c r="K1742" i="8" s="1"/>
  <c r="J1738" i="2"/>
  <c r="K1743" i="8" s="1"/>
  <c r="J1739" i="2"/>
  <c r="K1744" i="8" s="1"/>
  <c r="J1740" i="2"/>
  <c r="K1745" i="8" s="1"/>
  <c r="J1741" i="2"/>
  <c r="K1746" i="8" s="1"/>
  <c r="J1742" i="2"/>
  <c r="K1747" i="8" s="1"/>
  <c r="J1743" i="2"/>
  <c r="K1748" i="8" s="1"/>
  <c r="J1744" i="2"/>
  <c r="K1749" i="8" s="1"/>
  <c r="J1745" i="2"/>
  <c r="K1750" i="8" s="1"/>
  <c r="J1746" i="2"/>
  <c r="K1751" i="8" s="1"/>
  <c r="J1747" i="2"/>
  <c r="K1752" i="8" s="1"/>
  <c r="J1748" i="2"/>
  <c r="K1753" i="8" s="1"/>
  <c r="J1749" i="2"/>
  <c r="K1754" i="8" s="1"/>
  <c r="J1750" i="2"/>
  <c r="K1755" i="8" s="1"/>
  <c r="J1751" i="2"/>
  <c r="K1756" i="8" s="1"/>
  <c r="J1752" i="2"/>
  <c r="K1757" i="8" s="1"/>
  <c r="J1753" i="2"/>
  <c r="K1758" i="8" s="1"/>
  <c r="J1754" i="2"/>
  <c r="O1754" s="1"/>
  <c r="J1755"/>
  <c r="K1760" i="8" s="1"/>
  <c r="J1756" i="2"/>
  <c r="K1761" i="8" s="1"/>
  <c r="J1757" i="2"/>
  <c r="K1762" i="8" s="1"/>
  <c r="J1758" i="2"/>
  <c r="K1763" i="8" s="1"/>
  <c r="J1759" i="2"/>
  <c r="K1764" i="8" s="1"/>
  <c r="J1760" i="2"/>
  <c r="K1765" i="8" s="1"/>
  <c r="J1761" i="2"/>
  <c r="K1766" i="8" s="1"/>
  <c r="J1762" i="2"/>
  <c r="K1767" i="8" s="1"/>
  <c r="J1763" i="2"/>
  <c r="K1768" i="8" s="1"/>
  <c r="J1764" i="2"/>
  <c r="K1769" i="8" s="1"/>
  <c r="J1765" i="2"/>
  <c r="K1770" i="8" s="1"/>
  <c r="J1766" i="2"/>
  <c r="K1771" i="8" s="1"/>
  <c r="J1767" i="2"/>
  <c r="K1772" i="8" s="1"/>
  <c r="J1768" i="2"/>
  <c r="K1773" i="8" s="1"/>
  <c r="J1769" i="2"/>
  <c r="K1774" i="8" s="1"/>
  <c r="J1770" i="2"/>
  <c r="K1775" i="8" s="1"/>
  <c r="J1771" i="2"/>
  <c r="K1776" i="8" s="1"/>
  <c r="J1772" i="2"/>
  <c r="K1777" i="8" s="1"/>
  <c r="J1773" i="2"/>
  <c r="K1778" i="8" s="1"/>
  <c r="J1774" i="2"/>
  <c r="K1779" i="8" s="1"/>
  <c r="J1775" i="2"/>
  <c r="K1780" i="8" s="1"/>
  <c r="J1776" i="2"/>
  <c r="K1781" i="8" s="1"/>
  <c r="J1777" i="2"/>
  <c r="K1782" i="8" s="1"/>
  <c r="J1778" i="2"/>
  <c r="K1783" i="8" s="1"/>
  <c r="J1779" i="2"/>
  <c r="K1784" i="8" s="1"/>
  <c r="J1780" i="2"/>
  <c r="K1785" i="8" s="1"/>
  <c r="J1781" i="2"/>
  <c r="K1786" i="8" s="1"/>
  <c r="J1782" i="2"/>
  <c r="K1787" i="8" s="1"/>
  <c r="J1783" i="2"/>
  <c r="K1788" i="8" s="1"/>
  <c r="J1784" i="2"/>
  <c r="K1789" i="8" s="1"/>
  <c r="J1785" i="2"/>
  <c r="K1790" i="8" s="1"/>
  <c r="J1786" i="2"/>
  <c r="K1791" i="8" s="1"/>
  <c r="J1787" i="2"/>
  <c r="K1792" i="8" s="1"/>
  <c r="J1788" i="2"/>
  <c r="K1793" i="8" s="1"/>
  <c r="J1789" i="2"/>
  <c r="K1794" i="8" s="1"/>
  <c r="J1790" i="2"/>
  <c r="K1795" i="8" s="1"/>
  <c r="J1791" i="2"/>
  <c r="K1796" i="8" s="1"/>
  <c r="J1792" i="2"/>
  <c r="K1797" i="8" s="1"/>
  <c r="J1793" i="2"/>
  <c r="K1798" i="8" s="1"/>
  <c r="J1794" i="2"/>
  <c r="K1799" i="8" s="1"/>
  <c r="J1795" i="2"/>
  <c r="K1800" i="8" s="1"/>
  <c r="J1796" i="2"/>
  <c r="K1801" i="8" s="1"/>
  <c r="J1797" i="2"/>
  <c r="K1802" i="8" s="1"/>
  <c r="J1798" i="2"/>
  <c r="K1803" i="8" s="1"/>
  <c r="J1799" i="2"/>
  <c r="K1804" i="8" s="1"/>
  <c r="J1800" i="2"/>
  <c r="K1805" i="8" s="1"/>
  <c r="J1801" i="2"/>
  <c r="K1806" i="8" s="1"/>
  <c r="J1802" i="2"/>
  <c r="K1807" i="8" s="1"/>
  <c r="J1803" i="2"/>
  <c r="K1808" i="8" s="1"/>
  <c r="J1804" i="2"/>
  <c r="K1809" i="8" s="1"/>
  <c r="J1805" i="2"/>
  <c r="K1810" i="8" s="1"/>
  <c r="J1806" i="2"/>
  <c r="K1806" s="1"/>
  <c r="J1807"/>
  <c r="K1812" i="8" s="1"/>
  <c r="J1808" i="2"/>
  <c r="K1813" i="8" s="1"/>
  <c r="J1809" i="2"/>
  <c r="K1814" i="8" s="1"/>
  <c r="J1810" i="2"/>
  <c r="K1815" i="8" s="1"/>
  <c r="J1811" i="2"/>
  <c r="K1816" i="8" s="1"/>
  <c r="J1812" i="2"/>
  <c r="K1817" i="8" s="1"/>
  <c r="J1813" i="2"/>
  <c r="K1818" i="8" s="1"/>
  <c r="J1814" i="2"/>
  <c r="K1819" i="8" s="1"/>
  <c r="J1815" i="2"/>
  <c r="K1820" i="8" s="1"/>
  <c r="J1816" i="2"/>
  <c r="K1821" i="8" s="1"/>
  <c r="J1817" i="2"/>
  <c r="K1822" i="8" s="1"/>
  <c r="J1818" i="2"/>
  <c r="K1823" i="8" s="1"/>
  <c r="J1819" i="2"/>
  <c r="K1824" i="8" s="1"/>
  <c r="J1820" i="2"/>
  <c r="K1825" i="8" s="1"/>
  <c r="J1821" i="2"/>
  <c r="K1826" i="8" s="1"/>
  <c r="J1822" i="2"/>
  <c r="K1827" i="8" s="1"/>
  <c r="J1823" i="2"/>
  <c r="K1828" i="8" s="1"/>
  <c r="J1824" i="2"/>
  <c r="K1829" i="8" s="1"/>
  <c r="J1825" i="2"/>
  <c r="K1830" i="8" s="1"/>
  <c r="J1826" i="2"/>
  <c r="K1831" i="8" s="1"/>
  <c r="J1827" i="2"/>
  <c r="K1832" i="8" s="1"/>
  <c r="J1828" i="2"/>
  <c r="K1833" i="8" s="1"/>
  <c r="J1829" i="2"/>
  <c r="K1834" i="8" s="1"/>
  <c r="J1830" i="2"/>
  <c r="K1835" i="8" s="1"/>
  <c r="J1831" i="2"/>
  <c r="K1836" i="8" s="1"/>
  <c r="J1832" i="2"/>
  <c r="K1837" i="8" s="1"/>
  <c r="J1833" i="2"/>
  <c r="K1838" i="8" s="1"/>
  <c r="J1834" i="2"/>
  <c r="K1839" i="8" s="1"/>
  <c r="J1835" i="2"/>
  <c r="K1840" i="8" s="1"/>
  <c r="J1836" i="2"/>
  <c r="K1841" i="8" s="1"/>
  <c r="J1837" i="2"/>
  <c r="K8" i="8" s="1"/>
  <c r="J1838" i="2"/>
  <c r="K1842" i="8" s="1"/>
  <c r="J1839" i="2"/>
  <c r="K1843" i="8" s="1"/>
  <c r="J1840" i="2"/>
  <c r="K1844" i="8" s="1"/>
  <c r="J1841" i="2"/>
  <c r="K1845" i="8" s="1"/>
  <c r="J1842" i="2"/>
  <c r="K1846" i="8" s="1"/>
  <c r="J1843" i="2"/>
  <c r="K1847" i="8" s="1"/>
  <c r="J1844" i="2"/>
  <c r="K1848" i="8" s="1"/>
  <c r="J1845" i="2"/>
  <c r="K1849" i="8" s="1"/>
  <c r="J1846" i="2"/>
  <c r="K1850" i="8" s="1"/>
  <c r="J1847" i="2"/>
  <c r="K1851" i="8" s="1"/>
  <c r="J1848" i="2"/>
  <c r="K1852" i="8" s="1"/>
  <c r="J1849" i="2"/>
  <c r="K1853" i="8" s="1"/>
  <c r="J1850" i="2"/>
  <c r="K1854" i="8" s="1"/>
  <c r="J1851" i="2"/>
  <c r="K1855" i="8" s="1"/>
  <c r="J1852" i="2"/>
  <c r="K1856" i="8" s="1"/>
  <c r="J1853" i="2"/>
  <c r="K1857" i="8" s="1"/>
  <c r="J1854" i="2"/>
  <c r="K1858" i="8" s="1"/>
  <c r="J1855" i="2"/>
  <c r="K12" i="8" s="1"/>
  <c r="J1856" i="2"/>
  <c r="K1859" i="8" s="1"/>
  <c r="J1857" i="2"/>
  <c r="K1860" i="8" s="1"/>
  <c r="J1858" i="2"/>
  <c r="K1861" i="8" s="1"/>
  <c r="J1859" i="2"/>
  <c r="K1862" i="8" s="1"/>
  <c r="J1860" i="2"/>
  <c r="K1863" i="8" s="1"/>
  <c r="J1861" i="2"/>
  <c r="K1864" i="8" s="1"/>
  <c r="J1862" i="2"/>
  <c r="K1865" i="8" s="1"/>
  <c r="J1863" i="2"/>
  <c r="K1866" i="8" s="1"/>
  <c r="J1864" i="2"/>
  <c r="K1867" i="8" s="1"/>
  <c r="J1865" i="2"/>
  <c r="K1868" i="8" s="1"/>
  <c r="J1866" i="2"/>
  <c r="K1869" i="8" s="1"/>
  <c r="J1867" i="2"/>
  <c r="K1870" i="8" s="1"/>
  <c r="J1868" i="2"/>
  <c r="K1871" i="8" s="1"/>
  <c r="J1869" i="2"/>
  <c r="K1872" i="8" s="1"/>
  <c r="J1870" i="2"/>
  <c r="K1873" i="8" s="1"/>
  <c r="J1871" i="2"/>
  <c r="K1874" i="8" s="1"/>
  <c r="J1872" i="2"/>
  <c r="K1875" i="8" s="1"/>
  <c r="J1873" i="2"/>
  <c r="K1876" i="8" s="1"/>
  <c r="J1874" i="2"/>
  <c r="K1877" i="8" s="1"/>
  <c r="J1875" i="2"/>
  <c r="K1878" i="8" s="1"/>
  <c r="J1876" i="2"/>
  <c r="K1879" i="8" s="1"/>
  <c r="J1877" i="2"/>
  <c r="K1880" i="8" s="1"/>
  <c r="J1878" i="2"/>
  <c r="K1881" i="8" s="1"/>
  <c r="J1879" i="2"/>
  <c r="K1882" i="8" s="1"/>
  <c r="J1880" i="2"/>
  <c r="K1883" i="8" s="1"/>
  <c r="J1881" i="2"/>
  <c r="K1884" i="8" s="1"/>
  <c r="J1882" i="2"/>
  <c r="K1885" i="8" s="1"/>
  <c r="J1883" i="2"/>
  <c r="K1886" i="8" s="1"/>
  <c r="J1884" i="2"/>
  <c r="K1887" i="8" s="1"/>
  <c r="J1885" i="2"/>
  <c r="K1888" i="8" s="1"/>
  <c r="J1886" i="2"/>
  <c r="K1889" i="8" s="1"/>
  <c r="J1887" i="2"/>
  <c r="K1890" i="8" s="1"/>
  <c r="J1888" i="2"/>
  <c r="K1891" i="8" s="1"/>
  <c r="J1889" i="2"/>
  <c r="K1892" i="8" s="1"/>
  <c r="J1890" i="2"/>
  <c r="K1893" i="8" s="1"/>
  <c r="J1891" i="2"/>
  <c r="K1894" i="8" s="1"/>
  <c r="J1892" i="2"/>
  <c r="K1895" i="8" s="1"/>
  <c r="J1893" i="2"/>
  <c r="K1896" i="8" s="1"/>
  <c r="J1894" i="2"/>
  <c r="K1897" i="8" s="1"/>
  <c r="J1895" i="2"/>
  <c r="K1898" i="8" s="1"/>
  <c r="J1896" i="2"/>
  <c r="K1899" i="8" s="1"/>
  <c r="J1897" i="2"/>
  <c r="K1900" i="8" s="1"/>
  <c r="J1898" i="2"/>
  <c r="K1901" i="8" s="1"/>
  <c r="J1899" i="2"/>
  <c r="K1902" i="8" s="1"/>
  <c r="J1900" i="2"/>
  <c r="K1903" i="8" s="1"/>
  <c r="J1901" i="2"/>
  <c r="K1904" i="8" s="1"/>
  <c r="J1902" i="2"/>
  <c r="K1905" i="8" s="1"/>
  <c r="J1903" i="2"/>
  <c r="K1906" i="8" s="1"/>
  <c r="J1904" i="2"/>
  <c r="K1907" i="8" s="1"/>
  <c r="J1905" i="2"/>
  <c r="K1908" i="8" s="1"/>
  <c r="J1906" i="2"/>
  <c r="K1909" i="8" s="1"/>
  <c r="J1907" i="2"/>
  <c r="K1910" i="8" s="1"/>
  <c r="J1908" i="2"/>
  <c r="K1911" i="8" s="1"/>
  <c r="J1909" i="2"/>
  <c r="K1912" i="8" s="1"/>
  <c r="J1910" i="2"/>
  <c r="K1913" i="8" s="1"/>
  <c r="J1911" i="2"/>
  <c r="K1914" i="8" s="1"/>
  <c r="J1912" i="2"/>
  <c r="K1915" i="8" s="1"/>
  <c r="J1913" i="2"/>
  <c r="K1916" i="8" s="1"/>
  <c r="J1914" i="2"/>
  <c r="K1917" i="8" s="1"/>
  <c r="J1915" i="2"/>
  <c r="K1918" i="8" s="1"/>
  <c r="J1916" i="2"/>
  <c r="K1919" i="8" s="1"/>
  <c r="J1917" i="2"/>
  <c r="K1920" i="8" s="1"/>
  <c r="J1918" i="2"/>
  <c r="K1921" i="8" s="1"/>
  <c r="J1919" i="2"/>
  <c r="K1922" i="8" s="1"/>
  <c r="J1920" i="2"/>
  <c r="K1923" i="8" s="1"/>
  <c r="J1921" i="2"/>
  <c r="K1924" i="8" s="1"/>
  <c r="J1922" i="2"/>
  <c r="K1925" i="8" s="1"/>
  <c r="J1923" i="2"/>
  <c r="K1926" i="8" s="1"/>
  <c r="J1924" i="2"/>
  <c r="K1927" i="8" s="1"/>
  <c r="J1925" i="2"/>
  <c r="K1928" i="8" s="1"/>
  <c r="J1926" i="2"/>
  <c r="K1929" i="8" s="1"/>
  <c r="J1927" i="2"/>
  <c r="K16" i="8" s="1"/>
  <c r="J1928" i="2"/>
  <c r="K1930" i="8" s="1"/>
  <c r="J1929" i="2"/>
  <c r="K1931" i="8" s="1"/>
  <c r="J1930" i="2"/>
  <c r="K1932" i="8" s="1"/>
  <c r="J1931" i="2"/>
  <c r="K1933" i="8" s="1"/>
  <c r="J1932" i="2"/>
  <c r="K1934" i="8" s="1"/>
  <c r="J1933" i="2"/>
  <c r="K1935" i="8" s="1"/>
  <c r="J1934" i="2"/>
  <c r="K1936" i="8" s="1"/>
  <c r="J1935" i="2"/>
  <c r="K1937" i="8" s="1"/>
  <c r="J1936" i="2"/>
  <c r="K1938" i="8" s="1"/>
  <c r="J1937" i="2"/>
  <c r="K1939" i="8" s="1"/>
  <c r="J1938" i="2"/>
  <c r="K1940" i="8" s="1"/>
  <c r="J1939" i="2"/>
  <c r="K5" i="8" s="1"/>
  <c r="J1940" i="2"/>
  <c r="K1941" i="8" s="1"/>
  <c r="J1941" i="2"/>
  <c r="K1942" i="8" s="1"/>
  <c r="J1942" i="2"/>
  <c r="K1943" i="8" s="1"/>
  <c r="J1943" i="2"/>
  <c r="K1944" i="8" s="1"/>
  <c r="J1944" i="2"/>
  <c r="K1945" i="8" s="1"/>
  <c r="J1945" i="2"/>
  <c r="K1946" i="8" s="1"/>
  <c r="J1946" i="2"/>
  <c r="K1947" i="8" s="1"/>
  <c r="J1947" i="2"/>
  <c r="K1948" i="8" s="1"/>
  <c r="J1948" i="2"/>
  <c r="K1949" i="8" s="1"/>
  <c r="J1949" i="2"/>
  <c r="K1950" i="8" s="1"/>
  <c r="J1950" i="2"/>
  <c r="K1951" i="8" s="1"/>
  <c r="J1951" i="2"/>
  <c r="K1952" i="8" s="1"/>
  <c r="J1952" i="2"/>
  <c r="K1953" i="8" s="1"/>
  <c r="J1953" i="2"/>
  <c r="K1954" i="8" s="1"/>
  <c r="J1954" i="2"/>
  <c r="K1955" i="8" s="1"/>
  <c r="J1955" i="2"/>
  <c r="K1956" i="8" s="1"/>
  <c r="J1956" i="2"/>
  <c r="K1957" i="8" s="1"/>
  <c r="J1957" i="2"/>
  <c r="K1958" i="8" s="1"/>
  <c r="J1958" i="2"/>
  <c r="K1959" i="8" s="1"/>
  <c r="J1959" i="2"/>
  <c r="K1960" i="8" s="1"/>
  <c r="J1960" i="2"/>
  <c r="K1961" i="8" s="1"/>
  <c r="J1961" i="2"/>
  <c r="K1962" i="8" s="1"/>
  <c r="J1962" i="2"/>
  <c r="K1963" i="8" s="1"/>
  <c r="J1963" i="2"/>
  <c r="K1964" i="8" s="1"/>
  <c r="J1964" i="2"/>
  <c r="K1965" i="8" s="1"/>
  <c r="J1965" i="2"/>
  <c r="K1966" i="8" s="1"/>
  <c r="J1966" i="2"/>
  <c r="K1967" i="8" s="1"/>
  <c r="J1967" i="2"/>
  <c r="K1968" i="8" s="1"/>
  <c r="J1968" i="2"/>
  <c r="K1969" i="8" s="1"/>
  <c r="J1969" i="2"/>
  <c r="K1970" i="8" s="1"/>
  <c r="J1970" i="2"/>
  <c r="K1971" i="8" s="1"/>
  <c r="J1971" i="2"/>
  <c r="K1972" i="8" s="1"/>
  <c r="J1972" i="2"/>
  <c r="K1973" i="8" s="1"/>
  <c r="J1973" i="2"/>
  <c r="K1974" i="8" s="1"/>
  <c r="J1974" i="2"/>
  <c r="K1975" i="8" s="1"/>
  <c r="J1975" i="2"/>
  <c r="K1976" i="8" s="1"/>
  <c r="J1976" i="2"/>
  <c r="K1977" i="8" s="1"/>
  <c r="J1977" i="2"/>
  <c r="K1978" i="8" s="1"/>
  <c r="J1978" i="2"/>
  <c r="K1979" i="8" s="1"/>
  <c r="J1979" i="2"/>
  <c r="K1980" i="8" s="1"/>
  <c r="J1980" i="2"/>
  <c r="K1981" i="8" s="1"/>
  <c r="J1981" i="2"/>
  <c r="K1982" i="8" s="1"/>
  <c r="J1982" i="2"/>
  <c r="K1983" i="8" s="1"/>
  <c r="J1983" i="2"/>
  <c r="K1984" i="8" s="1"/>
  <c r="J1984" i="2"/>
  <c r="K1985" i="8" s="1"/>
  <c r="J1985" i="2"/>
  <c r="K1986" i="8" s="1"/>
  <c r="J1986" i="2"/>
  <c r="K1987" i="8" s="1"/>
  <c r="J1987" i="2"/>
  <c r="K1988" i="8" s="1"/>
  <c r="J1988" i="2"/>
  <c r="K1989" i="8" s="1"/>
  <c r="J1989" i="2"/>
  <c r="K1990" i="8" s="1"/>
  <c r="J1990" i="2"/>
  <c r="K1991" i="8" s="1"/>
  <c r="J1991" i="2"/>
  <c r="K1992" i="8" s="1"/>
  <c r="J1992" i="2"/>
  <c r="K1993" i="8" s="1"/>
  <c r="J1993" i="2"/>
  <c r="K1994" i="8" s="1"/>
  <c r="J1994" i="2"/>
  <c r="K1995" i="8" s="1"/>
  <c r="J1995" i="2"/>
  <c r="K1996" i="8" s="1"/>
  <c r="J1996" i="2"/>
  <c r="K1997" i="8" s="1"/>
  <c r="J1997" i="2"/>
  <c r="K1998" i="8" s="1"/>
  <c r="J1998" i="2"/>
  <c r="K1999" i="8" s="1"/>
  <c r="J1999" i="2"/>
  <c r="K2000" i="8" s="1"/>
  <c r="J2000" i="2"/>
  <c r="K2001" i="8" s="1"/>
  <c r="J2001" i="2"/>
  <c r="K2002" i="8" s="1"/>
  <c r="J2002" i="2"/>
  <c r="K2003" i="8" s="1"/>
  <c r="J2003" i="2"/>
  <c r="K2004" i="8" s="1"/>
  <c r="J2004" i="2"/>
  <c r="K2005" i="8" s="1"/>
  <c r="J2005" i="2"/>
  <c r="K2006" i="8" s="1"/>
  <c r="J2006" i="2"/>
  <c r="K2007" i="8" s="1"/>
  <c r="J2007" i="2"/>
  <c r="K2008" i="8" s="1"/>
  <c r="J2008" i="2"/>
  <c r="K2009" i="8" s="1"/>
  <c r="J2009" i="2"/>
  <c r="K2010" i="8" s="1"/>
  <c r="J2010" i="2"/>
  <c r="K2011" i="8" s="1"/>
  <c r="J2011" i="2"/>
  <c r="K2012" i="8" s="1"/>
  <c r="J2012" i="2"/>
  <c r="K2013" i="8" s="1"/>
  <c r="J2013" i="2"/>
  <c r="K2014" i="8" s="1"/>
  <c r="J2014" i="2"/>
  <c r="K2015" i="8" s="1"/>
  <c r="J2015" i="2"/>
  <c r="K2016" i="8" s="1"/>
  <c r="J2016" i="2"/>
  <c r="K2017" i="8" s="1"/>
  <c r="J2017" i="2"/>
  <c r="K2018" i="8" s="1"/>
  <c r="J2018" i="2"/>
  <c r="K2019" i="8" s="1"/>
  <c r="J2019" i="2"/>
  <c r="K2020" i="8" s="1"/>
  <c r="J2020" i="2"/>
  <c r="K2021" i="8" s="1"/>
  <c r="J2021" i="2"/>
  <c r="K2022" i="8" s="1"/>
  <c r="J2022" i="2"/>
  <c r="K2023" i="8" s="1"/>
  <c r="J2023" i="2"/>
  <c r="K2024" i="8" s="1"/>
  <c r="J2024" i="2"/>
  <c r="K2025" i="8" s="1"/>
  <c r="J2025" i="2"/>
  <c r="K2026" i="8" s="1"/>
  <c r="J2026" i="2"/>
  <c r="K2027" i="8" s="1"/>
  <c r="J2027" i="2"/>
  <c r="K2028" i="8" s="1"/>
  <c r="J2028" i="2"/>
  <c r="K2029" i="8" s="1"/>
  <c r="J2029" i="2"/>
  <c r="K2030" i="8" s="1"/>
  <c r="J2030" i="2"/>
  <c r="K2031" i="8" s="1"/>
  <c r="J2031" i="2"/>
  <c r="K2032" i="8" s="1"/>
  <c r="J2032" i="2"/>
  <c r="K2033" i="8" s="1"/>
  <c r="J2033" i="2"/>
  <c r="K2034" i="8" s="1"/>
  <c r="J2034" i="2"/>
  <c r="K2035" i="8" s="1"/>
  <c r="J2035" i="2"/>
  <c r="K2036" i="8" s="1"/>
  <c r="J2036" i="2"/>
  <c r="K2037" i="8" s="1"/>
  <c r="J2037" i="2"/>
  <c r="K2038" i="8" s="1"/>
  <c r="J2038" i="2"/>
  <c r="K2039" i="8" s="1"/>
  <c r="J2039" i="2"/>
  <c r="K2040" i="8" s="1"/>
  <c r="J2040" i="2"/>
  <c r="K2041" i="8" s="1"/>
  <c r="J2041" i="2"/>
  <c r="K2042" i="8" s="1"/>
  <c r="J2042" i="2"/>
  <c r="K2043" i="8" s="1"/>
  <c r="J2043" i="2"/>
  <c r="K2044" i="8" s="1"/>
  <c r="J2044" i="2"/>
  <c r="K2045" i="8" s="1"/>
  <c r="J2045" i="2"/>
  <c r="K2046" i="8" s="1"/>
  <c r="J2046" i="2"/>
  <c r="K2047" i="8" s="1"/>
  <c r="J2047" i="2"/>
  <c r="K2048" i="8" s="1"/>
  <c r="J2048" i="2"/>
  <c r="K2049" i="8" s="1"/>
  <c r="J2049" i="2"/>
  <c r="K2050" i="8" s="1"/>
  <c r="J2050" i="2"/>
  <c r="K2051" i="8" s="1"/>
  <c r="J2051" i="2"/>
  <c r="K2052" i="8" s="1"/>
  <c r="J2052" i="2"/>
  <c r="K2053" i="8" s="1"/>
  <c r="J2053" i="2"/>
  <c r="K2054" i="8" s="1"/>
  <c r="J2054" i="2"/>
  <c r="K2055" i="8" s="1"/>
  <c r="J2055" i="2"/>
  <c r="K2056" i="8" s="1"/>
  <c r="J2056" i="2"/>
  <c r="K2057" i="8" s="1"/>
  <c r="J2057" i="2"/>
  <c r="K2058" i="8" s="1"/>
  <c r="J2058" i="2"/>
  <c r="K2059" i="8" s="1"/>
  <c r="J2059" i="2"/>
  <c r="K2060" i="8" s="1"/>
  <c r="J2060" i="2"/>
  <c r="K2061" i="8" s="1"/>
  <c r="J2061" i="2"/>
  <c r="K2062" i="8" s="1"/>
  <c r="J2062" i="2"/>
  <c r="K2063" i="8" s="1"/>
  <c r="J2063" i="2"/>
  <c r="K2064" i="8" s="1"/>
  <c r="J2064" i="2"/>
  <c r="K2065" i="8" s="1"/>
  <c r="J2065" i="2"/>
  <c r="K2066" i="8" s="1"/>
  <c r="J2066" i="2"/>
  <c r="K2067" i="8" s="1"/>
  <c r="J2067" i="2"/>
  <c r="K2068" i="8" s="1"/>
  <c r="J2068" i="2"/>
  <c r="K2069" i="8" s="1"/>
  <c r="J2069" i="2"/>
  <c r="K2070" i="8" s="1"/>
  <c r="J2070" i="2"/>
  <c r="K2071" i="8" s="1"/>
  <c r="J2071" i="2"/>
  <c r="K2072" i="8" s="1"/>
  <c r="J2072" i="2"/>
  <c r="K2073" i="8" s="1"/>
  <c r="J2073" i="2"/>
  <c r="K2074" i="8" s="1"/>
  <c r="J2074" i="2"/>
  <c r="K2075" i="8" s="1"/>
  <c r="J2075" i="2"/>
  <c r="K2076" i="8" s="1"/>
  <c r="J2076" i="2"/>
  <c r="K2077" i="8" s="1"/>
  <c r="J2077" i="2"/>
  <c r="K2078" i="8" s="1"/>
  <c r="J2078" i="2"/>
  <c r="K2079" i="8" s="1"/>
  <c r="J2079" i="2"/>
  <c r="K2080" i="8" s="1"/>
  <c r="J2080" i="2"/>
  <c r="K2081" i="8" s="1"/>
  <c r="J2081" i="2"/>
  <c r="K2082" i="8" s="1"/>
  <c r="J2082" i="2"/>
  <c r="K2083" i="8" s="1"/>
  <c r="J2083" i="2"/>
  <c r="K2084" i="8" s="1"/>
  <c r="J2084" i="2"/>
  <c r="K2085" i="8" s="1"/>
  <c r="J2085" i="2"/>
  <c r="K10" i="8" s="1"/>
  <c r="J2086" i="2"/>
  <c r="K2086" i="8" s="1"/>
  <c r="J2087" i="2"/>
  <c r="K2087" i="8" s="1"/>
  <c r="J2088" i="2"/>
  <c r="K2088" i="8" s="1"/>
  <c r="J2089" i="2"/>
  <c r="K2089" i="8" s="1"/>
  <c r="J2090" i="2"/>
  <c r="J2091"/>
  <c r="K2091" i="8" s="1"/>
  <c r="J2092" i="2"/>
  <c r="K2092" i="8" s="1"/>
  <c r="J2093" i="2"/>
  <c r="K2093" i="8" s="1"/>
  <c r="J2094" i="2"/>
  <c r="K2094" i="8" s="1"/>
  <c r="J2095" i="2"/>
  <c r="K2095" i="8" s="1"/>
  <c r="J2096" i="2"/>
  <c r="K2096" i="8" s="1"/>
  <c r="J2097" i="2"/>
  <c r="K2097" i="8" s="1"/>
  <c r="J2098" i="2"/>
  <c r="K2098" i="8" s="1"/>
  <c r="J2099" i="2"/>
  <c r="K2099" i="8" s="1"/>
  <c r="J2100" i="2"/>
  <c r="K2100" i="8" s="1"/>
  <c r="J2101" i="2"/>
  <c r="K2101" i="8" s="1"/>
  <c r="J2102" i="2"/>
  <c r="N2102" s="1"/>
  <c r="J2103"/>
  <c r="K2103" i="8" s="1"/>
  <c r="J2104" i="2"/>
  <c r="K2104" i="8" s="1"/>
  <c r="J2105" i="2"/>
  <c r="K2105" i="8" s="1"/>
  <c r="J2106" i="2"/>
  <c r="K2106" i="8" s="1"/>
  <c r="J2107" i="2"/>
  <c r="K2107" i="8" s="1"/>
  <c r="J2108" i="2"/>
  <c r="K2108" i="8" s="1"/>
  <c r="J2109" i="2"/>
  <c r="K2109" i="8" s="1"/>
  <c r="J2110" i="2"/>
  <c r="K2110" i="8" s="1"/>
  <c r="J2111" i="2"/>
  <c r="K2111" i="8" s="1"/>
  <c r="J2112" i="2"/>
  <c r="K2112" i="8" s="1"/>
  <c r="J2113" i="2"/>
  <c r="K2113" i="8" s="1"/>
  <c r="J2114" i="2"/>
  <c r="K2114" i="8" s="1"/>
  <c r="J2115" i="2"/>
  <c r="M2115" s="1"/>
  <c r="J2116"/>
  <c r="K2116" i="8" s="1"/>
  <c r="J2117" i="2"/>
  <c r="K2117" i="8" s="1"/>
  <c r="J2118" i="2"/>
  <c r="K2118" i="8" s="1"/>
  <c r="J2119" i="2"/>
  <c r="K2119" i="8" s="1"/>
  <c r="J2120" i="2"/>
  <c r="K2120" i="8" s="1"/>
  <c r="J2121" i="2"/>
  <c r="K2121" i="8" s="1"/>
  <c r="J2122" i="2"/>
  <c r="K2122" i="8" s="1"/>
  <c r="J2123" i="2"/>
  <c r="K2123" i="8" s="1"/>
  <c r="J2124" i="2"/>
  <c r="K2124" i="8" s="1"/>
  <c r="J2125" i="2"/>
  <c r="K2125" i="8" s="1"/>
  <c r="J2126" i="2"/>
  <c r="K2126" i="8" s="1"/>
  <c r="J2127" i="2"/>
  <c r="K2127" i="8" s="1"/>
  <c r="J2128" i="2"/>
  <c r="K2128" i="8" s="1"/>
  <c r="J2129" i="2"/>
  <c r="K2129" i="8" s="1"/>
  <c r="J2130" i="2"/>
  <c r="K2130" i="8" s="1"/>
  <c r="J2131" i="2"/>
  <c r="K2131" i="8" s="1"/>
  <c r="J2132" i="2"/>
  <c r="K2132" i="8" s="1"/>
  <c r="J2133" i="2"/>
  <c r="K2133" i="8" s="1"/>
  <c r="J2134" i="2"/>
  <c r="K2134" i="8" s="1"/>
  <c r="J2135" i="2"/>
  <c r="K2135" i="8" s="1"/>
  <c r="J2136" i="2"/>
  <c r="K2136" i="8" s="1"/>
  <c r="J2137" i="2"/>
  <c r="K2137" i="8" s="1"/>
  <c r="J2138" i="2"/>
  <c r="K2138" i="8" s="1"/>
  <c r="J2139" i="2"/>
  <c r="K2139" i="8" s="1"/>
  <c r="J2140" i="2"/>
  <c r="K2140" i="8" s="1"/>
  <c r="J2141" i="2"/>
  <c r="K2141" i="8" s="1"/>
  <c r="J2142" i="2"/>
  <c r="K2142" i="8" s="1"/>
  <c r="J2143" i="2"/>
  <c r="K2143" i="8" s="1"/>
  <c r="J2144" i="2"/>
  <c r="K2144" i="8" s="1"/>
  <c r="J2145" i="2"/>
  <c r="K2145" i="8" s="1"/>
  <c r="J2146" i="2"/>
  <c r="K2146" i="8" s="1"/>
  <c r="J2147" i="2"/>
  <c r="K2147" i="8" s="1"/>
  <c r="J2148" i="2"/>
  <c r="K2148" i="8" s="1"/>
  <c r="J2149" i="2"/>
  <c r="K2149" i="8" s="1"/>
  <c r="J2150" i="2"/>
  <c r="K2150" i="8" s="1"/>
  <c r="J2151" i="2"/>
  <c r="K2151" i="8" s="1"/>
  <c r="J2152" i="2"/>
  <c r="K2152" i="8" s="1"/>
  <c r="J2153" i="2"/>
  <c r="K2153" i="8" s="1"/>
  <c r="J2154" i="2"/>
  <c r="K2154" i="8" s="1"/>
  <c r="J2155" i="2"/>
  <c r="K2155" i="8" s="1"/>
  <c r="J2156" i="2"/>
  <c r="K2156" i="8" s="1"/>
  <c r="J2157" i="2"/>
  <c r="K2157" i="8" s="1"/>
  <c r="J2158" i="2"/>
  <c r="K2158" i="8" s="1"/>
  <c r="J2159" i="2"/>
  <c r="K2159" i="8" s="1"/>
  <c r="J2160" i="2"/>
  <c r="K2160" i="8" s="1"/>
  <c r="J2161" i="2"/>
  <c r="K2161" i="8" s="1"/>
  <c r="J2162" i="2"/>
  <c r="K2162" i="8" s="1"/>
  <c r="J2163" i="2"/>
  <c r="K2163" i="8" s="1"/>
  <c r="J2164" i="2"/>
  <c r="K2164" i="8" s="1"/>
  <c r="J2165" i="2"/>
  <c r="K2165" i="8" s="1"/>
  <c r="J2166" i="2"/>
  <c r="K2166" i="8" s="1"/>
  <c r="J2167" i="2"/>
  <c r="K2167" i="8" s="1"/>
  <c r="J2168" i="2"/>
  <c r="K2168" i="8" s="1"/>
  <c r="L377" i="2"/>
  <c r="Y8" i="8" l="1"/>
  <c r="Z1977"/>
  <c r="Z1383"/>
  <c r="Y969"/>
  <c r="Z937"/>
  <c r="Z530"/>
  <c r="Z426"/>
  <c r="Z250"/>
  <c r="Z130"/>
  <c r="Z90"/>
  <c r="Z2082"/>
  <c r="Z1806"/>
  <c r="Z1639"/>
  <c r="Z1552"/>
  <c r="Z1488"/>
  <c r="Z1280"/>
  <c r="Z1105"/>
  <c r="Z974"/>
  <c r="Z696"/>
  <c r="Z464"/>
  <c r="Z2017"/>
  <c r="Z1829"/>
  <c r="Z1789"/>
  <c r="Z1662"/>
  <c r="Y1327"/>
  <c r="Z1272"/>
  <c r="Z698"/>
  <c r="Z594"/>
  <c r="Z1309"/>
  <c r="Z799"/>
  <c r="Z1892"/>
  <c r="Y1416"/>
  <c r="Z2144"/>
  <c r="Z2104"/>
  <c r="Z1891"/>
  <c r="Z1852"/>
  <c r="Z1575"/>
  <c r="Z1511"/>
  <c r="Y1120"/>
  <c r="Z1040"/>
  <c r="Z1373"/>
  <c r="Z1206"/>
  <c r="Z863"/>
  <c r="Z632"/>
  <c r="Z528"/>
  <c r="Y1742"/>
  <c r="Z1512"/>
  <c r="Z2168"/>
  <c r="Z2081"/>
  <c r="Z2041"/>
  <c r="Z1915"/>
  <c r="Z1765"/>
  <c r="Z1726"/>
  <c r="Z1638"/>
  <c r="Z1599"/>
  <c r="Z1535"/>
  <c r="Z1471"/>
  <c r="Z1208"/>
  <c r="Z1104"/>
  <c r="Z873"/>
  <c r="Z1142"/>
  <c r="Z288"/>
  <c r="Z2145"/>
  <c r="Z2058"/>
  <c r="Z2018"/>
  <c r="Z1931"/>
  <c r="Z1830"/>
  <c r="Z1766"/>
  <c r="Z1576"/>
  <c r="Z1344"/>
  <c r="Z834"/>
  <c r="Z2068"/>
  <c r="Y2068"/>
  <c r="Z2012"/>
  <c r="Y2012"/>
  <c r="Y1918"/>
  <c r="Z1918"/>
  <c r="Z1816"/>
  <c r="Y1816"/>
  <c r="Z1784"/>
  <c r="Y1784"/>
  <c r="Z1752"/>
  <c r="Y1752"/>
  <c r="Z1602"/>
  <c r="Y1602"/>
  <c r="Z2137"/>
  <c r="Y2137"/>
  <c r="Y1916"/>
  <c r="Z1916"/>
  <c r="Y1536"/>
  <c r="Z1536"/>
  <c r="Z1336"/>
  <c r="Y1336"/>
  <c r="Z2160"/>
  <c r="Z2136"/>
  <c r="Z2065"/>
  <c r="Z2025"/>
  <c r="Z1993"/>
  <c r="Z1961"/>
  <c r="Z1923"/>
  <c r="Z1883"/>
  <c r="Z1813"/>
  <c r="Z1773"/>
  <c r="Z1741"/>
  <c r="Z1694"/>
  <c r="Z1646"/>
  <c r="Z1615"/>
  <c r="Z1567"/>
  <c r="Z1503"/>
  <c r="Z1463"/>
  <c r="Z1335"/>
  <c r="Z1192"/>
  <c r="Y1136"/>
  <c r="Z1080"/>
  <c r="Y921"/>
  <c r="Z658"/>
  <c r="Z554"/>
  <c r="Z506"/>
  <c r="Z466"/>
  <c r="Z442"/>
  <c r="Z338"/>
  <c r="Z274"/>
  <c r="Z194"/>
  <c r="Z162"/>
  <c r="Z2158"/>
  <c r="Z2126"/>
  <c r="Z2094"/>
  <c r="Z2063"/>
  <c r="Z2031"/>
  <c r="Z1983"/>
  <c r="Z1951"/>
  <c r="Z1921"/>
  <c r="Z1889"/>
  <c r="Z1858"/>
  <c r="Z1827"/>
  <c r="Z1795"/>
  <c r="Z1771"/>
  <c r="Z1739"/>
  <c r="Z1700"/>
  <c r="Z1668"/>
  <c r="Z1636"/>
  <c r="Z1605"/>
  <c r="Z1573"/>
  <c r="Z1541"/>
  <c r="Z1525"/>
  <c r="Z1493"/>
  <c r="Z1461"/>
  <c r="Z1429"/>
  <c r="Z1397"/>
  <c r="Z1341"/>
  <c r="Z1277"/>
  <c r="Z1246"/>
  <c r="Z1214"/>
  <c r="Z1182"/>
  <c r="Z1150"/>
  <c r="Z1118"/>
  <c r="Z1086"/>
  <c r="Z1054"/>
  <c r="Z1022"/>
  <c r="Z990"/>
  <c r="Z951"/>
  <c r="Z911"/>
  <c r="Z879"/>
  <c r="Z847"/>
  <c r="Z815"/>
  <c r="Z783"/>
  <c r="Z751"/>
  <c r="Z720"/>
  <c r="Z688"/>
  <c r="Z656"/>
  <c r="Z616"/>
  <c r="Z584"/>
  <c r="Z552"/>
  <c r="Z520"/>
  <c r="Z480"/>
  <c r="Z448"/>
  <c r="Z416"/>
  <c r="Z384"/>
  <c r="Z344"/>
  <c r="Z312"/>
  <c r="Z264"/>
  <c r="Z232"/>
  <c r="Z216"/>
  <c r="Z2105"/>
  <c r="Z2050"/>
  <c r="Z1986"/>
  <c r="Z1946"/>
  <c r="Y1868"/>
  <c r="Z1838"/>
  <c r="Z1798"/>
  <c r="Z1758"/>
  <c r="Z1727"/>
  <c r="Z1671"/>
  <c r="Z1631"/>
  <c r="Z1600"/>
  <c r="Z1568"/>
  <c r="Z1496"/>
  <c r="Z1464"/>
  <c r="Z1408"/>
  <c r="Z1360"/>
  <c r="Z1233"/>
  <c r="Y1177"/>
  <c r="Z1129"/>
  <c r="Z1081"/>
  <c r="Z914"/>
  <c r="Z746"/>
  <c r="Z707"/>
  <c r="Z579"/>
  <c r="Z451"/>
  <c r="Y219"/>
  <c r="Z9"/>
  <c r="Y1838"/>
  <c r="Y1359"/>
  <c r="Z1359"/>
  <c r="Z2163"/>
  <c r="Y2163"/>
  <c r="Z2139"/>
  <c r="Y2139"/>
  <c r="Y2044"/>
  <c r="Z2044"/>
  <c r="Z2020"/>
  <c r="Y2020"/>
  <c r="Z1988"/>
  <c r="Y1988"/>
  <c r="Z1894"/>
  <c r="Y1894"/>
  <c r="Z1776"/>
  <c r="Y1776"/>
  <c r="Z2042"/>
  <c r="Y2042"/>
  <c r="Y1884"/>
  <c r="Z1884"/>
  <c r="Z2128"/>
  <c r="Z2096"/>
  <c r="Z2049"/>
  <c r="Z2009"/>
  <c r="Z1969"/>
  <c r="Z1938"/>
  <c r="Z1907"/>
  <c r="Z1859"/>
  <c r="Z1797"/>
  <c r="Z1757"/>
  <c r="Z1718"/>
  <c r="Z1678"/>
  <c r="Z1654"/>
  <c r="Z1607"/>
  <c r="Z1543"/>
  <c r="Z1479"/>
  <c r="Z1399"/>
  <c r="Z1295"/>
  <c r="Z1256"/>
  <c r="Y1176"/>
  <c r="Y1088"/>
  <c r="Y1032"/>
  <c r="Z1000"/>
  <c r="Z889"/>
  <c r="Z849"/>
  <c r="Z809"/>
  <c r="Z745"/>
  <c r="Z570"/>
  <c r="Y154"/>
  <c r="Z60"/>
  <c r="Z2150"/>
  <c r="Z2118"/>
  <c r="Z2086"/>
  <c r="Z2055"/>
  <c r="Z2023"/>
  <c r="Z1999"/>
  <c r="Z1967"/>
  <c r="Z1936"/>
  <c r="Z1905"/>
  <c r="Z1873"/>
  <c r="Z1842"/>
  <c r="Z1811"/>
  <c r="Z1779"/>
  <c r="Z1747"/>
  <c r="Z1716"/>
  <c r="Z1684"/>
  <c r="Z1652"/>
  <c r="Z1621"/>
  <c r="Z1597"/>
  <c r="Z1565"/>
  <c r="Z1533"/>
  <c r="Z1501"/>
  <c r="Z1469"/>
  <c r="Z1437"/>
  <c r="Z1405"/>
  <c r="Z1365"/>
  <c r="Z1333"/>
  <c r="Z1301"/>
  <c r="Z1262"/>
  <c r="Z1222"/>
  <c r="Z1190"/>
  <c r="Z1158"/>
  <c r="Z1126"/>
  <c r="Z1094"/>
  <c r="Z1062"/>
  <c r="Z1030"/>
  <c r="Z998"/>
  <c r="Z943"/>
  <c r="Z919"/>
  <c r="Z887"/>
  <c r="Z855"/>
  <c r="Z823"/>
  <c r="Z791"/>
  <c r="Z759"/>
  <c r="Z727"/>
  <c r="Z664"/>
  <c r="Z600"/>
  <c r="Z568"/>
  <c r="Z536"/>
  <c r="Z504"/>
  <c r="Z472"/>
  <c r="Z440"/>
  <c r="Z408"/>
  <c r="Z376"/>
  <c r="Z336"/>
  <c r="Z296"/>
  <c r="Z272"/>
  <c r="Z256"/>
  <c r="Z224"/>
  <c r="Z2129"/>
  <c r="Z2097"/>
  <c r="Z2066"/>
  <c r="Y1994"/>
  <c r="Z1962"/>
  <c r="Z1900"/>
  <c r="Z1853"/>
  <c r="Z1822"/>
  <c r="Z1782"/>
  <c r="Z1750"/>
  <c r="Z1719"/>
  <c r="Z1695"/>
  <c r="Z1663"/>
  <c r="Z1623"/>
  <c r="Z1592"/>
  <c r="Z1560"/>
  <c r="Z1528"/>
  <c r="Z1504"/>
  <c r="Y1392"/>
  <c r="Z1257"/>
  <c r="Z1217"/>
  <c r="Y1121"/>
  <c r="Z977"/>
  <c r="Y866"/>
  <c r="Y754"/>
  <c r="Y691"/>
  <c r="Z643"/>
  <c r="Z619"/>
  <c r="Z555"/>
  <c r="Z515"/>
  <c r="Z467"/>
  <c r="Z403"/>
  <c r="Z363"/>
  <c r="Z299"/>
  <c r="Y259"/>
  <c r="Z235"/>
  <c r="Z211"/>
  <c r="Z195"/>
  <c r="Z163"/>
  <c r="Z147"/>
  <c r="Y2119"/>
  <c r="Y1992"/>
  <c r="Y1960"/>
  <c r="Y1772"/>
  <c r="Y1510"/>
  <c r="Y1422"/>
  <c r="Z161"/>
  <c r="Z129"/>
  <c r="Z97"/>
  <c r="Z59"/>
  <c r="Y1962"/>
  <c r="Y1964"/>
  <c r="Y1673"/>
  <c r="Z1994"/>
  <c r="Z1742"/>
  <c r="Y2036"/>
  <c r="Y323"/>
  <c r="Y490"/>
  <c r="Z490"/>
  <c r="Z2147"/>
  <c r="Y2147"/>
  <c r="Z2115"/>
  <c r="Y2115"/>
  <c r="Z2060"/>
  <c r="Y2060"/>
  <c r="Z1933"/>
  <c r="Y1933"/>
  <c r="Z1886"/>
  <c r="Y1886"/>
  <c r="Z1862"/>
  <c r="Y1862"/>
  <c r="Z1840"/>
  <c r="Y1840"/>
  <c r="Z1713"/>
  <c r="Y1713"/>
  <c r="Z1649"/>
  <c r="Y1649"/>
  <c r="Z1633"/>
  <c r="Y1633"/>
  <c r="Z1610"/>
  <c r="Y1610"/>
  <c r="Z1514"/>
  <c r="Y1514"/>
  <c r="Z1450"/>
  <c r="Y1450"/>
  <c r="Z2089"/>
  <c r="Y2089"/>
  <c r="Z2010"/>
  <c r="Y2010"/>
  <c r="Y1456"/>
  <c r="Z1456"/>
  <c r="Y1384"/>
  <c r="Z1384"/>
  <c r="Z1296"/>
  <c r="Y1296"/>
  <c r="Z2152"/>
  <c r="Z2120"/>
  <c r="Z2088"/>
  <c r="Z2057"/>
  <c r="Z1985"/>
  <c r="Z1945"/>
  <c r="Z1875"/>
  <c r="Z1837"/>
  <c r="Z1805"/>
  <c r="Z1781"/>
  <c r="Z1733"/>
  <c r="Z1670"/>
  <c r="Z1630"/>
  <c r="Z1591"/>
  <c r="Z1559"/>
  <c r="Z1527"/>
  <c r="Z1495"/>
  <c r="Z1319"/>
  <c r="Y1264"/>
  <c r="Z1232"/>
  <c r="Z1168"/>
  <c r="Z1144"/>
  <c r="Z1064"/>
  <c r="Z1016"/>
  <c r="Z913"/>
  <c r="Z722"/>
  <c r="Z682"/>
  <c r="Z618"/>
  <c r="Y362"/>
  <c r="Z314"/>
  <c r="Z234"/>
  <c r="Z210"/>
  <c r="Z2142"/>
  <c r="Z2110"/>
  <c r="Z2079"/>
  <c r="Z2047"/>
  <c r="Z2015"/>
  <c r="Z1991"/>
  <c r="Z1959"/>
  <c r="Z1929"/>
  <c r="Z1897"/>
  <c r="Z1865"/>
  <c r="Z1835"/>
  <c r="Z1803"/>
  <c r="Z1763"/>
  <c r="Z7"/>
  <c r="Z1708"/>
  <c r="Z1676"/>
  <c r="Z1644"/>
  <c r="Z1613"/>
  <c r="Z1581"/>
  <c r="Z1549"/>
  <c r="Z1517"/>
  <c r="Z1485"/>
  <c r="Z1445"/>
  <c r="Z1413"/>
  <c r="Z1381"/>
  <c r="Z1349"/>
  <c r="Z1317"/>
  <c r="Z1285"/>
  <c r="Z1254"/>
  <c r="Z1230"/>
  <c r="Z1174"/>
  <c r="Z1110"/>
  <c r="Z1078"/>
  <c r="Z1046"/>
  <c r="Z1006"/>
  <c r="Z967"/>
  <c r="Z935"/>
  <c r="Z903"/>
  <c r="Z871"/>
  <c r="Z839"/>
  <c r="Z807"/>
  <c r="Z775"/>
  <c r="Z743"/>
  <c r="Z712"/>
  <c r="Z680"/>
  <c r="Z648"/>
  <c r="Z624"/>
  <c r="Z592"/>
  <c r="Z560"/>
  <c r="Z496"/>
  <c r="Z456"/>
  <c r="Z424"/>
  <c r="Z392"/>
  <c r="Z368"/>
  <c r="Z320"/>
  <c r="Z280"/>
  <c r="Z240"/>
  <c r="Z200"/>
  <c r="Z2161"/>
  <c r="Y2121"/>
  <c r="Z2026"/>
  <c r="Z1978"/>
  <c r="Z1924"/>
  <c r="Z1860"/>
  <c r="Y1806"/>
  <c r="Z1774"/>
  <c r="Z1734"/>
  <c r="Y1679"/>
  <c r="Z1647"/>
  <c r="Z1584"/>
  <c r="Y1512"/>
  <c r="Z1480"/>
  <c r="Z17"/>
  <c r="Z1209"/>
  <c r="Z1145"/>
  <c r="Z1065"/>
  <c r="Z1025"/>
  <c r="Z962"/>
  <c r="Z898"/>
  <c r="Z874"/>
  <c r="Z786"/>
  <c r="Z683"/>
  <c r="Y563"/>
  <c r="Y539"/>
  <c r="Z387"/>
  <c r="Z339"/>
  <c r="Y275"/>
  <c r="Y91"/>
  <c r="Y1866"/>
  <c r="Y1455"/>
  <c r="Z1455"/>
  <c r="Y1423"/>
  <c r="Z1423"/>
  <c r="Z378"/>
  <c r="Y378"/>
  <c r="Z5"/>
  <c r="Y5"/>
  <c r="Z2112"/>
  <c r="Z2073"/>
  <c r="Z2033"/>
  <c r="Z2001"/>
  <c r="Z1930"/>
  <c r="Z1899"/>
  <c r="Z1867"/>
  <c r="Z1844"/>
  <c r="Z1821"/>
  <c r="Z1749"/>
  <c r="Z1710"/>
  <c r="Z1686"/>
  <c r="Z1622"/>
  <c r="Z1583"/>
  <c r="Z1551"/>
  <c r="Z1519"/>
  <c r="Z1487"/>
  <c r="Y1208"/>
  <c r="Z1128"/>
  <c r="Z976"/>
  <c r="Z953"/>
  <c r="Z825"/>
  <c r="Z785"/>
  <c r="Z634"/>
  <c r="Y426"/>
  <c r="Z402"/>
  <c r="Z298"/>
  <c r="Y218"/>
  <c r="Z2166"/>
  <c r="Z2134"/>
  <c r="Z2102"/>
  <c r="Z2071"/>
  <c r="Z2039"/>
  <c r="Z2007"/>
  <c r="Z1975"/>
  <c r="Z1943"/>
  <c r="Z1913"/>
  <c r="Z1881"/>
  <c r="Z1850"/>
  <c r="Z1819"/>
  <c r="Z1787"/>
  <c r="Z1755"/>
  <c r="Z1724"/>
  <c r="Z1692"/>
  <c r="Z1660"/>
  <c r="Z1628"/>
  <c r="Z1589"/>
  <c r="Z1557"/>
  <c r="Z1509"/>
  <c r="Z1477"/>
  <c r="Z1453"/>
  <c r="Z1421"/>
  <c r="Z1389"/>
  <c r="Z1357"/>
  <c r="Z1325"/>
  <c r="Z1293"/>
  <c r="Z1270"/>
  <c r="Z1238"/>
  <c r="Z1198"/>
  <c r="Z1166"/>
  <c r="Z1134"/>
  <c r="Z1102"/>
  <c r="Z1070"/>
  <c r="Z1014"/>
  <c r="Z982"/>
  <c r="Z959"/>
  <c r="Z927"/>
  <c r="Z895"/>
  <c r="Z831"/>
  <c r="Z767"/>
  <c r="Z735"/>
  <c r="Z704"/>
  <c r="Z672"/>
  <c r="Z640"/>
  <c r="Z608"/>
  <c r="Z576"/>
  <c r="Z544"/>
  <c r="Z512"/>
  <c r="Z488"/>
  <c r="Z432"/>
  <c r="Z400"/>
  <c r="Z360"/>
  <c r="Z328"/>
  <c r="Z304"/>
  <c r="Z248"/>
  <c r="Z208"/>
  <c r="Z362"/>
  <c r="Z2153"/>
  <c r="Z2113"/>
  <c r="Z2074"/>
  <c r="Z2034"/>
  <c r="Z2002"/>
  <c r="Z1970"/>
  <c r="Z1939"/>
  <c r="Z1908"/>
  <c r="Z1876"/>
  <c r="Z1845"/>
  <c r="Z1814"/>
  <c r="Z1790"/>
  <c r="Z1711"/>
  <c r="Z1687"/>
  <c r="Z1655"/>
  <c r="Z1608"/>
  <c r="Z1544"/>
  <c r="Z1520"/>
  <c r="Z1472"/>
  <c r="Z1424"/>
  <c r="Z1400"/>
  <c r="Z1320"/>
  <c r="Y1265"/>
  <c r="Z1193"/>
  <c r="Z1153"/>
  <c r="Z1089"/>
  <c r="Z1041"/>
  <c r="Y922"/>
  <c r="Z850"/>
  <c r="Z810"/>
  <c r="Z723"/>
  <c r="Y611"/>
  <c r="Z531"/>
  <c r="Y427"/>
  <c r="Y53"/>
  <c r="Z1679"/>
  <c r="Y2091"/>
  <c r="Y1480"/>
  <c r="Y1089"/>
  <c r="Y571"/>
  <c r="Z571"/>
  <c r="Y2151"/>
  <c r="Z2151"/>
  <c r="Y2135"/>
  <c r="Z2135"/>
  <c r="Y2127"/>
  <c r="Z2127"/>
  <c r="Y2111"/>
  <c r="Z2111"/>
  <c r="Y2095"/>
  <c r="Z2095"/>
  <c r="Y2080"/>
  <c r="Z2080"/>
  <c r="Y2056"/>
  <c r="Z2056"/>
  <c r="Y2024"/>
  <c r="Z2024"/>
  <c r="Y2008"/>
  <c r="Z2008"/>
  <c r="Y2000"/>
  <c r="Z2000"/>
  <c r="Y1984"/>
  <c r="Z1984"/>
  <c r="Y1968"/>
  <c r="Z1968"/>
  <c r="Y1952"/>
  <c r="Z1952"/>
  <c r="Y1937"/>
  <c r="Z1937"/>
  <c r="Y1890"/>
  <c r="Z1890"/>
  <c r="Y1874"/>
  <c r="Z1874"/>
  <c r="Y1851"/>
  <c r="Z1851"/>
  <c r="Y1828"/>
  <c r="Z1828"/>
  <c r="Y1788"/>
  <c r="Z1788"/>
  <c r="Y1756"/>
  <c r="Z1756"/>
  <c r="Y1732"/>
  <c r="Z1732"/>
  <c r="Y1653"/>
  <c r="Z1653"/>
  <c r="Y1629"/>
  <c r="Z1629"/>
  <c r="Y1606"/>
  <c r="Z1606"/>
  <c r="Y1582"/>
  <c r="Z1582"/>
  <c r="Y1526"/>
  <c r="Z1526"/>
  <c r="Y1502"/>
  <c r="Z1502"/>
  <c r="Z1438"/>
  <c r="Y1438"/>
  <c r="Z1414"/>
  <c r="Y1414"/>
  <c r="Y1390"/>
  <c r="Z1390"/>
  <c r="Z1366"/>
  <c r="Y1366"/>
  <c r="Z1017"/>
  <c r="Z954"/>
  <c r="Z890"/>
  <c r="Z826"/>
  <c r="Z635"/>
  <c r="Z507"/>
  <c r="Z443"/>
  <c r="Z379"/>
  <c r="Y171"/>
  <c r="Z131"/>
  <c r="Z115"/>
  <c r="Z2167"/>
  <c r="Z2040"/>
  <c r="Z1914"/>
  <c r="Z1804"/>
  <c r="Z1709"/>
  <c r="Z1677"/>
  <c r="Z1550"/>
  <c r="Z1478"/>
  <c r="Z1454"/>
  <c r="Z1326"/>
  <c r="Z1302"/>
  <c r="Z1263"/>
  <c r="Z1175"/>
  <c r="Z776"/>
  <c r="Z744"/>
  <c r="Z713"/>
  <c r="Z681"/>
  <c r="Z649"/>
  <c r="Z617"/>
  <c r="Z585"/>
  <c r="Z553"/>
  <c r="Z521"/>
  <c r="Z489"/>
  <c r="Z457"/>
  <c r="Z425"/>
  <c r="Z393"/>
  <c r="Z361"/>
  <c r="Z329"/>
  <c r="Z297"/>
  <c r="Z265"/>
  <c r="Z233"/>
  <c r="Z201"/>
  <c r="Z177"/>
  <c r="Z121"/>
  <c r="Z75"/>
  <c r="Y2162"/>
  <c r="Y2130"/>
  <c r="Y2098"/>
  <c r="Y2067"/>
  <c r="Y2035"/>
  <c r="Y2011"/>
  <c r="Y1979"/>
  <c r="Y1947"/>
  <c r="Y1917"/>
  <c r="Y1885"/>
  <c r="Y1854"/>
  <c r="Y1823"/>
  <c r="Y1791"/>
  <c r="Y1759"/>
  <c r="Y1728"/>
  <c r="Y1696"/>
  <c r="Y1680"/>
  <c r="Y1648"/>
  <c r="Y1617"/>
  <c r="Y1585"/>
  <c r="Y1545"/>
  <c r="Y1513"/>
  <c r="Y1473"/>
  <c r="Y1441"/>
  <c r="Y1409"/>
  <c r="Y1377"/>
  <c r="Y1345"/>
  <c r="Y1313"/>
  <c r="Y1281"/>
  <c r="Y1250"/>
  <c r="Y1218"/>
  <c r="Y1186"/>
  <c r="Y1154"/>
  <c r="Y1122"/>
  <c r="Y1090"/>
  <c r="Y1058"/>
  <c r="Y1034"/>
  <c r="Y1002"/>
  <c r="Y971"/>
  <c r="Y939"/>
  <c r="Y907"/>
  <c r="Y883"/>
  <c r="Y851"/>
  <c r="Y819"/>
  <c r="Y787"/>
  <c r="Y755"/>
  <c r="Y676"/>
  <c r="Y612"/>
  <c r="Y500"/>
  <c r="Y436"/>
  <c r="Y372"/>
  <c r="Y308"/>
  <c r="Y244"/>
  <c r="Z172"/>
  <c r="Z140"/>
  <c r="Z108"/>
  <c r="Z77"/>
  <c r="Y2168"/>
  <c r="Y2136"/>
  <c r="Y2104"/>
  <c r="Y2073"/>
  <c r="Y2049"/>
  <c r="Y2025"/>
  <c r="Y1993"/>
  <c r="Y1961"/>
  <c r="Y1930"/>
  <c r="Y1899"/>
  <c r="Y1867"/>
  <c r="Y1837"/>
  <c r="Y1805"/>
  <c r="Y1773"/>
  <c r="Y1741"/>
  <c r="Y1710"/>
  <c r="Y1678"/>
  <c r="Y1638"/>
  <c r="Y1607"/>
  <c r="Y1575"/>
  <c r="Y1527"/>
  <c r="Y1479"/>
  <c r="Y1431"/>
  <c r="Y1383"/>
  <c r="Y1335"/>
  <c r="Y1287"/>
  <c r="Y1024"/>
  <c r="Y961"/>
  <c r="Y913"/>
  <c r="Y881"/>
  <c r="Y817"/>
  <c r="Y761"/>
  <c r="Y729"/>
  <c r="Y698"/>
  <c r="Y658"/>
  <c r="Y626"/>
  <c r="Y594"/>
  <c r="Y562"/>
  <c r="Y530"/>
  <c r="Y506"/>
  <c r="Y466"/>
  <c r="Y402"/>
  <c r="Y338"/>
  <c r="Y306"/>
  <c r="Y274"/>
  <c r="Y210"/>
  <c r="Y162"/>
  <c r="Y114"/>
  <c r="Y68"/>
  <c r="Z2140"/>
  <c r="Z2108"/>
  <c r="Z2077"/>
  <c r="Z2045"/>
  <c r="Z2013"/>
  <c r="Z1989"/>
  <c r="Z1957"/>
  <c r="Z1927"/>
  <c r="Z1895"/>
  <c r="Z1871"/>
  <c r="Z1848"/>
  <c r="Z1817"/>
  <c r="Z1793"/>
  <c r="Z1769"/>
  <c r="Z1745"/>
  <c r="Z1722"/>
  <c r="Z1698"/>
  <c r="Z1666"/>
  <c r="Z1642"/>
  <c r="Z1619"/>
  <c r="Z1595"/>
  <c r="Z1563"/>
  <c r="Z1539"/>
  <c r="Z1515"/>
  <c r="Z1491"/>
  <c r="Z1467"/>
  <c r="Z1443"/>
  <c r="Z1419"/>
  <c r="Z1395"/>
  <c r="Z1371"/>
  <c r="Z1347"/>
  <c r="Z1323"/>
  <c r="Z1307"/>
  <c r="Z1283"/>
  <c r="Z1260"/>
  <c r="Z1236"/>
  <c r="Z1212"/>
  <c r="Z1188"/>
  <c r="Z1164"/>
  <c r="Z1140"/>
  <c r="Z1116"/>
  <c r="Z1092"/>
  <c r="Z1076"/>
  <c r="Z1052"/>
  <c r="Z1028"/>
  <c r="Z1004"/>
  <c r="Z980"/>
  <c r="Z957"/>
  <c r="Z933"/>
  <c r="Z909"/>
  <c r="Z885"/>
  <c r="Z861"/>
  <c r="Z837"/>
  <c r="Z813"/>
  <c r="Z781"/>
  <c r="Z757"/>
  <c r="Z733"/>
  <c r="Z710"/>
  <c r="Z678"/>
  <c r="Z654"/>
  <c r="Z630"/>
  <c r="Z606"/>
  <c r="Z582"/>
  <c r="Z558"/>
  <c r="Z534"/>
  <c r="Z510"/>
  <c r="Z486"/>
  <c r="Z462"/>
  <c r="Z438"/>
  <c r="Z414"/>
  <c r="Z390"/>
  <c r="Z358"/>
  <c r="Z334"/>
  <c r="Z310"/>
  <c r="Z286"/>
  <c r="Z262"/>
  <c r="Z238"/>
  <c r="Z214"/>
  <c r="Z190"/>
  <c r="Z158"/>
  <c r="Z118"/>
  <c r="Z48"/>
  <c r="Z1441"/>
  <c r="Z1417"/>
  <c r="Z1377"/>
  <c r="Z1337"/>
  <c r="Z1297"/>
  <c r="Z1250"/>
  <c r="Z1226"/>
  <c r="Z1170"/>
  <c r="Z1122"/>
  <c r="Z1098"/>
  <c r="Z1074"/>
  <c r="Z1018"/>
  <c r="Z994"/>
  <c r="Z931"/>
  <c r="Z907"/>
  <c r="Z883"/>
  <c r="Z819"/>
  <c r="Z787"/>
  <c r="Z755"/>
  <c r="Z724"/>
  <c r="Z676"/>
  <c r="Z652"/>
  <c r="Z588"/>
  <c r="Z564"/>
  <c r="Z508"/>
  <c r="Z468"/>
  <c r="Z436"/>
  <c r="Z420"/>
  <c r="Z356"/>
  <c r="Z332"/>
  <c r="Z308"/>
  <c r="Z252"/>
  <c r="Z204"/>
  <c r="Y1567"/>
  <c r="Y1439"/>
  <c r="Y1343"/>
  <c r="Z1303"/>
  <c r="Z1279"/>
  <c r="Y1200"/>
  <c r="Z1176"/>
  <c r="Z1136"/>
  <c r="Y1096"/>
  <c r="Z1032"/>
  <c r="Y1000"/>
  <c r="Z961"/>
  <c r="Z921"/>
  <c r="Y889"/>
  <c r="Z865"/>
  <c r="Z817"/>
  <c r="Z777"/>
  <c r="Z753"/>
  <c r="Z690"/>
  <c r="Z666"/>
  <c r="Z642"/>
  <c r="Z586"/>
  <c r="Z538"/>
  <c r="Z514"/>
  <c r="Z450"/>
  <c r="Z418"/>
  <c r="Z386"/>
  <c r="Z346"/>
  <c r="Y298"/>
  <c r="Z258"/>
  <c r="Y90"/>
  <c r="Z2109"/>
  <c r="Z2070"/>
  <c r="Y1950"/>
  <c r="Z1888"/>
  <c r="Y1826"/>
  <c r="Z1802"/>
  <c r="Y1659"/>
  <c r="Z1612"/>
  <c r="Y1564"/>
  <c r="Z1516"/>
  <c r="Z1500"/>
  <c r="Z1460"/>
  <c r="Y1021"/>
  <c r="Y894"/>
  <c r="Y183"/>
  <c r="Z49"/>
  <c r="Y2099"/>
  <c r="Y2028"/>
  <c r="Y1972"/>
  <c r="Y1926"/>
  <c r="Y1847"/>
  <c r="Y1800"/>
  <c r="Y1721"/>
  <c r="Y1689"/>
  <c r="Y1554"/>
  <c r="Y1410"/>
  <c r="Y1322"/>
  <c r="Z1290"/>
  <c r="Z1187"/>
  <c r="Z1147"/>
  <c r="Z1059"/>
  <c r="Z1019"/>
  <c r="Z979"/>
  <c r="Z908"/>
  <c r="Z868"/>
  <c r="Z844"/>
  <c r="Z725"/>
  <c r="Z677"/>
  <c r="Z597"/>
  <c r="Z573"/>
  <c r="Z485"/>
  <c r="Z421"/>
  <c r="Z341"/>
  <c r="Z277"/>
  <c r="Z253"/>
  <c r="Z141"/>
  <c r="Z71"/>
  <c r="Y2074"/>
  <c r="Y1946"/>
  <c r="Y1758"/>
  <c r="Y1528"/>
  <c r="Y1400"/>
  <c r="Y1201"/>
  <c r="Y1153"/>
  <c r="Y1065"/>
  <c r="Z985"/>
  <c r="Z946"/>
  <c r="Z922"/>
  <c r="Z866"/>
  <c r="Y826"/>
  <c r="Y730"/>
  <c r="Y667"/>
  <c r="Z627"/>
  <c r="Z539"/>
  <c r="Y459"/>
  <c r="Z307"/>
  <c r="Z243"/>
  <c r="Y195"/>
  <c r="Y147"/>
  <c r="Z107"/>
  <c r="Y1550"/>
  <c r="Y1478"/>
  <c r="Y1302"/>
  <c r="Y810"/>
  <c r="Y2072"/>
  <c r="Z2072"/>
  <c r="Y993"/>
  <c r="Z762"/>
  <c r="Y387"/>
  <c r="Z1119"/>
  <c r="Z1095"/>
  <c r="Z1071"/>
  <c r="Z1047"/>
  <c r="Z1023"/>
  <c r="Z999"/>
  <c r="Z975"/>
  <c r="Z952"/>
  <c r="Z928"/>
  <c r="Z904"/>
  <c r="Z880"/>
  <c r="Z864"/>
  <c r="Z848"/>
  <c r="Z824"/>
  <c r="Z800"/>
  <c r="Z768"/>
  <c r="Z736"/>
  <c r="Z697"/>
  <c r="Z665"/>
  <c r="Z625"/>
  <c r="Z593"/>
  <c r="Z561"/>
  <c r="Z529"/>
  <c r="Z497"/>
  <c r="Z465"/>
  <c r="Z433"/>
  <c r="Z401"/>
  <c r="Z369"/>
  <c r="Z337"/>
  <c r="Z305"/>
  <c r="Z273"/>
  <c r="Z241"/>
  <c r="Z217"/>
  <c r="Z185"/>
  <c r="Z145"/>
  <c r="Z113"/>
  <c r="Z15"/>
  <c r="Y2146"/>
  <c r="Y2106"/>
  <c r="Y2083"/>
  <c r="Y2051"/>
  <c r="Y2019"/>
  <c r="Y1987"/>
  <c r="Y1955"/>
  <c r="Y1925"/>
  <c r="Y1893"/>
  <c r="Y1861"/>
  <c r="Y1831"/>
  <c r="Y1807"/>
  <c r="Y1775"/>
  <c r="Y1743"/>
  <c r="Y1712"/>
  <c r="Y1672"/>
  <c r="Y1640"/>
  <c r="Y1609"/>
  <c r="Y1577"/>
  <c r="Y1553"/>
  <c r="Y1521"/>
  <c r="Y1489"/>
  <c r="Y1457"/>
  <c r="Y1425"/>
  <c r="Y1393"/>
  <c r="Y1361"/>
  <c r="Y1329"/>
  <c r="Y1297"/>
  <c r="Y1266"/>
  <c r="Y1234"/>
  <c r="Y1202"/>
  <c r="Y1170"/>
  <c r="Y1138"/>
  <c r="Y1106"/>
  <c r="Y1074"/>
  <c r="Y1042"/>
  <c r="Y1018"/>
  <c r="Y986"/>
  <c r="Y955"/>
  <c r="Y923"/>
  <c r="Y891"/>
  <c r="Y859"/>
  <c r="Y827"/>
  <c r="Y795"/>
  <c r="Y763"/>
  <c r="Y724"/>
  <c r="Y628"/>
  <c r="Y564"/>
  <c r="Y532"/>
  <c r="Y468"/>
  <c r="Y404"/>
  <c r="Y340"/>
  <c r="Y292"/>
  <c r="Y260"/>
  <c r="Z188"/>
  <c r="Z132"/>
  <c r="Z100"/>
  <c r="Z70"/>
  <c r="Y2160"/>
  <c r="Y2128"/>
  <c r="Y2096"/>
  <c r="Y2065"/>
  <c r="Y2033"/>
  <c r="Y2001"/>
  <c r="Y1969"/>
  <c r="Y1938"/>
  <c r="Y1915"/>
  <c r="Y1883"/>
  <c r="Y1852"/>
  <c r="Y1821"/>
  <c r="Y1797"/>
  <c r="Y1765"/>
  <c r="Y1733"/>
  <c r="Y1702"/>
  <c r="Y1670"/>
  <c r="Y1646"/>
  <c r="Y1615"/>
  <c r="Y1583"/>
  <c r="Y1319"/>
  <c r="Y1008"/>
  <c r="Y976"/>
  <c r="Y849"/>
  <c r="Y785"/>
  <c r="Y753"/>
  <c r="Y722"/>
  <c r="Y690"/>
  <c r="Y666"/>
  <c r="Y634"/>
  <c r="Y610"/>
  <c r="Y578"/>
  <c r="Y546"/>
  <c r="Y514"/>
  <c r="Y434"/>
  <c r="Y370"/>
  <c r="Y322"/>
  <c r="Y242"/>
  <c r="Y194"/>
  <c r="Y146"/>
  <c r="Y98"/>
  <c r="Y52"/>
  <c r="Z2148"/>
  <c r="Z2116"/>
  <c r="Z2085"/>
  <c r="Z2053"/>
  <c r="Z2021"/>
  <c r="Z1981"/>
  <c r="Z1949"/>
  <c r="Z1919"/>
  <c r="Z1887"/>
  <c r="Z1863"/>
  <c r="Z1841"/>
  <c r="Z1809"/>
  <c r="Z1785"/>
  <c r="Z1761"/>
  <c r="Z1737"/>
  <c r="Z1714"/>
  <c r="Z1690"/>
  <c r="Z1674"/>
  <c r="Z1650"/>
  <c r="Z1626"/>
  <c r="Z1603"/>
  <c r="Z1571"/>
  <c r="Z1547"/>
  <c r="Z1523"/>
  <c r="Z1499"/>
  <c r="Z1475"/>
  <c r="Z1451"/>
  <c r="Z1427"/>
  <c r="Z1403"/>
  <c r="Z1379"/>
  <c r="Z1355"/>
  <c r="Z1331"/>
  <c r="Z1299"/>
  <c r="Z1275"/>
  <c r="Z1252"/>
  <c r="Z1228"/>
  <c r="Z1204"/>
  <c r="Z1180"/>
  <c r="Z1156"/>
  <c r="Z1132"/>
  <c r="Z1108"/>
  <c r="Z1084"/>
  <c r="Z1060"/>
  <c r="Z1036"/>
  <c r="Z1012"/>
  <c r="Z988"/>
  <c r="Z965"/>
  <c r="Z941"/>
  <c r="Z917"/>
  <c r="Z893"/>
  <c r="Z869"/>
  <c r="Z845"/>
  <c r="Z821"/>
  <c r="Z797"/>
  <c r="Z773"/>
  <c r="Z749"/>
  <c r="Z726"/>
  <c r="Z702"/>
  <c r="Z686"/>
  <c r="Z662"/>
  <c r="Z638"/>
  <c r="Z614"/>
  <c r="Z590"/>
  <c r="Z566"/>
  <c r="Z542"/>
  <c r="Z518"/>
  <c r="Z494"/>
  <c r="Z470"/>
  <c r="Z446"/>
  <c r="Z422"/>
  <c r="Z398"/>
  <c r="Z374"/>
  <c r="Z350"/>
  <c r="Z326"/>
  <c r="Z302"/>
  <c r="Z278"/>
  <c r="Z254"/>
  <c r="Z230"/>
  <c r="Z206"/>
  <c r="Z166"/>
  <c r="Z134"/>
  <c r="Z86"/>
  <c r="Z1393"/>
  <c r="Z1361"/>
  <c r="Z1329"/>
  <c r="Z1289"/>
  <c r="Z1266"/>
  <c r="Z1234"/>
  <c r="Z1210"/>
  <c r="Z1186"/>
  <c r="Z1146"/>
  <c r="Z1106"/>
  <c r="Z1058"/>
  <c r="Z1034"/>
  <c r="Z971"/>
  <c r="Z947"/>
  <c r="Z891"/>
  <c r="Z851"/>
  <c r="Z827"/>
  <c r="Z763"/>
  <c r="Z739"/>
  <c r="Z700"/>
  <c r="Z660"/>
  <c r="Z628"/>
  <c r="Z596"/>
  <c r="Z572"/>
  <c r="Z532"/>
  <c r="Z484"/>
  <c r="Z460"/>
  <c r="Z396"/>
  <c r="Z380"/>
  <c r="Z316"/>
  <c r="Z276"/>
  <c r="Z244"/>
  <c r="Z212"/>
  <c r="Y1535"/>
  <c r="Y1471"/>
  <c r="Z1415"/>
  <c r="Z1375"/>
  <c r="Z1351"/>
  <c r="Z1327"/>
  <c r="Z1264"/>
  <c r="Z1240"/>
  <c r="Z1216"/>
  <c r="Y1152"/>
  <c r="Z1120"/>
  <c r="Z1088"/>
  <c r="Z1048"/>
  <c r="Z1024"/>
  <c r="Z992"/>
  <c r="Y953"/>
  <c r="Z929"/>
  <c r="Z881"/>
  <c r="Y825"/>
  <c r="Y793"/>
  <c r="Z729"/>
  <c r="Z706"/>
  <c r="Z674"/>
  <c r="Z626"/>
  <c r="Z602"/>
  <c r="Z578"/>
  <c r="Z522"/>
  <c r="Z498"/>
  <c r="Z482"/>
  <c r="Y410"/>
  <c r="Z354"/>
  <c r="Z322"/>
  <c r="Z290"/>
  <c r="Y250"/>
  <c r="Z242"/>
  <c r="Z226"/>
  <c r="Z218"/>
  <c r="Z154"/>
  <c r="Z68"/>
  <c r="Y1025"/>
  <c r="Y2125"/>
  <c r="Z2046"/>
  <c r="Y1998"/>
  <c r="Z1982"/>
  <c r="Z1942"/>
  <c r="Z1880"/>
  <c r="Z8"/>
  <c r="Z1794"/>
  <c r="Z1762"/>
  <c r="Z1715"/>
  <c r="Z1691"/>
  <c r="Z1635"/>
  <c r="Z1596"/>
  <c r="Z1572"/>
  <c r="Z1492"/>
  <c r="Y1324"/>
  <c r="Y966"/>
  <c r="Y854"/>
  <c r="Y295"/>
  <c r="Z119"/>
  <c r="Z57"/>
  <c r="Y2123"/>
  <c r="Y2076"/>
  <c r="Y2004"/>
  <c r="Y1948"/>
  <c r="Y1878"/>
  <c r="Y1824"/>
  <c r="Y1729"/>
  <c r="Y1657"/>
  <c r="Y1594"/>
  <c r="Y1530"/>
  <c r="Y1506"/>
  <c r="Z1378"/>
  <c r="Y1282"/>
  <c r="Z1227"/>
  <c r="Z1171"/>
  <c r="Z1099"/>
  <c r="Z1043"/>
  <c r="Z972"/>
  <c r="Z852"/>
  <c r="Z788"/>
  <c r="Z740"/>
  <c r="Z661"/>
  <c r="Z613"/>
  <c r="Z549"/>
  <c r="Z509"/>
  <c r="Z469"/>
  <c r="Z357"/>
  <c r="Z293"/>
  <c r="Z229"/>
  <c r="Z173"/>
  <c r="Z133"/>
  <c r="Y2058"/>
  <c r="Y1931"/>
  <c r="Y1853"/>
  <c r="Y1695"/>
  <c r="Y1552"/>
  <c r="Z1416"/>
  <c r="Y1344"/>
  <c r="Z1304"/>
  <c r="Z1241"/>
  <c r="Y1193"/>
  <c r="Y1113"/>
  <c r="Z993"/>
  <c r="Y898"/>
  <c r="Y842"/>
  <c r="Y794"/>
  <c r="Z738"/>
  <c r="Y659"/>
  <c r="Z611"/>
  <c r="Y515"/>
  <c r="Z475"/>
  <c r="Z411"/>
  <c r="Y355"/>
  <c r="Y179"/>
  <c r="Y9"/>
  <c r="Y874"/>
  <c r="Y16"/>
  <c r="Z16"/>
  <c r="Y1906"/>
  <c r="Z1906"/>
  <c r="Y1882"/>
  <c r="Z1882"/>
  <c r="Y12"/>
  <c r="Z12"/>
  <c r="Y1843"/>
  <c r="Z1843"/>
  <c r="Y1812"/>
  <c r="Z1812"/>
  <c r="Y1717"/>
  <c r="Z1717"/>
  <c r="Y1693"/>
  <c r="Z1693"/>
  <c r="Y1669"/>
  <c r="Z1669"/>
  <c r="Y11"/>
  <c r="Z11"/>
  <c r="Y1598"/>
  <c r="Z1598"/>
  <c r="Y1574"/>
  <c r="Z1574"/>
  <c r="Y1558"/>
  <c r="Z1558"/>
  <c r="Y1534"/>
  <c r="Z1534"/>
  <c r="Y1518"/>
  <c r="Z1518"/>
  <c r="Y1462"/>
  <c r="Z1462"/>
  <c r="Z1398"/>
  <c r="Y1398"/>
  <c r="Y1374"/>
  <c r="Z1374"/>
  <c r="Y1350"/>
  <c r="Z1350"/>
  <c r="Y1334"/>
  <c r="Z1334"/>
  <c r="Z1310"/>
  <c r="Y1310"/>
  <c r="Z1286"/>
  <c r="Y1286"/>
  <c r="Z1772"/>
  <c r="Z1740"/>
  <c r="Z1645"/>
  <c r="Z1486"/>
  <c r="Z1422"/>
  <c r="Z1271"/>
  <c r="Z1247"/>
  <c r="Z1231"/>
  <c r="Z1215"/>
  <c r="Z1199"/>
  <c r="Z1183"/>
  <c r="Z1159"/>
  <c r="Z1143"/>
  <c r="Z1127"/>
  <c r="Z1103"/>
  <c r="Z1079"/>
  <c r="Z1055"/>
  <c r="Z1031"/>
  <c r="Z1007"/>
  <c r="Z983"/>
  <c r="Z960"/>
  <c r="Z944"/>
  <c r="Z920"/>
  <c r="Z896"/>
  <c r="Z872"/>
  <c r="Z840"/>
  <c r="Z816"/>
  <c r="Z792"/>
  <c r="Z760"/>
  <c r="Z728"/>
  <c r="Z705"/>
  <c r="Z673"/>
  <c r="Z641"/>
  <c r="Z601"/>
  <c r="Z569"/>
  <c r="Z537"/>
  <c r="Z505"/>
  <c r="Z473"/>
  <c r="Z441"/>
  <c r="Z409"/>
  <c r="Z377"/>
  <c r="Z345"/>
  <c r="Z313"/>
  <c r="Z289"/>
  <c r="Z257"/>
  <c r="Z225"/>
  <c r="Z193"/>
  <c r="Z153"/>
  <c r="Z89"/>
  <c r="Z67"/>
  <c r="Y2138"/>
  <c r="Y2114"/>
  <c r="Y2090"/>
  <c r="Y2059"/>
  <c r="Y2027"/>
  <c r="Y1995"/>
  <c r="Y1963"/>
  <c r="Y1932"/>
  <c r="Y1901"/>
  <c r="Y1869"/>
  <c r="Y1839"/>
  <c r="Y1799"/>
  <c r="Y1767"/>
  <c r="Y1735"/>
  <c r="Y1704"/>
  <c r="Y1664"/>
  <c r="Y1632"/>
  <c r="Y1601"/>
  <c r="Y1561"/>
  <c r="Y1529"/>
  <c r="Y1497"/>
  <c r="Y1465"/>
  <c r="Y1433"/>
  <c r="Y1401"/>
  <c r="Y1369"/>
  <c r="Y1337"/>
  <c r="Y1305"/>
  <c r="Y1273"/>
  <c r="Y1242"/>
  <c r="Y1210"/>
  <c r="Y1178"/>
  <c r="Y1146"/>
  <c r="Y1114"/>
  <c r="Y1082"/>
  <c r="Y1050"/>
  <c r="Y1010"/>
  <c r="Y978"/>
  <c r="Y947"/>
  <c r="Y915"/>
  <c r="Y875"/>
  <c r="Y843"/>
  <c r="Y811"/>
  <c r="Y779"/>
  <c r="Y747"/>
  <c r="Y708"/>
  <c r="Y644"/>
  <c r="Y596"/>
  <c r="Y548"/>
  <c r="Y484"/>
  <c r="Y420"/>
  <c r="Y324"/>
  <c r="Y276"/>
  <c r="Y212"/>
  <c r="Z124"/>
  <c r="Y84"/>
  <c r="Z62"/>
  <c r="Y2152"/>
  <c r="Y2120"/>
  <c r="Y2088"/>
  <c r="Y2057"/>
  <c r="Y2017"/>
  <c r="Y1985"/>
  <c r="Y1953"/>
  <c r="Y1923"/>
  <c r="Y1891"/>
  <c r="Y1859"/>
  <c r="Y1829"/>
  <c r="Y1789"/>
  <c r="Y1757"/>
  <c r="Y1726"/>
  <c r="Y1694"/>
  <c r="Y1662"/>
  <c r="Y1630"/>
  <c r="Y1599"/>
  <c r="Y1559"/>
  <c r="Y1511"/>
  <c r="Y1463"/>
  <c r="Y1415"/>
  <c r="Y1351"/>
  <c r="Y1303"/>
  <c r="Y1040"/>
  <c r="Y945"/>
  <c r="Y897"/>
  <c r="Y833"/>
  <c r="Y777"/>
  <c r="Y745"/>
  <c r="Y706"/>
  <c r="Y674"/>
  <c r="Y642"/>
  <c r="Y602"/>
  <c r="Y570"/>
  <c r="Y538"/>
  <c r="Y498"/>
  <c r="Y450"/>
  <c r="Y386"/>
  <c r="Y258"/>
  <c r="Z2164"/>
  <c r="Z2132"/>
  <c r="Z2100"/>
  <c r="Z2069"/>
  <c r="Z2037"/>
  <c r="Z2005"/>
  <c r="Z1973"/>
  <c r="Z1941"/>
  <c r="Z1903"/>
  <c r="Z1825"/>
  <c r="Z1579"/>
  <c r="Z646"/>
  <c r="Z2141"/>
  <c r="Y2078"/>
  <c r="Z2030"/>
  <c r="Z2006"/>
  <c r="Z1966"/>
  <c r="Z1935"/>
  <c r="Z1904"/>
  <c r="Z1857"/>
  <c r="Z1786"/>
  <c r="Y1723"/>
  <c r="Z1675"/>
  <c r="Z1651"/>
  <c r="Z1604"/>
  <c r="Z1524"/>
  <c r="Y1205"/>
  <c r="Y1069"/>
  <c r="Y790"/>
  <c r="Y463"/>
  <c r="Y73"/>
  <c r="Y2155"/>
  <c r="Y2107"/>
  <c r="Y2052"/>
  <c r="Y1980"/>
  <c r="Y1902"/>
  <c r="Y1855"/>
  <c r="Y1792"/>
  <c r="Y1736"/>
  <c r="Y1665"/>
  <c r="Y1586"/>
  <c r="Y1458"/>
  <c r="Y1402"/>
  <c r="Z1314"/>
  <c r="Z1274"/>
  <c r="Z1235"/>
  <c r="Z1123"/>
  <c r="Z1083"/>
  <c r="Z995"/>
  <c r="Z956"/>
  <c r="Z916"/>
  <c r="Z828"/>
  <c r="Z780"/>
  <c r="Z717"/>
  <c r="Z653"/>
  <c r="Z589"/>
  <c r="Z525"/>
  <c r="Z445"/>
  <c r="Z405"/>
  <c r="Z381"/>
  <c r="Z333"/>
  <c r="Z213"/>
  <c r="Z101"/>
  <c r="Y2026"/>
  <c r="Y1900"/>
  <c r="Y1822"/>
  <c r="Y1616"/>
  <c r="Y1472"/>
  <c r="Z1432"/>
  <c r="Z1392"/>
  <c r="Z1288"/>
  <c r="Z1265"/>
  <c r="Z1225"/>
  <c r="Z1177"/>
  <c r="Y1057"/>
  <c r="Y954"/>
  <c r="Y914"/>
  <c r="Y850"/>
  <c r="Z818"/>
  <c r="Z754"/>
  <c r="Z691"/>
  <c r="Y603"/>
  <c r="Z563"/>
  <c r="Z547"/>
  <c r="Z419"/>
  <c r="Y283"/>
  <c r="Y227"/>
  <c r="Z171"/>
  <c r="Y139"/>
  <c r="Z53"/>
  <c r="Y1804"/>
  <c r="Y1709"/>
  <c r="Y1454"/>
  <c r="Y115"/>
  <c r="Y2159"/>
  <c r="Z2159"/>
  <c r="Y2143"/>
  <c r="Z2143"/>
  <c r="Y2103"/>
  <c r="Z2103"/>
  <c r="Y2064"/>
  <c r="Z2064"/>
  <c r="Y2048"/>
  <c r="Z2048"/>
  <c r="Y2032"/>
  <c r="Z2032"/>
  <c r="Y2016"/>
  <c r="Z2016"/>
  <c r="Y1976"/>
  <c r="Z1976"/>
  <c r="Y1944"/>
  <c r="Z1944"/>
  <c r="Y1922"/>
  <c r="Z1922"/>
  <c r="Y1898"/>
  <c r="Z1898"/>
  <c r="Y1820"/>
  <c r="Z1820"/>
  <c r="Y1796"/>
  <c r="Z1796"/>
  <c r="Y1780"/>
  <c r="Z1780"/>
  <c r="Y1764"/>
  <c r="Z1764"/>
  <c r="Y1748"/>
  <c r="Z1748"/>
  <c r="Y1725"/>
  <c r="Z1725"/>
  <c r="Y1701"/>
  <c r="Z1701"/>
  <c r="Y1685"/>
  <c r="Z1685"/>
  <c r="Y1661"/>
  <c r="Z1661"/>
  <c r="Y1637"/>
  <c r="Z1637"/>
  <c r="Y1614"/>
  <c r="Z1614"/>
  <c r="Y1590"/>
  <c r="Z1590"/>
  <c r="Y1566"/>
  <c r="Z1566"/>
  <c r="Y1494"/>
  <c r="Z1494"/>
  <c r="Y1470"/>
  <c r="Z1470"/>
  <c r="Y1446"/>
  <c r="Z1446"/>
  <c r="Y1430"/>
  <c r="Z1430"/>
  <c r="Y1406"/>
  <c r="Z1406"/>
  <c r="Z1382"/>
  <c r="Y1382"/>
  <c r="Z1342"/>
  <c r="Y1342"/>
  <c r="Y1318"/>
  <c r="Z1318"/>
  <c r="Y1294"/>
  <c r="Z1294"/>
  <c r="Y930"/>
  <c r="Y770"/>
  <c r="Z699"/>
  <c r="Y499"/>
  <c r="Z315"/>
  <c r="Z251"/>
  <c r="Z2119"/>
  <c r="Z2087"/>
  <c r="Z1992"/>
  <c r="Z1960"/>
  <c r="Z1866"/>
  <c r="Z1836"/>
  <c r="Z1542"/>
  <c r="Z1510"/>
  <c r="Z1358"/>
  <c r="Z1278"/>
  <c r="Z1255"/>
  <c r="Z1239"/>
  <c r="Z1223"/>
  <c r="Z1207"/>
  <c r="Z1191"/>
  <c r="Z1167"/>
  <c r="Z1151"/>
  <c r="Z1135"/>
  <c r="Z1111"/>
  <c r="Z1087"/>
  <c r="Z1063"/>
  <c r="Z1039"/>
  <c r="Z1015"/>
  <c r="Z991"/>
  <c r="Z968"/>
  <c r="Z936"/>
  <c r="Z912"/>
  <c r="Z888"/>
  <c r="Z856"/>
  <c r="Z832"/>
  <c r="Z808"/>
  <c r="Z784"/>
  <c r="Z752"/>
  <c r="Z721"/>
  <c r="Z689"/>
  <c r="Z657"/>
  <c r="Z633"/>
  <c r="Z609"/>
  <c r="Z577"/>
  <c r="Z545"/>
  <c r="Z513"/>
  <c r="Z481"/>
  <c r="Z449"/>
  <c r="Z417"/>
  <c r="Z385"/>
  <c r="Z353"/>
  <c r="Z321"/>
  <c r="Z281"/>
  <c r="Z249"/>
  <c r="Z209"/>
  <c r="Z169"/>
  <c r="Z137"/>
  <c r="Z105"/>
  <c r="Z51"/>
  <c r="Y1914"/>
  <c r="Y2154"/>
  <c r="Y2122"/>
  <c r="Y2075"/>
  <c r="Y2043"/>
  <c r="Y2003"/>
  <c r="Y1971"/>
  <c r="Y1940"/>
  <c r="Y1909"/>
  <c r="Y1877"/>
  <c r="Y1846"/>
  <c r="Y1815"/>
  <c r="Y1783"/>
  <c r="Y1751"/>
  <c r="Y1720"/>
  <c r="Y1688"/>
  <c r="Y1656"/>
  <c r="Y1624"/>
  <c r="Y1593"/>
  <c r="Y1569"/>
  <c r="Y1537"/>
  <c r="Y1505"/>
  <c r="Y1481"/>
  <c r="Y1449"/>
  <c r="Y1417"/>
  <c r="Y1385"/>
  <c r="Y1353"/>
  <c r="Y1321"/>
  <c r="Y1289"/>
  <c r="Y1258"/>
  <c r="Y1226"/>
  <c r="Y1194"/>
  <c r="Y1162"/>
  <c r="Y1130"/>
  <c r="Y1098"/>
  <c r="Y1066"/>
  <c r="Y1026"/>
  <c r="Y994"/>
  <c r="Y963"/>
  <c r="Y931"/>
  <c r="Y899"/>
  <c r="Y867"/>
  <c r="Y835"/>
  <c r="Y803"/>
  <c r="Y771"/>
  <c r="Y739"/>
  <c r="Y692"/>
  <c r="Y660"/>
  <c r="Y580"/>
  <c r="Y516"/>
  <c r="Y452"/>
  <c r="Y388"/>
  <c r="Y356"/>
  <c r="Y228"/>
  <c r="Z156"/>
  <c r="Y116"/>
  <c r="Z92"/>
  <c r="Y54"/>
  <c r="Y2144"/>
  <c r="Y2112"/>
  <c r="Y2081"/>
  <c r="Y2041"/>
  <c r="Y2009"/>
  <c r="Y1977"/>
  <c r="Y1945"/>
  <c r="Y1907"/>
  <c r="Y1875"/>
  <c r="Y1844"/>
  <c r="Y1813"/>
  <c r="Y1781"/>
  <c r="Y1749"/>
  <c r="Y1718"/>
  <c r="Y1686"/>
  <c r="Y1654"/>
  <c r="Y1622"/>
  <c r="Y1591"/>
  <c r="Y1543"/>
  <c r="Y1495"/>
  <c r="Y1447"/>
  <c r="Y1399"/>
  <c r="Y1367"/>
  <c r="Y1056"/>
  <c r="Y992"/>
  <c r="Y929"/>
  <c r="Y865"/>
  <c r="Y801"/>
  <c r="Y769"/>
  <c r="Y737"/>
  <c r="Y714"/>
  <c r="Y682"/>
  <c r="Y650"/>
  <c r="Y618"/>
  <c r="Y586"/>
  <c r="Y554"/>
  <c r="Y522"/>
  <c r="Y482"/>
  <c r="Y418"/>
  <c r="Y354"/>
  <c r="Y290"/>
  <c r="Y226"/>
  <c r="Y178"/>
  <c r="Y130"/>
  <c r="Y82"/>
  <c r="Z2156"/>
  <c r="Z2124"/>
  <c r="Z2092"/>
  <c r="Z2061"/>
  <c r="Z2029"/>
  <c r="Z1997"/>
  <c r="Z1965"/>
  <c r="Z1934"/>
  <c r="Z1911"/>
  <c r="Z1879"/>
  <c r="Z1856"/>
  <c r="Z1833"/>
  <c r="Z1801"/>
  <c r="Z1777"/>
  <c r="Z1753"/>
  <c r="Z1730"/>
  <c r="Z1706"/>
  <c r="Z1682"/>
  <c r="Z1658"/>
  <c r="Z1634"/>
  <c r="Z1611"/>
  <c r="Z1587"/>
  <c r="Z1555"/>
  <c r="Z1531"/>
  <c r="Z1507"/>
  <c r="Z1483"/>
  <c r="Z1459"/>
  <c r="Z1435"/>
  <c r="Z1411"/>
  <c r="Z1387"/>
  <c r="Z1363"/>
  <c r="Z1339"/>
  <c r="Z1315"/>
  <c r="Z1291"/>
  <c r="Z1268"/>
  <c r="Z1244"/>
  <c r="Z1220"/>
  <c r="Z1196"/>
  <c r="Z1172"/>
  <c r="Z1148"/>
  <c r="Z1124"/>
  <c r="Z1100"/>
  <c r="Z1068"/>
  <c r="Z1044"/>
  <c r="Z1020"/>
  <c r="Z996"/>
  <c r="Z973"/>
  <c r="Z949"/>
  <c r="Z925"/>
  <c r="Z901"/>
  <c r="Z877"/>
  <c r="Z853"/>
  <c r="Z829"/>
  <c r="Z805"/>
  <c r="Z789"/>
  <c r="Z765"/>
  <c r="Z741"/>
  <c r="Z718"/>
  <c r="Z694"/>
  <c r="Z670"/>
  <c r="Z622"/>
  <c r="Z598"/>
  <c r="Z574"/>
  <c r="Z550"/>
  <c r="Z526"/>
  <c r="Z502"/>
  <c r="Z478"/>
  <c r="Z454"/>
  <c r="Z430"/>
  <c r="Z406"/>
  <c r="Z382"/>
  <c r="Z366"/>
  <c r="Z342"/>
  <c r="Z318"/>
  <c r="Z294"/>
  <c r="Z270"/>
  <c r="Z246"/>
  <c r="Z222"/>
  <c r="Z198"/>
  <c r="Z174"/>
  <c r="Z150"/>
  <c r="Z56"/>
  <c r="Z1425"/>
  <c r="Z1401"/>
  <c r="Z1353"/>
  <c r="Z1313"/>
  <c r="Z1273"/>
  <c r="Z1202"/>
  <c r="Z1162"/>
  <c r="Z1138"/>
  <c r="Z1082"/>
  <c r="Z1042"/>
  <c r="Z1010"/>
  <c r="Z978"/>
  <c r="Z955"/>
  <c r="Z915"/>
  <c r="Z867"/>
  <c r="Z843"/>
  <c r="Z803"/>
  <c r="Z779"/>
  <c r="Z716"/>
  <c r="Z692"/>
  <c r="Z636"/>
  <c r="Z612"/>
  <c r="Z548"/>
  <c r="Z524"/>
  <c r="Z500"/>
  <c r="Z444"/>
  <c r="Z404"/>
  <c r="Z372"/>
  <c r="Z340"/>
  <c r="Z292"/>
  <c r="Z268"/>
  <c r="Z228"/>
  <c r="Y1551"/>
  <c r="Z1431"/>
  <c r="Z1407"/>
  <c r="Z1367"/>
  <c r="Z1287"/>
  <c r="Y1248"/>
  <c r="Y1144"/>
  <c r="Z1056"/>
  <c r="Y1016"/>
  <c r="Z1008"/>
  <c r="Z969"/>
  <c r="Z945"/>
  <c r="Z905"/>
  <c r="Z897"/>
  <c r="Z833"/>
  <c r="Z801"/>
  <c r="Z769"/>
  <c r="Z737"/>
  <c r="Z714"/>
  <c r="Z650"/>
  <c r="Z610"/>
  <c r="Z562"/>
  <c r="Z546"/>
  <c r="Y458"/>
  <c r="Z434"/>
  <c r="Z370"/>
  <c r="Z330"/>
  <c r="Z306"/>
  <c r="Z282"/>
  <c r="Z266"/>
  <c r="Y122"/>
  <c r="Z98"/>
  <c r="Y1677"/>
  <c r="Y1358"/>
  <c r="Y699"/>
  <c r="Z2157"/>
  <c r="Z2133"/>
  <c r="Z2093"/>
  <c r="Z2062"/>
  <c r="Z2014"/>
  <c r="Z1920"/>
  <c r="Y1872"/>
  <c r="Z1778"/>
  <c r="Z1738"/>
  <c r="Z1699"/>
  <c r="Z1643"/>
  <c r="Y1588"/>
  <c r="Z1556"/>
  <c r="Y1468"/>
  <c r="Y997"/>
  <c r="Y359"/>
  <c r="Z151"/>
  <c r="Y80"/>
  <c r="Y2131"/>
  <c r="Y2084"/>
  <c r="Y1996"/>
  <c r="Y1956"/>
  <c r="Y1870"/>
  <c r="Y1832"/>
  <c r="Y1760"/>
  <c r="Y1697"/>
  <c r="Y1625"/>
  <c r="Y1498"/>
  <c r="Z1418"/>
  <c r="Y1354"/>
  <c r="Z1298"/>
  <c r="Z1251"/>
  <c r="Z1211"/>
  <c r="Z1163"/>
  <c r="Z1107"/>
  <c r="Z1035"/>
  <c r="Z932"/>
  <c r="Z892"/>
  <c r="Z804"/>
  <c r="Z764"/>
  <c r="Z701"/>
  <c r="Z637"/>
  <c r="Z533"/>
  <c r="Z461"/>
  <c r="Z397"/>
  <c r="Z317"/>
  <c r="Z269"/>
  <c r="Z205"/>
  <c r="Y2153"/>
  <c r="Y2105"/>
  <c r="Y1978"/>
  <c r="Y1631"/>
  <c r="Y1496"/>
  <c r="Z1440"/>
  <c r="Z1368"/>
  <c r="Y1257"/>
  <c r="Z1185"/>
  <c r="Z1161"/>
  <c r="Z1121"/>
  <c r="Z1033"/>
  <c r="Z930"/>
  <c r="Y890"/>
  <c r="Y786"/>
  <c r="Y707"/>
  <c r="Y643"/>
  <c r="Y579"/>
  <c r="Y531"/>
  <c r="Z499"/>
  <c r="Z395"/>
  <c r="Y251"/>
  <c r="Z219"/>
  <c r="Z203"/>
  <c r="Y123"/>
  <c r="Z69"/>
  <c r="Z275"/>
  <c r="Y2087"/>
  <c r="Y1542"/>
  <c r="Y138"/>
  <c r="Z138"/>
  <c r="Y1348"/>
  <c r="Z1348"/>
  <c r="Z1316"/>
  <c r="Y1316"/>
  <c r="Y1253"/>
  <c r="Z1253"/>
  <c r="Z1197"/>
  <c r="Y1197"/>
  <c r="Z1157"/>
  <c r="Y1157"/>
  <c r="Y958"/>
  <c r="Z958"/>
  <c r="Z902"/>
  <c r="Y902"/>
  <c r="Z878"/>
  <c r="Y878"/>
  <c r="Z846"/>
  <c r="Y846"/>
  <c r="Z814"/>
  <c r="Y814"/>
  <c r="Y782"/>
  <c r="Z782"/>
  <c r="Y719"/>
  <c r="Z719"/>
  <c r="Y687"/>
  <c r="Z687"/>
  <c r="Y655"/>
  <c r="Z655"/>
  <c r="Y375"/>
  <c r="Z375"/>
  <c r="Y343"/>
  <c r="Z343"/>
  <c r="Z311"/>
  <c r="Y311"/>
  <c r="Z279"/>
  <c r="Y279"/>
  <c r="Y135"/>
  <c r="Z135"/>
  <c r="Y95"/>
  <c r="Z95"/>
  <c r="Y65"/>
  <c r="Z65"/>
  <c r="Y1503"/>
  <c r="Y1391"/>
  <c r="Y1311"/>
  <c r="Y1224"/>
  <c r="Y1160"/>
  <c r="Y1072"/>
  <c r="Y873"/>
  <c r="Y314"/>
  <c r="Y202"/>
  <c r="Z178"/>
  <c r="Z82"/>
  <c r="Y1279"/>
  <c r="Y1274"/>
  <c r="Y1243"/>
  <c r="Y1211"/>
  <c r="Y1179"/>
  <c r="Y1147"/>
  <c r="Y1115"/>
  <c r="Y1083"/>
  <c r="Y1051"/>
  <c r="Y1019"/>
  <c r="Y987"/>
  <c r="Y956"/>
  <c r="Y924"/>
  <c r="Y900"/>
  <c r="Y868"/>
  <c r="Y836"/>
  <c r="Y804"/>
  <c r="Y772"/>
  <c r="Y732"/>
  <c r="Y701"/>
  <c r="Y669"/>
  <c r="Y637"/>
  <c r="Y613"/>
  <c r="Y581"/>
  <c r="Y549"/>
  <c r="Y517"/>
  <c r="Y485"/>
  <c r="Y453"/>
  <c r="Y421"/>
  <c r="Y381"/>
  <c r="Y349"/>
  <c r="Y325"/>
  <c r="Y293"/>
  <c r="Y261"/>
  <c r="Y229"/>
  <c r="Y197"/>
  <c r="Y165"/>
  <c r="Y133"/>
  <c r="Y101"/>
  <c r="Y71"/>
  <c r="Y2149"/>
  <c r="Y10"/>
  <c r="Y2022"/>
  <c r="Y1958"/>
  <c r="Y1896"/>
  <c r="Y1834"/>
  <c r="Y1754"/>
  <c r="Y1707"/>
  <c r="Y1620"/>
  <c r="Y1540"/>
  <c r="Y1476"/>
  <c r="Z1436"/>
  <c r="Z1396"/>
  <c r="Z1372"/>
  <c r="Z1284"/>
  <c r="Z1221"/>
  <c r="Z1117"/>
  <c r="Z1077"/>
  <c r="Z1029"/>
  <c r="Z989"/>
  <c r="Z926"/>
  <c r="Z742"/>
  <c r="Z615"/>
  <c r="Z575"/>
  <c r="Z535"/>
  <c r="Z503"/>
  <c r="Z455"/>
  <c r="Z423"/>
  <c r="Z399"/>
  <c r="Z223"/>
  <c r="Y175"/>
  <c r="Y1768"/>
  <c r="Y1681"/>
  <c r="Y1466"/>
  <c r="Y1434"/>
  <c r="Y1370"/>
  <c r="Y1330"/>
  <c r="Z125"/>
  <c r="Z85"/>
  <c r="Z55"/>
  <c r="Y2113"/>
  <c r="Y2050"/>
  <c r="Y1986"/>
  <c r="Y1892"/>
  <c r="Y1830"/>
  <c r="Y1790"/>
  <c r="Y1750"/>
  <c r="Y1711"/>
  <c r="Y1671"/>
  <c r="Y1623"/>
  <c r="Y1592"/>
  <c r="Y1544"/>
  <c r="Y1488"/>
  <c r="Y1352"/>
  <c r="Y1312"/>
  <c r="Y17"/>
  <c r="Y1209"/>
  <c r="Y1169"/>
  <c r="Y1137"/>
  <c r="Y1049"/>
  <c r="Y1001"/>
  <c r="Y962"/>
  <c r="Y906"/>
  <c r="Y858"/>
  <c r="Y802"/>
  <c r="Y723"/>
  <c r="Y651"/>
  <c r="Y595"/>
  <c r="Y555"/>
  <c r="Y467"/>
  <c r="Y435"/>
  <c r="Y347"/>
  <c r="Y299"/>
  <c r="Z155"/>
  <c r="Y83"/>
  <c r="Z1354"/>
  <c r="Z1343"/>
  <c r="Z1152"/>
  <c r="Z1113"/>
  <c r="Z1049"/>
  <c r="Z858"/>
  <c r="Z794"/>
  <c r="Z730"/>
  <c r="Z667"/>
  <c r="Z603"/>
  <c r="Z347"/>
  <c r="Z283"/>
  <c r="Z122"/>
  <c r="Y2157"/>
  <c r="Y2030"/>
  <c r="Y1904"/>
  <c r="Y1802"/>
  <c r="Y1762"/>
  <c r="Y1596"/>
  <c r="Y1440"/>
  <c r="Y1288"/>
  <c r="Y1161"/>
  <c r="Y1117"/>
  <c r="Y738"/>
  <c r="Y535"/>
  <c r="Y423"/>
  <c r="Y307"/>
  <c r="Y1444"/>
  <c r="Z1444"/>
  <c r="Y1420"/>
  <c r="Z1420"/>
  <c r="Y1388"/>
  <c r="Z1388"/>
  <c r="Z1356"/>
  <c r="Y1356"/>
  <c r="Y1332"/>
  <c r="Z1332"/>
  <c r="Z1269"/>
  <c r="Y1269"/>
  <c r="Y1213"/>
  <c r="Z1213"/>
  <c r="Y1189"/>
  <c r="Z1189"/>
  <c r="Y1149"/>
  <c r="Z1149"/>
  <c r="Y1085"/>
  <c r="Z1085"/>
  <c r="Y1045"/>
  <c r="Z1045"/>
  <c r="Y1013"/>
  <c r="Z1013"/>
  <c r="Z981"/>
  <c r="Y981"/>
  <c r="Z950"/>
  <c r="Y950"/>
  <c r="Z918"/>
  <c r="Y918"/>
  <c r="Y886"/>
  <c r="Z886"/>
  <c r="Z838"/>
  <c r="Y838"/>
  <c r="Y806"/>
  <c r="Z806"/>
  <c r="Z774"/>
  <c r="Y774"/>
  <c r="Y750"/>
  <c r="Z750"/>
  <c r="Y639"/>
  <c r="Z639"/>
  <c r="Z607"/>
  <c r="Y607"/>
  <c r="Y591"/>
  <c r="Z591"/>
  <c r="Y559"/>
  <c r="Z559"/>
  <c r="Y527"/>
  <c r="Z527"/>
  <c r="Y439"/>
  <c r="Z439"/>
  <c r="Y407"/>
  <c r="Z407"/>
  <c r="Y303"/>
  <c r="Z303"/>
  <c r="Y271"/>
  <c r="Z271"/>
  <c r="Z247"/>
  <c r="Y247"/>
  <c r="Y215"/>
  <c r="Z215"/>
  <c r="Z199"/>
  <c r="Y199"/>
  <c r="Y187"/>
  <c r="Z187"/>
  <c r="Y61"/>
  <c r="Z61"/>
  <c r="Z102"/>
  <c r="Y1487"/>
  <c r="Y1407"/>
  <c r="Y1256"/>
  <c r="Y1216"/>
  <c r="Y1184"/>
  <c r="Y1112"/>
  <c r="Y1080"/>
  <c r="Y984"/>
  <c r="Y841"/>
  <c r="Y474"/>
  <c r="Y394"/>
  <c r="Y234"/>
  <c r="Y60"/>
  <c r="Z1311"/>
  <c r="Y330"/>
  <c r="Y1259"/>
  <c r="Y1227"/>
  <c r="Y1195"/>
  <c r="Y1163"/>
  <c r="Y1131"/>
  <c r="Y1099"/>
  <c r="Y1067"/>
  <c r="Y1035"/>
  <c r="Y1003"/>
  <c r="Y972"/>
  <c r="Y940"/>
  <c r="Y908"/>
  <c r="Y876"/>
  <c r="Y844"/>
  <c r="Y812"/>
  <c r="Y780"/>
  <c r="Y748"/>
  <c r="Y717"/>
  <c r="Y685"/>
  <c r="Y653"/>
  <c r="Y621"/>
  <c r="Y589"/>
  <c r="Y557"/>
  <c r="Y525"/>
  <c r="Y493"/>
  <c r="Y469"/>
  <c r="Y437"/>
  <c r="Y413"/>
  <c r="Y389"/>
  <c r="Y357"/>
  <c r="Y317"/>
  <c r="Y277"/>
  <c r="Y245"/>
  <c r="Y213"/>
  <c r="Y181"/>
  <c r="Y149"/>
  <c r="Y117"/>
  <c r="Y85"/>
  <c r="Y55"/>
  <c r="Y2117"/>
  <c r="Y2054"/>
  <c r="Y1990"/>
  <c r="Y1928"/>
  <c r="Y1864"/>
  <c r="Y1818"/>
  <c r="Y1770"/>
  <c r="Y1731"/>
  <c r="Y1667"/>
  <c r="Y1627"/>
  <c r="Y1532"/>
  <c r="Y1484"/>
  <c r="Z1300"/>
  <c r="Z1237"/>
  <c r="Z1109"/>
  <c r="Z1053"/>
  <c r="Z854"/>
  <c r="Z711"/>
  <c r="Z671"/>
  <c r="Z487"/>
  <c r="Z463"/>
  <c r="Z359"/>
  <c r="Z327"/>
  <c r="Y143"/>
  <c r="Z103"/>
  <c r="Y1641"/>
  <c r="Y1546"/>
  <c r="Y1482"/>
  <c r="Y1426"/>
  <c r="Y1362"/>
  <c r="Y1306"/>
  <c r="Z189"/>
  <c r="Z117"/>
  <c r="Y2161"/>
  <c r="Y2097"/>
  <c r="Y2034"/>
  <c r="Y1939"/>
  <c r="Y1908"/>
  <c r="Y1814"/>
  <c r="Y1774"/>
  <c r="Y1734"/>
  <c r="Y1703"/>
  <c r="Y1663"/>
  <c r="Y1639"/>
  <c r="Y1584"/>
  <c r="Y1504"/>
  <c r="Y1448"/>
  <c r="Y1408"/>
  <c r="Y1376"/>
  <c r="Y1304"/>
  <c r="Y1249"/>
  <c r="Y1217"/>
  <c r="Y1105"/>
  <c r="Y1073"/>
  <c r="Y1017"/>
  <c r="Y970"/>
  <c r="Y882"/>
  <c r="Y834"/>
  <c r="Y762"/>
  <c r="Y715"/>
  <c r="Y675"/>
  <c r="Y483"/>
  <c r="Y443"/>
  <c r="Y403"/>
  <c r="Y363"/>
  <c r="Y331"/>
  <c r="Y291"/>
  <c r="Y131"/>
  <c r="Y99"/>
  <c r="Z1426"/>
  <c r="Z1376"/>
  <c r="Z1362"/>
  <c r="Z1312"/>
  <c r="Z1249"/>
  <c r="Z1224"/>
  <c r="Z1160"/>
  <c r="Z1096"/>
  <c r="Z1057"/>
  <c r="Z841"/>
  <c r="Z802"/>
  <c r="Z675"/>
  <c r="Z483"/>
  <c r="Z458"/>
  <c r="Z394"/>
  <c r="Z355"/>
  <c r="Z291"/>
  <c r="Z227"/>
  <c r="Z202"/>
  <c r="Z99"/>
  <c r="Z83"/>
  <c r="Y2046"/>
  <c r="Y1920"/>
  <c r="Y1786"/>
  <c r="Y1651"/>
  <c r="Y1524"/>
  <c r="Y1436"/>
  <c r="Y1372"/>
  <c r="Y1237"/>
  <c r="Y1053"/>
  <c r="Y946"/>
  <c r="Y575"/>
  <c r="Y503"/>
  <c r="Y455"/>
  <c r="Y395"/>
  <c r="Y346"/>
  <c r="Y106"/>
  <c r="Z106"/>
  <c r="Y76"/>
  <c r="Z76"/>
  <c r="Z1412"/>
  <c r="Y1412"/>
  <c r="Y1276"/>
  <c r="Z1276"/>
  <c r="Y1245"/>
  <c r="Z1245"/>
  <c r="Z1165"/>
  <c r="Y1165"/>
  <c r="Y1133"/>
  <c r="Z1133"/>
  <c r="Y1061"/>
  <c r="Z1061"/>
  <c r="Y1005"/>
  <c r="Z1005"/>
  <c r="Y942"/>
  <c r="Z942"/>
  <c r="Y910"/>
  <c r="Z910"/>
  <c r="Z798"/>
  <c r="Y798"/>
  <c r="Y766"/>
  <c r="Z766"/>
  <c r="Z734"/>
  <c r="Y734"/>
  <c r="Y599"/>
  <c r="Z599"/>
  <c r="Z567"/>
  <c r="Y567"/>
  <c r="Y551"/>
  <c r="Z551"/>
  <c r="Z519"/>
  <c r="Y519"/>
  <c r="Y495"/>
  <c r="Z495"/>
  <c r="Y471"/>
  <c r="Z471"/>
  <c r="Y287"/>
  <c r="Z287"/>
  <c r="Y263"/>
  <c r="Z263"/>
  <c r="Y239"/>
  <c r="Z239"/>
  <c r="Y159"/>
  <c r="Z159"/>
  <c r="Y1272"/>
  <c r="Y1168"/>
  <c r="Y1128"/>
  <c r="Y1064"/>
  <c r="Y905"/>
  <c r="Y857"/>
  <c r="Y809"/>
  <c r="Y442"/>
  <c r="Y186"/>
  <c r="Z146"/>
  <c r="Z114"/>
  <c r="Z1439"/>
  <c r="Z1184"/>
  <c r="Y1267"/>
  <c r="Y1235"/>
  <c r="Y1203"/>
  <c r="Y1171"/>
  <c r="Y1139"/>
  <c r="Y1107"/>
  <c r="Y1075"/>
  <c r="Y1043"/>
  <c r="Y1011"/>
  <c r="Y979"/>
  <c r="Y948"/>
  <c r="Y916"/>
  <c r="Y884"/>
  <c r="Y860"/>
  <c r="Y828"/>
  <c r="Y796"/>
  <c r="Y764"/>
  <c r="Y740"/>
  <c r="Y709"/>
  <c r="Y677"/>
  <c r="Y645"/>
  <c r="Y605"/>
  <c r="Y573"/>
  <c r="Y541"/>
  <c r="Y501"/>
  <c r="Y461"/>
  <c r="Y429"/>
  <c r="Y397"/>
  <c r="Y365"/>
  <c r="Y333"/>
  <c r="Y301"/>
  <c r="Y269"/>
  <c r="Y237"/>
  <c r="Y205"/>
  <c r="Y173"/>
  <c r="Y141"/>
  <c r="Y109"/>
  <c r="Y78"/>
  <c r="Y47"/>
  <c r="Y2165"/>
  <c r="Y2101"/>
  <c r="Y2038"/>
  <c r="Y1974"/>
  <c r="Y1912"/>
  <c r="Y1849"/>
  <c r="Y1810"/>
  <c r="Y1746"/>
  <c r="Y1683"/>
  <c r="Y1580"/>
  <c r="Y1548"/>
  <c r="Y1508"/>
  <c r="Y1452"/>
  <c r="Z1380"/>
  <c r="Z1340"/>
  <c r="Z1308"/>
  <c r="Z1205"/>
  <c r="Z1181"/>
  <c r="Z1093"/>
  <c r="Z1021"/>
  <c r="Z966"/>
  <c r="Z862"/>
  <c r="Z822"/>
  <c r="Z703"/>
  <c r="Z663"/>
  <c r="Z631"/>
  <c r="Z431"/>
  <c r="Z383"/>
  <c r="Z351"/>
  <c r="Z319"/>
  <c r="Z191"/>
  <c r="Y111"/>
  <c r="Z73"/>
  <c r="Y1808"/>
  <c r="Y1705"/>
  <c r="Y1578"/>
  <c r="Y1538"/>
  <c r="Y1474"/>
  <c r="Y1442"/>
  <c r="Y1394"/>
  <c r="Y1338"/>
  <c r="Y1290"/>
  <c r="Z157"/>
  <c r="Z93"/>
  <c r="Z63"/>
  <c r="Y2129"/>
  <c r="Y2066"/>
  <c r="Y2002"/>
  <c r="Y1970"/>
  <c r="Y1876"/>
  <c r="Y1845"/>
  <c r="Y1782"/>
  <c r="Y1727"/>
  <c r="Y1687"/>
  <c r="Y1655"/>
  <c r="Y1600"/>
  <c r="Y1560"/>
  <c r="Y1520"/>
  <c r="Y1432"/>
  <c r="Y1368"/>
  <c r="Y1320"/>
  <c r="Y1241"/>
  <c r="Y1129"/>
  <c r="Y1097"/>
  <c r="Y1041"/>
  <c r="Y985"/>
  <c r="Y938"/>
  <c r="Y778"/>
  <c r="Y683"/>
  <c r="Y635"/>
  <c r="Y587"/>
  <c r="Y523"/>
  <c r="Y491"/>
  <c r="Y451"/>
  <c r="Y411"/>
  <c r="Y379"/>
  <c r="Y315"/>
  <c r="Y267"/>
  <c r="Y211"/>
  <c r="Y163"/>
  <c r="Y107"/>
  <c r="Z91"/>
  <c r="Z2165"/>
  <c r="Z2149"/>
  <c r="Z2125"/>
  <c r="Z2117"/>
  <c r="Z2101"/>
  <c r="Z10"/>
  <c r="Z2078"/>
  <c r="Z2054"/>
  <c r="Z2038"/>
  <c r="Z2022"/>
  <c r="Z1998"/>
  <c r="Z1990"/>
  <c r="Z1974"/>
  <c r="Z1958"/>
  <c r="Z1950"/>
  <c r="Z1928"/>
  <c r="Z1912"/>
  <c r="Z1896"/>
  <c r="Z1872"/>
  <c r="Z1864"/>
  <c r="Z1849"/>
  <c r="Z1834"/>
  <c r="Z1826"/>
  <c r="Z1818"/>
  <c r="Z1810"/>
  <c r="Z1770"/>
  <c r="Z1754"/>
  <c r="Z1746"/>
  <c r="Z1731"/>
  <c r="Z1723"/>
  <c r="Z1707"/>
  <c r="Z1683"/>
  <c r="Z1667"/>
  <c r="Z1659"/>
  <c r="Z1627"/>
  <c r="Z1620"/>
  <c r="Z1588"/>
  <c r="Z1580"/>
  <c r="Z1564"/>
  <c r="Z1548"/>
  <c r="Z1540"/>
  <c r="Z1532"/>
  <c r="Z1508"/>
  <c r="Z1484"/>
  <c r="Z1476"/>
  <c r="Z1468"/>
  <c r="Z1452"/>
  <c r="Z1402"/>
  <c r="Z1391"/>
  <c r="Z1352"/>
  <c r="Z1338"/>
  <c r="Z1200"/>
  <c r="Z1097"/>
  <c r="Z1072"/>
  <c r="Z970"/>
  <c r="Z906"/>
  <c r="Z842"/>
  <c r="Z778"/>
  <c r="Z715"/>
  <c r="Z651"/>
  <c r="Z587"/>
  <c r="Z523"/>
  <c r="Z459"/>
  <c r="Z331"/>
  <c r="Z267"/>
  <c r="Z186"/>
  <c r="Y1378"/>
  <c r="Y1314"/>
  <c r="Y1284"/>
  <c r="Y1240"/>
  <c r="Y1109"/>
  <c r="Y711"/>
  <c r="Y399"/>
  <c r="Y351"/>
  <c r="Y243"/>
  <c r="Y170"/>
  <c r="Z170"/>
  <c r="Y1404"/>
  <c r="Z1404"/>
  <c r="Y1292"/>
  <c r="Z1292"/>
  <c r="Y1125"/>
  <c r="Z1125"/>
  <c r="Y1101"/>
  <c r="Z1101"/>
  <c r="Y1037"/>
  <c r="Z1037"/>
  <c r="Y6"/>
  <c r="Z6"/>
  <c r="Y934"/>
  <c r="Z934"/>
  <c r="Z870"/>
  <c r="Y870"/>
  <c r="Y830"/>
  <c r="Z830"/>
  <c r="Y14"/>
  <c r="Z14"/>
  <c r="Z695"/>
  <c r="Y695"/>
  <c r="Y679"/>
  <c r="Z679"/>
  <c r="Z647"/>
  <c r="Y647"/>
  <c r="Y623"/>
  <c r="Z623"/>
  <c r="Y511"/>
  <c r="Z511"/>
  <c r="Y415"/>
  <c r="Z415"/>
  <c r="Y391"/>
  <c r="Z391"/>
  <c r="Y367"/>
  <c r="Z367"/>
  <c r="Y335"/>
  <c r="Z335"/>
  <c r="Z231"/>
  <c r="Y231"/>
  <c r="Z207"/>
  <c r="Y207"/>
  <c r="Z167"/>
  <c r="Y167"/>
  <c r="Y127"/>
  <c r="Z127"/>
  <c r="Z72"/>
  <c r="Y1519"/>
  <c r="Y1375"/>
  <c r="Y1295"/>
  <c r="Y1232"/>
  <c r="Y1192"/>
  <c r="Y1104"/>
  <c r="Y937"/>
  <c r="Y266"/>
  <c r="Z52"/>
  <c r="Z1248"/>
  <c r="Y1048"/>
  <c r="Y282"/>
  <c r="Y1251"/>
  <c r="Y1219"/>
  <c r="Y1187"/>
  <c r="Y1155"/>
  <c r="Y1123"/>
  <c r="Y1091"/>
  <c r="Y1059"/>
  <c r="Y1027"/>
  <c r="Y995"/>
  <c r="Y964"/>
  <c r="Y932"/>
  <c r="Y892"/>
  <c r="Y852"/>
  <c r="Y820"/>
  <c r="Y788"/>
  <c r="Y756"/>
  <c r="Y725"/>
  <c r="Y693"/>
  <c r="Y661"/>
  <c r="Y629"/>
  <c r="Y597"/>
  <c r="Y565"/>
  <c r="Y533"/>
  <c r="Y509"/>
  <c r="Y477"/>
  <c r="Y445"/>
  <c r="Y405"/>
  <c r="Y373"/>
  <c r="Y341"/>
  <c r="Y309"/>
  <c r="Y285"/>
  <c r="Y253"/>
  <c r="Y221"/>
  <c r="Y189"/>
  <c r="Y157"/>
  <c r="Y125"/>
  <c r="Y93"/>
  <c r="Y63"/>
  <c r="Y2133"/>
  <c r="Y2070"/>
  <c r="Y2006"/>
  <c r="Y1942"/>
  <c r="Y1880"/>
  <c r="Y1794"/>
  <c r="Y1691"/>
  <c r="Y1643"/>
  <c r="Y1604"/>
  <c r="Y1556"/>
  <c r="Y1500"/>
  <c r="Y1460"/>
  <c r="Z1428"/>
  <c r="Z1364"/>
  <c r="Z1324"/>
  <c r="Z1261"/>
  <c r="Z1229"/>
  <c r="Z1173"/>
  <c r="Z1141"/>
  <c r="Z1069"/>
  <c r="Z997"/>
  <c r="Z894"/>
  <c r="Z790"/>
  <c r="Z758"/>
  <c r="Z583"/>
  <c r="Z543"/>
  <c r="Z479"/>
  <c r="Z447"/>
  <c r="Z295"/>
  <c r="Z255"/>
  <c r="Y87"/>
  <c r="Y1744"/>
  <c r="Y1618"/>
  <c r="Y1562"/>
  <c r="Y1522"/>
  <c r="Y1490"/>
  <c r="Y1418"/>
  <c r="Y1386"/>
  <c r="Y1346"/>
  <c r="Y1298"/>
  <c r="Z181"/>
  <c r="Z149"/>
  <c r="Y2145"/>
  <c r="Y2082"/>
  <c r="Y2018"/>
  <c r="Y1954"/>
  <c r="Y1924"/>
  <c r="Y1860"/>
  <c r="Y1798"/>
  <c r="Y1766"/>
  <c r="Y1719"/>
  <c r="Y1647"/>
  <c r="Y1608"/>
  <c r="Y1576"/>
  <c r="Y1464"/>
  <c r="Y1424"/>
  <c r="Y1360"/>
  <c r="Y1328"/>
  <c r="Y1280"/>
  <c r="Y1233"/>
  <c r="Y1185"/>
  <c r="Y1145"/>
  <c r="Y1081"/>
  <c r="Y1033"/>
  <c r="Y1009"/>
  <c r="Y746"/>
  <c r="Y619"/>
  <c r="Y547"/>
  <c r="Y507"/>
  <c r="Y475"/>
  <c r="Y419"/>
  <c r="Y371"/>
  <c r="Y339"/>
  <c r="Y235"/>
  <c r="Z123"/>
  <c r="Y69"/>
  <c r="Z1442"/>
  <c r="Z1328"/>
  <c r="Z1201"/>
  <c r="Z1137"/>
  <c r="Z1112"/>
  <c r="Z1073"/>
  <c r="Z1009"/>
  <c r="Z984"/>
  <c r="Z882"/>
  <c r="Z857"/>
  <c r="Z793"/>
  <c r="Z474"/>
  <c r="Z435"/>
  <c r="Z410"/>
  <c r="Z371"/>
  <c r="Z139"/>
  <c r="Z87"/>
  <c r="Y1380"/>
  <c r="Y663"/>
  <c r="Y583"/>
  <c r="Y191"/>
  <c r="Y2166"/>
  <c r="Y2158"/>
  <c r="Y2150"/>
  <c r="Y2142"/>
  <c r="Y2134"/>
  <c r="Y2126"/>
  <c r="Y2118"/>
  <c r="Y2110"/>
  <c r="Y2102"/>
  <c r="Y2094"/>
  <c r="Y2086"/>
  <c r="Y2079"/>
  <c r="Y2071"/>
  <c r="Y2063"/>
  <c r="Y2055"/>
  <c r="Y2047"/>
  <c r="Y2039"/>
  <c r="Y2031"/>
  <c r="Y2023"/>
  <c r="Y2015"/>
  <c r="Y2007"/>
  <c r="Y1999"/>
  <c r="Y1991"/>
  <c r="Y1983"/>
  <c r="Y1975"/>
  <c r="Y1967"/>
  <c r="Y1959"/>
  <c r="Y1951"/>
  <c r="Y1943"/>
  <c r="Y1936"/>
  <c r="Y1929"/>
  <c r="Y1921"/>
  <c r="Y1913"/>
  <c r="Y1905"/>
  <c r="Y1897"/>
  <c r="Y1889"/>
  <c r="Y1881"/>
  <c r="Y1873"/>
  <c r="Y1865"/>
  <c r="Y1858"/>
  <c r="Y1850"/>
  <c r="Y1842"/>
  <c r="Y1835"/>
  <c r="Y1827"/>
  <c r="Y1819"/>
  <c r="Y1811"/>
  <c r="Y1803"/>
  <c r="Y1795"/>
  <c r="Y1787"/>
  <c r="Y1779"/>
  <c r="Y1771"/>
  <c r="Y1763"/>
  <c r="Y1755"/>
  <c r="Y1747"/>
  <c r="Y1739"/>
  <c r="Y7"/>
  <c r="Y1724"/>
  <c r="Y1716"/>
  <c r="Y1708"/>
  <c r="Y1700"/>
  <c r="Y1692"/>
  <c r="Y1684"/>
  <c r="Y1676"/>
  <c r="Y1668"/>
  <c r="Y1660"/>
  <c r="Y1652"/>
  <c r="Y1644"/>
  <c r="Y1636"/>
  <c r="Y1628"/>
  <c r="Y1621"/>
  <c r="Y1613"/>
  <c r="Y1605"/>
  <c r="Y1597"/>
  <c r="Y1589"/>
  <c r="Y1581"/>
  <c r="Y1573"/>
  <c r="Y1565"/>
  <c r="Y1557"/>
  <c r="Y1549"/>
  <c r="Y1541"/>
  <c r="Y1533"/>
  <c r="Y1525"/>
  <c r="Y1517"/>
  <c r="Y1509"/>
  <c r="Y1501"/>
  <c r="Y1493"/>
  <c r="Y1485"/>
  <c r="Y1477"/>
  <c r="Y1469"/>
  <c r="Y1461"/>
  <c r="Y1453"/>
  <c r="Y1445"/>
  <c r="Y1437"/>
  <c r="Y1429"/>
  <c r="Y1421"/>
  <c r="Y1413"/>
  <c r="Y1405"/>
  <c r="Y1397"/>
  <c r="Y1389"/>
  <c r="Y1381"/>
  <c r="Y1373"/>
  <c r="Y1365"/>
  <c r="Y1357"/>
  <c r="Y1349"/>
  <c r="Y1341"/>
  <c r="Y1333"/>
  <c r="Y1325"/>
  <c r="Y1317"/>
  <c r="Y1309"/>
  <c r="Y1301"/>
  <c r="Y1293"/>
  <c r="Y1285"/>
  <c r="Y1277"/>
  <c r="Y1270"/>
  <c r="Y1262"/>
  <c r="Y1254"/>
  <c r="Y1246"/>
  <c r="Y1238"/>
  <c r="Y1230"/>
  <c r="Y1222"/>
  <c r="Y1214"/>
  <c r="Y1206"/>
  <c r="Y1198"/>
  <c r="Y1190"/>
  <c r="Y1182"/>
  <c r="Y1174"/>
  <c r="Y1166"/>
  <c r="Y1158"/>
  <c r="Y1150"/>
  <c r="Y1142"/>
  <c r="Y1134"/>
  <c r="Y1126"/>
  <c r="Y1118"/>
  <c r="Y1110"/>
  <c r="Y1102"/>
  <c r="Y1094"/>
  <c r="Y1086"/>
  <c r="Y1078"/>
  <c r="Y1070"/>
  <c r="Y1054"/>
  <c r="Y1038"/>
  <c r="Y1022"/>
  <c r="Y1006"/>
  <c r="Y990"/>
  <c r="Y974"/>
  <c r="Y959"/>
  <c r="Y943"/>
  <c r="Y927"/>
  <c r="Y911"/>
  <c r="Y895"/>
  <c r="Y879"/>
  <c r="Y863"/>
  <c r="Y847"/>
  <c r="Y831"/>
  <c r="Y815"/>
  <c r="Y799"/>
  <c r="Y783"/>
  <c r="Y767"/>
  <c r="Y751"/>
  <c r="Y735"/>
  <c r="Y720"/>
  <c r="Y704"/>
  <c r="Y688"/>
  <c r="Y672"/>
  <c r="Y656"/>
  <c r="Y640"/>
  <c r="Y624"/>
  <c r="Y608"/>
  <c r="Y592"/>
  <c r="Y576"/>
  <c r="Y560"/>
  <c r="Y544"/>
  <c r="Y528"/>
  <c r="Y512"/>
  <c r="Y496"/>
  <c r="Y480"/>
  <c r="Y464"/>
  <c r="Y448"/>
  <c r="Y432"/>
  <c r="Y416"/>
  <c r="Y400"/>
  <c r="Y384"/>
  <c r="Y368"/>
  <c r="Y352"/>
  <c r="Y336"/>
  <c r="Y320"/>
  <c r="Y304"/>
  <c r="Y288"/>
  <c r="Y272"/>
  <c r="Y256"/>
  <c r="Y240"/>
  <c r="Y224"/>
  <c r="Y208"/>
  <c r="Z184"/>
  <c r="Z168"/>
  <c r="Z152"/>
  <c r="Z136"/>
  <c r="Y128"/>
  <c r="Z120"/>
  <c r="Y112"/>
  <c r="Z104"/>
  <c r="Y96"/>
  <c r="Z88"/>
  <c r="Y81"/>
  <c r="Z74"/>
  <c r="Y66"/>
  <c r="Z58"/>
  <c r="Y50"/>
  <c r="Y2164"/>
  <c r="Y2156"/>
  <c r="Y2148"/>
  <c r="Y2140"/>
  <c r="Y2132"/>
  <c r="Y2124"/>
  <c r="Y2116"/>
  <c r="Y2108"/>
  <c r="Y2100"/>
  <c r="Y2092"/>
  <c r="Y2085"/>
  <c r="Y1278"/>
  <c r="Y1271"/>
  <c r="Y1263"/>
  <c r="Y1255"/>
  <c r="Y1247"/>
  <c r="Y1239"/>
  <c r="Y1231"/>
  <c r="Y1223"/>
  <c r="Y1215"/>
  <c r="Y1207"/>
  <c r="Y1199"/>
  <c r="Y1191"/>
  <c r="Y1183"/>
  <c r="Y1175"/>
  <c r="Y1167"/>
  <c r="Y1159"/>
  <c r="Y1151"/>
  <c r="Y1143"/>
  <c r="Y1135"/>
  <c r="Y1127"/>
  <c r="Y1119"/>
  <c r="Y1111"/>
  <c r="Y1103"/>
  <c r="Y1095"/>
  <c r="Y1087"/>
  <c r="Y1079"/>
  <c r="Y1071"/>
  <c r="Y1063"/>
  <c r="Y1055"/>
  <c r="Y1047"/>
  <c r="Y1039"/>
  <c r="Y1031"/>
  <c r="Y1023"/>
  <c r="Y1015"/>
  <c r="Y1007"/>
  <c r="Y999"/>
  <c r="Y991"/>
  <c r="Y983"/>
  <c r="Y975"/>
  <c r="Y968"/>
  <c r="Y960"/>
  <c r="Y952"/>
  <c r="Y944"/>
  <c r="Y936"/>
  <c r="Y928"/>
  <c r="Y920"/>
  <c r="Y912"/>
  <c r="Y904"/>
  <c r="Y896"/>
  <c r="Y888"/>
  <c r="Y880"/>
  <c r="Y872"/>
  <c r="Y864"/>
  <c r="Y856"/>
  <c r="Y848"/>
  <c r="Y840"/>
  <c r="Y832"/>
  <c r="Y824"/>
  <c r="Y816"/>
  <c r="Y808"/>
  <c r="Y800"/>
  <c r="Y792"/>
  <c r="Y784"/>
  <c r="Y776"/>
  <c r="Y768"/>
  <c r="Y760"/>
  <c r="Y752"/>
  <c r="Y744"/>
  <c r="Y736"/>
  <c r="Y728"/>
  <c r="Y721"/>
  <c r="Y713"/>
  <c r="Y705"/>
  <c r="Y697"/>
  <c r="Y689"/>
  <c r="Y681"/>
  <c r="Y673"/>
  <c r="Y665"/>
  <c r="Y657"/>
  <c r="Y649"/>
  <c r="Y641"/>
  <c r="Y633"/>
  <c r="Y625"/>
  <c r="Y617"/>
  <c r="Y609"/>
  <c r="Y601"/>
  <c r="Y593"/>
  <c r="Y585"/>
  <c r="Y577"/>
  <c r="Y569"/>
  <c r="Y561"/>
  <c r="Y553"/>
  <c r="Y545"/>
  <c r="Y537"/>
  <c r="Y529"/>
  <c r="Y521"/>
  <c r="Y513"/>
  <c r="Y505"/>
  <c r="Y497"/>
  <c r="Y489"/>
  <c r="Y481"/>
  <c r="Y473"/>
  <c r="Y465"/>
  <c r="Y457"/>
  <c r="Y449"/>
  <c r="Y441"/>
  <c r="Y433"/>
  <c r="Y425"/>
  <c r="Y417"/>
  <c r="Y409"/>
  <c r="Y401"/>
  <c r="Y393"/>
  <c r="Y385"/>
  <c r="Y377"/>
  <c r="Y369"/>
  <c r="Y361"/>
  <c r="Y353"/>
  <c r="Y345"/>
  <c r="Y337"/>
  <c r="Y329"/>
  <c r="Y321"/>
  <c r="Y313"/>
  <c r="Y305"/>
  <c r="Y297"/>
  <c r="Y289"/>
  <c r="Y281"/>
  <c r="Y273"/>
  <c r="Y265"/>
  <c r="Y257"/>
  <c r="Y249"/>
  <c r="Y241"/>
  <c r="Y233"/>
  <c r="Y225"/>
  <c r="Y217"/>
  <c r="Y209"/>
  <c r="Y201"/>
  <c r="Y193"/>
  <c r="Y185"/>
  <c r="Y177"/>
  <c r="Y169"/>
  <c r="Y161"/>
  <c r="Y153"/>
  <c r="Y145"/>
  <c r="Y137"/>
  <c r="Y129"/>
  <c r="Y121"/>
  <c r="Y113"/>
  <c r="Y105"/>
  <c r="Y97"/>
  <c r="Y89"/>
  <c r="Y15"/>
  <c r="Y75"/>
  <c r="Y67"/>
  <c r="Y59"/>
  <c r="Y51"/>
  <c r="Y2077"/>
  <c r="Y2069"/>
  <c r="Y2061"/>
  <c r="Y2053"/>
  <c r="Y2045"/>
  <c r="Y2037"/>
  <c r="Y2029"/>
  <c r="Y2021"/>
  <c r="Y2013"/>
  <c r="Y2005"/>
  <c r="Y1997"/>
  <c r="Y1989"/>
  <c r="Y1981"/>
  <c r="Y1973"/>
  <c r="Y1965"/>
  <c r="Y1957"/>
  <c r="Y1949"/>
  <c r="Y1941"/>
  <c r="Y1934"/>
  <c r="Y1927"/>
  <c r="Y1919"/>
  <c r="Y1911"/>
  <c r="Y1903"/>
  <c r="Y1895"/>
  <c r="Y1887"/>
  <c r="Y1879"/>
  <c r="Y1871"/>
  <c r="Y1863"/>
  <c r="Y1856"/>
  <c r="Y1848"/>
  <c r="Y1841"/>
  <c r="Y1833"/>
  <c r="Y1825"/>
  <c r="Y1817"/>
  <c r="Y1809"/>
  <c r="Y1801"/>
  <c r="Y1793"/>
  <c r="Y1785"/>
  <c r="Y1777"/>
  <c r="Y1769"/>
  <c r="Y1761"/>
  <c r="Y1753"/>
  <c r="Y1745"/>
  <c r="Y1737"/>
  <c r="Y1730"/>
  <c r="Y1722"/>
  <c r="Y1714"/>
  <c r="Y1706"/>
  <c r="Y1698"/>
  <c r="Y1690"/>
  <c r="Y1682"/>
  <c r="Y1674"/>
  <c r="Y1666"/>
  <c r="Y1658"/>
  <c r="Y1650"/>
  <c r="Y1642"/>
  <c r="Y1634"/>
  <c r="Y1626"/>
  <c r="Y1619"/>
  <c r="Y1611"/>
  <c r="Y1603"/>
  <c r="Y1595"/>
  <c r="Y1587"/>
  <c r="Y1579"/>
  <c r="Y1571"/>
  <c r="Y1563"/>
  <c r="Y1555"/>
  <c r="Y1547"/>
  <c r="Y1539"/>
  <c r="Y1531"/>
  <c r="Y1523"/>
  <c r="Y1515"/>
  <c r="Y1507"/>
  <c r="Y1499"/>
  <c r="Y1491"/>
  <c r="Y1483"/>
  <c r="Y1475"/>
  <c r="Y1467"/>
  <c r="Y1459"/>
  <c r="Y1451"/>
  <c r="Y1443"/>
  <c r="Y1435"/>
  <c r="Y1427"/>
  <c r="Y1419"/>
  <c r="Y1411"/>
  <c r="Y1403"/>
  <c r="Y1395"/>
  <c r="Y1387"/>
  <c r="Y1379"/>
  <c r="Y1371"/>
  <c r="Y1363"/>
  <c r="Y1355"/>
  <c r="Y1347"/>
  <c r="Y1339"/>
  <c r="Y1331"/>
  <c r="Y1323"/>
  <c r="Y1315"/>
  <c r="Y1307"/>
  <c r="Y1299"/>
  <c r="Y1291"/>
  <c r="Y1283"/>
  <c r="Y1275"/>
  <c r="Y1268"/>
  <c r="Y1260"/>
  <c r="Y1252"/>
  <c r="Y1244"/>
  <c r="Y1236"/>
  <c r="Y1228"/>
  <c r="Y1220"/>
  <c r="Y1212"/>
  <c r="Y1204"/>
  <c r="Y1196"/>
  <c r="Y1188"/>
  <c r="Y1180"/>
  <c r="Y1172"/>
  <c r="Y1164"/>
  <c r="Y1156"/>
  <c r="Y1148"/>
  <c r="Y1140"/>
  <c r="Y1132"/>
  <c r="Y1124"/>
  <c r="Y1116"/>
  <c r="Y1108"/>
  <c r="Y1100"/>
  <c r="Y1092"/>
  <c r="Y1084"/>
  <c r="Y1076"/>
  <c r="Y1068"/>
  <c r="Y1060"/>
  <c r="Y1052"/>
  <c r="Y1044"/>
  <c r="Y1036"/>
  <c r="Y1028"/>
  <c r="Y1020"/>
  <c r="Y1012"/>
  <c r="Y1004"/>
  <c r="Y996"/>
  <c r="Y988"/>
  <c r="Y980"/>
  <c r="Y973"/>
  <c r="Y965"/>
  <c r="Y957"/>
  <c r="Y949"/>
  <c r="Y941"/>
  <c r="Y933"/>
  <c r="Y925"/>
  <c r="Y917"/>
  <c r="Y909"/>
  <c r="Y901"/>
  <c r="Y893"/>
  <c r="Y885"/>
  <c r="Y877"/>
  <c r="Y869"/>
  <c r="Y861"/>
  <c r="Y853"/>
  <c r="Y845"/>
  <c r="Y837"/>
  <c r="Y829"/>
  <c r="Y821"/>
  <c r="Y813"/>
  <c r="Y805"/>
  <c r="Y797"/>
  <c r="Y789"/>
  <c r="Y781"/>
  <c r="Y773"/>
  <c r="Y765"/>
  <c r="Y757"/>
  <c r="Y749"/>
  <c r="Y741"/>
  <c r="Y733"/>
  <c r="Y726"/>
  <c r="Y718"/>
  <c r="Y710"/>
  <c r="Y702"/>
  <c r="Y694"/>
  <c r="Y686"/>
  <c r="Y678"/>
  <c r="Y670"/>
  <c r="Y662"/>
  <c r="Y654"/>
  <c r="Y646"/>
  <c r="Y638"/>
  <c r="Y630"/>
  <c r="Y622"/>
  <c r="Y614"/>
  <c r="Y606"/>
  <c r="Y598"/>
  <c r="Y590"/>
  <c r="Y582"/>
  <c r="Y574"/>
  <c r="Y566"/>
  <c r="Y558"/>
  <c r="Y550"/>
  <c r="Y542"/>
  <c r="Y534"/>
  <c r="Y526"/>
  <c r="Y518"/>
  <c r="Y510"/>
  <c r="Y502"/>
  <c r="Y494"/>
  <c r="Y486"/>
  <c r="Y478"/>
  <c r="Y470"/>
  <c r="Y462"/>
  <c r="Y454"/>
  <c r="Y446"/>
  <c r="Y438"/>
  <c r="Y430"/>
  <c r="Y422"/>
  <c r="Y414"/>
  <c r="Y406"/>
  <c r="Y398"/>
  <c r="Y390"/>
  <c r="Y382"/>
  <c r="Y374"/>
  <c r="Y366"/>
  <c r="Y358"/>
  <c r="Y350"/>
  <c r="Y342"/>
  <c r="Y334"/>
  <c r="Y326"/>
  <c r="Y318"/>
  <c r="Y310"/>
  <c r="Y302"/>
  <c r="Y294"/>
  <c r="Y286"/>
  <c r="Y278"/>
  <c r="Y270"/>
  <c r="Y262"/>
  <c r="Y254"/>
  <c r="Y246"/>
  <c r="Y238"/>
  <c r="Y230"/>
  <c r="Y222"/>
  <c r="Y214"/>
  <c r="Y206"/>
  <c r="Y198"/>
  <c r="Y190"/>
  <c r="Y182"/>
  <c r="Y174"/>
  <c r="Y166"/>
  <c r="Y158"/>
  <c r="Y150"/>
  <c r="Y142"/>
  <c r="Y134"/>
  <c r="Y126"/>
  <c r="Y118"/>
  <c r="Y110"/>
  <c r="Y102"/>
  <c r="Y94"/>
  <c r="Y86"/>
  <c r="Y79"/>
  <c r="Y72"/>
  <c r="Y64"/>
  <c r="Y56"/>
  <c r="Y48"/>
  <c r="N441" i="2"/>
  <c r="L633"/>
  <c r="M545"/>
  <c r="O464"/>
  <c r="M424"/>
  <c r="M247"/>
  <c r="O264"/>
  <c r="L464"/>
  <c r="L503"/>
  <c r="O623"/>
  <c r="M608"/>
  <c r="K1047"/>
  <c r="O240"/>
  <c r="M256"/>
  <c r="O632"/>
  <c r="M792"/>
  <c r="L512"/>
  <c r="N632"/>
  <c r="L792"/>
  <c r="K444"/>
  <c r="N2104"/>
  <c r="K832"/>
  <c r="K1639"/>
  <c r="N464"/>
  <c r="M472"/>
  <c r="L288"/>
  <c r="K304"/>
  <c r="O424"/>
  <c r="N584"/>
  <c r="M512"/>
  <c r="L312"/>
  <c r="K415"/>
  <c r="O584"/>
  <c r="N1032"/>
  <c r="M575"/>
  <c r="L1640"/>
  <c r="L424"/>
  <c r="K519"/>
  <c r="O276"/>
  <c r="N447"/>
  <c r="M440"/>
  <c r="L536"/>
  <c r="L240"/>
  <c r="K256"/>
  <c r="O312"/>
  <c r="L584"/>
  <c r="N556"/>
  <c r="AH1328" i="8"/>
  <c r="AI1328" s="1"/>
  <c r="N316" i="2"/>
  <c r="N436"/>
  <c r="O1639"/>
  <c r="K582"/>
  <c r="O377"/>
  <c r="N287"/>
  <c r="L638"/>
  <c r="L391"/>
  <c r="O447"/>
  <c r="N2103"/>
  <c r="L1639"/>
  <c r="K1593"/>
  <c r="K409"/>
  <c r="M409"/>
  <c r="K577"/>
  <c r="M1031"/>
  <c r="K247"/>
  <c r="N609"/>
  <c r="O401"/>
  <c r="N449"/>
  <c r="M577"/>
  <c r="AH436" i="8"/>
  <c r="AI436" s="1"/>
  <c r="O545" i="2"/>
  <c r="N1031"/>
  <c r="N401"/>
  <c r="M449"/>
  <c r="L1049"/>
  <c r="L545"/>
  <c r="L409"/>
  <c r="K633"/>
  <c r="K447"/>
  <c r="O1593"/>
  <c r="O577"/>
  <c r="O423"/>
  <c r="N545"/>
  <c r="N409"/>
  <c r="N249"/>
  <c r="M609"/>
  <c r="M471"/>
  <c r="M377"/>
  <c r="L1593"/>
  <c r="L577"/>
  <c r="K449"/>
  <c r="K377"/>
  <c r="O449"/>
  <c r="K249"/>
  <c r="O297"/>
  <c r="N1049"/>
  <c r="M633"/>
  <c r="M393"/>
  <c r="L441"/>
  <c r="L297"/>
  <c r="K393"/>
  <c r="O609"/>
  <c r="O441"/>
  <c r="N1593"/>
  <c r="N577"/>
  <c r="N297"/>
  <c r="M401"/>
  <c r="L609"/>
  <c r="L449"/>
  <c r="K1049"/>
  <c r="K545"/>
  <c r="K401"/>
  <c r="O393"/>
  <c r="N377"/>
  <c r="M249"/>
  <c r="O633"/>
  <c r="N391"/>
  <c r="K609"/>
  <c r="O1047"/>
  <c r="O503"/>
  <c r="O409"/>
  <c r="O249"/>
  <c r="N633"/>
  <c r="N393"/>
  <c r="M1639"/>
  <c r="M607"/>
  <c r="M441"/>
  <c r="M287"/>
  <c r="L1031"/>
  <c r="L401"/>
  <c r="L249"/>
  <c r="K623"/>
  <c r="K297"/>
  <c r="M1049"/>
  <c r="M1593"/>
  <c r="L393"/>
  <c r="K441"/>
  <c r="O1049"/>
  <c r="O415"/>
  <c r="N503"/>
  <c r="N247"/>
  <c r="M297"/>
  <c r="L287"/>
  <c r="AH1625" i="8"/>
  <c r="AI1625" s="1"/>
  <c r="AH732"/>
  <c r="AI732" s="1"/>
  <c r="O1036" i="2"/>
  <c r="O580"/>
  <c r="O356"/>
  <c r="M436"/>
  <c r="K1754"/>
  <c r="O1040"/>
  <c r="M794"/>
  <c r="K792"/>
  <c r="AH1457" i="8"/>
  <c r="AI1457" s="1"/>
  <c r="AH1201"/>
  <c r="AI1201" s="1"/>
  <c r="L1032" i="2"/>
  <c r="K620"/>
  <c r="AH1897" i="8"/>
  <c r="AI1897" s="1"/>
  <c r="AH1030"/>
  <c r="AI1030" s="1"/>
  <c r="AH879"/>
  <c r="AI879" s="1"/>
  <c r="AH176"/>
  <c r="AI176" s="1"/>
  <c r="AH580"/>
  <c r="AI580" s="1"/>
  <c r="AH2047"/>
  <c r="AI2047" s="1"/>
  <c r="AH179"/>
  <c r="AI179" s="1"/>
  <c r="O832" i="2"/>
  <c r="N620"/>
  <c r="M1640"/>
  <c r="L1040"/>
  <c r="L372"/>
  <c r="K1640"/>
  <c r="K514"/>
  <c r="AH1601" i="8"/>
  <c r="AI1601" s="1"/>
  <c r="AH1198"/>
  <c r="AI1198" s="1"/>
  <c r="AH1752"/>
  <c r="AI1752" s="1"/>
  <c r="AH605"/>
  <c r="AI605" s="1"/>
  <c r="AH307"/>
  <c r="AI307" s="1"/>
  <c r="N500" i="2"/>
  <c r="M556"/>
  <c r="O412"/>
  <c r="N1036"/>
  <c r="N260"/>
  <c r="M564"/>
  <c r="M316"/>
  <c r="L588"/>
  <c r="O588"/>
  <c r="N404"/>
  <c r="L380"/>
  <c r="K1036"/>
  <c r="K340"/>
  <c r="N412"/>
  <c r="M628"/>
  <c r="M578"/>
  <c r="M372"/>
  <c r="L1028"/>
  <c r="L556"/>
  <c r="L436"/>
  <c r="K486"/>
  <c r="K372"/>
  <c r="K276"/>
  <c r="O828"/>
  <c r="O620"/>
  <c r="O564"/>
  <c r="O436"/>
  <c r="O316"/>
  <c r="O260"/>
  <c r="N828"/>
  <c r="N588"/>
  <c r="N516"/>
  <c r="N424"/>
  <c r="N380"/>
  <c r="N288"/>
  <c r="N240"/>
  <c r="M1032"/>
  <c r="M580"/>
  <c r="M516"/>
  <c r="M464"/>
  <c r="M412"/>
  <c r="M288"/>
  <c r="M244"/>
  <c r="L620"/>
  <c r="L564"/>
  <c r="L508"/>
  <c r="L316"/>
  <c r="L260"/>
  <c r="K764"/>
  <c r="K604"/>
  <c r="K552"/>
  <c r="K496"/>
  <c r="K288"/>
  <c r="AH1498" i="8"/>
  <c r="AI1498" s="1"/>
  <c r="AH1370"/>
  <c r="AI1370" s="1"/>
  <c r="AH477"/>
  <c r="AI477" s="1"/>
  <c r="AH349"/>
  <c r="AI349" s="1"/>
  <c r="AH2089"/>
  <c r="AI2089" s="1"/>
  <c r="AH1962"/>
  <c r="AI1962" s="1"/>
  <c r="AH1838"/>
  <c r="AI1838" s="1"/>
  <c r="AH1711"/>
  <c r="AI1711" s="1"/>
  <c r="AH1584"/>
  <c r="AI1584" s="1"/>
  <c r="AH1456"/>
  <c r="AI1456" s="1"/>
  <c r="AH1073"/>
  <c r="AI1073" s="1"/>
  <c r="AH946"/>
  <c r="AI946" s="1"/>
  <c r="AH818"/>
  <c r="AI818" s="1"/>
  <c r="AH691"/>
  <c r="AI691" s="1"/>
  <c r="AH563"/>
  <c r="AI563" s="1"/>
  <c r="AH435"/>
  <c r="AI435" s="1"/>
  <c r="AH53"/>
  <c r="AI53" s="1"/>
  <c r="N564" i="2"/>
  <c r="N340"/>
  <c r="L764"/>
  <c r="L412"/>
  <c r="K1028"/>
  <c r="O508"/>
  <c r="O340"/>
  <c r="N1028"/>
  <c r="N604"/>
  <c r="N388"/>
  <c r="N292"/>
  <c r="N244"/>
  <c r="M1036"/>
  <c r="M588"/>
  <c r="M468"/>
  <c r="M380"/>
  <c r="M292"/>
  <c r="L628"/>
  <c r="L444"/>
  <c r="L340"/>
  <c r="L268"/>
  <c r="K556"/>
  <c r="K500"/>
  <c r="K436"/>
  <c r="K380"/>
  <c r="K292"/>
  <c r="K244"/>
  <c r="AH2150" i="8"/>
  <c r="AI2150" s="1"/>
  <c r="AH2023"/>
  <c r="AI2023" s="1"/>
  <c r="AH1835"/>
  <c r="AI1835" s="1"/>
  <c r="AH1708"/>
  <c r="AI1708" s="1"/>
  <c r="AH1668"/>
  <c r="AI1668" s="1"/>
  <c r="AH1581"/>
  <c r="AI1581" s="1"/>
  <c r="AH1541"/>
  <c r="AI1541" s="1"/>
  <c r="AH1517"/>
  <c r="AI1517" s="1"/>
  <c r="AH1453"/>
  <c r="AI1453" s="1"/>
  <c r="AH1413"/>
  <c r="AI1413" s="1"/>
  <c r="AH1389"/>
  <c r="AI1389" s="1"/>
  <c r="AH1325"/>
  <c r="AI1325" s="1"/>
  <c r="AH1285"/>
  <c r="AI1285" s="1"/>
  <c r="AH1262"/>
  <c r="AI1262" s="1"/>
  <c r="AH1158"/>
  <c r="AI1158" s="1"/>
  <c r="AH1134"/>
  <c r="AI1134" s="1"/>
  <c r="AH1006"/>
  <c r="AI1006" s="1"/>
  <c r="AH815"/>
  <c r="AI815" s="1"/>
  <c r="AH688"/>
  <c r="AI688" s="1"/>
  <c r="AH648"/>
  <c r="AI648" s="1"/>
  <c r="AH560"/>
  <c r="AI560" s="1"/>
  <c r="AH520"/>
  <c r="AI520" s="1"/>
  <c r="AH496"/>
  <c r="AI496" s="1"/>
  <c r="AH432"/>
  <c r="AI432" s="1"/>
  <c r="AH392"/>
  <c r="AI392" s="1"/>
  <c r="AH368"/>
  <c r="AI368" s="1"/>
  <c r="AH304"/>
  <c r="AI304" s="1"/>
  <c r="AH264"/>
  <c r="AI264" s="1"/>
  <c r="AH240"/>
  <c r="AI240" s="1"/>
  <c r="AH136"/>
  <c r="AI136" s="1"/>
  <c r="AH112"/>
  <c r="AI112" s="1"/>
  <c r="AH2106"/>
  <c r="AI2106" s="1"/>
  <c r="AH2090"/>
  <c r="AI2090" s="1"/>
  <c r="AH1979"/>
  <c r="AI1979" s="1"/>
  <c r="AH1963"/>
  <c r="AI1963" s="1"/>
  <c r="AH1854"/>
  <c r="AI1854" s="1"/>
  <c r="AH1839"/>
  <c r="AI1839" s="1"/>
  <c r="AH1728"/>
  <c r="AI1728" s="1"/>
  <c r="AH1712"/>
  <c r="AI1712" s="1"/>
  <c r="AH1585"/>
  <c r="AI1585" s="1"/>
  <c r="AH1218"/>
  <c r="AI1218" s="1"/>
  <c r="AH1090"/>
  <c r="AI1090" s="1"/>
  <c r="AH1074"/>
  <c r="AI1074" s="1"/>
  <c r="AH963"/>
  <c r="AI963" s="1"/>
  <c r="AH947"/>
  <c r="AI947" s="1"/>
  <c r="AH835"/>
  <c r="AI835" s="1"/>
  <c r="AH819"/>
  <c r="AI819" s="1"/>
  <c r="AH708"/>
  <c r="AI708" s="1"/>
  <c r="AH692"/>
  <c r="AI692" s="1"/>
  <c r="AH564"/>
  <c r="AI564" s="1"/>
  <c r="AH196"/>
  <c r="AI196" s="1"/>
  <c r="AH70"/>
  <c r="AI70" s="1"/>
  <c r="AH54"/>
  <c r="AI54" s="1"/>
  <c r="O1640" i="2"/>
  <c r="O1028"/>
  <c r="O628"/>
  <c r="O516"/>
  <c r="O444"/>
  <c r="O404"/>
  <c r="O268"/>
  <c r="N552"/>
  <c r="N468"/>
  <c r="N432"/>
  <c r="M1040"/>
  <c r="M764"/>
  <c r="M604"/>
  <c r="M546"/>
  <c r="M432"/>
  <c r="M388"/>
  <c r="L1036"/>
  <c r="L580"/>
  <c r="L516"/>
  <c r="L404"/>
  <c r="L356"/>
  <c r="L276"/>
  <c r="K828"/>
  <c r="K564"/>
  <c r="K508"/>
  <c r="K388"/>
  <c r="AH2131" i="8"/>
  <c r="AI2131" s="1"/>
  <c r="AH2004"/>
  <c r="AI2004" s="1"/>
  <c r="AH1878"/>
  <c r="AI1878" s="1"/>
  <c r="AH1243"/>
  <c r="AI1243" s="1"/>
  <c r="AH1115"/>
  <c r="AI1115" s="1"/>
  <c r="AH987"/>
  <c r="AI987" s="1"/>
  <c r="AH860"/>
  <c r="AI860" s="1"/>
  <c r="AH221"/>
  <c r="AI221" s="1"/>
  <c r="AH93"/>
  <c r="AI93" s="1"/>
  <c r="O292" i="2"/>
  <c r="M500"/>
  <c r="M260"/>
  <c r="K580"/>
  <c r="K316"/>
  <c r="N268"/>
  <c r="M828"/>
  <c r="M268"/>
  <c r="L604"/>
  <c r="K404"/>
  <c r="O764"/>
  <c r="O604"/>
  <c r="O552"/>
  <c r="O468"/>
  <c r="O380"/>
  <c r="O304"/>
  <c r="O244"/>
  <c r="N1088"/>
  <c r="N580"/>
  <c r="N512"/>
  <c r="N444"/>
  <c r="N372"/>
  <c r="N276"/>
  <c r="M1028"/>
  <c r="M620"/>
  <c r="M508"/>
  <c r="M444"/>
  <c r="M404"/>
  <c r="M356"/>
  <c r="M276"/>
  <c r="L828"/>
  <c r="L552"/>
  <c r="L500"/>
  <c r="L432"/>
  <c r="L388"/>
  <c r="L244"/>
  <c r="K1040"/>
  <c r="K584"/>
  <c r="K536"/>
  <c r="K468"/>
  <c r="K356"/>
  <c r="K268"/>
  <c r="O372"/>
  <c r="N628"/>
  <c r="K516"/>
  <c r="N508"/>
  <c r="N356"/>
  <c r="M340"/>
  <c r="L468"/>
  <c r="L292"/>
  <c r="K628"/>
  <c r="K260"/>
  <c r="O556"/>
  <c r="O500"/>
  <c r="O388"/>
  <c r="N764"/>
  <c r="K588"/>
  <c r="K412"/>
  <c r="AH2086" i="8"/>
  <c r="AI2086" s="1"/>
  <c r="AH1959"/>
  <c r="AI1959" s="1"/>
  <c r="AH1921"/>
  <c r="AI1921" s="1"/>
  <c r="AH1795"/>
  <c r="AI1795" s="1"/>
  <c r="AH1771"/>
  <c r="AI1771" s="1"/>
  <c r="AH1644"/>
  <c r="AI1644" s="1"/>
  <c r="AH1070"/>
  <c r="AI1070" s="1"/>
  <c r="AH943"/>
  <c r="AI943" s="1"/>
  <c r="AH903"/>
  <c r="AI903" s="1"/>
  <c r="AH775"/>
  <c r="AI775" s="1"/>
  <c r="AH751"/>
  <c r="AI751" s="1"/>
  <c r="AH624"/>
  <c r="AI624" s="1"/>
  <c r="AH50"/>
  <c r="AI50" s="1"/>
  <c r="AH1473"/>
  <c r="AI1473" s="1"/>
  <c r="AH1345"/>
  <c r="AI1345" s="1"/>
  <c r="AH1329"/>
  <c r="AI1329" s="1"/>
  <c r="AH1202"/>
  <c r="AI1202" s="1"/>
  <c r="AH452"/>
  <c r="AI452" s="1"/>
  <c r="AH324"/>
  <c r="AI324" s="1"/>
  <c r="AH308"/>
  <c r="AI308" s="1"/>
  <c r="AH180"/>
  <c r="AI180" s="1"/>
  <c r="AH1917"/>
  <c r="AI1917" s="1"/>
  <c r="AH1409"/>
  <c r="AI1409" s="1"/>
  <c r="AH1154"/>
  <c r="AI1154" s="1"/>
  <c r="AH771"/>
  <c r="AI771" s="1"/>
  <c r="AH516"/>
  <c r="AI516" s="1"/>
  <c r="AH132"/>
  <c r="AI132" s="1"/>
  <c r="AH2118"/>
  <c r="AI2118" s="1"/>
  <c r="AH1991"/>
  <c r="AI1991" s="1"/>
  <c r="AH1803"/>
  <c r="AI1803" s="1"/>
  <c r="AH1763"/>
  <c r="AI1763" s="1"/>
  <c r="AH7"/>
  <c r="AI7" s="1"/>
  <c r="AH1700"/>
  <c r="AI1700" s="1"/>
  <c r="AH1549"/>
  <c r="AI1549" s="1"/>
  <c r="AH1509"/>
  <c r="AI1509" s="1"/>
  <c r="AH1477"/>
  <c r="AI1477" s="1"/>
  <c r="AH1293"/>
  <c r="AI1293" s="1"/>
  <c r="AH1126"/>
  <c r="AI1126" s="1"/>
  <c r="AH1094"/>
  <c r="AI1094" s="1"/>
  <c r="AH1062"/>
  <c r="AI1062" s="1"/>
  <c r="AH974"/>
  <c r="AI974" s="1"/>
  <c r="AH911"/>
  <c r="AI911" s="1"/>
  <c r="AH871"/>
  <c r="AI871" s="1"/>
  <c r="AH839"/>
  <c r="AI839" s="1"/>
  <c r="AH807"/>
  <c r="AI807" s="1"/>
  <c r="AH656"/>
  <c r="AI656" s="1"/>
  <c r="AH584"/>
  <c r="AI584" s="1"/>
  <c r="AH552"/>
  <c r="AI552" s="1"/>
  <c r="AH400"/>
  <c r="AI400" s="1"/>
  <c r="AH360"/>
  <c r="AI360" s="1"/>
  <c r="AH208"/>
  <c r="AI208" s="1"/>
  <c r="AH168"/>
  <c r="AI168" s="1"/>
  <c r="O391" i="2"/>
  <c r="N607"/>
  <c r="M519"/>
  <c r="L247"/>
  <c r="AH2153" i="8"/>
  <c r="AI2153" s="1"/>
  <c r="AH2026"/>
  <c r="AI2026" s="1"/>
  <c r="AH1900"/>
  <c r="AI1900" s="1"/>
  <c r="AH1774"/>
  <c r="AI1774" s="1"/>
  <c r="AH1647"/>
  <c r="AI1647" s="1"/>
  <c r="AH1520"/>
  <c r="AI1520" s="1"/>
  <c r="AH1392"/>
  <c r="AI1392" s="1"/>
  <c r="AH1265"/>
  <c r="AI1265" s="1"/>
  <c r="AH1137"/>
  <c r="AI1137" s="1"/>
  <c r="AH1009"/>
  <c r="AI1009" s="1"/>
  <c r="AH882"/>
  <c r="AI882" s="1"/>
  <c r="AH754"/>
  <c r="AI754" s="1"/>
  <c r="AH627"/>
  <c r="AI627" s="1"/>
  <c r="AH499"/>
  <c r="AI499" s="1"/>
  <c r="AH371"/>
  <c r="AI371" s="1"/>
  <c r="AH243"/>
  <c r="AI243" s="1"/>
  <c r="AH115"/>
  <c r="AI115" s="1"/>
  <c r="AH1984"/>
  <c r="AI1984" s="1"/>
  <c r="AH12"/>
  <c r="AI12" s="1"/>
  <c r="AH1669"/>
  <c r="AI1669" s="1"/>
  <c r="AH1478"/>
  <c r="AI1478" s="1"/>
  <c r="AH1286"/>
  <c r="AI1286" s="1"/>
  <c r="AH1159"/>
  <c r="AI1159" s="1"/>
  <c r="AH1031"/>
  <c r="AI1031" s="1"/>
  <c r="AH904"/>
  <c r="AI904" s="1"/>
  <c r="AH776"/>
  <c r="AI776" s="1"/>
  <c r="AH649"/>
  <c r="AI649" s="1"/>
  <c r="AH521"/>
  <c r="AI521" s="1"/>
  <c r="AH393"/>
  <c r="AI393" s="1"/>
  <c r="AH345"/>
  <c r="AI345" s="1"/>
  <c r="AH313"/>
  <c r="AI313" s="1"/>
  <c r="AH217"/>
  <c r="AI217" s="1"/>
  <c r="AH153"/>
  <c r="AI153" s="1"/>
  <c r="AH89"/>
  <c r="AI89" s="1"/>
  <c r="AH2117"/>
  <c r="AI2117" s="1"/>
  <c r="AH2022"/>
  <c r="AI2022" s="1"/>
  <c r="AH1928"/>
  <c r="AI1928" s="1"/>
  <c r="AH1834"/>
  <c r="AI1834" s="1"/>
  <c r="AH1802"/>
  <c r="AI1802" s="1"/>
  <c r="AH1738"/>
  <c r="AI1738" s="1"/>
  <c r="AH1707"/>
  <c r="AI1707" s="1"/>
  <c r="AH1612"/>
  <c r="AI1612" s="1"/>
  <c r="AH1580"/>
  <c r="AI1580" s="1"/>
  <c r="AH1516"/>
  <c r="AI1516" s="1"/>
  <c r="AH1452"/>
  <c r="AI1452" s="1"/>
  <c r="AH1388"/>
  <c r="AI1388" s="1"/>
  <c r="AH1292"/>
  <c r="AI1292" s="1"/>
  <c r="AH1229"/>
  <c r="AI1229" s="1"/>
  <c r="AH1165"/>
  <c r="AI1165" s="1"/>
  <c r="AH1133"/>
  <c r="AI1133" s="1"/>
  <c r="AH1037"/>
  <c r="AI1037" s="1"/>
  <c r="AH6"/>
  <c r="AI6" s="1"/>
  <c r="AH942"/>
  <c r="AI942" s="1"/>
  <c r="AH846"/>
  <c r="AI846" s="1"/>
  <c r="AH750"/>
  <c r="AI750" s="1"/>
  <c r="AH719"/>
  <c r="AI719" s="1"/>
  <c r="AH623"/>
  <c r="AI623" s="1"/>
  <c r="AH559"/>
  <c r="AI559" s="1"/>
  <c r="AH527"/>
  <c r="AI527" s="1"/>
  <c r="AH463"/>
  <c r="AI463" s="1"/>
  <c r="AH367"/>
  <c r="AI367" s="1"/>
  <c r="AH335"/>
  <c r="AI335" s="1"/>
  <c r="AH271"/>
  <c r="AI271" s="1"/>
  <c r="AH175"/>
  <c r="AI175" s="1"/>
  <c r="AH143"/>
  <c r="AI143" s="1"/>
  <c r="AH2044"/>
  <c r="AI2044" s="1"/>
  <c r="AH1665"/>
  <c r="AI1665" s="1"/>
  <c r="AH1562"/>
  <c r="AI1562" s="1"/>
  <c r="AH1410"/>
  <c r="AI1410" s="1"/>
  <c r="AH1306"/>
  <c r="AI1306" s="1"/>
  <c r="AH1219"/>
  <c r="AI1219" s="1"/>
  <c r="AH1179"/>
  <c r="AI1179" s="1"/>
  <c r="AH1027"/>
  <c r="AI1027" s="1"/>
  <c r="AH645"/>
  <c r="AI645" s="1"/>
  <c r="O2103" i="2"/>
  <c r="O1056"/>
  <c r="O1031"/>
  <c r="O608"/>
  <c r="O575"/>
  <c r="O472"/>
  <c r="O440"/>
  <c r="N536"/>
  <c r="N415"/>
  <c r="N304"/>
  <c r="M2103"/>
  <c r="M447"/>
  <c r="M312"/>
  <c r="L2104"/>
  <c r="L607"/>
  <c r="L415"/>
  <c r="L304"/>
  <c r="K1031"/>
  <c r="K608"/>
  <c r="O2104"/>
  <c r="O1088"/>
  <c r="O1032"/>
  <c r="O792"/>
  <c r="O536"/>
  <c r="O496"/>
  <c r="O294"/>
  <c r="O256"/>
  <c r="N2096"/>
  <c r="N1056"/>
  <c r="N832"/>
  <c r="N623"/>
  <c r="N423"/>
  <c r="N312"/>
  <c r="M2104"/>
  <c r="M1088"/>
  <c r="M632"/>
  <c r="M552"/>
  <c r="M423"/>
  <c r="M391"/>
  <c r="M240"/>
  <c r="L1088"/>
  <c r="L1030"/>
  <c r="L608"/>
  <c r="L575"/>
  <c r="L496"/>
  <c r="L447"/>
  <c r="L423"/>
  <c r="L264"/>
  <c r="K2104"/>
  <c r="K1032"/>
  <c r="K472"/>
  <c r="K440"/>
  <c r="K287"/>
  <c r="L245"/>
  <c r="AH2154" i="8"/>
  <c r="AI2154" s="1"/>
  <c r="AH2027"/>
  <c r="AI2027" s="1"/>
  <c r="AH1775"/>
  <c r="AI1775" s="1"/>
  <c r="AH1521"/>
  <c r="AI1521" s="1"/>
  <c r="AH1393"/>
  <c r="AI1393" s="1"/>
  <c r="AH1138"/>
  <c r="AI1138" s="1"/>
  <c r="AH883"/>
  <c r="AI883" s="1"/>
  <c r="AH628"/>
  <c r="AI628" s="1"/>
  <c r="AH372"/>
  <c r="AI372" s="1"/>
  <c r="AH2055"/>
  <c r="AI2055" s="1"/>
  <c r="AH2015"/>
  <c r="AI2015" s="1"/>
  <c r="AH1983"/>
  <c r="AI1983" s="1"/>
  <c r="AH1951"/>
  <c r="AI1951" s="1"/>
  <c r="AH1865"/>
  <c r="AI1865" s="1"/>
  <c r="AH1739"/>
  <c r="AI1739" s="1"/>
  <c r="AH1613"/>
  <c r="AI1613" s="1"/>
  <c r="AH1485"/>
  <c r="AI1485" s="1"/>
  <c r="AH1445"/>
  <c r="AI1445" s="1"/>
  <c r="AH1357"/>
  <c r="AI1357" s="1"/>
  <c r="AH1254"/>
  <c r="AI1254" s="1"/>
  <c r="AH1222"/>
  <c r="AI1222" s="1"/>
  <c r="AH1190"/>
  <c r="AI1190" s="1"/>
  <c r="AH998"/>
  <c r="AI998" s="1"/>
  <c r="AH967"/>
  <c r="AI967" s="1"/>
  <c r="AH935"/>
  <c r="AI935" s="1"/>
  <c r="AH783"/>
  <c r="AI783" s="1"/>
  <c r="AH743"/>
  <c r="AI743" s="1"/>
  <c r="AH712"/>
  <c r="AI712" s="1"/>
  <c r="AH336"/>
  <c r="AI336" s="1"/>
  <c r="AH104"/>
  <c r="AI104" s="1"/>
  <c r="AH74"/>
  <c r="AI74" s="1"/>
  <c r="K503" i="2"/>
  <c r="AH2066" i="8"/>
  <c r="AI2066" s="1"/>
  <c r="AH1970"/>
  <c r="AI1970" s="1"/>
  <c r="AH1908"/>
  <c r="AI1908" s="1"/>
  <c r="AH1782"/>
  <c r="AI1782" s="1"/>
  <c r="AH1750"/>
  <c r="AI1750" s="1"/>
  <c r="AH1687"/>
  <c r="AI1687" s="1"/>
  <c r="AH1592"/>
  <c r="AI1592" s="1"/>
  <c r="AH1560"/>
  <c r="AI1560" s="1"/>
  <c r="AH1464"/>
  <c r="AI1464" s="1"/>
  <c r="AH1400"/>
  <c r="AI1400" s="1"/>
  <c r="AH1336"/>
  <c r="AI1336" s="1"/>
  <c r="AH17"/>
  <c r="AI17" s="1"/>
  <c r="AH1241"/>
  <c r="AI1241" s="1"/>
  <c r="AH1177"/>
  <c r="AI1177" s="1"/>
  <c r="AH1113"/>
  <c r="AI1113" s="1"/>
  <c r="AH1049"/>
  <c r="AI1049" s="1"/>
  <c r="AH1017"/>
  <c r="AI1017" s="1"/>
  <c r="AH954"/>
  <c r="AI954" s="1"/>
  <c r="AH858"/>
  <c r="AI858" s="1"/>
  <c r="AH826"/>
  <c r="AI826" s="1"/>
  <c r="AH730"/>
  <c r="AI730" s="1"/>
  <c r="AH699"/>
  <c r="AI699" s="1"/>
  <c r="AH251"/>
  <c r="AI251" s="1"/>
  <c r="AH219"/>
  <c r="AI219" s="1"/>
  <c r="AH2095"/>
  <c r="AI2095" s="1"/>
  <c r="AH2032"/>
  <c r="AI2032" s="1"/>
  <c r="AH1906"/>
  <c r="AI1906" s="1"/>
  <c r="AH1874"/>
  <c r="AI1874" s="1"/>
  <c r="AH1780"/>
  <c r="AI1780" s="1"/>
  <c r="AH1717"/>
  <c r="AI1717" s="1"/>
  <c r="AH1685"/>
  <c r="AI1685" s="1"/>
  <c r="AH1590"/>
  <c r="AI1590" s="1"/>
  <c r="AH1526"/>
  <c r="AI1526" s="1"/>
  <c r="AH1430"/>
  <c r="AI1430" s="1"/>
  <c r="AH1334"/>
  <c r="AI1334" s="1"/>
  <c r="AH1271"/>
  <c r="AI1271" s="1"/>
  <c r="AH1207"/>
  <c r="AI1207" s="1"/>
  <c r="AH1143"/>
  <c r="AI1143" s="1"/>
  <c r="AH1079"/>
  <c r="AI1079" s="1"/>
  <c r="AH1015"/>
  <c r="AI1015" s="1"/>
  <c r="AH983"/>
  <c r="AI983" s="1"/>
  <c r="AH888"/>
  <c r="AI888" s="1"/>
  <c r="AH856"/>
  <c r="AI856" s="1"/>
  <c r="AH760"/>
  <c r="AI760" s="1"/>
  <c r="AH697"/>
  <c r="AI697" s="1"/>
  <c r="AH665"/>
  <c r="AI665" s="1"/>
  <c r="AH601"/>
  <c r="AI601" s="1"/>
  <c r="AH457"/>
  <c r="AI457" s="1"/>
  <c r="AH329"/>
  <c r="AI329" s="1"/>
  <c r="AH201"/>
  <c r="AI201" s="1"/>
  <c r="AH75"/>
  <c r="AI75" s="1"/>
  <c r="AH2165"/>
  <c r="AI2165" s="1"/>
  <c r="AH2070"/>
  <c r="AI2070" s="1"/>
  <c r="AH1974"/>
  <c r="AI1974" s="1"/>
  <c r="AH1942"/>
  <c r="AI1942" s="1"/>
  <c r="AH1849"/>
  <c r="AI1849" s="1"/>
  <c r="AH1818"/>
  <c r="AI1818" s="1"/>
  <c r="AH1754"/>
  <c r="AI1754" s="1"/>
  <c r="AH1723"/>
  <c r="AI1723" s="1"/>
  <c r="AH1691"/>
  <c r="AI1691" s="1"/>
  <c r="AH1627"/>
  <c r="AI1627" s="1"/>
  <c r="AH1564"/>
  <c r="AI1564" s="1"/>
  <c r="AH1500"/>
  <c r="AI1500" s="1"/>
  <c r="AH1404"/>
  <c r="AI1404" s="1"/>
  <c r="AH1308"/>
  <c r="AI1308" s="1"/>
  <c r="AH1276"/>
  <c r="AI1276" s="1"/>
  <c r="AH1181"/>
  <c r="AI1181" s="1"/>
  <c r="AH1117"/>
  <c r="AI1117" s="1"/>
  <c r="AH1085"/>
  <c r="AI1085" s="1"/>
  <c r="AH1021"/>
  <c r="AI1021" s="1"/>
  <c r="AH989"/>
  <c r="AI989" s="1"/>
  <c r="AH926"/>
  <c r="AI926" s="1"/>
  <c r="AH894"/>
  <c r="AI894" s="1"/>
  <c r="AH830"/>
  <c r="AI830" s="1"/>
  <c r="AH734"/>
  <c r="AI734" s="1"/>
  <c r="AH639"/>
  <c r="AI639" s="1"/>
  <c r="AH607"/>
  <c r="AI607" s="1"/>
  <c r="AH511"/>
  <c r="AI511" s="1"/>
  <c r="AH479"/>
  <c r="AI479" s="1"/>
  <c r="AH383"/>
  <c r="AI383" s="1"/>
  <c r="AH351"/>
  <c r="AI351" s="1"/>
  <c r="AH287"/>
  <c r="AI287" s="1"/>
  <c r="AH255"/>
  <c r="AI255" s="1"/>
  <c r="AH191"/>
  <c r="AI191" s="1"/>
  <c r="AH127"/>
  <c r="AI127" s="1"/>
  <c r="AH95"/>
  <c r="AI95" s="1"/>
  <c r="AH49"/>
  <c r="AI49" s="1"/>
  <c r="AH1918"/>
  <c r="AI1918" s="1"/>
  <c r="AH1792"/>
  <c r="AI1792" s="1"/>
  <c r="AH1538"/>
  <c r="AI1538" s="1"/>
  <c r="AH1434"/>
  <c r="AI1434" s="1"/>
  <c r="AH1282"/>
  <c r="AI1282" s="1"/>
  <c r="AH900"/>
  <c r="AI900" s="1"/>
  <c r="AH709"/>
  <c r="AI709" s="1"/>
  <c r="AH669"/>
  <c r="AI669" s="1"/>
  <c r="AH581"/>
  <c r="AI581" s="1"/>
  <c r="AH517"/>
  <c r="AI517" s="1"/>
  <c r="AH413"/>
  <c r="AI413" s="1"/>
  <c r="AH325"/>
  <c r="AI325" s="1"/>
  <c r="AH197"/>
  <c r="AI197" s="1"/>
  <c r="O2095" i="2"/>
  <c r="O1029"/>
  <c r="O512"/>
  <c r="O432"/>
  <c r="O287"/>
  <c r="N1639"/>
  <c r="N1040"/>
  <c r="N608"/>
  <c r="N575"/>
  <c r="N471"/>
  <c r="N440"/>
  <c r="N256"/>
  <c r="M2095"/>
  <c r="M1047"/>
  <c r="M536"/>
  <c r="M496"/>
  <c r="L2096"/>
  <c r="L1047"/>
  <c r="L623"/>
  <c r="L440"/>
  <c r="K2095"/>
  <c r="K1056"/>
  <c r="K632"/>
  <c r="K464"/>
  <c r="K424"/>
  <c r="K391"/>
  <c r="K312"/>
  <c r="K264"/>
  <c r="K240"/>
  <c r="AH2043" i="8"/>
  <c r="AI2043" s="1"/>
  <c r="AH1791"/>
  <c r="AI1791" s="1"/>
  <c r="AH1664"/>
  <c r="AI1664" s="1"/>
  <c r="AH1537"/>
  <c r="AI1537" s="1"/>
  <c r="AH1281"/>
  <c r="AI1281" s="1"/>
  <c r="AH1026"/>
  <c r="AI1026" s="1"/>
  <c r="AH899"/>
  <c r="AI899" s="1"/>
  <c r="AH644"/>
  <c r="AI644" s="1"/>
  <c r="AH388"/>
  <c r="AI388" s="1"/>
  <c r="AH260"/>
  <c r="AI260" s="1"/>
  <c r="AH2142"/>
  <c r="AI2142" s="1"/>
  <c r="AH2110"/>
  <c r="AI2110" s="1"/>
  <c r="AH2079"/>
  <c r="AI2079" s="1"/>
  <c r="AH1676"/>
  <c r="AI1676" s="1"/>
  <c r="AH1636"/>
  <c r="AI1636" s="1"/>
  <c r="AH1605"/>
  <c r="AI1605" s="1"/>
  <c r="AH1573"/>
  <c r="AI1573" s="1"/>
  <c r="AH1230"/>
  <c r="AI1230" s="1"/>
  <c r="AH1166"/>
  <c r="AI1166" s="1"/>
  <c r="AH1102"/>
  <c r="AI1102" s="1"/>
  <c r="AH1038"/>
  <c r="AI1038" s="1"/>
  <c r="AH847"/>
  <c r="AI847" s="1"/>
  <c r="AH592"/>
  <c r="AI592" s="1"/>
  <c r="AH528"/>
  <c r="AI528" s="1"/>
  <c r="AH464"/>
  <c r="AI464" s="1"/>
  <c r="AH272"/>
  <c r="AI272" s="1"/>
  <c r="AH232"/>
  <c r="AI232" s="1"/>
  <c r="AH200"/>
  <c r="AI200" s="1"/>
  <c r="L2095" i="2"/>
  <c r="AH2129" i="8"/>
  <c r="AI2129" s="1"/>
  <c r="AH2097"/>
  <c r="AI2097" s="1"/>
  <c r="AH2034"/>
  <c r="AI2034" s="1"/>
  <c r="AH2002"/>
  <c r="AI2002" s="1"/>
  <c r="AH1939"/>
  <c r="AI1939" s="1"/>
  <c r="AH1876"/>
  <c r="AI1876" s="1"/>
  <c r="AH1845"/>
  <c r="AI1845" s="1"/>
  <c r="AH1814"/>
  <c r="AI1814" s="1"/>
  <c r="AH1719"/>
  <c r="AI1719" s="1"/>
  <c r="AH1655"/>
  <c r="AI1655" s="1"/>
  <c r="AH1623"/>
  <c r="AI1623" s="1"/>
  <c r="AH1528"/>
  <c r="AI1528" s="1"/>
  <c r="AH1496"/>
  <c r="AI1496" s="1"/>
  <c r="AH1432"/>
  <c r="AI1432" s="1"/>
  <c r="AH1368"/>
  <c r="AI1368" s="1"/>
  <c r="AH1304"/>
  <c r="AI1304" s="1"/>
  <c r="AH1209"/>
  <c r="AI1209" s="1"/>
  <c r="AH1145"/>
  <c r="AI1145" s="1"/>
  <c r="AH1081"/>
  <c r="AI1081" s="1"/>
  <c r="AH985"/>
  <c r="AI985" s="1"/>
  <c r="AH922"/>
  <c r="AI922" s="1"/>
  <c r="AH890"/>
  <c r="AI890" s="1"/>
  <c r="AH794"/>
  <c r="AI794" s="1"/>
  <c r="AH762"/>
  <c r="AI762" s="1"/>
  <c r="AH667"/>
  <c r="AI667" s="1"/>
  <c r="AH571"/>
  <c r="AI571" s="1"/>
  <c r="AH507"/>
  <c r="AI507" s="1"/>
  <c r="AH475"/>
  <c r="AI475" s="1"/>
  <c r="AH379"/>
  <c r="AI379" s="1"/>
  <c r="AH347"/>
  <c r="AI347" s="1"/>
  <c r="AH283"/>
  <c r="AI283" s="1"/>
  <c r="AH187"/>
  <c r="AI187" s="1"/>
  <c r="AH155"/>
  <c r="AI155" s="1"/>
  <c r="AH2159"/>
  <c r="AI2159" s="1"/>
  <c r="AH2127"/>
  <c r="AI2127" s="1"/>
  <c r="AH2064"/>
  <c r="AI2064" s="1"/>
  <c r="AH2000"/>
  <c r="AI2000" s="1"/>
  <c r="AH1968"/>
  <c r="AI1968" s="1"/>
  <c r="AH1937"/>
  <c r="AI1937" s="1"/>
  <c r="AH1843"/>
  <c r="AI1843" s="1"/>
  <c r="AH1812"/>
  <c r="AI1812" s="1"/>
  <c r="AH1748"/>
  <c r="AI1748" s="1"/>
  <c r="AH1653"/>
  <c r="AI1653" s="1"/>
  <c r="AH11"/>
  <c r="AI11" s="1"/>
  <c r="AH1558"/>
  <c r="AI1558" s="1"/>
  <c r="AH1494"/>
  <c r="AI1494" s="1"/>
  <c r="AH1462"/>
  <c r="AI1462" s="1"/>
  <c r="AH1398"/>
  <c r="AI1398" s="1"/>
  <c r="AH1366"/>
  <c r="AI1366" s="1"/>
  <c r="AH1302"/>
  <c r="AI1302" s="1"/>
  <c r="AH1239"/>
  <c r="AI1239" s="1"/>
  <c r="AH1175"/>
  <c r="AI1175" s="1"/>
  <c r="AH1111"/>
  <c r="AI1111" s="1"/>
  <c r="AH1047"/>
  <c r="AI1047" s="1"/>
  <c r="AH952"/>
  <c r="AI952" s="1"/>
  <c r="AH920"/>
  <c r="AI920" s="1"/>
  <c r="AH824"/>
  <c r="AI824" s="1"/>
  <c r="AH792"/>
  <c r="AI792" s="1"/>
  <c r="AH728"/>
  <c r="AI728" s="1"/>
  <c r="AH633"/>
  <c r="AI633" s="1"/>
  <c r="AH569"/>
  <c r="AI569" s="1"/>
  <c r="AH473"/>
  <c r="AI473" s="1"/>
  <c r="AH377"/>
  <c r="AI377" s="1"/>
  <c r="AH281"/>
  <c r="AI281" s="1"/>
  <c r="AH249"/>
  <c r="AI249" s="1"/>
  <c r="AH185"/>
  <c r="AI185" s="1"/>
  <c r="AH121"/>
  <c r="AI121" s="1"/>
  <c r="AH59"/>
  <c r="AI59" s="1"/>
  <c r="AH2149"/>
  <c r="AI2149" s="1"/>
  <c r="AH10"/>
  <c r="AI10" s="1"/>
  <c r="AH2054"/>
  <c r="AI2054" s="1"/>
  <c r="AH1990"/>
  <c r="AI1990" s="1"/>
  <c r="AH1958"/>
  <c r="AI1958" s="1"/>
  <c r="AH1896"/>
  <c r="AI1896" s="1"/>
  <c r="AH1864"/>
  <c r="AI1864" s="1"/>
  <c r="AH1770"/>
  <c r="AI1770" s="1"/>
  <c r="AH1675"/>
  <c r="AI1675" s="1"/>
  <c r="AH1643"/>
  <c r="AI1643" s="1"/>
  <c r="AH1548"/>
  <c r="AI1548" s="1"/>
  <c r="AH1484"/>
  <c r="AI1484" s="1"/>
  <c r="AH1420"/>
  <c r="AI1420" s="1"/>
  <c r="AH1356"/>
  <c r="AI1356" s="1"/>
  <c r="AH1324"/>
  <c r="AI1324" s="1"/>
  <c r="AH1261"/>
  <c r="AI1261" s="1"/>
  <c r="AH1197"/>
  <c r="AI1197" s="1"/>
  <c r="AH1101"/>
  <c r="AI1101" s="1"/>
  <c r="AH1069"/>
  <c r="AI1069" s="1"/>
  <c r="AH1005"/>
  <c r="AI1005" s="1"/>
  <c r="AH910"/>
  <c r="AI910" s="1"/>
  <c r="AH878"/>
  <c r="AI878" s="1"/>
  <c r="AH814"/>
  <c r="AI814" s="1"/>
  <c r="AH782"/>
  <c r="AI782" s="1"/>
  <c r="AH687"/>
  <c r="AI687" s="1"/>
  <c r="AH655"/>
  <c r="AI655" s="1"/>
  <c r="AH591"/>
  <c r="AI591" s="1"/>
  <c r="AH495"/>
  <c r="AI495" s="1"/>
  <c r="AH431"/>
  <c r="AI431" s="1"/>
  <c r="AH399"/>
  <c r="AI399" s="1"/>
  <c r="AH303"/>
  <c r="AI303" s="1"/>
  <c r="AH239"/>
  <c r="AI239" s="1"/>
  <c r="AH207"/>
  <c r="AI207" s="1"/>
  <c r="AH111"/>
  <c r="AI111" s="1"/>
  <c r="AH80"/>
  <c r="AI80" s="1"/>
  <c r="AH1980"/>
  <c r="AI1980" s="1"/>
  <c r="AH5"/>
  <c r="AI5" s="1"/>
  <c r="AH1855"/>
  <c r="AI1855" s="1"/>
  <c r="AH1729"/>
  <c r="AI1729" s="1"/>
  <c r="AH1602"/>
  <c r="AI1602" s="1"/>
  <c r="AH1474"/>
  <c r="AI1474" s="1"/>
  <c r="AH1051"/>
  <c r="AI1051" s="1"/>
  <c r="AH964"/>
  <c r="AI964" s="1"/>
  <c r="AH924"/>
  <c r="AI924" s="1"/>
  <c r="AH836"/>
  <c r="AI836" s="1"/>
  <c r="AH796"/>
  <c r="AI796" s="1"/>
  <c r="AH389"/>
  <c r="AI389" s="1"/>
  <c r="AH285"/>
  <c r="AI285" s="1"/>
  <c r="AH157"/>
  <c r="AI157" s="1"/>
  <c r="AH71"/>
  <c r="AI71" s="1"/>
  <c r="O2096" i="2"/>
  <c r="O607"/>
  <c r="O471"/>
  <c r="O288"/>
  <c r="O247"/>
  <c r="N1640"/>
  <c r="N1047"/>
  <c r="N792"/>
  <c r="N519"/>
  <c r="N472"/>
  <c r="M2096"/>
  <c r="M623"/>
  <c r="M304"/>
  <c r="M264"/>
  <c r="L2103"/>
  <c r="L832"/>
  <c r="L606"/>
  <c r="L519"/>
  <c r="L471"/>
  <c r="L256"/>
  <c r="K2096"/>
  <c r="K1088"/>
  <c r="K607"/>
  <c r="K512"/>
  <c r="K432"/>
  <c r="AH1901" i="8"/>
  <c r="AI1901" s="1"/>
  <c r="AH1648"/>
  <c r="AI1648" s="1"/>
  <c r="AH1266"/>
  <c r="AI1266" s="1"/>
  <c r="AH1010"/>
  <c r="AI1010" s="1"/>
  <c r="AH755"/>
  <c r="AI755" s="1"/>
  <c r="AH500"/>
  <c r="AI500" s="1"/>
  <c r="AH244"/>
  <c r="AI244" s="1"/>
  <c r="AH116"/>
  <c r="AI116" s="1"/>
  <c r="AH1929"/>
  <c r="AI1929" s="1"/>
  <c r="AH1889"/>
  <c r="AI1889" s="1"/>
  <c r="AH1858"/>
  <c r="AI1858" s="1"/>
  <c r="AH1827"/>
  <c r="AI1827" s="1"/>
  <c r="AH1421"/>
  <c r="AI1421" s="1"/>
  <c r="AH1381"/>
  <c r="AI1381" s="1"/>
  <c r="AH1349"/>
  <c r="AI1349" s="1"/>
  <c r="AH1317"/>
  <c r="AI1317" s="1"/>
  <c r="AH720"/>
  <c r="AI720" s="1"/>
  <c r="AH680"/>
  <c r="AI680" s="1"/>
  <c r="AH616"/>
  <c r="AI616" s="1"/>
  <c r="AH488"/>
  <c r="AI488" s="1"/>
  <c r="AH456"/>
  <c r="AI456" s="1"/>
  <c r="AH424"/>
  <c r="AI424" s="1"/>
  <c r="AH328"/>
  <c r="AI328" s="1"/>
  <c r="AH296"/>
  <c r="AI296" s="1"/>
  <c r="AH144"/>
  <c r="AI144" s="1"/>
  <c r="AH81"/>
  <c r="AI81" s="1"/>
  <c r="K423" i="2"/>
  <c r="AH635" i="8"/>
  <c r="AI635" s="1"/>
  <c r="AH603"/>
  <c r="AI603" s="1"/>
  <c r="AH539"/>
  <c r="AI539" s="1"/>
  <c r="AH443"/>
  <c r="AI443" s="1"/>
  <c r="AH411"/>
  <c r="AI411" s="1"/>
  <c r="AH315"/>
  <c r="AI315" s="1"/>
  <c r="AH123"/>
  <c r="AI123" s="1"/>
  <c r="AH91"/>
  <c r="AI91" s="1"/>
  <c r="AH61"/>
  <c r="AI61" s="1"/>
  <c r="AH2111"/>
  <c r="AI2111" s="1"/>
  <c r="AH2048"/>
  <c r="AI2048" s="1"/>
  <c r="AH1922"/>
  <c r="AI1922" s="1"/>
  <c r="AH1796"/>
  <c r="AI1796" s="1"/>
  <c r="AH1732"/>
  <c r="AI1732" s="1"/>
  <c r="AH1606"/>
  <c r="AI1606" s="1"/>
  <c r="AH1542"/>
  <c r="AI1542" s="1"/>
  <c r="AH1414"/>
  <c r="AI1414" s="1"/>
  <c r="AH1350"/>
  <c r="AI1350" s="1"/>
  <c r="AH1223"/>
  <c r="AI1223" s="1"/>
  <c r="AH1095"/>
  <c r="AI1095" s="1"/>
  <c r="AH968"/>
  <c r="AI968" s="1"/>
  <c r="AH840"/>
  <c r="AI840" s="1"/>
  <c r="AH713"/>
  <c r="AI713" s="1"/>
  <c r="AH585"/>
  <c r="AI585" s="1"/>
  <c r="AH537"/>
  <c r="AI537" s="1"/>
  <c r="AH505"/>
  <c r="AI505" s="1"/>
  <c r="AH441"/>
  <c r="AI441" s="1"/>
  <c r="AH409"/>
  <c r="AI409" s="1"/>
  <c r="AH265"/>
  <c r="AI265" s="1"/>
  <c r="AH137"/>
  <c r="AI137" s="1"/>
  <c r="AH2133"/>
  <c r="AI2133" s="1"/>
  <c r="AH2101"/>
  <c r="AI2101" s="1"/>
  <c r="AH2038"/>
  <c r="AI2038" s="1"/>
  <c r="AH2006"/>
  <c r="AI2006" s="1"/>
  <c r="AH1912"/>
  <c r="AI1912" s="1"/>
  <c r="AH1880"/>
  <c r="AI1880" s="1"/>
  <c r="AH1786"/>
  <c r="AI1786" s="1"/>
  <c r="AH1659"/>
  <c r="AI1659" s="1"/>
  <c r="AH1596"/>
  <c r="AI1596" s="1"/>
  <c r="AH1532"/>
  <c r="AI1532" s="1"/>
  <c r="AH1468"/>
  <c r="AI1468" s="1"/>
  <c r="AH1436"/>
  <c r="AI1436" s="1"/>
  <c r="AH1372"/>
  <c r="AI1372" s="1"/>
  <c r="AH1340"/>
  <c r="AI1340" s="1"/>
  <c r="AH1245"/>
  <c r="AI1245" s="1"/>
  <c r="AH1213"/>
  <c r="AI1213" s="1"/>
  <c r="AH1149"/>
  <c r="AI1149" s="1"/>
  <c r="AH1053"/>
  <c r="AI1053" s="1"/>
  <c r="AH958"/>
  <c r="AI958" s="1"/>
  <c r="AH862"/>
  <c r="AI862" s="1"/>
  <c r="AH798"/>
  <c r="AI798" s="1"/>
  <c r="AH766"/>
  <c r="AI766" s="1"/>
  <c r="AH703"/>
  <c r="AI703" s="1"/>
  <c r="AH671"/>
  <c r="AI671" s="1"/>
  <c r="AH575"/>
  <c r="AI575" s="1"/>
  <c r="AH543"/>
  <c r="AI543" s="1"/>
  <c r="AH447"/>
  <c r="AI447" s="1"/>
  <c r="AH415"/>
  <c r="AI415" s="1"/>
  <c r="AH319"/>
  <c r="AI319" s="1"/>
  <c r="AH223"/>
  <c r="AI223" s="1"/>
  <c r="AH159"/>
  <c r="AI159" s="1"/>
  <c r="AH65"/>
  <c r="AI65" s="1"/>
  <c r="AH2107"/>
  <c r="AI2107" s="1"/>
  <c r="AH2068"/>
  <c r="AI2068" s="1"/>
  <c r="AH1816"/>
  <c r="AI1816" s="1"/>
  <c r="AH1689"/>
  <c r="AI1689" s="1"/>
  <c r="AH1346"/>
  <c r="AI1346" s="1"/>
  <c r="AH1155"/>
  <c r="AI1155" s="1"/>
  <c r="AH1091"/>
  <c r="AI1091" s="1"/>
  <c r="AH772"/>
  <c r="AI772" s="1"/>
  <c r="AH541"/>
  <c r="AI541" s="1"/>
  <c r="AH453"/>
  <c r="AI453" s="1"/>
  <c r="AH261"/>
  <c r="AI261" s="1"/>
  <c r="AH133"/>
  <c r="AI133" s="1"/>
  <c r="O519" i="2"/>
  <c r="N2095"/>
  <c r="N496"/>
  <c r="N264"/>
  <c r="M1056"/>
  <c r="M832"/>
  <c r="M584"/>
  <c r="M503"/>
  <c r="M415"/>
  <c r="L1056"/>
  <c r="L632"/>
  <c r="L472"/>
  <c r="K2103"/>
  <c r="K575"/>
  <c r="K471"/>
  <c r="K1043" i="8"/>
  <c r="L1035" i="2"/>
  <c r="N1035"/>
  <c r="K589" i="8"/>
  <c r="N579" i="2"/>
  <c r="M579"/>
  <c r="L579"/>
  <c r="K461" i="8"/>
  <c r="K451" i="2"/>
  <c r="O451"/>
  <c r="M451"/>
  <c r="N451"/>
  <c r="L451"/>
  <c r="K365" i="8"/>
  <c r="N355" i="2"/>
  <c r="M355"/>
  <c r="K355"/>
  <c r="K285" i="8"/>
  <c r="K275" i="2"/>
  <c r="O275"/>
  <c r="M275"/>
  <c r="N275"/>
  <c r="K2090" i="8"/>
  <c r="M2090" i="2"/>
  <c r="K2090"/>
  <c r="O2090"/>
  <c r="N2090"/>
  <c r="K1759" i="8"/>
  <c r="N1754" i="2"/>
  <c r="L1754"/>
  <c r="L1594"/>
  <c r="K1601" i="8"/>
  <c r="K1594" i="2"/>
  <c r="O1594"/>
  <c r="M1594"/>
  <c r="K1186"/>
  <c r="O1186"/>
  <c r="N1186"/>
  <c r="L1186"/>
  <c r="K1194" i="8"/>
  <c r="M1050" i="2"/>
  <c r="L1050"/>
  <c r="K1058" i="8"/>
  <c r="K1050" i="2"/>
  <c r="K1050" i="8"/>
  <c r="K1042" i="2"/>
  <c r="O1042"/>
  <c r="N1042"/>
  <c r="M1042"/>
  <c r="K1034" i="8"/>
  <c r="K1026" i="2"/>
  <c r="O1026"/>
  <c r="M1026"/>
  <c r="K803" i="8"/>
  <c r="N794" i="2"/>
  <c r="L794"/>
  <c r="K794"/>
  <c r="K763" i="8"/>
  <c r="L754" i="2"/>
  <c r="N754"/>
  <c r="M754"/>
  <c r="O754"/>
  <c r="K644" i="8"/>
  <c r="K634" i="2"/>
  <c r="O634"/>
  <c r="N634"/>
  <c r="K628" i="8"/>
  <c r="K618" i="2"/>
  <c r="O618"/>
  <c r="N618"/>
  <c r="M618"/>
  <c r="K610"/>
  <c r="O610"/>
  <c r="K620" i="8"/>
  <c r="M610" i="2"/>
  <c r="N610"/>
  <c r="K596" i="8"/>
  <c r="L586" i="2"/>
  <c r="K586"/>
  <c r="O586"/>
  <c r="M586"/>
  <c r="N586"/>
  <c r="K588" i="8"/>
  <c r="N578" i="2"/>
  <c r="L578"/>
  <c r="K578"/>
  <c r="L546"/>
  <c r="N546"/>
  <c r="K546"/>
  <c r="K556" i="8"/>
  <c r="K532"/>
  <c r="K522" i="2"/>
  <c r="O522"/>
  <c r="M522"/>
  <c r="N522"/>
  <c r="K524" i="8"/>
  <c r="M514" i="2"/>
  <c r="L514"/>
  <c r="K516" i="8"/>
  <c r="K506" i="2"/>
  <c r="O506"/>
  <c r="N506"/>
  <c r="K468" i="8"/>
  <c r="N458" i="2"/>
  <c r="M458"/>
  <c r="O458"/>
  <c r="K452" i="8"/>
  <c r="M442" i="2"/>
  <c r="K442"/>
  <c r="O442"/>
  <c r="K436" i="8"/>
  <c r="M426" i="2"/>
  <c r="K426"/>
  <c r="O426"/>
  <c r="L426"/>
  <c r="K420" i="8"/>
  <c r="M410" i="2"/>
  <c r="K410"/>
  <c r="O410"/>
  <c r="L410"/>
  <c r="M370"/>
  <c r="L370"/>
  <c r="K380" i="8"/>
  <c r="N370" i="2"/>
  <c r="O370"/>
  <c r="K316" i="8"/>
  <c r="N306" i="2"/>
  <c r="L306"/>
  <c r="O306"/>
  <c r="K308" i="8"/>
  <c r="L298" i="2"/>
  <c r="K298"/>
  <c r="O298"/>
  <c r="K260" i="8"/>
  <c r="K250" i="2"/>
  <c r="O250"/>
  <c r="M250"/>
  <c r="N250"/>
  <c r="K252" i="8"/>
  <c r="N242" i="2"/>
  <c r="L242"/>
  <c r="AH2139" i="8"/>
  <c r="AI2139" s="1"/>
  <c r="AH2099"/>
  <c r="AI2099" s="1"/>
  <c r="AH2060"/>
  <c r="AI2060" s="1"/>
  <c r="AH2012"/>
  <c r="AI2012" s="1"/>
  <c r="AH1972"/>
  <c r="AI1972" s="1"/>
  <c r="AH1933"/>
  <c r="AI1933" s="1"/>
  <c r="AH1902"/>
  <c r="AI1902" s="1"/>
  <c r="AH1862"/>
  <c r="AI1862" s="1"/>
  <c r="AH1832"/>
  <c r="AI1832" s="1"/>
  <c r="AH1800"/>
  <c r="AI1800" s="1"/>
  <c r="AH1768"/>
  <c r="AI1768" s="1"/>
  <c r="AH1697"/>
  <c r="AI1697" s="1"/>
  <c r="AH1657"/>
  <c r="AI1657" s="1"/>
  <c r="AH1618"/>
  <c r="AI1618" s="1"/>
  <c r="AH1586"/>
  <c r="AI1586" s="1"/>
  <c r="AH1530"/>
  <c r="AI1530" s="1"/>
  <c r="AH1458"/>
  <c r="AI1458" s="1"/>
  <c r="AH1418"/>
  <c r="AI1418" s="1"/>
  <c r="AH1386"/>
  <c r="AI1386" s="1"/>
  <c r="AH1354"/>
  <c r="AI1354" s="1"/>
  <c r="AH1322"/>
  <c r="AI1322" s="1"/>
  <c r="AH1290"/>
  <c r="AI1290" s="1"/>
  <c r="AH1259"/>
  <c r="AI1259" s="1"/>
  <c r="AH1187"/>
  <c r="AI1187" s="1"/>
  <c r="AH1147"/>
  <c r="AI1147" s="1"/>
  <c r="AH1107"/>
  <c r="AI1107" s="1"/>
  <c r="AH1075"/>
  <c r="AI1075" s="1"/>
  <c r="AH1035"/>
  <c r="AI1035" s="1"/>
  <c r="AH1003"/>
  <c r="AI1003" s="1"/>
  <c r="AH956"/>
  <c r="AI956" s="1"/>
  <c r="AH916"/>
  <c r="AI916" s="1"/>
  <c r="AH884"/>
  <c r="AI884" s="1"/>
  <c r="AH852"/>
  <c r="AI852" s="1"/>
  <c r="AH804"/>
  <c r="AI804" s="1"/>
  <c r="AH764"/>
  <c r="AI764" s="1"/>
  <c r="AH725"/>
  <c r="AI725" s="1"/>
  <c r="AH693"/>
  <c r="AI693" s="1"/>
  <c r="AH661"/>
  <c r="AI661" s="1"/>
  <c r="AH613"/>
  <c r="AI613" s="1"/>
  <c r="AH573"/>
  <c r="AI573" s="1"/>
  <c r="AH501"/>
  <c r="AI501" s="1"/>
  <c r="AH461"/>
  <c r="AI461" s="1"/>
  <c r="AH429"/>
  <c r="AI429" s="1"/>
  <c r="AH397"/>
  <c r="AI397" s="1"/>
  <c r="AH365"/>
  <c r="AI365" s="1"/>
  <c r="AH317"/>
  <c r="AI317" s="1"/>
  <c r="AH277"/>
  <c r="AI277" s="1"/>
  <c r="AH253"/>
  <c r="AI253" s="1"/>
  <c r="AH165"/>
  <c r="AI165" s="1"/>
  <c r="AH141"/>
  <c r="AI141" s="1"/>
  <c r="AH109"/>
  <c r="AI109" s="1"/>
  <c r="AH78"/>
  <c r="AI78" s="1"/>
  <c r="L307" i="2"/>
  <c r="N469"/>
  <c r="L637"/>
  <c r="L355"/>
  <c r="K579"/>
  <c r="AH2162" i="8"/>
  <c r="AI2162" s="1"/>
  <c r="AH2146"/>
  <c r="AI2146" s="1"/>
  <c r="AH2138"/>
  <c r="AI2138" s="1"/>
  <c r="AH2130"/>
  <c r="AI2130" s="1"/>
  <c r="AH2122"/>
  <c r="AI2122" s="1"/>
  <c r="AH2114"/>
  <c r="AI2114" s="1"/>
  <c r="AH2098"/>
  <c r="AI2098" s="1"/>
  <c r="AH2083"/>
  <c r="AI2083" s="1"/>
  <c r="AH2075"/>
  <c r="AI2075" s="1"/>
  <c r="AH2067"/>
  <c r="AI2067" s="1"/>
  <c r="AH2059"/>
  <c r="AI2059" s="1"/>
  <c r="AH2051"/>
  <c r="AI2051" s="1"/>
  <c r="AH2035"/>
  <c r="AI2035" s="1"/>
  <c r="AH2019"/>
  <c r="AI2019" s="1"/>
  <c r="AH2011"/>
  <c r="AI2011" s="1"/>
  <c r="AH2003"/>
  <c r="AI2003" s="1"/>
  <c r="AH1995"/>
  <c r="AI1995" s="1"/>
  <c r="AH1987"/>
  <c r="AI1987" s="1"/>
  <c r="AH1971"/>
  <c r="AI1971" s="1"/>
  <c r="AH1955"/>
  <c r="AI1955" s="1"/>
  <c r="AH1947"/>
  <c r="AI1947" s="1"/>
  <c r="AH1940"/>
  <c r="AI1940" s="1"/>
  <c r="AH1932"/>
  <c r="AI1932" s="1"/>
  <c r="AH1925"/>
  <c r="AI1925" s="1"/>
  <c r="AH1909"/>
  <c r="AI1909" s="1"/>
  <c r="AH1893"/>
  <c r="AI1893" s="1"/>
  <c r="AH1885"/>
  <c r="AI1885" s="1"/>
  <c r="AH1877"/>
  <c r="AI1877" s="1"/>
  <c r="AH1869"/>
  <c r="AI1869" s="1"/>
  <c r="AH1861"/>
  <c r="AI1861" s="1"/>
  <c r="AH1846"/>
  <c r="AI1846" s="1"/>
  <c r="AH1831"/>
  <c r="AI1831" s="1"/>
  <c r="AH1823"/>
  <c r="AI1823" s="1"/>
  <c r="AH1815"/>
  <c r="AI1815" s="1"/>
  <c r="AH1807"/>
  <c r="AI1807" s="1"/>
  <c r="AH1799"/>
  <c r="AI1799" s="1"/>
  <c r="AH1783"/>
  <c r="AI1783" s="1"/>
  <c r="AH1767"/>
  <c r="AI1767" s="1"/>
  <c r="AH1759"/>
  <c r="AI1759" s="1"/>
  <c r="AH1751"/>
  <c r="AI1751" s="1"/>
  <c r="AH1743"/>
  <c r="AI1743" s="1"/>
  <c r="AH1735"/>
  <c r="AI1735" s="1"/>
  <c r="AH1720"/>
  <c r="AI1720" s="1"/>
  <c r="AH1704"/>
  <c r="AI1704" s="1"/>
  <c r="AH1696"/>
  <c r="AI1696" s="1"/>
  <c r="AH1688"/>
  <c r="AI1688" s="1"/>
  <c r="AH1680"/>
  <c r="AI1680" s="1"/>
  <c r="AH1672"/>
  <c r="AI1672" s="1"/>
  <c r="AH1656"/>
  <c r="AI1656" s="1"/>
  <c r="AH1640"/>
  <c r="AI1640" s="1"/>
  <c r="AH1632"/>
  <c r="AI1632" s="1"/>
  <c r="AH1624"/>
  <c r="AI1624" s="1"/>
  <c r="AH1617"/>
  <c r="AI1617" s="1"/>
  <c r="AH1609"/>
  <c r="AI1609" s="1"/>
  <c r="AH1593"/>
  <c r="AI1593" s="1"/>
  <c r="AH1577"/>
  <c r="AI1577" s="1"/>
  <c r="AH1569"/>
  <c r="AI1569" s="1"/>
  <c r="AH1561"/>
  <c r="AI1561" s="1"/>
  <c r="AH1553"/>
  <c r="AI1553" s="1"/>
  <c r="AH1545"/>
  <c r="AI1545" s="1"/>
  <c r="AH1529"/>
  <c r="AI1529" s="1"/>
  <c r="AH1513"/>
  <c r="AI1513" s="1"/>
  <c r="AH1505"/>
  <c r="AI1505" s="1"/>
  <c r="AH1497"/>
  <c r="AI1497" s="1"/>
  <c r="AH1489"/>
  <c r="AI1489" s="1"/>
  <c r="AH1481"/>
  <c r="AI1481" s="1"/>
  <c r="AH1465"/>
  <c r="AI1465" s="1"/>
  <c r="AH1449"/>
  <c r="AI1449" s="1"/>
  <c r="AH1441"/>
  <c r="AI1441" s="1"/>
  <c r="AH1433"/>
  <c r="AI1433" s="1"/>
  <c r="AH1425"/>
  <c r="AI1425" s="1"/>
  <c r="AH1417"/>
  <c r="AI1417" s="1"/>
  <c r="AH1401"/>
  <c r="AI1401" s="1"/>
  <c r="AH1385"/>
  <c r="AI1385" s="1"/>
  <c r="AH1377"/>
  <c r="AI1377" s="1"/>
  <c r="AH1369"/>
  <c r="AI1369" s="1"/>
  <c r="AH1361"/>
  <c r="AI1361" s="1"/>
  <c r="AH1353"/>
  <c r="AI1353" s="1"/>
  <c r="AH1337"/>
  <c r="AI1337" s="1"/>
  <c r="AH1321"/>
  <c r="AI1321" s="1"/>
  <c r="AH1313"/>
  <c r="AI1313" s="1"/>
  <c r="AH1305"/>
  <c r="AI1305" s="1"/>
  <c r="AH1297"/>
  <c r="AI1297" s="1"/>
  <c r="AH1289"/>
  <c r="AI1289" s="1"/>
  <c r="AH1273"/>
  <c r="AI1273" s="1"/>
  <c r="AH1258"/>
  <c r="AI1258" s="1"/>
  <c r="AH1250"/>
  <c r="AI1250" s="1"/>
  <c r="AH1242"/>
  <c r="AI1242" s="1"/>
  <c r="AH1234"/>
  <c r="AI1234" s="1"/>
  <c r="AH1226"/>
  <c r="AI1226" s="1"/>
  <c r="AH1210"/>
  <c r="AI1210" s="1"/>
  <c r="AH1194"/>
  <c r="AI1194" s="1"/>
  <c r="AH1186"/>
  <c r="AI1186" s="1"/>
  <c r="AH1178"/>
  <c r="AI1178" s="1"/>
  <c r="AH1170"/>
  <c r="AI1170" s="1"/>
  <c r="AH1162"/>
  <c r="AI1162" s="1"/>
  <c r="AH1146"/>
  <c r="AI1146" s="1"/>
  <c r="AH1130"/>
  <c r="AI1130" s="1"/>
  <c r="AH1122"/>
  <c r="AI1122" s="1"/>
  <c r="AH1114"/>
  <c r="AI1114" s="1"/>
  <c r="AH1106"/>
  <c r="AI1106" s="1"/>
  <c r="AH1098"/>
  <c r="AI1098" s="1"/>
  <c r="AH1082"/>
  <c r="AI1082" s="1"/>
  <c r="AH1066"/>
  <c r="AI1066" s="1"/>
  <c r="AH1058"/>
  <c r="AI1058" s="1"/>
  <c r="AH1050"/>
  <c r="AI1050" s="1"/>
  <c r="AH1042"/>
  <c r="AI1042" s="1"/>
  <c r="AH1034"/>
  <c r="AI1034" s="1"/>
  <c r="AH1018"/>
  <c r="AI1018" s="1"/>
  <c r="AH1002"/>
  <c r="AI1002" s="1"/>
  <c r="AH994"/>
  <c r="AI994" s="1"/>
  <c r="AH986"/>
  <c r="AI986" s="1"/>
  <c r="AH978"/>
  <c r="AI978" s="1"/>
  <c r="AH971"/>
  <c r="AI971" s="1"/>
  <c r="AH955"/>
  <c r="AI955" s="1"/>
  <c r="AH939"/>
  <c r="AI939" s="1"/>
  <c r="AH931"/>
  <c r="AI931" s="1"/>
  <c r="AH923"/>
  <c r="AI923" s="1"/>
  <c r="AH915"/>
  <c r="AI915" s="1"/>
  <c r="AH907"/>
  <c r="AI907" s="1"/>
  <c r="AH891"/>
  <c r="AI891" s="1"/>
  <c r="AH875"/>
  <c r="AI875" s="1"/>
  <c r="AH867"/>
  <c r="AI867" s="1"/>
  <c r="AH859"/>
  <c r="AI859" s="1"/>
  <c r="AH851"/>
  <c r="AI851" s="1"/>
  <c r="AH843"/>
  <c r="AI843" s="1"/>
  <c r="AH827"/>
  <c r="AI827" s="1"/>
  <c r="AH811"/>
  <c r="AI811" s="1"/>
  <c r="AH803"/>
  <c r="AI803" s="1"/>
  <c r="AH795"/>
  <c r="AI795" s="1"/>
  <c r="AH787"/>
  <c r="AI787" s="1"/>
  <c r="AH779"/>
  <c r="AI779" s="1"/>
  <c r="AH763"/>
  <c r="AI763" s="1"/>
  <c r="AH747"/>
  <c r="AI747" s="1"/>
  <c r="AH739"/>
  <c r="AI739" s="1"/>
  <c r="AH731"/>
  <c r="AI731" s="1"/>
  <c r="AH724"/>
  <c r="AI724" s="1"/>
  <c r="AH716"/>
  <c r="AI716" s="1"/>
  <c r="AH700"/>
  <c r="AI700" s="1"/>
  <c r="AH684"/>
  <c r="AI684" s="1"/>
  <c r="AH676"/>
  <c r="AI676" s="1"/>
  <c r="AH668"/>
  <c r="AI668" s="1"/>
  <c r="AH660"/>
  <c r="AI660" s="1"/>
  <c r="AH652"/>
  <c r="AI652" s="1"/>
  <c r="AH636"/>
  <c r="AI636" s="1"/>
  <c r="AH620"/>
  <c r="AI620" s="1"/>
  <c r="AH612"/>
  <c r="AI612" s="1"/>
  <c r="AH604"/>
  <c r="AI604" s="1"/>
  <c r="AH596"/>
  <c r="AI596" s="1"/>
  <c r="AH588"/>
  <c r="AI588" s="1"/>
  <c r="AH572"/>
  <c r="AI572" s="1"/>
  <c r="AH556"/>
  <c r="AI556" s="1"/>
  <c r="AH548"/>
  <c r="AI548" s="1"/>
  <c r="AH540"/>
  <c r="AI540" s="1"/>
  <c r="AH532"/>
  <c r="AI532" s="1"/>
  <c r="AH524"/>
  <c r="AI524" s="1"/>
  <c r="AH508"/>
  <c r="AI508" s="1"/>
  <c r="AH492"/>
  <c r="AI492" s="1"/>
  <c r="AH484"/>
  <c r="AI484" s="1"/>
  <c r="AH476"/>
  <c r="AI476" s="1"/>
  <c r="AH468"/>
  <c r="AI468" s="1"/>
  <c r="AH460"/>
  <c r="AI460" s="1"/>
  <c r="AH444"/>
  <c r="AI444" s="1"/>
  <c r="AH428"/>
  <c r="AI428" s="1"/>
  <c r="AH420"/>
  <c r="AI420" s="1"/>
  <c r="AH412"/>
  <c r="AI412" s="1"/>
  <c r="AH404"/>
  <c r="AI404" s="1"/>
  <c r="AH396"/>
  <c r="AI396" s="1"/>
  <c r="AH380"/>
  <c r="AI380" s="1"/>
  <c r="AH364"/>
  <c r="AI364" s="1"/>
  <c r="AH356"/>
  <c r="AI356" s="1"/>
  <c r="AH348"/>
  <c r="AI348" s="1"/>
  <c r="AH340"/>
  <c r="AI340" s="1"/>
  <c r="AH332"/>
  <c r="AI332" s="1"/>
  <c r="AH316"/>
  <c r="AI316" s="1"/>
  <c r="AH300"/>
  <c r="AI300" s="1"/>
  <c r="AH292"/>
  <c r="AI292" s="1"/>
  <c r="AH284"/>
  <c r="AI284" s="1"/>
  <c r="AH276"/>
  <c r="AI276" s="1"/>
  <c r="AH268"/>
  <c r="AI268" s="1"/>
  <c r="AH252"/>
  <c r="AI252" s="1"/>
  <c r="AH236"/>
  <c r="AI236" s="1"/>
  <c r="AH228"/>
  <c r="AI228" s="1"/>
  <c r="AH220"/>
  <c r="AI220" s="1"/>
  <c r="AH212"/>
  <c r="AI212" s="1"/>
  <c r="AH204"/>
  <c r="AI204" s="1"/>
  <c r="AH188"/>
  <c r="AI188" s="1"/>
  <c r="AH172"/>
  <c r="AI172" s="1"/>
  <c r="AH164"/>
  <c r="AI164" s="1"/>
  <c r="AH156"/>
  <c r="AI156" s="1"/>
  <c r="AH148"/>
  <c r="AI148" s="1"/>
  <c r="AH140"/>
  <c r="AI140" s="1"/>
  <c r="AH124"/>
  <c r="AI124" s="1"/>
  <c r="AH108"/>
  <c r="AI108" s="1"/>
  <c r="AH100"/>
  <c r="AI100" s="1"/>
  <c r="AH92"/>
  <c r="AI92" s="1"/>
  <c r="AH84"/>
  <c r="AI84" s="1"/>
  <c r="AH77"/>
  <c r="AI77" s="1"/>
  <c r="AH62"/>
  <c r="AI62" s="1"/>
  <c r="K1051"/>
  <c r="N1043" i="2"/>
  <c r="L1043"/>
  <c r="M1043"/>
  <c r="O1043"/>
  <c r="K836" i="8"/>
  <c r="N827" i="2"/>
  <c r="M827"/>
  <c r="L827"/>
  <c r="K827"/>
  <c r="K645" i="8"/>
  <c r="N635" i="2"/>
  <c r="L635"/>
  <c r="M635"/>
  <c r="K613" i="8"/>
  <c r="N603" i="2"/>
  <c r="L603"/>
  <c r="K603"/>
  <c r="K581" i="8"/>
  <c r="M571" i="2"/>
  <c r="L571"/>
  <c r="N571"/>
  <c r="O571"/>
  <c r="K549" i="8"/>
  <c r="N539" i="2"/>
  <c r="M539"/>
  <c r="K421" i="8"/>
  <c r="M411" i="2"/>
  <c r="L411"/>
  <c r="K325" i="8"/>
  <c r="L315" i="2"/>
  <c r="N315"/>
  <c r="M315"/>
  <c r="K567" i="8"/>
  <c r="K557" i="2"/>
  <c r="O557"/>
  <c r="N557"/>
  <c r="K519" i="8"/>
  <c r="N509" i="2"/>
  <c r="M509"/>
  <c r="K509"/>
  <c r="L509"/>
  <c r="K495" i="8"/>
  <c r="N485" i="2"/>
  <c r="L485"/>
  <c r="K485"/>
  <c r="K471" i="8"/>
  <c r="M461" i="2"/>
  <c r="K461"/>
  <c r="O461"/>
  <c r="N461"/>
  <c r="K423" i="8"/>
  <c r="L413" i="2"/>
  <c r="K413"/>
  <c r="O413"/>
  <c r="N413"/>
  <c r="K399" i="8"/>
  <c r="M389" i="2"/>
  <c r="K389"/>
  <c r="O389"/>
  <c r="K1811" i="8"/>
  <c r="N1806" i="2"/>
  <c r="M1806"/>
  <c r="O1806"/>
  <c r="K1597" i="8"/>
  <c r="M1590" i="2"/>
  <c r="L1590"/>
  <c r="K1357" i="8"/>
  <c r="N1350" i="2"/>
  <c r="M1350"/>
  <c r="L1350"/>
  <c r="O1350"/>
  <c r="K1262" i="8"/>
  <c r="N1254" i="2"/>
  <c r="L1254"/>
  <c r="O1254"/>
  <c r="M1254"/>
  <c r="K696" i="8"/>
  <c r="M686" i="2"/>
  <c r="L686"/>
  <c r="O686"/>
  <c r="N686"/>
  <c r="K648" i="8"/>
  <c r="M638" i="2"/>
  <c r="K638"/>
  <c r="O638"/>
  <c r="K576" i="8"/>
  <c r="M566" i="2"/>
  <c r="K566"/>
  <c r="O566"/>
  <c r="N566"/>
  <c r="K552" i="8"/>
  <c r="M542" i="2"/>
  <c r="K542"/>
  <c r="O542"/>
  <c r="L542"/>
  <c r="K384" i="8"/>
  <c r="L374" i="2"/>
  <c r="K374"/>
  <c r="O374"/>
  <c r="N374"/>
  <c r="K264" i="8"/>
  <c r="K254" i="2"/>
  <c r="O254"/>
  <c r="N254"/>
  <c r="M254"/>
  <c r="L254"/>
  <c r="AH2147" i="8"/>
  <c r="AI2147" s="1"/>
  <c r="AH2076"/>
  <c r="AI2076" s="1"/>
  <c r="AH2036"/>
  <c r="AI2036" s="1"/>
  <c r="AH1996"/>
  <c r="AI1996" s="1"/>
  <c r="AH1964"/>
  <c r="AI1964" s="1"/>
  <c r="AH1894"/>
  <c r="AI1894" s="1"/>
  <c r="AH1847"/>
  <c r="AI1847" s="1"/>
  <c r="AH1776"/>
  <c r="AI1776" s="1"/>
  <c r="AH1736"/>
  <c r="AI1736" s="1"/>
  <c r="AH1713"/>
  <c r="AI1713" s="1"/>
  <c r="AH1649"/>
  <c r="AI1649" s="1"/>
  <c r="AH1610"/>
  <c r="AI1610" s="1"/>
  <c r="AH1578"/>
  <c r="AI1578" s="1"/>
  <c r="AH1546"/>
  <c r="AI1546" s="1"/>
  <c r="AH1514"/>
  <c r="AI1514" s="1"/>
  <c r="AH1482"/>
  <c r="AI1482" s="1"/>
  <c r="AH1450"/>
  <c r="AI1450" s="1"/>
  <c r="AH1402"/>
  <c r="AI1402" s="1"/>
  <c r="AH1362"/>
  <c r="AI1362" s="1"/>
  <c r="AH1330"/>
  <c r="AI1330" s="1"/>
  <c r="AH1251"/>
  <c r="AI1251" s="1"/>
  <c r="AH1211"/>
  <c r="AI1211" s="1"/>
  <c r="AH1171"/>
  <c r="AI1171" s="1"/>
  <c r="AH1139"/>
  <c r="AI1139" s="1"/>
  <c r="AH1099"/>
  <c r="AI1099" s="1"/>
  <c r="AH1067"/>
  <c r="AI1067" s="1"/>
  <c r="AH1043"/>
  <c r="AI1043" s="1"/>
  <c r="AH995"/>
  <c r="AI995" s="1"/>
  <c r="AH932"/>
  <c r="AI932" s="1"/>
  <c r="AH892"/>
  <c r="AI892" s="1"/>
  <c r="AH844"/>
  <c r="AI844" s="1"/>
  <c r="AH812"/>
  <c r="AI812" s="1"/>
  <c r="AH740"/>
  <c r="AI740" s="1"/>
  <c r="AH677"/>
  <c r="AI677" s="1"/>
  <c r="AH637"/>
  <c r="AI637" s="1"/>
  <c r="AH597"/>
  <c r="AI597" s="1"/>
  <c r="AH565"/>
  <c r="AI565" s="1"/>
  <c r="AH533"/>
  <c r="AI533" s="1"/>
  <c r="AH485"/>
  <c r="AI485" s="1"/>
  <c r="AH421"/>
  <c r="AI421" s="1"/>
  <c r="AH373"/>
  <c r="AI373" s="1"/>
  <c r="AH333"/>
  <c r="AI333" s="1"/>
  <c r="AH301"/>
  <c r="AI301" s="1"/>
  <c r="AH269"/>
  <c r="AI269" s="1"/>
  <c r="AH237"/>
  <c r="AI237" s="1"/>
  <c r="AH205"/>
  <c r="AI205" s="1"/>
  <c r="AH173"/>
  <c r="AI173" s="1"/>
  <c r="AH125"/>
  <c r="AI125" s="1"/>
  <c r="AH85"/>
  <c r="AI85" s="1"/>
  <c r="AH47"/>
  <c r="AI47" s="1"/>
  <c r="M1035" i="2"/>
  <c r="L403"/>
  <c r="L275"/>
  <c r="AH2161" i="8"/>
  <c r="AI2161" s="1"/>
  <c r="AH2058"/>
  <c r="AI2058" s="1"/>
  <c r="AH1931"/>
  <c r="AI1931" s="1"/>
  <c r="AH1806"/>
  <c r="AI1806" s="1"/>
  <c r="AH1679"/>
  <c r="AI1679" s="1"/>
  <c r="AH1616"/>
  <c r="AI1616" s="1"/>
  <c r="AH1360"/>
  <c r="AI1360" s="1"/>
  <c r="AH1296"/>
  <c r="AI1296" s="1"/>
  <c r="AH1233"/>
  <c r="AI1233" s="1"/>
  <c r="AH1169"/>
  <c r="AI1169" s="1"/>
  <c r="AH1105"/>
  <c r="AI1105" s="1"/>
  <c r="AH1041"/>
  <c r="AI1041" s="1"/>
  <c r="AH850"/>
  <c r="AI850" s="1"/>
  <c r="AH786"/>
  <c r="AI786" s="1"/>
  <c r="AH659"/>
  <c r="AI659" s="1"/>
  <c r="AH595"/>
  <c r="AI595" s="1"/>
  <c r="AH275"/>
  <c r="AI275" s="1"/>
  <c r="AH211"/>
  <c r="AI211" s="1"/>
  <c r="AH147"/>
  <c r="AI147" s="1"/>
  <c r="AH2143"/>
  <c r="AI2143" s="1"/>
  <c r="AH2016"/>
  <c r="AI2016" s="1"/>
  <c r="AH1952"/>
  <c r="AI1952" s="1"/>
  <c r="AH1890"/>
  <c r="AI1890" s="1"/>
  <c r="AH1701"/>
  <c r="AI1701" s="1"/>
  <c r="AH1637"/>
  <c r="AI1637" s="1"/>
  <c r="AH1574"/>
  <c r="AI1574" s="1"/>
  <c r="AH1510"/>
  <c r="AI1510" s="1"/>
  <c r="AH1446"/>
  <c r="AI1446" s="1"/>
  <c r="AH1318"/>
  <c r="AI1318" s="1"/>
  <c r="AH1255"/>
  <c r="AI1255" s="1"/>
  <c r="AH1191"/>
  <c r="AI1191" s="1"/>
  <c r="AH1127"/>
  <c r="AI1127" s="1"/>
  <c r="AH1063"/>
  <c r="AI1063" s="1"/>
  <c r="AH999"/>
  <c r="AI999" s="1"/>
  <c r="AH936"/>
  <c r="AI936" s="1"/>
  <c r="AH872"/>
  <c r="AI872" s="1"/>
  <c r="AH808"/>
  <c r="AI808" s="1"/>
  <c r="AH744"/>
  <c r="AI744" s="1"/>
  <c r="AH617"/>
  <c r="AI617" s="1"/>
  <c r="AH553"/>
  <c r="AI553" s="1"/>
  <c r="AH489"/>
  <c r="AI489" s="1"/>
  <c r="AH233"/>
  <c r="AI233" s="1"/>
  <c r="O1035" i="2"/>
  <c r="O827"/>
  <c r="O514"/>
  <c r="O485"/>
  <c r="O411"/>
  <c r="O242"/>
  <c r="N429"/>
  <c r="N298"/>
  <c r="M557"/>
  <c r="M306"/>
  <c r="M270"/>
  <c r="M242"/>
  <c r="L539"/>
  <c r="L506"/>
  <c r="L461"/>
  <c r="L250"/>
  <c r="K1350"/>
  <c r="K573" i="8"/>
  <c r="N563" i="2"/>
  <c r="L563"/>
  <c r="M563"/>
  <c r="O563"/>
  <c r="K509" i="8"/>
  <c r="M499" i="2"/>
  <c r="L499"/>
  <c r="O499"/>
  <c r="N499"/>
  <c r="K445" i="8"/>
  <c r="L435" i="2"/>
  <c r="K435"/>
  <c r="O435"/>
  <c r="M435"/>
  <c r="N435"/>
  <c r="K413" i="8"/>
  <c r="K403" i="2"/>
  <c r="O403"/>
  <c r="N403"/>
  <c r="K647" i="8"/>
  <c r="N637" i="2"/>
  <c r="M637"/>
  <c r="O637"/>
  <c r="K479" i="8"/>
  <c r="L469" i="2"/>
  <c r="K469"/>
  <c r="O469"/>
  <c r="K311" i="8"/>
  <c r="K301" i="2"/>
  <c r="O301"/>
  <c r="M301"/>
  <c r="N301"/>
  <c r="K1062" i="8"/>
  <c r="L1054" i="2"/>
  <c r="N1054"/>
  <c r="K1054"/>
  <c r="K1038" i="8"/>
  <c r="N1030" i="2"/>
  <c r="M1030"/>
  <c r="K1030"/>
  <c r="K847" i="8"/>
  <c r="L838" i="2"/>
  <c r="N838"/>
  <c r="O838"/>
  <c r="K632" i="8"/>
  <c r="M622" i="2"/>
  <c r="K622"/>
  <c r="O622"/>
  <c r="N622"/>
  <c r="K584" i="8"/>
  <c r="L574" i="2"/>
  <c r="K574"/>
  <c r="O574"/>
  <c r="N574"/>
  <c r="K536" i="8"/>
  <c r="K526" i="2"/>
  <c r="O526"/>
  <c r="N526"/>
  <c r="M526"/>
  <c r="K512" i="8"/>
  <c r="L502" i="2"/>
  <c r="K502"/>
  <c r="O502"/>
  <c r="M502"/>
  <c r="N502"/>
  <c r="K464" i="8"/>
  <c r="N454" i="2"/>
  <c r="L454"/>
  <c r="M454"/>
  <c r="O454"/>
  <c r="K320" i="8"/>
  <c r="M310" i="2"/>
  <c r="K310"/>
  <c r="O310"/>
  <c r="N310"/>
  <c r="AH2155" i="8"/>
  <c r="AI2155" s="1"/>
  <c r="AH2115"/>
  <c r="AI2115" s="1"/>
  <c r="AH2084"/>
  <c r="AI2084" s="1"/>
  <c r="AH2052"/>
  <c r="AI2052" s="1"/>
  <c r="AH2020"/>
  <c r="AI2020" s="1"/>
  <c r="AH1948"/>
  <c r="AI1948" s="1"/>
  <c r="AH1910"/>
  <c r="AI1910" s="1"/>
  <c r="AH1870"/>
  <c r="AI1870" s="1"/>
  <c r="AH1840"/>
  <c r="AI1840" s="1"/>
  <c r="AH1808"/>
  <c r="AI1808" s="1"/>
  <c r="AH1760"/>
  <c r="AI1760" s="1"/>
  <c r="AH1721"/>
  <c r="AI1721" s="1"/>
  <c r="AH1681"/>
  <c r="AI1681" s="1"/>
  <c r="AH1633"/>
  <c r="AI1633" s="1"/>
  <c r="AH1594"/>
  <c r="AI1594" s="1"/>
  <c r="AH1554"/>
  <c r="AI1554" s="1"/>
  <c r="AH1522"/>
  <c r="AI1522" s="1"/>
  <c r="AH1490"/>
  <c r="AI1490" s="1"/>
  <c r="AH1442"/>
  <c r="AI1442" s="1"/>
  <c r="AH1378"/>
  <c r="AI1378" s="1"/>
  <c r="AH1338"/>
  <c r="AI1338" s="1"/>
  <c r="AH1298"/>
  <c r="AI1298" s="1"/>
  <c r="AH1267"/>
  <c r="AI1267" s="1"/>
  <c r="AH1227"/>
  <c r="AI1227" s="1"/>
  <c r="AH1195"/>
  <c r="AI1195" s="1"/>
  <c r="AH1123"/>
  <c r="AI1123" s="1"/>
  <c r="AH1059"/>
  <c r="AI1059" s="1"/>
  <c r="AH1019"/>
  <c r="AI1019" s="1"/>
  <c r="AH979"/>
  <c r="AI979" s="1"/>
  <c r="AH940"/>
  <c r="AI940" s="1"/>
  <c r="AH908"/>
  <c r="AI908" s="1"/>
  <c r="AH876"/>
  <c r="AI876" s="1"/>
  <c r="AH820"/>
  <c r="AI820" s="1"/>
  <c r="AH780"/>
  <c r="AI780" s="1"/>
  <c r="AH748"/>
  <c r="AI748" s="1"/>
  <c r="AH717"/>
  <c r="AI717" s="1"/>
  <c r="AH685"/>
  <c r="AI685" s="1"/>
  <c r="AH653"/>
  <c r="AI653" s="1"/>
  <c r="AH621"/>
  <c r="AI621" s="1"/>
  <c r="AH549"/>
  <c r="AI549" s="1"/>
  <c r="AH509"/>
  <c r="AI509" s="1"/>
  <c r="AH469"/>
  <c r="AI469" s="1"/>
  <c r="AH437"/>
  <c r="AI437" s="1"/>
  <c r="AH405"/>
  <c r="AI405" s="1"/>
  <c r="AH341"/>
  <c r="AI341" s="1"/>
  <c r="AH309"/>
  <c r="AI309" s="1"/>
  <c r="AH245"/>
  <c r="AI245" s="1"/>
  <c r="AH213"/>
  <c r="AI213" s="1"/>
  <c r="AH181"/>
  <c r="AI181" s="1"/>
  <c r="AH101"/>
  <c r="AI101" s="1"/>
  <c r="AH55"/>
  <c r="AI55" s="1"/>
  <c r="K315" i="2"/>
  <c r="AH1424" i="8"/>
  <c r="AI1424" s="1"/>
  <c r="AH977"/>
  <c r="AI977" s="1"/>
  <c r="AH914"/>
  <c r="AI914" s="1"/>
  <c r="AH723"/>
  <c r="AI723" s="1"/>
  <c r="AH403"/>
  <c r="AI403" s="1"/>
  <c r="AH339"/>
  <c r="AI339" s="1"/>
  <c r="AH1828"/>
  <c r="AI1828" s="1"/>
  <c r="AH1764"/>
  <c r="AI1764" s="1"/>
  <c r="AH681"/>
  <c r="AI681" s="1"/>
  <c r="AH425"/>
  <c r="AI425" s="1"/>
  <c r="AH361"/>
  <c r="AI361" s="1"/>
  <c r="AH297"/>
  <c r="AI297" s="1"/>
  <c r="AH105"/>
  <c r="AI105" s="1"/>
  <c r="O1590" i="2"/>
  <c r="O315"/>
  <c r="N410"/>
  <c r="M1754"/>
  <c r="M838"/>
  <c r="M603"/>
  <c r="L1806"/>
  <c r="L1042"/>
  <c r="L389"/>
  <c r="K1590"/>
  <c r="K539"/>
  <c r="K458"/>
  <c r="K370"/>
  <c r="K2115" i="8"/>
  <c r="N2115" i="2"/>
  <c r="L2115"/>
  <c r="K2115"/>
  <c r="K629" i="8"/>
  <c r="N619" i="2"/>
  <c r="L619"/>
  <c r="M619"/>
  <c r="O619"/>
  <c r="K597" i="8"/>
  <c r="K587" i="2"/>
  <c r="O587"/>
  <c r="M587"/>
  <c r="N587"/>
  <c r="K405" i="8"/>
  <c r="L395" i="2"/>
  <c r="K395"/>
  <c r="O395"/>
  <c r="N395"/>
  <c r="K317" i="8"/>
  <c r="N307" i="2"/>
  <c r="M307"/>
  <c r="O307"/>
  <c r="K269" i="8"/>
  <c r="N259" i="2"/>
  <c r="M259"/>
  <c r="K259"/>
  <c r="L259"/>
  <c r="K1037" i="8"/>
  <c r="N1029" i="2"/>
  <c r="L1029"/>
  <c r="M1029"/>
  <c r="K583" i="8"/>
  <c r="L573" i="2"/>
  <c r="N573"/>
  <c r="M573"/>
  <c r="K463" i="8"/>
  <c r="K453" i="2"/>
  <c r="O453"/>
  <c r="N453"/>
  <c r="M453"/>
  <c r="K439" i="8"/>
  <c r="M429" i="2"/>
  <c r="L429"/>
  <c r="O429"/>
  <c r="K391" i="8"/>
  <c r="N381" i="2"/>
  <c r="L381"/>
  <c r="M381"/>
  <c r="K381"/>
  <c r="K327" i="8"/>
  <c r="K317" i="2"/>
  <c r="O317"/>
  <c r="M317"/>
  <c r="L317"/>
  <c r="K255" i="8"/>
  <c r="M245" i="2"/>
  <c r="K245"/>
  <c r="O245"/>
  <c r="K2102" i="8"/>
  <c r="L2102" i="2"/>
  <c r="K2102"/>
  <c r="O2102"/>
  <c r="M2102"/>
  <c r="K1413" i="8"/>
  <c r="M1406" i="2"/>
  <c r="K1406"/>
  <c r="O1406"/>
  <c r="L1406"/>
  <c r="N1406"/>
  <c r="K1030" i="8"/>
  <c r="L1022" i="2"/>
  <c r="K1022"/>
  <c r="O1022"/>
  <c r="M1022"/>
  <c r="K783" i="8"/>
  <c r="K774" i="2"/>
  <c r="O774"/>
  <c r="M774"/>
  <c r="N774"/>
  <c r="K616" i="8"/>
  <c r="M606" i="2"/>
  <c r="K606"/>
  <c r="O606"/>
  <c r="K592" i="8"/>
  <c r="M582" i="2"/>
  <c r="L582"/>
  <c r="O582"/>
  <c r="K496" i="8"/>
  <c r="N486" i="2"/>
  <c r="M486"/>
  <c r="L486"/>
  <c r="K448" i="8"/>
  <c r="K438" i="2"/>
  <c r="O438"/>
  <c r="N438"/>
  <c r="M438"/>
  <c r="K424" i="8"/>
  <c r="K414" i="2"/>
  <c r="O414"/>
  <c r="M414"/>
  <c r="N414"/>
  <c r="K328" i="8"/>
  <c r="K318" i="2"/>
  <c r="O318"/>
  <c r="N318"/>
  <c r="M318"/>
  <c r="K304" i="8"/>
  <c r="M294" i="2"/>
  <c r="L294"/>
  <c r="K294"/>
  <c r="K280" i="8"/>
  <c r="L270" i="2"/>
  <c r="K270"/>
  <c r="O270"/>
  <c r="K256" i="8"/>
  <c r="M246" i="2"/>
  <c r="L246"/>
  <c r="O246"/>
  <c r="AH2163" i="8"/>
  <c r="AI2163" s="1"/>
  <c r="AH2123"/>
  <c r="AI2123" s="1"/>
  <c r="AH2091"/>
  <c r="AI2091" s="1"/>
  <c r="AH2028"/>
  <c r="AI2028" s="1"/>
  <c r="AH1988"/>
  <c r="AI1988" s="1"/>
  <c r="AH1956"/>
  <c r="AI1956" s="1"/>
  <c r="AH1926"/>
  <c r="AI1926" s="1"/>
  <c r="AH1886"/>
  <c r="AI1886" s="1"/>
  <c r="AH1824"/>
  <c r="AI1824" s="1"/>
  <c r="AH1784"/>
  <c r="AI1784" s="1"/>
  <c r="AH1744"/>
  <c r="AI1744" s="1"/>
  <c r="AH1705"/>
  <c r="AI1705" s="1"/>
  <c r="AH1673"/>
  <c r="AI1673" s="1"/>
  <c r="AH1641"/>
  <c r="AI1641" s="1"/>
  <c r="AH1570"/>
  <c r="AI1570" s="1"/>
  <c r="AH1506"/>
  <c r="AI1506" s="1"/>
  <c r="AH1466"/>
  <c r="AI1466" s="1"/>
  <c r="AH1426"/>
  <c r="AI1426" s="1"/>
  <c r="AH1394"/>
  <c r="AI1394" s="1"/>
  <c r="AH1314"/>
  <c r="AI1314" s="1"/>
  <c r="AH1274"/>
  <c r="AI1274" s="1"/>
  <c r="AH1235"/>
  <c r="AI1235" s="1"/>
  <c r="AH1203"/>
  <c r="AI1203" s="1"/>
  <c r="AH1163"/>
  <c r="AI1163" s="1"/>
  <c r="AH1131"/>
  <c r="AI1131" s="1"/>
  <c r="AH1083"/>
  <c r="AI1083" s="1"/>
  <c r="AH1011"/>
  <c r="AI1011" s="1"/>
  <c r="AH972"/>
  <c r="AI972" s="1"/>
  <c r="AH948"/>
  <c r="AI948" s="1"/>
  <c r="AH868"/>
  <c r="AI868" s="1"/>
  <c r="AH828"/>
  <c r="AI828" s="1"/>
  <c r="AH788"/>
  <c r="AI788" s="1"/>
  <c r="AH756"/>
  <c r="AI756" s="1"/>
  <c r="AH701"/>
  <c r="AI701" s="1"/>
  <c r="AH629"/>
  <c r="AI629" s="1"/>
  <c r="AH589"/>
  <c r="AI589" s="1"/>
  <c r="AH557"/>
  <c r="AI557" s="1"/>
  <c r="AH525"/>
  <c r="AI525" s="1"/>
  <c r="AH493"/>
  <c r="AI493" s="1"/>
  <c r="AH445"/>
  <c r="AI445" s="1"/>
  <c r="AH381"/>
  <c r="AI381" s="1"/>
  <c r="AH357"/>
  <c r="AI357" s="1"/>
  <c r="AH293"/>
  <c r="AI293" s="1"/>
  <c r="AH229"/>
  <c r="AI229" s="1"/>
  <c r="AH189"/>
  <c r="AI189" s="1"/>
  <c r="AH149"/>
  <c r="AI149" s="1"/>
  <c r="AH117"/>
  <c r="AI117" s="1"/>
  <c r="AH63"/>
  <c r="AI63" s="1"/>
  <c r="O579" i="2"/>
  <c r="AH2121" i="8"/>
  <c r="AI2121" s="1"/>
  <c r="AH1994"/>
  <c r="AI1994" s="1"/>
  <c r="AH1868"/>
  <c r="AI1868" s="1"/>
  <c r="AH1742"/>
  <c r="AI1742" s="1"/>
  <c r="AH1552"/>
  <c r="AI1552" s="1"/>
  <c r="AH1488"/>
  <c r="AI1488" s="1"/>
  <c r="AH531"/>
  <c r="AI531" s="1"/>
  <c r="AH467"/>
  <c r="AI467" s="1"/>
  <c r="AH83"/>
  <c r="AI83" s="1"/>
  <c r="AH2080"/>
  <c r="AI2080" s="1"/>
  <c r="AH1382"/>
  <c r="AI1382" s="1"/>
  <c r="AH169"/>
  <c r="AI169" s="1"/>
  <c r="K1035" i="2"/>
  <c r="K571"/>
  <c r="O2115"/>
  <c r="O603"/>
  <c r="O573"/>
  <c r="N1050"/>
  <c r="N1026"/>
  <c r="N411"/>
  <c r="N246"/>
  <c r="M1054"/>
  <c r="M574"/>
  <c r="M485"/>
  <c r="M413"/>
  <c r="L2090"/>
  <c r="L1026"/>
  <c r="L634"/>
  <c r="L610"/>
  <c r="L442"/>
  <c r="K1043"/>
  <c r="K838"/>
  <c r="K635"/>
  <c r="K306"/>
  <c r="AH2145" i="8"/>
  <c r="AI2145" s="1"/>
  <c r="AH2137"/>
  <c r="AI2137" s="1"/>
  <c r="AH2113"/>
  <c r="AI2113" s="1"/>
  <c r="AH2105"/>
  <c r="AI2105" s="1"/>
  <c r="AH2082"/>
  <c r="AI2082" s="1"/>
  <c r="AH2074"/>
  <c r="AI2074" s="1"/>
  <c r="AH2050"/>
  <c r="AI2050" s="1"/>
  <c r="AH2042"/>
  <c r="AI2042" s="1"/>
  <c r="AH2018"/>
  <c r="AI2018" s="1"/>
  <c r="AH2010"/>
  <c r="AI2010" s="1"/>
  <c r="AH1986"/>
  <c r="AI1986" s="1"/>
  <c r="AH1978"/>
  <c r="AI1978" s="1"/>
  <c r="AH1954"/>
  <c r="AI1954" s="1"/>
  <c r="AH1946"/>
  <c r="AI1946" s="1"/>
  <c r="AH1924"/>
  <c r="AI1924" s="1"/>
  <c r="AH1916"/>
  <c r="AI1916" s="1"/>
  <c r="AH1892"/>
  <c r="AI1892" s="1"/>
  <c r="AH1884"/>
  <c r="AI1884" s="1"/>
  <c r="AH1860"/>
  <c r="AI1860" s="1"/>
  <c r="AH1853"/>
  <c r="AI1853" s="1"/>
  <c r="AH1830"/>
  <c r="AI1830" s="1"/>
  <c r="AH1822"/>
  <c r="AI1822" s="1"/>
  <c r="AH1798"/>
  <c r="AI1798" s="1"/>
  <c r="AH1790"/>
  <c r="AI1790" s="1"/>
  <c r="AH1766"/>
  <c r="AI1766" s="1"/>
  <c r="AH1758"/>
  <c r="AI1758" s="1"/>
  <c r="AH1734"/>
  <c r="AI1734" s="1"/>
  <c r="AH1727"/>
  <c r="AI1727" s="1"/>
  <c r="AH1703"/>
  <c r="AI1703" s="1"/>
  <c r="AH1695"/>
  <c r="AI1695" s="1"/>
  <c r="AH1671"/>
  <c r="AI1671" s="1"/>
  <c r="AH1663"/>
  <c r="AI1663" s="1"/>
  <c r="AH1639"/>
  <c r="AI1639" s="1"/>
  <c r="AH1631"/>
  <c r="AI1631" s="1"/>
  <c r="AH1608"/>
  <c r="AI1608" s="1"/>
  <c r="AH1600"/>
  <c r="AI1600" s="1"/>
  <c r="AH1576"/>
  <c r="AI1576" s="1"/>
  <c r="AH1568"/>
  <c r="AI1568" s="1"/>
  <c r="AH1544"/>
  <c r="AI1544" s="1"/>
  <c r="AH1536"/>
  <c r="AI1536" s="1"/>
  <c r="AH1512"/>
  <c r="AI1512" s="1"/>
  <c r="AH1504"/>
  <c r="AI1504" s="1"/>
  <c r="AH1480"/>
  <c r="AI1480" s="1"/>
  <c r="AH1472"/>
  <c r="AI1472" s="1"/>
  <c r="AH1448"/>
  <c r="AI1448" s="1"/>
  <c r="AH1440"/>
  <c r="AI1440" s="1"/>
  <c r="AH1416"/>
  <c r="AI1416" s="1"/>
  <c r="AH1408"/>
  <c r="AI1408" s="1"/>
  <c r="AH1384"/>
  <c r="AI1384" s="1"/>
  <c r="AH1376"/>
  <c r="AI1376" s="1"/>
  <c r="AH1352"/>
  <c r="AI1352" s="1"/>
  <c r="AH1344"/>
  <c r="AI1344" s="1"/>
  <c r="AH1320"/>
  <c r="AI1320" s="1"/>
  <c r="AH1312"/>
  <c r="AI1312" s="1"/>
  <c r="AH1288"/>
  <c r="AI1288" s="1"/>
  <c r="AH1280"/>
  <c r="AI1280" s="1"/>
  <c r="AH1257"/>
  <c r="AI1257" s="1"/>
  <c r="AH1249"/>
  <c r="AI1249" s="1"/>
  <c r="AH1225"/>
  <c r="AI1225" s="1"/>
  <c r="AH1217"/>
  <c r="AI1217" s="1"/>
  <c r="AH1193"/>
  <c r="AI1193" s="1"/>
  <c r="AH1185"/>
  <c r="AI1185" s="1"/>
  <c r="AH1161"/>
  <c r="AI1161" s="1"/>
  <c r="AH1153"/>
  <c r="AI1153" s="1"/>
  <c r="AH1129"/>
  <c r="AI1129" s="1"/>
  <c r="AH1121"/>
  <c r="AI1121" s="1"/>
  <c r="AH1097"/>
  <c r="AI1097" s="1"/>
  <c r="AH1089"/>
  <c r="AI1089" s="1"/>
  <c r="AH1065"/>
  <c r="AI1065" s="1"/>
  <c r="AH1057"/>
  <c r="AI1057" s="1"/>
  <c r="AH1033"/>
  <c r="AI1033" s="1"/>
  <c r="AH1025"/>
  <c r="AI1025" s="1"/>
  <c r="AH1001"/>
  <c r="AI1001" s="1"/>
  <c r="AH993"/>
  <c r="AI993" s="1"/>
  <c r="AH970"/>
  <c r="AI970" s="1"/>
  <c r="AH962"/>
  <c r="AI962" s="1"/>
  <c r="AH938"/>
  <c r="AI938" s="1"/>
  <c r="AH930"/>
  <c r="AI930" s="1"/>
  <c r="AH906"/>
  <c r="AI906" s="1"/>
  <c r="AH898"/>
  <c r="AI898" s="1"/>
  <c r="AH874"/>
  <c r="AI874" s="1"/>
  <c r="AH866"/>
  <c r="AI866" s="1"/>
  <c r="AH842"/>
  <c r="AI842" s="1"/>
  <c r="AH834"/>
  <c r="AI834" s="1"/>
  <c r="AH810"/>
  <c r="AI810" s="1"/>
  <c r="AH802"/>
  <c r="AI802" s="1"/>
  <c r="AH778"/>
  <c r="AI778" s="1"/>
  <c r="AH770"/>
  <c r="AI770" s="1"/>
  <c r="AH746"/>
  <c r="AI746" s="1"/>
  <c r="AH738"/>
  <c r="AI738" s="1"/>
  <c r="AH715"/>
  <c r="AI715" s="1"/>
  <c r="AH707"/>
  <c r="AI707" s="1"/>
  <c r="AH683"/>
  <c r="AI683" s="1"/>
  <c r="AH675"/>
  <c r="AI675" s="1"/>
  <c r="AH651"/>
  <c r="AI651" s="1"/>
  <c r="AH643"/>
  <c r="AI643" s="1"/>
  <c r="AH619"/>
  <c r="AI619" s="1"/>
  <c r="AH611"/>
  <c r="AI611" s="1"/>
  <c r="AH587"/>
  <c r="AI587" s="1"/>
  <c r="AH579"/>
  <c r="AI579" s="1"/>
  <c r="AH555"/>
  <c r="AI555" s="1"/>
  <c r="AH547"/>
  <c r="AI547" s="1"/>
  <c r="AH523"/>
  <c r="AI523" s="1"/>
  <c r="AH515"/>
  <c r="AI515" s="1"/>
  <c r="AH491"/>
  <c r="AI491" s="1"/>
  <c r="AH483"/>
  <c r="AI483" s="1"/>
  <c r="AH459"/>
  <c r="AI459" s="1"/>
  <c r="AH451"/>
  <c r="AI451" s="1"/>
  <c r="AH427"/>
  <c r="AI427" s="1"/>
  <c r="AH419"/>
  <c r="AI419" s="1"/>
  <c r="AH395"/>
  <c r="AI395" s="1"/>
  <c r="AH387"/>
  <c r="AI387" s="1"/>
  <c r="AH363"/>
  <c r="AI363" s="1"/>
  <c r="AH355"/>
  <c r="AI355" s="1"/>
  <c r="AH331"/>
  <c r="AI331" s="1"/>
  <c r="AH323"/>
  <c r="AI323" s="1"/>
  <c r="AH299"/>
  <c r="AI299" s="1"/>
  <c r="AH291"/>
  <c r="AI291" s="1"/>
  <c r="AH267"/>
  <c r="AI267" s="1"/>
  <c r="AH259"/>
  <c r="AI259" s="1"/>
  <c r="AH235"/>
  <c r="AI235" s="1"/>
  <c r="AH227"/>
  <c r="AI227" s="1"/>
  <c r="AH203"/>
  <c r="AI203" s="1"/>
  <c r="AH195"/>
  <c r="AI195" s="1"/>
  <c r="AH171"/>
  <c r="AI171" s="1"/>
  <c r="AH163"/>
  <c r="AI163" s="1"/>
  <c r="AH139"/>
  <c r="AI139" s="1"/>
  <c r="AH131"/>
  <c r="AI131" s="1"/>
  <c r="AH107"/>
  <c r="AI107" s="1"/>
  <c r="AH99"/>
  <c r="AI99" s="1"/>
  <c r="AH9"/>
  <c r="AI9" s="1"/>
  <c r="AH69"/>
  <c r="AI69" s="1"/>
  <c r="AH2167"/>
  <c r="AI2167" s="1"/>
  <c r="AH2151"/>
  <c r="AI2151" s="1"/>
  <c r="AH2135"/>
  <c r="AI2135" s="1"/>
  <c r="AH2119"/>
  <c r="AI2119" s="1"/>
  <c r="AH2103"/>
  <c r="AI2103" s="1"/>
  <c r="AH2087"/>
  <c r="AI2087" s="1"/>
  <c r="AH2072"/>
  <c r="AI2072" s="1"/>
  <c r="AH2056"/>
  <c r="AI2056" s="1"/>
  <c r="AH2040"/>
  <c r="AI2040" s="1"/>
  <c r="AH2024"/>
  <c r="AI2024" s="1"/>
  <c r="AH2008"/>
  <c r="AI2008" s="1"/>
  <c r="AH1992"/>
  <c r="AI1992" s="1"/>
  <c r="AH1976"/>
  <c r="AI1976" s="1"/>
  <c r="AH1960"/>
  <c r="AI1960" s="1"/>
  <c r="AH1944"/>
  <c r="AI1944" s="1"/>
  <c r="AH16"/>
  <c r="AI16" s="1"/>
  <c r="AH1914"/>
  <c r="AI1914" s="1"/>
  <c r="AH1898"/>
  <c r="AI1898" s="1"/>
  <c r="AH1882"/>
  <c r="AI1882" s="1"/>
  <c r="AH1866"/>
  <c r="AI1866" s="1"/>
  <c r="AH1851"/>
  <c r="AI1851" s="1"/>
  <c r="AH1836"/>
  <c r="AI1836" s="1"/>
  <c r="AH1820"/>
  <c r="AI1820" s="1"/>
  <c r="AH1804"/>
  <c r="AI1804" s="1"/>
  <c r="AH1788"/>
  <c r="AI1788" s="1"/>
  <c r="AH1772"/>
  <c r="AI1772" s="1"/>
  <c r="AH1756"/>
  <c r="AI1756" s="1"/>
  <c r="AH1740"/>
  <c r="AI1740" s="1"/>
  <c r="AH1725"/>
  <c r="AI1725" s="1"/>
  <c r="AH1709"/>
  <c r="AI1709" s="1"/>
  <c r="AH1693"/>
  <c r="AI1693" s="1"/>
  <c r="AH1677"/>
  <c r="AI1677" s="1"/>
  <c r="AH1661"/>
  <c r="AI1661" s="1"/>
  <c r="AH1645"/>
  <c r="AI1645" s="1"/>
  <c r="AH1629"/>
  <c r="AI1629" s="1"/>
  <c r="AH1614"/>
  <c r="AI1614" s="1"/>
  <c r="AH1598"/>
  <c r="AI1598" s="1"/>
  <c r="AH1582"/>
  <c r="AI1582" s="1"/>
  <c r="AH1566"/>
  <c r="AI1566" s="1"/>
  <c r="AH1550"/>
  <c r="AI1550" s="1"/>
  <c r="AH1534"/>
  <c r="AI1534" s="1"/>
  <c r="AH1518"/>
  <c r="AI1518" s="1"/>
  <c r="AH1502"/>
  <c r="AI1502" s="1"/>
  <c r="AH1486"/>
  <c r="AI1486" s="1"/>
  <c r="AH1470"/>
  <c r="AI1470" s="1"/>
  <c r="AH1454"/>
  <c r="AI1454" s="1"/>
  <c r="AH1438"/>
  <c r="AI1438" s="1"/>
  <c r="AH1422"/>
  <c r="AI1422" s="1"/>
  <c r="AH1406"/>
  <c r="AI1406" s="1"/>
  <c r="AH1390"/>
  <c r="AI1390" s="1"/>
  <c r="AH1374"/>
  <c r="AI1374" s="1"/>
  <c r="AH1358"/>
  <c r="AI1358" s="1"/>
  <c r="AH1342"/>
  <c r="AI1342" s="1"/>
  <c r="AH1326"/>
  <c r="AI1326" s="1"/>
  <c r="AH1310"/>
  <c r="AI1310" s="1"/>
  <c r="AH1294"/>
  <c r="AI1294" s="1"/>
  <c r="AH1278"/>
  <c r="AI1278" s="1"/>
  <c r="AH1263"/>
  <c r="AI1263" s="1"/>
  <c r="AH1247"/>
  <c r="AI1247" s="1"/>
  <c r="AH1231"/>
  <c r="AI1231" s="1"/>
  <c r="AH1215"/>
  <c r="AI1215" s="1"/>
  <c r="AH1199"/>
  <c r="AI1199" s="1"/>
  <c r="AH1183"/>
  <c r="AI1183" s="1"/>
  <c r="AH1167"/>
  <c r="AI1167" s="1"/>
  <c r="AH1151"/>
  <c r="AI1151" s="1"/>
  <c r="AH1135"/>
  <c r="AI1135" s="1"/>
  <c r="AH1119"/>
  <c r="AI1119" s="1"/>
  <c r="AH1103"/>
  <c r="AI1103" s="1"/>
  <c r="AH1087"/>
  <c r="AI1087" s="1"/>
  <c r="AH1071"/>
  <c r="AI1071" s="1"/>
  <c r="AH1055"/>
  <c r="AI1055" s="1"/>
  <c r="AH1039"/>
  <c r="AI1039" s="1"/>
  <c r="AH1023"/>
  <c r="AI1023" s="1"/>
  <c r="AH1007"/>
  <c r="AI1007" s="1"/>
  <c r="AH991"/>
  <c r="AI991" s="1"/>
  <c r="AH975"/>
  <c r="AI975" s="1"/>
  <c r="AH960"/>
  <c r="AI960" s="1"/>
  <c r="AH944"/>
  <c r="AI944" s="1"/>
  <c r="AH928"/>
  <c r="AI928" s="1"/>
  <c r="AH912"/>
  <c r="AI912" s="1"/>
  <c r="AH896"/>
  <c r="AI896" s="1"/>
  <c r="AH880"/>
  <c r="AI880" s="1"/>
  <c r="AH864"/>
  <c r="AI864" s="1"/>
  <c r="AH848"/>
  <c r="AI848" s="1"/>
  <c r="AH832"/>
  <c r="AI832" s="1"/>
  <c r="AH816"/>
  <c r="AI816" s="1"/>
  <c r="AH800"/>
  <c r="AI800" s="1"/>
  <c r="AH784"/>
  <c r="AI784" s="1"/>
  <c r="AH768"/>
  <c r="AI768" s="1"/>
  <c r="AH752"/>
  <c r="AI752" s="1"/>
  <c r="AH736"/>
  <c r="AI736" s="1"/>
  <c r="AH721"/>
  <c r="AI721" s="1"/>
  <c r="AH705"/>
  <c r="AI705" s="1"/>
  <c r="AH689"/>
  <c r="AI689" s="1"/>
  <c r="AH673"/>
  <c r="AI673" s="1"/>
  <c r="AH657"/>
  <c r="AI657" s="1"/>
  <c r="AH641"/>
  <c r="AI641" s="1"/>
  <c r="AH625"/>
  <c r="AI625" s="1"/>
  <c r="AH609"/>
  <c r="AI609" s="1"/>
  <c r="AH593"/>
  <c r="AI593" s="1"/>
  <c r="AH577"/>
  <c r="AI577" s="1"/>
  <c r="AH561"/>
  <c r="AI561" s="1"/>
  <c r="AH545"/>
  <c r="AI545" s="1"/>
  <c r="AH529"/>
  <c r="AI529" s="1"/>
  <c r="AH513"/>
  <c r="AI513" s="1"/>
  <c r="AH497"/>
  <c r="AI497" s="1"/>
  <c r="AH481"/>
  <c r="AI481" s="1"/>
  <c r="AH465"/>
  <c r="AI465" s="1"/>
  <c r="AH449"/>
  <c r="AI449" s="1"/>
  <c r="AH433"/>
  <c r="AI433" s="1"/>
  <c r="AH417"/>
  <c r="AI417" s="1"/>
  <c r="AH401"/>
  <c r="AI401" s="1"/>
  <c r="AH385"/>
  <c r="AI385" s="1"/>
  <c r="AH369"/>
  <c r="AI369" s="1"/>
  <c r="AH353"/>
  <c r="AI353" s="1"/>
  <c r="AH337"/>
  <c r="AI337" s="1"/>
  <c r="AH321"/>
  <c r="AI321" s="1"/>
  <c r="AH305"/>
  <c r="AI305" s="1"/>
  <c r="AH289"/>
  <c r="AI289" s="1"/>
  <c r="AH273"/>
  <c r="AI273" s="1"/>
  <c r="AH257"/>
  <c r="AI257" s="1"/>
  <c r="AH241"/>
  <c r="AI241" s="1"/>
  <c r="AH225"/>
  <c r="AI225" s="1"/>
  <c r="AH209"/>
  <c r="AI209" s="1"/>
  <c r="AH193"/>
  <c r="AI193" s="1"/>
  <c r="AH177"/>
  <c r="AI177" s="1"/>
  <c r="AH161"/>
  <c r="AI161" s="1"/>
  <c r="AH145"/>
  <c r="AI145" s="1"/>
  <c r="AH129"/>
  <c r="AI129" s="1"/>
  <c r="AH113"/>
  <c r="AI113" s="1"/>
  <c r="AH97"/>
  <c r="AI97" s="1"/>
  <c r="AH15"/>
  <c r="AI15" s="1"/>
  <c r="AH67"/>
  <c r="AI67" s="1"/>
  <c r="AH51"/>
  <c r="AI51" s="1"/>
  <c r="AH2157"/>
  <c r="AI2157" s="1"/>
  <c r="AH2141"/>
  <c r="AI2141" s="1"/>
  <c r="AH2125"/>
  <c r="AI2125" s="1"/>
  <c r="AH2109"/>
  <c r="AI2109" s="1"/>
  <c r="AH2093"/>
  <c r="AI2093" s="1"/>
  <c r="AH2078"/>
  <c r="AI2078" s="1"/>
  <c r="AH2062"/>
  <c r="AI2062" s="1"/>
  <c r="AH2046"/>
  <c r="AI2046" s="1"/>
  <c r="AH2030"/>
  <c r="AI2030" s="1"/>
  <c r="AH2014"/>
  <c r="AI2014" s="1"/>
  <c r="AH1998"/>
  <c r="AI1998" s="1"/>
  <c r="AH1982"/>
  <c r="AI1982" s="1"/>
  <c r="AH1966"/>
  <c r="AI1966" s="1"/>
  <c r="AH1950"/>
  <c r="AI1950" s="1"/>
  <c r="AH1935"/>
  <c r="AI1935" s="1"/>
  <c r="AH1920"/>
  <c r="AI1920" s="1"/>
  <c r="AH1904"/>
  <c r="AI1904" s="1"/>
  <c r="AH1888"/>
  <c r="AI1888" s="1"/>
  <c r="AH1872"/>
  <c r="AI1872" s="1"/>
  <c r="AH1857"/>
  <c r="AI1857" s="1"/>
  <c r="AH8"/>
  <c r="AI8" s="1"/>
  <c r="AH1826"/>
  <c r="AI1826" s="1"/>
  <c r="AH1810"/>
  <c r="AI1810" s="1"/>
  <c r="AH1794"/>
  <c r="AI1794" s="1"/>
  <c r="AH1778"/>
  <c r="AI1778" s="1"/>
  <c r="AH1762"/>
  <c r="AI1762" s="1"/>
  <c r="AH1746"/>
  <c r="AI1746" s="1"/>
  <c r="AH1731"/>
  <c r="AI1731" s="1"/>
  <c r="AH1715"/>
  <c r="AI1715" s="1"/>
  <c r="AH1699"/>
  <c r="AI1699" s="1"/>
  <c r="AH1683"/>
  <c r="AI1683" s="1"/>
  <c r="AH1667"/>
  <c r="AI1667" s="1"/>
  <c r="AH1651"/>
  <c r="AI1651" s="1"/>
  <c r="AH1635"/>
  <c r="AI1635" s="1"/>
  <c r="AH1620"/>
  <c r="AI1620" s="1"/>
  <c r="AH1604"/>
  <c r="AI1604" s="1"/>
  <c r="AH1588"/>
  <c r="AI1588" s="1"/>
  <c r="AH1572"/>
  <c r="AI1572" s="1"/>
  <c r="AH1556"/>
  <c r="AI1556" s="1"/>
  <c r="AH1540"/>
  <c r="AI1540" s="1"/>
  <c r="AH1524"/>
  <c r="AI1524" s="1"/>
  <c r="AH1508"/>
  <c r="AI1508" s="1"/>
  <c r="AH1492"/>
  <c r="AI1492" s="1"/>
  <c r="AH1476"/>
  <c r="AI1476" s="1"/>
  <c r="AH1460"/>
  <c r="AI1460" s="1"/>
  <c r="AH1444"/>
  <c r="AI1444" s="1"/>
  <c r="AH1428"/>
  <c r="AI1428" s="1"/>
  <c r="AH1412"/>
  <c r="AI1412" s="1"/>
  <c r="AH1396"/>
  <c r="AI1396" s="1"/>
  <c r="AH1380"/>
  <c r="AI1380" s="1"/>
  <c r="AH1364"/>
  <c r="AI1364" s="1"/>
  <c r="AH1348"/>
  <c r="AI1348" s="1"/>
  <c r="AH1332"/>
  <c r="AI1332" s="1"/>
  <c r="AH1316"/>
  <c r="AI1316" s="1"/>
  <c r="AH1300"/>
  <c r="AI1300" s="1"/>
  <c r="AH1284"/>
  <c r="AI1284" s="1"/>
  <c r="AH1269"/>
  <c r="AI1269" s="1"/>
  <c r="AH1253"/>
  <c r="AI1253" s="1"/>
  <c r="AH1237"/>
  <c r="AI1237" s="1"/>
  <c r="AH1221"/>
  <c r="AI1221" s="1"/>
  <c r="AH1205"/>
  <c r="AI1205" s="1"/>
  <c r="AH1189"/>
  <c r="AI1189" s="1"/>
  <c r="AH1173"/>
  <c r="AI1173" s="1"/>
  <c r="AH1157"/>
  <c r="AI1157" s="1"/>
  <c r="AH1141"/>
  <c r="AI1141" s="1"/>
  <c r="AH1125"/>
  <c r="AI1125" s="1"/>
  <c r="AH1109"/>
  <c r="AI1109" s="1"/>
  <c r="AH1093"/>
  <c r="AI1093" s="1"/>
  <c r="AH1077"/>
  <c r="AI1077" s="1"/>
  <c r="AH1061"/>
  <c r="AI1061" s="1"/>
  <c r="AH1045"/>
  <c r="AI1045" s="1"/>
  <c r="AH1029"/>
  <c r="AI1029" s="1"/>
  <c r="AH1013"/>
  <c r="AI1013" s="1"/>
  <c r="AH997"/>
  <c r="AI997" s="1"/>
  <c r="AH981"/>
  <c r="AI981" s="1"/>
  <c r="AH966"/>
  <c r="AI966" s="1"/>
  <c r="AH950"/>
  <c r="AI950" s="1"/>
  <c r="AH934"/>
  <c r="AI934" s="1"/>
  <c r="AH918"/>
  <c r="AI918" s="1"/>
  <c r="AH902"/>
  <c r="AI902" s="1"/>
  <c r="AH886"/>
  <c r="AI886" s="1"/>
  <c r="AH870"/>
  <c r="AI870" s="1"/>
  <c r="AH854"/>
  <c r="AI854" s="1"/>
  <c r="AH838"/>
  <c r="AI838" s="1"/>
  <c r="AH822"/>
  <c r="AI822" s="1"/>
  <c r="AH806"/>
  <c r="AI806" s="1"/>
  <c r="AH790"/>
  <c r="AI790" s="1"/>
  <c r="AH774"/>
  <c r="AI774" s="1"/>
  <c r="AH758"/>
  <c r="AI758" s="1"/>
  <c r="AH742"/>
  <c r="AI742" s="1"/>
  <c r="AH14"/>
  <c r="AI14" s="1"/>
  <c r="AH711"/>
  <c r="AI711" s="1"/>
  <c r="AH695"/>
  <c r="AI695" s="1"/>
  <c r="AH679"/>
  <c r="AI679" s="1"/>
  <c r="AH663"/>
  <c r="AI663" s="1"/>
  <c r="AH647"/>
  <c r="AI647" s="1"/>
  <c r="AH631"/>
  <c r="AI631" s="1"/>
  <c r="AH615"/>
  <c r="AI615" s="1"/>
  <c r="AH599"/>
  <c r="AI599" s="1"/>
  <c r="AH583"/>
  <c r="AI583" s="1"/>
  <c r="AH567"/>
  <c r="AI567" s="1"/>
  <c r="AH551"/>
  <c r="AI551" s="1"/>
  <c r="AH535"/>
  <c r="AI535" s="1"/>
  <c r="AH519"/>
  <c r="AI519" s="1"/>
  <c r="AH503"/>
  <c r="AI503" s="1"/>
  <c r="AH487"/>
  <c r="AI487" s="1"/>
  <c r="AH471"/>
  <c r="AI471" s="1"/>
  <c r="AH455"/>
  <c r="AI455" s="1"/>
  <c r="AH439"/>
  <c r="AI439" s="1"/>
  <c r="AH423"/>
  <c r="AI423" s="1"/>
  <c r="AH407"/>
  <c r="AI407" s="1"/>
  <c r="AH391"/>
  <c r="AI391" s="1"/>
  <c r="AH375"/>
  <c r="AI375" s="1"/>
  <c r="AH359"/>
  <c r="AI359" s="1"/>
  <c r="AH343"/>
  <c r="AI343" s="1"/>
  <c r="AH327"/>
  <c r="AI327" s="1"/>
  <c r="AH311"/>
  <c r="AI311" s="1"/>
  <c r="AH295"/>
  <c r="AI295" s="1"/>
  <c r="AH279"/>
  <c r="AI279" s="1"/>
  <c r="AH263"/>
  <c r="AI263" s="1"/>
  <c r="AH247"/>
  <c r="AI247" s="1"/>
  <c r="AH231"/>
  <c r="AI231" s="1"/>
  <c r="AH215"/>
  <c r="AI215" s="1"/>
  <c r="AH199"/>
  <c r="AI199" s="1"/>
  <c r="AH183"/>
  <c r="AI183" s="1"/>
  <c r="AH167"/>
  <c r="AI167" s="1"/>
  <c r="AH151"/>
  <c r="AI151" s="1"/>
  <c r="AH135"/>
  <c r="AI135" s="1"/>
  <c r="AH119"/>
  <c r="AI119" s="1"/>
  <c r="AH103"/>
  <c r="AI103" s="1"/>
  <c r="AH87"/>
  <c r="AI87" s="1"/>
  <c r="AH73"/>
  <c r="AI73" s="1"/>
  <c r="AH57"/>
  <c r="AI57" s="1"/>
  <c r="AH2166"/>
  <c r="AI2166" s="1"/>
  <c r="AH2158"/>
  <c r="AI2158" s="1"/>
  <c r="AH2134"/>
  <c r="AI2134" s="1"/>
  <c r="AH2126"/>
  <c r="AI2126" s="1"/>
  <c r="AH2102"/>
  <c r="AI2102" s="1"/>
  <c r="AH2094"/>
  <c r="AI2094" s="1"/>
  <c r="AH2071"/>
  <c r="AI2071" s="1"/>
  <c r="AH2063"/>
  <c r="AI2063" s="1"/>
  <c r="AH2039"/>
  <c r="AI2039" s="1"/>
  <c r="AH2031"/>
  <c r="AI2031" s="1"/>
  <c r="AH2007"/>
  <c r="AI2007" s="1"/>
  <c r="AH1999"/>
  <c r="AI1999" s="1"/>
  <c r="AH1975"/>
  <c r="AI1975" s="1"/>
  <c r="AH1967"/>
  <c r="AI1967" s="1"/>
  <c r="AH1943"/>
  <c r="AI1943" s="1"/>
  <c r="AH1936"/>
  <c r="AI1936" s="1"/>
  <c r="AH1913"/>
  <c r="AI1913" s="1"/>
  <c r="AH1905"/>
  <c r="AI1905" s="1"/>
  <c r="AH1881"/>
  <c r="AI1881" s="1"/>
  <c r="AH1873"/>
  <c r="AI1873" s="1"/>
  <c r="AH1850"/>
  <c r="AI1850" s="1"/>
  <c r="AH1842"/>
  <c r="AI1842" s="1"/>
  <c r="AH1819"/>
  <c r="AI1819" s="1"/>
  <c r="AH1811"/>
  <c r="AI1811" s="1"/>
  <c r="AH1787"/>
  <c r="AI1787" s="1"/>
  <c r="AH1779"/>
  <c r="AI1779" s="1"/>
  <c r="AH1755"/>
  <c r="AI1755" s="1"/>
  <c r="AH1747"/>
  <c r="AI1747" s="1"/>
  <c r="AH1724"/>
  <c r="AI1724" s="1"/>
  <c r="AH1716"/>
  <c r="AI1716" s="1"/>
  <c r="AH1692"/>
  <c r="AI1692" s="1"/>
  <c r="AH1684"/>
  <c r="AI1684" s="1"/>
  <c r="AH1660"/>
  <c r="AI1660" s="1"/>
  <c r="AH1652"/>
  <c r="AI1652" s="1"/>
  <c r="AH1628"/>
  <c r="AI1628" s="1"/>
  <c r="AH1621"/>
  <c r="AI1621" s="1"/>
  <c r="AH1597"/>
  <c r="AI1597" s="1"/>
  <c r="AH1589"/>
  <c r="AI1589" s="1"/>
  <c r="AH1565"/>
  <c r="AI1565" s="1"/>
  <c r="AH1557"/>
  <c r="AI1557" s="1"/>
  <c r="AH1533"/>
  <c r="AI1533" s="1"/>
  <c r="AH1525"/>
  <c r="AI1525" s="1"/>
  <c r="AH1501"/>
  <c r="AI1501" s="1"/>
  <c r="AH1493"/>
  <c r="AI1493" s="1"/>
  <c r="AH1469"/>
  <c r="AI1469" s="1"/>
  <c r="AH1461"/>
  <c r="AI1461" s="1"/>
  <c r="AH1437"/>
  <c r="AI1437" s="1"/>
  <c r="AH1429"/>
  <c r="AI1429" s="1"/>
  <c r="AH1405"/>
  <c r="AI1405" s="1"/>
  <c r="AH1397"/>
  <c r="AI1397" s="1"/>
  <c r="AH1373"/>
  <c r="AI1373" s="1"/>
  <c r="AH1365"/>
  <c r="AI1365" s="1"/>
  <c r="AH1341"/>
  <c r="AI1341" s="1"/>
  <c r="AH1333"/>
  <c r="AI1333" s="1"/>
  <c r="AH1309"/>
  <c r="AI1309" s="1"/>
  <c r="AH1301"/>
  <c r="AI1301" s="1"/>
  <c r="AH1277"/>
  <c r="AI1277" s="1"/>
  <c r="AH1270"/>
  <c r="AI1270" s="1"/>
  <c r="AH1246"/>
  <c r="AI1246" s="1"/>
  <c r="AH1238"/>
  <c r="AI1238" s="1"/>
  <c r="AH1214"/>
  <c r="AI1214" s="1"/>
  <c r="AH1206"/>
  <c r="AI1206" s="1"/>
  <c r="AH1182"/>
  <c r="AI1182" s="1"/>
  <c r="AH1174"/>
  <c r="AI1174" s="1"/>
  <c r="AH1150"/>
  <c r="AI1150" s="1"/>
  <c r="AH1142"/>
  <c r="AI1142" s="1"/>
  <c r="AH1118"/>
  <c r="AI1118" s="1"/>
  <c r="AH1110"/>
  <c r="AI1110" s="1"/>
  <c r="AH1086"/>
  <c r="AI1086" s="1"/>
  <c r="AH1078"/>
  <c r="AI1078" s="1"/>
  <c r="AH1054"/>
  <c r="AI1054" s="1"/>
  <c r="AH1046"/>
  <c r="AI1046" s="1"/>
  <c r="AH1022"/>
  <c r="AI1022" s="1"/>
  <c r="AH1014"/>
  <c r="AI1014" s="1"/>
  <c r="AH990"/>
  <c r="AI990" s="1"/>
  <c r="AH982"/>
  <c r="AI982" s="1"/>
  <c r="AH959"/>
  <c r="AI959" s="1"/>
  <c r="AH951"/>
  <c r="AI951" s="1"/>
  <c r="AH927"/>
  <c r="AI927" s="1"/>
  <c r="AH919"/>
  <c r="AI919" s="1"/>
  <c r="AH895"/>
  <c r="AI895" s="1"/>
  <c r="AH887"/>
  <c r="AI887" s="1"/>
  <c r="AH863"/>
  <c r="AI863" s="1"/>
  <c r="AH855"/>
  <c r="AI855" s="1"/>
  <c r="AH831"/>
  <c r="AI831" s="1"/>
  <c r="AH823"/>
  <c r="AI823" s="1"/>
  <c r="AH799"/>
  <c r="AI799" s="1"/>
  <c r="AH791"/>
  <c r="AI791" s="1"/>
  <c r="AH767"/>
  <c r="AI767" s="1"/>
  <c r="AH759"/>
  <c r="AI759" s="1"/>
  <c r="AH735"/>
  <c r="AI735" s="1"/>
  <c r="AH727"/>
  <c r="AI727" s="1"/>
  <c r="AH704"/>
  <c r="AI704" s="1"/>
  <c r="AH696"/>
  <c r="AI696" s="1"/>
  <c r="AH672"/>
  <c r="AI672" s="1"/>
  <c r="AH664"/>
  <c r="AI664" s="1"/>
  <c r="AH640"/>
  <c r="AI640" s="1"/>
  <c r="AH632"/>
  <c r="AI632" s="1"/>
  <c r="AH608"/>
  <c r="AI608" s="1"/>
  <c r="AH600"/>
  <c r="AI600" s="1"/>
  <c r="AH576"/>
  <c r="AI576" s="1"/>
  <c r="AH568"/>
  <c r="AI568" s="1"/>
  <c r="AH544"/>
  <c r="AI544" s="1"/>
  <c r="AH536"/>
  <c r="AI536" s="1"/>
  <c r="AH512"/>
  <c r="AI512" s="1"/>
  <c r="AH504"/>
  <c r="AI504" s="1"/>
  <c r="AH480"/>
  <c r="AI480" s="1"/>
  <c r="AH472"/>
  <c r="AI472" s="1"/>
  <c r="AH448"/>
  <c r="AI448" s="1"/>
  <c r="AH440"/>
  <c r="AI440" s="1"/>
  <c r="AH416"/>
  <c r="AI416" s="1"/>
  <c r="AH408"/>
  <c r="AI408" s="1"/>
  <c r="AH384"/>
  <c r="AI384" s="1"/>
  <c r="AH376"/>
  <c r="AI376" s="1"/>
  <c r="AH352"/>
  <c r="AI352" s="1"/>
  <c r="AH344"/>
  <c r="AI344" s="1"/>
  <c r="AH320"/>
  <c r="AI320" s="1"/>
  <c r="AH312"/>
  <c r="AI312" s="1"/>
  <c r="AH288"/>
  <c r="AI288" s="1"/>
  <c r="AH280"/>
  <c r="AI280" s="1"/>
  <c r="AH256"/>
  <c r="AI256" s="1"/>
  <c r="AH248"/>
  <c r="AI248" s="1"/>
  <c r="AH224"/>
  <c r="AI224" s="1"/>
  <c r="AH216"/>
  <c r="AI216" s="1"/>
  <c r="AH192"/>
  <c r="AI192" s="1"/>
  <c r="AH184"/>
  <c r="AI184" s="1"/>
  <c r="AH160"/>
  <c r="AI160" s="1"/>
  <c r="AH152"/>
  <c r="AI152" s="1"/>
  <c r="AH128"/>
  <c r="AI128" s="1"/>
  <c r="AH120"/>
  <c r="AI120" s="1"/>
  <c r="AH96"/>
  <c r="AI96" s="1"/>
  <c r="AH88"/>
  <c r="AI88" s="1"/>
  <c r="AH66"/>
  <c r="AI66" s="1"/>
  <c r="AH58"/>
  <c r="AI58" s="1"/>
  <c r="AH2164"/>
  <c r="AI2164" s="1"/>
  <c r="AH2156"/>
  <c r="AI2156" s="1"/>
  <c r="AH2148"/>
  <c r="AI2148" s="1"/>
  <c r="AH2140"/>
  <c r="AI2140" s="1"/>
  <c r="AH2132"/>
  <c r="AI2132" s="1"/>
  <c r="AH2124"/>
  <c r="AI2124" s="1"/>
  <c r="AH2116"/>
  <c r="AI2116" s="1"/>
  <c r="AH2108"/>
  <c r="AI2108" s="1"/>
  <c r="AH2100"/>
  <c r="AI2100" s="1"/>
  <c r="AH2092"/>
  <c r="AI2092" s="1"/>
  <c r="AH2085"/>
  <c r="AI2085" s="1"/>
  <c r="AH2077"/>
  <c r="AI2077" s="1"/>
  <c r="AH2069"/>
  <c r="AI2069" s="1"/>
  <c r="AH2061"/>
  <c r="AI2061" s="1"/>
  <c r="AH2053"/>
  <c r="AI2053" s="1"/>
  <c r="AH2045"/>
  <c r="AI2045" s="1"/>
  <c r="AH2037"/>
  <c r="AI2037" s="1"/>
  <c r="AH2029"/>
  <c r="AI2029" s="1"/>
  <c r="AH2021"/>
  <c r="AI2021" s="1"/>
  <c r="AH2013"/>
  <c r="AI2013" s="1"/>
  <c r="AH2005"/>
  <c r="AI2005" s="1"/>
  <c r="AH1997"/>
  <c r="AI1997" s="1"/>
  <c r="AH1989"/>
  <c r="AI1989" s="1"/>
  <c r="AH1981"/>
  <c r="AI1981" s="1"/>
  <c r="AH1973"/>
  <c r="AI1973" s="1"/>
  <c r="AH1965"/>
  <c r="AI1965" s="1"/>
  <c r="AH1957"/>
  <c r="AI1957" s="1"/>
  <c r="AH1949"/>
  <c r="AI1949" s="1"/>
  <c r="AH1941"/>
  <c r="AI1941" s="1"/>
  <c r="AH1934"/>
  <c r="AI1934" s="1"/>
  <c r="AH1927"/>
  <c r="AI1927" s="1"/>
  <c r="AH1919"/>
  <c r="AI1919" s="1"/>
  <c r="AH1911"/>
  <c r="AI1911" s="1"/>
  <c r="AH1903"/>
  <c r="AI1903" s="1"/>
  <c r="AH1895"/>
  <c r="AI1895" s="1"/>
  <c r="AH1887"/>
  <c r="AI1887" s="1"/>
  <c r="AH1879"/>
  <c r="AI1879" s="1"/>
  <c r="AH1871"/>
  <c r="AI1871" s="1"/>
  <c r="AH1863"/>
  <c r="AI1863" s="1"/>
  <c r="AH1856"/>
  <c r="AI1856" s="1"/>
  <c r="AH1848"/>
  <c r="AI1848" s="1"/>
  <c r="AH1841"/>
  <c r="AI1841" s="1"/>
  <c r="AH1833"/>
  <c r="AI1833" s="1"/>
  <c r="AH1825"/>
  <c r="AI1825" s="1"/>
  <c r="AH1817"/>
  <c r="AI1817" s="1"/>
  <c r="AH1809"/>
  <c r="AI1809" s="1"/>
  <c r="AH1801"/>
  <c r="AI1801" s="1"/>
  <c r="AH1793"/>
  <c r="AI1793" s="1"/>
  <c r="AH1785"/>
  <c r="AI1785" s="1"/>
  <c r="AH1777"/>
  <c r="AI1777" s="1"/>
  <c r="AH1769"/>
  <c r="AI1769" s="1"/>
  <c r="AH1761"/>
  <c r="AI1761" s="1"/>
  <c r="AH1753"/>
  <c r="AI1753" s="1"/>
  <c r="AH1745"/>
  <c r="AI1745" s="1"/>
  <c r="AH1737"/>
  <c r="AI1737" s="1"/>
  <c r="AH1730"/>
  <c r="AI1730" s="1"/>
  <c r="AH1722"/>
  <c r="AI1722" s="1"/>
  <c r="AH1714"/>
  <c r="AI1714" s="1"/>
  <c r="AH1706"/>
  <c r="AI1706" s="1"/>
  <c r="AH1698"/>
  <c r="AI1698" s="1"/>
  <c r="AH1690"/>
  <c r="AI1690" s="1"/>
  <c r="AH1682"/>
  <c r="AI1682" s="1"/>
  <c r="AH1674"/>
  <c r="AI1674" s="1"/>
  <c r="AH1666"/>
  <c r="AI1666" s="1"/>
  <c r="AH1658"/>
  <c r="AI1658" s="1"/>
  <c r="AH1650"/>
  <c r="AI1650" s="1"/>
  <c r="AH1642"/>
  <c r="AI1642" s="1"/>
  <c r="AH1634"/>
  <c r="AI1634" s="1"/>
  <c r="AH1626"/>
  <c r="AI1626" s="1"/>
  <c r="AH1619"/>
  <c r="AI1619" s="1"/>
  <c r="AH1611"/>
  <c r="AI1611" s="1"/>
  <c r="AH1603"/>
  <c r="AI1603" s="1"/>
  <c r="AH1595"/>
  <c r="AI1595" s="1"/>
  <c r="AH1587"/>
  <c r="AI1587" s="1"/>
  <c r="AH1579"/>
  <c r="AI1579" s="1"/>
  <c r="AH1571"/>
  <c r="AI1571" s="1"/>
  <c r="AH1563"/>
  <c r="AI1563" s="1"/>
  <c r="AH1555"/>
  <c r="AI1555" s="1"/>
  <c r="AH1547"/>
  <c r="AI1547" s="1"/>
  <c r="AH1539"/>
  <c r="AI1539" s="1"/>
  <c r="AH1531"/>
  <c r="AI1531" s="1"/>
  <c r="AH1523"/>
  <c r="AI1523" s="1"/>
  <c r="AH1515"/>
  <c r="AI1515" s="1"/>
  <c r="AH1507"/>
  <c r="AI1507" s="1"/>
  <c r="AH1499"/>
  <c r="AI1499" s="1"/>
  <c r="AH1491"/>
  <c r="AI1491" s="1"/>
  <c r="AH1483"/>
  <c r="AI1483" s="1"/>
  <c r="AH1475"/>
  <c r="AI1475" s="1"/>
  <c r="AH1467"/>
  <c r="AI1467" s="1"/>
  <c r="AH1459"/>
  <c r="AI1459" s="1"/>
  <c r="AH1451"/>
  <c r="AI1451" s="1"/>
  <c r="AH1443"/>
  <c r="AI1443" s="1"/>
  <c r="AH1435"/>
  <c r="AI1435" s="1"/>
  <c r="AH1427"/>
  <c r="AI1427" s="1"/>
  <c r="AH1419"/>
  <c r="AI1419" s="1"/>
  <c r="AH1411"/>
  <c r="AI1411" s="1"/>
  <c r="AH1403"/>
  <c r="AI1403" s="1"/>
  <c r="AH1395"/>
  <c r="AI1395" s="1"/>
  <c r="AH1387"/>
  <c r="AI1387" s="1"/>
  <c r="AH1379"/>
  <c r="AI1379" s="1"/>
  <c r="AH1371"/>
  <c r="AI1371" s="1"/>
  <c r="AH1363"/>
  <c r="AI1363" s="1"/>
  <c r="AH1355"/>
  <c r="AI1355" s="1"/>
  <c r="AH1347"/>
  <c r="AI1347" s="1"/>
  <c r="AH1339"/>
  <c r="AI1339" s="1"/>
  <c r="AH1331"/>
  <c r="AI1331" s="1"/>
  <c r="AH1323"/>
  <c r="AI1323" s="1"/>
  <c r="AH1315"/>
  <c r="AI1315" s="1"/>
  <c r="AH1307"/>
  <c r="AI1307" s="1"/>
  <c r="AH1299"/>
  <c r="AI1299" s="1"/>
  <c r="AH1291"/>
  <c r="AI1291" s="1"/>
  <c r="AH1283"/>
  <c r="AI1283" s="1"/>
  <c r="AH1275"/>
  <c r="AI1275" s="1"/>
  <c r="AH1268"/>
  <c r="AI1268" s="1"/>
  <c r="AH1260"/>
  <c r="AI1260" s="1"/>
  <c r="AH1252"/>
  <c r="AI1252" s="1"/>
  <c r="AH1244"/>
  <c r="AI1244" s="1"/>
  <c r="AH1236"/>
  <c r="AI1236" s="1"/>
  <c r="AH1228"/>
  <c r="AI1228" s="1"/>
  <c r="AH1220"/>
  <c r="AI1220" s="1"/>
  <c r="AH1212"/>
  <c r="AI1212" s="1"/>
  <c r="AH1204"/>
  <c r="AI1204" s="1"/>
  <c r="AH1196"/>
  <c r="AI1196" s="1"/>
  <c r="AH1188"/>
  <c r="AI1188" s="1"/>
  <c r="AH1180"/>
  <c r="AI1180" s="1"/>
  <c r="AH1172"/>
  <c r="AI1172" s="1"/>
  <c r="AH1164"/>
  <c r="AI1164" s="1"/>
  <c r="AH1156"/>
  <c r="AI1156" s="1"/>
  <c r="AH1148"/>
  <c r="AI1148" s="1"/>
  <c r="AH1140"/>
  <c r="AI1140" s="1"/>
  <c r="AH1132"/>
  <c r="AI1132" s="1"/>
  <c r="AH1124"/>
  <c r="AI1124" s="1"/>
  <c r="AH1116"/>
  <c r="AI1116" s="1"/>
  <c r="AH1108"/>
  <c r="AI1108" s="1"/>
  <c r="AH1100"/>
  <c r="AI1100" s="1"/>
  <c r="AH1092"/>
  <c r="AI1092" s="1"/>
  <c r="AH1084"/>
  <c r="AI1084" s="1"/>
  <c r="AH1076"/>
  <c r="AI1076" s="1"/>
  <c r="AH1068"/>
  <c r="AI1068" s="1"/>
  <c r="AH1060"/>
  <c r="AI1060" s="1"/>
  <c r="AH1052"/>
  <c r="AI1052" s="1"/>
  <c r="AH1044"/>
  <c r="AI1044" s="1"/>
  <c r="AH1036"/>
  <c r="AI1036" s="1"/>
  <c r="AH1028"/>
  <c r="AI1028" s="1"/>
  <c r="AH1020"/>
  <c r="AI1020" s="1"/>
  <c r="AH1012"/>
  <c r="AI1012" s="1"/>
  <c r="AH1004"/>
  <c r="AI1004" s="1"/>
  <c r="AH996"/>
  <c r="AI996" s="1"/>
  <c r="AH988"/>
  <c r="AI988" s="1"/>
  <c r="AH980"/>
  <c r="AI980" s="1"/>
  <c r="AH973"/>
  <c r="AI973" s="1"/>
  <c r="AH965"/>
  <c r="AI965" s="1"/>
  <c r="AH957"/>
  <c r="AI957" s="1"/>
  <c r="AH949"/>
  <c r="AI949" s="1"/>
  <c r="AH941"/>
  <c r="AI941" s="1"/>
  <c r="AH933"/>
  <c r="AI933" s="1"/>
  <c r="AH925"/>
  <c r="AI925" s="1"/>
  <c r="AH917"/>
  <c r="AI917" s="1"/>
  <c r="AH909"/>
  <c r="AI909" s="1"/>
  <c r="AH901"/>
  <c r="AI901" s="1"/>
  <c r="AH893"/>
  <c r="AI893" s="1"/>
  <c r="AH885"/>
  <c r="AI885" s="1"/>
  <c r="AH877"/>
  <c r="AI877" s="1"/>
  <c r="AH869"/>
  <c r="AI869" s="1"/>
  <c r="AH861"/>
  <c r="AI861" s="1"/>
  <c r="AH853"/>
  <c r="AI853" s="1"/>
  <c r="AH845"/>
  <c r="AI845" s="1"/>
  <c r="AH837"/>
  <c r="AI837" s="1"/>
  <c r="AH829"/>
  <c r="AI829" s="1"/>
  <c r="AH821"/>
  <c r="AI821" s="1"/>
  <c r="AH813"/>
  <c r="AI813" s="1"/>
  <c r="AH805"/>
  <c r="AI805" s="1"/>
  <c r="AH797"/>
  <c r="AI797" s="1"/>
  <c r="AH789"/>
  <c r="AI789" s="1"/>
  <c r="AH781"/>
  <c r="AI781" s="1"/>
  <c r="AH773"/>
  <c r="AI773" s="1"/>
  <c r="AH765"/>
  <c r="AI765" s="1"/>
  <c r="AH757"/>
  <c r="AI757" s="1"/>
  <c r="AH749"/>
  <c r="AI749" s="1"/>
  <c r="AH741"/>
  <c r="AI741" s="1"/>
  <c r="AH733"/>
  <c r="AI733" s="1"/>
  <c r="AH726"/>
  <c r="AI726" s="1"/>
  <c r="AH718"/>
  <c r="AI718" s="1"/>
  <c r="AH710"/>
  <c r="AI710" s="1"/>
  <c r="AH702"/>
  <c r="AI702" s="1"/>
  <c r="AH694"/>
  <c r="AI694" s="1"/>
  <c r="AH686"/>
  <c r="AI686" s="1"/>
  <c r="AH678"/>
  <c r="AI678" s="1"/>
  <c r="AH670"/>
  <c r="AI670" s="1"/>
  <c r="AH662"/>
  <c r="AI662" s="1"/>
  <c r="AH654"/>
  <c r="AI654" s="1"/>
  <c r="AH646"/>
  <c r="AI646" s="1"/>
  <c r="AH638"/>
  <c r="AI638" s="1"/>
  <c r="AH630"/>
  <c r="AI630" s="1"/>
  <c r="AH622"/>
  <c r="AI622" s="1"/>
  <c r="AH614"/>
  <c r="AI614" s="1"/>
  <c r="AH606"/>
  <c r="AI606" s="1"/>
  <c r="AH598"/>
  <c r="AI598" s="1"/>
  <c r="AH590"/>
  <c r="AI590" s="1"/>
  <c r="AH582"/>
  <c r="AI582" s="1"/>
  <c r="AH574"/>
  <c r="AI574" s="1"/>
  <c r="AH566"/>
  <c r="AI566" s="1"/>
  <c r="AH558"/>
  <c r="AI558" s="1"/>
  <c r="AH550"/>
  <c r="AI550" s="1"/>
  <c r="AH542"/>
  <c r="AI542" s="1"/>
  <c r="AH534"/>
  <c r="AI534" s="1"/>
  <c r="AH526"/>
  <c r="AI526" s="1"/>
  <c r="AH518"/>
  <c r="AI518" s="1"/>
  <c r="AH510"/>
  <c r="AI510" s="1"/>
  <c r="AH502"/>
  <c r="AI502" s="1"/>
  <c r="AH494"/>
  <c r="AI494" s="1"/>
  <c r="AH486"/>
  <c r="AI486" s="1"/>
  <c r="AH478"/>
  <c r="AI478" s="1"/>
  <c r="AH470"/>
  <c r="AI470" s="1"/>
  <c r="AH462"/>
  <c r="AI462" s="1"/>
  <c r="AH454"/>
  <c r="AI454" s="1"/>
  <c r="AH446"/>
  <c r="AI446" s="1"/>
  <c r="AH438"/>
  <c r="AI438" s="1"/>
  <c r="AH430"/>
  <c r="AI430" s="1"/>
  <c r="AH422"/>
  <c r="AI422" s="1"/>
  <c r="AH414"/>
  <c r="AI414" s="1"/>
  <c r="AH406"/>
  <c r="AI406" s="1"/>
  <c r="AH398"/>
  <c r="AI398" s="1"/>
  <c r="AH390"/>
  <c r="AI390" s="1"/>
  <c r="AH382"/>
  <c r="AI382" s="1"/>
  <c r="AH374"/>
  <c r="AI374" s="1"/>
  <c r="AH366"/>
  <c r="AI366" s="1"/>
  <c r="AH358"/>
  <c r="AI358" s="1"/>
  <c r="AH350"/>
  <c r="AI350" s="1"/>
  <c r="AH342"/>
  <c r="AI342" s="1"/>
  <c r="AH334"/>
  <c r="AI334" s="1"/>
  <c r="AH326"/>
  <c r="AI326" s="1"/>
  <c r="AH318"/>
  <c r="AI318" s="1"/>
  <c r="AH310"/>
  <c r="AI310" s="1"/>
  <c r="AH302"/>
  <c r="AI302" s="1"/>
  <c r="AH294"/>
  <c r="AI294" s="1"/>
  <c r="AH286"/>
  <c r="AI286" s="1"/>
  <c r="AH278"/>
  <c r="AI278" s="1"/>
  <c r="AH270"/>
  <c r="AI270" s="1"/>
  <c r="AH262"/>
  <c r="AI262" s="1"/>
  <c r="AH254"/>
  <c r="AI254" s="1"/>
  <c r="AH246"/>
  <c r="AI246" s="1"/>
  <c r="AH238"/>
  <c r="AI238" s="1"/>
  <c r="AH230"/>
  <c r="AI230" s="1"/>
  <c r="AH222"/>
  <c r="AI222" s="1"/>
  <c r="AH214"/>
  <c r="AI214" s="1"/>
  <c r="AH206"/>
  <c r="AI206" s="1"/>
  <c r="AH198"/>
  <c r="AI198" s="1"/>
  <c r="AH190"/>
  <c r="AI190" s="1"/>
  <c r="AH182"/>
  <c r="AI182" s="1"/>
  <c r="AH174"/>
  <c r="AI174" s="1"/>
  <c r="AH166"/>
  <c r="AI166" s="1"/>
  <c r="AH158"/>
  <c r="AI158" s="1"/>
  <c r="AH150"/>
  <c r="AI150" s="1"/>
  <c r="AH142"/>
  <c r="AI142" s="1"/>
  <c r="AH134"/>
  <c r="AI134" s="1"/>
  <c r="AH126"/>
  <c r="AI126" s="1"/>
  <c r="AH118"/>
  <c r="AI118" s="1"/>
  <c r="AH110"/>
  <c r="AI110" s="1"/>
  <c r="AH102"/>
  <c r="AI102" s="1"/>
  <c r="AH94"/>
  <c r="AI94" s="1"/>
  <c r="AH86"/>
  <c r="AI86" s="1"/>
  <c r="AH79"/>
  <c r="AI79" s="1"/>
  <c r="AH72"/>
  <c r="AI72" s="1"/>
  <c r="AH64"/>
  <c r="AI64" s="1"/>
  <c r="AH56"/>
  <c r="AI56" s="1"/>
  <c r="AH48"/>
  <c r="AI48" s="1"/>
  <c r="AH2168"/>
  <c r="AI2168" s="1"/>
  <c r="AH2160"/>
  <c r="AI2160" s="1"/>
  <c r="AH2152"/>
  <c r="AI2152" s="1"/>
  <c r="AH2144"/>
  <c r="AI2144" s="1"/>
  <c r="AH2136"/>
  <c r="AI2136" s="1"/>
  <c r="AH2128"/>
  <c r="AI2128" s="1"/>
  <c r="AH2120"/>
  <c r="AI2120" s="1"/>
  <c r="AH2112"/>
  <c r="AI2112" s="1"/>
  <c r="AH2104"/>
  <c r="AI2104" s="1"/>
  <c r="AH2096"/>
  <c r="AI2096" s="1"/>
  <c r="AH2088"/>
  <c r="AI2088" s="1"/>
  <c r="AH2081"/>
  <c r="AI2081" s="1"/>
  <c r="AH2073"/>
  <c r="AI2073" s="1"/>
  <c r="AH2065"/>
  <c r="AI2065" s="1"/>
  <c r="AH2057"/>
  <c r="AI2057" s="1"/>
  <c r="AH2049"/>
  <c r="AI2049" s="1"/>
  <c r="AH2041"/>
  <c r="AI2041" s="1"/>
  <c r="AH2033"/>
  <c r="AI2033" s="1"/>
  <c r="AH2025"/>
  <c r="AI2025" s="1"/>
  <c r="AH2017"/>
  <c r="AI2017" s="1"/>
  <c r="AH2009"/>
  <c r="AI2009" s="1"/>
  <c r="AH2001"/>
  <c r="AI2001" s="1"/>
  <c r="AH1993"/>
  <c r="AI1993" s="1"/>
  <c r="AH1985"/>
  <c r="AI1985" s="1"/>
  <c r="AH1977"/>
  <c r="AI1977" s="1"/>
  <c r="AH1969"/>
  <c r="AI1969" s="1"/>
  <c r="AH1961"/>
  <c r="AI1961" s="1"/>
  <c r="AH1953"/>
  <c r="AI1953" s="1"/>
  <c r="AH1945"/>
  <c r="AI1945" s="1"/>
  <c r="AH1938"/>
  <c r="AI1938" s="1"/>
  <c r="AH1930"/>
  <c r="AI1930" s="1"/>
  <c r="AH1923"/>
  <c r="AI1923" s="1"/>
  <c r="AH1915"/>
  <c r="AI1915" s="1"/>
  <c r="AH1907"/>
  <c r="AI1907" s="1"/>
  <c r="AH1899"/>
  <c r="AI1899" s="1"/>
  <c r="AH1891"/>
  <c r="AI1891" s="1"/>
  <c r="AH1883"/>
  <c r="AI1883" s="1"/>
  <c r="AH1875"/>
  <c r="AI1875" s="1"/>
  <c r="AH1867"/>
  <c r="AI1867" s="1"/>
  <c r="AH1859"/>
  <c r="AI1859" s="1"/>
  <c r="AH1852"/>
  <c r="AI1852" s="1"/>
  <c r="AH1844"/>
  <c r="AI1844" s="1"/>
  <c r="AH1837"/>
  <c r="AI1837" s="1"/>
  <c r="AH1829"/>
  <c r="AI1829" s="1"/>
  <c r="AH1821"/>
  <c r="AI1821" s="1"/>
  <c r="AH1813"/>
  <c r="AI1813" s="1"/>
  <c r="AH1805"/>
  <c r="AI1805" s="1"/>
  <c r="AH1797"/>
  <c r="AI1797" s="1"/>
  <c r="AH1789"/>
  <c r="AI1789" s="1"/>
  <c r="AH1781"/>
  <c r="AI1781" s="1"/>
  <c r="AH1773"/>
  <c r="AI1773" s="1"/>
  <c r="AH1765"/>
  <c r="AI1765" s="1"/>
  <c r="AH1757"/>
  <c r="AI1757" s="1"/>
  <c r="AH1749"/>
  <c r="AI1749" s="1"/>
  <c r="AH1741"/>
  <c r="AI1741" s="1"/>
  <c r="AH1733"/>
  <c r="AI1733" s="1"/>
  <c r="AH1726"/>
  <c r="AI1726" s="1"/>
  <c r="AH1718"/>
  <c r="AI1718" s="1"/>
  <c r="AH1710"/>
  <c r="AI1710" s="1"/>
  <c r="AH1702"/>
  <c r="AI1702" s="1"/>
  <c r="AH1694"/>
  <c r="AI1694" s="1"/>
  <c r="AH1686"/>
  <c r="AI1686" s="1"/>
  <c r="AH1678"/>
  <c r="AI1678" s="1"/>
  <c r="AH1670"/>
  <c r="AI1670" s="1"/>
  <c r="AH1662"/>
  <c r="AI1662" s="1"/>
  <c r="AH1654"/>
  <c r="AI1654" s="1"/>
  <c r="AH1646"/>
  <c r="AI1646" s="1"/>
  <c r="AH1638"/>
  <c r="AI1638" s="1"/>
  <c r="AH1630"/>
  <c r="AI1630" s="1"/>
  <c r="AH1622"/>
  <c r="AI1622" s="1"/>
  <c r="AH1615"/>
  <c r="AI1615" s="1"/>
  <c r="AH1607"/>
  <c r="AI1607" s="1"/>
  <c r="AH1599"/>
  <c r="AI1599" s="1"/>
  <c r="AH1591"/>
  <c r="AI1591" s="1"/>
  <c r="AH1583"/>
  <c r="AI1583" s="1"/>
  <c r="AH1575"/>
  <c r="AI1575" s="1"/>
  <c r="AH1567"/>
  <c r="AI1567" s="1"/>
  <c r="AH1559"/>
  <c r="AI1559" s="1"/>
  <c r="AH1551"/>
  <c r="AI1551" s="1"/>
  <c r="AH1543"/>
  <c r="AI1543" s="1"/>
  <c r="AH1535"/>
  <c r="AI1535" s="1"/>
  <c r="AH1527"/>
  <c r="AI1527" s="1"/>
  <c r="AH1519"/>
  <c r="AI1519" s="1"/>
  <c r="AH1511"/>
  <c r="AI1511" s="1"/>
  <c r="AH1503"/>
  <c r="AI1503" s="1"/>
  <c r="AH1495"/>
  <c r="AI1495" s="1"/>
  <c r="AH1487"/>
  <c r="AI1487" s="1"/>
  <c r="AH1479"/>
  <c r="AI1479" s="1"/>
  <c r="AH1471"/>
  <c r="AI1471" s="1"/>
  <c r="AH1463"/>
  <c r="AI1463" s="1"/>
  <c r="AH1455"/>
  <c r="AI1455" s="1"/>
  <c r="AH1447"/>
  <c r="AI1447" s="1"/>
  <c r="AH1439"/>
  <c r="AI1439" s="1"/>
  <c r="AH1431"/>
  <c r="AI1431" s="1"/>
  <c r="AH1423"/>
  <c r="AI1423" s="1"/>
  <c r="AH1415"/>
  <c r="AI1415" s="1"/>
  <c r="AH1407"/>
  <c r="AI1407" s="1"/>
  <c r="AH1399"/>
  <c r="AI1399" s="1"/>
  <c r="AH1391"/>
  <c r="AI1391" s="1"/>
  <c r="AH1383"/>
  <c r="AI1383" s="1"/>
  <c r="AH1375"/>
  <c r="AI1375" s="1"/>
  <c r="AH1367"/>
  <c r="AI1367" s="1"/>
  <c r="AH1359"/>
  <c r="AI1359" s="1"/>
  <c r="AH1351"/>
  <c r="AI1351" s="1"/>
  <c r="AH1343"/>
  <c r="AI1343" s="1"/>
  <c r="AH1335"/>
  <c r="AI1335" s="1"/>
  <c r="AH1327"/>
  <c r="AI1327" s="1"/>
  <c r="AH1319"/>
  <c r="AI1319" s="1"/>
  <c r="AH1311"/>
  <c r="AI1311" s="1"/>
  <c r="AH1303"/>
  <c r="AI1303" s="1"/>
  <c r="AH1295"/>
  <c r="AI1295" s="1"/>
  <c r="AH1287"/>
  <c r="AI1287" s="1"/>
  <c r="AH1279"/>
  <c r="AI1279" s="1"/>
  <c r="AH1272"/>
  <c r="AI1272" s="1"/>
  <c r="AH1264"/>
  <c r="AI1264" s="1"/>
  <c r="AH1256"/>
  <c r="AI1256" s="1"/>
  <c r="AH1248"/>
  <c r="AI1248" s="1"/>
  <c r="AH1240"/>
  <c r="AI1240" s="1"/>
  <c r="AH1232"/>
  <c r="AI1232" s="1"/>
  <c r="AH1224"/>
  <c r="AI1224" s="1"/>
  <c r="AH1216"/>
  <c r="AI1216" s="1"/>
  <c r="AH1208"/>
  <c r="AI1208" s="1"/>
  <c r="AH1200"/>
  <c r="AI1200" s="1"/>
  <c r="AH1192"/>
  <c r="AI1192" s="1"/>
  <c r="AH1184"/>
  <c r="AI1184" s="1"/>
  <c r="AH1176"/>
  <c r="AI1176" s="1"/>
  <c r="AH1168"/>
  <c r="AI1168" s="1"/>
  <c r="AH1160"/>
  <c r="AI1160" s="1"/>
  <c r="AH1152"/>
  <c r="AI1152" s="1"/>
  <c r="AH1144"/>
  <c r="AI1144" s="1"/>
  <c r="AH1136"/>
  <c r="AI1136" s="1"/>
  <c r="AH1128"/>
  <c r="AI1128" s="1"/>
  <c r="AH1120"/>
  <c r="AI1120" s="1"/>
  <c r="AH1112"/>
  <c r="AI1112" s="1"/>
  <c r="AH1104"/>
  <c r="AI1104" s="1"/>
  <c r="AH1096"/>
  <c r="AI1096" s="1"/>
  <c r="AH1088"/>
  <c r="AI1088" s="1"/>
  <c r="AH1080"/>
  <c r="AI1080" s="1"/>
  <c r="AH1072"/>
  <c r="AI1072" s="1"/>
  <c r="AH1064"/>
  <c r="AI1064" s="1"/>
  <c r="AH1056"/>
  <c r="AI1056" s="1"/>
  <c r="AH1048"/>
  <c r="AI1048" s="1"/>
  <c r="AH1040"/>
  <c r="AI1040" s="1"/>
  <c r="AH1032"/>
  <c r="AI1032" s="1"/>
  <c r="AH1024"/>
  <c r="AI1024" s="1"/>
  <c r="AH1016"/>
  <c r="AI1016" s="1"/>
  <c r="AH1008"/>
  <c r="AI1008" s="1"/>
  <c r="AH1000"/>
  <c r="AI1000" s="1"/>
  <c r="AH992"/>
  <c r="AI992" s="1"/>
  <c r="AH984"/>
  <c r="AI984" s="1"/>
  <c r="AH976"/>
  <c r="AI976" s="1"/>
  <c r="AH969"/>
  <c r="AI969" s="1"/>
  <c r="AH961"/>
  <c r="AI961" s="1"/>
  <c r="AH953"/>
  <c r="AI953" s="1"/>
  <c r="AH945"/>
  <c r="AI945" s="1"/>
  <c r="AH937"/>
  <c r="AI937" s="1"/>
  <c r="AH929"/>
  <c r="AI929" s="1"/>
  <c r="AH921"/>
  <c r="AI921" s="1"/>
  <c r="AH913"/>
  <c r="AI913" s="1"/>
  <c r="AH905"/>
  <c r="AI905" s="1"/>
  <c r="AH897"/>
  <c r="AI897" s="1"/>
  <c r="AH889"/>
  <c r="AI889" s="1"/>
  <c r="AH881"/>
  <c r="AI881" s="1"/>
  <c r="AH873"/>
  <c r="AI873" s="1"/>
  <c r="AH865"/>
  <c r="AI865" s="1"/>
  <c r="AH857"/>
  <c r="AI857" s="1"/>
  <c r="AH849"/>
  <c r="AI849" s="1"/>
  <c r="AH841"/>
  <c r="AI841" s="1"/>
  <c r="AH833"/>
  <c r="AI833" s="1"/>
  <c r="AH825"/>
  <c r="AI825" s="1"/>
  <c r="AH817"/>
  <c r="AI817" s="1"/>
  <c r="AH809"/>
  <c r="AI809" s="1"/>
  <c r="AH801"/>
  <c r="AI801" s="1"/>
  <c r="AH793"/>
  <c r="AI793" s="1"/>
  <c r="AH785"/>
  <c r="AI785" s="1"/>
  <c r="AH777"/>
  <c r="AI777" s="1"/>
  <c r="AH769"/>
  <c r="AI769" s="1"/>
  <c r="AH761"/>
  <c r="AI761" s="1"/>
  <c r="AH753"/>
  <c r="AI753" s="1"/>
  <c r="AH745"/>
  <c r="AI745" s="1"/>
  <c r="AH737"/>
  <c r="AI737" s="1"/>
  <c r="AH729"/>
  <c r="AI729" s="1"/>
  <c r="AH722"/>
  <c r="AI722" s="1"/>
  <c r="AH714"/>
  <c r="AI714" s="1"/>
  <c r="AH706"/>
  <c r="AI706" s="1"/>
  <c r="AH698"/>
  <c r="AI698" s="1"/>
  <c r="AH690"/>
  <c r="AI690" s="1"/>
  <c r="AH682"/>
  <c r="AI682" s="1"/>
  <c r="AH674"/>
  <c r="AI674" s="1"/>
  <c r="AH666"/>
  <c r="AI666" s="1"/>
  <c r="AH658"/>
  <c r="AI658" s="1"/>
  <c r="AH650"/>
  <c r="AI650" s="1"/>
  <c r="AH642"/>
  <c r="AI642" s="1"/>
  <c r="AH634"/>
  <c r="AI634" s="1"/>
  <c r="AH626"/>
  <c r="AI626" s="1"/>
  <c r="AH618"/>
  <c r="AI618" s="1"/>
  <c r="AH610"/>
  <c r="AI610" s="1"/>
  <c r="AH602"/>
  <c r="AI602" s="1"/>
  <c r="AH594"/>
  <c r="AI594" s="1"/>
  <c r="AH586"/>
  <c r="AI586" s="1"/>
  <c r="AH578"/>
  <c r="AI578" s="1"/>
  <c r="AH570"/>
  <c r="AI570" s="1"/>
  <c r="AH562"/>
  <c r="AI562" s="1"/>
  <c r="AH554"/>
  <c r="AI554" s="1"/>
  <c r="AH546"/>
  <c r="AI546" s="1"/>
  <c r="AH538"/>
  <c r="AI538" s="1"/>
  <c r="AH530"/>
  <c r="AI530" s="1"/>
  <c r="AH522"/>
  <c r="AI522" s="1"/>
  <c r="AH514"/>
  <c r="AI514" s="1"/>
  <c r="AH506"/>
  <c r="AI506" s="1"/>
  <c r="AH498"/>
  <c r="AI498" s="1"/>
  <c r="AH490"/>
  <c r="AI490" s="1"/>
  <c r="AH482"/>
  <c r="AI482" s="1"/>
  <c r="AH474"/>
  <c r="AI474" s="1"/>
  <c r="AH466"/>
  <c r="AI466" s="1"/>
  <c r="AH458"/>
  <c r="AI458" s="1"/>
  <c r="AH450"/>
  <c r="AI450" s="1"/>
  <c r="AH442"/>
  <c r="AI442" s="1"/>
  <c r="AH434"/>
  <c r="AI434" s="1"/>
  <c r="AH426"/>
  <c r="AI426" s="1"/>
  <c r="AH418"/>
  <c r="AI418" s="1"/>
  <c r="AH410"/>
  <c r="AI410" s="1"/>
  <c r="AH402"/>
  <c r="AI402" s="1"/>
  <c r="AH394"/>
  <c r="AI394" s="1"/>
  <c r="AH386"/>
  <c r="AI386" s="1"/>
  <c r="AH378"/>
  <c r="AI378" s="1"/>
  <c r="AH370"/>
  <c r="AI370" s="1"/>
  <c r="AH362"/>
  <c r="AI362" s="1"/>
  <c r="AH354"/>
  <c r="AI354" s="1"/>
  <c r="AH346"/>
  <c r="AI346" s="1"/>
  <c r="AH338"/>
  <c r="AI338" s="1"/>
  <c r="AH330"/>
  <c r="AI330" s="1"/>
  <c r="AH322"/>
  <c r="AI322" s="1"/>
  <c r="AH314"/>
  <c r="AI314" s="1"/>
  <c r="AH306"/>
  <c r="AI306" s="1"/>
  <c r="AH298"/>
  <c r="AI298" s="1"/>
  <c r="AH290"/>
  <c r="AI290" s="1"/>
  <c r="AH282"/>
  <c r="AI282" s="1"/>
  <c r="AH274"/>
  <c r="AI274" s="1"/>
  <c r="AH266"/>
  <c r="AI266" s="1"/>
  <c r="AH258"/>
  <c r="AI258" s="1"/>
  <c r="AH250"/>
  <c r="AI250" s="1"/>
  <c r="AH242"/>
  <c r="AI242" s="1"/>
  <c r="AH234"/>
  <c r="AI234" s="1"/>
  <c r="AH226"/>
  <c r="AI226" s="1"/>
  <c r="AH218"/>
  <c r="AI218" s="1"/>
  <c r="AH210"/>
  <c r="AI210" s="1"/>
  <c r="AH202"/>
  <c r="AI202" s="1"/>
  <c r="AH194"/>
  <c r="AI194" s="1"/>
  <c r="AH186"/>
  <c r="AI186" s="1"/>
  <c r="AH178"/>
  <c r="AI178" s="1"/>
  <c r="AH170"/>
  <c r="AI170" s="1"/>
  <c r="AH162"/>
  <c r="AI162" s="1"/>
  <c r="AH154"/>
  <c r="AI154" s="1"/>
  <c r="AH146"/>
  <c r="AI146" s="1"/>
  <c r="AH138"/>
  <c r="AI138" s="1"/>
  <c r="AH130"/>
  <c r="AI130" s="1"/>
  <c r="AH122"/>
  <c r="AI122" s="1"/>
  <c r="AH114"/>
  <c r="AI114" s="1"/>
  <c r="AH106"/>
  <c r="AI106" s="1"/>
  <c r="AH98"/>
  <c r="AI98" s="1"/>
  <c r="AH90"/>
  <c r="AI90" s="1"/>
  <c r="AH82"/>
  <c r="AI82" s="1"/>
  <c r="AH76"/>
  <c r="AI76" s="1"/>
  <c r="AH68"/>
  <c r="AI68" s="1"/>
  <c r="AH60"/>
  <c r="AI60" s="1"/>
  <c r="AH52"/>
  <c r="AI52" s="1"/>
  <c r="Z196"/>
  <c r="Y196"/>
  <c r="Y192"/>
  <c r="Z192"/>
  <c r="Y180"/>
  <c r="Z180"/>
  <c r="Y176"/>
  <c r="Z176"/>
  <c r="Z164"/>
  <c r="Y164"/>
  <c r="Y160"/>
  <c r="Z160"/>
  <c r="Y148"/>
  <c r="Z148"/>
  <c r="Y144"/>
  <c r="Z144"/>
  <c r="Y132"/>
  <c r="Y100"/>
  <c r="Y70"/>
  <c r="Y1062"/>
  <c r="Y1046"/>
  <c r="Y1030"/>
  <c r="Y1014"/>
  <c r="Y998"/>
  <c r="Y982"/>
  <c r="Y967"/>
  <c r="Y951"/>
  <c r="Y935"/>
  <c r="Y919"/>
  <c r="Y903"/>
  <c r="Y887"/>
  <c r="Y871"/>
  <c r="Y855"/>
  <c r="Y839"/>
  <c r="Y823"/>
  <c r="Y807"/>
  <c r="Y791"/>
  <c r="Y775"/>
  <c r="Y759"/>
  <c r="Y743"/>
  <c r="Y731"/>
  <c r="Y727"/>
  <c r="Y716"/>
  <c r="Y712"/>
  <c r="Y700"/>
  <c r="Y696"/>
  <c r="Y684"/>
  <c r="Y680"/>
  <c r="Y668"/>
  <c r="Y664"/>
  <c r="Y652"/>
  <c r="Y648"/>
  <c r="Y636"/>
  <c r="Y632"/>
  <c r="Y620"/>
  <c r="Y616"/>
  <c r="Y604"/>
  <c r="Y600"/>
  <c r="Y588"/>
  <c r="Y584"/>
  <c r="Y572"/>
  <c r="Y568"/>
  <c r="Y556"/>
  <c r="Y552"/>
  <c r="Y540"/>
  <c r="Y536"/>
  <c r="Y524"/>
  <c r="Y520"/>
  <c r="Y508"/>
  <c r="Y504"/>
  <c r="Y492"/>
  <c r="Y488"/>
  <c r="Y476"/>
  <c r="Y472"/>
  <c r="Y460"/>
  <c r="Y456"/>
  <c r="Y444"/>
  <c r="Y440"/>
  <c r="Y428"/>
  <c r="Y424"/>
  <c r="Y412"/>
  <c r="Y408"/>
  <c r="Y396"/>
  <c r="Y392"/>
  <c r="Y380"/>
  <c r="Y376"/>
  <c r="Y364"/>
  <c r="Y360"/>
  <c r="Y348"/>
  <c r="Y344"/>
  <c r="Y332"/>
  <c r="Y328"/>
  <c r="Y316"/>
  <c r="Y312"/>
  <c r="Y300"/>
  <c r="Y296"/>
  <c r="Y284"/>
  <c r="Y280"/>
  <c r="Y268"/>
  <c r="Y264"/>
  <c r="Y252"/>
  <c r="Y248"/>
  <c r="Y236"/>
  <c r="Y232"/>
  <c r="Y220"/>
  <c r="Y216"/>
  <c r="Y204"/>
  <c r="Y200"/>
  <c r="Y188"/>
  <c r="Y184"/>
  <c r="Y172"/>
  <c r="Y168"/>
  <c r="Y156"/>
  <c r="Y152"/>
  <c r="Y140"/>
  <c r="Y136"/>
  <c r="Y124"/>
  <c r="Y120"/>
  <c r="Y108"/>
  <c r="Y104"/>
  <c r="Y92"/>
  <c r="Y88"/>
  <c r="Y77"/>
  <c r="Y74"/>
  <c r="Y62"/>
  <c r="Y58"/>
  <c r="Z128"/>
  <c r="Z116"/>
  <c r="Z112"/>
  <c r="Z96"/>
  <c r="Z84"/>
  <c r="Z81"/>
  <c r="Z66"/>
  <c r="Z54"/>
  <c r="Z50"/>
  <c r="P1031" i="2" l="1"/>
  <c r="Q1031" s="1"/>
  <c r="S1031" s="1" a="1"/>
  <c r="S1031" s="1"/>
  <c r="P441"/>
  <c r="AB451" i="8" s="1"/>
  <c r="P409" i="2"/>
  <c r="AB419" i="8" s="1"/>
  <c r="P401" i="2"/>
  <c r="Q401" s="1"/>
  <c r="U401" s="1"/>
  <c r="P486"/>
  <c r="AB496" i="8" s="1"/>
  <c r="P414" i="2"/>
  <c r="Q414" s="1"/>
  <c r="P472"/>
  <c r="AB482" i="8" s="1"/>
  <c r="P609" i="2"/>
  <c r="Q609" s="1"/>
  <c r="U609" s="1"/>
  <c r="P377"/>
  <c r="Q377" s="1"/>
  <c r="S377" s="1" a="1"/>
  <c r="S377" s="1"/>
  <c r="P1593"/>
  <c r="Q1593" s="1"/>
  <c r="S1593" s="1" a="1"/>
  <c r="S1593" s="1"/>
  <c r="P297"/>
  <c r="AB307" i="8" s="1"/>
  <c r="P1639" i="2"/>
  <c r="AB1645" i="8" s="1"/>
  <c r="P393" i="2"/>
  <c r="AB403" i="8" s="1"/>
  <c r="P249" i="2"/>
  <c r="Q249" s="1"/>
  <c r="S249" s="1" a="1"/>
  <c r="S249" s="1"/>
  <c r="P828"/>
  <c r="Q828" s="1"/>
  <c r="P764"/>
  <c r="AB773" i="8" s="1"/>
  <c r="P633" i="2"/>
  <c r="AB643" i="8" s="1"/>
  <c r="P449" i="2"/>
  <c r="AB459" i="8" s="1"/>
  <c r="P545" i="2"/>
  <c r="Q545" s="1"/>
  <c r="P1049"/>
  <c r="Q1049" s="1"/>
  <c r="S1049" s="1" a="1"/>
  <c r="S1049" s="1"/>
  <c r="P2095"/>
  <c r="Q2095" s="1"/>
  <c r="P516"/>
  <c r="Q516" s="1"/>
  <c r="P447"/>
  <c r="AB457" i="8" s="1"/>
  <c r="P264" i="2"/>
  <c r="AB274" i="8" s="1"/>
  <c r="P580" i="2"/>
  <c r="AB590" i="8" s="1"/>
  <c r="P577" i="2"/>
  <c r="AB587" i="8" s="1"/>
  <c r="P275" i="2"/>
  <c r="Q275" s="1"/>
  <c r="P464"/>
  <c r="AB474" i="8" s="1"/>
  <c r="P608" i="2"/>
  <c r="AB618" i="8" s="1"/>
  <c r="P514" i="2"/>
  <c r="Q514" s="1"/>
  <c r="P424"/>
  <c r="Q424" s="1"/>
  <c r="P512"/>
  <c r="Q512" s="1"/>
  <c r="P287"/>
  <c r="Q287" s="1"/>
  <c r="P794"/>
  <c r="Q794" s="1"/>
  <c r="P388"/>
  <c r="AB398" i="8" s="1"/>
  <c r="P503" i="2"/>
  <c r="AB513" i="8" s="1"/>
  <c r="P444" i="2"/>
  <c r="Q444" s="1"/>
  <c r="P508"/>
  <c r="Q508" s="1"/>
  <c r="U508" s="1"/>
  <c r="P468"/>
  <c r="Q468" s="1"/>
  <c r="S468" s="1" a="1"/>
  <c r="S468" s="1"/>
  <c r="P380"/>
  <c r="AB390" i="8" s="1"/>
  <c r="P604" i="2"/>
  <c r="AB614" i="8" s="1"/>
  <c r="P564" i="2"/>
  <c r="AB574" i="8" s="1"/>
  <c r="P471" i="2"/>
  <c r="AB481" i="8" s="1"/>
  <c r="P1640" i="2"/>
  <c r="AB1646" i="8" s="1"/>
  <c r="P1040" i="2"/>
  <c r="Q1040" s="1"/>
  <c r="U1040" s="1"/>
  <c r="P628"/>
  <c r="AB638" i="8" s="1"/>
  <c r="P316" i="2"/>
  <c r="AB326" i="8" s="1"/>
  <c r="P423" i="2"/>
  <c r="AB433" i="8" s="1"/>
  <c r="P391" i="2"/>
  <c r="Q391" s="1"/>
  <c r="P832"/>
  <c r="Q832" s="1"/>
  <c r="P240"/>
  <c r="Q240" s="1"/>
  <c r="P312"/>
  <c r="Q312" s="1"/>
  <c r="P304"/>
  <c r="AB314" i="8" s="1"/>
  <c r="P415" i="2"/>
  <c r="AB425" i="8" s="1"/>
  <c r="P584" i="2"/>
  <c r="AB594" i="8" s="1"/>
  <c r="P2104" i="2"/>
  <c r="AB2104" i="8" s="1"/>
  <c r="P635" i="2"/>
  <c r="AB645" i="8" s="1"/>
  <c r="P1029" i="2"/>
  <c r="AB1037" i="8" s="1"/>
  <c r="P588" i="2"/>
  <c r="Q588" s="1"/>
  <c r="P356"/>
  <c r="AB366" i="8" s="1"/>
  <c r="P432" i="2"/>
  <c r="AB442" i="8" s="1"/>
  <c r="P404" i="2"/>
  <c r="Q404" s="1"/>
  <c r="P276"/>
  <c r="AB286" i="8" s="1"/>
  <c r="P556" i="2"/>
  <c r="AB566" i="8" s="1"/>
  <c r="P620" i="2"/>
  <c r="AB630" i="8" s="1"/>
  <c r="P340" i="2"/>
  <c r="Q340" s="1"/>
  <c r="S340" s="1" a="1"/>
  <c r="S340" s="1"/>
  <c r="P792"/>
  <c r="Q792" s="1"/>
  <c r="P1028"/>
  <c r="AB1036" i="8" s="1"/>
  <c r="P244" i="2"/>
  <c r="AB254" i="8" s="1"/>
  <c r="P1036" i="2"/>
  <c r="Q1036" s="1"/>
  <c r="P1054"/>
  <c r="Q1054" s="1"/>
  <c r="P623"/>
  <c r="AB633" i="8" s="1"/>
  <c r="P247" i="2"/>
  <c r="Q247" s="1"/>
  <c r="P292"/>
  <c r="AB302" i="8" s="1"/>
  <c r="P268" i="2"/>
  <c r="AB278" i="8" s="1"/>
  <c r="P260" i="2"/>
  <c r="AB270" i="8" s="1"/>
  <c r="P500" i="2"/>
  <c r="Q500" s="1"/>
  <c r="P372"/>
  <c r="AB382" i="8" s="1"/>
  <c r="P1088" i="2"/>
  <c r="AB1096" i="8" s="1"/>
  <c r="P575" i="2"/>
  <c r="AB585" i="8" s="1"/>
  <c r="P519" i="2"/>
  <c r="Q519" s="1"/>
  <c r="P288"/>
  <c r="Q288" s="1"/>
  <c r="U288" s="1"/>
  <c r="P632"/>
  <c r="Q632" s="1"/>
  <c r="U632" s="1"/>
  <c r="P536"/>
  <c r="Q536" s="1"/>
  <c r="P412"/>
  <c r="P546"/>
  <c r="AB556" i="8" s="1"/>
  <c r="P436" i="2"/>
  <c r="P1047"/>
  <c r="Q1047" s="1"/>
  <c r="U1047" s="1"/>
  <c r="P552"/>
  <c r="P2096"/>
  <c r="AB2096" i="8" s="1"/>
  <c r="P438" i="2"/>
  <c r="AB448" i="8" s="1"/>
  <c r="P1806" i="2"/>
  <c r="Q1806" s="1"/>
  <c r="P451"/>
  <c r="Q451" s="1"/>
  <c r="P2103"/>
  <c r="AB2103" i="8" s="1"/>
  <c r="P442" i="2"/>
  <c r="Q442" s="1"/>
  <c r="P618"/>
  <c r="AB628" i="8" s="1"/>
  <c r="P256" i="2"/>
  <c r="P1035"/>
  <c r="AB1043" i="8" s="1"/>
  <c r="P1056" i="2"/>
  <c r="P506"/>
  <c r="AB516" i="8" s="1"/>
  <c r="P1186" i="2"/>
  <c r="Q1186" s="1"/>
  <c r="P637"/>
  <c r="Q637" s="1"/>
  <c r="P381"/>
  <c r="AB391" i="8" s="1"/>
  <c r="P610" i="2"/>
  <c r="AB620" i="8" s="1"/>
  <c r="P355" i="2"/>
  <c r="Q355" s="1"/>
  <c r="P578"/>
  <c r="Q578" s="1"/>
  <c r="P1754"/>
  <c r="AB1759" i="8" s="1"/>
  <c r="P469" i="2"/>
  <c r="AB479" i="8" s="1"/>
  <c r="P2115" i="2"/>
  <c r="AB2115" i="8" s="1"/>
  <c r="P246" i="2"/>
  <c r="AB256" i="8" s="1"/>
  <c r="P294" i="2"/>
  <c r="Q294" s="1"/>
  <c r="P1050"/>
  <c r="AB1058" i="8" s="1"/>
  <c r="P370" i="2"/>
  <c r="Q370" s="1"/>
  <c r="P317"/>
  <c r="Q317" s="1"/>
  <c r="P1590"/>
  <c r="AB1597" i="8" s="1"/>
  <c r="P301" i="2"/>
  <c r="AB311" i="8" s="1"/>
  <c r="P389" i="2"/>
  <c r="Q389" s="1"/>
  <c r="P579"/>
  <c r="AB589" i="8" s="1"/>
  <c r="P307" i="2"/>
  <c r="AB317" i="8" s="1"/>
  <c r="P607" i="2"/>
  <c r="P496"/>
  <c r="P1032"/>
  <c r="P440"/>
  <c r="Q472"/>
  <c r="P502"/>
  <c r="P403"/>
  <c r="P557"/>
  <c r="P410"/>
  <c r="P754"/>
  <c r="P429"/>
  <c r="P1350"/>
  <c r="P686"/>
  <c r="P586"/>
  <c r="P1030"/>
  <c r="P563"/>
  <c r="P573"/>
  <c r="P2102"/>
  <c r="P245"/>
  <c r="P574"/>
  <c r="P838"/>
  <c r="P499"/>
  <c r="P242"/>
  <c r="P542"/>
  <c r="P298"/>
  <c r="P522"/>
  <c r="AB424" i="8"/>
  <c r="P454" i="2"/>
  <c r="P254"/>
  <c r="P827"/>
  <c r="P622"/>
  <c r="P606"/>
  <c r="P1406"/>
  <c r="P453"/>
  <c r="P395"/>
  <c r="P619"/>
  <c r="P539"/>
  <c r="P310"/>
  <c r="P526"/>
  <c r="P374"/>
  <c r="P1043"/>
  <c r="P306"/>
  <c r="P426"/>
  <c r="P634"/>
  <c r="P1594"/>
  <c r="P2090"/>
  <c r="P318"/>
  <c r="P1042"/>
  <c r="P435"/>
  <c r="P458"/>
  <c r="P485"/>
  <c r="P1254"/>
  <c r="P582"/>
  <c r="P1022"/>
  <c r="P566"/>
  <c r="P250"/>
  <c r="P270"/>
  <c r="P315"/>
  <c r="P413"/>
  <c r="P603"/>
  <c r="P774"/>
  <c r="P259"/>
  <c r="P587"/>
  <c r="P411"/>
  <c r="P638"/>
  <c r="P461"/>
  <c r="P509"/>
  <c r="P571"/>
  <c r="P1026"/>
  <c r="D3" i="8"/>
  <c r="C3"/>
  <c r="C3" i="2"/>
  <c r="B3"/>
  <c r="C41" i="9"/>
  <c r="AB1062" i="8" l="1"/>
  <c r="AB1044"/>
  <c r="AB399"/>
  <c r="AB2095"/>
  <c r="AB524"/>
  <c r="Q276" i="2"/>
  <c r="S276" s="1" a="1"/>
  <c r="S276" s="1"/>
  <c r="AB434" i="8"/>
  <c r="Q297" i="2"/>
  <c r="S297" s="1" a="1"/>
  <c r="S297" s="1"/>
  <c r="AB518" i="8"/>
  <c r="S508" i="2" a="1"/>
  <c r="S508" s="1"/>
  <c r="U249"/>
  <c r="Q268"/>
  <c r="U268" s="1"/>
  <c r="AB801" i="8"/>
  <c r="U1031" i="2"/>
  <c r="Q2104"/>
  <c r="U2104" s="1"/>
  <c r="Q264"/>
  <c r="U264" s="1"/>
  <c r="S401" a="1"/>
  <c r="S401" s="1"/>
  <c r="Q1639"/>
  <c r="S1639" s="1" a="1"/>
  <c r="S1639" s="1"/>
  <c r="Q464"/>
  <c r="S464" s="1" a="1"/>
  <c r="S464" s="1"/>
  <c r="AB387" i="8"/>
  <c r="AB1057"/>
  <c r="Q304" i="2"/>
  <c r="U304" s="1"/>
  <c r="AB411" i="8"/>
  <c r="AB1039"/>
  <c r="AB259"/>
  <c r="AB555"/>
  <c r="U1049" i="2"/>
  <c r="Q486"/>
  <c r="U486" s="1"/>
  <c r="AB1600" i="8"/>
  <c r="AB598"/>
  <c r="AB414"/>
  <c r="Q409" i="2"/>
  <c r="U409" s="1"/>
  <c r="AB298" i="8"/>
  <c r="Q449" i="2"/>
  <c r="S449" s="1" a="1"/>
  <c r="S449" s="1"/>
  <c r="Q577"/>
  <c r="S577" s="1" a="1"/>
  <c r="S577" s="1"/>
  <c r="Q584"/>
  <c r="S584" s="1" a="1"/>
  <c r="S584" s="1"/>
  <c r="Q1028"/>
  <c r="S1028" s="1" a="1"/>
  <c r="S1028" s="1"/>
  <c r="AB1048" i="8"/>
  <c r="Q441" i="2"/>
  <c r="S441" s="1" a="1"/>
  <c r="S441" s="1"/>
  <c r="U1593"/>
  <c r="Q579"/>
  <c r="S579" s="1" a="1"/>
  <c r="S579" s="1"/>
  <c r="Q564"/>
  <c r="S564" s="1" a="1"/>
  <c r="S564" s="1"/>
  <c r="AB841" i="8"/>
  <c r="AB250"/>
  <c r="AB526"/>
  <c r="S1040" i="2" a="1"/>
  <c r="S1040" s="1"/>
  <c r="S609" a="1"/>
  <c r="S609" s="1"/>
  <c r="AB454" i="8"/>
  <c r="Q556" i="2"/>
  <c r="S556" s="1" a="1"/>
  <c r="S556" s="1"/>
  <c r="AB619" i="8"/>
  <c r="Q388" i="2"/>
  <c r="S388" s="1" a="1"/>
  <c r="S388" s="1"/>
  <c r="Q635"/>
  <c r="U635" s="1"/>
  <c r="U377"/>
  <c r="Q393"/>
  <c r="S393" s="1" a="1"/>
  <c r="S393" s="1"/>
  <c r="S545" a="1"/>
  <c r="S545" s="1"/>
  <c r="U545"/>
  <c r="AB297" i="8"/>
  <c r="Q604" i="2"/>
  <c r="U604" s="1"/>
  <c r="AB546" i="8"/>
  <c r="AB803"/>
  <c r="AB285"/>
  <c r="AB401"/>
  <c r="Q506" i="2"/>
  <c r="S506" s="1" a="1"/>
  <c r="S506" s="1"/>
  <c r="Q471"/>
  <c r="S471" s="1" a="1"/>
  <c r="S471" s="1"/>
  <c r="AB522" i="8"/>
  <c r="Q423" i="2"/>
  <c r="U423" s="1"/>
  <c r="Q372"/>
  <c r="S372" s="1" a="1"/>
  <c r="S372" s="1"/>
  <c r="Q580"/>
  <c r="S580" s="1" a="1"/>
  <c r="S580" s="1"/>
  <c r="Q764"/>
  <c r="S764" s="1" a="1"/>
  <c r="S764" s="1"/>
  <c r="Q623"/>
  <c r="U623" s="1"/>
  <c r="AB837" i="8"/>
  <c r="S264" i="2" a="1"/>
  <c r="S264" s="1"/>
  <c r="Q447"/>
  <c r="S447" s="1" a="1"/>
  <c r="S447" s="1"/>
  <c r="Q546"/>
  <c r="U546" s="1"/>
  <c r="Q633"/>
  <c r="U633" s="1"/>
  <c r="Q2096"/>
  <c r="U2096" s="1"/>
  <c r="AB478" i="8"/>
  <c r="Q608" i="2"/>
  <c r="U608" s="1"/>
  <c r="AB380" i="8"/>
  <c r="AB1811"/>
  <c r="Q503" i="2"/>
  <c r="U468"/>
  <c r="Q244"/>
  <c r="S244" s="1" a="1"/>
  <c r="S244" s="1"/>
  <c r="Q1640"/>
  <c r="S1640" s="1" a="1"/>
  <c r="S1640" s="1"/>
  <c r="Q380"/>
  <c r="U380" s="1"/>
  <c r="Q292"/>
  <c r="U292" s="1"/>
  <c r="U441"/>
  <c r="Q432"/>
  <c r="U432" s="1"/>
  <c r="AB322" i="8"/>
  <c r="Q316" i="2"/>
  <c r="S316" s="1" a="1"/>
  <c r="S316" s="1"/>
  <c r="Q438"/>
  <c r="S438" s="1" a="1"/>
  <c r="S438" s="1"/>
  <c r="AB510" i="8"/>
  <c r="AB1194"/>
  <c r="Q1029" i="2"/>
  <c r="S1029" s="1" a="1"/>
  <c r="S1029" s="1"/>
  <c r="AB257" i="8"/>
  <c r="Q260" i="2"/>
  <c r="S260" s="1" a="1"/>
  <c r="S260" s="1"/>
  <c r="Q2115"/>
  <c r="S2115" s="1" a="1"/>
  <c r="S2115" s="1"/>
  <c r="AB452" i="8"/>
  <c r="Q381" i="2"/>
  <c r="U381" s="1"/>
  <c r="Q356"/>
  <c r="Q628"/>
  <c r="AB461" i="8"/>
  <c r="Q415" i="2"/>
  <c r="S415" s="1" a="1"/>
  <c r="S415" s="1"/>
  <c r="S632" a="1"/>
  <c r="S632" s="1"/>
  <c r="Q620"/>
  <c r="Q2103"/>
  <c r="U2103" s="1"/>
  <c r="AB350" i="8"/>
  <c r="Q575" i="2"/>
  <c r="U575" s="1"/>
  <c r="AB446" i="8"/>
  <c r="Q436" i="2"/>
  <c r="AB327" i="8"/>
  <c r="AB529"/>
  <c r="U340" i="2"/>
  <c r="Q301"/>
  <c r="S301" s="1" a="1"/>
  <c r="S301" s="1"/>
  <c r="AB365" i="8"/>
  <c r="Q1050" i="2"/>
  <c r="S1050" s="1" a="1"/>
  <c r="S1050" s="1"/>
  <c r="AB642" i="8"/>
  <c r="Q1590" i="2"/>
  <c r="U1590" s="1"/>
  <c r="Q610"/>
  <c r="U610" s="1"/>
  <c r="Q552"/>
  <c r="AB562" i="8"/>
  <c r="Q1088" i="2"/>
  <c r="S1088" s="1" a="1"/>
  <c r="S1088" s="1"/>
  <c r="Q246"/>
  <c r="S246" s="1" a="1"/>
  <c r="S246" s="1"/>
  <c r="AB1055" i="8"/>
  <c r="Q412" i="2"/>
  <c r="AB422" i="8"/>
  <c r="Q618" i="2"/>
  <c r="U618" s="1"/>
  <c r="AB304" i="8"/>
  <c r="AB647"/>
  <c r="AB266"/>
  <c r="Q256" i="2"/>
  <c r="Q496"/>
  <c r="AB506" i="8"/>
  <c r="AB1040"/>
  <c r="Q1032" i="2"/>
  <c r="Q469"/>
  <c r="U469" s="1"/>
  <c r="S1047" a="1"/>
  <c r="S1047" s="1"/>
  <c r="Q1035"/>
  <c r="U1035" s="1"/>
  <c r="S288" a="1"/>
  <c r="S288" s="1"/>
  <c r="Q1754"/>
  <c r="U1754" s="1"/>
  <c r="Q307"/>
  <c r="S307" s="1" a="1"/>
  <c r="S307" s="1"/>
  <c r="Q607"/>
  <c r="AB617" i="8"/>
  <c r="Q440" i="2"/>
  <c r="AB450" i="8"/>
  <c r="AB588"/>
  <c r="AB1064"/>
  <c r="Q1056" i="2"/>
  <c r="Q566"/>
  <c r="AB576" i="8"/>
  <c r="Q435" i="2"/>
  <c r="AB445" i="8"/>
  <c r="S832" i="2" a="1"/>
  <c r="S832" s="1"/>
  <c r="U832"/>
  <c r="S442" a="1"/>
  <c r="S442" s="1"/>
  <c r="U442"/>
  <c r="Q539"/>
  <c r="AB549" i="8"/>
  <c r="Q1026" i="2"/>
  <c r="AB1034" i="8"/>
  <c r="Q586" i="2"/>
  <c r="AB596" i="8"/>
  <c r="S444" i="2" a="1"/>
  <c r="S444" s="1"/>
  <c r="U444"/>
  <c r="S828" a="1"/>
  <c r="S828" s="1"/>
  <c r="U828"/>
  <c r="S1186" a="1"/>
  <c r="S1186" s="1"/>
  <c r="U1186"/>
  <c r="Q526"/>
  <c r="AB536" i="8"/>
  <c r="Q499" i="2"/>
  <c r="AB509" i="8"/>
  <c r="Q403" i="2"/>
  <c r="AB413" i="8"/>
  <c r="Q587" i="2"/>
  <c r="AB597" i="8"/>
  <c r="Q1254" i="2"/>
  <c r="AB1262" i="8"/>
  <c r="Q411" i="2"/>
  <c r="AB421" i="8"/>
  <c r="Q306" i="2"/>
  <c r="AB316" i="8"/>
  <c r="Q454" i="2"/>
  <c r="AB464" i="8"/>
  <c r="U414" i="2"/>
  <c r="S414" a="1"/>
  <c r="S414" s="1"/>
  <c r="Q298"/>
  <c r="AB308" i="8"/>
  <c r="Q573" i="2"/>
  <c r="AB583" i="8"/>
  <c r="S424" i="2" a="1"/>
  <c r="S424" s="1"/>
  <c r="U424"/>
  <c r="S294" a="1"/>
  <c r="S294" s="1"/>
  <c r="U294"/>
  <c r="Q509"/>
  <c r="AB519" i="8"/>
  <c r="Q1022" i="2"/>
  <c r="AB1030" i="8"/>
  <c r="Q1042" i="2"/>
  <c r="AB1050" i="8"/>
  <c r="Q634" i="2"/>
  <c r="AB644" i="8"/>
  <c r="Q619" i="2"/>
  <c r="AB629" i="8"/>
  <c r="Q827" i="2"/>
  <c r="AB836" i="8"/>
  <c r="S514" i="2" a="1"/>
  <c r="S514" s="1"/>
  <c r="U514"/>
  <c r="Q245"/>
  <c r="AB255" i="8"/>
  <c r="Q1350" i="2"/>
  <c r="AB1357" i="8"/>
  <c r="S512" i="2" a="1"/>
  <c r="S512" s="1"/>
  <c r="U512"/>
  <c r="S391" a="1"/>
  <c r="S391" s="1"/>
  <c r="U391"/>
  <c r="S355" a="1"/>
  <c r="S355" s="1"/>
  <c r="U355"/>
  <c r="S792" a="1"/>
  <c r="S792" s="1"/>
  <c r="U792"/>
  <c r="S1806" a="1"/>
  <c r="S1806" s="1"/>
  <c r="U1806"/>
  <c r="S637" a="1"/>
  <c r="S637" s="1"/>
  <c r="U637"/>
  <c r="U317"/>
  <c r="S317" a="1"/>
  <c r="S317" s="1"/>
  <c r="Q574"/>
  <c r="AB584" i="8"/>
  <c r="S404" i="2" a="1"/>
  <c r="S404" s="1"/>
  <c r="U404"/>
  <c r="Q838"/>
  <c r="AB847" i="8"/>
  <c r="Q502" i="2"/>
  <c r="AB512" i="8"/>
  <c r="Q270" i="2"/>
  <c r="AB280" i="8"/>
  <c r="Q485" i="2"/>
  <c r="AB495" i="8"/>
  <c r="S794" i="2" a="1"/>
  <c r="S794" s="1"/>
  <c r="U794"/>
  <c r="S240" a="1"/>
  <c r="S240" s="1"/>
  <c r="U240"/>
  <c r="Q1030"/>
  <c r="AB1038" i="8"/>
  <c r="Q315" i="2"/>
  <c r="AB325" i="8"/>
  <c r="Q374" i="2"/>
  <c r="AB384" i="8"/>
  <c r="Q606" i="2"/>
  <c r="AB616" i="8"/>
  <c r="S312" i="2" a="1"/>
  <c r="S312" s="1"/>
  <c r="U312"/>
  <c r="Q557"/>
  <c r="AB567" i="8"/>
  <c r="S451" i="2" a="1"/>
  <c r="S451" s="1"/>
  <c r="U451"/>
  <c r="Q1043"/>
  <c r="AB1051" i="8"/>
  <c r="Q1406" i="2"/>
  <c r="AB1413" i="8"/>
  <c r="Q542" i="2"/>
  <c r="AB552" i="8"/>
  <c r="Q410" i="2"/>
  <c r="AB420" i="8"/>
  <c r="Q571" i="2"/>
  <c r="AB581" i="8"/>
  <c r="S519" i="2" a="1"/>
  <c r="S519" s="1"/>
  <c r="U519"/>
  <c r="U370"/>
  <c r="S370" a="1"/>
  <c r="S370" s="1"/>
  <c r="Q622"/>
  <c r="AB632" i="8"/>
  <c r="Q686" i="2"/>
  <c r="AB696" i="8"/>
  <c r="Q774" i="2"/>
  <c r="AB783" i="8"/>
  <c r="Q458" i="2"/>
  <c r="AB468" i="8"/>
  <c r="Q310" i="2"/>
  <c r="AB320" i="8"/>
  <c r="S516" i="2" a="1"/>
  <c r="S516" s="1"/>
  <c r="U516"/>
  <c r="Q259"/>
  <c r="AB269" i="8"/>
  <c r="Q563" i="2"/>
  <c r="AB573" i="8"/>
  <c r="S472" i="2" a="1"/>
  <c r="S472" s="1"/>
  <c r="U472"/>
  <c r="S2095" a="1"/>
  <c r="S2095" s="1"/>
  <c r="U2095"/>
  <c r="S1054" a="1"/>
  <c r="S1054" s="1"/>
  <c r="U1054"/>
  <c r="Q638"/>
  <c r="AB648" i="8"/>
  <c r="Q453" i="2"/>
  <c r="AB463" i="8"/>
  <c r="S275" i="2" a="1"/>
  <c r="S275" s="1"/>
  <c r="U275"/>
  <c r="Q754"/>
  <c r="AB763" i="8"/>
  <c r="Q603" i="2"/>
  <c r="AB613" i="8"/>
  <c r="S536" i="2" a="1"/>
  <c r="S536" s="1"/>
  <c r="U536"/>
  <c r="Q1594"/>
  <c r="AB1601" i="8"/>
  <c r="Q250" i="2"/>
  <c r="AB260" i="8"/>
  <c r="Q2090" i="2"/>
  <c r="AB2090" i="8"/>
  <c r="S500" i="2" a="1"/>
  <c r="S500" s="1"/>
  <c r="U500"/>
  <c r="Q242"/>
  <c r="AB252" i="8"/>
  <c r="S578" i="2" a="1"/>
  <c r="S578" s="1"/>
  <c r="U578"/>
  <c r="Q413"/>
  <c r="AB423" i="8"/>
  <c r="S1036" i="2" a="1"/>
  <c r="S1036" s="1"/>
  <c r="U1036"/>
  <c r="Q461"/>
  <c r="AB471" i="8"/>
  <c r="Q582" i="2"/>
  <c r="AB592" i="8"/>
  <c r="S247" i="2" a="1"/>
  <c r="S247" s="1"/>
  <c r="U247"/>
  <c r="Q318"/>
  <c r="AB328" i="8"/>
  <c r="S287" i="2" a="1"/>
  <c r="S287" s="1"/>
  <c r="U287"/>
  <c r="S588" a="1"/>
  <c r="S588" s="1"/>
  <c r="U588"/>
  <c r="S389" a="1"/>
  <c r="S389" s="1"/>
  <c r="U389"/>
  <c r="Q426"/>
  <c r="AB436" i="8"/>
  <c r="Q395" i="2"/>
  <c r="AB405" i="8"/>
  <c r="Q254" i="2"/>
  <c r="AB264" i="8"/>
  <c r="Q522" i="2"/>
  <c r="AB532" i="8"/>
  <c r="Q2102" i="2"/>
  <c r="AB2102" i="8"/>
  <c r="Q429" i="2"/>
  <c r="AB439" i="8"/>
  <c r="C40" i="9"/>
  <c r="C47"/>
  <c r="C35"/>
  <c r="C64"/>
  <c r="C63"/>
  <c r="B16"/>
  <c r="B48"/>
  <c r="C36"/>
  <c r="C28"/>
  <c r="A4"/>
  <c r="C25"/>
  <c r="B20"/>
  <c r="C19"/>
  <c r="C38"/>
  <c r="C45"/>
  <c r="C43"/>
  <c r="B42" i="3"/>
  <c r="B46" i="8"/>
  <c r="C46"/>
  <c r="D46"/>
  <c r="E46"/>
  <c r="U46" s="1"/>
  <c r="F46"/>
  <c r="V46" s="1"/>
  <c r="G46"/>
  <c r="W46" s="1"/>
  <c r="H46"/>
  <c r="X46" s="1"/>
  <c r="I46"/>
  <c r="J46"/>
  <c r="S46"/>
  <c r="T46"/>
  <c r="AD46"/>
  <c r="AE46"/>
  <c r="AF46"/>
  <c r="AG46"/>
  <c r="B35"/>
  <c r="B13"/>
  <c r="B18"/>
  <c r="B36"/>
  <c r="B37"/>
  <c r="B38"/>
  <c r="B39"/>
  <c r="B40"/>
  <c r="B41"/>
  <c r="B42"/>
  <c r="B43"/>
  <c r="B44"/>
  <c r="B45"/>
  <c r="C35"/>
  <c r="C13"/>
  <c r="C18"/>
  <c r="C36"/>
  <c r="C37"/>
  <c r="C38"/>
  <c r="C39"/>
  <c r="C40"/>
  <c r="C41"/>
  <c r="C42"/>
  <c r="C43"/>
  <c r="C44"/>
  <c r="C45"/>
  <c r="D35"/>
  <c r="D13"/>
  <c r="D18"/>
  <c r="D36"/>
  <c r="D37"/>
  <c r="D38"/>
  <c r="D39"/>
  <c r="D40"/>
  <c r="D41"/>
  <c r="D42"/>
  <c r="D43"/>
  <c r="D44"/>
  <c r="D45"/>
  <c r="E35"/>
  <c r="U35" s="1"/>
  <c r="E13"/>
  <c r="U13" s="1"/>
  <c r="E18"/>
  <c r="U18" s="1"/>
  <c r="E36"/>
  <c r="U36" s="1"/>
  <c r="E37"/>
  <c r="U37" s="1"/>
  <c r="E38"/>
  <c r="U38" s="1"/>
  <c r="E39"/>
  <c r="U39" s="1"/>
  <c r="E40"/>
  <c r="U40" s="1"/>
  <c r="E41"/>
  <c r="U41" s="1"/>
  <c r="E42"/>
  <c r="U42" s="1"/>
  <c r="E43"/>
  <c r="U43" s="1"/>
  <c r="E44"/>
  <c r="U44" s="1"/>
  <c r="E45"/>
  <c r="U45" s="1"/>
  <c r="F35"/>
  <c r="V35" s="1"/>
  <c r="F13"/>
  <c r="V13" s="1"/>
  <c r="F18"/>
  <c r="V18" s="1"/>
  <c r="F36"/>
  <c r="V36" s="1"/>
  <c r="F37"/>
  <c r="V37" s="1"/>
  <c r="F38"/>
  <c r="V38" s="1"/>
  <c r="F39"/>
  <c r="V39" s="1"/>
  <c r="F40"/>
  <c r="V40" s="1"/>
  <c r="F41"/>
  <c r="V41" s="1"/>
  <c r="F42"/>
  <c r="V42" s="1"/>
  <c r="F43"/>
  <c r="V43" s="1"/>
  <c r="F44"/>
  <c r="V44" s="1"/>
  <c r="F45"/>
  <c r="V45" s="1"/>
  <c r="G35"/>
  <c r="W35" s="1"/>
  <c r="G13"/>
  <c r="W13" s="1"/>
  <c r="G18"/>
  <c r="W18" s="1"/>
  <c r="G36"/>
  <c r="W36" s="1"/>
  <c r="G37"/>
  <c r="W37" s="1"/>
  <c r="G38"/>
  <c r="W38" s="1"/>
  <c r="G39"/>
  <c r="W39" s="1"/>
  <c r="G40"/>
  <c r="W40" s="1"/>
  <c r="G41"/>
  <c r="W41" s="1"/>
  <c r="G42"/>
  <c r="W42" s="1"/>
  <c r="G43"/>
  <c r="W43" s="1"/>
  <c r="G44"/>
  <c r="W44" s="1"/>
  <c r="G45"/>
  <c r="W45" s="1"/>
  <c r="H35"/>
  <c r="X35" s="1"/>
  <c r="H13"/>
  <c r="X13" s="1"/>
  <c r="H18"/>
  <c r="X18" s="1"/>
  <c r="H36"/>
  <c r="X36" s="1"/>
  <c r="H37"/>
  <c r="X37" s="1"/>
  <c r="H38"/>
  <c r="X38" s="1"/>
  <c r="H39"/>
  <c r="X39" s="1"/>
  <c r="H40"/>
  <c r="X40" s="1"/>
  <c r="H41"/>
  <c r="X41" s="1"/>
  <c r="H42"/>
  <c r="X42" s="1"/>
  <c r="H43"/>
  <c r="X43" s="1"/>
  <c r="H44"/>
  <c r="X44" s="1"/>
  <c r="H45"/>
  <c r="X45" s="1"/>
  <c r="I35"/>
  <c r="I13"/>
  <c r="I18"/>
  <c r="I36"/>
  <c r="I37"/>
  <c r="I38"/>
  <c r="I39"/>
  <c r="I40"/>
  <c r="I41"/>
  <c r="I42"/>
  <c r="I43"/>
  <c r="I44"/>
  <c r="I45"/>
  <c r="J35"/>
  <c r="J13"/>
  <c r="J18"/>
  <c r="J36"/>
  <c r="J37"/>
  <c r="J38"/>
  <c r="J39"/>
  <c r="J40"/>
  <c r="J41"/>
  <c r="J42"/>
  <c r="J43"/>
  <c r="J44"/>
  <c r="J45"/>
  <c r="S35"/>
  <c r="S13"/>
  <c r="S18"/>
  <c r="S36"/>
  <c r="S37"/>
  <c r="S38"/>
  <c r="S39"/>
  <c r="S40"/>
  <c r="S41"/>
  <c r="S42"/>
  <c r="S43"/>
  <c r="S44"/>
  <c r="S45"/>
  <c r="T35"/>
  <c r="T13"/>
  <c r="T18"/>
  <c r="T36"/>
  <c r="T37"/>
  <c r="T38"/>
  <c r="T39"/>
  <c r="T40"/>
  <c r="T41"/>
  <c r="T42"/>
  <c r="T43"/>
  <c r="T44"/>
  <c r="T45"/>
  <c r="AC35"/>
  <c r="AC18"/>
  <c r="AC36"/>
  <c r="AC45"/>
  <c r="AD35"/>
  <c r="AD13"/>
  <c r="AD18"/>
  <c r="AD36"/>
  <c r="AD37"/>
  <c r="AD38"/>
  <c r="AD39"/>
  <c r="AD40"/>
  <c r="AD41"/>
  <c r="AD42"/>
  <c r="AD43"/>
  <c r="AD44"/>
  <c r="AD45"/>
  <c r="AE35"/>
  <c r="AE13"/>
  <c r="AE18"/>
  <c r="AE36"/>
  <c r="AE37"/>
  <c r="AE38"/>
  <c r="AE39"/>
  <c r="AE40"/>
  <c r="AE41"/>
  <c r="AE42"/>
  <c r="AE43"/>
  <c r="AE44"/>
  <c r="AE45"/>
  <c r="AF35"/>
  <c r="AF13"/>
  <c r="AF18"/>
  <c r="AF36"/>
  <c r="AF37"/>
  <c r="AF38"/>
  <c r="AF39"/>
  <c r="AF40"/>
  <c r="AF41"/>
  <c r="AF42"/>
  <c r="AF43"/>
  <c r="AF44"/>
  <c r="AF45"/>
  <c r="AG35"/>
  <c r="AG13"/>
  <c r="AG18"/>
  <c r="AG36"/>
  <c r="AG37"/>
  <c r="AG38"/>
  <c r="AG39"/>
  <c r="AG40"/>
  <c r="AG41"/>
  <c r="AG42"/>
  <c r="AG43"/>
  <c r="AG44"/>
  <c r="AG45"/>
  <c r="U464" i="2" l="1"/>
  <c r="S268" a="1"/>
  <c r="S268" s="1"/>
  <c r="S608" a="1"/>
  <c r="S608" s="1"/>
  <c r="U584"/>
  <c r="U276"/>
  <c r="S623" a="1"/>
  <c r="S623" s="1"/>
  <c r="S2104" a="1"/>
  <c r="S2104" s="1"/>
  <c r="U1028"/>
  <c r="U297"/>
  <c r="S432" a="1"/>
  <c r="S432" s="1"/>
  <c r="S380" a="1"/>
  <c r="S380" s="1"/>
  <c r="S304" a="1"/>
  <c r="S304" s="1"/>
  <c r="U2115"/>
  <c r="U1639"/>
  <c r="U447"/>
  <c r="S486" a="1"/>
  <c r="S486" s="1"/>
  <c r="S546" a="1"/>
  <c r="S546" s="1"/>
  <c r="U579"/>
  <c r="S409" a="1"/>
  <c r="S409" s="1"/>
  <c r="U564"/>
  <c r="S604" a="1"/>
  <c r="S604" s="1"/>
  <c r="U449"/>
  <c r="U415"/>
  <c r="U577"/>
  <c r="U764"/>
  <c r="S2096" a="1"/>
  <c r="S2096" s="1"/>
  <c r="U556"/>
  <c r="S292" a="1"/>
  <c r="S292" s="1"/>
  <c r="U1640"/>
  <c r="U1088"/>
  <c r="U388"/>
  <c r="U438"/>
  <c r="U471"/>
  <c r="U316"/>
  <c r="U307"/>
  <c r="S635" a="1"/>
  <c r="S635" s="1"/>
  <c r="U580"/>
  <c r="S618" a="1"/>
  <c r="S618" s="1"/>
  <c r="U301"/>
  <c r="S2103" a="1"/>
  <c r="S2103" s="1"/>
  <c r="U393"/>
  <c r="U372"/>
  <c r="S423" a="1"/>
  <c r="S423" s="1"/>
  <c r="U244"/>
  <c r="S633" a="1"/>
  <c r="S633" s="1"/>
  <c r="U506"/>
  <c r="U260"/>
  <c r="S503" a="1"/>
  <c r="S503" s="1"/>
  <c r="U503"/>
  <c r="U1050"/>
  <c r="S381" a="1"/>
  <c r="S381" s="1"/>
  <c r="U1029"/>
  <c r="S356" a="1"/>
  <c r="S356" s="1"/>
  <c r="U356"/>
  <c r="U628"/>
  <c r="S628" a="1"/>
  <c r="S628" s="1"/>
  <c r="U246"/>
  <c r="S575" a="1"/>
  <c r="S575" s="1"/>
  <c r="U620"/>
  <c r="S620" a="1"/>
  <c r="S620" s="1"/>
  <c r="S469" a="1"/>
  <c r="S469" s="1"/>
  <c r="S436" a="1"/>
  <c r="S436" s="1"/>
  <c r="U436"/>
  <c r="S412" a="1"/>
  <c r="S412" s="1"/>
  <c r="U412"/>
  <c r="S552" a="1"/>
  <c r="S552" s="1"/>
  <c r="U552"/>
  <c r="S1590" a="1"/>
  <c r="S1590" s="1"/>
  <c r="S610" a="1"/>
  <c r="S610" s="1"/>
  <c r="S1056" a="1"/>
  <c r="S1056" s="1"/>
  <c r="U1056"/>
  <c r="S607" a="1"/>
  <c r="S607" s="1"/>
  <c r="U607"/>
  <c r="S1754" a="1"/>
  <c r="S1754" s="1"/>
  <c r="S256" a="1"/>
  <c r="S256" s="1"/>
  <c r="U256"/>
  <c r="S1032" a="1"/>
  <c r="S1032" s="1"/>
  <c r="U1032"/>
  <c r="S1035" a="1"/>
  <c r="S1035" s="1"/>
  <c r="S496" a="1"/>
  <c r="S496" s="1"/>
  <c r="U496"/>
  <c r="U440"/>
  <c r="S440" a="1"/>
  <c r="S440" s="1"/>
  <c r="S426" a="1"/>
  <c r="S426" s="1"/>
  <c r="U426"/>
  <c r="U413"/>
  <c r="S413" a="1"/>
  <c r="S413" s="1"/>
  <c r="S774" a="1"/>
  <c r="S774" s="1"/>
  <c r="U774"/>
  <c r="S542" a="1"/>
  <c r="S542" s="1"/>
  <c r="U542"/>
  <c r="S1022" a="1"/>
  <c r="S1022" s="1"/>
  <c r="U1022"/>
  <c r="U298"/>
  <c r="S298" a="1"/>
  <c r="S298" s="1"/>
  <c r="S586" a="1"/>
  <c r="S586" s="1"/>
  <c r="U586"/>
  <c r="S395" a="1"/>
  <c r="S395" s="1"/>
  <c r="U395"/>
  <c r="U458"/>
  <c r="S458" a="1"/>
  <c r="S458" s="1"/>
  <c r="S557" a="1"/>
  <c r="S557" s="1"/>
  <c r="U557"/>
  <c r="U254"/>
  <c r="S254" a="1"/>
  <c r="S254" s="1"/>
  <c r="S522" a="1"/>
  <c r="S522" s="1"/>
  <c r="U522"/>
  <c r="S461" a="1"/>
  <c r="S461" s="1"/>
  <c r="U461"/>
  <c r="U453"/>
  <c r="S453" a="1"/>
  <c r="S453" s="1"/>
  <c r="S686" a="1"/>
  <c r="S686" s="1"/>
  <c r="U686"/>
  <c r="S1406" a="1"/>
  <c r="S1406" s="1"/>
  <c r="U1406"/>
  <c r="S1030" a="1"/>
  <c r="S1030" s="1"/>
  <c r="U1030"/>
  <c r="S485" a="1"/>
  <c r="S485" s="1"/>
  <c r="U485"/>
  <c r="S502" a="1"/>
  <c r="S502" s="1"/>
  <c r="U502"/>
  <c r="S1350" a="1"/>
  <c r="S1350" s="1"/>
  <c r="U1350"/>
  <c r="S619" a="1"/>
  <c r="S619" s="1"/>
  <c r="U619"/>
  <c r="S509" a="1"/>
  <c r="S509" s="1"/>
  <c r="U509"/>
  <c r="S1254" a="1"/>
  <c r="S1254" s="1"/>
  <c r="U1254"/>
  <c r="S526" a="1"/>
  <c r="S526" s="1"/>
  <c r="U526"/>
  <c r="S566" a="1"/>
  <c r="S566" s="1"/>
  <c r="U566"/>
  <c r="S242" a="1"/>
  <c r="S242" s="1"/>
  <c r="U242"/>
  <c r="S1594" a="1"/>
  <c r="S1594" s="1"/>
  <c r="U1594"/>
  <c r="S754" a="1"/>
  <c r="S754" s="1"/>
  <c r="U754"/>
  <c r="S563" a="1"/>
  <c r="S563" s="1"/>
  <c r="U563"/>
  <c r="U410"/>
  <c r="S410" a="1"/>
  <c r="S410" s="1"/>
  <c r="S1042" a="1"/>
  <c r="S1042" s="1"/>
  <c r="U1042"/>
  <c r="S573" a="1"/>
  <c r="S573" s="1"/>
  <c r="U573"/>
  <c r="U306"/>
  <c r="S306" a="1"/>
  <c r="S306" s="1"/>
  <c r="S403" a="1"/>
  <c r="S403" s="1"/>
  <c r="U403"/>
  <c r="S1026" a="1"/>
  <c r="S1026" s="1"/>
  <c r="U1026"/>
  <c r="S435" a="1"/>
  <c r="S435" s="1"/>
  <c r="U435"/>
  <c r="S603" a="1"/>
  <c r="S603" s="1"/>
  <c r="U603"/>
  <c r="S259" a="1"/>
  <c r="S259" s="1"/>
  <c r="U259"/>
  <c r="S315" a="1"/>
  <c r="S315" s="1"/>
  <c r="U315"/>
  <c r="S574" a="1"/>
  <c r="S574" s="1"/>
  <c r="U574"/>
  <c r="S539" a="1"/>
  <c r="S539" s="1"/>
  <c r="U539"/>
  <c r="U250"/>
  <c r="S250" a="1"/>
  <c r="S250" s="1"/>
  <c r="S411" a="1"/>
  <c r="S411" s="1"/>
  <c r="U411"/>
  <c r="U318"/>
  <c r="S318" a="1"/>
  <c r="S318" s="1"/>
  <c r="S2090" a="1"/>
  <c r="S2090" s="1"/>
  <c r="U2090"/>
  <c r="S638" a="1"/>
  <c r="S638" s="1"/>
  <c r="U638"/>
  <c r="U310"/>
  <c r="S310" a="1"/>
  <c r="S310" s="1"/>
  <c r="S622" a="1"/>
  <c r="S622" s="1"/>
  <c r="U622"/>
  <c r="S571" a="1"/>
  <c r="S571" s="1"/>
  <c r="U571"/>
  <c r="S1043" a="1"/>
  <c r="S1043" s="1"/>
  <c r="U1043"/>
  <c r="S606" a="1"/>
  <c r="S606" s="1"/>
  <c r="U606"/>
  <c r="S838" a="1"/>
  <c r="S838" s="1"/>
  <c r="U838"/>
  <c r="S245" a="1"/>
  <c r="S245" s="1"/>
  <c r="U245"/>
  <c r="S634" a="1"/>
  <c r="S634" s="1"/>
  <c r="U634"/>
  <c r="S454" a="1"/>
  <c r="S454" s="1"/>
  <c r="U454"/>
  <c r="S587" a="1"/>
  <c r="S587" s="1"/>
  <c r="U587"/>
  <c r="S2102" a="1"/>
  <c r="S2102" s="1"/>
  <c r="U2102"/>
  <c r="S582" a="1"/>
  <c r="S582" s="1"/>
  <c r="U582"/>
  <c r="S827" a="1"/>
  <c r="S827" s="1"/>
  <c r="U827"/>
  <c r="S499" a="1"/>
  <c r="S499" s="1"/>
  <c r="U499"/>
  <c r="S429" a="1"/>
  <c r="S429" s="1"/>
  <c r="U429"/>
  <c r="U374"/>
  <c r="S374" a="1"/>
  <c r="S374" s="1"/>
  <c r="S270" a="1"/>
  <c r="S270" s="1"/>
  <c r="U270"/>
  <c r="Y45" i="8"/>
  <c r="Y41"/>
  <c r="Y37"/>
  <c r="Y18"/>
  <c r="Y35"/>
  <c r="Z44"/>
  <c r="Z36"/>
  <c r="Y44"/>
  <c r="Y42"/>
  <c r="Y40"/>
  <c r="Y38"/>
  <c r="Y36"/>
  <c r="Y13"/>
  <c r="Y46"/>
  <c r="AH36"/>
  <c r="AI36" s="1"/>
  <c r="Z45"/>
  <c r="Z43"/>
  <c r="Z41"/>
  <c r="Z39"/>
  <c r="Z37"/>
  <c r="Z18"/>
  <c r="Z40"/>
  <c r="Z13"/>
  <c r="Y43"/>
  <c r="Y39"/>
  <c r="Z46"/>
  <c r="Z42"/>
  <c r="Z38"/>
  <c r="AH45"/>
  <c r="AI45" s="1"/>
  <c r="AH18"/>
  <c r="AI18" s="1"/>
  <c r="AH35"/>
  <c r="AI35" s="1"/>
  <c r="Z35"/>
  <c r="J21" i="2" l="1"/>
  <c r="K35" i="8" s="1"/>
  <c r="J22" i="2"/>
  <c r="K13" i="8" s="1"/>
  <c r="J23" i="2"/>
  <c r="K18" i="8" s="1"/>
  <c r="J24" i="2"/>
  <c r="K36" i="8" s="1"/>
  <c r="J25" i="2"/>
  <c r="K37" i="8" s="1"/>
  <c r="J26" i="2"/>
  <c r="K38" i="8" s="1"/>
  <c r="J27" i="2"/>
  <c r="K39" i="8" s="1"/>
  <c r="J28" i="2"/>
  <c r="K40" i="8" s="1"/>
  <c r="J29" i="2"/>
  <c r="K41" i="8" s="1"/>
  <c r="J30" i="2"/>
  <c r="K42" i="8" s="1"/>
  <c r="J31" i="2"/>
  <c r="K43" i="8" s="1"/>
  <c r="J32" i="2"/>
  <c r="K44" i="8" s="1"/>
  <c r="J33" i="2"/>
  <c r="K45" i="8" s="1"/>
  <c r="J34" i="2"/>
  <c r="K46" i="8" s="1"/>
  <c r="AG19" l="1"/>
  <c r="AG20"/>
  <c r="AG21"/>
  <c r="AG22"/>
  <c r="AG23"/>
  <c r="AG24"/>
  <c r="AG25"/>
  <c r="AG26"/>
  <c r="AG27"/>
  <c r="AG28"/>
  <c r="AG29"/>
  <c r="AG30"/>
  <c r="AG31"/>
  <c r="AG32"/>
  <c r="AG33"/>
  <c r="AG34"/>
  <c r="AF19"/>
  <c r="AF20"/>
  <c r="AF21"/>
  <c r="AF22"/>
  <c r="AF23"/>
  <c r="AF24"/>
  <c r="AF25"/>
  <c r="AF26"/>
  <c r="AF27"/>
  <c r="AF28"/>
  <c r="AF29"/>
  <c r="AF30"/>
  <c r="AF31"/>
  <c r="AF32"/>
  <c r="AF33"/>
  <c r="AF34"/>
  <c r="AE19"/>
  <c r="AE20"/>
  <c r="AE21"/>
  <c r="AE22"/>
  <c r="AE23"/>
  <c r="AE24"/>
  <c r="AE25"/>
  <c r="AE26"/>
  <c r="AE27"/>
  <c r="AE28"/>
  <c r="AE29"/>
  <c r="AE30"/>
  <c r="AE31"/>
  <c r="AE32"/>
  <c r="AE33"/>
  <c r="AE34"/>
  <c r="AD19"/>
  <c r="AD20"/>
  <c r="AD21"/>
  <c r="AD22"/>
  <c r="AD23"/>
  <c r="AD24"/>
  <c r="AD25"/>
  <c r="AD26"/>
  <c r="AD27"/>
  <c r="AD28"/>
  <c r="AD29"/>
  <c r="AD30"/>
  <c r="AD31"/>
  <c r="AD32"/>
  <c r="AD33"/>
  <c r="AD34"/>
  <c r="AC20"/>
  <c r="AC22"/>
  <c r="AC25"/>
  <c r="AC31"/>
  <c r="AC33"/>
  <c r="C42" i="9" l="1"/>
  <c r="B18" i="3"/>
  <c r="A1" i="9"/>
  <c r="B39"/>
  <c r="B34"/>
  <c r="B28" i="3"/>
  <c r="B7" i="9" l="1"/>
  <c r="AQ1" i="8" l="1"/>
  <c r="A1" i="2"/>
  <c r="F2169"/>
  <c r="G2169"/>
  <c r="O3"/>
  <c r="N3"/>
  <c r="M3"/>
  <c r="L3"/>
  <c r="K3"/>
  <c r="AG3" i="8"/>
  <c r="AF3"/>
  <c r="AE3"/>
  <c r="AD3"/>
  <c r="AC3"/>
  <c r="M3"/>
  <c r="X3"/>
  <c r="W3"/>
  <c r="V3"/>
  <c r="U3"/>
  <c r="T3"/>
  <c r="S3"/>
  <c r="R3"/>
  <c r="Q3"/>
  <c r="P3"/>
  <c r="O3"/>
  <c r="N3"/>
  <c r="H3"/>
  <c r="G3"/>
  <c r="F3"/>
  <c r="E3"/>
  <c r="G3" i="2"/>
  <c r="F3"/>
  <c r="E3"/>
  <c r="D3"/>
  <c r="O2169" i="8" l="1"/>
  <c r="P2169"/>
  <c r="Q2169"/>
  <c r="R2169"/>
  <c r="D2169" i="2"/>
  <c r="E2169"/>
  <c r="H19" i="8" l="1"/>
  <c r="X19" s="1"/>
  <c r="H21"/>
  <c r="X21" s="1"/>
  <c r="H26"/>
  <c r="X26" s="1"/>
  <c r="H28"/>
  <c r="X28" s="1"/>
  <c r="H30"/>
  <c r="X30" s="1"/>
  <c r="H32"/>
  <c r="X32" s="1"/>
  <c r="H34"/>
  <c r="X34" s="1"/>
  <c r="J12" i="2"/>
  <c r="J14"/>
  <c r="J16"/>
  <c r="J18"/>
  <c r="J20"/>
  <c r="D22" i="8"/>
  <c r="T22" s="1"/>
  <c r="E22"/>
  <c r="U22" s="1"/>
  <c r="F22"/>
  <c r="V22" s="1"/>
  <c r="G22"/>
  <c r="W22" s="1"/>
  <c r="D23"/>
  <c r="T23" s="1"/>
  <c r="E23"/>
  <c r="U23" s="1"/>
  <c r="F23"/>
  <c r="V23" s="1"/>
  <c r="D24"/>
  <c r="T24" s="1"/>
  <c r="E24"/>
  <c r="U24" s="1"/>
  <c r="F24"/>
  <c r="V24" s="1"/>
  <c r="D25"/>
  <c r="T25" s="1"/>
  <c r="E25"/>
  <c r="U25" s="1"/>
  <c r="F25"/>
  <c r="V25" s="1"/>
  <c r="H25"/>
  <c r="X25" s="1"/>
  <c r="D26"/>
  <c r="T26" s="1"/>
  <c r="E26"/>
  <c r="U26" s="1"/>
  <c r="F26"/>
  <c r="V26" s="1"/>
  <c r="G26"/>
  <c r="W26" s="1"/>
  <c r="D27"/>
  <c r="T27" s="1"/>
  <c r="E27"/>
  <c r="U27" s="1"/>
  <c r="F27"/>
  <c r="V27" s="1"/>
  <c r="G27"/>
  <c r="W27" s="1"/>
  <c r="H27"/>
  <c r="X27" s="1"/>
  <c r="D28"/>
  <c r="T28" s="1"/>
  <c r="E28"/>
  <c r="U28" s="1"/>
  <c r="F28"/>
  <c r="V28" s="1"/>
  <c r="D29"/>
  <c r="T29" s="1"/>
  <c r="E29"/>
  <c r="U29" s="1"/>
  <c r="F29"/>
  <c r="V29" s="1"/>
  <c r="G29"/>
  <c r="W29" s="1"/>
  <c r="H29"/>
  <c r="X29" s="1"/>
  <c r="D30"/>
  <c r="T30" s="1"/>
  <c r="E30"/>
  <c r="U30" s="1"/>
  <c r="F30"/>
  <c r="V30" s="1"/>
  <c r="G30"/>
  <c r="W30" s="1"/>
  <c r="D31"/>
  <c r="T31" s="1"/>
  <c r="E31"/>
  <c r="U31" s="1"/>
  <c r="F31"/>
  <c r="V31" s="1"/>
  <c r="G31"/>
  <c r="W31" s="1"/>
  <c r="H31"/>
  <c r="X31" s="1"/>
  <c r="D32"/>
  <c r="T32" s="1"/>
  <c r="E32"/>
  <c r="U32" s="1"/>
  <c r="F32"/>
  <c r="V32" s="1"/>
  <c r="D33"/>
  <c r="T33" s="1"/>
  <c r="E33"/>
  <c r="U33" s="1"/>
  <c r="F33"/>
  <c r="V33" s="1"/>
  <c r="G33"/>
  <c r="W33" s="1"/>
  <c r="H33"/>
  <c r="X33" s="1"/>
  <c r="D34"/>
  <c r="T34" s="1"/>
  <c r="E34"/>
  <c r="U34" s="1"/>
  <c r="F34"/>
  <c r="V34" s="1"/>
  <c r="G34"/>
  <c r="W34" s="1"/>
  <c r="E19"/>
  <c r="U19" s="1"/>
  <c r="F19"/>
  <c r="V19" s="1"/>
  <c r="G19"/>
  <c r="W19" s="1"/>
  <c r="E20"/>
  <c r="U20" s="1"/>
  <c r="F20"/>
  <c r="V20" s="1"/>
  <c r="G20"/>
  <c r="W20" s="1"/>
  <c r="H20"/>
  <c r="X20" s="1"/>
  <c r="E21"/>
  <c r="U21" s="1"/>
  <c r="F21"/>
  <c r="V21" s="1"/>
  <c r="G21"/>
  <c r="W21" s="1"/>
  <c r="J5" i="2"/>
  <c r="J6"/>
  <c r="J7"/>
  <c r="J13"/>
  <c r="J15"/>
  <c r="J17"/>
  <c r="J19"/>
  <c r="E2169" i="8" l="1"/>
  <c r="V2169"/>
  <c r="F2169"/>
  <c r="G32"/>
  <c r="W32" s="1"/>
  <c r="G28"/>
  <c r="W28" s="1"/>
  <c r="U2169" l="1"/>
  <c r="B20"/>
  <c r="C20"/>
  <c r="S20" s="1"/>
  <c r="D20"/>
  <c r="T20" s="1"/>
  <c r="I20"/>
  <c r="J20"/>
  <c r="K20"/>
  <c r="B21"/>
  <c r="C21"/>
  <c r="S21" s="1"/>
  <c r="D21"/>
  <c r="T21" s="1"/>
  <c r="I21"/>
  <c r="J21"/>
  <c r="K21"/>
  <c r="B22"/>
  <c r="C22"/>
  <c r="S22" s="1"/>
  <c r="I22"/>
  <c r="J22"/>
  <c r="B23"/>
  <c r="C23"/>
  <c r="S23" s="1"/>
  <c r="I23"/>
  <c r="J23"/>
  <c r="B24"/>
  <c r="C24"/>
  <c r="S24" s="1"/>
  <c r="I24"/>
  <c r="J24"/>
  <c r="B25"/>
  <c r="C25"/>
  <c r="S25" s="1"/>
  <c r="I25"/>
  <c r="J25"/>
  <c r="B26"/>
  <c r="C26"/>
  <c r="S26" s="1"/>
  <c r="I26"/>
  <c r="J26"/>
  <c r="K26"/>
  <c r="B27"/>
  <c r="C27"/>
  <c r="S27" s="1"/>
  <c r="I27"/>
  <c r="J27"/>
  <c r="K27"/>
  <c r="B28"/>
  <c r="C28"/>
  <c r="S28" s="1"/>
  <c r="I28"/>
  <c r="J28"/>
  <c r="K28"/>
  <c r="B29"/>
  <c r="C29"/>
  <c r="S29" s="1"/>
  <c r="I29"/>
  <c r="J29"/>
  <c r="K29"/>
  <c r="B30"/>
  <c r="C30"/>
  <c r="S30" s="1"/>
  <c r="I30"/>
  <c r="J30"/>
  <c r="K30"/>
  <c r="B31"/>
  <c r="C31"/>
  <c r="S31" s="1"/>
  <c r="I31"/>
  <c r="J31"/>
  <c r="K31"/>
  <c r="B32"/>
  <c r="C32"/>
  <c r="S32" s="1"/>
  <c r="I32"/>
  <c r="J32"/>
  <c r="K32"/>
  <c r="B33"/>
  <c r="C33"/>
  <c r="S33" s="1"/>
  <c r="I33"/>
  <c r="J33"/>
  <c r="K33"/>
  <c r="B34"/>
  <c r="C34"/>
  <c r="S34" s="1"/>
  <c r="I34"/>
  <c r="J34"/>
  <c r="K34"/>
  <c r="A3" i="6"/>
  <c r="A4"/>
  <c r="A5"/>
  <c r="A6"/>
  <c r="A7"/>
  <c r="A8"/>
  <c r="A9"/>
  <c r="A10"/>
  <c r="A11"/>
  <c r="A12"/>
  <c r="B19" i="8"/>
  <c r="C19"/>
  <c r="S19" s="1"/>
  <c r="D19"/>
  <c r="T19" s="1"/>
  <c r="I19"/>
  <c r="J19"/>
  <c r="K19"/>
  <c r="A1"/>
  <c r="A1" i="6"/>
  <c r="Z34" i="8" l="1"/>
  <c r="Z33"/>
  <c r="Z32"/>
  <c r="Y31"/>
  <c r="Z30"/>
  <c r="Z29"/>
  <c r="Z28"/>
  <c r="Z27"/>
  <c r="Z26"/>
  <c r="Y21"/>
  <c r="Y20"/>
  <c r="Z31"/>
  <c r="Y33"/>
  <c r="Y29"/>
  <c r="Y27" l="1"/>
  <c r="Y28"/>
  <c r="Y30"/>
  <c r="Y32"/>
  <c r="Y34"/>
  <c r="Y26"/>
  <c r="Z19"/>
  <c r="Z20"/>
  <c r="Z21"/>
  <c r="Y19"/>
  <c r="M2169"/>
  <c r="N2169"/>
  <c r="H23" l="1"/>
  <c r="X23" s="1"/>
  <c r="G25"/>
  <c r="W25" s="1"/>
  <c r="H24"/>
  <c r="X24" s="1"/>
  <c r="G24"/>
  <c r="W24" s="1"/>
  <c r="J11" i="2"/>
  <c r="Z25" i="8" l="1"/>
  <c r="K25"/>
  <c r="J10" i="2"/>
  <c r="Y25" i="8" l="1"/>
  <c r="Z24"/>
  <c r="Y24"/>
  <c r="K24"/>
  <c r="G23"/>
  <c r="W23" s="1"/>
  <c r="J9" i="2"/>
  <c r="B11" i="3"/>
  <c r="B10" s="1"/>
  <c r="C2169" i="2"/>
  <c r="B2169"/>
  <c r="H2169"/>
  <c r="I2169"/>
  <c r="A2169"/>
  <c r="K36" l="1"/>
  <c r="K40"/>
  <c r="K44"/>
  <c r="K48"/>
  <c r="K52"/>
  <c r="K56"/>
  <c r="K60"/>
  <c r="K64"/>
  <c r="K68"/>
  <c r="K72"/>
  <c r="K76"/>
  <c r="K80"/>
  <c r="K84"/>
  <c r="K88"/>
  <c r="K92"/>
  <c r="K96"/>
  <c r="K100"/>
  <c r="K104"/>
  <c r="K108"/>
  <c r="K112"/>
  <c r="K116"/>
  <c r="K120"/>
  <c r="K124"/>
  <c r="K128"/>
  <c r="K132"/>
  <c r="K136"/>
  <c r="K140"/>
  <c r="K144"/>
  <c r="K148"/>
  <c r="K152"/>
  <c r="K156"/>
  <c r="K160"/>
  <c r="K164"/>
  <c r="K168"/>
  <c r="K172"/>
  <c r="K176"/>
  <c r="K180"/>
  <c r="K184"/>
  <c r="K188"/>
  <c r="K192"/>
  <c r="K196"/>
  <c r="K200"/>
  <c r="K204"/>
  <c r="K208"/>
  <c r="K212"/>
  <c r="K216"/>
  <c r="K220"/>
  <c r="K224"/>
  <c r="K228"/>
  <c r="K232"/>
  <c r="K236"/>
  <c r="K248"/>
  <c r="K252"/>
  <c r="K272"/>
  <c r="K280"/>
  <c r="K284"/>
  <c r="K296"/>
  <c r="K300"/>
  <c r="K308"/>
  <c r="K320"/>
  <c r="K324"/>
  <c r="K328"/>
  <c r="K332"/>
  <c r="K336"/>
  <c r="K344"/>
  <c r="K348"/>
  <c r="K352"/>
  <c r="K360"/>
  <c r="K364"/>
  <c r="K368"/>
  <c r="K376"/>
  <c r="K384"/>
  <c r="K392"/>
  <c r="K396"/>
  <c r="K400"/>
  <c r="K408"/>
  <c r="K416"/>
  <c r="K420"/>
  <c r="K428"/>
  <c r="K448"/>
  <c r="K452"/>
  <c r="K456"/>
  <c r="K460"/>
  <c r="K476"/>
  <c r="K480"/>
  <c r="K484"/>
  <c r="K488"/>
  <c r="K492"/>
  <c r="K504"/>
  <c r="K520"/>
  <c r="K524"/>
  <c r="K528"/>
  <c r="K532"/>
  <c r="K540"/>
  <c r="K544"/>
  <c r="K548"/>
  <c r="K560"/>
  <c r="K568"/>
  <c r="K572"/>
  <c r="K576"/>
  <c r="K592"/>
  <c r="K596"/>
  <c r="K600"/>
  <c r="K612"/>
  <c r="K616"/>
  <c r="K624"/>
  <c r="K636"/>
  <c r="K640"/>
  <c r="K644"/>
  <c r="K648"/>
  <c r="K652"/>
  <c r="K656"/>
  <c r="K660"/>
  <c r="K664"/>
  <c r="K668"/>
  <c r="K672"/>
  <c r="K676"/>
  <c r="K680"/>
  <c r="K684"/>
  <c r="K688"/>
  <c r="K692"/>
  <c r="K696"/>
  <c r="K700"/>
  <c r="K704"/>
  <c r="K708"/>
  <c r="K712"/>
  <c r="K716"/>
  <c r="K720"/>
  <c r="K724"/>
  <c r="K728"/>
  <c r="K732"/>
  <c r="K736"/>
  <c r="K740"/>
  <c r="K744"/>
  <c r="K748"/>
  <c r="K752"/>
  <c r="K756"/>
  <c r="K760"/>
  <c r="K768"/>
  <c r="K772"/>
  <c r="K776"/>
  <c r="K780"/>
  <c r="K784"/>
  <c r="K788"/>
  <c r="K796"/>
  <c r="K800"/>
  <c r="K804"/>
  <c r="K808"/>
  <c r="K812"/>
  <c r="K816"/>
  <c r="K820"/>
  <c r="K824"/>
  <c r="K836"/>
  <c r="K840"/>
  <c r="K844"/>
  <c r="K848"/>
  <c r="K852"/>
  <c r="K856"/>
  <c r="K860"/>
  <c r="K864"/>
  <c r="K868"/>
  <c r="K872"/>
  <c r="K876"/>
  <c r="K880"/>
  <c r="K884"/>
  <c r="K888"/>
  <c r="K892"/>
  <c r="K896"/>
  <c r="K900"/>
  <c r="K904"/>
  <c r="K908"/>
  <c r="K912"/>
  <c r="K916"/>
  <c r="K920"/>
  <c r="K924"/>
  <c r="K928"/>
  <c r="K932"/>
  <c r="K936"/>
  <c r="K940"/>
  <c r="K944"/>
  <c r="K948"/>
  <c r="K952"/>
  <c r="K956"/>
  <c r="K960"/>
  <c r="K964"/>
  <c r="K968"/>
  <c r="K972"/>
  <c r="K976"/>
  <c r="K980"/>
  <c r="K984"/>
  <c r="K988"/>
  <c r="K992"/>
  <c r="K996"/>
  <c r="K1000"/>
  <c r="K1004"/>
  <c r="K1008"/>
  <c r="K1012"/>
  <c r="K1016"/>
  <c r="K1020"/>
  <c r="K1024"/>
  <c r="K1044"/>
  <c r="K1048"/>
  <c r="K1052"/>
  <c r="K1060"/>
  <c r="K1064"/>
  <c r="K1068"/>
  <c r="K35"/>
  <c r="K39"/>
  <c r="K43"/>
  <c r="K47"/>
  <c r="K51"/>
  <c r="K55"/>
  <c r="K59"/>
  <c r="K63"/>
  <c r="K67"/>
  <c r="K71"/>
  <c r="K75"/>
  <c r="K79"/>
  <c r="K83"/>
  <c r="K87"/>
  <c r="K91"/>
  <c r="K95"/>
  <c r="K99"/>
  <c r="K103"/>
  <c r="K107"/>
  <c r="K111"/>
  <c r="K115"/>
  <c r="K119"/>
  <c r="K123"/>
  <c r="K127"/>
  <c r="K131"/>
  <c r="K135"/>
  <c r="K139"/>
  <c r="K143"/>
  <c r="K147"/>
  <c r="K151"/>
  <c r="K155"/>
  <c r="K159"/>
  <c r="K163"/>
  <c r="K167"/>
  <c r="K171"/>
  <c r="K175"/>
  <c r="K179"/>
  <c r="K183"/>
  <c r="K187"/>
  <c r="K191"/>
  <c r="K195"/>
  <c r="K199"/>
  <c r="K203"/>
  <c r="K207"/>
  <c r="K211"/>
  <c r="K215"/>
  <c r="K219"/>
  <c r="K223"/>
  <c r="K227"/>
  <c r="K231"/>
  <c r="K235"/>
  <c r="K239"/>
  <c r="K243"/>
  <c r="K251"/>
  <c r="K255"/>
  <c r="K263"/>
  <c r="K267"/>
  <c r="K271"/>
  <c r="K279"/>
  <c r="K283"/>
  <c r="K291"/>
  <c r="K295"/>
  <c r="K299"/>
  <c r="K303"/>
  <c r="K311"/>
  <c r="K319"/>
  <c r="K323"/>
  <c r="K327"/>
  <c r="K331"/>
  <c r="K335"/>
  <c r="K339"/>
  <c r="K343"/>
  <c r="K347"/>
  <c r="K351"/>
  <c r="K359"/>
  <c r="K363"/>
  <c r="K367"/>
  <c r="K371"/>
  <c r="K375"/>
  <c r="K379"/>
  <c r="K383"/>
  <c r="K387"/>
  <c r="K399"/>
  <c r="K407"/>
  <c r="K419"/>
  <c r="K427"/>
  <c r="K431"/>
  <c r="K439"/>
  <c r="K443"/>
  <c r="K455"/>
  <c r="K459"/>
  <c r="K463"/>
  <c r="K467"/>
  <c r="K475"/>
  <c r="K479"/>
  <c r="K483"/>
  <c r="K487"/>
  <c r="K491"/>
  <c r="K495"/>
  <c r="K507"/>
  <c r="K511"/>
  <c r="K515"/>
  <c r="K523"/>
  <c r="K527"/>
  <c r="K531"/>
  <c r="K535"/>
  <c r="K543"/>
  <c r="K547"/>
  <c r="K551"/>
  <c r="K555"/>
  <c r="K559"/>
  <c r="K567"/>
  <c r="K583"/>
  <c r="K591"/>
  <c r="K595"/>
  <c r="K599"/>
  <c r="K611"/>
  <c r="K615"/>
  <c r="K627"/>
  <c r="K631"/>
  <c r="K639"/>
  <c r="K643"/>
  <c r="K647"/>
  <c r="K651"/>
  <c r="K655"/>
  <c r="K659"/>
  <c r="K663"/>
  <c r="K667"/>
  <c r="K671"/>
  <c r="K675"/>
  <c r="K679"/>
  <c r="K683"/>
  <c r="K687"/>
  <c r="K691"/>
  <c r="K695"/>
  <c r="K699"/>
  <c r="K703"/>
  <c r="K707"/>
  <c r="K711"/>
  <c r="K715"/>
  <c r="K719"/>
  <c r="K723"/>
  <c r="K727"/>
  <c r="K731"/>
  <c r="K735"/>
  <c r="K739"/>
  <c r="K743"/>
  <c r="K747"/>
  <c r="K751"/>
  <c r="K755"/>
  <c r="K759"/>
  <c r="K763"/>
  <c r="K767"/>
  <c r="K771"/>
  <c r="K775"/>
  <c r="K779"/>
  <c r="K783"/>
  <c r="K787"/>
  <c r="K791"/>
  <c r="K795"/>
  <c r="K799"/>
  <c r="K803"/>
  <c r="K807"/>
  <c r="K811"/>
  <c r="K815"/>
  <c r="K819"/>
  <c r="K823"/>
  <c r="K831"/>
  <c r="K835"/>
  <c r="K839"/>
  <c r="K843"/>
  <c r="K847"/>
  <c r="K851"/>
  <c r="K855"/>
  <c r="K859"/>
  <c r="K863"/>
  <c r="K867"/>
  <c r="K871"/>
  <c r="K875"/>
  <c r="K879"/>
  <c r="K883"/>
  <c r="K887"/>
  <c r="K891"/>
  <c r="K895"/>
  <c r="K899"/>
  <c r="K903"/>
  <c r="K907"/>
  <c r="K911"/>
  <c r="K915"/>
  <c r="K919"/>
  <c r="K923"/>
  <c r="K927"/>
  <c r="K931"/>
  <c r="K935"/>
  <c r="K939"/>
  <c r="K943"/>
  <c r="K947"/>
  <c r="K951"/>
  <c r="K955"/>
  <c r="K959"/>
  <c r="K963"/>
  <c r="K967"/>
  <c r="K971"/>
  <c r="K975"/>
  <c r="K979"/>
  <c r="K983"/>
  <c r="K987"/>
  <c r="K991"/>
  <c r="K995"/>
  <c r="K999"/>
  <c r="K1003"/>
  <c r="K1007"/>
  <c r="K1011"/>
  <c r="K1015"/>
  <c r="K1019"/>
  <c r="K1023"/>
  <c r="K1027"/>
  <c r="K1039"/>
  <c r="K1051"/>
  <c r="K1055"/>
  <c r="K1059"/>
  <c r="K1063"/>
  <c r="K1067"/>
  <c r="K38"/>
  <c r="K42"/>
  <c r="K46"/>
  <c r="K50"/>
  <c r="K54"/>
  <c r="K58"/>
  <c r="K62"/>
  <c r="K66"/>
  <c r="K70"/>
  <c r="K74"/>
  <c r="K78"/>
  <c r="K82"/>
  <c r="K86"/>
  <c r="K90"/>
  <c r="K94"/>
  <c r="K98"/>
  <c r="K102"/>
  <c r="K106"/>
  <c r="K110"/>
  <c r="K114"/>
  <c r="K118"/>
  <c r="K122"/>
  <c r="K126"/>
  <c r="K130"/>
  <c r="K134"/>
  <c r="K138"/>
  <c r="K142"/>
  <c r="K146"/>
  <c r="K150"/>
  <c r="K154"/>
  <c r="K158"/>
  <c r="K162"/>
  <c r="K166"/>
  <c r="K170"/>
  <c r="K174"/>
  <c r="K178"/>
  <c r="K182"/>
  <c r="K186"/>
  <c r="K190"/>
  <c r="K194"/>
  <c r="K198"/>
  <c r="K202"/>
  <c r="K206"/>
  <c r="K210"/>
  <c r="K214"/>
  <c r="K218"/>
  <c r="K222"/>
  <c r="K226"/>
  <c r="K230"/>
  <c r="K234"/>
  <c r="K238"/>
  <c r="K258"/>
  <c r="K262"/>
  <c r="K266"/>
  <c r="K274"/>
  <c r="K278"/>
  <c r="K282"/>
  <c r="K286"/>
  <c r="K290"/>
  <c r="K302"/>
  <c r="K314"/>
  <c r="K322"/>
  <c r="K326"/>
  <c r="K330"/>
  <c r="K334"/>
  <c r="K338"/>
  <c r="K342"/>
  <c r="K346"/>
  <c r="K350"/>
  <c r="K354"/>
  <c r="K358"/>
  <c r="K362"/>
  <c r="K366"/>
  <c r="K378"/>
  <c r="K382"/>
  <c r="K386"/>
  <c r="K390"/>
  <c r="K394"/>
  <c r="K398"/>
  <c r="K402"/>
  <c r="K406"/>
  <c r="K418"/>
  <c r="K422"/>
  <c r="K430"/>
  <c r="K434"/>
  <c r="K446"/>
  <c r="K450"/>
  <c r="K462"/>
  <c r="K466"/>
  <c r="K470"/>
  <c r="K474"/>
  <c r="K478"/>
  <c r="K482"/>
  <c r="K490"/>
  <c r="K494"/>
  <c r="K498"/>
  <c r="K510"/>
  <c r="K518"/>
  <c r="K530"/>
  <c r="K534"/>
  <c r="K538"/>
  <c r="K550"/>
  <c r="K554"/>
  <c r="K558"/>
  <c r="K562"/>
  <c r="K570"/>
  <c r="K590"/>
  <c r="K594"/>
  <c r="K598"/>
  <c r="K602"/>
  <c r="K614"/>
  <c r="K626"/>
  <c r="K630"/>
  <c r="K642"/>
  <c r="K646"/>
  <c r="K650"/>
  <c r="K654"/>
  <c r="K658"/>
  <c r="K662"/>
  <c r="K666"/>
  <c r="K670"/>
  <c r="K674"/>
  <c r="K678"/>
  <c r="K682"/>
  <c r="K690"/>
  <c r="K694"/>
  <c r="K698"/>
  <c r="K702"/>
  <c r="K706"/>
  <c r="K710"/>
  <c r="K714"/>
  <c r="K718"/>
  <c r="K722"/>
  <c r="K726"/>
  <c r="K730"/>
  <c r="K734"/>
  <c r="K738"/>
  <c r="K742"/>
  <c r="K746"/>
  <c r="K750"/>
  <c r="K758"/>
  <c r="K762"/>
  <c r="K766"/>
  <c r="K770"/>
  <c r="K778"/>
  <c r="K782"/>
  <c r="K786"/>
  <c r="K790"/>
  <c r="K798"/>
  <c r="K802"/>
  <c r="K806"/>
  <c r="K810"/>
  <c r="K814"/>
  <c r="K818"/>
  <c r="K822"/>
  <c r="K826"/>
  <c r="K830"/>
  <c r="K834"/>
  <c r="K842"/>
  <c r="K846"/>
  <c r="K850"/>
  <c r="K854"/>
  <c r="K858"/>
  <c r="K862"/>
  <c r="K866"/>
  <c r="K870"/>
  <c r="K874"/>
  <c r="K878"/>
  <c r="K882"/>
  <c r="K886"/>
  <c r="K890"/>
  <c r="K894"/>
  <c r="K898"/>
  <c r="K902"/>
  <c r="K906"/>
  <c r="K910"/>
  <c r="K914"/>
  <c r="K918"/>
  <c r="K922"/>
  <c r="K926"/>
  <c r="K930"/>
  <c r="K934"/>
  <c r="K938"/>
  <c r="K942"/>
  <c r="K946"/>
  <c r="K950"/>
  <c r="K954"/>
  <c r="K958"/>
  <c r="K962"/>
  <c r="K966"/>
  <c r="K970"/>
  <c r="K974"/>
  <c r="K978"/>
  <c r="K982"/>
  <c r="K986"/>
  <c r="K990"/>
  <c r="K994"/>
  <c r="K998"/>
  <c r="K1002"/>
  <c r="K1006"/>
  <c r="K1010"/>
  <c r="K1014"/>
  <c r="K1018"/>
  <c r="K1034"/>
  <c r="K1038"/>
  <c r="K1046"/>
  <c r="K1058"/>
  <c r="K1062"/>
  <c r="K1066"/>
  <c r="K1070"/>
  <c r="K1074"/>
  <c r="K1078"/>
  <c r="K1082"/>
  <c r="K1086"/>
  <c r="K1090"/>
  <c r="K1094"/>
  <c r="K1098"/>
  <c r="K1102"/>
  <c r="K1106"/>
  <c r="K1110"/>
  <c r="K1114"/>
  <c r="K1118"/>
  <c r="K1122"/>
  <c r="K1126"/>
  <c r="K1130"/>
  <c r="K1134"/>
  <c r="K1138"/>
  <c r="K1142"/>
  <c r="K1146"/>
  <c r="K1150"/>
  <c r="K1154"/>
  <c r="K1158"/>
  <c r="K1162"/>
  <c r="K1166"/>
  <c r="K1170"/>
  <c r="K1174"/>
  <c r="K37"/>
  <c r="K41"/>
  <c r="K45"/>
  <c r="K49"/>
  <c r="K53"/>
  <c r="K57"/>
  <c r="K61"/>
  <c r="K65"/>
  <c r="K69"/>
  <c r="K73"/>
  <c r="K77"/>
  <c r="K81"/>
  <c r="K85"/>
  <c r="K89"/>
  <c r="K93"/>
  <c r="K97"/>
  <c r="K101"/>
  <c r="K105"/>
  <c r="K109"/>
  <c r="K113"/>
  <c r="K117"/>
  <c r="K121"/>
  <c r="K125"/>
  <c r="K129"/>
  <c r="K133"/>
  <c r="K137"/>
  <c r="K141"/>
  <c r="K145"/>
  <c r="K149"/>
  <c r="K153"/>
  <c r="K157"/>
  <c r="K161"/>
  <c r="K165"/>
  <c r="K169"/>
  <c r="K173"/>
  <c r="K177"/>
  <c r="K181"/>
  <c r="K185"/>
  <c r="K189"/>
  <c r="K193"/>
  <c r="K197"/>
  <c r="K201"/>
  <c r="K205"/>
  <c r="K209"/>
  <c r="K213"/>
  <c r="K217"/>
  <c r="K221"/>
  <c r="K225"/>
  <c r="K229"/>
  <c r="K233"/>
  <c r="K237"/>
  <c r="K241"/>
  <c r="K253"/>
  <c r="K257"/>
  <c r="K261"/>
  <c r="K265"/>
  <c r="K269"/>
  <c r="K273"/>
  <c r="K277"/>
  <c r="K281"/>
  <c r="K285"/>
  <c r="K289"/>
  <c r="K293"/>
  <c r="K305"/>
  <c r="K309"/>
  <c r="K313"/>
  <c r="K321"/>
  <c r="K325"/>
  <c r="K329"/>
  <c r="K333"/>
  <c r="K337"/>
  <c r="K341"/>
  <c r="K345"/>
  <c r="K349"/>
  <c r="K353"/>
  <c r="K357"/>
  <c r="K361"/>
  <c r="K365"/>
  <c r="K369"/>
  <c r="K373"/>
  <c r="K385"/>
  <c r="K397"/>
  <c r="K405"/>
  <c r="K417"/>
  <c r="K421"/>
  <c r="K425"/>
  <c r="K433"/>
  <c r="K437"/>
  <c r="K445"/>
  <c r="K457"/>
  <c r="K465"/>
  <c r="K473"/>
  <c r="K477"/>
  <c r="K481"/>
  <c r="K489"/>
  <c r="K493"/>
  <c r="K497"/>
  <c r="K501"/>
  <c r="K505"/>
  <c r="K513"/>
  <c r="K517"/>
  <c r="K521"/>
  <c r="K525"/>
  <c r="K529"/>
  <c r="K533"/>
  <c r="K537"/>
  <c r="K541"/>
  <c r="K549"/>
  <c r="K553"/>
  <c r="K561"/>
  <c r="K565"/>
  <c r="K569"/>
  <c r="K581"/>
  <c r="K585"/>
  <c r="K589"/>
  <c r="K593"/>
  <c r="K597"/>
  <c r="K601"/>
  <c r="K605"/>
  <c r="K613"/>
  <c r="K617"/>
  <c r="K621"/>
  <c r="K625"/>
  <c r="K629"/>
  <c r="K641"/>
  <c r="K645"/>
  <c r="K649"/>
  <c r="K653"/>
  <c r="K657"/>
  <c r="K661"/>
  <c r="K665"/>
  <c r="K669"/>
  <c r="K673"/>
  <c r="K677"/>
  <c r="K681"/>
  <c r="K685"/>
  <c r="K689"/>
  <c r="K693"/>
  <c r="K697"/>
  <c r="K701"/>
  <c r="K705"/>
  <c r="K709"/>
  <c r="K713"/>
  <c r="K717"/>
  <c r="K721"/>
  <c r="K725"/>
  <c r="K729"/>
  <c r="K733"/>
  <c r="K737"/>
  <c r="K741"/>
  <c r="K745"/>
  <c r="K749"/>
  <c r="K753"/>
  <c r="K757"/>
  <c r="K761"/>
  <c r="K765"/>
  <c r="K769"/>
  <c r="K773"/>
  <c r="K777"/>
  <c r="K781"/>
  <c r="K785"/>
  <c r="K789"/>
  <c r="K793"/>
  <c r="K797"/>
  <c r="K801"/>
  <c r="K805"/>
  <c r="K809"/>
  <c r="K813"/>
  <c r="K817"/>
  <c r="K821"/>
  <c r="K825"/>
  <c r="K829"/>
  <c r="K833"/>
  <c r="K837"/>
  <c r="K841"/>
  <c r="K845"/>
  <c r="K849"/>
  <c r="K853"/>
  <c r="K857"/>
  <c r="K861"/>
  <c r="K865"/>
  <c r="K869"/>
  <c r="K873"/>
  <c r="K877"/>
  <c r="K881"/>
  <c r="K885"/>
  <c r="K889"/>
  <c r="K893"/>
  <c r="K897"/>
  <c r="K901"/>
  <c r="K905"/>
  <c r="K909"/>
  <c r="K913"/>
  <c r="K917"/>
  <c r="K921"/>
  <c r="K925"/>
  <c r="K929"/>
  <c r="K933"/>
  <c r="K937"/>
  <c r="K941"/>
  <c r="K945"/>
  <c r="K949"/>
  <c r="K953"/>
  <c r="K957"/>
  <c r="K961"/>
  <c r="K965"/>
  <c r="K969"/>
  <c r="K973"/>
  <c r="K977"/>
  <c r="K981"/>
  <c r="K985"/>
  <c r="K989"/>
  <c r="K993"/>
  <c r="K997"/>
  <c r="K1001"/>
  <c r="K1005"/>
  <c r="K1009"/>
  <c r="K1013"/>
  <c r="K1017"/>
  <c r="K1021"/>
  <c r="K1025"/>
  <c r="K1033"/>
  <c r="K1037"/>
  <c r="K1041"/>
  <c r="K1045"/>
  <c r="K1053"/>
  <c r="K1057"/>
  <c r="K1061"/>
  <c r="K1065"/>
  <c r="K1069"/>
  <c r="K1073"/>
  <c r="K1077"/>
  <c r="K1081"/>
  <c r="K1085"/>
  <c r="K1089"/>
  <c r="K1093"/>
  <c r="K1097"/>
  <c r="K1101"/>
  <c r="K1105"/>
  <c r="K1109"/>
  <c r="K1113"/>
  <c r="K1117"/>
  <c r="K1121"/>
  <c r="K1125"/>
  <c r="K1129"/>
  <c r="K1133"/>
  <c r="K1137"/>
  <c r="K1141"/>
  <c r="K1145"/>
  <c r="K1149"/>
  <c r="K1153"/>
  <c r="K1157"/>
  <c r="K1161"/>
  <c r="K1165"/>
  <c r="K1169"/>
  <c r="K1173"/>
  <c r="K1075"/>
  <c r="K1083"/>
  <c r="K1091"/>
  <c r="K1099"/>
  <c r="K1107"/>
  <c r="K1115"/>
  <c r="K1123"/>
  <c r="K1131"/>
  <c r="K1139"/>
  <c r="K1147"/>
  <c r="K1155"/>
  <c r="K1163"/>
  <c r="K1171"/>
  <c r="K1177"/>
  <c r="K1181"/>
  <c r="K1185"/>
  <c r="K1189"/>
  <c r="K1193"/>
  <c r="K1197"/>
  <c r="K1201"/>
  <c r="K1205"/>
  <c r="K1209"/>
  <c r="K1213"/>
  <c r="K1217"/>
  <c r="K1221"/>
  <c r="K1225"/>
  <c r="K1229"/>
  <c r="K1233"/>
  <c r="K1237"/>
  <c r="K1241"/>
  <c r="K1245"/>
  <c r="K1249"/>
  <c r="K1253"/>
  <c r="K1257"/>
  <c r="K1261"/>
  <c r="K1265"/>
  <c r="K1269"/>
  <c r="K1273"/>
  <c r="K1277"/>
  <c r="K1281"/>
  <c r="K1285"/>
  <c r="K1289"/>
  <c r="K1293"/>
  <c r="K1297"/>
  <c r="K1301"/>
  <c r="K1305"/>
  <c r="K1309"/>
  <c r="K1313"/>
  <c r="K1317"/>
  <c r="K1321"/>
  <c r="K1325"/>
  <c r="K1329"/>
  <c r="K1333"/>
  <c r="K1337"/>
  <c r="K1341"/>
  <c r="K1345"/>
  <c r="K1349"/>
  <c r="K1353"/>
  <c r="K1357"/>
  <c r="K1361"/>
  <c r="K1365"/>
  <c r="K1369"/>
  <c r="K1373"/>
  <c r="K1377"/>
  <c r="K1381"/>
  <c r="K1385"/>
  <c r="K1389"/>
  <c r="K1393"/>
  <c r="K1397"/>
  <c r="K1401"/>
  <c r="K1405"/>
  <c r="K1409"/>
  <c r="K1413"/>
  <c r="K1417"/>
  <c r="K1421"/>
  <c r="K1425"/>
  <c r="K1429"/>
  <c r="K1433"/>
  <c r="K1437"/>
  <c r="K1441"/>
  <c r="K1445"/>
  <c r="K1449"/>
  <c r="K1453"/>
  <c r="K1457"/>
  <c r="K1461"/>
  <c r="K1465"/>
  <c r="K1469"/>
  <c r="K1473"/>
  <c r="K1477"/>
  <c r="K1481"/>
  <c r="K1485"/>
  <c r="K1489"/>
  <c r="K1493"/>
  <c r="K1497"/>
  <c r="K1501"/>
  <c r="K1505"/>
  <c r="K1509"/>
  <c r="K1513"/>
  <c r="K1517"/>
  <c r="K1521"/>
  <c r="K1525"/>
  <c r="K1529"/>
  <c r="K1533"/>
  <c r="K1537"/>
  <c r="K1541"/>
  <c r="K1545"/>
  <c r="K1549"/>
  <c r="K1553"/>
  <c r="K1557"/>
  <c r="K1561"/>
  <c r="K1565"/>
  <c r="K1569"/>
  <c r="K1573"/>
  <c r="K1577"/>
  <c r="K1581"/>
  <c r="K1585"/>
  <c r="K1589"/>
  <c r="K1597"/>
  <c r="K1601"/>
  <c r="K1605"/>
  <c r="K1609"/>
  <c r="K1613"/>
  <c r="K1617"/>
  <c r="K1621"/>
  <c r="K1625"/>
  <c r="K1629"/>
  <c r="K1633"/>
  <c r="K1637"/>
  <c r="K1641"/>
  <c r="K1645"/>
  <c r="K1649"/>
  <c r="K1653"/>
  <c r="K1657"/>
  <c r="K1661"/>
  <c r="K1665"/>
  <c r="K1669"/>
  <c r="K1673"/>
  <c r="K1677"/>
  <c r="K1681"/>
  <c r="K1685"/>
  <c r="K1689"/>
  <c r="K1693"/>
  <c r="K1697"/>
  <c r="K1701"/>
  <c r="K1705"/>
  <c r="K1709"/>
  <c r="K1713"/>
  <c r="K1717"/>
  <c r="K1721"/>
  <c r="K1725"/>
  <c r="K1729"/>
  <c r="K1733"/>
  <c r="K1737"/>
  <c r="K1741"/>
  <c r="K1745"/>
  <c r="K1749"/>
  <c r="K1753"/>
  <c r="K1757"/>
  <c r="K1761"/>
  <c r="K1765"/>
  <c r="K1769"/>
  <c r="K1773"/>
  <c r="K1777"/>
  <c r="K1781"/>
  <c r="K1785"/>
  <c r="K1789"/>
  <c r="K1793"/>
  <c r="K1797"/>
  <c r="K1801"/>
  <c r="K1805"/>
  <c r="K1809"/>
  <c r="K1813"/>
  <c r="K1817"/>
  <c r="K1821"/>
  <c r="K1825"/>
  <c r="K1829"/>
  <c r="K1833"/>
  <c r="K1837"/>
  <c r="K1841"/>
  <c r="K1845"/>
  <c r="K1849"/>
  <c r="K1853"/>
  <c r="K1857"/>
  <c r="K1861"/>
  <c r="K1865"/>
  <c r="K1869"/>
  <c r="K1873"/>
  <c r="K1877"/>
  <c r="K1881"/>
  <c r="K1885"/>
  <c r="K1889"/>
  <c r="K1893"/>
  <c r="K1897"/>
  <c r="K1901"/>
  <c r="K1905"/>
  <c r="K1909"/>
  <c r="K1913"/>
  <c r="K1917"/>
  <c r="K1921"/>
  <c r="K1925"/>
  <c r="K1929"/>
  <c r="K1933"/>
  <c r="K1937"/>
  <c r="K1941"/>
  <c r="K1945"/>
  <c r="K1949"/>
  <c r="K1953"/>
  <c r="K1957"/>
  <c r="K1961"/>
  <c r="K1965"/>
  <c r="K1969"/>
  <c r="K1973"/>
  <c r="K1977"/>
  <c r="K1981"/>
  <c r="K1985"/>
  <c r="K1989"/>
  <c r="K1993"/>
  <c r="K1997"/>
  <c r="K2001"/>
  <c r="K2005"/>
  <c r="K2009"/>
  <c r="K2013"/>
  <c r="K2017"/>
  <c r="K2021"/>
  <c r="K2025"/>
  <c r="K2029"/>
  <c r="K2033"/>
  <c r="K2037"/>
  <c r="K2041"/>
  <c r="K2045"/>
  <c r="K2049"/>
  <c r="K2053"/>
  <c r="K2057"/>
  <c r="K2061"/>
  <c r="K2065"/>
  <c r="K2069"/>
  <c r="K2073"/>
  <c r="K2077"/>
  <c r="K2081"/>
  <c r="K2085"/>
  <c r="K2089"/>
  <c r="K2093"/>
  <c r="K2097"/>
  <c r="K2101"/>
  <c r="K2105"/>
  <c r="K2109"/>
  <c r="K2113"/>
  <c r="K2117"/>
  <c r="K2121"/>
  <c r="K2125"/>
  <c r="K2129"/>
  <c r="K2133"/>
  <c r="K2137"/>
  <c r="K2141"/>
  <c r="K2145"/>
  <c r="K2149"/>
  <c r="K1072"/>
  <c r="K1080"/>
  <c r="K1096"/>
  <c r="K1104"/>
  <c r="K1112"/>
  <c r="K1120"/>
  <c r="K1128"/>
  <c r="K1136"/>
  <c r="K1144"/>
  <c r="K1152"/>
  <c r="K1160"/>
  <c r="K1168"/>
  <c r="K1176"/>
  <c r="K1180"/>
  <c r="K1184"/>
  <c r="K1188"/>
  <c r="K1192"/>
  <c r="K1196"/>
  <c r="K1200"/>
  <c r="K1204"/>
  <c r="K1208"/>
  <c r="K1212"/>
  <c r="K1216"/>
  <c r="K1220"/>
  <c r="K1224"/>
  <c r="K1228"/>
  <c r="K1232"/>
  <c r="K1236"/>
  <c r="K1240"/>
  <c r="K1244"/>
  <c r="K1248"/>
  <c r="K1252"/>
  <c r="K1256"/>
  <c r="K1260"/>
  <c r="K1264"/>
  <c r="K1268"/>
  <c r="K1272"/>
  <c r="K1276"/>
  <c r="K1280"/>
  <c r="K1284"/>
  <c r="K1288"/>
  <c r="K1292"/>
  <c r="K1296"/>
  <c r="K1300"/>
  <c r="K1304"/>
  <c r="K1308"/>
  <c r="K1312"/>
  <c r="K1316"/>
  <c r="K1320"/>
  <c r="K1324"/>
  <c r="K1328"/>
  <c r="K1332"/>
  <c r="K1336"/>
  <c r="K1340"/>
  <c r="K1344"/>
  <c r="K1348"/>
  <c r="K1352"/>
  <c r="K1356"/>
  <c r="K1360"/>
  <c r="K1364"/>
  <c r="K1368"/>
  <c r="K1372"/>
  <c r="K1376"/>
  <c r="K1380"/>
  <c r="K1384"/>
  <c r="K1388"/>
  <c r="K1392"/>
  <c r="K1396"/>
  <c r="K1400"/>
  <c r="K1404"/>
  <c r="K1408"/>
  <c r="K1412"/>
  <c r="K1416"/>
  <c r="K1420"/>
  <c r="K1424"/>
  <c r="K1428"/>
  <c r="K1432"/>
  <c r="K1436"/>
  <c r="K1440"/>
  <c r="K1444"/>
  <c r="K1448"/>
  <c r="K1452"/>
  <c r="K1456"/>
  <c r="K1460"/>
  <c r="K1464"/>
  <c r="K1468"/>
  <c r="K1472"/>
  <c r="K1476"/>
  <c r="K1480"/>
  <c r="K1484"/>
  <c r="K1488"/>
  <c r="K1492"/>
  <c r="K1496"/>
  <c r="K1500"/>
  <c r="K1504"/>
  <c r="K1508"/>
  <c r="K1512"/>
  <c r="K1516"/>
  <c r="K1520"/>
  <c r="K1524"/>
  <c r="K1528"/>
  <c r="K1532"/>
  <c r="K1536"/>
  <c r="K1540"/>
  <c r="K1544"/>
  <c r="K1548"/>
  <c r="K1552"/>
  <c r="K1556"/>
  <c r="K1560"/>
  <c r="K1564"/>
  <c r="K1568"/>
  <c r="K1572"/>
  <c r="K1576"/>
  <c r="K1580"/>
  <c r="K1584"/>
  <c r="K1588"/>
  <c r="K1592"/>
  <c r="K1596"/>
  <c r="K1600"/>
  <c r="K1604"/>
  <c r="K1608"/>
  <c r="K1612"/>
  <c r="K1616"/>
  <c r="K1620"/>
  <c r="K1624"/>
  <c r="K1628"/>
  <c r="K1632"/>
  <c r="K1636"/>
  <c r="K1644"/>
  <c r="K1648"/>
  <c r="K1652"/>
  <c r="K1656"/>
  <c r="K1660"/>
  <c r="K1664"/>
  <c r="K1668"/>
  <c r="K1672"/>
  <c r="K1676"/>
  <c r="K1680"/>
  <c r="K1684"/>
  <c r="K1688"/>
  <c r="K1692"/>
  <c r="K1696"/>
  <c r="K1700"/>
  <c r="K1704"/>
  <c r="K1708"/>
  <c r="K1712"/>
  <c r="K1716"/>
  <c r="K1720"/>
  <c r="K1724"/>
  <c r="K1728"/>
  <c r="K1732"/>
  <c r="K1736"/>
  <c r="K1740"/>
  <c r="K1744"/>
  <c r="K1748"/>
  <c r="K1752"/>
  <c r="K1756"/>
  <c r="K1760"/>
  <c r="K1764"/>
  <c r="K1768"/>
  <c r="K1772"/>
  <c r="K1776"/>
  <c r="K1780"/>
  <c r="K1784"/>
  <c r="K1788"/>
  <c r="K1792"/>
  <c r="K1796"/>
  <c r="K1800"/>
  <c r="K1804"/>
  <c r="K1808"/>
  <c r="K1812"/>
  <c r="K1816"/>
  <c r="K1820"/>
  <c r="K1824"/>
  <c r="K1828"/>
  <c r="K1832"/>
  <c r="K1836"/>
  <c r="K1840"/>
  <c r="K1844"/>
  <c r="K1848"/>
  <c r="K1852"/>
  <c r="K1856"/>
  <c r="K1860"/>
  <c r="K1864"/>
  <c r="K1868"/>
  <c r="K1872"/>
  <c r="K1876"/>
  <c r="K1880"/>
  <c r="K1884"/>
  <c r="K1888"/>
  <c r="K1892"/>
  <c r="K1896"/>
  <c r="K1900"/>
  <c r="K1904"/>
  <c r="K1908"/>
  <c r="K1912"/>
  <c r="K1916"/>
  <c r="K1920"/>
  <c r="K1924"/>
  <c r="K1928"/>
  <c r="K1932"/>
  <c r="K1936"/>
  <c r="K1940"/>
  <c r="K1944"/>
  <c r="K1948"/>
  <c r="K1952"/>
  <c r="K1956"/>
  <c r="K1960"/>
  <c r="K1964"/>
  <c r="K1968"/>
  <c r="K1972"/>
  <c r="K1976"/>
  <c r="K1980"/>
  <c r="K1984"/>
  <c r="K1988"/>
  <c r="K1992"/>
  <c r="K1996"/>
  <c r="K2000"/>
  <c r="K2004"/>
  <c r="K2008"/>
  <c r="K2012"/>
  <c r="K2016"/>
  <c r="K2020"/>
  <c r="K2024"/>
  <c r="K2028"/>
  <c r="K2032"/>
  <c r="K2036"/>
  <c r="K2040"/>
  <c r="K2044"/>
  <c r="K2048"/>
  <c r="K2052"/>
  <c r="K2056"/>
  <c r="K2060"/>
  <c r="K2064"/>
  <c r="K2068"/>
  <c r="K2072"/>
  <c r="K2076"/>
  <c r="K2080"/>
  <c r="K2084"/>
  <c r="K2088"/>
  <c r="K2092"/>
  <c r="K2100"/>
  <c r="K2108"/>
  <c r="K2112"/>
  <c r="K2116"/>
  <c r="K2120"/>
  <c r="K2124"/>
  <c r="K2128"/>
  <c r="K2132"/>
  <c r="K2136"/>
  <c r="K2140"/>
  <c r="K2144"/>
  <c r="K2148"/>
  <c r="K2152"/>
  <c r="K1071"/>
  <c r="K1079"/>
  <c r="K1087"/>
  <c r="K1095"/>
  <c r="K1103"/>
  <c r="K1111"/>
  <c r="K1119"/>
  <c r="K1127"/>
  <c r="K1135"/>
  <c r="K1143"/>
  <c r="K1151"/>
  <c r="K1159"/>
  <c r="K1167"/>
  <c r="K1175"/>
  <c r="K1179"/>
  <c r="K1183"/>
  <c r="K1187"/>
  <c r="K1191"/>
  <c r="K1195"/>
  <c r="K1199"/>
  <c r="K1203"/>
  <c r="K1207"/>
  <c r="K1211"/>
  <c r="K1215"/>
  <c r="K1219"/>
  <c r="K1223"/>
  <c r="K1227"/>
  <c r="K1231"/>
  <c r="K1235"/>
  <c r="K1239"/>
  <c r="K1243"/>
  <c r="K1247"/>
  <c r="K1251"/>
  <c r="K1255"/>
  <c r="K1259"/>
  <c r="K1263"/>
  <c r="K1267"/>
  <c r="K1271"/>
  <c r="K1275"/>
  <c r="K1279"/>
  <c r="K1283"/>
  <c r="K1287"/>
  <c r="K1291"/>
  <c r="K1295"/>
  <c r="K1299"/>
  <c r="K1303"/>
  <c r="K1307"/>
  <c r="K1311"/>
  <c r="K1315"/>
  <c r="K1319"/>
  <c r="K1323"/>
  <c r="K1327"/>
  <c r="K1331"/>
  <c r="K1335"/>
  <c r="K1339"/>
  <c r="K1343"/>
  <c r="K1347"/>
  <c r="K1351"/>
  <c r="K1355"/>
  <c r="K1359"/>
  <c r="K1363"/>
  <c r="K1367"/>
  <c r="K1371"/>
  <c r="K1375"/>
  <c r="K1379"/>
  <c r="K1383"/>
  <c r="K1387"/>
  <c r="K1391"/>
  <c r="K1395"/>
  <c r="K1399"/>
  <c r="K1403"/>
  <c r="K1407"/>
  <c r="K1411"/>
  <c r="K1415"/>
  <c r="K1419"/>
  <c r="K1423"/>
  <c r="K1427"/>
  <c r="K1431"/>
  <c r="K1435"/>
  <c r="K1439"/>
  <c r="K1443"/>
  <c r="K1447"/>
  <c r="K1451"/>
  <c r="K1455"/>
  <c r="K1459"/>
  <c r="K1463"/>
  <c r="K1467"/>
  <c r="K1471"/>
  <c r="K1475"/>
  <c r="K1479"/>
  <c r="K1483"/>
  <c r="K1487"/>
  <c r="K1491"/>
  <c r="K1495"/>
  <c r="K1499"/>
  <c r="K1503"/>
  <c r="K1507"/>
  <c r="K1511"/>
  <c r="K1515"/>
  <c r="K1519"/>
  <c r="K1523"/>
  <c r="K1527"/>
  <c r="K1531"/>
  <c r="K1535"/>
  <c r="K1539"/>
  <c r="K1543"/>
  <c r="K1547"/>
  <c r="K1551"/>
  <c r="K1555"/>
  <c r="K1559"/>
  <c r="K1563"/>
  <c r="K1567"/>
  <c r="K1571"/>
  <c r="K1575"/>
  <c r="K1579"/>
  <c r="K1583"/>
  <c r="K1587"/>
  <c r="K1591"/>
  <c r="K1595"/>
  <c r="K1599"/>
  <c r="K1603"/>
  <c r="K1607"/>
  <c r="K1611"/>
  <c r="K1615"/>
  <c r="K1619"/>
  <c r="K1623"/>
  <c r="K1627"/>
  <c r="K1631"/>
  <c r="K1635"/>
  <c r="K1643"/>
  <c r="K1647"/>
  <c r="K1651"/>
  <c r="K1655"/>
  <c r="K1659"/>
  <c r="K1663"/>
  <c r="K1667"/>
  <c r="K1671"/>
  <c r="K1675"/>
  <c r="K1679"/>
  <c r="K1683"/>
  <c r="K1687"/>
  <c r="K1691"/>
  <c r="K1695"/>
  <c r="K1699"/>
  <c r="K1703"/>
  <c r="K1707"/>
  <c r="K1711"/>
  <c r="K1715"/>
  <c r="K1719"/>
  <c r="K1723"/>
  <c r="K1727"/>
  <c r="K1731"/>
  <c r="K1735"/>
  <c r="K1739"/>
  <c r="K1743"/>
  <c r="K1747"/>
  <c r="K1751"/>
  <c r="K1755"/>
  <c r="K1759"/>
  <c r="K1763"/>
  <c r="K1767"/>
  <c r="K1771"/>
  <c r="K1775"/>
  <c r="K1779"/>
  <c r="K1783"/>
  <c r="K1787"/>
  <c r="K1791"/>
  <c r="K1795"/>
  <c r="K1799"/>
  <c r="K1803"/>
  <c r="K1807"/>
  <c r="K1811"/>
  <c r="K1815"/>
  <c r="K1819"/>
  <c r="K1823"/>
  <c r="K1827"/>
  <c r="K1831"/>
  <c r="K1835"/>
  <c r="K1839"/>
  <c r="K1843"/>
  <c r="K1847"/>
  <c r="K1851"/>
  <c r="K1855"/>
  <c r="K1859"/>
  <c r="K1863"/>
  <c r="K1867"/>
  <c r="K1871"/>
  <c r="K1875"/>
  <c r="K1879"/>
  <c r="K1883"/>
  <c r="K1887"/>
  <c r="K1891"/>
  <c r="K1895"/>
  <c r="K1899"/>
  <c r="K1903"/>
  <c r="K1907"/>
  <c r="K1911"/>
  <c r="K1915"/>
  <c r="K1919"/>
  <c r="K1923"/>
  <c r="K1927"/>
  <c r="K1931"/>
  <c r="K1935"/>
  <c r="K1939"/>
  <c r="K1943"/>
  <c r="K1947"/>
  <c r="K1951"/>
  <c r="K1955"/>
  <c r="K1959"/>
  <c r="K1963"/>
  <c r="K1967"/>
  <c r="K1971"/>
  <c r="K1975"/>
  <c r="K1979"/>
  <c r="K1983"/>
  <c r="K1987"/>
  <c r="K1991"/>
  <c r="K1995"/>
  <c r="K1076"/>
  <c r="K1084"/>
  <c r="K1092"/>
  <c r="K1100"/>
  <c r="K1108"/>
  <c r="K1116"/>
  <c r="K1124"/>
  <c r="K1132"/>
  <c r="K1140"/>
  <c r="K1148"/>
  <c r="K1156"/>
  <c r="K1164"/>
  <c r="K1172"/>
  <c r="K1178"/>
  <c r="K1182"/>
  <c r="K1190"/>
  <c r="K1194"/>
  <c r="K1198"/>
  <c r="K1202"/>
  <c r="K1206"/>
  <c r="K1210"/>
  <c r="K1214"/>
  <c r="K1218"/>
  <c r="K1222"/>
  <c r="K1226"/>
  <c r="K1230"/>
  <c r="K1234"/>
  <c r="K1238"/>
  <c r="K1242"/>
  <c r="K1246"/>
  <c r="K1250"/>
  <c r="K1258"/>
  <c r="K1262"/>
  <c r="K1266"/>
  <c r="K1270"/>
  <c r="K1274"/>
  <c r="K1278"/>
  <c r="K1282"/>
  <c r="K1286"/>
  <c r="K1290"/>
  <c r="K1294"/>
  <c r="K1298"/>
  <c r="K1302"/>
  <c r="K1306"/>
  <c r="K1310"/>
  <c r="K1314"/>
  <c r="K1318"/>
  <c r="K1322"/>
  <c r="K1326"/>
  <c r="K1330"/>
  <c r="K1334"/>
  <c r="K1338"/>
  <c r="K1342"/>
  <c r="K1346"/>
  <c r="K1354"/>
  <c r="K1358"/>
  <c r="K1362"/>
  <c r="K1366"/>
  <c r="K1370"/>
  <c r="K1374"/>
  <c r="K1378"/>
  <c r="K1382"/>
  <c r="K1386"/>
  <c r="K1390"/>
  <c r="K1394"/>
  <c r="K1398"/>
  <c r="K1402"/>
  <c r="K1410"/>
  <c r="K1414"/>
  <c r="K1418"/>
  <c r="K1422"/>
  <c r="K1426"/>
  <c r="K1430"/>
  <c r="K1434"/>
  <c r="K1438"/>
  <c r="K1442"/>
  <c r="K1446"/>
  <c r="K1450"/>
  <c r="K1454"/>
  <c r="K1458"/>
  <c r="K1462"/>
  <c r="K1466"/>
  <c r="K1470"/>
  <c r="K1474"/>
  <c r="K1478"/>
  <c r="K1482"/>
  <c r="K1486"/>
  <c r="K1490"/>
  <c r="K1494"/>
  <c r="K1498"/>
  <c r="K1502"/>
  <c r="K1506"/>
  <c r="K1510"/>
  <c r="K1514"/>
  <c r="K1518"/>
  <c r="K1522"/>
  <c r="K1526"/>
  <c r="K1530"/>
  <c r="K1534"/>
  <c r="K1538"/>
  <c r="K1542"/>
  <c r="K1546"/>
  <c r="K1550"/>
  <c r="K1554"/>
  <c r="K1558"/>
  <c r="K1562"/>
  <c r="K1566"/>
  <c r="K1570"/>
  <c r="K1574"/>
  <c r="K1578"/>
  <c r="K1582"/>
  <c r="K1586"/>
  <c r="K1598"/>
  <c r="K1602"/>
  <c r="K1606"/>
  <c r="K1610"/>
  <c r="K1614"/>
  <c r="K1618"/>
  <c r="K1622"/>
  <c r="K1626"/>
  <c r="K1630"/>
  <c r="K1634"/>
  <c r="K1638"/>
  <c r="K1642"/>
  <c r="K1646"/>
  <c r="K1650"/>
  <c r="K1654"/>
  <c r="K1658"/>
  <c r="K1662"/>
  <c r="K1666"/>
  <c r="K1670"/>
  <c r="K1674"/>
  <c r="K1678"/>
  <c r="K1682"/>
  <c r="K1686"/>
  <c r="K1690"/>
  <c r="K1694"/>
  <c r="K1698"/>
  <c r="K1702"/>
  <c r="K1706"/>
  <c r="K1710"/>
  <c r="K1714"/>
  <c r="K1718"/>
  <c r="K1722"/>
  <c r="K1726"/>
  <c r="K1730"/>
  <c r="K1734"/>
  <c r="K1738"/>
  <c r="K1742"/>
  <c r="K1746"/>
  <c r="K1750"/>
  <c r="K1758"/>
  <c r="K1762"/>
  <c r="K1766"/>
  <c r="K1770"/>
  <c r="K1774"/>
  <c r="K1778"/>
  <c r="K1782"/>
  <c r="K1786"/>
  <c r="K1790"/>
  <c r="K1794"/>
  <c r="K1798"/>
  <c r="K1802"/>
  <c r="K1810"/>
  <c r="K1814"/>
  <c r="K1818"/>
  <c r="K1822"/>
  <c r="K1826"/>
  <c r="K1830"/>
  <c r="K1834"/>
  <c r="K1838"/>
  <c r="K1842"/>
  <c r="K1846"/>
  <c r="K1850"/>
  <c r="K1854"/>
  <c r="K1858"/>
  <c r="K1862"/>
  <c r="K1866"/>
  <c r="K1870"/>
  <c r="K1874"/>
  <c r="K1878"/>
  <c r="K1882"/>
  <c r="K1886"/>
  <c r="K1890"/>
  <c r="K1894"/>
  <c r="K1898"/>
  <c r="K1902"/>
  <c r="K1906"/>
  <c r="K1910"/>
  <c r="K1914"/>
  <c r="K1918"/>
  <c r="K1922"/>
  <c r="K1926"/>
  <c r="K1930"/>
  <c r="K1934"/>
  <c r="K1938"/>
  <c r="K1942"/>
  <c r="K1946"/>
  <c r="K1950"/>
  <c r="K1954"/>
  <c r="K1958"/>
  <c r="K1962"/>
  <c r="K1966"/>
  <c r="K1970"/>
  <c r="K1974"/>
  <c r="K1978"/>
  <c r="K1982"/>
  <c r="K1986"/>
  <c r="K1990"/>
  <c r="K1994"/>
  <c r="K2002"/>
  <c r="K2010"/>
  <c r="K2018"/>
  <c r="K2026"/>
  <c r="K2034"/>
  <c r="K2042"/>
  <c r="K2050"/>
  <c r="K2058"/>
  <c r="K2066"/>
  <c r="K2074"/>
  <c r="K2082"/>
  <c r="K2110"/>
  <c r="K2118"/>
  <c r="K2126"/>
  <c r="K2134"/>
  <c r="K2142"/>
  <c r="K2150"/>
  <c r="K2155"/>
  <c r="K2159"/>
  <c r="K2163"/>
  <c r="K2167"/>
  <c r="L37"/>
  <c r="L41"/>
  <c r="L45"/>
  <c r="L49"/>
  <c r="L53"/>
  <c r="L57"/>
  <c r="L61"/>
  <c r="L65"/>
  <c r="L69"/>
  <c r="L73"/>
  <c r="L77"/>
  <c r="L81"/>
  <c r="L85"/>
  <c r="L89"/>
  <c r="L93"/>
  <c r="L97"/>
  <c r="L101"/>
  <c r="L105"/>
  <c r="L109"/>
  <c r="L113"/>
  <c r="L117"/>
  <c r="L121"/>
  <c r="L125"/>
  <c r="L129"/>
  <c r="L133"/>
  <c r="L137"/>
  <c r="L141"/>
  <c r="L145"/>
  <c r="L149"/>
  <c r="L153"/>
  <c r="L157"/>
  <c r="L161"/>
  <c r="L165"/>
  <c r="L169"/>
  <c r="L173"/>
  <c r="L177"/>
  <c r="L181"/>
  <c r="L185"/>
  <c r="L189"/>
  <c r="L193"/>
  <c r="L197"/>
  <c r="L201"/>
  <c r="L205"/>
  <c r="L209"/>
  <c r="L213"/>
  <c r="L217"/>
  <c r="L221"/>
  <c r="L225"/>
  <c r="L229"/>
  <c r="L233"/>
  <c r="L237"/>
  <c r="L241"/>
  <c r="L253"/>
  <c r="L257"/>
  <c r="L261"/>
  <c r="L265"/>
  <c r="L269"/>
  <c r="L273"/>
  <c r="L277"/>
  <c r="L281"/>
  <c r="L285"/>
  <c r="L289"/>
  <c r="L293"/>
  <c r="L305"/>
  <c r="L309"/>
  <c r="L313"/>
  <c r="L321"/>
  <c r="L325"/>
  <c r="L329"/>
  <c r="L333"/>
  <c r="L337"/>
  <c r="L341"/>
  <c r="L345"/>
  <c r="L349"/>
  <c r="L353"/>
  <c r="L357"/>
  <c r="L361"/>
  <c r="L365"/>
  <c r="L369"/>
  <c r="L373"/>
  <c r="L385"/>
  <c r="L397"/>
  <c r="L405"/>
  <c r="L417"/>
  <c r="L421"/>
  <c r="L425"/>
  <c r="L433"/>
  <c r="L437"/>
  <c r="L445"/>
  <c r="L457"/>
  <c r="L465"/>
  <c r="L473"/>
  <c r="L477"/>
  <c r="L481"/>
  <c r="L489"/>
  <c r="L493"/>
  <c r="L497"/>
  <c r="L501"/>
  <c r="L505"/>
  <c r="L513"/>
  <c r="L517"/>
  <c r="L521"/>
  <c r="L525"/>
  <c r="L529"/>
  <c r="L533"/>
  <c r="L537"/>
  <c r="L541"/>
  <c r="L549"/>
  <c r="L553"/>
  <c r="L561"/>
  <c r="L565"/>
  <c r="L569"/>
  <c r="L581"/>
  <c r="L585"/>
  <c r="L589"/>
  <c r="L593"/>
  <c r="L597"/>
  <c r="L601"/>
  <c r="L605"/>
  <c r="L613"/>
  <c r="L617"/>
  <c r="L621"/>
  <c r="L625"/>
  <c r="L629"/>
  <c r="L641"/>
  <c r="L645"/>
  <c r="L649"/>
  <c r="L653"/>
  <c r="L657"/>
  <c r="L661"/>
  <c r="L665"/>
  <c r="L669"/>
  <c r="L673"/>
  <c r="L677"/>
  <c r="L681"/>
  <c r="L685"/>
  <c r="L689"/>
  <c r="L693"/>
  <c r="L697"/>
  <c r="L701"/>
  <c r="L705"/>
  <c r="L709"/>
  <c r="L713"/>
  <c r="L717"/>
  <c r="L721"/>
  <c r="L725"/>
  <c r="L729"/>
  <c r="L733"/>
  <c r="L737"/>
  <c r="L741"/>
  <c r="L745"/>
  <c r="L749"/>
  <c r="L753"/>
  <c r="L757"/>
  <c r="L761"/>
  <c r="L765"/>
  <c r="L769"/>
  <c r="L773"/>
  <c r="L777"/>
  <c r="L781"/>
  <c r="L785"/>
  <c r="L789"/>
  <c r="L793"/>
  <c r="L797"/>
  <c r="L801"/>
  <c r="L805"/>
  <c r="L809"/>
  <c r="L813"/>
  <c r="L817"/>
  <c r="L821"/>
  <c r="L825"/>
  <c r="L829"/>
  <c r="L833"/>
  <c r="L837"/>
  <c r="L841"/>
  <c r="L845"/>
  <c r="L849"/>
  <c r="L853"/>
  <c r="L857"/>
  <c r="L861"/>
  <c r="L865"/>
  <c r="L869"/>
  <c r="L873"/>
  <c r="L877"/>
  <c r="L881"/>
  <c r="L885"/>
  <c r="L889"/>
  <c r="L893"/>
  <c r="L897"/>
  <c r="L901"/>
  <c r="L905"/>
  <c r="L909"/>
  <c r="L913"/>
  <c r="L917"/>
  <c r="L921"/>
  <c r="L925"/>
  <c r="L929"/>
  <c r="L933"/>
  <c r="L937"/>
  <c r="L941"/>
  <c r="L945"/>
  <c r="L949"/>
  <c r="L953"/>
  <c r="L957"/>
  <c r="L961"/>
  <c r="L965"/>
  <c r="L969"/>
  <c r="L973"/>
  <c r="L977"/>
  <c r="L981"/>
  <c r="L985"/>
  <c r="L989"/>
  <c r="L993"/>
  <c r="L997"/>
  <c r="L1001"/>
  <c r="L1005"/>
  <c r="L1009"/>
  <c r="L1013"/>
  <c r="L1017"/>
  <c r="L1021"/>
  <c r="L1025"/>
  <c r="L1033"/>
  <c r="L1037"/>
  <c r="L1041"/>
  <c r="L1045"/>
  <c r="L1053"/>
  <c r="L1057"/>
  <c r="L1061"/>
  <c r="L1065"/>
  <c r="L1069"/>
  <c r="L1073"/>
  <c r="L1077"/>
  <c r="L1081"/>
  <c r="L1085"/>
  <c r="L1089"/>
  <c r="L1093"/>
  <c r="L1097"/>
  <c r="L1101"/>
  <c r="L1105"/>
  <c r="L1109"/>
  <c r="L1113"/>
  <c r="L1117"/>
  <c r="L1121"/>
  <c r="L1125"/>
  <c r="L1129"/>
  <c r="L1133"/>
  <c r="L1137"/>
  <c r="L1141"/>
  <c r="L1145"/>
  <c r="L1149"/>
  <c r="L1153"/>
  <c r="L1157"/>
  <c r="L1161"/>
  <c r="L1165"/>
  <c r="L1169"/>
  <c r="L1173"/>
  <c r="L1177"/>
  <c r="L1181"/>
  <c r="L1185"/>
  <c r="L1189"/>
  <c r="L1193"/>
  <c r="L1197"/>
  <c r="L1201"/>
  <c r="L1205"/>
  <c r="L1209"/>
  <c r="L1213"/>
  <c r="L1217"/>
  <c r="L1221"/>
  <c r="L1225"/>
  <c r="L1229"/>
  <c r="L1233"/>
  <c r="L1237"/>
  <c r="L1241"/>
  <c r="L1245"/>
  <c r="L1249"/>
  <c r="L1253"/>
  <c r="L1257"/>
  <c r="L1261"/>
  <c r="L1265"/>
  <c r="L1269"/>
  <c r="L1273"/>
  <c r="L1277"/>
  <c r="L1281"/>
  <c r="L1285"/>
  <c r="L1289"/>
  <c r="L1293"/>
  <c r="L1297"/>
  <c r="L1301"/>
  <c r="L1305"/>
  <c r="K1999"/>
  <c r="K2007"/>
  <c r="K2015"/>
  <c r="K2023"/>
  <c r="K2031"/>
  <c r="K2039"/>
  <c r="K2047"/>
  <c r="K2055"/>
  <c r="K2063"/>
  <c r="K2071"/>
  <c r="K2079"/>
  <c r="K2087"/>
  <c r="K2107"/>
  <c r="K2123"/>
  <c r="K2131"/>
  <c r="K2139"/>
  <c r="K2147"/>
  <c r="K2154"/>
  <c r="K2158"/>
  <c r="K2162"/>
  <c r="K2166"/>
  <c r="L36"/>
  <c r="L40"/>
  <c r="L44"/>
  <c r="L48"/>
  <c r="L52"/>
  <c r="L56"/>
  <c r="L60"/>
  <c r="L64"/>
  <c r="L68"/>
  <c r="L72"/>
  <c r="L76"/>
  <c r="L80"/>
  <c r="L84"/>
  <c r="L88"/>
  <c r="L92"/>
  <c r="L96"/>
  <c r="L100"/>
  <c r="L104"/>
  <c r="L108"/>
  <c r="L112"/>
  <c r="L116"/>
  <c r="L120"/>
  <c r="L124"/>
  <c r="L128"/>
  <c r="L132"/>
  <c r="L136"/>
  <c r="L140"/>
  <c r="L144"/>
  <c r="L148"/>
  <c r="L152"/>
  <c r="L156"/>
  <c r="L160"/>
  <c r="L164"/>
  <c r="L168"/>
  <c r="L172"/>
  <c r="L176"/>
  <c r="L180"/>
  <c r="L184"/>
  <c r="L188"/>
  <c r="L192"/>
  <c r="L196"/>
  <c r="L200"/>
  <c r="L204"/>
  <c r="L208"/>
  <c r="L212"/>
  <c r="L216"/>
  <c r="L220"/>
  <c r="L224"/>
  <c r="L228"/>
  <c r="L232"/>
  <c r="L236"/>
  <c r="L248"/>
  <c r="L252"/>
  <c r="L272"/>
  <c r="L280"/>
  <c r="L284"/>
  <c r="L296"/>
  <c r="L300"/>
  <c r="L308"/>
  <c r="L320"/>
  <c r="L324"/>
  <c r="L328"/>
  <c r="L332"/>
  <c r="L336"/>
  <c r="L344"/>
  <c r="L348"/>
  <c r="L352"/>
  <c r="L360"/>
  <c r="L364"/>
  <c r="L368"/>
  <c r="L376"/>
  <c r="L384"/>
  <c r="L392"/>
  <c r="L396"/>
  <c r="L400"/>
  <c r="L408"/>
  <c r="L416"/>
  <c r="L420"/>
  <c r="L428"/>
  <c r="L448"/>
  <c r="L452"/>
  <c r="L456"/>
  <c r="L460"/>
  <c r="L476"/>
  <c r="L480"/>
  <c r="L484"/>
  <c r="L488"/>
  <c r="L492"/>
  <c r="L504"/>
  <c r="L520"/>
  <c r="L524"/>
  <c r="L528"/>
  <c r="L532"/>
  <c r="L540"/>
  <c r="L544"/>
  <c r="L548"/>
  <c r="L560"/>
  <c r="L568"/>
  <c r="L572"/>
  <c r="L576"/>
  <c r="L592"/>
  <c r="L596"/>
  <c r="L600"/>
  <c r="L612"/>
  <c r="L616"/>
  <c r="L624"/>
  <c r="L636"/>
  <c r="L640"/>
  <c r="L644"/>
  <c r="L648"/>
  <c r="L652"/>
  <c r="L656"/>
  <c r="L660"/>
  <c r="L664"/>
  <c r="L668"/>
  <c r="L672"/>
  <c r="L676"/>
  <c r="L680"/>
  <c r="L684"/>
  <c r="L688"/>
  <c r="L692"/>
  <c r="L696"/>
  <c r="L700"/>
  <c r="L704"/>
  <c r="L708"/>
  <c r="L712"/>
  <c r="L716"/>
  <c r="L720"/>
  <c r="L724"/>
  <c r="L728"/>
  <c r="L732"/>
  <c r="L736"/>
  <c r="L740"/>
  <c r="L744"/>
  <c r="L748"/>
  <c r="L752"/>
  <c r="L756"/>
  <c r="L760"/>
  <c r="L768"/>
  <c r="L772"/>
  <c r="L776"/>
  <c r="L780"/>
  <c r="L784"/>
  <c r="L788"/>
  <c r="L796"/>
  <c r="L800"/>
  <c r="L804"/>
  <c r="L808"/>
  <c r="L812"/>
  <c r="L816"/>
  <c r="L820"/>
  <c r="L824"/>
  <c r="L836"/>
  <c r="L840"/>
  <c r="L844"/>
  <c r="L848"/>
  <c r="L852"/>
  <c r="L856"/>
  <c r="L860"/>
  <c r="L864"/>
  <c r="L868"/>
  <c r="L872"/>
  <c r="L876"/>
  <c r="L880"/>
  <c r="L884"/>
  <c r="L888"/>
  <c r="L892"/>
  <c r="L896"/>
  <c r="L900"/>
  <c r="L904"/>
  <c r="L908"/>
  <c r="L912"/>
  <c r="L916"/>
  <c r="L920"/>
  <c r="L924"/>
  <c r="L928"/>
  <c r="L932"/>
  <c r="L936"/>
  <c r="L940"/>
  <c r="L944"/>
  <c r="L948"/>
  <c r="L952"/>
  <c r="L956"/>
  <c r="L960"/>
  <c r="L964"/>
  <c r="L968"/>
  <c r="L972"/>
  <c r="L976"/>
  <c r="L980"/>
  <c r="L984"/>
  <c r="L988"/>
  <c r="L992"/>
  <c r="L996"/>
  <c r="L1000"/>
  <c r="L1004"/>
  <c r="L1008"/>
  <c r="L1012"/>
  <c r="L1016"/>
  <c r="L1020"/>
  <c r="L1024"/>
  <c r="L1044"/>
  <c r="L1048"/>
  <c r="L1052"/>
  <c r="L1060"/>
  <c r="L1064"/>
  <c r="L1068"/>
  <c r="L1072"/>
  <c r="L1076"/>
  <c r="L1080"/>
  <c r="L1084"/>
  <c r="L1092"/>
  <c r="L1096"/>
  <c r="L1100"/>
  <c r="L1104"/>
  <c r="L1108"/>
  <c r="L1112"/>
  <c r="L1116"/>
  <c r="L1120"/>
  <c r="L1124"/>
  <c r="L1128"/>
  <c r="L1132"/>
  <c r="L1136"/>
  <c r="L1140"/>
  <c r="L1144"/>
  <c r="L1148"/>
  <c r="L1152"/>
  <c r="L1156"/>
  <c r="L1160"/>
  <c r="L1164"/>
  <c r="L1168"/>
  <c r="L1172"/>
  <c r="L1176"/>
  <c r="L1180"/>
  <c r="L1184"/>
  <c r="L1188"/>
  <c r="K1998"/>
  <c r="K2006"/>
  <c r="K2014"/>
  <c r="K2022"/>
  <c r="K2030"/>
  <c r="K2038"/>
  <c r="K2046"/>
  <c r="K2054"/>
  <c r="K2062"/>
  <c r="K2070"/>
  <c r="K2078"/>
  <c r="K2086"/>
  <c r="K2094"/>
  <c r="K2099"/>
  <c r="K2106"/>
  <c r="K2114"/>
  <c r="K2122"/>
  <c r="K2130"/>
  <c r="K2138"/>
  <c r="K2146"/>
  <c r="K2153"/>
  <c r="K2157"/>
  <c r="K2161"/>
  <c r="K2165"/>
  <c r="L35"/>
  <c r="L39"/>
  <c r="L43"/>
  <c r="L47"/>
  <c r="L51"/>
  <c r="L55"/>
  <c r="L59"/>
  <c r="L63"/>
  <c r="L67"/>
  <c r="L71"/>
  <c r="L75"/>
  <c r="L79"/>
  <c r="L83"/>
  <c r="L87"/>
  <c r="L91"/>
  <c r="L95"/>
  <c r="L99"/>
  <c r="L103"/>
  <c r="L107"/>
  <c r="L111"/>
  <c r="L115"/>
  <c r="L119"/>
  <c r="L123"/>
  <c r="L127"/>
  <c r="L131"/>
  <c r="L135"/>
  <c r="L139"/>
  <c r="L143"/>
  <c r="L147"/>
  <c r="L151"/>
  <c r="L155"/>
  <c r="L159"/>
  <c r="L163"/>
  <c r="L167"/>
  <c r="L171"/>
  <c r="L175"/>
  <c r="L179"/>
  <c r="L183"/>
  <c r="L187"/>
  <c r="L191"/>
  <c r="L195"/>
  <c r="L199"/>
  <c r="L203"/>
  <c r="L207"/>
  <c r="L211"/>
  <c r="L215"/>
  <c r="L219"/>
  <c r="L223"/>
  <c r="L227"/>
  <c r="L231"/>
  <c r="L235"/>
  <c r="L239"/>
  <c r="L243"/>
  <c r="L251"/>
  <c r="L255"/>
  <c r="L263"/>
  <c r="L267"/>
  <c r="L271"/>
  <c r="L279"/>
  <c r="L283"/>
  <c r="L291"/>
  <c r="L295"/>
  <c r="L299"/>
  <c r="L303"/>
  <c r="L311"/>
  <c r="L319"/>
  <c r="L323"/>
  <c r="L327"/>
  <c r="L331"/>
  <c r="L335"/>
  <c r="L339"/>
  <c r="L343"/>
  <c r="L347"/>
  <c r="L351"/>
  <c r="L359"/>
  <c r="L363"/>
  <c r="L367"/>
  <c r="L371"/>
  <c r="L375"/>
  <c r="L379"/>
  <c r="L383"/>
  <c r="L387"/>
  <c r="L399"/>
  <c r="L407"/>
  <c r="L419"/>
  <c r="L427"/>
  <c r="L431"/>
  <c r="L439"/>
  <c r="L443"/>
  <c r="L455"/>
  <c r="L459"/>
  <c r="L463"/>
  <c r="L467"/>
  <c r="L475"/>
  <c r="L479"/>
  <c r="L483"/>
  <c r="L487"/>
  <c r="L491"/>
  <c r="L495"/>
  <c r="L507"/>
  <c r="L511"/>
  <c r="L515"/>
  <c r="L523"/>
  <c r="L527"/>
  <c r="L531"/>
  <c r="L535"/>
  <c r="L543"/>
  <c r="L547"/>
  <c r="L551"/>
  <c r="L555"/>
  <c r="L559"/>
  <c r="L567"/>
  <c r="L583"/>
  <c r="L591"/>
  <c r="L595"/>
  <c r="L599"/>
  <c r="L611"/>
  <c r="L615"/>
  <c r="L627"/>
  <c r="L631"/>
  <c r="L639"/>
  <c r="L643"/>
  <c r="L647"/>
  <c r="L651"/>
  <c r="L655"/>
  <c r="L659"/>
  <c r="L663"/>
  <c r="L667"/>
  <c r="L671"/>
  <c r="L675"/>
  <c r="L679"/>
  <c r="L683"/>
  <c r="L687"/>
  <c r="L691"/>
  <c r="L695"/>
  <c r="L699"/>
  <c r="L703"/>
  <c r="L707"/>
  <c r="L711"/>
  <c r="L715"/>
  <c r="L719"/>
  <c r="L723"/>
  <c r="L727"/>
  <c r="L731"/>
  <c r="L735"/>
  <c r="L739"/>
  <c r="L743"/>
  <c r="L747"/>
  <c r="L751"/>
  <c r="L755"/>
  <c r="L759"/>
  <c r="L763"/>
  <c r="L767"/>
  <c r="L771"/>
  <c r="L775"/>
  <c r="L779"/>
  <c r="L783"/>
  <c r="L787"/>
  <c r="L791"/>
  <c r="L795"/>
  <c r="L799"/>
  <c r="L803"/>
  <c r="L807"/>
  <c r="L811"/>
  <c r="L815"/>
  <c r="L819"/>
  <c r="L823"/>
  <c r="L831"/>
  <c r="L835"/>
  <c r="L839"/>
  <c r="L843"/>
  <c r="L847"/>
  <c r="L851"/>
  <c r="L855"/>
  <c r="L859"/>
  <c r="L863"/>
  <c r="L867"/>
  <c r="L871"/>
  <c r="L875"/>
  <c r="L879"/>
  <c r="L883"/>
  <c r="L887"/>
  <c r="L891"/>
  <c r="L895"/>
  <c r="L899"/>
  <c r="L903"/>
  <c r="L907"/>
  <c r="L911"/>
  <c r="L915"/>
  <c r="L919"/>
  <c r="L923"/>
  <c r="L927"/>
  <c r="L931"/>
  <c r="L935"/>
  <c r="L939"/>
  <c r="L943"/>
  <c r="L947"/>
  <c r="L951"/>
  <c r="L955"/>
  <c r="L959"/>
  <c r="L963"/>
  <c r="L967"/>
  <c r="L971"/>
  <c r="L975"/>
  <c r="L979"/>
  <c r="L983"/>
  <c r="L987"/>
  <c r="L991"/>
  <c r="L995"/>
  <c r="L999"/>
  <c r="L1003"/>
  <c r="L1007"/>
  <c r="L1011"/>
  <c r="K2003"/>
  <c r="K2011"/>
  <c r="K2019"/>
  <c r="K2027"/>
  <c r="K2035"/>
  <c r="K2043"/>
  <c r="K2051"/>
  <c r="K2059"/>
  <c r="K2067"/>
  <c r="K2075"/>
  <c r="K2083"/>
  <c r="K2091"/>
  <c r="K2098"/>
  <c r="K2111"/>
  <c r="K2119"/>
  <c r="K2127"/>
  <c r="K2135"/>
  <c r="K2143"/>
  <c r="K2151"/>
  <c r="K2156"/>
  <c r="K2160"/>
  <c r="K2164"/>
  <c r="K2168"/>
  <c r="L38"/>
  <c r="L42"/>
  <c r="L46"/>
  <c r="L50"/>
  <c r="L54"/>
  <c r="L58"/>
  <c r="L62"/>
  <c r="L66"/>
  <c r="L70"/>
  <c r="L74"/>
  <c r="L78"/>
  <c r="L82"/>
  <c r="L86"/>
  <c r="L90"/>
  <c r="L94"/>
  <c r="L98"/>
  <c r="L102"/>
  <c r="L106"/>
  <c r="L110"/>
  <c r="L114"/>
  <c r="L118"/>
  <c r="L122"/>
  <c r="L126"/>
  <c r="L130"/>
  <c r="L134"/>
  <c r="L138"/>
  <c r="L142"/>
  <c r="L146"/>
  <c r="L150"/>
  <c r="L154"/>
  <c r="L158"/>
  <c r="L162"/>
  <c r="L166"/>
  <c r="L170"/>
  <c r="L174"/>
  <c r="L178"/>
  <c r="L182"/>
  <c r="L186"/>
  <c r="L190"/>
  <c r="L194"/>
  <c r="L198"/>
  <c r="L202"/>
  <c r="L206"/>
  <c r="L210"/>
  <c r="L214"/>
  <c r="L218"/>
  <c r="L222"/>
  <c r="L226"/>
  <c r="L230"/>
  <c r="L234"/>
  <c r="L238"/>
  <c r="L258"/>
  <c r="L262"/>
  <c r="L266"/>
  <c r="L274"/>
  <c r="L278"/>
  <c r="L282"/>
  <c r="L286"/>
  <c r="L290"/>
  <c r="L302"/>
  <c r="L314"/>
  <c r="L322"/>
  <c r="L326"/>
  <c r="L330"/>
  <c r="L334"/>
  <c r="L338"/>
  <c r="L342"/>
  <c r="L346"/>
  <c r="L350"/>
  <c r="L354"/>
  <c r="L358"/>
  <c r="L362"/>
  <c r="L366"/>
  <c r="L378"/>
  <c r="L382"/>
  <c r="L386"/>
  <c r="L390"/>
  <c r="L394"/>
  <c r="L398"/>
  <c r="L402"/>
  <c r="L406"/>
  <c r="L418"/>
  <c r="L422"/>
  <c r="L430"/>
  <c r="L434"/>
  <c r="L446"/>
  <c r="L450"/>
  <c r="L462"/>
  <c r="L466"/>
  <c r="L470"/>
  <c r="L474"/>
  <c r="L478"/>
  <c r="L482"/>
  <c r="L490"/>
  <c r="L494"/>
  <c r="L498"/>
  <c r="L510"/>
  <c r="L518"/>
  <c r="L530"/>
  <c r="L534"/>
  <c r="L538"/>
  <c r="L550"/>
  <c r="L554"/>
  <c r="L558"/>
  <c r="L562"/>
  <c r="L570"/>
  <c r="L590"/>
  <c r="L594"/>
  <c r="L598"/>
  <c r="L602"/>
  <c r="L614"/>
  <c r="L626"/>
  <c r="L630"/>
  <c r="L642"/>
  <c r="L646"/>
  <c r="L650"/>
  <c r="L654"/>
  <c r="L658"/>
  <c r="L662"/>
  <c r="L666"/>
  <c r="L670"/>
  <c r="L674"/>
  <c r="L678"/>
  <c r="L682"/>
  <c r="L690"/>
  <c r="L694"/>
  <c r="L698"/>
  <c r="L702"/>
  <c r="L706"/>
  <c r="L710"/>
  <c r="L714"/>
  <c r="L718"/>
  <c r="L722"/>
  <c r="L726"/>
  <c r="L730"/>
  <c r="L734"/>
  <c r="L738"/>
  <c r="L742"/>
  <c r="L746"/>
  <c r="L750"/>
  <c r="L758"/>
  <c r="L762"/>
  <c r="L766"/>
  <c r="L770"/>
  <c r="L778"/>
  <c r="L782"/>
  <c r="L786"/>
  <c r="L790"/>
  <c r="L798"/>
  <c r="L802"/>
  <c r="L806"/>
  <c r="L810"/>
  <c r="L814"/>
  <c r="L818"/>
  <c r="L822"/>
  <c r="L826"/>
  <c r="L830"/>
  <c r="L834"/>
  <c r="L842"/>
  <c r="L846"/>
  <c r="L850"/>
  <c r="L854"/>
  <c r="L858"/>
  <c r="L862"/>
  <c r="L866"/>
  <c r="L870"/>
  <c r="L874"/>
  <c r="L878"/>
  <c r="L882"/>
  <c r="L886"/>
  <c r="L890"/>
  <c r="L894"/>
  <c r="L898"/>
  <c r="L902"/>
  <c r="L906"/>
  <c r="L910"/>
  <c r="L914"/>
  <c r="L918"/>
  <c r="L922"/>
  <c r="L926"/>
  <c r="L930"/>
  <c r="L934"/>
  <c r="L938"/>
  <c r="L942"/>
  <c r="L946"/>
  <c r="L950"/>
  <c r="L954"/>
  <c r="L958"/>
  <c r="L962"/>
  <c r="L966"/>
  <c r="L970"/>
  <c r="L974"/>
  <c r="L978"/>
  <c r="L982"/>
  <c r="L986"/>
  <c r="L990"/>
  <c r="L994"/>
  <c r="L998"/>
  <c r="L1002"/>
  <c r="L1006"/>
  <c r="L1010"/>
  <c r="L1014"/>
  <c r="L1018"/>
  <c r="L1034"/>
  <c r="L1038"/>
  <c r="L1046"/>
  <c r="L1058"/>
  <c r="L1062"/>
  <c r="L1066"/>
  <c r="L1070"/>
  <c r="L1074"/>
  <c r="L1078"/>
  <c r="L1082"/>
  <c r="L1086"/>
  <c r="L1090"/>
  <c r="L1094"/>
  <c r="L1098"/>
  <c r="L1102"/>
  <c r="L1106"/>
  <c r="L1110"/>
  <c r="L1114"/>
  <c r="L1118"/>
  <c r="L1122"/>
  <c r="L1126"/>
  <c r="L1130"/>
  <c r="L1134"/>
  <c r="L1138"/>
  <c r="L1142"/>
  <c r="L1146"/>
  <c r="L1150"/>
  <c r="L1154"/>
  <c r="L1158"/>
  <c r="L1162"/>
  <c r="L1166"/>
  <c r="L1170"/>
  <c r="L1174"/>
  <c r="L1178"/>
  <c r="L1182"/>
  <c r="L1190"/>
  <c r="L1194"/>
  <c r="L1198"/>
  <c r="L1019"/>
  <c r="L1027"/>
  <c r="L1039"/>
  <c r="L1063"/>
  <c r="L1079"/>
  <c r="L1091"/>
  <c r="L1107"/>
  <c r="L1123"/>
  <c r="L1139"/>
  <c r="L1155"/>
  <c r="L1171"/>
  <c r="L1195"/>
  <c r="L1202"/>
  <c r="L1207"/>
  <c r="L1212"/>
  <c r="L1218"/>
  <c r="L1223"/>
  <c r="L1228"/>
  <c r="L1234"/>
  <c r="L1239"/>
  <c r="L1244"/>
  <c r="L1250"/>
  <c r="L1255"/>
  <c r="L1260"/>
  <c r="L1266"/>
  <c r="L1271"/>
  <c r="L1276"/>
  <c r="L1282"/>
  <c r="L1287"/>
  <c r="L1292"/>
  <c r="L1298"/>
  <c r="L1303"/>
  <c r="L1308"/>
  <c r="L1312"/>
  <c r="L1316"/>
  <c r="L1320"/>
  <c r="L1324"/>
  <c r="L1328"/>
  <c r="L1332"/>
  <c r="L1336"/>
  <c r="L1340"/>
  <c r="L1344"/>
  <c r="L1348"/>
  <c r="L1352"/>
  <c r="L1356"/>
  <c r="L1360"/>
  <c r="L1364"/>
  <c r="L1368"/>
  <c r="L1372"/>
  <c r="L1376"/>
  <c r="L1380"/>
  <c r="L1384"/>
  <c r="L1388"/>
  <c r="L1392"/>
  <c r="L1396"/>
  <c r="L1400"/>
  <c r="L1404"/>
  <c r="L1408"/>
  <c r="L1412"/>
  <c r="L1416"/>
  <c r="L1420"/>
  <c r="L1424"/>
  <c r="L1428"/>
  <c r="L1432"/>
  <c r="L1436"/>
  <c r="L1440"/>
  <c r="L1444"/>
  <c r="L1448"/>
  <c r="L1452"/>
  <c r="L1456"/>
  <c r="L1460"/>
  <c r="L1464"/>
  <c r="L1468"/>
  <c r="L1472"/>
  <c r="L1476"/>
  <c r="L1480"/>
  <c r="L1484"/>
  <c r="L1488"/>
  <c r="L1492"/>
  <c r="L1496"/>
  <c r="L1500"/>
  <c r="L1504"/>
  <c r="L1508"/>
  <c r="L1512"/>
  <c r="L1516"/>
  <c r="L1520"/>
  <c r="L1524"/>
  <c r="L1528"/>
  <c r="L1532"/>
  <c r="L1536"/>
  <c r="L1540"/>
  <c r="L1544"/>
  <c r="L1548"/>
  <c r="L1552"/>
  <c r="L1556"/>
  <c r="L1560"/>
  <c r="L1564"/>
  <c r="L1568"/>
  <c r="L1572"/>
  <c r="L1576"/>
  <c r="L1580"/>
  <c r="L1584"/>
  <c r="L1588"/>
  <c r="L1592"/>
  <c r="L1596"/>
  <c r="L1600"/>
  <c r="L1604"/>
  <c r="L1608"/>
  <c r="L1612"/>
  <c r="L1616"/>
  <c r="L1620"/>
  <c r="L1624"/>
  <c r="L1628"/>
  <c r="L1632"/>
  <c r="L1636"/>
  <c r="L1644"/>
  <c r="L1648"/>
  <c r="L1652"/>
  <c r="L1656"/>
  <c r="L1660"/>
  <c r="L1664"/>
  <c r="L1668"/>
  <c r="L1672"/>
  <c r="L1676"/>
  <c r="L1680"/>
  <c r="L1684"/>
  <c r="L1688"/>
  <c r="L1692"/>
  <c r="L1696"/>
  <c r="L1700"/>
  <c r="L1704"/>
  <c r="L1708"/>
  <c r="L1712"/>
  <c r="L1716"/>
  <c r="L1720"/>
  <c r="L1724"/>
  <c r="L1728"/>
  <c r="L1732"/>
  <c r="L1736"/>
  <c r="L1740"/>
  <c r="L1744"/>
  <c r="L1748"/>
  <c r="L1752"/>
  <c r="L1756"/>
  <c r="L1760"/>
  <c r="L1764"/>
  <c r="L1768"/>
  <c r="L1772"/>
  <c r="L1776"/>
  <c r="L1780"/>
  <c r="L1784"/>
  <c r="L1788"/>
  <c r="L1792"/>
  <c r="L1796"/>
  <c r="L1800"/>
  <c r="L1804"/>
  <c r="L1808"/>
  <c r="L1812"/>
  <c r="L1816"/>
  <c r="L1820"/>
  <c r="L1824"/>
  <c r="L1828"/>
  <c r="L1832"/>
  <c r="L1836"/>
  <c r="L1840"/>
  <c r="L1844"/>
  <c r="L1848"/>
  <c r="L1852"/>
  <c r="L1856"/>
  <c r="L1860"/>
  <c r="L1864"/>
  <c r="L1868"/>
  <c r="L1872"/>
  <c r="L1876"/>
  <c r="L1880"/>
  <c r="L1884"/>
  <c r="L1888"/>
  <c r="L1892"/>
  <c r="L1896"/>
  <c r="L1900"/>
  <c r="L1904"/>
  <c r="L1908"/>
  <c r="L1912"/>
  <c r="L1916"/>
  <c r="L1920"/>
  <c r="L1924"/>
  <c r="L1928"/>
  <c r="L1932"/>
  <c r="L1936"/>
  <c r="L1940"/>
  <c r="L1944"/>
  <c r="L1948"/>
  <c r="L1952"/>
  <c r="L1956"/>
  <c r="L1960"/>
  <c r="L1964"/>
  <c r="L1968"/>
  <c r="L1972"/>
  <c r="L1976"/>
  <c r="L1980"/>
  <c r="L1984"/>
  <c r="L1988"/>
  <c r="L1992"/>
  <c r="L1996"/>
  <c r="L2000"/>
  <c r="L2004"/>
  <c r="L2008"/>
  <c r="L2012"/>
  <c r="L2016"/>
  <c r="L2020"/>
  <c r="L2024"/>
  <c r="L2028"/>
  <c r="L2032"/>
  <c r="L2036"/>
  <c r="L2040"/>
  <c r="L2044"/>
  <c r="L2048"/>
  <c r="L2052"/>
  <c r="L2056"/>
  <c r="L2060"/>
  <c r="L2064"/>
  <c r="L2068"/>
  <c r="L2072"/>
  <c r="L2076"/>
  <c r="L2080"/>
  <c r="L2084"/>
  <c r="L2088"/>
  <c r="L2092"/>
  <c r="L2100"/>
  <c r="L2108"/>
  <c r="L2112"/>
  <c r="L2116"/>
  <c r="L2120"/>
  <c r="L2124"/>
  <c r="L2128"/>
  <c r="L2132"/>
  <c r="L2136"/>
  <c r="L2140"/>
  <c r="L2144"/>
  <c r="L2148"/>
  <c r="L2152"/>
  <c r="L2156"/>
  <c r="L2160"/>
  <c r="L2164"/>
  <c r="L2168"/>
  <c r="M38"/>
  <c r="M42"/>
  <c r="M46"/>
  <c r="M50"/>
  <c r="M54"/>
  <c r="M58"/>
  <c r="M62"/>
  <c r="M66"/>
  <c r="M70"/>
  <c r="M74"/>
  <c r="M78"/>
  <c r="L1015"/>
  <c r="L1051"/>
  <c r="L1059"/>
  <c r="L1075"/>
  <c r="L1103"/>
  <c r="L1119"/>
  <c r="L1135"/>
  <c r="L1151"/>
  <c r="L1167"/>
  <c r="L1183"/>
  <c r="L1192"/>
  <c r="L1200"/>
  <c r="L1206"/>
  <c r="L1211"/>
  <c r="L1216"/>
  <c r="L1222"/>
  <c r="L1227"/>
  <c r="L1232"/>
  <c r="L1238"/>
  <c r="L1243"/>
  <c r="L1248"/>
  <c r="L1259"/>
  <c r="L1264"/>
  <c r="L1270"/>
  <c r="L1275"/>
  <c r="L1280"/>
  <c r="L1286"/>
  <c r="L1291"/>
  <c r="L1296"/>
  <c r="L1302"/>
  <c r="L1307"/>
  <c r="L1311"/>
  <c r="L1315"/>
  <c r="L1319"/>
  <c r="L1323"/>
  <c r="L1327"/>
  <c r="L1331"/>
  <c r="L1335"/>
  <c r="L1339"/>
  <c r="L1343"/>
  <c r="L1347"/>
  <c r="L1351"/>
  <c r="L1355"/>
  <c r="L1359"/>
  <c r="L1363"/>
  <c r="L1367"/>
  <c r="L1371"/>
  <c r="L1375"/>
  <c r="L1379"/>
  <c r="L1383"/>
  <c r="L1387"/>
  <c r="L1391"/>
  <c r="L1395"/>
  <c r="L1399"/>
  <c r="L1403"/>
  <c r="L1407"/>
  <c r="L1411"/>
  <c r="L1415"/>
  <c r="L1419"/>
  <c r="L1423"/>
  <c r="L1427"/>
  <c r="L1431"/>
  <c r="L1435"/>
  <c r="L1439"/>
  <c r="L1443"/>
  <c r="L1447"/>
  <c r="L1451"/>
  <c r="L1455"/>
  <c r="L1459"/>
  <c r="L1463"/>
  <c r="L1467"/>
  <c r="L1471"/>
  <c r="L1475"/>
  <c r="L1479"/>
  <c r="L1483"/>
  <c r="L1487"/>
  <c r="L1491"/>
  <c r="L1495"/>
  <c r="L1499"/>
  <c r="L1503"/>
  <c r="L1507"/>
  <c r="L1511"/>
  <c r="L1515"/>
  <c r="L1519"/>
  <c r="L1523"/>
  <c r="L1527"/>
  <c r="L1531"/>
  <c r="L1535"/>
  <c r="L1539"/>
  <c r="L1543"/>
  <c r="L1547"/>
  <c r="L1551"/>
  <c r="L1555"/>
  <c r="L1559"/>
  <c r="L1563"/>
  <c r="L1567"/>
  <c r="L1571"/>
  <c r="L1575"/>
  <c r="L1579"/>
  <c r="L1583"/>
  <c r="L1587"/>
  <c r="L1591"/>
  <c r="L1595"/>
  <c r="L1599"/>
  <c r="L1603"/>
  <c r="L1607"/>
  <c r="L1611"/>
  <c r="L1615"/>
  <c r="L1619"/>
  <c r="L1623"/>
  <c r="L1627"/>
  <c r="L1631"/>
  <c r="L1635"/>
  <c r="L1643"/>
  <c r="L1647"/>
  <c r="L1651"/>
  <c r="L1655"/>
  <c r="L1659"/>
  <c r="L1663"/>
  <c r="L1667"/>
  <c r="L1671"/>
  <c r="L1675"/>
  <c r="L1679"/>
  <c r="L1683"/>
  <c r="L1687"/>
  <c r="L1691"/>
  <c r="L1695"/>
  <c r="L1699"/>
  <c r="L1703"/>
  <c r="L1707"/>
  <c r="L1711"/>
  <c r="L1715"/>
  <c r="L1719"/>
  <c r="L1723"/>
  <c r="L1727"/>
  <c r="L1731"/>
  <c r="L1735"/>
  <c r="L1739"/>
  <c r="L1743"/>
  <c r="L1747"/>
  <c r="L1751"/>
  <c r="L1755"/>
  <c r="L1759"/>
  <c r="L1763"/>
  <c r="L1767"/>
  <c r="L1771"/>
  <c r="L1775"/>
  <c r="L1779"/>
  <c r="L1783"/>
  <c r="L1787"/>
  <c r="L1791"/>
  <c r="L1795"/>
  <c r="L1799"/>
  <c r="L1803"/>
  <c r="L1807"/>
  <c r="L1811"/>
  <c r="L1815"/>
  <c r="L1819"/>
  <c r="L1823"/>
  <c r="L1827"/>
  <c r="L1831"/>
  <c r="L1835"/>
  <c r="L1839"/>
  <c r="L1843"/>
  <c r="L1847"/>
  <c r="L1851"/>
  <c r="L1855"/>
  <c r="L1859"/>
  <c r="L1863"/>
  <c r="L1867"/>
  <c r="L1871"/>
  <c r="L1875"/>
  <c r="L1879"/>
  <c r="L1883"/>
  <c r="L1887"/>
  <c r="L1891"/>
  <c r="L1895"/>
  <c r="L1899"/>
  <c r="L1903"/>
  <c r="L1907"/>
  <c r="L1911"/>
  <c r="L1915"/>
  <c r="L1919"/>
  <c r="L1923"/>
  <c r="L1927"/>
  <c r="L1931"/>
  <c r="L1935"/>
  <c r="L1939"/>
  <c r="L1943"/>
  <c r="L1947"/>
  <c r="L1951"/>
  <c r="L1955"/>
  <c r="L1959"/>
  <c r="L1963"/>
  <c r="L1967"/>
  <c r="L1971"/>
  <c r="L1975"/>
  <c r="L1979"/>
  <c r="L1983"/>
  <c r="L1987"/>
  <c r="L1991"/>
  <c r="L1995"/>
  <c r="L1999"/>
  <c r="L2003"/>
  <c r="L2007"/>
  <c r="L2011"/>
  <c r="L2015"/>
  <c r="L2019"/>
  <c r="L2023"/>
  <c r="L2027"/>
  <c r="L2031"/>
  <c r="L2035"/>
  <c r="L2039"/>
  <c r="L2043"/>
  <c r="L2047"/>
  <c r="L2051"/>
  <c r="L2055"/>
  <c r="L2059"/>
  <c r="L2063"/>
  <c r="L2067"/>
  <c r="L2071"/>
  <c r="L2075"/>
  <c r="L2079"/>
  <c r="L2083"/>
  <c r="L2087"/>
  <c r="L2091"/>
  <c r="L2099"/>
  <c r="L2107"/>
  <c r="L2111"/>
  <c r="L2119"/>
  <c r="L2123"/>
  <c r="L2127"/>
  <c r="L2131"/>
  <c r="L2135"/>
  <c r="L2139"/>
  <c r="L2143"/>
  <c r="L2147"/>
  <c r="L2151"/>
  <c r="L2155"/>
  <c r="L2159"/>
  <c r="L2163"/>
  <c r="L2167"/>
  <c r="M37"/>
  <c r="M41"/>
  <c r="M45"/>
  <c r="M49"/>
  <c r="M53"/>
  <c r="M57"/>
  <c r="M61"/>
  <c r="M65"/>
  <c r="M69"/>
  <c r="M73"/>
  <c r="M77"/>
  <c r="M81"/>
  <c r="M85"/>
  <c r="M89"/>
  <c r="M93"/>
  <c r="L1023"/>
  <c r="L1071"/>
  <c r="L1087"/>
  <c r="L1099"/>
  <c r="L1115"/>
  <c r="L1131"/>
  <c r="L1147"/>
  <c r="L1163"/>
  <c r="L1179"/>
  <c r="L1191"/>
  <c r="L1199"/>
  <c r="L1204"/>
  <c r="L1210"/>
  <c r="L1215"/>
  <c r="L1220"/>
  <c r="L1226"/>
  <c r="L1231"/>
  <c r="L1236"/>
  <c r="L1242"/>
  <c r="L1247"/>
  <c r="L1252"/>
  <c r="L1258"/>
  <c r="L1263"/>
  <c r="L1268"/>
  <c r="L1274"/>
  <c r="L1279"/>
  <c r="L1284"/>
  <c r="L1290"/>
  <c r="L1295"/>
  <c r="L1300"/>
  <c r="L1306"/>
  <c r="L1310"/>
  <c r="L1314"/>
  <c r="L1318"/>
  <c r="L1322"/>
  <c r="L1326"/>
  <c r="L1330"/>
  <c r="L1334"/>
  <c r="L1338"/>
  <c r="L1342"/>
  <c r="L1346"/>
  <c r="L1354"/>
  <c r="L1358"/>
  <c r="L1362"/>
  <c r="L1366"/>
  <c r="L1370"/>
  <c r="L1374"/>
  <c r="L1378"/>
  <c r="L1382"/>
  <c r="L1386"/>
  <c r="L1390"/>
  <c r="L1394"/>
  <c r="L1398"/>
  <c r="L1402"/>
  <c r="L1410"/>
  <c r="L1414"/>
  <c r="L1418"/>
  <c r="L1422"/>
  <c r="L1426"/>
  <c r="L1430"/>
  <c r="L1434"/>
  <c r="L1438"/>
  <c r="L1442"/>
  <c r="L1446"/>
  <c r="L1450"/>
  <c r="L1454"/>
  <c r="L1458"/>
  <c r="L1462"/>
  <c r="L1466"/>
  <c r="L1470"/>
  <c r="L1474"/>
  <c r="L1478"/>
  <c r="L1482"/>
  <c r="L1486"/>
  <c r="L1490"/>
  <c r="L1494"/>
  <c r="L1498"/>
  <c r="L1502"/>
  <c r="L1506"/>
  <c r="L1510"/>
  <c r="L1514"/>
  <c r="L1518"/>
  <c r="L1522"/>
  <c r="L1526"/>
  <c r="L1530"/>
  <c r="L1534"/>
  <c r="L1538"/>
  <c r="L1542"/>
  <c r="L1546"/>
  <c r="L1550"/>
  <c r="L1554"/>
  <c r="L1558"/>
  <c r="L1562"/>
  <c r="L1566"/>
  <c r="L1570"/>
  <c r="L1574"/>
  <c r="L1578"/>
  <c r="L1582"/>
  <c r="L1586"/>
  <c r="L1598"/>
  <c r="L1602"/>
  <c r="L1606"/>
  <c r="L1610"/>
  <c r="L1614"/>
  <c r="L1618"/>
  <c r="L1622"/>
  <c r="L1626"/>
  <c r="L1630"/>
  <c r="L1634"/>
  <c r="L1638"/>
  <c r="L1642"/>
  <c r="L1646"/>
  <c r="L1650"/>
  <c r="L1654"/>
  <c r="L1658"/>
  <c r="L1662"/>
  <c r="L1666"/>
  <c r="L1670"/>
  <c r="L1674"/>
  <c r="L1678"/>
  <c r="L1682"/>
  <c r="L1686"/>
  <c r="L1690"/>
  <c r="L1694"/>
  <c r="L1698"/>
  <c r="L1702"/>
  <c r="L1706"/>
  <c r="L1710"/>
  <c r="L1714"/>
  <c r="L1718"/>
  <c r="L1722"/>
  <c r="L1726"/>
  <c r="L1730"/>
  <c r="L1734"/>
  <c r="L1738"/>
  <c r="L1742"/>
  <c r="L1746"/>
  <c r="L1750"/>
  <c r="L1758"/>
  <c r="L1762"/>
  <c r="L1766"/>
  <c r="L1770"/>
  <c r="L1774"/>
  <c r="L1778"/>
  <c r="L1782"/>
  <c r="L1786"/>
  <c r="L1790"/>
  <c r="L1794"/>
  <c r="L1798"/>
  <c r="L1802"/>
  <c r="L1810"/>
  <c r="L1814"/>
  <c r="L1818"/>
  <c r="L1822"/>
  <c r="L1826"/>
  <c r="L1830"/>
  <c r="L1834"/>
  <c r="L1838"/>
  <c r="L1842"/>
  <c r="L1846"/>
  <c r="L1850"/>
  <c r="L1854"/>
  <c r="L1858"/>
  <c r="L1862"/>
  <c r="L1866"/>
  <c r="L1870"/>
  <c r="L1874"/>
  <c r="L1878"/>
  <c r="L1882"/>
  <c r="L1886"/>
  <c r="L1890"/>
  <c r="L1894"/>
  <c r="L1898"/>
  <c r="L1902"/>
  <c r="L1906"/>
  <c r="L1910"/>
  <c r="L1914"/>
  <c r="L1918"/>
  <c r="L1922"/>
  <c r="L1926"/>
  <c r="L1930"/>
  <c r="L1934"/>
  <c r="L1938"/>
  <c r="L1942"/>
  <c r="L1946"/>
  <c r="L1950"/>
  <c r="L1954"/>
  <c r="L1958"/>
  <c r="L1962"/>
  <c r="L1966"/>
  <c r="L1970"/>
  <c r="L1974"/>
  <c r="L1978"/>
  <c r="L1982"/>
  <c r="L1986"/>
  <c r="L1990"/>
  <c r="L1994"/>
  <c r="L1998"/>
  <c r="L2002"/>
  <c r="L2006"/>
  <c r="L2010"/>
  <c r="L2014"/>
  <c r="L2018"/>
  <c r="L2022"/>
  <c r="L2026"/>
  <c r="L2030"/>
  <c r="L2034"/>
  <c r="L2038"/>
  <c r="L2042"/>
  <c r="L2046"/>
  <c r="L2050"/>
  <c r="L2054"/>
  <c r="L2058"/>
  <c r="L2062"/>
  <c r="L2066"/>
  <c r="L2070"/>
  <c r="L2074"/>
  <c r="L2078"/>
  <c r="L2082"/>
  <c r="L2086"/>
  <c r="L2094"/>
  <c r="L2098"/>
  <c r="L2106"/>
  <c r="L2110"/>
  <c r="L2114"/>
  <c r="L2118"/>
  <c r="L2122"/>
  <c r="L2126"/>
  <c r="L2130"/>
  <c r="L2134"/>
  <c r="L2138"/>
  <c r="L2142"/>
  <c r="L2146"/>
  <c r="L2150"/>
  <c r="L2154"/>
  <c r="L2158"/>
  <c r="L2162"/>
  <c r="L2166"/>
  <c r="M36"/>
  <c r="M40"/>
  <c r="M44"/>
  <c r="M48"/>
  <c r="M52"/>
  <c r="M56"/>
  <c r="M60"/>
  <c r="M64"/>
  <c r="M68"/>
  <c r="M72"/>
  <c r="M76"/>
  <c r="M80"/>
  <c r="M84"/>
  <c r="M88"/>
  <c r="M92"/>
  <c r="M96"/>
  <c r="M100"/>
  <c r="M104"/>
  <c r="L1055"/>
  <c r="L1067"/>
  <c r="L1083"/>
  <c r="L1095"/>
  <c r="L1111"/>
  <c r="L1127"/>
  <c r="L1143"/>
  <c r="L1159"/>
  <c r="L1175"/>
  <c r="L1187"/>
  <c r="L1196"/>
  <c r="L1203"/>
  <c r="L1208"/>
  <c r="L1214"/>
  <c r="L1219"/>
  <c r="L1224"/>
  <c r="L1230"/>
  <c r="L1235"/>
  <c r="L1240"/>
  <c r="L1246"/>
  <c r="L1251"/>
  <c r="L1256"/>
  <c r="L1262"/>
  <c r="L1267"/>
  <c r="L1272"/>
  <c r="L1278"/>
  <c r="L1283"/>
  <c r="L1288"/>
  <c r="L1294"/>
  <c r="L1299"/>
  <c r="L1304"/>
  <c r="L1309"/>
  <c r="L1313"/>
  <c r="L1317"/>
  <c r="L1321"/>
  <c r="L1325"/>
  <c r="L1329"/>
  <c r="L1333"/>
  <c r="L1337"/>
  <c r="L1341"/>
  <c r="L1345"/>
  <c r="L1349"/>
  <c r="L1353"/>
  <c r="L1357"/>
  <c r="L1361"/>
  <c r="L1365"/>
  <c r="L1369"/>
  <c r="L1373"/>
  <c r="L1377"/>
  <c r="L1381"/>
  <c r="L1385"/>
  <c r="L1389"/>
  <c r="L1393"/>
  <c r="L1397"/>
  <c r="L1401"/>
  <c r="L1405"/>
  <c r="L1409"/>
  <c r="L1413"/>
  <c r="L1417"/>
  <c r="L1421"/>
  <c r="L1425"/>
  <c r="L1429"/>
  <c r="L1433"/>
  <c r="L1437"/>
  <c r="L1441"/>
  <c r="L1445"/>
  <c r="L1449"/>
  <c r="L1453"/>
  <c r="L1457"/>
  <c r="L1461"/>
  <c r="L1465"/>
  <c r="L1469"/>
  <c r="L1473"/>
  <c r="L1477"/>
  <c r="L1481"/>
  <c r="L1485"/>
  <c r="L1489"/>
  <c r="L1493"/>
  <c r="L1497"/>
  <c r="L1501"/>
  <c r="L1505"/>
  <c r="L1509"/>
  <c r="L1513"/>
  <c r="L1517"/>
  <c r="L1521"/>
  <c r="L1525"/>
  <c r="L1529"/>
  <c r="L1533"/>
  <c r="L1537"/>
  <c r="L1541"/>
  <c r="L1545"/>
  <c r="L1549"/>
  <c r="L1553"/>
  <c r="L1557"/>
  <c r="L1561"/>
  <c r="L1565"/>
  <c r="L1569"/>
  <c r="L1573"/>
  <c r="L1577"/>
  <c r="L1581"/>
  <c r="L1585"/>
  <c r="L1589"/>
  <c r="L1597"/>
  <c r="L1601"/>
  <c r="L1605"/>
  <c r="L1609"/>
  <c r="L1613"/>
  <c r="L1617"/>
  <c r="L1621"/>
  <c r="L1625"/>
  <c r="L1629"/>
  <c r="L1633"/>
  <c r="L1637"/>
  <c r="L1641"/>
  <c r="L1645"/>
  <c r="L1649"/>
  <c r="L1653"/>
  <c r="L1657"/>
  <c r="L1661"/>
  <c r="L1665"/>
  <c r="L1669"/>
  <c r="L1673"/>
  <c r="L1677"/>
  <c r="L1681"/>
  <c r="L1685"/>
  <c r="L1689"/>
  <c r="L1693"/>
  <c r="L1697"/>
  <c r="L1701"/>
  <c r="L1705"/>
  <c r="L1709"/>
  <c r="L1713"/>
  <c r="L1717"/>
  <c r="L1721"/>
  <c r="L1725"/>
  <c r="L1729"/>
  <c r="L1733"/>
  <c r="L1737"/>
  <c r="L1741"/>
  <c r="L1745"/>
  <c r="L1749"/>
  <c r="L1753"/>
  <c r="L1757"/>
  <c r="L1761"/>
  <c r="L1765"/>
  <c r="L1769"/>
  <c r="L1773"/>
  <c r="L1777"/>
  <c r="L1781"/>
  <c r="L1785"/>
  <c r="L1789"/>
  <c r="L1793"/>
  <c r="L1797"/>
  <c r="L1801"/>
  <c r="L1805"/>
  <c r="L1809"/>
  <c r="L1813"/>
  <c r="L1817"/>
  <c r="L1821"/>
  <c r="L1825"/>
  <c r="L1829"/>
  <c r="L1833"/>
  <c r="L1837"/>
  <c r="L1841"/>
  <c r="L1845"/>
  <c r="L1849"/>
  <c r="L1853"/>
  <c r="L1857"/>
  <c r="L1861"/>
  <c r="L1865"/>
  <c r="L1869"/>
  <c r="L1873"/>
  <c r="L1877"/>
  <c r="L1881"/>
  <c r="L1885"/>
  <c r="L1889"/>
  <c r="L1893"/>
  <c r="L1897"/>
  <c r="L1901"/>
  <c r="L1905"/>
  <c r="L1909"/>
  <c r="L1913"/>
  <c r="L1917"/>
  <c r="L1921"/>
  <c r="L1925"/>
  <c r="L1929"/>
  <c r="L1933"/>
  <c r="L1937"/>
  <c r="L1941"/>
  <c r="L1945"/>
  <c r="L1949"/>
  <c r="L1953"/>
  <c r="L1957"/>
  <c r="L1961"/>
  <c r="L1965"/>
  <c r="L1969"/>
  <c r="L1973"/>
  <c r="L1977"/>
  <c r="L1981"/>
  <c r="L1985"/>
  <c r="L1989"/>
  <c r="L1993"/>
  <c r="L1997"/>
  <c r="L2001"/>
  <c r="L2005"/>
  <c r="L2009"/>
  <c r="L2013"/>
  <c r="L2017"/>
  <c r="L2021"/>
  <c r="L2025"/>
  <c r="L2029"/>
  <c r="L2033"/>
  <c r="L2037"/>
  <c r="L2041"/>
  <c r="L2045"/>
  <c r="L2049"/>
  <c r="L2053"/>
  <c r="L2057"/>
  <c r="L2061"/>
  <c r="L2065"/>
  <c r="L2069"/>
  <c r="L2073"/>
  <c r="L2077"/>
  <c r="L2081"/>
  <c r="L2085"/>
  <c r="L2089"/>
  <c r="L2093"/>
  <c r="L2097"/>
  <c r="L2101"/>
  <c r="L2105"/>
  <c r="L2109"/>
  <c r="L2113"/>
  <c r="L2117"/>
  <c r="L2121"/>
  <c r="L2125"/>
  <c r="L2129"/>
  <c r="L2133"/>
  <c r="L2137"/>
  <c r="L2141"/>
  <c r="L2145"/>
  <c r="L2149"/>
  <c r="L2153"/>
  <c r="L2157"/>
  <c r="L2161"/>
  <c r="L2165"/>
  <c r="M35"/>
  <c r="M39"/>
  <c r="M43"/>
  <c r="M47"/>
  <c r="M51"/>
  <c r="M55"/>
  <c r="M59"/>
  <c r="M63"/>
  <c r="M67"/>
  <c r="M71"/>
  <c r="M75"/>
  <c r="M79"/>
  <c r="M83"/>
  <c r="M87"/>
  <c r="M91"/>
  <c r="M95"/>
  <c r="M99"/>
  <c r="M103"/>
  <c r="M107"/>
  <c r="M111"/>
  <c r="M115"/>
  <c r="M119"/>
  <c r="M86"/>
  <c r="M98"/>
  <c r="M106"/>
  <c r="M112"/>
  <c r="M117"/>
  <c r="M122"/>
  <c r="M126"/>
  <c r="M130"/>
  <c r="M134"/>
  <c r="M138"/>
  <c r="M142"/>
  <c r="M146"/>
  <c r="M150"/>
  <c r="M154"/>
  <c r="M158"/>
  <c r="M162"/>
  <c r="M166"/>
  <c r="M170"/>
  <c r="M174"/>
  <c r="M178"/>
  <c r="M182"/>
  <c r="M186"/>
  <c r="M190"/>
  <c r="M194"/>
  <c r="M198"/>
  <c r="M202"/>
  <c r="M206"/>
  <c r="M210"/>
  <c r="M214"/>
  <c r="M218"/>
  <c r="M222"/>
  <c r="M226"/>
  <c r="M230"/>
  <c r="M234"/>
  <c r="M238"/>
  <c r="M258"/>
  <c r="M262"/>
  <c r="M266"/>
  <c r="M274"/>
  <c r="M278"/>
  <c r="M282"/>
  <c r="M286"/>
  <c r="M290"/>
  <c r="M302"/>
  <c r="M314"/>
  <c r="M322"/>
  <c r="M326"/>
  <c r="M330"/>
  <c r="M334"/>
  <c r="M338"/>
  <c r="M342"/>
  <c r="M346"/>
  <c r="M350"/>
  <c r="M354"/>
  <c r="M358"/>
  <c r="M362"/>
  <c r="M366"/>
  <c r="M378"/>
  <c r="M382"/>
  <c r="M386"/>
  <c r="M390"/>
  <c r="M394"/>
  <c r="M398"/>
  <c r="M402"/>
  <c r="M406"/>
  <c r="M418"/>
  <c r="M422"/>
  <c r="M430"/>
  <c r="M434"/>
  <c r="M446"/>
  <c r="M450"/>
  <c r="M462"/>
  <c r="M466"/>
  <c r="M470"/>
  <c r="M474"/>
  <c r="M478"/>
  <c r="M482"/>
  <c r="M490"/>
  <c r="M494"/>
  <c r="M498"/>
  <c r="M510"/>
  <c r="M518"/>
  <c r="M530"/>
  <c r="M534"/>
  <c r="M538"/>
  <c r="M550"/>
  <c r="M554"/>
  <c r="M558"/>
  <c r="M562"/>
  <c r="M570"/>
  <c r="M590"/>
  <c r="M594"/>
  <c r="M598"/>
  <c r="M602"/>
  <c r="M614"/>
  <c r="M626"/>
  <c r="M630"/>
  <c r="M642"/>
  <c r="M646"/>
  <c r="M650"/>
  <c r="M654"/>
  <c r="M658"/>
  <c r="M662"/>
  <c r="M666"/>
  <c r="M670"/>
  <c r="M674"/>
  <c r="M678"/>
  <c r="M682"/>
  <c r="M690"/>
  <c r="M694"/>
  <c r="M698"/>
  <c r="M702"/>
  <c r="M706"/>
  <c r="M710"/>
  <c r="M714"/>
  <c r="M718"/>
  <c r="M722"/>
  <c r="M726"/>
  <c r="M730"/>
  <c r="M734"/>
  <c r="M738"/>
  <c r="M742"/>
  <c r="M746"/>
  <c r="M750"/>
  <c r="M758"/>
  <c r="M762"/>
  <c r="M766"/>
  <c r="M770"/>
  <c r="M778"/>
  <c r="M782"/>
  <c r="M786"/>
  <c r="M790"/>
  <c r="M798"/>
  <c r="M802"/>
  <c r="M806"/>
  <c r="M810"/>
  <c r="M814"/>
  <c r="M818"/>
  <c r="M822"/>
  <c r="M826"/>
  <c r="M830"/>
  <c r="M834"/>
  <c r="M842"/>
  <c r="M846"/>
  <c r="M850"/>
  <c r="M854"/>
  <c r="M858"/>
  <c r="M862"/>
  <c r="M866"/>
  <c r="M870"/>
  <c r="M874"/>
  <c r="M878"/>
  <c r="M882"/>
  <c r="M886"/>
  <c r="M890"/>
  <c r="M894"/>
  <c r="M898"/>
  <c r="M902"/>
  <c r="M906"/>
  <c r="M910"/>
  <c r="M914"/>
  <c r="M918"/>
  <c r="M922"/>
  <c r="M926"/>
  <c r="M930"/>
  <c r="M934"/>
  <c r="M938"/>
  <c r="M942"/>
  <c r="M946"/>
  <c r="M950"/>
  <c r="M954"/>
  <c r="M958"/>
  <c r="M962"/>
  <c r="M966"/>
  <c r="M970"/>
  <c r="M974"/>
  <c r="M978"/>
  <c r="M982"/>
  <c r="M986"/>
  <c r="M990"/>
  <c r="M994"/>
  <c r="M998"/>
  <c r="M1002"/>
  <c r="M1006"/>
  <c r="M1010"/>
  <c r="M1014"/>
  <c r="M1018"/>
  <c r="M1034"/>
  <c r="M1038"/>
  <c r="M1046"/>
  <c r="M1058"/>
  <c r="M1062"/>
  <c r="M1066"/>
  <c r="M1070"/>
  <c r="M1074"/>
  <c r="M1078"/>
  <c r="M1082"/>
  <c r="M1086"/>
  <c r="M1090"/>
  <c r="M1094"/>
  <c r="M1098"/>
  <c r="M1102"/>
  <c r="M1106"/>
  <c r="M1110"/>
  <c r="M1114"/>
  <c r="M1118"/>
  <c r="M1122"/>
  <c r="M1126"/>
  <c r="M1130"/>
  <c r="M1134"/>
  <c r="M1138"/>
  <c r="M1142"/>
  <c r="M1146"/>
  <c r="M1150"/>
  <c r="M1154"/>
  <c r="M1158"/>
  <c r="M1162"/>
  <c r="M1166"/>
  <c r="M1170"/>
  <c r="M1174"/>
  <c r="M1178"/>
  <c r="M1182"/>
  <c r="M1190"/>
  <c r="M1194"/>
  <c r="M1198"/>
  <c r="M1202"/>
  <c r="M1206"/>
  <c r="M1210"/>
  <c r="M1214"/>
  <c r="M1218"/>
  <c r="M1222"/>
  <c r="M1226"/>
  <c r="M1230"/>
  <c r="M1234"/>
  <c r="M1238"/>
  <c r="M1242"/>
  <c r="M1246"/>
  <c r="M1250"/>
  <c r="M1258"/>
  <c r="M1262"/>
  <c r="M1266"/>
  <c r="M1270"/>
  <c r="M1274"/>
  <c r="M1278"/>
  <c r="M1282"/>
  <c r="M1286"/>
  <c r="M1290"/>
  <c r="M1294"/>
  <c r="M1298"/>
  <c r="M1302"/>
  <c r="M1306"/>
  <c r="M1310"/>
  <c r="M1314"/>
  <c r="M1318"/>
  <c r="M1322"/>
  <c r="M1326"/>
  <c r="M1330"/>
  <c r="M1334"/>
  <c r="M1338"/>
  <c r="M1342"/>
  <c r="M1346"/>
  <c r="M1354"/>
  <c r="M1358"/>
  <c r="M1362"/>
  <c r="M1366"/>
  <c r="M1370"/>
  <c r="M1374"/>
  <c r="M1378"/>
  <c r="M1382"/>
  <c r="M1386"/>
  <c r="M1390"/>
  <c r="M1394"/>
  <c r="M1398"/>
  <c r="M1402"/>
  <c r="M1410"/>
  <c r="M1414"/>
  <c r="M1418"/>
  <c r="M1422"/>
  <c r="M1426"/>
  <c r="M1430"/>
  <c r="M1434"/>
  <c r="M1438"/>
  <c r="M1442"/>
  <c r="M1446"/>
  <c r="M1450"/>
  <c r="M1454"/>
  <c r="M1458"/>
  <c r="M1462"/>
  <c r="M1466"/>
  <c r="M1470"/>
  <c r="M1474"/>
  <c r="M1478"/>
  <c r="M1482"/>
  <c r="M1486"/>
  <c r="M1490"/>
  <c r="M1494"/>
  <c r="M1498"/>
  <c r="M1502"/>
  <c r="M1506"/>
  <c r="M1510"/>
  <c r="M1514"/>
  <c r="M1518"/>
  <c r="M1522"/>
  <c r="M1526"/>
  <c r="M1530"/>
  <c r="M1534"/>
  <c r="M1538"/>
  <c r="M1542"/>
  <c r="M1546"/>
  <c r="M1550"/>
  <c r="M1554"/>
  <c r="M1558"/>
  <c r="M1562"/>
  <c r="M1566"/>
  <c r="M1570"/>
  <c r="M1574"/>
  <c r="M1578"/>
  <c r="M1582"/>
  <c r="M1586"/>
  <c r="M1598"/>
  <c r="M1602"/>
  <c r="M1606"/>
  <c r="M1610"/>
  <c r="M1614"/>
  <c r="M1618"/>
  <c r="M1622"/>
  <c r="M1626"/>
  <c r="M1630"/>
  <c r="M1634"/>
  <c r="M1638"/>
  <c r="M1642"/>
  <c r="M1646"/>
  <c r="M1650"/>
  <c r="M1654"/>
  <c r="M1658"/>
  <c r="M1662"/>
  <c r="M1666"/>
  <c r="M1670"/>
  <c r="M1674"/>
  <c r="M1678"/>
  <c r="M1682"/>
  <c r="M1686"/>
  <c r="M1690"/>
  <c r="M1694"/>
  <c r="M1698"/>
  <c r="M1702"/>
  <c r="M1706"/>
  <c r="M1710"/>
  <c r="M1714"/>
  <c r="M1718"/>
  <c r="M1722"/>
  <c r="M1726"/>
  <c r="M1730"/>
  <c r="M1734"/>
  <c r="M1738"/>
  <c r="M1742"/>
  <c r="M1746"/>
  <c r="M1750"/>
  <c r="M1758"/>
  <c r="M1762"/>
  <c r="M1766"/>
  <c r="M1770"/>
  <c r="M1774"/>
  <c r="M1778"/>
  <c r="M1782"/>
  <c r="M1786"/>
  <c r="M1790"/>
  <c r="M1794"/>
  <c r="M1798"/>
  <c r="M1802"/>
  <c r="M1810"/>
  <c r="M1814"/>
  <c r="M1818"/>
  <c r="M1822"/>
  <c r="M1826"/>
  <c r="M1830"/>
  <c r="M1834"/>
  <c r="M1838"/>
  <c r="M1842"/>
  <c r="M1846"/>
  <c r="M1850"/>
  <c r="M1854"/>
  <c r="M1858"/>
  <c r="M1862"/>
  <c r="M1866"/>
  <c r="M1870"/>
  <c r="M1874"/>
  <c r="M1878"/>
  <c r="M1882"/>
  <c r="M1886"/>
  <c r="M1890"/>
  <c r="M1894"/>
  <c r="M1898"/>
  <c r="M1902"/>
  <c r="M1906"/>
  <c r="M1910"/>
  <c r="M1914"/>
  <c r="M1918"/>
  <c r="M1922"/>
  <c r="M1926"/>
  <c r="M1930"/>
  <c r="M1934"/>
  <c r="M1938"/>
  <c r="M1942"/>
  <c r="M1946"/>
  <c r="M1950"/>
  <c r="M1954"/>
  <c r="M1958"/>
  <c r="M1962"/>
  <c r="M1966"/>
  <c r="M1970"/>
  <c r="M1974"/>
  <c r="M1978"/>
  <c r="M1982"/>
  <c r="M1986"/>
  <c r="M1990"/>
  <c r="M1994"/>
  <c r="M1998"/>
  <c r="M2002"/>
  <c r="M2006"/>
  <c r="M2010"/>
  <c r="M2014"/>
  <c r="M2018"/>
  <c r="M2022"/>
  <c r="M2026"/>
  <c r="M2030"/>
  <c r="M2034"/>
  <c r="M2038"/>
  <c r="M2042"/>
  <c r="M2046"/>
  <c r="M2050"/>
  <c r="M2054"/>
  <c r="M2058"/>
  <c r="M2062"/>
  <c r="M2066"/>
  <c r="M2070"/>
  <c r="M2074"/>
  <c r="M2078"/>
  <c r="M2082"/>
  <c r="M2086"/>
  <c r="M2094"/>
  <c r="M2098"/>
  <c r="M2106"/>
  <c r="M2110"/>
  <c r="M2114"/>
  <c r="M2118"/>
  <c r="M2122"/>
  <c r="M2126"/>
  <c r="M2130"/>
  <c r="M2134"/>
  <c r="M2138"/>
  <c r="M2142"/>
  <c r="M2146"/>
  <c r="M2150"/>
  <c r="M2154"/>
  <c r="M2158"/>
  <c r="M2162"/>
  <c r="M2166"/>
  <c r="N36"/>
  <c r="N40"/>
  <c r="N44"/>
  <c r="N48"/>
  <c r="N52"/>
  <c r="N56"/>
  <c r="N60"/>
  <c r="N64"/>
  <c r="N68"/>
  <c r="N72"/>
  <c r="N76"/>
  <c r="N80"/>
  <c r="N84"/>
  <c r="N88"/>
  <c r="N92"/>
  <c r="N96"/>
  <c r="N100"/>
  <c r="N104"/>
  <c r="N108"/>
  <c r="N112"/>
  <c r="N116"/>
  <c r="N120"/>
  <c r="N124"/>
  <c r="N128"/>
  <c r="N132"/>
  <c r="M82"/>
  <c r="M97"/>
  <c r="M105"/>
  <c r="M110"/>
  <c r="M116"/>
  <c r="M121"/>
  <c r="M125"/>
  <c r="M129"/>
  <c r="M133"/>
  <c r="M137"/>
  <c r="M141"/>
  <c r="M145"/>
  <c r="M149"/>
  <c r="M153"/>
  <c r="M157"/>
  <c r="M161"/>
  <c r="M165"/>
  <c r="M169"/>
  <c r="M173"/>
  <c r="M177"/>
  <c r="M181"/>
  <c r="M185"/>
  <c r="M189"/>
  <c r="M193"/>
  <c r="M197"/>
  <c r="M201"/>
  <c r="M205"/>
  <c r="M209"/>
  <c r="M213"/>
  <c r="M217"/>
  <c r="M221"/>
  <c r="M225"/>
  <c r="M229"/>
  <c r="M233"/>
  <c r="M237"/>
  <c r="M241"/>
  <c r="M253"/>
  <c r="M257"/>
  <c r="M261"/>
  <c r="M265"/>
  <c r="M269"/>
  <c r="M273"/>
  <c r="M277"/>
  <c r="M281"/>
  <c r="M285"/>
  <c r="M289"/>
  <c r="M293"/>
  <c r="M305"/>
  <c r="M309"/>
  <c r="M313"/>
  <c r="M321"/>
  <c r="M325"/>
  <c r="M329"/>
  <c r="M333"/>
  <c r="M337"/>
  <c r="M341"/>
  <c r="M345"/>
  <c r="M349"/>
  <c r="M353"/>
  <c r="M357"/>
  <c r="M361"/>
  <c r="M365"/>
  <c r="M369"/>
  <c r="M373"/>
  <c r="M385"/>
  <c r="M397"/>
  <c r="M405"/>
  <c r="M417"/>
  <c r="M421"/>
  <c r="M425"/>
  <c r="M433"/>
  <c r="M437"/>
  <c r="M445"/>
  <c r="M457"/>
  <c r="M465"/>
  <c r="M473"/>
  <c r="M477"/>
  <c r="M481"/>
  <c r="M489"/>
  <c r="M493"/>
  <c r="M497"/>
  <c r="M501"/>
  <c r="M505"/>
  <c r="M513"/>
  <c r="M517"/>
  <c r="M521"/>
  <c r="M525"/>
  <c r="M529"/>
  <c r="M533"/>
  <c r="M537"/>
  <c r="M541"/>
  <c r="M549"/>
  <c r="M553"/>
  <c r="M561"/>
  <c r="M565"/>
  <c r="M569"/>
  <c r="M581"/>
  <c r="M585"/>
  <c r="M589"/>
  <c r="M593"/>
  <c r="M597"/>
  <c r="M601"/>
  <c r="M605"/>
  <c r="M613"/>
  <c r="M617"/>
  <c r="M621"/>
  <c r="M625"/>
  <c r="M629"/>
  <c r="M641"/>
  <c r="M645"/>
  <c r="M649"/>
  <c r="M653"/>
  <c r="M657"/>
  <c r="M661"/>
  <c r="M665"/>
  <c r="M669"/>
  <c r="M673"/>
  <c r="M677"/>
  <c r="M681"/>
  <c r="M685"/>
  <c r="M689"/>
  <c r="M693"/>
  <c r="M697"/>
  <c r="M701"/>
  <c r="M705"/>
  <c r="M709"/>
  <c r="M713"/>
  <c r="M717"/>
  <c r="M721"/>
  <c r="M725"/>
  <c r="M729"/>
  <c r="M733"/>
  <c r="M737"/>
  <c r="M741"/>
  <c r="M745"/>
  <c r="M749"/>
  <c r="M753"/>
  <c r="M757"/>
  <c r="M761"/>
  <c r="M765"/>
  <c r="M769"/>
  <c r="M773"/>
  <c r="M777"/>
  <c r="M781"/>
  <c r="M785"/>
  <c r="M789"/>
  <c r="M793"/>
  <c r="M797"/>
  <c r="M801"/>
  <c r="M805"/>
  <c r="M809"/>
  <c r="M813"/>
  <c r="M817"/>
  <c r="M821"/>
  <c r="M825"/>
  <c r="M829"/>
  <c r="M833"/>
  <c r="M837"/>
  <c r="M841"/>
  <c r="M845"/>
  <c r="M849"/>
  <c r="M853"/>
  <c r="M857"/>
  <c r="M861"/>
  <c r="M865"/>
  <c r="M869"/>
  <c r="M873"/>
  <c r="M877"/>
  <c r="M881"/>
  <c r="M885"/>
  <c r="M889"/>
  <c r="M893"/>
  <c r="M897"/>
  <c r="M901"/>
  <c r="M905"/>
  <c r="M909"/>
  <c r="M913"/>
  <c r="M917"/>
  <c r="M921"/>
  <c r="M925"/>
  <c r="M929"/>
  <c r="M933"/>
  <c r="M937"/>
  <c r="M941"/>
  <c r="M945"/>
  <c r="M949"/>
  <c r="M953"/>
  <c r="M957"/>
  <c r="M961"/>
  <c r="M965"/>
  <c r="M969"/>
  <c r="M973"/>
  <c r="M977"/>
  <c r="M981"/>
  <c r="M985"/>
  <c r="M989"/>
  <c r="M993"/>
  <c r="M997"/>
  <c r="M1001"/>
  <c r="M1005"/>
  <c r="M1009"/>
  <c r="M1013"/>
  <c r="M1017"/>
  <c r="M1021"/>
  <c r="M1025"/>
  <c r="M1033"/>
  <c r="M1037"/>
  <c r="M1041"/>
  <c r="M1045"/>
  <c r="M1053"/>
  <c r="M1057"/>
  <c r="M1061"/>
  <c r="M1065"/>
  <c r="M1069"/>
  <c r="M1073"/>
  <c r="M1077"/>
  <c r="M1081"/>
  <c r="M1085"/>
  <c r="M1089"/>
  <c r="M1093"/>
  <c r="M1097"/>
  <c r="M1101"/>
  <c r="M1105"/>
  <c r="M1109"/>
  <c r="M1113"/>
  <c r="M1117"/>
  <c r="M1121"/>
  <c r="M1125"/>
  <c r="M1129"/>
  <c r="M1133"/>
  <c r="M1137"/>
  <c r="M1141"/>
  <c r="M1145"/>
  <c r="M1149"/>
  <c r="M1153"/>
  <c r="M1157"/>
  <c r="M1161"/>
  <c r="M1165"/>
  <c r="M1169"/>
  <c r="M1173"/>
  <c r="M1177"/>
  <c r="M1181"/>
  <c r="M1185"/>
  <c r="M1189"/>
  <c r="M1193"/>
  <c r="M1197"/>
  <c r="M1201"/>
  <c r="M1205"/>
  <c r="M1209"/>
  <c r="M1213"/>
  <c r="M1217"/>
  <c r="M1221"/>
  <c r="M1225"/>
  <c r="M1229"/>
  <c r="M1233"/>
  <c r="M1237"/>
  <c r="M1241"/>
  <c r="M1245"/>
  <c r="M1249"/>
  <c r="M1253"/>
  <c r="M1257"/>
  <c r="M1261"/>
  <c r="M1265"/>
  <c r="M1269"/>
  <c r="M1273"/>
  <c r="M1277"/>
  <c r="M1281"/>
  <c r="M1285"/>
  <c r="M1289"/>
  <c r="M1293"/>
  <c r="M1297"/>
  <c r="M1301"/>
  <c r="M1305"/>
  <c r="M1309"/>
  <c r="M1313"/>
  <c r="M1317"/>
  <c r="M1321"/>
  <c r="M1325"/>
  <c r="M1329"/>
  <c r="M1333"/>
  <c r="M1337"/>
  <c r="M1341"/>
  <c r="M1345"/>
  <c r="M1349"/>
  <c r="M1353"/>
  <c r="M1357"/>
  <c r="M1361"/>
  <c r="M1365"/>
  <c r="M1369"/>
  <c r="M1373"/>
  <c r="M1377"/>
  <c r="M1381"/>
  <c r="M1385"/>
  <c r="M1389"/>
  <c r="M1393"/>
  <c r="M1397"/>
  <c r="M1401"/>
  <c r="M1405"/>
  <c r="M1409"/>
  <c r="M1413"/>
  <c r="M1417"/>
  <c r="M1421"/>
  <c r="M1425"/>
  <c r="M1429"/>
  <c r="M1433"/>
  <c r="M1437"/>
  <c r="M1441"/>
  <c r="M1445"/>
  <c r="M1449"/>
  <c r="M1453"/>
  <c r="M1457"/>
  <c r="M1461"/>
  <c r="M1465"/>
  <c r="M1469"/>
  <c r="M1473"/>
  <c r="M1477"/>
  <c r="M1481"/>
  <c r="M1485"/>
  <c r="M1489"/>
  <c r="M1493"/>
  <c r="M1497"/>
  <c r="M1501"/>
  <c r="M1505"/>
  <c r="M1509"/>
  <c r="M1513"/>
  <c r="M1517"/>
  <c r="M1521"/>
  <c r="M1525"/>
  <c r="M1529"/>
  <c r="M1533"/>
  <c r="M1537"/>
  <c r="M1541"/>
  <c r="M1545"/>
  <c r="M1549"/>
  <c r="M1553"/>
  <c r="M1557"/>
  <c r="M1561"/>
  <c r="M1565"/>
  <c r="M1569"/>
  <c r="M1573"/>
  <c r="M1577"/>
  <c r="M1581"/>
  <c r="M1585"/>
  <c r="M1589"/>
  <c r="M1597"/>
  <c r="M1601"/>
  <c r="M1605"/>
  <c r="M1609"/>
  <c r="M1613"/>
  <c r="M1617"/>
  <c r="M1621"/>
  <c r="M1625"/>
  <c r="M1629"/>
  <c r="M1633"/>
  <c r="M1637"/>
  <c r="M1641"/>
  <c r="M1645"/>
  <c r="M1649"/>
  <c r="M1653"/>
  <c r="M1657"/>
  <c r="M1661"/>
  <c r="M1665"/>
  <c r="M1669"/>
  <c r="M1673"/>
  <c r="M1677"/>
  <c r="M1681"/>
  <c r="M1685"/>
  <c r="M1689"/>
  <c r="M1693"/>
  <c r="M1697"/>
  <c r="M1701"/>
  <c r="M1705"/>
  <c r="M1709"/>
  <c r="M1713"/>
  <c r="M1717"/>
  <c r="M1721"/>
  <c r="M1725"/>
  <c r="M1729"/>
  <c r="M1733"/>
  <c r="M1737"/>
  <c r="M1741"/>
  <c r="M1745"/>
  <c r="M1749"/>
  <c r="M1753"/>
  <c r="M1757"/>
  <c r="M1761"/>
  <c r="M1765"/>
  <c r="M1769"/>
  <c r="M1773"/>
  <c r="M1777"/>
  <c r="M1781"/>
  <c r="M1785"/>
  <c r="M1789"/>
  <c r="M1793"/>
  <c r="M1797"/>
  <c r="M1801"/>
  <c r="M1805"/>
  <c r="M1809"/>
  <c r="M1813"/>
  <c r="M1817"/>
  <c r="M1821"/>
  <c r="M1825"/>
  <c r="M1829"/>
  <c r="M1833"/>
  <c r="M1837"/>
  <c r="M1841"/>
  <c r="M1845"/>
  <c r="M1849"/>
  <c r="M1853"/>
  <c r="M1857"/>
  <c r="M1861"/>
  <c r="M1865"/>
  <c r="M1869"/>
  <c r="M1873"/>
  <c r="M1877"/>
  <c r="M1881"/>
  <c r="M1885"/>
  <c r="M1889"/>
  <c r="M1893"/>
  <c r="M1897"/>
  <c r="M1901"/>
  <c r="M1905"/>
  <c r="M1909"/>
  <c r="M1913"/>
  <c r="M1917"/>
  <c r="M1921"/>
  <c r="M1925"/>
  <c r="M1929"/>
  <c r="M1933"/>
  <c r="M1937"/>
  <c r="M1941"/>
  <c r="M1945"/>
  <c r="M1949"/>
  <c r="M1953"/>
  <c r="M1957"/>
  <c r="M1961"/>
  <c r="M1965"/>
  <c r="M1969"/>
  <c r="M1973"/>
  <c r="M1977"/>
  <c r="M1981"/>
  <c r="M1985"/>
  <c r="M1989"/>
  <c r="M1993"/>
  <c r="M1997"/>
  <c r="M2001"/>
  <c r="M2005"/>
  <c r="M2009"/>
  <c r="M2013"/>
  <c r="M2017"/>
  <c r="M2021"/>
  <c r="M2025"/>
  <c r="M2029"/>
  <c r="M2033"/>
  <c r="M2037"/>
  <c r="M2041"/>
  <c r="M2045"/>
  <c r="M2049"/>
  <c r="M2053"/>
  <c r="M2057"/>
  <c r="M2061"/>
  <c r="M2065"/>
  <c r="M2069"/>
  <c r="M2073"/>
  <c r="M2077"/>
  <c r="M2081"/>
  <c r="M2085"/>
  <c r="M2089"/>
  <c r="M2093"/>
  <c r="M2097"/>
  <c r="M2101"/>
  <c r="M2105"/>
  <c r="M2109"/>
  <c r="M2113"/>
  <c r="M2117"/>
  <c r="M2121"/>
  <c r="M2125"/>
  <c r="M2129"/>
  <c r="M2133"/>
  <c r="M2137"/>
  <c r="M2141"/>
  <c r="M2145"/>
  <c r="M2149"/>
  <c r="M2153"/>
  <c r="M2157"/>
  <c r="M2161"/>
  <c r="M2165"/>
  <c r="N35"/>
  <c r="N39"/>
  <c r="N43"/>
  <c r="N47"/>
  <c r="N51"/>
  <c r="N55"/>
  <c r="N59"/>
  <c r="N63"/>
  <c r="N67"/>
  <c r="N71"/>
  <c r="N75"/>
  <c r="N79"/>
  <c r="N83"/>
  <c r="N87"/>
  <c r="N91"/>
  <c r="N95"/>
  <c r="N99"/>
  <c r="N103"/>
  <c r="N107"/>
  <c r="N111"/>
  <c r="N115"/>
  <c r="N119"/>
  <c r="N123"/>
  <c r="N127"/>
  <c r="N131"/>
  <c r="M94"/>
  <c r="M102"/>
  <c r="M109"/>
  <c r="M114"/>
  <c r="M120"/>
  <c r="M124"/>
  <c r="M128"/>
  <c r="M132"/>
  <c r="M136"/>
  <c r="M140"/>
  <c r="M144"/>
  <c r="M148"/>
  <c r="M152"/>
  <c r="M156"/>
  <c r="M160"/>
  <c r="M164"/>
  <c r="M168"/>
  <c r="M172"/>
  <c r="M176"/>
  <c r="M180"/>
  <c r="M184"/>
  <c r="M188"/>
  <c r="M192"/>
  <c r="M196"/>
  <c r="M200"/>
  <c r="M204"/>
  <c r="M208"/>
  <c r="M212"/>
  <c r="M216"/>
  <c r="M220"/>
  <c r="M224"/>
  <c r="M228"/>
  <c r="M232"/>
  <c r="M236"/>
  <c r="M248"/>
  <c r="M252"/>
  <c r="M272"/>
  <c r="M280"/>
  <c r="M284"/>
  <c r="M296"/>
  <c r="M300"/>
  <c r="M308"/>
  <c r="M320"/>
  <c r="M324"/>
  <c r="M328"/>
  <c r="M332"/>
  <c r="M336"/>
  <c r="M344"/>
  <c r="M348"/>
  <c r="M352"/>
  <c r="M360"/>
  <c r="M364"/>
  <c r="M368"/>
  <c r="M376"/>
  <c r="M384"/>
  <c r="M392"/>
  <c r="M396"/>
  <c r="M400"/>
  <c r="M408"/>
  <c r="M416"/>
  <c r="M420"/>
  <c r="M428"/>
  <c r="M448"/>
  <c r="M452"/>
  <c r="M456"/>
  <c r="M460"/>
  <c r="M476"/>
  <c r="M480"/>
  <c r="M484"/>
  <c r="M488"/>
  <c r="M492"/>
  <c r="M504"/>
  <c r="M520"/>
  <c r="M524"/>
  <c r="M528"/>
  <c r="M532"/>
  <c r="M540"/>
  <c r="M544"/>
  <c r="M548"/>
  <c r="M560"/>
  <c r="M568"/>
  <c r="M572"/>
  <c r="M576"/>
  <c r="M592"/>
  <c r="M596"/>
  <c r="M600"/>
  <c r="M612"/>
  <c r="M616"/>
  <c r="M624"/>
  <c r="M636"/>
  <c r="M640"/>
  <c r="M644"/>
  <c r="M648"/>
  <c r="M652"/>
  <c r="M656"/>
  <c r="M660"/>
  <c r="M664"/>
  <c r="M668"/>
  <c r="M672"/>
  <c r="M676"/>
  <c r="M680"/>
  <c r="M684"/>
  <c r="M688"/>
  <c r="M692"/>
  <c r="M696"/>
  <c r="M700"/>
  <c r="M704"/>
  <c r="M708"/>
  <c r="M712"/>
  <c r="M716"/>
  <c r="M720"/>
  <c r="M724"/>
  <c r="M728"/>
  <c r="M732"/>
  <c r="M736"/>
  <c r="M740"/>
  <c r="M744"/>
  <c r="M748"/>
  <c r="M752"/>
  <c r="M756"/>
  <c r="M760"/>
  <c r="M768"/>
  <c r="M772"/>
  <c r="M776"/>
  <c r="M780"/>
  <c r="M784"/>
  <c r="M788"/>
  <c r="M796"/>
  <c r="M800"/>
  <c r="M804"/>
  <c r="M808"/>
  <c r="M812"/>
  <c r="M816"/>
  <c r="M820"/>
  <c r="M824"/>
  <c r="M836"/>
  <c r="M840"/>
  <c r="M844"/>
  <c r="M848"/>
  <c r="M852"/>
  <c r="M856"/>
  <c r="M860"/>
  <c r="M864"/>
  <c r="M868"/>
  <c r="M872"/>
  <c r="M876"/>
  <c r="M880"/>
  <c r="M884"/>
  <c r="M888"/>
  <c r="M892"/>
  <c r="M896"/>
  <c r="M900"/>
  <c r="M904"/>
  <c r="M908"/>
  <c r="M912"/>
  <c r="M916"/>
  <c r="M920"/>
  <c r="M924"/>
  <c r="M928"/>
  <c r="M932"/>
  <c r="M936"/>
  <c r="M940"/>
  <c r="M944"/>
  <c r="M948"/>
  <c r="M952"/>
  <c r="M956"/>
  <c r="M960"/>
  <c r="M964"/>
  <c r="M968"/>
  <c r="M972"/>
  <c r="M976"/>
  <c r="M980"/>
  <c r="M984"/>
  <c r="M988"/>
  <c r="M992"/>
  <c r="M996"/>
  <c r="M1000"/>
  <c r="M1004"/>
  <c r="M1008"/>
  <c r="M1012"/>
  <c r="M1016"/>
  <c r="M1020"/>
  <c r="M1024"/>
  <c r="M1044"/>
  <c r="M1048"/>
  <c r="M1052"/>
  <c r="M1060"/>
  <c r="M1064"/>
  <c r="M1068"/>
  <c r="M1072"/>
  <c r="M1076"/>
  <c r="M1080"/>
  <c r="M1084"/>
  <c r="M1092"/>
  <c r="M1096"/>
  <c r="M1100"/>
  <c r="M1104"/>
  <c r="M1108"/>
  <c r="M1112"/>
  <c r="M1116"/>
  <c r="M1120"/>
  <c r="M1124"/>
  <c r="M1128"/>
  <c r="M1132"/>
  <c r="M1136"/>
  <c r="M1140"/>
  <c r="M1144"/>
  <c r="M1148"/>
  <c r="M1152"/>
  <c r="M1156"/>
  <c r="M1160"/>
  <c r="M1164"/>
  <c r="M1168"/>
  <c r="M1172"/>
  <c r="M1176"/>
  <c r="M1180"/>
  <c r="M1184"/>
  <c r="M1188"/>
  <c r="M1192"/>
  <c r="M1196"/>
  <c r="M1200"/>
  <c r="M1204"/>
  <c r="M1208"/>
  <c r="M1212"/>
  <c r="M1216"/>
  <c r="M1220"/>
  <c r="M1224"/>
  <c r="M1228"/>
  <c r="M1232"/>
  <c r="M1236"/>
  <c r="M1240"/>
  <c r="M1244"/>
  <c r="M1248"/>
  <c r="M1252"/>
  <c r="M1256"/>
  <c r="M1260"/>
  <c r="M1264"/>
  <c r="M1268"/>
  <c r="M1272"/>
  <c r="M1276"/>
  <c r="M1280"/>
  <c r="M1284"/>
  <c r="M1288"/>
  <c r="M1292"/>
  <c r="M1296"/>
  <c r="M1300"/>
  <c r="M1304"/>
  <c r="M1308"/>
  <c r="M1312"/>
  <c r="M1316"/>
  <c r="M1320"/>
  <c r="M1324"/>
  <c r="M1328"/>
  <c r="M1332"/>
  <c r="M1336"/>
  <c r="M1340"/>
  <c r="M1344"/>
  <c r="M1348"/>
  <c r="M1352"/>
  <c r="M1356"/>
  <c r="M1360"/>
  <c r="M1364"/>
  <c r="M1368"/>
  <c r="M1372"/>
  <c r="M1376"/>
  <c r="M1380"/>
  <c r="M1384"/>
  <c r="M1388"/>
  <c r="M1392"/>
  <c r="M1396"/>
  <c r="M1400"/>
  <c r="M1404"/>
  <c r="M1408"/>
  <c r="M1412"/>
  <c r="M1416"/>
  <c r="M1420"/>
  <c r="M1424"/>
  <c r="M1428"/>
  <c r="M1432"/>
  <c r="M1436"/>
  <c r="M1440"/>
  <c r="M1444"/>
  <c r="M1448"/>
  <c r="M1452"/>
  <c r="M1456"/>
  <c r="M1460"/>
  <c r="M1464"/>
  <c r="M1468"/>
  <c r="M1472"/>
  <c r="M1476"/>
  <c r="M1480"/>
  <c r="M1484"/>
  <c r="M1488"/>
  <c r="M1492"/>
  <c r="M1496"/>
  <c r="M1500"/>
  <c r="M1504"/>
  <c r="M1508"/>
  <c r="M1512"/>
  <c r="M1516"/>
  <c r="M1520"/>
  <c r="M1524"/>
  <c r="M1528"/>
  <c r="M1532"/>
  <c r="M1536"/>
  <c r="M1540"/>
  <c r="M1544"/>
  <c r="M1548"/>
  <c r="M1552"/>
  <c r="M1556"/>
  <c r="M1560"/>
  <c r="M1564"/>
  <c r="M1568"/>
  <c r="M1572"/>
  <c r="M1576"/>
  <c r="M1580"/>
  <c r="M1584"/>
  <c r="M1588"/>
  <c r="M1592"/>
  <c r="M1596"/>
  <c r="M1600"/>
  <c r="M1604"/>
  <c r="M1608"/>
  <c r="M1612"/>
  <c r="M1616"/>
  <c r="M1620"/>
  <c r="M1624"/>
  <c r="M1628"/>
  <c r="M1632"/>
  <c r="M1636"/>
  <c r="M1644"/>
  <c r="M1648"/>
  <c r="M1652"/>
  <c r="M1656"/>
  <c r="M1660"/>
  <c r="M1664"/>
  <c r="M1668"/>
  <c r="M1672"/>
  <c r="M1676"/>
  <c r="M1680"/>
  <c r="M1684"/>
  <c r="M1688"/>
  <c r="M1692"/>
  <c r="M1696"/>
  <c r="M1700"/>
  <c r="M1704"/>
  <c r="M1708"/>
  <c r="M1712"/>
  <c r="M1716"/>
  <c r="M1720"/>
  <c r="M1724"/>
  <c r="M1728"/>
  <c r="M1732"/>
  <c r="M1736"/>
  <c r="M1740"/>
  <c r="M1744"/>
  <c r="M1748"/>
  <c r="M1752"/>
  <c r="M1756"/>
  <c r="M1760"/>
  <c r="M1764"/>
  <c r="M1768"/>
  <c r="M1772"/>
  <c r="M1776"/>
  <c r="M1780"/>
  <c r="M1784"/>
  <c r="M1788"/>
  <c r="M1792"/>
  <c r="M1796"/>
  <c r="M1800"/>
  <c r="M1804"/>
  <c r="M1808"/>
  <c r="M1812"/>
  <c r="M1816"/>
  <c r="M1820"/>
  <c r="M1824"/>
  <c r="M1828"/>
  <c r="M1832"/>
  <c r="M1836"/>
  <c r="M1840"/>
  <c r="M1844"/>
  <c r="M1848"/>
  <c r="M1852"/>
  <c r="M1856"/>
  <c r="M1860"/>
  <c r="M1864"/>
  <c r="M1868"/>
  <c r="M1872"/>
  <c r="M1876"/>
  <c r="M1880"/>
  <c r="M1884"/>
  <c r="M1888"/>
  <c r="M1892"/>
  <c r="M1896"/>
  <c r="M1900"/>
  <c r="M1904"/>
  <c r="M1908"/>
  <c r="M1912"/>
  <c r="M1916"/>
  <c r="M1920"/>
  <c r="M1924"/>
  <c r="M1928"/>
  <c r="M1932"/>
  <c r="M1936"/>
  <c r="M1940"/>
  <c r="M1944"/>
  <c r="M1948"/>
  <c r="M1952"/>
  <c r="M1956"/>
  <c r="M1960"/>
  <c r="M1964"/>
  <c r="M1968"/>
  <c r="M1972"/>
  <c r="M1976"/>
  <c r="M1980"/>
  <c r="M1984"/>
  <c r="M1988"/>
  <c r="M1992"/>
  <c r="M1996"/>
  <c r="M2000"/>
  <c r="M2004"/>
  <c r="M2008"/>
  <c r="M2012"/>
  <c r="M2016"/>
  <c r="M2020"/>
  <c r="M2024"/>
  <c r="M2028"/>
  <c r="M2032"/>
  <c r="M2036"/>
  <c r="M2040"/>
  <c r="M2044"/>
  <c r="M2048"/>
  <c r="M2052"/>
  <c r="M2056"/>
  <c r="M2060"/>
  <c r="M2064"/>
  <c r="M2068"/>
  <c r="M2072"/>
  <c r="M2076"/>
  <c r="M2080"/>
  <c r="M2084"/>
  <c r="M2088"/>
  <c r="M2092"/>
  <c r="M2100"/>
  <c r="M2108"/>
  <c r="M2112"/>
  <c r="M2116"/>
  <c r="M2120"/>
  <c r="M2124"/>
  <c r="M2128"/>
  <c r="M2132"/>
  <c r="M2136"/>
  <c r="M2140"/>
  <c r="M2144"/>
  <c r="M2148"/>
  <c r="M2152"/>
  <c r="M2156"/>
  <c r="M2160"/>
  <c r="M2164"/>
  <c r="M2168"/>
  <c r="N38"/>
  <c r="N42"/>
  <c r="N46"/>
  <c r="N50"/>
  <c r="N54"/>
  <c r="M90"/>
  <c r="M101"/>
  <c r="M108"/>
  <c r="M113"/>
  <c r="M118"/>
  <c r="M123"/>
  <c r="M127"/>
  <c r="M131"/>
  <c r="M135"/>
  <c r="M139"/>
  <c r="M143"/>
  <c r="M147"/>
  <c r="M151"/>
  <c r="M155"/>
  <c r="M159"/>
  <c r="M163"/>
  <c r="M167"/>
  <c r="M171"/>
  <c r="M175"/>
  <c r="M179"/>
  <c r="M183"/>
  <c r="M187"/>
  <c r="M191"/>
  <c r="M195"/>
  <c r="M199"/>
  <c r="M203"/>
  <c r="M207"/>
  <c r="M211"/>
  <c r="M215"/>
  <c r="M219"/>
  <c r="M223"/>
  <c r="M227"/>
  <c r="M231"/>
  <c r="M235"/>
  <c r="M239"/>
  <c r="M243"/>
  <c r="M251"/>
  <c r="M255"/>
  <c r="M263"/>
  <c r="M267"/>
  <c r="M271"/>
  <c r="M279"/>
  <c r="M283"/>
  <c r="M291"/>
  <c r="M295"/>
  <c r="M299"/>
  <c r="M303"/>
  <c r="M311"/>
  <c r="M319"/>
  <c r="M323"/>
  <c r="M327"/>
  <c r="M331"/>
  <c r="M335"/>
  <c r="M339"/>
  <c r="M343"/>
  <c r="M347"/>
  <c r="M351"/>
  <c r="M359"/>
  <c r="M363"/>
  <c r="M367"/>
  <c r="M371"/>
  <c r="M375"/>
  <c r="M379"/>
  <c r="M383"/>
  <c r="M387"/>
  <c r="M399"/>
  <c r="M407"/>
  <c r="M419"/>
  <c r="M427"/>
  <c r="M431"/>
  <c r="M439"/>
  <c r="M443"/>
  <c r="M455"/>
  <c r="M459"/>
  <c r="M463"/>
  <c r="M467"/>
  <c r="M475"/>
  <c r="M479"/>
  <c r="M483"/>
  <c r="M487"/>
  <c r="M491"/>
  <c r="M495"/>
  <c r="M507"/>
  <c r="M511"/>
  <c r="M515"/>
  <c r="M523"/>
  <c r="M527"/>
  <c r="M531"/>
  <c r="M535"/>
  <c r="M543"/>
  <c r="M547"/>
  <c r="M551"/>
  <c r="M555"/>
  <c r="M559"/>
  <c r="M567"/>
  <c r="M583"/>
  <c r="M591"/>
  <c r="M595"/>
  <c r="M599"/>
  <c r="M611"/>
  <c r="M615"/>
  <c r="M627"/>
  <c r="M631"/>
  <c r="M639"/>
  <c r="M643"/>
  <c r="M647"/>
  <c r="M651"/>
  <c r="M655"/>
  <c r="M659"/>
  <c r="M663"/>
  <c r="M667"/>
  <c r="M671"/>
  <c r="M675"/>
  <c r="M679"/>
  <c r="M683"/>
  <c r="M687"/>
  <c r="M691"/>
  <c r="M695"/>
  <c r="M699"/>
  <c r="M703"/>
  <c r="M707"/>
  <c r="M711"/>
  <c r="M715"/>
  <c r="M719"/>
  <c r="M723"/>
  <c r="M727"/>
  <c r="M731"/>
  <c r="M735"/>
  <c r="M739"/>
  <c r="M743"/>
  <c r="M747"/>
  <c r="M751"/>
  <c r="M755"/>
  <c r="M759"/>
  <c r="M763"/>
  <c r="M767"/>
  <c r="M771"/>
  <c r="M775"/>
  <c r="M779"/>
  <c r="M783"/>
  <c r="M787"/>
  <c r="M791"/>
  <c r="M795"/>
  <c r="M799"/>
  <c r="M803"/>
  <c r="M807"/>
  <c r="M811"/>
  <c r="M815"/>
  <c r="M819"/>
  <c r="M823"/>
  <c r="M831"/>
  <c r="M835"/>
  <c r="M839"/>
  <c r="M843"/>
  <c r="M847"/>
  <c r="M851"/>
  <c r="M855"/>
  <c r="M859"/>
  <c r="M863"/>
  <c r="M867"/>
  <c r="M871"/>
  <c r="M875"/>
  <c r="M879"/>
  <c r="M883"/>
  <c r="M887"/>
  <c r="M891"/>
  <c r="M895"/>
  <c r="M899"/>
  <c r="M903"/>
  <c r="M907"/>
  <c r="M911"/>
  <c r="M915"/>
  <c r="M919"/>
  <c r="M923"/>
  <c r="M927"/>
  <c r="M931"/>
  <c r="M935"/>
  <c r="M939"/>
  <c r="M943"/>
  <c r="M947"/>
  <c r="M951"/>
  <c r="M955"/>
  <c r="M959"/>
  <c r="M963"/>
  <c r="M967"/>
  <c r="M971"/>
  <c r="M975"/>
  <c r="M979"/>
  <c r="M983"/>
  <c r="M987"/>
  <c r="M991"/>
  <c r="M995"/>
  <c r="M999"/>
  <c r="M1003"/>
  <c r="M1007"/>
  <c r="M1011"/>
  <c r="M1015"/>
  <c r="M1019"/>
  <c r="M1023"/>
  <c r="M1027"/>
  <c r="M1039"/>
  <c r="M1051"/>
  <c r="M1055"/>
  <c r="M1059"/>
  <c r="M1063"/>
  <c r="M1067"/>
  <c r="M1071"/>
  <c r="M1075"/>
  <c r="M1079"/>
  <c r="M1083"/>
  <c r="M1087"/>
  <c r="M1091"/>
  <c r="M1095"/>
  <c r="M1099"/>
  <c r="M1103"/>
  <c r="M1107"/>
  <c r="M1111"/>
  <c r="M1115"/>
  <c r="M1119"/>
  <c r="M1123"/>
  <c r="M1127"/>
  <c r="M1131"/>
  <c r="M1135"/>
  <c r="M1139"/>
  <c r="M1143"/>
  <c r="M1147"/>
  <c r="M1151"/>
  <c r="M1155"/>
  <c r="M1159"/>
  <c r="M1163"/>
  <c r="M1167"/>
  <c r="M1171"/>
  <c r="M1175"/>
  <c r="M1179"/>
  <c r="M1183"/>
  <c r="M1187"/>
  <c r="M1191"/>
  <c r="M1195"/>
  <c r="M1199"/>
  <c r="M1203"/>
  <c r="M1207"/>
  <c r="M1211"/>
  <c r="M1215"/>
  <c r="M1219"/>
  <c r="M1223"/>
  <c r="M1227"/>
  <c r="M1231"/>
  <c r="M1235"/>
  <c r="M1239"/>
  <c r="M1243"/>
  <c r="M1247"/>
  <c r="M1251"/>
  <c r="M1255"/>
  <c r="M1259"/>
  <c r="M1263"/>
  <c r="M1267"/>
  <c r="M1271"/>
  <c r="M1275"/>
  <c r="M1279"/>
  <c r="M1283"/>
  <c r="M1287"/>
  <c r="M1291"/>
  <c r="M1295"/>
  <c r="M1299"/>
  <c r="M1303"/>
  <c r="M1307"/>
  <c r="M1311"/>
  <c r="M1315"/>
  <c r="M1319"/>
  <c r="M1323"/>
  <c r="M1327"/>
  <c r="M1331"/>
  <c r="M1335"/>
  <c r="M1339"/>
  <c r="M1343"/>
  <c r="M1347"/>
  <c r="M1351"/>
  <c r="M1355"/>
  <c r="M1359"/>
  <c r="M1363"/>
  <c r="M1367"/>
  <c r="M1371"/>
  <c r="M1375"/>
  <c r="M1379"/>
  <c r="M1383"/>
  <c r="M1387"/>
  <c r="M1391"/>
  <c r="M1395"/>
  <c r="M1399"/>
  <c r="M1403"/>
  <c r="M1407"/>
  <c r="M1411"/>
  <c r="M1415"/>
  <c r="M1419"/>
  <c r="M1423"/>
  <c r="M1427"/>
  <c r="M1431"/>
  <c r="M1435"/>
  <c r="M1439"/>
  <c r="M1443"/>
  <c r="M1447"/>
  <c r="M1451"/>
  <c r="M1455"/>
  <c r="M1459"/>
  <c r="M1463"/>
  <c r="M1467"/>
  <c r="M1471"/>
  <c r="M1475"/>
  <c r="M1479"/>
  <c r="M1483"/>
  <c r="M1487"/>
  <c r="M1491"/>
  <c r="M1495"/>
  <c r="M1499"/>
  <c r="M1503"/>
  <c r="M1507"/>
  <c r="M1511"/>
  <c r="M1515"/>
  <c r="M1519"/>
  <c r="M1523"/>
  <c r="M1527"/>
  <c r="M1531"/>
  <c r="M1535"/>
  <c r="M1539"/>
  <c r="M1543"/>
  <c r="M1547"/>
  <c r="M1551"/>
  <c r="M1555"/>
  <c r="M1559"/>
  <c r="M1563"/>
  <c r="M1567"/>
  <c r="M1571"/>
  <c r="M1575"/>
  <c r="M1579"/>
  <c r="M1583"/>
  <c r="M1587"/>
  <c r="M1591"/>
  <c r="M1595"/>
  <c r="M1599"/>
  <c r="M1603"/>
  <c r="M1607"/>
  <c r="M1611"/>
  <c r="M1615"/>
  <c r="M1619"/>
  <c r="M1623"/>
  <c r="M1627"/>
  <c r="M1631"/>
  <c r="M1635"/>
  <c r="M1643"/>
  <c r="M1647"/>
  <c r="M1651"/>
  <c r="M1655"/>
  <c r="M1659"/>
  <c r="M1663"/>
  <c r="M1667"/>
  <c r="M1671"/>
  <c r="M1675"/>
  <c r="M1679"/>
  <c r="M1683"/>
  <c r="M1687"/>
  <c r="M1691"/>
  <c r="M1695"/>
  <c r="M1699"/>
  <c r="M1703"/>
  <c r="M1707"/>
  <c r="M1711"/>
  <c r="M1715"/>
  <c r="M1719"/>
  <c r="M1723"/>
  <c r="M1727"/>
  <c r="M1731"/>
  <c r="M1735"/>
  <c r="M1739"/>
  <c r="M1743"/>
  <c r="M1747"/>
  <c r="M1751"/>
  <c r="M1755"/>
  <c r="M1759"/>
  <c r="M1763"/>
  <c r="M1767"/>
  <c r="M1771"/>
  <c r="M1775"/>
  <c r="M1779"/>
  <c r="M1783"/>
  <c r="M1787"/>
  <c r="M1791"/>
  <c r="M1795"/>
  <c r="M1799"/>
  <c r="M1803"/>
  <c r="M1807"/>
  <c r="M1811"/>
  <c r="M1815"/>
  <c r="M1819"/>
  <c r="M1823"/>
  <c r="M1827"/>
  <c r="M1831"/>
  <c r="M1835"/>
  <c r="M1839"/>
  <c r="M1843"/>
  <c r="M1847"/>
  <c r="M1851"/>
  <c r="M1855"/>
  <c r="M1859"/>
  <c r="M1863"/>
  <c r="M1867"/>
  <c r="M1871"/>
  <c r="M1875"/>
  <c r="M1879"/>
  <c r="M1883"/>
  <c r="M1887"/>
  <c r="M1891"/>
  <c r="M1895"/>
  <c r="M1899"/>
  <c r="M1903"/>
  <c r="M1907"/>
  <c r="M1911"/>
  <c r="M1915"/>
  <c r="M1919"/>
  <c r="M1923"/>
  <c r="M1927"/>
  <c r="M1931"/>
  <c r="M1935"/>
  <c r="M1939"/>
  <c r="M1943"/>
  <c r="M1947"/>
  <c r="M1951"/>
  <c r="M1955"/>
  <c r="M1959"/>
  <c r="M1963"/>
  <c r="M1967"/>
  <c r="M1971"/>
  <c r="M1975"/>
  <c r="M1979"/>
  <c r="M1983"/>
  <c r="M1987"/>
  <c r="M1991"/>
  <c r="M1995"/>
  <c r="M1999"/>
  <c r="M2003"/>
  <c r="M2007"/>
  <c r="M2011"/>
  <c r="M2015"/>
  <c r="M2019"/>
  <c r="M2023"/>
  <c r="M2027"/>
  <c r="M2031"/>
  <c r="M2035"/>
  <c r="M2039"/>
  <c r="M2043"/>
  <c r="M2047"/>
  <c r="M2051"/>
  <c r="M2055"/>
  <c r="M2059"/>
  <c r="M2063"/>
  <c r="M2067"/>
  <c r="M2071"/>
  <c r="M2075"/>
  <c r="M2079"/>
  <c r="M2083"/>
  <c r="M2087"/>
  <c r="M2091"/>
  <c r="M2099"/>
  <c r="M2107"/>
  <c r="M2111"/>
  <c r="M2119"/>
  <c r="M2123"/>
  <c r="M2127"/>
  <c r="M2131"/>
  <c r="M2135"/>
  <c r="M2139"/>
  <c r="M2143"/>
  <c r="M2147"/>
  <c r="M2151"/>
  <c r="M2155"/>
  <c r="M2159"/>
  <c r="M2163"/>
  <c r="M2167"/>
  <c r="N37"/>
  <c r="N41"/>
  <c r="N45"/>
  <c r="N49"/>
  <c r="N53"/>
  <c r="N62"/>
  <c r="N70"/>
  <c r="N78"/>
  <c r="N86"/>
  <c r="N94"/>
  <c r="N102"/>
  <c r="N110"/>
  <c r="N118"/>
  <c r="N126"/>
  <c r="N134"/>
  <c r="N138"/>
  <c r="N142"/>
  <c r="N146"/>
  <c r="N150"/>
  <c r="N154"/>
  <c r="N158"/>
  <c r="N162"/>
  <c r="N166"/>
  <c r="N170"/>
  <c r="N174"/>
  <c r="N178"/>
  <c r="N182"/>
  <c r="N186"/>
  <c r="N190"/>
  <c r="N194"/>
  <c r="N198"/>
  <c r="N202"/>
  <c r="N206"/>
  <c r="N210"/>
  <c r="N214"/>
  <c r="N218"/>
  <c r="N222"/>
  <c r="N226"/>
  <c r="N230"/>
  <c r="N234"/>
  <c r="N238"/>
  <c r="N258"/>
  <c r="N262"/>
  <c r="N266"/>
  <c r="N274"/>
  <c r="N278"/>
  <c r="N282"/>
  <c r="N286"/>
  <c r="N290"/>
  <c r="N302"/>
  <c r="N314"/>
  <c r="N322"/>
  <c r="N326"/>
  <c r="N330"/>
  <c r="N334"/>
  <c r="N338"/>
  <c r="N342"/>
  <c r="N346"/>
  <c r="N350"/>
  <c r="N354"/>
  <c r="N358"/>
  <c r="N362"/>
  <c r="N366"/>
  <c r="N378"/>
  <c r="N382"/>
  <c r="N386"/>
  <c r="N390"/>
  <c r="N394"/>
  <c r="N398"/>
  <c r="N402"/>
  <c r="N406"/>
  <c r="N418"/>
  <c r="N422"/>
  <c r="N430"/>
  <c r="N434"/>
  <c r="N446"/>
  <c r="N450"/>
  <c r="N462"/>
  <c r="N466"/>
  <c r="N470"/>
  <c r="N474"/>
  <c r="N478"/>
  <c r="N482"/>
  <c r="N490"/>
  <c r="N494"/>
  <c r="N498"/>
  <c r="N510"/>
  <c r="N518"/>
  <c r="N530"/>
  <c r="N534"/>
  <c r="N538"/>
  <c r="N550"/>
  <c r="N554"/>
  <c r="N558"/>
  <c r="N562"/>
  <c r="N570"/>
  <c r="N590"/>
  <c r="N594"/>
  <c r="N598"/>
  <c r="N602"/>
  <c r="N614"/>
  <c r="N626"/>
  <c r="N630"/>
  <c r="N642"/>
  <c r="N646"/>
  <c r="N650"/>
  <c r="N654"/>
  <c r="N658"/>
  <c r="N662"/>
  <c r="N666"/>
  <c r="N670"/>
  <c r="N674"/>
  <c r="N678"/>
  <c r="N682"/>
  <c r="N690"/>
  <c r="N694"/>
  <c r="N698"/>
  <c r="N702"/>
  <c r="N706"/>
  <c r="N710"/>
  <c r="N714"/>
  <c r="N718"/>
  <c r="N722"/>
  <c r="N726"/>
  <c r="N730"/>
  <c r="N734"/>
  <c r="N738"/>
  <c r="N742"/>
  <c r="N746"/>
  <c r="N750"/>
  <c r="N758"/>
  <c r="N762"/>
  <c r="N766"/>
  <c r="N770"/>
  <c r="N778"/>
  <c r="N782"/>
  <c r="N786"/>
  <c r="N790"/>
  <c r="N798"/>
  <c r="N802"/>
  <c r="N806"/>
  <c r="N810"/>
  <c r="N814"/>
  <c r="N818"/>
  <c r="N822"/>
  <c r="N826"/>
  <c r="N830"/>
  <c r="N834"/>
  <c r="N842"/>
  <c r="N846"/>
  <c r="N850"/>
  <c r="N854"/>
  <c r="N858"/>
  <c r="N862"/>
  <c r="N866"/>
  <c r="N870"/>
  <c r="N874"/>
  <c r="N878"/>
  <c r="N882"/>
  <c r="N886"/>
  <c r="N890"/>
  <c r="N894"/>
  <c r="N898"/>
  <c r="N902"/>
  <c r="N906"/>
  <c r="N910"/>
  <c r="N914"/>
  <c r="N918"/>
  <c r="N922"/>
  <c r="N926"/>
  <c r="N930"/>
  <c r="N934"/>
  <c r="N938"/>
  <c r="N942"/>
  <c r="N946"/>
  <c r="N950"/>
  <c r="N954"/>
  <c r="N958"/>
  <c r="N962"/>
  <c r="N966"/>
  <c r="N970"/>
  <c r="N974"/>
  <c r="N978"/>
  <c r="N982"/>
  <c r="N986"/>
  <c r="N990"/>
  <c r="N994"/>
  <c r="N998"/>
  <c r="N1002"/>
  <c r="N1006"/>
  <c r="N1010"/>
  <c r="N1014"/>
  <c r="N1018"/>
  <c r="N1034"/>
  <c r="N1038"/>
  <c r="N1046"/>
  <c r="N1058"/>
  <c r="N1062"/>
  <c r="N1066"/>
  <c r="N1070"/>
  <c r="N1074"/>
  <c r="N1078"/>
  <c r="N1082"/>
  <c r="N1086"/>
  <c r="N1090"/>
  <c r="N1094"/>
  <c r="N1098"/>
  <c r="N1102"/>
  <c r="N1106"/>
  <c r="N1110"/>
  <c r="N1114"/>
  <c r="N1118"/>
  <c r="N1122"/>
  <c r="N1126"/>
  <c r="N1130"/>
  <c r="N1134"/>
  <c r="N1138"/>
  <c r="N1142"/>
  <c r="N1146"/>
  <c r="N1150"/>
  <c r="N1154"/>
  <c r="N1158"/>
  <c r="N1162"/>
  <c r="N1166"/>
  <c r="N1170"/>
  <c r="N1174"/>
  <c r="N1178"/>
  <c r="N1182"/>
  <c r="N1190"/>
  <c r="N1194"/>
  <c r="N1198"/>
  <c r="N1202"/>
  <c r="N1206"/>
  <c r="N1210"/>
  <c r="N1214"/>
  <c r="N1218"/>
  <c r="N1222"/>
  <c r="N1226"/>
  <c r="N1230"/>
  <c r="N1234"/>
  <c r="N1238"/>
  <c r="N1242"/>
  <c r="N1246"/>
  <c r="N1250"/>
  <c r="N1258"/>
  <c r="N1262"/>
  <c r="N1266"/>
  <c r="N1270"/>
  <c r="N1274"/>
  <c r="N1278"/>
  <c r="N1282"/>
  <c r="N1286"/>
  <c r="N1290"/>
  <c r="N1294"/>
  <c r="N1298"/>
  <c r="N1302"/>
  <c r="N1306"/>
  <c r="N1310"/>
  <c r="N1314"/>
  <c r="N1318"/>
  <c r="N1322"/>
  <c r="N1326"/>
  <c r="N1330"/>
  <c r="N1334"/>
  <c r="N1338"/>
  <c r="N1342"/>
  <c r="N1346"/>
  <c r="N1354"/>
  <c r="N1358"/>
  <c r="N1362"/>
  <c r="N1366"/>
  <c r="N1370"/>
  <c r="N1374"/>
  <c r="N1378"/>
  <c r="N1382"/>
  <c r="N1386"/>
  <c r="N1390"/>
  <c r="N1394"/>
  <c r="N1398"/>
  <c r="N1402"/>
  <c r="N1410"/>
  <c r="N1414"/>
  <c r="N1418"/>
  <c r="N1422"/>
  <c r="N1426"/>
  <c r="N1430"/>
  <c r="N1434"/>
  <c r="N1438"/>
  <c r="N1442"/>
  <c r="N1446"/>
  <c r="N1450"/>
  <c r="N1454"/>
  <c r="N1458"/>
  <c r="N1462"/>
  <c r="N1466"/>
  <c r="N1470"/>
  <c r="N1474"/>
  <c r="N1478"/>
  <c r="N1482"/>
  <c r="N1486"/>
  <c r="N1490"/>
  <c r="N1494"/>
  <c r="N1498"/>
  <c r="N1502"/>
  <c r="N1506"/>
  <c r="N1510"/>
  <c r="N1514"/>
  <c r="N1518"/>
  <c r="N1522"/>
  <c r="N1526"/>
  <c r="N1530"/>
  <c r="N1534"/>
  <c r="N1538"/>
  <c r="N1542"/>
  <c r="N1546"/>
  <c r="N1550"/>
  <c r="N1554"/>
  <c r="N1558"/>
  <c r="N1562"/>
  <c r="N1566"/>
  <c r="N1570"/>
  <c r="N1574"/>
  <c r="N1578"/>
  <c r="N1582"/>
  <c r="N1586"/>
  <c r="N1598"/>
  <c r="N1602"/>
  <c r="N1606"/>
  <c r="N1610"/>
  <c r="N1614"/>
  <c r="N1618"/>
  <c r="N1622"/>
  <c r="N1626"/>
  <c r="N1630"/>
  <c r="N1634"/>
  <c r="N1638"/>
  <c r="N1642"/>
  <c r="N1646"/>
  <c r="N1650"/>
  <c r="N1654"/>
  <c r="N1658"/>
  <c r="N1662"/>
  <c r="N1666"/>
  <c r="N1670"/>
  <c r="N1674"/>
  <c r="N1678"/>
  <c r="N1682"/>
  <c r="N1686"/>
  <c r="N1690"/>
  <c r="N1694"/>
  <c r="N1698"/>
  <c r="N1702"/>
  <c r="N1706"/>
  <c r="N1710"/>
  <c r="N1714"/>
  <c r="N1718"/>
  <c r="N1722"/>
  <c r="N1726"/>
  <c r="N1730"/>
  <c r="N1734"/>
  <c r="N1738"/>
  <c r="N1742"/>
  <c r="N1746"/>
  <c r="N1750"/>
  <c r="N1758"/>
  <c r="N1762"/>
  <c r="N1766"/>
  <c r="N1770"/>
  <c r="N1774"/>
  <c r="N1778"/>
  <c r="N1782"/>
  <c r="N1786"/>
  <c r="N1790"/>
  <c r="N1794"/>
  <c r="N1798"/>
  <c r="N1802"/>
  <c r="N1810"/>
  <c r="N1814"/>
  <c r="N1818"/>
  <c r="N1822"/>
  <c r="N1826"/>
  <c r="N1830"/>
  <c r="N1834"/>
  <c r="N1838"/>
  <c r="N1842"/>
  <c r="N1846"/>
  <c r="N1850"/>
  <c r="N1854"/>
  <c r="N1858"/>
  <c r="N1862"/>
  <c r="N1866"/>
  <c r="N1870"/>
  <c r="N1874"/>
  <c r="N1878"/>
  <c r="N1882"/>
  <c r="N1886"/>
  <c r="N1890"/>
  <c r="N1894"/>
  <c r="N1898"/>
  <c r="N1902"/>
  <c r="N1906"/>
  <c r="N1910"/>
  <c r="N1914"/>
  <c r="N1918"/>
  <c r="N1922"/>
  <c r="N1926"/>
  <c r="N1930"/>
  <c r="N1934"/>
  <c r="N1938"/>
  <c r="N1942"/>
  <c r="N1946"/>
  <c r="N1950"/>
  <c r="N1954"/>
  <c r="N1958"/>
  <c r="N1962"/>
  <c r="N1966"/>
  <c r="N1970"/>
  <c r="N1974"/>
  <c r="N1978"/>
  <c r="N1982"/>
  <c r="N1986"/>
  <c r="N1990"/>
  <c r="N1994"/>
  <c r="N1998"/>
  <c r="N2002"/>
  <c r="N2006"/>
  <c r="N2010"/>
  <c r="N2014"/>
  <c r="N2018"/>
  <c r="N2022"/>
  <c r="N2026"/>
  <c r="N2030"/>
  <c r="N2034"/>
  <c r="N2038"/>
  <c r="N2042"/>
  <c r="N2046"/>
  <c r="N2050"/>
  <c r="N2054"/>
  <c r="N2058"/>
  <c r="N2062"/>
  <c r="N2066"/>
  <c r="N2070"/>
  <c r="N2074"/>
  <c r="N2078"/>
  <c r="N2082"/>
  <c r="N2086"/>
  <c r="N2094"/>
  <c r="N2098"/>
  <c r="N2106"/>
  <c r="N2110"/>
  <c r="N2114"/>
  <c r="N2118"/>
  <c r="N2122"/>
  <c r="N2126"/>
  <c r="N2130"/>
  <c r="N2134"/>
  <c r="N2138"/>
  <c r="N2142"/>
  <c r="N2146"/>
  <c r="N2150"/>
  <c r="N2154"/>
  <c r="N2158"/>
  <c r="N2162"/>
  <c r="N2166"/>
  <c r="O36"/>
  <c r="O40"/>
  <c r="O44"/>
  <c r="O48"/>
  <c r="O52"/>
  <c r="O56"/>
  <c r="O60"/>
  <c r="O64"/>
  <c r="O68"/>
  <c r="O72"/>
  <c r="O76"/>
  <c r="O80"/>
  <c r="N61"/>
  <c r="N69"/>
  <c r="N77"/>
  <c r="N85"/>
  <c r="N93"/>
  <c r="N101"/>
  <c r="N109"/>
  <c r="N117"/>
  <c r="N125"/>
  <c r="N133"/>
  <c r="N137"/>
  <c r="N141"/>
  <c r="N145"/>
  <c r="N149"/>
  <c r="N153"/>
  <c r="N157"/>
  <c r="N161"/>
  <c r="N165"/>
  <c r="N169"/>
  <c r="N173"/>
  <c r="N177"/>
  <c r="N181"/>
  <c r="N185"/>
  <c r="N189"/>
  <c r="N193"/>
  <c r="N197"/>
  <c r="N201"/>
  <c r="N205"/>
  <c r="N209"/>
  <c r="N213"/>
  <c r="N217"/>
  <c r="N221"/>
  <c r="N225"/>
  <c r="N229"/>
  <c r="N233"/>
  <c r="N237"/>
  <c r="N241"/>
  <c r="N253"/>
  <c r="N257"/>
  <c r="N261"/>
  <c r="N265"/>
  <c r="N269"/>
  <c r="N273"/>
  <c r="N277"/>
  <c r="N281"/>
  <c r="N285"/>
  <c r="N289"/>
  <c r="N293"/>
  <c r="N305"/>
  <c r="N309"/>
  <c r="N313"/>
  <c r="N321"/>
  <c r="N325"/>
  <c r="N329"/>
  <c r="N333"/>
  <c r="N337"/>
  <c r="N341"/>
  <c r="N345"/>
  <c r="N349"/>
  <c r="N353"/>
  <c r="N357"/>
  <c r="N361"/>
  <c r="N365"/>
  <c r="N369"/>
  <c r="N373"/>
  <c r="N385"/>
  <c r="N397"/>
  <c r="N405"/>
  <c r="N417"/>
  <c r="N421"/>
  <c r="N425"/>
  <c r="N433"/>
  <c r="N437"/>
  <c r="N445"/>
  <c r="N457"/>
  <c r="N465"/>
  <c r="N473"/>
  <c r="N477"/>
  <c r="N481"/>
  <c r="N489"/>
  <c r="N493"/>
  <c r="N497"/>
  <c r="N501"/>
  <c r="N505"/>
  <c r="N513"/>
  <c r="N517"/>
  <c r="N521"/>
  <c r="N525"/>
  <c r="N529"/>
  <c r="N533"/>
  <c r="N537"/>
  <c r="N541"/>
  <c r="N549"/>
  <c r="N553"/>
  <c r="N561"/>
  <c r="N565"/>
  <c r="N569"/>
  <c r="N581"/>
  <c r="N585"/>
  <c r="N589"/>
  <c r="N593"/>
  <c r="N597"/>
  <c r="N601"/>
  <c r="N605"/>
  <c r="N613"/>
  <c r="N617"/>
  <c r="N621"/>
  <c r="N625"/>
  <c r="N629"/>
  <c r="N641"/>
  <c r="N645"/>
  <c r="N649"/>
  <c r="N653"/>
  <c r="N657"/>
  <c r="N661"/>
  <c r="N665"/>
  <c r="N669"/>
  <c r="N673"/>
  <c r="N677"/>
  <c r="N681"/>
  <c r="N685"/>
  <c r="N689"/>
  <c r="N693"/>
  <c r="N697"/>
  <c r="N701"/>
  <c r="N705"/>
  <c r="N709"/>
  <c r="N713"/>
  <c r="N717"/>
  <c r="N721"/>
  <c r="N725"/>
  <c r="N729"/>
  <c r="N733"/>
  <c r="N737"/>
  <c r="N741"/>
  <c r="N745"/>
  <c r="N749"/>
  <c r="N753"/>
  <c r="N757"/>
  <c r="N761"/>
  <c r="N765"/>
  <c r="N769"/>
  <c r="N773"/>
  <c r="N777"/>
  <c r="N781"/>
  <c r="N785"/>
  <c r="N789"/>
  <c r="N793"/>
  <c r="N797"/>
  <c r="N801"/>
  <c r="N805"/>
  <c r="N809"/>
  <c r="N813"/>
  <c r="N817"/>
  <c r="N821"/>
  <c r="N825"/>
  <c r="N829"/>
  <c r="N833"/>
  <c r="N837"/>
  <c r="N841"/>
  <c r="N845"/>
  <c r="N849"/>
  <c r="N853"/>
  <c r="N857"/>
  <c r="N861"/>
  <c r="N865"/>
  <c r="N869"/>
  <c r="N873"/>
  <c r="N877"/>
  <c r="N881"/>
  <c r="N885"/>
  <c r="N889"/>
  <c r="N893"/>
  <c r="N897"/>
  <c r="N901"/>
  <c r="N905"/>
  <c r="N909"/>
  <c r="N913"/>
  <c r="N917"/>
  <c r="N921"/>
  <c r="N925"/>
  <c r="N929"/>
  <c r="N933"/>
  <c r="N937"/>
  <c r="N941"/>
  <c r="N945"/>
  <c r="N949"/>
  <c r="N953"/>
  <c r="N957"/>
  <c r="N961"/>
  <c r="N965"/>
  <c r="N969"/>
  <c r="N973"/>
  <c r="N977"/>
  <c r="N981"/>
  <c r="N985"/>
  <c r="N989"/>
  <c r="N993"/>
  <c r="N997"/>
  <c r="N1001"/>
  <c r="N1005"/>
  <c r="N1009"/>
  <c r="N1013"/>
  <c r="N1017"/>
  <c r="N1021"/>
  <c r="N1025"/>
  <c r="N1033"/>
  <c r="N1037"/>
  <c r="N1041"/>
  <c r="N1045"/>
  <c r="N1053"/>
  <c r="N1057"/>
  <c r="N1061"/>
  <c r="N1065"/>
  <c r="N1069"/>
  <c r="N1073"/>
  <c r="N1077"/>
  <c r="N1081"/>
  <c r="N1085"/>
  <c r="N1089"/>
  <c r="N1093"/>
  <c r="N1097"/>
  <c r="N1101"/>
  <c r="N1105"/>
  <c r="N1109"/>
  <c r="N1113"/>
  <c r="N1117"/>
  <c r="N1121"/>
  <c r="N1125"/>
  <c r="N1129"/>
  <c r="N1133"/>
  <c r="N1137"/>
  <c r="N1141"/>
  <c r="N1145"/>
  <c r="N1149"/>
  <c r="N1153"/>
  <c r="N1157"/>
  <c r="N1161"/>
  <c r="N1165"/>
  <c r="N1169"/>
  <c r="N1173"/>
  <c r="N1177"/>
  <c r="N1181"/>
  <c r="N1185"/>
  <c r="N1189"/>
  <c r="N1193"/>
  <c r="N1197"/>
  <c r="N1201"/>
  <c r="N1205"/>
  <c r="N1209"/>
  <c r="N1213"/>
  <c r="N1217"/>
  <c r="N1221"/>
  <c r="N1225"/>
  <c r="N1229"/>
  <c r="N1233"/>
  <c r="N1237"/>
  <c r="N1241"/>
  <c r="N1245"/>
  <c r="N1249"/>
  <c r="N1253"/>
  <c r="N1257"/>
  <c r="N1261"/>
  <c r="N1265"/>
  <c r="N1269"/>
  <c r="N1273"/>
  <c r="N1277"/>
  <c r="N1281"/>
  <c r="N1285"/>
  <c r="N1289"/>
  <c r="N1293"/>
  <c r="N1297"/>
  <c r="N1301"/>
  <c r="N1305"/>
  <c r="N1309"/>
  <c r="N1313"/>
  <c r="N1317"/>
  <c r="N1321"/>
  <c r="N1325"/>
  <c r="N1329"/>
  <c r="N1333"/>
  <c r="N1337"/>
  <c r="N1341"/>
  <c r="N1345"/>
  <c r="N1349"/>
  <c r="N1353"/>
  <c r="N1357"/>
  <c r="N1361"/>
  <c r="N1365"/>
  <c r="N1369"/>
  <c r="N1373"/>
  <c r="N1377"/>
  <c r="N1381"/>
  <c r="N1385"/>
  <c r="N1389"/>
  <c r="N1393"/>
  <c r="N1397"/>
  <c r="N1401"/>
  <c r="N1405"/>
  <c r="N1409"/>
  <c r="N1413"/>
  <c r="N1417"/>
  <c r="N1421"/>
  <c r="N1425"/>
  <c r="N1429"/>
  <c r="N1433"/>
  <c r="N1437"/>
  <c r="N1441"/>
  <c r="N1445"/>
  <c r="N1449"/>
  <c r="N1453"/>
  <c r="N1457"/>
  <c r="N1461"/>
  <c r="N1465"/>
  <c r="N1469"/>
  <c r="N1473"/>
  <c r="N1477"/>
  <c r="N1481"/>
  <c r="N1485"/>
  <c r="N1489"/>
  <c r="N1493"/>
  <c r="N1497"/>
  <c r="N1501"/>
  <c r="N1505"/>
  <c r="N1509"/>
  <c r="N1513"/>
  <c r="N1517"/>
  <c r="N1521"/>
  <c r="N1525"/>
  <c r="N1529"/>
  <c r="N1533"/>
  <c r="N1537"/>
  <c r="N1541"/>
  <c r="N1545"/>
  <c r="N1549"/>
  <c r="N1553"/>
  <c r="N1557"/>
  <c r="N1561"/>
  <c r="N1565"/>
  <c r="N1569"/>
  <c r="N1573"/>
  <c r="N1577"/>
  <c r="N1581"/>
  <c r="N1585"/>
  <c r="N1589"/>
  <c r="N1597"/>
  <c r="N1601"/>
  <c r="N1605"/>
  <c r="N1609"/>
  <c r="N1613"/>
  <c r="N1617"/>
  <c r="N1621"/>
  <c r="N1625"/>
  <c r="N1629"/>
  <c r="N1633"/>
  <c r="N1637"/>
  <c r="N1641"/>
  <c r="N1645"/>
  <c r="N1649"/>
  <c r="N1653"/>
  <c r="N1657"/>
  <c r="N1661"/>
  <c r="N1665"/>
  <c r="N1669"/>
  <c r="N1673"/>
  <c r="N1677"/>
  <c r="N1681"/>
  <c r="N1685"/>
  <c r="N1689"/>
  <c r="N1693"/>
  <c r="N1697"/>
  <c r="N1701"/>
  <c r="N1705"/>
  <c r="N1709"/>
  <c r="N1713"/>
  <c r="N1717"/>
  <c r="N1721"/>
  <c r="N1725"/>
  <c r="N1729"/>
  <c r="N1733"/>
  <c r="N1737"/>
  <c r="N1741"/>
  <c r="N1745"/>
  <c r="N1749"/>
  <c r="N1753"/>
  <c r="N1757"/>
  <c r="N1761"/>
  <c r="N1765"/>
  <c r="N1769"/>
  <c r="N1773"/>
  <c r="N1777"/>
  <c r="N1781"/>
  <c r="N1785"/>
  <c r="N1789"/>
  <c r="N1793"/>
  <c r="N1797"/>
  <c r="N1801"/>
  <c r="N1805"/>
  <c r="N1809"/>
  <c r="N1813"/>
  <c r="N1817"/>
  <c r="N1821"/>
  <c r="N1825"/>
  <c r="N1829"/>
  <c r="N1833"/>
  <c r="N1837"/>
  <c r="N1841"/>
  <c r="N1845"/>
  <c r="N1849"/>
  <c r="N1853"/>
  <c r="N1857"/>
  <c r="N1861"/>
  <c r="N1865"/>
  <c r="N1869"/>
  <c r="N1873"/>
  <c r="N1877"/>
  <c r="N1881"/>
  <c r="N1885"/>
  <c r="N1889"/>
  <c r="N1893"/>
  <c r="N1897"/>
  <c r="N1901"/>
  <c r="N1905"/>
  <c r="N1909"/>
  <c r="N1913"/>
  <c r="N1917"/>
  <c r="N1921"/>
  <c r="N1925"/>
  <c r="N1929"/>
  <c r="N1933"/>
  <c r="N1937"/>
  <c r="N1941"/>
  <c r="N1945"/>
  <c r="N1949"/>
  <c r="N1953"/>
  <c r="N1957"/>
  <c r="N1961"/>
  <c r="N1965"/>
  <c r="N1969"/>
  <c r="N1973"/>
  <c r="N1977"/>
  <c r="N1981"/>
  <c r="N1985"/>
  <c r="N1989"/>
  <c r="N1993"/>
  <c r="N1997"/>
  <c r="N2001"/>
  <c r="N2005"/>
  <c r="N2009"/>
  <c r="N2013"/>
  <c r="N2017"/>
  <c r="N2021"/>
  <c r="N2025"/>
  <c r="N2029"/>
  <c r="N2033"/>
  <c r="N2037"/>
  <c r="N2041"/>
  <c r="N2045"/>
  <c r="N2049"/>
  <c r="N2053"/>
  <c r="N2057"/>
  <c r="N2061"/>
  <c r="N2065"/>
  <c r="N2069"/>
  <c r="N2073"/>
  <c r="N2077"/>
  <c r="N2081"/>
  <c r="N2085"/>
  <c r="N2089"/>
  <c r="N2093"/>
  <c r="N2097"/>
  <c r="N2101"/>
  <c r="N2105"/>
  <c r="N2109"/>
  <c r="N2113"/>
  <c r="N2117"/>
  <c r="N2121"/>
  <c r="N2125"/>
  <c r="N2129"/>
  <c r="N2133"/>
  <c r="N2137"/>
  <c r="N2141"/>
  <c r="N2145"/>
  <c r="N2149"/>
  <c r="N2153"/>
  <c r="N2157"/>
  <c r="N2161"/>
  <c r="N2165"/>
  <c r="O35"/>
  <c r="O39"/>
  <c r="O43"/>
  <c r="O47"/>
  <c r="O51"/>
  <c r="O55"/>
  <c r="O59"/>
  <c r="O63"/>
  <c r="O67"/>
  <c r="O71"/>
  <c r="O75"/>
  <c r="N58"/>
  <c r="N66"/>
  <c r="N74"/>
  <c r="N82"/>
  <c r="N90"/>
  <c r="N98"/>
  <c r="N106"/>
  <c r="N114"/>
  <c r="N122"/>
  <c r="N130"/>
  <c r="N136"/>
  <c r="N140"/>
  <c r="N144"/>
  <c r="N148"/>
  <c r="N152"/>
  <c r="N156"/>
  <c r="N160"/>
  <c r="N164"/>
  <c r="N168"/>
  <c r="N172"/>
  <c r="N176"/>
  <c r="N180"/>
  <c r="N184"/>
  <c r="N188"/>
  <c r="N192"/>
  <c r="N196"/>
  <c r="N200"/>
  <c r="N204"/>
  <c r="N208"/>
  <c r="N212"/>
  <c r="N216"/>
  <c r="N220"/>
  <c r="N224"/>
  <c r="N228"/>
  <c r="N232"/>
  <c r="N236"/>
  <c r="N248"/>
  <c r="N252"/>
  <c r="N272"/>
  <c r="N280"/>
  <c r="N284"/>
  <c r="N296"/>
  <c r="N300"/>
  <c r="N308"/>
  <c r="N320"/>
  <c r="N324"/>
  <c r="N328"/>
  <c r="N332"/>
  <c r="N336"/>
  <c r="N344"/>
  <c r="N348"/>
  <c r="N352"/>
  <c r="N360"/>
  <c r="N364"/>
  <c r="N368"/>
  <c r="N376"/>
  <c r="N384"/>
  <c r="N392"/>
  <c r="N396"/>
  <c r="N400"/>
  <c r="N408"/>
  <c r="N416"/>
  <c r="N420"/>
  <c r="N428"/>
  <c r="N448"/>
  <c r="N452"/>
  <c r="N456"/>
  <c r="N460"/>
  <c r="N476"/>
  <c r="N480"/>
  <c r="N484"/>
  <c r="N488"/>
  <c r="N492"/>
  <c r="N504"/>
  <c r="N520"/>
  <c r="N524"/>
  <c r="N528"/>
  <c r="N532"/>
  <c r="N540"/>
  <c r="N544"/>
  <c r="N548"/>
  <c r="N560"/>
  <c r="N568"/>
  <c r="N572"/>
  <c r="N576"/>
  <c r="N592"/>
  <c r="N596"/>
  <c r="N600"/>
  <c r="N612"/>
  <c r="N616"/>
  <c r="N624"/>
  <c r="N636"/>
  <c r="N640"/>
  <c r="N644"/>
  <c r="N648"/>
  <c r="N652"/>
  <c r="N656"/>
  <c r="N660"/>
  <c r="N664"/>
  <c r="N668"/>
  <c r="N672"/>
  <c r="N676"/>
  <c r="N680"/>
  <c r="N684"/>
  <c r="N688"/>
  <c r="N692"/>
  <c r="N696"/>
  <c r="N700"/>
  <c r="N704"/>
  <c r="N708"/>
  <c r="N712"/>
  <c r="N716"/>
  <c r="N720"/>
  <c r="N724"/>
  <c r="N728"/>
  <c r="N732"/>
  <c r="N736"/>
  <c r="N740"/>
  <c r="N744"/>
  <c r="N748"/>
  <c r="N752"/>
  <c r="N756"/>
  <c r="N760"/>
  <c r="N768"/>
  <c r="N772"/>
  <c r="N776"/>
  <c r="N780"/>
  <c r="N784"/>
  <c r="N788"/>
  <c r="N796"/>
  <c r="N800"/>
  <c r="N804"/>
  <c r="N808"/>
  <c r="N812"/>
  <c r="N816"/>
  <c r="N820"/>
  <c r="N824"/>
  <c r="N836"/>
  <c r="N840"/>
  <c r="N844"/>
  <c r="N848"/>
  <c r="N852"/>
  <c r="N856"/>
  <c r="N860"/>
  <c r="N864"/>
  <c r="N868"/>
  <c r="N872"/>
  <c r="N876"/>
  <c r="N880"/>
  <c r="N884"/>
  <c r="N888"/>
  <c r="N892"/>
  <c r="N896"/>
  <c r="N900"/>
  <c r="N904"/>
  <c r="N908"/>
  <c r="N912"/>
  <c r="N916"/>
  <c r="N920"/>
  <c r="N924"/>
  <c r="N928"/>
  <c r="N932"/>
  <c r="N936"/>
  <c r="N940"/>
  <c r="N944"/>
  <c r="N948"/>
  <c r="N952"/>
  <c r="N956"/>
  <c r="N960"/>
  <c r="N964"/>
  <c r="N968"/>
  <c r="N972"/>
  <c r="N976"/>
  <c r="N980"/>
  <c r="N984"/>
  <c r="N988"/>
  <c r="N992"/>
  <c r="N996"/>
  <c r="N1000"/>
  <c r="N1004"/>
  <c r="N1008"/>
  <c r="N1012"/>
  <c r="N1016"/>
  <c r="N1020"/>
  <c r="N1024"/>
  <c r="N1044"/>
  <c r="N1048"/>
  <c r="N1052"/>
  <c r="N1060"/>
  <c r="N1064"/>
  <c r="N1068"/>
  <c r="N1072"/>
  <c r="N1076"/>
  <c r="N1080"/>
  <c r="N1084"/>
  <c r="N1092"/>
  <c r="N1096"/>
  <c r="N1100"/>
  <c r="N1104"/>
  <c r="N1108"/>
  <c r="N1112"/>
  <c r="N1116"/>
  <c r="N1120"/>
  <c r="N1124"/>
  <c r="N1128"/>
  <c r="N1132"/>
  <c r="N1136"/>
  <c r="N1140"/>
  <c r="N1144"/>
  <c r="N1148"/>
  <c r="N1152"/>
  <c r="N1156"/>
  <c r="N1160"/>
  <c r="N1164"/>
  <c r="N1168"/>
  <c r="N1172"/>
  <c r="N1176"/>
  <c r="N1180"/>
  <c r="N1184"/>
  <c r="N1188"/>
  <c r="N1192"/>
  <c r="N1196"/>
  <c r="N1200"/>
  <c r="N1204"/>
  <c r="N1208"/>
  <c r="N1212"/>
  <c r="N1216"/>
  <c r="N1220"/>
  <c r="N1224"/>
  <c r="N1228"/>
  <c r="N1232"/>
  <c r="N1236"/>
  <c r="N1240"/>
  <c r="N1244"/>
  <c r="N1248"/>
  <c r="N1252"/>
  <c r="N1256"/>
  <c r="N1260"/>
  <c r="N1264"/>
  <c r="N1268"/>
  <c r="N1272"/>
  <c r="N1276"/>
  <c r="N1280"/>
  <c r="N1284"/>
  <c r="N1288"/>
  <c r="N1292"/>
  <c r="N1296"/>
  <c r="N1300"/>
  <c r="N1304"/>
  <c r="N1308"/>
  <c r="N1312"/>
  <c r="N1316"/>
  <c r="N1320"/>
  <c r="N1324"/>
  <c r="N1328"/>
  <c r="N1332"/>
  <c r="N1336"/>
  <c r="N1340"/>
  <c r="N1344"/>
  <c r="N1348"/>
  <c r="N1352"/>
  <c r="N1356"/>
  <c r="N1360"/>
  <c r="N1364"/>
  <c r="N1368"/>
  <c r="N1372"/>
  <c r="N1376"/>
  <c r="N1380"/>
  <c r="N1384"/>
  <c r="N1388"/>
  <c r="N1392"/>
  <c r="N1396"/>
  <c r="N1400"/>
  <c r="N1404"/>
  <c r="N1408"/>
  <c r="N1412"/>
  <c r="N1416"/>
  <c r="N1420"/>
  <c r="N1424"/>
  <c r="N1428"/>
  <c r="N1432"/>
  <c r="N1436"/>
  <c r="N1440"/>
  <c r="N1444"/>
  <c r="N1448"/>
  <c r="N1452"/>
  <c r="N1456"/>
  <c r="N1460"/>
  <c r="N1464"/>
  <c r="N1468"/>
  <c r="N1472"/>
  <c r="N1476"/>
  <c r="N1480"/>
  <c r="N1484"/>
  <c r="N1488"/>
  <c r="N1492"/>
  <c r="N1496"/>
  <c r="N1500"/>
  <c r="N1504"/>
  <c r="N1508"/>
  <c r="N1512"/>
  <c r="N1516"/>
  <c r="N1520"/>
  <c r="N1524"/>
  <c r="N1528"/>
  <c r="N1532"/>
  <c r="N1536"/>
  <c r="N1540"/>
  <c r="N1544"/>
  <c r="N1548"/>
  <c r="N1552"/>
  <c r="N1556"/>
  <c r="N1560"/>
  <c r="N1564"/>
  <c r="N1568"/>
  <c r="N1572"/>
  <c r="N1576"/>
  <c r="N1580"/>
  <c r="N1584"/>
  <c r="N1588"/>
  <c r="N1592"/>
  <c r="N1596"/>
  <c r="N1600"/>
  <c r="N1604"/>
  <c r="N1608"/>
  <c r="N1612"/>
  <c r="N1616"/>
  <c r="N1620"/>
  <c r="N1624"/>
  <c r="N1628"/>
  <c r="N1632"/>
  <c r="N1636"/>
  <c r="N1644"/>
  <c r="N1648"/>
  <c r="N1652"/>
  <c r="N1656"/>
  <c r="N1660"/>
  <c r="N1664"/>
  <c r="N1668"/>
  <c r="N1672"/>
  <c r="N1676"/>
  <c r="N1680"/>
  <c r="N1684"/>
  <c r="N1688"/>
  <c r="N1692"/>
  <c r="N1696"/>
  <c r="N1700"/>
  <c r="N1704"/>
  <c r="N1708"/>
  <c r="N1712"/>
  <c r="N1716"/>
  <c r="N1720"/>
  <c r="N1724"/>
  <c r="N1728"/>
  <c r="N1732"/>
  <c r="N1736"/>
  <c r="N1740"/>
  <c r="N1744"/>
  <c r="N1748"/>
  <c r="N1752"/>
  <c r="N1756"/>
  <c r="N1760"/>
  <c r="N1764"/>
  <c r="N1768"/>
  <c r="N1772"/>
  <c r="N1776"/>
  <c r="N1780"/>
  <c r="N1784"/>
  <c r="N1788"/>
  <c r="N1792"/>
  <c r="N1796"/>
  <c r="N1800"/>
  <c r="N1804"/>
  <c r="N1808"/>
  <c r="N1812"/>
  <c r="N1816"/>
  <c r="N1820"/>
  <c r="N1824"/>
  <c r="N1828"/>
  <c r="N1832"/>
  <c r="N1836"/>
  <c r="N1840"/>
  <c r="N1844"/>
  <c r="N1848"/>
  <c r="N1852"/>
  <c r="N1856"/>
  <c r="N1860"/>
  <c r="N1864"/>
  <c r="N1868"/>
  <c r="N1872"/>
  <c r="N1876"/>
  <c r="N1880"/>
  <c r="N1884"/>
  <c r="N1888"/>
  <c r="N1892"/>
  <c r="N1896"/>
  <c r="N1900"/>
  <c r="N1904"/>
  <c r="N1908"/>
  <c r="N1912"/>
  <c r="N1916"/>
  <c r="N1920"/>
  <c r="N1924"/>
  <c r="N1928"/>
  <c r="N1932"/>
  <c r="N1936"/>
  <c r="N1940"/>
  <c r="N1944"/>
  <c r="N1948"/>
  <c r="N1952"/>
  <c r="N1956"/>
  <c r="N1960"/>
  <c r="N1964"/>
  <c r="N1968"/>
  <c r="N1972"/>
  <c r="N1976"/>
  <c r="N1980"/>
  <c r="N1984"/>
  <c r="N1988"/>
  <c r="N1992"/>
  <c r="N1996"/>
  <c r="N2000"/>
  <c r="N2004"/>
  <c r="N2008"/>
  <c r="N2012"/>
  <c r="N2016"/>
  <c r="N2020"/>
  <c r="N2024"/>
  <c r="N2028"/>
  <c r="N2032"/>
  <c r="N2036"/>
  <c r="N2040"/>
  <c r="N2044"/>
  <c r="N2048"/>
  <c r="N2052"/>
  <c r="N2056"/>
  <c r="N2060"/>
  <c r="N2064"/>
  <c r="N2068"/>
  <c r="N2072"/>
  <c r="N2076"/>
  <c r="N2080"/>
  <c r="N2084"/>
  <c r="N2088"/>
  <c r="N2092"/>
  <c r="N2100"/>
  <c r="N2108"/>
  <c r="N2112"/>
  <c r="N2116"/>
  <c r="N2120"/>
  <c r="N2124"/>
  <c r="N2128"/>
  <c r="N2132"/>
  <c r="N2136"/>
  <c r="N2140"/>
  <c r="N2144"/>
  <c r="N2148"/>
  <c r="N2152"/>
  <c r="N2156"/>
  <c r="N2160"/>
  <c r="N2164"/>
  <c r="N2168"/>
  <c r="O38"/>
  <c r="O42"/>
  <c r="O46"/>
  <c r="O50"/>
  <c r="O54"/>
  <c r="O58"/>
  <c r="O62"/>
  <c r="O66"/>
  <c r="O70"/>
  <c r="O74"/>
  <c r="O78"/>
  <c r="O82"/>
  <c r="O86"/>
  <c r="O90"/>
  <c r="O94"/>
  <c r="O98"/>
  <c r="O102"/>
  <c r="O106"/>
  <c r="O110"/>
  <c r="O114"/>
  <c r="O118"/>
  <c r="O122"/>
  <c r="O126"/>
  <c r="O130"/>
  <c r="O134"/>
  <c r="O138"/>
  <c r="O142"/>
  <c r="O146"/>
  <c r="O150"/>
  <c r="O154"/>
  <c r="O158"/>
  <c r="O162"/>
  <c r="O166"/>
  <c r="N57"/>
  <c r="N65"/>
  <c r="N73"/>
  <c r="N81"/>
  <c r="N89"/>
  <c r="N97"/>
  <c r="N105"/>
  <c r="N113"/>
  <c r="N121"/>
  <c r="N129"/>
  <c r="N135"/>
  <c r="N139"/>
  <c r="N143"/>
  <c r="N147"/>
  <c r="N151"/>
  <c r="N155"/>
  <c r="N159"/>
  <c r="N163"/>
  <c r="N167"/>
  <c r="N171"/>
  <c r="N175"/>
  <c r="N179"/>
  <c r="N183"/>
  <c r="N187"/>
  <c r="N191"/>
  <c r="N195"/>
  <c r="N199"/>
  <c r="N203"/>
  <c r="N207"/>
  <c r="N211"/>
  <c r="N215"/>
  <c r="N219"/>
  <c r="N223"/>
  <c r="N227"/>
  <c r="N231"/>
  <c r="N235"/>
  <c r="N239"/>
  <c r="N243"/>
  <c r="N251"/>
  <c r="N255"/>
  <c r="N263"/>
  <c r="N267"/>
  <c r="N271"/>
  <c r="N279"/>
  <c r="N283"/>
  <c r="N291"/>
  <c r="N295"/>
  <c r="N299"/>
  <c r="N303"/>
  <c r="N311"/>
  <c r="N319"/>
  <c r="N323"/>
  <c r="N327"/>
  <c r="N331"/>
  <c r="N335"/>
  <c r="N339"/>
  <c r="N343"/>
  <c r="N347"/>
  <c r="N351"/>
  <c r="N359"/>
  <c r="N363"/>
  <c r="N367"/>
  <c r="N371"/>
  <c r="N375"/>
  <c r="N379"/>
  <c r="N383"/>
  <c r="N387"/>
  <c r="N399"/>
  <c r="N407"/>
  <c r="N419"/>
  <c r="N427"/>
  <c r="N431"/>
  <c r="N439"/>
  <c r="N443"/>
  <c r="N455"/>
  <c r="N459"/>
  <c r="N463"/>
  <c r="N467"/>
  <c r="N475"/>
  <c r="N479"/>
  <c r="N483"/>
  <c r="N487"/>
  <c r="N491"/>
  <c r="N495"/>
  <c r="N507"/>
  <c r="N511"/>
  <c r="N515"/>
  <c r="N523"/>
  <c r="N527"/>
  <c r="N531"/>
  <c r="N535"/>
  <c r="N543"/>
  <c r="N547"/>
  <c r="N551"/>
  <c r="N555"/>
  <c r="N559"/>
  <c r="N567"/>
  <c r="N583"/>
  <c r="N591"/>
  <c r="N595"/>
  <c r="N599"/>
  <c r="N611"/>
  <c r="N615"/>
  <c r="N627"/>
  <c r="N631"/>
  <c r="N639"/>
  <c r="N643"/>
  <c r="N647"/>
  <c r="N651"/>
  <c r="N655"/>
  <c r="N659"/>
  <c r="N663"/>
  <c r="N667"/>
  <c r="N671"/>
  <c r="N675"/>
  <c r="N679"/>
  <c r="N683"/>
  <c r="N687"/>
  <c r="N691"/>
  <c r="N695"/>
  <c r="N699"/>
  <c r="N703"/>
  <c r="N707"/>
  <c r="N711"/>
  <c r="N715"/>
  <c r="N719"/>
  <c r="N723"/>
  <c r="N727"/>
  <c r="N731"/>
  <c r="N735"/>
  <c r="N739"/>
  <c r="N743"/>
  <c r="N747"/>
  <c r="N751"/>
  <c r="N755"/>
  <c r="N759"/>
  <c r="N763"/>
  <c r="N767"/>
  <c r="N771"/>
  <c r="N775"/>
  <c r="N779"/>
  <c r="N783"/>
  <c r="N787"/>
  <c r="N791"/>
  <c r="N795"/>
  <c r="N799"/>
  <c r="N803"/>
  <c r="N807"/>
  <c r="N811"/>
  <c r="N815"/>
  <c r="N819"/>
  <c r="N823"/>
  <c r="N831"/>
  <c r="N835"/>
  <c r="N839"/>
  <c r="N843"/>
  <c r="N847"/>
  <c r="N851"/>
  <c r="N855"/>
  <c r="N859"/>
  <c r="N863"/>
  <c r="N867"/>
  <c r="N871"/>
  <c r="N875"/>
  <c r="N879"/>
  <c r="N883"/>
  <c r="N887"/>
  <c r="N891"/>
  <c r="N895"/>
  <c r="N899"/>
  <c r="N903"/>
  <c r="N907"/>
  <c r="N911"/>
  <c r="N915"/>
  <c r="N919"/>
  <c r="N923"/>
  <c r="N927"/>
  <c r="N931"/>
  <c r="N935"/>
  <c r="N939"/>
  <c r="N943"/>
  <c r="N947"/>
  <c r="N951"/>
  <c r="N955"/>
  <c r="N959"/>
  <c r="N963"/>
  <c r="N967"/>
  <c r="N971"/>
  <c r="N975"/>
  <c r="N979"/>
  <c r="N983"/>
  <c r="N987"/>
  <c r="N991"/>
  <c r="N995"/>
  <c r="N999"/>
  <c r="N1003"/>
  <c r="N1007"/>
  <c r="N1011"/>
  <c r="N1015"/>
  <c r="N1019"/>
  <c r="N1023"/>
  <c r="N1027"/>
  <c r="N1039"/>
  <c r="N1051"/>
  <c r="N1055"/>
  <c r="N1059"/>
  <c r="N1063"/>
  <c r="N1067"/>
  <c r="N1071"/>
  <c r="N1075"/>
  <c r="N1079"/>
  <c r="N1083"/>
  <c r="N1087"/>
  <c r="N1091"/>
  <c r="N1095"/>
  <c r="N1099"/>
  <c r="N1103"/>
  <c r="N1107"/>
  <c r="N1111"/>
  <c r="N1115"/>
  <c r="N1119"/>
  <c r="N1123"/>
  <c r="N1127"/>
  <c r="N1131"/>
  <c r="N1135"/>
  <c r="N1139"/>
  <c r="N1143"/>
  <c r="N1147"/>
  <c r="N1151"/>
  <c r="N1155"/>
  <c r="N1159"/>
  <c r="N1163"/>
  <c r="N1167"/>
  <c r="N1171"/>
  <c r="N1175"/>
  <c r="N1179"/>
  <c r="N1183"/>
  <c r="N1187"/>
  <c r="N1191"/>
  <c r="N1195"/>
  <c r="N1199"/>
  <c r="N1203"/>
  <c r="N1207"/>
  <c r="N1211"/>
  <c r="N1215"/>
  <c r="N1219"/>
  <c r="N1223"/>
  <c r="N1227"/>
  <c r="N1231"/>
  <c r="N1235"/>
  <c r="N1239"/>
  <c r="N1243"/>
  <c r="N1247"/>
  <c r="N1251"/>
  <c r="N1255"/>
  <c r="N1259"/>
  <c r="N1263"/>
  <c r="N1267"/>
  <c r="N1271"/>
  <c r="N1275"/>
  <c r="N1279"/>
  <c r="N1283"/>
  <c r="N1287"/>
  <c r="N1291"/>
  <c r="N1295"/>
  <c r="N1299"/>
  <c r="N1303"/>
  <c r="N1307"/>
  <c r="N1311"/>
  <c r="N1315"/>
  <c r="N1319"/>
  <c r="N1323"/>
  <c r="N1327"/>
  <c r="N1331"/>
  <c r="N1335"/>
  <c r="N1339"/>
  <c r="N1343"/>
  <c r="N1347"/>
  <c r="N1351"/>
  <c r="N1355"/>
  <c r="N1359"/>
  <c r="N1363"/>
  <c r="N1367"/>
  <c r="N1371"/>
  <c r="N1375"/>
  <c r="N1379"/>
  <c r="N1383"/>
  <c r="N1387"/>
  <c r="N1391"/>
  <c r="N1395"/>
  <c r="N1399"/>
  <c r="N1403"/>
  <c r="N1407"/>
  <c r="N1411"/>
  <c r="N1415"/>
  <c r="N1419"/>
  <c r="N1423"/>
  <c r="N1427"/>
  <c r="N1431"/>
  <c r="N1435"/>
  <c r="N1439"/>
  <c r="N1443"/>
  <c r="N1447"/>
  <c r="N1451"/>
  <c r="N1455"/>
  <c r="N1459"/>
  <c r="N1463"/>
  <c r="N1467"/>
  <c r="N1471"/>
  <c r="N1475"/>
  <c r="N1479"/>
  <c r="N1483"/>
  <c r="N1487"/>
  <c r="N1491"/>
  <c r="N1495"/>
  <c r="N1499"/>
  <c r="N1503"/>
  <c r="N1507"/>
  <c r="N1511"/>
  <c r="N1515"/>
  <c r="N1519"/>
  <c r="N1523"/>
  <c r="N1527"/>
  <c r="N1531"/>
  <c r="N1535"/>
  <c r="N1539"/>
  <c r="N1543"/>
  <c r="N1547"/>
  <c r="N1551"/>
  <c r="N1555"/>
  <c r="N1559"/>
  <c r="N1563"/>
  <c r="N1567"/>
  <c r="N1571"/>
  <c r="N1575"/>
  <c r="N1579"/>
  <c r="N1583"/>
  <c r="N1587"/>
  <c r="N1591"/>
  <c r="N1595"/>
  <c r="N1599"/>
  <c r="N1603"/>
  <c r="N1607"/>
  <c r="N1611"/>
  <c r="N1615"/>
  <c r="N1619"/>
  <c r="N1623"/>
  <c r="N1627"/>
  <c r="N1631"/>
  <c r="N1635"/>
  <c r="N1643"/>
  <c r="N1647"/>
  <c r="N1651"/>
  <c r="N1655"/>
  <c r="N1659"/>
  <c r="N1663"/>
  <c r="N1667"/>
  <c r="N1671"/>
  <c r="N1675"/>
  <c r="N1679"/>
  <c r="N1683"/>
  <c r="N1687"/>
  <c r="N1691"/>
  <c r="N1695"/>
  <c r="N1699"/>
  <c r="N1703"/>
  <c r="N1707"/>
  <c r="N1711"/>
  <c r="N1715"/>
  <c r="N1719"/>
  <c r="N1723"/>
  <c r="N1727"/>
  <c r="N1731"/>
  <c r="N1735"/>
  <c r="N1739"/>
  <c r="N1743"/>
  <c r="N1747"/>
  <c r="N1751"/>
  <c r="N1755"/>
  <c r="N1759"/>
  <c r="N1763"/>
  <c r="N1767"/>
  <c r="N1771"/>
  <c r="N1775"/>
  <c r="N1779"/>
  <c r="N1783"/>
  <c r="N1787"/>
  <c r="N1791"/>
  <c r="N1795"/>
  <c r="N1799"/>
  <c r="N1803"/>
  <c r="N1807"/>
  <c r="N1811"/>
  <c r="N1815"/>
  <c r="N1819"/>
  <c r="N1823"/>
  <c r="N1827"/>
  <c r="N1831"/>
  <c r="N1835"/>
  <c r="N1839"/>
  <c r="N1843"/>
  <c r="N1847"/>
  <c r="N1851"/>
  <c r="N1855"/>
  <c r="N1859"/>
  <c r="N1863"/>
  <c r="N1867"/>
  <c r="N1871"/>
  <c r="N1875"/>
  <c r="N1879"/>
  <c r="N1883"/>
  <c r="N1887"/>
  <c r="N1891"/>
  <c r="N1895"/>
  <c r="N1899"/>
  <c r="N1903"/>
  <c r="N1907"/>
  <c r="N1911"/>
  <c r="N1915"/>
  <c r="N1919"/>
  <c r="N1923"/>
  <c r="N1927"/>
  <c r="N1931"/>
  <c r="N1935"/>
  <c r="N1939"/>
  <c r="N1943"/>
  <c r="N1947"/>
  <c r="N1951"/>
  <c r="N1955"/>
  <c r="N1959"/>
  <c r="N1963"/>
  <c r="N1967"/>
  <c r="N1971"/>
  <c r="N1975"/>
  <c r="N1979"/>
  <c r="N1983"/>
  <c r="N1987"/>
  <c r="N1991"/>
  <c r="N1995"/>
  <c r="N1999"/>
  <c r="N2003"/>
  <c r="N2007"/>
  <c r="N2011"/>
  <c r="N2015"/>
  <c r="N2019"/>
  <c r="N2023"/>
  <c r="N2027"/>
  <c r="N2031"/>
  <c r="N2035"/>
  <c r="N2039"/>
  <c r="N2043"/>
  <c r="N2047"/>
  <c r="N2051"/>
  <c r="N2055"/>
  <c r="N2059"/>
  <c r="N2063"/>
  <c r="N2067"/>
  <c r="N2071"/>
  <c r="N2075"/>
  <c r="N2079"/>
  <c r="N2083"/>
  <c r="N2087"/>
  <c r="N2091"/>
  <c r="N2099"/>
  <c r="N2107"/>
  <c r="N2111"/>
  <c r="N2119"/>
  <c r="N2123"/>
  <c r="N2127"/>
  <c r="N2131"/>
  <c r="N2135"/>
  <c r="N2139"/>
  <c r="N2143"/>
  <c r="N2147"/>
  <c r="N2151"/>
  <c r="N2155"/>
  <c r="N2159"/>
  <c r="N2163"/>
  <c r="N2167"/>
  <c r="O37"/>
  <c r="O41"/>
  <c r="O45"/>
  <c r="O49"/>
  <c r="O53"/>
  <c r="O57"/>
  <c r="O61"/>
  <c r="O65"/>
  <c r="O69"/>
  <c r="O73"/>
  <c r="O77"/>
  <c r="O81"/>
  <c r="O85"/>
  <c r="O89"/>
  <c r="O93"/>
  <c r="O97"/>
  <c r="O101"/>
  <c r="O105"/>
  <c r="O109"/>
  <c r="O113"/>
  <c r="O117"/>
  <c r="O121"/>
  <c r="O125"/>
  <c r="O129"/>
  <c r="O133"/>
  <c r="O137"/>
  <c r="O141"/>
  <c r="O145"/>
  <c r="O149"/>
  <c r="O153"/>
  <c r="O157"/>
  <c r="O161"/>
  <c r="O165"/>
  <c r="O83"/>
  <c r="O91"/>
  <c r="O99"/>
  <c r="O107"/>
  <c r="O115"/>
  <c r="O123"/>
  <c r="O131"/>
  <c r="O139"/>
  <c r="O147"/>
  <c r="O155"/>
  <c r="O163"/>
  <c r="O169"/>
  <c r="O173"/>
  <c r="O177"/>
  <c r="O181"/>
  <c r="O185"/>
  <c r="O189"/>
  <c r="O193"/>
  <c r="O197"/>
  <c r="O201"/>
  <c r="O205"/>
  <c r="O209"/>
  <c r="O213"/>
  <c r="O217"/>
  <c r="O221"/>
  <c r="O225"/>
  <c r="O229"/>
  <c r="O233"/>
  <c r="O237"/>
  <c r="O241"/>
  <c r="O253"/>
  <c r="O257"/>
  <c r="O261"/>
  <c r="O265"/>
  <c r="O269"/>
  <c r="O273"/>
  <c r="O277"/>
  <c r="O281"/>
  <c r="O285"/>
  <c r="O289"/>
  <c r="O293"/>
  <c r="O305"/>
  <c r="O309"/>
  <c r="O313"/>
  <c r="O321"/>
  <c r="O325"/>
  <c r="O329"/>
  <c r="O333"/>
  <c r="O337"/>
  <c r="O341"/>
  <c r="O345"/>
  <c r="O349"/>
  <c r="O353"/>
  <c r="O357"/>
  <c r="O361"/>
  <c r="O365"/>
  <c r="O369"/>
  <c r="O373"/>
  <c r="O385"/>
  <c r="O397"/>
  <c r="O405"/>
  <c r="O417"/>
  <c r="O421"/>
  <c r="O425"/>
  <c r="O433"/>
  <c r="O437"/>
  <c r="O445"/>
  <c r="O457"/>
  <c r="O465"/>
  <c r="O473"/>
  <c r="O477"/>
  <c r="O481"/>
  <c r="O489"/>
  <c r="O493"/>
  <c r="O497"/>
  <c r="O501"/>
  <c r="O505"/>
  <c r="O513"/>
  <c r="O517"/>
  <c r="O521"/>
  <c r="O525"/>
  <c r="O529"/>
  <c r="O533"/>
  <c r="O537"/>
  <c r="O541"/>
  <c r="O549"/>
  <c r="O553"/>
  <c r="O561"/>
  <c r="O565"/>
  <c r="O569"/>
  <c r="O581"/>
  <c r="O585"/>
  <c r="O589"/>
  <c r="O593"/>
  <c r="O597"/>
  <c r="O601"/>
  <c r="O605"/>
  <c r="O613"/>
  <c r="O617"/>
  <c r="O621"/>
  <c r="O625"/>
  <c r="O629"/>
  <c r="O641"/>
  <c r="O645"/>
  <c r="O649"/>
  <c r="O653"/>
  <c r="O657"/>
  <c r="O661"/>
  <c r="O665"/>
  <c r="O669"/>
  <c r="O673"/>
  <c r="O677"/>
  <c r="O681"/>
  <c r="O685"/>
  <c r="O689"/>
  <c r="O693"/>
  <c r="O697"/>
  <c r="O701"/>
  <c r="O705"/>
  <c r="O709"/>
  <c r="O713"/>
  <c r="O717"/>
  <c r="O721"/>
  <c r="O725"/>
  <c r="O729"/>
  <c r="O733"/>
  <c r="O737"/>
  <c r="O741"/>
  <c r="O745"/>
  <c r="O749"/>
  <c r="O753"/>
  <c r="O757"/>
  <c r="O761"/>
  <c r="O765"/>
  <c r="O769"/>
  <c r="O773"/>
  <c r="O777"/>
  <c r="O781"/>
  <c r="O785"/>
  <c r="O789"/>
  <c r="O793"/>
  <c r="O797"/>
  <c r="O801"/>
  <c r="O805"/>
  <c r="O809"/>
  <c r="O813"/>
  <c r="O817"/>
  <c r="O821"/>
  <c r="O825"/>
  <c r="O829"/>
  <c r="O833"/>
  <c r="O837"/>
  <c r="O841"/>
  <c r="O845"/>
  <c r="O849"/>
  <c r="O853"/>
  <c r="O857"/>
  <c r="O861"/>
  <c r="O865"/>
  <c r="O869"/>
  <c r="O873"/>
  <c r="O877"/>
  <c r="O881"/>
  <c r="O885"/>
  <c r="O889"/>
  <c r="O893"/>
  <c r="O897"/>
  <c r="O901"/>
  <c r="O905"/>
  <c r="O909"/>
  <c r="O913"/>
  <c r="O917"/>
  <c r="O921"/>
  <c r="O925"/>
  <c r="O929"/>
  <c r="O933"/>
  <c r="O937"/>
  <c r="O941"/>
  <c r="O945"/>
  <c r="O949"/>
  <c r="O953"/>
  <c r="O957"/>
  <c r="O961"/>
  <c r="O965"/>
  <c r="O969"/>
  <c r="O973"/>
  <c r="O977"/>
  <c r="O981"/>
  <c r="O985"/>
  <c r="O989"/>
  <c r="O993"/>
  <c r="O997"/>
  <c r="O1001"/>
  <c r="O1005"/>
  <c r="O1009"/>
  <c r="O1013"/>
  <c r="O1017"/>
  <c r="O1021"/>
  <c r="O1025"/>
  <c r="O1033"/>
  <c r="O1037"/>
  <c r="O1041"/>
  <c r="O1045"/>
  <c r="O1053"/>
  <c r="O1057"/>
  <c r="O1061"/>
  <c r="O1065"/>
  <c r="O1069"/>
  <c r="O1073"/>
  <c r="O1077"/>
  <c r="O1081"/>
  <c r="O1085"/>
  <c r="O1089"/>
  <c r="O1093"/>
  <c r="O1097"/>
  <c r="O1101"/>
  <c r="O1105"/>
  <c r="O1109"/>
  <c r="O1113"/>
  <c r="O1117"/>
  <c r="O1121"/>
  <c r="O1125"/>
  <c r="O1129"/>
  <c r="O1133"/>
  <c r="O1137"/>
  <c r="O1141"/>
  <c r="O1145"/>
  <c r="O1149"/>
  <c r="O1153"/>
  <c r="O1157"/>
  <c r="O1161"/>
  <c r="O1165"/>
  <c r="O1169"/>
  <c r="O1173"/>
  <c r="O1177"/>
  <c r="O1181"/>
  <c r="O1185"/>
  <c r="O1189"/>
  <c r="O1193"/>
  <c r="O1197"/>
  <c r="O1201"/>
  <c r="O1205"/>
  <c r="O1209"/>
  <c r="O1213"/>
  <c r="O1217"/>
  <c r="O1221"/>
  <c r="O1225"/>
  <c r="O1229"/>
  <c r="O1233"/>
  <c r="O1237"/>
  <c r="O1241"/>
  <c r="O1245"/>
  <c r="O1249"/>
  <c r="O1253"/>
  <c r="O1257"/>
  <c r="O1261"/>
  <c r="O1265"/>
  <c r="O1269"/>
  <c r="O1273"/>
  <c r="O1277"/>
  <c r="O1281"/>
  <c r="O1285"/>
  <c r="O1289"/>
  <c r="O1293"/>
  <c r="O1297"/>
  <c r="O1301"/>
  <c r="O1305"/>
  <c r="O1309"/>
  <c r="O1313"/>
  <c r="O1317"/>
  <c r="O1321"/>
  <c r="O1325"/>
  <c r="O1329"/>
  <c r="O1333"/>
  <c r="O1337"/>
  <c r="O1341"/>
  <c r="O1345"/>
  <c r="O1349"/>
  <c r="O1353"/>
  <c r="O1357"/>
  <c r="O1361"/>
  <c r="O1365"/>
  <c r="O1369"/>
  <c r="O1373"/>
  <c r="O1377"/>
  <c r="O1381"/>
  <c r="O1385"/>
  <c r="O1389"/>
  <c r="O1393"/>
  <c r="O1397"/>
  <c r="O1401"/>
  <c r="O1405"/>
  <c r="O1409"/>
  <c r="O1413"/>
  <c r="O1417"/>
  <c r="O1421"/>
  <c r="O1425"/>
  <c r="O1429"/>
  <c r="O1433"/>
  <c r="O1437"/>
  <c r="O1441"/>
  <c r="O1445"/>
  <c r="O1449"/>
  <c r="O1453"/>
  <c r="O1457"/>
  <c r="O1461"/>
  <c r="O1465"/>
  <c r="O1469"/>
  <c r="O1473"/>
  <c r="O1477"/>
  <c r="O1481"/>
  <c r="O1485"/>
  <c r="O1489"/>
  <c r="O1493"/>
  <c r="O1497"/>
  <c r="O1501"/>
  <c r="O1505"/>
  <c r="O1509"/>
  <c r="O1513"/>
  <c r="O1517"/>
  <c r="O1521"/>
  <c r="O1525"/>
  <c r="O1529"/>
  <c r="O1533"/>
  <c r="O1537"/>
  <c r="O1541"/>
  <c r="O1545"/>
  <c r="O1549"/>
  <c r="O1553"/>
  <c r="O1557"/>
  <c r="O1561"/>
  <c r="O1565"/>
  <c r="O1569"/>
  <c r="O1573"/>
  <c r="O1577"/>
  <c r="O1581"/>
  <c r="O1585"/>
  <c r="O1589"/>
  <c r="O1597"/>
  <c r="O1601"/>
  <c r="O1605"/>
  <c r="O1609"/>
  <c r="O1613"/>
  <c r="O1617"/>
  <c r="O1621"/>
  <c r="O1625"/>
  <c r="O1629"/>
  <c r="O1633"/>
  <c r="O1637"/>
  <c r="O1641"/>
  <c r="O1645"/>
  <c r="O1649"/>
  <c r="O1653"/>
  <c r="O1657"/>
  <c r="O1661"/>
  <c r="O1665"/>
  <c r="O1669"/>
  <c r="O1673"/>
  <c r="O1677"/>
  <c r="O1681"/>
  <c r="O1685"/>
  <c r="O1689"/>
  <c r="O1693"/>
  <c r="O1697"/>
  <c r="O1701"/>
  <c r="O1705"/>
  <c r="O1709"/>
  <c r="O1713"/>
  <c r="O1717"/>
  <c r="O1721"/>
  <c r="O1725"/>
  <c r="O1729"/>
  <c r="O1733"/>
  <c r="O1737"/>
  <c r="O1741"/>
  <c r="O1745"/>
  <c r="O1749"/>
  <c r="O1753"/>
  <c r="O1757"/>
  <c r="O1761"/>
  <c r="O1765"/>
  <c r="O1769"/>
  <c r="O1773"/>
  <c r="O1777"/>
  <c r="O1781"/>
  <c r="O1785"/>
  <c r="O1789"/>
  <c r="O1793"/>
  <c r="O1797"/>
  <c r="O1801"/>
  <c r="O1805"/>
  <c r="O1809"/>
  <c r="O1813"/>
  <c r="O1817"/>
  <c r="O1821"/>
  <c r="O1825"/>
  <c r="O1829"/>
  <c r="O1833"/>
  <c r="O1837"/>
  <c r="O1841"/>
  <c r="O1845"/>
  <c r="O1849"/>
  <c r="O1853"/>
  <c r="O1857"/>
  <c r="O1861"/>
  <c r="O1865"/>
  <c r="O1869"/>
  <c r="O1873"/>
  <c r="O1877"/>
  <c r="O1881"/>
  <c r="O1885"/>
  <c r="O1889"/>
  <c r="O1893"/>
  <c r="O1897"/>
  <c r="O1901"/>
  <c r="O1905"/>
  <c r="O1909"/>
  <c r="O1913"/>
  <c r="O1917"/>
  <c r="O1921"/>
  <c r="O1925"/>
  <c r="O1929"/>
  <c r="O1933"/>
  <c r="O1937"/>
  <c r="O1941"/>
  <c r="O1945"/>
  <c r="O1949"/>
  <c r="O1953"/>
  <c r="O1957"/>
  <c r="O1961"/>
  <c r="O1965"/>
  <c r="O1969"/>
  <c r="O1973"/>
  <c r="O1977"/>
  <c r="O1981"/>
  <c r="O1985"/>
  <c r="O1989"/>
  <c r="O1993"/>
  <c r="O1997"/>
  <c r="O2001"/>
  <c r="O2005"/>
  <c r="O2009"/>
  <c r="O2013"/>
  <c r="O2017"/>
  <c r="O2021"/>
  <c r="O2025"/>
  <c r="O2029"/>
  <c r="O2033"/>
  <c r="O2037"/>
  <c r="O2041"/>
  <c r="O2045"/>
  <c r="O2049"/>
  <c r="O2053"/>
  <c r="O2057"/>
  <c r="O2061"/>
  <c r="O2065"/>
  <c r="O2069"/>
  <c r="O2073"/>
  <c r="O2077"/>
  <c r="O2081"/>
  <c r="O2085"/>
  <c r="O2089"/>
  <c r="O2093"/>
  <c r="O2097"/>
  <c r="O2101"/>
  <c r="O2105"/>
  <c r="O2109"/>
  <c r="O2113"/>
  <c r="O2117"/>
  <c r="O2121"/>
  <c r="O2125"/>
  <c r="O2129"/>
  <c r="O2133"/>
  <c r="O2137"/>
  <c r="O2141"/>
  <c r="O2145"/>
  <c r="O2149"/>
  <c r="O2153"/>
  <c r="O2157"/>
  <c r="O2161"/>
  <c r="O2165"/>
  <c r="O79"/>
  <c r="O88"/>
  <c r="O96"/>
  <c r="O104"/>
  <c r="O112"/>
  <c r="O120"/>
  <c r="O128"/>
  <c r="O136"/>
  <c r="O144"/>
  <c r="O152"/>
  <c r="O160"/>
  <c r="O168"/>
  <c r="O172"/>
  <c r="O176"/>
  <c r="O180"/>
  <c r="O184"/>
  <c r="O188"/>
  <c r="O192"/>
  <c r="O196"/>
  <c r="O200"/>
  <c r="O204"/>
  <c r="O208"/>
  <c r="O212"/>
  <c r="O216"/>
  <c r="O220"/>
  <c r="O224"/>
  <c r="O228"/>
  <c r="O232"/>
  <c r="O236"/>
  <c r="O248"/>
  <c r="O252"/>
  <c r="O272"/>
  <c r="O280"/>
  <c r="O284"/>
  <c r="O296"/>
  <c r="O300"/>
  <c r="O308"/>
  <c r="O320"/>
  <c r="O324"/>
  <c r="O328"/>
  <c r="O332"/>
  <c r="O336"/>
  <c r="O344"/>
  <c r="O348"/>
  <c r="O352"/>
  <c r="O360"/>
  <c r="O364"/>
  <c r="O368"/>
  <c r="O376"/>
  <c r="O384"/>
  <c r="O392"/>
  <c r="O396"/>
  <c r="O400"/>
  <c r="O408"/>
  <c r="O416"/>
  <c r="O420"/>
  <c r="O428"/>
  <c r="O448"/>
  <c r="O452"/>
  <c r="O456"/>
  <c r="O460"/>
  <c r="O476"/>
  <c r="O480"/>
  <c r="O484"/>
  <c r="O488"/>
  <c r="O492"/>
  <c r="O504"/>
  <c r="O520"/>
  <c r="O524"/>
  <c r="O528"/>
  <c r="O532"/>
  <c r="O540"/>
  <c r="O544"/>
  <c r="O548"/>
  <c r="O560"/>
  <c r="O568"/>
  <c r="O572"/>
  <c r="O576"/>
  <c r="O592"/>
  <c r="O596"/>
  <c r="O600"/>
  <c r="O612"/>
  <c r="O616"/>
  <c r="O624"/>
  <c r="O636"/>
  <c r="O640"/>
  <c r="O644"/>
  <c r="O648"/>
  <c r="O652"/>
  <c r="O656"/>
  <c r="O660"/>
  <c r="O664"/>
  <c r="O668"/>
  <c r="O672"/>
  <c r="O676"/>
  <c r="O680"/>
  <c r="O684"/>
  <c r="O688"/>
  <c r="O692"/>
  <c r="O696"/>
  <c r="O700"/>
  <c r="O704"/>
  <c r="O708"/>
  <c r="O712"/>
  <c r="O716"/>
  <c r="O720"/>
  <c r="O724"/>
  <c r="O728"/>
  <c r="O732"/>
  <c r="O736"/>
  <c r="O740"/>
  <c r="O744"/>
  <c r="O748"/>
  <c r="O752"/>
  <c r="O756"/>
  <c r="O760"/>
  <c r="O768"/>
  <c r="O772"/>
  <c r="O776"/>
  <c r="O780"/>
  <c r="O784"/>
  <c r="O788"/>
  <c r="O796"/>
  <c r="O800"/>
  <c r="O804"/>
  <c r="O808"/>
  <c r="O812"/>
  <c r="O816"/>
  <c r="O820"/>
  <c r="O824"/>
  <c r="O836"/>
  <c r="O840"/>
  <c r="O844"/>
  <c r="O848"/>
  <c r="O852"/>
  <c r="O856"/>
  <c r="O860"/>
  <c r="O864"/>
  <c r="O868"/>
  <c r="O872"/>
  <c r="O876"/>
  <c r="O880"/>
  <c r="O884"/>
  <c r="O888"/>
  <c r="O892"/>
  <c r="O896"/>
  <c r="O900"/>
  <c r="O904"/>
  <c r="O908"/>
  <c r="O912"/>
  <c r="O916"/>
  <c r="O920"/>
  <c r="O924"/>
  <c r="O928"/>
  <c r="O932"/>
  <c r="O936"/>
  <c r="O940"/>
  <c r="O944"/>
  <c r="O948"/>
  <c r="O952"/>
  <c r="O956"/>
  <c r="O960"/>
  <c r="O964"/>
  <c r="O968"/>
  <c r="O972"/>
  <c r="O976"/>
  <c r="O980"/>
  <c r="O984"/>
  <c r="O988"/>
  <c r="O992"/>
  <c r="O996"/>
  <c r="O1000"/>
  <c r="O1004"/>
  <c r="O1008"/>
  <c r="O1012"/>
  <c r="O1016"/>
  <c r="O1020"/>
  <c r="O1024"/>
  <c r="O1044"/>
  <c r="O1048"/>
  <c r="O1052"/>
  <c r="O1060"/>
  <c r="O1064"/>
  <c r="O1068"/>
  <c r="O1072"/>
  <c r="O1076"/>
  <c r="O1080"/>
  <c r="O1084"/>
  <c r="O1092"/>
  <c r="O1096"/>
  <c r="O1100"/>
  <c r="O1104"/>
  <c r="O1108"/>
  <c r="O1112"/>
  <c r="O1116"/>
  <c r="O1120"/>
  <c r="O1124"/>
  <c r="O1128"/>
  <c r="O1132"/>
  <c r="O1136"/>
  <c r="O1140"/>
  <c r="O1144"/>
  <c r="O1148"/>
  <c r="O1152"/>
  <c r="O1156"/>
  <c r="O1160"/>
  <c r="O1164"/>
  <c r="O1168"/>
  <c r="O1172"/>
  <c r="O1176"/>
  <c r="O1180"/>
  <c r="O1184"/>
  <c r="O1188"/>
  <c r="O1192"/>
  <c r="O1196"/>
  <c r="O1200"/>
  <c r="O1204"/>
  <c r="O1208"/>
  <c r="O1212"/>
  <c r="O1216"/>
  <c r="O1220"/>
  <c r="O1224"/>
  <c r="O1228"/>
  <c r="O1232"/>
  <c r="O1236"/>
  <c r="O1240"/>
  <c r="O1244"/>
  <c r="O1248"/>
  <c r="O1252"/>
  <c r="O1256"/>
  <c r="O1260"/>
  <c r="O1264"/>
  <c r="O1268"/>
  <c r="O1272"/>
  <c r="O1276"/>
  <c r="O1280"/>
  <c r="O1284"/>
  <c r="O1288"/>
  <c r="O1292"/>
  <c r="O1296"/>
  <c r="O1300"/>
  <c r="O1304"/>
  <c r="O1308"/>
  <c r="O1312"/>
  <c r="O1316"/>
  <c r="O1320"/>
  <c r="O1324"/>
  <c r="O1328"/>
  <c r="O1332"/>
  <c r="O1336"/>
  <c r="O1340"/>
  <c r="O1344"/>
  <c r="O1348"/>
  <c r="O1352"/>
  <c r="O1356"/>
  <c r="O1360"/>
  <c r="O1364"/>
  <c r="O1368"/>
  <c r="O1372"/>
  <c r="O1376"/>
  <c r="O1380"/>
  <c r="O1384"/>
  <c r="O1388"/>
  <c r="O1392"/>
  <c r="O1396"/>
  <c r="O1400"/>
  <c r="O1404"/>
  <c r="O1408"/>
  <c r="O1412"/>
  <c r="O1416"/>
  <c r="O1420"/>
  <c r="O1424"/>
  <c r="O1428"/>
  <c r="O1432"/>
  <c r="O1436"/>
  <c r="O1440"/>
  <c r="O1444"/>
  <c r="O1448"/>
  <c r="O1452"/>
  <c r="O1456"/>
  <c r="O1460"/>
  <c r="O1464"/>
  <c r="O1468"/>
  <c r="O1472"/>
  <c r="O1476"/>
  <c r="O1480"/>
  <c r="O1484"/>
  <c r="O1488"/>
  <c r="O1492"/>
  <c r="O1496"/>
  <c r="O1500"/>
  <c r="O1504"/>
  <c r="O1508"/>
  <c r="O1512"/>
  <c r="O1516"/>
  <c r="O1520"/>
  <c r="O1524"/>
  <c r="O1528"/>
  <c r="O1532"/>
  <c r="O1536"/>
  <c r="O1540"/>
  <c r="O1544"/>
  <c r="O1548"/>
  <c r="O1552"/>
  <c r="O1556"/>
  <c r="O1560"/>
  <c r="O1564"/>
  <c r="O1568"/>
  <c r="O1572"/>
  <c r="O1576"/>
  <c r="O1580"/>
  <c r="O1584"/>
  <c r="O1588"/>
  <c r="O1592"/>
  <c r="O1596"/>
  <c r="O1600"/>
  <c r="O1604"/>
  <c r="O1608"/>
  <c r="O1612"/>
  <c r="O1616"/>
  <c r="O1620"/>
  <c r="O1624"/>
  <c r="O1628"/>
  <c r="O1632"/>
  <c r="O1636"/>
  <c r="O1644"/>
  <c r="O1648"/>
  <c r="O1652"/>
  <c r="O1656"/>
  <c r="O1660"/>
  <c r="O1664"/>
  <c r="O1668"/>
  <c r="O1672"/>
  <c r="O1676"/>
  <c r="O1680"/>
  <c r="O1684"/>
  <c r="O1688"/>
  <c r="O1692"/>
  <c r="O1696"/>
  <c r="O1700"/>
  <c r="O1704"/>
  <c r="O1708"/>
  <c r="O1712"/>
  <c r="O1716"/>
  <c r="O1720"/>
  <c r="O1724"/>
  <c r="O1728"/>
  <c r="O1732"/>
  <c r="O1736"/>
  <c r="O1740"/>
  <c r="O1744"/>
  <c r="O1748"/>
  <c r="O1752"/>
  <c r="O1756"/>
  <c r="O1760"/>
  <c r="O1764"/>
  <c r="O1768"/>
  <c r="O1772"/>
  <c r="O1776"/>
  <c r="O1780"/>
  <c r="O1784"/>
  <c r="O1788"/>
  <c r="O1792"/>
  <c r="O1796"/>
  <c r="O1800"/>
  <c r="O1804"/>
  <c r="O1808"/>
  <c r="O1812"/>
  <c r="O1816"/>
  <c r="O1820"/>
  <c r="O1824"/>
  <c r="O1828"/>
  <c r="O1832"/>
  <c r="O1836"/>
  <c r="O1840"/>
  <c r="O1844"/>
  <c r="O1848"/>
  <c r="O1852"/>
  <c r="O1856"/>
  <c r="O1860"/>
  <c r="O1864"/>
  <c r="O1868"/>
  <c r="O1872"/>
  <c r="O1876"/>
  <c r="O1880"/>
  <c r="O1884"/>
  <c r="O1888"/>
  <c r="O1892"/>
  <c r="O1896"/>
  <c r="O1900"/>
  <c r="O1904"/>
  <c r="O1908"/>
  <c r="O1912"/>
  <c r="O1916"/>
  <c r="O1920"/>
  <c r="O1924"/>
  <c r="O1928"/>
  <c r="O1932"/>
  <c r="O1936"/>
  <c r="O1940"/>
  <c r="O1944"/>
  <c r="O1948"/>
  <c r="O1952"/>
  <c r="O1956"/>
  <c r="O1960"/>
  <c r="O1964"/>
  <c r="O1968"/>
  <c r="O1972"/>
  <c r="O1976"/>
  <c r="O1980"/>
  <c r="O1984"/>
  <c r="O1988"/>
  <c r="O1992"/>
  <c r="O1996"/>
  <c r="O2000"/>
  <c r="O2004"/>
  <c r="O2008"/>
  <c r="O2012"/>
  <c r="O2016"/>
  <c r="O2020"/>
  <c r="O2024"/>
  <c r="O2028"/>
  <c r="O2032"/>
  <c r="O2036"/>
  <c r="O2040"/>
  <c r="O2044"/>
  <c r="O2048"/>
  <c r="O2052"/>
  <c r="O2056"/>
  <c r="O2060"/>
  <c r="O2064"/>
  <c r="O2068"/>
  <c r="O2072"/>
  <c r="O2076"/>
  <c r="O2080"/>
  <c r="O2084"/>
  <c r="O2088"/>
  <c r="O2092"/>
  <c r="O2100"/>
  <c r="O2108"/>
  <c r="O2112"/>
  <c r="O2116"/>
  <c r="O2120"/>
  <c r="O2124"/>
  <c r="O2128"/>
  <c r="O2132"/>
  <c r="O2136"/>
  <c r="O2140"/>
  <c r="O2144"/>
  <c r="O2148"/>
  <c r="O2152"/>
  <c r="O2156"/>
  <c r="O2160"/>
  <c r="O2164"/>
  <c r="O2168"/>
  <c r="O87"/>
  <c r="O95"/>
  <c r="O103"/>
  <c r="O111"/>
  <c r="O119"/>
  <c r="O127"/>
  <c r="O135"/>
  <c r="O143"/>
  <c r="O151"/>
  <c r="O159"/>
  <c r="O167"/>
  <c r="O171"/>
  <c r="O175"/>
  <c r="O179"/>
  <c r="O183"/>
  <c r="O187"/>
  <c r="O191"/>
  <c r="O195"/>
  <c r="O199"/>
  <c r="O203"/>
  <c r="O207"/>
  <c r="O211"/>
  <c r="O215"/>
  <c r="O219"/>
  <c r="O223"/>
  <c r="O227"/>
  <c r="O231"/>
  <c r="O235"/>
  <c r="O239"/>
  <c r="O243"/>
  <c r="O251"/>
  <c r="O255"/>
  <c r="O263"/>
  <c r="O267"/>
  <c r="O271"/>
  <c r="O279"/>
  <c r="O283"/>
  <c r="O291"/>
  <c r="O295"/>
  <c r="O299"/>
  <c r="O303"/>
  <c r="O311"/>
  <c r="O319"/>
  <c r="O323"/>
  <c r="O327"/>
  <c r="O331"/>
  <c r="O335"/>
  <c r="O339"/>
  <c r="O343"/>
  <c r="O347"/>
  <c r="O351"/>
  <c r="O359"/>
  <c r="O363"/>
  <c r="O367"/>
  <c r="O371"/>
  <c r="O375"/>
  <c r="O379"/>
  <c r="O383"/>
  <c r="O387"/>
  <c r="O399"/>
  <c r="O407"/>
  <c r="O419"/>
  <c r="O427"/>
  <c r="O431"/>
  <c r="O439"/>
  <c r="O443"/>
  <c r="O455"/>
  <c r="O459"/>
  <c r="O463"/>
  <c r="O467"/>
  <c r="O475"/>
  <c r="O479"/>
  <c r="O483"/>
  <c r="O487"/>
  <c r="O491"/>
  <c r="O495"/>
  <c r="O507"/>
  <c r="O511"/>
  <c r="O515"/>
  <c r="O523"/>
  <c r="O527"/>
  <c r="O531"/>
  <c r="O535"/>
  <c r="O543"/>
  <c r="O547"/>
  <c r="O551"/>
  <c r="O555"/>
  <c r="O559"/>
  <c r="O567"/>
  <c r="O583"/>
  <c r="O591"/>
  <c r="O595"/>
  <c r="O599"/>
  <c r="O611"/>
  <c r="O615"/>
  <c r="O627"/>
  <c r="O631"/>
  <c r="O639"/>
  <c r="O643"/>
  <c r="O647"/>
  <c r="O651"/>
  <c r="O655"/>
  <c r="O659"/>
  <c r="O663"/>
  <c r="O667"/>
  <c r="O671"/>
  <c r="O675"/>
  <c r="O679"/>
  <c r="O683"/>
  <c r="O687"/>
  <c r="O691"/>
  <c r="O695"/>
  <c r="O699"/>
  <c r="O703"/>
  <c r="O707"/>
  <c r="O711"/>
  <c r="O715"/>
  <c r="O719"/>
  <c r="O723"/>
  <c r="O727"/>
  <c r="O731"/>
  <c r="O735"/>
  <c r="O739"/>
  <c r="O743"/>
  <c r="O747"/>
  <c r="O751"/>
  <c r="O755"/>
  <c r="O759"/>
  <c r="O763"/>
  <c r="O767"/>
  <c r="O771"/>
  <c r="O775"/>
  <c r="O779"/>
  <c r="O783"/>
  <c r="O787"/>
  <c r="O791"/>
  <c r="O795"/>
  <c r="O799"/>
  <c r="O803"/>
  <c r="O807"/>
  <c r="O811"/>
  <c r="O815"/>
  <c r="O819"/>
  <c r="O823"/>
  <c r="O831"/>
  <c r="O835"/>
  <c r="O839"/>
  <c r="O843"/>
  <c r="O847"/>
  <c r="O851"/>
  <c r="O855"/>
  <c r="O859"/>
  <c r="O863"/>
  <c r="O867"/>
  <c r="O871"/>
  <c r="O875"/>
  <c r="O879"/>
  <c r="O883"/>
  <c r="O887"/>
  <c r="O891"/>
  <c r="O895"/>
  <c r="O899"/>
  <c r="O903"/>
  <c r="O907"/>
  <c r="O911"/>
  <c r="O915"/>
  <c r="O919"/>
  <c r="O923"/>
  <c r="O927"/>
  <c r="O931"/>
  <c r="O935"/>
  <c r="O939"/>
  <c r="O943"/>
  <c r="O947"/>
  <c r="O951"/>
  <c r="O955"/>
  <c r="O959"/>
  <c r="O963"/>
  <c r="O967"/>
  <c r="O971"/>
  <c r="O975"/>
  <c r="O979"/>
  <c r="O983"/>
  <c r="O987"/>
  <c r="O991"/>
  <c r="O995"/>
  <c r="O999"/>
  <c r="O1003"/>
  <c r="O1007"/>
  <c r="O1011"/>
  <c r="O1015"/>
  <c r="O1019"/>
  <c r="O1023"/>
  <c r="O1027"/>
  <c r="O1039"/>
  <c r="O1051"/>
  <c r="O1055"/>
  <c r="O1059"/>
  <c r="O1063"/>
  <c r="O1067"/>
  <c r="O1071"/>
  <c r="O1075"/>
  <c r="O1079"/>
  <c r="O1083"/>
  <c r="O1087"/>
  <c r="O1091"/>
  <c r="O1095"/>
  <c r="O1099"/>
  <c r="O1103"/>
  <c r="O1107"/>
  <c r="O1111"/>
  <c r="O1115"/>
  <c r="O1119"/>
  <c r="O1123"/>
  <c r="O1127"/>
  <c r="O1131"/>
  <c r="O1135"/>
  <c r="O1139"/>
  <c r="O1143"/>
  <c r="O1147"/>
  <c r="O1151"/>
  <c r="O1155"/>
  <c r="O1159"/>
  <c r="O1163"/>
  <c r="O1167"/>
  <c r="O1171"/>
  <c r="O1175"/>
  <c r="O1179"/>
  <c r="O1183"/>
  <c r="O1187"/>
  <c r="O1191"/>
  <c r="O1195"/>
  <c r="O1199"/>
  <c r="O1203"/>
  <c r="O1207"/>
  <c r="O1211"/>
  <c r="O1215"/>
  <c r="O1219"/>
  <c r="O1223"/>
  <c r="O1227"/>
  <c r="O1231"/>
  <c r="O1235"/>
  <c r="O1239"/>
  <c r="O1243"/>
  <c r="O1247"/>
  <c r="O1251"/>
  <c r="O1255"/>
  <c r="O1259"/>
  <c r="O1263"/>
  <c r="O1267"/>
  <c r="O1271"/>
  <c r="O1275"/>
  <c r="O1279"/>
  <c r="O1283"/>
  <c r="O1287"/>
  <c r="O1291"/>
  <c r="O1295"/>
  <c r="O1299"/>
  <c r="O1303"/>
  <c r="O1307"/>
  <c r="O1311"/>
  <c r="O1315"/>
  <c r="O1319"/>
  <c r="O1323"/>
  <c r="O1327"/>
  <c r="O1331"/>
  <c r="O1335"/>
  <c r="O1339"/>
  <c r="O1343"/>
  <c r="O1347"/>
  <c r="O1351"/>
  <c r="O1355"/>
  <c r="O1359"/>
  <c r="O1363"/>
  <c r="O1367"/>
  <c r="O1371"/>
  <c r="O1375"/>
  <c r="O1379"/>
  <c r="O1383"/>
  <c r="O1387"/>
  <c r="O1391"/>
  <c r="O1395"/>
  <c r="O1399"/>
  <c r="O1403"/>
  <c r="O1407"/>
  <c r="O1411"/>
  <c r="O1415"/>
  <c r="O1419"/>
  <c r="O1423"/>
  <c r="O1427"/>
  <c r="O1431"/>
  <c r="O1435"/>
  <c r="O1439"/>
  <c r="O1443"/>
  <c r="O1447"/>
  <c r="O1451"/>
  <c r="O1455"/>
  <c r="O1459"/>
  <c r="O1463"/>
  <c r="O1467"/>
  <c r="O1471"/>
  <c r="O1475"/>
  <c r="O1479"/>
  <c r="O1483"/>
  <c r="O1487"/>
  <c r="O1491"/>
  <c r="O1495"/>
  <c r="O1499"/>
  <c r="O1503"/>
  <c r="O1507"/>
  <c r="O1511"/>
  <c r="O1515"/>
  <c r="O1519"/>
  <c r="O1523"/>
  <c r="O1527"/>
  <c r="O1531"/>
  <c r="O1535"/>
  <c r="O1539"/>
  <c r="O1543"/>
  <c r="O1547"/>
  <c r="O1551"/>
  <c r="O1555"/>
  <c r="O1559"/>
  <c r="O1563"/>
  <c r="O1567"/>
  <c r="O1571"/>
  <c r="O1575"/>
  <c r="O1579"/>
  <c r="O1583"/>
  <c r="O1587"/>
  <c r="O1591"/>
  <c r="O1595"/>
  <c r="O1599"/>
  <c r="O1603"/>
  <c r="O1607"/>
  <c r="O1611"/>
  <c r="O1615"/>
  <c r="O1619"/>
  <c r="O1623"/>
  <c r="O1627"/>
  <c r="O1631"/>
  <c r="O1635"/>
  <c r="O1643"/>
  <c r="O1647"/>
  <c r="O1651"/>
  <c r="O1655"/>
  <c r="O1659"/>
  <c r="O1663"/>
  <c r="O1667"/>
  <c r="O1671"/>
  <c r="O1675"/>
  <c r="O1679"/>
  <c r="O1683"/>
  <c r="O1687"/>
  <c r="O1691"/>
  <c r="O1695"/>
  <c r="O1699"/>
  <c r="O1703"/>
  <c r="O1707"/>
  <c r="O1711"/>
  <c r="O1715"/>
  <c r="O1719"/>
  <c r="O1723"/>
  <c r="O1727"/>
  <c r="O1731"/>
  <c r="O1735"/>
  <c r="O1739"/>
  <c r="O1743"/>
  <c r="O1747"/>
  <c r="O1751"/>
  <c r="O1755"/>
  <c r="O1759"/>
  <c r="O1763"/>
  <c r="O1767"/>
  <c r="O1771"/>
  <c r="O1775"/>
  <c r="O1779"/>
  <c r="O1783"/>
  <c r="O1787"/>
  <c r="O1791"/>
  <c r="O1795"/>
  <c r="O1799"/>
  <c r="O1803"/>
  <c r="O1807"/>
  <c r="O1811"/>
  <c r="O1815"/>
  <c r="O1819"/>
  <c r="O1823"/>
  <c r="O1827"/>
  <c r="O1831"/>
  <c r="O1835"/>
  <c r="O1839"/>
  <c r="O1843"/>
  <c r="O1847"/>
  <c r="O1851"/>
  <c r="O1855"/>
  <c r="O1859"/>
  <c r="O1863"/>
  <c r="O1867"/>
  <c r="O1871"/>
  <c r="O1875"/>
  <c r="O1879"/>
  <c r="O1883"/>
  <c r="O1887"/>
  <c r="O1891"/>
  <c r="O1895"/>
  <c r="O1899"/>
  <c r="O1903"/>
  <c r="O1907"/>
  <c r="O1911"/>
  <c r="O1915"/>
  <c r="O1919"/>
  <c r="O1923"/>
  <c r="O1927"/>
  <c r="O1931"/>
  <c r="O1935"/>
  <c r="O1939"/>
  <c r="O1943"/>
  <c r="O1947"/>
  <c r="O1951"/>
  <c r="O1955"/>
  <c r="O1959"/>
  <c r="O1963"/>
  <c r="O1967"/>
  <c r="O1971"/>
  <c r="O1975"/>
  <c r="O1979"/>
  <c r="O1983"/>
  <c r="O1987"/>
  <c r="O1991"/>
  <c r="O1995"/>
  <c r="O1999"/>
  <c r="O2003"/>
  <c r="O2007"/>
  <c r="O2011"/>
  <c r="O2015"/>
  <c r="O2019"/>
  <c r="O2023"/>
  <c r="O2027"/>
  <c r="O2031"/>
  <c r="O2035"/>
  <c r="O2039"/>
  <c r="O2043"/>
  <c r="O2047"/>
  <c r="O2051"/>
  <c r="O2055"/>
  <c r="O2059"/>
  <c r="O2063"/>
  <c r="O2067"/>
  <c r="O2071"/>
  <c r="O2075"/>
  <c r="O2079"/>
  <c r="O2083"/>
  <c r="O2087"/>
  <c r="O2091"/>
  <c r="O2099"/>
  <c r="O2107"/>
  <c r="O2111"/>
  <c r="O2119"/>
  <c r="O2123"/>
  <c r="O2127"/>
  <c r="O2131"/>
  <c r="O2135"/>
  <c r="O2139"/>
  <c r="O2143"/>
  <c r="O2147"/>
  <c r="O2151"/>
  <c r="O2155"/>
  <c r="O2159"/>
  <c r="O2163"/>
  <c r="O2167"/>
  <c r="O84"/>
  <c r="O92"/>
  <c r="O100"/>
  <c r="O108"/>
  <c r="O116"/>
  <c r="O124"/>
  <c r="O132"/>
  <c r="O140"/>
  <c r="O148"/>
  <c r="O156"/>
  <c r="O164"/>
  <c r="O170"/>
  <c r="O174"/>
  <c r="O178"/>
  <c r="O182"/>
  <c r="O186"/>
  <c r="O190"/>
  <c r="O194"/>
  <c r="O198"/>
  <c r="O202"/>
  <c r="O206"/>
  <c r="O210"/>
  <c r="O214"/>
  <c r="O218"/>
  <c r="O222"/>
  <c r="O226"/>
  <c r="O230"/>
  <c r="O234"/>
  <c r="O238"/>
  <c r="O258"/>
  <c r="O262"/>
  <c r="O266"/>
  <c r="O274"/>
  <c r="O278"/>
  <c r="O282"/>
  <c r="O286"/>
  <c r="O290"/>
  <c r="O302"/>
  <c r="O314"/>
  <c r="O322"/>
  <c r="O326"/>
  <c r="O330"/>
  <c r="O334"/>
  <c r="O338"/>
  <c r="O342"/>
  <c r="O346"/>
  <c r="O350"/>
  <c r="O354"/>
  <c r="O358"/>
  <c r="O362"/>
  <c r="O366"/>
  <c r="O378"/>
  <c r="O382"/>
  <c r="O386"/>
  <c r="O390"/>
  <c r="O394"/>
  <c r="O398"/>
  <c r="O402"/>
  <c r="O406"/>
  <c r="O418"/>
  <c r="O422"/>
  <c r="O430"/>
  <c r="O434"/>
  <c r="O446"/>
  <c r="O450"/>
  <c r="O462"/>
  <c r="O466"/>
  <c r="O470"/>
  <c r="O474"/>
  <c r="O478"/>
  <c r="O482"/>
  <c r="O490"/>
  <c r="O494"/>
  <c r="O498"/>
  <c r="O510"/>
  <c r="O518"/>
  <c r="O530"/>
  <c r="O534"/>
  <c r="O538"/>
  <c r="O550"/>
  <c r="O554"/>
  <c r="O558"/>
  <c r="O562"/>
  <c r="O570"/>
  <c r="O590"/>
  <c r="O594"/>
  <c r="O598"/>
  <c r="O602"/>
  <c r="O614"/>
  <c r="O626"/>
  <c r="O630"/>
  <c r="O642"/>
  <c r="O646"/>
  <c r="O650"/>
  <c r="O654"/>
  <c r="O658"/>
  <c r="O662"/>
  <c r="O666"/>
  <c r="O670"/>
  <c r="O674"/>
  <c r="O678"/>
  <c r="O682"/>
  <c r="O690"/>
  <c r="O694"/>
  <c r="O698"/>
  <c r="O702"/>
  <c r="O706"/>
  <c r="O710"/>
  <c r="O714"/>
  <c r="O718"/>
  <c r="O722"/>
  <c r="O726"/>
  <c r="O730"/>
  <c r="O734"/>
  <c r="O738"/>
  <c r="O742"/>
  <c r="O746"/>
  <c r="O750"/>
  <c r="O758"/>
  <c r="O762"/>
  <c r="O766"/>
  <c r="O770"/>
  <c r="O778"/>
  <c r="O782"/>
  <c r="O786"/>
  <c r="O790"/>
  <c r="O798"/>
  <c r="O802"/>
  <c r="O806"/>
  <c r="O810"/>
  <c r="O814"/>
  <c r="O818"/>
  <c r="O822"/>
  <c r="O826"/>
  <c r="O830"/>
  <c r="O834"/>
  <c r="O842"/>
  <c r="O846"/>
  <c r="O850"/>
  <c r="O854"/>
  <c r="O858"/>
  <c r="O862"/>
  <c r="O866"/>
  <c r="O870"/>
  <c r="O874"/>
  <c r="O878"/>
  <c r="O882"/>
  <c r="O886"/>
  <c r="O890"/>
  <c r="O894"/>
  <c r="O898"/>
  <c r="O902"/>
  <c r="O906"/>
  <c r="O910"/>
  <c r="O914"/>
  <c r="O918"/>
  <c r="O922"/>
  <c r="O926"/>
  <c r="O930"/>
  <c r="O934"/>
  <c r="O938"/>
  <c r="O942"/>
  <c r="O946"/>
  <c r="O950"/>
  <c r="O954"/>
  <c r="O958"/>
  <c r="O962"/>
  <c r="O966"/>
  <c r="O970"/>
  <c r="O974"/>
  <c r="O978"/>
  <c r="O982"/>
  <c r="O986"/>
  <c r="O990"/>
  <c r="O994"/>
  <c r="O998"/>
  <c r="O1002"/>
  <c r="O1006"/>
  <c r="O1010"/>
  <c r="O1014"/>
  <c r="O1018"/>
  <c r="O1034"/>
  <c r="O1038"/>
  <c r="O1046"/>
  <c r="O1058"/>
  <c r="O1062"/>
  <c r="O1066"/>
  <c r="O1070"/>
  <c r="O1074"/>
  <c r="O1078"/>
  <c r="O1082"/>
  <c r="O1086"/>
  <c r="O1090"/>
  <c r="O1094"/>
  <c r="O1098"/>
  <c r="O1102"/>
  <c r="O1106"/>
  <c r="O1110"/>
  <c r="O1114"/>
  <c r="O1118"/>
  <c r="O1122"/>
  <c r="O1126"/>
  <c r="O1130"/>
  <c r="O1134"/>
  <c r="O1138"/>
  <c r="O1142"/>
  <c r="O1146"/>
  <c r="O1150"/>
  <c r="O1154"/>
  <c r="O1158"/>
  <c r="O1162"/>
  <c r="O1166"/>
  <c r="O1170"/>
  <c r="O1174"/>
  <c r="O1178"/>
  <c r="O1182"/>
  <c r="O1190"/>
  <c r="O1194"/>
  <c r="O1198"/>
  <c r="O1202"/>
  <c r="O1206"/>
  <c r="O1210"/>
  <c r="O1214"/>
  <c r="O1218"/>
  <c r="O1222"/>
  <c r="O1226"/>
  <c r="O1230"/>
  <c r="O1234"/>
  <c r="O1238"/>
  <c r="O1242"/>
  <c r="O1246"/>
  <c r="O1250"/>
  <c r="O1258"/>
  <c r="O1262"/>
  <c r="O1266"/>
  <c r="O1270"/>
  <c r="O1274"/>
  <c r="O1278"/>
  <c r="O1282"/>
  <c r="O1286"/>
  <c r="O1290"/>
  <c r="O1294"/>
  <c r="O1298"/>
  <c r="O1302"/>
  <c r="O1306"/>
  <c r="O1310"/>
  <c r="O1314"/>
  <c r="O1318"/>
  <c r="O1322"/>
  <c r="O1326"/>
  <c r="O1330"/>
  <c r="O1334"/>
  <c r="O1338"/>
  <c r="O1342"/>
  <c r="O1346"/>
  <c r="O1354"/>
  <c r="O1358"/>
  <c r="O1362"/>
  <c r="O1366"/>
  <c r="O1370"/>
  <c r="O1374"/>
  <c r="O1378"/>
  <c r="O1382"/>
  <c r="O1386"/>
  <c r="O1390"/>
  <c r="O1394"/>
  <c r="O1398"/>
  <c r="O1402"/>
  <c r="O1410"/>
  <c r="O1414"/>
  <c r="O1418"/>
  <c r="O1422"/>
  <c r="O1426"/>
  <c r="O1430"/>
  <c r="O1434"/>
  <c r="O1438"/>
  <c r="O1442"/>
  <c r="O1446"/>
  <c r="O1450"/>
  <c r="O1454"/>
  <c r="O1458"/>
  <c r="O1462"/>
  <c r="O1466"/>
  <c r="O1470"/>
  <c r="O1474"/>
  <c r="O1478"/>
  <c r="O1482"/>
  <c r="O1486"/>
  <c r="O1490"/>
  <c r="O1494"/>
  <c r="O1498"/>
  <c r="O1502"/>
  <c r="O1506"/>
  <c r="O1510"/>
  <c r="O1514"/>
  <c r="O1518"/>
  <c r="O1522"/>
  <c r="O1526"/>
  <c r="O1530"/>
  <c r="O1534"/>
  <c r="O1538"/>
  <c r="O1542"/>
  <c r="O1546"/>
  <c r="O1550"/>
  <c r="O1554"/>
  <c r="O1558"/>
  <c r="O1562"/>
  <c r="O1566"/>
  <c r="O1570"/>
  <c r="O1574"/>
  <c r="O1578"/>
  <c r="O1582"/>
  <c r="O1586"/>
  <c r="O1598"/>
  <c r="O1602"/>
  <c r="O1606"/>
  <c r="O1610"/>
  <c r="O1614"/>
  <c r="O1618"/>
  <c r="O1622"/>
  <c r="O1626"/>
  <c r="O1630"/>
  <c r="O1634"/>
  <c r="O1638"/>
  <c r="O1642"/>
  <c r="O1646"/>
  <c r="O1650"/>
  <c r="O1654"/>
  <c r="O1658"/>
  <c r="O1662"/>
  <c r="O1666"/>
  <c r="O1670"/>
  <c r="O1674"/>
  <c r="O1678"/>
  <c r="O1682"/>
  <c r="O1686"/>
  <c r="O1690"/>
  <c r="O1694"/>
  <c r="O1698"/>
  <c r="O1702"/>
  <c r="O1706"/>
  <c r="O1710"/>
  <c r="O1714"/>
  <c r="O1718"/>
  <c r="O1722"/>
  <c r="O1726"/>
  <c r="O1730"/>
  <c r="O1734"/>
  <c r="O1738"/>
  <c r="O1742"/>
  <c r="O1746"/>
  <c r="O1750"/>
  <c r="O1758"/>
  <c r="O1762"/>
  <c r="O1766"/>
  <c r="O1770"/>
  <c r="O1774"/>
  <c r="O1778"/>
  <c r="O1782"/>
  <c r="O1786"/>
  <c r="O1790"/>
  <c r="O1794"/>
  <c r="O1798"/>
  <c r="O1802"/>
  <c r="O1810"/>
  <c r="O1814"/>
  <c r="O1818"/>
  <c r="O1822"/>
  <c r="O1826"/>
  <c r="O1830"/>
  <c r="O1834"/>
  <c r="O1838"/>
  <c r="O1842"/>
  <c r="O1846"/>
  <c r="O1850"/>
  <c r="O1854"/>
  <c r="O1858"/>
  <c r="O1862"/>
  <c r="O1866"/>
  <c r="O1870"/>
  <c r="O1874"/>
  <c r="O1878"/>
  <c r="O1882"/>
  <c r="O1886"/>
  <c r="O1890"/>
  <c r="O1894"/>
  <c r="O1898"/>
  <c r="O1902"/>
  <c r="O1906"/>
  <c r="O1910"/>
  <c r="O1914"/>
  <c r="O1918"/>
  <c r="O1922"/>
  <c r="O1926"/>
  <c r="O1930"/>
  <c r="O1934"/>
  <c r="O1938"/>
  <c r="O1942"/>
  <c r="O1946"/>
  <c r="O1950"/>
  <c r="O1954"/>
  <c r="O1958"/>
  <c r="O1962"/>
  <c r="O1966"/>
  <c r="O1970"/>
  <c r="O1974"/>
  <c r="O1978"/>
  <c r="O1982"/>
  <c r="O1986"/>
  <c r="O1990"/>
  <c r="O1994"/>
  <c r="O1998"/>
  <c r="O2002"/>
  <c r="O2006"/>
  <c r="O2010"/>
  <c r="O2014"/>
  <c r="O2018"/>
  <c r="O2022"/>
  <c r="O2026"/>
  <c r="O2030"/>
  <c r="O2034"/>
  <c r="O2038"/>
  <c r="O2042"/>
  <c r="O2046"/>
  <c r="O2050"/>
  <c r="O2054"/>
  <c r="O2058"/>
  <c r="O2062"/>
  <c r="O2066"/>
  <c r="O2070"/>
  <c r="O2074"/>
  <c r="O2078"/>
  <c r="O2082"/>
  <c r="O2086"/>
  <c r="O2094"/>
  <c r="O2098"/>
  <c r="O2106"/>
  <c r="O2110"/>
  <c r="O2114"/>
  <c r="O2118"/>
  <c r="O2122"/>
  <c r="O2126"/>
  <c r="O2130"/>
  <c r="O2134"/>
  <c r="O2138"/>
  <c r="O2142"/>
  <c r="O2146"/>
  <c r="O2150"/>
  <c r="O2154"/>
  <c r="O2158"/>
  <c r="O2162"/>
  <c r="O2166"/>
  <c r="N27"/>
  <c r="O26"/>
  <c r="O30"/>
  <c r="O32"/>
  <c r="O25"/>
  <c r="O21"/>
  <c r="N29"/>
  <c r="N32"/>
  <c r="O24"/>
  <c r="O34"/>
  <c r="O29"/>
  <c r="N23"/>
  <c r="N33"/>
  <c r="N34"/>
  <c r="N26"/>
  <c r="O27"/>
  <c r="O33"/>
  <c r="N31"/>
  <c r="O23"/>
  <c r="O22"/>
  <c r="N28"/>
  <c r="O31"/>
  <c r="O28"/>
  <c r="N22"/>
  <c r="N21"/>
  <c r="N25"/>
  <c r="N30"/>
  <c r="N24"/>
  <c r="N15"/>
  <c r="N20"/>
  <c r="N12"/>
  <c r="N18"/>
  <c r="O19"/>
  <c r="O7"/>
  <c r="O16"/>
  <c r="O17"/>
  <c r="O6"/>
  <c r="N19"/>
  <c r="N7"/>
  <c r="N16"/>
  <c r="N17"/>
  <c r="N6"/>
  <c r="N14"/>
  <c r="O5"/>
  <c r="O15"/>
  <c r="O20"/>
  <c r="O12"/>
  <c r="O13"/>
  <c r="O18"/>
  <c r="N13"/>
  <c r="N5"/>
  <c r="O14"/>
  <c r="N11"/>
  <c r="O11"/>
  <c r="N10"/>
  <c r="O10"/>
  <c r="K22"/>
  <c r="K24"/>
  <c r="K26"/>
  <c r="K28"/>
  <c r="K30"/>
  <c r="K32"/>
  <c r="K34"/>
  <c r="L22"/>
  <c r="L24"/>
  <c r="L26"/>
  <c r="L28"/>
  <c r="L30"/>
  <c r="L32"/>
  <c r="L34"/>
  <c r="M22"/>
  <c r="M24"/>
  <c r="M26"/>
  <c r="M28"/>
  <c r="M30"/>
  <c r="M32"/>
  <c r="M34"/>
  <c r="K21"/>
  <c r="K23"/>
  <c r="K25"/>
  <c r="K27"/>
  <c r="K29"/>
  <c r="K31"/>
  <c r="K33"/>
  <c r="L21"/>
  <c r="L23"/>
  <c r="L25"/>
  <c r="L27"/>
  <c r="L29"/>
  <c r="L31"/>
  <c r="L33"/>
  <c r="M21"/>
  <c r="M23"/>
  <c r="M25"/>
  <c r="M27"/>
  <c r="M29"/>
  <c r="M31"/>
  <c r="M33"/>
  <c r="M5"/>
  <c r="L19"/>
  <c r="L15"/>
  <c r="L7"/>
  <c r="L20"/>
  <c r="L16"/>
  <c r="L12"/>
  <c r="L17"/>
  <c r="L13"/>
  <c r="L6"/>
  <c r="L18"/>
  <c r="L14"/>
  <c r="L5"/>
  <c r="M19"/>
  <c r="M15"/>
  <c r="M7"/>
  <c r="M20"/>
  <c r="M16"/>
  <c r="M12"/>
  <c r="M17"/>
  <c r="M13"/>
  <c r="M6"/>
  <c r="M18"/>
  <c r="M14"/>
  <c r="M11"/>
  <c r="L11"/>
  <c r="L10"/>
  <c r="M10"/>
  <c r="K10"/>
  <c r="K5"/>
  <c r="K7"/>
  <c r="K20"/>
  <c r="K12"/>
  <c r="K19"/>
  <c r="K17"/>
  <c r="K6"/>
  <c r="K18"/>
  <c r="K15"/>
  <c r="K16"/>
  <c r="K13"/>
  <c r="K14"/>
  <c r="K11"/>
  <c r="K9"/>
  <c r="N9"/>
  <c r="O9"/>
  <c r="L9"/>
  <c r="M9"/>
  <c r="T2169" i="8"/>
  <c r="S2169"/>
  <c r="K23"/>
  <c r="Y23"/>
  <c r="G2169"/>
  <c r="H22"/>
  <c r="X22" s="1"/>
  <c r="J8" i="2"/>
  <c r="J2169" s="1"/>
  <c r="B2169" i="8"/>
  <c r="I2169"/>
  <c r="J2169"/>
  <c r="D2169"/>
  <c r="C2169"/>
  <c r="P2168" i="2" l="1"/>
  <c r="AB2168" i="8" s="1"/>
  <c r="P2151" i="2"/>
  <c r="AB2151" i="8" s="1"/>
  <c r="P2119" i="2"/>
  <c r="AB2119" i="8" s="1"/>
  <c r="P2083" i="2"/>
  <c r="AB2084" i="8" s="1"/>
  <c r="P2051" i="2"/>
  <c r="AB2052" i="8" s="1"/>
  <c r="P2019" i="2"/>
  <c r="AB2020" i="8" s="1"/>
  <c r="P2165" i="2"/>
  <c r="AB2165" i="8" s="1"/>
  <c r="P2146" i="2"/>
  <c r="AB2146" i="8" s="1"/>
  <c r="P2114" i="2"/>
  <c r="AB2114" i="8" s="1"/>
  <c r="P2086" i="2"/>
  <c r="AB2086" i="8" s="1"/>
  <c r="P2054" i="2"/>
  <c r="AB2055" i="8" s="1"/>
  <c r="P2022" i="2"/>
  <c r="AB2023" i="8" s="1"/>
  <c r="P2162" i="2"/>
  <c r="AB2162" i="8" s="1"/>
  <c r="P2139" i="2"/>
  <c r="AB2139" i="8" s="1"/>
  <c r="P2087" i="2"/>
  <c r="AB2087" i="8" s="1"/>
  <c r="P2055" i="2"/>
  <c r="AB2056" i="8" s="1"/>
  <c r="P2023" i="2"/>
  <c r="AB2024" i="8" s="1"/>
  <c r="P2155" i="2"/>
  <c r="AB2155" i="8" s="1"/>
  <c r="P2126" i="2"/>
  <c r="AB2126" i="8" s="1"/>
  <c r="P2074" i="2"/>
  <c r="AB2075" i="8" s="1"/>
  <c r="P2042" i="2"/>
  <c r="AB2043" i="8" s="1"/>
  <c r="P2010" i="2"/>
  <c r="AB2011" i="8" s="1"/>
  <c r="P1986" i="2"/>
  <c r="AB1987" i="8" s="1"/>
  <c r="P1970" i="2"/>
  <c r="AB1971" i="8" s="1"/>
  <c r="P1954" i="2"/>
  <c r="AB1955" i="8" s="1"/>
  <c r="P1938" i="2"/>
  <c r="AB1940" i="8" s="1"/>
  <c r="P1922" i="2"/>
  <c r="AB1925" i="8" s="1"/>
  <c r="P1906" i="2"/>
  <c r="AB1909" i="8" s="1"/>
  <c r="P1890" i="2"/>
  <c r="AB1893" i="8" s="1"/>
  <c r="P1874" i="2"/>
  <c r="AB1877" i="8" s="1"/>
  <c r="P1858" i="2"/>
  <c r="AB1861" i="8" s="1"/>
  <c r="P1842" i="2"/>
  <c r="AB1846" i="8" s="1"/>
  <c r="P1826" i="2"/>
  <c r="AB1831" i="8" s="1"/>
  <c r="P1810" i="2"/>
  <c r="AB1815" i="8" s="1"/>
  <c r="P1790" i="2"/>
  <c r="AB1795" i="8" s="1"/>
  <c r="P1774" i="2"/>
  <c r="AB1779" i="8" s="1"/>
  <c r="P1758" i="2"/>
  <c r="AB1763" i="8" s="1"/>
  <c r="P1738" i="2"/>
  <c r="AB1743" i="8" s="1"/>
  <c r="P1722" i="2"/>
  <c r="AB1728" i="8" s="1"/>
  <c r="P1706" i="2"/>
  <c r="AB1712" i="8" s="1"/>
  <c r="P1690" i="2"/>
  <c r="AB1696" i="8" s="1"/>
  <c r="P1674" i="2"/>
  <c r="AB1680" i="8" s="1"/>
  <c r="P1658" i="2"/>
  <c r="AB1664" i="8" s="1"/>
  <c r="P1642" i="2"/>
  <c r="AB1648" i="8" s="1"/>
  <c r="P1626" i="2"/>
  <c r="AB1632" i="8" s="1"/>
  <c r="P1610" i="2"/>
  <c r="AB1617" i="8" s="1"/>
  <c r="P1586" i="2"/>
  <c r="AB1593" i="8" s="1"/>
  <c r="P1570" i="2"/>
  <c r="AB1577" i="8" s="1"/>
  <c r="P1554" i="2"/>
  <c r="AB1561" i="8" s="1"/>
  <c r="P1538" i="2"/>
  <c r="AB1545" i="8" s="1"/>
  <c r="P1522" i="2"/>
  <c r="AB1529" i="8" s="1"/>
  <c r="P1506" i="2"/>
  <c r="AB1513" i="8" s="1"/>
  <c r="P1490" i="2"/>
  <c r="AB1497" i="8" s="1"/>
  <c r="P1474" i="2"/>
  <c r="AB1481" i="8" s="1"/>
  <c r="P1458" i="2"/>
  <c r="AB1465" i="8" s="1"/>
  <c r="P1442" i="2"/>
  <c r="AB1449" i="8" s="1"/>
  <c r="P1426" i="2"/>
  <c r="AB1433" i="8" s="1"/>
  <c r="P1410" i="2"/>
  <c r="AB1417" i="8" s="1"/>
  <c r="P1390" i="2"/>
  <c r="AB1397" i="8" s="1"/>
  <c r="P1374" i="2"/>
  <c r="AB1381" i="8" s="1"/>
  <c r="P1358" i="2"/>
  <c r="AB1365" i="8" s="1"/>
  <c r="P1338" i="2"/>
  <c r="AB1345" i="8" s="1"/>
  <c r="P1322" i="2"/>
  <c r="AB1329" i="8" s="1"/>
  <c r="P1306" i="2"/>
  <c r="AB1313" i="8" s="1"/>
  <c r="P1290" i="2"/>
  <c r="AB1297" i="8" s="1"/>
  <c r="P1274" i="2"/>
  <c r="AB1281" i="8" s="1"/>
  <c r="P1258" i="2"/>
  <c r="AB1266" i="8" s="1"/>
  <c r="P1238" i="2"/>
  <c r="AB1246" i="8" s="1"/>
  <c r="P1222" i="2"/>
  <c r="AB1230" i="8" s="1"/>
  <c r="P1206" i="2"/>
  <c r="AB1214" i="8" s="1"/>
  <c r="P1190" i="2"/>
  <c r="AB1198" i="8" s="1"/>
  <c r="P1164" i="2"/>
  <c r="AB1172" i="8" s="1"/>
  <c r="P1132" i="2"/>
  <c r="AB1140" i="8" s="1"/>
  <c r="P1100" i="2"/>
  <c r="AB1108" i="8" s="1"/>
  <c r="P1995" i="2"/>
  <c r="AB1996" i="8" s="1"/>
  <c r="P1979" i="2"/>
  <c r="AB1980" i="8" s="1"/>
  <c r="P1963" i="2"/>
  <c r="AB1964" i="8" s="1"/>
  <c r="P1947" i="2"/>
  <c r="AB1948" i="8" s="1"/>
  <c r="P1931" i="2"/>
  <c r="AB1933" i="8" s="1"/>
  <c r="P1915" i="2"/>
  <c r="AB1918" i="8" s="1"/>
  <c r="P1899" i="2"/>
  <c r="AB1902" i="8" s="1"/>
  <c r="P1883" i="2"/>
  <c r="AB1886" i="8" s="1"/>
  <c r="P1867" i="2"/>
  <c r="AB1870" i="8" s="1"/>
  <c r="P1851" i="2"/>
  <c r="AB1855" i="8" s="1"/>
  <c r="P1835" i="2"/>
  <c r="AB1840" i="8" s="1"/>
  <c r="P1819" i="2"/>
  <c r="AB1824" i="8" s="1"/>
  <c r="P1803" i="2"/>
  <c r="AB1808" i="8" s="1"/>
  <c r="P1787" i="2"/>
  <c r="AB1792" i="8" s="1"/>
  <c r="P1771" i="2"/>
  <c r="AB1776" i="8" s="1"/>
  <c r="P1755" i="2"/>
  <c r="AB1760" i="8" s="1"/>
  <c r="P1739" i="2"/>
  <c r="AB1744" i="8" s="1"/>
  <c r="P1723" i="2"/>
  <c r="AB1729" i="8" s="1"/>
  <c r="P1707" i="2"/>
  <c r="AB1713" i="8" s="1"/>
  <c r="P1691" i="2"/>
  <c r="AB1697" i="8" s="1"/>
  <c r="P1675" i="2"/>
  <c r="AB1681" i="8" s="1"/>
  <c r="P1659" i="2"/>
  <c r="AB1665" i="8" s="1"/>
  <c r="P1643" i="2"/>
  <c r="AB1649" i="8" s="1"/>
  <c r="P1623" i="2"/>
  <c r="AB1629" i="8" s="1"/>
  <c r="P1607" i="2"/>
  <c r="AB1614" i="8" s="1"/>
  <c r="P1591" i="2"/>
  <c r="AB1598" i="8" s="1"/>
  <c r="P1575" i="2"/>
  <c r="AB1582" i="8" s="1"/>
  <c r="P1559" i="2"/>
  <c r="AB1566" i="8" s="1"/>
  <c r="P1543" i="2"/>
  <c r="AB1550" i="8" s="1"/>
  <c r="P1527" i="2"/>
  <c r="AB1534" i="8" s="1"/>
  <c r="P1511" i="2"/>
  <c r="AB1518" i="8" s="1"/>
  <c r="P1495" i="2"/>
  <c r="AB1502" i="8" s="1"/>
  <c r="P1479" i="2"/>
  <c r="AB1486" i="8" s="1"/>
  <c r="P1463" i="2"/>
  <c r="AB1470" i="8" s="1"/>
  <c r="P1447" i="2"/>
  <c r="AB1454" i="8" s="1"/>
  <c r="P1431" i="2"/>
  <c r="AB1438" i="8" s="1"/>
  <c r="P1415" i="2"/>
  <c r="AB1422" i="8" s="1"/>
  <c r="P1399" i="2"/>
  <c r="AB1406" i="8" s="1"/>
  <c r="P1383" i="2"/>
  <c r="AB1390" i="8" s="1"/>
  <c r="P1367" i="2"/>
  <c r="AB1374" i="8" s="1"/>
  <c r="P1351" i="2"/>
  <c r="AB1358" i="8" s="1"/>
  <c r="P1335" i="2"/>
  <c r="AB1342" i="8" s="1"/>
  <c r="P1319" i="2"/>
  <c r="AB1326" i="8" s="1"/>
  <c r="P1303" i="2"/>
  <c r="AB1310" i="8" s="1"/>
  <c r="P1287" i="2"/>
  <c r="AB1294" i="8" s="1"/>
  <c r="P1271" i="2"/>
  <c r="AB1278" i="8" s="1"/>
  <c r="P1255" i="2"/>
  <c r="AB1263" i="8" s="1"/>
  <c r="P1239" i="2"/>
  <c r="AB1247" i="8" s="1"/>
  <c r="P1223" i="2"/>
  <c r="AB1231" i="8" s="1"/>
  <c r="P1207" i="2"/>
  <c r="AB1215" i="8" s="1"/>
  <c r="P1191" i="2"/>
  <c r="AB1199" i="8" s="1"/>
  <c r="P1175" i="2"/>
  <c r="AB1183" i="8" s="1"/>
  <c r="P1143" i="2"/>
  <c r="AB1151" i="8" s="1"/>
  <c r="P1111" i="2"/>
  <c r="AB1119" i="8" s="1"/>
  <c r="P1079" i="2"/>
  <c r="AB1087" i="8" s="1"/>
  <c r="P2144" i="2"/>
  <c r="AB2144" i="8" s="1"/>
  <c r="P2128" i="2"/>
  <c r="AB2128" i="8" s="1"/>
  <c r="P2112" i="2"/>
  <c r="AB2112" i="8" s="1"/>
  <c r="P2088" i="2"/>
  <c r="AB2088" i="8" s="1"/>
  <c r="P2072" i="2"/>
  <c r="AB2073" i="8" s="1"/>
  <c r="P2056" i="2"/>
  <c r="AB2057" i="8" s="1"/>
  <c r="P2040" i="2"/>
  <c r="AB2041" i="8" s="1"/>
  <c r="P2024" i="2"/>
  <c r="AB2025" i="8" s="1"/>
  <c r="P2008" i="2"/>
  <c r="AB2009" i="8" s="1"/>
  <c r="P1992" i="2"/>
  <c r="AB1993" i="8" s="1"/>
  <c r="P1976" i="2"/>
  <c r="AB1977" i="8" s="1"/>
  <c r="P1960" i="2"/>
  <c r="AB1961" i="8" s="1"/>
  <c r="P1944" i="2"/>
  <c r="AB1945" i="8" s="1"/>
  <c r="P1928" i="2"/>
  <c r="AB1930" i="8" s="1"/>
  <c r="P1912" i="2"/>
  <c r="AB1915" i="8" s="1"/>
  <c r="P1896" i="2"/>
  <c r="AB1899" i="8" s="1"/>
  <c r="P1880" i="2"/>
  <c r="AB1883" i="8" s="1"/>
  <c r="P1864" i="2"/>
  <c r="AB1867" i="8" s="1"/>
  <c r="P1848" i="2"/>
  <c r="AB1852" i="8" s="1"/>
  <c r="P1832" i="2"/>
  <c r="AB1837" i="8" s="1"/>
  <c r="P1816" i="2"/>
  <c r="AB1821" i="8" s="1"/>
  <c r="P1800" i="2"/>
  <c r="AB1805" i="8" s="1"/>
  <c r="P1784" i="2"/>
  <c r="AB1789" i="8" s="1"/>
  <c r="P1768" i="2"/>
  <c r="AB1773" i="8" s="1"/>
  <c r="P1752" i="2"/>
  <c r="AB1757" i="8" s="1"/>
  <c r="P1736" i="2"/>
  <c r="AB1741" i="8" s="1"/>
  <c r="P1720" i="2"/>
  <c r="AB1726" i="8" s="1"/>
  <c r="P1704" i="2"/>
  <c r="AB1710" i="8" s="1"/>
  <c r="P1688" i="2"/>
  <c r="AB1694" i="8" s="1"/>
  <c r="P1672" i="2"/>
  <c r="AB1678" i="8" s="1"/>
  <c r="P1656" i="2"/>
  <c r="AB1662" i="8" s="1"/>
  <c r="P1636" i="2"/>
  <c r="AB1642" i="8" s="1"/>
  <c r="P1620" i="2"/>
  <c r="AB1626" i="8" s="1"/>
  <c r="P1604" i="2"/>
  <c r="AB1611" i="8" s="1"/>
  <c r="P1588" i="2"/>
  <c r="AB1595" i="8" s="1"/>
  <c r="P1572" i="2"/>
  <c r="AB1579" i="8" s="1"/>
  <c r="P1556" i="2"/>
  <c r="AB1563" i="8" s="1"/>
  <c r="P1540" i="2"/>
  <c r="AB1547" i="8" s="1"/>
  <c r="P1524" i="2"/>
  <c r="AB1531" i="8" s="1"/>
  <c r="P1508" i="2"/>
  <c r="AB1515" i="8" s="1"/>
  <c r="P1492" i="2"/>
  <c r="AB1499" i="8" s="1"/>
  <c r="P1476" i="2"/>
  <c r="AB1483" i="8" s="1"/>
  <c r="P1460" i="2"/>
  <c r="AB1467" i="8" s="1"/>
  <c r="P1444" i="2"/>
  <c r="AB1451" i="8" s="1"/>
  <c r="P1428" i="2"/>
  <c r="AB1435" i="8" s="1"/>
  <c r="P1412" i="2"/>
  <c r="AB1419" i="8" s="1"/>
  <c r="P1396" i="2"/>
  <c r="AB1403" i="8" s="1"/>
  <c r="P1380" i="2"/>
  <c r="AB1387" i="8" s="1"/>
  <c r="P1364" i="2"/>
  <c r="AB1371" i="8" s="1"/>
  <c r="P1348" i="2"/>
  <c r="AB1355" i="8" s="1"/>
  <c r="P1332" i="2"/>
  <c r="AB1339" i="8" s="1"/>
  <c r="P1316" i="2"/>
  <c r="AB1323" i="8" s="1"/>
  <c r="P1300" i="2"/>
  <c r="AB1307" i="8" s="1"/>
  <c r="P1284" i="2"/>
  <c r="AB1291" i="8" s="1"/>
  <c r="P1268" i="2"/>
  <c r="AB1275" i="8" s="1"/>
  <c r="P1252" i="2"/>
  <c r="AB1260" i="8" s="1"/>
  <c r="P1236" i="2"/>
  <c r="AB1244" i="8" s="1"/>
  <c r="P1220" i="2"/>
  <c r="AB1228" i="8" s="1"/>
  <c r="P1204" i="2"/>
  <c r="AB1212" i="8" s="1"/>
  <c r="P1188" i="2"/>
  <c r="AB1196" i="8" s="1"/>
  <c r="P1168" i="2"/>
  <c r="AB1176" i="8" s="1"/>
  <c r="P1136" i="2"/>
  <c r="AB1144" i="8" s="1"/>
  <c r="P1104" i="2"/>
  <c r="AB1112" i="8" s="1"/>
  <c r="P2149" i="2"/>
  <c r="AB2149" i="8" s="1"/>
  <c r="P2133" i="2"/>
  <c r="AB2133" i="8" s="1"/>
  <c r="P2117" i="2"/>
  <c r="AB2117" i="8" s="1"/>
  <c r="P2101" i="2"/>
  <c r="AB2101" i="8" s="1"/>
  <c r="P2085" i="2"/>
  <c r="AB10" i="8" s="1"/>
  <c r="P2069" i="2"/>
  <c r="AB2070" i="8" s="1"/>
  <c r="P2053" i="2"/>
  <c r="AB2054" i="8" s="1"/>
  <c r="P2037" i="2"/>
  <c r="AB2038" i="8" s="1"/>
  <c r="P2021" i="2"/>
  <c r="AB2022" i="8" s="1"/>
  <c r="P2005" i="2"/>
  <c r="AB2006" i="8" s="1"/>
  <c r="P1989" i="2"/>
  <c r="AB1990" i="8" s="1"/>
  <c r="P1973" i="2"/>
  <c r="AB1974" i="8" s="1"/>
  <c r="P1957" i="2"/>
  <c r="AB1958" i="8" s="1"/>
  <c r="P1941" i="2"/>
  <c r="AB1942" i="8" s="1"/>
  <c r="P1925" i="2"/>
  <c r="AB1928" i="8" s="1"/>
  <c r="P1909" i="2"/>
  <c r="AB1912" i="8" s="1"/>
  <c r="P1893" i="2"/>
  <c r="AB1896" i="8" s="1"/>
  <c r="P1877" i="2"/>
  <c r="AB1880" i="8" s="1"/>
  <c r="P1861" i="2"/>
  <c r="AB1864" i="8" s="1"/>
  <c r="P1845" i="2"/>
  <c r="AB1849" i="8" s="1"/>
  <c r="P1829" i="2"/>
  <c r="AB1834" i="8" s="1"/>
  <c r="P1813" i="2"/>
  <c r="AB1818" i="8" s="1"/>
  <c r="P1797" i="2"/>
  <c r="AB1802" i="8" s="1"/>
  <c r="P1781" i="2"/>
  <c r="AB1786" i="8" s="1"/>
  <c r="P1765" i="2"/>
  <c r="AB1770" i="8" s="1"/>
  <c r="P1749" i="2"/>
  <c r="AB1754" i="8" s="1"/>
  <c r="P1733" i="2"/>
  <c r="AB1738" i="8" s="1"/>
  <c r="P1717" i="2"/>
  <c r="AB1723" i="8" s="1"/>
  <c r="P1701" i="2"/>
  <c r="AB1707" i="8" s="1"/>
  <c r="P1685" i="2"/>
  <c r="AB1691" i="8" s="1"/>
  <c r="P1669" i="2"/>
  <c r="AB1675" i="8" s="1"/>
  <c r="P1653" i="2"/>
  <c r="AB1659" i="8" s="1"/>
  <c r="P1637" i="2"/>
  <c r="AB1643" i="8" s="1"/>
  <c r="P1621" i="2"/>
  <c r="AB1627" i="8" s="1"/>
  <c r="P1605" i="2"/>
  <c r="AB1612" i="8" s="1"/>
  <c r="P1585" i="2"/>
  <c r="AB1592" i="8" s="1"/>
  <c r="P1569" i="2"/>
  <c r="AB1576" i="8" s="1"/>
  <c r="P1553" i="2"/>
  <c r="AB1560" i="8" s="1"/>
  <c r="P1537" i="2"/>
  <c r="AB1544" i="8" s="1"/>
  <c r="P1521" i="2"/>
  <c r="AB1528" i="8" s="1"/>
  <c r="P1505" i="2"/>
  <c r="AB1512" i="8" s="1"/>
  <c r="P1489" i="2"/>
  <c r="AB1496" i="8" s="1"/>
  <c r="P1473" i="2"/>
  <c r="AB1480" i="8" s="1"/>
  <c r="P1457" i="2"/>
  <c r="AB1464" i="8" s="1"/>
  <c r="P1441" i="2"/>
  <c r="AB1448" i="8" s="1"/>
  <c r="P1425" i="2"/>
  <c r="AB1432" i="8" s="1"/>
  <c r="P1409" i="2"/>
  <c r="AB1416" i="8" s="1"/>
  <c r="P1393" i="2"/>
  <c r="AB1400" i="8" s="1"/>
  <c r="P1377" i="2"/>
  <c r="AB1384" i="8" s="1"/>
  <c r="P1361" i="2"/>
  <c r="AB1368" i="8" s="1"/>
  <c r="P1345" i="2"/>
  <c r="AB1352" i="8" s="1"/>
  <c r="P1329" i="2"/>
  <c r="AB1336" i="8" s="1"/>
  <c r="P1313" i="2"/>
  <c r="AB1320" i="8" s="1"/>
  <c r="P1297" i="2"/>
  <c r="AB1304" i="8" s="1"/>
  <c r="P1281" i="2"/>
  <c r="AB1288" i="8" s="1"/>
  <c r="P1265" i="2"/>
  <c r="AB17" i="8" s="1"/>
  <c r="P1249" i="2"/>
  <c r="AB1257" i="8" s="1"/>
  <c r="P1233" i="2"/>
  <c r="AB1241" i="8" s="1"/>
  <c r="P1217" i="2"/>
  <c r="AB1225" i="8" s="1"/>
  <c r="P1201" i="2"/>
  <c r="AB1209" i="8" s="1"/>
  <c r="P1185" i="2"/>
  <c r="AB1193" i="8" s="1"/>
  <c r="P1163" i="2"/>
  <c r="AB1171" i="8" s="1"/>
  <c r="P1131" i="2"/>
  <c r="AB1139" i="8" s="1"/>
  <c r="P1099" i="2"/>
  <c r="AB1107" i="8" s="1"/>
  <c r="P1173" i="2"/>
  <c r="AB1181" i="8" s="1"/>
  <c r="P1157" i="2"/>
  <c r="AB1165" i="8" s="1"/>
  <c r="P1141" i="2"/>
  <c r="AB1149" i="8" s="1"/>
  <c r="P1125" i="2"/>
  <c r="AB1133" i="8" s="1"/>
  <c r="P1109" i="2"/>
  <c r="AB1117" i="8" s="1"/>
  <c r="P1093" i="2"/>
  <c r="AB1101" i="8" s="1"/>
  <c r="P1077" i="2"/>
  <c r="AB1085" i="8" s="1"/>
  <c r="P1061" i="2"/>
  <c r="AB1069" i="8" s="1"/>
  <c r="P1041" i="2"/>
  <c r="AB1049" i="8" s="1"/>
  <c r="P1021" i="2"/>
  <c r="AB1029" i="8" s="1"/>
  <c r="P1005" i="2"/>
  <c r="AB1013" i="8" s="1"/>
  <c r="P989" i="2"/>
  <c r="AB997" i="8" s="1"/>
  <c r="P973" i="2"/>
  <c r="AB981" i="8" s="1"/>
  <c r="P957" i="2"/>
  <c r="AB966" i="8" s="1"/>
  <c r="P941" i="2"/>
  <c r="AB950" i="8" s="1"/>
  <c r="P925" i="2"/>
  <c r="AB934" i="8" s="1"/>
  <c r="P909" i="2"/>
  <c r="AB918" i="8" s="1"/>
  <c r="P893" i="2"/>
  <c r="AB902" i="8" s="1"/>
  <c r="P877" i="2"/>
  <c r="AB886" i="8" s="1"/>
  <c r="P861" i="2"/>
  <c r="AB870" i="8" s="1"/>
  <c r="P845" i="2"/>
  <c r="AB854" i="8" s="1"/>
  <c r="P829" i="2"/>
  <c r="AB838" i="8" s="1"/>
  <c r="P813" i="2"/>
  <c r="AB822" i="8" s="1"/>
  <c r="P797" i="2"/>
  <c r="AB806" i="8" s="1"/>
  <c r="P781" i="2"/>
  <c r="AB790" i="8" s="1"/>
  <c r="P765" i="2"/>
  <c r="AB774" i="8" s="1"/>
  <c r="P749" i="2"/>
  <c r="AB758" i="8" s="1"/>
  <c r="P733" i="2"/>
  <c r="AB742" i="8" s="1"/>
  <c r="P717" i="2"/>
  <c r="AB14" i="8" s="1"/>
  <c r="P701" i="2"/>
  <c r="AB711" i="8" s="1"/>
  <c r="P685" i="2"/>
  <c r="AB695" i="8" s="1"/>
  <c r="P669" i="2"/>
  <c r="AB679" i="8" s="1"/>
  <c r="P653" i="2"/>
  <c r="AB663" i="8" s="1"/>
  <c r="P629" i="2"/>
  <c r="AB639" i="8" s="1"/>
  <c r="P613" i="2"/>
  <c r="AB623" i="8" s="1"/>
  <c r="P593" i="2"/>
  <c r="AB603" i="8" s="1"/>
  <c r="P569" i="2"/>
  <c r="AB579" i="8" s="1"/>
  <c r="P549" i="2"/>
  <c r="AB559" i="8" s="1"/>
  <c r="P529" i="2"/>
  <c r="AB539" i="8" s="1"/>
  <c r="P513" i="2"/>
  <c r="AB523" i="8" s="1"/>
  <c r="P493" i="2"/>
  <c r="AB503" i="8" s="1"/>
  <c r="P473" i="2"/>
  <c r="AB483" i="8" s="1"/>
  <c r="P437" i="2"/>
  <c r="AB447" i="8" s="1"/>
  <c r="P417" i="2"/>
  <c r="AB427" i="8" s="1"/>
  <c r="P373" i="2"/>
  <c r="AB383" i="8" s="1"/>
  <c r="P357" i="2"/>
  <c r="AB367" i="8" s="1"/>
  <c r="P341" i="2"/>
  <c r="AB351" i="8" s="1"/>
  <c r="P325" i="2"/>
  <c r="AB335" i="8" s="1"/>
  <c r="P305" i="2"/>
  <c r="AB315" i="8" s="1"/>
  <c r="P281" i="2"/>
  <c r="AB291" i="8" s="1"/>
  <c r="P265" i="2"/>
  <c r="AB275" i="8" s="1"/>
  <c r="P241" i="2"/>
  <c r="AB251" i="8" s="1"/>
  <c r="P225" i="2"/>
  <c r="AB235" i="8" s="1"/>
  <c r="P209" i="2"/>
  <c r="AB219" i="8" s="1"/>
  <c r="P193" i="2"/>
  <c r="AB203" i="8" s="1"/>
  <c r="P177" i="2"/>
  <c r="AB187" i="8" s="1"/>
  <c r="P161" i="2"/>
  <c r="AB171" i="8" s="1"/>
  <c r="P145" i="2"/>
  <c r="AB155" i="8" s="1"/>
  <c r="P129" i="2"/>
  <c r="AB139" i="8" s="1"/>
  <c r="P113" i="2"/>
  <c r="AB123" i="8" s="1"/>
  <c r="P97" i="2"/>
  <c r="AB107" i="8" s="1"/>
  <c r="P81" i="2"/>
  <c r="AB91" i="8" s="1"/>
  <c r="P65" i="2"/>
  <c r="AB9" i="8" s="1"/>
  <c r="P49" i="2"/>
  <c r="AB61" i="8" s="1"/>
  <c r="P1174" i="2"/>
  <c r="AB1182" i="8" s="1"/>
  <c r="P1158" i="2"/>
  <c r="AB1166" i="8" s="1"/>
  <c r="P1142" i="2"/>
  <c r="AB1150" i="8" s="1"/>
  <c r="P1126" i="2"/>
  <c r="AB1134" i="8" s="1"/>
  <c r="P1110" i="2"/>
  <c r="AB1118" i="8" s="1"/>
  <c r="P1094" i="2"/>
  <c r="AB1102" i="8" s="1"/>
  <c r="P1078" i="2"/>
  <c r="AB1086" i="8" s="1"/>
  <c r="P1062" i="2"/>
  <c r="AB1070" i="8" s="1"/>
  <c r="P1034" i="2"/>
  <c r="AB1042" i="8" s="1"/>
  <c r="P1006" i="2"/>
  <c r="AB1014" i="8" s="1"/>
  <c r="P990" i="2"/>
  <c r="AB998" i="8" s="1"/>
  <c r="P974" i="2"/>
  <c r="AB982" i="8" s="1"/>
  <c r="P958" i="2"/>
  <c r="AB967" i="8" s="1"/>
  <c r="P942" i="2"/>
  <c r="AB951" i="8" s="1"/>
  <c r="P926" i="2"/>
  <c r="AB935" i="8" s="1"/>
  <c r="P910" i="2"/>
  <c r="AB919" i="8" s="1"/>
  <c r="P894" i="2"/>
  <c r="AB903" i="8" s="1"/>
  <c r="P878" i="2"/>
  <c r="AB887" i="8" s="1"/>
  <c r="P862" i="2"/>
  <c r="AB871" i="8" s="1"/>
  <c r="P846" i="2"/>
  <c r="AB855" i="8" s="1"/>
  <c r="P826" i="2"/>
  <c r="AB835" i="8" s="1"/>
  <c r="P810" i="2"/>
  <c r="AB819" i="8" s="1"/>
  <c r="P790" i="2"/>
  <c r="AB799" i="8" s="1"/>
  <c r="P770" i="2"/>
  <c r="AB779" i="8" s="1"/>
  <c r="P750" i="2"/>
  <c r="AB759" i="8" s="1"/>
  <c r="P734" i="2"/>
  <c r="AB743" i="8" s="1"/>
  <c r="P718" i="2"/>
  <c r="AB727" i="8" s="1"/>
  <c r="P702" i="2"/>
  <c r="AB712" i="8" s="1"/>
  <c r="P682" i="2"/>
  <c r="AB692" i="8" s="1"/>
  <c r="P666" i="2"/>
  <c r="AB676" i="8" s="1"/>
  <c r="P650" i="2"/>
  <c r="AB660" i="8" s="1"/>
  <c r="P626" i="2"/>
  <c r="AB636" i="8" s="1"/>
  <c r="P594" i="2"/>
  <c r="AB604" i="8" s="1"/>
  <c r="P558" i="2"/>
  <c r="AB568" i="8" s="1"/>
  <c r="P534" i="2"/>
  <c r="AB544" i="8" s="1"/>
  <c r="P498" i="2"/>
  <c r="AB508" i="8" s="1"/>
  <c r="P478" i="2"/>
  <c r="AB488" i="8" s="1"/>
  <c r="P462" i="2"/>
  <c r="AB472" i="8" s="1"/>
  <c r="P430" i="2"/>
  <c r="AB440" i="8" s="1"/>
  <c r="P402" i="2"/>
  <c r="AB412" i="8" s="1"/>
  <c r="P386" i="2"/>
  <c r="AB396" i="8" s="1"/>
  <c r="P362" i="2"/>
  <c r="AB372" i="8" s="1"/>
  <c r="P346" i="2"/>
  <c r="AB356" i="8" s="1"/>
  <c r="P330" i="2"/>
  <c r="AB340" i="8" s="1"/>
  <c r="P302" i="2"/>
  <c r="AB312" i="8" s="1"/>
  <c r="P278" i="2"/>
  <c r="AB288" i="8" s="1"/>
  <c r="P258" i="2"/>
  <c r="AB268" i="8" s="1"/>
  <c r="P226" i="2"/>
  <c r="AB236" i="8" s="1"/>
  <c r="P210" i="2"/>
  <c r="AB220" i="8" s="1"/>
  <c r="P194" i="2"/>
  <c r="AB204" i="8" s="1"/>
  <c r="P178" i="2"/>
  <c r="AB188" i="8" s="1"/>
  <c r="P162" i="2"/>
  <c r="AB172" i="8" s="1"/>
  <c r="P146" i="2"/>
  <c r="AB156" i="8" s="1"/>
  <c r="P130" i="2"/>
  <c r="AB140" i="8" s="1"/>
  <c r="P114" i="2"/>
  <c r="AB124" i="8" s="1"/>
  <c r="P98" i="2"/>
  <c r="AB108" i="8" s="1"/>
  <c r="P82" i="2"/>
  <c r="AB92" i="8" s="1"/>
  <c r="P66" i="2"/>
  <c r="AB77" i="8" s="1"/>
  <c r="P50" i="2"/>
  <c r="AB62" i="8" s="1"/>
  <c r="P1067" i="2"/>
  <c r="AB1075" i="8" s="1"/>
  <c r="P1051" i="2"/>
  <c r="AB1059" i="8" s="1"/>
  <c r="P1019" i="2"/>
  <c r="AB1027" i="8" s="1"/>
  <c r="P1003" i="2"/>
  <c r="AB1011" i="8" s="1"/>
  <c r="P987" i="2"/>
  <c r="AB995" i="8" s="1"/>
  <c r="P971" i="2"/>
  <c r="AB979" i="8" s="1"/>
  <c r="P955" i="2"/>
  <c r="AB964" i="8" s="1"/>
  <c r="P939" i="2"/>
  <c r="AB948" i="8" s="1"/>
  <c r="P923" i="2"/>
  <c r="AB932" i="8" s="1"/>
  <c r="P907" i="2"/>
  <c r="AB916" i="8" s="1"/>
  <c r="P891" i="2"/>
  <c r="AB900" i="8" s="1"/>
  <c r="P875" i="2"/>
  <c r="AB884" i="8" s="1"/>
  <c r="P859" i="2"/>
  <c r="AB868" i="8" s="1"/>
  <c r="P843" i="2"/>
  <c r="AB852" i="8" s="1"/>
  <c r="P823" i="2"/>
  <c r="AB832" i="8" s="1"/>
  <c r="P807" i="2"/>
  <c r="AB816" i="8" s="1"/>
  <c r="P791" i="2"/>
  <c r="AB800" i="8" s="1"/>
  <c r="P775" i="2"/>
  <c r="AB784" i="8" s="1"/>
  <c r="P759" i="2"/>
  <c r="AB768" i="8" s="1"/>
  <c r="P743" i="2"/>
  <c r="AB752" i="8" s="1"/>
  <c r="P727" i="2"/>
  <c r="AB736" i="8" s="1"/>
  <c r="P711" i="2"/>
  <c r="AB721" i="8" s="1"/>
  <c r="P695" i="2"/>
  <c r="AB705" i="8" s="1"/>
  <c r="P679" i="2"/>
  <c r="AB689" i="8" s="1"/>
  <c r="P663" i="2"/>
  <c r="AB673" i="8" s="1"/>
  <c r="P647" i="2"/>
  <c r="AB657" i="8" s="1"/>
  <c r="P627" i="2"/>
  <c r="AB637" i="8" s="1"/>
  <c r="P595" i="2"/>
  <c r="AB605" i="8" s="1"/>
  <c r="P559" i="2"/>
  <c r="AB569" i="8" s="1"/>
  <c r="P543" i="2"/>
  <c r="AB553" i="8" s="1"/>
  <c r="P523" i="2"/>
  <c r="AB533" i="8" s="1"/>
  <c r="P495" i="2"/>
  <c r="AB505" i="8" s="1"/>
  <c r="P479" i="2"/>
  <c r="AB489" i="8" s="1"/>
  <c r="P459" i="2"/>
  <c r="AB469" i="8" s="1"/>
  <c r="P431" i="2"/>
  <c r="AB441" i="8" s="1"/>
  <c r="P399" i="2"/>
  <c r="AB409" i="8" s="1"/>
  <c r="P375" i="2"/>
  <c r="AB385" i="8" s="1"/>
  <c r="P359" i="2"/>
  <c r="AB369" i="8" s="1"/>
  <c r="P339" i="2"/>
  <c r="AB349" i="8" s="1"/>
  <c r="P323" i="2"/>
  <c r="AB333" i="8" s="1"/>
  <c r="P299" i="2"/>
  <c r="AB309" i="8" s="1"/>
  <c r="P279" i="2"/>
  <c r="AB289" i="8" s="1"/>
  <c r="P255" i="2"/>
  <c r="AB265" i="8" s="1"/>
  <c r="P235" i="2"/>
  <c r="AB245" i="8" s="1"/>
  <c r="P219" i="2"/>
  <c r="AB229" i="8" s="1"/>
  <c r="P203" i="2"/>
  <c r="AB213" i="8" s="1"/>
  <c r="P187" i="2"/>
  <c r="AB197" i="8" s="1"/>
  <c r="P171" i="2"/>
  <c r="AB181" i="8" s="1"/>
  <c r="P155" i="2"/>
  <c r="AB165" i="8" s="1"/>
  <c r="P139" i="2"/>
  <c r="AB149" i="8" s="1"/>
  <c r="P123" i="2"/>
  <c r="AB133" i="8" s="1"/>
  <c r="P107" i="2"/>
  <c r="AB117" i="8" s="1"/>
  <c r="P91" i="2"/>
  <c r="AB101" i="8" s="1"/>
  <c r="P75" i="2"/>
  <c r="AB85" i="8" s="1"/>
  <c r="P59" i="2"/>
  <c r="AB71" i="8" s="1"/>
  <c r="P43" i="2"/>
  <c r="AB55" i="8" s="1"/>
  <c r="P1064" i="2"/>
  <c r="AB1072" i="8" s="1"/>
  <c r="P1044" i="2"/>
  <c r="AB1052" i="8" s="1"/>
  <c r="P1012" i="2"/>
  <c r="AB1020" i="8" s="1"/>
  <c r="P996" i="2"/>
  <c r="AB1004" i="8" s="1"/>
  <c r="P980" i="2"/>
  <c r="AB988" i="8" s="1"/>
  <c r="P964" i="2"/>
  <c r="AB973" i="8" s="1"/>
  <c r="P948" i="2"/>
  <c r="AB957" i="8" s="1"/>
  <c r="P932" i="2"/>
  <c r="AB941" i="8" s="1"/>
  <c r="P916" i="2"/>
  <c r="AB925" i="8" s="1"/>
  <c r="P900" i="2"/>
  <c r="AB909" i="8" s="1"/>
  <c r="P884" i="2"/>
  <c r="AB893" i="8" s="1"/>
  <c r="P868" i="2"/>
  <c r="AB877" i="8" s="1"/>
  <c r="P852" i="2"/>
  <c r="AB861" i="8" s="1"/>
  <c r="P836" i="2"/>
  <c r="AB845" i="8" s="1"/>
  <c r="P812" i="2"/>
  <c r="AB821" i="8" s="1"/>
  <c r="P796" i="2"/>
  <c r="AB805" i="8" s="1"/>
  <c r="P776" i="2"/>
  <c r="AB785" i="8" s="1"/>
  <c r="P756" i="2"/>
  <c r="AB765" i="8" s="1"/>
  <c r="P740" i="2"/>
  <c r="AB749" i="8" s="1"/>
  <c r="P724" i="2"/>
  <c r="AB733" i="8" s="1"/>
  <c r="P708" i="2"/>
  <c r="AB718" i="8" s="1"/>
  <c r="P692" i="2"/>
  <c r="AB702" i="8" s="1"/>
  <c r="P676" i="2"/>
  <c r="AB686" i="8" s="1"/>
  <c r="P660" i="2"/>
  <c r="AB670" i="8" s="1"/>
  <c r="P644" i="2"/>
  <c r="AB654" i="8" s="1"/>
  <c r="P616" i="2"/>
  <c r="AB626" i="8" s="1"/>
  <c r="P592" i="2"/>
  <c r="AB602" i="8" s="1"/>
  <c r="P560" i="2"/>
  <c r="AB570" i="8" s="1"/>
  <c r="P532" i="2"/>
  <c r="AB542" i="8" s="1"/>
  <c r="P504" i="2"/>
  <c r="AB514" i="8" s="1"/>
  <c r="P480" i="2"/>
  <c r="AB490" i="8" s="1"/>
  <c r="P452" i="2"/>
  <c r="AB462" i="8" s="1"/>
  <c r="P416" i="2"/>
  <c r="AB426" i="8" s="1"/>
  <c r="P392" i="2"/>
  <c r="AB402" i="8" s="1"/>
  <c r="P364" i="2"/>
  <c r="AB374" i="8" s="1"/>
  <c r="P344" i="2"/>
  <c r="AB354" i="8" s="1"/>
  <c r="P324" i="2"/>
  <c r="AB334" i="8" s="1"/>
  <c r="P296" i="2"/>
  <c r="AB306" i="8" s="1"/>
  <c r="P252" i="2"/>
  <c r="AB262" i="8" s="1"/>
  <c r="P228" i="2"/>
  <c r="AB238" i="8" s="1"/>
  <c r="P212" i="2"/>
  <c r="AB222" i="8" s="1"/>
  <c r="P196" i="2"/>
  <c r="AB206" i="8" s="1"/>
  <c r="P180" i="2"/>
  <c r="AB190" i="8" s="1"/>
  <c r="P164" i="2"/>
  <c r="AB174" i="8" s="1"/>
  <c r="P148" i="2"/>
  <c r="AB158" i="8" s="1"/>
  <c r="P132" i="2"/>
  <c r="AB142" i="8" s="1"/>
  <c r="P116" i="2"/>
  <c r="AB126" i="8" s="1"/>
  <c r="P100" i="2"/>
  <c r="AB110" i="8" s="1"/>
  <c r="P84" i="2"/>
  <c r="AB94" i="8" s="1"/>
  <c r="P68" i="2"/>
  <c r="AB79" i="8" s="1"/>
  <c r="P52" i="2"/>
  <c r="AB64" i="8" s="1"/>
  <c r="P36" i="2"/>
  <c r="AB48" i="8" s="1"/>
  <c r="P2156" i="2"/>
  <c r="AB2156" i="8" s="1"/>
  <c r="P2127" i="2"/>
  <c r="AB2127" i="8" s="1"/>
  <c r="P2091" i="2"/>
  <c r="AB2091" i="8" s="1"/>
  <c r="P2059" i="2"/>
  <c r="AB2060" i="8" s="1"/>
  <c r="P2027" i="2"/>
  <c r="AB2028" i="8" s="1"/>
  <c r="P2153" i="2"/>
  <c r="AB2153" i="8" s="1"/>
  <c r="P2122" i="2"/>
  <c r="AB2122" i="8" s="1"/>
  <c r="P2094" i="2"/>
  <c r="AB2094" i="8" s="1"/>
  <c r="P2062" i="2"/>
  <c r="AB2063" i="8" s="1"/>
  <c r="P2030" i="2"/>
  <c r="AB2031" i="8" s="1"/>
  <c r="P1998" i="2"/>
  <c r="AB1999" i="8" s="1"/>
  <c r="P2166" i="2"/>
  <c r="AB2166" i="8" s="1"/>
  <c r="P2147" i="2"/>
  <c r="AB2147" i="8" s="1"/>
  <c r="P2107" i="2"/>
  <c r="AB2107" i="8" s="1"/>
  <c r="P2063" i="2"/>
  <c r="AB2064" i="8" s="1"/>
  <c r="P2031" i="2"/>
  <c r="AB2032" i="8" s="1"/>
  <c r="P1999" i="2"/>
  <c r="AB2000" i="8" s="1"/>
  <c r="P2159" i="2"/>
  <c r="AB2159" i="8" s="1"/>
  <c r="P2134" i="2"/>
  <c r="AB2134" i="8" s="1"/>
  <c r="P2082" i="2"/>
  <c r="AB2083" i="8" s="1"/>
  <c r="P2050" i="2"/>
  <c r="AB2051" i="8" s="1"/>
  <c r="P2018" i="2"/>
  <c r="AB2019" i="8" s="1"/>
  <c r="P1990" i="2"/>
  <c r="AB1991" i="8" s="1"/>
  <c r="P1974" i="2"/>
  <c r="AB1975" i="8" s="1"/>
  <c r="P1958" i="2"/>
  <c r="AB1959" i="8" s="1"/>
  <c r="P1942" i="2"/>
  <c r="AB1943" i="8" s="1"/>
  <c r="P1926" i="2"/>
  <c r="AB1929" i="8" s="1"/>
  <c r="P1910" i="2"/>
  <c r="AB1913" i="8" s="1"/>
  <c r="P1894" i="2"/>
  <c r="AB1897" i="8" s="1"/>
  <c r="P1878" i="2"/>
  <c r="AB1881" i="8" s="1"/>
  <c r="P1862" i="2"/>
  <c r="AB1865" i="8" s="1"/>
  <c r="P1846" i="2"/>
  <c r="AB1850" i="8" s="1"/>
  <c r="P1830" i="2"/>
  <c r="AB1835" i="8" s="1"/>
  <c r="P1814" i="2"/>
  <c r="AB1819" i="8" s="1"/>
  <c r="P1794" i="2"/>
  <c r="AB1799" i="8" s="1"/>
  <c r="P1778" i="2"/>
  <c r="AB1783" i="8" s="1"/>
  <c r="P1762" i="2"/>
  <c r="AB1767" i="8" s="1"/>
  <c r="P1742" i="2"/>
  <c r="AB1747" i="8" s="1"/>
  <c r="P1726" i="2"/>
  <c r="AB7" i="8" s="1"/>
  <c r="P1710" i="2"/>
  <c r="AB1716" i="8" s="1"/>
  <c r="P1694" i="2"/>
  <c r="AB1700" i="8" s="1"/>
  <c r="P1678" i="2"/>
  <c r="AB1684" i="8" s="1"/>
  <c r="P1662" i="2"/>
  <c r="AB1668" i="8" s="1"/>
  <c r="P1646" i="2"/>
  <c r="AB1652" i="8" s="1"/>
  <c r="P1630" i="2"/>
  <c r="AB1636" i="8" s="1"/>
  <c r="P1614" i="2"/>
  <c r="AB1621" i="8" s="1"/>
  <c r="P1598" i="2"/>
  <c r="AB1605" i="8" s="1"/>
  <c r="P1574" i="2"/>
  <c r="AB1581" i="8" s="1"/>
  <c r="P1558" i="2"/>
  <c r="AB1565" i="8" s="1"/>
  <c r="P1542" i="2"/>
  <c r="AB1549" i="8" s="1"/>
  <c r="P1526" i="2"/>
  <c r="AB1533" i="8" s="1"/>
  <c r="P1510" i="2"/>
  <c r="AB1517" i="8" s="1"/>
  <c r="P1494" i="2"/>
  <c r="AB1501" i="8" s="1"/>
  <c r="P1478" i="2"/>
  <c r="AB1485" i="8" s="1"/>
  <c r="P1462" i="2"/>
  <c r="AB1469" i="8" s="1"/>
  <c r="P1446" i="2"/>
  <c r="AB1453" i="8" s="1"/>
  <c r="P1430" i="2"/>
  <c r="AB1437" i="8" s="1"/>
  <c r="P1414" i="2"/>
  <c r="AB1421" i="8" s="1"/>
  <c r="P1394" i="2"/>
  <c r="AB1401" i="8" s="1"/>
  <c r="P1378" i="2"/>
  <c r="AB1385" i="8" s="1"/>
  <c r="P1362" i="2"/>
  <c r="AB1369" i="8" s="1"/>
  <c r="P1342" i="2"/>
  <c r="AB1349" i="8" s="1"/>
  <c r="P1326" i="2"/>
  <c r="AB1333" i="8" s="1"/>
  <c r="P1310" i="2"/>
  <c r="AB1317" i="8" s="1"/>
  <c r="P1294" i="2"/>
  <c r="AB1301" i="8" s="1"/>
  <c r="P1278" i="2"/>
  <c r="AB1285" i="8" s="1"/>
  <c r="P1262" i="2"/>
  <c r="AB1270" i="8" s="1"/>
  <c r="P1242" i="2"/>
  <c r="AB1250" i="8" s="1"/>
  <c r="P1226" i="2"/>
  <c r="AB1234" i="8" s="1"/>
  <c r="P1210" i="2"/>
  <c r="AB1218" i="8" s="1"/>
  <c r="P1194" i="2"/>
  <c r="AB1202" i="8" s="1"/>
  <c r="P1172" i="2"/>
  <c r="AB1180" i="8" s="1"/>
  <c r="P1140" i="2"/>
  <c r="AB1148" i="8" s="1"/>
  <c r="P1108" i="2"/>
  <c r="AB1116" i="8" s="1"/>
  <c r="P1076" i="2"/>
  <c r="AB1084" i="8" s="1"/>
  <c r="P1983" i="2"/>
  <c r="AB1984" i="8" s="1"/>
  <c r="P1967" i="2"/>
  <c r="AB1968" i="8" s="1"/>
  <c r="P1951" i="2"/>
  <c r="AB1952" i="8" s="1"/>
  <c r="P1935" i="2"/>
  <c r="AB1937" i="8" s="1"/>
  <c r="P1919" i="2"/>
  <c r="AB1922" i="8" s="1"/>
  <c r="P1903" i="2"/>
  <c r="AB1906" i="8" s="1"/>
  <c r="P1887" i="2"/>
  <c r="AB1890" i="8" s="1"/>
  <c r="P1871" i="2"/>
  <c r="AB1874" i="8" s="1"/>
  <c r="P1855" i="2"/>
  <c r="AB12" i="8" s="1"/>
  <c r="P1839" i="2"/>
  <c r="AB1843" i="8" s="1"/>
  <c r="P1823" i="2"/>
  <c r="AB1828" i="8" s="1"/>
  <c r="P1807" i="2"/>
  <c r="AB1812" i="8" s="1"/>
  <c r="P1791" i="2"/>
  <c r="AB1796" i="8" s="1"/>
  <c r="P1775" i="2"/>
  <c r="AB1780" i="8" s="1"/>
  <c r="P1759" i="2"/>
  <c r="AB1764" i="8" s="1"/>
  <c r="P1743" i="2"/>
  <c r="AB1748" i="8" s="1"/>
  <c r="P1727" i="2"/>
  <c r="AB1732" i="8" s="1"/>
  <c r="P1711" i="2"/>
  <c r="AB1717" i="8" s="1"/>
  <c r="P1695" i="2"/>
  <c r="AB1701" i="8" s="1"/>
  <c r="P1679" i="2"/>
  <c r="AB1685" i="8" s="1"/>
  <c r="P1663" i="2"/>
  <c r="AB1669" i="8" s="1"/>
  <c r="P1647" i="2"/>
  <c r="AB1653" i="8" s="1"/>
  <c r="P1627" i="2"/>
  <c r="AB1633" i="8" s="1"/>
  <c r="P1611" i="2"/>
  <c r="AB1618" i="8" s="1"/>
  <c r="P1595" i="2"/>
  <c r="AB1602" i="8" s="1"/>
  <c r="P1579" i="2"/>
  <c r="AB1586" i="8" s="1"/>
  <c r="P1563" i="2"/>
  <c r="AB1570" i="8" s="1"/>
  <c r="P1547" i="2"/>
  <c r="AB1554" i="8" s="1"/>
  <c r="P1531" i="2"/>
  <c r="AB1538" i="8" s="1"/>
  <c r="P1515" i="2"/>
  <c r="AB1522" i="8" s="1"/>
  <c r="P1499" i="2"/>
  <c r="AB1506" i="8" s="1"/>
  <c r="P1483" i="2"/>
  <c r="AB1490" i="8" s="1"/>
  <c r="P1467" i="2"/>
  <c r="AB1474" i="8" s="1"/>
  <c r="P1451" i="2"/>
  <c r="AB1458" i="8" s="1"/>
  <c r="P1435" i="2"/>
  <c r="AB1442" i="8" s="1"/>
  <c r="P1419" i="2"/>
  <c r="AB1426" i="8" s="1"/>
  <c r="P1403" i="2"/>
  <c r="AB1410" i="8" s="1"/>
  <c r="P1387" i="2"/>
  <c r="AB1394" i="8" s="1"/>
  <c r="P1371" i="2"/>
  <c r="AB1378" i="8" s="1"/>
  <c r="P1355" i="2"/>
  <c r="AB1362" i="8" s="1"/>
  <c r="P1339" i="2"/>
  <c r="AB1346" i="8" s="1"/>
  <c r="P1323" i="2"/>
  <c r="AB1330" i="8" s="1"/>
  <c r="P1307" i="2"/>
  <c r="AB1314" i="8" s="1"/>
  <c r="P1291" i="2"/>
  <c r="AB1298" i="8" s="1"/>
  <c r="P1275" i="2"/>
  <c r="AB1282" i="8" s="1"/>
  <c r="P1259" i="2"/>
  <c r="AB1267" i="8" s="1"/>
  <c r="P1243" i="2"/>
  <c r="AB1251" i="8" s="1"/>
  <c r="P1227" i="2"/>
  <c r="AB1235" i="8" s="1"/>
  <c r="P1211" i="2"/>
  <c r="AB1219" i="8" s="1"/>
  <c r="P1195" i="2"/>
  <c r="AB1203" i="8" s="1"/>
  <c r="P1179" i="2"/>
  <c r="AB1187" i="8" s="1"/>
  <c r="P1151" i="2"/>
  <c r="AB1159" i="8" s="1"/>
  <c r="P1119" i="2"/>
  <c r="AB1127" i="8" s="1"/>
  <c r="P1087" i="2"/>
  <c r="AB1095" i="8" s="1"/>
  <c r="P2148" i="2"/>
  <c r="AB2148" i="8" s="1"/>
  <c r="P2132" i="2"/>
  <c r="AB2132" i="8" s="1"/>
  <c r="P2116" i="2"/>
  <c r="AB2116" i="8" s="1"/>
  <c r="P2092" i="2"/>
  <c r="AB2092" i="8" s="1"/>
  <c r="P2076" i="2"/>
  <c r="AB2077" i="8" s="1"/>
  <c r="P2060" i="2"/>
  <c r="AB2061" i="8" s="1"/>
  <c r="P2044" i="2"/>
  <c r="AB2045" i="8" s="1"/>
  <c r="P2028" i="2"/>
  <c r="AB2029" i="8" s="1"/>
  <c r="P2012" i="2"/>
  <c r="AB2013" i="8" s="1"/>
  <c r="P1996" i="2"/>
  <c r="AB1997" i="8" s="1"/>
  <c r="P1980" i="2"/>
  <c r="AB1981" i="8" s="1"/>
  <c r="P1964" i="2"/>
  <c r="AB1965" i="8" s="1"/>
  <c r="P1948" i="2"/>
  <c r="AB1949" i="8" s="1"/>
  <c r="P1932" i="2"/>
  <c r="AB1934" i="8" s="1"/>
  <c r="P1916" i="2"/>
  <c r="AB1919" i="8" s="1"/>
  <c r="P1900" i="2"/>
  <c r="AB1903" i="8" s="1"/>
  <c r="P1884" i="2"/>
  <c r="AB1887" i="8" s="1"/>
  <c r="P1868" i="2"/>
  <c r="AB1871" i="8" s="1"/>
  <c r="P1852" i="2"/>
  <c r="AB1856" i="8" s="1"/>
  <c r="P1836" i="2"/>
  <c r="AB1841" i="8" s="1"/>
  <c r="P1820" i="2"/>
  <c r="AB1825" i="8" s="1"/>
  <c r="P1804" i="2"/>
  <c r="AB1809" i="8" s="1"/>
  <c r="P1788" i="2"/>
  <c r="AB1793" i="8" s="1"/>
  <c r="P1772" i="2"/>
  <c r="AB1777" i="8" s="1"/>
  <c r="P1756" i="2"/>
  <c r="AB1761" i="8" s="1"/>
  <c r="P1740" i="2"/>
  <c r="AB1745" i="8" s="1"/>
  <c r="P1724" i="2"/>
  <c r="AB1730" i="8" s="1"/>
  <c r="P1708" i="2"/>
  <c r="AB1714" i="8" s="1"/>
  <c r="P1692" i="2"/>
  <c r="AB1698" i="8" s="1"/>
  <c r="P1676" i="2"/>
  <c r="AB1682" i="8" s="1"/>
  <c r="P1660" i="2"/>
  <c r="AB1666" i="8" s="1"/>
  <c r="P1644" i="2"/>
  <c r="AB1650" i="8" s="1"/>
  <c r="P1624" i="2"/>
  <c r="AB1630" i="8" s="1"/>
  <c r="P1608" i="2"/>
  <c r="AB1615" i="8" s="1"/>
  <c r="P1592" i="2"/>
  <c r="AB1599" i="8" s="1"/>
  <c r="P1576" i="2"/>
  <c r="AB1583" i="8" s="1"/>
  <c r="P1560" i="2"/>
  <c r="AB1567" i="8" s="1"/>
  <c r="P1544" i="2"/>
  <c r="AB1551" i="8" s="1"/>
  <c r="P1528" i="2"/>
  <c r="AB1535" i="8" s="1"/>
  <c r="P1512" i="2"/>
  <c r="AB1519" i="8" s="1"/>
  <c r="P1496" i="2"/>
  <c r="AB1503" i="8" s="1"/>
  <c r="P1480" i="2"/>
  <c r="AB1487" i="8" s="1"/>
  <c r="P1464" i="2"/>
  <c r="AB1471" i="8" s="1"/>
  <c r="P1448" i="2"/>
  <c r="AB1455" i="8" s="1"/>
  <c r="P1432" i="2"/>
  <c r="AB1439" i="8" s="1"/>
  <c r="P1416" i="2"/>
  <c r="AB1423" i="8" s="1"/>
  <c r="P1400" i="2"/>
  <c r="AB1407" i="8" s="1"/>
  <c r="P1384" i="2"/>
  <c r="AB1391" i="8" s="1"/>
  <c r="P1368" i="2"/>
  <c r="AB1375" i="8" s="1"/>
  <c r="P1352" i="2"/>
  <c r="AB1359" i="8" s="1"/>
  <c r="P1336" i="2"/>
  <c r="AB1343" i="8" s="1"/>
  <c r="P1320" i="2"/>
  <c r="AB1327" i="8" s="1"/>
  <c r="P1304" i="2"/>
  <c r="AB1311" i="8" s="1"/>
  <c r="P1288" i="2"/>
  <c r="AB1295" i="8" s="1"/>
  <c r="P1272" i="2"/>
  <c r="AB1279" i="8" s="1"/>
  <c r="P1256" i="2"/>
  <c r="AB1264" i="8" s="1"/>
  <c r="P1240" i="2"/>
  <c r="AB1248" i="8" s="1"/>
  <c r="P1224" i="2"/>
  <c r="AB1232" i="8" s="1"/>
  <c r="P1208" i="2"/>
  <c r="AB1216" i="8" s="1"/>
  <c r="P1192" i="2"/>
  <c r="AB1200" i="8" s="1"/>
  <c r="P1176" i="2"/>
  <c r="AB1184" i="8" s="1"/>
  <c r="P1144" i="2"/>
  <c r="AB1152" i="8" s="1"/>
  <c r="P1112" i="2"/>
  <c r="AB1120" i="8" s="1"/>
  <c r="P1072" i="2"/>
  <c r="AB1080" i="8" s="1"/>
  <c r="P2137" i="2"/>
  <c r="AB2137" i="8" s="1"/>
  <c r="P2121" i="2"/>
  <c r="AB2121" i="8" s="1"/>
  <c r="P2105" i="2"/>
  <c r="AB2105" i="8" s="1"/>
  <c r="P2089" i="2"/>
  <c r="AB2089" i="8" s="1"/>
  <c r="P2073" i="2"/>
  <c r="AB2074" i="8" s="1"/>
  <c r="P2057" i="2"/>
  <c r="AB2058" i="8" s="1"/>
  <c r="P2041" i="2"/>
  <c r="AB2042" i="8" s="1"/>
  <c r="P2025" i="2"/>
  <c r="AB2026" i="8" s="1"/>
  <c r="P2009" i="2"/>
  <c r="AB2010" i="8" s="1"/>
  <c r="P1993" i="2"/>
  <c r="AB1994" i="8" s="1"/>
  <c r="P1977" i="2"/>
  <c r="AB1978" i="8" s="1"/>
  <c r="P1961" i="2"/>
  <c r="AB1962" i="8" s="1"/>
  <c r="P1945" i="2"/>
  <c r="AB1946" i="8" s="1"/>
  <c r="P1929" i="2"/>
  <c r="AB1931" i="8" s="1"/>
  <c r="P1913" i="2"/>
  <c r="AB1916" i="8" s="1"/>
  <c r="P1897" i="2"/>
  <c r="AB1900" i="8" s="1"/>
  <c r="P1881" i="2"/>
  <c r="AB1884" i="8" s="1"/>
  <c r="P1865" i="2"/>
  <c r="AB1868" i="8" s="1"/>
  <c r="P1849" i="2"/>
  <c r="AB1853" i="8" s="1"/>
  <c r="P1833" i="2"/>
  <c r="AB1838" i="8" s="1"/>
  <c r="P1817" i="2"/>
  <c r="AB1822" i="8" s="1"/>
  <c r="P1801" i="2"/>
  <c r="AB1806" i="8" s="1"/>
  <c r="P1785" i="2"/>
  <c r="AB1790" i="8" s="1"/>
  <c r="P1769" i="2"/>
  <c r="AB1774" i="8" s="1"/>
  <c r="P1753" i="2"/>
  <c r="AB1758" i="8" s="1"/>
  <c r="P1737" i="2"/>
  <c r="AB1742" i="8" s="1"/>
  <c r="P1721" i="2"/>
  <c r="AB1727" i="8" s="1"/>
  <c r="P1705" i="2"/>
  <c r="AB1711" i="8" s="1"/>
  <c r="P1689" i="2"/>
  <c r="AB1695" i="8" s="1"/>
  <c r="P1673" i="2"/>
  <c r="AB1679" i="8" s="1"/>
  <c r="P1657" i="2"/>
  <c r="AB1663" i="8" s="1"/>
  <c r="P1641" i="2"/>
  <c r="AB1647" i="8" s="1"/>
  <c r="P1625" i="2"/>
  <c r="AB1631" i="8" s="1"/>
  <c r="P1609" i="2"/>
  <c r="AB1616" i="8" s="1"/>
  <c r="P1589" i="2"/>
  <c r="AB1596" i="8" s="1"/>
  <c r="P1573" i="2"/>
  <c r="AB1580" i="8" s="1"/>
  <c r="P1557" i="2"/>
  <c r="AB1564" i="8" s="1"/>
  <c r="P1541" i="2"/>
  <c r="AB1548" i="8" s="1"/>
  <c r="P1525" i="2"/>
  <c r="AB1532" i="8" s="1"/>
  <c r="P1509" i="2"/>
  <c r="AB1516" i="8" s="1"/>
  <c r="P1493" i="2"/>
  <c r="AB1500" i="8" s="1"/>
  <c r="P1477" i="2"/>
  <c r="AB1484" i="8" s="1"/>
  <c r="P1461" i="2"/>
  <c r="AB1468" i="8" s="1"/>
  <c r="P1445" i="2"/>
  <c r="AB1452" i="8" s="1"/>
  <c r="P1429" i="2"/>
  <c r="AB1436" i="8" s="1"/>
  <c r="P1413" i="2"/>
  <c r="AB1420" i="8" s="1"/>
  <c r="P1397" i="2"/>
  <c r="AB1404" i="8" s="1"/>
  <c r="P1381" i="2"/>
  <c r="AB1388" i="8" s="1"/>
  <c r="P1365" i="2"/>
  <c r="AB1372" i="8" s="1"/>
  <c r="P1349" i="2"/>
  <c r="AB1356" i="8" s="1"/>
  <c r="P1333" i="2"/>
  <c r="AB1340" i="8" s="1"/>
  <c r="P1317" i="2"/>
  <c r="AB1324" i="8" s="1"/>
  <c r="P1301" i="2"/>
  <c r="AB1308" i="8" s="1"/>
  <c r="P1285" i="2"/>
  <c r="AB1292" i="8" s="1"/>
  <c r="P1269" i="2"/>
  <c r="AB1276" i="8" s="1"/>
  <c r="P1253" i="2"/>
  <c r="AB1261" i="8" s="1"/>
  <c r="P1237" i="2"/>
  <c r="AB1245" i="8" s="1"/>
  <c r="P1221" i="2"/>
  <c r="AB1229" i="8" s="1"/>
  <c r="P1205" i="2"/>
  <c r="AB1213" i="8" s="1"/>
  <c r="P1189" i="2"/>
  <c r="AB1197" i="8" s="1"/>
  <c r="P1171" i="2"/>
  <c r="AB1179" i="8" s="1"/>
  <c r="P1139" i="2"/>
  <c r="AB1147" i="8" s="1"/>
  <c r="P1107" i="2"/>
  <c r="AB1115" i="8" s="1"/>
  <c r="P1075" i="2"/>
  <c r="AB1083" i="8" s="1"/>
  <c r="P1161" i="2"/>
  <c r="AB1169" i="8" s="1"/>
  <c r="P1145" i="2"/>
  <c r="AB1153" i="8" s="1"/>
  <c r="P1129" i="2"/>
  <c r="AB1137" i="8" s="1"/>
  <c r="P1113" i="2"/>
  <c r="AB1121" i="8" s="1"/>
  <c r="P1097" i="2"/>
  <c r="AB1105" i="8" s="1"/>
  <c r="P1081" i="2"/>
  <c r="AB1089" i="8" s="1"/>
  <c r="P1065" i="2"/>
  <c r="AB1073" i="8" s="1"/>
  <c r="P1045" i="2"/>
  <c r="AB1053" i="8" s="1"/>
  <c r="P1025" i="2"/>
  <c r="AB1033" i="8" s="1"/>
  <c r="P1009" i="2"/>
  <c r="AB1017" i="8" s="1"/>
  <c r="P993" i="2"/>
  <c r="AB1001" i="8" s="1"/>
  <c r="P977" i="2"/>
  <c r="AB985" i="8" s="1"/>
  <c r="P961" i="2"/>
  <c r="AB970" i="8" s="1"/>
  <c r="P945" i="2"/>
  <c r="AB954" i="8" s="1"/>
  <c r="P929" i="2"/>
  <c r="AB938" i="8" s="1"/>
  <c r="P913" i="2"/>
  <c r="AB922" i="8" s="1"/>
  <c r="P897" i="2"/>
  <c r="AB906" i="8" s="1"/>
  <c r="P881" i="2"/>
  <c r="AB890" i="8" s="1"/>
  <c r="P865" i="2"/>
  <c r="AB874" i="8" s="1"/>
  <c r="P849" i="2"/>
  <c r="AB858" i="8" s="1"/>
  <c r="P833" i="2"/>
  <c r="AB842" i="8" s="1"/>
  <c r="P817" i="2"/>
  <c r="AB826" i="8" s="1"/>
  <c r="P801" i="2"/>
  <c r="AB810" i="8" s="1"/>
  <c r="P785" i="2"/>
  <c r="AB794" i="8" s="1"/>
  <c r="P769" i="2"/>
  <c r="AB778" i="8" s="1"/>
  <c r="P753" i="2"/>
  <c r="AB762" i="8" s="1"/>
  <c r="P737" i="2"/>
  <c r="AB746" i="8" s="1"/>
  <c r="P721" i="2"/>
  <c r="AB730" i="8" s="1"/>
  <c r="P705" i="2"/>
  <c r="AB715" i="8" s="1"/>
  <c r="P689" i="2"/>
  <c r="AB699" i="8" s="1"/>
  <c r="P673" i="2"/>
  <c r="AB683" i="8" s="1"/>
  <c r="P657" i="2"/>
  <c r="AB667" i="8" s="1"/>
  <c r="P641" i="2"/>
  <c r="AB651" i="8" s="1"/>
  <c r="P617" i="2"/>
  <c r="AB627" i="8" s="1"/>
  <c r="P597" i="2"/>
  <c r="AB607" i="8" s="1"/>
  <c r="P581" i="2"/>
  <c r="AB591" i="8" s="1"/>
  <c r="P553" i="2"/>
  <c r="AB563" i="8" s="1"/>
  <c r="P533" i="2"/>
  <c r="AB543" i="8" s="1"/>
  <c r="P517" i="2"/>
  <c r="AB527" i="8" s="1"/>
  <c r="P497" i="2"/>
  <c r="AB507" i="8" s="1"/>
  <c r="P477" i="2"/>
  <c r="AB487" i="8" s="1"/>
  <c r="P445" i="2"/>
  <c r="AB455" i="8" s="1"/>
  <c r="P421" i="2"/>
  <c r="AB431" i="8" s="1"/>
  <c r="P385" i="2"/>
  <c r="AB395" i="8" s="1"/>
  <c r="P361" i="2"/>
  <c r="AB371" i="8" s="1"/>
  <c r="P345" i="2"/>
  <c r="AB355" i="8" s="1"/>
  <c r="P329" i="2"/>
  <c r="AB339" i="8" s="1"/>
  <c r="P309" i="2"/>
  <c r="AB319" i="8" s="1"/>
  <c r="P285" i="2"/>
  <c r="AB295" i="8" s="1"/>
  <c r="P269" i="2"/>
  <c r="AB279" i="8" s="1"/>
  <c r="P253" i="2"/>
  <c r="AB263" i="8" s="1"/>
  <c r="P229" i="2"/>
  <c r="AB239" i="8" s="1"/>
  <c r="P213" i="2"/>
  <c r="AB223" i="8" s="1"/>
  <c r="P197" i="2"/>
  <c r="AB207" i="8" s="1"/>
  <c r="P181" i="2"/>
  <c r="AB191" i="8" s="1"/>
  <c r="P165" i="2"/>
  <c r="AB175" i="8" s="1"/>
  <c r="P149" i="2"/>
  <c r="AB159" i="8" s="1"/>
  <c r="P133" i="2"/>
  <c r="AB143" i="8" s="1"/>
  <c r="P117" i="2"/>
  <c r="AB127" i="8" s="1"/>
  <c r="P101" i="2"/>
  <c r="AB111" i="8" s="1"/>
  <c r="P85" i="2"/>
  <c r="AB95" i="8" s="1"/>
  <c r="P69" i="2"/>
  <c r="AB80" i="8" s="1"/>
  <c r="P53" i="2"/>
  <c r="AB65" i="8" s="1"/>
  <c r="P37" i="2"/>
  <c r="AB49" i="8" s="1"/>
  <c r="P1162" i="2"/>
  <c r="AB1170" i="8" s="1"/>
  <c r="P1146" i="2"/>
  <c r="AB1154" i="8" s="1"/>
  <c r="P1130" i="2"/>
  <c r="AB1138" i="8" s="1"/>
  <c r="P1114" i="2"/>
  <c r="AB1122" i="8" s="1"/>
  <c r="P1098" i="2"/>
  <c r="AB1106" i="8" s="1"/>
  <c r="P1082" i="2"/>
  <c r="AB1090" i="8" s="1"/>
  <c r="P1066" i="2"/>
  <c r="AB1074" i="8" s="1"/>
  <c r="P1038" i="2"/>
  <c r="AB1046" i="8" s="1"/>
  <c r="P1010" i="2"/>
  <c r="AB1018" i="8" s="1"/>
  <c r="P994" i="2"/>
  <c r="AB1002" i="8" s="1"/>
  <c r="P978" i="2"/>
  <c r="AB986" i="8" s="1"/>
  <c r="P962" i="2"/>
  <c r="AB971" i="8" s="1"/>
  <c r="P946" i="2"/>
  <c r="AB955" i="8" s="1"/>
  <c r="P930" i="2"/>
  <c r="AB939" i="8" s="1"/>
  <c r="P914" i="2"/>
  <c r="AB923" i="8" s="1"/>
  <c r="P898" i="2"/>
  <c r="AB907" i="8" s="1"/>
  <c r="P882" i="2"/>
  <c r="AB891" i="8" s="1"/>
  <c r="P866" i="2"/>
  <c r="AB875" i="8" s="1"/>
  <c r="P850" i="2"/>
  <c r="AB859" i="8" s="1"/>
  <c r="P830" i="2"/>
  <c r="AB839" i="8" s="1"/>
  <c r="P814" i="2"/>
  <c r="AB823" i="8" s="1"/>
  <c r="P798" i="2"/>
  <c r="AB807" i="8" s="1"/>
  <c r="P778" i="2"/>
  <c r="AB787" i="8" s="1"/>
  <c r="P758" i="2"/>
  <c r="AB767" i="8" s="1"/>
  <c r="P738" i="2"/>
  <c r="AB747" i="8" s="1"/>
  <c r="P722" i="2"/>
  <c r="AB731" i="8" s="1"/>
  <c r="P706" i="2"/>
  <c r="AB716" i="8" s="1"/>
  <c r="P690" i="2"/>
  <c r="AB700" i="8" s="1"/>
  <c r="P670" i="2"/>
  <c r="AB680" i="8" s="1"/>
  <c r="P654" i="2"/>
  <c r="AB664" i="8" s="1"/>
  <c r="P630" i="2"/>
  <c r="AB640" i="8" s="1"/>
  <c r="P598" i="2"/>
  <c r="AB608" i="8" s="1"/>
  <c r="P562" i="2"/>
  <c r="AB572" i="8" s="1"/>
  <c r="P538" i="2"/>
  <c r="AB548" i="8" s="1"/>
  <c r="P510" i="2"/>
  <c r="AB520" i="8" s="1"/>
  <c r="P482" i="2"/>
  <c r="AB492" i="8" s="1"/>
  <c r="P466" i="2"/>
  <c r="AB476" i="8" s="1"/>
  <c r="P434" i="2"/>
  <c r="AB444" i="8" s="1"/>
  <c r="P406" i="2"/>
  <c r="AB416" i="8" s="1"/>
  <c r="P390" i="2"/>
  <c r="AB400" i="8" s="1"/>
  <c r="P366" i="2"/>
  <c r="AB376" i="8" s="1"/>
  <c r="P350" i="2"/>
  <c r="AB360" i="8" s="1"/>
  <c r="P334" i="2"/>
  <c r="AB344" i="8" s="1"/>
  <c r="P314" i="2"/>
  <c r="AB324" i="8" s="1"/>
  <c r="P282" i="2"/>
  <c r="AB292" i="8" s="1"/>
  <c r="P262" i="2"/>
  <c r="AB272" i="8" s="1"/>
  <c r="P230" i="2"/>
  <c r="AB240" i="8" s="1"/>
  <c r="P214" i="2"/>
  <c r="AB224" i="8" s="1"/>
  <c r="P198" i="2"/>
  <c r="AB208" i="8" s="1"/>
  <c r="P182" i="2"/>
  <c r="AB192" i="8" s="1"/>
  <c r="P166" i="2"/>
  <c r="AB176" i="8" s="1"/>
  <c r="P150" i="2"/>
  <c r="AB160" i="8" s="1"/>
  <c r="P134" i="2"/>
  <c r="AB144" i="8" s="1"/>
  <c r="P118" i="2"/>
  <c r="AB128" i="8" s="1"/>
  <c r="P102" i="2"/>
  <c r="AB112" i="8" s="1"/>
  <c r="P86" i="2"/>
  <c r="AB96" i="8" s="1"/>
  <c r="P70" i="2"/>
  <c r="AB81" i="8" s="1"/>
  <c r="P54" i="2"/>
  <c r="AB66" i="8" s="1"/>
  <c r="P38" i="2"/>
  <c r="AB50" i="8" s="1"/>
  <c r="P1055" i="2"/>
  <c r="AB1063" i="8" s="1"/>
  <c r="P1023" i="2"/>
  <c r="AB1031" i="8" s="1"/>
  <c r="P1007" i="2"/>
  <c r="AB1015" i="8" s="1"/>
  <c r="P991" i="2"/>
  <c r="AB999" i="8" s="1"/>
  <c r="P975" i="2"/>
  <c r="AB983" i="8" s="1"/>
  <c r="P959" i="2"/>
  <c r="AB968" i="8" s="1"/>
  <c r="P943" i="2"/>
  <c r="AB952" i="8" s="1"/>
  <c r="P927" i="2"/>
  <c r="AB936" i="8" s="1"/>
  <c r="P911" i="2"/>
  <c r="AB920" i="8" s="1"/>
  <c r="P895" i="2"/>
  <c r="AB904" i="8" s="1"/>
  <c r="P879" i="2"/>
  <c r="AB888" i="8" s="1"/>
  <c r="P863" i="2"/>
  <c r="AB872" i="8" s="1"/>
  <c r="P847" i="2"/>
  <c r="AB856" i="8" s="1"/>
  <c r="P831" i="2"/>
  <c r="AB840" i="8" s="1"/>
  <c r="P811" i="2"/>
  <c r="AB820" i="8" s="1"/>
  <c r="P795" i="2"/>
  <c r="AB804" i="8" s="1"/>
  <c r="P779" i="2"/>
  <c r="AB788" i="8" s="1"/>
  <c r="P763" i="2"/>
  <c r="AB772" i="8" s="1"/>
  <c r="P747" i="2"/>
  <c r="AB756" i="8" s="1"/>
  <c r="P731" i="2"/>
  <c r="AB740" i="8" s="1"/>
  <c r="P715" i="2"/>
  <c r="AB725" i="8" s="1"/>
  <c r="P699" i="2"/>
  <c r="AB709" i="8" s="1"/>
  <c r="P683" i="2"/>
  <c r="AB693" i="8" s="1"/>
  <c r="P667" i="2"/>
  <c r="AB677" i="8" s="1"/>
  <c r="P651" i="2"/>
  <c r="AB661" i="8" s="1"/>
  <c r="P631" i="2"/>
  <c r="AB641" i="8" s="1"/>
  <c r="P599" i="2"/>
  <c r="AB609" i="8" s="1"/>
  <c r="P567" i="2"/>
  <c r="AB577" i="8" s="1"/>
  <c r="P547" i="2"/>
  <c r="AB557" i="8" s="1"/>
  <c r="P527" i="2"/>
  <c r="AB537" i="8" s="1"/>
  <c r="P507" i="2"/>
  <c r="AB517" i="8" s="1"/>
  <c r="P483" i="2"/>
  <c r="AB493" i="8" s="1"/>
  <c r="P463" i="2"/>
  <c r="AB473" i="8" s="1"/>
  <c r="P439" i="2"/>
  <c r="AB449" i="8" s="1"/>
  <c r="P407" i="2"/>
  <c r="AB417" i="8" s="1"/>
  <c r="P379" i="2"/>
  <c r="AB389" i="8" s="1"/>
  <c r="P363" i="2"/>
  <c r="AB373" i="8" s="1"/>
  <c r="P343" i="2"/>
  <c r="AB353" i="8" s="1"/>
  <c r="P327" i="2"/>
  <c r="AB337" i="8" s="1"/>
  <c r="P303" i="2"/>
  <c r="AB313" i="8" s="1"/>
  <c r="P283" i="2"/>
  <c r="AB293" i="8" s="1"/>
  <c r="P263" i="2"/>
  <c r="AB273" i="8" s="1"/>
  <c r="P239" i="2"/>
  <c r="AB249" i="8" s="1"/>
  <c r="P223" i="2"/>
  <c r="AB233" i="8" s="1"/>
  <c r="P207" i="2"/>
  <c r="AB217" i="8" s="1"/>
  <c r="P191" i="2"/>
  <c r="AB201" i="8" s="1"/>
  <c r="P175" i="2"/>
  <c r="AB185" i="8" s="1"/>
  <c r="P159" i="2"/>
  <c r="AB169" i="8" s="1"/>
  <c r="P143" i="2"/>
  <c r="AB153" i="8" s="1"/>
  <c r="P127" i="2"/>
  <c r="AB137" i="8" s="1"/>
  <c r="P111" i="2"/>
  <c r="AB121" i="8" s="1"/>
  <c r="P95" i="2"/>
  <c r="AB105" i="8" s="1"/>
  <c r="P79" i="2"/>
  <c r="AB89" i="8" s="1"/>
  <c r="P63" i="2"/>
  <c r="AB75" i="8" s="1"/>
  <c r="P47" i="2"/>
  <c r="AB59" i="8" s="1"/>
  <c r="P1068" i="2"/>
  <c r="AB1076" i="8" s="1"/>
  <c r="P1048" i="2"/>
  <c r="AB1056" i="8" s="1"/>
  <c r="P1016" i="2"/>
  <c r="AB1024" i="8" s="1"/>
  <c r="P1000" i="2"/>
  <c r="AB1008" i="8" s="1"/>
  <c r="P984" i="2"/>
  <c r="AB992" i="8" s="1"/>
  <c r="P968" i="2"/>
  <c r="AB976" i="8" s="1"/>
  <c r="P952" i="2"/>
  <c r="AB961" i="8" s="1"/>
  <c r="P936" i="2"/>
  <c r="AB945" i="8" s="1"/>
  <c r="P920" i="2"/>
  <c r="AB929" i="8" s="1"/>
  <c r="P904" i="2"/>
  <c r="AB913" i="8" s="1"/>
  <c r="P888" i="2"/>
  <c r="AB897" i="8" s="1"/>
  <c r="P872" i="2"/>
  <c r="AB881" i="8" s="1"/>
  <c r="P856" i="2"/>
  <c r="AB865" i="8" s="1"/>
  <c r="P840" i="2"/>
  <c r="AB849" i="8" s="1"/>
  <c r="P816" i="2"/>
  <c r="AB825" i="8" s="1"/>
  <c r="P800" i="2"/>
  <c r="AB809" i="8" s="1"/>
  <c r="P780" i="2"/>
  <c r="AB789" i="8" s="1"/>
  <c r="P760" i="2"/>
  <c r="AB769" i="8" s="1"/>
  <c r="P744" i="2"/>
  <c r="AB753" i="8" s="1"/>
  <c r="P728" i="2"/>
  <c r="AB737" i="8" s="1"/>
  <c r="P712" i="2"/>
  <c r="AB722" i="8" s="1"/>
  <c r="P696" i="2"/>
  <c r="AB706" i="8" s="1"/>
  <c r="P680" i="2"/>
  <c r="AB690" i="8" s="1"/>
  <c r="P664" i="2"/>
  <c r="AB674" i="8" s="1"/>
  <c r="P648" i="2"/>
  <c r="AB658" i="8" s="1"/>
  <c r="P624" i="2"/>
  <c r="AB634" i="8" s="1"/>
  <c r="P596" i="2"/>
  <c r="AB606" i="8" s="1"/>
  <c r="P568" i="2"/>
  <c r="AB578" i="8" s="1"/>
  <c r="P540" i="2"/>
  <c r="AB550" i="8" s="1"/>
  <c r="P520" i="2"/>
  <c r="AB530" i="8" s="1"/>
  <c r="P484" i="2"/>
  <c r="AB494" i="8" s="1"/>
  <c r="P456" i="2"/>
  <c r="AB466" i="8" s="1"/>
  <c r="P420" i="2"/>
  <c r="AB430" i="8" s="1"/>
  <c r="P396" i="2"/>
  <c r="AB406" i="8" s="1"/>
  <c r="P368" i="2"/>
  <c r="AB378" i="8" s="1"/>
  <c r="P348" i="2"/>
  <c r="AB358" i="8" s="1"/>
  <c r="P328" i="2"/>
  <c r="AB338" i="8" s="1"/>
  <c r="P300" i="2"/>
  <c r="AB310" i="8" s="1"/>
  <c r="P272" i="2"/>
  <c r="AB282" i="8" s="1"/>
  <c r="P232" i="2"/>
  <c r="AB242" i="8" s="1"/>
  <c r="P216" i="2"/>
  <c r="AB226" i="8" s="1"/>
  <c r="P200" i="2"/>
  <c r="AB210" i="8" s="1"/>
  <c r="P184" i="2"/>
  <c r="AB194" i="8" s="1"/>
  <c r="P168" i="2"/>
  <c r="AB178" i="8" s="1"/>
  <c r="P152" i="2"/>
  <c r="AB162" i="8" s="1"/>
  <c r="P136" i="2"/>
  <c r="AB146" i="8" s="1"/>
  <c r="P120" i="2"/>
  <c r="AB130" i="8" s="1"/>
  <c r="P104" i="2"/>
  <c r="AB114" i="8" s="1"/>
  <c r="P88" i="2"/>
  <c r="AB98" i="8" s="1"/>
  <c r="P72" i="2"/>
  <c r="AB82" i="8" s="1"/>
  <c r="P56" i="2"/>
  <c r="AB68" i="8" s="1"/>
  <c r="P40" i="2"/>
  <c r="AB52" i="8" s="1"/>
  <c r="P2160" i="2"/>
  <c r="AB2160" i="8" s="1"/>
  <c r="P2135" i="2"/>
  <c r="AB2135" i="8" s="1"/>
  <c r="P2098" i="2"/>
  <c r="AB2098" i="8" s="1"/>
  <c r="P2067" i="2"/>
  <c r="AB2068" i="8" s="1"/>
  <c r="P2035" i="2"/>
  <c r="AB2036" i="8" s="1"/>
  <c r="P2003" i="2"/>
  <c r="AB2004" i="8" s="1"/>
  <c r="P2157" i="2"/>
  <c r="AB2157" i="8" s="1"/>
  <c r="P2130" i="2"/>
  <c r="AB2130" i="8" s="1"/>
  <c r="P2099" i="2"/>
  <c r="AB2099" i="8" s="1"/>
  <c r="P2070" i="2"/>
  <c r="AB2071" i="8" s="1"/>
  <c r="P2038" i="2"/>
  <c r="AB2039" i="8" s="1"/>
  <c r="P2006" i="2"/>
  <c r="AB2007" i="8" s="1"/>
  <c r="P2154" i="2"/>
  <c r="AB2154" i="8" s="1"/>
  <c r="P2123" i="2"/>
  <c r="AB2123" i="8" s="1"/>
  <c r="P2071" i="2"/>
  <c r="AB2072" i="8" s="1"/>
  <c r="P2039" i="2"/>
  <c r="AB2040" i="8" s="1"/>
  <c r="P2007" i="2"/>
  <c r="AB2008" i="8" s="1"/>
  <c r="P2163" i="2"/>
  <c r="AB2163" i="8" s="1"/>
  <c r="P2142" i="2"/>
  <c r="AB2142" i="8" s="1"/>
  <c r="P2110" i="2"/>
  <c r="AB2110" i="8" s="1"/>
  <c r="P2058" i="2"/>
  <c r="AB2059" i="8" s="1"/>
  <c r="P2026" i="2"/>
  <c r="AB2027" i="8" s="1"/>
  <c r="P1994" i="2"/>
  <c r="AB1995" i="8" s="1"/>
  <c r="P1978" i="2"/>
  <c r="AB1979" i="8" s="1"/>
  <c r="P1962" i="2"/>
  <c r="AB1963" i="8" s="1"/>
  <c r="P1946" i="2"/>
  <c r="AB1947" i="8" s="1"/>
  <c r="P1930" i="2"/>
  <c r="AB1932" i="8" s="1"/>
  <c r="P1914" i="2"/>
  <c r="AB1917" i="8" s="1"/>
  <c r="P1898" i="2"/>
  <c r="AB1901" i="8" s="1"/>
  <c r="P1882" i="2"/>
  <c r="AB1885" i="8" s="1"/>
  <c r="P1866" i="2"/>
  <c r="AB1869" i="8" s="1"/>
  <c r="P1850" i="2"/>
  <c r="AB1854" i="8" s="1"/>
  <c r="P1834" i="2"/>
  <c r="AB1839" i="8" s="1"/>
  <c r="P1818" i="2"/>
  <c r="AB1823" i="8" s="1"/>
  <c r="P1798" i="2"/>
  <c r="AB1803" i="8" s="1"/>
  <c r="P1782" i="2"/>
  <c r="AB1787" i="8" s="1"/>
  <c r="P1766" i="2"/>
  <c r="AB1771" i="8" s="1"/>
  <c r="P1746" i="2"/>
  <c r="AB1751" i="8" s="1"/>
  <c r="P1730" i="2"/>
  <c r="AB1735" i="8" s="1"/>
  <c r="P1714" i="2"/>
  <c r="AB1720" i="8" s="1"/>
  <c r="P1698" i="2"/>
  <c r="AB1704" i="8" s="1"/>
  <c r="P1682" i="2"/>
  <c r="AB1688" i="8" s="1"/>
  <c r="P1666" i="2"/>
  <c r="AB1672" i="8" s="1"/>
  <c r="P1650" i="2"/>
  <c r="AB1656" i="8" s="1"/>
  <c r="P1634" i="2"/>
  <c r="AB1640" i="8" s="1"/>
  <c r="P1618" i="2"/>
  <c r="AB1624" i="8" s="1"/>
  <c r="P1602" i="2"/>
  <c r="AB1609" i="8" s="1"/>
  <c r="P1578" i="2"/>
  <c r="AB1585" i="8" s="1"/>
  <c r="P1562" i="2"/>
  <c r="AB1569" i="8" s="1"/>
  <c r="P1546" i="2"/>
  <c r="AB1553" i="8" s="1"/>
  <c r="P1530" i="2"/>
  <c r="AB1537" i="8" s="1"/>
  <c r="P1514" i="2"/>
  <c r="AB1521" i="8" s="1"/>
  <c r="P1498" i="2"/>
  <c r="AB1505" i="8" s="1"/>
  <c r="P1482" i="2"/>
  <c r="AB1489" i="8" s="1"/>
  <c r="P1466" i="2"/>
  <c r="AB1473" i="8" s="1"/>
  <c r="P1450" i="2"/>
  <c r="AB1457" i="8" s="1"/>
  <c r="P1434" i="2"/>
  <c r="AB1441" i="8" s="1"/>
  <c r="P1418" i="2"/>
  <c r="AB1425" i="8" s="1"/>
  <c r="P1398" i="2"/>
  <c r="AB1405" i="8" s="1"/>
  <c r="P1382" i="2"/>
  <c r="AB1389" i="8" s="1"/>
  <c r="P1366" i="2"/>
  <c r="AB1373" i="8" s="1"/>
  <c r="P1346" i="2"/>
  <c r="AB1353" i="8" s="1"/>
  <c r="P1330" i="2"/>
  <c r="AB1337" i="8" s="1"/>
  <c r="P1314" i="2"/>
  <c r="AB1321" i="8" s="1"/>
  <c r="P1298" i="2"/>
  <c r="AB1305" i="8" s="1"/>
  <c r="P1282" i="2"/>
  <c r="AB1289" i="8" s="1"/>
  <c r="P1266" i="2"/>
  <c r="AB1273" i="8" s="1"/>
  <c r="P1246" i="2"/>
  <c r="AB1254" i="8" s="1"/>
  <c r="P1230" i="2"/>
  <c r="AB1238" i="8" s="1"/>
  <c r="P1214" i="2"/>
  <c r="AB1222" i="8" s="1"/>
  <c r="P1198" i="2"/>
  <c r="AB1206" i="8" s="1"/>
  <c r="P1178" i="2"/>
  <c r="AB1186" i="8" s="1"/>
  <c r="P1148" i="2"/>
  <c r="AB1156" i="8" s="1"/>
  <c r="P1116" i="2"/>
  <c r="AB1124" i="8" s="1"/>
  <c r="P1084" i="2"/>
  <c r="AB1092" i="8" s="1"/>
  <c r="P1987" i="2"/>
  <c r="AB1988" i="8" s="1"/>
  <c r="P1971" i="2"/>
  <c r="AB1972" i="8" s="1"/>
  <c r="P1955" i="2"/>
  <c r="AB1956" i="8" s="1"/>
  <c r="P1939" i="2"/>
  <c r="AB5" i="8" s="1"/>
  <c r="P1923" i="2"/>
  <c r="AB1926" i="8" s="1"/>
  <c r="P1907" i="2"/>
  <c r="AB1910" i="8" s="1"/>
  <c r="P1891" i="2"/>
  <c r="AB1894" i="8" s="1"/>
  <c r="P1875" i="2"/>
  <c r="AB1878" i="8" s="1"/>
  <c r="P1859" i="2"/>
  <c r="AB1862" i="8" s="1"/>
  <c r="P1843" i="2"/>
  <c r="AB1847" i="8" s="1"/>
  <c r="P1827" i="2"/>
  <c r="AB1832" i="8" s="1"/>
  <c r="P1811" i="2"/>
  <c r="AB1816" i="8" s="1"/>
  <c r="P1795" i="2"/>
  <c r="AB1800" i="8" s="1"/>
  <c r="P1779" i="2"/>
  <c r="AB1784" i="8" s="1"/>
  <c r="P1763" i="2"/>
  <c r="AB1768" i="8" s="1"/>
  <c r="P1747" i="2"/>
  <c r="AB1752" i="8" s="1"/>
  <c r="P1731" i="2"/>
  <c r="AB1736" i="8" s="1"/>
  <c r="P1715" i="2"/>
  <c r="AB1721" i="8" s="1"/>
  <c r="P1699" i="2"/>
  <c r="AB1705" i="8" s="1"/>
  <c r="P1683" i="2"/>
  <c r="AB1689" i="8" s="1"/>
  <c r="P1667" i="2"/>
  <c r="AB1673" i="8" s="1"/>
  <c r="P1651" i="2"/>
  <c r="AB1657" i="8" s="1"/>
  <c r="P1631" i="2"/>
  <c r="AB1637" i="8" s="1"/>
  <c r="P1615" i="2"/>
  <c r="AB11" i="8" s="1"/>
  <c r="P1599" i="2"/>
  <c r="AB1606" i="8" s="1"/>
  <c r="P1583" i="2"/>
  <c r="AB1590" i="8" s="1"/>
  <c r="P1567" i="2"/>
  <c r="AB1574" i="8" s="1"/>
  <c r="P1551" i="2"/>
  <c r="AB1558" i="8" s="1"/>
  <c r="P1535" i="2"/>
  <c r="AB1542" i="8" s="1"/>
  <c r="P1519" i="2"/>
  <c r="AB1526" i="8" s="1"/>
  <c r="P1503" i="2"/>
  <c r="AB1510" i="8" s="1"/>
  <c r="P1487" i="2"/>
  <c r="AB1494" i="8" s="1"/>
  <c r="P1471" i="2"/>
  <c r="AB1478" i="8" s="1"/>
  <c r="P1455" i="2"/>
  <c r="AB1462" i="8" s="1"/>
  <c r="P1439" i="2"/>
  <c r="AB1446" i="8" s="1"/>
  <c r="P1423" i="2"/>
  <c r="AB1430" i="8" s="1"/>
  <c r="P1407" i="2"/>
  <c r="AB1414" i="8" s="1"/>
  <c r="P1391" i="2"/>
  <c r="AB1398" i="8" s="1"/>
  <c r="P1375" i="2"/>
  <c r="AB1382" i="8" s="1"/>
  <c r="P1359" i="2"/>
  <c r="AB1366" i="8" s="1"/>
  <c r="P1343" i="2"/>
  <c r="AB1350" i="8" s="1"/>
  <c r="P1327" i="2"/>
  <c r="AB1334" i="8" s="1"/>
  <c r="P1311" i="2"/>
  <c r="AB1318" i="8" s="1"/>
  <c r="P1295" i="2"/>
  <c r="AB1302" i="8" s="1"/>
  <c r="P1279" i="2"/>
  <c r="AB1286" i="8" s="1"/>
  <c r="P1263" i="2"/>
  <c r="AB1271" i="8" s="1"/>
  <c r="P1247" i="2"/>
  <c r="AB1255" i="8" s="1"/>
  <c r="P1231" i="2"/>
  <c r="AB1239" i="8" s="1"/>
  <c r="P1215" i="2"/>
  <c r="AB1223" i="8" s="1"/>
  <c r="P1199" i="2"/>
  <c r="AB1207" i="8" s="1"/>
  <c r="P1183" i="2"/>
  <c r="AB1191" i="8" s="1"/>
  <c r="P1159" i="2"/>
  <c r="AB1167" i="8" s="1"/>
  <c r="P1127" i="2"/>
  <c r="AB1135" i="8" s="1"/>
  <c r="P1095" i="2"/>
  <c r="AB1103" i="8" s="1"/>
  <c r="P2152" i="2"/>
  <c r="AB2152" i="8" s="1"/>
  <c r="P2136" i="2"/>
  <c r="AB2136" i="8" s="1"/>
  <c r="P2120" i="2"/>
  <c r="AB2120" i="8" s="1"/>
  <c r="P2100" i="2"/>
  <c r="AB2100" i="8" s="1"/>
  <c r="P2080" i="2"/>
  <c r="AB2081" i="8" s="1"/>
  <c r="P2064" i="2"/>
  <c r="AB2065" i="8" s="1"/>
  <c r="P2048" i="2"/>
  <c r="AB2049" i="8" s="1"/>
  <c r="P2032" i="2"/>
  <c r="AB2033" i="8" s="1"/>
  <c r="P2016" i="2"/>
  <c r="AB2017" i="8" s="1"/>
  <c r="P2000" i="2"/>
  <c r="AB2001" i="8" s="1"/>
  <c r="P1984" i="2"/>
  <c r="AB1985" i="8" s="1"/>
  <c r="P1968" i="2"/>
  <c r="AB1969" i="8" s="1"/>
  <c r="P1952" i="2"/>
  <c r="AB1953" i="8" s="1"/>
  <c r="P1936" i="2"/>
  <c r="AB1938" i="8" s="1"/>
  <c r="P1920" i="2"/>
  <c r="AB1923" i="8" s="1"/>
  <c r="P1904" i="2"/>
  <c r="AB1907" i="8" s="1"/>
  <c r="P1888" i="2"/>
  <c r="AB1891" i="8" s="1"/>
  <c r="P1872" i="2"/>
  <c r="AB1875" i="8" s="1"/>
  <c r="P1856" i="2"/>
  <c r="AB1859" i="8" s="1"/>
  <c r="P1840" i="2"/>
  <c r="AB1844" i="8" s="1"/>
  <c r="P1824" i="2"/>
  <c r="AB1829" i="8" s="1"/>
  <c r="P1808" i="2"/>
  <c r="AB1813" i="8" s="1"/>
  <c r="P1792" i="2"/>
  <c r="AB1797" i="8" s="1"/>
  <c r="P1776" i="2"/>
  <c r="AB1781" i="8" s="1"/>
  <c r="P1760" i="2"/>
  <c r="AB1765" i="8" s="1"/>
  <c r="P1744" i="2"/>
  <c r="AB1749" i="8" s="1"/>
  <c r="P1728" i="2"/>
  <c r="AB1733" i="8" s="1"/>
  <c r="P1712" i="2"/>
  <c r="AB1718" i="8" s="1"/>
  <c r="P1696" i="2"/>
  <c r="AB1702" i="8" s="1"/>
  <c r="P1680" i="2"/>
  <c r="AB1686" i="8" s="1"/>
  <c r="P1664" i="2"/>
  <c r="AB1670" i="8" s="1"/>
  <c r="P1648" i="2"/>
  <c r="AB1654" i="8" s="1"/>
  <c r="P1628" i="2"/>
  <c r="AB1634" i="8" s="1"/>
  <c r="P1612" i="2"/>
  <c r="AB1619" i="8" s="1"/>
  <c r="P1596" i="2"/>
  <c r="AB1603" i="8" s="1"/>
  <c r="P1580" i="2"/>
  <c r="AB1587" i="8" s="1"/>
  <c r="P1564" i="2"/>
  <c r="AB1571" i="8" s="1"/>
  <c r="P1548" i="2"/>
  <c r="AB1555" i="8" s="1"/>
  <c r="P1532" i="2"/>
  <c r="AB1539" i="8" s="1"/>
  <c r="P1516" i="2"/>
  <c r="AB1523" i="8" s="1"/>
  <c r="P1500" i="2"/>
  <c r="AB1507" i="8" s="1"/>
  <c r="P1484" i="2"/>
  <c r="AB1491" i="8" s="1"/>
  <c r="P1468" i="2"/>
  <c r="AB1475" i="8" s="1"/>
  <c r="P1452" i="2"/>
  <c r="AB1459" i="8" s="1"/>
  <c r="P1436" i="2"/>
  <c r="AB1443" i="8" s="1"/>
  <c r="P1420" i="2"/>
  <c r="AB1427" i="8" s="1"/>
  <c r="P1404" i="2"/>
  <c r="AB1411" i="8" s="1"/>
  <c r="P1388" i="2"/>
  <c r="AB1395" i="8" s="1"/>
  <c r="P1372" i="2"/>
  <c r="AB1379" i="8" s="1"/>
  <c r="P1356" i="2"/>
  <c r="AB1363" i="8" s="1"/>
  <c r="P1340" i="2"/>
  <c r="AB1347" i="8" s="1"/>
  <c r="P1324" i="2"/>
  <c r="AB1331" i="8" s="1"/>
  <c r="P1308" i="2"/>
  <c r="AB1315" i="8" s="1"/>
  <c r="P1292" i="2"/>
  <c r="AB1299" i="8" s="1"/>
  <c r="P1276" i="2"/>
  <c r="AB1283" i="8" s="1"/>
  <c r="P1260" i="2"/>
  <c r="AB1268" i="8" s="1"/>
  <c r="P1244" i="2"/>
  <c r="AB1252" i="8" s="1"/>
  <c r="P1228" i="2"/>
  <c r="AB1236" i="8" s="1"/>
  <c r="P1212" i="2"/>
  <c r="AB1220" i="8" s="1"/>
  <c r="P1196" i="2"/>
  <c r="AB1204" i="8" s="1"/>
  <c r="P1180" i="2"/>
  <c r="AB1188" i="8" s="1"/>
  <c r="P1152" i="2"/>
  <c r="AB1160" i="8" s="1"/>
  <c r="P1120" i="2"/>
  <c r="AB1128" i="8" s="1"/>
  <c r="P1080" i="2"/>
  <c r="AB1088" i="8" s="1"/>
  <c r="P2141" i="2"/>
  <c r="AB2141" i="8" s="1"/>
  <c r="P2125" i="2"/>
  <c r="AB2125" i="8" s="1"/>
  <c r="P2109" i="2"/>
  <c r="AB2109" i="8" s="1"/>
  <c r="P2093" i="2"/>
  <c r="AB2093" i="8" s="1"/>
  <c r="P2077" i="2"/>
  <c r="AB2078" i="8" s="1"/>
  <c r="P2061" i="2"/>
  <c r="AB2062" i="8" s="1"/>
  <c r="P2045" i="2"/>
  <c r="AB2046" i="8" s="1"/>
  <c r="P2029" i="2"/>
  <c r="AB2030" i="8" s="1"/>
  <c r="P2013" i="2"/>
  <c r="AB2014" i="8" s="1"/>
  <c r="P1997" i="2"/>
  <c r="AB1998" i="8" s="1"/>
  <c r="P1981" i="2"/>
  <c r="AB1982" i="8" s="1"/>
  <c r="P1965" i="2"/>
  <c r="AB1966" i="8" s="1"/>
  <c r="P1949" i="2"/>
  <c r="AB1950" i="8" s="1"/>
  <c r="P1933" i="2"/>
  <c r="AB1935" i="8" s="1"/>
  <c r="P1917" i="2"/>
  <c r="AB1920" i="8" s="1"/>
  <c r="P1901" i="2"/>
  <c r="AB1904" i="8" s="1"/>
  <c r="P1885" i="2"/>
  <c r="AB1888" i="8" s="1"/>
  <c r="P1869" i="2"/>
  <c r="AB1872" i="8" s="1"/>
  <c r="P1853" i="2"/>
  <c r="AB1857" i="8" s="1"/>
  <c r="P1837" i="2"/>
  <c r="AB8" i="8" s="1"/>
  <c r="P1821" i="2"/>
  <c r="AB1826" i="8" s="1"/>
  <c r="P1805" i="2"/>
  <c r="AB1810" i="8" s="1"/>
  <c r="P1789" i="2"/>
  <c r="AB1794" i="8" s="1"/>
  <c r="P1773" i="2"/>
  <c r="AB1778" i="8" s="1"/>
  <c r="P1757" i="2"/>
  <c r="AB1762" i="8" s="1"/>
  <c r="P1741" i="2"/>
  <c r="AB1746" i="8" s="1"/>
  <c r="P1725" i="2"/>
  <c r="AB1731" i="8" s="1"/>
  <c r="P1709" i="2"/>
  <c r="AB1715" i="8" s="1"/>
  <c r="P1693" i="2"/>
  <c r="AB1699" i="8" s="1"/>
  <c r="P1677" i="2"/>
  <c r="AB1683" i="8" s="1"/>
  <c r="P1661" i="2"/>
  <c r="AB1667" i="8" s="1"/>
  <c r="P1645" i="2"/>
  <c r="AB1651" i="8" s="1"/>
  <c r="P1629" i="2"/>
  <c r="AB1635" i="8" s="1"/>
  <c r="P1613" i="2"/>
  <c r="AB1620" i="8" s="1"/>
  <c r="P1597" i="2"/>
  <c r="AB1604" i="8" s="1"/>
  <c r="P1577" i="2"/>
  <c r="AB1584" i="8" s="1"/>
  <c r="P1561" i="2"/>
  <c r="AB1568" i="8" s="1"/>
  <c r="P1545" i="2"/>
  <c r="AB1552" i="8" s="1"/>
  <c r="P1529" i="2"/>
  <c r="AB1536" i="8" s="1"/>
  <c r="P1513" i="2"/>
  <c r="AB1520" i="8" s="1"/>
  <c r="P1497" i="2"/>
  <c r="AB1504" i="8" s="1"/>
  <c r="P1481" i="2"/>
  <c r="AB1488" i="8" s="1"/>
  <c r="P1465" i="2"/>
  <c r="AB1472" i="8" s="1"/>
  <c r="P1449" i="2"/>
  <c r="AB1456" i="8" s="1"/>
  <c r="P1433" i="2"/>
  <c r="AB1440" i="8" s="1"/>
  <c r="P1417" i="2"/>
  <c r="AB1424" i="8" s="1"/>
  <c r="P1401" i="2"/>
  <c r="AB1408" i="8" s="1"/>
  <c r="P1385" i="2"/>
  <c r="AB1392" i="8" s="1"/>
  <c r="P1369" i="2"/>
  <c r="AB1376" i="8" s="1"/>
  <c r="P1353" i="2"/>
  <c r="AB1360" i="8" s="1"/>
  <c r="P1337" i="2"/>
  <c r="AB1344" i="8" s="1"/>
  <c r="P1321" i="2"/>
  <c r="AB1328" i="8" s="1"/>
  <c r="P1305" i="2"/>
  <c r="AB1312" i="8" s="1"/>
  <c r="P1289" i="2"/>
  <c r="AB1296" i="8" s="1"/>
  <c r="P1273" i="2"/>
  <c r="AB1280" i="8" s="1"/>
  <c r="P1257" i="2"/>
  <c r="AB1265" i="8" s="1"/>
  <c r="P1241" i="2"/>
  <c r="AB1249" i="8" s="1"/>
  <c r="P1225" i="2"/>
  <c r="AB1233" i="8" s="1"/>
  <c r="P1209" i="2"/>
  <c r="AB1217" i="8" s="1"/>
  <c r="P1193" i="2"/>
  <c r="AB1201" i="8" s="1"/>
  <c r="P1177" i="2"/>
  <c r="AB1185" i="8" s="1"/>
  <c r="P1147" i="2"/>
  <c r="AB1155" i="8" s="1"/>
  <c r="P1115" i="2"/>
  <c r="AB1123" i="8" s="1"/>
  <c r="P1083" i="2"/>
  <c r="AB1091" i="8" s="1"/>
  <c r="P1165" i="2"/>
  <c r="AB1173" i="8" s="1"/>
  <c r="P1149" i="2"/>
  <c r="AB1157" i="8" s="1"/>
  <c r="P1133" i="2"/>
  <c r="AB1141" i="8" s="1"/>
  <c r="P1117" i="2"/>
  <c r="AB1125" i="8" s="1"/>
  <c r="P1101" i="2"/>
  <c r="AB1109" i="8" s="1"/>
  <c r="P1085" i="2"/>
  <c r="AB1093" i="8" s="1"/>
  <c r="P1069" i="2"/>
  <c r="AB1077" i="8" s="1"/>
  <c r="P1053" i="2"/>
  <c r="AB1061" i="8" s="1"/>
  <c r="P1033" i="2"/>
  <c r="AB1041" i="8" s="1"/>
  <c r="P1013" i="2"/>
  <c r="AB1021" i="8" s="1"/>
  <c r="P997" i="2"/>
  <c r="AB1005" i="8" s="1"/>
  <c r="P981" i="2"/>
  <c r="AB989" i="8" s="1"/>
  <c r="P965" i="2"/>
  <c r="AB6" i="8" s="1"/>
  <c r="P949" i="2"/>
  <c r="AB958" i="8" s="1"/>
  <c r="P933" i="2"/>
  <c r="AB942" i="8" s="1"/>
  <c r="P917" i="2"/>
  <c r="AB926" i="8" s="1"/>
  <c r="P901" i="2"/>
  <c r="AB910" i="8" s="1"/>
  <c r="P885" i="2"/>
  <c r="AB894" i="8" s="1"/>
  <c r="P869" i="2"/>
  <c r="AB878" i="8" s="1"/>
  <c r="P853" i="2"/>
  <c r="AB862" i="8" s="1"/>
  <c r="P837" i="2"/>
  <c r="AB846" i="8" s="1"/>
  <c r="P821" i="2"/>
  <c r="AB830" i="8" s="1"/>
  <c r="P805" i="2"/>
  <c r="AB814" i="8" s="1"/>
  <c r="P789" i="2"/>
  <c r="AB798" i="8" s="1"/>
  <c r="P773" i="2"/>
  <c r="AB782" i="8" s="1"/>
  <c r="P757" i="2"/>
  <c r="AB766" i="8" s="1"/>
  <c r="P741" i="2"/>
  <c r="AB750" i="8" s="1"/>
  <c r="P725" i="2"/>
  <c r="AB734" i="8" s="1"/>
  <c r="P709" i="2"/>
  <c r="AB719" i="8" s="1"/>
  <c r="P693" i="2"/>
  <c r="AB703" i="8" s="1"/>
  <c r="P677" i="2"/>
  <c r="AB687" i="8" s="1"/>
  <c r="P661" i="2"/>
  <c r="AB671" i="8" s="1"/>
  <c r="P645" i="2"/>
  <c r="AB655" i="8" s="1"/>
  <c r="P621" i="2"/>
  <c r="AB631" i="8" s="1"/>
  <c r="P601" i="2"/>
  <c r="AB611" i="8" s="1"/>
  <c r="P585" i="2"/>
  <c r="AB595" i="8" s="1"/>
  <c r="P561" i="2"/>
  <c r="AB571" i="8" s="1"/>
  <c r="P537" i="2"/>
  <c r="AB547" i="8" s="1"/>
  <c r="P521" i="2"/>
  <c r="AB531" i="8" s="1"/>
  <c r="P501" i="2"/>
  <c r="AB511" i="8" s="1"/>
  <c r="P481" i="2"/>
  <c r="AB491" i="8" s="1"/>
  <c r="P457" i="2"/>
  <c r="AB467" i="8" s="1"/>
  <c r="P425" i="2"/>
  <c r="AB435" i="8" s="1"/>
  <c r="P397" i="2"/>
  <c r="AB407" i="8" s="1"/>
  <c r="P365" i="2"/>
  <c r="AB375" i="8" s="1"/>
  <c r="P349" i="2"/>
  <c r="AB359" i="8" s="1"/>
  <c r="P333" i="2"/>
  <c r="AB343" i="8" s="1"/>
  <c r="P313" i="2"/>
  <c r="AB323" i="8" s="1"/>
  <c r="P289" i="2"/>
  <c r="AB299" i="8" s="1"/>
  <c r="P273" i="2"/>
  <c r="AB283" i="8" s="1"/>
  <c r="P257" i="2"/>
  <c r="AB267" i="8" s="1"/>
  <c r="P233" i="2"/>
  <c r="AB243" i="8" s="1"/>
  <c r="P217" i="2"/>
  <c r="AB227" i="8" s="1"/>
  <c r="P201" i="2"/>
  <c r="AB211" i="8" s="1"/>
  <c r="P185" i="2"/>
  <c r="AB195" i="8" s="1"/>
  <c r="P169" i="2"/>
  <c r="AB179" i="8" s="1"/>
  <c r="P153" i="2"/>
  <c r="AB163" i="8" s="1"/>
  <c r="P137" i="2"/>
  <c r="AB147" i="8" s="1"/>
  <c r="P121" i="2"/>
  <c r="AB131" i="8" s="1"/>
  <c r="P105" i="2"/>
  <c r="AB115" i="8" s="1"/>
  <c r="P89" i="2"/>
  <c r="AB99" i="8" s="1"/>
  <c r="P73" i="2"/>
  <c r="AB83" i="8" s="1"/>
  <c r="P57" i="2"/>
  <c r="AB69" i="8" s="1"/>
  <c r="P41" i="2"/>
  <c r="AB53" i="8" s="1"/>
  <c r="P1166" i="2"/>
  <c r="AB1174" i="8" s="1"/>
  <c r="P1150" i="2"/>
  <c r="AB1158" i="8" s="1"/>
  <c r="P1134" i="2"/>
  <c r="AB1142" i="8" s="1"/>
  <c r="P1118" i="2"/>
  <c r="AB1126" i="8" s="1"/>
  <c r="P1102" i="2"/>
  <c r="AB1110" i="8" s="1"/>
  <c r="P1086" i="2"/>
  <c r="AB1094" i="8" s="1"/>
  <c r="P1070" i="2"/>
  <c r="AB1078" i="8" s="1"/>
  <c r="P1046" i="2"/>
  <c r="AB1054" i="8" s="1"/>
  <c r="P1014" i="2"/>
  <c r="AB1022" i="8" s="1"/>
  <c r="P998" i="2"/>
  <c r="AB1006" i="8" s="1"/>
  <c r="P982" i="2"/>
  <c r="AB990" i="8" s="1"/>
  <c r="P966" i="2"/>
  <c r="AB974" i="8" s="1"/>
  <c r="P950" i="2"/>
  <c r="AB959" i="8" s="1"/>
  <c r="P934" i="2"/>
  <c r="AB943" i="8" s="1"/>
  <c r="P918" i="2"/>
  <c r="AB927" i="8" s="1"/>
  <c r="P902" i="2"/>
  <c r="AB911" i="8" s="1"/>
  <c r="P886" i="2"/>
  <c r="AB895" i="8" s="1"/>
  <c r="P870" i="2"/>
  <c r="AB879" i="8" s="1"/>
  <c r="P854" i="2"/>
  <c r="AB863" i="8" s="1"/>
  <c r="P834" i="2"/>
  <c r="AB843" i="8" s="1"/>
  <c r="P818" i="2"/>
  <c r="AB827" i="8" s="1"/>
  <c r="P802" i="2"/>
  <c r="AB811" i="8" s="1"/>
  <c r="P782" i="2"/>
  <c r="AB791" i="8" s="1"/>
  <c r="P762" i="2"/>
  <c r="AB771" i="8" s="1"/>
  <c r="P742" i="2"/>
  <c r="AB751" i="8" s="1"/>
  <c r="P726" i="2"/>
  <c r="AB735" i="8" s="1"/>
  <c r="P710" i="2"/>
  <c r="AB720" i="8" s="1"/>
  <c r="P694" i="2"/>
  <c r="AB704" i="8" s="1"/>
  <c r="P674" i="2"/>
  <c r="AB684" i="8" s="1"/>
  <c r="P658" i="2"/>
  <c r="AB668" i="8" s="1"/>
  <c r="P642" i="2"/>
  <c r="AB652" i="8" s="1"/>
  <c r="P602" i="2"/>
  <c r="AB612" i="8" s="1"/>
  <c r="P570" i="2"/>
  <c r="AB580" i="8" s="1"/>
  <c r="P550" i="2"/>
  <c r="AB560" i="8" s="1"/>
  <c r="P518" i="2"/>
  <c r="AB528" i="8" s="1"/>
  <c r="P490" i="2"/>
  <c r="AB500" i="8" s="1"/>
  <c r="P470" i="2"/>
  <c r="AB480" i="8" s="1"/>
  <c r="P446" i="2"/>
  <c r="AB456" i="8" s="1"/>
  <c r="P418" i="2"/>
  <c r="AB428" i="8" s="1"/>
  <c r="P394" i="2"/>
  <c r="AB404" i="8" s="1"/>
  <c r="P378" i="2"/>
  <c r="AB388" i="8" s="1"/>
  <c r="P354" i="2"/>
  <c r="AB364" i="8" s="1"/>
  <c r="P338" i="2"/>
  <c r="AB348" i="8" s="1"/>
  <c r="P322" i="2"/>
  <c r="AB332" i="8" s="1"/>
  <c r="P286" i="2"/>
  <c r="AB296" i="8" s="1"/>
  <c r="P266" i="2"/>
  <c r="AB276" i="8" s="1"/>
  <c r="P234" i="2"/>
  <c r="AB244" i="8" s="1"/>
  <c r="P218" i="2"/>
  <c r="AB228" i="8" s="1"/>
  <c r="P202" i="2"/>
  <c r="AB212" i="8" s="1"/>
  <c r="P186" i="2"/>
  <c r="AB196" i="8" s="1"/>
  <c r="P170" i="2"/>
  <c r="AB180" i="8" s="1"/>
  <c r="P154" i="2"/>
  <c r="AB164" i="8" s="1"/>
  <c r="P138" i="2"/>
  <c r="AB148" i="8" s="1"/>
  <c r="P122" i="2"/>
  <c r="AB132" i="8" s="1"/>
  <c r="P106" i="2"/>
  <c r="AB116" i="8" s="1"/>
  <c r="P90" i="2"/>
  <c r="AB100" i="8" s="1"/>
  <c r="P74" i="2"/>
  <c r="AB84" i="8" s="1"/>
  <c r="P58" i="2"/>
  <c r="AB70" i="8" s="1"/>
  <c r="P42" i="2"/>
  <c r="AB54" i="8" s="1"/>
  <c r="P1059" i="2"/>
  <c r="AB1067" i="8" s="1"/>
  <c r="P1027" i="2"/>
  <c r="AB1035" i="8" s="1"/>
  <c r="P1011" i="2"/>
  <c r="AB1019" i="8" s="1"/>
  <c r="P995" i="2"/>
  <c r="AB1003" i="8" s="1"/>
  <c r="P979" i="2"/>
  <c r="AB987" i="8" s="1"/>
  <c r="P963" i="2"/>
  <c r="AB972" i="8" s="1"/>
  <c r="P947" i="2"/>
  <c r="AB956" i="8" s="1"/>
  <c r="P931" i="2"/>
  <c r="AB940" i="8" s="1"/>
  <c r="P915" i="2"/>
  <c r="AB924" i="8" s="1"/>
  <c r="P899" i="2"/>
  <c r="AB908" i="8" s="1"/>
  <c r="P883" i="2"/>
  <c r="AB892" i="8" s="1"/>
  <c r="P867" i="2"/>
  <c r="AB876" i="8" s="1"/>
  <c r="P851" i="2"/>
  <c r="AB860" i="8" s="1"/>
  <c r="P835" i="2"/>
  <c r="AB844" i="8" s="1"/>
  <c r="P815" i="2"/>
  <c r="AB824" i="8" s="1"/>
  <c r="P799" i="2"/>
  <c r="AB808" i="8" s="1"/>
  <c r="P783" i="2"/>
  <c r="AB792" i="8" s="1"/>
  <c r="P767" i="2"/>
  <c r="AB776" i="8" s="1"/>
  <c r="P751" i="2"/>
  <c r="AB760" i="8" s="1"/>
  <c r="P735" i="2"/>
  <c r="AB744" i="8" s="1"/>
  <c r="P719" i="2"/>
  <c r="AB728" i="8" s="1"/>
  <c r="P703" i="2"/>
  <c r="AB713" i="8" s="1"/>
  <c r="P687" i="2"/>
  <c r="AB697" i="8" s="1"/>
  <c r="P671" i="2"/>
  <c r="AB681" i="8" s="1"/>
  <c r="P655" i="2"/>
  <c r="AB665" i="8" s="1"/>
  <c r="P639" i="2"/>
  <c r="AB649" i="8" s="1"/>
  <c r="P611" i="2"/>
  <c r="AB621" i="8" s="1"/>
  <c r="P583" i="2"/>
  <c r="AB593" i="8" s="1"/>
  <c r="P551" i="2"/>
  <c r="AB561" i="8" s="1"/>
  <c r="P531" i="2"/>
  <c r="AB541" i="8" s="1"/>
  <c r="P511" i="2"/>
  <c r="AB521" i="8" s="1"/>
  <c r="P487" i="2"/>
  <c r="AB497" i="8" s="1"/>
  <c r="P467" i="2"/>
  <c r="AB477" i="8" s="1"/>
  <c r="P443" i="2"/>
  <c r="AB453" i="8" s="1"/>
  <c r="P419" i="2"/>
  <c r="AB429" i="8" s="1"/>
  <c r="P383" i="2"/>
  <c r="AB393" i="8" s="1"/>
  <c r="P367" i="2"/>
  <c r="AB377" i="8" s="1"/>
  <c r="P347" i="2"/>
  <c r="AB357" i="8" s="1"/>
  <c r="P331" i="2"/>
  <c r="AB341" i="8" s="1"/>
  <c r="P311" i="2"/>
  <c r="AB321" i="8" s="1"/>
  <c r="P291" i="2"/>
  <c r="AB301" i="8" s="1"/>
  <c r="P267" i="2"/>
  <c r="AB277" i="8" s="1"/>
  <c r="P243" i="2"/>
  <c r="AB253" i="8" s="1"/>
  <c r="P227" i="2"/>
  <c r="AB237" i="8" s="1"/>
  <c r="P211" i="2"/>
  <c r="AB221" i="8" s="1"/>
  <c r="P195" i="2"/>
  <c r="AB205" i="8" s="1"/>
  <c r="P179" i="2"/>
  <c r="AB189" i="8" s="1"/>
  <c r="P163" i="2"/>
  <c r="AB173" i="8" s="1"/>
  <c r="P147" i="2"/>
  <c r="AB157" i="8" s="1"/>
  <c r="P131" i="2"/>
  <c r="AB141" i="8" s="1"/>
  <c r="P115" i="2"/>
  <c r="AB125" i="8" s="1"/>
  <c r="P99" i="2"/>
  <c r="AB109" i="8" s="1"/>
  <c r="P83" i="2"/>
  <c r="AB93" i="8" s="1"/>
  <c r="P67" i="2"/>
  <c r="AB78" i="8" s="1"/>
  <c r="P51" i="2"/>
  <c r="AB63" i="8" s="1"/>
  <c r="P35" i="2"/>
  <c r="AB47" i="8" s="1"/>
  <c r="P1052" i="2"/>
  <c r="AB1060" i="8" s="1"/>
  <c r="P1020" i="2"/>
  <c r="AB1028" i="8" s="1"/>
  <c r="P1004" i="2"/>
  <c r="AB1012" i="8" s="1"/>
  <c r="P988" i="2"/>
  <c r="AB996" i="8" s="1"/>
  <c r="P972" i="2"/>
  <c r="AB980" i="8" s="1"/>
  <c r="P956" i="2"/>
  <c r="AB965" i="8" s="1"/>
  <c r="P940" i="2"/>
  <c r="AB949" i="8" s="1"/>
  <c r="P924" i="2"/>
  <c r="AB933" i="8" s="1"/>
  <c r="P908" i="2"/>
  <c r="AB917" i="8" s="1"/>
  <c r="P892" i="2"/>
  <c r="AB901" i="8" s="1"/>
  <c r="P876" i="2"/>
  <c r="AB885" i="8" s="1"/>
  <c r="P860" i="2"/>
  <c r="AB869" i="8" s="1"/>
  <c r="P844" i="2"/>
  <c r="AB853" i="8" s="1"/>
  <c r="P820" i="2"/>
  <c r="AB829" i="8" s="1"/>
  <c r="P804" i="2"/>
  <c r="AB813" i="8" s="1"/>
  <c r="P784" i="2"/>
  <c r="AB793" i="8" s="1"/>
  <c r="P768" i="2"/>
  <c r="AB777" i="8" s="1"/>
  <c r="P748" i="2"/>
  <c r="AB757" i="8" s="1"/>
  <c r="P732" i="2"/>
  <c r="AB741" i="8" s="1"/>
  <c r="P716" i="2"/>
  <c r="AB726" i="8" s="1"/>
  <c r="P700" i="2"/>
  <c r="AB710" i="8" s="1"/>
  <c r="P684" i="2"/>
  <c r="AB694" i="8" s="1"/>
  <c r="P668" i="2"/>
  <c r="AB678" i="8" s="1"/>
  <c r="P652" i="2"/>
  <c r="AB662" i="8" s="1"/>
  <c r="P636" i="2"/>
  <c r="AB646" i="8" s="1"/>
  <c r="P600" i="2"/>
  <c r="AB610" i="8" s="1"/>
  <c r="P572" i="2"/>
  <c r="AB582" i="8" s="1"/>
  <c r="P544" i="2"/>
  <c r="AB554" i="8" s="1"/>
  <c r="P524" i="2"/>
  <c r="AB534" i="8" s="1"/>
  <c r="P488" i="2"/>
  <c r="AB498" i="8" s="1"/>
  <c r="P460" i="2"/>
  <c r="AB470" i="8" s="1"/>
  <c r="P428" i="2"/>
  <c r="AB438" i="8" s="1"/>
  <c r="P400" i="2"/>
  <c r="AB410" i="8" s="1"/>
  <c r="P376" i="2"/>
  <c r="AB386" i="8" s="1"/>
  <c r="P352" i="2"/>
  <c r="AB362" i="8" s="1"/>
  <c r="P332" i="2"/>
  <c r="AB342" i="8" s="1"/>
  <c r="P308" i="2"/>
  <c r="AB318" i="8" s="1"/>
  <c r="P280" i="2"/>
  <c r="AB290" i="8" s="1"/>
  <c r="P236" i="2"/>
  <c r="AB246" i="8" s="1"/>
  <c r="P220" i="2"/>
  <c r="AB230" i="8" s="1"/>
  <c r="P204" i="2"/>
  <c r="AB214" i="8" s="1"/>
  <c r="P188" i="2"/>
  <c r="AB198" i="8" s="1"/>
  <c r="P172" i="2"/>
  <c r="AB182" i="8" s="1"/>
  <c r="P156" i="2"/>
  <c r="AB166" i="8" s="1"/>
  <c r="P140" i="2"/>
  <c r="AB150" i="8" s="1"/>
  <c r="P124" i="2"/>
  <c r="AB134" i="8" s="1"/>
  <c r="P108" i="2"/>
  <c r="AB118" i="8" s="1"/>
  <c r="P92" i="2"/>
  <c r="AB102" i="8" s="1"/>
  <c r="P76" i="2"/>
  <c r="AB86" i="8" s="1"/>
  <c r="P60" i="2"/>
  <c r="AB72" i="8" s="1"/>
  <c r="P44" i="2"/>
  <c r="AB56" i="8" s="1"/>
  <c r="P2164" i="2"/>
  <c r="AB2164" i="8" s="1"/>
  <c r="P2143" i="2"/>
  <c r="AB2143" i="8" s="1"/>
  <c r="P2111" i="2"/>
  <c r="AB2111" i="8" s="1"/>
  <c r="P2075" i="2"/>
  <c r="AB2076" i="8" s="1"/>
  <c r="P2043" i="2"/>
  <c r="AB2044" i="8" s="1"/>
  <c r="P2011" i="2"/>
  <c r="AB2012" i="8" s="1"/>
  <c r="P2161" i="2"/>
  <c r="AB2161" i="8" s="1"/>
  <c r="P2138" i="2"/>
  <c r="AB2138" i="8" s="1"/>
  <c r="P2106" i="2"/>
  <c r="AB2106" i="8" s="1"/>
  <c r="P2078" i="2"/>
  <c r="AB2079" i="8" s="1"/>
  <c r="P2046" i="2"/>
  <c r="AB2047" i="8" s="1"/>
  <c r="P2014" i="2"/>
  <c r="AB2015" i="8" s="1"/>
  <c r="P2158" i="2"/>
  <c r="AB2158" i="8" s="1"/>
  <c r="P2131" i="2"/>
  <c r="AB2131" i="8" s="1"/>
  <c r="P2079" i="2"/>
  <c r="AB2080" i="8" s="1"/>
  <c r="P2047" i="2"/>
  <c r="AB2048" i="8" s="1"/>
  <c r="P2015" i="2"/>
  <c r="AB2016" i="8" s="1"/>
  <c r="P2167" i="2"/>
  <c r="AB2167" i="8" s="1"/>
  <c r="P2150" i="2"/>
  <c r="AB2150" i="8" s="1"/>
  <c r="P2118" i="2"/>
  <c r="AB2118" i="8" s="1"/>
  <c r="P2066" i="2"/>
  <c r="AB2067" i="8" s="1"/>
  <c r="P2034" i="2"/>
  <c r="AB2035" i="8" s="1"/>
  <c r="P2002" i="2"/>
  <c r="AB2003" i="8" s="1"/>
  <c r="P1982" i="2"/>
  <c r="AB1983" i="8" s="1"/>
  <c r="P1966" i="2"/>
  <c r="AB1967" i="8" s="1"/>
  <c r="P1950" i="2"/>
  <c r="AB1951" i="8" s="1"/>
  <c r="P1934" i="2"/>
  <c r="AB1936" i="8" s="1"/>
  <c r="P1918" i="2"/>
  <c r="AB1921" i="8" s="1"/>
  <c r="P1902" i="2"/>
  <c r="AB1905" i="8" s="1"/>
  <c r="P1886" i="2"/>
  <c r="AB1889" i="8" s="1"/>
  <c r="P1870" i="2"/>
  <c r="AB1873" i="8" s="1"/>
  <c r="P1854" i="2"/>
  <c r="AB1858" i="8" s="1"/>
  <c r="P1838" i="2"/>
  <c r="AB1842" i="8" s="1"/>
  <c r="P1822" i="2"/>
  <c r="AB1827" i="8" s="1"/>
  <c r="P1802" i="2"/>
  <c r="AB1807" i="8" s="1"/>
  <c r="P1786" i="2"/>
  <c r="AB1791" i="8" s="1"/>
  <c r="P1770" i="2"/>
  <c r="AB1775" i="8" s="1"/>
  <c r="P1750" i="2"/>
  <c r="AB1755" i="8" s="1"/>
  <c r="P1734" i="2"/>
  <c r="AB1739" i="8" s="1"/>
  <c r="P1718" i="2"/>
  <c r="AB1724" i="8" s="1"/>
  <c r="P1702" i="2"/>
  <c r="AB1708" i="8" s="1"/>
  <c r="P1686" i="2"/>
  <c r="AB1692" i="8" s="1"/>
  <c r="P1670" i="2"/>
  <c r="AB1676" i="8" s="1"/>
  <c r="P1654" i="2"/>
  <c r="AB1660" i="8" s="1"/>
  <c r="P1638" i="2"/>
  <c r="AB1644" i="8" s="1"/>
  <c r="P1622" i="2"/>
  <c r="AB1628" i="8" s="1"/>
  <c r="P1606" i="2"/>
  <c r="AB1613" i="8" s="1"/>
  <c r="P1582" i="2"/>
  <c r="AB1589" i="8" s="1"/>
  <c r="P1566" i="2"/>
  <c r="AB1573" i="8" s="1"/>
  <c r="P1550" i="2"/>
  <c r="AB1557" i="8" s="1"/>
  <c r="P1534" i="2"/>
  <c r="AB1541" i="8" s="1"/>
  <c r="P1518" i="2"/>
  <c r="AB1525" i="8" s="1"/>
  <c r="P1502" i="2"/>
  <c r="AB1509" i="8" s="1"/>
  <c r="P1486" i="2"/>
  <c r="AB1493" i="8" s="1"/>
  <c r="P1470" i="2"/>
  <c r="AB1477" i="8" s="1"/>
  <c r="P1454" i="2"/>
  <c r="AB1461" i="8" s="1"/>
  <c r="P1438" i="2"/>
  <c r="AB1445" i="8" s="1"/>
  <c r="P1422" i="2"/>
  <c r="AB1429" i="8" s="1"/>
  <c r="P1402" i="2"/>
  <c r="AB1409" i="8" s="1"/>
  <c r="P1386" i="2"/>
  <c r="AB1393" i="8" s="1"/>
  <c r="P1370" i="2"/>
  <c r="AB1377" i="8" s="1"/>
  <c r="P1354" i="2"/>
  <c r="AB1361" i="8" s="1"/>
  <c r="P1334" i="2"/>
  <c r="AB1341" i="8" s="1"/>
  <c r="P1318" i="2"/>
  <c r="AB1325" i="8" s="1"/>
  <c r="P1302" i="2"/>
  <c r="AB1309" i="8" s="1"/>
  <c r="P1286" i="2"/>
  <c r="AB1293" i="8" s="1"/>
  <c r="P1270" i="2"/>
  <c r="AB1277" i="8" s="1"/>
  <c r="P1250" i="2"/>
  <c r="AB1258" i="8" s="1"/>
  <c r="P1234" i="2"/>
  <c r="AB1242" i="8" s="1"/>
  <c r="P1218" i="2"/>
  <c r="AB1226" i="8" s="1"/>
  <c r="P1202" i="2"/>
  <c r="AB1210" i="8" s="1"/>
  <c r="P1182" i="2"/>
  <c r="AB1190" i="8" s="1"/>
  <c r="P1156" i="2"/>
  <c r="AB1164" i="8" s="1"/>
  <c r="P1124" i="2"/>
  <c r="AB1132" i="8" s="1"/>
  <c r="P1092" i="2"/>
  <c r="AB1100" i="8" s="1"/>
  <c r="P1991" i="2"/>
  <c r="AB1992" i="8" s="1"/>
  <c r="P1975" i="2"/>
  <c r="AB1976" i="8" s="1"/>
  <c r="P1959" i="2"/>
  <c r="AB1960" i="8" s="1"/>
  <c r="P1943" i="2"/>
  <c r="AB1944" i="8" s="1"/>
  <c r="P1927" i="2"/>
  <c r="AB16" i="8" s="1"/>
  <c r="P1911" i="2"/>
  <c r="AB1914" i="8" s="1"/>
  <c r="P1895" i="2"/>
  <c r="AB1898" i="8" s="1"/>
  <c r="P1879" i="2"/>
  <c r="AB1882" i="8" s="1"/>
  <c r="P1863" i="2"/>
  <c r="AB1866" i="8" s="1"/>
  <c r="P1847" i="2"/>
  <c r="AB1851" i="8" s="1"/>
  <c r="P1831" i="2"/>
  <c r="AB1836" i="8" s="1"/>
  <c r="P1815" i="2"/>
  <c r="AB1820" i="8" s="1"/>
  <c r="P1799" i="2"/>
  <c r="AB1804" i="8" s="1"/>
  <c r="P1783" i="2"/>
  <c r="AB1788" i="8" s="1"/>
  <c r="P1767" i="2"/>
  <c r="AB1772" i="8" s="1"/>
  <c r="P1751" i="2"/>
  <c r="AB1756" i="8" s="1"/>
  <c r="P1735" i="2"/>
  <c r="AB1740" i="8" s="1"/>
  <c r="P1719" i="2"/>
  <c r="AB1725" i="8" s="1"/>
  <c r="P1703" i="2"/>
  <c r="AB1709" i="8" s="1"/>
  <c r="P1687" i="2"/>
  <c r="AB1693" i="8" s="1"/>
  <c r="P1671" i="2"/>
  <c r="AB1677" i="8" s="1"/>
  <c r="P1655" i="2"/>
  <c r="AB1661" i="8" s="1"/>
  <c r="P1635" i="2"/>
  <c r="AB1641" i="8" s="1"/>
  <c r="P1619" i="2"/>
  <c r="AB1625" i="8" s="1"/>
  <c r="P1603" i="2"/>
  <c r="AB1610" i="8" s="1"/>
  <c r="P1587" i="2"/>
  <c r="AB1594" i="8" s="1"/>
  <c r="P1571" i="2"/>
  <c r="AB1578" i="8" s="1"/>
  <c r="P1555" i="2"/>
  <c r="AB1562" i="8" s="1"/>
  <c r="P1539" i="2"/>
  <c r="AB1546" i="8" s="1"/>
  <c r="P1523" i="2"/>
  <c r="AB1530" i="8" s="1"/>
  <c r="P1507" i="2"/>
  <c r="AB1514" i="8" s="1"/>
  <c r="P1491" i="2"/>
  <c r="AB1498" i="8" s="1"/>
  <c r="P1475" i="2"/>
  <c r="AB1482" i="8" s="1"/>
  <c r="P1459" i="2"/>
  <c r="AB1466" i="8" s="1"/>
  <c r="P1443" i="2"/>
  <c r="AB1450" i="8" s="1"/>
  <c r="P1427" i="2"/>
  <c r="AB1434" i="8" s="1"/>
  <c r="P1411" i="2"/>
  <c r="AB1418" i="8" s="1"/>
  <c r="P1395" i="2"/>
  <c r="AB1402" i="8" s="1"/>
  <c r="P1379" i="2"/>
  <c r="AB1386" i="8" s="1"/>
  <c r="P1363" i="2"/>
  <c r="AB1370" i="8" s="1"/>
  <c r="P1347" i="2"/>
  <c r="AB1354" i="8" s="1"/>
  <c r="P1331" i="2"/>
  <c r="AB1338" i="8" s="1"/>
  <c r="P1315" i="2"/>
  <c r="AB1322" i="8" s="1"/>
  <c r="P1299" i="2"/>
  <c r="AB1306" i="8" s="1"/>
  <c r="P1283" i="2"/>
  <c r="AB1290" i="8" s="1"/>
  <c r="P1267" i="2"/>
  <c r="AB1274" i="8" s="1"/>
  <c r="P1251" i="2"/>
  <c r="AB1259" i="8" s="1"/>
  <c r="P1235" i="2"/>
  <c r="AB1243" i="8" s="1"/>
  <c r="P1219" i="2"/>
  <c r="AB1227" i="8" s="1"/>
  <c r="P1203" i="2"/>
  <c r="AB1211" i="8" s="1"/>
  <c r="P1187" i="2"/>
  <c r="AB1195" i="8" s="1"/>
  <c r="P1167" i="2"/>
  <c r="AB1175" i="8" s="1"/>
  <c r="P1135" i="2"/>
  <c r="AB1143" i="8" s="1"/>
  <c r="P1103" i="2"/>
  <c r="AB1111" i="8" s="1"/>
  <c r="P1071" i="2"/>
  <c r="AB1079" i="8" s="1"/>
  <c r="P2140" i="2"/>
  <c r="AB2140" i="8" s="1"/>
  <c r="P2124" i="2"/>
  <c r="AB2124" i="8" s="1"/>
  <c r="P2108" i="2"/>
  <c r="AB2108" i="8" s="1"/>
  <c r="P2084" i="2"/>
  <c r="AB2085" i="8" s="1"/>
  <c r="P2068" i="2"/>
  <c r="AB2069" i="8" s="1"/>
  <c r="P2052" i="2"/>
  <c r="AB2053" i="8" s="1"/>
  <c r="P2036" i="2"/>
  <c r="AB2037" i="8" s="1"/>
  <c r="P2020" i="2"/>
  <c r="AB2021" i="8" s="1"/>
  <c r="P2004" i="2"/>
  <c r="AB2005" i="8" s="1"/>
  <c r="P1988" i="2"/>
  <c r="AB1989" i="8" s="1"/>
  <c r="P1972" i="2"/>
  <c r="AB1973" i="8" s="1"/>
  <c r="P1956" i="2"/>
  <c r="AB1957" i="8" s="1"/>
  <c r="P1940" i="2"/>
  <c r="AB1941" i="8" s="1"/>
  <c r="P1924" i="2"/>
  <c r="AB1927" i="8" s="1"/>
  <c r="P1908" i="2"/>
  <c r="AB1911" i="8" s="1"/>
  <c r="P1892" i="2"/>
  <c r="AB1895" i="8" s="1"/>
  <c r="P1876" i="2"/>
  <c r="AB1879" i="8" s="1"/>
  <c r="P1860" i="2"/>
  <c r="AB1863" i="8" s="1"/>
  <c r="P1844" i="2"/>
  <c r="AB1848" i="8" s="1"/>
  <c r="P1828" i="2"/>
  <c r="AB1833" i="8" s="1"/>
  <c r="P1812" i="2"/>
  <c r="AB1817" i="8" s="1"/>
  <c r="P1796" i="2"/>
  <c r="AB1801" i="8" s="1"/>
  <c r="P1780" i="2"/>
  <c r="AB1785" i="8" s="1"/>
  <c r="P1764" i="2"/>
  <c r="AB1769" i="8" s="1"/>
  <c r="P1748" i="2"/>
  <c r="AB1753" i="8" s="1"/>
  <c r="P1732" i="2"/>
  <c r="AB1737" i="8" s="1"/>
  <c r="P1716" i="2"/>
  <c r="AB1722" i="8" s="1"/>
  <c r="P1700" i="2"/>
  <c r="AB1706" i="8" s="1"/>
  <c r="P1684" i="2"/>
  <c r="AB1690" i="8" s="1"/>
  <c r="P1668" i="2"/>
  <c r="AB1674" i="8" s="1"/>
  <c r="P1652" i="2"/>
  <c r="AB1658" i="8" s="1"/>
  <c r="P1632" i="2"/>
  <c r="AB1638" i="8" s="1"/>
  <c r="P1616" i="2"/>
  <c r="AB1622" i="8" s="1"/>
  <c r="P1600" i="2"/>
  <c r="AB1607" i="8" s="1"/>
  <c r="P1584" i="2"/>
  <c r="AB1591" i="8" s="1"/>
  <c r="P1568" i="2"/>
  <c r="AB1575" i="8" s="1"/>
  <c r="P1552" i="2"/>
  <c r="AB1559" i="8" s="1"/>
  <c r="P1536" i="2"/>
  <c r="AB1543" i="8" s="1"/>
  <c r="P1520" i="2"/>
  <c r="AB1527" i="8" s="1"/>
  <c r="P1504" i="2"/>
  <c r="AB1511" i="8" s="1"/>
  <c r="P1488" i="2"/>
  <c r="AB1495" i="8" s="1"/>
  <c r="P1472" i="2"/>
  <c r="AB1479" i="8" s="1"/>
  <c r="P1456" i="2"/>
  <c r="AB1463" i="8" s="1"/>
  <c r="P1440" i="2"/>
  <c r="AB1447" i="8" s="1"/>
  <c r="P1424" i="2"/>
  <c r="AB1431" i="8" s="1"/>
  <c r="P1408" i="2"/>
  <c r="AB1415" i="8" s="1"/>
  <c r="P1392" i="2"/>
  <c r="AB1399" i="8" s="1"/>
  <c r="P1376" i="2"/>
  <c r="AB1383" i="8" s="1"/>
  <c r="P1360" i="2"/>
  <c r="AB1367" i="8" s="1"/>
  <c r="P1344" i="2"/>
  <c r="AB1351" i="8" s="1"/>
  <c r="P1328" i="2"/>
  <c r="AB1335" i="8" s="1"/>
  <c r="P1312" i="2"/>
  <c r="AB1319" i="8" s="1"/>
  <c r="P1296" i="2"/>
  <c r="AB1303" i="8" s="1"/>
  <c r="P1280" i="2"/>
  <c r="AB1287" i="8" s="1"/>
  <c r="P1264" i="2"/>
  <c r="AB1272" i="8" s="1"/>
  <c r="P1248" i="2"/>
  <c r="AB1256" i="8" s="1"/>
  <c r="P1232" i="2"/>
  <c r="AB1240" i="8" s="1"/>
  <c r="P1216" i="2"/>
  <c r="AB1224" i="8" s="1"/>
  <c r="P1200" i="2"/>
  <c r="AB1208" i="8" s="1"/>
  <c r="P1184" i="2"/>
  <c r="AB1192" i="8" s="1"/>
  <c r="P1160" i="2"/>
  <c r="AB1168" i="8" s="1"/>
  <c r="P1128" i="2"/>
  <c r="AB1136" i="8" s="1"/>
  <c r="P1096" i="2"/>
  <c r="AB1104" i="8" s="1"/>
  <c r="P2145" i="2"/>
  <c r="AB2145" i="8" s="1"/>
  <c r="P2129" i="2"/>
  <c r="AB2129" i="8" s="1"/>
  <c r="P2113" i="2"/>
  <c r="AB2113" i="8" s="1"/>
  <c r="P2097" i="2"/>
  <c r="AB2097" i="8" s="1"/>
  <c r="P2081" i="2"/>
  <c r="AB2082" i="8" s="1"/>
  <c r="P2065" i="2"/>
  <c r="AB2066" i="8" s="1"/>
  <c r="P2049" i="2"/>
  <c r="AB2050" i="8" s="1"/>
  <c r="P2033" i="2"/>
  <c r="AB2034" i="8" s="1"/>
  <c r="P2017" i="2"/>
  <c r="AB2018" i="8" s="1"/>
  <c r="P2001" i="2"/>
  <c r="AB2002" i="8" s="1"/>
  <c r="P1985" i="2"/>
  <c r="AB1986" i="8" s="1"/>
  <c r="P1969" i="2"/>
  <c r="AB1970" i="8" s="1"/>
  <c r="P1953" i="2"/>
  <c r="AB1954" i="8" s="1"/>
  <c r="P1937" i="2"/>
  <c r="AB1939" i="8" s="1"/>
  <c r="P1921" i="2"/>
  <c r="AB1924" i="8" s="1"/>
  <c r="P1905" i="2"/>
  <c r="AB1908" i="8" s="1"/>
  <c r="P1889" i="2"/>
  <c r="AB1892" i="8" s="1"/>
  <c r="P1873" i="2"/>
  <c r="AB1876" i="8" s="1"/>
  <c r="P1857" i="2"/>
  <c r="AB1860" i="8" s="1"/>
  <c r="P1841" i="2"/>
  <c r="AB1845" i="8" s="1"/>
  <c r="P1825" i="2"/>
  <c r="AB1830" i="8" s="1"/>
  <c r="P1809" i="2"/>
  <c r="AB1814" i="8" s="1"/>
  <c r="P1793" i="2"/>
  <c r="AB1798" i="8" s="1"/>
  <c r="P1777" i="2"/>
  <c r="AB1782" i="8" s="1"/>
  <c r="P1761" i="2"/>
  <c r="AB1766" i="8" s="1"/>
  <c r="P1745" i="2"/>
  <c r="AB1750" i="8" s="1"/>
  <c r="P1729" i="2"/>
  <c r="AB1734" i="8" s="1"/>
  <c r="P1713" i="2"/>
  <c r="AB1719" i="8" s="1"/>
  <c r="P1697" i="2"/>
  <c r="AB1703" i="8" s="1"/>
  <c r="P1681" i="2"/>
  <c r="AB1687" i="8" s="1"/>
  <c r="P1665" i="2"/>
  <c r="AB1671" i="8" s="1"/>
  <c r="P1649" i="2"/>
  <c r="AB1655" i="8" s="1"/>
  <c r="P1633" i="2"/>
  <c r="AB1639" i="8" s="1"/>
  <c r="P1617" i="2"/>
  <c r="AB1623" i="8" s="1"/>
  <c r="P1601" i="2"/>
  <c r="AB1608" i="8" s="1"/>
  <c r="P1581" i="2"/>
  <c r="AB1588" i="8" s="1"/>
  <c r="P1565" i="2"/>
  <c r="AB1572" i="8" s="1"/>
  <c r="P1549" i="2"/>
  <c r="AB1556" i="8" s="1"/>
  <c r="P1533" i="2"/>
  <c r="AB1540" i="8" s="1"/>
  <c r="P1517" i="2"/>
  <c r="AB1524" i="8" s="1"/>
  <c r="P1501" i="2"/>
  <c r="AB1508" i="8" s="1"/>
  <c r="P1485" i="2"/>
  <c r="AB1492" i="8" s="1"/>
  <c r="P1469" i="2"/>
  <c r="AB1476" i="8" s="1"/>
  <c r="P1453" i="2"/>
  <c r="AB1460" i="8" s="1"/>
  <c r="P1437" i="2"/>
  <c r="AB1444" i="8" s="1"/>
  <c r="P1421" i="2"/>
  <c r="AB1428" i="8" s="1"/>
  <c r="P1405" i="2"/>
  <c r="AB1412" i="8" s="1"/>
  <c r="P1389" i="2"/>
  <c r="AB1396" i="8" s="1"/>
  <c r="P1373" i="2"/>
  <c r="AB1380" i="8" s="1"/>
  <c r="P1357" i="2"/>
  <c r="AB1364" i="8" s="1"/>
  <c r="P1341" i="2"/>
  <c r="AB1348" i="8" s="1"/>
  <c r="P1325" i="2"/>
  <c r="AB1332" i="8" s="1"/>
  <c r="P1309" i="2"/>
  <c r="AB1316" i="8" s="1"/>
  <c r="P1293" i="2"/>
  <c r="AB1300" i="8" s="1"/>
  <c r="P1277" i="2"/>
  <c r="AB1284" i="8" s="1"/>
  <c r="P1261" i="2"/>
  <c r="AB1269" i="8" s="1"/>
  <c r="P1245" i="2"/>
  <c r="AB1253" i="8" s="1"/>
  <c r="P1229" i="2"/>
  <c r="AB1237" i="8" s="1"/>
  <c r="P1213" i="2"/>
  <c r="AB1221" i="8" s="1"/>
  <c r="P1197" i="2"/>
  <c r="AB1205" i="8" s="1"/>
  <c r="P1181" i="2"/>
  <c r="AB1189" i="8" s="1"/>
  <c r="P1155" i="2"/>
  <c r="AB1163" i="8" s="1"/>
  <c r="P1123" i="2"/>
  <c r="AB1131" i="8" s="1"/>
  <c r="P1091" i="2"/>
  <c r="AB1099" i="8" s="1"/>
  <c r="P1169" i="2"/>
  <c r="AB1177" i="8" s="1"/>
  <c r="P1153" i="2"/>
  <c r="AB1161" i="8" s="1"/>
  <c r="P1137" i="2"/>
  <c r="AB1145" i="8" s="1"/>
  <c r="P1121" i="2"/>
  <c r="AB1129" i="8" s="1"/>
  <c r="P1105" i="2"/>
  <c r="AB1113" i="8" s="1"/>
  <c r="P1089" i="2"/>
  <c r="AB1097" i="8" s="1"/>
  <c r="P1073" i="2"/>
  <c r="AB1081" i="8" s="1"/>
  <c r="P1057" i="2"/>
  <c r="AB1065" i="8" s="1"/>
  <c r="P1037" i="2"/>
  <c r="AB1045" i="8" s="1"/>
  <c r="P1017" i="2"/>
  <c r="AB1025" i="8" s="1"/>
  <c r="P1001" i="2"/>
  <c r="AB1009" i="8" s="1"/>
  <c r="P985" i="2"/>
  <c r="AB993" i="8" s="1"/>
  <c r="P969" i="2"/>
  <c r="AB977" i="8" s="1"/>
  <c r="P953" i="2"/>
  <c r="AB962" i="8" s="1"/>
  <c r="P937" i="2"/>
  <c r="AB946" i="8" s="1"/>
  <c r="P921" i="2"/>
  <c r="AB930" i="8" s="1"/>
  <c r="P905" i="2"/>
  <c r="AB914" i="8" s="1"/>
  <c r="P889" i="2"/>
  <c r="AB898" i="8" s="1"/>
  <c r="P873" i="2"/>
  <c r="AB882" i="8" s="1"/>
  <c r="P857" i="2"/>
  <c r="AB866" i="8" s="1"/>
  <c r="P841" i="2"/>
  <c r="AB850" i="8" s="1"/>
  <c r="P825" i="2"/>
  <c r="AB834" i="8" s="1"/>
  <c r="P809" i="2"/>
  <c r="AB818" i="8" s="1"/>
  <c r="P793" i="2"/>
  <c r="AB802" i="8" s="1"/>
  <c r="P777" i="2"/>
  <c r="AB786" i="8" s="1"/>
  <c r="P761" i="2"/>
  <c r="AB770" i="8" s="1"/>
  <c r="P745" i="2"/>
  <c r="AB754" i="8" s="1"/>
  <c r="P729" i="2"/>
  <c r="AB738" i="8" s="1"/>
  <c r="P713" i="2"/>
  <c r="AB723" i="8" s="1"/>
  <c r="P697" i="2"/>
  <c r="AB707" i="8" s="1"/>
  <c r="P681" i="2"/>
  <c r="AB691" i="8" s="1"/>
  <c r="P665" i="2"/>
  <c r="AB675" i="8" s="1"/>
  <c r="P649" i="2"/>
  <c r="AB659" i="8" s="1"/>
  <c r="P625" i="2"/>
  <c r="AB635" i="8" s="1"/>
  <c r="P605" i="2"/>
  <c r="AB615" i="8" s="1"/>
  <c r="P589" i="2"/>
  <c r="AB599" i="8" s="1"/>
  <c r="P565" i="2"/>
  <c r="AB575" i="8" s="1"/>
  <c r="P541" i="2"/>
  <c r="AB551" i="8" s="1"/>
  <c r="P525" i="2"/>
  <c r="AB535" i="8" s="1"/>
  <c r="P505" i="2"/>
  <c r="AB515" i="8" s="1"/>
  <c r="P489" i="2"/>
  <c r="AB499" i="8" s="1"/>
  <c r="P465" i="2"/>
  <c r="AB475" i="8" s="1"/>
  <c r="P433" i="2"/>
  <c r="AB443" i="8" s="1"/>
  <c r="P405" i="2"/>
  <c r="AB415" i="8" s="1"/>
  <c r="P369" i="2"/>
  <c r="AB379" i="8" s="1"/>
  <c r="P353" i="2"/>
  <c r="AB363" i="8" s="1"/>
  <c r="P337" i="2"/>
  <c r="AB347" i="8" s="1"/>
  <c r="P321" i="2"/>
  <c r="AB331" i="8" s="1"/>
  <c r="P293" i="2"/>
  <c r="AB303" i="8" s="1"/>
  <c r="P277" i="2"/>
  <c r="AB287" i="8" s="1"/>
  <c r="P261" i="2"/>
  <c r="AB271" i="8" s="1"/>
  <c r="P237" i="2"/>
  <c r="AB247" i="8" s="1"/>
  <c r="P221" i="2"/>
  <c r="AB231" i="8" s="1"/>
  <c r="P205" i="2"/>
  <c r="AB215" i="8" s="1"/>
  <c r="P189" i="2"/>
  <c r="AB199" i="8" s="1"/>
  <c r="P173" i="2"/>
  <c r="AB183" i="8" s="1"/>
  <c r="P157" i="2"/>
  <c r="AB167" i="8" s="1"/>
  <c r="P141" i="2"/>
  <c r="AB151" i="8" s="1"/>
  <c r="P125" i="2"/>
  <c r="AB135" i="8" s="1"/>
  <c r="P109" i="2"/>
  <c r="AB119" i="8" s="1"/>
  <c r="P93" i="2"/>
  <c r="AB103" i="8" s="1"/>
  <c r="P77" i="2"/>
  <c r="AB87" i="8" s="1"/>
  <c r="P61" i="2"/>
  <c r="AB73" i="8" s="1"/>
  <c r="P45" i="2"/>
  <c r="AB57" i="8" s="1"/>
  <c r="P1170" i="2"/>
  <c r="AB1178" i="8" s="1"/>
  <c r="P1154" i="2"/>
  <c r="AB1162" i="8" s="1"/>
  <c r="P1138" i="2"/>
  <c r="AB1146" i="8" s="1"/>
  <c r="P1122" i="2"/>
  <c r="AB1130" i="8" s="1"/>
  <c r="P1106" i="2"/>
  <c r="AB1114" i="8" s="1"/>
  <c r="P1090" i="2"/>
  <c r="AB1098" i="8" s="1"/>
  <c r="P1074" i="2"/>
  <c r="AB1082" i="8" s="1"/>
  <c r="P1058" i="2"/>
  <c r="AB1066" i="8" s="1"/>
  <c r="P1018" i="2"/>
  <c r="AB1026" i="8" s="1"/>
  <c r="P1002" i="2"/>
  <c r="AB1010" i="8" s="1"/>
  <c r="P986" i="2"/>
  <c r="AB994" i="8" s="1"/>
  <c r="P970" i="2"/>
  <c r="AB978" i="8" s="1"/>
  <c r="P954" i="2"/>
  <c r="AB963" i="8" s="1"/>
  <c r="P938" i="2"/>
  <c r="AB947" i="8" s="1"/>
  <c r="P922" i="2"/>
  <c r="AB931" i="8" s="1"/>
  <c r="P906" i="2"/>
  <c r="AB915" i="8" s="1"/>
  <c r="P890" i="2"/>
  <c r="AB899" i="8" s="1"/>
  <c r="P874" i="2"/>
  <c r="AB883" i="8" s="1"/>
  <c r="P858" i="2"/>
  <c r="AB867" i="8" s="1"/>
  <c r="P842" i="2"/>
  <c r="AB851" i="8" s="1"/>
  <c r="P822" i="2"/>
  <c r="AB831" i="8" s="1"/>
  <c r="P806" i="2"/>
  <c r="AB815" i="8" s="1"/>
  <c r="P786" i="2"/>
  <c r="AB795" i="8" s="1"/>
  <c r="P766" i="2"/>
  <c r="AB775" i="8" s="1"/>
  <c r="P746" i="2"/>
  <c r="AB755" i="8" s="1"/>
  <c r="P730" i="2"/>
  <c r="AB739" i="8" s="1"/>
  <c r="P714" i="2"/>
  <c r="AB724" i="8" s="1"/>
  <c r="P698" i="2"/>
  <c r="AB708" i="8" s="1"/>
  <c r="P678" i="2"/>
  <c r="AB688" i="8" s="1"/>
  <c r="P662" i="2"/>
  <c r="AB672" i="8" s="1"/>
  <c r="P646" i="2"/>
  <c r="AB656" i="8" s="1"/>
  <c r="P614" i="2"/>
  <c r="AB624" i="8" s="1"/>
  <c r="P590" i="2"/>
  <c r="AB600" i="8" s="1"/>
  <c r="P554" i="2"/>
  <c r="AB564" i="8" s="1"/>
  <c r="P530" i="2"/>
  <c r="AB540" i="8" s="1"/>
  <c r="P494" i="2"/>
  <c r="AB504" i="8" s="1"/>
  <c r="P474" i="2"/>
  <c r="AB484" i="8" s="1"/>
  <c r="P450" i="2"/>
  <c r="AB460" i="8" s="1"/>
  <c r="P422" i="2"/>
  <c r="AB432" i="8" s="1"/>
  <c r="P398" i="2"/>
  <c r="AB408" i="8" s="1"/>
  <c r="P382" i="2"/>
  <c r="AB392" i="8" s="1"/>
  <c r="P358" i="2"/>
  <c r="AB368" i="8" s="1"/>
  <c r="P342" i="2"/>
  <c r="AB352" i="8" s="1"/>
  <c r="P326" i="2"/>
  <c r="AB336" i="8" s="1"/>
  <c r="P290" i="2"/>
  <c r="AB300" i="8" s="1"/>
  <c r="P274" i="2"/>
  <c r="AB284" i="8" s="1"/>
  <c r="P238" i="2"/>
  <c r="AB248" i="8" s="1"/>
  <c r="P222" i="2"/>
  <c r="AB232" i="8" s="1"/>
  <c r="P206" i="2"/>
  <c r="AB216" i="8" s="1"/>
  <c r="P190" i="2"/>
  <c r="AB200" i="8" s="1"/>
  <c r="P174" i="2"/>
  <c r="AB184" i="8" s="1"/>
  <c r="P158" i="2"/>
  <c r="AB168" i="8" s="1"/>
  <c r="P142" i="2"/>
  <c r="AB152" i="8" s="1"/>
  <c r="P126" i="2"/>
  <c r="AB136" i="8" s="1"/>
  <c r="P110" i="2"/>
  <c r="AB120" i="8" s="1"/>
  <c r="P94" i="2"/>
  <c r="AB104" i="8" s="1"/>
  <c r="P78" i="2"/>
  <c r="AB88" i="8" s="1"/>
  <c r="P62" i="2"/>
  <c r="AB74" i="8" s="1"/>
  <c r="P46" i="2"/>
  <c r="AB58" i="8" s="1"/>
  <c r="P1063" i="2"/>
  <c r="AB1071" i="8" s="1"/>
  <c r="P1039" i="2"/>
  <c r="AB1047" i="8" s="1"/>
  <c r="P1015" i="2"/>
  <c r="AB1023" i="8" s="1"/>
  <c r="P999" i="2"/>
  <c r="AB1007" i="8" s="1"/>
  <c r="P983" i="2"/>
  <c r="AB991" i="8" s="1"/>
  <c r="P967" i="2"/>
  <c r="AB975" i="8" s="1"/>
  <c r="P951" i="2"/>
  <c r="AB960" i="8" s="1"/>
  <c r="P935" i="2"/>
  <c r="AB944" i="8" s="1"/>
  <c r="P919" i="2"/>
  <c r="AB928" i="8" s="1"/>
  <c r="P903" i="2"/>
  <c r="AB912" i="8" s="1"/>
  <c r="P887" i="2"/>
  <c r="AB896" i="8" s="1"/>
  <c r="P871" i="2"/>
  <c r="AB880" i="8" s="1"/>
  <c r="P855" i="2"/>
  <c r="AB864" i="8" s="1"/>
  <c r="P839" i="2"/>
  <c r="AB848" i="8" s="1"/>
  <c r="P819" i="2"/>
  <c r="AB828" i="8" s="1"/>
  <c r="P803" i="2"/>
  <c r="AB812" i="8" s="1"/>
  <c r="P787" i="2"/>
  <c r="AB796" i="8" s="1"/>
  <c r="P771" i="2"/>
  <c r="AB780" i="8" s="1"/>
  <c r="P755" i="2"/>
  <c r="AB764" i="8" s="1"/>
  <c r="P739" i="2"/>
  <c r="AB748" i="8" s="1"/>
  <c r="P723" i="2"/>
  <c r="AB732" i="8" s="1"/>
  <c r="P707" i="2"/>
  <c r="AB717" i="8" s="1"/>
  <c r="P691" i="2"/>
  <c r="AB701" i="8" s="1"/>
  <c r="P675" i="2"/>
  <c r="AB685" i="8" s="1"/>
  <c r="P659" i="2"/>
  <c r="AB669" i="8" s="1"/>
  <c r="P643" i="2"/>
  <c r="AB653" i="8" s="1"/>
  <c r="P615" i="2"/>
  <c r="AB625" i="8" s="1"/>
  <c r="P591" i="2"/>
  <c r="AB601" i="8" s="1"/>
  <c r="P555" i="2"/>
  <c r="AB565" i="8" s="1"/>
  <c r="P535" i="2"/>
  <c r="AB545" i="8" s="1"/>
  <c r="P515" i="2"/>
  <c r="AB525" i="8" s="1"/>
  <c r="P491" i="2"/>
  <c r="AB501" i="8" s="1"/>
  <c r="P475" i="2"/>
  <c r="AB485" i="8" s="1"/>
  <c r="P455" i="2"/>
  <c r="AB465" i="8" s="1"/>
  <c r="P427" i="2"/>
  <c r="AB437" i="8" s="1"/>
  <c r="P387" i="2"/>
  <c r="AB397" i="8" s="1"/>
  <c r="P371" i="2"/>
  <c r="AB381" i="8" s="1"/>
  <c r="P351" i="2"/>
  <c r="AB361" i="8" s="1"/>
  <c r="P335" i="2"/>
  <c r="AB345" i="8" s="1"/>
  <c r="P319" i="2"/>
  <c r="AB329" i="8" s="1"/>
  <c r="P295" i="2"/>
  <c r="AB305" i="8" s="1"/>
  <c r="P271" i="2"/>
  <c r="AB281" i="8" s="1"/>
  <c r="P251" i="2"/>
  <c r="AB261" i="8" s="1"/>
  <c r="P231" i="2"/>
  <c r="AB241" i="8" s="1"/>
  <c r="P215" i="2"/>
  <c r="AB225" i="8" s="1"/>
  <c r="P199" i="2"/>
  <c r="AB209" i="8" s="1"/>
  <c r="P183" i="2"/>
  <c r="AB193" i="8" s="1"/>
  <c r="P167" i="2"/>
  <c r="AB177" i="8" s="1"/>
  <c r="P151" i="2"/>
  <c r="AB161" i="8" s="1"/>
  <c r="P135" i="2"/>
  <c r="AB145" i="8" s="1"/>
  <c r="P119" i="2"/>
  <c r="AB129" i="8" s="1"/>
  <c r="P103" i="2"/>
  <c r="AB113" i="8" s="1"/>
  <c r="P87" i="2"/>
  <c r="AB97" i="8" s="1"/>
  <c r="P71" i="2"/>
  <c r="AB15" i="8" s="1"/>
  <c r="P55" i="2"/>
  <c r="AB67" i="8" s="1"/>
  <c r="P39" i="2"/>
  <c r="AB51" i="8" s="1"/>
  <c r="P1060" i="2"/>
  <c r="AB1068" i="8" s="1"/>
  <c r="P1024" i="2"/>
  <c r="AB1032" i="8" s="1"/>
  <c r="P1008" i="2"/>
  <c r="AB1016" i="8" s="1"/>
  <c r="P992" i="2"/>
  <c r="AB1000" i="8" s="1"/>
  <c r="P976" i="2"/>
  <c r="AB984" i="8" s="1"/>
  <c r="P960" i="2"/>
  <c r="AB969" i="8" s="1"/>
  <c r="P944" i="2"/>
  <c r="AB953" i="8" s="1"/>
  <c r="P928" i="2"/>
  <c r="AB937" i="8" s="1"/>
  <c r="P912" i="2"/>
  <c r="AB921" i="8" s="1"/>
  <c r="P896" i="2"/>
  <c r="AB905" i="8" s="1"/>
  <c r="P880" i="2"/>
  <c r="AB889" i="8" s="1"/>
  <c r="P864" i="2"/>
  <c r="AB873" i="8" s="1"/>
  <c r="P848" i="2"/>
  <c r="AB857" i="8" s="1"/>
  <c r="P824" i="2"/>
  <c r="AB833" i="8" s="1"/>
  <c r="P808" i="2"/>
  <c r="AB817" i="8" s="1"/>
  <c r="P788" i="2"/>
  <c r="AB797" i="8" s="1"/>
  <c r="P772" i="2"/>
  <c r="AB781" i="8" s="1"/>
  <c r="P752" i="2"/>
  <c r="AB761" i="8" s="1"/>
  <c r="P736" i="2"/>
  <c r="AB745" i="8" s="1"/>
  <c r="P720" i="2"/>
  <c r="AB729" i="8" s="1"/>
  <c r="P704" i="2"/>
  <c r="AB714" i="8" s="1"/>
  <c r="P688" i="2"/>
  <c r="AB698" i="8" s="1"/>
  <c r="P672" i="2"/>
  <c r="AB682" i="8" s="1"/>
  <c r="P656" i="2"/>
  <c r="AB666" i="8" s="1"/>
  <c r="P640" i="2"/>
  <c r="AB650" i="8" s="1"/>
  <c r="P612" i="2"/>
  <c r="AB622" i="8" s="1"/>
  <c r="P576" i="2"/>
  <c r="AB586" i="8" s="1"/>
  <c r="P548" i="2"/>
  <c r="AB558" i="8" s="1"/>
  <c r="P528" i="2"/>
  <c r="AB538" i="8" s="1"/>
  <c r="P492" i="2"/>
  <c r="AB502" i="8" s="1"/>
  <c r="P476" i="2"/>
  <c r="AB486" i="8" s="1"/>
  <c r="P448" i="2"/>
  <c r="AB458" i="8" s="1"/>
  <c r="P408" i="2"/>
  <c r="AB418" i="8" s="1"/>
  <c r="P384" i="2"/>
  <c r="AB394" i="8" s="1"/>
  <c r="P360" i="2"/>
  <c r="AB370" i="8" s="1"/>
  <c r="P336" i="2"/>
  <c r="AB346" i="8" s="1"/>
  <c r="P320" i="2"/>
  <c r="AB330" i="8" s="1"/>
  <c r="P284" i="2"/>
  <c r="AB294" i="8" s="1"/>
  <c r="P248" i="2"/>
  <c r="AB258" i="8" s="1"/>
  <c r="P224" i="2"/>
  <c r="AB234" i="8" s="1"/>
  <c r="P208" i="2"/>
  <c r="AB218" i="8" s="1"/>
  <c r="P192" i="2"/>
  <c r="AB202" i="8" s="1"/>
  <c r="P176" i="2"/>
  <c r="AB186" i="8" s="1"/>
  <c r="P160" i="2"/>
  <c r="AB170" i="8" s="1"/>
  <c r="P144" i="2"/>
  <c r="AB154" i="8" s="1"/>
  <c r="P128" i="2"/>
  <c r="AB138" i="8" s="1"/>
  <c r="P112" i="2"/>
  <c r="AB122" i="8" s="1"/>
  <c r="P96" i="2"/>
  <c r="AB106" i="8" s="1"/>
  <c r="P80" i="2"/>
  <c r="AB90" i="8" s="1"/>
  <c r="P64" i="2"/>
  <c r="AB76" i="8" s="1"/>
  <c r="P48" i="2"/>
  <c r="AB60" i="8" s="1"/>
  <c r="AC46"/>
  <c r="AH46" s="1"/>
  <c r="AI46" s="1"/>
  <c r="AC13"/>
  <c r="AH13" s="1"/>
  <c r="AI13" s="1"/>
  <c r="AC38"/>
  <c r="AH38" s="1"/>
  <c r="AI38" s="1"/>
  <c r="AC40"/>
  <c r="AH40" s="1"/>
  <c r="AI40" s="1"/>
  <c r="AC42"/>
  <c r="AH42" s="1"/>
  <c r="AI42" s="1"/>
  <c r="AC44"/>
  <c r="AH44" s="1"/>
  <c r="AI44" s="1"/>
  <c r="AC37"/>
  <c r="AH37" s="1"/>
  <c r="AI37" s="1"/>
  <c r="AC39"/>
  <c r="AH39" s="1"/>
  <c r="AI39" s="1"/>
  <c r="AC41"/>
  <c r="AH41" s="1"/>
  <c r="AI41" s="1"/>
  <c r="AC43"/>
  <c r="AH43" s="1"/>
  <c r="AI43" s="1"/>
  <c r="AC24"/>
  <c r="AC26"/>
  <c r="AC28"/>
  <c r="AC30"/>
  <c r="AC32"/>
  <c r="AC34"/>
  <c r="AC19"/>
  <c r="AC21"/>
  <c r="AC23"/>
  <c r="AC27"/>
  <c r="AC29"/>
  <c r="P31" i="2"/>
  <c r="AB43" i="8" s="1"/>
  <c r="P27" i="2"/>
  <c r="AB39" i="8" s="1"/>
  <c r="P23" i="2"/>
  <c r="AB18" i="8" s="1"/>
  <c r="P34" i="2"/>
  <c r="AB46" i="8" s="1"/>
  <c r="P30" i="2"/>
  <c r="AB42" i="8" s="1"/>
  <c r="P26" i="2"/>
  <c r="AB38" i="8" s="1"/>
  <c r="P22" i="2"/>
  <c r="AB13" i="8" s="1"/>
  <c r="P33" i="2"/>
  <c r="AB45" i="8" s="1"/>
  <c r="P29" i="2"/>
  <c r="AB41" i="8" s="1"/>
  <c r="P25" i="2"/>
  <c r="AB37" i="8" s="1"/>
  <c r="P21" i="2"/>
  <c r="AB35" i="8" s="1"/>
  <c r="P32" i="2"/>
  <c r="AB44" i="8" s="1"/>
  <c r="P28" i="2"/>
  <c r="AB40" i="8" s="1"/>
  <c r="P24" i="2"/>
  <c r="AB36" i="8" s="1"/>
  <c r="K8" i="2"/>
  <c r="K2169" s="1"/>
  <c r="N8"/>
  <c r="N2169" s="1"/>
  <c r="O8"/>
  <c r="O2169" s="1"/>
  <c r="L8"/>
  <c r="M8"/>
  <c r="M2169" s="1"/>
  <c r="P9"/>
  <c r="AB23" i="8" s="1"/>
  <c r="P6" i="2"/>
  <c r="AB20" i="8" s="1"/>
  <c r="P5" i="2"/>
  <c r="AB19" i="8" s="1"/>
  <c r="P7" i="2"/>
  <c r="AB21" i="8" s="1"/>
  <c r="P10" i="2"/>
  <c r="AB24" i="8" s="1"/>
  <c r="P17" i="2"/>
  <c r="AB31" i="8" s="1"/>
  <c r="P15" i="2"/>
  <c r="AB29" i="8" s="1"/>
  <c r="P16" i="2"/>
  <c r="AB30" i="8" s="1"/>
  <c r="P20" i="2"/>
  <c r="AB34" i="8" s="1"/>
  <c r="P19" i="2"/>
  <c r="AB33" i="8" s="1"/>
  <c r="P11" i="2"/>
  <c r="AB25" i="8" s="1"/>
  <c r="P18" i="2"/>
  <c r="AB32" i="8" s="1"/>
  <c r="Z23"/>
  <c r="W2169"/>
  <c r="Y22"/>
  <c r="Y2169" s="1"/>
  <c r="H2169"/>
  <c r="K22"/>
  <c r="B14" i="3" l="1"/>
  <c r="B27" s="1"/>
  <c r="K2169" i="8"/>
  <c r="P8" i="2"/>
  <c r="AB22" i="8" s="1"/>
  <c r="AE2169"/>
  <c r="AD2169"/>
  <c r="AF2169"/>
  <c r="Z22"/>
  <c r="Z2169" s="1"/>
  <c r="X2169"/>
  <c r="AC2169"/>
  <c r="AH34" l="1"/>
  <c r="AI34" s="1"/>
  <c r="AH30"/>
  <c r="AI30" s="1"/>
  <c r="AH22"/>
  <c r="AI22" s="1"/>
  <c r="AH23"/>
  <c r="AI23" s="1"/>
  <c r="AH19"/>
  <c r="AI19" s="1"/>
  <c r="AH33"/>
  <c r="AI33" s="1"/>
  <c r="AH29"/>
  <c r="AI29" s="1"/>
  <c r="AH27"/>
  <c r="AI27" s="1"/>
  <c r="AH20"/>
  <c r="AI20" s="1"/>
  <c r="AH32"/>
  <c r="AI32" s="1"/>
  <c r="AH28"/>
  <c r="AI28" s="1"/>
  <c r="AH26"/>
  <c r="AI26" s="1"/>
  <c r="AH21"/>
  <c r="AI21" s="1"/>
  <c r="AH31"/>
  <c r="AI31" s="1"/>
  <c r="AH25"/>
  <c r="AI25" s="1"/>
  <c r="AH24"/>
  <c r="AI24" s="1"/>
  <c r="AG2169"/>
  <c r="AI2169" l="1"/>
  <c r="P14" i="2"/>
  <c r="AB28" i="8" s="1"/>
  <c r="P13" i="2"/>
  <c r="AB27" i="8" s="1"/>
  <c r="P12" i="2" l="1"/>
  <c r="AB26" i="8" s="1"/>
  <c r="L2169" i="2"/>
  <c r="P2169" l="1"/>
  <c r="B17" i="3" l="1"/>
  <c r="Q336" i="2"/>
  <c r="Q720"/>
  <c r="Q992"/>
  <c r="Q231"/>
  <c r="Q591"/>
  <c r="Q871"/>
  <c r="Q110"/>
  <c r="Q422"/>
  <c r="Q786"/>
  <c r="Q1074"/>
  <c r="Q189"/>
  <c r="Q525"/>
  <c r="Q809"/>
  <c r="Q1073"/>
  <c r="Q1277"/>
  <c r="Q1533"/>
  <c r="Q1793"/>
  <c r="Q2049"/>
  <c r="Q1280"/>
  <c r="Q1536"/>
  <c r="Q1796"/>
  <c r="Q2052"/>
  <c r="Q1283"/>
  <c r="Q1539"/>
  <c r="Q1799"/>
  <c r="Q1182"/>
  <c r="Q1454"/>
  <c r="Q1718"/>
  <c r="Q1982"/>
  <c r="Q2138"/>
  <c r="Q172"/>
  <c r="Q572"/>
  <c r="Q876"/>
  <c r="Q115"/>
  <c r="Q419"/>
  <c r="Q751"/>
  <c r="Q1011"/>
  <c r="Q266"/>
  <c r="Q658"/>
  <c r="Q934"/>
  <c r="Q73"/>
  <c r="Q349"/>
  <c r="Q693"/>
  <c r="Q949"/>
  <c r="Q1147"/>
  <c r="Q1417"/>
  <c r="Q1677"/>
  <c r="Q1933"/>
  <c r="Q1152"/>
  <c r="Q1420"/>
  <c r="Q1680"/>
  <c r="Q1936"/>
  <c r="Q1159"/>
  <c r="Q1423"/>
  <c r="Q1683"/>
  <c r="Q1939"/>
  <c r="Q1330"/>
  <c r="Q1602"/>
  <c r="Q1866"/>
  <c r="Q2071"/>
  <c r="Q56"/>
  <c r="Q368"/>
  <c r="Q744"/>
  <c r="Q1016"/>
  <c r="Q263"/>
  <c r="Q631"/>
  <c r="Q895"/>
  <c r="Q134"/>
  <c r="Q466"/>
  <c r="Q814"/>
  <c r="Q1098"/>
  <c r="Q213"/>
  <c r="Q553"/>
  <c r="Q833"/>
  <c r="Q1097"/>
  <c r="Q1301"/>
  <c r="Q1557"/>
  <c r="Q1817"/>
  <c r="Q2073"/>
  <c r="Q1304"/>
  <c r="Q1560"/>
  <c r="Q1820"/>
  <c r="Q2076"/>
  <c r="Q1307"/>
  <c r="Q1563"/>
  <c r="Q1823"/>
  <c r="Q1210"/>
  <c r="Q1478"/>
  <c r="Q1742"/>
  <c r="Q2018"/>
  <c r="Q2153"/>
  <c r="Q196"/>
  <c r="Q616"/>
  <c r="Q900"/>
  <c r="Q139"/>
  <c r="Q459"/>
  <c r="Q775"/>
  <c r="Q1051"/>
  <c r="Q302"/>
  <c r="Q682"/>
  <c r="Q958"/>
  <c r="Q97"/>
  <c r="Q373"/>
  <c r="Q717"/>
  <c r="Q973"/>
  <c r="Q1185"/>
  <c r="Q1441"/>
  <c r="Q1701"/>
  <c r="Q1957"/>
  <c r="Q1188"/>
  <c r="Q1444"/>
  <c r="Q1704"/>
  <c r="Q1960"/>
  <c r="Q1191"/>
  <c r="Q1447"/>
  <c r="Q1707"/>
  <c r="Q1963"/>
  <c r="Q1358"/>
  <c r="Q1626"/>
  <c r="Q1890"/>
  <c r="Q2162"/>
  <c r="Q80"/>
  <c r="Q408"/>
  <c r="Q772"/>
  <c r="Q1060"/>
  <c r="Q295"/>
  <c r="Q659"/>
  <c r="Q919"/>
  <c r="Q158"/>
  <c r="Q494"/>
  <c r="Q842"/>
  <c r="Q1122"/>
  <c r="Q237"/>
  <c r="Q589"/>
  <c r="Q857"/>
  <c r="Q1121"/>
  <c r="Q1325"/>
  <c r="Q1581"/>
  <c r="Q1841"/>
  <c r="Q2097"/>
  <c r="Q1328"/>
  <c r="Q1584"/>
  <c r="Q1844"/>
  <c r="Q2108"/>
  <c r="Q1331"/>
  <c r="Q1587"/>
  <c r="Q1847"/>
  <c r="Q1234"/>
  <c r="Q1502"/>
  <c r="Q1770"/>
  <c r="Q2066"/>
  <c r="Q2043"/>
  <c r="Q220"/>
  <c r="Q652"/>
  <c r="Q924"/>
  <c r="Q163"/>
  <c r="Q487"/>
  <c r="Q799"/>
  <c r="Q42"/>
  <c r="Q338"/>
  <c r="Q710"/>
  <c r="Q982"/>
  <c r="Q121"/>
  <c r="Q425"/>
  <c r="Q741"/>
  <c r="Q997"/>
  <c r="Q1209"/>
  <c r="Q1465"/>
  <c r="Q1725"/>
  <c r="Q1981"/>
  <c r="Q1212"/>
  <c r="Q1468"/>
  <c r="Q1728"/>
  <c r="Q1984"/>
  <c r="Q1215"/>
  <c r="Q1471"/>
  <c r="Q1731"/>
  <c r="Q1987"/>
  <c r="Q1382"/>
  <c r="Q1650"/>
  <c r="Q1914"/>
  <c r="Q2006"/>
  <c r="Q104"/>
  <c r="Q456"/>
  <c r="Q800"/>
  <c r="Q47"/>
  <c r="Q327"/>
  <c r="Q683"/>
  <c r="Q943"/>
  <c r="Q182"/>
  <c r="Q538"/>
  <c r="Q866"/>
  <c r="Q1146"/>
  <c r="Q269"/>
  <c r="Q617"/>
  <c r="Q881"/>
  <c r="Q1145"/>
  <c r="Q1349"/>
  <c r="Q1609"/>
  <c r="Q1865"/>
  <c r="Q2121"/>
  <c r="Q1352"/>
  <c r="Q1608"/>
  <c r="Q1868"/>
  <c r="Q2132"/>
  <c r="Q1355"/>
  <c r="Q1611"/>
  <c r="Q1871"/>
  <c r="Q1262"/>
  <c r="Q1526"/>
  <c r="Q1794"/>
  <c r="Q2134"/>
  <c r="Q2091"/>
  <c r="Q252"/>
  <c r="Q676"/>
  <c r="Q948"/>
  <c r="Q187"/>
  <c r="Q523"/>
  <c r="Q823"/>
  <c r="Q66"/>
  <c r="Q362"/>
  <c r="Q734"/>
  <c r="Q1006"/>
  <c r="Q145"/>
  <c r="Q473"/>
  <c r="Q765"/>
  <c r="Q1021"/>
  <c r="Q1233"/>
  <c r="Q1489"/>
  <c r="Q1749"/>
  <c r="Q2005"/>
  <c r="Q1236"/>
  <c r="Q1492"/>
  <c r="Q1752"/>
  <c r="Q2008"/>
  <c r="Q1239"/>
  <c r="Q1495"/>
  <c r="Q1755"/>
  <c r="Q1100"/>
  <c r="Q1410"/>
  <c r="Q1674"/>
  <c r="Q1938"/>
  <c r="Q2086"/>
  <c r="Q128"/>
  <c r="Q492"/>
  <c r="Q824"/>
  <c r="Q71"/>
  <c r="Q351"/>
  <c r="Q707"/>
  <c r="Q967"/>
  <c r="Q206"/>
  <c r="Q590"/>
  <c r="Q890"/>
  <c r="Q1170"/>
  <c r="Q293"/>
  <c r="Q649"/>
  <c r="Q905"/>
  <c r="Q1169"/>
  <c r="Q1373"/>
  <c r="Q1633"/>
  <c r="Q1889"/>
  <c r="Q2145"/>
  <c r="Q1376"/>
  <c r="Q1632"/>
  <c r="Q1892"/>
  <c r="Q1071"/>
  <c r="Q1379"/>
  <c r="Q1635"/>
  <c r="Q1895"/>
  <c r="Q1286"/>
  <c r="Q1550"/>
  <c r="Q1822"/>
  <c r="Q2167"/>
  <c r="Q2143"/>
  <c r="Q308"/>
  <c r="Q700"/>
  <c r="Q972"/>
  <c r="Q211"/>
  <c r="Q551"/>
  <c r="Q851"/>
  <c r="Q90"/>
  <c r="Q394"/>
  <c r="Q762"/>
  <c r="Q1046"/>
  <c r="Q169"/>
  <c r="Q501"/>
  <c r="Q789"/>
  <c r="Q1053"/>
  <c r="Q1257"/>
  <c r="Q1513"/>
  <c r="Q1773"/>
  <c r="Q2029"/>
  <c r="Q1260"/>
  <c r="Q1516"/>
  <c r="Q1776"/>
  <c r="Q2032"/>
  <c r="Q1263"/>
  <c r="Q1519"/>
  <c r="Q1779"/>
  <c r="Q1148"/>
  <c r="Q1434"/>
  <c r="Q1698"/>
  <c r="Q1962"/>
  <c r="Q2099"/>
  <c r="Q152"/>
  <c r="Q540"/>
  <c r="Q856"/>
  <c r="Q95"/>
  <c r="Q379"/>
  <c r="Q731"/>
  <c r="Q991"/>
  <c r="Q230"/>
  <c r="Q630"/>
  <c r="Q914"/>
  <c r="Q53"/>
  <c r="Q329"/>
  <c r="Q673"/>
  <c r="Q929"/>
  <c r="Q1107"/>
  <c r="Q1397"/>
  <c r="Q1657"/>
  <c r="Q1913"/>
  <c r="Q1112"/>
  <c r="Q1400"/>
  <c r="Q1660"/>
  <c r="Q1916"/>
  <c r="Q1119"/>
  <c r="Q1403"/>
  <c r="Q1663"/>
  <c r="Q1919"/>
  <c r="Q1310"/>
  <c r="Q1574"/>
  <c r="Q1846"/>
  <c r="Q2031"/>
  <c r="Q36"/>
  <c r="Q344"/>
  <c r="Q724"/>
  <c r="Q996"/>
  <c r="Q235"/>
  <c r="Q595"/>
  <c r="Q875"/>
  <c r="Q114"/>
  <c r="Q430"/>
  <c r="Q790"/>
  <c r="Q1078"/>
  <c r="Q193"/>
  <c r="Q529"/>
  <c r="Q813"/>
  <c r="Q1077"/>
  <c r="Q1281"/>
  <c r="Q1537"/>
  <c r="Q1797"/>
  <c r="Q2053"/>
  <c r="Q1284"/>
  <c r="Q1540"/>
  <c r="Q1800"/>
  <c r="Q2056"/>
  <c r="Q1287"/>
  <c r="Q1543"/>
  <c r="Q1803"/>
  <c r="Q1190"/>
  <c r="Q1458"/>
  <c r="Q1722"/>
  <c r="Q2165"/>
  <c r="Q176"/>
  <c r="Q576"/>
  <c r="Q880"/>
  <c r="Q119"/>
  <c r="Q755"/>
  <c r="Q662"/>
  <c r="Q697"/>
  <c r="Q1681"/>
  <c r="Q1424"/>
  <c r="Q1167"/>
  <c r="Q1943"/>
  <c r="Q60"/>
  <c r="Q1020"/>
  <c r="Q470"/>
  <c r="Q837"/>
  <c r="Q1821"/>
  <c r="Q1824"/>
  <c r="Q1567"/>
  <c r="Q1482"/>
  <c r="Q624"/>
  <c r="Q779"/>
  <c r="Q962"/>
  <c r="Q1189"/>
  <c r="Q1961"/>
  <c r="Q1964"/>
  <c r="Q1967"/>
  <c r="Q1894"/>
  <c r="Q416"/>
  <c r="Q923"/>
  <c r="Q241"/>
  <c r="Q1125"/>
  <c r="Q2101"/>
  <c r="Q2112"/>
  <c r="Q1506"/>
  <c r="Q2083"/>
  <c r="Q1418"/>
  <c r="Q840"/>
  <c r="Q363"/>
  <c r="Q598"/>
  <c r="Q37"/>
  <c r="Q1075"/>
  <c r="Q1072"/>
  <c r="Q1087"/>
  <c r="Q1294"/>
  <c r="Q324"/>
  <c r="Q859"/>
  <c r="Q770"/>
  <c r="Q797"/>
  <c r="Q1781"/>
  <c r="Q1784"/>
  <c r="Q1787"/>
  <c r="Q1970"/>
  <c r="Q224"/>
  <c r="Q656"/>
  <c r="Q928"/>
  <c r="Q167"/>
  <c r="Q491"/>
  <c r="Q803"/>
  <c r="Q46"/>
  <c r="Q342"/>
  <c r="Q714"/>
  <c r="Q986"/>
  <c r="Q125"/>
  <c r="Q433"/>
  <c r="Q745"/>
  <c r="Q1001"/>
  <c r="Q1213"/>
  <c r="Q1469"/>
  <c r="Q1729"/>
  <c r="Q1985"/>
  <c r="Q1216"/>
  <c r="Q1472"/>
  <c r="Q1732"/>
  <c r="Q1988"/>
  <c r="Q1219"/>
  <c r="Q1475"/>
  <c r="Q1735"/>
  <c r="Q1991"/>
  <c r="Q1386"/>
  <c r="Q1654"/>
  <c r="Q1918"/>
  <c r="Q2014"/>
  <c r="Q108"/>
  <c r="Q460"/>
  <c r="Q804"/>
  <c r="Q51"/>
  <c r="Q331"/>
  <c r="Q687"/>
  <c r="Q947"/>
  <c r="Q186"/>
  <c r="Q550"/>
  <c r="Q870"/>
  <c r="Q1150"/>
  <c r="Q273"/>
  <c r="Q621"/>
  <c r="Q885"/>
  <c r="Q1149"/>
  <c r="Q1353"/>
  <c r="Q1613"/>
  <c r="Q1869"/>
  <c r="Q2125"/>
  <c r="Q1356"/>
  <c r="Q1612"/>
  <c r="Q1872"/>
  <c r="Q2136"/>
  <c r="Q1359"/>
  <c r="Q1615"/>
  <c r="Q1875"/>
  <c r="Q1266"/>
  <c r="Q1530"/>
  <c r="Q1798"/>
  <c r="Q2142"/>
  <c r="Q2098"/>
  <c r="Q272"/>
  <c r="Q680"/>
  <c r="Q952"/>
  <c r="Q191"/>
  <c r="Q527"/>
  <c r="Q831"/>
  <c r="Q70"/>
  <c r="Q366"/>
  <c r="Q738"/>
  <c r="Q1010"/>
  <c r="Q149"/>
  <c r="Q477"/>
  <c r="Q769"/>
  <c r="Q1025"/>
  <c r="Q1237"/>
  <c r="Q1493"/>
  <c r="Q1753"/>
  <c r="Q2009"/>
  <c r="Q1240"/>
  <c r="Q1496"/>
  <c r="Q1756"/>
  <c r="Q2012"/>
  <c r="Q1243"/>
  <c r="Q1499"/>
  <c r="Q1759"/>
  <c r="Q1108"/>
  <c r="Q1414"/>
  <c r="Q1678"/>
  <c r="Q1942"/>
  <c r="Q2030"/>
  <c r="Q132"/>
  <c r="Q504"/>
  <c r="Q836"/>
  <c r="Q75"/>
  <c r="Q359"/>
  <c r="Q711"/>
  <c r="Q971"/>
  <c r="Q210"/>
  <c r="Q594"/>
  <c r="Q894"/>
  <c r="Q1174"/>
  <c r="Q305"/>
  <c r="Q653"/>
  <c r="Q909"/>
  <c r="Q1173"/>
  <c r="Q1377"/>
  <c r="Q1637"/>
  <c r="Q1893"/>
  <c r="Q2149"/>
  <c r="Q1380"/>
  <c r="Q1636"/>
  <c r="Q1896"/>
  <c r="Q1079"/>
  <c r="Q1383"/>
  <c r="Q1643"/>
  <c r="Q1899"/>
  <c r="Q1290"/>
  <c r="Q1554"/>
  <c r="Q1826"/>
  <c r="Q2023"/>
  <c r="Q2168"/>
  <c r="Q320"/>
  <c r="Q704"/>
  <c r="Q976"/>
  <c r="Q215"/>
  <c r="Q555"/>
  <c r="Q855"/>
  <c r="Q94"/>
  <c r="Q398"/>
  <c r="Q766"/>
  <c r="Q1058"/>
  <c r="Q173"/>
  <c r="Q505"/>
  <c r="Q793"/>
  <c r="Q1057"/>
  <c r="Q1261"/>
  <c r="Q1517"/>
  <c r="Q1777"/>
  <c r="Q2033"/>
  <c r="Q1264"/>
  <c r="Q1520"/>
  <c r="Q1780"/>
  <c r="Q2036"/>
  <c r="Q1267"/>
  <c r="Q1523"/>
  <c r="Q1783"/>
  <c r="Q1156"/>
  <c r="Q1438"/>
  <c r="Q1702"/>
  <c r="Q1966"/>
  <c r="Q2106"/>
  <c r="Q156"/>
  <c r="Q544"/>
  <c r="Q860"/>
  <c r="Q99"/>
  <c r="Q383"/>
  <c r="Q735"/>
  <c r="Q995"/>
  <c r="Q234"/>
  <c r="Q642"/>
  <c r="Q918"/>
  <c r="Q57"/>
  <c r="Q333"/>
  <c r="Q677"/>
  <c r="Q933"/>
  <c r="Q1115"/>
  <c r="Q1401"/>
  <c r="Q1661"/>
  <c r="Q1917"/>
  <c r="Q1120"/>
  <c r="Q1404"/>
  <c r="Q1664"/>
  <c r="Q1920"/>
  <c r="Q1127"/>
  <c r="Q1407"/>
  <c r="Q1667"/>
  <c r="Q1923"/>
  <c r="Q1314"/>
  <c r="Q1578"/>
  <c r="Q1850"/>
  <c r="Q2039"/>
  <c r="Q40"/>
  <c r="Q348"/>
  <c r="Q728"/>
  <c r="Q1000"/>
  <c r="Q239"/>
  <c r="Q599"/>
  <c r="Q879"/>
  <c r="Q118"/>
  <c r="Q434"/>
  <c r="Q798"/>
  <c r="Q1082"/>
  <c r="Q197"/>
  <c r="Q533"/>
  <c r="Q817"/>
  <c r="Q1081"/>
  <c r="Q1285"/>
  <c r="Q1541"/>
  <c r="Q1801"/>
  <c r="Q2057"/>
  <c r="Q1288"/>
  <c r="Q1544"/>
  <c r="Q1804"/>
  <c r="Q2060"/>
  <c r="Q1291"/>
  <c r="Q1547"/>
  <c r="Q1807"/>
  <c r="Q1194"/>
  <c r="Q1462"/>
  <c r="Q1726"/>
  <c r="Q1990"/>
  <c r="Q2122"/>
  <c r="Q180"/>
  <c r="Q592"/>
  <c r="Q884"/>
  <c r="Q123"/>
  <c r="Q431"/>
  <c r="Q759"/>
  <c r="Q1019"/>
  <c r="Q278"/>
  <c r="Q666"/>
  <c r="Q942"/>
  <c r="Q81"/>
  <c r="Q357"/>
  <c r="Q701"/>
  <c r="Q957"/>
  <c r="Q1163"/>
  <c r="Q1425"/>
  <c r="Q1685"/>
  <c r="Q1941"/>
  <c r="Q1168"/>
  <c r="Q1428"/>
  <c r="Q1688"/>
  <c r="Q1944"/>
  <c r="Q1175"/>
  <c r="Q1431"/>
  <c r="Q1691"/>
  <c r="Q1947"/>
  <c r="Q1338"/>
  <c r="Q1610"/>
  <c r="Q1874"/>
  <c r="Q2139"/>
  <c r="Q64"/>
  <c r="Q384"/>
  <c r="Q752"/>
  <c r="Q1024"/>
  <c r="Q271"/>
  <c r="Q643"/>
  <c r="Q903"/>
  <c r="Q142"/>
  <c r="Q474"/>
  <c r="Q822"/>
  <c r="Q1106"/>
  <c r="Q221"/>
  <c r="Q565"/>
  <c r="Q841"/>
  <c r="Q1105"/>
  <c r="Q1309"/>
  <c r="Q1565"/>
  <c r="Q1825"/>
  <c r="Q2081"/>
  <c r="Q1312"/>
  <c r="Q1568"/>
  <c r="Q1828"/>
  <c r="Q2084"/>
  <c r="Q1315"/>
  <c r="Q1571"/>
  <c r="Q1831"/>
  <c r="Q1218"/>
  <c r="Q1486"/>
  <c r="Q1750"/>
  <c r="Q2034"/>
  <c r="Q2011"/>
  <c r="Q204"/>
  <c r="Q636"/>
  <c r="Q908"/>
  <c r="Q147"/>
  <c r="Q467"/>
  <c r="Q783"/>
  <c r="Q1059"/>
  <c r="Q322"/>
  <c r="Q694"/>
  <c r="Q966"/>
  <c r="Q105"/>
  <c r="Q397"/>
  <c r="Q725"/>
  <c r="Q981"/>
  <c r="Q1193"/>
  <c r="Q1449"/>
  <c r="Q1709"/>
  <c r="Q1965"/>
  <c r="Q1196"/>
  <c r="Q1452"/>
  <c r="Q1712"/>
  <c r="Q1968"/>
  <c r="Q1199"/>
  <c r="Q1455"/>
  <c r="Q1715"/>
  <c r="Q1971"/>
  <c r="Q1366"/>
  <c r="Q1634"/>
  <c r="Q1898"/>
  <c r="Q2154"/>
  <c r="Q88"/>
  <c r="Q420"/>
  <c r="Q780"/>
  <c r="Q1068"/>
  <c r="Q303"/>
  <c r="Q667"/>
  <c r="Q927"/>
  <c r="Q166"/>
  <c r="Q510"/>
  <c r="Q850"/>
  <c r="Q1130"/>
  <c r="Q253"/>
  <c r="Q597"/>
  <c r="Q865"/>
  <c r="Q1129"/>
  <c r="Q1333"/>
  <c r="Q1589"/>
  <c r="Q1849"/>
  <c r="Q2105"/>
  <c r="Q1336"/>
  <c r="Q1592"/>
  <c r="Q1852"/>
  <c r="Q2116"/>
  <c r="Q1339"/>
  <c r="Q1595"/>
  <c r="Q1855"/>
  <c r="Q1242"/>
  <c r="Q1510"/>
  <c r="Q1778"/>
  <c r="Q2082"/>
  <c r="Q2059"/>
  <c r="Q228"/>
  <c r="Q660"/>
  <c r="Q932"/>
  <c r="Q171"/>
  <c r="Q495"/>
  <c r="Q807"/>
  <c r="Q50"/>
  <c r="Q346"/>
  <c r="Q718"/>
  <c r="Q990"/>
  <c r="Q129"/>
  <c r="Q437"/>
  <c r="Q749"/>
  <c r="Q1005"/>
  <c r="Q1217"/>
  <c r="Q1473"/>
  <c r="Q1733"/>
  <c r="Q1989"/>
  <c r="Q1220"/>
  <c r="Q1476"/>
  <c r="Q1736"/>
  <c r="Q1992"/>
  <c r="Q1223"/>
  <c r="Q1479"/>
  <c r="Q1739"/>
  <c r="Q1995"/>
  <c r="Q1390"/>
  <c r="Q1658"/>
  <c r="Q1922"/>
  <c r="Q2054"/>
  <c r="Q112"/>
  <c r="Q476"/>
  <c r="Q808"/>
  <c r="Q55"/>
  <c r="Q335"/>
  <c r="Q691"/>
  <c r="Q951"/>
  <c r="Q190"/>
  <c r="Q554"/>
  <c r="Q874"/>
  <c r="Q1154"/>
  <c r="Q277"/>
  <c r="Q625"/>
  <c r="Q889"/>
  <c r="Q1153"/>
  <c r="Q1357"/>
  <c r="Q1617"/>
  <c r="Q1873"/>
  <c r="Q2129"/>
  <c r="Q1360"/>
  <c r="Q1616"/>
  <c r="Q1876"/>
  <c r="Q2140"/>
  <c r="Q1363"/>
  <c r="Q1619"/>
  <c r="Q1879"/>
  <c r="Q1270"/>
  <c r="Q1534"/>
  <c r="Q1802"/>
  <c r="Q2150"/>
  <c r="Q2111"/>
  <c r="Q280"/>
  <c r="Q684"/>
  <c r="Q956"/>
  <c r="Q195"/>
  <c r="Q531"/>
  <c r="Q835"/>
  <c r="Q74"/>
  <c r="Q378"/>
  <c r="Q742"/>
  <c r="Q1014"/>
  <c r="Q153"/>
  <c r="Q481"/>
  <c r="Q773"/>
  <c r="Q1033"/>
  <c r="Q1241"/>
  <c r="Q1497"/>
  <c r="Q1757"/>
  <c r="Q2013"/>
  <c r="Q1244"/>
  <c r="Q1500"/>
  <c r="Q1760"/>
  <c r="Q2016"/>
  <c r="Q1247"/>
  <c r="Q1503"/>
  <c r="Q1763"/>
  <c r="Q1116"/>
  <c r="Q1682"/>
  <c r="Q1946"/>
  <c r="Q520"/>
  <c r="Q79"/>
  <c r="Q975"/>
  <c r="Q657"/>
  <c r="Q1897"/>
  <c r="Q1900"/>
  <c r="Q1903"/>
  <c r="Q1999"/>
  <c r="Q559"/>
  <c r="Q1062"/>
  <c r="Q1061"/>
  <c r="Q2037"/>
  <c r="Q1271"/>
  <c r="Q1706"/>
  <c r="Q160"/>
  <c r="Q548"/>
  <c r="Q864"/>
  <c r="Q103"/>
  <c r="Q387"/>
  <c r="Q739"/>
  <c r="Q999"/>
  <c r="Q238"/>
  <c r="Q646"/>
  <c r="Q922"/>
  <c r="Q61"/>
  <c r="Q337"/>
  <c r="Q681"/>
  <c r="Q937"/>
  <c r="Q1123"/>
  <c r="Q1405"/>
  <c r="Q1665"/>
  <c r="Q1921"/>
  <c r="Q1128"/>
  <c r="Q1408"/>
  <c r="Q1668"/>
  <c r="Q1924"/>
  <c r="Q1135"/>
  <c r="Q1411"/>
  <c r="Q1671"/>
  <c r="Q1927"/>
  <c r="Q1318"/>
  <c r="Q1582"/>
  <c r="Q1854"/>
  <c r="Q2047"/>
  <c r="Q44"/>
  <c r="Q352"/>
  <c r="Q732"/>
  <c r="Q1004"/>
  <c r="Q243"/>
  <c r="Q611"/>
  <c r="Q883"/>
  <c r="Q122"/>
  <c r="Q446"/>
  <c r="Q802"/>
  <c r="Q1086"/>
  <c r="Q201"/>
  <c r="Q537"/>
  <c r="Q821"/>
  <c r="Q1085"/>
  <c r="Q1289"/>
  <c r="Q1545"/>
  <c r="Q1805"/>
  <c r="Q2061"/>
  <c r="Q1292"/>
  <c r="Q1548"/>
  <c r="Q1808"/>
  <c r="Q2064"/>
  <c r="Q1295"/>
  <c r="Q1551"/>
  <c r="Q1811"/>
  <c r="Q1198"/>
  <c r="Q1466"/>
  <c r="Q1730"/>
  <c r="Q1994"/>
  <c r="Q2157"/>
  <c r="Q184"/>
  <c r="Q596"/>
  <c r="Q888"/>
  <c r="Q127"/>
  <c r="Q439"/>
  <c r="Q763"/>
  <c r="Q1023"/>
  <c r="Q282"/>
  <c r="Q670"/>
  <c r="Q946"/>
  <c r="Q85"/>
  <c r="Q361"/>
  <c r="Q705"/>
  <c r="Q961"/>
  <c r="Q1171"/>
  <c r="Q1429"/>
  <c r="Q1689"/>
  <c r="Q1945"/>
  <c r="Q1176"/>
  <c r="Q1432"/>
  <c r="Q1692"/>
  <c r="Q1948"/>
  <c r="Q1179"/>
  <c r="Q1435"/>
  <c r="Q1695"/>
  <c r="Q1951"/>
  <c r="Q1342"/>
  <c r="Q1614"/>
  <c r="Q1878"/>
  <c r="Q2107"/>
  <c r="Q68"/>
  <c r="Q392"/>
  <c r="Q756"/>
  <c r="Q1044"/>
  <c r="Q279"/>
  <c r="Q647"/>
  <c r="Q907"/>
  <c r="Q146"/>
  <c r="Q478"/>
  <c r="Q826"/>
  <c r="Q1110"/>
  <c r="Q225"/>
  <c r="Q569"/>
  <c r="Q845"/>
  <c r="Q1109"/>
  <c r="Q1313"/>
  <c r="Q1569"/>
  <c r="Q1829"/>
  <c r="Q2085"/>
  <c r="Q1316"/>
  <c r="Q1572"/>
  <c r="Q1832"/>
  <c r="Q2088"/>
  <c r="Q1319"/>
  <c r="Q1575"/>
  <c r="Q1835"/>
  <c r="Q1222"/>
  <c r="Q1490"/>
  <c r="Q1758"/>
  <c r="Q2042"/>
  <c r="Q2051"/>
  <c r="Q208"/>
  <c r="Q640"/>
  <c r="Q912"/>
  <c r="Q151"/>
  <c r="Q475"/>
  <c r="Q787"/>
  <c r="Q1063"/>
  <c r="Q326"/>
  <c r="Q698"/>
  <c r="Q970"/>
  <c r="Q109"/>
  <c r="Q405"/>
  <c r="Q729"/>
  <c r="Q985"/>
  <c r="Q1197"/>
  <c r="Q1453"/>
  <c r="Q1713"/>
  <c r="Q1969"/>
  <c r="Q1200"/>
  <c r="Q1456"/>
  <c r="Q1716"/>
  <c r="Q1972"/>
  <c r="Q1203"/>
  <c r="Q1459"/>
  <c r="Q1719"/>
  <c r="Q1975"/>
  <c r="Q1370"/>
  <c r="Q1638"/>
  <c r="Q1902"/>
  <c r="Q2158"/>
  <c r="Q92"/>
  <c r="Q428"/>
  <c r="Q784"/>
  <c r="Q35"/>
  <c r="Q311"/>
  <c r="Q671"/>
  <c r="Q931"/>
  <c r="Q170"/>
  <c r="Q518"/>
  <c r="Q854"/>
  <c r="Q1134"/>
  <c r="Q257"/>
  <c r="Q601"/>
  <c r="Q869"/>
  <c r="Q1133"/>
  <c r="Q1337"/>
  <c r="Q1597"/>
  <c r="Q1853"/>
  <c r="Q2109"/>
  <c r="Q1340"/>
  <c r="Q1596"/>
  <c r="Q1856"/>
  <c r="Q2120"/>
  <c r="Q1343"/>
  <c r="Q1599"/>
  <c r="Q1859"/>
  <c r="Q1246"/>
  <c r="Q1514"/>
  <c r="Q1782"/>
  <c r="Q2110"/>
  <c r="Q2067"/>
  <c r="Q232"/>
  <c r="Q664"/>
  <c r="Q936"/>
  <c r="Q175"/>
  <c r="Q507"/>
  <c r="Q811"/>
  <c r="Q54"/>
  <c r="Q350"/>
  <c r="Q722"/>
  <c r="Q994"/>
  <c r="Q133"/>
  <c r="Q445"/>
  <c r="Q753"/>
  <c r="Q1009"/>
  <c r="Q1221"/>
  <c r="Q1477"/>
  <c r="Q1737"/>
  <c r="Q1993"/>
  <c r="Q1224"/>
  <c r="Q1480"/>
  <c r="Q1740"/>
  <c r="Q1996"/>
  <c r="Q1227"/>
  <c r="Q1483"/>
  <c r="Q1743"/>
  <c r="Q1076"/>
  <c r="Q1394"/>
  <c r="Q1662"/>
  <c r="Q1926"/>
  <c r="Q1998"/>
  <c r="Q116"/>
  <c r="Q480"/>
  <c r="Q812"/>
  <c r="Q59"/>
  <c r="Q339"/>
  <c r="Q695"/>
  <c r="Q955"/>
  <c r="Q194"/>
  <c r="Q558"/>
  <c r="Q878"/>
  <c r="Q1158"/>
  <c r="Q281"/>
  <c r="Q629"/>
  <c r="Q893"/>
  <c r="Q1157"/>
  <c r="Q1361"/>
  <c r="Q1621"/>
  <c r="Q1877"/>
  <c r="Q2133"/>
  <c r="Q1364"/>
  <c r="Q1620"/>
  <c r="Q1880"/>
  <c r="Q2144"/>
  <c r="Q1367"/>
  <c r="Q1623"/>
  <c r="Q1883"/>
  <c r="Q1274"/>
  <c r="Q1538"/>
  <c r="Q1810"/>
  <c r="Q2155"/>
  <c r="Q2151"/>
  <c r="Q284"/>
  <c r="Q688"/>
  <c r="Q960"/>
  <c r="Q199"/>
  <c r="Q535"/>
  <c r="Q839"/>
  <c r="Q78"/>
  <c r="Q382"/>
  <c r="Q746"/>
  <c r="Q1018"/>
  <c r="Q157"/>
  <c r="Q489"/>
  <c r="Q777"/>
  <c r="Q1037"/>
  <c r="Q1245"/>
  <c r="Q1501"/>
  <c r="Q1761"/>
  <c r="Q2017"/>
  <c r="Q1248"/>
  <c r="Q1504"/>
  <c r="Q1764"/>
  <c r="Q2020"/>
  <c r="Q1251"/>
  <c r="Q1507"/>
  <c r="Q1767"/>
  <c r="Q1124"/>
  <c r="Q1422"/>
  <c r="Q1686"/>
  <c r="Q1950"/>
  <c r="Q2078"/>
  <c r="Q140"/>
  <c r="Q524"/>
  <c r="Q844"/>
  <c r="Q83"/>
  <c r="Q367"/>
  <c r="Q719"/>
  <c r="Q979"/>
  <c r="Q218"/>
  <c r="Q602"/>
  <c r="Q902"/>
  <c r="Q41"/>
  <c r="Q313"/>
  <c r="Q661"/>
  <c r="Q917"/>
  <c r="Q1083"/>
  <c r="Q1385"/>
  <c r="Q1645"/>
  <c r="Q1901"/>
  <c r="Q1080"/>
  <c r="Q1388"/>
  <c r="Q1648"/>
  <c r="Q1904"/>
  <c r="Q1095"/>
  <c r="Q1391"/>
  <c r="Q1651"/>
  <c r="Q1907"/>
  <c r="Q1298"/>
  <c r="Q1562"/>
  <c r="Q1834"/>
  <c r="Q2007"/>
  <c r="Q2160"/>
  <c r="Q328"/>
  <c r="Q712"/>
  <c r="Q984"/>
  <c r="Q223"/>
  <c r="Q567"/>
  <c r="Q863"/>
  <c r="Q102"/>
  <c r="Q406"/>
  <c r="Q778"/>
  <c r="Q1066"/>
  <c r="Q181"/>
  <c r="Q517"/>
  <c r="Q801"/>
  <c r="Q1065"/>
  <c r="Q1269"/>
  <c r="Q1525"/>
  <c r="Q1785"/>
  <c r="Q2041"/>
  <c r="Q1272"/>
  <c r="Q1528"/>
  <c r="Q1788"/>
  <c r="Q2044"/>
  <c r="Q1275"/>
  <c r="Q1531"/>
  <c r="Q1791"/>
  <c r="Q1172"/>
  <c r="Q1446"/>
  <c r="Q1710"/>
  <c r="Q1974"/>
  <c r="Q2094"/>
  <c r="Q164"/>
  <c r="Q560"/>
  <c r="Q868"/>
  <c r="Q107"/>
  <c r="Q399"/>
  <c r="Q743"/>
  <c r="Q1003"/>
  <c r="Q258"/>
  <c r="Q650"/>
  <c r="Q926"/>
  <c r="Q65"/>
  <c r="Q341"/>
  <c r="Q685"/>
  <c r="Q941"/>
  <c r="Q1131"/>
  <c r="Q1409"/>
  <c r="Q1669"/>
  <c r="Q1925"/>
  <c r="Q1136"/>
  <c r="Q1412"/>
  <c r="Q1672"/>
  <c r="Q1928"/>
  <c r="Q1143"/>
  <c r="Q1415"/>
  <c r="Q1675"/>
  <c r="Q1931"/>
  <c r="Q1322"/>
  <c r="Q1586"/>
  <c r="Q1858"/>
  <c r="Q2087"/>
  <c r="Q48"/>
  <c r="Q360"/>
  <c r="Q736"/>
  <c r="Q1008"/>
  <c r="Q251"/>
  <c r="Q615"/>
  <c r="Q887"/>
  <c r="Q126"/>
  <c r="Q450"/>
  <c r="Q806"/>
  <c r="Q1090"/>
  <c r="Q205"/>
  <c r="Q541"/>
  <c r="Q825"/>
  <c r="Q1089"/>
  <c r="Q1293"/>
  <c r="Q1549"/>
  <c r="Q1809"/>
  <c r="Q2065"/>
  <c r="Q1296"/>
  <c r="Q1552"/>
  <c r="Q1812"/>
  <c r="Q2068"/>
  <c r="Q1299"/>
  <c r="Q1555"/>
  <c r="Q1815"/>
  <c r="Q1202"/>
  <c r="Q1470"/>
  <c r="Q1734"/>
  <c r="Q2002"/>
  <c r="Q2161"/>
  <c r="Q188"/>
  <c r="Q600"/>
  <c r="Q892"/>
  <c r="Q131"/>
  <c r="Q443"/>
  <c r="Q767"/>
  <c r="Q1027"/>
  <c r="Q286"/>
  <c r="Q674"/>
  <c r="Q950"/>
  <c r="Q89"/>
  <c r="Q365"/>
  <c r="Q709"/>
  <c r="Q965"/>
  <c r="Q1177"/>
  <c r="Q1433"/>
  <c r="Q1693"/>
  <c r="Q1949"/>
  <c r="Q1180"/>
  <c r="Q1436"/>
  <c r="Q1696"/>
  <c r="Q1952"/>
  <c r="Q1183"/>
  <c r="Q1439"/>
  <c r="Q1699"/>
  <c r="Q1955"/>
  <c r="Q1346"/>
  <c r="Q1618"/>
  <c r="Q1882"/>
  <c r="Q2123"/>
  <c r="Q72"/>
  <c r="Q396"/>
  <c r="Q760"/>
  <c r="Q1048"/>
  <c r="Q283"/>
  <c r="Q651"/>
  <c r="Q911"/>
  <c r="Q150"/>
  <c r="Q482"/>
  <c r="Q830"/>
  <c r="Q1114"/>
  <c r="Q229"/>
  <c r="Q581"/>
  <c r="Q849"/>
  <c r="Q1113"/>
  <c r="Q1317"/>
  <c r="Q1573"/>
  <c r="Q1833"/>
  <c r="Q2089"/>
  <c r="Q1320"/>
  <c r="Q1576"/>
  <c r="Q1836"/>
  <c r="Q2092"/>
  <c r="Q1323"/>
  <c r="Q1579"/>
  <c r="Q1839"/>
  <c r="Q1226"/>
  <c r="Q1494"/>
  <c r="Q1762"/>
  <c r="Q2050"/>
  <c r="Q2027"/>
  <c r="Q212"/>
  <c r="Q644"/>
  <c r="Q916"/>
  <c r="Q155"/>
  <c r="Q479"/>
  <c r="Q791"/>
  <c r="Q1067"/>
  <c r="Q330"/>
  <c r="Q702"/>
  <c r="Q974"/>
  <c r="Q113"/>
  <c r="Q417"/>
  <c r="Q733"/>
  <c r="Q989"/>
  <c r="Q1201"/>
  <c r="Q1457"/>
  <c r="Q1717"/>
  <c r="Q1973"/>
  <c r="Q1204"/>
  <c r="Q1460"/>
  <c r="Q1720"/>
  <c r="Q1976"/>
  <c r="Q1207"/>
  <c r="Q1463"/>
  <c r="Q1723"/>
  <c r="Q1979"/>
  <c r="Q1374"/>
  <c r="Q1642"/>
  <c r="Q1906"/>
  <c r="Q2022"/>
  <c r="Q77"/>
  <c r="Q1160"/>
  <c r="Q1940"/>
  <c r="Q1687"/>
  <c r="Q1606"/>
  <c r="Q2079"/>
  <c r="Q748"/>
  <c r="Q639"/>
  <c r="Q138"/>
  <c r="Q1102"/>
  <c r="Q561"/>
  <c r="Q1305"/>
  <c r="Q2077"/>
  <c r="Q1564"/>
  <c r="Q1311"/>
  <c r="Q1214"/>
  <c r="Q1746"/>
  <c r="Q2003"/>
  <c r="Q904"/>
  <c r="Q463"/>
  <c r="Q314"/>
  <c r="Q101"/>
  <c r="Q721"/>
  <c r="Q1445"/>
  <c r="Q1192"/>
  <c r="Q1708"/>
  <c r="Q1711"/>
  <c r="Q1630"/>
  <c r="Q84"/>
  <c r="Q1064"/>
  <c r="Q663"/>
  <c r="Q498"/>
  <c r="Q1126"/>
  <c r="Q861"/>
  <c r="Q1329"/>
  <c r="Q1845"/>
  <c r="Q1588"/>
  <c r="Q1335"/>
  <c r="Q1851"/>
  <c r="Q1774"/>
  <c r="Q136"/>
  <c r="Q214"/>
  <c r="Q309"/>
  <c r="Q1381"/>
  <c r="Q1384"/>
  <c r="Q1387"/>
  <c r="Q1558"/>
  <c r="Q2156"/>
  <c r="Q980"/>
  <c r="Q98"/>
  <c r="Q177"/>
  <c r="Q1265"/>
  <c r="Q1268"/>
  <c r="Q2040"/>
  <c r="Q1164"/>
  <c r="Q2146"/>
  <c r="Q96"/>
  <c r="Q448"/>
  <c r="Q788"/>
  <c r="Q39"/>
  <c r="Q319"/>
  <c r="Q675"/>
  <c r="Q935"/>
  <c r="Q174"/>
  <c r="Q530"/>
  <c r="Q858"/>
  <c r="Q1138"/>
  <c r="Q261"/>
  <c r="Q605"/>
  <c r="Q873"/>
  <c r="Q1137"/>
  <c r="Q1341"/>
  <c r="Q1601"/>
  <c r="Q1857"/>
  <c r="Q2113"/>
  <c r="Q1344"/>
  <c r="Q1600"/>
  <c r="Q1860"/>
  <c r="Q2124"/>
  <c r="Q1347"/>
  <c r="Q1603"/>
  <c r="Q1863"/>
  <c r="Q1250"/>
  <c r="Q1518"/>
  <c r="Q1786"/>
  <c r="Q2118"/>
  <c r="Q2075"/>
  <c r="Q236"/>
  <c r="Q668"/>
  <c r="Q940"/>
  <c r="Q179"/>
  <c r="Q511"/>
  <c r="Q815"/>
  <c r="Q58"/>
  <c r="Q354"/>
  <c r="Q726"/>
  <c r="Q998"/>
  <c r="Q137"/>
  <c r="Q457"/>
  <c r="Q757"/>
  <c r="Q1013"/>
  <c r="Q1225"/>
  <c r="Q1481"/>
  <c r="Q1741"/>
  <c r="Q1997"/>
  <c r="Q1228"/>
  <c r="Q1484"/>
  <c r="Q1744"/>
  <c r="Q2000"/>
  <c r="Q1231"/>
  <c r="Q1487"/>
  <c r="Q1747"/>
  <c r="Q1084"/>
  <c r="Q1398"/>
  <c r="Q1666"/>
  <c r="Q1930"/>
  <c r="Q2038"/>
  <c r="Q120"/>
  <c r="Q484"/>
  <c r="Q816"/>
  <c r="Q63"/>
  <c r="Q343"/>
  <c r="Q699"/>
  <c r="Q959"/>
  <c r="Q198"/>
  <c r="Q562"/>
  <c r="Q882"/>
  <c r="Q1162"/>
  <c r="Q285"/>
  <c r="Q641"/>
  <c r="Q897"/>
  <c r="Q1161"/>
  <c r="Q1365"/>
  <c r="Q1625"/>
  <c r="Q1881"/>
  <c r="Q2137"/>
  <c r="Q1368"/>
  <c r="Q1624"/>
  <c r="Q1884"/>
  <c r="Q2148"/>
  <c r="Q1371"/>
  <c r="Q1627"/>
  <c r="Q1887"/>
  <c r="Q1278"/>
  <c r="Q1542"/>
  <c r="Q1814"/>
  <c r="Q2159"/>
  <c r="Q2127"/>
  <c r="Q296"/>
  <c r="Q692"/>
  <c r="Q964"/>
  <c r="Q203"/>
  <c r="Q543"/>
  <c r="Q843"/>
  <c r="Q82"/>
  <c r="Q386"/>
  <c r="Q750"/>
  <c r="Q1034"/>
  <c r="Q161"/>
  <c r="Q493"/>
  <c r="Q781"/>
  <c r="Q1041"/>
  <c r="Q1249"/>
  <c r="Q1505"/>
  <c r="Q1765"/>
  <c r="Q2021"/>
  <c r="Q1252"/>
  <c r="Q1508"/>
  <c r="Q1768"/>
  <c r="Q2024"/>
  <c r="Q1255"/>
  <c r="Q1511"/>
  <c r="Q1771"/>
  <c r="Q1132"/>
  <c r="Q1426"/>
  <c r="Q1690"/>
  <c r="Q1954"/>
  <c r="Q2114"/>
  <c r="Q144"/>
  <c r="Q528"/>
  <c r="Q848"/>
  <c r="Q87"/>
  <c r="Q371"/>
  <c r="Q723"/>
  <c r="Q983"/>
  <c r="Q222"/>
  <c r="Q614"/>
  <c r="Q906"/>
  <c r="Q45"/>
  <c r="Q321"/>
  <c r="Q665"/>
  <c r="Q921"/>
  <c r="Q1091"/>
  <c r="Q1389"/>
  <c r="Q1649"/>
  <c r="Q1905"/>
  <c r="Q1096"/>
  <c r="Q1392"/>
  <c r="Q1652"/>
  <c r="Q1908"/>
  <c r="Q1103"/>
  <c r="Q1395"/>
  <c r="Q1655"/>
  <c r="Q1911"/>
  <c r="Q1302"/>
  <c r="Q1566"/>
  <c r="Q1838"/>
  <c r="Q2015"/>
  <c r="Q2164"/>
  <c r="Q332"/>
  <c r="Q716"/>
  <c r="Q988"/>
  <c r="Q227"/>
  <c r="Q583"/>
  <c r="Q867"/>
  <c r="Q106"/>
  <c r="Q418"/>
  <c r="Q782"/>
  <c r="Q1070"/>
  <c r="Q185"/>
  <c r="Q521"/>
  <c r="Q805"/>
  <c r="Q1069"/>
  <c r="Q1273"/>
  <c r="Q1529"/>
  <c r="Q1789"/>
  <c r="Q2045"/>
  <c r="Q1276"/>
  <c r="Q1532"/>
  <c r="Q1792"/>
  <c r="Q2048"/>
  <c r="Q1279"/>
  <c r="Q1535"/>
  <c r="Q1795"/>
  <c r="Q1178"/>
  <c r="Q1450"/>
  <c r="Q1714"/>
  <c r="Q1978"/>
  <c r="Q2130"/>
  <c r="Q168"/>
  <c r="Q568"/>
  <c r="Q872"/>
  <c r="Q111"/>
  <c r="Q407"/>
  <c r="Q747"/>
  <c r="Q1007"/>
  <c r="Q262"/>
  <c r="Q654"/>
  <c r="Q930"/>
  <c r="Q69"/>
  <c r="Q345"/>
  <c r="Q689"/>
  <c r="Q945"/>
  <c r="Q1139"/>
  <c r="Q1413"/>
  <c r="Q1673"/>
  <c r="Q1929"/>
  <c r="Q1144"/>
  <c r="Q1416"/>
  <c r="Q1676"/>
  <c r="Q1932"/>
  <c r="Q1151"/>
  <c r="Q1419"/>
  <c r="Q1679"/>
  <c r="Q1935"/>
  <c r="Q1326"/>
  <c r="Q1598"/>
  <c r="Q1862"/>
  <c r="Q2063"/>
  <c r="Q52"/>
  <c r="Q364"/>
  <c r="Q740"/>
  <c r="Q1012"/>
  <c r="Q255"/>
  <c r="Q627"/>
  <c r="Q891"/>
  <c r="Q130"/>
  <c r="Q462"/>
  <c r="Q810"/>
  <c r="Q1094"/>
  <c r="Q209"/>
  <c r="Q549"/>
  <c r="Q829"/>
  <c r="Q1093"/>
  <c r="Q1297"/>
  <c r="Q1553"/>
  <c r="Q1813"/>
  <c r="Q2069"/>
  <c r="Q1300"/>
  <c r="Q1556"/>
  <c r="Q1816"/>
  <c r="Q2072"/>
  <c r="Q1303"/>
  <c r="Q1559"/>
  <c r="Q1819"/>
  <c r="Q1206"/>
  <c r="Q1474"/>
  <c r="Q1738"/>
  <c r="Q2010"/>
  <c r="Q2019"/>
  <c r="Q192"/>
  <c r="Q612"/>
  <c r="Q896"/>
  <c r="Q135"/>
  <c r="Q455"/>
  <c r="Q771"/>
  <c r="Q1039"/>
  <c r="Q290"/>
  <c r="Q678"/>
  <c r="Q954"/>
  <c r="Q93"/>
  <c r="Q369"/>
  <c r="Q713"/>
  <c r="Q969"/>
  <c r="Q1181"/>
  <c r="Q1437"/>
  <c r="Q1697"/>
  <c r="Q1953"/>
  <c r="Q1184"/>
  <c r="Q1440"/>
  <c r="Q1700"/>
  <c r="Q1956"/>
  <c r="Q1187"/>
  <c r="Q1443"/>
  <c r="Q1703"/>
  <c r="Q1959"/>
  <c r="Q1354"/>
  <c r="Q1622"/>
  <c r="Q1886"/>
  <c r="Q2131"/>
  <c r="Q76"/>
  <c r="Q400"/>
  <c r="Q768"/>
  <c r="Q1052"/>
  <c r="Q291"/>
  <c r="Q655"/>
  <c r="Q915"/>
  <c r="Q154"/>
  <c r="Q490"/>
  <c r="Q834"/>
  <c r="Q1118"/>
  <c r="Q233"/>
  <c r="Q585"/>
  <c r="Q853"/>
  <c r="Q1117"/>
  <c r="Q1321"/>
  <c r="Q1577"/>
  <c r="Q1837"/>
  <c r="Q2093"/>
  <c r="Q1324"/>
  <c r="Q1580"/>
  <c r="Q1840"/>
  <c r="Q2100"/>
  <c r="Q1327"/>
  <c r="Q1583"/>
  <c r="Q1843"/>
  <c r="Q1230"/>
  <c r="Q1498"/>
  <c r="Q1766"/>
  <c r="Q2058"/>
  <c r="Q2035"/>
  <c r="Q216"/>
  <c r="Q648"/>
  <c r="Q920"/>
  <c r="Q159"/>
  <c r="Q483"/>
  <c r="Q795"/>
  <c r="Q38"/>
  <c r="Q334"/>
  <c r="Q706"/>
  <c r="Q978"/>
  <c r="Q117"/>
  <c r="Q421"/>
  <c r="Q737"/>
  <c r="Q993"/>
  <c r="Q1205"/>
  <c r="Q1461"/>
  <c r="Q1721"/>
  <c r="Q1977"/>
  <c r="Q1208"/>
  <c r="Q1464"/>
  <c r="Q1724"/>
  <c r="Q1980"/>
  <c r="Q1211"/>
  <c r="Q1467"/>
  <c r="Q1727"/>
  <c r="Q1983"/>
  <c r="Q1378"/>
  <c r="Q1646"/>
  <c r="Q1910"/>
  <c r="Q2166"/>
  <c r="Q100"/>
  <c r="Q452"/>
  <c r="Q796"/>
  <c r="Q43"/>
  <c r="Q323"/>
  <c r="Q679"/>
  <c r="Q939"/>
  <c r="Q178"/>
  <c r="Q534"/>
  <c r="Q862"/>
  <c r="Q1142"/>
  <c r="Q265"/>
  <c r="Q613"/>
  <c r="Q877"/>
  <c r="Q1141"/>
  <c r="Q1345"/>
  <c r="Q1605"/>
  <c r="Q1861"/>
  <c r="Q2117"/>
  <c r="Q1348"/>
  <c r="Q1604"/>
  <c r="Q1864"/>
  <c r="Q2128"/>
  <c r="Q1351"/>
  <c r="Q1607"/>
  <c r="Q1867"/>
  <c r="Q1258"/>
  <c r="Q1522"/>
  <c r="Q1790"/>
  <c r="Q2126"/>
  <c r="Q2119"/>
  <c r="Q248"/>
  <c r="Q672"/>
  <c r="Q944"/>
  <c r="Q183"/>
  <c r="Q515"/>
  <c r="Q819"/>
  <c r="Q62"/>
  <c r="Q358"/>
  <c r="Q730"/>
  <c r="Q1002"/>
  <c r="Q141"/>
  <c r="Q465"/>
  <c r="Q761"/>
  <c r="Q1017"/>
  <c r="Q1229"/>
  <c r="Q1485"/>
  <c r="Q1745"/>
  <c r="Q2001"/>
  <c r="Q1232"/>
  <c r="Q1488"/>
  <c r="Q1748"/>
  <c r="Q2004"/>
  <c r="Q1235"/>
  <c r="Q1491"/>
  <c r="Q1751"/>
  <c r="Q1092"/>
  <c r="Q1402"/>
  <c r="Q1670"/>
  <c r="Q1934"/>
  <c r="Q2046"/>
  <c r="Q124"/>
  <c r="Q488"/>
  <c r="Q820"/>
  <c r="Q67"/>
  <c r="Q347"/>
  <c r="Q703"/>
  <c r="Q963"/>
  <c r="Q202"/>
  <c r="Q570"/>
  <c r="Q886"/>
  <c r="Q1166"/>
  <c r="Q289"/>
  <c r="Q645"/>
  <c r="Q901"/>
  <c r="Q1165"/>
  <c r="Q1369"/>
  <c r="Q1629"/>
  <c r="Q1885"/>
  <c r="Q2141"/>
  <c r="Q1372"/>
  <c r="Q1628"/>
  <c r="Q1888"/>
  <c r="Q2152"/>
  <c r="Q1375"/>
  <c r="Q1631"/>
  <c r="Q1891"/>
  <c r="Q1282"/>
  <c r="Q1546"/>
  <c r="Q1818"/>
  <c r="Q2163"/>
  <c r="Q2135"/>
  <c r="Q300"/>
  <c r="Q696"/>
  <c r="Q968"/>
  <c r="Q207"/>
  <c r="Q547"/>
  <c r="Q847"/>
  <c r="Q86"/>
  <c r="Q390"/>
  <c r="Q758"/>
  <c r="Q1038"/>
  <c r="Q165"/>
  <c r="Q497"/>
  <c r="Q785"/>
  <c r="Q1045"/>
  <c r="Q1253"/>
  <c r="Q1509"/>
  <c r="Q1769"/>
  <c r="Q2025"/>
  <c r="Q1256"/>
  <c r="Q1512"/>
  <c r="Q1772"/>
  <c r="Q2028"/>
  <c r="Q1259"/>
  <c r="Q1515"/>
  <c r="Q1775"/>
  <c r="Q1140"/>
  <c r="Q1430"/>
  <c r="Q1694"/>
  <c r="Q1958"/>
  <c r="Q2062"/>
  <c r="Q148"/>
  <c r="Q532"/>
  <c r="Q852"/>
  <c r="Q91"/>
  <c r="Q375"/>
  <c r="Q727"/>
  <c r="Q987"/>
  <c r="Q226"/>
  <c r="Q626"/>
  <c r="Q910"/>
  <c r="Q49"/>
  <c r="Q325"/>
  <c r="Q669"/>
  <c r="Q925"/>
  <c r="Q1099"/>
  <c r="Q1393"/>
  <c r="Q1653"/>
  <c r="Q1909"/>
  <c r="Q1104"/>
  <c r="Q1396"/>
  <c r="Q1656"/>
  <c r="Q1912"/>
  <c r="Q1111"/>
  <c r="Q1399"/>
  <c r="Q1659"/>
  <c r="Q1915"/>
  <c r="Q1306"/>
  <c r="Q1570"/>
  <c r="Q1842"/>
  <c r="Q2055"/>
  <c r="Q1986"/>
  <c r="Q427"/>
  <c r="Q1015"/>
  <c r="Q274"/>
  <c r="Q938"/>
  <c r="Q353"/>
  <c r="Q953"/>
  <c r="Q1155"/>
  <c r="Q1421"/>
  <c r="Q1937"/>
  <c r="Q1684"/>
  <c r="Q1427"/>
  <c r="Q1334"/>
  <c r="Q1870"/>
  <c r="Q376"/>
  <c r="Q267"/>
  <c r="Q899"/>
  <c r="Q818"/>
  <c r="Q217"/>
  <c r="Q1101"/>
  <c r="Q1561"/>
  <c r="Q1308"/>
  <c r="Q2080"/>
  <c r="Q1827"/>
  <c r="Q2026"/>
  <c r="Q200"/>
  <c r="Q143"/>
  <c r="Q1055"/>
  <c r="Q690"/>
  <c r="Q385"/>
  <c r="Q977"/>
  <c r="Q1705"/>
  <c r="Q1448"/>
  <c r="Q1195"/>
  <c r="Q1451"/>
  <c r="Q1362"/>
  <c r="Q2147"/>
  <c r="Q776"/>
  <c r="Q299"/>
  <c r="Q162"/>
  <c r="Q846"/>
  <c r="Q593"/>
  <c r="Q1585"/>
  <c r="Q1332"/>
  <c r="Q1848"/>
  <c r="Q1591"/>
  <c r="Q1238"/>
  <c r="Q2074"/>
  <c r="Q2070"/>
  <c r="Q715"/>
  <c r="Q898"/>
  <c r="Q913"/>
  <c r="Q1641"/>
  <c r="Q1644"/>
  <c r="Q1647"/>
  <c r="Q1830"/>
  <c r="Q708"/>
  <c r="Q219"/>
  <c r="Q402"/>
  <c r="Q513"/>
  <c r="Q1521"/>
  <c r="Q1524"/>
  <c r="Q1527"/>
  <c r="Q1442"/>
  <c r="AB2169" i="8"/>
  <c r="Q28" i="2"/>
  <c r="U28" s="1"/>
  <c r="Q29"/>
  <c r="U29" s="1"/>
  <c r="Q30"/>
  <c r="U30" s="1"/>
  <c r="Q31"/>
  <c r="U31" s="1"/>
  <c r="Q32"/>
  <c r="U32" s="1"/>
  <c r="Q33"/>
  <c r="U33" s="1"/>
  <c r="Q34"/>
  <c r="U34" s="1"/>
  <c r="Q21"/>
  <c r="U21" s="1"/>
  <c r="Q22"/>
  <c r="U22" s="1"/>
  <c r="Q23"/>
  <c r="U23" s="1"/>
  <c r="Q24"/>
  <c r="U24" s="1"/>
  <c r="Q25"/>
  <c r="U25" s="1"/>
  <c r="Q26"/>
  <c r="U26" s="1"/>
  <c r="Q27"/>
  <c r="U27" s="1"/>
  <c r="B39" i="3" a="1"/>
  <c r="B39" s="1"/>
  <c r="Q10" i="2"/>
  <c r="U10" s="1"/>
  <c r="Q15"/>
  <c r="U15" s="1"/>
  <c r="Q9"/>
  <c r="U9" s="1"/>
  <c r="Q14"/>
  <c r="U14" s="1"/>
  <c r="Q16"/>
  <c r="U16" s="1"/>
  <c r="Q6"/>
  <c r="U6" s="1"/>
  <c r="Q18"/>
  <c r="U18" s="1"/>
  <c r="Q20"/>
  <c r="U20" s="1"/>
  <c r="Q5"/>
  <c r="Q13"/>
  <c r="U13" s="1"/>
  <c r="Q7"/>
  <c r="U7" s="1"/>
  <c r="Q17"/>
  <c r="U17" s="1"/>
  <c r="Q19"/>
  <c r="U19" s="1"/>
  <c r="Q11"/>
  <c r="U11" s="1"/>
  <c r="Q8"/>
  <c r="U8" s="1"/>
  <c r="Q12"/>
  <c r="U12" s="1"/>
  <c r="AJ46" i="8" l="1"/>
  <c r="AJ48"/>
  <c r="AJ52"/>
  <c r="AJ56"/>
  <c r="AJ60"/>
  <c r="AJ64"/>
  <c r="AJ68"/>
  <c r="AJ72"/>
  <c r="AJ76"/>
  <c r="AJ79"/>
  <c r="AJ82"/>
  <c r="AJ86"/>
  <c r="AJ90"/>
  <c r="AJ94"/>
  <c r="AJ98"/>
  <c r="AJ102"/>
  <c r="AJ106"/>
  <c r="AJ110"/>
  <c r="AJ114"/>
  <c r="AJ118"/>
  <c r="AJ122"/>
  <c r="AJ126"/>
  <c r="AJ130"/>
  <c r="AJ134"/>
  <c r="AJ138"/>
  <c r="AJ142"/>
  <c r="AJ146"/>
  <c r="AJ150"/>
  <c r="AJ154"/>
  <c r="AJ158"/>
  <c r="AJ162"/>
  <c r="AJ166"/>
  <c r="AJ170"/>
  <c r="AJ174"/>
  <c r="AJ178"/>
  <c r="AJ182"/>
  <c r="AJ186"/>
  <c r="AJ190"/>
  <c r="AJ194"/>
  <c r="AJ198"/>
  <c r="AJ202"/>
  <c r="AJ206"/>
  <c r="AJ210"/>
  <c r="AJ214"/>
  <c r="AJ218"/>
  <c r="AJ222"/>
  <c r="AJ226"/>
  <c r="AJ230"/>
  <c r="AJ234"/>
  <c r="AJ238"/>
  <c r="AJ242"/>
  <c r="AJ246"/>
  <c r="AJ250"/>
  <c r="AJ254"/>
  <c r="AJ258"/>
  <c r="AJ262"/>
  <c r="AJ266"/>
  <c r="AJ270"/>
  <c r="AJ274"/>
  <c r="AJ278"/>
  <c r="AJ282"/>
  <c r="AJ286"/>
  <c r="AJ290"/>
  <c r="AJ294"/>
  <c r="AJ298"/>
  <c r="AJ302"/>
  <c r="AJ306"/>
  <c r="AJ310"/>
  <c r="AJ314"/>
  <c r="AJ318"/>
  <c r="AJ322"/>
  <c r="AJ326"/>
  <c r="AJ330"/>
  <c r="AJ334"/>
  <c r="AJ338"/>
  <c r="AJ342"/>
  <c r="AJ346"/>
  <c r="AJ350"/>
  <c r="AJ354"/>
  <c r="AJ358"/>
  <c r="AJ362"/>
  <c r="AJ366"/>
  <c r="AJ370"/>
  <c r="AJ374"/>
  <c r="AJ378"/>
  <c r="AJ382"/>
  <c r="AJ386"/>
  <c r="AJ390"/>
  <c r="AJ394"/>
  <c r="AJ398"/>
  <c r="AJ402"/>
  <c r="AJ406"/>
  <c r="AJ410"/>
  <c r="AJ414"/>
  <c r="AJ418"/>
  <c r="AJ422"/>
  <c r="AJ426"/>
  <c r="AJ430"/>
  <c r="AJ434"/>
  <c r="AJ438"/>
  <c r="AJ442"/>
  <c r="AJ446"/>
  <c r="AJ450"/>
  <c r="AJ454"/>
  <c r="AJ458"/>
  <c r="AJ462"/>
  <c r="AJ466"/>
  <c r="AJ470"/>
  <c r="AJ474"/>
  <c r="AJ478"/>
  <c r="AJ482"/>
  <c r="AJ486"/>
  <c r="AJ490"/>
  <c r="AJ494"/>
  <c r="AJ498"/>
  <c r="AJ502"/>
  <c r="AJ506"/>
  <c r="AJ510"/>
  <c r="AJ514"/>
  <c r="AJ518"/>
  <c r="AJ522"/>
  <c r="AJ526"/>
  <c r="AJ530"/>
  <c r="AJ534"/>
  <c r="AJ538"/>
  <c r="AJ542"/>
  <c r="AJ546"/>
  <c r="AJ550"/>
  <c r="AJ554"/>
  <c r="AJ558"/>
  <c r="AJ562"/>
  <c r="AJ566"/>
  <c r="AJ570"/>
  <c r="AJ574"/>
  <c r="AJ578"/>
  <c r="AJ582"/>
  <c r="AJ586"/>
  <c r="AJ590"/>
  <c r="AJ594"/>
  <c r="AJ598"/>
  <c r="AJ602"/>
  <c r="AJ606"/>
  <c r="AJ610"/>
  <c r="AJ614"/>
  <c r="AJ618"/>
  <c r="AJ622"/>
  <c r="AJ626"/>
  <c r="AJ630"/>
  <c r="AJ634"/>
  <c r="AJ638"/>
  <c r="AJ642"/>
  <c r="AJ646"/>
  <c r="AJ650"/>
  <c r="AJ654"/>
  <c r="AJ658"/>
  <c r="AJ662"/>
  <c r="AJ666"/>
  <c r="AJ670"/>
  <c r="AJ674"/>
  <c r="AJ678"/>
  <c r="AJ682"/>
  <c r="AJ686"/>
  <c r="AJ690"/>
  <c r="AJ694"/>
  <c r="AJ698"/>
  <c r="AJ702"/>
  <c r="AJ706"/>
  <c r="AJ710"/>
  <c r="AJ714"/>
  <c r="AJ718"/>
  <c r="AJ722"/>
  <c r="AJ726"/>
  <c r="AJ729"/>
  <c r="AJ733"/>
  <c r="AJ737"/>
  <c r="AJ741"/>
  <c r="AJ745"/>
  <c r="AJ749"/>
  <c r="AJ753"/>
  <c r="AJ757"/>
  <c r="AJ761"/>
  <c r="AJ765"/>
  <c r="AJ769"/>
  <c r="AJ773"/>
  <c r="AJ777"/>
  <c r="AJ781"/>
  <c r="AJ785"/>
  <c r="AJ789"/>
  <c r="AJ793"/>
  <c r="AJ797"/>
  <c r="AJ801"/>
  <c r="AJ805"/>
  <c r="AJ809"/>
  <c r="AJ813"/>
  <c r="AJ817"/>
  <c r="AJ821"/>
  <c r="AJ825"/>
  <c r="AJ829"/>
  <c r="AJ833"/>
  <c r="AJ837"/>
  <c r="AJ841"/>
  <c r="AJ845"/>
  <c r="AJ849"/>
  <c r="AJ853"/>
  <c r="AJ857"/>
  <c r="AJ861"/>
  <c r="AJ865"/>
  <c r="AJ869"/>
  <c r="AJ873"/>
  <c r="AJ877"/>
  <c r="AJ881"/>
  <c r="AJ885"/>
  <c r="AJ889"/>
  <c r="AJ893"/>
  <c r="AJ897"/>
  <c r="AJ901"/>
  <c r="AJ905"/>
  <c r="AJ909"/>
  <c r="AJ913"/>
  <c r="AJ917"/>
  <c r="AJ921"/>
  <c r="AJ925"/>
  <c r="AJ929"/>
  <c r="AJ933"/>
  <c r="AJ937"/>
  <c r="AJ941"/>
  <c r="AJ945"/>
  <c r="AJ949"/>
  <c r="AJ953"/>
  <c r="AJ957"/>
  <c r="AJ961"/>
  <c r="AJ965"/>
  <c r="AJ969"/>
  <c r="AJ973"/>
  <c r="AJ976"/>
  <c r="AJ980"/>
  <c r="AJ984"/>
  <c r="AJ988"/>
  <c r="AJ992"/>
  <c r="AJ996"/>
  <c r="AJ1000"/>
  <c r="AJ1004"/>
  <c r="AJ1008"/>
  <c r="AJ1012"/>
  <c r="AJ1016"/>
  <c r="AJ1020"/>
  <c r="AJ1024"/>
  <c r="AJ1028"/>
  <c r="AJ1032"/>
  <c r="AJ1036"/>
  <c r="AJ1040"/>
  <c r="AJ1044"/>
  <c r="AJ1048"/>
  <c r="AJ1052"/>
  <c r="AJ1056"/>
  <c r="AJ1060"/>
  <c r="AJ1064"/>
  <c r="AJ1068"/>
  <c r="AJ1072"/>
  <c r="AJ1076"/>
  <c r="AJ1080"/>
  <c r="AJ1084"/>
  <c r="AJ1088"/>
  <c r="AJ1092"/>
  <c r="AJ1096"/>
  <c r="AJ1100"/>
  <c r="AJ1104"/>
  <c r="AJ1108"/>
  <c r="AJ1112"/>
  <c r="AJ1116"/>
  <c r="AJ1120"/>
  <c r="AJ1124"/>
  <c r="AJ1128"/>
  <c r="AJ1132"/>
  <c r="AJ1136"/>
  <c r="AJ1140"/>
  <c r="AJ1144"/>
  <c r="AJ1148"/>
  <c r="AJ1152"/>
  <c r="AJ1156"/>
  <c r="AJ1160"/>
  <c r="AJ1164"/>
  <c r="AJ1168"/>
  <c r="AJ1172"/>
  <c r="AJ1176"/>
  <c r="AJ1180"/>
  <c r="AJ1184"/>
  <c r="AJ1188"/>
  <c r="AJ1192"/>
  <c r="AJ1196"/>
  <c r="AJ1200"/>
  <c r="AJ1204"/>
  <c r="AJ1208"/>
  <c r="AJ1212"/>
  <c r="AJ1216"/>
  <c r="AJ1220"/>
  <c r="AJ1224"/>
  <c r="AJ1228"/>
  <c r="AJ1232"/>
  <c r="AJ1236"/>
  <c r="AJ1240"/>
  <c r="AJ1244"/>
  <c r="AJ1248"/>
  <c r="AJ1252"/>
  <c r="AJ1256"/>
  <c r="AJ1260"/>
  <c r="AJ1264"/>
  <c r="AJ1268"/>
  <c r="AJ1272"/>
  <c r="AJ1275"/>
  <c r="AJ1279"/>
  <c r="AJ1283"/>
  <c r="AJ1287"/>
  <c r="AJ1291"/>
  <c r="AJ1295"/>
  <c r="AJ1299"/>
  <c r="AJ1303"/>
  <c r="AJ1307"/>
  <c r="AJ1311"/>
  <c r="AJ1315"/>
  <c r="AJ1319"/>
  <c r="AJ1323"/>
  <c r="AJ1327"/>
  <c r="AJ1331"/>
  <c r="AJ1335"/>
  <c r="AJ1339"/>
  <c r="AJ1343"/>
  <c r="AJ1347"/>
  <c r="AJ1351"/>
  <c r="AJ1355"/>
  <c r="AJ1359"/>
  <c r="AJ1363"/>
  <c r="AJ1367"/>
  <c r="AJ1371"/>
  <c r="AJ1375"/>
  <c r="AJ1379"/>
  <c r="AJ1383"/>
  <c r="AJ1387"/>
  <c r="AJ1391"/>
  <c r="AJ1395"/>
  <c r="AJ1399"/>
  <c r="AJ1403"/>
  <c r="AJ1407"/>
  <c r="AJ1411"/>
  <c r="AJ1415"/>
  <c r="AJ1419"/>
  <c r="AJ1423"/>
  <c r="AJ1427"/>
  <c r="AJ1431"/>
  <c r="AJ1435"/>
  <c r="AJ1439"/>
  <c r="AJ1443"/>
  <c r="AJ1447"/>
  <c r="AJ1451"/>
  <c r="AJ1455"/>
  <c r="AJ1459"/>
  <c r="AJ1463"/>
  <c r="AJ1467"/>
  <c r="AJ1471"/>
  <c r="AJ1475"/>
  <c r="AJ1479"/>
  <c r="AJ1483"/>
  <c r="AJ1487"/>
  <c r="AJ1491"/>
  <c r="AJ1495"/>
  <c r="AJ1499"/>
  <c r="AJ1503"/>
  <c r="AJ1507"/>
  <c r="AJ1511"/>
  <c r="AJ1515"/>
  <c r="AJ1519"/>
  <c r="AJ1523"/>
  <c r="AJ1527"/>
  <c r="AJ1531"/>
  <c r="AJ1535"/>
  <c r="AJ1539"/>
  <c r="AJ1543"/>
  <c r="AJ1547"/>
  <c r="AJ1551"/>
  <c r="AJ1555"/>
  <c r="AJ1559"/>
  <c r="AJ1563"/>
  <c r="AJ1567"/>
  <c r="AJ1571"/>
  <c r="AJ1575"/>
  <c r="AJ1579"/>
  <c r="AJ1583"/>
  <c r="AJ1587"/>
  <c r="AJ1591"/>
  <c r="AJ1595"/>
  <c r="AJ1599"/>
  <c r="AJ1603"/>
  <c r="AJ1607"/>
  <c r="AJ1611"/>
  <c r="AJ1615"/>
  <c r="AJ1619"/>
  <c r="AJ1622"/>
  <c r="AJ1626"/>
  <c r="AJ1630"/>
  <c r="AJ1634"/>
  <c r="AJ1638"/>
  <c r="AJ1642"/>
  <c r="AJ1646"/>
  <c r="AJ1650"/>
  <c r="AJ1654"/>
  <c r="AJ1658"/>
  <c r="AJ1662"/>
  <c r="AJ1666"/>
  <c r="AJ1670"/>
  <c r="AJ1674"/>
  <c r="AJ1678"/>
  <c r="AJ1682"/>
  <c r="AJ1686"/>
  <c r="AJ1690"/>
  <c r="AJ1694"/>
  <c r="AJ1698"/>
  <c r="AJ1702"/>
  <c r="AJ1706"/>
  <c r="AJ1710"/>
  <c r="AJ1714"/>
  <c r="AJ1718"/>
  <c r="AJ1722"/>
  <c r="AJ1726"/>
  <c r="AJ1730"/>
  <c r="AJ1733"/>
  <c r="AJ1737"/>
  <c r="AJ1741"/>
  <c r="AJ1745"/>
  <c r="AJ1749"/>
  <c r="AJ1753"/>
  <c r="AJ1757"/>
  <c r="AJ1761"/>
  <c r="AJ1765"/>
  <c r="AJ1769"/>
  <c r="AJ1773"/>
  <c r="AJ1777"/>
  <c r="AJ1781"/>
  <c r="AJ1785"/>
  <c r="AJ1789"/>
  <c r="AJ1793"/>
  <c r="AJ1797"/>
  <c r="AJ1801"/>
  <c r="AJ1805"/>
  <c r="AJ1809"/>
  <c r="AJ1813"/>
  <c r="AJ1817"/>
  <c r="AJ1821"/>
  <c r="AJ1825"/>
  <c r="AJ1829"/>
  <c r="AJ1833"/>
  <c r="AJ1837"/>
  <c r="AJ1841"/>
  <c r="AJ1844"/>
  <c r="AJ1848"/>
  <c r="AJ1852"/>
  <c r="AJ1856"/>
  <c r="AJ1859"/>
  <c r="AJ1863"/>
  <c r="AJ1867"/>
  <c r="AJ1871"/>
  <c r="AJ1875"/>
  <c r="AJ1879"/>
  <c r="AJ1883"/>
  <c r="AJ1887"/>
  <c r="AJ1891"/>
  <c r="AJ1895"/>
  <c r="AJ1899"/>
  <c r="AJ1903"/>
  <c r="AJ1907"/>
  <c r="AJ1911"/>
  <c r="AJ1915"/>
  <c r="AJ1919"/>
  <c r="AJ1923"/>
  <c r="AJ1927"/>
  <c r="AJ1930"/>
  <c r="AJ1934"/>
  <c r="AJ1938"/>
  <c r="AJ1941"/>
  <c r="AJ1945"/>
  <c r="AJ1949"/>
  <c r="AJ1953"/>
  <c r="AJ1957"/>
  <c r="AJ1961"/>
  <c r="AJ1965"/>
  <c r="AJ1969"/>
  <c r="AJ1973"/>
  <c r="AJ1977"/>
  <c r="AJ1981"/>
  <c r="AJ1985"/>
  <c r="AJ1989"/>
  <c r="AJ47"/>
  <c r="AJ51"/>
  <c r="AJ55"/>
  <c r="AJ59"/>
  <c r="AJ63"/>
  <c r="AJ67"/>
  <c r="AJ71"/>
  <c r="AJ75"/>
  <c r="AJ78"/>
  <c r="AJ15"/>
  <c r="AJ85"/>
  <c r="AJ89"/>
  <c r="AJ93"/>
  <c r="AJ97"/>
  <c r="AJ101"/>
  <c r="AJ105"/>
  <c r="AJ109"/>
  <c r="AJ113"/>
  <c r="AJ117"/>
  <c r="AJ121"/>
  <c r="AJ125"/>
  <c r="AJ129"/>
  <c r="AJ133"/>
  <c r="AJ137"/>
  <c r="AJ141"/>
  <c r="AJ145"/>
  <c r="AJ149"/>
  <c r="AJ153"/>
  <c r="AJ157"/>
  <c r="AJ161"/>
  <c r="AJ165"/>
  <c r="AJ169"/>
  <c r="AJ173"/>
  <c r="AJ177"/>
  <c r="AJ181"/>
  <c r="AJ185"/>
  <c r="AJ189"/>
  <c r="AJ193"/>
  <c r="AJ197"/>
  <c r="AJ201"/>
  <c r="AJ205"/>
  <c r="AJ209"/>
  <c r="AJ213"/>
  <c r="AJ217"/>
  <c r="AJ221"/>
  <c r="AJ225"/>
  <c r="AJ229"/>
  <c r="AJ233"/>
  <c r="AJ237"/>
  <c r="AJ241"/>
  <c r="AJ245"/>
  <c r="AJ249"/>
  <c r="AJ253"/>
  <c r="AJ257"/>
  <c r="AJ261"/>
  <c r="AJ265"/>
  <c r="AJ269"/>
  <c r="AJ273"/>
  <c r="AJ277"/>
  <c r="AJ281"/>
  <c r="AJ285"/>
  <c r="AJ289"/>
  <c r="AJ293"/>
  <c r="AJ297"/>
  <c r="AJ301"/>
  <c r="AJ305"/>
  <c r="AJ309"/>
  <c r="AJ313"/>
  <c r="AJ317"/>
  <c r="AJ321"/>
  <c r="AJ325"/>
  <c r="AJ329"/>
  <c r="AJ333"/>
  <c r="AJ337"/>
  <c r="AJ341"/>
  <c r="AJ345"/>
  <c r="AJ349"/>
  <c r="AJ353"/>
  <c r="AJ357"/>
  <c r="AJ361"/>
  <c r="AJ365"/>
  <c r="AJ369"/>
  <c r="AJ373"/>
  <c r="AJ377"/>
  <c r="AJ381"/>
  <c r="AJ385"/>
  <c r="AJ389"/>
  <c r="AJ393"/>
  <c r="AJ397"/>
  <c r="AJ401"/>
  <c r="AJ405"/>
  <c r="AJ409"/>
  <c r="AJ413"/>
  <c r="AJ417"/>
  <c r="AJ421"/>
  <c r="AJ425"/>
  <c r="AJ429"/>
  <c r="AJ49"/>
  <c r="AJ53"/>
  <c r="AJ57"/>
  <c r="AJ61"/>
  <c r="AJ65"/>
  <c r="AJ69"/>
  <c r="AJ73"/>
  <c r="AJ9"/>
  <c r="AJ80"/>
  <c r="AJ83"/>
  <c r="AJ87"/>
  <c r="AJ91"/>
  <c r="AJ95"/>
  <c r="AJ99"/>
  <c r="AJ103"/>
  <c r="AJ107"/>
  <c r="AJ111"/>
  <c r="AJ115"/>
  <c r="AJ119"/>
  <c r="AJ123"/>
  <c r="AJ127"/>
  <c r="AJ131"/>
  <c r="AJ135"/>
  <c r="AJ139"/>
  <c r="AJ143"/>
  <c r="AJ147"/>
  <c r="AJ151"/>
  <c r="AJ155"/>
  <c r="AJ159"/>
  <c r="AJ163"/>
  <c r="AJ167"/>
  <c r="AJ171"/>
  <c r="AJ175"/>
  <c r="AJ179"/>
  <c r="AJ183"/>
  <c r="AJ187"/>
  <c r="AJ191"/>
  <c r="AJ195"/>
  <c r="AJ199"/>
  <c r="AJ203"/>
  <c r="AJ207"/>
  <c r="AJ211"/>
  <c r="AJ215"/>
  <c r="AJ219"/>
  <c r="AJ223"/>
  <c r="AJ227"/>
  <c r="AJ231"/>
  <c r="AJ235"/>
  <c r="AJ239"/>
  <c r="AJ243"/>
  <c r="AJ247"/>
  <c r="AJ251"/>
  <c r="AJ255"/>
  <c r="AJ259"/>
  <c r="AJ263"/>
  <c r="AJ267"/>
  <c r="AJ271"/>
  <c r="AJ275"/>
  <c r="AJ279"/>
  <c r="AJ283"/>
  <c r="AJ287"/>
  <c r="AJ291"/>
  <c r="AJ295"/>
  <c r="AJ299"/>
  <c r="AJ303"/>
  <c r="AJ307"/>
  <c r="AJ311"/>
  <c r="AJ315"/>
  <c r="AJ319"/>
  <c r="AJ323"/>
  <c r="AJ327"/>
  <c r="AJ331"/>
  <c r="AJ335"/>
  <c r="AJ339"/>
  <c r="AJ343"/>
  <c r="AJ347"/>
  <c r="AJ351"/>
  <c r="AJ355"/>
  <c r="AJ359"/>
  <c r="AJ363"/>
  <c r="AJ367"/>
  <c r="AJ371"/>
  <c r="AJ375"/>
  <c r="AJ379"/>
  <c r="AJ383"/>
  <c r="AJ387"/>
  <c r="AJ391"/>
  <c r="AJ395"/>
  <c r="AJ399"/>
  <c r="AJ403"/>
  <c r="AJ407"/>
  <c r="AJ411"/>
  <c r="AJ415"/>
  <c r="AJ419"/>
  <c r="AJ423"/>
  <c r="AJ427"/>
  <c r="AJ431"/>
  <c r="AJ435"/>
  <c r="AJ439"/>
  <c r="AJ443"/>
  <c r="AJ447"/>
  <c r="AJ451"/>
  <c r="AJ455"/>
  <c r="AJ459"/>
  <c r="AJ463"/>
  <c r="AJ467"/>
  <c r="AJ471"/>
  <c r="AJ475"/>
  <c r="AJ479"/>
  <c r="AJ483"/>
  <c r="AJ487"/>
  <c r="AJ491"/>
  <c r="AJ495"/>
  <c r="AJ499"/>
  <c r="AJ503"/>
  <c r="AJ507"/>
  <c r="AJ511"/>
  <c r="AJ515"/>
  <c r="AJ519"/>
  <c r="AJ523"/>
  <c r="AJ527"/>
  <c r="AJ531"/>
  <c r="AJ535"/>
  <c r="AJ539"/>
  <c r="AJ543"/>
  <c r="AJ547"/>
  <c r="AJ551"/>
  <c r="AJ555"/>
  <c r="AJ559"/>
  <c r="AJ563"/>
  <c r="AJ567"/>
  <c r="AJ571"/>
  <c r="AJ575"/>
  <c r="AJ579"/>
  <c r="AJ583"/>
  <c r="AJ587"/>
  <c r="AJ591"/>
  <c r="AJ595"/>
  <c r="AJ599"/>
  <c r="AJ603"/>
  <c r="AJ607"/>
  <c r="AJ611"/>
  <c r="AJ615"/>
  <c r="AJ619"/>
  <c r="AJ623"/>
  <c r="AJ627"/>
  <c r="AJ631"/>
  <c r="AJ635"/>
  <c r="AJ639"/>
  <c r="AJ643"/>
  <c r="AJ647"/>
  <c r="AJ651"/>
  <c r="AJ655"/>
  <c r="AJ659"/>
  <c r="AJ663"/>
  <c r="AJ667"/>
  <c r="AJ671"/>
  <c r="AJ675"/>
  <c r="AJ679"/>
  <c r="AJ683"/>
  <c r="AJ687"/>
  <c r="AJ691"/>
  <c r="AJ695"/>
  <c r="AJ699"/>
  <c r="AJ703"/>
  <c r="AJ707"/>
  <c r="AJ711"/>
  <c r="AJ715"/>
  <c r="AJ719"/>
  <c r="AJ723"/>
  <c r="AJ14"/>
  <c r="AJ730"/>
  <c r="AJ734"/>
  <c r="AJ738"/>
  <c r="AJ742"/>
  <c r="AJ746"/>
  <c r="AJ750"/>
  <c r="AJ754"/>
  <c r="AJ758"/>
  <c r="AJ762"/>
  <c r="AJ766"/>
  <c r="AJ770"/>
  <c r="AJ774"/>
  <c r="AJ778"/>
  <c r="AJ782"/>
  <c r="AJ786"/>
  <c r="AJ790"/>
  <c r="AJ794"/>
  <c r="AJ798"/>
  <c r="AJ802"/>
  <c r="AJ806"/>
  <c r="AJ810"/>
  <c r="AJ814"/>
  <c r="AJ818"/>
  <c r="AJ822"/>
  <c r="AJ826"/>
  <c r="AJ830"/>
  <c r="AJ834"/>
  <c r="AJ838"/>
  <c r="AJ842"/>
  <c r="AJ846"/>
  <c r="AJ850"/>
  <c r="AJ854"/>
  <c r="AJ858"/>
  <c r="AJ862"/>
  <c r="AJ866"/>
  <c r="AJ870"/>
  <c r="AJ874"/>
  <c r="AJ878"/>
  <c r="AJ882"/>
  <c r="AJ886"/>
  <c r="AJ890"/>
  <c r="AJ894"/>
  <c r="AJ898"/>
  <c r="AJ902"/>
  <c r="AJ906"/>
  <c r="AJ910"/>
  <c r="AJ914"/>
  <c r="AJ918"/>
  <c r="AJ922"/>
  <c r="AJ926"/>
  <c r="AJ930"/>
  <c r="AJ934"/>
  <c r="AJ938"/>
  <c r="AJ942"/>
  <c r="AJ946"/>
  <c r="AJ950"/>
  <c r="AJ954"/>
  <c r="AJ958"/>
  <c r="AJ962"/>
  <c r="AJ966"/>
  <c r="AJ970"/>
  <c r="AJ6"/>
  <c r="AJ977"/>
  <c r="AJ981"/>
  <c r="AJ985"/>
  <c r="AJ989"/>
  <c r="AJ993"/>
  <c r="AJ997"/>
  <c r="AJ1001"/>
  <c r="AJ1005"/>
  <c r="AJ1009"/>
  <c r="AJ1013"/>
  <c r="AJ1017"/>
  <c r="AJ1021"/>
  <c r="AJ1025"/>
  <c r="AJ1029"/>
  <c r="AJ1033"/>
  <c r="AJ1037"/>
  <c r="AJ1041"/>
  <c r="AJ1045"/>
  <c r="AJ1049"/>
  <c r="AJ1053"/>
  <c r="AJ1057"/>
  <c r="AJ1061"/>
  <c r="AJ1065"/>
  <c r="AJ1069"/>
  <c r="AJ1073"/>
  <c r="AJ1077"/>
  <c r="AJ1081"/>
  <c r="AJ1085"/>
  <c r="AJ1089"/>
  <c r="AJ1093"/>
  <c r="AJ1097"/>
  <c r="AJ1101"/>
  <c r="AJ1105"/>
  <c r="AJ1109"/>
  <c r="AJ1113"/>
  <c r="AJ1117"/>
  <c r="AJ1121"/>
  <c r="AJ1125"/>
  <c r="AJ1129"/>
  <c r="AJ1133"/>
  <c r="AJ1137"/>
  <c r="AJ1141"/>
  <c r="AJ1145"/>
  <c r="AJ1149"/>
  <c r="AJ1153"/>
  <c r="AJ1157"/>
  <c r="AJ1161"/>
  <c r="AJ1165"/>
  <c r="AJ1169"/>
  <c r="AJ1173"/>
  <c r="AJ1177"/>
  <c r="AJ1181"/>
  <c r="AJ1185"/>
  <c r="AJ1189"/>
  <c r="AJ1193"/>
  <c r="AJ1197"/>
  <c r="AJ1201"/>
  <c r="AJ1205"/>
  <c r="AJ1209"/>
  <c r="AJ1213"/>
  <c r="AJ1217"/>
  <c r="AJ1221"/>
  <c r="AJ1225"/>
  <c r="AJ1229"/>
  <c r="AJ1233"/>
  <c r="AJ1237"/>
  <c r="AJ1241"/>
  <c r="AJ1245"/>
  <c r="AJ1249"/>
  <c r="AJ1253"/>
  <c r="AJ1257"/>
  <c r="AJ1261"/>
  <c r="AJ1265"/>
  <c r="AJ1269"/>
  <c r="AJ17"/>
  <c r="AJ1276"/>
  <c r="AJ1280"/>
  <c r="AJ1284"/>
  <c r="AJ1288"/>
  <c r="AJ1292"/>
  <c r="AJ1296"/>
  <c r="AJ1300"/>
  <c r="AJ1304"/>
  <c r="AJ1308"/>
  <c r="AJ1312"/>
  <c r="AJ1316"/>
  <c r="AJ1320"/>
  <c r="AJ1324"/>
  <c r="AJ1328"/>
  <c r="AJ1332"/>
  <c r="AJ1336"/>
  <c r="AJ1340"/>
  <c r="AJ1344"/>
  <c r="AJ1348"/>
  <c r="AJ1352"/>
  <c r="AJ1356"/>
  <c r="AJ1360"/>
  <c r="AJ1364"/>
  <c r="AJ1368"/>
  <c r="AJ1372"/>
  <c r="AJ1376"/>
  <c r="AJ1380"/>
  <c r="AJ1384"/>
  <c r="AJ1388"/>
  <c r="AJ1392"/>
  <c r="AJ1396"/>
  <c r="AJ1400"/>
  <c r="AJ1404"/>
  <c r="AJ1408"/>
  <c r="AJ1412"/>
  <c r="AJ1416"/>
  <c r="AJ1420"/>
  <c r="AJ1424"/>
  <c r="AJ1428"/>
  <c r="AJ1432"/>
  <c r="AJ1436"/>
  <c r="AJ1440"/>
  <c r="AJ1444"/>
  <c r="AJ1448"/>
  <c r="AJ1452"/>
  <c r="AJ1456"/>
  <c r="AJ1460"/>
  <c r="AJ1464"/>
  <c r="AJ1468"/>
  <c r="AJ1472"/>
  <c r="AJ1476"/>
  <c r="AJ1480"/>
  <c r="AJ1484"/>
  <c r="AJ1488"/>
  <c r="AJ1492"/>
  <c r="AJ1496"/>
  <c r="AJ1500"/>
  <c r="AJ1504"/>
  <c r="AJ1508"/>
  <c r="AJ1512"/>
  <c r="AJ1516"/>
  <c r="AJ1520"/>
  <c r="AJ1524"/>
  <c r="AJ1528"/>
  <c r="AJ1532"/>
  <c r="AJ1536"/>
  <c r="AJ1540"/>
  <c r="AJ1544"/>
  <c r="AJ1548"/>
  <c r="AJ1552"/>
  <c r="AJ1556"/>
  <c r="AJ1560"/>
  <c r="AJ1564"/>
  <c r="AJ1568"/>
  <c r="AJ1572"/>
  <c r="AJ1576"/>
  <c r="AJ1580"/>
  <c r="AJ1584"/>
  <c r="AJ1588"/>
  <c r="AJ1592"/>
  <c r="AJ1596"/>
  <c r="AJ1600"/>
  <c r="AJ1604"/>
  <c r="AJ1608"/>
  <c r="AJ1612"/>
  <c r="AJ1616"/>
  <c r="AJ1620"/>
  <c r="AJ1623"/>
  <c r="AJ1627"/>
  <c r="AJ1631"/>
  <c r="AJ1635"/>
  <c r="AJ1639"/>
  <c r="AJ1643"/>
  <c r="AJ1647"/>
  <c r="AJ1651"/>
  <c r="AJ1655"/>
  <c r="AJ1659"/>
  <c r="AJ1663"/>
  <c r="AJ1667"/>
  <c r="AJ1671"/>
  <c r="AJ1675"/>
  <c r="AJ1679"/>
  <c r="AJ1683"/>
  <c r="AJ1687"/>
  <c r="AJ1691"/>
  <c r="AJ1695"/>
  <c r="AJ1699"/>
  <c r="AJ1703"/>
  <c r="AJ1707"/>
  <c r="AJ1711"/>
  <c r="AJ1715"/>
  <c r="AJ1719"/>
  <c r="AJ1723"/>
  <c r="AJ1727"/>
  <c r="AJ1731"/>
  <c r="AJ1734"/>
  <c r="AJ1738"/>
  <c r="AJ1742"/>
  <c r="AJ1746"/>
  <c r="AJ1750"/>
  <c r="AJ1754"/>
  <c r="AJ1758"/>
  <c r="AJ1762"/>
  <c r="AJ1766"/>
  <c r="AJ1770"/>
  <c r="AJ1774"/>
  <c r="AJ1778"/>
  <c r="AJ1782"/>
  <c r="AJ1786"/>
  <c r="AJ1790"/>
  <c r="AJ1794"/>
  <c r="AJ1798"/>
  <c r="AJ1802"/>
  <c r="AJ1806"/>
  <c r="AJ1810"/>
  <c r="AJ1814"/>
  <c r="AJ1818"/>
  <c r="AJ1822"/>
  <c r="AJ1826"/>
  <c r="AJ1830"/>
  <c r="AJ1834"/>
  <c r="AJ1838"/>
  <c r="AJ8"/>
  <c r="AJ1845"/>
  <c r="AJ1849"/>
  <c r="AJ1853"/>
  <c r="AJ1857"/>
  <c r="AJ1860"/>
  <c r="AJ1864"/>
  <c r="AJ1868"/>
  <c r="AJ1872"/>
  <c r="AJ1876"/>
  <c r="AJ1880"/>
  <c r="AJ1884"/>
  <c r="AJ1888"/>
  <c r="AJ1892"/>
  <c r="AJ1896"/>
  <c r="AJ1900"/>
  <c r="AJ1904"/>
  <c r="AJ1908"/>
  <c r="AJ1912"/>
  <c r="AJ1916"/>
  <c r="AJ1920"/>
  <c r="AJ1924"/>
  <c r="AJ1928"/>
  <c r="AJ1931"/>
  <c r="AJ1935"/>
  <c r="AJ1939"/>
  <c r="AJ1942"/>
  <c r="AJ1946"/>
  <c r="AJ1950"/>
  <c r="AJ1954"/>
  <c r="AJ1958"/>
  <c r="AJ1962"/>
  <c r="AJ1966"/>
  <c r="AJ1970"/>
  <c r="AJ1974"/>
  <c r="AJ1978"/>
  <c r="AJ1982"/>
  <c r="AJ1986"/>
  <c r="AJ50"/>
  <c r="AJ66"/>
  <c r="AJ81"/>
  <c r="AJ96"/>
  <c r="AJ112"/>
  <c r="AJ128"/>
  <c r="AJ144"/>
  <c r="AJ160"/>
  <c r="AJ176"/>
  <c r="AJ192"/>
  <c r="AJ208"/>
  <c r="AJ224"/>
  <c r="AJ240"/>
  <c r="AJ256"/>
  <c r="AJ272"/>
  <c r="AJ288"/>
  <c r="AJ304"/>
  <c r="AJ320"/>
  <c r="AJ336"/>
  <c r="AJ352"/>
  <c r="AJ368"/>
  <c r="AJ384"/>
  <c r="AJ400"/>
  <c r="AJ416"/>
  <c r="AJ432"/>
  <c r="AJ440"/>
  <c r="AJ448"/>
  <c r="AJ456"/>
  <c r="AJ464"/>
  <c r="AJ472"/>
  <c r="AJ480"/>
  <c r="AJ488"/>
  <c r="AJ496"/>
  <c r="AJ504"/>
  <c r="AJ512"/>
  <c r="AJ520"/>
  <c r="AJ528"/>
  <c r="AJ536"/>
  <c r="AJ544"/>
  <c r="AJ552"/>
  <c r="AJ560"/>
  <c r="AJ568"/>
  <c r="AJ576"/>
  <c r="AJ584"/>
  <c r="AJ592"/>
  <c r="AJ600"/>
  <c r="AJ608"/>
  <c r="AJ616"/>
  <c r="AJ624"/>
  <c r="AJ632"/>
  <c r="AJ640"/>
  <c r="AJ648"/>
  <c r="AJ656"/>
  <c r="AJ664"/>
  <c r="AJ672"/>
  <c r="AJ680"/>
  <c r="AJ688"/>
  <c r="AJ696"/>
  <c r="AJ704"/>
  <c r="AJ712"/>
  <c r="AJ720"/>
  <c r="AJ727"/>
  <c r="AJ735"/>
  <c r="AJ743"/>
  <c r="AJ751"/>
  <c r="AJ759"/>
  <c r="AJ767"/>
  <c r="AJ775"/>
  <c r="AJ783"/>
  <c r="AJ791"/>
  <c r="AJ799"/>
  <c r="AJ807"/>
  <c r="AJ815"/>
  <c r="AJ823"/>
  <c r="AJ831"/>
  <c r="AJ839"/>
  <c r="AJ847"/>
  <c r="AJ855"/>
  <c r="AJ863"/>
  <c r="AJ871"/>
  <c r="AJ879"/>
  <c r="AJ887"/>
  <c r="AJ895"/>
  <c r="AJ903"/>
  <c r="AJ911"/>
  <c r="AJ919"/>
  <c r="AJ927"/>
  <c r="AJ935"/>
  <c r="AJ943"/>
  <c r="AJ951"/>
  <c r="AJ959"/>
  <c r="AJ967"/>
  <c r="AJ974"/>
  <c r="AJ982"/>
  <c r="AJ990"/>
  <c r="AJ998"/>
  <c r="AJ1006"/>
  <c r="AJ1014"/>
  <c r="AJ1022"/>
  <c r="AJ1030"/>
  <c r="AJ1038"/>
  <c r="AJ1046"/>
  <c r="AJ1054"/>
  <c r="AJ1062"/>
  <c r="AJ1070"/>
  <c r="AJ1078"/>
  <c r="AJ1086"/>
  <c r="AJ1094"/>
  <c r="AJ1102"/>
  <c r="AJ1110"/>
  <c r="AJ1118"/>
  <c r="AJ1126"/>
  <c r="AJ1134"/>
  <c r="AJ1142"/>
  <c r="AJ1150"/>
  <c r="AJ1158"/>
  <c r="AJ1166"/>
  <c r="AJ1174"/>
  <c r="AJ1182"/>
  <c r="AJ1190"/>
  <c r="AJ1198"/>
  <c r="AJ1206"/>
  <c r="AJ1214"/>
  <c r="AJ1222"/>
  <c r="AJ1230"/>
  <c r="AJ1238"/>
  <c r="AJ1246"/>
  <c r="AJ1254"/>
  <c r="AJ1262"/>
  <c r="AJ1270"/>
  <c r="AJ1277"/>
  <c r="AJ1285"/>
  <c r="AJ1293"/>
  <c r="AJ1301"/>
  <c r="AJ1309"/>
  <c r="AJ1317"/>
  <c r="AJ1325"/>
  <c r="AJ1333"/>
  <c r="AJ1341"/>
  <c r="AJ1349"/>
  <c r="AJ1357"/>
  <c r="AJ1365"/>
  <c r="AJ1373"/>
  <c r="AJ1381"/>
  <c r="AJ1389"/>
  <c r="AJ1397"/>
  <c r="AJ1405"/>
  <c r="AJ1413"/>
  <c r="AJ1421"/>
  <c r="AJ1429"/>
  <c r="AJ1437"/>
  <c r="AJ1445"/>
  <c r="AJ1453"/>
  <c r="AJ1461"/>
  <c r="AJ1469"/>
  <c r="AJ1477"/>
  <c r="AJ1485"/>
  <c r="AJ1493"/>
  <c r="AJ1501"/>
  <c r="AJ1509"/>
  <c r="AJ1517"/>
  <c r="AJ1525"/>
  <c r="AJ1533"/>
  <c r="AJ1541"/>
  <c r="AJ1549"/>
  <c r="AJ1557"/>
  <c r="AJ1565"/>
  <c r="AJ1573"/>
  <c r="AJ1581"/>
  <c r="AJ1589"/>
  <c r="AJ1597"/>
  <c r="AJ1605"/>
  <c r="AJ1613"/>
  <c r="AJ1621"/>
  <c r="AJ1628"/>
  <c r="AJ1636"/>
  <c r="AJ1644"/>
  <c r="AJ1652"/>
  <c r="AJ1660"/>
  <c r="AJ1668"/>
  <c r="AJ1676"/>
  <c r="AJ1684"/>
  <c r="AJ1692"/>
  <c r="AJ1700"/>
  <c r="AJ1708"/>
  <c r="AJ1716"/>
  <c r="AJ1724"/>
  <c r="AJ7"/>
  <c r="AJ1739"/>
  <c r="AJ1747"/>
  <c r="AJ1755"/>
  <c r="AJ1763"/>
  <c r="AJ1771"/>
  <c r="AJ1779"/>
  <c r="AJ1787"/>
  <c r="AJ1795"/>
  <c r="AJ1803"/>
  <c r="AJ1811"/>
  <c r="AJ1819"/>
  <c r="AJ1827"/>
  <c r="AJ1835"/>
  <c r="AJ1842"/>
  <c r="AJ1850"/>
  <c r="AJ1858"/>
  <c r="AJ1865"/>
  <c r="AJ1873"/>
  <c r="AJ1881"/>
  <c r="AJ1889"/>
  <c r="AJ1897"/>
  <c r="AJ1905"/>
  <c r="AJ1913"/>
  <c r="AJ1921"/>
  <c r="AJ1929"/>
  <c r="AJ1936"/>
  <c r="AJ1943"/>
  <c r="AJ1951"/>
  <c r="AJ1959"/>
  <c r="AJ1967"/>
  <c r="AJ1975"/>
  <c r="AJ1983"/>
  <c r="AJ1990"/>
  <c r="AJ1994"/>
  <c r="AJ1998"/>
  <c r="AJ2002"/>
  <c r="AJ2006"/>
  <c r="AJ2010"/>
  <c r="AJ2014"/>
  <c r="AJ2018"/>
  <c r="AJ2022"/>
  <c r="AJ2026"/>
  <c r="AJ2030"/>
  <c r="AJ2034"/>
  <c r="AJ2038"/>
  <c r="AJ2042"/>
  <c r="AJ2046"/>
  <c r="AJ2050"/>
  <c r="AJ2054"/>
  <c r="AJ2058"/>
  <c r="AJ2062"/>
  <c r="AJ2066"/>
  <c r="AJ2070"/>
  <c r="AJ2074"/>
  <c r="AJ2078"/>
  <c r="AJ2082"/>
  <c r="AJ10"/>
  <c r="AJ2089"/>
  <c r="AJ2093"/>
  <c r="AJ2097"/>
  <c r="AJ2101"/>
  <c r="AJ2105"/>
  <c r="AJ2109"/>
  <c r="AJ2113"/>
  <c r="AJ2117"/>
  <c r="AJ2121"/>
  <c r="AJ2125"/>
  <c r="AJ2129"/>
  <c r="AJ2133"/>
  <c r="AJ2137"/>
  <c r="AJ2141"/>
  <c r="AJ2145"/>
  <c r="AJ2149"/>
  <c r="AJ2153"/>
  <c r="AJ2157"/>
  <c r="AJ2161"/>
  <c r="AJ2165"/>
  <c r="AJ62"/>
  <c r="AJ77"/>
  <c r="AJ92"/>
  <c r="AJ108"/>
  <c r="AJ124"/>
  <c r="AJ140"/>
  <c r="AJ156"/>
  <c r="AJ172"/>
  <c r="AJ188"/>
  <c r="AJ204"/>
  <c r="AJ220"/>
  <c r="AJ236"/>
  <c r="AJ252"/>
  <c r="AJ268"/>
  <c r="AJ284"/>
  <c r="AJ300"/>
  <c r="AJ316"/>
  <c r="AJ332"/>
  <c r="AJ348"/>
  <c r="AJ364"/>
  <c r="AJ380"/>
  <c r="AJ396"/>
  <c r="AJ412"/>
  <c r="AJ428"/>
  <c r="AJ437"/>
  <c r="AJ445"/>
  <c r="AJ453"/>
  <c r="AJ461"/>
  <c r="AJ469"/>
  <c r="AJ477"/>
  <c r="AJ485"/>
  <c r="AJ493"/>
  <c r="AJ501"/>
  <c r="AJ509"/>
  <c r="AJ517"/>
  <c r="AJ525"/>
  <c r="AJ533"/>
  <c r="AJ541"/>
  <c r="AJ549"/>
  <c r="AJ557"/>
  <c r="AJ565"/>
  <c r="AJ573"/>
  <c r="AJ581"/>
  <c r="AJ589"/>
  <c r="AJ597"/>
  <c r="AJ605"/>
  <c r="AJ613"/>
  <c r="AJ621"/>
  <c r="AJ629"/>
  <c r="AJ637"/>
  <c r="AJ645"/>
  <c r="AJ653"/>
  <c r="AJ661"/>
  <c r="AJ669"/>
  <c r="AJ677"/>
  <c r="AJ685"/>
  <c r="AJ693"/>
  <c r="AJ701"/>
  <c r="AJ709"/>
  <c r="AJ717"/>
  <c r="AJ725"/>
  <c r="AJ732"/>
  <c r="AJ740"/>
  <c r="AJ748"/>
  <c r="AJ756"/>
  <c r="AJ764"/>
  <c r="AJ772"/>
  <c r="AJ780"/>
  <c r="AJ788"/>
  <c r="AJ796"/>
  <c r="AJ804"/>
  <c r="AJ812"/>
  <c r="AJ820"/>
  <c r="AJ828"/>
  <c r="AJ836"/>
  <c r="AJ844"/>
  <c r="AJ852"/>
  <c r="AJ860"/>
  <c r="AJ868"/>
  <c r="AJ876"/>
  <c r="AJ884"/>
  <c r="AJ892"/>
  <c r="AJ900"/>
  <c r="AJ908"/>
  <c r="AJ916"/>
  <c r="AJ924"/>
  <c r="AJ932"/>
  <c r="AJ940"/>
  <c r="AJ948"/>
  <c r="AJ956"/>
  <c r="AJ964"/>
  <c r="AJ972"/>
  <c r="AJ979"/>
  <c r="AJ987"/>
  <c r="AJ995"/>
  <c r="AJ1003"/>
  <c r="AJ1011"/>
  <c r="AJ1019"/>
  <c r="AJ1027"/>
  <c r="AJ1035"/>
  <c r="AJ1043"/>
  <c r="AJ1051"/>
  <c r="AJ1059"/>
  <c r="AJ1067"/>
  <c r="AJ1075"/>
  <c r="AJ1083"/>
  <c r="AJ1091"/>
  <c r="AJ1099"/>
  <c r="AJ1107"/>
  <c r="AJ1115"/>
  <c r="AJ1123"/>
  <c r="AJ1131"/>
  <c r="AJ1139"/>
  <c r="AJ1147"/>
  <c r="AJ1155"/>
  <c r="AJ1163"/>
  <c r="AJ1171"/>
  <c r="AJ1179"/>
  <c r="AJ1187"/>
  <c r="AJ1195"/>
  <c r="AJ1203"/>
  <c r="AJ1211"/>
  <c r="AJ1219"/>
  <c r="AJ1227"/>
  <c r="AJ1235"/>
  <c r="AJ1243"/>
  <c r="AJ1251"/>
  <c r="AJ1259"/>
  <c r="AJ1267"/>
  <c r="AJ1274"/>
  <c r="AJ1282"/>
  <c r="AJ1290"/>
  <c r="AJ1298"/>
  <c r="AJ1306"/>
  <c r="AJ1314"/>
  <c r="AJ1322"/>
  <c r="AJ1330"/>
  <c r="AJ1338"/>
  <c r="AJ1346"/>
  <c r="AJ1354"/>
  <c r="AJ1362"/>
  <c r="AJ1370"/>
  <c r="AJ1378"/>
  <c r="AJ1386"/>
  <c r="AJ1394"/>
  <c r="AJ1402"/>
  <c r="AJ1410"/>
  <c r="AJ1418"/>
  <c r="AJ1426"/>
  <c r="AJ1434"/>
  <c r="AJ1442"/>
  <c r="AJ1450"/>
  <c r="AJ1458"/>
  <c r="AJ1466"/>
  <c r="AJ1474"/>
  <c r="AJ1482"/>
  <c r="AJ1490"/>
  <c r="AJ1498"/>
  <c r="AJ1506"/>
  <c r="AJ1514"/>
  <c r="AJ1522"/>
  <c r="AJ1530"/>
  <c r="AJ1538"/>
  <c r="AJ1546"/>
  <c r="AJ1554"/>
  <c r="AJ1562"/>
  <c r="AJ1570"/>
  <c r="AJ1578"/>
  <c r="AJ1586"/>
  <c r="AJ1594"/>
  <c r="AJ1602"/>
  <c r="AJ1610"/>
  <c r="AJ1618"/>
  <c r="AJ1625"/>
  <c r="AJ1633"/>
  <c r="AJ1641"/>
  <c r="AJ1649"/>
  <c r="AJ1657"/>
  <c r="AJ1665"/>
  <c r="AJ1673"/>
  <c r="AJ1681"/>
  <c r="AJ1689"/>
  <c r="AJ1697"/>
  <c r="AJ1705"/>
  <c r="AJ1713"/>
  <c r="AJ1721"/>
  <c r="AJ1729"/>
  <c r="AJ1736"/>
  <c r="AJ1744"/>
  <c r="AJ1752"/>
  <c r="AJ1760"/>
  <c r="AJ1768"/>
  <c r="AJ1776"/>
  <c r="AJ1784"/>
  <c r="AJ1792"/>
  <c r="AJ1800"/>
  <c r="AJ1808"/>
  <c r="AJ1816"/>
  <c r="AJ1824"/>
  <c r="AJ1832"/>
  <c r="AJ1840"/>
  <c r="AJ1847"/>
  <c r="AJ1855"/>
  <c r="AJ1862"/>
  <c r="AJ1870"/>
  <c r="AJ1878"/>
  <c r="AJ1886"/>
  <c r="AJ1894"/>
  <c r="AJ1902"/>
  <c r="AJ1910"/>
  <c r="AJ1918"/>
  <c r="AJ1926"/>
  <c r="AJ1933"/>
  <c r="AJ5"/>
  <c r="AJ1948"/>
  <c r="AJ1956"/>
  <c r="AJ1964"/>
  <c r="AJ1972"/>
  <c r="AJ1980"/>
  <c r="AJ1988"/>
  <c r="AJ1993"/>
  <c r="AJ1997"/>
  <c r="AJ2001"/>
  <c r="AJ2005"/>
  <c r="AJ2009"/>
  <c r="AJ2013"/>
  <c r="AJ2017"/>
  <c r="AJ2021"/>
  <c r="AJ2025"/>
  <c r="AJ2029"/>
  <c r="AJ2033"/>
  <c r="AJ2037"/>
  <c r="AJ2041"/>
  <c r="AJ2045"/>
  <c r="AJ2049"/>
  <c r="AJ2053"/>
  <c r="AJ2057"/>
  <c r="AJ2061"/>
  <c r="AJ2065"/>
  <c r="AJ2069"/>
  <c r="AJ2073"/>
  <c r="AJ2077"/>
  <c r="AJ2081"/>
  <c r="AJ2085"/>
  <c r="AJ2088"/>
  <c r="AJ2092"/>
  <c r="AJ2096"/>
  <c r="AJ2100"/>
  <c r="AJ2104"/>
  <c r="AJ2108"/>
  <c r="AJ2112"/>
  <c r="AJ2116"/>
  <c r="AJ2120"/>
  <c r="AJ2124"/>
  <c r="AJ2128"/>
  <c r="AJ2132"/>
  <c r="AJ2136"/>
  <c r="AJ2140"/>
  <c r="AJ2144"/>
  <c r="AJ2148"/>
  <c r="AJ2152"/>
  <c r="AJ2156"/>
  <c r="AJ2160"/>
  <c r="AJ2164"/>
  <c r="AJ2168"/>
  <c r="AJ54"/>
  <c r="AJ84"/>
  <c r="AJ116"/>
  <c r="AJ148"/>
  <c r="AJ180"/>
  <c r="AJ212"/>
  <c r="AJ244"/>
  <c r="AJ276"/>
  <c r="AJ308"/>
  <c r="AJ340"/>
  <c r="AJ372"/>
  <c r="AJ404"/>
  <c r="AJ433"/>
  <c r="AJ449"/>
  <c r="AJ465"/>
  <c r="AJ481"/>
  <c r="AJ497"/>
  <c r="AJ513"/>
  <c r="AJ529"/>
  <c r="AJ545"/>
  <c r="AJ561"/>
  <c r="AJ577"/>
  <c r="AJ593"/>
  <c r="AJ609"/>
  <c r="AJ625"/>
  <c r="AJ641"/>
  <c r="AJ657"/>
  <c r="AJ673"/>
  <c r="AJ689"/>
  <c r="AJ705"/>
  <c r="AJ721"/>
  <c r="AJ736"/>
  <c r="AJ752"/>
  <c r="AJ768"/>
  <c r="AJ784"/>
  <c r="AJ800"/>
  <c r="AJ816"/>
  <c r="AJ832"/>
  <c r="AJ848"/>
  <c r="AJ864"/>
  <c r="AJ880"/>
  <c r="AJ896"/>
  <c r="AJ912"/>
  <c r="AJ928"/>
  <c r="AJ944"/>
  <c r="AJ960"/>
  <c r="AJ975"/>
  <c r="AJ991"/>
  <c r="AJ1007"/>
  <c r="AJ1023"/>
  <c r="AJ1039"/>
  <c r="AJ1055"/>
  <c r="AJ1071"/>
  <c r="AJ1087"/>
  <c r="AJ1103"/>
  <c r="AJ1119"/>
  <c r="AJ1135"/>
  <c r="AJ1151"/>
  <c r="AJ1167"/>
  <c r="AJ1183"/>
  <c r="AJ1199"/>
  <c r="AJ1215"/>
  <c r="AJ1231"/>
  <c r="AJ1247"/>
  <c r="AJ1263"/>
  <c r="AJ1278"/>
  <c r="AJ1294"/>
  <c r="AJ1310"/>
  <c r="AJ1326"/>
  <c r="AJ1342"/>
  <c r="AJ1358"/>
  <c r="AJ1374"/>
  <c r="AJ1390"/>
  <c r="AJ1406"/>
  <c r="AJ1422"/>
  <c r="AJ1438"/>
  <c r="AJ1454"/>
  <c r="AJ1470"/>
  <c r="AJ1486"/>
  <c r="AJ1502"/>
  <c r="AJ1518"/>
  <c r="AJ1534"/>
  <c r="AJ1550"/>
  <c r="AJ1566"/>
  <c r="AJ1582"/>
  <c r="AJ1598"/>
  <c r="AJ1614"/>
  <c r="AJ1629"/>
  <c r="AJ1645"/>
  <c r="AJ1661"/>
  <c r="AJ1677"/>
  <c r="AJ1693"/>
  <c r="AJ1709"/>
  <c r="AJ1725"/>
  <c r="AJ1740"/>
  <c r="AJ1756"/>
  <c r="AJ1772"/>
  <c r="AJ1788"/>
  <c r="AJ1804"/>
  <c r="AJ1820"/>
  <c r="AJ1836"/>
  <c r="AJ1851"/>
  <c r="AJ1866"/>
  <c r="AJ1882"/>
  <c r="AJ1898"/>
  <c r="AJ1914"/>
  <c r="AJ16"/>
  <c r="AJ1944"/>
  <c r="AJ1960"/>
  <c r="AJ1976"/>
  <c r="AJ1991"/>
  <c r="AJ1999"/>
  <c r="AJ2007"/>
  <c r="AJ2015"/>
  <c r="AJ2023"/>
  <c r="AJ2031"/>
  <c r="AJ2039"/>
  <c r="AJ2047"/>
  <c r="AJ2055"/>
  <c r="AJ2063"/>
  <c r="AJ2071"/>
  <c r="AJ2079"/>
  <c r="AJ2086"/>
  <c r="AJ2094"/>
  <c r="AJ2102"/>
  <c r="AJ2110"/>
  <c r="AJ2118"/>
  <c r="AJ2126"/>
  <c r="AJ2134"/>
  <c r="AJ2142"/>
  <c r="AJ2150"/>
  <c r="AJ2158"/>
  <c r="AJ2166"/>
  <c r="AJ74"/>
  <c r="AJ104"/>
  <c r="AJ136"/>
  <c r="AJ168"/>
  <c r="AJ200"/>
  <c r="AJ232"/>
  <c r="AJ264"/>
  <c r="AJ296"/>
  <c r="AJ328"/>
  <c r="AJ360"/>
  <c r="AJ392"/>
  <c r="AJ424"/>
  <c r="AJ444"/>
  <c r="AJ460"/>
  <c r="AJ476"/>
  <c r="AJ492"/>
  <c r="AJ508"/>
  <c r="AJ524"/>
  <c r="AJ540"/>
  <c r="AJ556"/>
  <c r="AJ572"/>
  <c r="AJ588"/>
  <c r="AJ604"/>
  <c r="AJ620"/>
  <c r="AJ636"/>
  <c r="AJ652"/>
  <c r="AJ668"/>
  <c r="AJ684"/>
  <c r="AJ700"/>
  <c r="AJ716"/>
  <c r="AJ731"/>
  <c r="AJ747"/>
  <c r="AJ763"/>
  <c r="AJ779"/>
  <c r="AJ795"/>
  <c r="AJ811"/>
  <c r="AJ827"/>
  <c r="AJ843"/>
  <c r="AJ859"/>
  <c r="AJ875"/>
  <c r="AJ891"/>
  <c r="AJ907"/>
  <c r="AJ923"/>
  <c r="AJ939"/>
  <c r="AJ955"/>
  <c r="AJ971"/>
  <c r="AJ986"/>
  <c r="AJ1002"/>
  <c r="AJ1018"/>
  <c r="AJ1034"/>
  <c r="AJ1050"/>
  <c r="AJ1066"/>
  <c r="AJ1082"/>
  <c r="AJ1098"/>
  <c r="AJ1114"/>
  <c r="AJ1130"/>
  <c r="AJ1146"/>
  <c r="AJ1162"/>
  <c r="AJ1178"/>
  <c r="AJ1194"/>
  <c r="AJ1210"/>
  <c r="AJ1226"/>
  <c r="AJ1242"/>
  <c r="AJ1258"/>
  <c r="AJ1273"/>
  <c r="AJ1289"/>
  <c r="AJ1305"/>
  <c r="AJ1321"/>
  <c r="AJ1337"/>
  <c r="AJ1353"/>
  <c r="AJ1369"/>
  <c r="AJ1385"/>
  <c r="AJ1401"/>
  <c r="AJ1417"/>
  <c r="AJ1433"/>
  <c r="AJ1449"/>
  <c r="AJ1465"/>
  <c r="AJ1481"/>
  <c r="AJ1497"/>
  <c r="AJ1513"/>
  <c r="AJ1529"/>
  <c r="AJ1545"/>
  <c r="AJ1561"/>
  <c r="AJ1577"/>
  <c r="AJ1593"/>
  <c r="AJ1609"/>
  <c r="AJ1624"/>
  <c r="AJ1640"/>
  <c r="AJ1656"/>
  <c r="AJ1672"/>
  <c r="AJ1688"/>
  <c r="AJ1704"/>
  <c r="AJ1720"/>
  <c r="AJ1735"/>
  <c r="AJ1751"/>
  <c r="AJ1767"/>
  <c r="AJ1783"/>
  <c r="AJ1799"/>
  <c r="AJ1815"/>
  <c r="AJ1831"/>
  <c r="AJ1846"/>
  <c r="AJ1861"/>
  <c r="AJ1877"/>
  <c r="AJ1893"/>
  <c r="AJ1909"/>
  <c r="AJ1925"/>
  <c r="AJ1940"/>
  <c r="AJ1955"/>
  <c r="AJ1971"/>
  <c r="AJ1987"/>
  <c r="AJ1996"/>
  <c r="AJ2004"/>
  <c r="AJ2012"/>
  <c r="AJ2020"/>
  <c r="AJ2028"/>
  <c r="AJ2036"/>
  <c r="AJ2044"/>
  <c r="AJ2052"/>
  <c r="AJ2060"/>
  <c r="AJ2068"/>
  <c r="AJ2076"/>
  <c r="AJ2084"/>
  <c r="AJ2091"/>
  <c r="AJ2099"/>
  <c r="AJ2107"/>
  <c r="AJ2115"/>
  <c r="AJ2123"/>
  <c r="AJ2131"/>
  <c r="AJ2139"/>
  <c r="AJ2147"/>
  <c r="AJ2155"/>
  <c r="AJ2163"/>
  <c r="AJ58"/>
  <c r="AJ88"/>
  <c r="AJ120"/>
  <c r="AJ152"/>
  <c r="AJ184"/>
  <c r="AJ216"/>
  <c r="AJ248"/>
  <c r="AJ280"/>
  <c r="AJ312"/>
  <c r="AJ344"/>
  <c r="AJ376"/>
  <c r="AJ408"/>
  <c r="AJ436"/>
  <c r="AJ452"/>
  <c r="AJ468"/>
  <c r="AJ484"/>
  <c r="AJ500"/>
  <c r="AJ516"/>
  <c r="AJ532"/>
  <c r="AJ548"/>
  <c r="AJ564"/>
  <c r="AJ580"/>
  <c r="AJ596"/>
  <c r="AJ612"/>
  <c r="AJ628"/>
  <c r="AJ644"/>
  <c r="AJ660"/>
  <c r="AJ676"/>
  <c r="AJ692"/>
  <c r="AJ708"/>
  <c r="AJ724"/>
  <c r="AJ739"/>
  <c r="AJ755"/>
  <c r="AJ771"/>
  <c r="AJ787"/>
  <c r="AJ803"/>
  <c r="AJ819"/>
  <c r="AJ835"/>
  <c r="AJ851"/>
  <c r="AJ867"/>
  <c r="AJ883"/>
  <c r="AJ899"/>
  <c r="AJ915"/>
  <c r="AJ931"/>
  <c r="AJ947"/>
  <c r="AJ963"/>
  <c r="AJ978"/>
  <c r="AJ994"/>
  <c r="AJ1010"/>
  <c r="AJ1026"/>
  <c r="AJ1042"/>
  <c r="AJ1058"/>
  <c r="AJ1074"/>
  <c r="AJ1090"/>
  <c r="AJ1106"/>
  <c r="AJ1122"/>
  <c r="AJ1138"/>
  <c r="AJ1154"/>
  <c r="AJ1170"/>
  <c r="AJ1186"/>
  <c r="AJ1202"/>
  <c r="AJ1218"/>
  <c r="AJ1234"/>
  <c r="AJ1250"/>
  <c r="AJ1266"/>
  <c r="AJ1281"/>
  <c r="AJ1297"/>
  <c r="AJ1313"/>
  <c r="AJ1329"/>
  <c r="AJ1345"/>
  <c r="AJ1361"/>
  <c r="AJ1377"/>
  <c r="AJ1393"/>
  <c r="AJ1409"/>
  <c r="AJ1425"/>
  <c r="AJ1441"/>
  <c r="AJ1457"/>
  <c r="AJ1473"/>
  <c r="AJ1489"/>
  <c r="AJ1505"/>
  <c r="AJ1521"/>
  <c r="AJ1537"/>
  <c r="AJ1553"/>
  <c r="AJ1569"/>
  <c r="AJ1585"/>
  <c r="AJ1601"/>
  <c r="AJ1617"/>
  <c r="AJ1632"/>
  <c r="AJ1648"/>
  <c r="AJ1664"/>
  <c r="AJ1680"/>
  <c r="AJ1696"/>
  <c r="AJ1712"/>
  <c r="AJ1728"/>
  <c r="AJ1743"/>
  <c r="AJ1759"/>
  <c r="AJ1775"/>
  <c r="AJ1791"/>
  <c r="AJ1807"/>
  <c r="AJ1823"/>
  <c r="AJ1839"/>
  <c r="AJ1854"/>
  <c r="AJ1869"/>
  <c r="AJ1885"/>
  <c r="AJ1901"/>
  <c r="AJ1917"/>
  <c r="AJ1932"/>
  <c r="AJ1947"/>
  <c r="AJ1963"/>
  <c r="AJ1979"/>
  <c r="AJ1992"/>
  <c r="AJ2000"/>
  <c r="AJ2008"/>
  <c r="AJ2016"/>
  <c r="AJ2024"/>
  <c r="AJ2032"/>
  <c r="AJ2040"/>
  <c r="AJ2048"/>
  <c r="AJ2056"/>
  <c r="AJ2064"/>
  <c r="AJ2072"/>
  <c r="AJ2080"/>
  <c r="AJ2087"/>
  <c r="AJ2095"/>
  <c r="AJ2103"/>
  <c r="AJ2111"/>
  <c r="AJ2119"/>
  <c r="AJ2127"/>
  <c r="AJ2135"/>
  <c r="AJ2143"/>
  <c r="AJ2151"/>
  <c r="AJ2159"/>
  <c r="AJ2167"/>
  <c r="AJ164"/>
  <c r="AJ292"/>
  <c r="AJ420"/>
  <c r="AJ489"/>
  <c r="AJ553"/>
  <c r="AJ617"/>
  <c r="AJ681"/>
  <c r="AJ744"/>
  <c r="AJ808"/>
  <c r="AJ872"/>
  <c r="AJ936"/>
  <c r="AJ999"/>
  <c r="AJ1063"/>
  <c r="AJ1127"/>
  <c r="AJ1191"/>
  <c r="AJ1255"/>
  <c r="AJ1318"/>
  <c r="AJ1382"/>
  <c r="AJ1446"/>
  <c r="AJ1510"/>
  <c r="AJ1574"/>
  <c r="AJ1637"/>
  <c r="AJ1701"/>
  <c r="AJ1764"/>
  <c r="AJ1828"/>
  <c r="AJ1890"/>
  <c r="AJ1952"/>
  <c r="AJ2003"/>
  <c r="AJ2035"/>
  <c r="AJ2067"/>
  <c r="AJ2098"/>
  <c r="AJ2130"/>
  <c r="AJ2162"/>
  <c r="AJ132"/>
  <c r="AJ260"/>
  <c r="AJ388"/>
  <c r="AJ473"/>
  <c r="AJ537"/>
  <c r="AJ601"/>
  <c r="AJ665"/>
  <c r="AJ728"/>
  <c r="AJ792"/>
  <c r="AJ856"/>
  <c r="AJ920"/>
  <c r="AJ983"/>
  <c r="AJ1047"/>
  <c r="AJ1111"/>
  <c r="AJ1175"/>
  <c r="AJ1239"/>
  <c r="AJ1302"/>
  <c r="AJ1366"/>
  <c r="AJ1430"/>
  <c r="AJ1494"/>
  <c r="AJ1558"/>
  <c r="AJ11"/>
  <c r="AJ1685"/>
  <c r="AJ1748"/>
  <c r="AJ1812"/>
  <c r="AJ1874"/>
  <c r="AJ1937"/>
  <c r="AJ1995"/>
  <c r="AJ2027"/>
  <c r="AJ2059"/>
  <c r="AJ2090"/>
  <c r="AJ2122"/>
  <c r="AJ2154"/>
  <c r="AJ100"/>
  <c r="AJ228"/>
  <c r="AJ356"/>
  <c r="AJ457"/>
  <c r="AJ521"/>
  <c r="AJ585"/>
  <c r="AJ649"/>
  <c r="AJ713"/>
  <c r="AJ776"/>
  <c r="AJ840"/>
  <c r="AJ904"/>
  <c r="AJ968"/>
  <c r="AJ1031"/>
  <c r="AJ1095"/>
  <c r="AJ1159"/>
  <c r="AJ1223"/>
  <c r="AJ1286"/>
  <c r="AJ1350"/>
  <c r="AJ1414"/>
  <c r="AJ1478"/>
  <c r="AJ1542"/>
  <c r="AJ1606"/>
  <c r="AJ1669"/>
  <c r="AJ1732"/>
  <c r="AJ1796"/>
  <c r="AJ12"/>
  <c r="AJ1922"/>
  <c r="AJ1984"/>
  <c r="AJ2019"/>
  <c r="AJ2051"/>
  <c r="AJ2083"/>
  <c r="AJ2114"/>
  <c r="AJ2146"/>
  <c r="AJ70"/>
  <c r="AJ196"/>
  <c r="AJ324"/>
  <c r="AJ441"/>
  <c r="AJ505"/>
  <c r="AJ569"/>
  <c r="AJ633"/>
  <c r="AJ697"/>
  <c r="AJ760"/>
  <c r="AJ824"/>
  <c r="AJ888"/>
  <c r="AJ952"/>
  <c r="AJ1015"/>
  <c r="AJ1079"/>
  <c r="AJ1143"/>
  <c r="AJ1207"/>
  <c r="AJ1271"/>
  <c r="AJ1334"/>
  <c r="AJ1398"/>
  <c r="AJ1462"/>
  <c r="AJ1526"/>
  <c r="AJ1590"/>
  <c r="AJ1653"/>
  <c r="AJ1717"/>
  <c r="AJ1780"/>
  <c r="AJ1843"/>
  <c r="AJ1906"/>
  <c r="AJ1968"/>
  <c r="AJ2011"/>
  <c r="AJ2043"/>
  <c r="AJ2075"/>
  <c r="AJ2106"/>
  <c r="AJ2138"/>
  <c r="AJ20"/>
  <c r="U219" i="2"/>
  <c r="U715"/>
  <c r="U593"/>
  <c r="U1524"/>
  <c r="U1644"/>
  <c r="U1591"/>
  <c r="U1442"/>
  <c r="U513"/>
  <c r="U1830"/>
  <c r="U913"/>
  <c r="U2074"/>
  <c r="U1332"/>
  <c r="U162"/>
  <c r="U1362"/>
  <c r="U1705"/>
  <c r="U1055"/>
  <c r="U1827"/>
  <c r="U1101"/>
  <c r="U267"/>
  <c r="U1427"/>
  <c r="U1155"/>
  <c r="U274"/>
  <c r="U2055"/>
  <c r="U1915"/>
  <c r="U1912"/>
  <c r="U1909"/>
  <c r="U925"/>
  <c r="U910"/>
  <c r="U727"/>
  <c r="U532"/>
  <c r="U1694"/>
  <c r="U1515"/>
  <c r="U1512"/>
  <c r="U1509"/>
  <c r="U497"/>
  <c r="U390"/>
  <c r="U207"/>
  <c r="U2135"/>
  <c r="U1282"/>
  <c r="U2152"/>
  <c r="U2141"/>
  <c r="U1165"/>
  <c r="U1166"/>
  <c r="U963"/>
  <c r="U820"/>
  <c r="U1934"/>
  <c r="U1751"/>
  <c r="U1748"/>
  <c r="U1745"/>
  <c r="U761"/>
  <c r="U730"/>
  <c r="U515"/>
  <c r="U248"/>
  <c r="U1522"/>
  <c r="U1351"/>
  <c r="U1348"/>
  <c r="U1345"/>
  <c r="U265"/>
  <c r="U178"/>
  <c r="U43"/>
  <c r="U2166"/>
  <c r="U1983"/>
  <c r="U1980"/>
  <c r="U1977"/>
  <c r="U993"/>
  <c r="U978"/>
  <c r="U795"/>
  <c r="U648"/>
  <c r="U1766"/>
  <c r="U1583"/>
  <c r="U1580"/>
  <c r="U1577"/>
  <c r="U585"/>
  <c r="U490"/>
  <c r="U291"/>
  <c r="U76"/>
  <c r="U1354"/>
  <c r="U1187"/>
  <c r="U1184"/>
  <c r="U1181"/>
  <c r="U93"/>
  <c r="U1039"/>
  <c r="U896"/>
  <c r="U2010"/>
  <c r="U1819"/>
  <c r="U1816"/>
  <c r="U1813"/>
  <c r="U829"/>
  <c r="U810"/>
  <c r="U627"/>
  <c r="U364"/>
  <c r="U1598"/>
  <c r="U1419"/>
  <c r="U1416"/>
  <c r="U1413"/>
  <c r="U345"/>
  <c r="U262"/>
  <c r="U111"/>
  <c r="U2130"/>
  <c r="U1178"/>
  <c r="U2048"/>
  <c r="U2045"/>
  <c r="U1069"/>
  <c r="U1070"/>
  <c r="U867"/>
  <c r="U716"/>
  <c r="U1838"/>
  <c r="U1655"/>
  <c r="U1652"/>
  <c r="U1649"/>
  <c r="U665"/>
  <c r="U614"/>
  <c r="U371"/>
  <c r="U144"/>
  <c r="U1426"/>
  <c r="U1255"/>
  <c r="U1252"/>
  <c r="U1249"/>
  <c r="U161"/>
  <c r="U82"/>
  <c r="U964"/>
  <c r="U2159"/>
  <c r="U1887"/>
  <c r="U1884"/>
  <c r="U1881"/>
  <c r="U897"/>
  <c r="U882"/>
  <c r="U699"/>
  <c r="U484"/>
  <c r="U1666"/>
  <c r="U1487"/>
  <c r="U1484"/>
  <c r="U1481"/>
  <c r="U457"/>
  <c r="U354"/>
  <c r="U179"/>
  <c r="U2075"/>
  <c r="U1250"/>
  <c r="U2124"/>
  <c r="U2113"/>
  <c r="U1137"/>
  <c r="U1138"/>
  <c r="U935"/>
  <c r="U788"/>
  <c r="U1164"/>
  <c r="U177"/>
  <c r="U1558"/>
  <c r="U309"/>
  <c r="U1851"/>
  <c r="U1329"/>
  <c r="U663"/>
  <c r="U1711"/>
  <c r="U721"/>
  <c r="U904"/>
  <c r="U1311"/>
  <c r="U561"/>
  <c r="U748"/>
  <c r="U1940"/>
  <c r="U1906"/>
  <c r="U1723"/>
  <c r="U1720"/>
  <c r="U1717"/>
  <c r="U733"/>
  <c r="U702"/>
  <c r="U479"/>
  <c r="U212"/>
  <c r="U1494"/>
  <c r="U1323"/>
  <c r="U1320"/>
  <c r="U1317"/>
  <c r="U229"/>
  <c r="U150"/>
  <c r="U1048"/>
  <c r="U2123"/>
  <c r="U1955"/>
  <c r="U1952"/>
  <c r="U1949"/>
  <c r="U965"/>
  <c r="U950"/>
  <c r="U767"/>
  <c r="U600"/>
  <c r="U1734"/>
  <c r="U1555"/>
  <c r="U1552"/>
  <c r="U1549"/>
  <c r="U541"/>
  <c r="U450"/>
  <c r="U251"/>
  <c r="U48"/>
  <c r="U1322"/>
  <c r="U1143"/>
  <c r="U1136"/>
  <c r="U1131"/>
  <c r="U65"/>
  <c r="U1003"/>
  <c r="U868"/>
  <c r="U1974"/>
  <c r="U1791"/>
  <c r="U1788"/>
  <c r="U1785"/>
  <c r="U801"/>
  <c r="U778"/>
  <c r="U567"/>
  <c r="U328"/>
  <c r="U1562"/>
  <c r="U1391"/>
  <c r="U1388"/>
  <c r="U1385"/>
  <c r="U313"/>
  <c r="U218"/>
  <c r="U83"/>
  <c r="U2078"/>
  <c r="U1124"/>
  <c r="U2020"/>
  <c r="U2017"/>
  <c r="U1037"/>
  <c r="U1018"/>
  <c r="U839"/>
  <c r="U688"/>
  <c r="U1810"/>
  <c r="U1623"/>
  <c r="U1620"/>
  <c r="U1621"/>
  <c r="U629"/>
  <c r="U558"/>
  <c r="U339"/>
  <c r="U116"/>
  <c r="U1394"/>
  <c r="U1227"/>
  <c r="U1224"/>
  <c r="U1221"/>
  <c r="U133"/>
  <c r="U54"/>
  <c r="U936"/>
  <c r="U2110"/>
  <c r="U1859"/>
  <c r="U1856"/>
  <c r="U1527"/>
  <c r="U1647"/>
  <c r="U898"/>
  <c r="U1585"/>
  <c r="U299"/>
  <c r="U977"/>
  <c r="U2080"/>
  <c r="U217"/>
  <c r="U1684"/>
  <c r="U953"/>
  <c r="U1842"/>
  <c r="U1659"/>
  <c r="U1653"/>
  <c r="U669"/>
  <c r="U375"/>
  <c r="U1430"/>
  <c r="U1259"/>
  <c r="U1253"/>
  <c r="U86"/>
  <c r="U2163"/>
  <c r="U1891"/>
  <c r="U1885"/>
  <c r="U886"/>
  <c r="U488"/>
  <c r="U1491"/>
  <c r="U1485"/>
  <c r="U183"/>
  <c r="U1521"/>
  <c r="U708"/>
  <c r="U1641"/>
  <c r="U2070"/>
  <c r="U1848"/>
  <c r="U846"/>
  <c r="U2147"/>
  <c r="U1448"/>
  <c r="U690"/>
  <c r="U2026"/>
  <c r="U1561"/>
  <c r="U899"/>
  <c r="U1334"/>
  <c r="U1421"/>
  <c r="U938"/>
  <c r="U1986"/>
  <c r="U1306"/>
  <c r="U1111"/>
  <c r="U1104"/>
  <c r="U1099"/>
  <c r="U49"/>
  <c r="U987"/>
  <c r="U852"/>
  <c r="U1958"/>
  <c r="U1775"/>
  <c r="U1772"/>
  <c r="U1769"/>
  <c r="U785"/>
  <c r="U758"/>
  <c r="U547"/>
  <c r="U300"/>
  <c r="U1546"/>
  <c r="U1375"/>
  <c r="U1372"/>
  <c r="U1369"/>
  <c r="U289"/>
  <c r="U202"/>
  <c r="U67"/>
  <c r="U2046"/>
  <c r="U1092"/>
  <c r="U2004"/>
  <c r="U2001"/>
  <c r="U1017"/>
  <c r="U1002"/>
  <c r="U819"/>
  <c r="U672"/>
  <c r="U1790"/>
  <c r="U1607"/>
  <c r="U1604"/>
  <c r="U1605"/>
  <c r="U613"/>
  <c r="U534"/>
  <c r="U323"/>
  <c r="U100"/>
  <c r="U1378"/>
  <c r="U1211"/>
  <c r="U1208"/>
  <c r="U1205"/>
  <c r="U117"/>
  <c r="U38"/>
  <c r="U920"/>
  <c r="U2058"/>
  <c r="U1843"/>
  <c r="U1840"/>
  <c r="U1837"/>
  <c r="U853"/>
  <c r="U834"/>
  <c r="U655"/>
  <c r="U400"/>
  <c r="U1622"/>
  <c r="U1443"/>
  <c r="U1440"/>
  <c r="U1437"/>
  <c r="U369"/>
  <c r="U290"/>
  <c r="U135"/>
  <c r="U2019"/>
  <c r="U1206"/>
  <c r="U2072"/>
  <c r="U2069"/>
  <c r="U1093"/>
  <c r="U1094"/>
  <c r="U891"/>
  <c r="U740"/>
  <c r="U1862"/>
  <c r="U1679"/>
  <c r="U1676"/>
  <c r="U1673"/>
  <c r="U689"/>
  <c r="U654"/>
  <c r="U407"/>
  <c r="U168"/>
  <c r="U1450"/>
  <c r="U1279"/>
  <c r="U1276"/>
  <c r="U1273"/>
  <c r="U185"/>
  <c r="U106"/>
  <c r="U988"/>
  <c r="U2015"/>
  <c r="U1911"/>
  <c r="U1908"/>
  <c r="U1905"/>
  <c r="U921"/>
  <c r="U906"/>
  <c r="U723"/>
  <c r="U528"/>
  <c r="U1690"/>
  <c r="U1511"/>
  <c r="U1508"/>
  <c r="U1505"/>
  <c r="U493"/>
  <c r="U386"/>
  <c r="U203"/>
  <c r="U2127"/>
  <c r="U1278"/>
  <c r="U2148"/>
  <c r="U2137"/>
  <c r="U1161"/>
  <c r="U1162"/>
  <c r="U959"/>
  <c r="U816"/>
  <c r="U1930"/>
  <c r="U1747"/>
  <c r="U1744"/>
  <c r="U1741"/>
  <c r="U757"/>
  <c r="U726"/>
  <c r="U511"/>
  <c r="U236"/>
  <c r="U1518"/>
  <c r="U1347"/>
  <c r="U1344"/>
  <c r="U1341"/>
  <c r="U261"/>
  <c r="U174"/>
  <c r="U39"/>
  <c r="U2146"/>
  <c r="U1265"/>
  <c r="U2156"/>
  <c r="U1381"/>
  <c r="U1774"/>
  <c r="U1845"/>
  <c r="U498"/>
  <c r="U1630"/>
  <c r="U1445"/>
  <c r="U463"/>
  <c r="U1214"/>
  <c r="U1305"/>
  <c r="U639"/>
  <c r="U1687"/>
  <c r="U2022"/>
  <c r="U1979"/>
  <c r="U1976"/>
  <c r="U1973"/>
  <c r="U989"/>
  <c r="U974"/>
  <c r="U791"/>
  <c r="U644"/>
  <c r="U1762"/>
  <c r="U1579"/>
  <c r="U1576"/>
  <c r="U1573"/>
  <c r="U581"/>
  <c r="U482"/>
  <c r="U283"/>
  <c r="U72"/>
  <c r="U1346"/>
  <c r="U1183"/>
  <c r="U1180"/>
  <c r="U1177"/>
  <c r="U89"/>
  <c r="U1027"/>
  <c r="U892"/>
  <c r="U2002"/>
  <c r="U1815"/>
  <c r="U1812"/>
  <c r="U1809"/>
  <c r="U825"/>
  <c r="U806"/>
  <c r="U615"/>
  <c r="U360"/>
  <c r="U1586"/>
  <c r="U1415"/>
  <c r="U1412"/>
  <c r="U1409"/>
  <c r="U341"/>
  <c r="U258"/>
  <c r="U107"/>
  <c r="U2094"/>
  <c r="U1172"/>
  <c r="U2044"/>
  <c r="U2041"/>
  <c r="U1065"/>
  <c r="U1066"/>
  <c r="U863"/>
  <c r="U712"/>
  <c r="U1834"/>
  <c r="U1651"/>
  <c r="U1648"/>
  <c r="U1645"/>
  <c r="U661"/>
  <c r="U602"/>
  <c r="U367"/>
  <c r="U140"/>
  <c r="U1422"/>
  <c r="U1251"/>
  <c r="U1248"/>
  <c r="U1245"/>
  <c r="U157"/>
  <c r="U78"/>
  <c r="U960"/>
  <c r="U2155"/>
  <c r="U1883"/>
  <c r="U1880"/>
  <c r="U1877"/>
  <c r="U893"/>
  <c r="U878"/>
  <c r="U695"/>
  <c r="U480"/>
  <c r="U1662"/>
  <c r="U1483"/>
  <c r="U1480"/>
  <c r="U1477"/>
  <c r="U445"/>
  <c r="U350"/>
  <c r="U175"/>
  <c r="U2067"/>
  <c r="U1246"/>
  <c r="U2120"/>
  <c r="U2109"/>
  <c r="U776"/>
  <c r="U1195"/>
  <c r="U385"/>
  <c r="U200"/>
  <c r="U1308"/>
  <c r="U818"/>
  <c r="U1870"/>
  <c r="U1937"/>
  <c r="U353"/>
  <c r="U427"/>
  <c r="U1570"/>
  <c r="U1399"/>
  <c r="U1396"/>
  <c r="U1393"/>
  <c r="U325"/>
  <c r="U226"/>
  <c r="U91"/>
  <c r="U2062"/>
  <c r="U1140"/>
  <c r="U2028"/>
  <c r="U2025"/>
  <c r="U1045"/>
  <c r="U1038"/>
  <c r="U847"/>
  <c r="U696"/>
  <c r="U1818"/>
  <c r="U1631"/>
  <c r="U1628"/>
  <c r="U1629"/>
  <c r="U645"/>
  <c r="U570"/>
  <c r="U347"/>
  <c r="U124"/>
  <c r="U1402"/>
  <c r="U1235"/>
  <c r="U1232"/>
  <c r="U1229"/>
  <c r="U141"/>
  <c r="U62"/>
  <c r="U944"/>
  <c r="U2126"/>
  <c r="U1867"/>
  <c r="U1864"/>
  <c r="U1861"/>
  <c r="U877"/>
  <c r="U862"/>
  <c r="U679"/>
  <c r="U452"/>
  <c r="U1646"/>
  <c r="U1467"/>
  <c r="U1464"/>
  <c r="U1461"/>
  <c r="U421"/>
  <c r="U334"/>
  <c r="U159"/>
  <c r="U2035"/>
  <c r="U1230"/>
  <c r="U2100"/>
  <c r="U2093"/>
  <c r="U1117"/>
  <c r="U1118"/>
  <c r="U915"/>
  <c r="U768"/>
  <c r="U1886"/>
  <c r="U1703"/>
  <c r="U1700"/>
  <c r="U1697"/>
  <c r="U713"/>
  <c r="U678"/>
  <c r="U455"/>
  <c r="U192"/>
  <c r="U1474"/>
  <c r="U1303"/>
  <c r="U1300"/>
  <c r="U1297"/>
  <c r="U209"/>
  <c r="U130"/>
  <c r="U1012"/>
  <c r="U2063"/>
  <c r="U1935"/>
  <c r="U1932"/>
  <c r="U1929"/>
  <c r="U945"/>
  <c r="U930"/>
  <c r="U747"/>
  <c r="U568"/>
  <c r="U1714"/>
  <c r="U1535"/>
  <c r="U1532"/>
  <c r="U1529"/>
  <c r="U521"/>
  <c r="U418"/>
  <c r="U227"/>
  <c r="U2164"/>
  <c r="U1302"/>
  <c r="U1103"/>
  <c r="U1096"/>
  <c r="U1091"/>
  <c r="U45"/>
  <c r="U983"/>
  <c r="U848"/>
  <c r="U1954"/>
  <c r="U1771"/>
  <c r="U1768"/>
  <c r="U1765"/>
  <c r="U781"/>
  <c r="U750"/>
  <c r="U543"/>
  <c r="U296"/>
  <c r="U1542"/>
  <c r="U1371"/>
  <c r="U1368"/>
  <c r="U1365"/>
  <c r="U285"/>
  <c r="U198"/>
  <c r="U63"/>
  <c r="U2038"/>
  <c r="U1084"/>
  <c r="U2000"/>
  <c r="U1997"/>
  <c r="U1013"/>
  <c r="U998"/>
  <c r="U815"/>
  <c r="U668"/>
  <c r="U1786"/>
  <c r="U1603"/>
  <c r="U1600"/>
  <c r="U1601"/>
  <c r="U605"/>
  <c r="U530"/>
  <c r="U319"/>
  <c r="U96"/>
  <c r="U1268"/>
  <c r="U980"/>
  <c r="U1384"/>
  <c r="U136"/>
  <c r="U1588"/>
  <c r="U1126"/>
  <c r="U84"/>
  <c r="U1192"/>
  <c r="U314"/>
  <c r="U1746"/>
  <c r="U2077"/>
  <c r="U138"/>
  <c r="U1606"/>
  <c r="U77"/>
  <c r="U1374"/>
  <c r="U1207"/>
  <c r="U1204"/>
  <c r="U1201"/>
  <c r="U113"/>
  <c r="U1067"/>
  <c r="U916"/>
  <c r="U2050"/>
  <c r="U1839"/>
  <c r="U1836"/>
  <c r="U1833"/>
  <c r="U849"/>
  <c r="U830"/>
  <c r="U651"/>
  <c r="U396"/>
  <c r="U1618"/>
  <c r="U1439"/>
  <c r="U1436"/>
  <c r="U1433"/>
  <c r="U365"/>
  <c r="U286"/>
  <c r="U131"/>
  <c r="U2161"/>
  <c r="U1202"/>
  <c r="U2068"/>
  <c r="U2065"/>
  <c r="U1089"/>
  <c r="U1090"/>
  <c r="U887"/>
  <c r="U736"/>
  <c r="U1858"/>
  <c r="U1675"/>
  <c r="U1672"/>
  <c r="U1669"/>
  <c r="U685"/>
  <c r="U650"/>
  <c r="U399"/>
  <c r="U164"/>
  <c r="U1446"/>
  <c r="U1275"/>
  <c r="U1272"/>
  <c r="U1269"/>
  <c r="U181"/>
  <c r="U102"/>
  <c r="U984"/>
  <c r="U2007"/>
  <c r="U1907"/>
  <c r="U1904"/>
  <c r="U1901"/>
  <c r="U917"/>
  <c r="U902"/>
  <c r="U719"/>
  <c r="U524"/>
  <c r="U1686"/>
  <c r="U1507"/>
  <c r="U1504"/>
  <c r="U1501"/>
  <c r="U489"/>
  <c r="U382"/>
  <c r="U199"/>
  <c r="U2151"/>
  <c r="U1274"/>
  <c r="U2144"/>
  <c r="U2133"/>
  <c r="U1157"/>
  <c r="U1158"/>
  <c r="U955"/>
  <c r="U812"/>
  <c r="U1926"/>
  <c r="U1743"/>
  <c r="U1740"/>
  <c r="U1737"/>
  <c r="U753"/>
  <c r="U722"/>
  <c r="U507"/>
  <c r="U232"/>
  <c r="U1514"/>
  <c r="U1343"/>
  <c r="U1340"/>
  <c r="U1337"/>
  <c r="U257"/>
  <c r="U170"/>
  <c r="U35"/>
  <c r="U2158"/>
  <c r="U1975"/>
  <c r="U1972"/>
  <c r="U1969"/>
  <c r="U985"/>
  <c r="U970"/>
  <c r="U787"/>
  <c r="U640"/>
  <c r="U1758"/>
  <c r="U1575"/>
  <c r="U1572"/>
  <c r="U1569"/>
  <c r="U569"/>
  <c r="U478"/>
  <c r="U279"/>
  <c r="U68"/>
  <c r="U1342"/>
  <c r="U1179"/>
  <c r="U1176"/>
  <c r="U1171"/>
  <c r="U85"/>
  <c r="U1023"/>
  <c r="U888"/>
  <c r="U1994"/>
  <c r="U1811"/>
  <c r="U1808"/>
  <c r="U1805"/>
  <c r="U402"/>
  <c r="U1238"/>
  <c r="U1451"/>
  <c r="U143"/>
  <c r="U376"/>
  <c r="U1015"/>
  <c r="U1656"/>
  <c r="U626"/>
  <c r="U148"/>
  <c r="U1256"/>
  <c r="U165"/>
  <c r="U968"/>
  <c r="U1888"/>
  <c r="U901"/>
  <c r="U703"/>
  <c r="U1670"/>
  <c r="U1488"/>
  <c r="U465"/>
  <c r="U358"/>
  <c r="U2119"/>
  <c r="U1258"/>
  <c r="U2128"/>
  <c r="U2117"/>
  <c r="U1141"/>
  <c r="U1142"/>
  <c r="U939"/>
  <c r="U796"/>
  <c r="U1910"/>
  <c r="U1727"/>
  <c r="U1724"/>
  <c r="U1721"/>
  <c r="U737"/>
  <c r="U706"/>
  <c r="U483"/>
  <c r="U216"/>
  <c r="U1498"/>
  <c r="U1327"/>
  <c r="U1324"/>
  <c r="U1321"/>
  <c r="U233"/>
  <c r="U154"/>
  <c r="U1052"/>
  <c r="U2131"/>
  <c r="U1959"/>
  <c r="U1956"/>
  <c r="U1953"/>
  <c r="U969"/>
  <c r="U954"/>
  <c r="U771"/>
  <c r="U612"/>
  <c r="U1738"/>
  <c r="U1559"/>
  <c r="U1556"/>
  <c r="U1553"/>
  <c r="U549"/>
  <c r="U462"/>
  <c r="U255"/>
  <c r="U52"/>
  <c r="U1326"/>
  <c r="U1151"/>
  <c r="U1144"/>
  <c r="U1139"/>
  <c r="U69"/>
  <c r="U1007"/>
  <c r="U872"/>
  <c r="U1978"/>
  <c r="U1795"/>
  <c r="U1792"/>
  <c r="U1789"/>
  <c r="U805"/>
  <c r="U782"/>
  <c r="U583"/>
  <c r="U332"/>
  <c r="U1566"/>
  <c r="U1395"/>
  <c r="U1392"/>
  <c r="U1389"/>
  <c r="U321"/>
  <c r="U222"/>
  <c r="U87"/>
  <c r="U2114"/>
  <c r="U1132"/>
  <c r="U2024"/>
  <c r="U2021"/>
  <c r="U1041"/>
  <c r="U1034"/>
  <c r="U843"/>
  <c r="U692"/>
  <c r="U1814"/>
  <c r="U1627"/>
  <c r="U1624"/>
  <c r="U1625"/>
  <c r="U641"/>
  <c r="U562"/>
  <c r="U343"/>
  <c r="U120"/>
  <c r="U1398"/>
  <c r="U1231"/>
  <c r="U1228"/>
  <c r="U1225"/>
  <c r="U137"/>
  <c r="U58"/>
  <c r="U940"/>
  <c r="U2118"/>
  <c r="U1863"/>
  <c r="U1860"/>
  <c r="U1857"/>
  <c r="U873"/>
  <c r="U858"/>
  <c r="U675"/>
  <c r="U448"/>
  <c r="U2040"/>
  <c r="U98"/>
  <c r="U1387"/>
  <c r="U214"/>
  <c r="U1335"/>
  <c r="U861"/>
  <c r="U1064"/>
  <c r="U1708"/>
  <c r="U101"/>
  <c r="U2003"/>
  <c r="U1564"/>
  <c r="U1102"/>
  <c r="U2079"/>
  <c r="U1160"/>
  <c r="U1642"/>
  <c r="U1463"/>
  <c r="U1460"/>
  <c r="U1457"/>
  <c r="U417"/>
  <c r="U330"/>
  <c r="U155"/>
  <c r="U2027"/>
  <c r="U1226"/>
  <c r="U2092"/>
  <c r="U2089"/>
  <c r="U1113"/>
  <c r="U1114"/>
  <c r="U911"/>
  <c r="U760"/>
  <c r="U1882"/>
  <c r="U1699"/>
  <c r="U1696"/>
  <c r="U1693"/>
  <c r="U709"/>
  <c r="U674"/>
  <c r="U443"/>
  <c r="U188"/>
  <c r="U1470"/>
  <c r="U1299"/>
  <c r="U1296"/>
  <c r="U1293"/>
  <c r="U205"/>
  <c r="U126"/>
  <c r="U1008"/>
  <c r="U2087"/>
  <c r="U1931"/>
  <c r="U1928"/>
  <c r="U1925"/>
  <c r="U941"/>
  <c r="U926"/>
  <c r="U743"/>
  <c r="U560"/>
  <c r="U1710"/>
  <c r="U1531"/>
  <c r="U1528"/>
  <c r="U1525"/>
  <c r="U517"/>
  <c r="U406"/>
  <c r="U223"/>
  <c r="U2160"/>
  <c r="U1298"/>
  <c r="U1095"/>
  <c r="U1080"/>
  <c r="U1083"/>
  <c r="U41"/>
  <c r="U979"/>
  <c r="U844"/>
  <c r="U1950"/>
  <c r="U1767"/>
  <c r="U1764"/>
  <c r="U1761"/>
  <c r="U777"/>
  <c r="U746"/>
  <c r="U535"/>
  <c r="U284"/>
  <c r="U1538"/>
  <c r="U1367"/>
  <c r="U1364"/>
  <c r="U1361"/>
  <c r="U281"/>
  <c r="U194"/>
  <c r="U59"/>
  <c r="U1998"/>
  <c r="U1076"/>
  <c r="U1996"/>
  <c r="U1993"/>
  <c r="U1009"/>
  <c r="U994"/>
  <c r="U811"/>
  <c r="U664"/>
  <c r="U1782"/>
  <c r="U1599"/>
  <c r="U1596"/>
  <c r="U1597"/>
  <c r="U601"/>
  <c r="U518"/>
  <c r="U311"/>
  <c r="U92"/>
  <c r="U1370"/>
  <c r="U1203"/>
  <c r="U1200"/>
  <c r="U1197"/>
  <c r="U109"/>
  <c r="U1063"/>
  <c r="U912"/>
  <c r="U2042"/>
  <c r="U1835"/>
  <c r="U1832"/>
  <c r="U1829"/>
  <c r="U845"/>
  <c r="U826"/>
  <c r="U647"/>
  <c r="U392"/>
  <c r="U1614"/>
  <c r="U1435"/>
  <c r="U1432"/>
  <c r="U1429"/>
  <c r="U361"/>
  <c r="U282"/>
  <c r="U127"/>
  <c r="U2157"/>
  <c r="U1198"/>
  <c r="U2064"/>
  <c r="U2061"/>
  <c r="U1853"/>
  <c r="U869"/>
  <c r="U854"/>
  <c r="U671"/>
  <c r="U428"/>
  <c r="U1638"/>
  <c r="U1459"/>
  <c r="U1456"/>
  <c r="U1453"/>
  <c r="U405"/>
  <c r="U326"/>
  <c r="U151"/>
  <c r="U2051"/>
  <c r="U1222"/>
  <c r="U2088"/>
  <c r="U2085"/>
  <c r="U1109"/>
  <c r="U1110"/>
  <c r="U907"/>
  <c r="U756"/>
  <c r="U1878"/>
  <c r="U1695"/>
  <c r="U1692"/>
  <c r="U1689"/>
  <c r="U705"/>
  <c r="U670"/>
  <c r="U439"/>
  <c r="U184"/>
  <c r="U1466"/>
  <c r="U1295"/>
  <c r="U1292"/>
  <c r="U1289"/>
  <c r="U201"/>
  <c r="U122"/>
  <c r="U1004"/>
  <c r="U2047"/>
  <c r="U1927"/>
  <c r="U1924"/>
  <c r="U1921"/>
  <c r="U937"/>
  <c r="U922"/>
  <c r="U739"/>
  <c r="U548"/>
  <c r="U2037"/>
  <c r="U1999"/>
  <c r="U657"/>
  <c r="U1946"/>
  <c r="U1503"/>
  <c r="U1500"/>
  <c r="U1497"/>
  <c r="U481"/>
  <c r="U378"/>
  <c r="U195"/>
  <c r="U2111"/>
  <c r="U1270"/>
  <c r="U2140"/>
  <c r="U2129"/>
  <c r="U1153"/>
  <c r="U1154"/>
  <c r="U951"/>
  <c r="U808"/>
  <c r="U1922"/>
  <c r="U1739"/>
  <c r="U1736"/>
  <c r="U1733"/>
  <c r="U749"/>
  <c r="U718"/>
  <c r="U495"/>
  <c r="U228"/>
  <c r="U1510"/>
  <c r="U1339"/>
  <c r="U1336"/>
  <c r="U1333"/>
  <c r="U253"/>
  <c r="U166"/>
  <c r="U1068"/>
  <c r="U2154"/>
  <c r="U1971"/>
  <c r="U1968"/>
  <c r="U1965"/>
  <c r="U981"/>
  <c r="U966"/>
  <c r="U783"/>
  <c r="U636"/>
  <c r="U1750"/>
  <c r="U1571"/>
  <c r="U1568"/>
  <c r="U1565"/>
  <c r="U565"/>
  <c r="U474"/>
  <c r="U271"/>
  <c r="U64"/>
  <c r="U1338"/>
  <c r="U1175"/>
  <c r="U1168"/>
  <c r="U1163"/>
  <c r="U81"/>
  <c r="U1019"/>
  <c r="U884"/>
  <c r="U1990"/>
  <c r="U1807"/>
  <c r="U1804"/>
  <c r="U1801"/>
  <c r="U817"/>
  <c r="U798"/>
  <c r="U599"/>
  <c r="U348"/>
  <c r="U1578"/>
  <c r="U1407"/>
  <c r="U1404"/>
  <c r="U1401"/>
  <c r="U333"/>
  <c r="U234"/>
  <c r="U99"/>
  <c r="U2106"/>
  <c r="U1156"/>
  <c r="U2036"/>
  <c r="U2033"/>
  <c r="U1057"/>
  <c r="U1058"/>
  <c r="U855"/>
  <c r="U704"/>
  <c r="U1826"/>
  <c r="U1643"/>
  <c r="U1636"/>
  <c r="U1637"/>
  <c r="U653"/>
  <c r="U594"/>
  <c r="U359"/>
  <c r="U132"/>
  <c r="U1414"/>
  <c r="U1243"/>
  <c r="U1240"/>
  <c r="U1237"/>
  <c r="U149"/>
  <c r="U70"/>
  <c r="U952"/>
  <c r="U2142"/>
  <c r="U1875"/>
  <c r="U1872"/>
  <c r="U1869"/>
  <c r="U885"/>
  <c r="U870"/>
  <c r="U687"/>
  <c r="U460"/>
  <c r="U1654"/>
  <c r="U1475"/>
  <c r="U1472"/>
  <c r="U1469"/>
  <c r="U433"/>
  <c r="U342"/>
  <c r="U167"/>
  <c r="U1970"/>
  <c r="U797"/>
  <c r="U1294"/>
  <c r="U37"/>
  <c r="U1418"/>
  <c r="U2101"/>
  <c r="U416"/>
  <c r="U1961"/>
  <c r="U624"/>
  <c r="U1821"/>
  <c r="U60"/>
  <c r="U1681"/>
  <c r="U119"/>
  <c r="U2165"/>
  <c r="U1803"/>
  <c r="U1800"/>
  <c r="U1797"/>
  <c r="U813"/>
  <c r="U790"/>
  <c r="U595"/>
  <c r="U344"/>
  <c r="U1574"/>
  <c r="U1403"/>
  <c r="U1400"/>
  <c r="U1397"/>
  <c r="U329"/>
  <c r="U230"/>
  <c r="U95"/>
  <c r="U2099"/>
  <c r="U1148"/>
  <c r="U2032"/>
  <c r="U2029"/>
  <c r="U1053"/>
  <c r="U1046"/>
  <c r="U851"/>
  <c r="U700"/>
  <c r="U1822"/>
  <c r="U1635"/>
  <c r="U1632"/>
  <c r="U1633"/>
  <c r="U649"/>
  <c r="U590"/>
  <c r="U351"/>
  <c r="U128"/>
  <c r="U1410"/>
  <c r="U1239"/>
  <c r="U1236"/>
  <c r="U1233"/>
  <c r="U145"/>
  <c r="U66"/>
  <c r="U948"/>
  <c r="U2134"/>
  <c r="U1871"/>
  <c r="U1868"/>
  <c r="U1865"/>
  <c r="U881"/>
  <c r="U866"/>
  <c r="U683"/>
  <c r="U456"/>
  <c r="U1650"/>
  <c r="U1471"/>
  <c r="U1468"/>
  <c r="U1465"/>
  <c r="U425"/>
  <c r="U338"/>
  <c r="U163"/>
  <c r="U2043"/>
  <c r="U1234"/>
  <c r="U2108"/>
  <c r="U2097"/>
  <c r="U1121"/>
  <c r="U1122"/>
  <c r="U919"/>
  <c r="U772"/>
  <c r="U1890"/>
  <c r="U1707"/>
  <c r="U1704"/>
  <c r="U1701"/>
  <c r="U717"/>
  <c r="U682"/>
  <c r="U459"/>
  <c r="U196"/>
  <c r="U1478"/>
  <c r="U1307"/>
  <c r="U1304"/>
  <c r="U1301"/>
  <c r="U213"/>
  <c r="U134"/>
  <c r="U1016"/>
  <c r="U2071"/>
  <c r="U1939"/>
  <c r="U1936"/>
  <c r="U1933"/>
  <c r="U949"/>
  <c r="U934"/>
  <c r="U751"/>
  <c r="U572"/>
  <c r="U1718"/>
  <c r="U1539"/>
  <c r="U1536"/>
  <c r="U1533"/>
  <c r="U525"/>
  <c r="U422"/>
  <c r="U231"/>
  <c r="U1133"/>
  <c r="U1134"/>
  <c r="U931"/>
  <c r="U784"/>
  <c r="U1902"/>
  <c r="U1719"/>
  <c r="U1716"/>
  <c r="U1713"/>
  <c r="U729"/>
  <c r="U698"/>
  <c r="U475"/>
  <c r="U208"/>
  <c r="U1490"/>
  <c r="U1319"/>
  <c r="U1316"/>
  <c r="U1313"/>
  <c r="U225"/>
  <c r="U146"/>
  <c r="U1044"/>
  <c r="U2107"/>
  <c r="U1951"/>
  <c r="U1948"/>
  <c r="U1945"/>
  <c r="U961"/>
  <c r="U946"/>
  <c r="U763"/>
  <c r="U596"/>
  <c r="U1730"/>
  <c r="U1551"/>
  <c r="U1548"/>
  <c r="U1545"/>
  <c r="U537"/>
  <c r="U446"/>
  <c r="U243"/>
  <c r="U44"/>
  <c r="U1318"/>
  <c r="U1135"/>
  <c r="U1128"/>
  <c r="U1123"/>
  <c r="U61"/>
  <c r="U999"/>
  <c r="U864"/>
  <c r="U1271"/>
  <c r="U559"/>
  <c r="U1897"/>
  <c r="U520"/>
  <c r="U1763"/>
  <c r="U1760"/>
  <c r="U1757"/>
  <c r="U773"/>
  <c r="U742"/>
  <c r="U531"/>
  <c r="U280"/>
  <c r="U1534"/>
  <c r="U1363"/>
  <c r="U1360"/>
  <c r="U1357"/>
  <c r="U277"/>
  <c r="U190"/>
  <c r="U55"/>
  <c r="U2054"/>
  <c r="U1995"/>
  <c r="U1992"/>
  <c r="U1989"/>
  <c r="U1005"/>
  <c r="U990"/>
  <c r="U807"/>
  <c r="U660"/>
  <c r="U1778"/>
  <c r="U1595"/>
  <c r="U1592"/>
  <c r="U1589"/>
  <c r="U597"/>
  <c r="U510"/>
  <c r="U303"/>
  <c r="U88"/>
  <c r="U1366"/>
  <c r="U1199"/>
  <c r="U1196"/>
  <c r="U1193"/>
  <c r="U105"/>
  <c r="U1059"/>
  <c r="U908"/>
  <c r="U2034"/>
  <c r="U1831"/>
  <c r="U1828"/>
  <c r="U1825"/>
  <c r="U841"/>
  <c r="U822"/>
  <c r="U643"/>
  <c r="U384"/>
  <c r="U1610"/>
  <c r="U1431"/>
  <c r="U1428"/>
  <c r="U1425"/>
  <c r="U357"/>
  <c r="U278"/>
  <c r="U123"/>
  <c r="U2122"/>
  <c r="U1194"/>
  <c r="U2060"/>
  <c r="U2057"/>
  <c r="U1081"/>
  <c r="U1082"/>
  <c r="U879"/>
  <c r="U728"/>
  <c r="U1850"/>
  <c r="U1667"/>
  <c r="U1664"/>
  <c r="U1661"/>
  <c r="U677"/>
  <c r="U642"/>
  <c r="U383"/>
  <c r="U156"/>
  <c r="U1438"/>
  <c r="U1267"/>
  <c r="U1264"/>
  <c r="U1261"/>
  <c r="U173"/>
  <c r="U94"/>
  <c r="U976"/>
  <c r="U2023"/>
  <c r="U1899"/>
  <c r="U1896"/>
  <c r="U1893"/>
  <c r="U909"/>
  <c r="U894"/>
  <c r="U711"/>
  <c r="U504"/>
  <c r="U1678"/>
  <c r="U1499"/>
  <c r="U1496"/>
  <c r="U1493"/>
  <c r="U477"/>
  <c r="U366"/>
  <c r="U191"/>
  <c r="U2098"/>
  <c r="U1266"/>
  <c r="U2136"/>
  <c r="U2125"/>
  <c r="U1149"/>
  <c r="U1150"/>
  <c r="U947"/>
  <c r="U804"/>
  <c r="U1918"/>
  <c r="U1735"/>
  <c r="U1732"/>
  <c r="U1729"/>
  <c r="U745"/>
  <c r="U714"/>
  <c r="U491"/>
  <c r="U224"/>
  <c r="U1781"/>
  <c r="U324"/>
  <c r="U1075"/>
  <c r="U840"/>
  <c r="U2112"/>
  <c r="U923"/>
  <c r="U1964"/>
  <c r="U779"/>
  <c r="U1824"/>
  <c r="U1020"/>
  <c r="U1424"/>
  <c r="U755"/>
  <c r="U176"/>
  <c r="U1190"/>
  <c r="U2056"/>
  <c r="U2053"/>
  <c r="U1077"/>
  <c r="U1078"/>
  <c r="U875"/>
  <c r="U724"/>
  <c r="U1846"/>
  <c r="U1663"/>
  <c r="U1660"/>
  <c r="U1657"/>
  <c r="U673"/>
  <c r="U630"/>
  <c r="U379"/>
  <c r="U152"/>
  <c r="U1434"/>
  <c r="U1263"/>
  <c r="U1260"/>
  <c r="U1257"/>
  <c r="U169"/>
  <c r="U90"/>
  <c r="U972"/>
  <c r="U2167"/>
  <c r="U1895"/>
  <c r="U1892"/>
  <c r="U1889"/>
  <c r="U905"/>
  <c r="U890"/>
  <c r="U707"/>
  <c r="U492"/>
  <c r="U1674"/>
  <c r="U1495"/>
  <c r="U1492"/>
  <c r="U1489"/>
  <c r="U473"/>
  <c r="U362"/>
  <c r="U187"/>
  <c r="U2091"/>
  <c r="U1262"/>
  <c r="U2132"/>
  <c r="U2121"/>
  <c r="U1145"/>
  <c r="U1146"/>
  <c r="U943"/>
  <c r="U800"/>
  <c r="U1914"/>
  <c r="U1731"/>
  <c r="U1728"/>
  <c r="U1725"/>
  <c r="U741"/>
  <c r="U710"/>
  <c r="U487"/>
  <c r="U220"/>
  <c r="U1502"/>
  <c r="U1331"/>
  <c r="U1328"/>
  <c r="U1325"/>
  <c r="U237"/>
  <c r="U158"/>
  <c r="U1060"/>
  <c r="U2162"/>
  <c r="U1963"/>
  <c r="U1960"/>
  <c r="U1957"/>
  <c r="U973"/>
  <c r="U958"/>
  <c r="U775"/>
  <c r="U616"/>
  <c r="U1742"/>
  <c r="U1563"/>
  <c r="U1560"/>
  <c r="U1557"/>
  <c r="U553"/>
  <c r="U466"/>
  <c r="U263"/>
  <c r="U56"/>
  <c r="U1330"/>
  <c r="U1159"/>
  <c r="U1152"/>
  <c r="U1147"/>
  <c r="U73"/>
  <c r="U1011"/>
  <c r="U876"/>
  <c r="U1982"/>
  <c r="U1799"/>
  <c r="U1796"/>
  <c r="U1793"/>
  <c r="U809"/>
  <c r="U786"/>
  <c r="U591"/>
  <c r="U336"/>
  <c r="U821"/>
  <c r="U802"/>
  <c r="U611"/>
  <c r="U352"/>
  <c r="U1582"/>
  <c r="U1411"/>
  <c r="U1408"/>
  <c r="U1405"/>
  <c r="U337"/>
  <c r="U238"/>
  <c r="U103"/>
  <c r="U1706"/>
  <c r="U1062"/>
  <c r="U1900"/>
  <c r="U79"/>
  <c r="U1116"/>
  <c r="U2016"/>
  <c r="U2013"/>
  <c r="U1033"/>
  <c r="U1014"/>
  <c r="U835"/>
  <c r="U684"/>
  <c r="U1802"/>
  <c r="U1619"/>
  <c r="U1616"/>
  <c r="U1617"/>
  <c r="U625"/>
  <c r="U554"/>
  <c r="U335"/>
  <c r="U112"/>
  <c r="U1390"/>
  <c r="U1223"/>
  <c r="U1220"/>
  <c r="U1217"/>
  <c r="U129"/>
  <c r="U50"/>
  <c r="U932"/>
  <c r="U2082"/>
  <c r="U1855"/>
  <c r="U1852"/>
  <c r="U1849"/>
  <c r="U865"/>
  <c r="U850"/>
  <c r="U667"/>
  <c r="U420"/>
  <c r="U1634"/>
  <c r="U1455"/>
  <c r="U1452"/>
  <c r="U1449"/>
  <c r="U397"/>
  <c r="U322"/>
  <c r="U147"/>
  <c r="U2011"/>
  <c r="U1218"/>
  <c r="U2084"/>
  <c r="U2081"/>
  <c r="U1105"/>
  <c r="U1106"/>
  <c r="U903"/>
  <c r="U752"/>
  <c r="U1874"/>
  <c r="U1691"/>
  <c r="U1688"/>
  <c r="U1685"/>
  <c r="U701"/>
  <c r="U666"/>
  <c r="U431"/>
  <c r="U180"/>
  <c r="U1462"/>
  <c r="U1291"/>
  <c r="U1288"/>
  <c r="U1285"/>
  <c r="U197"/>
  <c r="U118"/>
  <c r="U1000"/>
  <c r="U2039"/>
  <c r="U1923"/>
  <c r="U1920"/>
  <c r="U1917"/>
  <c r="U933"/>
  <c r="U918"/>
  <c r="U735"/>
  <c r="U544"/>
  <c r="U1702"/>
  <c r="U1523"/>
  <c r="U1520"/>
  <c r="U1517"/>
  <c r="U505"/>
  <c r="U398"/>
  <c r="U215"/>
  <c r="U2168"/>
  <c r="U1290"/>
  <c r="U1079"/>
  <c r="U2149"/>
  <c r="U1173"/>
  <c r="U1174"/>
  <c r="U971"/>
  <c r="U836"/>
  <c r="U1942"/>
  <c r="U1759"/>
  <c r="U1756"/>
  <c r="U1753"/>
  <c r="U769"/>
  <c r="U738"/>
  <c r="U527"/>
  <c r="U272"/>
  <c r="U1530"/>
  <c r="U1359"/>
  <c r="U1356"/>
  <c r="U1353"/>
  <c r="U273"/>
  <c r="U186"/>
  <c r="U51"/>
  <c r="U2014"/>
  <c r="U1991"/>
  <c r="U1988"/>
  <c r="U1985"/>
  <c r="U1001"/>
  <c r="U986"/>
  <c r="U803"/>
  <c r="U656"/>
  <c r="U1784"/>
  <c r="U859"/>
  <c r="U1072"/>
  <c r="U363"/>
  <c r="U1506"/>
  <c r="U241"/>
  <c r="U1967"/>
  <c r="U962"/>
  <c r="U1567"/>
  <c r="U470"/>
  <c r="U1167"/>
  <c r="U662"/>
  <c r="U576"/>
  <c r="U1458"/>
  <c r="U1287"/>
  <c r="U1284"/>
  <c r="U1281"/>
  <c r="U193"/>
  <c r="U114"/>
  <c r="U996"/>
  <c r="U2031"/>
  <c r="U1919"/>
  <c r="U1916"/>
  <c r="U1913"/>
  <c r="U929"/>
  <c r="U914"/>
  <c r="U731"/>
  <c r="U540"/>
  <c r="U1698"/>
  <c r="U1519"/>
  <c r="U1516"/>
  <c r="U1513"/>
  <c r="U501"/>
  <c r="U394"/>
  <c r="U211"/>
  <c r="U2143"/>
  <c r="U1286"/>
  <c r="U1071"/>
  <c r="U2145"/>
  <c r="U1169"/>
  <c r="U1170"/>
  <c r="U967"/>
  <c r="U824"/>
  <c r="U1938"/>
  <c r="U1755"/>
  <c r="U1752"/>
  <c r="U1749"/>
  <c r="U765"/>
  <c r="U734"/>
  <c r="U523"/>
  <c r="U252"/>
  <c r="U1526"/>
  <c r="U1355"/>
  <c r="U1352"/>
  <c r="U1349"/>
  <c r="U269"/>
  <c r="U182"/>
  <c r="U47"/>
  <c r="U2006"/>
  <c r="U1987"/>
  <c r="U1984"/>
  <c r="U1981"/>
  <c r="U997"/>
  <c r="U982"/>
  <c r="U799"/>
  <c r="U652"/>
  <c r="U1770"/>
  <c r="U1587"/>
  <c r="U1584"/>
  <c r="U1581"/>
  <c r="U589"/>
  <c r="U494"/>
  <c r="U295"/>
  <c r="U80"/>
  <c r="U1358"/>
  <c r="U1191"/>
  <c r="U1188"/>
  <c r="U1185"/>
  <c r="U97"/>
  <c r="U1051"/>
  <c r="U900"/>
  <c r="U2018"/>
  <c r="U1823"/>
  <c r="U1820"/>
  <c r="U1817"/>
  <c r="U833"/>
  <c r="U814"/>
  <c r="U631"/>
  <c r="U368"/>
  <c r="U1602"/>
  <c r="U1423"/>
  <c r="U1420"/>
  <c r="U1417"/>
  <c r="U349"/>
  <c r="U266"/>
  <c r="U115"/>
  <c r="U2138"/>
  <c r="U1182"/>
  <c r="U2052"/>
  <c r="U2049"/>
  <c r="U1073"/>
  <c r="U1074"/>
  <c r="U871"/>
  <c r="U720"/>
  <c r="U1085"/>
  <c r="U1086"/>
  <c r="U883"/>
  <c r="U732"/>
  <c r="U1854"/>
  <c r="U1671"/>
  <c r="U1668"/>
  <c r="U1665"/>
  <c r="U681"/>
  <c r="U646"/>
  <c r="U387"/>
  <c r="U160"/>
  <c r="U1061"/>
  <c r="U1903"/>
  <c r="U975"/>
  <c r="U1682"/>
  <c r="U1247"/>
  <c r="U1244"/>
  <c r="U1241"/>
  <c r="U153"/>
  <c r="U74"/>
  <c r="U956"/>
  <c r="U2150"/>
  <c r="U1879"/>
  <c r="U1876"/>
  <c r="U1873"/>
  <c r="U889"/>
  <c r="U874"/>
  <c r="U691"/>
  <c r="U476"/>
  <c r="U1658"/>
  <c r="U1479"/>
  <c r="U1476"/>
  <c r="U1473"/>
  <c r="U437"/>
  <c r="U346"/>
  <c r="U171"/>
  <c r="U2059"/>
  <c r="U1242"/>
  <c r="U2116"/>
  <c r="U2105"/>
  <c r="U1129"/>
  <c r="U1130"/>
  <c r="U927"/>
  <c r="U780"/>
  <c r="U1898"/>
  <c r="U1715"/>
  <c r="U1712"/>
  <c r="U1709"/>
  <c r="U725"/>
  <c r="U694"/>
  <c r="U467"/>
  <c r="U204"/>
  <c r="U1486"/>
  <c r="U1315"/>
  <c r="U1312"/>
  <c r="U1309"/>
  <c r="U221"/>
  <c r="U142"/>
  <c r="U1024"/>
  <c r="U2139"/>
  <c r="U1947"/>
  <c r="U1944"/>
  <c r="U1941"/>
  <c r="U957"/>
  <c r="U942"/>
  <c r="U759"/>
  <c r="U592"/>
  <c r="U1726"/>
  <c r="U1547"/>
  <c r="U1544"/>
  <c r="U1541"/>
  <c r="U533"/>
  <c r="U434"/>
  <c r="U239"/>
  <c r="U40"/>
  <c r="U1314"/>
  <c r="U1127"/>
  <c r="U1120"/>
  <c r="U1115"/>
  <c r="U57"/>
  <c r="U995"/>
  <c r="U860"/>
  <c r="U1966"/>
  <c r="U1783"/>
  <c r="U1780"/>
  <c r="U1777"/>
  <c r="U793"/>
  <c r="U766"/>
  <c r="U555"/>
  <c r="U320"/>
  <c r="U1554"/>
  <c r="U1383"/>
  <c r="U1380"/>
  <c r="U1377"/>
  <c r="U305"/>
  <c r="U210"/>
  <c r="U75"/>
  <c r="U2030"/>
  <c r="U1108"/>
  <c r="U2012"/>
  <c r="U2009"/>
  <c r="U1025"/>
  <c r="U1010"/>
  <c r="U831"/>
  <c r="U680"/>
  <c r="U1798"/>
  <c r="U1615"/>
  <c r="U1612"/>
  <c r="U1613"/>
  <c r="U621"/>
  <c r="U550"/>
  <c r="U331"/>
  <c r="U108"/>
  <c r="U1386"/>
  <c r="U1219"/>
  <c r="U1216"/>
  <c r="U1213"/>
  <c r="U125"/>
  <c r="U46"/>
  <c r="U928"/>
  <c r="U1787"/>
  <c r="U770"/>
  <c r="U1087"/>
  <c r="U598"/>
  <c r="U2083"/>
  <c r="U1125"/>
  <c r="U1894"/>
  <c r="U1189"/>
  <c r="U1482"/>
  <c r="U837"/>
  <c r="U1943"/>
  <c r="U697"/>
  <c r="U880"/>
  <c r="U1722"/>
  <c r="U1543"/>
  <c r="U1540"/>
  <c r="U1537"/>
  <c r="U529"/>
  <c r="U430"/>
  <c r="U235"/>
  <c r="U36"/>
  <c r="U1310"/>
  <c r="U1119"/>
  <c r="U1112"/>
  <c r="U1107"/>
  <c r="U53"/>
  <c r="U991"/>
  <c r="U856"/>
  <c r="U1962"/>
  <c r="U1779"/>
  <c r="U1776"/>
  <c r="U1773"/>
  <c r="U789"/>
  <c r="U762"/>
  <c r="U551"/>
  <c r="U308"/>
  <c r="U1550"/>
  <c r="U1379"/>
  <c r="U1376"/>
  <c r="U1373"/>
  <c r="U293"/>
  <c r="U206"/>
  <c r="U71"/>
  <c r="U2086"/>
  <c r="U1100"/>
  <c r="U2008"/>
  <c r="U2005"/>
  <c r="U1021"/>
  <c r="U1006"/>
  <c r="U823"/>
  <c r="U676"/>
  <c r="U1794"/>
  <c r="U1611"/>
  <c r="U1608"/>
  <c r="U1609"/>
  <c r="U617"/>
  <c r="U538"/>
  <c r="U327"/>
  <c r="U104"/>
  <c r="U1382"/>
  <c r="U1215"/>
  <c r="U1212"/>
  <c r="U1209"/>
  <c r="U121"/>
  <c r="U42"/>
  <c r="U924"/>
  <c r="U2066"/>
  <c r="U1847"/>
  <c r="U1844"/>
  <c r="U1841"/>
  <c r="U857"/>
  <c r="U842"/>
  <c r="U659"/>
  <c r="U408"/>
  <c r="U1626"/>
  <c r="U1447"/>
  <c r="U1444"/>
  <c r="U1441"/>
  <c r="U373"/>
  <c r="U302"/>
  <c r="U139"/>
  <c r="U2153"/>
  <c r="U1210"/>
  <c r="U2076"/>
  <c r="U2073"/>
  <c r="U1097"/>
  <c r="U1098"/>
  <c r="U895"/>
  <c r="U744"/>
  <c r="U1866"/>
  <c r="U1683"/>
  <c r="U1680"/>
  <c r="U1677"/>
  <c r="U693"/>
  <c r="U658"/>
  <c r="U419"/>
  <c r="U172"/>
  <c r="U1454"/>
  <c r="U1283"/>
  <c r="U1280"/>
  <c r="U1277"/>
  <c r="U189"/>
  <c r="U110"/>
  <c r="U992"/>
  <c r="U5"/>
  <c r="R35"/>
  <c r="V35" s="1"/>
  <c r="R39"/>
  <c r="V39" s="1"/>
  <c r="R43"/>
  <c r="V43" s="1"/>
  <c r="R47"/>
  <c r="V47" s="1"/>
  <c r="R51"/>
  <c r="V51" s="1"/>
  <c r="T51" s="1"/>
  <c r="S51" s="1" a="1"/>
  <c r="S51" s="1"/>
  <c r="R55"/>
  <c r="V55" s="1"/>
  <c r="T55" s="1"/>
  <c r="S55" s="1" a="1"/>
  <c r="S55" s="1"/>
  <c r="R59"/>
  <c r="V59" s="1"/>
  <c r="R63"/>
  <c r="V63" s="1"/>
  <c r="R67"/>
  <c r="V67" s="1"/>
  <c r="T67" s="1"/>
  <c r="S67" s="1" a="1"/>
  <c r="S67" s="1"/>
  <c r="R71"/>
  <c r="V71" s="1"/>
  <c r="T71" s="1"/>
  <c r="S71" s="1" a="1"/>
  <c r="S71" s="1"/>
  <c r="R75"/>
  <c r="V75" s="1"/>
  <c r="R79"/>
  <c r="V79" s="1"/>
  <c r="T79" s="1"/>
  <c r="S79" s="1" a="1"/>
  <c r="S79" s="1"/>
  <c r="R83"/>
  <c r="V83" s="1"/>
  <c r="T83" s="1"/>
  <c r="S83" s="1" a="1"/>
  <c r="S83" s="1"/>
  <c r="R87"/>
  <c r="V87" s="1"/>
  <c r="T87" s="1"/>
  <c r="S87" s="1" a="1"/>
  <c r="S87" s="1"/>
  <c r="R91"/>
  <c r="V91" s="1"/>
  <c r="R95"/>
  <c r="V95" s="1"/>
  <c r="T95" s="1"/>
  <c r="S95" s="1" a="1"/>
  <c r="S95" s="1"/>
  <c r="R99"/>
  <c r="V99" s="1"/>
  <c r="R103"/>
  <c r="V103" s="1"/>
  <c r="R107"/>
  <c r="V107" s="1"/>
  <c r="R111"/>
  <c r="V111" s="1"/>
  <c r="R115"/>
  <c r="V115" s="1"/>
  <c r="T115" s="1"/>
  <c r="S115" s="1" a="1"/>
  <c r="S115" s="1"/>
  <c r="R119"/>
  <c r="V119" s="1"/>
  <c r="T119" s="1"/>
  <c r="S119" s="1" a="1"/>
  <c r="S119" s="1"/>
  <c r="R123"/>
  <c r="V123" s="1"/>
  <c r="T123" s="1"/>
  <c r="S123" s="1" a="1"/>
  <c r="S123" s="1"/>
  <c r="R127"/>
  <c r="V127" s="1"/>
  <c r="T127" s="1"/>
  <c r="S127" s="1" a="1"/>
  <c r="S127" s="1"/>
  <c r="R131"/>
  <c r="V131" s="1"/>
  <c r="R135"/>
  <c r="V135" s="1"/>
  <c r="R139"/>
  <c r="V139" s="1"/>
  <c r="R143"/>
  <c r="V143" s="1"/>
  <c r="R147"/>
  <c r="V147" s="1"/>
  <c r="T147" s="1"/>
  <c r="S147" s="1" a="1"/>
  <c r="S147" s="1"/>
  <c r="R151"/>
  <c r="V151" s="1"/>
  <c r="T151" s="1"/>
  <c r="S151" s="1" a="1"/>
  <c r="S151" s="1"/>
  <c r="R155"/>
  <c r="V155" s="1"/>
  <c r="R159"/>
  <c r="V159" s="1"/>
  <c r="T159" s="1"/>
  <c r="S159" s="1" a="1"/>
  <c r="S159" s="1"/>
  <c r="R163"/>
  <c r="V163" s="1"/>
  <c r="R167"/>
  <c r="V167" s="1"/>
  <c r="R171"/>
  <c r="V171" s="1"/>
  <c r="T171" s="1"/>
  <c r="S171" s="1" a="1"/>
  <c r="S171" s="1"/>
  <c r="R175"/>
  <c r="V175" s="1"/>
  <c r="R179"/>
  <c r="V179" s="1"/>
  <c r="T179" s="1"/>
  <c r="S179" s="1" a="1"/>
  <c r="S179" s="1"/>
  <c r="R183"/>
  <c r="V183" s="1"/>
  <c r="T183" s="1"/>
  <c r="S183" s="1" a="1"/>
  <c r="S183" s="1"/>
  <c r="R187"/>
  <c r="V187" s="1"/>
  <c r="T187" s="1"/>
  <c r="S187" s="1" a="1"/>
  <c r="S187" s="1"/>
  <c r="R191"/>
  <c r="V191" s="1"/>
  <c r="R195"/>
  <c r="V195" s="1"/>
  <c r="R199"/>
  <c r="V199" s="1"/>
  <c r="R203"/>
  <c r="V203" s="1"/>
  <c r="R207"/>
  <c r="V207" s="1"/>
  <c r="R211"/>
  <c r="V211" s="1"/>
  <c r="T211" s="1"/>
  <c r="S211" s="1" a="1"/>
  <c r="S211" s="1"/>
  <c r="R215"/>
  <c r="V215" s="1"/>
  <c r="R219"/>
  <c r="V219" s="1"/>
  <c r="R223"/>
  <c r="V223" s="1"/>
  <c r="R227"/>
  <c r="V227" s="1"/>
  <c r="R231"/>
  <c r="V231" s="1"/>
  <c r="R235"/>
  <c r="V235" s="1"/>
  <c r="T235" s="1"/>
  <c r="S235" s="1" a="1"/>
  <c r="S235" s="1"/>
  <c r="R239"/>
  <c r="V239" s="1"/>
  <c r="T239" s="1"/>
  <c r="S239" s="1" a="1"/>
  <c r="S239" s="1"/>
  <c r="R243"/>
  <c r="V243" s="1"/>
  <c r="R247"/>
  <c r="V247" s="1"/>
  <c r="T247" s="1"/>
  <c r="R251"/>
  <c r="V251" s="1"/>
  <c r="T251" s="1"/>
  <c r="S251" s="1" a="1"/>
  <c r="S251" s="1"/>
  <c r="R255"/>
  <c r="V255" s="1"/>
  <c r="T255" s="1"/>
  <c r="S255" s="1" a="1"/>
  <c r="S255" s="1"/>
  <c r="R259"/>
  <c r="V259" s="1"/>
  <c r="T259" s="1"/>
  <c r="R263"/>
  <c r="V263" s="1"/>
  <c r="R267"/>
  <c r="V267" s="1"/>
  <c r="R271"/>
  <c r="V271" s="1"/>
  <c r="R275"/>
  <c r="V275" s="1"/>
  <c r="T275" s="1"/>
  <c r="R279"/>
  <c r="V279" s="1"/>
  <c r="T279" s="1"/>
  <c r="S279" s="1" a="1"/>
  <c r="S279" s="1"/>
  <c r="R283"/>
  <c r="V283" s="1"/>
  <c r="T283" s="1"/>
  <c r="S283" s="1" a="1"/>
  <c r="S283" s="1"/>
  <c r="R287"/>
  <c r="V287" s="1"/>
  <c r="T287" s="1"/>
  <c r="R291"/>
  <c r="V291" s="1"/>
  <c r="R295"/>
  <c r="V295" s="1"/>
  <c r="R299"/>
  <c r="V299" s="1"/>
  <c r="R303"/>
  <c r="V303" s="1"/>
  <c r="R307"/>
  <c r="V307" s="1"/>
  <c r="T307" s="1"/>
  <c r="R311"/>
  <c r="V311" s="1"/>
  <c r="T311" s="1"/>
  <c r="S311" s="1" a="1"/>
  <c r="S311" s="1"/>
  <c r="R315"/>
  <c r="V315" s="1"/>
  <c r="T315" s="1"/>
  <c r="R319"/>
  <c r="V319" s="1"/>
  <c r="R323"/>
  <c r="V323" s="1"/>
  <c r="R327"/>
  <c r="V327" s="1"/>
  <c r="R331"/>
  <c r="V331" s="1"/>
  <c r="R335"/>
  <c r="V335" s="1"/>
  <c r="R339"/>
  <c r="V339" s="1"/>
  <c r="T339" s="1"/>
  <c r="S339" s="1" a="1"/>
  <c r="S339" s="1"/>
  <c r="R343"/>
  <c r="V343" s="1"/>
  <c r="T343" s="1"/>
  <c r="S343" s="1" a="1"/>
  <c r="S343" s="1"/>
  <c r="R347"/>
  <c r="V347" s="1"/>
  <c r="T347" s="1"/>
  <c r="S347" s="1" a="1"/>
  <c r="S347" s="1"/>
  <c r="R351"/>
  <c r="V351" s="1"/>
  <c r="T351" s="1"/>
  <c r="S351" s="1" a="1"/>
  <c r="S351" s="1"/>
  <c r="R355"/>
  <c r="V355" s="1"/>
  <c r="T355" s="1"/>
  <c r="R359"/>
  <c r="V359" s="1"/>
  <c r="R363"/>
  <c r="V363" s="1"/>
  <c r="R367"/>
  <c r="V367" s="1"/>
  <c r="R371"/>
  <c r="V371" s="1"/>
  <c r="R375"/>
  <c r="V375" s="1"/>
  <c r="R379"/>
  <c r="V379" s="1"/>
  <c r="T379" s="1"/>
  <c r="S379" s="1" a="1"/>
  <c r="S379" s="1"/>
  <c r="R383"/>
  <c r="V383" s="1"/>
  <c r="R387"/>
  <c r="V387" s="1"/>
  <c r="T387" s="1"/>
  <c r="S387" s="1" a="1"/>
  <c r="S387" s="1"/>
  <c r="R391"/>
  <c r="V391" s="1"/>
  <c r="T391" s="1"/>
  <c r="R395"/>
  <c r="V395" s="1"/>
  <c r="T395" s="1"/>
  <c r="R399"/>
  <c r="V399" s="1"/>
  <c r="T399" s="1"/>
  <c r="S399" s="1" a="1"/>
  <c r="S399" s="1"/>
  <c r="R403"/>
  <c r="V403" s="1"/>
  <c r="T403" s="1"/>
  <c r="R407"/>
  <c r="V407" s="1"/>
  <c r="T407" s="1"/>
  <c r="S407" s="1" a="1"/>
  <c r="S407" s="1"/>
  <c r="R411"/>
  <c r="V411" s="1"/>
  <c r="T411" s="1"/>
  <c r="R415"/>
  <c r="V415" s="1"/>
  <c r="T415" s="1"/>
  <c r="R419"/>
  <c r="V419" s="1"/>
  <c r="R423"/>
  <c r="V423" s="1"/>
  <c r="T423" s="1"/>
  <c r="R427"/>
  <c r="V427" s="1"/>
  <c r="R431"/>
  <c r="V431" s="1"/>
  <c r="R435"/>
  <c r="V435" s="1"/>
  <c r="T435" s="1"/>
  <c r="R439"/>
  <c r="V439" s="1"/>
  <c r="R443"/>
  <c r="V443" s="1"/>
  <c r="R447"/>
  <c r="V447" s="1"/>
  <c r="T447" s="1"/>
  <c r="R451"/>
  <c r="V451" s="1"/>
  <c r="T451" s="1"/>
  <c r="R455"/>
  <c r="V455" s="1"/>
  <c r="R459"/>
  <c r="V459" s="1"/>
  <c r="R463"/>
  <c r="V463" s="1"/>
  <c r="R467"/>
  <c r="V467" s="1"/>
  <c r="T467" s="1"/>
  <c r="S467" s="1" a="1"/>
  <c r="S467" s="1"/>
  <c r="R471"/>
  <c r="V471" s="1"/>
  <c r="T471" s="1"/>
  <c r="R475"/>
  <c r="V475" s="1"/>
  <c r="T475" s="1"/>
  <c r="S475" s="1" a="1"/>
  <c r="S475" s="1"/>
  <c r="R479"/>
  <c r="V479" s="1"/>
  <c r="T479" s="1"/>
  <c r="S479" s="1" a="1"/>
  <c r="S479" s="1"/>
  <c r="R483"/>
  <c r="V483" s="1"/>
  <c r="R487"/>
  <c r="V487" s="1"/>
  <c r="R491"/>
  <c r="V491" s="1"/>
  <c r="R495"/>
  <c r="V495" s="1"/>
  <c r="T495" s="1"/>
  <c r="S495" s="1" a="1"/>
  <c r="S495" s="1"/>
  <c r="R499"/>
  <c r="V499" s="1"/>
  <c r="T499" s="1"/>
  <c r="R503"/>
  <c r="V503" s="1"/>
  <c r="T503" s="1"/>
  <c r="R507"/>
  <c r="V507" s="1"/>
  <c r="T507" s="1"/>
  <c r="S507" s="1" a="1"/>
  <c r="S507" s="1"/>
  <c r="R511"/>
  <c r="V511" s="1"/>
  <c r="R515"/>
  <c r="V515" s="1"/>
  <c r="R519"/>
  <c r="V519" s="1"/>
  <c r="T519" s="1"/>
  <c r="R523"/>
  <c r="V523" s="1"/>
  <c r="R527"/>
  <c r="V527" s="1"/>
  <c r="R531"/>
  <c r="V531" s="1"/>
  <c r="T531" s="1"/>
  <c r="S531" s="1" a="1"/>
  <c r="S531" s="1"/>
  <c r="R535"/>
  <c r="V535" s="1"/>
  <c r="T535" s="1"/>
  <c r="S535" s="1" a="1"/>
  <c r="S535" s="1"/>
  <c r="R539"/>
  <c r="V539" s="1"/>
  <c r="T539" s="1"/>
  <c r="R543"/>
  <c r="V543" s="1"/>
  <c r="R547"/>
  <c r="V547" s="1"/>
  <c r="T547" s="1"/>
  <c r="S547" s="1" a="1"/>
  <c r="S547" s="1"/>
  <c r="R551"/>
  <c r="V551" s="1"/>
  <c r="T551" s="1"/>
  <c r="S551" s="1" a="1"/>
  <c r="S551" s="1"/>
  <c r="R555"/>
  <c r="V555" s="1"/>
  <c r="R559"/>
  <c r="V559" s="1"/>
  <c r="T559" s="1"/>
  <c r="S559" s="1" a="1"/>
  <c r="S559" s="1"/>
  <c r="R563"/>
  <c r="V563" s="1"/>
  <c r="T563" s="1"/>
  <c r="R567"/>
  <c r="V567" s="1"/>
  <c r="T567" s="1"/>
  <c r="S567" s="1" a="1"/>
  <c r="S567" s="1"/>
  <c r="R571"/>
  <c r="V571" s="1"/>
  <c r="T571" s="1"/>
  <c r="R575"/>
  <c r="V575" s="1"/>
  <c r="T575" s="1"/>
  <c r="R579"/>
  <c r="V579" s="1"/>
  <c r="T579" s="1"/>
  <c r="R583"/>
  <c r="V583" s="1"/>
  <c r="T583" s="1"/>
  <c r="S583" s="1" a="1"/>
  <c r="S583" s="1"/>
  <c r="R587"/>
  <c r="V587" s="1"/>
  <c r="T587" s="1"/>
  <c r="R591"/>
  <c r="V591" s="1"/>
  <c r="T591" s="1"/>
  <c r="S591" s="1" a="1"/>
  <c r="S591" s="1"/>
  <c r="R595"/>
  <c r="V595" s="1"/>
  <c r="T595" s="1"/>
  <c r="S595" s="1" a="1"/>
  <c r="S595" s="1"/>
  <c r="R599"/>
  <c r="V599" s="1"/>
  <c r="R603"/>
  <c r="V603" s="1"/>
  <c r="T603" s="1"/>
  <c r="R607"/>
  <c r="V607" s="1"/>
  <c r="T607" s="1"/>
  <c r="R611"/>
  <c r="V611" s="1"/>
  <c r="R615"/>
  <c r="V615" s="1"/>
  <c r="R619"/>
  <c r="V619" s="1"/>
  <c r="T619" s="1"/>
  <c r="R623"/>
  <c r="V623" s="1"/>
  <c r="T623" s="1"/>
  <c r="R627"/>
  <c r="V627" s="1"/>
  <c r="T627" s="1"/>
  <c r="S627" s="1" a="1"/>
  <c r="S627" s="1"/>
  <c r="R631"/>
  <c r="V631" s="1"/>
  <c r="T631" s="1"/>
  <c r="S631" s="1" a="1"/>
  <c r="S631" s="1"/>
  <c r="R635"/>
  <c r="V635" s="1"/>
  <c r="T635" s="1"/>
  <c r="R639"/>
  <c r="V639" s="1"/>
  <c r="T639" s="1"/>
  <c r="S639" s="1" a="1"/>
  <c r="S639" s="1"/>
  <c r="R643"/>
  <c r="V643" s="1"/>
  <c r="R647"/>
  <c r="V647" s="1"/>
  <c r="T647" s="1"/>
  <c r="S647" s="1" a="1"/>
  <c r="S647" s="1"/>
  <c r="R651"/>
  <c r="V651" s="1"/>
  <c r="R655"/>
  <c r="V655" s="1"/>
  <c r="R659"/>
  <c r="V659" s="1"/>
  <c r="R663"/>
  <c r="V663" s="1"/>
  <c r="T663" s="1"/>
  <c r="S663" s="1" a="1"/>
  <c r="S663" s="1"/>
  <c r="R667"/>
  <c r="V667" s="1"/>
  <c r="T667" s="1"/>
  <c r="S667" s="1" a="1"/>
  <c r="S667" s="1"/>
  <c r="R671"/>
  <c r="V671" s="1"/>
  <c r="T671" s="1"/>
  <c r="S671" s="1" a="1"/>
  <c r="S671" s="1"/>
  <c r="R675"/>
  <c r="V675" s="1"/>
  <c r="R679"/>
  <c r="V679" s="1"/>
  <c r="T679" s="1"/>
  <c r="S679" s="1" a="1"/>
  <c r="S679" s="1"/>
  <c r="R683"/>
  <c r="V683" s="1"/>
  <c r="R687"/>
  <c r="V687" s="1"/>
  <c r="R691"/>
  <c r="V691" s="1"/>
  <c r="T691" s="1"/>
  <c r="S691" s="1" a="1"/>
  <c r="S691" s="1"/>
  <c r="R695"/>
  <c r="V695" s="1"/>
  <c r="T695" s="1"/>
  <c r="S695" s="1" a="1"/>
  <c r="S695" s="1"/>
  <c r="R699"/>
  <c r="V699" s="1"/>
  <c r="T699" s="1"/>
  <c r="S699" s="1" a="1"/>
  <c r="S699" s="1"/>
  <c r="R703"/>
  <c r="V703" s="1"/>
  <c r="T703" s="1"/>
  <c r="S703" s="1" a="1"/>
  <c r="S703" s="1"/>
  <c r="R707"/>
  <c r="V707" s="1"/>
  <c r="R711"/>
  <c r="V711" s="1"/>
  <c r="R715"/>
  <c r="V715" s="1"/>
  <c r="R719"/>
  <c r="V719" s="1"/>
  <c r="R723"/>
  <c r="V723" s="1"/>
  <c r="T723" s="1"/>
  <c r="S723" s="1" a="1"/>
  <c r="S723" s="1"/>
  <c r="R727"/>
  <c r="V727" s="1"/>
  <c r="R731"/>
  <c r="V731" s="1"/>
  <c r="T731" s="1"/>
  <c r="S731" s="1" a="1"/>
  <c r="S731" s="1"/>
  <c r="R735"/>
  <c r="V735" s="1"/>
  <c r="R739"/>
  <c r="V739" s="1"/>
  <c r="R743"/>
  <c r="V743" s="1"/>
  <c r="R747"/>
  <c r="V747" s="1"/>
  <c r="R751"/>
  <c r="V751" s="1"/>
  <c r="R755"/>
  <c r="V755" s="1"/>
  <c r="T755" s="1"/>
  <c r="S755" s="1" a="1"/>
  <c r="S755" s="1"/>
  <c r="R759"/>
  <c r="V759" s="1"/>
  <c r="T759" s="1"/>
  <c r="S759" s="1" a="1"/>
  <c r="S759" s="1"/>
  <c r="R763"/>
  <c r="V763" s="1"/>
  <c r="T763" s="1"/>
  <c r="S763" s="1" a="1"/>
  <c r="S763" s="1"/>
  <c r="R767"/>
  <c r="V767" s="1"/>
  <c r="R771"/>
  <c r="V771" s="1"/>
  <c r="T771" s="1"/>
  <c r="S771" s="1" a="1"/>
  <c r="S771" s="1"/>
  <c r="R775"/>
  <c r="V775" s="1"/>
  <c r="R779"/>
  <c r="V779" s="1"/>
  <c r="R783"/>
  <c r="V783" s="1"/>
  <c r="R787"/>
  <c r="V787" s="1"/>
  <c r="T787" s="1"/>
  <c r="S787" s="1" a="1"/>
  <c r="S787" s="1"/>
  <c r="R791"/>
  <c r="V791" s="1"/>
  <c r="T791" s="1"/>
  <c r="S791" s="1" a="1"/>
  <c r="S791" s="1"/>
  <c r="R795"/>
  <c r="V795" s="1"/>
  <c r="R799"/>
  <c r="V799" s="1"/>
  <c r="R803"/>
  <c r="V803" s="1"/>
  <c r="R807"/>
  <c r="V807" s="1"/>
  <c r="R811"/>
  <c r="V811" s="1"/>
  <c r="R815"/>
  <c r="V815" s="1"/>
  <c r="R819"/>
  <c r="V819" s="1"/>
  <c r="R823"/>
  <c r="V823" s="1"/>
  <c r="T823" s="1"/>
  <c r="S823" s="1" a="1"/>
  <c r="S823" s="1"/>
  <c r="R827"/>
  <c r="V827" s="1"/>
  <c r="T827" s="1"/>
  <c r="R831"/>
  <c r="V831" s="1"/>
  <c r="R835"/>
  <c r="V835" s="1"/>
  <c r="R839"/>
  <c r="V839" s="1"/>
  <c r="R843"/>
  <c r="V843" s="1"/>
  <c r="T843" s="1"/>
  <c r="S843" s="1" a="1"/>
  <c r="S843" s="1"/>
  <c r="R847"/>
  <c r="V847" s="1"/>
  <c r="R851"/>
  <c r="V851" s="1"/>
  <c r="R855"/>
  <c r="V855" s="1"/>
  <c r="T855" s="1"/>
  <c r="S855" s="1" a="1"/>
  <c r="S855" s="1"/>
  <c r="R859"/>
  <c r="V859" s="1"/>
  <c r="T859" s="1"/>
  <c r="S859" s="1" a="1"/>
  <c r="S859" s="1"/>
  <c r="R863"/>
  <c r="V863" s="1"/>
  <c r="R867"/>
  <c r="V867" s="1"/>
  <c r="R871"/>
  <c r="V871" s="1"/>
  <c r="R875"/>
  <c r="V875" s="1"/>
  <c r="R879"/>
  <c r="V879" s="1"/>
  <c r="R883"/>
  <c r="V883" s="1"/>
  <c r="T883" s="1"/>
  <c r="S883" s="1" a="1"/>
  <c r="S883" s="1"/>
  <c r="R887"/>
  <c r="V887" s="1"/>
  <c r="T887" s="1"/>
  <c r="S887" s="1" a="1"/>
  <c r="S887" s="1"/>
  <c r="R891"/>
  <c r="V891" s="1"/>
  <c r="R895"/>
  <c r="V895" s="1"/>
  <c r="R899"/>
  <c r="V899" s="1"/>
  <c r="R903"/>
  <c r="V903" s="1"/>
  <c r="R907"/>
  <c r="V907" s="1"/>
  <c r="R911"/>
  <c r="V911" s="1"/>
  <c r="R915"/>
  <c r="V915" s="1"/>
  <c r="R919"/>
  <c r="V919" s="1"/>
  <c r="T919" s="1"/>
  <c r="S919" s="1" a="1"/>
  <c r="S919" s="1"/>
  <c r="R923"/>
  <c r="V923" s="1"/>
  <c r="T923" s="1"/>
  <c r="S923" s="1" a="1"/>
  <c r="S923" s="1"/>
  <c r="R927"/>
  <c r="V927" s="1"/>
  <c r="T927" s="1"/>
  <c r="S927" s="1" a="1"/>
  <c r="S927" s="1"/>
  <c r="R931"/>
  <c r="V931" s="1"/>
  <c r="R935"/>
  <c r="V935" s="1"/>
  <c r="T935" s="1"/>
  <c r="S935" s="1" a="1"/>
  <c r="S935" s="1"/>
  <c r="R939"/>
  <c r="V939" s="1"/>
  <c r="R943"/>
  <c r="V943" s="1"/>
  <c r="R947"/>
  <c r="V947" s="1"/>
  <c r="R951"/>
  <c r="V951" s="1"/>
  <c r="T951" s="1"/>
  <c r="S951" s="1" a="1"/>
  <c r="S951" s="1"/>
  <c r="R955"/>
  <c r="V955" s="1"/>
  <c r="T955" s="1"/>
  <c r="S955" s="1" a="1"/>
  <c r="S955" s="1"/>
  <c r="R959"/>
  <c r="V959" s="1"/>
  <c r="R963"/>
  <c r="V963" s="1"/>
  <c r="R967"/>
  <c r="V967" s="1"/>
  <c r="R971"/>
  <c r="V971" s="1"/>
  <c r="R975"/>
  <c r="V975" s="1"/>
  <c r="R979"/>
  <c r="V979" s="1"/>
  <c r="T979" s="1"/>
  <c r="S979" s="1" a="1"/>
  <c r="S979" s="1"/>
  <c r="R983"/>
  <c r="V983" s="1"/>
  <c r="T983" s="1"/>
  <c r="S983" s="1" a="1"/>
  <c r="S983" s="1"/>
  <c r="R987"/>
  <c r="V987" s="1"/>
  <c r="T987" s="1"/>
  <c r="S987" s="1" a="1"/>
  <c r="S987" s="1"/>
  <c r="R991"/>
  <c r="V991" s="1"/>
  <c r="T991" s="1"/>
  <c r="S991" s="1" a="1"/>
  <c r="S991" s="1"/>
  <c r="R995"/>
  <c r="V995" s="1"/>
  <c r="R999"/>
  <c r="V999" s="1"/>
  <c r="R1003"/>
  <c r="V1003" s="1"/>
  <c r="R1007"/>
  <c r="V1007" s="1"/>
  <c r="R1011"/>
  <c r="V1011" s="1"/>
  <c r="R1015"/>
  <c r="V1015" s="1"/>
  <c r="R1019"/>
  <c r="V1019" s="1"/>
  <c r="T1019" s="1"/>
  <c r="S1019" s="1" a="1"/>
  <c r="S1019" s="1"/>
  <c r="R1023"/>
  <c r="V1023" s="1"/>
  <c r="R1027"/>
  <c r="V1027" s="1"/>
  <c r="R1031"/>
  <c r="V1031" s="1"/>
  <c r="T1031" s="1"/>
  <c r="R1035"/>
  <c r="V1035" s="1"/>
  <c r="T1035" s="1"/>
  <c r="R1039"/>
  <c r="V1039" s="1"/>
  <c r="R1043"/>
  <c r="V1043" s="1"/>
  <c r="T1043" s="1"/>
  <c r="R1047"/>
  <c r="V1047" s="1"/>
  <c r="T1047" s="1"/>
  <c r="R1051"/>
  <c r="V1051" s="1"/>
  <c r="R1055"/>
  <c r="V1055" s="1"/>
  <c r="T1055" s="1"/>
  <c r="S1055" s="1" a="1"/>
  <c r="S1055" s="1"/>
  <c r="R1059"/>
  <c r="V1059" s="1"/>
  <c r="R1063"/>
  <c r="V1063" s="1"/>
  <c r="T1063" s="1"/>
  <c r="S1063" s="1" a="1"/>
  <c r="S1063" s="1"/>
  <c r="R1067"/>
  <c r="V1067" s="1"/>
  <c r="R1071"/>
  <c r="V1071" s="1"/>
  <c r="T1071" s="1"/>
  <c r="S1071" s="1" a="1"/>
  <c r="S1071" s="1"/>
  <c r="R1075"/>
  <c r="V1075" s="1"/>
  <c r="R1079"/>
  <c r="V1079" s="1"/>
  <c r="T1079" s="1"/>
  <c r="S1079" s="1" a="1"/>
  <c r="S1079" s="1"/>
  <c r="R1083"/>
  <c r="V1083" s="1"/>
  <c r="T1083" s="1"/>
  <c r="S1083" s="1" a="1"/>
  <c r="S1083" s="1"/>
  <c r="R38"/>
  <c r="V38" s="1"/>
  <c r="R42"/>
  <c r="V42" s="1"/>
  <c r="R46"/>
  <c r="V46" s="1"/>
  <c r="R50"/>
  <c r="V50" s="1"/>
  <c r="T50" s="1"/>
  <c r="S50" s="1" a="1"/>
  <c r="S50" s="1"/>
  <c r="R54"/>
  <c r="V54" s="1"/>
  <c r="T54" s="1"/>
  <c r="S54" s="1" a="1"/>
  <c r="S54" s="1"/>
  <c r="R58"/>
  <c r="V58" s="1"/>
  <c r="R62"/>
  <c r="V62" s="1"/>
  <c r="T62" s="1"/>
  <c r="S62" s="1" a="1"/>
  <c r="S62" s="1"/>
  <c r="R66"/>
  <c r="V66" s="1"/>
  <c r="T66" s="1"/>
  <c r="S66" s="1" a="1"/>
  <c r="S66" s="1"/>
  <c r="R70"/>
  <c r="V70" s="1"/>
  <c r="R74"/>
  <c r="V74" s="1"/>
  <c r="T74" s="1"/>
  <c r="S74" s="1" a="1"/>
  <c r="S74" s="1"/>
  <c r="R78"/>
  <c r="V78" s="1"/>
  <c r="R82"/>
  <c r="V82" s="1"/>
  <c r="T82" s="1"/>
  <c r="S82" s="1" a="1"/>
  <c r="S82" s="1"/>
  <c r="R86"/>
  <c r="V86" s="1"/>
  <c r="T86" s="1"/>
  <c r="S86" s="1" a="1"/>
  <c r="S86" s="1"/>
  <c r="R90"/>
  <c r="V90" s="1"/>
  <c r="R94"/>
  <c r="V94" s="1"/>
  <c r="R98"/>
  <c r="V98" s="1"/>
  <c r="T98" s="1"/>
  <c r="S98" s="1" a="1"/>
  <c r="S98" s="1"/>
  <c r="R102"/>
  <c r="V102" s="1"/>
  <c r="T102" s="1"/>
  <c r="S102" s="1" a="1"/>
  <c r="S102" s="1"/>
  <c r="R106"/>
  <c r="V106" s="1"/>
  <c r="R110"/>
  <c r="V110" s="1"/>
  <c r="R114"/>
  <c r="V114" s="1"/>
  <c r="T114" s="1"/>
  <c r="S114" s="1" a="1"/>
  <c r="S114" s="1"/>
  <c r="R118"/>
  <c r="V118" s="1"/>
  <c r="R122"/>
  <c r="V122" s="1"/>
  <c r="R126"/>
  <c r="V126" s="1"/>
  <c r="R130"/>
  <c r="V130" s="1"/>
  <c r="T130" s="1"/>
  <c r="S130" s="1" a="1"/>
  <c r="S130" s="1"/>
  <c r="R134"/>
  <c r="V134" s="1"/>
  <c r="R138"/>
  <c r="V138" s="1"/>
  <c r="R142"/>
  <c r="V142" s="1"/>
  <c r="T142" s="1"/>
  <c r="S142" s="1" a="1"/>
  <c r="S142" s="1"/>
  <c r="R146"/>
  <c r="V146" s="1"/>
  <c r="R150"/>
  <c r="V150" s="1"/>
  <c r="R154"/>
  <c r="V154" s="1"/>
  <c r="T154" s="1"/>
  <c r="S154" s="1" a="1"/>
  <c r="S154" s="1"/>
  <c r="R158"/>
  <c r="V158" s="1"/>
  <c r="R162"/>
  <c r="V162" s="1"/>
  <c r="T162" s="1"/>
  <c r="S162" s="1" a="1"/>
  <c r="S162" s="1"/>
  <c r="R166"/>
  <c r="V166" s="1"/>
  <c r="T166" s="1"/>
  <c r="S166" s="1" a="1"/>
  <c r="S166" s="1"/>
  <c r="R170"/>
  <c r="V170" s="1"/>
  <c r="R174"/>
  <c r="V174" s="1"/>
  <c r="T174" s="1"/>
  <c r="S174" s="1" a="1"/>
  <c r="S174" s="1"/>
  <c r="R178"/>
  <c r="V178" s="1"/>
  <c r="R182"/>
  <c r="V182" s="1"/>
  <c r="R186"/>
  <c r="V186" s="1"/>
  <c r="T186" s="1"/>
  <c r="S186" s="1" a="1"/>
  <c r="S186" s="1"/>
  <c r="R190"/>
  <c r="V190" s="1"/>
  <c r="R194"/>
  <c r="V194" s="1"/>
  <c r="T194" s="1"/>
  <c r="S194" s="1" a="1"/>
  <c r="S194" s="1"/>
  <c r="R198"/>
  <c r="V198" s="1"/>
  <c r="R202"/>
  <c r="V202" s="1"/>
  <c r="R206"/>
  <c r="V206" s="1"/>
  <c r="T206" s="1"/>
  <c r="S206" s="1" a="1"/>
  <c r="S206" s="1"/>
  <c r="R210"/>
  <c r="V210" s="1"/>
  <c r="R214"/>
  <c r="V214" s="1"/>
  <c r="R218"/>
  <c r="V218" s="1"/>
  <c r="T218" s="1"/>
  <c r="S218" s="1" a="1"/>
  <c r="S218" s="1"/>
  <c r="R222"/>
  <c r="V222" s="1"/>
  <c r="T222" s="1"/>
  <c r="S222" s="1" a="1"/>
  <c r="S222" s="1"/>
  <c r="R226"/>
  <c r="V226" s="1"/>
  <c r="T226" s="1"/>
  <c r="S226" s="1" a="1"/>
  <c r="S226" s="1"/>
  <c r="R230"/>
  <c r="V230" s="1"/>
  <c r="T230" s="1"/>
  <c r="S230" s="1" a="1"/>
  <c r="S230" s="1"/>
  <c r="R234"/>
  <c r="V234" s="1"/>
  <c r="R238"/>
  <c r="V238" s="1"/>
  <c r="R242"/>
  <c r="V242" s="1"/>
  <c r="T242" s="1"/>
  <c r="R246"/>
  <c r="V246" s="1"/>
  <c r="T246" s="1"/>
  <c r="R250"/>
  <c r="V250" s="1"/>
  <c r="T250" s="1"/>
  <c r="R254"/>
  <c r="V254" s="1"/>
  <c r="T254" s="1"/>
  <c r="R258"/>
  <c r="V258" s="1"/>
  <c r="T258" s="1"/>
  <c r="S258" s="1" a="1"/>
  <c r="S258" s="1"/>
  <c r="R262"/>
  <c r="V262" s="1"/>
  <c r="R266"/>
  <c r="V266" s="1"/>
  <c r="R270"/>
  <c r="V270" s="1"/>
  <c r="T270" s="1"/>
  <c r="R274"/>
  <c r="V274" s="1"/>
  <c r="T274" s="1"/>
  <c r="S274" s="1" a="1"/>
  <c r="S274" s="1"/>
  <c r="R278"/>
  <c r="V278" s="1"/>
  <c r="R282"/>
  <c r="V282" s="1"/>
  <c r="R286"/>
  <c r="V286" s="1"/>
  <c r="T286" s="1"/>
  <c r="S286" s="1" a="1"/>
  <c r="S286" s="1"/>
  <c r="R290"/>
  <c r="V290" s="1"/>
  <c r="R294"/>
  <c r="V294" s="1"/>
  <c r="T294" s="1"/>
  <c r="R298"/>
  <c r="V298" s="1"/>
  <c r="T298" s="1"/>
  <c r="R302"/>
  <c r="V302" s="1"/>
  <c r="R306"/>
  <c r="V306" s="1"/>
  <c r="T306" s="1"/>
  <c r="R310"/>
  <c r="V310" s="1"/>
  <c r="T310" s="1"/>
  <c r="R314"/>
  <c r="V314" s="1"/>
  <c r="R318"/>
  <c r="V318" s="1"/>
  <c r="T318" s="1"/>
  <c r="R322"/>
  <c r="V322" s="1"/>
  <c r="T322" s="1"/>
  <c r="S322" s="1" a="1"/>
  <c r="S322" s="1"/>
  <c r="R326"/>
  <c r="V326" s="1"/>
  <c r="T326" s="1"/>
  <c r="S326" s="1" a="1"/>
  <c r="S326" s="1"/>
  <c r="R330"/>
  <c r="V330" s="1"/>
  <c r="R334"/>
  <c r="V334" s="1"/>
  <c r="R338"/>
  <c r="V338" s="1"/>
  <c r="R342"/>
  <c r="V342" s="1"/>
  <c r="T342" s="1"/>
  <c r="S342" s="1" a="1"/>
  <c r="S342" s="1"/>
  <c r="R346"/>
  <c r="V346" s="1"/>
  <c r="T346" s="1"/>
  <c r="S346" s="1" a="1"/>
  <c r="S346" s="1"/>
  <c r="R350"/>
  <c r="V350" s="1"/>
  <c r="R354"/>
  <c r="V354" s="1"/>
  <c r="T354" s="1"/>
  <c r="S354" s="1" a="1"/>
  <c r="S354" s="1"/>
  <c r="R358"/>
  <c r="V358" s="1"/>
  <c r="R362"/>
  <c r="V362" s="1"/>
  <c r="R366"/>
  <c r="V366" s="1"/>
  <c r="R370"/>
  <c r="V370" s="1"/>
  <c r="T370" s="1"/>
  <c r="R374"/>
  <c r="V374" s="1"/>
  <c r="T374" s="1"/>
  <c r="R378"/>
  <c r="V378" s="1"/>
  <c r="T378" s="1"/>
  <c r="S378" s="1" a="1"/>
  <c r="S378" s="1"/>
  <c r="R382"/>
  <c r="V382" s="1"/>
  <c r="R386"/>
  <c r="V386" s="1"/>
  <c r="R390"/>
  <c r="V390" s="1"/>
  <c r="R394"/>
  <c r="V394" s="1"/>
  <c r="R398"/>
  <c r="V398" s="1"/>
  <c r="R402"/>
  <c r="V402" s="1"/>
  <c r="T402" s="1"/>
  <c r="S402" s="1" a="1"/>
  <c r="S402" s="1"/>
  <c r="R406"/>
  <c r="V406" s="1"/>
  <c r="T406" s="1"/>
  <c r="S406" s="1" a="1"/>
  <c r="S406" s="1"/>
  <c r="R410"/>
  <c r="V410" s="1"/>
  <c r="T410" s="1"/>
  <c r="R414"/>
  <c r="V414" s="1"/>
  <c r="T414" s="1"/>
  <c r="R418"/>
  <c r="V418" s="1"/>
  <c r="R422"/>
  <c r="V422" s="1"/>
  <c r="R426"/>
  <c r="V426" s="1"/>
  <c r="T426" s="1"/>
  <c r="R430"/>
  <c r="V430" s="1"/>
  <c r="T430" s="1"/>
  <c r="S430" s="1" a="1"/>
  <c r="S430" s="1"/>
  <c r="R434"/>
  <c r="V434" s="1"/>
  <c r="R438"/>
  <c r="V438" s="1"/>
  <c r="T438" s="1"/>
  <c r="R442"/>
  <c r="V442" s="1"/>
  <c r="T442" s="1"/>
  <c r="R446"/>
  <c r="V446" s="1"/>
  <c r="T446" s="1"/>
  <c r="S446" s="1" a="1"/>
  <c r="S446" s="1"/>
  <c r="R450"/>
  <c r="V450" s="1"/>
  <c r="R454"/>
  <c r="V454" s="1"/>
  <c r="T454" s="1"/>
  <c r="R458"/>
  <c r="V458" s="1"/>
  <c r="T458" s="1"/>
  <c r="R462"/>
  <c r="V462" s="1"/>
  <c r="T462" s="1"/>
  <c r="S462" s="1" a="1"/>
  <c r="S462" s="1"/>
  <c r="R466"/>
  <c r="V466" s="1"/>
  <c r="R470"/>
  <c r="V470" s="1"/>
  <c r="R474"/>
  <c r="V474" s="1"/>
  <c r="R478"/>
  <c r="V478" s="1"/>
  <c r="R482"/>
  <c r="V482" s="1"/>
  <c r="T482" s="1"/>
  <c r="S482" s="1" a="1"/>
  <c r="S482" s="1"/>
  <c r="R486"/>
  <c r="V486" s="1"/>
  <c r="T486" s="1"/>
  <c r="R490"/>
  <c r="V490" s="1"/>
  <c r="R494"/>
  <c r="V494" s="1"/>
  <c r="R498"/>
  <c r="V498" s="1"/>
  <c r="T498" s="1"/>
  <c r="S498" s="1" a="1"/>
  <c r="S498" s="1"/>
  <c r="R502"/>
  <c r="V502" s="1"/>
  <c r="T502" s="1"/>
  <c r="R506"/>
  <c r="V506" s="1"/>
  <c r="T506" s="1"/>
  <c r="R510"/>
  <c r="V510" s="1"/>
  <c r="R514"/>
  <c r="V514" s="1"/>
  <c r="T514" s="1"/>
  <c r="R518"/>
  <c r="V518" s="1"/>
  <c r="T518" s="1"/>
  <c r="S518" s="1" a="1"/>
  <c r="S518" s="1"/>
  <c r="R522"/>
  <c r="V522" s="1"/>
  <c r="T522" s="1"/>
  <c r="R526"/>
  <c r="V526" s="1"/>
  <c r="T526" s="1"/>
  <c r="R530"/>
  <c r="V530" s="1"/>
  <c r="R534"/>
  <c r="V534" s="1"/>
  <c r="R538"/>
  <c r="V538" s="1"/>
  <c r="R542"/>
  <c r="V542" s="1"/>
  <c r="T542" s="1"/>
  <c r="R546"/>
  <c r="V546" s="1"/>
  <c r="T546" s="1"/>
  <c r="R550"/>
  <c r="V550" s="1"/>
  <c r="R554"/>
  <c r="V554" s="1"/>
  <c r="T554" s="1"/>
  <c r="S554" s="1" a="1"/>
  <c r="S554" s="1"/>
  <c r="R558"/>
  <c r="V558" s="1"/>
  <c r="R562"/>
  <c r="V562" s="1"/>
  <c r="R566"/>
  <c r="V566" s="1"/>
  <c r="T566" s="1"/>
  <c r="R570"/>
  <c r="V570" s="1"/>
  <c r="T570" s="1"/>
  <c r="S570" s="1" a="1"/>
  <c r="S570" s="1"/>
  <c r="R574"/>
  <c r="V574" s="1"/>
  <c r="T574" s="1"/>
  <c r="R578"/>
  <c r="V578" s="1"/>
  <c r="T578" s="1"/>
  <c r="R582"/>
  <c r="V582" s="1"/>
  <c r="T582" s="1"/>
  <c r="R586"/>
  <c r="V586" s="1"/>
  <c r="T586" s="1"/>
  <c r="R590"/>
  <c r="V590" s="1"/>
  <c r="R594"/>
  <c r="V594" s="1"/>
  <c r="R598"/>
  <c r="V598" s="1"/>
  <c r="T598" s="1"/>
  <c r="S598" s="1" a="1"/>
  <c r="S598" s="1"/>
  <c r="R602"/>
  <c r="V602" s="1"/>
  <c r="T602" s="1"/>
  <c r="S602" s="1" a="1"/>
  <c r="S602" s="1"/>
  <c r="R606"/>
  <c r="V606" s="1"/>
  <c r="T606" s="1"/>
  <c r="R610"/>
  <c r="V610" s="1"/>
  <c r="T610" s="1"/>
  <c r="R614"/>
  <c r="V614" s="1"/>
  <c r="T614" s="1"/>
  <c r="S614" s="1" a="1"/>
  <c r="S614" s="1"/>
  <c r="R618"/>
  <c r="V618" s="1"/>
  <c r="T618" s="1"/>
  <c r="R622"/>
  <c r="V622" s="1"/>
  <c r="T622" s="1"/>
  <c r="R626"/>
  <c r="V626" s="1"/>
  <c r="T626" s="1"/>
  <c r="S626" s="1" a="1"/>
  <c r="S626" s="1"/>
  <c r="R630"/>
  <c r="V630" s="1"/>
  <c r="R634"/>
  <c r="V634" s="1"/>
  <c r="T634" s="1"/>
  <c r="R638"/>
  <c r="V638" s="1"/>
  <c r="T638" s="1"/>
  <c r="R642"/>
  <c r="V642" s="1"/>
  <c r="R646"/>
  <c r="V646" s="1"/>
  <c r="T646" s="1"/>
  <c r="S646" s="1" a="1"/>
  <c r="S646" s="1"/>
  <c r="R650"/>
  <c r="V650" s="1"/>
  <c r="R654"/>
  <c r="V654" s="1"/>
  <c r="R658"/>
  <c r="V658" s="1"/>
  <c r="R662"/>
  <c r="V662" s="1"/>
  <c r="R666"/>
  <c r="V666" s="1"/>
  <c r="R670"/>
  <c r="V670" s="1"/>
  <c r="R674"/>
  <c r="V674" s="1"/>
  <c r="R678"/>
  <c r="V678" s="1"/>
  <c r="R682"/>
  <c r="V682" s="1"/>
  <c r="R686"/>
  <c r="V686" s="1"/>
  <c r="T686" s="1"/>
  <c r="R690"/>
  <c r="V690" s="1"/>
  <c r="R694"/>
  <c r="V694" s="1"/>
  <c r="T694" s="1"/>
  <c r="S694" s="1" a="1"/>
  <c r="S694" s="1"/>
  <c r="R698"/>
  <c r="V698" s="1"/>
  <c r="R702"/>
  <c r="V702" s="1"/>
  <c r="R706"/>
  <c r="V706" s="1"/>
  <c r="T706" s="1"/>
  <c r="S706" s="1" a="1"/>
  <c r="S706" s="1"/>
  <c r="R710"/>
  <c r="V710" s="1"/>
  <c r="R714"/>
  <c r="V714" s="1"/>
  <c r="T714" s="1"/>
  <c r="S714" s="1" a="1"/>
  <c r="S714" s="1"/>
  <c r="R718"/>
  <c r="V718" s="1"/>
  <c r="R722"/>
  <c r="V722" s="1"/>
  <c r="R726"/>
  <c r="V726" s="1"/>
  <c r="T726" s="1"/>
  <c r="S726" s="1" a="1"/>
  <c r="S726" s="1"/>
  <c r="R730"/>
  <c r="V730" s="1"/>
  <c r="T730" s="1"/>
  <c r="S730" s="1" a="1"/>
  <c r="S730" s="1"/>
  <c r="R734"/>
  <c r="V734" s="1"/>
  <c r="R738"/>
  <c r="V738" s="1"/>
  <c r="R742"/>
  <c r="V742" s="1"/>
  <c r="T742" s="1"/>
  <c r="S742" s="1" a="1"/>
  <c r="S742" s="1"/>
  <c r="R746"/>
  <c r="V746" s="1"/>
  <c r="T746" s="1"/>
  <c r="S746" s="1" a="1"/>
  <c r="S746" s="1"/>
  <c r="R750"/>
  <c r="V750" s="1"/>
  <c r="R754"/>
  <c r="V754" s="1"/>
  <c r="T754" s="1"/>
  <c r="R758"/>
  <c r="V758" s="1"/>
  <c r="R762"/>
  <c r="V762" s="1"/>
  <c r="T762" s="1"/>
  <c r="S762" s="1" a="1"/>
  <c r="S762" s="1"/>
  <c r="R766"/>
  <c r="V766" s="1"/>
  <c r="R770"/>
  <c r="V770" s="1"/>
  <c r="T770" s="1"/>
  <c r="S770" s="1" a="1"/>
  <c r="S770" s="1"/>
  <c r="R774"/>
  <c r="V774" s="1"/>
  <c r="T774" s="1"/>
  <c r="R778"/>
  <c r="V778" s="1"/>
  <c r="R782"/>
  <c r="V782" s="1"/>
  <c r="T782" s="1"/>
  <c r="S782" s="1" a="1"/>
  <c r="S782" s="1"/>
  <c r="R786"/>
  <c r="V786" s="1"/>
  <c r="T786" s="1"/>
  <c r="S786" s="1" a="1"/>
  <c r="S786" s="1"/>
  <c r="R790"/>
  <c r="V790" s="1"/>
  <c r="R794"/>
  <c r="V794" s="1"/>
  <c r="T794" s="1"/>
  <c r="R798"/>
  <c r="V798" s="1"/>
  <c r="T798" s="1"/>
  <c r="S798" s="1" a="1"/>
  <c r="S798" s="1"/>
  <c r="R802"/>
  <c r="V802" s="1"/>
  <c r="T802" s="1"/>
  <c r="S802" s="1" a="1"/>
  <c r="S802" s="1"/>
  <c r="R806"/>
  <c r="V806" s="1"/>
  <c r="R810"/>
  <c r="V810" s="1"/>
  <c r="R814"/>
  <c r="V814" s="1"/>
  <c r="R818"/>
  <c r="V818" s="1"/>
  <c r="R822"/>
  <c r="V822" s="1"/>
  <c r="R826"/>
  <c r="V826" s="1"/>
  <c r="R830"/>
  <c r="V830" s="1"/>
  <c r="T830" s="1"/>
  <c r="S830" s="1" a="1"/>
  <c r="S830" s="1"/>
  <c r="R834"/>
  <c r="V834" s="1"/>
  <c r="R838"/>
  <c r="V838" s="1"/>
  <c r="T838" s="1"/>
  <c r="R842"/>
  <c r="V842" s="1"/>
  <c r="R846"/>
  <c r="V846" s="1"/>
  <c r="T846" s="1"/>
  <c r="S846" s="1" a="1"/>
  <c r="S846" s="1"/>
  <c r="R850"/>
  <c r="V850" s="1"/>
  <c r="R854"/>
  <c r="V854" s="1"/>
  <c r="R858"/>
  <c r="V858" s="1"/>
  <c r="R862"/>
  <c r="V862" s="1"/>
  <c r="R866"/>
  <c r="V866" s="1"/>
  <c r="R870"/>
  <c r="V870" s="1"/>
  <c r="R874"/>
  <c r="V874" s="1"/>
  <c r="T874" s="1"/>
  <c r="S874" s="1" a="1"/>
  <c r="S874" s="1"/>
  <c r="R878"/>
  <c r="V878" s="1"/>
  <c r="R882"/>
  <c r="V882" s="1"/>
  <c r="T882" s="1"/>
  <c r="S882" s="1" a="1"/>
  <c r="S882" s="1"/>
  <c r="R886"/>
  <c r="V886" s="1"/>
  <c r="R890"/>
  <c r="V890" s="1"/>
  <c r="T890" s="1"/>
  <c r="S890" s="1" a="1"/>
  <c r="S890" s="1"/>
  <c r="R894"/>
  <c r="V894" s="1"/>
  <c r="R898"/>
  <c r="V898" s="1"/>
  <c r="T898" s="1"/>
  <c r="S898" s="1" a="1"/>
  <c r="S898" s="1"/>
  <c r="R902"/>
  <c r="V902" s="1"/>
  <c r="R906"/>
  <c r="V906" s="1"/>
  <c r="R910"/>
  <c r="V910" s="1"/>
  <c r="R914"/>
  <c r="V914" s="1"/>
  <c r="R918"/>
  <c r="V918" s="1"/>
  <c r="R922"/>
  <c r="V922" s="1"/>
  <c r="T922" s="1"/>
  <c r="S922" s="1" a="1"/>
  <c r="S922" s="1"/>
  <c r="R926"/>
  <c r="V926" s="1"/>
  <c r="T926" s="1"/>
  <c r="S926" s="1" a="1"/>
  <c r="S926" s="1"/>
  <c r="R930"/>
  <c r="V930" s="1"/>
  <c r="R934"/>
  <c r="V934" s="1"/>
  <c r="R938"/>
  <c r="V938" s="1"/>
  <c r="T938" s="1"/>
  <c r="S938" s="1" a="1"/>
  <c r="S938" s="1"/>
  <c r="R942"/>
  <c r="V942" s="1"/>
  <c r="R946"/>
  <c r="V946" s="1"/>
  <c r="R950"/>
  <c r="V950" s="1"/>
  <c r="R954"/>
  <c r="V954" s="1"/>
  <c r="T954" s="1"/>
  <c r="S954" s="1" a="1"/>
  <c r="S954" s="1"/>
  <c r="R958"/>
  <c r="V958" s="1"/>
  <c r="R962"/>
  <c r="V962" s="1"/>
  <c r="R966"/>
  <c r="V966" s="1"/>
  <c r="R970"/>
  <c r="V970" s="1"/>
  <c r="R974"/>
  <c r="V974" s="1"/>
  <c r="R978"/>
  <c r="V978" s="1"/>
  <c r="R982"/>
  <c r="V982" s="1"/>
  <c r="R986"/>
  <c r="V986" s="1"/>
  <c r="R990"/>
  <c r="V990" s="1"/>
  <c r="R994"/>
  <c r="V994" s="1"/>
  <c r="T994" s="1"/>
  <c r="S994" s="1" a="1"/>
  <c r="S994" s="1"/>
  <c r="R998"/>
  <c r="V998" s="1"/>
  <c r="R1002"/>
  <c r="V1002" s="1"/>
  <c r="R1006"/>
  <c r="V1006" s="1"/>
  <c r="R1010"/>
  <c r="V1010" s="1"/>
  <c r="R1014"/>
  <c r="V1014" s="1"/>
  <c r="T1014" s="1"/>
  <c r="S1014" s="1" a="1"/>
  <c r="S1014" s="1"/>
  <c r="R1018"/>
  <c r="V1018" s="1"/>
  <c r="R1022"/>
  <c r="V1022" s="1"/>
  <c r="T1022" s="1"/>
  <c r="R1026"/>
  <c r="V1026" s="1"/>
  <c r="T1026" s="1"/>
  <c r="R1030"/>
  <c r="V1030" s="1"/>
  <c r="T1030" s="1"/>
  <c r="R1034"/>
  <c r="V1034" s="1"/>
  <c r="R1038"/>
  <c r="V1038" s="1"/>
  <c r="T1038" s="1"/>
  <c r="S1038" s="1" a="1"/>
  <c r="S1038" s="1"/>
  <c r="R1042"/>
  <c r="V1042" s="1"/>
  <c r="T1042" s="1"/>
  <c r="R1046"/>
  <c r="V1046" s="1"/>
  <c r="R1050"/>
  <c r="V1050" s="1"/>
  <c r="T1050" s="1"/>
  <c r="R1054"/>
  <c r="V1054" s="1"/>
  <c r="T1054" s="1"/>
  <c r="R1058"/>
  <c r="V1058" s="1"/>
  <c r="R1062"/>
  <c r="V1062" s="1"/>
  <c r="T1062" s="1"/>
  <c r="S1062" s="1" a="1"/>
  <c r="S1062" s="1"/>
  <c r="R1066"/>
  <c r="V1066" s="1"/>
  <c r="R1070"/>
  <c r="V1070" s="1"/>
  <c r="T1070" s="1"/>
  <c r="S1070" s="1" a="1"/>
  <c r="S1070" s="1"/>
  <c r="R1074"/>
  <c r="V1074" s="1"/>
  <c r="R1078"/>
  <c r="V1078" s="1"/>
  <c r="R1082"/>
  <c r="V1082" s="1"/>
  <c r="T1082" s="1"/>
  <c r="S1082" s="1" a="1"/>
  <c r="S1082" s="1"/>
  <c r="R37"/>
  <c r="V37" s="1"/>
  <c r="T37" s="1"/>
  <c r="S37" s="1" a="1"/>
  <c r="S37" s="1"/>
  <c r="R41"/>
  <c r="V41" s="1"/>
  <c r="T41" s="1"/>
  <c r="S41" s="1" a="1"/>
  <c r="S41" s="1"/>
  <c r="R45"/>
  <c r="V45" s="1"/>
  <c r="R49"/>
  <c r="V49" s="1"/>
  <c r="R53"/>
  <c r="V53" s="1"/>
  <c r="T53" s="1"/>
  <c r="S53" s="1" a="1"/>
  <c r="S53" s="1"/>
  <c r="R57"/>
  <c r="V57" s="1"/>
  <c r="R61"/>
  <c r="V61" s="1"/>
  <c r="R65"/>
  <c r="V65" s="1"/>
  <c r="T65" s="1"/>
  <c r="S65" s="1" a="1"/>
  <c r="S65" s="1"/>
  <c r="R69"/>
  <c r="V69" s="1"/>
  <c r="T69" s="1"/>
  <c r="S69" s="1" a="1"/>
  <c r="S69" s="1"/>
  <c r="R73"/>
  <c r="V73" s="1"/>
  <c r="T73" s="1"/>
  <c r="S73" s="1" a="1"/>
  <c r="S73" s="1"/>
  <c r="R77"/>
  <c r="V77" s="1"/>
  <c r="R81"/>
  <c r="V81" s="1"/>
  <c r="R85"/>
  <c r="V85" s="1"/>
  <c r="R89"/>
  <c r="V89" s="1"/>
  <c r="R93"/>
  <c r="V93" s="1"/>
  <c r="T93" s="1"/>
  <c r="S93" s="1" a="1"/>
  <c r="S93" s="1"/>
  <c r="R97"/>
  <c r="V97" s="1"/>
  <c r="T97" s="1"/>
  <c r="S97" s="1" a="1"/>
  <c r="S97" s="1"/>
  <c r="R101"/>
  <c r="V101" s="1"/>
  <c r="T101" s="1"/>
  <c r="S101" s="1" a="1"/>
  <c r="S101" s="1"/>
  <c r="R105"/>
  <c r="V105" s="1"/>
  <c r="R109"/>
  <c r="V109" s="1"/>
  <c r="T109" s="1"/>
  <c r="S109" s="1" a="1"/>
  <c r="S109" s="1"/>
  <c r="R113"/>
  <c r="V113" s="1"/>
  <c r="T113" s="1"/>
  <c r="S113" s="1" a="1"/>
  <c r="S113" s="1"/>
  <c r="R117"/>
  <c r="V117" s="1"/>
  <c r="R121"/>
  <c r="V121" s="1"/>
  <c r="R125"/>
  <c r="V125" s="1"/>
  <c r="R129"/>
  <c r="V129" s="1"/>
  <c r="R133"/>
  <c r="V133" s="1"/>
  <c r="T133" s="1"/>
  <c r="S133" s="1" a="1"/>
  <c r="S133" s="1"/>
  <c r="R137"/>
  <c r="V137" s="1"/>
  <c r="T137" s="1"/>
  <c r="S137" s="1" a="1"/>
  <c r="S137" s="1"/>
  <c r="R141"/>
  <c r="V141" s="1"/>
  <c r="T141" s="1"/>
  <c r="S141" s="1" a="1"/>
  <c r="S141" s="1"/>
  <c r="R145"/>
  <c r="V145" s="1"/>
  <c r="R149"/>
  <c r="V149" s="1"/>
  <c r="R153"/>
  <c r="V153" s="1"/>
  <c r="T153" s="1"/>
  <c r="S153" s="1" a="1"/>
  <c r="S153" s="1"/>
  <c r="R157"/>
  <c r="V157" s="1"/>
  <c r="R161"/>
  <c r="V161" s="1"/>
  <c r="T161" s="1"/>
  <c r="S161" s="1" a="1"/>
  <c r="S161" s="1"/>
  <c r="R165"/>
  <c r="V165" s="1"/>
  <c r="R169"/>
  <c r="V169" s="1"/>
  <c r="R173"/>
  <c r="V173" s="1"/>
  <c r="R177"/>
  <c r="V177" s="1"/>
  <c r="R181"/>
  <c r="V181" s="1"/>
  <c r="R185"/>
  <c r="V185" s="1"/>
  <c r="R189"/>
  <c r="V189" s="1"/>
  <c r="R193"/>
  <c r="V193" s="1"/>
  <c r="R197"/>
  <c r="V197" s="1"/>
  <c r="T197" s="1"/>
  <c r="S197" s="1" a="1"/>
  <c r="S197" s="1"/>
  <c r="R201"/>
  <c r="V201" s="1"/>
  <c r="R205"/>
  <c r="V205" s="1"/>
  <c r="T205" s="1"/>
  <c r="S205" s="1" a="1"/>
  <c r="S205" s="1"/>
  <c r="R209"/>
  <c r="V209" s="1"/>
  <c r="R213"/>
  <c r="V213" s="1"/>
  <c r="R217"/>
  <c r="V217" s="1"/>
  <c r="R221"/>
  <c r="V221" s="1"/>
  <c r="R225"/>
  <c r="V225" s="1"/>
  <c r="T225" s="1"/>
  <c r="S225" s="1" a="1"/>
  <c r="S225" s="1"/>
  <c r="R229"/>
  <c r="V229" s="1"/>
  <c r="T229" s="1"/>
  <c r="S229" s="1" a="1"/>
  <c r="S229" s="1"/>
  <c r="R233"/>
  <c r="V233" s="1"/>
  <c r="T233" s="1"/>
  <c r="S233" s="1" a="1"/>
  <c r="S233" s="1"/>
  <c r="R237"/>
  <c r="V237" s="1"/>
  <c r="R241"/>
  <c r="V241" s="1"/>
  <c r="R245"/>
  <c r="V245" s="1"/>
  <c r="T245" s="1"/>
  <c r="R249"/>
  <c r="V249" s="1"/>
  <c r="T249" s="1"/>
  <c r="R253"/>
  <c r="V253" s="1"/>
  <c r="R257"/>
  <c r="V257" s="1"/>
  <c r="T257" s="1"/>
  <c r="S257" s="1" a="1"/>
  <c r="S257" s="1"/>
  <c r="R261"/>
  <c r="V261" s="1"/>
  <c r="T261" s="1"/>
  <c r="S261" s="1" a="1"/>
  <c r="S261" s="1"/>
  <c r="R265"/>
  <c r="V265" s="1"/>
  <c r="R269"/>
  <c r="V269" s="1"/>
  <c r="R273"/>
  <c r="V273" s="1"/>
  <c r="R277"/>
  <c r="V277" s="1"/>
  <c r="R281"/>
  <c r="V281" s="1"/>
  <c r="T281" s="1"/>
  <c r="S281" s="1" a="1"/>
  <c r="S281" s="1"/>
  <c r="R285"/>
  <c r="V285" s="1"/>
  <c r="T285" s="1"/>
  <c r="S285" s="1" a="1"/>
  <c r="S285" s="1"/>
  <c r="R289"/>
  <c r="V289" s="1"/>
  <c r="R293"/>
  <c r="V293" s="1"/>
  <c r="R297"/>
  <c r="V297" s="1"/>
  <c r="T297" s="1"/>
  <c r="R301"/>
  <c r="V301" s="1"/>
  <c r="T301" s="1"/>
  <c r="R305"/>
  <c r="V305" s="1"/>
  <c r="R309"/>
  <c r="V309" s="1"/>
  <c r="R313"/>
  <c r="V313" s="1"/>
  <c r="R317"/>
  <c r="V317" s="1"/>
  <c r="T317" s="1"/>
  <c r="R321"/>
  <c r="V321" s="1"/>
  <c r="R325"/>
  <c r="V325" s="1"/>
  <c r="T325" s="1"/>
  <c r="S325" s="1" a="1"/>
  <c r="S325" s="1"/>
  <c r="R329"/>
  <c r="V329" s="1"/>
  <c r="T329" s="1"/>
  <c r="S329" s="1" a="1"/>
  <c r="S329" s="1"/>
  <c r="R333"/>
  <c r="V333" s="1"/>
  <c r="R337"/>
  <c r="V337" s="1"/>
  <c r="R341"/>
  <c r="V341" s="1"/>
  <c r="R345"/>
  <c r="V345" s="1"/>
  <c r="T345" s="1"/>
  <c r="S345" s="1" a="1"/>
  <c r="S345" s="1"/>
  <c r="R349"/>
  <c r="V349" s="1"/>
  <c r="T349" s="1"/>
  <c r="S349" s="1" a="1"/>
  <c r="S349" s="1"/>
  <c r="R353"/>
  <c r="V353" s="1"/>
  <c r="T353" s="1"/>
  <c r="S353" s="1" a="1"/>
  <c r="S353" s="1"/>
  <c r="R357"/>
  <c r="V357" s="1"/>
  <c r="R361"/>
  <c r="V361" s="1"/>
  <c r="T361" s="1"/>
  <c r="S361" s="1" a="1"/>
  <c r="S361" s="1"/>
  <c r="R365"/>
  <c r="V365" s="1"/>
  <c r="T365" s="1"/>
  <c r="S365" s="1" a="1"/>
  <c r="S365" s="1"/>
  <c r="R369"/>
  <c r="V369" s="1"/>
  <c r="R373"/>
  <c r="V373" s="1"/>
  <c r="R377"/>
  <c r="V377" s="1"/>
  <c r="T377" s="1"/>
  <c r="R381"/>
  <c r="V381" s="1"/>
  <c r="T381" s="1"/>
  <c r="R385"/>
  <c r="V385" s="1"/>
  <c r="T385" s="1"/>
  <c r="S385" s="1" a="1"/>
  <c r="S385" s="1"/>
  <c r="R389"/>
  <c r="V389" s="1"/>
  <c r="T389" s="1"/>
  <c r="R393"/>
  <c r="V393" s="1"/>
  <c r="T393" s="1"/>
  <c r="R397"/>
  <c r="V397" s="1"/>
  <c r="R401"/>
  <c r="V401" s="1"/>
  <c r="T401" s="1"/>
  <c r="R405"/>
  <c r="V405" s="1"/>
  <c r="R409"/>
  <c r="V409" s="1"/>
  <c r="T409" s="1"/>
  <c r="R413"/>
  <c r="V413" s="1"/>
  <c r="T413" s="1"/>
  <c r="R417"/>
  <c r="V417" s="1"/>
  <c r="R421"/>
  <c r="V421" s="1"/>
  <c r="R425"/>
  <c r="V425" s="1"/>
  <c r="R429"/>
  <c r="V429" s="1"/>
  <c r="T429" s="1"/>
  <c r="R433"/>
  <c r="V433" s="1"/>
  <c r="T433" s="1"/>
  <c r="S433" s="1" a="1"/>
  <c r="S433" s="1"/>
  <c r="R437"/>
  <c r="V437" s="1"/>
  <c r="T437" s="1"/>
  <c r="S437" s="1" a="1"/>
  <c r="S437" s="1"/>
  <c r="R441"/>
  <c r="V441" s="1"/>
  <c r="T441" s="1"/>
  <c r="R445"/>
  <c r="V445" s="1"/>
  <c r="T445" s="1"/>
  <c r="S445" s="1" a="1"/>
  <c r="S445" s="1"/>
  <c r="R449"/>
  <c r="V449" s="1"/>
  <c r="T449" s="1"/>
  <c r="R453"/>
  <c r="V453" s="1"/>
  <c r="T453" s="1"/>
  <c r="R457"/>
  <c r="V457" s="1"/>
  <c r="T457" s="1"/>
  <c r="S457" s="1" a="1"/>
  <c r="S457" s="1"/>
  <c r="R461"/>
  <c r="V461" s="1"/>
  <c r="T461" s="1"/>
  <c r="R465"/>
  <c r="V465" s="1"/>
  <c r="R469"/>
  <c r="V469" s="1"/>
  <c r="T469" s="1"/>
  <c r="R473"/>
  <c r="V473" s="1"/>
  <c r="R477"/>
  <c r="V477" s="1"/>
  <c r="T477" s="1"/>
  <c r="S477" s="1" a="1"/>
  <c r="S477" s="1"/>
  <c r="R481"/>
  <c r="V481" s="1"/>
  <c r="R485"/>
  <c r="V485" s="1"/>
  <c r="T485" s="1"/>
  <c r="R489"/>
  <c r="V489" s="1"/>
  <c r="R493"/>
  <c r="V493" s="1"/>
  <c r="T493" s="1"/>
  <c r="S493" s="1" a="1"/>
  <c r="S493" s="1"/>
  <c r="R497"/>
  <c r="V497" s="1"/>
  <c r="R501"/>
  <c r="V501" s="1"/>
  <c r="R505"/>
  <c r="V505" s="1"/>
  <c r="R509"/>
  <c r="V509" s="1"/>
  <c r="T509" s="1"/>
  <c r="R513"/>
  <c r="V513" s="1"/>
  <c r="T513" s="1"/>
  <c r="S513" s="1" a="1"/>
  <c r="S513" s="1"/>
  <c r="R517"/>
  <c r="V517" s="1"/>
  <c r="T517" s="1"/>
  <c r="S517" s="1" a="1"/>
  <c r="S517" s="1"/>
  <c r="R521"/>
  <c r="V521" s="1"/>
  <c r="R525"/>
  <c r="V525" s="1"/>
  <c r="T525" s="1"/>
  <c r="S525" s="1" a="1"/>
  <c r="S525" s="1"/>
  <c r="R529"/>
  <c r="V529" s="1"/>
  <c r="T529" s="1"/>
  <c r="S529" s="1" a="1"/>
  <c r="S529" s="1"/>
  <c r="R533"/>
  <c r="V533" s="1"/>
  <c r="R537"/>
  <c r="V537" s="1"/>
  <c r="R541"/>
  <c r="V541" s="1"/>
  <c r="R545"/>
  <c r="V545" s="1"/>
  <c r="T545" s="1"/>
  <c r="R549"/>
  <c r="V549" s="1"/>
  <c r="T549" s="1"/>
  <c r="S549" s="1" a="1"/>
  <c r="S549" s="1"/>
  <c r="R553"/>
  <c r="V553" s="1"/>
  <c r="T553" s="1"/>
  <c r="S553" s="1" a="1"/>
  <c r="S553" s="1"/>
  <c r="R557"/>
  <c r="V557" s="1"/>
  <c r="T557" s="1"/>
  <c r="R561"/>
  <c r="V561" s="1"/>
  <c r="R565"/>
  <c r="V565" s="1"/>
  <c r="R569"/>
  <c r="V569" s="1"/>
  <c r="R573"/>
  <c r="V573" s="1"/>
  <c r="T573" s="1"/>
  <c r="R577"/>
  <c r="V577" s="1"/>
  <c r="T577" s="1"/>
  <c r="R581"/>
  <c r="V581" s="1"/>
  <c r="R585"/>
  <c r="V585" s="1"/>
  <c r="R589"/>
  <c r="V589" s="1"/>
  <c r="R593"/>
  <c r="V593" s="1"/>
  <c r="R597"/>
  <c r="V597" s="1"/>
  <c r="R601"/>
  <c r="V601" s="1"/>
  <c r="R605"/>
  <c r="V605" s="1"/>
  <c r="T605" s="1"/>
  <c r="S605" s="1" a="1"/>
  <c r="S605" s="1"/>
  <c r="R609"/>
  <c r="V609" s="1"/>
  <c r="T609" s="1"/>
  <c r="R613"/>
  <c r="V613" s="1"/>
  <c r="T613" s="1"/>
  <c r="S613" s="1" a="1"/>
  <c r="S613" s="1"/>
  <c r="R617"/>
  <c r="V617" s="1"/>
  <c r="T617" s="1"/>
  <c r="S617" s="1" a="1"/>
  <c r="S617" s="1"/>
  <c r="R621"/>
  <c r="V621" s="1"/>
  <c r="R625"/>
  <c r="V625" s="1"/>
  <c r="R629"/>
  <c r="V629" s="1"/>
  <c r="T629" s="1"/>
  <c r="S629" s="1" a="1"/>
  <c r="S629" s="1"/>
  <c r="R633"/>
  <c r="V633" s="1"/>
  <c r="T633" s="1"/>
  <c r="R637"/>
  <c r="V637" s="1"/>
  <c r="T637" s="1"/>
  <c r="R641"/>
  <c r="V641" s="1"/>
  <c r="R645"/>
  <c r="V645" s="1"/>
  <c r="R649"/>
  <c r="V649" s="1"/>
  <c r="R653"/>
  <c r="V653" s="1"/>
  <c r="R657"/>
  <c r="V657" s="1"/>
  <c r="T657" s="1"/>
  <c r="S657" s="1" a="1"/>
  <c r="S657" s="1"/>
  <c r="R661"/>
  <c r="V661" s="1"/>
  <c r="R665"/>
  <c r="V665" s="1"/>
  <c r="T665" s="1"/>
  <c r="S665" s="1" a="1"/>
  <c r="S665" s="1"/>
  <c r="R669"/>
  <c r="V669" s="1"/>
  <c r="R673"/>
  <c r="V673" s="1"/>
  <c r="T673" s="1"/>
  <c r="S673" s="1" a="1"/>
  <c r="S673" s="1"/>
  <c r="R677"/>
  <c r="V677" s="1"/>
  <c r="R681"/>
  <c r="V681" s="1"/>
  <c r="T681" s="1"/>
  <c r="S681" s="1" a="1"/>
  <c r="S681" s="1"/>
  <c r="R685"/>
  <c r="V685" s="1"/>
  <c r="R689"/>
  <c r="V689" s="1"/>
  <c r="R693"/>
  <c r="V693" s="1"/>
  <c r="R697"/>
  <c r="V697" s="1"/>
  <c r="T697" s="1"/>
  <c r="S697" s="1" a="1"/>
  <c r="S697" s="1"/>
  <c r="R701"/>
  <c r="V701" s="1"/>
  <c r="R705"/>
  <c r="V705" s="1"/>
  <c r="T705" s="1"/>
  <c r="S705" s="1" a="1"/>
  <c r="S705" s="1"/>
  <c r="R709"/>
  <c r="V709" s="1"/>
  <c r="T709" s="1"/>
  <c r="S709" s="1" a="1"/>
  <c r="S709" s="1"/>
  <c r="R713"/>
  <c r="V713" s="1"/>
  <c r="R717"/>
  <c r="V717" s="1"/>
  <c r="R721"/>
  <c r="V721" s="1"/>
  <c r="R725"/>
  <c r="V725" s="1"/>
  <c r="R729"/>
  <c r="V729" s="1"/>
  <c r="R733"/>
  <c r="V733" s="1"/>
  <c r="R737"/>
  <c r="V737" s="1"/>
  <c r="T737" s="1"/>
  <c r="S737" s="1" a="1"/>
  <c r="S737" s="1"/>
  <c r="R741"/>
  <c r="V741" s="1"/>
  <c r="R745"/>
  <c r="V745" s="1"/>
  <c r="T745" s="1"/>
  <c r="S745" s="1" a="1"/>
  <c r="S745" s="1"/>
  <c r="R749"/>
  <c r="V749" s="1"/>
  <c r="R753"/>
  <c r="V753" s="1"/>
  <c r="R757"/>
  <c r="V757" s="1"/>
  <c r="T757" s="1"/>
  <c r="S757" s="1" a="1"/>
  <c r="S757" s="1"/>
  <c r="R761"/>
  <c r="V761" s="1"/>
  <c r="R765"/>
  <c r="V765" s="1"/>
  <c r="R769"/>
  <c r="V769" s="1"/>
  <c r="R773"/>
  <c r="V773" s="1"/>
  <c r="R777"/>
  <c r="V777" s="1"/>
  <c r="T777" s="1"/>
  <c r="S777" s="1" a="1"/>
  <c r="S777" s="1"/>
  <c r="R781"/>
  <c r="V781" s="1"/>
  <c r="R785"/>
  <c r="V785" s="1"/>
  <c r="R789"/>
  <c r="V789" s="1"/>
  <c r="R793"/>
  <c r="V793" s="1"/>
  <c r="R797"/>
  <c r="V797" s="1"/>
  <c r="R801"/>
  <c r="V801" s="1"/>
  <c r="R805"/>
  <c r="V805" s="1"/>
  <c r="R809"/>
  <c r="V809" s="1"/>
  <c r="T809" s="1"/>
  <c r="S809" s="1" a="1"/>
  <c r="S809" s="1"/>
  <c r="R813"/>
  <c r="V813" s="1"/>
  <c r="R817"/>
  <c r="V817" s="1"/>
  <c r="R821"/>
  <c r="V821" s="1"/>
  <c r="R825"/>
  <c r="V825" s="1"/>
  <c r="R829"/>
  <c r="V829" s="1"/>
  <c r="T829" s="1"/>
  <c r="S829" s="1" a="1"/>
  <c r="S829" s="1"/>
  <c r="R833"/>
  <c r="V833" s="1"/>
  <c r="R837"/>
  <c r="V837" s="1"/>
  <c r="T837" s="1"/>
  <c r="S837" s="1" a="1"/>
  <c r="S837" s="1"/>
  <c r="R841"/>
  <c r="V841" s="1"/>
  <c r="R845"/>
  <c r="V845" s="1"/>
  <c r="R849"/>
  <c r="V849" s="1"/>
  <c r="R853"/>
  <c r="V853" s="1"/>
  <c r="R857"/>
  <c r="V857" s="1"/>
  <c r="R861"/>
  <c r="V861" s="1"/>
  <c r="R865"/>
  <c r="V865" s="1"/>
  <c r="R869"/>
  <c r="V869" s="1"/>
  <c r="R873"/>
  <c r="V873" s="1"/>
  <c r="R877"/>
  <c r="V877" s="1"/>
  <c r="R881"/>
  <c r="V881" s="1"/>
  <c r="R885"/>
  <c r="V885" s="1"/>
  <c r="T885" s="1"/>
  <c r="S885" s="1" a="1"/>
  <c r="S885" s="1"/>
  <c r="R889"/>
  <c r="V889" s="1"/>
  <c r="T889" s="1"/>
  <c r="S889" s="1" a="1"/>
  <c r="S889" s="1"/>
  <c r="R893"/>
  <c r="V893" s="1"/>
  <c r="T893" s="1"/>
  <c r="S893" s="1" a="1"/>
  <c r="S893" s="1"/>
  <c r="R897"/>
  <c r="V897" s="1"/>
  <c r="T897" s="1"/>
  <c r="S897" s="1" a="1"/>
  <c r="S897" s="1"/>
  <c r="R901"/>
  <c r="V901" s="1"/>
  <c r="R905"/>
  <c r="V905" s="1"/>
  <c r="R909"/>
  <c r="V909" s="1"/>
  <c r="T909" s="1"/>
  <c r="S909" s="1" a="1"/>
  <c r="S909" s="1"/>
  <c r="R913"/>
  <c r="V913" s="1"/>
  <c r="R917"/>
  <c r="V917" s="1"/>
  <c r="R921"/>
  <c r="V921" s="1"/>
  <c r="T921" s="1"/>
  <c r="S921" s="1" a="1"/>
  <c r="S921" s="1"/>
  <c r="R925"/>
  <c r="V925" s="1"/>
  <c r="R929"/>
  <c r="V929" s="1"/>
  <c r="R933"/>
  <c r="V933" s="1"/>
  <c r="R937"/>
  <c r="V937" s="1"/>
  <c r="R941"/>
  <c r="V941" s="1"/>
  <c r="T941" s="1"/>
  <c r="S941" s="1" a="1"/>
  <c r="S941" s="1"/>
  <c r="R945"/>
  <c r="V945" s="1"/>
  <c r="R949"/>
  <c r="V949" s="1"/>
  <c r="T949" s="1"/>
  <c r="S949" s="1" a="1"/>
  <c r="S949" s="1"/>
  <c r="R953"/>
  <c r="V953" s="1"/>
  <c r="T953" s="1"/>
  <c r="S953" s="1" a="1"/>
  <c r="S953" s="1"/>
  <c r="R957"/>
  <c r="V957" s="1"/>
  <c r="R961"/>
  <c r="V961" s="1"/>
  <c r="T961" s="1"/>
  <c r="S961" s="1" a="1"/>
  <c r="S961" s="1"/>
  <c r="R965"/>
  <c r="V965" s="1"/>
  <c r="R969"/>
  <c r="V969" s="1"/>
  <c r="T969" s="1"/>
  <c r="S969" s="1" a="1"/>
  <c r="S969" s="1"/>
  <c r="R973"/>
  <c r="V973" s="1"/>
  <c r="T973" s="1"/>
  <c r="S973" s="1" a="1"/>
  <c r="S973" s="1"/>
  <c r="R977"/>
  <c r="V977" s="1"/>
  <c r="R981"/>
  <c r="V981" s="1"/>
  <c r="R985"/>
  <c r="V985" s="1"/>
  <c r="R989"/>
  <c r="V989" s="1"/>
  <c r="R993"/>
  <c r="V993" s="1"/>
  <c r="R997"/>
  <c r="V997" s="1"/>
  <c r="R1001"/>
  <c r="V1001" s="1"/>
  <c r="T1001" s="1"/>
  <c r="S1001" s="1" a="1"/>
  <c r="S1001" s="1"/>
  <c r="R1005"/>
  <c r="V1005" s="1"/>
  <c r="R1009"/>
  <c r="V1009" s="1"/>
  <c r="R1013"/>
  <c r="V1013" s="1"/>
  <c r="T1013" s="1"/>
  <c r="S1013" s="1" a="1"/>
  <c r="S1013" s="1"/>
  <c r="R1017"/>
  <c r="V1017" s="1"/>
  <c r="R1021"/>
  <c r="V1021" s="1"/>
  <c r="R1025"/>
  <c r="V1025" s="1"/>
  <c r="T1025" s="1"/>
  <c r="S1025" s="1" a="1"/>
  <c r="S1025" s="1"/>
  <c r="R1029"/>
  <c r="V1029" s="1"/>
  <c r="T1029" s="1"/>
  <c r="R1033"/>
  <c r="V1033" s="1"/>
  <c r="T1033" s="1"/>
  <c r="S1033" s="1" a="1"/>
  <c r="S1033" s="1"/>
  <c r="R1037"/>
  <c r="V1037" s="1"/>
  <c r="T1037" s="1"/>
  <c r="S1037" s="1" a="1"/>
  <c r="S1037" s="1"/>
  <c r="R1041"/>
  <c r="V1041" s="1"/>
  <c r="R1045"/>
  <c r="V1045" s="1"/>
  <c r="R1049"/>
  <c r="V1049" s="1"/>
  <c r="T1049" s="1"/>
  <c r="R1053"/>
  <c r="V1053" s="1"/>
  <c r="R1057"/>
  <c r="V1057" s="1"/>
  <c r="R1061"/>
  <c r="V1061" s="1"/>
  <c r="T1061" s="1"/>
  <c r="S1061" s="1" a="1"/>
  <c r="S1061" s="1"/>
  <c r="R1065"/>
  <c r="V1065" s="1"/>
  <c r="R1069"/>
  <c r="V1069" s="1"/>
  <c r="T1069" s="1"/>
  <c r="S1069" s="1" a="1"/>
  <c r="S1069" s="1"/>
  <c r="R1073"/>
  <c r="V1073" s="1"/>
  <c r="T1073" s="1"/>
  <c r="S1073" s="1" a="1"/>
  <c r="S1073" s="1"/>
  <c r="R1077"/>
  <c r="V1077" s="1"/>
  <c r="R1081"/>
  <c r="V1081" s="1"/>
  <c r="R1085"/>
  <c r="V1085" s="1"/>
  <c r="R1089"/>
  <c r="V1089" s="1"/>
  <c r="R1093"/>
  <c r="V1093" s="1"/>
  <c r="R1097"/>
  <c r="V1097" s="1"/>
  <c r="R1101"/>
  <c r="V1101" s="1"/>
  <c r="R1105"/>
  <c r="V1105" s="1"/>
  <c r="R1109"/>
  <c r="V1109" s="1"/>
  <c r="R1113"/>
  <c r="V1113" s="1"/>
  <c r="T1113" s="1"/>
  <c r="S1113" s="1" a="1"/>
  <c r="S1113" s="1"/>
  <c r="R1117"/>
  <c r="V1117" s="1"/>
  <c r="R1121"/>
  <c r="V1121" s="1"/>
  <c r="R1125"/>
  <c r="V1125" s="1"/>
  <c r="R1129"/>
  <c r="V1129" s="1"/>
  <c r="T1129" s="1"/>
  <c r="S1129" s="1" a="1"/>
  <c r="S1129" s="1"/>
  <c r="R1133"/>
  <c r="V1133" s="1"/>
  <c r="R1137"/>
  <c r="V1137" s="1"/>
  <c r="R1141"/>
  <c r="V1141" s="1"/>
  <c r="T1141" s="1"/>
  <c r="S1141" s="1" a="1"/>
  <c r="S1141" s="1"/>
  <c r="R1145"/>
  <c r="V1145" s="1"/>
  <c r="R1149"/>
  <c r="V1149" s="1"/>
  <c r="T1149" s="1"/>
  <c r="S1149" s="1" a="1"/>
  <c r="S1149" s="1"/>
  <c r="R1153"/>
  <c r="V1153" s="1"/>
  <c r="R1157"/>
  <c r="V1157" s="1"/>
  <c r="R1161"/>
  <c r="V1161" s="1"/>
  <c r="T1161" s="1"/>
  <c r="S1161" s="1" a="1"/>
  <c r="S1161" s="1"/>
  <c r="R1165"/>
  <c r="V1165" s="1"/>
  <c r="R1169"/>
  <c r="V1169" s="1"/>
  <c r="R1173"/>
  <c r="V1173" s="1"/>
  <c r="R1177"/>
  <c r="V1177" s="1"/>
  <c r="R1181"/>
  <c r="V1181" s="1"/>
  <c r="T1181" s="1"/>
  <c r="S1181" s="1" a="1"/>
  <c r="S1181" s="1"/>
  <c r="R1185"/>
  <c r="V1185" s="1"/>
  <c r="R1189"/>
  <c r="V1189" s="1"/>
  <c r="R1193"/>
  <c r="V1193" s="1"/>
  <c r="R1197"/>
  <c r="V1197" s="1"/>
  <c r="R1201"/>
  <c r="V1201" s="1"/>
  <c r="R1205"/>
  <c r="V1205" s="1"/>
  <c r="R1209"/>
  <c r="V1209" s="1"/>
  <c r="R1213"/>
  <c r="V1213" s="1"/>
  <c r="T1213" s="1"/>
  <c r="S1213" s="1" a="1"/>
  <c r="S1213" s="1"/>
  <c r="R1217"/>
  <c r="V1217" s="1"/>
  <c r="R1221"/>
  <c r="V1221" s="1"/>
  <c r="T1221" s="1"/>
  <c r="S1221" s="1" a="1"/>
  <c r="S1221" s="1"/>
  <c r="R1225"/>
  <c r="V1225" s="1"/>
  <c r="R1229"/>
  <c r="V1229" s="1"/>
  <c r="R1233"/>
  <c r="V1233" s="1"/>
  <c r="R1237"/>
  <c r="V1237" s="1"/>
  <c r="T1237" s="1"/>
  <c r="S1237" s="1" a="1"/>
  <c r="S1237" s="1"/>
  <c r="R1241"/>
  <c r="V1241" s="1"/>
  <c r="T1241" s="1"/>
  <c r="S1241" s="1" a="1"/>
  <c r="S1241" s="1"/>
  <c r="R1245"/>
  <c r="V1245" s="1"/>
  <c r="T1245" s="1"/>
  <c r="S1245" s="1" a="1"/>
  <c r="S1245" s="1"/>
  <c r="R1249"/>
  <c r="V1249" s="1"/>
  <c r="T1249" s="1"/>
  <c r="S1249" s="1" a="1"/>
  <c r="S1249" s="1"/>
  <c r="R1253"/>
  <c r="V1253" s="1"/>
  <c r="T1253" s="1"/>
  <c r="S1253" s="1" a="1"/>
  <c r="S1253" s="1"/>
  <c r="R1257"/>
  <c r="V1257" s="1"/>
  <c r="R1261"/>
  <c r="V1261" s="1"/>
  <c r="T1261" s="1"/>
  <c r="S1261" s="1" a="1"/>
  <c r="S1261" s="1"/>
  <c r="R1265"/>
  <c r="V1265" s="1"/>
  <c r="R1269"/>
  <c r="V1269" s="1"/>
  <c r="R1273"/>
  <c r="V1273" s="1"/>
  <c r="T1273" s="1"/>
  <c r="S1273" s="1" a="1"/>
  <c r="S1273" s="1"/>
  <c r="R1277"/>
  <c r="V1277" s="1"/>
  <c r="T1277" s="1"/>
  <c r="S1277" s="1" a="1"/>
  <c r="S1277" s="1"/>
  <c r="R1281"/>
  <c r="V1281" s="1"/>
  <c r="R1285"/>
  <c r="V1285" s="1"/>
  <c r="R1289"/>
  <c r="V1289" s="1"/>
  <c r="R1293"/>
  <c r="V1293" s="1"/>
  <c r="T1293" s="1"/>
  <c r="S1293" s="1" a="1"/>
  <c r="S1293" s="1"/>
  <c r="R1297"/>
  <c r="V1297" s="1"/>
  <c r="R1301"/>
  <c r="V1301" s="1"/>
  <c r="T1301" s="1"/>
  <c r="S1301" s="1" a="1"/>
  <c r="S1301" s="1"/>
  <c r="R1305"/>
  <c r="V1305" s="1"/>
  <c r="R1309"/>
  <c r="V1309" s="1"/>
  <c r="R1313"/>
  <c r="V1313" s="1"/>
  <c r="T1313" s="1"/>
  <c r="S1313" s="1" a="1"/>
  <c r="S1313" s="1"/>
  <c r="R1317"/>
  <c r="V1317" s="1"/>
  <c r="R1321"/>
  <c r="V1321" s="1"/>
  <c r="T1321" s="1"/>
  <c r="S1321" s="1" a="1"/>
  <c r="S1321" s="1"/>
  <c r="R1325"/>
  <c r="V1325" s="1"/>
  <c r="T1325" s="1"/>
  <c r="S1325" s="1" a="1"/>
  <c r="S1325" s="1"/>
  <c r="R1329"/>
  <c r="V1329" s="1"/>
  <c r="T1329" s="1"/>
  <c r="S1329" s="1" a="1"/>
  <c r="S1329" s="1"/>
  <c r="R1333"/>
  <c r="V1333" s="1"/>
  <c r="R1337"/>
  <c r="V1337" s="1"/>
  <c r="R1341"/>
  <c r="V1341" s="1"/>
  <c r="T1341" s="1"/>
  <c r="S1341" s="1" a="1"/>
  <c r="S1341" s="1"/>
  <c r="R1345"/>
  <c r="V1345" s="1"/>
  <c r="R1349"/>
  <c r="V1349" s="1"/>
  <c r="R1353"/>
  <c r="V1353" s="1"/>
  <c r="T1353" s="1"/>
  <c r="S1353" s="1" a="1"/>
  <c r="S1353" s="1"/>
  <c r="R1357"/>
  <c r="V1357" s="1"/>
  <c r="R1361"/>
  <c r="V1361" s="1"/>
  <c r="R1365"/>
  <c r="V1365" s="1"/>
  <c r="T1365" s="1"/>
  <c r="S1365" s="1" a="1"/>
  <c r="S1365" s="1"/>
  <c r="R1369"/>
  <c r="V1369" s="1"/>
  <c r="R1373"/>
  <c r="V1373" s="1"/>
  <c r="R1377"/>
  <c r="V1377" s="1"/>
  <c r="T1377" s="1"/>
  <c r="S1377" s="1" a="1"/>
  <c r="S1377" s="1"/>
  <c r="R1381"/>
  <c r="V1381" s="1"/>
  <c r="R1385"/>
  <c r="V1385" s="1"/>
  <c r="T1385" s="1"/>
  <c r="S1385" s="1" a="1"/>
  <c r="S1385" s="1"/>
  <c r="R1389"/>
  <c r="V1389" s="1"/>
  <c r="R1393"/>
  <c r="V1393" s="1"/>
  <c r="R1397"/>
  <c r="V1397" s="1"/>
  <c r="R1401"/>
  <c r="V1401" s="1"/>
  <c r="R1405"/>
  <c r="V1405" s="1"/>
  <c r="R1409"/>
  <c r="V1409" s="1"/>
  <c r="T1409" s="1"/>
  <c r="S1409" s="1" a="1"/>
  <c r="S1409" s="1"/>
  <c r="R1413"/>
  <c r="V1413" s="1"/>
  <c r="T1413" s="1"/>
  <c r="S1413" s="1" a="1"/>
  <c r="S1413" s="1"/>
  <c r="R1417"/>
  <c r="V1417" s="1"/>
  <c r="T1417" s="1"/>
  <c r="S1417" s="1" a="1"/>
  <c r="S1417" s="1"/>
  <c r="R1421"/>
  <c r="V1421" s="1"/>
  <c r="T1421" s="1"/>
  <c r="S1421" s="1" a="1"/>
  <c r="S1421" s="1"/>
  <c r="R1425"/>
  <c r="V1425" s="1"/>
  <c r="R1429"/>
  <c r="V1429" s="1"/>
  <c r="R1433"/>
  <c r="V1433" s="1"/>
  <c r="R1437"/>
  <c r="V1437" s="1"/>
  <c r="T1437" s="1"/>
  <c r="S1437" s="1" a="1"/>
  <c r="S1437" s="1"/>
  <c r="R1441"/>
  <c r="V1441" s="1"/>
  <c r="T1441" s="1"/>
  <c r="S1441" s="1" a="1"/>
  <c r="S1441" s="1"/>
  <c r="R1445"/>
  <c r="V1445" s="1"/>
  <c r="R1449"/>
  <c r="V1449" s="1"/>
  <c r="R1453"/>
  <c r="V1453" s="1"/>
  <c r="R1457"/>
  <c r="V1457" s="1"/>
  <c r="T1457" s="1"/>
  <c r="S1457" s="1" a="1"/>
  <c r="S1457" s="1"/>
  <c r="R1461"/>
  <c r="V1461" s="1"/>
  <c r="R1465"/>
  <c r="V1465" s="1"/>
  <c r="R1469"/>
  <c r="V1469" s="1"/>
  <c r="T1469" s="1"/>
  <c r="S1469" s="1" a="1"/>
  <c r="S1469" s="1"/>
  <c r="R1473"/>
  <c r="V1473" s="1"/>
  <c r="R1477"/>
  <c r="V1477" s="1"/>
  <c r="T1477" s="1"/>
  <c r="S1477" s="1" a="1"/>
  <c r="S1477" s="1"/>
  <c r="R1481"/>
  <c r="V1481" s="1"/>
  <c r="T1481" s="1"/>
  <c r="S1481" s="1" a="1"/>
  <c r="S1481" s="1"/>
  <c r="R1485"/>
  <c r="V1485" s="1"/>
  <c r="T1485" s="1"/>
  <c r="S1485" s="1" a="1"/>
  <c r="S1485" s="1"/>
  <c r="R1489"/>
  <c r="V1489" s="1"/>
  <c r="R1493"/>
  <c r="V1493" s="1"/>
  <c r="T1493" s="1"/>
  <c r="S1493" s="1" a="1"/>
  <c r="S1493" s="1"/>
  <c r="R1497"/>
  <c r="V1497" s="1"/>
  <c r="R1501"/>
  <c r="V1501" s="1"/>
  <c r="R1505"/>
  <c r="V1505" s="1"/>
  <c r="T1505" s="1"/>
  <c r="S1505" s="1" a="1"/>
  <c r="S1505" s="1"/>
  <c r="R1509"/>
  <c r="V1509" s="1"/>
  <c r="R1513"/>
  <c r="V1513" s="1"/>
  <c r="R1517"/>
  <c r="V1517" s="1"/>
  <c r="R1521"/>
  <c r="V1521" s="1"/>
  <c r="R1525"/>
  <c r="V1525" s="1"/>
  <c r="T1525" s="1"/>
  <c r="S1525" s="1" a="1"/>
  <c r="S1525" s="1"/>
  <c r="R1529"/>
  <c r="V1529" s="1"/>
  <c r="R1533"/>
  <c r="V1533" s="1"/>
  <c r="T1533" s="1"/>
  <c r="S1533" s="1" a="1"/>
  <c r="S1533" s="1"/>
  <c r="R1537"/>
  <c r="V1537" s="1"/>
  <c r="T1537" s="1"/>
  <c r="S1537" s="1" a="1"/>
  <c r="S1537" s="1"/>
  <c r="R1541"/>
  <c r="V1541" s="1"/>
  <c r="T1541" s="1"/>
  <c r="S1541" s="1" a="1"/>
  <c r="S1541" s="1"/>
  <c r="R1545"/>
  <c r="V1545" s="1"/>
  <c r="R1549"/>
  <c r="V1549" s="1"/>
  <c r="R1553"/>
  <c r="V1553" s="1"/>
  <c r="R1557"/>
  <c r="V1557" s="1"/>
  <c r="T1557" s="1"/>
  <c r="S1557" s="1" a="1"/>
  <c r="S1557" s="1"/>
  <c r="R1561"/>
  <c r="V1561" s="1"/>
  <c r="R1565"/>
  <c r="V1565" s="1"/>
  <c r="R1569"/>
  <c r="V1569" s="1"/>
  <c r="T1569" s="1"/>
  <c r="S1569" s="1" a="1"/>
  <c r="S1569" s="1"/>
  <c r="R1573"/>
  <c r="V1573" s="1"/>
  <c r="T1573" s="1"/>
  <c r="S1573" s="1" a="1"/>
  <c r="S1573" s="1"/>
  <c r="R1577"/>
  <c r="V1577" s="1"/>
  <c r="T1577" s="1"/>
  <c r="S1577" s="1" a="1"/>
  <c r="S1577" s="1"/>
  <c r="R1581"/>
  <c r="V1581" s="1"/>
  <c r="R1585"/>
  <c r="V1585" s="1"/>
  <c r="R1589"/>
  <c r="V1589" s="1"/>
  <c r="R1593"/>
  <c r="V1593" s="1"/>
  <c r="T1593" s="1"/>
  <c r="R1597"/>
  <c r="V1597" s="1"/>
  <c r="R1601"/>
  <c r="V1601" s="1"/>
  <c r="T1601" s="1"/>
  <c r="S1601" s="1" a="1"/>
  <c r="S1601" s="1"/>
  <c r="R1605"/>
  <c r="V1605" s="1"/>
  <c r="R1609"/>
  <c r="V1609" s="1"/>
  <c r="R1613"/>
  <c r="V1613" s="1"/>
  <c r="R1617"/>
  <c r="V1617" s="1"/>
  <c r="R1621"/>
  <c r="V1621" s="1"/>
  <c r="T1621" s="1"/>
  <c r="S1621" s="1" a="1"/>
  <c r="S1621" s="1"/>
  <c r="R1625"/>
  <c r="V1625" s="1"/>
  <c r="R1629"/>
  <c r="V1629" s="1"/>
  <c r="R1633"/>
  <c r="V1633" s="1"/>
  <c r="T1633" s="1"/>
  <c r="S1633" s="1" a="1"/>
  <c r="S1633" s="1"/>
  <c r="R1637"/>
  <c r="V1637" s="1"/>
  <c r="T1637" s="1"/>
  <c r="S1637" s="1" a="1"/>
  <c r="S1637" s="1"/>
  <c r="R1641"/>
  <c r="V1641" s="1"/>
  <c r="R1645"/>
  <c r="V1645" s="1"/>
  <c r="R1649"/>
  <c r="V1649" s="1"/>
  <c r="T1649" s="1"/>
  <c r="S1649" s="1" a="1"/>
  <c r="S1649" s="1"/>
  <c r="R1653"/>
  <c r="V1653" s="1"/>
  <c r="R1657"/>
  <c r="V1657" s="1"/>
  <c r="R1661"/>
  <c r="V1661" s="1"/>
  <c r="T1661" s="1"/>
  <c r="S1661" s="1" a="1"/>
  <c r="S1661" s="1"/>
  <c r="R1665"/>
  <c r="V1665" s="1"/>
  <c r="T1665" s="1"/>
  <c r="S1665" s="1" a="1"/>
  <c r="S1665" s="1"/>
  <c r="R1669"/>
  <c r="V1669" s="1"/>
  <c r="T1669" s="1"/>
  <c r="S1669" s="1" a="1"/>
  <c r="S1669" s="1"/>
  <c r="R1673"/>
  <c r="V1673" s="1"/>
  <c r="T1673" s="1"/>
  <c r="S1673" s="1" a="1"/>
  <c r="S1673" s="1"/>
  <c r="R1677"/>
  <c r="V1677" s="1"/>
  <c r="R1681"/>
  <c r="V1681" s="1"/>
  <c r="T1681" s="1"/>
  <c r="S1681" s="1" a="1"/>
  <c r="S1681" s="1"/>
  <c r="R1685"/>
  <c r="V1685" s="1"/>
  <c r="R1689"/>
  <c r="V1689" s="1"/>
  <c r="R1693"/>
  <c r="V1693" s="1"/>
  <c r="T1693" s="1"/>
  <c r="S1693" s="1" a="1"/>
  <c r="S1693" s="1"/>
  <c r="R1697"/>
  <c r="V1697" s="1"/>
  <c r="T1697" s="1"/>
  <c r="S1697" s="1" a="1"/>
  <c r="S1697" s="1"/>
  <c r="R1701"/>
  <c r="V1701" s="1"/>
  <c r="T1701" s="1"/>
  <c r="S1701" s="1" a="1"/>
  <c r="S1701" s="1"/>
  <c r="R1705"/>
  <c r="V1705" s="1"/>
  <c r="T1705" s="1"/>
  <c r="S1705" s="1" a="1"/>
  <c r="S1705" s="1"/>
  <c r="R1709"/>
  <c r="V1709" s="1"/>
  <c r="R1713"/>
  <c r="V1713" s="1"/>
  <c r="R1717"/>
  <c r="V1717" s="1"/>
  <c r="R1721"/>
  <c r="V1721" s="1"/>
  <c r="T1721" s="1"/>
  <c r="S1721" s="1" a="1"/>
  <c r="S1721" s="1"/>
  <c r="R1725"/>
  <c r="V1725" s="1"/>
  <c r="T1725" s="1"/>
  <c r="S1725" s="1" a="1"/>
  <c r="S1725" s="1"/>
  <c r="R1729"/>
  <c r="V1729" s="1"/>
  <c r="T1729" s="1"/>
  <c r="S1729" s="1" a="1"/>
  <c r="S1729" s="1"/>
  <c r="R1733"/>
  <c r="V1733" s="1"/>
  <c r="T1733" s="1"/>
  <c r="S1733" s="1" a="1"/>
  <c r="S1733" s="1"/>
  <c r="R1737"/>
  <c r="V1737" s="1"/>
  <c r="R1741"/>
  <c r="V1741" s="1"/>
  <c r="T1741" s="1"/>
  <c r="S1741" s="1" a="1"/>
  <c r="S1741" s="1"/>
  <c r="R1745"/>
  <c r="V1745" s="1"/>
  <c r="R1749"/>
  <c r="V1749" s="1"/>
  <c r="R1753"/>
  <c r="V1753" s="1"/>
  <c r="T1753" s="1"/>
  <c r="S1753" s="1" a="1"/>
  <c r="S1753" s="1"/>
  <c r="R1757"/>
  <c r="V1757" s="1"/>
  <c r="R1761"/>
  <c r="V1761" s="1"/>
  <c r="T1761" s="1"/>
  <c r="S1761" s="1" a="1"/>
  <c r="S1761" s="1"/>
  <c r="R1765"/>
  <c r="V1765" s="1"/>
  <c r="T1765" s="1"/>
  <c r="S1765" s="1" a="1"/>
  <c r="S1765" s="1"/>
  <c r="R1769"/>
  <c r="V1769" s="1"/>
  <c r="R1773"/>
  <c r="V1773" s="1"/>
  <c r="R1777"/>
  <c r="V1777" s="1"/>
  <c r="R1781"/>
  <c r="V1781" s="1"/>
  <c r="R1785"/>
  <c r="V1785" s="1"/>
  <c r="T1785" s="1"/>
  <c r="S1785" s="1" a="1"/>
  <c r="S1785" s="1"/>
  <c r="R1789"/>
  <c r="V1789" s="1"/>
  <c r="R1793"/>
  <c r="V1793" s="1"/>
  <c r="T1793" s="1"/>
  <c r="S1793" s="1" a="1"/>
  <c r="S1793" s="1"/>
  <c r="R1797"/>
  <c r="V1797" s="1"/>
  <c r="T1797" s="1"/>
  <c r="S1797" s="1" a="1"/>
  <c r="S1797" s="1"/>
  <c r="R1801"/>
  <c r="V1801" s="1"/>
  <c r="R1805"/>
  <c r="V1805" s="1"/>
  <c r="T1805" s="1"/>
  <c r="S1805" s="1" a="1"/>
  <c r="S1805" s="1"/>
  <c r="R1809"/>
  <c r="V1809" s="1"/>
  <c r="R1813"/>
  <c r="V1813" s="1"/>
  <c r="T1813" s="1"/>
  <c r="S1813" s="1" a="1"/>
  <c r="S1813" s="1"/>
  <c r="R1817"/>
  <c r="V1817" s="1"/>
  <c r="T1817" s="1"/>
  <c r="S1817" s="1" a="1"/>
  <c r="S1817" s="1"/>
  <c r="R1821"/>
  <c r="V1821" s="1"/>
  <c r="R1825"/>
  <c r="V1825" s="1"/>
  <c r="R1829"/>
  <c r="V1829" s="1"/>
  <c r="T1829" s="1"/>
  <c r="S1829" s="1" a="1"/>
  <c r="S1829" s="1"/>
  <c r="R1833"/>
  <c r="V1833" s="1"/>
  <c r="T1833" s="1"/>
  <c r="S1833" s="1" a="1"/>
  <c r="S1833" s="1"/>
  <c r="R1837"/>
  <c r="V1837" s="1"/>
  <c r="R1841"/>
  <c r="V1841" s="1"/>
  <c r="R1845"/>
  <c r="V1845" s="1"/>
  <c r="T1845" s="1"/>
  <c r="S1845" s="1" a="1"/>
  <c r="S1845" s="1"/>
  <c r="R1849"/>
  <c r="V1849" s="1"/>
  <c r="R1853"/>
  <c r="V1853" s="1"/>
  <c r="R1857"/>
  <c r="V1857" s="1"/>
  <c r="T1857" s="1"/>
  <c r="S1857" s="1" a="1"/>
  <c r="S1857" s="1"/>
  <c r="R1861"/>
  <c r="V1861" s="1"/>
  <c r="T1861" s="1"/>
  <c r="S1861" s="1" a="1"/>
  <c r="S1861" s="1"/>
  <c r="R1865"/>
  <c r="V1865" s="1"/>
  <c r="R1869"/>
  <c r="V1869" s="1"/>
  <c r="T1869" s="1"/>
  <c r="S1869" s="1" a="1"/>
  <c r="S1869" s="1"/>
  <c r="R1873"/>
  <c r="V1873" s="1"/>
  <c r="R1877"/>
  <c r="V1877" s="1"/>
  <c r="T1877" s="1"/>
  <c r="S1877" s="1" a="1"/>
  <c r="S1877" s="1"/>
  <c r="R1881"/>
  <c r="V1881" s="1"/>
  <c r="R1885"/>
  <c r="V1885" s="1"/>
  <c r="R1889"/>
  <c r="V1889" s="1"/>
  <c r="R1893"/>
  <c r="V1893" s="1"/>
  <c r="T1893" s="1"/>
  <c r="S1893" s="1" a="1"/>
  <c r="S1893" s="1"/>
  <c r="R1897"/>
  <c r="V1897" s="1"/>
  <c r="T1897" s="1"/>
  <c r="S1897" s="1" a="1"/>
  <c r="S1897" s="1"/>
  <c r="R1901"/>
  <c r="V1901" s="1"/>
  <c r="R1905"/>
  <c r="V1905" s="1"/>
  <c r="T1905" s="1"/>
  <c r="S1905" s="1" a="1"/>
  <c r="S1905" s="1"/>
  <c r="R1909"/>
  <c r="V1909" s="1"/>
  <c r="R1913"/>
  <c r="V1913" s="1"/>
  <c r="R1917"/>
  <c r="V1917" s="1"/>
  <c r="T1917" s="1"/>
  <c r="S1917" s="1" a="1"/>
  <c r="S1917" s="1"/>
  <c r="R1921"/>
  <c r="V1921" s="1"/>
  <c r="R1925"/>
  <c r="V1925" s="1"/>
  <c r="T1925" s="1"/>
  <c r="S1925" s="1" a="1"/>
  <c r="S1925" s="1"/>
  <c r="R1929"/>
  <c r="V1929" s="1"/>
  <c r="R1933"/>
  <c r="V1933" s="1"/>
  <c r="T1933" s="1"/>
  <c r="S1933" s="1" a="1"/>
  <c r="S1933" s="1"/>
  <c r="R1937"/>
  <c r="V1937" s="1"/>
  <c r="T1937" s="1"/>
  <c r="S1937" s="1" a="1"/>
  <c r="S1937" s="1"/>
  <c r="R1941"/>
  <c r="V1941" s="1"/>
  <c r="R1945"/>
  <c r="V1945" s="1"/>
  <c r="R1949"/>
  <c r="V1949" s="1"/>
  <c r="T1949" s="1"/>
  <c r="S1949" s="1" a="1"/>
  <c r="S1949" s="1"/>
  <c r="R1953"/>
  <c r="V1953" s="1"/>
  <c r="T1953" s="1"/>
  <c r="S1953" s="1" a="1"/>
  <c r="S1953" s="1"/>
  <c r="R1957"/>
  <c r="V1957" s="1"/>
  <c r="T1957" s="1"/>
  <c r="S1957" s="1" a="1"/>
  <c r="S1957" s="1"/>
  <c r="R1961"/>
  <c r="V1961" s="1"/>
  <c r="R1965"/>
  <c r="V1965" s="1"/>
  <c r="R1969"/>
  <c r="V1969" s="1"/>
  <c r="T1969" s="1"/>
  <c r="S1969" s="1" a="1"/>
  <c r="S1969" s="1"/>
  <c r="R1973"/>
  <c r="V1973" s="1"/>
  <c r="R1977"/>
  <c r="V1977" s="1"/>
  <c r="T1977" s="1"/>
  <c r="S1977" s="1" a="1"/>
  <c r="S1977" s="1"/>
  <c r="R1981"/>
  <c r="V1981" s="1"/>
  <c r="T1981" s="1"/>
  <c r="S1981" s="1" a="1"/>
  <c r="S1981" s="1"/>
  <c r="R1985"/>
  <c r="V1985" s="1"/>
  <c r="T1985" s="1"/>
  <c r="S1985" s="1" a="1"/>
  <c r="S1985" s="1"/>
  <c r="R1989"/>
  <c r="V1989" s="1"/>
  <c r="R1993"/>
  <c r="V1993" s="1"/>
  <c r="T1993" s="1"/>
  <c r="S1993" s="1" a="1"/>
  <c r="S1993" s="1"/>
  <c r="R1997"/>
  <c r="V1997" s="1"/>
  <c r="T1997" s="1"/>
  <c r="S1997" s="1" a="1"/>
  <c r="S1997" s="1"/>
  <c r="R2001"/>
  <c r="V2001" s="1"/>
  <c r="R2005"/>
  <c r="V2005" s="1"/>
  <c r="R2009"/>
  <c r="V2009" s="1"/>
  <c r="R2013"/>
  <c r="V2013" s="1"/>
  <c r="R2017"/>
  <c r="V2017" s="1"/>
  <c r="T2017" s="1"/>
  <c r="S2017" s="1" a="1"/>
  <c r="S2017" s="1"/>
  <c r="R2021"/>
  <c r="V2021" s="1"/>
  <c r="T2021" s="1"/>
  <c r="S2021" s="1" a="1"/>
  <c r="S2021" s="1"/>
  <c r="R2025"/>
  <c r="V2025" s="1"/>
  <c r="T2025" s="1"/>
  <c r="S2025" s="1" a="1"/>
  <c r="S2025" s="1"/>
  <c r="R2029"/>
  <c r="V2029" s="1"/>
  <c r="R2033"/>
  <c r="V2033" s="1"/>
  <c r="T2033" s="1"/>
  <c r="S2033" s="1" a="1"/>
  <c r="S2033" s="1"/>
  <c r="R2037"/>
  <c r="V2037" s="1"/>
  <c r="T2037" s="1"/>
  <c r="S2037" s="1" a="1"/>
  <c r="S2037" s="1"/>
  <c r="R2041"/>
  <c r="V2041" s="1"/>
  <c r="R2045"/>
  <c r="V2045" s="1"/>
  <c r="T2045" s="1"/>
  <c r="S2045" s="1" a="1"/>
  <c r="S2045" s="1"/>
  <c r="R2049"/>
  <c r="V2049" s="1"/>
  <c r="T2049" s="1"/>
  <c r="S2049" s="1" a="1"/>
  <c r="S2049" s="1"/>
  <c r="R2053"/>
  <c r="V2053" s="1"/>
  <c r="R2057"/>
  <c r="V2057" s="1"/>
  <c r="T2057" s="1"/>
  <c r="S2057" s="1" a="1"/>
  <c r="S2057" s="1"/>
  <c r="R2061"/>
  <c r="V2061" s="1"/>
  <c r="R2065"/>
  <c r="V2065" s="1"/>
  <c r="R2069"/>
  <c r="V2069" s="1"/>
  <c r="T2069" s="1"/>
  <c r="S2069" s="1" a="1"/>
  <c r="S2069" s="1"/>
  <c r="R2073"/>
  <c r="V2073" s="1"/>
  <c r="R2077"/>
  <c r="V2077" s="1"/>
  <c r="T2077" s="1"/>
  <c r="S2077" s="1" a="1"/>
  <c r="S2077" s="1"/>
  <c r="R2081"/>
  <c r="V2081" s="1"/>
  <c r="T2081" s="1"/>
  <c r="S2081" s="1" a="1"/>
  <c r="S2081" s="1"/>
  <c r="R2085"/>
  <c r="V2085" s="1"/>
  <c r="R2089"/>
  <c r="V2089" s="1"/>
  <c r="T2089" s="1"/>
  <c r="S2089" s="1" a="1"/>
  <c r="S2089" s="1"/>
  <c r="R2093"/>
  <c r="V2093" s="1"/>
  <c r="R2097"/>
  <c r="V2097" s="1"/>
  <c r="T2097" s="1"/>
  <c r="S2097" s="1" a="1"/>
  <c r="S2097" s="1"/>
  <c r="R2101"/>
  <c r="V2101" s="1"/>
  <c r="T2101" s="1"/>
  <c r="S2101" s="1" a="1"/>
  <c r="S2101" s="1"/>
  <c r="R2105"/>
  <c r="V2105" s="1"/>
  <c r="R2109"/>
  <c r="V2109" s="1"/>
  <c r="T2109" s="1"/>
  <c r="S2109" s="1" a="1"/>
  <c r="S2109" s="1"/>
  <c r="R2113"/>
  <c r="V2113" s="1"/>
  <c r="R2117"/>
  <c r="V2117" s="1"/>
  <c r="T2117" s="1"/>
  <c r="S2117" s="1" a="1"/>
  <c r="S2117" s="1"/>
  <c r="R2121"/>
  <c r="V2121" s="1"/>
  <c r="T2121" s="1"/>
  <c r="S2121" s="1" a="1"/>
  <c r="S2121" s="1"/>
  <c r="R2125"/>
  <c r="V2125" s="1"/>
  <c r="T2125" s="1"/>
  <c r="S2125" s="1" a="1"/>
  <c r="S2125" s="1"/>
  <c r="R2129"/>
  <c r="V2129" s="1"/>
  <c r="R2133"/>
  <c r="V2133" s="1"/>
  <c r="R2137"/>
  <c r="V2137" s="1"/>
  <c r="T2137" s="1"/>
  <c r="S2137" s="1" a="1"/>
  <c r="S2137" s="1"/>
  <c r="R2141"/>
  <c r="V2141" s="1"/>
  <c r="T2141" s="1"/>
  <c r="S2141" s="1" a="1"/>
  <c r="S2141" s="1"/>
  <c r="R2145"/>
  <c r="V2145" s="1"/>
  <c r="T2145" s="1"/>
  <c r="S2145" s="1" a="1"/>
  <c r="S2145" s="1"/>
  <c r="R2149"/>
  <c r="V2149" s="1"/>
  <c r="T2149" s="1"/>
  <c r="S2149" s="1" a="1"/>
  <c r="S2149" s="1"/>
  <c r="R2153"/>
  <c r="V2153" s="1"/>
  <c r="T2153" s="1"/>
  <c r="S2153" s="1" a="1"/>
  <c r="S2153" s="1"/>
  <c r="R2157"/>
  <c r="V2157" s="1"/>
  <c r="T2157" s="1"/>
  <c r="S2157" s="1" a="1"/>
  <c r="S2157" s="1"/>
  <c r="R2161"/>
  <c r="V2161" s="1"/>
  <c r="T2161" s="1"/>
  <c r="S2161" s="1" a="1"/>
  <c r="S2161" s="1"/>
  <c r="R2165"/>
  <c r="V2165" s="1"/>
  <c r="T2165" s="1"/>
  <c r="S2165" s="1" a="1"/>
  <c r="S2165" s="1"/>
  <c r="R36"/>
  <c r="V36" s="1"/>
  <c r="R40"/>
  <c r="V40" s="1"/>
  <c r="T40" s="1"/>
  <c r="S40" s="1" a="1"/>
  <c r="S40" s="1"/>
  <c r="R44"/>
  <c r="V44" s="1"/>
  <c r="T44" s="1"/>
  <c r="S44" s="1" a="1"/>
  <c r="S44" s="1"/>
  <c r="R48"/>
  <c r="V48" s="1"/>
  <c r="R52"/>
  <c r="V52" s="1"/>
  <c r="R56"/>
  <c r="V56" s="1"/>
  <c r="R60"/>
  <c r="V60" s="1"/>
  <c r="R64"/>
  <c r="V64" s="1"/>
  <c r="T64" s="1"/>
  <c r="S64" s="1" a="1"/>
  <c r="S64" s="1"/>
  <c r="R68"/>
  <c r="V68" s="1"/>
  <c r="R72"/>
  <c r="V72" s="1"/>
  <c r="T72" s="1"/>
  <c r="S72" s="1" a="1"/>
  <c r="S72" s="1"/>
  <c r="R76"/>
  <c r="V76" s="1"/>
  <c r="R80"/>
  <c r="V80" s="1"/>
  <c r="R84"/>
  <c r="V84" s="1"/>
  <c r="R88"/>
  <c r="V88" s="1"/>
  <c r="T88" s="1"/>
  <c r="S88" s="1" a="1"/>
  <c r="S88" s="1"/>
  <c r="R92"/>
  <c r="V92" s="1"/>
  <c r="T92" s="1"/>
  <c r="S92" s="1" a="1"/>
  <c r="S92" s="1"/>
  <c r="R96"/>
  <c r="V96" s="1"/>
  <c r="R100"/>
  <c r="V100" s="1"/>
  <c r="T100" s="1"/>
  <c r="S100" s="1" a="1"/>
  <c r="S100" s="1"/>
  <c r="R104"/>
  <c r="V104" s="1"/>
  <c r="T104" s="1"/>
  <c r="S104" s="1" a="1"/>
  <c r="S104" s="1"/>
  <c r="R108"/>
  <c r="V108" s="1"/>
  <c r="T108" s="1"/>
  <c r="S108" s="1" a="1"/>
  <c r="S108" s="1"/>
  <c r="R112"/>
  <c r="V112" s="1"/>
  <c r="T112" s="1"/>
  <c r="S112" s="1" a="1"/>
  <c r="S112" s="1"/>
  <c r="R116"/>
  <c r="V116" s="1"/>
  <c r="R120"/>
  <c r="V120" s="1"/>
  <c r="T120" s="1"/>
  <c r="S120" s="1" a="1"/>
  <c r="S120" s="1"/>
  <c r="R124"/>
  <c r="V124" s="1"/>
  <c r="T124" s="1"/>
  <c r="S124" s="1" a="1"/>
  <c r="S124" s="1"/>
  <c r="R128"/>
  <c r="V128" s="1"/>
  <c r="T128" s="1"/>
  <c r="S128" s="1" a="1"/>
  <c r="S128" s="1"/>
  <c r="R132"/>
  <c r="V132" s="1"/>
  <c r="R136"/>
  <c r="V136" s="1"/>
  <c r="T136" s="1"/>
  <c r="S136" s="1" a="1"/>
  <c r="S136" s="1"/>
  <c r="R140"/>
  <c r="V140" s="1"/>
  <c r="T140" s="1"/>
  <c r="S140" s="1" a="1"/>
  <c r="S140" s="1"/>
  <c r="R144"/>
  <c r="V144" s="1"/>
  <c r="R148"/>
  <c r="V148" s="1"/>
  <c r="T148" s="1"/>
  <c r="S148" s="1" a="1"/>
  <c r="S148" s="1"/>
  <c r="R152"/>
  <c r="V152" s="1"/>
  <c r="T152" s="1"/>
  <c r="S152" s="1" a="1"/>
  <c r="S152" s="1"/>
  <c r="R156"/>
  <c r="V156" s="1"/>
  <c r="R160"/>
  <c r="V160" s="1"/>
  <c r="T160" s="1"/>
  <c r="S160" s="1" a="1"/>
  <c r="S160" s="1"/>
  <c r="R164"/>
  <c r="V164" s="1"/>
  <c r="T164" s="1"/>
  <c r="S164" s="1" a="1"/>
  <c r="S164" s="1"/>
  <c r="R168"/>
  <c r="V168" s="1"/>
  <c r="R172"/>
  <c r="V172" s="1"/>
  <c r="T172" s="1"/>
  <c r="S172" s="1" a="1"/>
  <c r="S172" s="1"/>
  <c r="R176"/>
  <c r="V176" s="1"/>
  <c r="T176" s="1"/>
  <c r="S176" s="1" a="1"/>
  <c r="S176" s="1"/>
  <c r="R180"/>
  <c r="V180" s="1"/>
  <c r="T180" s="1"/>
  <c r="S180" s="1" a="1"/>
  <c r="S180" s="1"/>
  <c r="R184"/>
  <c r="V184" s="1"/>
  <c r="T184" s="1"/>
  <c r="S184" s="1" a="1"/>
  <c r="S184" s="1"/>
  <c r="R188"/>
  <c r="V188" s="1"/>
  <c r="R192"/>
  <c r="V192" s="1"/>
  <c r="T192" s="1"/>
  <c r="S192" s="1" a="1"/>
  <c r="S192" s="1"/>
  <c r="R196"/>
  <c r="V196" s="1"/>
  <c r="R200"/>
  <c r="V200" s="1"/>
  <c r="R204"/>
  <c r="V204" s="1"/>
  <c r="T204" s="1"/>
  <c r="S204" s="1" a="1"/>
  <c r="S204" s="1"/>
  <c r="R208"/>
  <c r="V208" s="1"/>
  <c r="T208" s="1"/>
  <c r="S208" s="1" a="1"/>
  <c r="S208" s="1"/>
  <c r="R212"/>
  <c r="V212" s="1"/>
  <c r="T212" s="1"/>
  <c r="S212" s="1" a="1"/>
  <c r="S212" s="1"/>
  <c r="R216"/>
  <c r="V216" s="1"/>
  <c r="R220"/>
  <c r="V220" s="1"/>
  <c r="R224"/>
  <c r="V224" s="1"/>
  <c r="R228"/>
  <c r="V228" s="1"/>
  <c r="T228" s="1"/>
  <c r="S228" s="1" a="1"/>
  <c r="S228" s="1"/>
  <c r="R232"/>
  <c r="V232" s="1"/>
  <c r="R236"/>
  <c r="V236" s="1"/>
  <c r="T236" s="1"/>
  <c r="S236" s="1" a="1"/>
  <c r="S236" s="1"/>
  <c r="R240"/>
  <c r="V240" s="1"/>
  <c r="T240" s="1"/>
  <c r="R244"/>
  <c r="V244" s="1"/>
  <c r="T244" s="1"/>
  <c r="R248"/>
  <c r="V248" s="1"/>
  <c r="T248" s="1"/>
  <c r="S248" s="1" a="1"/>
  <c r="S248" s="1"/>
  <c r="R252"/>
  <c r="V252" s="1"/>
  <c r="T252" s="1"/>
  <c r="S252" s="1" a="1"/>
  <c r="S252" s="1"/>
  <c r="R256"/>
  <c r="V256" s="1"/>
  <c r="T256" s="1"/>
  <c r="R260"/>
  <c r="V260" s="1"/>
  <c r="T260" s="1"/>
  <c r="R264"/>
  <c r="V264" s="1"/>
  <c r="T264" s="1"/>
  <c r="R268"/>
  <c r="V268" s="1"/>
  <c r="T268" s="1"/>
  <c r="R272"/>
  <c r="V272" s="1"/>
  <c r="R276"/>
  <c r="V276" s="1"/>
  <c r="T276" s="1"/>
  <c r="R280"/>
  <c r="V280" s="1"/>
  <c r="T280" s="1"/>
  <c r="S280" s="1" a="1"/>
  <c r="S280" s="1"/>
  <c r="R284"/>
  <c r="V284" s="1"/>
  <c r="R288"/>
  <c r="V288" s="1"/>
  <c r="T288" s="1"/>
  <c r="R292"/>
  <c r="V292" s="1"/>
  <c r="T292" s="1"/>
  <c r="R296"/>
  <c r="V296" s="1"/>
  <c r="R300"/>
  <c r="V300" s="1"/>
  <c r="T300" s="1"/>
  <c r="S300" s="1" a="1"/>
  <c r="S300" s="1"/>
  <c r="R304"/>
  <c r="V304" s="1"/>
  <c r="T304" s="1"/>
  <c r="R308"/>
  <c r="V308" s="1"/>
  <c r="T308" s="1"/>
  <c r="S308" s="1" a="1"/>
  <c r="S308" s="1"/>
  <c r="R312"/>
  <c r="V312" s="1"/>
  <c r="T312" s="1"/>
  <c r="R316"/>
  <c r="V316" s="1"/>
  <c r="T316" s="1"/>
  <c r="R320"/>
  <c r="V320" s="1"/>
  <c r="T320" s="1"/>
  <c r="S320" s="1" a="1"/>
  <c r="S320" s="1"/>
  <c r="R324"/>
  <c r="V324" s="1"/>
  <c r="R328"/>
  <c r="V328" s="1"/>
  <c r="R332"/>
  <c r="V332" s="1"/>
  <c r="T332" s="1"/>
  <c r="S332" s="1" a="1"/>
  <c r="S332" s="1"/>
  <c r="R336"/>
  <c r="V336" s="1"/>
  <c r="R340"/>
  <c r="V340" s="1"/>
  <c r="T340" s="1"/>
  <c r="R344"/>
  <c r="V344" s="1"/>
  <c r="T344" s="1"/>
  <c r="S344" s="1" a="1"/>
  <c r="S344" s="1"/>
  <c r="R348"/>
  <c r="V348" s="1"/>
  <c r="R352"/>
  <c r="V352" s="1"/>
  <c r="T352" s="1"/>
  <c r="S352" s="1" a="1"/>
  <c r="S352" s="1"/>
  <c r="R356"/>
  <c r="V356" s="1"/>
  <c r="T356" s="1"/>
  <c r="R360"/>
  <c r="V360" s="1"/>
  <c r="T360" s="1"/>
  <c r="S360" s="1" a="1"/>
  <c r="S360" s="1"/>
  <c r="R364"/>
  <c r="V364" s="1"/>
  <c r="T364" s="1"/>
  <c r="S364" s="1" a="1"/>
  <c r="S364" s="1"/>
  <c r="R368"/>
  <c r="V368" s="1"/>
  <c r="R372"/>
  <c r="V372" s="1"/>
  <c r="T372" s="1"/>
  <c r="R376"/>
  <c r="V376" s="1"/>
  <c r="R380"/>
  <c r="V380" s="1"/>
  <c r="T380" s="1"/>
  <c r="R384"/>
  <c r="V384" s="1"/>
  <c r="R388"/>
  <c r="V388" s="1"/>
  <c r="T388" s="1"/>
  <c r="R392"/>
  <c r="V392" s="1"/>
  <c r="T392" s="1"/>
  <c r="S392" s="1" a="1"/>
  <c r="S392" s="1"/>
  <c r="R396"/>
  <c r="V396" s="1"/>
  <c r="T396" s="1"/>
  <c r="S396" s="1" a="1"/>
  <c r="S396" s="1"/>
  <c r="R400"/>
  <c r="V400" s="1"/>
  <c r="R404"/>
  <c r="V404" s="1"/>
  <c r="T404" s="1"/>
  <c r="R408"/>
  <c r="V408" s="1"/>
  <c r="T408" s="1"/>
  <c r="S408" s="1" a="1"/>
  <c r="S408" s="1"/>
  <c r="R412"/>
  <c r="V412" s="1"/>
  <c r="T412" s="1"/>
  <c r="R416"/>
  <c r="V416" s="1"/>
  <c r="R420"/>
  <c r="V420" s="1"/>
  <c r="T420" s="1"/>
  <c r="S420" s="1" a="1"/>
  <c r="S420" s="1"/>
  <c r="R424"/>
  <c r="V424" s="1"/>
  <c r="T424" s="1"/>
  <c r="R428"/>
  <c r="V428" s="1"/>
  <c r="T428" s="1"/>
  <c r="S428" s="1" a="1"/>
  <c r="S428" s="1"/>
  <c r="R432"/>
  <c r="V432" s="1"/>
  <c r="T432" s="1"/>
  <c r="R436"/>
  <c r="V436" s="1"/>
  <c r="T436" s="1"/>
  <c r="R440"/>
  <c r="V440" s="1"/>
  <c r="T440" s="1"/>
  <c r="R444"/>
  <c r="V444" s="1"/>
  <c r="T444" s="1"/>
  <c r="R448"/>
  <c r="V448" s="1"/>
  <c r="T448" s="1"/>
  <c r="S448" s="1" a="1"/>
  <c r="S448" s="1"/>
  <c r="R452"/>
  <c r="V452" s="1"/>
  <c r="T452" s="1"/>
  <c r="S452" s="1" a="1"/>
  <c r="S452" s="1"/>
  <c r="R456"/>
  <c r="V456" s="1"/>
  <c r="R460"/>
  <c r="V460" s="1"/>
  <c r="T460" s="1"/>
  <c r="S460" s="1" a="1"/>
  <c r="S460" s="1"/>
  <c r="R464"/>
  <c r="V464" s="1"/>
  <c r="T464" s="1"/>
  <c r="R468"/>
  <c r="V468" s="1"/>
  <c r="T468" s="1"/>
  <c r="R472"/>
  <c r="V472" s="1"/>
  <c r="T472" s="1"/>
  <c r="R476"/>
  <c r="V476" s="1"/>
  <c r="R480"/>
  <c r="V480" s="1"/>
  <c r="R484"/>
  <c r="V484" s="1"/>
  <c r="R488"/>
  <c r="V488" s="1"/>
  <c r="R492"/>
  <c r="V492" s="1"/>
  <c r="T492" s="1"/>
  <c r="S492" s="1" a="1"/>
  <c r="S492" s="1"/>
  <c r="R496"/>
  <c r="V496" s="1"/>
  <c r="T496" s="1"/>
  <c r="R500"/>
  <c r="V500" s="1"/>
  <c r="T500" s="1"/>
  <c r="R504"/>
  <c r="V504" s="1"/>
  <c r="R508"/>
  <c r="V508" s="1"/>
  <c r="T508" s="1"/>
  <c r="R512"/>
  <c r="V512" s="1"/>
  <c r="T512" s="1"/>
  <c r="R516"/>
  <c r="V516" s="1"/>
  <c r="T516" s="1"/>
  <c r="R520"/>
  <c r="V520" s="1"/>
  <c r="T520" s="1"/>
  <c r="S520" s="1" a="1"/>
  <c r="S520" s="1"/>
  <c r="R524"/>
  <c r="V524" s="1"/>
  <c r="T524" s="1"/>
  <c r="S524" s="1" a="1"/>
  <c r="S524" s="1"/>
  <c r="R528"/>
  <c r="V528" s="1"/>
  <c r="T528" s="1"/>
  <c r="S528" s="1" a="1"/>
  <c r="S528" s="1"/>
  <c r="R532"/>
  <c r="V532" s="1"/>
  <c r="T532" s="1"/>
  <c r="S532" s="1" a="1"/>
  <c r="S532" s="1"/>
  <c r="R536"/>
  <c r="V536" s="1"/>
  <c r="T536" s="1"/>
  <c r="R540"/>
  <c r="V540" s="1"/>
  <c r="T540" s="1"/>
  <c r="S540" s="1" a="1"/>
  <c r="S540" s="1"/>
  <c r="R544"/>
  <c r="V544" s="1"/>
  <c r="R548"/>
  <c r="V548" s="1"/>
  <c r="R552"/>
  <c r="V552" s="1"/>
  <c r="T552" s="1"/>
  <c r="R556"/>
  <c r="V556" s="1"/>
  <c r="T556" s="1"/>
  <c r="R560"/>
  <c r="V560" s="1"/>
  <c r="R564"/>
  <c r="V564" s="1"/>
  <c r="T564" s="1"/>
  <c r="R568"/>
  <c r="V568" s="1"/>
  <c r="T568" s="1"/>
  <c r="S568" s="1" a="1"/>
  <c r="S568" s="1"/>
  <c r="R572"/>
  <c r="V572" s="1"/>
  <c r="R576"/>
  <c r="V576" s="1"/>
  <c r="T576" s="1"/>
  <c r="S576" s="1" a="1"/>
  <c r="S576" s="1"/>
  <c r="R580"/>
  <c r="V580" s="1"/>
  <c r="T580" s="1"/>
  <c r="R584"/>
  <c r="V584" s="1"/>
  <c r="T584" s="1"/>
  <c r="R588"/>
  <c r="V588" s="1"/>
  <c r="T588" s="1"/>
  <c r="R592"/>
  <c r="V592" s="1"/>
  <c r="T592" s="1"/>
  <c r="S592" s="1" a="1"/>
  <c r="S592" s="1"/>
  <c r="R596"/>
  <c r="V596" s="1"/>
  <c r="T596" s="1"/>
  <c r="S596" s="1" a="1"/>
  <c r="S596" s="1"/>
  <c r="R600"/>
  <c r="V600" s="1"/>
  <c r="T600" s="1"/>
  <c r="S600" s="1" a="1"/>
  <c r="S600" s="1"/>
  <c r="R604"/>
  <c r="V604" s="1"/>
  <c r="T604" s="1"/>
  <c r="R608"/>
  <c r="V608" s="1"/>
  <c r="T608" s="1"/>
  <c r="R612"/>
  <c r="V612" s="1"/>
  <c r="R616"/>
  <c r="V616" s="1"/>
  <c r="R620"/>
  <c r="V620" s="1"/>
  <c r="T620" s="1"/>
  <c r="R624"/>
  <c r="V624" s="1"/>
  <c r="T624" s="1"/>
  <c r="S624" s="1" a="1"/>
  <c r="S624" s="1"/>
  <c r="R628"/>
  <c r="V628" s="1"/>
  <c r="T628" s="1"/>
  <c r="R632"/>
  <c r="V632" s="1"/>
  <c r="T632" s="1"/>
  <c r="R636"/>
  <c r="V636" s="1"/>
  <c r="T636" s="1"/>
  <c r="S636" s="1" a="1"/>
  <c r="S636" s="1"/>
  <c r="R640"/>
  <c r="V640" s="1"/>
  <c r="R644"/>
  <c r="V644" s="1"/>
  <c r="T644" s="1"/>
  <c r="S644" s="1" a="1"/>
  <c r="S644" s="1"/>
  <c r="R648"/>
  <c r="V648" s="1"/>
  <c r="R652"/>
  <c r="V652" s="1"/>
  <c r="T652" s="1"/>
  <c r="S652" s="1" a="1"/>
  <c r="S652" s="1"/>
  <c r="R656"/>
  <c r="V656" s="1"/>
  <c r="T656" s="1"/>
  <c r="S656" s="1" a="1"/>
  <c r="S656" s="1"/>
  <c r="R660"/>
  <c r="V660" s="1"/>
  <c r="T660" s="1"/>
  <c r="S660" s="1" a="1"/>
  <c r="S660" s="1"/>
  <c r="R664"/>
  <c r="V664" s="1"/>
  <c r="T664" s="1"/>
  <c r="S664" s="1" a="1"/>
  <c r="S664" s="1"/>
  <c r="R668"/>
  <c r="V668" s="1"/>
  <c r="R672"/>
  <c r="V672" s="1"/>
  <c r="T672" s="1"/>
  <c r="S672" s="1" a="1"/>
  <c r="S672" s="1"/>
  <c r="R676"/>
  <c r="V676" s="1"/>
  <c r="T676" s="1"/>
  <c r="S676" s="1" a="1"/>
  <c r="S676" s="1"/>
  <c r="R680"/>
  <c r="V680" s="1"/>
  <c r="R684"/>
  <c r="V684" s="1"/>
  <c r="T684" s="1"/>
  <c r="S684" s="1" a="1"/>
  <c r="S684" s="1"/>
  <c r="R688"/>
  <c r="V688" s="1"/>
  <c r="T688" s="1"/>
  <c r="S688" s="1" a="1"/>
  <c r="S688" s="1"/>
  <c r="R692"/>
  <c r="V692" s="1"/>
  <c r="T692" s="1"/>
  <c r="S692" s="1" a="1"/>
  <c r="S692" s="1"/>
  <c r="R696"/>
  <c r="V696" s="1"/>
  <c r="T696" s="1"/>
  <c r="S696" s="1" a="1"/>
  <c r="S696" s="1"/>
  <c r="R700"/>
  <c r="V700" s="1"/>
  <c r="T700" s="1"/>
  <c r="S700" s="1" a="1"/>
  <c r="S700" s="1"/>
  <c r="R704"/>
  <c r="V704" s="1"/>
  <c r="R708"/>
  <c r="V708" s="1"/>
  <c r="R712"/>
  <c r="V712" s="1"/>
  <c r="R716"/>
  <c r="V716" s="1"/>
  <c r="T716" s="1"/>
  <c r="S716" s="1" a="1"/>
  <c r="S716" s="1"/>
  <c r="R720"/>
  <c r="V720" s="1"/>
  <c r="T720" s="1"/>
  <c r="S720" s="1" a="1"/>
  <c r="S720" s="1"/>
  <c r="R724"/>
  <c r="V724" s="1"/>
  <c r="T724" s="1"/>
  <c r="S724" s="1" a="1"/>
  <c r="S724" s="1"/>
  <c r="R728"/>
  <c r="V728" s="1"/>
  <c r="R732"/>
  <c r="V732" s="1"/>
  <c r="T732" s="1"/>
  <c r="S732" s="1" a="1"/>
  <c r="S732" s="1"/>
  <c r="R736"/>
  <c r="V736" s="1"/>
  <c r="T736" s="1"/>
  <c r="S736" s="1" a="1"/>
  <c r="S736" s="1"/>
  <c r="R740"/>
  <c r="V740" s="1"/>
  <c r="R744"/>
  <c r="V744" s="1"/>
  <c r="R748"/>
  <c r="V748" s="1"/>
  <c r="T748" s="1"/>
  <c r="S748" s="1" a="1"/>
  <c r="S748" s="1"/>
  <c r="R752"/>
  <c r="V752" s="1"/>
  <c r="T752" s="1"/>
  <c r="S752" s="1" a="1"/>
  <c r="S752" s="1"/>
  <c r="R756"/>
  <c r="V756" s="1"/>
  <c r="T756" s="1"/>
  <c r="S756" s="1" a="1"/>
  <c r="S756" s="1"/>
  <c r="R760"/>
  <c r="V760" s="1"/>
  <c r="R764"/>
  <c r="V764" s="1"/>
  <c r="T764" s="1"/>
  <c r="R768"/>
  <c r="V768" s="1"/>
  <c r="T768" s="1"/>
  <c r="S768" s="1" a="1"/>
  <c r="S768" s="1"/>
  <c r="R772"/>
  <c r="V772" s="1"/>
  <c r="R776"/>
  <c r="V776" s="1"/>
  <c r="T776" s="1"/>
  <c r="S776" s="1" a="1"/>
  <c r="S776" s="1"/>
  <c r="R780"/>
  <c r="V780" s="1"/>
  <c r="T780" s="1"/>
  <c r="S780" s="1" a="1"/>
  <c r="S780" s="1"/>
  <c r="R784"/>
  <c r="V784" s="1"/>
  <c r="T784" s="1"/>
  <c r="S784" s="1" a="1"/>
  <c r="S784" s="1"/>
  <c r="R788"/>
  <c r="V788" s="1"/>
  <c r="T788" s="1"/>
  <c r="S788" s="1" a="1"/>
  <c r="S788" s="1"/>
  <c r="R792"/>
  <c r="V792" s="1"/>
  <c r="T792" s="1"/>
  <c r="R796"/>
  <c r="V796" s="1"/>
  <c r="R800"/>
  <c r="V800" s="1"/>
  <c r="R804"/>
  <c r="V804" s="1"/>
  <c r="R808"/>
  <c r="V808" s="1"/>
  <c r="T808" s="1"/>
  <c r="S808" s="1" a="1"/>
  <c r="S808" s="1"/>
  <c r="R812"/>
  <c r="V812" s="1"/>
  <c r="T812" s="1"/>
  <c r="S812" s="1" a="1"/>
  <c r="S812" s="1"/>
  <c r="R816"/>
  <c r="V816" s="1"/>
  <c r="R820"/>
  <c r="V820" s="1"/>
  <c r="T820" s="1"/>
  <c r="S820" s="1" a="1"/>
  <c r="S820" s="1"/>
  <c r="R824"/>
  <c r="V824" s="1"/>
  <c r="T824" s="1"/>
  <c r="S824" s="1" a="1"/>
  <c r="S824" s="1"/>
  <c r="R828"/>
  <c r="V828" s="1"/>
  <c r="T828" s="1"/>
  <c r="R832"/>
  <c r="V832" s="1"/>
  <c r="T832" s="1"/>
  <c r="R836"/>
  <c r="V836" s="1"/>
  <c r="R840"/>
  <c r="V840" s="1"/>
  <c r="T840" s="1"/>
  <c r="S840" s="1" a="1"/>
  <c r="S840" s="1"/>
  <c r="R844"/>
  <c r="V844" s="1"/>
  <c r="R848"/>
  <c r="V848" s="1"/>
  <c r="R852"/>
  <c r="V852" s="1"/>
  <c r="T852" s="1"/>
  <c r="S852" s="1" a="1"/>
  <c r="S852" s="1"/>
  <c r="R856"/>
  <c r="V856" s="1"/>
  <c r="T856" s="1"/>
  <c r="S856" s="1" a="1"/>
  <c r="S856" s="1"/>
  <c r="R860"/>
  <c r="V860" s="1"/>
  <c r="T860" s="1"/>
  <c r="S860" s="1" a="1"/>
  <c r="S860" s="1"/>
  <c r="R864"/>
  <c r="V864" s="1"/>
  <c r="R868"/>
  <c r="V868" s="1"/>
  <c r="R872"/>
  <c r="V872" s="1"/>
  <c r="T872" s="1"/>
  <c r="S872" s="1" a="1"/>
  <c r="S872" s="1"/>
  <c r="R876"/>
  <c r="V876" s="1"/>
  <c r="T876" s="1"/>
  <c r="S876" s="1" a="1"/>
  <c r="S876" s="1"/>
  <c r="R880"/>
  <c r="V880" s="1"/>
  <c r="R884"/>
  <c r="V884" s="1"/>
  <c r="T884" s="1"/>
  <c r="S884" s="1" a="1"/>
  <c r="S884" s="1"/>
  <c r="R888"/>
  <c r="V888" s="1"/>
  <c r="R892"/>
  <c r="V892" s="1"/>
  <c r="T892" s="1"/>
  <c r="S892" s="1" a="1"/>
  <c r="S892" s="1"/>
  <c r="R896"/>
  <c r="V896" s="1"/>
  <c r="R900"/>
  <c r="V900" s="1"/>
  <c r="R904"/>
  <c r="V904" s="1"/>
  <c r="R908"/>
  <c r="V908" s="1"/>
  <c r="T908" s="1"/>
  <c r="S908" s="1" a="1"/>
  <c r="S908" s="1"/>
  <c r="R912"/>
  <c r="V912" s="1"/>
  <c r="T912" s="1"/>
  <c r="S912" s="1" a="1"/>
  <c r="S912" s="1"/>
  <c r="R916"/>
  <c r="V916" s="1"/>
  <c r="T916" s="1"/>
  <c r="S916" s="1" a="1"/>
  <c r="S916" s="1"/>
  <c r="R920"/>
  <c r="V920" s="1"/>
  <c r="T920" s="1"/>
  <c r="S920" s="1" a="1"/>
  <c r="S920" s="1"/>
  <c r="R924"/>
  <c r="V924" s="1"/>
  <c r="T924" s="1"/>
  <c r="S924" s="1" a="1"/>
  <c r="S924" s="1"/>
  <c r="R928"/>
  <c r="V928" s="1"/>
  <c r="R932"/>
  <c r="V932" s="1"/>
  <c r="T932" s="1"/>
  <c r="S932" s="1" a="1"/>
  <c r="S932" s="1"/>
  <c r="R936"/>
  <c r="V936" s="1"/>
  <c r="R940"/>
  <c r="V940" s="1"/>
  <c r="T940" s="1"/>
  <c r="S940" s="1" a="1"/>
  <c r="S940" s="1"/>
  <c r="R944"/>
  <c r="V944" s="1"/>
  <c r="T944" s="1"/>
  <c r="S944" s="1" a="1"/>
  <c r="S944" s="1"/>
  <c r="R948"/>
  <c r="V948" s="1"/>
  <c r="T948" s="1"/>
  <c r="S948" s="1" a="1"/>
  <c r="S948" s="1"/>
  <c r="R952"/>
  <c r="V952" s="1"/>
  <c r="R956"/>
  <c r="V956" s="1"/>
  <c r="R960"/>
  <c r="V960" s="1"/>
  <c r="R964"/>
  <c r="V964" s="1"/>
  <c r="R968"/>
  <c r="V968" s="1"/>
  <c r="R972"/>
  <c r="V972" s="1"/>
  <c r="T972" s="1"/>
  <c r="S972" s="1" a="1"/>
  <c r="S972" s="1"/>
  <c r="R976"/>
  <c r="V976" s="1"/>
  <c r="T976" s="1"/>
  <c r="S976" s="1" a="1"/>
  <c r="S976" s="1"/>
  <c r="R980"/>
  <c r="V980" s="1"/>
  <c r="T980" s="1"/>
  <c r="S980" s="1" a="1"/>
  <c r="S980" s="1"/>
  <c r="R984"/>
  <c r="V984" s="1"/>
  <c r="T984" s="1"/>
  <c r="S984" s="1" a="1"/>
  <c r="S984" s="1"/>
  <c r="R988"/>
  <c r="V988" s="1"/>
  <c r="R992"/>
  <c r="V992" s="1"/>
  <c r="R996"/>
  <c r="V996" s="1"/>
  <c r="T996" s="1"/>
  <c r="S996" s="1" a="1"/>
  <c r="S996" s="1"/>
  <c r="R1000"/>
  <c r="V1000" s="1"/>
  <c r="R1004"/>
  <c r="V1004" s="1"/>
  <c r="T1004" s="1"/>
  <c r="S1004" s="1" a="1"/>
  <c r="S1004" s="1"/>
  <c r="R1008"/>
  <c r="V1008" s="1"/>
  <c r="R1012"/>
  <c r="V1012" s="1"/>
  <c r="T1012" s="1"/>
  <c r="S1012" s="1" a="1"/>
  <c r="S1012" s="1"/>
  <c r="R1016"/>
  <c r="V1016" s="1"/>
  <c r="R1020"/>
  <c r="V1020" s="1"/>
  <c r="R1024"/>
  <c r="V1024" s="1"/>
  <c r="T1024" s="1"/>
  <c r="S1024" s="1" a="1"/>
  <c r="S1024" s="1"/>
  <c r="R1028"/>
  <c r="V1028" s="1"/>
  <c r="T1028" s="1"/>
  <c r="R1032"/>
  <c r="V1032" s="1"/>
  <c r="T1032" s="1"/>
  <c r="R1036"/>
  <c r="V1036" s="1"/>
  <c r="T1036" s="1"/>
  <c r="R1040"/>
  <c r="V1040" s="1"/>
  <c r="T1040" s="1"/>
  <c r="R1044"/>
  <c r="V1044" s="1"/>
  <c r="T1044" s="1"/>
  <c r="S1044" s="1" a="1"/>
  <c r="S1044" s="1"/>
  <c r="R1048"/>
  <c r="V1048" s="1"/>
  <c r="T1048" s="1"/>
  <c r="S1048" s="1" a="1"/>
  <c r="S1048" s="1"/>
  <c r="R1052"/>
  <c r="V1052" s="1"/>
  <c r="R1056"/>
  <c r="V1056" s="1"/>
  <c r="T1056" s="1"/>
  <c r="R1060"/>
  <c r="V1060" s="1"/>
  <c r="R1064"/>
  <c r="V1064" s="1"/>
  <c r="R1068"/>
  <c r="V1068" s="1"/>
  <c r="T1068" s="1"/>
  <c r="S1068" s="1" a="1"/>
  <c r="S1068" s="1"/>
  <c r="R1072"/>
  <c r="V1072" s="1"/>
  <c r="T1072" s="1"/>
  <c r="S1072" s="1" a="1"/>
  <c r="S1072" s="1"/>
  <c r="R1076"/>
  <c r="V1076" s="1"/>
  <c r="R1080"/>
  <c r="V1080" s="1"/>
  <c r="T1080" s="1"/>
  <c r="S1080" s="1" a="1"/>
  <c r="S1080" s="1"/>
  <c r="R1084"/>
  <c r="V1084" s="1"/>
  <c r="R1088"/>
  <c r="V1088" s="1"/>
  <c r="T1088" s="1"/>
  <c r="R1092"/>
  <c r="V1092" s="1"/>
  <c r="T1092" s="1"/>
  <c r="S1092" s="1" a="1"/>
  <c r="S1092" s="1"/>
  <c r="R1096"/>
  <c r="V1096" s="1"/>
  <c r="T1096" s="1"/>
  <c r="S1096" s="1" a="1"/>
  <c r="S1096" s="1"/>
  <c r="R1100"/>
  <c r="V1100" s="1"/>
  <c r="R1104"/>
  <c r="V1104" s="1"/>
  <c r="T1104" s="1"/>
  <c r="S1104" s="1" a="1"/>
  <c r="S1104" s="1"/>
  <c r="R1108"/>
  <c r="V1108" s="1"/>
  <c r="T1108" s="1"/>
  <c r="S1108" s="1" a="1"/>
  <c r="S1108" s="1"/>
  <c r="R1112"/>
  <c r="V1112" s="1"/>
  <c r="R1116"/>
  <c r="V1116" s="1"/>
  <c r="R1120"/>
  <c r="V1120" s="1"/>
  <c r="R1124"/>
  <c r="V1124" s="1"/>
  <c r="R1128"/>
  <c r="V1128" s="1"/>
  <c r="T1128" s="1"/>
  <c r="S1128" s="1" a="1"/>
  <c r="S1128" s="1"/>
  <c r="R1132"/>
  <c r="V1132" s="1"/>
  <c r="R1136"/>
  <c r="V1136" s="1"/>
  <c r="T1136" s="1"/>
  <c r="S1136" s="1" a="1"/>
  <c r="S1136" s="1"/>
  <c r="R1140"/>
  <c r="V1140" s="1"/>
  <c r="R1144"/>
  <c r="V1144" s="1"/>
  <c r="R1148"/>
  <c r="V1148" s="1"/>
  <c r="T1148" s="1"/>
  <c r="S1148" s="1" a="1"/>
  <c r="S1148" s="1"/>
  <c r="R1152"/>
  <c r="V1152" s="1"/>
  <c r="T1152" s="1"/>
  <c r="S1152" s="1" a="1"/>
  <c r="S1152" s="1"/>
  <c r="R1156"/>
  <c r="V1156" s="1"/>
  <c r="T1156" s="1"/>
  <c r="S1156" s="1" a="1"/>
  <c r="S1156" s="1"/>
  <c r="R1160"/>
  <c r="V1160" s="1"/>
  <c r="R1164"/>
  <c r="V1164" s="1"/>
  <c r="R1168"/>
  <c r="V1168" s="1"/>
  <c r="R1172"/>
  <c r="V1172" s="1"/>
  <c r="T1172" s="1"/>
  <c r="S1172" s="1" a="1"/>
  <c r="S1172" s="1"/>
  <c r="R1176"/>
  <c r="V1176" s="1"/>
  <c r="T1176" s="1"/>
  <c r="S1176" s="1" a="1"/>
  <c r="S1176" s="1"/>
  <c r="R1180"/>
  <c r="V1180" s="1"/>
  <c r="R1184"/>
  <c r="V1184" s="1"/>
  <c r="T1184" s="1"/>
  <c r="S1184" s="1" a="1"/>
  <c r="S1184" s="1"/>
  <c r="R1188"/>
  <c r="V1188" s="1"/>
  <c r="T1188" s="1"/>
  <c r="S1188" s="1" a="1"/>
  <c r="S1188" s="1"/>
  <c r="R1192"/>
  <c r="V1192" s="1"/>
  <c r="R1196"/>
  <c r="V1196" s="1"/>
  <c r="R1200"/>
  <c r="V1200" s="1"/>
  <c r="T1200" s="1"/>
  <c r="S1200" s="1" a="1"/>
  <c r="S1200" s="1"/>
  <c r="R1204"/>
  <c r="V1204" s="1"/>
  <c r="T1204" s="1"/>
  <c r="S1204" s="1" a="1"/>
  <c r="S1204" s="1"/>
  <c r="R1208"/>
  <c r="V1208" s="1"/>
  <c r="R1212"/>
  <c r="V1212" s="1"/>
  <c r="R1216"/>
  <c r="V1216" s="1"/>
  <c r="T1216" s="1"/>
  <c r="S1216" s="1" a="1"/>
  <c r="S1216" s="1"/>
  <c r="R1220"/>
  <c r="V1220" s="1"/>
  <c r="R1224"/>
  <c r="V1224" s="1"/>
  <c r="T1224" s="1"/>
  <c r="S1224" s="1" a="1"/>
  <c r="S1224" s="1"/>
  <c r="R1228"/>
  <c r="V1228" s="1"/>
  <c r="T1228" s="1"/>
  <c r="S1228" s="1" a="1"/>
  <c r="S1228" s="1"/>
  <c r="R1232"/>
  <c r="V1232" s="1"/>
  <c r="T1232" s="1"/>
  <c r="S1232" s="1" a="1"/>
  <c r="S1232" s="1"/>
  <c r="R1236"/>
  <c r="V1236" s="1"/>
  <c r="R1240"/>
  <c r="V1240" s="1"/>
  <c r="T1240" s="1"/>
  <c r="S1240" s="1" a="1"/>
  <c r="S1240" s="1"/>
  <c r="R1244"/>
  <c r="V1244" s="1"/>
  <c r="R1248"/>
  <c r="V1248" s="1"/>
  <c r="T1248" s="1"/>
  <c r="S1248" s="1" a="1"/>
  <c r="S1248" s="1"/>
  <c r="R1252"/>
  <c r="V1252" s="1"/>
  <c r="R1256"/>
  <c r="V1256" s="1"/>
  <c r="T1256" s="1"/>
  <c r="S1256" s="1" a="1"/>
  <c r="S1256" s="1"/>
  <c r="R1260"/>
  <c r="V1260" s="1"/>
  <c r="R1264"/>
  <c r="V1264" s="1"/>
  <c r="T1264" s="1"/>
  <c r="S1264" s="1" a="1"/>
  <c r="S1264" s="1"/>
  <c r="R1268"/>
  <c r="V1268" s="1"/>
  <c r="T1268" s="1"/>
  <c r="S1268" s="1" a="1"/>
  <c r="S1268" s="1"/>
  <c r="R1272"/>
  <c r="V1272" s="1"/>
  <c r="R1276"/>
  <c r="V1276" s="1"/>
  <c r="T1276" s="1"/>
  <c r="S1276" s="1" a="1"/>
  <c r="S1276" s="1"/>
  <c r="R1280"/>
  <c r="V1280" s="1"/>
  <c r="T1280" s="1"/>
  <c r="S1280" s="1" a="1"/>
  <c r="S1280" s="1"/>
  <c r="R1284"/>
  <c r="V1284" s="1"/>
  <c r="R1288"/>
  <c r="V1288" s="1"/>
  <c r="T1288" s="1"/>
  <c r="S1288" s="1" a="1"/>
  <c r="S1288" s="1"/>
  <c r="R1292"/>
  <c r="V1292" s="1"/>
  <c r="R1296"/>
  <c r="V1296" s="1"/>
  <c r="T1296" s="1"/>
  <c r="S1296" s="1" a="1"/>
  <c r="S1296" s="1"/>
  <c r="R1300"/>
  <c r="V1300" s="1"/>
  <c r="R1304"/>
  <c r="V1304" s="1"/>
  <c r="T1304" s="1"/>
  <c r="S1304" s="1" a="1"/>
  <c r="S1304" s="1"/>
  <c r="R1308"/>
  <c r="V1308" s="1"/>
  <c r="R1312"/>
  <c r="V1312" s="1"/>
  <c r="R1316"/>
  <c r="V1316" s="1"/>
  <c r="R1320"/>
  <c r="V1320" s="1"/>
  <c r="T1320" s="1"/>
  <c r="S1320" s="1" a="1"/>
  <c r="S1320" s="1"/>
  <c r="R1324"/>
  <c r="V1324" s="1"/>
  <c r="T1324" s="1"/>
  <c r="S1324" s="1" a="1"/>
  <c r="S1324" s="1"/>
  <c r="R1328"/>
  <c r="V1328" s="1"/>
  <c r="T1328" s="1"/>
  <c r="S1328" s="1" a="1"/>
  <c r="S1328" s="1"/>
  <c r="R1332"/>
  <c r="V1332" s="1"/>
  <c r="T1332" s="1"/>
  <c r="S1332" s="1" a="1"/>
  <c r="S1332" s="1"/>
  <c r="R1336"/>
  <c r="V1336" s="1"/>
  <c r="R1340"/>
  <c r="V1340" s="1"/>
  <c r="T1340" s="1"/>
  <c r="S1340" s="1" a="1"/>
  <c r="S1340" s="1"/>
  <c r="R1344"/>
  <c r="V1344" s="1"/>
  <c r="R1348"/>
  <c r="V1348" s="1"/>
  <c r="T1348" s="1"/>
  <c r="S1348" s="1" a="1"/>
  <c r="S1348" s="1"/>
  <c r="R1352"/>
  <c r="V1352" s="1"/>
  <c r="T1352" s="1"/>
  <c r="S1352" s="1" a="1"/>
  <c r="S1352" s="1"/>
  <c r="R1356"/>
  <c r="V1356" s="1"/>
  <c r="T1356" s="1"/>
  <c r="S1356" s="1" a="1"/>
  <c r="S1356" s="1"/>
  <c r="R1360"/>
  <c r="V1360" s="1"/>
  <c r="R1364"/>
  <c r="V1364" s="1"/>
  <c r="T1364" s="1"/>
  <c r="S1364" s="1" a="1"/>
  <c r="S1364" s="1"/>
  <c r="R1368"/>
  <c r="V1368" s="1"/>
  <c r="T1368" s="1"/>
  <c r="S1368" s="1" a="1"/>
  <c r="S1368" s="1"/>
  <c r="R1372"/>
  <c r="V1372" s="1"/>
  <c r="R1376"/>
  <c r="V1376" s="1"/>
  <c r="R1380"/>
  <c r="V1380" s="1"/>
  <c r="R1384"/>
  <c r="V1384" s="1"/>
  <c r="T1384" s="1"/>
  <c r="S1384" s="1" a="1"/>
  <c r="S1384" s="1"/>
  <c r="R1388"/>
  <c r="V1388" s="1"/>
  <c r="T1388" s="1"/>
  <c r="S1388" s="1" a="1"/>
  <c r="S1388" s="1"/>
  <c r="R1392"/>
  <c r="V1392" s="1"/>
  <c r="T1392" s="1"/>
  <c r="S1392" s="1" a="1"/>
  <c r="S1392" s="1"/>
  <c r="R1396"/>
  <c r="V1396" s="1"/>
  <c r="T1396" s="1"/>
  <c r="S1396" s="1" a="1"/>
  <c r="S1396" s="1"/>
  <c r="R1400"/>
  <c r="V1400" s="1"/>
  <c r="R1404"/>
  <c r="V1404" s="1"/>
  <c r="T1404" s="1"/>
  <c r="S1404" s="1" a="1"/>
  <c r="S1404" s="1"/>
  <c r="R1408"/>
  <c r="V1408" s="1"/>
  <c r="R1412"/>
  <c r="V1412" s="1"/>
  <c r="R1416"/>
  <c r="V1416" s="1"/>
  <c r="T1416" s="1"/>
  <c r="S1416" s="1" a="1"/>
  <c r="S1416" s="1"/>
  <c r="R1420"/>
  <c r="V1420" s="1"/>
  <c r="T1420" s="1"/>
  <c r="S1420" s="1" a="1"/>
  <c r="S1420" s="1"/>
  <c r="R1424"/>
  <c r="V1424" s="1"/>
  <c r="R1428"/>
  <c r="V1428" s="1"/>
  <c r="T1428" s="1"/>
  <c r="S1428" s="1" a="1"/>
  <c r="S1428" s="1"/>
  <c r="R1432"/>
  <c r="V1432" s="1"/>
  <c r="R1436"/>
  <c r="V1436" s="1"/>
  <c r="R1440"/>
  <c r="V1440" s="1"/>
  <c r="T1440" s="1"/>
  <c r="S1440" s="1" a="1"/>
  <c r="S1440" s="1"/>
  <c r="R1444"/>
  <c r="V1444" s="1"/>
  <c r="R1448"/>
  <c r="V1448" s="1"/>
  <c r="T1448" s="1"/>
  <c r="S1448" s="1" a="1"/>
  <c r="S1448" s="1"/>
  <c r="R1452"/>
  <c r="V1452" s="1"/>
  <c r="T1452" s="1"/>
  <c r="S1452" s="1" a="1"/>
  <c r="S1452" s="1"/>
  <c r="R1456"/>
  <c r="V1456" s="1"/>
  <c r="R1460"/>
  <c r="V1460" s="1"/>
  <c r="T1460" s="1"/>
  <c r="S1460" s="1" a="1"/>
  <c r="S1460" s="1"/>
  <c r="R1464"/>
  <c r="V1464" s="1"/>
  <c r="R1468"/>
  <c r="V1468" s="1"/>
  <c r="T1468" s="1"/>
  <c r="S1468" s="1" a="1"/>
  <c r="S1468" s="1"/>
  <c r="R1472"/>
  <c r="V1472" s="1"/>
  <c r="T1472" s="1"/>
  <c r="S1472" s="1" a="1"/>
  <c r="S1472" s="1"/>
  <c r="R1476"/>
  <c r="V1476" s="1"/>
  <c r="R1480"/>
  <c r="V1480" s="1"/>
  <c r="T1480" s="1"/>
  <c r="S1480" s="1" a="1"/>
  <c r="S1480" s="1"/>
  <c r="R1484"/>
  <c r="V1484" s="1"/>
  <c r="R1488"/>
  <c r="V1488" s="1"/>
  <c r="T1488" s="1"/>
  <c r="S1488" s="1" a="1"/>
  <c r="S1488" s="1"/>
  <c r="R1492"/>
  <c r="V1492" s="1"/>
  <c r="T1492" s="1"/>
  <c r="S1492" s="1" a="1"/>
  <c r="S1492" s="1"/>
  <c r="R1496"/>
  <c r="V1496" s="1"/>
  <c r="T1496" s="1"/>
  <c r="S1496" s="1" a="1"/>
  <c r="S1496" s="1"/>
  <c r="R1500"/>
  <c r="V1500" s="1"/>
  <c r="R1504"/>
  <c r="V1504" s="1"/>
  <c r="R1508"/>
  <c r="V1508" s="1"/>
  <c r="T1508" s="1"/>
  <c r="S1508" s="1" a="1"/>
  <c r="S1508" s="1"/>
  <c r="R1512"/>
  <c r="V1512" s="1"/>
  <c r="T1512" s="1"/>
  <c r="S1512" s="1" a="1"/>
  <c r="S1512" s="1"/>
  <c r="R1516"/>
  <c r="V1516" s="1"/>
  <c r="T1516" s="1"/>
  <c r="S1516" s="1" a="1"/>
  <c r="S1516" s="1"/>
  <c r="R1520"/>
  <c r="V1520" s="1"/>
  <c r="T1520" s="1"/>
  <c r="S1520" s="1" a="1"/>
  <c r="S1520" s="1"/>
  <c r="R1524"/>
  <c r="V1524" s="1"/>
  <c r="T1524" s="1"/>
  <c r="S1524" s="1" a="1"/>
  <c r="S1524" s="1"/>
  <c r="R1528"/>
  <c r="V1528" s="1"/>
  <c r="T1528" s="1"/>
  <c r="S1528" s="1" a="1"/>
  <c r="S1528" s="1"/>
  <c r="R1532"/>
  <c r="V1532" s="1"/>
  <c r="T1532" s="1"/>
  <c r="S1532" s="1" a="1"/>
  <c r="S1532" s="1"/>
  <c r="R1536"/>
  <c r="V1536" s="1"/>
  <c r="T1536" s="1"/>
  <c r="S1536" s="1" a="1"/>
  <c r="S1536" s="1"/>
  <c r="R1540"/>
  <c r="V1540" s="1"/>
  <c r="R1544"/>
  <c r="V1544" s="1"/>
  <c r="R1548"/>
  <c r="V1548" s="1"/>
  <c r="T1548" s="1"/>
  <c r="S1548" s="1" a="1"/>
  <c r="S1548" s="1"/>
  <c r="R1552"/>
  <c r="V1552" s="1"/>
  <c r="T1552" s="1"/>
  <c r="S1552" s="1" a="1"/>
  <c r="S1552" s="1"/>
  <c r="R1556"/>
  <c r="V1556" s="1"/>
  <c r="T1556" s="1"/>
  <c r="S1556" s="1" a="1"/>
  <c r="S1556" s="1"/>
  <c r="R1560"/>
  <c r="V1560" s="1"/>
  <c r="T1560" s="1"/>
  <c r="S1560" s="1" a="1"/>
  <c r="S1560" s="1"/>
  <c r="R1564"/>
  <c r="V1564" s="1"/>
  <c r="R1568"/>
  <c r="V1568" s="1"/>
  <c r="R1572"/>
  <c r="V1572" s="1"/>
  <c r="T1572" s="1"/>
  <c r="S1572" s="1" a="1"/>
  <c r="S1572" s="1"/>
  <c r="R1576"/>
  <c r="V1576" s="1"/>
  <c r="R1580"/>
  <c r="V1580" s="1"/>
  <c r="T1580" s="1"/>
  <c r="S1580" s="1" a="1"/>
  <c r="S1580" s="1"/>
  <c r="R1584"/>
  <c r="V1584" s="1"/>
  <c r="T1584" s="1"/>
  <c r="S1584" s="1" a="1"/>
  <c r="S1584" s="1"/>
  <c r="R1588"/>
  <c r="V1588" s="1"/>
  <c r="T1588" s="1"/>
  <c r="S1588" s="1" a="1"/>
  <c r="S1588" s="1"/>
  <c r="R1592"/>
  <c r="V1592" s="1"/>
  <c r="R1596"/>
  <c r="V1596" s="1"/>
  <c r="R1600"/>
  <c r="V1600" s="1"/>
  <c r="T1600" s="1"/>
  <c r="S1600" s="1" a="1"/>
  <c r="S1600" s="1"/>
  <c r="R1604"/>
  <c r="V1604" s="1"/>
  <c r="R1608"/>
  <c r="V1608" s="1"/>
  <c r="R1612"/>
  <c r="V1612" s="1"/>
  <c r="T1612" s="1"/>
  <c r="S1612" s="1" a="1"/>
  <c r="S1612" s="1"/>
  <c r="R1616"/>
  <c r="V1616" s="1"/>
  <c r="T1616" s="1"/>
  <c r="S1616" s="1" a="1"/>
  <c r="S1616" s="1"/>
  <c r="R1620"/>
  <c r="V1620" s="1"/>
  <c r="T1620" s="1"/>
  <c r="S1620" s="1" a="1"/>
  <c r="S1620" s="1"/>
  <c r="R1624"/>
  <c r="V1624" s="1"/>
  <c r="R1628"/>
  <c r="V1628" s="1"/>
  <c r="R1632"/>
  <c r="V1632" s="1"/>
  <c r="R1636"/>
  <c r="V1636" s="1"/>
  <c r="T1636" s="1"/>
  <c r="S1636" s="1" a="1"/>
  <c r="S1636" s="1"/>
  <c r="R1640"/>
  <c r="V1640" s="1"/>
  <c r="T1640" s="1"/>
  <c r="R1644"/>
  <c r="V1644" s="1"/>
  <c r="T1644" s="1"/>
  <c r="S1644" s="1" a="1"/>
  <c r="S1644" s="1"/>
  <c r="R1648"/>
  <c r="V1648" s="1"/>
  <c r="T1648" s="1"/>
  <c r="S1648" s="1" a="1"/>
  <c r="S1648" s="1"/>
  <c r="R1652"/>
  <c r="V1652" s="1"/>
  <c r="T1652" s="1"/>
  <c r="S1652" s="1" a="1"/>
  <c r="S1652" s="1"/>
  <c r="R1656"/>
  <c r="V1656" s="1"/>
  <c r="T1656" s="1"/>
  <c r="S1656" s="1" a="1"/>
  <c r="S1656" s="1"/>
  <c r="R1660"/>
  <c r="V1660" s="1"/>
  <c r="R1664"/>
  <c r="V1664" s="1"/>
  <c r="T1664" s="1"/>
  <c r="S1664" s="1" a="1"/>
  <c r="S1664" s="1"/>
  <c r="R1668"/>
  <c r="V1668" s="1"/>
  <c r="R1672"/>
  <c r="V1672" s="1"/>
  <c r="R1676"/>
  <c r="V1676" s="1"/>
  <c r="T1676" s="1"/>
  <c r="S1676" s="1" a="1"/>
  <c r="S1676" s="1"/>
  <c r="R1680"/>
  <c r="V1680" s="1"/>
  <c r="T1680" s="1"/>
  <c r="S1680" s="1" a="1"/>
  <c r="S1680" s="1"/>
  <c r="R1684"/>
  <c r="V1684" s="1"/>
  <c r="T1684" s="1"/>
  <c r="S1684" s="1" a="1"/>
  <c r="S1684" s="1"/>
  <c r="R1688"/>
  <c r="V1688" s="1"/>
  <c r="R1692"/>
  <c r="V1692" s="1"/>
  <c r="R1696"/>
  <c r="V1696" s="1"/>
  <c r="T1696" s="1"/>
  <c r="S1696" s="1" a="1"/>
  <c r="S1696" s="1"/>
  <c r="R1700"/>
  <c r="V1700" s="1"/>
  <c r="R1704"/>
  <c r="V1704" s="1"/>
  <c r="T1704" s="1"/>
  <c r="S1704" s="1" a="1"/>
  <c r="S1704" s="1"/>
  <c r="R1708"/>
  <c r="V1708" s="1"/>
  <c r="T1708" s="1"/>
  <c r="S1708" s="1" a="1"/>
  <c r="S1708" s="1"/>
  <c r="R1712"/>
  <c r="V1712" s="1"/>
  <c r="T1712" s="1"/>
  <c r="S1712" s="1" a="1"/>
  <c r="S1712" s="1"/>
  <c r="R1716"/>
  <c r="V1716" s="1"/>
  <c r="R1720"/>
  <c r="V1720" s="1"/>
  <c r="R1724"/>
  <c r="V1724" s="1"/>
  <c r="R1728"/>
  <c r="V1728" s="1"/>
  <c r="T1728" s="1"/>
  <c r="S1728" s="1" a="1"/>
  <c r="S1728" s="1"/>
  <c r="R1732"/>
  <c r="V1732" s="1"/>
  <c r="R1736"/>
  <c r="V1736" s="1"/>
  <c r="R1740"/>
  <c r="V1740" s="1"/>
  <c r="T1740" s="1"/>
  <c r="S1740" s="1" a="1"/>
  <c r="S1740" s="1"/>
  <c r="R1744"/>
  <c r="V1744" s="1"/>
  <c r="R1748"/>
  <c r="V1748" s="1"/>
  <c r="T1748" s="1"/>
  <c r="S1748" s="1" a="1"/>
  <c r="S1748" s="1"/>
  <c r="R1752"/>
  <c r="V1752" s="1"/>
  <c r="R1756"/>
  <c r="V1756" s="1"/>
  <c r="T1756" s="1"/>
  <c r="S1756" s="1" a="1"/>
  <c r="S1756" s="1"/>
  <c r="R1760"/>
  <c r="V1760" s="1"/>
  <c r="R1764"/>
  <c r="V1764" s="1"/>
  <c r="R1768"/>
  <c r="V1768" s="1"/>
  <c r="T1768" s="1"/>
  <c r="S1768" s="1" a="1"/>
  <c r="S1768" s="1"/>
  <c r="R1772"/>
  <c r="V1772" s="1"/>
  <c r="T1772" s="1"/>
  <c r="S1772" s="1" a="1"/>
  <c r="S1772" s="1"/>
  <c r="R1776"/>
  <c r="V1776" s="1"/>
  <c r="T1776" s="1"/>
  <c r="S1776" s="1" a="1"/>
  <c r="S1776" s="1"/>
  <c r="R1780"/>
  <c r="V1780" s="1"/>
  <c r="R1784"/>
  <c r="V1784" s="1"/>
  <c r="R1788"/>
  <c r="V1788" s="1"/>
  <c r="T1788" s="1"/>
  <c r="S1788" s="1" a="1"/>
  <c r="S1788" s="1"/>
  <c r="R1792"/>
  <c r="V1792" s="1"/>
  <c r="R1796"/>
  <c r="V1796" s="1"/>
  <c r="R1800"/>
  <c r="V1800" s="1"/>
  <c r="R1804"/>
  <c r="V1804" s="1"/>
  <c r="T1804" s="1"/>
  <c r="S1804" s="1" a="1"/>
  <c r="S1804" s="1"/>
  <c r="R1808"/>
  <c r="V1808" s="1"/>
  <c r="T1808" s="1"/>
  <c r="S1808" s="1" a="1"/>
  <c r="S1808" s="1"/>
  <c r="R1812"/>
  <c r="V1812" s="1"/>
  <c r="R1816"/>
  <c r="V1816" s="1"/>
  <c r="T1816" s="1"/>
  <c r="S1816" s="1" a="1"/>
  <c r="S1816" s="1"/>
  <c r="R1820"/>
  <c r="V1820" s="1"/>
  <c r="T1820" s="1"/>
  <c r="S1820" s="1" a="1"/>
  <c r="S1820" s="1"/>
  <c r="R1824"/>
  <c r="V1824" s="1"/>
  <c r="R1828"/>
  <c r="V1828" s="1"/>
  <c r="T1828" s="1"/>
  <c r="S1828" s="1" a="1"/>
  <c r="S1828" s="1"/>
  <c r="R1832"/>
  <c r="V1832" s="1"/>
  <c r="R1836"/>
  <c r="V1836" s="1"/>
  <c r="T1836" s="1"/>
  <c r="S1836" s="1" a="1"/>
  <c r="S1836" s="1"/>
  <c r="R1840"/>
  <c r="V1840" s="1"/>
  <c r="T1840" s="1"/>
  <c r="S1840" s="1" a="1"/>
  <c r="S1840" s="1"/>
  <c r="R1844"/>
  <c r="V1844" s="1"/>
  <c r="R1848"/>
  <c r="V1848" s="1"/>
  <c r="T1848" s="1"/>
  <c r="S1848" s="1" a="1"/>
  <c r="S1848" s="1"/>
  <c r="R1852"/>
  <c r="V1852" s="1"/>
  <c r="R1856"/>
  <c r="V1856" s="1"/>
  <c r="R1860"/>
  <c r="V1860" s="1"/>
  <c r="R1864"/>
  <c r="V1864" s="1"/>
  <c r="R1868"/>
  <c r="V1868" s="1"/>
  <c r="T1868" s="1"/>
  <c r="S1868" s="1" a="1"/>
  <c r="S1868" s="1"/>
  <c r="R1872"/>
  <c r="V1872" s="1"/>
  <c r="T1872" s="1"/>
  <c r="S1872" s="1" a="1"/>
  <c r="S1872" s="1"/>
  <c r="R1876"/>
  <c r="V1876" s="1"/>
  <c r="T1876" s="1"/>
  <c r="S1876" s="1" a="1"/>
  <c r="S1876" s="1"/>
  <c r="R1880"/>
  <c r="V1880" s="1"/>
  <c r="T1880" s="1"/>
  <c r="S1880" s="1" a="1"/>
  <c r="S1880" s="1"/>
  <c r="R1884"/>
  <c r="V1884" s="1"/>
  <c r="R1888"/>
  <c r="V1888" s="1"/>
  <c r="R1892"/>
  <c r="V1892" s="1"/>
  <c r="T1892" s="1"/>
  <c r="S1892" s="1" a="1"/>
  <c r="S1892" s="1"/>
  <c r="R1896"/>
  <c r="V1896" s="1"/>
  <c r="T1896" s="1"/>
  <c r="S1896" s="1" a="1"/>
  <c r="S1896" s="1"/>
  <c r="R1900"/>
  <c r="V1900" s="1"/>
  <c r="T1900" s="1"/>
  <c r="S1900" s="1" a="1"/>
  <c r="S1900" s="1"/>
  <c r="R1904"/>
  <c r="V1904" s="1"/>
  <c r="R1908"/>
  <c r="V1908" s="1"/>
  <c r="T1908" s="1"/>
  <c r="S1908" s="1" a="1"/>
  <c r="S1908" s="1"/>
  <c r="R1912"/>
  <c r="V1912" s="1"/>
  <c r="R1916"/>
  <c r="V1916" s="1"/>
  <c r="R1920"/>
  <c r="V1920" s="1"/>
  <c r="T1920" s="1"/>
  <c r="S1920" s="1" a="1"/>
  <c r="S1920" s="1"/>
  <c r="R1924"/>
  <c r="V1924" s="1"/>
  <c r="T1924" s="1"/>
  <c r="S1924" s="1" a="1"/>
  <c r="S1924" s="1"/>
  <c r="R1928"/>
  <c r="V1928" s="1"/>
  <c r="R1932"/>
  <c r="V1932" s="1"/>
  <c r="T1932" s="1"/>
  <c r="S1932" s="1" a="1"/>
  <c r="S1932" s="1"/>
  <c r="R1936"/>
  <c r="V1936" s="1"/>
  <c r="T1936" s="1"/>
  <c r="S1936" s="1" a="1"/>
  <c r="S1936" s="1"/>
  <c r="R1940"/>
  <c r="V1940" s="1"/>
  <c r="T1940" s="1"/>
  <c r="S1940" s="1" a="1"/>
  <c r="S1940" s="1"/>
  <c r="R1944"/>
  <c r="V1944" s="1"/>
  <c r="R1948"/>
  <c r="V1948" s="1"/>
  <c r="T1948" s="1"/>
  <c r="S1948" s="1" a="1"/>
  <c r="S1948" s="1"/>
  <c r="R1952"/>
  <c r="V1952" s="1"/>
  <c r="T1952" s="1"/>
  <c r="S1952" s="1" a="1"/>
  <c r="S1952" s="1"/>
  <c r="R1956"/>
  <c r="V1956" s="1"/>
  <c r="R1960"/>
  <c r="V1960" s="1"/>
  <c r="T1960" s="1"/>
  <c r="S1960" s="1" a="1"/>
  <c r="S1960" s="1"/>
  <c r="R1964"/>
  <c r="V1964" s="1"/>
  <c r="R1968"/>
  <c r="V1968" s="1"/>
  <c r="R1972"/>
  <c r="V1972" s="1"/>
  <c r="T1972" s="1"/>
  <c r="S1972" s="1" a="1"/>
  <c r="S1972" s="1"/>
  <c r="R1976"/>
  <c r="V1976" s="1"/>
  <c r="R1980"/>
  <c r="V1980" s="1"/>
  <c r="T1980" s="1"/>
  <c r="S1980" s="1" a="1"/>
  <c r="S1980" s="1"/>
  <c r="R1984"/>
  <c r="V1984" s="1"/>
  <c r="T1984" s="1"/>
  <c r="S1984" s="1" a="1"/>
  <c r="S1984" s="1"/>
  <c r="R1988"/>
  <c r="V1988" s="1"/>
  <c r="T1988" s="1"/>
  <c r="S1988" s="1" a="1"/>
  <c r="S1988" s="1"/>
  <c r="R1992"/>
  <c r="V1992" s="1"/>
  <c r="T1992" s="1"/>
  <c r="S1992" s="1" a="1"/>
  <c r="S1992" s="1"/>
  <c r="R1996"/>
  <c r="V1996" s="1"/>
  <c r="T1996" s="1"/>
  <c r="S1996" s="1" a="1"/>
  <c r="S1996" s="1"/>
  <c r="R2000"/>
  <c r="V2000" s="1"/>
  <c r="T2000" s="1"/>
  <c r="S2000" s="1" a="1"/>
  <c r="S2000" s="1"/>
  <c r="R2004"/>
  <c r="V2004" s="1"/>
  <c r="R2008"/>
  <c r="V2008" s="1"/>
  <c r="R2012"/>
  <c r="V2012" s="1"/>
  <c r="T2012" s="1"/>
  <c r="S2012" s="1" a="1"/>
  <c r="S2012" s="1"/>
  <c r="R2016"/>
  <c r="V2016" s="1"/>
  <c r="R2020"/>
  <c r="V2020" s="1"/>
  <c r="T2020" s="1"/>
  <c r="S2020" s="1" a="1"/>
  <c r="S2020" s="1"/>
  <c r="R2024"/>
  <c r="V2024" s="1"/>
  <c r="R2028"/>
  <c r="V2028" s="1"/>
  <c r="T2028" s="1"/>
  <c r="S2028" s="1" a="1"/>
  <c r="S2028" s="1"/>
  <c r="R2032"/>
  <c r="V2032" s="1"/>
  <c r="R2036"/>
  <c r="V2036" s="1"/>
  <c r="T2036" s="1"/>
  <c r="S2036" s="1" a="1"/>
  <c r="S2036" s="1"/>
  <c r="R2040"/>
  <c r="V2040" s="1"/>
  <c r="T2040" s="1"/>
  <c r="S2040" s="1" a="1"/>
  <c r="S2040" s="1"/>
  <c r="R2044"/>
  <c r="V2044" s="1"/>
  <c r="T2044" s="1"/>
  <c r="S2044" s="1" a="1"/>
  <c r="S2044" s="1"/>
  <c r="R2048"/>
  <c r="V2048" s="1"/>
  <c r="R2052"/>
  <c r="V2052" s="1"/>
  <c r="T2052" s="1"/>
  <c r="S2052" s="1" a="1"/>
  <c r="S2052" s="1"/>
  <c r="R2056"/>
  <c r="V2056" s="1"/>
  <c r="T2056" s="1"/>
  <c r="S2056" s="1" a="1"/>
  <c r="S2056" s="1"/>
  <c r="R2060"/>
  <c r="V2060" s="1"/>
  <c r="T2060" s="1"/>
  <c r="S2060" s="1" a="1"/>
  <c r="S2060" s="1"/>
  <c r="R2064"/>
  <c r="V2064" s="1"/>
  <c r="R2068"/>
  <c r="V2068" s="1"/>
  <c r="R2072"/>
  <c r="V2072" s="1"/>
  <c r="T2072" s="1"/>
  <c r="S2072" s="1" a="1"/>
  <c r="S2072" s="1"/>
  <c r="R2076"/>
  <c r="V2076" s="1"/>
  <c r="T2076" s="1"/>
  <c r="S2076" s="1" a="1"/>
  <c r="S2076" s="1"/>
  <c r="R2080"/>
  <c r="V2080" s="1"/>
  <c r="R2084"/>
  <c r="V2084" s="1"/>
  <c r="R2088"/>
  <c r="V2088" s="1"/>
  <c r="T2088" s="1"/>
  <c r="S2088" s="1" a="1"/>
  <c r="S2088" s="1"/>
  <c r="R2092"/>
  <c r="V2092" s="1"/>
  <c r="T2092" s="1"/>
  <c r="S2092" s="1" a="1"/>
  <c r="S2092" s="1"/>
  <c r="R2096"/>
  <c r="V2096" s="1"/>
  <c r="T2096" s="1"/>
  <c r="R2100"/>
  <c r="V2100" s="1"/>
  <c r="R2104"/>
  <c r="V2104" s="1"/>
  <c r="T2104" s="1"/>
  <c r="R2108"/>
  <c r="V2108" s="1"/>
  <c r="T2108" s="1"/>
  <c r="S2108" s="1" a="1"/>
  <c r="S2108" s="1"/>
  <c r="R2112"/>
  <c r="V2112" s="1"/>
  <c r="T2112" s="1"/>
  <c r="S2112" s="1" a="1"/>
  <c r="S2112" s="1"/>
  <c r="R2116"/>
  <c r="V2116" s="1"/>
  <c r="R2120"/>
  <c r="V2120" s="1"/>
  <c r="T2120" s="1"/>
  <c r="S2120" s="1" a="1"/>
  <c r="S2120" s="1"/>
  <c r="R2124"/>
  <c r="V2124" s="1"/>
  <c r="T2124" s="1"/>
  <c r="S2124" s="1" a="1"/>
  <c r="S2124" s="1"/>
  <c r="R2128"/>
  <c r="V2128" s="1"/>
  <c r="R2132"/>
  <c r="V2132" s="1"/>
  <c r="T2132" s="1"/>
  <c r="S2132" s="1" a="1"/>
  <c r="S2132" s="1"/>
  <c r="R2136"/>
  <c r="V2136" s="1"/>
  <c r="T2136" s="1"/>
  <c r="S2136" s="1" a="1"/>
  <c r="S2136" s="1"/>
  <c r="R2140"/>
  <c r="V2140" s="1"/>
  <c r="R2144"/>
  <c r="V2144" s="1"/>
  <c r="T2144" s="1"/>
  <c r="S2144" s="1" a="1"/>
  <c r="S2144" s="1"/>
  <c r="R2148"/>
  <c r="V2148" s="1"/>
  <c r="R2152"/>
  <c r="V2152" s="1"/>
  <c r="T2152" s="1"/>
  <c r="S2152" s="1" a="1"/>
  <c r="S2152" s="1"/>
  <c r="R2156"/>
  <c r="V2156" s="1"/>
  <c r="R2160"/>
  <c r="V2160" s="1"/>
  <c r="R2164"/>
  <c r="V2164" s="1"/>
  <c r="T2164" s="1"/>
  <c r="S2164" s="1" a="1"/>
  <c r="S2164" s="1"/>
  <c r="R2168"/>
  <c r="V2168" s="1"/>
  <c r="T2168" s="1"/>
  <c r="S2168" s="1" a="1"/>
  <c r="S2168" s="1"/>
  <c r="R1091"/>
  <c r="V1091" s="1"/>
  <c r="R1099"/>
  <c r="V1099" s="1"/>
  <c r="R1107"/>
  <c r="V1107" s="1"/>
  <c r="R1115"/>
  <c r="V1115" s="1"/>
  <c r="R1123"/>
  <c r="V1123" s="1"/>
  <c r="R1131"/>
  <c r="V1131" s="1"/>
  <c r="R1139"/>
  <c r="V1139" s="1"/>
  <c r="T1139" s="1"/>
  <c r="S1139" s="1" a="1"/>
  <c r="S1139" s="1"/>
  <c r="R1147"/>
  <c r="V1147" s="1"/>
  <c r="T1147" s="1"/>
  <c r="S1147" s="1" a="1"/>
  <c r="S1147" s="1"/>
  <c r="R1155"/>
  <c r="V1155" s="1"/>
  <c r="R1163"/>
  <c r="V1163" s="1"/>
  <c r="R1171"/>
  <c r="V1171" s="1"/>
  <c r="T1171" s="1"/>
  <c r="S1171" s="1" a="1"/>
  <c r="S1171" s="1"/>
  <c r="R1179"/>
  <c r="V1179" s="1"/>
  <c r="T1179" s="1"/>
  <c r="S1179" s="1" a="1"/>
  <c r="S1179" s="1"/>
  <c r="R1187"/>
  <c r="V1187" s="1"/>
  <c r="T1187" s="1"/>
  <c r="S1187" s="1" a="1"/>
  <c r="S1187" s="1"/>
  <c r="R1195"/>
  <c r="V1195" s="1"/>
  <c r="R1203"/>
  <c r="V1203" s="1"/>
  <c r="R1211"/>
  <c r="V1211" s="1"/>
  <c r="T1211" s="1"/>
  <c r="S1211" s="1" a="1"/>
  <c r="S1211" s="1"/>
  <c r="R1219"/>
  <c r="V1219" s="1"/>
  <c r="T1219" s="1"/>
  <c r="S1219" s="1" a="1"/>
  <c r="S1219" s="1"/>
  <c r="R1227"/>
  <c r="V1227" s="1"/>
  <c r="R1235"/>
  <c r="V1235" s="1"/>
  <c r="R1243"/>
  <c r="V1243" s="1"/>
  <c r="T1243" s="1"/>
  <c r="S1243" s="1" a="1"/>
  <c r="S1243" s="1"/>
  <c r="R1251"/>
  <c r="V1251" s="1"/>
  <c r="T1251" s="1"/>
  <c r="S1251" s="1" a="1"/>
  <c r="S1251" s="1"/>
  <c r="R1259"/>
  <c r="V1259" s="1"/>
  <c r="T1259" s="1"/>
  <c r="S1259" s="1" a="1"/>
  <c r="S1259" s="1"/>
  <c r="R1267"/>
  <c r="V1267" s="1"/>
  <c r="T1267" s="1"/>
  <c r="S1267" s="1" a="1"/>
  <c r="S1267" s="1"/>
  <c r="R1275"/>
  <c r="V1275" s="1"/>
  <c r="R1283"/>
  <c r="V1283" s="1"/>
  <c r="T1283" s="1"/>
  <c r="S1283" s="1" a="1"/>
  <c r="S1283" s="1"/>
  <c r="R1291"/>
  <c r="V1291" s="1"/>
  <c r="T1291" s="1"/>
  <c r="S1291" s="1" a="1"/>
  <c r="S1291" s="1"/>
  <c r="R1299"/>
  <c r="V1299" s="1"/>
  <c r="R1307"/>
  <c r="V1307" s="1"/>
  <c r="T1307" s="1"/>
  <c r="S1307" s="1" a="1"/>
  <c r="S1307" s="1"/>
  <c r="R1315"/>
  <c r="V1315" s="1"/>
  <c r="T1315" s="1"/>
  <c r="S1315" s="1" a="1"/>
  <c r="S1315" s="1"/>
  <c r="R1323"/>
  <c r="V1323" s="1"/>
  <c r="T1323" s="1"/>
  <c r="S1323" s="1" a="1"/>
  <c r="S1323" s="1"/>
  <c r="R1331"/>
  <c r="V1331" s="1"/>
  <c r="T1331" s="1"/>
  <c r="S1331" s="1" a="1"/>
  <c r="S1331" s="1"/>
  <c r="R1339"/>
  <c r="V1339" s="1"/>
  <c r="R1347"/>
  <c r="V1347" s="1"/>
  <c r="R1355"/>
  <c r="V1355" s="1"/>
  <c r="T1355" s="1"/>
  <c r="S1355" s="1" a="1"/>
  <c r="S1355" s="1"/>
  <c r="R1363"/>
  <c r="V1363" s="1"/>
  <c r="R1371"/>
  <c r="V1371" s="1"/>
  <c r="T1371" s="1"/>
  <c r="S1371" s="1" a="1"/>
  <c r="S1371" s="1"/>
  <c r="R1379"/>
  <c r="V1379" s="1"/>
  <c r="T1379" s="1"/>
  <c r="S1379" s="1" a="1"/>
  <c r="S1379" s="1"/>
  <c r="R1387"/>
  <c r="V1387" s="1"/>
  <c r="R1395"/>
  <c r="V1395" s="1"/>
  <c r="R1403"/>
  <c r="V1403" s="1"/>
  <c r="R1411"/>
  <c r="V1411" s="1"/>
  <c r="T1411" s="1"/>
  <c r="S1411" s="1" a="1"/>
  <c r="S1411" s="1"/>
  <c r="R1419"/>
  <c r="V1419" s="1"/>
  <c r="R1427"/>
  <c r="V1427" s="1"/>
  <c r="R1435"/>
  <c r="V1435" s="1"/>
  <c r="T1435" s="1"/>
  <c r="S1435" s="1" a="1"/>
  <c r="S1435" s="1"/>
  <c r="R1443"/>
  <c r="V1443" s="1"/>
  <c r="T1443" s="1"/>
  <c r="S1443" s="1" a="1"/>
  <c r="S1443" s="1"/>
  <c r="R1451"/>
  <c r="V1451" s="1"/>
  <c r="R1459"/>
  <c r="V1459" s="1"/>
  <c r="R1467"/>
  <c r="V1467" s="1"/>
  <c r="R1475"/>
  <c r="V1475" s="1"/>
  <c r="R1483"/>
  <c r="V1483" s="1"/>
  <c r="T1483" s="1"/>
  <c r="S1483" s="1" a="1"/>
  <c r="S1483" s="1"/>
  <c r="R1491"/>
  <c r="V1491" s="1"/>
  <c r="T1491" s="1"/>
  <c r="S1491" s="1" a="1"/>
  <c r="S1491" s="1"/>
  <c r="R1499"/>
  <c r="V1499" s="1"/>
  <c r="R1507"/>
  <c r="V1507" s="1"/>
  <c r="T1507" s="1"/>
  <c r="S1507" s="1" a="1"/>
  <c r="S1507" s="1"/>
  <c r="R1515"/>
  <c r="V1515" s="1"/>
  <c r="T1515" s="1"/>
  <c r="S1515" s="1" a="1"/>
  <c r="S1515" s="1"/>
  <c r="R1523"/>
  <c r="V1523" s="1"/>
  <c r="T1523" s="1"/>
  <c r="S1523" s="1" a="1"/>
  <c r="S1523" s="1"/>
  <c r="R1531"/>
  <c r="V1531" s="1"/>
  <c r="R1539"/>
  <c r="V1539" s="1"/>
  <c r="R1547"/>
  <c r="V1547" s="1"/>
  <c r="R1555"/>
  <c r="V1555" s="1"/>
  <c r="T1555" s="1"/>
  <c r="S1555" s="1" a="1"/>
  <c r="S1555" s="1"/>
  <c r="R1563"/>
  <c r="V1563" s="1"/>
  <c r="R1571"/>
  <c r="V1571" s="1"/>
  <c r="T1571" s="1"/>
  <c r="S1571" s="1" a="1"/>
  <c r="S1571" s="1"/>
  <c r="R1579"/>
  <c r="V1579" s="1"/>
  <c r="R1587"/>
  <c r="V1587" s="1"/>
  <c r="T1587" s="1"/>
  <c r="S1587" s="1" a="1"/>
  <c r="S1587" s="1"/>
  <c r="R1595"/>
  <c r="V1595" s="1"/>
  <c r="T1595" s="1"/>
  <c r="S1595" s="1" a="1"/>
  <c r="S1595" s="1"/>
  <c r="R1603"/>
  <c r="V1603" s="1"/>
  <c r="R1611"/>
  <c r="V1611" s="1"/>
  <c r="R1619"/>
  <c r="V1619" s="1"/>
  <c r="R1627"/>
  <c r="V1627" s="1"/>
  <c r="T1627" s="1"/>
  <c r="S1627" s="1" a="1"/>
  <c r="S1627" s="1"/>
  <c r="R1635"/>
  <c r="V1635" s="1"/>
  <c r="T1635" s="1"/>
  <c r="S1635" s="1" a="1"/>
  <c r="S1635" s="1"/>
  <c r="R1643"/>
  <c r="V1643" s="1"/>
  <c r="T1643" s="1"/>
  <c r="S1643" s="1" a="1"/>
  <c r="S1643" s="1"/>
  <c r="R1651"/>
  <c r="V1651" s="1"/>
  <c r="T1651" s="1"/>
  <c r="S1651" s="1" a="1"/>
  <c r="S1651" s="1"/>
  <c r="R1659"/>
  <c r="V1659" s="1"/>
  <c r="R1667"/>
  <c r="V1667" s="1"/>
  <c r="T1667" s="1"/>
  <c r="S1667" s="1" a="1"/>
  <c r="S1667" s="1"/>
  <c r="R1675"/>
  <c r="V1675" s="1"/>
  <c r="R1683"/>
  <c r="V1683" s="1"/>
  <c r="T1683" s="1"/>
  <c r="S1683" s="1" a="1"/>
  <c r="S1683" s="1"/>
  <c r="R1691"/>
  <c r="V1691" s="1"/>
  <c r="T1691" s="1"/>
  <c r="S1691" s="1" a="1"/>
  <c r="S1691" s="1"/>
  <c r="R1699"/>
  <c r="V1699" s="1"/>
  <c r="T1699" s="1"/>
  <c r="S1699" s="1" a="1"/>
  <c r="S1699" s="1"/>
  <c r="R1707"/>
  <c r="V1707" s="1"/>
  <c r="T1707" s="1"/>
  <c r="S1707" s="1" a="1"/>
  <c r="S1707" s="1"/>
  <c r="R1715"/>
  <c r="V1715" s="1"/>
  <c r="R1723"/>
  <c r="V1723" s="1"/>
  <c r="T1723" s="1"/>
  <c r="S1723" s="1" a="1"/>
  <c r="S1723" s="1"/>
  <c r="R1731"/>
  <c r="V1731" s="1"/>
  <c r="T1731" s="1"/>
  <c r="S1731" s="1" a="1"/>
  <c r="S1731" s="1"/>
  <c r="R1739"/>
  <c r="V1739" s="1"/>
  <c r="R1747"/>
  <c r="V1747" s="1"/>
  <c r="R1755"/>
  <c r="V1755" s="1"/>
  <c r="T1755" s="1"/>
  <c r="S1755" s="1" a="1"/>
  <c r="S1755" s="1"/>
  <c r="R1763"/>
  <c r="V1763" s="1"/>
  <c r="R1771"/>
  <c r="V1771" s="1"/>
  <c r="T1771" s="1"/>
  <c r="S1771" s="1" a="1"/>
  <c r="S1771" s="1"/>
  <c r="R1779"/>
  <c r="V1779" s="1"/>
  <c r="R1787"/>
  <c r="V1787" s="1"/>
  <c r="T1787" s="1"/>
  <c r="S1787" s="1" a="1"/>
  <c r="S1787" s="1"/>
  <c r="R1795"/>
  <c r="V1795" s="1"/>
  <c r="R1803"/>
  <c r="V1803" s="1"/>
  <c r="R1811"/>
  <c r="V1811" s="1"/>
  <c r="R1819"/>
  <c r="V1819" s="1"/>
  <c r="R1827"/>
  <c r="V1827" s="1"/>
  <c r="R1835"/>
  <c r="V1835" s="1"/>
  <c r="R1843"/>
  <c r="V1843" s="1"/>
  <c r="T1843" s="1"/>
  <c r="S1843" s="1" a="1"/>
  <c r="S1843" s="1"/>
  <c r="R1851"/>
  <c r="V1851" s="1"/>
  <c r="T1851" s="1"/>
  <c r="S1851" s="1" a="1"/>
  <c r="S1851" s="1"/>
  <c r="R1859"/>
  <c r="V1859" s="1"/>
  <c r="R1867"/>
  <c r="V1867" s="1"/>
  <c r="R1875"/>
  <c r="V1875" s="1"/>
  <c r="R1883"/>
  <c r="V1883" s="1"/>
  <c r="T1883" s="1"/>
  <c r="S1883" s="1" a="1"/>
  <c r="S1883" s="1"/>
  <c r="R1891"/>
  <c r="V1891" s="1"/>
  <c r="T1891" s="1"/>
  <c r="S1891" s="1" a="1"/>
  <c r="S1891" s="1"/>
  <c r="R1899"/>
  <c r="V1899" s="1"/>
  <c r="R1907"/>
  <c r="V1907" s="1"/>
  <c r="T1907" s="1"/>
  <c r="S1907" s="1" a="1"/>
  <c r="S1907" s="1"/>
  <c r="R1915"/>
  <c r="V1915" s="1"/>
  <c r="T1915" s="1"/>
  <c r="S1915" s="1" a="1"/>
  <c r="S1915" s="1"/>
  <c r="R1923"/>
  <c r="V1923" s="1"/>
  <c r="T1923" s="1"/>
  <c r="S1923" s="1" a="1"/>
  <c r="S1923" s="1"/>
  <c r="R1931"/>
  <c r="V1931" s="1"/>
  <c r="R1939"/>
  <c r="V1939" s="1"/>
  <c r="R1947"/>
  <c r="V1947" s="1"/>
  <c r="T1947" s="1"/>
  <c r="S1947" s="1" a="1"/>
  <c r="S1947" s="1"/>
  <c r="R1955"/>
  <c r="V1955" s="1"/>
  <c r="T1955" s="1"/>
  <c r="S1955" s="1" a="1"/>
  <c r="S1955" s="1"/>
  <c r="R1963"/>
  <c r="V1963" s="1"/>
  <c r="R1971"/>
  <c r="V1971" s="1"/>
  <c r="T1971" s="1"/>
  <c r="S1971" s="1" a="1"/>
  <c r="S1971" s="1"/>
  <c r="R1979"/>
  <c r="V1979" s="1"/>
  <c r="R1987"/>
  <c r="V1987" s="1"/>
  <c r="T1987" s="1"/>
  <c r="S1987" s="1" a="1"/>
  <c r="S1987" s="1"/>
  <c r="R1995"/>
  <c r="V1995" s="1"/>
  <c r="T1995" s="1"/>
  <c r="S1995" s="1" a="1"/>
  <c r="S1995" s="1"/>
  <c r="R2003"/>
  <c r="V2003" s="1"/>
  <c r="T2003" s="1"/>
  <c r="S2003" s="1" a="1"/>
  <c r="S2003" s="1"/>
  <c r="R2011"/>
  <c r="V2011" s="1"/>
  <c r="T2011" s="1"/>
  <c r="S2011" s="1" a="1"/>
  <c r="S2011" s="1"/>
  <c r="R2019"/>
  <c r="V2019" s="1"/>
  <c r="T2019" s="1"/>
  <c r="S2019" s="1" a="1"/>
  <c r="S2019" s="1"/>
  <c r="R2027"/>
  <c r="V2027" s="1"/>
  <c r="R2035"/>
  <c r="V2035" s="1"/>
  <c r="T2035" s="1"/>
  <c r="S2035" s="1" a="1"/>
  <c r="S2035" s="1"/>
  <c r="R2043"/>
  <c r="V2043" s="1"/>
  <c r="T2043" s="1"/>
  <c r="S2043" s="1" a="1"/>
  <c r="S2043" s="1"/>
  <c r="R2051"/>
  <c r="V2051" s="1"/>
  <c r="T2051" s="1"/>
  <c r="S2051" s="1" a="1"/>
  <c r="S2051" s="1"/>
  <c r="R2059"/>
  <c r="V2059" s="1"/>
  <c r="R2067"/>
  <c r="V2067" s="1"/>
  <c r="R2075"/>
  <c r="V2075" s="1"/>
  <c r="T2075" s="1"/>
  <c r="S2075" s="1" a="1"/>
  <c r="S2075" s="1"/>
  <c r="R2083"/>
  <c r="V2083" s="1"/>
  <c r="R2091"/>
  <c r="V2091" s="1"/>
  <c r="R2099"/>
  <c r="V2099" s="1"/>
  <c r="T2099" s="1"/>
  <c r="S2099" s="1" a="1"/>
  <c r="S2099" s="1"/>
  <c r="R2107"/>
  <c r="V2107" s="1"/>
  <c r="T2107" s="1"/>
  <c r="S2107" s="1" a="1"/>
  <c r="S2107" s="1"/>
  <c r="R2115"/>
  <c r="V2115" s="1"/>
  <c r="T2115" s="1"/>
  <c r="R2123"/>
  <c r="V2123" s="1"/>
  <c r="T2123" s="1"/>
  <c r="S2123" s="1" a="1"/>
  <c r="S2123" s="1"/>
  <c r="R2131"/>
  <c r="V2131" s="1"/>
  <c r="R2139"/>
  <c r="V2139" s="1"/>
  <c r="T2139" s="1"/>
  <c r="S2139" s="1" a="1"/>
  <c r="S2139" s="1"/>
  <c r="R2147"/>
  <c r="V2147" s="1"/>
  <c r="T2147" s="1"/>
  <c r="S2147" s="1" a="1"/>
  <c r="S2147" s="1"/>
  <c r="R2155"/>
  <c r="V2155" s="1"/>
  <c r="R2163"/>
  <c r="V2163" s="1"/>
  <c r="R1090"/>
  <c r="V1090" s="1"/>
  <c r="T1090" s="1"/>
  <c r="S1090" s="1" a="1"/>
  <c r="S1090" s="1"/>
  <c r="R1098"/>
  <c r="V1098" s="1"/>
  <c r="R1106"/>
  <c r="V1106" s="1"/>
  <c r="R1114"/>
  <c r="V1114" s="1"/>
  <c r="R1122"/>
  <c r="V1122" s="1"/>
  <c r="R1130"/>
  <c r="V1130" s="1"/>
  <c r="T1130" s="1"/>
  <c r="S1130" s="1" a="1"/>
  <c r="S1130" s="1"/>
  <c r="R1138"/>
  <c r="V1138" s="1"/>
  <c r="T1138" s="1"/>
  <c r="S1138" s="1" a="1"/>
  <c r="S1138" s="1"/>
  <c r="R1146"/>
  <c r="V1146" s="1"/>
  <c r="R1154"/>
  <c r="V1154" s="1"/>
  <c r="T1154" s="1"/>
  <c r="S1154" s="1" a="1"/>
  <c r="S1154" s="1"/>
  <c r="R1162"/>
  <c r="V1162" s="1"/>
  <c r="T1162" s="1"/>
  <c r="S1162" s="1" a="1"/>
  <c r="S1162" s="1"/>
  <c r="R1170"/>
  <c r="V1170" s="1"/>
  <c r="R1178"/>
  <c r="V1178" s="1"/>
  <c r="R1186"/>
  <c r="V1186" s="1"/>
  <c r="T1186" s="1"/>
  <c r="R1194"/>
  <c r="V1194" s="1"/>
  <c r="T1194" s="1"/>
  <c r="S1194" s="1" a="1"/>
  <c r="S1194" s="1"/>
  <c r="R1202"/>
  <c r="V1202" s="1"/>
  <c r="R1210"/>
  <c r="V1210" s="1"/>
  <c r="T1210" s="1"/>
  <c r="S1210" s="1" a="1"/>
  <c r="S1210" s="1"/>
  <c r="R1218"/>
  <c r="V1218" s="1"/>
  <c r="T1218" s="1"/>
  <c r="S1218" s="1" a="1"/>
  <c r="S1218" s="1"/>
  <c r="R1226"/>
  <c r="V1226" s="1"/>
  <c r="R1234"/>
  <c r="V1234" s="1"/>
  <c r="T1234" s="1"/>
  <c r="S1234" s="1" a="1"/>
  <c r="S1234" s="1"/>
  <c r="R1242"/>
  <c r="V1242" s="1"/>
  <c r="R1250"/>
  <c r="V1250" s="1"/>
  <c r="R1258"/>
  <c r="V1258" s="1"/>
  <c r="R1266"/>
  <c r="V1266" s="1"/>
  <c r="R1274"/>
  <c r="V1274" s="1"/>
  <c r="T1274" s="1"/>
  <c r="S1274" s="1" a="1"/>
  <c r="S1274" s="1"/>
  <c r="R1282"/>
  <c r="V1282" s="1"/>
  <c r="T1282" s="1"/>
  <c r="S1282" s="1" a="1"/>
  <c r="S1282" s="1"/>
  <c r="R1290"/>
  <c r="V1290" s="1"/>
  <c r="T1290" s="1"/>
  <c r="S1290" s="1" a="1"/>
  <c r="S1290" s="1"/>
  <c r="R1298"/>
  <c r="V1298" s="1"/>
  <c r="R1306"/>
  <c r="V1306" s="1"/>
  <c r="R1314"/>
  <c r="V1314" s="1"/>
  <c r="T1314" s="1"/>
  <c r="S1314" s="1" a="1"/>
  <c r="S1314" s="1"/>
  <c r="R1322"/>
  <c r="V1322" s="1"/>
  <c r="T1322" s="1"/>
  <c r="S1322" s="1" a="1"/>
  <c r="S1322" s="1"/>
  <c r="R1330"/>
  <c r="V1330" s="1"/>
  <c r="R1338"/>
  <c r="V1338" s="1"/>
  <c r="T1338" s="1"/>
  <c r="S1338" s="1" a="1"/>
  <c r="S1338" s="1"/>
  <c r="R1346"/>
  <c r="V1346" s="1"/>
  <c r="T1346" s="1"/>
  <c r="S1346" s="1" a="1"/>
  <c r="S1346" s="1"/>
  <c r="R1354"/>
  <c r="V1354" s="1"/>
  <c r="R1362"/>
  <c r="V1362" s="1"/>
  <c r="T1362" s="1"/>
  <c r="S1362" s="1" a="1"/>
  <c r="S1362" s="1"/>
  <c r="R1370"/>
  <c r="V1370" s="1"/>
  <c r="R1378"/>
  <c r="V1378" s="1"/>
  <c r="T1378" s="1"/>
  <c r="S1378" s="1" a="1"/>
  <c r="S1378" s="1"/>
  <c r="R1386"/>
  <c r="V1386" s="1"/>
  <c r="T1386" s="1"/>
  <c r="S1386" s="1" a="1"/>
  <c r="S1386" s="1"/>
  <c r="R1394"/>
  <c r="V1394" s="1"/>
  <c r="R1402"/>
  <c r="V1402" s="1"/>
  <c r="R1410"/>
  <c r="V1410" s="1"/>
  <c r="T1410" s="1"/>
  <c r="S1410" s="1" a="1"/>
  <c r="S1410" s="1"/>
  <c r="R1418"/>
  <c r="V1418" s="1"/>
  <c r="T1418" s="1"/>
  <c r="S1418" s="1" a="1"/>
  <c r="S1418" s="1"/>
  <c r="R1426"/>
  <c r="V1426" s="1"/>
  <c r="R1434"/>
  <c r="V1434" s="1"/>
  <c r="T1434" s="1"/>
  <c r="S1434" s="1" a="1"/>
  <c r="S1434" s="1"/>
  <c r="R1442"/>
  <c r="V1442" s="1"/>
  <c r="T1442" s="1"/>
  <c r="S1442" s="1" a="1"/>
  <c r="S1442" s="1"/>
  <c r="R1450"/>
  <c r="V1450" s="1"/>
  <c r="T1450" s="1"/>
  <c r="S1450" s="1" a="1"/>
  <c r="S1450" s="1"/>
  <c r="R1458"/>
  <c r="V1458" s="1"/>
  <c r="R1466"/>
  <c r="V1466" s="1"/>
  <c r="T1466" s="1"/>
  <c r="S1466" s="1" a="1"/>
  <c r="S1466" s="1"/>
  <c r="R1474"/>
  <c r="V1474" s="1"/>
  <c r="T1474" s="1"/>
  <c r="S1474" s="1" a="1"/>
  <c r="S1474" s="1"/>
  <c r="R1482"/>
  <c r="V1482" s="1"/>
  <c r="R1490"/>
  <c r="V1490" s="1"/>
  <c r="T1490" s="1"/>
  <c r="S1490" s="1" a="1"/>
  <c r="S1490" s="1"/>
  <c r="R1498"/>
  <c r="V1498" s="1"/>
  <c r="R1506"/>
  <c r="V1506" s="1"/>
  <c r="T1506" s="1"/>
  <c r="S1506" s="1" a="1"/>
  <c r="S1506" s="1"/>
  <c r="R1514"/>
  <c r="V1514" s="1"/>
  <c r="T1514" s="1"/>
  <c r="S1514" s="1" a="1"/>
  <c r="S1514" s="1"/>
  <c r="R1522"/>
  <c r="V1522" s="1"/>
  <c r="T1522" s="1"/>
  <c r="S1522" s="1" a="1"/>
  <c r="S1522" s="1"/>
  <c r="R1530"/>
  <c r="V1530" s="1"/>
  <c r="T1530" s="1"/>
  <c r="S1530" s="1" a="1"/>
  <c r="S1530" s="1"/>
  <c r="R1538"/>
  <c r="V1538" s="1"/>
  <c r="R1546"/>
  <c r="V1546" s="1"/>
  <c r="T1546" s="1"/>
  <c r="S1546" s="1" a="1"/>
  <c r="S1546" s="1"/>
  <c r="R1554"/>
  <c r="V1554" s="1"/>
  <c r="T1554" s="1"/>
  <c r="S1554" s="1" a="1"/>
  <c r="S1554" s="1"/>
  <c r="R1562"/>
  <c r="V1562" s="1"/>
  <c r="R1570"/>
  <c r="V1570" s="1"/>
  <c r="R1578"/>
  <c r="V1578" s="1"/>
  <c r="T1578" s="1"/>
  <c r="S1578" s="1" a="1"/>
  <c r="S1578" s="1"/>
  <c r="R1586"/>
  <c r="V1586" s="1"/>
  <c r="T1586" s="1"/>
  <c r="S1586" s="1" a="1"/>
  <c r="S1586" s="1"/>
  <c r="R1594"/>
  <c r="V1594" s="1"/>
  <c r="T1594" s="1"/>
  <c r="R1602"/>
  <c r="V1602" s="1"/>
  <c r="T1602" s="1"/>
  <c r="S1602" s="1" a="1"/>
  <c r="S1602" s="1"/>
  <c r="R1610"/>
  <c r="V1610" s="1"/>
  <c r="T1610" s="1"/>
  <c r="S1610" s="1" a="1"/>
  <c r="S1610" s="1"/>
  <c r="R1618"/>
  <c r="V1618" s="1"/>
  <c r="R1626"/>
  <c r="V1626" s="1"/>
  <c r="T1626" s="1"/>
  <c r="S1626" s="1" a="1"/>
  <c r="S1626" s="1"/>
  <c r="R1634"/>
  <c r="V1634" s="1"/>
  <c r="T1634" s="1"/>
  <c r="S1634" s="1" a="1"/>
  <c r="S1634" s="1"/>
  <c r="R1642"/>
  <c r="V1642" s="1"/>
  <c r="T1642" s="1"/>
  <c r="S1642" s="1" a="1"/>
  <c r="S1642" s="1"/>
  <c r="R1650"/>
  <c r="V1650" s="1"/>
  <c r="T1650" s="1"/>
  <c r="S1650" s="1" a="1"/>
  <c r="S1650" s="1"/>
  <c r="R1658"/>
  <c r="V1658" s="1"/>
  <c r="R1666"/>
  <c r="V1666" s="1"/>
  <c r="R1674"/>
  <c r="V1674" s="1"/>
  <c r="T1674" s="1"/>
  <c r="S1674" s="1" a="1"/>
  <c r="S1674" s="1"/>
  <c r="R1682"/>
  <c r="V1682" s="1"/>
  <c r="R1690"/>
  <c r="V1690" s="1"/>
  <c r="R1698"/>
  <c r="V1698" s="1"/>
  <c r="T1698" s="1"/>
  <c r="S1698" s="1" a="1"/>
  <c r="S1698" s="1"/>
  <c r="R1706"/>
  <c r="V1706" s="1"/>
  <c r="T1706" s="1"/>
  <c r="S1706" s="1" a="1"/>
  <c r="S1706" s="1"/>
  <c r="R1714"/>
  <c r="V1714" s="1"/>
  <c r="T1714" s="1"/>
  <c r="S1714" s="1" a="1"/>
  <c r="S1714" s="1"/>
  <c r="R1722"/>
  <c r="V1722" s="1"/>
  <c r="R1730"/>
  <c r="V1730" s="1"/>
  <c r="T1730" s="1"/>
  <c r="S1730" s="1" a="1"/>
  <c r="S1730" s="1"/>
  <c r="R1738"/>
  <c r="V1738" s="1"/>
  <c r="R1746"/>
  <c r="V1746" s="1"/>
  <c r="R1754"/>
  <c r="V1754" s="1"/>
  <c r="T1754" s="1"/>
  <c r="R1762"/>
  <c r="V1762" s="1"/>
  <c r="T1762" s="1"/>
  <c r="S1762" s="1" a="1"/>
  <c r="S1762" s="1"/>
  <c r="R1770"/>
  <c r="V1770" s="1"/>
  <c r="T1770" s="1"/>
  <c r="S1770" s="1" a="1"/>
  <c r="S1770" s="1"/>
  <c r="R1778"/>
  <c r="V1778" s="1"/>
  <c r="T1778" s="1"/>
  <c r="S1778" s="1" a="1"/>
  <c r="S1778" s="1"/>
  <c r="R1786"/>
  <c r="V1786" s="1"/>
  <c r="T1786" s="1"/>
  <c r="S1786" s="1" a="1"/>
  <c r="S1786" s="1"/>
  <c r="R1794"/>
  <c r="V1794" s="1"/>
  <c r="T1794" s="1"/>
  <c r="S1794" s="1" a="1"/>
  <c r="S1794" s="1"/>
  <c r="R1802"/>
  <c r="V1802" s="1"/>
  <c r="R1810"/>
  <c r="V1810" s="1"/>
  <c r="R1818"/>
  <c r="V1818" s="1"/>
  <c r="R1826"/>
  <c r="V1826" s="1"/>
  <c r="R1834"/>
  <c r="V1834" s="1"/>
  <c r="T1834" s="1"/>
  <c r="S1834" s="1" a="1"/>
  <c r="S1834" s="1"/>
  <c r="R1842"/>
  <c r="V1842" s="1"/>
  <c r="T1842" s="1"/>
  <c r="S1842" s="1" a="1"/>
  <c r="S1842" s="1"/>
  <c r="R1850"/>
  <c r="V1850" s="1"/>
  <c r="T1850" s="1"/>
  <c r="S1850" s="1" a="1"/>
  <c r="S1850" s="1"/>
  <c r="R1858"/>
  <c r="V1858" s="1"/>
  <c r="T1858" s="1"/>
  <c r="S1858" s="1" a="1"/>
  <c r="S1858" s="1"/>
  <c r="R1866"/>
  <c r="V1866" s="1"/>
  <c r="T1866" s="1"/>
  <c r="S1866" s="1" a="1"/>
  <c r="S1866" s="1"/>
  <c r="R1874"/>
  <c r="V1874" s="1"/>
  <c r="T1874" s="1"/>
  <c r="S1874" s="1" a="1"/>
  <c r="S1874" s="1"/>
  <c r="R1882"/>
  <c r="V1882" s="1"/>
  <c r="R1890"/>
  <c r="V1890" s="1"/>
  <c r="R1898"/>
  <c r="V1898" s="1"/>
  <c r="R1906"/>
  <c r="V1906" s="1"/>
  <c r="T1906" s="1"/>
  <c r="S1906" s="1" a="1"/>
  <c r="S1906" s="1"/>
  <c r="R1914"/>
  <c r="V1914" s="1"/>
  <c r="T1914" s="1"/>
  <c r="S1914" s="1" a="1"/>
  <c r="S1914" s="1"/>
  <c r="R1922"/>
  <c r="V1922" s="1"/>
  <c r="T1922" s="1"/>
  <c r="S1922" s="1" a="1"/>
  <c r="S1922" s="1"/>
  <c r="R1930"/>
  <c r="V1930" s="1"/>
  <c r="R1938"/>
  <c r="V1938" s="1"/>
  <c r="T1938" s="1"/>
  <c r="S1938" s="1" a="1"/>
  <c r="S1938" s="1"/>
  <c r="R1946"/>
  <c r="V1946" s="1"/>
  <c r="R1954"/>
  <c r="V1954" s="1"/>
  <c r="R1962"/>
  <c r="V1962" s="1"/>
  <c r="R1970"/>
  <c r="V1970" s="1"/>
  <c r="T1970" s="1"/>
  <c r="S1970" s="1" a="1"/>
  <c r="S1970" s="1"/>
  <c r="R1978"/>
  <c r="V1978" s="1"/>
  <c r="R1986"/>
  <c r="V1986" s="1"/>
  <c r="T1986" s="1"/>
  <c r="S1986" s="1" a="1"/>
  <c r="S1986" s="1"/>
  <c r="R1994"/>
  <c r="V1994" s="1"/>
  <c r="R2002"/>
  <c r="V2002" s="1"/>
  <c r="T2002" s="1"/>
  <c r="S2002" s="1" a="1"/>
  <c r="S2002" s="1"/>
  <c r="R2010"/>
  <c r="V2010" s="1"/>
  <c r="R2018"/>
  <c r="V2018" s="1"/>
  <c r="R2026"/>
  <c r="V2026" s="1"/>
  <c r="T2026" s="1"/>
  <c r="S2026" s="1" a="1"/>
  <c r="S2026" s="1"/>
  <c r="R2034"/>
  <c r="V2034" s="1"/>
  <c r="T2034" s="1"/>
  <c r="S2034" s="1" a="1"/>
  <c r="S2034" s="1"/>
  <c r="R2042"/>
  <c r="V2042" s="1"/>
  <c r="T2042" s="1"/>
  <c r="S2042" s="1" a="1"/>
  <c r="S2042" s="1"/>
  <c r="R2050"/>
  <c r="V2050" s="1"/>
  <c r="R2058"/>
  <c r="V2058" s="1"/>
  <c r="T2058" s="1"/>
  <c r="S2058" s="1" a="1"/>
  <c r="S2058" s="1"/>
  <c r="R2066"/>
  <c r="V2066" s="1"/>
  <c r="T2066" s="1"/>
  <c r="S2066" s="1" a="1"/>
  <c r="S2066" s="1"/>
  <c r="R2074"/>
  <c r="V2074" s="1"/>
  <c r="R2082"/>
  <c r="V2082" s="1"/>
  <c r="T2082" s="1"/>
  <c r="S2082" s="1" a="1"/>
  <c r="S2082" s="1"/>
  <c r="R2090"/>
  <c r="V2090" s="1"/>
  <c r="T2090" s="1"/>
  <c r="R2098"/>
  <c r="V2098" s="1"/>
  <c r="T2098" s="1"/>
  <c r="S2098" s="1" a="1"/>
  <c r="S2098" s="1"/>
  <c r="R2106"/>
  <c r="V2106" s="1"/>
  <c r="T2106" s="1"/>
  <c r="S2106" s="1" a="1"/>
  <c r="S2106" s="1"/>
  <c r="R2114"/>
  <c r="V2114" s="1"/>
  <c r="T2114" s="1"/>
  <c r="S2114" s="1" a="1"/>
  <c r="S2114" s="1"/>
  <c r="R2122"/>
  <c r="V2122" s="1"/>
  <c r="R2130"/>
  <c r="V2130" s="1"/>
  <c r="R2138"/>
  <c r="V2138" s="1"/>
  <c r="R2146"/>
  <c r="V2146" s="1"/>
  <c r="R2154"/>
  <c r="V2154" s="1"/>
  <c r="T2154" s="1"/>
  <c r="S2154" s="1" a="1"/>
  <c r="S2154" s="1"/>
  <c r="R2162"/>
  <c r="V2162" s="1"/>
  <c r="R1087"/>
  <c r="V1087" s="1"/>
  <c r="T1087" s="1"/>
  <c r="S1087" s="1" a="1"/>
  <c r="S1087" s="1"/>
  <c r="R1095"/>
  <c r="V1095" s="1"/>
  <c r="R1103"/>
  <c r="V1103" s="1"/>
  <c r="T1103" s="1"/>
  <c r="S1103" s="1" a="1"/>
  <c r="S1103" s="1"/>
  <c r="R1111"/>
  <c r="V1111" s="1"/>
  <c r="R1119"/>
  <c r="V1119" s="1"/>
  <c r="R1127"/>
  <c r="V1127" s="1"/>
  <c r="T1127" s="1"/>
  <c r="S1127" s="1" a="1"/>
  <c r="S1127" s="1"/>
  <c r="R1135"/>
  <c r="V1135" s="1"/>
  <c r="T1135" s="1"/>
  <c r="S1135" s="1" a="1"/>
  <c r="S1135" s="1"/>
  <c r="R1143"/>
  <c r="V1143" s="1"/>
  <c r="T1143" s="1"/>
  <c r="S1143" s="1" a="1"/>
  <c r="S1143" s="1"/>
  <c r="R1151"/>
  <c r="V1151" s="1"/>
  <c r="R1159"/>
  <c r="V1159" s="1"/>
  <c r="T1159" s="1"/>
  <c r="S1159" s="1" a="1"/>
  <c r="S1159" s="1"/>
  <c r="R1167"/>
  <c r="V1167" s="1"/>
  <c r="T1167" s="1"/>
  <c r="S1167" s="1" a="1"/>
  <c r="S1167" s="1"/>
  <c r="R1175"/>
  <c r="V1175" s="1"/>
  <c r="T1175" s="1"/>
  <c r="S1175" s="1" a="1"/>
  <c r="S1175" s="1"/>
  <c r="R1183"/>
  <c r="V1183" s="1"/>
  <c r="R1191"/>
  <c r="V1191" s="1"/>
  <c r="T1191" s="1"/>
  <c r="S1191" s="1" a="1"/>
  <c r="S1191" s="1"/>
  <c r="R1199"/>
  <c r="V1199" s="1"/>
  <c r="T1199" s="1"/>
  <c r="S1199" s="1" a="1"/>
  <c r="S1199" s="1"/>
  <c r="R1207"/>
  <c r="V1207" s="1"/>
  <c r="T1207" s="1"/>
  <c r="S1207" s="1" a="1"/>
  <c r="S1207" s="1"/>
  <c r="R1215"/>
  <c r="V1215" s="1"/>
  <c r="R1223"/>
  <c r="V1223" s="1"/>
  <c r="R1231"/>
  <c r="V1231" s="1"/>
  <c r="R1239"/>
  <c r="V1239" s="1"/>
  <c r="T1239" s="1"/>
  <c r="S1239" s="1" a="1"/>
  <c r="S1239" s="1"/>
  <c r="R1247"/>
  <c r="V1247" s="1"/>
  <c r="R1255"/>
  <c r="V1255" s="1"/>
  <c r="R1263"/>
  <c r="V1263" s="1"/>
  <c r="T1263" s="1"/>
  <c r="S1263" s="1" a="1"/>
  <c r="S1263" s="1"/>
  <c r="R1271"/>
  <c r="V1271" s="1"/>
  <c r="R1279"/>
  <c r="V1279" s="1"/>
  <c r="T1279" s="1"/>
  <c r="S1279" s="1" a="1"/>
  <c r="S1279" s="1"/>
  <c r="R1287"/>
  <c r="V1287" s="1"/>
  <c r="R1295"/>
  <c r="V1295" s="1"/>
  <c r="T1295" s="1"/>
  <c r="S1295" s="1" a="1"/>
  <c r="S1295" s="1"/>
  <c r="R1303"/>
  <c r="V1303" s="1"/>
  <c r="T1303" s="1"/>
  <c r="S1303" s="1" a="1"/>
  <c r="S1303" s="1"/>
  <c r="R1311"/>
  <c r="V1311" s="1"/>
  <c r="R1319"/>
  <c r="V1319" s="1"/>
  <c r="T1319" s="1"/>
  <c r="S1319" s="1" a="1"/>
  <c r="S1319" s="1"/>
  <c r="R1327"/>
  <c r="V1327" s="1"/>
  <c r="R1335"/>
  <c r="V1335" s="1"/>
  <c r="T1335" s="1"/>
  <c r="S1335" s="1" a="1"/>
  <c r="S1335" s="1"/>
  <c r="R1343"/>
  <c r="V1343" s="1"/>
  <c r="T1343" s="1"/>
  <c r="S1343" s="1" a="1"/>
  <c r="S1343" s="1"/>
  <c r="R1351"/>
  <c r="V1351" s="1"/>
  <c r="T1351" s="1"/>
  <c r="S1351" s="1" a="1"/>
  <c r="S1351" s="1"/>
  <c r="R1359"/>
  <c r="V1359" s="1"/>
  <c r="T1359" s="1"/>
  <c r="S1359" s="1" a="1"/>
  <c r="S1359" s="1"/>
  <c r="R1367"/>
  <c r="V1367" s="1"/>
  <c r="R1375"/>
  <c r="V1375" s="1"/>
  <c r="R1383"/>
  <c r="V1383" s="1"/>
  <c r="T1383" s="1"/>
  <c r="S1383" s="1" a="1"/>
  <c r="S1383" s="1"/>
  <c r="R1391"/>
  <c r="V1391" s="1"/>
  <c r="T1391" s="1"/>
  <c r="S1391" s="1" a="1"/>
  <c r="S1391" s="1"/>
  <c r="R1399"/>
  <c r="V1399" s="1"/>
  <c r="T1399" s="1"/>
  <c r="S1399" s="1" a="1"/>
  <c r="S1399" s="1"/>
  <c r="R1407"/>
  <c r="V1407" s="1"/>
  <c r="T1407" s="1"/>
  <c r="S1407" s="1" a="1"/>
  <c r="S1407" s="1"/>
  <c r="R1415"/>
  <c r="V1415" s="1"/>
  <c r="T1415" s="1"/>
  <c r="S1415" s="1" a="1"/>
  <c r="S1415" s="1"/>
  <c r="R1423"/>
  <c r="V1423" s="1"/>
  <c r="T1423" s="1"/>
  <c r="S1423" s="1" a="1"/>
  <c r="S1423" s="1"/>
  <c r="R1431"/>
  <c r="V1431" s="1"/>
  <c r="T1431" s="1"/>
  <c r="S1431" s="1" a="1"/>
  <c r="S1431" s="1"/>
  <c r="R1439"/>
  <c r="V1439" s="1"/>
  <c r="R1447"/>
  <c r="V1447" s="1"/>
  <c r="T1447" s="1"/>
  <c r="S1447" s="1" a="1"/>
  <c r="S1447" s="1"/>
  <c r="R1455"/>
  <c r="V1455" s="1"/>
  <c r="R1463"/>
  <c r="V1463" s="1"/>
  <c r="T1463" s="1"/>
  <c r="S1463" s="1" a="1"/>
  <c r="S1463" s="1"/>
  <c r="R1471"/>
  <c r="V1471" s="1"/>
  <c r="T1471" s="1"/>
  <c r="S1471" s="1" a="1"/>
  <c r="S1471" s="1"/>
  <c r="R1479"/>
  <c r="V1479" s="1"/>
  <c r="R1487"/>
  <c r="V1487" s="1"/>
  <c r="R1495"/>
  <c r="V1495" s="1"/>
  <c r="T1495" s="1"/>
  <c r="S1495" s="1" a="1"/>
  <c r="S1495" s="1"/>
  <c r="R1503"/>
  <c r="V1503" s="1"/>
  <c r="R1511"/>
  <c r="V1511" s="1"/>
  <c r="R1519"/>
  <c r="V1519" s="1"/>
  <c r="R1527"/>
  <c r="V1527" s="1"/>
  <c r="T1527" s="1"/>
  <c r="S1527" s="1" a="1"/>
  <c r="S1527" s="1"/>
  <c r="R1535"/>
  <c r="V1535" s="1"/>
  <c r="T1535" s="1"/>
  <c r="S1535" s="1" a="1"/>
  <c r="S1535" s="1"/>
  <c r="R1543"/>
  <c r="V1543" s="1"/>
  <c r="R1551"/>
  <c r="V1551" s="1"/>
  <c r="T1551" s="1"/>
  <c r="S1551" s="1" a="1"/>
  <c r="S1551" s="1"/>
  <c r="R1559"/>
  <c r="V1559" s="1"/>
  <c r="R1567"/>
  <c r="V1567" s="1"/>
  <c r="R1575"/>
  <c r="V1575" s="1"/>
  <c r="T1575" s="1"/>
  <c r="S1575" s="1" a="1"/>
  <c r="S1575" s="1"/>
  <c r="R1583"/>
  <c r="V1583" s="1"/>
  <c r="T1583" s="1"/>
  <c r="S1583" s="1" a="1"/>
  <c r="S1583" s="1"/>
  <c r="R1591"/>
  <c r="V1591" s="1"/>
  <c r="T1591" s="1"/>
  <c r="S1591" s="1" a="1"/>
  <c r="S1591" s="1"/>
  <c r="R1599"/>
  <c r="V1599" s="1"/>
  <c r="R1607"/>
  <c r="V1607" s="1"/>
  <c r="T1607" s="1"/>
  <c r="S1607" s="1" a="1"/>
  <c r="S1607" s="1"/>
  <c r="R1615"/>
  <c r="V1615" s="1"/>
  <c r="T1615" s="1"/>
  <c r="S1615" s="1" a="1"/>
  <c r="S1615" s="1"/>
  <c r="R1623"/>
  <c r="V1623" s="1"/>
  <c r="R1631"/>
  <c r="V1631" s="1"/>
  <c r="R1639"/>
  <c r="V1639" s="1"/>
  <c r="T1639" s="1"/>
  <c r="R1647"/>
  <c r="V1647" s="1"/>
  <c r="T1647" s="1"/>
  <c r="S1647" s="1" a="1"/>
  <c r="S1647" s="1"/>
  <c r="R1655"/>
  <c r="V1655" s="1"/>
  <c r="R1663"/>
  <c r="V1663" s="1"/>
  <c r="T1663" s="1"/>
  <c r="S1663" s="1" a="1"/>
  <c r="S1663" s="1"/>
  <c r="R1671"/>
  <c r="V1671" s="1"/>
  <c r="R1679"/>
  <c r="V1679" s="1"/>
  <c r="T1679" s="1"/>
  <c r="S1679" s="1" a="1"/>
  <c r="S1679" s="1"/>
  <c r="R1687"/>
  <c r="V1687" s="1"/>
  <c r="T1687" s="1"/>
  <c r="S1687" s="1" a="1"/>
  <c r="S1687" s="1"/>
  <c r="R1695"/>
  <c r="V1695" s="1"/>
  <c r="T1695" s="1"/>
  <c r="S1695" s="1" a="1"/>
  <c r="S1695" s="1"/>
  <c r="R1703"/>
  <c r="V1703" s="1"/>
  <c r="T1703" s="1"/>
  <c r="S1703" s="1" a="1"/>
  <c r="S1703" s="1"/>
  <c r="R1711"/>
  <c r="V1711" s="1"/>
  <c r="T1711" s="1"/>
  <c r="S1711" s="1" a="1"/>
  <c r="S1711" s="1"/>
  <c r="R1719"/>
  <c r="V1719" s="1"/>
  <c r="T1719" s="1"/>
  <c r="S1719" s="1" a="1"/>
  <c r="S1719" s="1"/>
  <c r="R1727"/>
  <c r="V1727" s="1"/>
  <c r="T1727" s="1"/>
  <c r="S1727" s="1" a="1"/>
  <c r="S1727" s="1"/>
  <c r="R1735"/>
  <c r="V1735" s="1"/>
  <c r="R1743"/>
  <c r="V1743" s="1"/>
  <c r="T1743" s="1"/>
  <c r="S1743" s="1" a="1"/>
  <c r="S1743" s="1"/>
  <c r="R1751"/>
  <c r="V1751" s="1"/>
  <c r="T1751" s="1"/>
  <c r="S1751" s="1" a="1"/>
  <c r="S1751" s="1"/>
  <c r="R1759"/>
  <c r="V1759" s="1"/>
  <c r="T1759" s="1"/>
  <c r="S1759" s="1" a="1"/>
  <c r="S1759" s="1"/>
  <c r="R1767"/>
  <c r="V1767" s="1"/>
  <c r="R1775"/>
  <c r="V1775" s="1"/>
  <c r="R1783"/>
  <c r="V1783" s="1"/>
  <c r="T1783" s="1"/>
  <c r="S1783" s="1" a="1"/>
  <c r="S1783" s="1"/>
  <c r="R1791"/>
  <c r="V1791" s="1"/>
  <c r="T1791" s="1"/>
  <c r="S1791" s="1" a="1"/>
  <c r="S1791" s="1"/>
  <c r="R1799"/>
  <c r="V1799" s="1"/>
  <c r="R1807"/>
  <c r="V1807" s="1"/>
  <c r="T1807" s="1"/>
  <c r="S1807" s="1" a="1"/>
  <c r="S1807" s="1"/>
  <c r="R1815"/>
  <c r="V1815" s="1"/>
  <c r="T1815" s="1"/>
  <c r="S1815" s="1" a="1"/>
  <c r="S1815" s="1"/>
  <c r="R1823"/>
  <c r="V1823" s="1"/>
  <c r="T1823" s="1"/>
  <c r="S1823" s="1" a="1"/>
  <c r="S1823" s="1"/>
  <c r="R1831"/>
  <c r="V1831" s="1"/>
  <c r="T1831" s="1"/>
  <c r="S1831" s="1" a="1"/>
  <c r="S1831" s="1"/>
  <c r="R1839"/>
  <c r="V1839" s="1"/>
  <c r="T1839" s="1"/>
  <c r="S1839" s="1" a="1"/>
  <c r="S1839" s="1"/>
  <c r="R1847"/>
  <c r="V1847" s="1"/>
  <c r="T1847" s="1"/>
  <c r="S1847" s="1" a="1"/>
  <c r="S1847" s="1"/>
  <c r="R1855"/>
  <c r="V1855" s="1"/>
  <c r="R1863"/>
  <c r="V1863" s="1"/>
  <c r="T1863" s="1"/>
  <c r="S1863" s="1" a="1"/>
  <c r="S1863" s="1"/>
  <c r="R1871"/>
  <c r="V1871" s="1"/>
  <c r="T1871" s="1"/>
  <c r="S1871" s="1" a="1"/>
  <c r="S1871" s="1"/>
  <c r="R1879"/>
  <c r="V1879" s="1"/>
  <c r="R1887"/>
  <c r="V1887" s="1"/>
  <c r="R1895"/>
  <c r="V1895" s="1"/>
  <c r="T1895" s="1"/>
  <c r="S1895" s="1" a="1"/>
  <c r="S1895" s="1"/>
  <c r="R1903"/>
  <c r="V1903" s="1"/>
  <c r="R1911"/>
  <c r="V1911" s="1"/>
  <c r="R1919"/>
  <c r="V1919" s="1"/>
  <c r="R1927"/>
  <c r="V1927" s="1"/>
  <c r="T1927" s="1"/>
  <c r="S1927" s="1" a="1"/>
  <c r="S1927" s="1"/>
  <c r="R1935"/>
  <c r="V1935" s="1"/>
  <c r="T1935" s="1"/>
  <c r="S1935" s="1" a="1"/>
  <c r="S1935" s="1"/>
  <c r="R1943"/>
  <c r="V1943" s="1"/>
  <c r="T1943" s="1"/>
  <c r="S1943" s="1" a="1"/>
  <c r="S1943" s="1"/>
  <c r="R1951"/>
  <c r="V1951" s="1"/>
  <c r="T1951" s="1"/>
  <c r="S1951" s="1" a="1"/>
  <c r="S1951" s="1"/>
  <c r="R1959"/>
  <c r="V1959" s="1"/>
  <c r="R1967"/>
  <c r="V1967" s="1"/>
  <c r="T1967" s="1"/>
  <c r="S1967" s="1" a="1"/>
  <c r="S1967" s="1"/>
  <c r="R1975"/>
  <c r="V1975" s="1"/>
  <c r="T1975" s="1"/>
  <c r="S1975" s="1" a="1"/>
  <c r="S1975" s="1"/>
  <c r="R1983"/>
  <c r="V1983" s="1"/>
  <c r="T1983" s="1"/>
  <c r="S1983" s="1" a="1"/>
  <c r="S1983" s="1"/>
  <c r="R1991"/>
  <c r="V1991" s="1"/>
  <c r="T1991" s="1"/>
  <c r="S1991" s="1" a="1"/>
  <c r="S1991" s="1"/>
  <c r="R1999"/>
  <c r="V1999" s="1"/>
  <c r="T1999" s="1"/>
  <c r="S1999" s="1" a="1"/>
  <c r="S1999" s="1"/>
  <c r="R2007"/>
  <c r="V2007" s="1"/>
  <c r="T2007" s="1"/>
  <c r="S2007" s="1" a="1"/>
  <c r="S2007" s="1"/>
  <c r="R2015"/>
  <c r="V2015" s="1"/>
  <c r="R2023"/>
  <c r="V2023" s="1"/>
  <c r="R2031"/>
  <c r="V2031" s="1"/>
  <c r="T2031" s="1"/>
  <c r="S2031" s="1" a="1"/>
  <c r="S2031" s="1"/>
  <c r="R2039"/>
  <c r="V2039" s="1"/>
  <c r="T2039" s="1"/>
  <c r="S2039" s="1" a="1"/>
  <c r="S2039" s="1"/>
  <c r="R2047"/>
  <c r="V2047" s="1"/>
  <c r="T2047" s="1"/>
  <c r="S2047" s="1" a="1"/>
  <c r="S2047" s="1"/>
  <c r="R2055"/>
  <c r="V2055" s="1"/>
  <c r="T2055" s="1"/>
  <c r="S2055" s="1" a="1"/>
  <c r="S2055" s="1"/>
  <c r="R2063"/>
  <c r="V2063" s="1"/>
  <c r="T2063" s="1"/>
  <c r="S2063" s="1" a="1"/>
  <c r="S2063" s="1"/>
  <c r="R2071"/>
  <c r="V2071" s="1"/>
  <c r="R2079"/>
  <c r="V2079" s="1"/>
  <c r="R2087"/>
  <c r="V2087" s="1"/>
  <c r="R2095"/>
  <c r="V2095" s="1"/>
  <c r="T2095" s="1"/>
  <c r="R2103"/>
  <c r="V2103" s="1"/>
  <c r="T2103" s="1"/>
  <c r="R2111"/>
  <c r="V2111" s="1"/>
  <c r="T2111" s="1"/>
  <c r="S2111" s="1" a="1"/>
  <c r="S2111" s="1"/>
  <c r="R2119"/>
  <c r="V2119" s="1"/>
  <c r="R2127"/>
  <c r="V2127" s="1"/>
  <c r="R2135"/>
  <c r="V2135" s="1"/>
  <c r="T2135" s="1"/>
  <c r="S2135" s="1" a="1"/>
  <c r="S2135" s="1"/>
  <c r="R2143"/>
  <c r="V2143" s="1"/>
  <c r="T2143" s="1"/>
  <c r="S2143" s="1" a="1"/>
  <c r="S2143" s="1"/>
  <c r="R2151"/>
  <c r="V2151" s="1"/>
  <c r="T2151" s="1"/>
  <c r="S2151" s="1" a="1"/>
  <c r="S2151" s="1"/>
  <c r="R2159"/>
  <c r="V2159" s="1"/>
  <c r="T2159" s="1"/>
  <c r="S2159" s="1" a="1"/>
  <c r="S2159" s="1"/>
  <c r="R2167"/>
  <c r="V2167" s="1"/>
  <c r="T2167" s="1"/>
  <c r="S2167" s="1" a="1"/>
  <c r="S2167" s="1"/>
  <c r="R1086"/>
  <c r="V1086" s="1"/>
  <c r="T1086" s="1"/>
  <c r="S1086" s="1" a="1"/>
  <c r="S1086" s="1"/>
  <c r="R1094"/>
  <c r="V1094" s="1"/>
  <c r="R1102"/>
  <c r="V1102" s="1"/>
  <c r="R1110"/>
  <c r="V1110" s="1"/>
  <c r="R1118"/>
  <c r="V1118" s="1"/>
  <c r="R1126"/>
  <c r="V1126" s="1"/>
  <c r="T1126" s="1"/>
  <c r="S1126" s="1" a="1"/>
  <c r="S1126" s="1"/>
  <c r="R1134"/>
  <c r="V1134" s="1"/>
  <c r="R1142"/>
  <c r="V1142" s="1"/>
  <c r="T1142" s="1"/>
  <c r="S1142" s="1" a="1"/>
  <c r="S1142" s="1"/>
  <c r="R1150"/>
  <c r="V1150" s="1"/>
  <c r="T1150" s="1"/>
  <c r="S1150" s="1" a="1"/>
  <c r="S1150" s="1"/>
  <c r="R1158"/>
  <c r="V1158" s="1"/>
  <c r="R1166"/>
  <c r="V1166" s="1"/>
  <c r="R1174"/>
  <c r="V1174" s="1"/>
  <c r="R1182"/>
  <c r="V1182" s="1"/>
  <c r="R1190"/>
  <c r="V1190" s="1"/>
  <c r="T1190" s="1"/>
  <c r="S1190" s="1" a="1"/>
  <c r="S1190" s="1"/>
  <c r="R1198"/>
  <c r="V1198" s="1"/>
  <c r="T1198" s="1"/>
  <c r="S1198" s="1" a="1"/>
  <c r="S1198" s="1"/>
  <c r="R1206"/>
  <c r="V1206" s="1"/>
  <c r="T1206" s="1"/>
  <c r="S1206" s="1" a="1"/>
  <c r="S1206" s="1"/>
  <c r="R1214"/>
  <c r="V1214" s="1"/>
  <c r="T1214" s="1"/>
  <c r="S1214" s="1" a="1"/>
  <c r="S1214" s="1"/>
  <c r="R1222"/>
  <c r="V1222" s="1"/>
  <c r="T1222" s="1"/>
  <c r="S1222" s="1" a="1"/>
  <c r="S1222" s="1"/>
  <c r="R1230"/>
  <c r="V1230" s="1"/>
  <c r="T1230" s="1"/>
  <c r="S1230" s="1" a="1"/>
  <c r="S1230" s="1"/>
  <c r="R1238"/>
  <c r="V1238" s="1"/>
  <c r="R1246"/>
  <c r="V1246" s="1"/>
  <c r="R1254"/>
  <c r="V1254" s="1"/>
  <c r="T1254" s="1"/>
  <c r="R1262"/>
  <c r="V1262" s="1"/>
  <c r="T1262" s="1"/>
  <c r="S1262" s="1" a="1"/>
  <c r="S1262" s="1"/>
  <c r="R1270"/>
  <c r="V1270" s="1"/>
  <c r="R1278"/>
  <c r="V1278" s="1"/>
  <c r="T1278" s="1"/>
  <c r="S1278" s="1" a="1"/>
  <c r="S1278" s="1"/>
  <c r="R1286"/>
  <c r="V1286" s="1"/>
  <c r="T1286" s="1"/>
  <c r="S1286" s="1" a="1"/>
  <c r="S1286" s="1"/>
  <c r="R1294"/>
  <c r="V1294" s="1"/>
  <c r="R1302"/>
  <c r="V1302" s="1"/>
  <c r="T1302" s="1"/>
  <c r="S1302" s="1" a="1"/>
  <c r="S1302" s="1"/>
  <c r="R1310"/>
  <c r="V1310" s="1"/>
  <c r="R1318"/>
  <c r="V1318" s="1"/>
  <c r="T1318" s="1"/>
  <c r="S1318" s="1" a="1"/>
  <c r="S1318" s="1"/>
  <c r="R1326"/>
  <c r="V1326" s="1"/>
  <c r="T1326" s="1"/>
  <c r="S1326" s="1" a="1"/>
  <c r="S1326" s="1"/>
  <c r="R1334"/>
  <c r="V1334" s="1"/>
  <c r="R1342"/>
  <c r="V1342" s="1"/>
  <c r="T1342" s="1"/>
  <c r="S1342" s="1" a="1"/>
  <c r="S1342" s="1"/>
  <c r="R1350"/>
  <c r="V1350" s="1"/>
  <c r="T1350" s="1"/>
  <c r="R1358"/>
  <c r="V1358" s="1"/>
  <c r="T1358" s="1"/>
  <c r="S1358" s="1" a="1"/>
  <c r="S1358" s="1"/>
  <c r="R1366"/>
  <c r="V1366" s="1"/>
  <c r="T1366" s="1"/>
  <c r="S1366" s="1" a="1"/>
  <c r="S1366" s="1"/>
  <c r="R1374"/>
  <c r="V1374" s="1"/>
  <c r="R1382"/>
  <c r="V1382" s="1"/>
  <c r="T1382" s="1"/>
  <c r="S1382" s="1" a="1"/>
  <c r="S1382" s="1"/>
  <c r="R1390"/>
  <c r="V1390" s="1"/>
  <c r="R1398"/>
  <c r="V1398" s="1"/>
  <c r="T1398" s="1"/>
  <c r="S1398" s="1" a="1"/>
  <c r="S1398" s="1"/>
  <c r="R1406"/>
  <c r="V1406" s="1"/>
  <c r="T1406" s="1"/>
  <c r="R1414"/>
  <c r="V1414" s="1"/>
  <c r="T1414" s="1"/>
  <c r="S1414" s="1" a="1"/>
  <c r="S1414" s="1"/>
  <c r="R1422"/>
  <c r="V1422" s="1"/>
  <c r="T1422" s="1"/>
  <c r="S1422" s="1" a="1"/>
  <c r="S1422" s="1"/>
  <c r="R1430"/>
  <c r="V1430" s="1"/>
  <c r="R1438"/>
  <c r="V1438" s="1"/>
  <c r="R1446"/>
  <c r="V1446" s="1"/>
  <c r="T1446" s="1"/>
  <c r="S1446" s="1" a="1"/>
  <c r="S1446" s="1"/>
  <c r="R1454"/>
  <c r="V1454" s="1"/>
  <c r="T1454" s="1"/>
  <c r="S1454" s="1" a="1"/>
  <c r="S1454" s="1"/>
  <c r="R1462"/>
  <c r="V1462" s="1"/>
  <c r="T1462" s="1"/>
  <c r="S1462" s="1" a="1"/>
  <c r="S1462" s="1"/>
  <c r="R1470"/>
  <c r="V1470" s="1"/>
  <c r="T1470" s="1"/>
  <c r="S1470" s="1" a="1"/>
  <c r="S1470" s="1"/>
  <c r="R1478"/>
  <c r="V1478" s="1"/>
  <c r="T1478" s="1"/>
  <c r="S1478" s="1" a="1"/>
  <c r="S1478" s="1"/>
  <c r="R1486"/>
  <c r="V1486" s="1"/>
  <c r="R1494"/>
  <c r="V1494" s="1"/>
  <c r="T1494" s="1"/>
  <c r="S1494" s="1" a="1"/>
  <c r="S1494" s="1"/>
  <c r="R1502"/>
  <c r="V1502" s="1"/>
  <c r="R1510"/>
  <c r="V1510" s="1"/>
  <c r="T1510" s="1"/>
  <c r="S1510" s="1" a="1"/>
  <c r="S1510" s="1"/>
  <c r="R1518"/>
  <c r="V1518" s="1"/>
  <c r="T1518" s="1"/>
  <c r="S1518" s="1" a="1"/>
  <c r="S1518" s="1"/>
  <c r="R1526"/>
  <c r="V1526" s="1"/>
  <c r="T1526" s="1"/>
  <c r="S1526" s="1" a="1"/>
  <c r="S1526" s="1"/>
  <c r="R1534"/>
  <c r="V1534" s="1"/>
  <c r="T1534" s="1"/>
  <c r="S1534" s="1" a="1"/>
  <c r="S1534" s="1"/>
  <c r="R1542"/>
  <c r="V1542" s="1"/>
  <c r="T1542" s="1"/>
  <c r="S1542" s="1" a="1"/>
  <c r="S1542" s="1"/>
  <c r="R1550"/>
  <c r="V1550" s="1"/>
  <c r="R1558"/>
  <c r="V1558" s="1"/>
  <c r="R1566"/>
  <c r="V1566" s="1"/>
  <c r="R1574"/>
  <c r="V1574" s="1"/>
  <c r="T1574" s="1"/>
  <c r="S1574" s="1" a="1"/>
  <c r="S1574" s="1"/>
  <c r="R1582"/>
  <c r="V1582" s="1"/>
  <c r="T1582" s="1"/>
  <c r="S1582" s="1" a="1"/>
  <c r="S1582" s="1"/>
  <c r="R1590"/>
  <c r="V1590" s="1"/>
  <c r="T1590" s="1"/>
  <c r="R1598"/>
  <c r="V1598" s="1"/>
  <c r="T1598" s="1"/>
  <c r="S1598" s="1" a="1"/>
  <c r="S1598" s="1"/>
  <c r="R1606"/>
  <c r="V1606" s="1"/>
  <c r="T1606" s="1"/>
  <c r="S1606" s="1" a="1"/>
  <c r="S1606" s="1"/>
  <c r="R1614"/>
  <c r="V1614" s="1"/>
  <c r="T1614" s="1"/>
  <c r="S1614" s="1" a="1"/>
  <c r="S1614" s="1"/>
  <c r="R1622"/>
  <c r="V1622" s="1"/>
  <c r="T1622" s="1"/>
  <c r="S1622" s="1" a="1"/>
  <c r="S1622" s="1"/>
  <c r="R1630"/>
  <c r="V1630" s="1"/>
  <c r="R1638"/>
  <c r="V1638" s="1"/>
  <c r="T1638" s="1"/>
  <c r="S1638" s="1" a="1"/>
  <c r="S1638" s="1"/>
  <c r="R1646"/>
  <c r="V1646" s="1"/>
  <c r="T1646" s="1"/>
  <c r="S1646" s="1" a="1"/>
  <c r="S1646" s="1"/>
  <c r="R1654"/>
  <c r="V1654" s="1"/>
  <c r="R1662"/>
  <c r="V1662" s="1"/>
  <c r="T1662" s="1"/>
  <c r="S1662" s="1" a="1"/>
  <c r="S1662" s="1"/>
  <c r="R1670"/>
  <c r="V1670" s="1"/>
  <c r="T1670" s="1"/>
  <c r="S1670" s="1" a="1"/>
  <c r="S1670" s="1"/>
  <c r="R1678"/>
  <c r="V1678" s="1"/>
  <c r="R1686"/>
  <c r="V1686" s="1"/>
  <c r="T1686" s="1"/>
  <c r="S1686" s="1" a="1"/>
  <c r="S1686" s="1"/>
  <c r="R1694"/>
  <c r="V1694" s="1"/>
  <c r="T1694" s="1"/>
  <c r="S1694" s="1" a="1"/>
  <c r="S1694" s="1"/>
  <c r="R1702"/>
  <c r="V1702" s="1"/>
  <c r="T1702" s="1"/>
  <c r="S1702" s="1" a="1"/>
  <c r="S1702" s="1"/>
  <c r="R1710"/>
  <c r="V1710" s="1"/>
  <c r="T1710" s="1"/>
  <c r="S1710" s="1" a="1"/>
  <c r="S1710" s="1"/>
  <c r="R1718"/>
  <c r="V1718" s="1"/>
  <c r="R1726"/>
  <c r="V1726" s="1"/>
  <c r="T1726" s="1"/>
  <c r="S1726" s="1" a="1"/>
  <c r="S1726" s="1"/>
  <c r="R1734"/>
  <c r="V1734" s="1"/>
  <c r="T1734" s="1"/>
  <c r="S1734" s="1" a="1"/>
  <c r="S1734" s="1"/>
  <c r="R1742"/>
  <c r="V1742" s="1"/>
  <c r="R1750"/>
  <c r="V1750" s="1"/>
  <c r="T1750" s="1"/>
  <c r="S1750" s="1" a="1"/>
  <c r="S1750" s="1"/>
  <c r="R1758"/>
  <c r="V1758" s="1"/>
  <c r="R1766"/>
  <c r="V1766" s="1"/>
  <c r="R1774"/>
  <c r="V1774" s="1"/>
  <c r="T1774" s="1"/>
  <c r="S1774" s="1" a="1"/>
  <c r="S1774" s="1"/>
  <c r="R1782"/>
  <c r="V1782" s="1"/>
  <c r="R1790"/>
  <c r="V1790" s="1"/>
  <c r="T1790" s="1"/>
  <c r="S1790" s="1" a="1"/>
  <c r="S1790" s="1"/>
  <c r="R1798"/>
  <c r="V1798" s="1"/>
  <c r="T1798" s="1"/>
  <c r="S1798" s="1" a="1"/>
  <c r="S1798" s="1"/>
  <c r="R1806"/>
  <c r="V1806" s="1"/>
  <c r="T1806" s="1"/>
  <c r="R1814"/>
  <c r="V1814" s="1"/>
  <c r="T1814" s="1"/>
  <c r="S1814" s="1" a="1"/>
  <c r="S1814" s="1"/>
  <c r="R1822"/>
  <c r="V1822" s="1"/>
  <c r="T1822" s="1"/>
  <c r="S1822" s="1" a="1"/>
  <c r="S1822" s="1"/>
  <c r="R1830"/>
  <c r="V1830" s="1"/>
  <c r="T1830" s="1"/>
  <c r="S1830" s="1" a="1"/>
  <c r="S1830" s="1"/>
  <c r="R1838"/>
  <c r="V1838" s="1"/>
  <c r="T1838" s="1"/>
  <c r="S1838" s="1" a="1"/>
  <c r="S1838" s="1"/>
  <c r="R1846"/>
  <c r="V1846" s="1"/>
  <c r="T1846" s="1"/>
  <c r="S1846" s="1" a="1"/>
  <c r="S1846" s="1"/>
  <c r="R1854"/>
  <c r="V1854" s="1"/>
  <c r="T1854" s="1"/>
  <c r="S1854" s="1" a="1"/>
  <c r="S1854" s="1"/>
  <c r="R1862"/>
  <c r="V1862" s="1"/>
  <c r="T1862" s="1"/>
  <c r="S1862" s="1" a="1"/>
  <c r="S1862" s="1"/>
  <c r="R1870"/>
  <c r="V1870" s="1"/>
  <c r="T1870" s="1"/>
  <c r="S1870" s="1" a="1"/>
  <c r="S1870" s="1"/>
  <c r="R1878"/>
  <c r="V1878" s="1"/>
  <c r="T1878" s="1"/>
  <c r="S1878" s="1" a="1"/>
  <c r="S1878" s="1"/>
  <c r="R1886"/>
  <c r="V1886" s="1"/>
  <c r="T1886" s="1"/>
  <c r="S1886" s="1" a="1"/>
  <c r="S1886" s="1"/>
  <c r="R1894"/>
  <c r="V1894" s="1"/>
  <c r="R1902"/>
  <c r="V1902" s="1"/>
  <c r="T1902" s="1"/>
  <c r="S1902" s="1" a="1"/>
  <c r="S1902" s="1"/>
  <c r="R1910"/>
  <c r="V1910" s="1"/>
  <c r="T1910" s="1"/>
  <c r="S1910" s="1" a="1"/>
  <c r="S1910" s="1"/>
  <c r="R1918"/>
  <c r="V1918" s="1"/>
  <c r="R1926"/>
  <c r="V1926" s="1"/>
  <c r="T1926" s="1"/>
  <c r="S1926" s="1" a="1"/>
  <c r="S1926" s="1"/>
  <c r="R1934"/>
  <c r="V1934" s="1"/>
  <c r="T1934" s="1"/>
  <c r="S1934" s="1" a="1"/>
  <c r="S1934" s="1"/>
  <c r="R1942"/>
  <c r="V1942" s="1"/>
  <c r="R1950"/>
  <c r="V1950" s="1"/>
  <c r="R1958"/>
  <c r="V1958" s="1"/>
  <c r="T1958" s="1"/>
  <c r="S1958" s="1" a="1"/>
  <c r="S1958" s="1"/>
  <c r="R1966"/>
  <c r="V1966" s="1"/>
  <c r="T1966" s="1"/>
  <c r="S1966" s="1" a="1"/>
  <c r="S1966" s="1"/>
  <c r="R1974"/>
  <c r="V1974" s="1"/>
  <c r="T1974" s="1"/>
  <c r="S1974" s="1" a="1"/>
  <c r="S1974" s="1"/>
  <c r="R1982"/>
  <c r="V1982" s="1"/>
  <c r="R1990"/>
  <c r="V1990" s="1"/>
  <c r="T1990" s="1"/>
  <c r="S1990" s="1" a="1"/>
  <c r="S1990" s="1"/>
  <c r="R1998"/>
  <c r="V1998" s="1"/>
  <c r="R2006"/>
  <c r="V2006" s="1"/>
  <c r="T2006" s="1"/>
  <c r="S2006" s="1" a="1"/>
  <c r="S2006" s="1"/>
  <c r="R2014"/>
  <c r="V2014" s="1"/>
  <c r="R2022"/>
  <c r="V2022" s="1"/>
  <c r="T2022" s="1"/>
  <c r="S2022" s="1" a="1"/>
  <c r="S2022" s="1"/>
  <c r="R2030"/>
  <c r="V2030" s="1"/>
  <c r="T2030" s="1"/>
  <c r="S2030" s="1" a="1"/>
  <c r="S2030" s="1"/>
  <c r="R2038"/>
  <c r="V2038" s="1"/>
  <c r="R2046"/>
  <c r="V2046" s="1"/>
  <c r="T2046" s="1"/>
  <c r="S2046" s="1" a="1"/>
  <c r="S2046" s="1"/>
  <c r="R2054"/>
  <c r="V2054" s="1"/>
  <c r="T2054" s="1"/>
  <c r="S2054" s="1" a="1"/>
  <c r="S2054" s="1"/>
  <c r="R2062"/>
  <c r="V2062" s="1"/>
  <c r="R2070"/>
  <c r="V2070" s="1"/>
  <c r="R2078"/>
  <c r="V2078" s="1"/>
  <c r="R2086"/>
  <c r="V2086" s="1"/>
  <c r="T2086" s="1"/>
  <c r="S2086" s="1" a="1"/>
  <c r="S2086" s="1"/>
  <c r="R2094"/>
  <c r="V2094" s="1"/>
  <c r="T2094" s="1"/>
  <c r="S2094" s="1" a="1"/>
  <c r="S2094" s="1"/>
  <c r="R2102"/>
  <c r="V2102" s="1"/>
  <c r="T2102" s="1"/>
  <c r="R2110"/>
  <c r="V2110" s="1"/>
  <c r="R2118"/>
  <c r="V2118" s="1"/>
  <c r="T2118" s="1"/>
  <c r="S2118" s="1" a="1"/>
  <c r="S2118" s="1"/>
  <c r="R2126"/>
  <c r="V2126" s="1"/>
  <c r="T2126" s="1"/>
  <c r="S2126" s="1" a="1"/>
  <c r="S2126" s="1"/>
  <c r="R2134"/>
  <c r="V2134" s="1"/>
  <c r="T2134" s="1"/>
  <c r="S2134" s="1" a="1"/>
  <c r="S2134" s="1"/>
  <c r="R2142"/>
  <c r="V2142" s="1"/>
  <c r="R2150"/>
  <c r="V2150" s="1"/>
  <c r="R2158"/>
  <c r="V2158" s="1"/>
  <c r="T2158" s="1"/>
  <c r="S2158" s="1" a="1"/>
  <c r="S2158" s="1"/>
  <c r="R2166"/>
  <c r="V2166" s="1"/>
  <c r="T2166" s="1"/>
  <c r="S2166" s="1" a="1"/>
  <c r="S2166" s="1"/>
  <c r="AJ29" i="8"/>
  <c r="AJ27"/>
  <c r="AJ25"/>
  <c r="AJ32"/>
  <c r="AJ34"/>
  <c r="AJ31"/>
  <c r="AJ23"/>
  <c r="AJ33"/>
  <c r="AJ35"/>
  <c r="AJ18"/>
  <c r="AJ37"/>
  <c r="AJ39"/>
  <c r="AJ41"/>
  <c r="AJ43"/>
  <c r="AJ45"/>
  <c r="AJ13"/>
  <c r="AJ36"/>
  <c r="AJ38"/>
  <c r="AJ40"/>
  <c r="AJ42"/>
  <c r="AJ44"/>
  <c r="AJ24"/>
  <c r="AJ19"/>
  <c r="AJ26"/>
  <c r="AJ21"/>
  <c r="AJ28"/>
  <c r="AJ22"/>
  <c r="AJ30"/>
  <c r="R22" i="2"/>
  <c r="V22" s="1"/>
  <c r="R24"/>
  <c r="V24" s="1"/>
  <c r="R26"/>
  <c r="V26" s="1"/>
  <c r="R28"/>
  <c r="V28" s="1"/>
  <c r="R30"/>
  <c r="V30" s="1"/>
  <c r="R32"/>
  <c r="V32" s="1"/>
  <c r="R34"/>
  <c r="V34" s="1"/>
  <c r="R21"/>
  <c r="V21" s="1"/>
  <c r="R23"/>
  <c r="V23" s="1"/>
  <c r="R25"/>
  <c r="V25" s="1"/>
  <c r="R27"/>
  <c r="V27" s="1"/>
  <c r="R29"/>
  <c r="V29" s="1"/>
  <c r="R31"/>
  <c r="V31" s="1"/>
  <c r="R33"/>
  <c r="V33" s="1"/>
  <c r="R7"/>
  <c r="R9"/>
  <c r="V9" s="1"/>
  <c r="R6"/>
  <c r="R12"/>
  <c r="R5"/>
  <c r="V5" s="1"/>
  <c r="R11"/>
  <c r="R13"/>
  <c r="R15"/>
  <c r="R16"/>
  <c r="V16" s="1"/>
  <c r="R19"/>
  <c r="R10"/>
  <c r="R20"/>
  <c r="Q2169"/>
  <c r="R17"/>
  <c r="R18"/>
  <c r="R14"/>
  <c r="R8"/>
  <c r="T327" l="1"/>
  <c r="S327" s="1" a="1"/>
  <c r="S327" s="1"/>
  <c r="T1134"/>
  <c r="S1134" s="1" a="1"/>
  <c r="S1134" s="1"/>
  <c r="T1473"/>
  <c r="S1473" s="1" a="1"/>
  <c r="S1473" s="1"/>
  <c r="T1281"/>
  <c r="S1281" s="1" a="1"/>
  <c r="S1281" s="1"/>
  <c r="T481"/>
  <c r="S481" s="1" a="1"/>
  <c r="S481" s="1"/>
  <c r="T321"/>
  <c r="S321" s="1" a="1"/>
  <c r="S321" s="1"/>
  <c r="T193"/>
  <c r="S193" s="1" a="1"/>
  <c r="S193" s="1"/>
  <c r="T129"/>
  <c r="S129" s="1" a="1"/>
  <c r="S129" s="1"/>
  <c r="T826"/>
  <c r="S826" s="1" a="1"/>
  <c r="S826" s="1"/>
  <c r="T538"/>
  <c r="S538" s="1" a="1"/>
  <c r="S538" s="1"/>
  <c r="T282"/>
  <c r="S282" s="1" a="1"/>
  <c r="S282" s="1"/>
  <c r="T58"/>
  <c r="S58" s="1" a="1"/>
  <c r="S58" s="1"/>
  <c r="T1075"/>
  <c r="S1075" s="1" a="1"/>
  <c r="S1075" s="1"/>
  <c r="T915"/>
  <c r="S915" s="1" a="1"/>
  <c r="S915" s="1"/>
  <c r="T851"/>
  <c r="S851" s="1" a="1"/>
  <c r="S851" s="1"/>
  <c r="T819"/>
  <c r="S819" s="1" a="1"/>
  <c r="S819" s="1"/>
  <c r="T659"/>
  <c r="S659" s="1" a="1"/>
  <c r="S659" s="1"/>
  <c r="T1327"/>
  <c r="S1327" s="1" a="1"/>
  <c r="S1327" s="1"/>
  <c r="T1258"/>
  <c r="S1258" s="1" a="1"/>
  <c r="S1258" s="1"/>
  <c r="T2156"/>
  <c r="S2156" s="1" a="1"/>
  <c r="S2156" s="1"/>
  <c r="T1484"/>
  <c r="S1484" s="1" a="1"/>
  <c r="S1484" s="1"/>
  <c r="T76"/>
  <c r="S76" s="1" a="1"/>
  <c r="S76" s="1"/>
  <c r="T2113"/>
  <c r="S2113" s="1" a="1"/>
  <c r="S2113" s="1"/>
  <c r="T1217"/>
  <c r="S1217" s="1" a="1"/>
  <c r="S1217" s="1"/>
  <c r="T1153"/>
  <c r="S1153" s="1" a="1"/>
  <c r="S1153" s="1"/>
  <c r="T1089"/>
  <c r="S1089" s="1" a="1"/>
  <c r="S1089" s="1"/>
  <c r="T929"/>
  <c r="S929" s="1" a="1"/>
  <c r="S929" s="1"/>
  <c r="T865"/>
  <c r="S865" s="1" a="1"/>
  <c r="S865" s="1"/>
  <c r="T641"/>
  <c r="S641" s="1" a="1"/>
  <c r="S641" s="1"/>
  <c r="T289"/>
  <c r="S289" s="1" a="1"/>
  <c r="S289" s="1"/>
  <c r="T1334"/>
  <c r="S1334" s="1" a="1"/>
  <c r="S1334" s="1"/>
  <c r="T1911"/>
  <c r="S1911" s="1" a="1"/>
  <c r="S1911" s="1"/>
  <c r="T1271"/>
  <c r="S1271" s="1" a="1"/>
  <c r="S1271" s="1"/>
  <c r="T2155"/>
  <c r="S2155" s="1" a="1"/>
  <c r="S2155" s="1"/>
  <c r="T2091"/>
  <c r="S2091" s="1" a="1"/>
  <c r="S2091" s="1"/>
  <c r="T1963"/>
  <c r="S1963" s="1" a="1"/>
  <c r="S1963" s="1"/>
  <c r="T1899"/>
  <c r="S1899" s="1" a="1"/>
  <c r="S1899" s="1"/>
  <c r="T2128"/>
  <c r="S2128" s="1" a="1"/>
  <c r="S2128" s="1"/>
  <c r="T1744"/>
  <c r="S1744" s="1" a="1"/>
  <c r="S1744" s="1"/>
  <c r="T1424"/>
  <c r="S1424" s="1" a="1"/>
  <c r="S1424" s="1"/>
  <c r="T400"/>
  <c r="S400" s="1" a="1"/>
  <c r="S400" s="1"/>
  <c r="T80"/>
  <c r="S80" s="1" a="1"/>
  <c r="S80" s="1"/>
  <c r="T48"/>
  <c r="S48" s="1" a="1"/>
  <c r="S48" s="1"/>
  <c r="T1381"/>
  <c r="S1381" s="1" a="1"/>
  <c r="S1381" s="1"/>
  <c r="T901"/>
  <c r="S901" s="1" a="1"/>
  <c r="S901" s="1"/>
  <c r="T805"/>
  <c r="S805" s="1" a="1"/>
  <c r="S805" s="1"/>
  <c r="T645"/>
  <c r="S645" s="1" a="1"/>
  <c r="S645" s="1"/>
  <c r="T293"/>
  <c r="S293" s="1" a="1"/>
  <c r="S293" s="1"/>
  <c r="T862"/>
  <c r="S862" s="1" a="1"/>
  <c r="S862" s="1"/>
  <c r="T190"/>
  <c r="S190" s="1" a="1"/>
  <c r="S190" s="1"/>
  <c r="T1015"/>
  <c r="S1015" s="1" a="1"/>
  <c r="S1015" s="1"/>
  <c r="T727"/>
  <c r="S727" s="1" a="1"/>
  <c r="S727" s="1"/>
  <c r="T439"/>
  <c r="S439" s="1" a="1"/>
  <c r="S439" s="1"/>
  <c r="T2038"/>
  <c r="S2038" s="1" a="1"/>
  <c r="S2038" s="1"/>
  <c r="T1718"/>
  <c r="S1718" s="1" a="1"/>
  <c r="S1718" s="1"/>
  <c r="T1654"/>
  <c r="S1654" s="1" a="1"/>
  <c r="S1654" s="1"/>
  <c r="T1655"/>
  <c r="S1655" s="1" a="1"/>
  <c r="S1655" s="1"/>
  <c r="T2162"/>
  <c r="S2162" s="1" a="1"/>
  <c r="S2162" s="1"/>
  <c r="T1394"/>
  <c r="S1394" s="1" a="1"/>
  <c r="S1394" s="1"/>
  <c r="T1330"/>
  <c r="S1330" s="1" a="1"/>
  <c r="S1330" s="1"/>
  <c r="T1266"/>
  <c r="S1266" s="1" a="1"/>
  <c r="S1266" s="1"/>
  <c r="T2027"/>
  <c r="S2027" s="1" a="1"/>
  <c r="S2027" s="1"/>
  <c r="T848"/>
  <c r="S848" s="1" a="1"/>
  <c r="S848" s="1"/>
  <c r="T368"/>
  <c r="S368" s="1" a="1"/>
  <c r="S368" s="1"/>
  <c r="T272"/>
  <c r="S272" s="1" a="1"/>
  <c r="S272" s="1"/>
  <c r="T1189"/>
  <c r="S1189" s="1" a="1"/>
  <c r="S1189" s="1"/>
  <c r="T869"/>
  <c r="S869" s="1" a="1"/>
  <c r="S869" s="1"/>
  <c r="T773"/>
  <c r="S773" s="1" a="1"/>
  <c r="S773" s="1"/>
  <c r="T581"/>
  <c r="S581" s="1" a="1"/>
  <c r="S581" s="1"/>
  <c r="T1007"/>
  <c r="S1007" s="1" a="1"/>
  <c r="S1007" s="1"/>
  <c r="T847"/>
  <c r="S847" s="1" a="1"/>
  <c r="S847" s="1"/>
  <c r="T138"/>
  <c r="S138" s="1" a="1"/>
  <c r="S138" s="1"/>
  <c r="T131"/>
  <c r="S131" s="1" a="1"/>
  <c r="S131" s="1"/>
  <c r="T1067"/>
  <c r="S1067" s="1" a="1"/>
  <c r="S1067" s="1"/>
  <c r="T651"/>
  <c r="S651" s="1" a="1"/>
  <c r="S651" s="1"/>
  <c r="T662"/>
  <c r="S662" s="1" a="1"/>
  <c r="S662" s="1"/>
  <c r="T335"/>
  <c r="S335" s="1" a="1"/>
  <c r="S335" s="1"/>
  <c r="T835"/>
  <c r="S835" s="1" a="1"/>
  <c r="S835" s="1"/>
  <c r="T195"/>
  <c r="S195" s="1" a="1"/>
  <c r="S195" s="1"/>
  <c r="T811"/>
  <c r="S811" s="1" a="1"/>
  <c r="S811" s="1"/>
  <c r="T363"/>
  <c r="S363" s="1" a="1"/>
  <c r="S363" s="1"/>
  <c r="T858"/>
  <c r="S858" s="1" a="1"/>
  <c r="S858" s="1"/>
  <c r="T698"/>
  <c r="S698" s="1" a="1"/>
  <c r="S698" s="1"/>
  <c r="T666"/>
  <c r="S666" s="1" a="1"/>
  <c r="S666" s="1"/>
  <c r="T421"/>
  <c r="S421" s="1" a="1"/>
  <c r="S421" s="1"/>
  <c r="T990"/>
  <c r="S990" s="1" a="1"/>
  <c r="S990" s="1"/>
  <c r="T766"/>
  <c r="S766" s="1" a="1"/>
  <c r="S766" s="1"/>
  <c r="T734"/>
  <c r="S734" s="1" a="1"/>
  <c r="S734" s="1"/>
  <c r="T702"/>
  <c r="S702" s="1" a="1"/>
  <c r="S702" s="1"/>
  <c r="T670"/>
  <c r="S670" s="1" a="1"/>
  <c r="S670" s="1"/>
  <c r="T510"/>
  <c r="S510" s="1" a="1"/>
  <c r="S510" s="1"/>
  <c r="T474"/>
  <c r="S474" s="1" a="1"/>
  <c r="S474" s="1"/>
  <c r="T314"/>
  <c r="S314" s="1" a="1"/>
  <c r="S314" s="1"/>
  <c r="T122"/>
  <c r="S122" s="1" a="1"/>
  <c r="S122" s="1"/>
  <c r="T90"/>
  <c r="S90" s="1" a="1"/>
  <c r="S90" s="1"/>
  <c r="T243"/>
  <c r="S243" s="1" a="1"/>
  <c r="S243" s="1"/>
  <c r="T382"/>
  <c r="S382" s="1" a="1"/>
  <c r="S382" s="1"/>
  <c r="T599"/>
  <c r="S599" s="1" a="1"/>
  <c r="S599" s="1"/>
  <c r="T375"/>
  <c r="S375" s="1" a="1"/>
  <c r="S375" s="1"/>
  <c r="T215"/>
  <c r="S215" s="1" a="1"/>
  <c r="S215" s="1"/>
  <c r="T1903"/>
  <c r="S1903" s="1" a="1"/>
  <c r="S1903" s="1"/>
  <c r="T1962"/>
  <c r="S1962" s="1" a="1"/>
  <c r="S1962" s="1"/>
  <c r="T1164"/>
  <c r="S1164" s="1" a="1"/>
  <c r="S1164" s="1"/>
  <c r="T1132"/>
  <c r="S1132" s="1" a="1"/>
  <c r="S1132" s="1"/>
  <c r="T833"/>
  <c r="S833" s="1" a="1"/>
  <c r="S833" s="1"/>
  <c r="T1011"/>
  <c r="S1011" s="1" a="1"/>
  <c r="S1011" s="1"/>
  <c r="T947"/>
  <c r="S947" s="1" a="1"/>
  <c r="S947" s="1"/>
  <c r="T1202"/>
  <c r="S1202" s="1" a="1"/>
  <c r="S1202" s="1"/>
  <c r="T1579"/>
  <c r="S1579" s="1" a="1"/>
  <c r="S1579" s="1"/>
  <c r="T741"/>
  <c r="S741" s="1" a="1"/>
  <c r="S741" s="1"/>
  <c r="T677"/>
  <c r="S677" s="1" a="1"/>
  <c r="S677" s="1"/>
  <c r="T894"/>
  <c r="S894" s="1" a="1"/>
  <c r="S894" s="1"/>
  <c r="T126"/>
  <c r="S126" s="1" a="1"/>
  <c r="S126" s="1"/>
  <c r="T1919"/>
  <c r="S1919" s="1" a="1"/>
  <c r="S1919" s="1"/>
  <c r="T1855"/>
  <c r="S1855" s="1" a="1"/>
  <c r="S1855" s="1"/>
  <c r="T1215"/>
  <c r="S1215" s="1" a="1"/>
  <c r="S1215" s="1"/>
  <c r="T1978"/>
  <c r="S1978" s="1" a="1"/>
  <c r="S1978" s="1"/>
  <c r="T1402"/>
  <c r="S1402" s="1" a="1"/>
  <c r="S1402" s="1"/>
  <c r="T2163"/>
  <c r="S2163" s="1" a="1"/>
  <c r="S2163" s="1"/>
  <c r="T1459"/>
  <c r="S1459" s="1" a="1"/>
  <c r="S1459" s="1"/>
  <c r="T2100"/>
  <c r="S2100" s="1" a="1"/>
  <c r="S2100" s="1"/>
  <c r="T2004"/>
  <c r="S2004" s="1" a="1"/>
  <c r="S2004" s="1"/>
  <c r="T1844"/>
  <c r="S1844" s="1" a="1"/>
  <c r="S1844" s="1"/>
  <c r="T1812"/>
  <c r="S1812" s="1" a="1"/>
  <c r="S1812" s="1"/>
  <c r="T1780"/>
  <c r="S1780" s="1" a="1"/>
  <c r="S1780" s="1"/>
  <c r="T1716"/>
  <c r="S1716" s="1" a="1"/>
  <c r="S1716" s="1"/>
  <c r="T1300"/>
  <c r="S1300" s="1" a="1"/>
  <c r="S1300" s="1"/>
  <c r="T1236"/>
  <c r="S1236" s="1" a="1"/>
  <c r="S1236" s="1"/>
  <c r="T52"/>
  <c r="S52" s="1" a="1"/>
  <c r="S52" s="1"/>
  <c r="T1929"/>
  <c r="S1929" s="1" a="1"/>
  <c r="S1929" s="1"/>
  <c r="T1865"/>
  <c r="S1865" s="1" a="1"/>
  <c r="S1865" s="1"/>
  <c r="T1801"/>
  <c r="S1801" s="1" a="1"/>
  <c r="S1801" s="1"/>
  <c r="T1737"/>
  <c r="S1737" s="1" a="1"/>
  <c r="S1737" s="1"/>
  <c r="T1545"/>
  <c r="S1545" s="1" a="1"/>
  <c r="S1545" s="1"/>
  <c r="T585"/>
  <c r="S585" s="1" a="1"/>
  <c r="S585" s="1"/>
  <c r="T674"/>
  <c r="S674" s="1" a="1"/>
  <c r="S674" s="1"/>
  <c r="T386"/>
  <c r="S386" s="1" a="1"/>
  <c r="S386" s="1"/>
  <c r="T219"/>
  <c r="S219" s="1" a="1"/>
  <c r="S219" s="1"/>
  <c r="T91"/>
  <c r="S91" s="1" a="1"/>
  <c r="S91" s="1"/>
  <c r="T59"/>
  <c r="S59" s="1" a="1"/>
  <c r="S59" s="1"/>
  <c r="T1455"/>
  <c r="S1455" s="1" a="1"/>
  <c r="S1455" s="1"/>
  <c r="T1827"/>
  <c r="S1827" s="1" a="1"/>
  <c r="S1827" s="1"/>
  <c r="T1292"/>
  <c r="S1292" s="1" a="1"/>
  <c r="S1292" s="1"/>
  <c r="T1889"/>
  <c r="S1889" s="1" a="1"/>
  <c r="S1889" s="1"/>
  <c r="T769"/>
  <c r="S769" s="1" a="1"/>
  <c r="S769" s="1"/>
  <c r="T1270"/>
  <c r="S1270" s="1" a="1"/>
  <c r="S1270" s="1"/>
  <c r="T1458"/>
  <c r="S1458" s="1" a="1"/>
  <c r="S1458" s="1"/>
  <c r="T1904"/>
  <c r="S1904" s="1" a="1"/>
  <c r="S1904" s="1"/>
  <c r="T1093"/>
  <c r="S1093" s="1" a="1"/>
  <c r="S1093" s="1"/>
  <c r="T1403"/>
  <c r="S1403" s="1" a="1"/>
  <c r="S1403" s="1"/>
  <c r="T1752"/>
  <c r="S1752" s="1" a="1"/>
  <c r="S1752" s="1"/>
  <c r="T1720"/>
  <c r="S1720" s="1" a="1"/>
  <c r="S1720" s="1"/>
  <c r="T1688"/>
  <c r="S1688" s="1" a="1"/>
  <c r="S1688" s="1"/>
  <c r="T1592"/>
  <c r="S1592" s="1" a="1"/>
  <c r="S1592" s="1"/>
  <c r="T1208"/>
  <c r="S1208" s="1" a="1"/>
  <c r="S1208" s="1"/>
  <c r="T1837"/>
  <c r="S1837" s="1" a="1"/>
  <c r="S1837" s="1"/>
  <c r="T1677"/>
  <c r="S1677" s="1" a="1"/>
  <c r="S1677" s="1"/>
  <c r="T1645"/>
  <c r="S1645" s="1" a="1"/>
  <c r="S1645" s="1"/>
  <c r="T1613"/>
  <c r="S1613" s="1" a="1"/>
  <c r="S1613" s="1"/>
  <c r="T1581"/>
  <c r="S1581" s="1" a="1"/>
  <c r="S1581" s="1"/>
  <c r="T1549"/>
  <c r="S1549" s="1" a="1"/>
  <c r="S1549" s="1"/>
  <c r="T1517"/>
  <c r="S1517" s="1" a="1"/>
  <c r="S1517" s="1"/>
  <c r="T781"/>
  <c r="S781" s="1" a="1"/>
  <c r="S781" s="1"/>
  <c r="T717"/>
  <c r="S717" s="1" a="1"/>
  <c r="S717" s="1"/>
  <c r="T653"/>
  <c r="S653" s="1" a="1"/>
  <c r="S653" s="1"/>
  <c r="T237"/>
  <c r="S237" s="1" a="1"/>
  <c r="S237" s="1"/>
  <c r="T173"/>
  <c r="S173" s="1" a="1"/>
  <c r="S173" s="1"/>
  <c r="T77"/>
  <c r="S77" s="1" a="1"/>
  <c r="S77" s="1"/>
  <c r="T998"/>
  <c r="S998" s="1" a="1"/>
  <c r="S998" s="1"/>
  <c r="T934"/>
  <c r="S934" s="1" a="1"/>
  <c r="S934" s="1"/>
  <c r="T870"/>
  <c r="S870" s="1" a="1"/>
  <c r="S870" s="1"/>
  <c r="T422"/>
  <c r="S422" s="1" a="1"/>
  <c r="S422" s="1"/>
  <c r="T262"/>
  <c r="S262" s="1" a="1"/>
  <c r="S262" s="1"/>
  <c r="T959"/>
  <c r="S959" s="1" a="1"/>
  <c r="S959" s="1"/>
  <c r="T511"/>
  <c r="S511" s="1" a="1"/>
  <c r="S511" s="1"/>
  <c r="T223"/>
  <c r="S223" s="1" a="1"/>
  <c r="S223" s="1"/>
  <c r="T1519"/>
  <c r="S1519" s="1" a="1"/>
  <c r="S1519" s="1"/>
  <c r="T1964"/>
  <c r="S1964" s="1" a="1"/>
  <c r="S1964" s="1"/>
  <c r="T844"/>
  <c r="S844" s="1" a="1"/>
  <c r="S844" s="1"/>
  <c r="T417"/>
  <c r="S417" s="1" a="1"/>
  <c r="S417" s="1"/>
  <c r="T371"/>
  <c r="S371" s="1" a="1"/>
  <c r="S371" s="1"/>
  <c r="T1782"/>
  <c r="S1782" s="1" a="1"/>
  <c r="S1782" s="1"/>
  <c r="T1835"/>
  <c r="S1835" s="1" a="1"/>
  <c r="S1835" s="1"/>
  <c r="T1387"/>
  <c r="S1387" s="1" a="1"/>
  <c r="S1387" s="1"/>
  <c r="T2032"/>
  <c r="S2032" s="1" a="1"/>
  <c r="S2032" s="1"/>
  <c r="T880"/>
  <c r="S880" s="1" a="1"/>
  <c r="S880" s="1"/>
  <c r="T958"/>
  <c r="S958" s="1" a="1"/>
  <c r="S958" s="1"/>
  <c r="T2050"/>
  <c r="S2050" s="1" a="1"/>
  <c r="S2050" s="1"/>
  <c r="T1979"/>
  <c r="S1979" s="1" a="1"/>
  <c r="S1979" s="1"/>
  <c r="T1659"/>
  <c r="S1659" s="1" a="1"/>
  <c r="S1659" s="1"/>
  <c r="T1467"/>
  <c r="S1467" s="1" a="1"/>
  <c r="S1467" s="1"/>
  <c r="T1275"/>
  <c r="S1275" s="1" a="1"/>
  <c r="S1275" s="1"/>
  <c r="T1912"/>
  <c r="S1912" s="1" a="1"/>
  <c r="S1912" s="1"/>
  <c r="T2062"/>
  <c r="S2062" s="1" a="1"/>
  <c r="S2062" s="1"/>
  <c r="T1998"/>
  <c r="S1998" s="1" a="1"/>
  <c r="S1998" s="1"/>
  <c r="T1550"/>
  <c r="S1550" s="1" a="1"/>
  <c r="S1550" s="1"/>
  <c r="T1486"/>
  <c r="S1486" s="1" a="1"/>
  <c r="S1486" s="1"/>
  <c r="T1231"/>
  <c r="S1231" s="1" a="1"/>
  <c r="S1231" s="1"/>
  <c r="T1802"/>
  <c r="S1802" s="1" a="1"/>
  <c r="S1802" s="1"/>
  <c r="T1091"/>
  <c r="S1091" s="1" a="1"/>
  <c r="S1091" s="1"/>
  <c r="T1692"/>
  <c r="S1692" s="1" a="1"/>
  <c r="S1692" s="1"/>
  <c r="T1660"/>
  <c r="S1660" s="1" a="1"/>
  <c r="S1660" s="1"/>
  <c r="T1564"/>
  <c r="S1564" s="1" a="1"/>
  <c r="S1564" s="1"/>
  <c r="T1052"/>
  <c r="S1052" s="1" a="1"/>
  <c r="S1052" s="1"/>
  <c r="T956"/>
  <c r="S956" s="1" a="1"/>
  <c r="S956" s="1"/>
  <c r="T476"/>
  <c r="S476" s="1" a="1"/>
  <c r="S476" s="1"/>
  <c r="T284"/>
  <c r="S284" s="1" a="1"/>
  <c r="S284" s="1"/>
  <c r="T1745"/>
  <c r="S1745" s="1" a="1"/>
  <c r="S1745" s="1"/>
  <c r="T1585"/>
  <c r="S1585" s="1" a="1"/>
  <c r="S1585" s="1"/>
  <c r="T1521"/>
  <c r="S1521" s="1" a="1"/>
  <c r="S1521" s="1"/>
  <c r="T1489"/>
  <c r="S1489" s="1" a="1"/>
  <c r="S1489" s="1"/>
  <c r="T1425"/>
  <c r="S1425" s="1" a="1"/>
  <c r="S1425" s="1"/>
  <c r="T721"/>
  <c r="S721" s="1" a="1"/>
  <c r="S721" s="1"/>
  <c r="T689"/>
  <c r="S689" s="1" a="1"/>
  <c r="S689" s="1"/>
  <c r="T465"/>
  <c r="S465" s="1" a="1"/>
  <c r="S465" s="1"/>
  <c r="T273"/>
  <c r="S273" s="1" a="1"/>
  <c r="S273" s="1"/>
  <c r="T241"/>
  <c r="S241" s="1" a="1"/>
  <c r="S241" s="1"/>
  <c r="T906"/>
  <c r="S906" s="1" a="1"/>
  <c r="S906" s="1"/>
  <c r="T810"/>
  <c r="S810" s="1" a="1"/>
  <c r="S810" s="1"/>
  <c r="T867"/>
  <c r="S867" s="1" a="1"/>
  <c r="S867" s="1"/>
  <c r="T483"/>
  <c r="S483" s="1" a="1"/>
  <c r="S483" s="1"/>
  <c r="T1390"/>
  <c r="S1390" s="1" a="1"/>
  <c r="S1390" s="1"/>
  <c r="T1775"/>
  <c r="S1775" s="1" a="1"/>
  <c r="S1775" s="1"/>
  <c r="T1898"/>
  <c r="S1898" s="1" a="1"/>
  <c r="S1898" s="1"/>
  <c r="T2083"/>
  <c r="S2083" s="1" a="1"/>
  <c r="S2083" s="1"/>
  <c r="T1763"/>
  <c r="S1763" s="1" a="1"/>
  <c r="S1763" s="1"/>
  <c r="T1123"/>
  <c r="S1123" s="1" a="1"/>
  <c r="S1123" s="1"/>
  <c r="T1196"/>
  <c r="S1196" s="1" a="1"/>
  <c r="S1196" s="1"/>
  <c r="T1100"/>
  <c r="S1100" s="1" a="1"/>
  <c r="S1100" s="1"/>
  <c r="T1825"/>
  <c r="S1825" s="1" a="1"/>
  <c r="S1825" s="1"/>
  <c r="T1185"/>
  <c r="S1185" s="1" a="1"/>
  <c r="S1185" s="1"/>
  <c r="T1057"/>
  <c r="S1057" s="1" a="1"/>
  <c r="S1057" s="1"/>
  <c r="T801"/>
  <c r="S801" s="1" a="1"/>
  <c r="S801" s="1"/>
  <c r="T986"/>
  <c r="S986" s="1" a="1"/>
  <c r="S986" s="1"/>
  <c r="T1195"/>
  <c r="S1195" s="1" a="1"/>
  <c r="S1195" s="1"/>
  <c r="T1131"/>
  <c r="S1131" s="1" a="1"/>
  <c r="S1131" s="1"/>
  <c r="T2064"/>
  <c r="S2064" s="1" a="1"/>
  <c r="S2064" s="1"/>
  <c r="T1968"/>
  <c r="S1968" s="1" a="1"/>
  <c r="S1968" s="1"/>
  <c r="T1168"/>
  <c r="S1168" s="1" a="1"/>
  <c r="S1168" s="1"/>
  <c r="T1671"/>
  <c r="S1671" s="1" a="1"/>
  <c r="S1671" s="1"/>
  <c r="T1339"/>
  <c r="S1339" s="1" a="1"/>
  <c r="S1339" s="1"/>
  <c r="T1238"/>
  <c r="S1238" s="1" a="1"/>
  <c r="S1238" s="1"/>
  <c r="T1618"/>
  <c r="S1618" s="1" a="1"/>
  <c r="S1618" s="1"/>
  <c r="T2059"/>
  <c r="S2059" s="1" a="1"/>
  <c r="S2059" s="1"/>
  <c r="T1867"/>
  <c r="S1867" s="1" a="1"/>
  <c r="S1867" s="1"/>
  <c r="T1803"/>
  <c r="S1803" s="1" a="1"/>
  <c r="S1803" s="1"/>
  <c r="T1739"/>
  <c r="S1739" s="1" a="1"/>
  <c r="S1739" s="1"/>
  <c r="T1675"/>
  <c r="S1675" s="1" a="1"/>
  <c r="S1675" s="1"/>
  <c r="T1611"/>
  <c r="S1611" s="1" a="1"/>
  <c r="S1611" s="1"/>
  <c r="T1547"/>
  <c r="S1547" s="1" a="1"/>
  <c r="S1547" s="1"/>
  <c r="T1632"/>
  <c r="S1632" s="1" a="1"/>
  <c r="S1632" s="1"/>
  <c r="T1568"/>
  <c r="S1568" s="1" a="1"/>
  <c r="S1568" s="1"/>
  <c r="T1504"/>
  <c r="S1504" s="1" a="1"/>
  <c r="S1504" s="1"/>
  <c r="T1408"/>
  <c r="S1408" s="1" a="1"/>
  <c r="S1408" s="1"/>
  <c r="T416"/>
  <c r="S416" s="1" a="1"/>
  <c r="S416" s="1"/>
  <c r="T2133"/>
  <c r="S2133" s="1" a="1"/>
  <c r="S2133" s="1"/>
  <c r="T1173"/>
  <c r="S1173" s="1" a="1"/>
  <c r="S1173" s="1"/>
  <c r="T213"/>
  <c r="S213" s="1" a="1"/>
  <c r="S213" s="1"/>
  <c r="T149"/>
  <c r="S149" s="1" a="1"/>
  <c r="S149" s="1"/>
  <c r="T85"/>
  <c r="S85" s="1" a="1"/>
  <c r="S85" s="1"/>
  <c r="T558"/>
  <c r="S558" s="1" a="1"/>
  <c r="S558" s="1"/>
  <c r="T366"/>
  <c r="S366" s="1" a="1"/>
  <c r="S366" s="1"/>
  <c r="T743"/>
  <c r="S743" s="1" a="1"/>
  <c r="S743" s="1"/>
  <c r="T39"/>
  <c r="S39" s="1" a="1"/>
  <c r="S39" s="1"/>
  <c r="T1260"/>
  <c r="S1260" s="1" a="1"/>
  <c r="S1260" s="1"/>
  <c r="T1921"/>
  <c r="S1921" s="1" a="1"/>
  <c r="S1921" s="1"/>
  <c r="T1345"/>
  <c r="S1345" s="1" a="1"/>
  <c r="S1345" s="1"/>
  <c r="T1121"/>
  <c r="S1121" s="1" a="1"/>
  <c r="S1121" s="1"/>
  <c r="T993"/>
  <c r="S993" s="1" a="1"/>
  <c r="S993" s="1"/>
  <c r="T1018"/>
  <c r="S1018" s="1" a="1"/>
  <c r="S1018" s="1"/>
  <c r="T1630"/>
  <c r="S1630" s="1" a="1"/>
  <c r="S1630" s="1"/>
  <c r="T1566"/>
  <c r="S1566" s="1" a="1"/>
  <c r="S1566" s="1"/>
  <c r="T1375"/>
  <c r="S1375" s="1" a="1"/>
  <c r="S1375" s="1"/>
  <c r="T1183"/>
  <c r="S1183" s="1" a="1"/>
  <c r="S1183" s="1"/>
  <c r="T1946"/>
  <c r="S1946" s="1" a="1"/>
  <c r="S1946" s="1"/>
  <c r="T1818"/>
  <c r="S1818" s="1" a="1"/>
  <c r="S1818" s="1"/>
  <c r="T1370"/>
  <c r="S1370" s="1" a="1"/>
  <c r="S1370" s="1"/>
  <c r="T1306"/>
  <c r="S1306" s="1" a="1"/>
  <c r="S1306" s="1"/>
  <c r="T1114"/>
  <c r="S1114" s="1" a="1"/>
  <c r="S1114" s="1"/>
  <c r="T1363"/>
  <c r="S1363" s="1" a="1"/>
  <c r="S1363" s="1"/>
  <c r="T2084"/>
  <c r="S2084" s="1" a="1"/>
  <c r="S2084" s="1"/>
  <c r="T1860"/>
  <c r="S1860" s="1" a="1"/>
  <c r="S1860" s="1"/>
  <c r="T1700"/>
  <c r="S1700" s="1" a="1"/>
  <c r="S1700" s="1"/>
  <c r="T1604"/>
  <c r="S1604" s="1" a="1"/>
  <c r="S1604" s="1"/>
  <c r="T1444"/>
  <c r="S1444" s="1" a="1"/>
  <c r="S1444" s="1"/>
  <c r="T1412"/>
  <c r="S1412" s="1" a="1"/>
  <c r="S1412" s="1"/>
  <c r="T1380"/>
  <c r="S1380" s="1" a="1"/>
  <c r="S1380" s="1"/>
  <c r="T1316"/>
  <c r="S1316" s="1" a="1"/>
  <c r="S1316" s="1"/>
  <c r="T964"/>
  <c r="S964" s="1" a="1"/>
  <c r="S964" s="1"/>
  <c r="T612"/>
  <c r="S612" s="1" a="1"/>
  <c r="S612" s="1"/>
  <c r="T484"/>
  <c r="S484" s="1" a="1"/>
  <c r="S484" s="1"/>
  <c r="T36"/>
  <c r="S36" s="1" a="1"/>
  <c r="S36" s="1"/>
  <c r="T2073"/>
  <c r="S2073" s="1" a="1"/>
  <c r="S2073" s="1"/>
  <c r="T2041"/>
  <c r="S2041" s="1" a="1"/>
  <c r="S2041" s="1"/>
  <c r="T2009"/>
  <c r="S2009" s="1" a="1"/>
  <c r="S2009" s="1"/>
  <c r="T1945"/>
  <c r="S1945" s="1" a="1"/>
  <c r="S1945" s="1"/>
  <c r="T1529"/>
  <c r="S1529" s="1" a="1"/>
  <c r="S1529" s="1"/>
  <c r="T1465"/>
  <c r="S1465" s="1" a="1"/>
  <c r="S1465" s="1"/>
  <c r="T1401"/>
  <c r="S1401" s="1" a="1"/>
  <c r="S1401" s="1"/>
  <c r="T1337"/>
  <c r="S1337" s="1" a="1"/>
  <c r="S1337" s="1"/>
  <c r="T1145"/>
  <c r="S1145" s="1" a="1"/>
  <c r="S1145" s="1"/>
  <c r="T1081"/>
  <c r="S1081" s="1" a="1"/>
  <c r="S1081" s="1"/>
  <c r="T985"/>
  <c r="S985" s="1" a="1"/>
  <c r="S985" s="1"/>
  <c r="T569"/>
  <c r="S569" s="1" a="1"/>
  <c r="S569" s="1"/>
  <c r="T313"/>
  <c r="S313" s="1" a="1"/>
  <c r="S313" s="1"/>
  <c r="T185"/>
  <c r="S185" s="1" a="1"/>
  <c r="S185" s="1"/>
  <c r="T1074"/>
  <c r="S1074" s="1" a="1"/>
  <c r="S1074" s="1"/>
  <c r="T690"/>
  <c r="S690" s="1" a="1"/>
  <c r="S690" s="1"/>
  <c r="T530"/>
  <c r="S530" s="1" a="1"/>
  <c r="S530" s="1"/>
  <c r="T466"/>
  <c r="S466" s="1" a="1"/>
  <c r="S466" s="1"/>
  <c r="T939"/>
  <c r="S939" s="1" a="1"/>
  <c r="S939" s="1"/>
  <c r="T491"/>
  <c r="S491" s="1" a="1"/>
  <c r="S491" s="1"/>
  <c r="T427"/>
  <c r="S427" s="1" a="1"/>
  <c r="S427" s="1"/>
  <c r="T1451"/>
  <c r="S1451" s="1" a="1"/>
  <c r="S1451" s="1"/>
  <c r="T1445"/>
  <c r="S1445" s="1" a="1"/>
  <c r="S1445" s="1"/>
  <c r="T1317"/>
  <c r="S1317" s="1" a="1"/>
  <c r="S1317" s="1"/>
  <c r="T1285"/>
  <c r="S1285" s="1" a="1"/>
  <c r="S1285" s="1"/>
  <c r="T1157"/>
  <c r="S1157" s="1" a="1"/>
  <c r="S1157" s="1"/>
  <c r="T933"/>
  <c r="S933" s="1" a="1"/>
  <c r="S933" s="1"/>
  <c r="T1982"/>
  <c r="S1982" s="1" a="1"/>
  <c r="S1982" s="1"/>
  <c r="T1779"/>
  <c r="S1779" s="1" a="1"/>
  <c r="S1779" s="1"/>
  <c r="T1140"/>
  <c r="S1140" s="1" a="1"/>
  <c r="S1140" s="1"/>
  <c r="T84"/>
  <c r="S84" s="1" a="1"/>
  <c r="S84" s="1"/>
  <c r="T1289"/>
  <c r="S1289" s="1" a="1"/>
  <c r="S1289" s="1"/>
  <c r="T1065"/>
  <c r="S1065" s="1" a="1"/>
  <c r="S1065" s="1"/>
  <c r="T937"/>
  <c r="S937" s="1" a="1"/>
  <c r="S937" s="1"/>
  <c r="T713"/>
  <c r="S713" s="1" a="1"/>
  <c r="S713" s="1"/>
  <c r="T649"/>
  <c r="S649" s="1" a="1"/>
  <c r="S649" s="1"/>
  <c r="T265"/>
  <c r="S265" s="1" a="1"/>
  <c r="S265" s="1"/>
  <c r="T930"/>
  <c r="S930" s="1" a="1"/>
  <c r="S930" s="1"/>
  <c r="T834"/>
  <c r="S834" s="1" a="1"/>
  <c r="S834" s="1"/>
  <c r="T738"/>
  <c r="S738" s="1" a="1"/>
  <c r="S738" s="1"/>
  <c r="T155"/>
  <c r="S155" s="1" a="1"/>
  <c r="S155" s="1"/>
  <c r="T2119"/>
  <c r="S2119" s="1" a="1"/>
  <c r="S2119" s="1"/>
  <c r="T1479"/>
  <c r="S1479" s="1" a="1"/>
  <c r="S1479" s="1"/>
  <c r="T1223"/>
  <c r="S1223" s="1" a="1"/>
  <c r="S1223" s="1"/>
  <c r="T1095"/>
  <c r="S1095" s="1" a="1"/>
  <c r="S1095" s="1"/>
  <c r="T1531"/>
  <c r="S1531" s="1" a="1"/>
  <c r="S1531" s="1"/>
  <c r="T2008"/>
  <c r="S2008" s="1" a="1"/>
  <c r="S2008" s="1"/>
  <c r="T1624"/>
  <c r="S1624" s="1" a="1"/>
  <c r="S1624" s="1"/>
  <c r="T1400"/>
  <c r="S1400" s="1" a="1"/>
  <c r="S1400" s="1"/>
  <c r="T1112"/>
  <c r="S1112" s="1" a="1"/>
  <c r="S1112" s="1"/>
  <c r="T888"/>
  <c r="S888" s="1" a="1"/>
  <c r="S888" s="1"/>
  <c r="T760"/>
  <c r="S760" s="1" a="1"/>
  <c r="S760" s="1"/>
  <c r="T56"/>
  <c r="S56" s="1" a="1"/>
  <c r="S56" s="1"/>
  <c r="T2061"/>
  <c r="S2061" s="1" a="1"/>
  <c r="S2061" s="1"/>
  <c r="T1965"/>
  <c r="S1965" s="1" a="1"/>
  <c r="S1965" s="1"/>
  <c r="T1453"/>
  <c r="S1453" s="1" a="1"/>
  <c r="S1453" s="1"/>
  <c r="T1165"/>
  <c r="S1165" s="1" a="1"/>
  <c r="S1165" s="1"/>
  <c r="T1101"/>
  <c r="S1101" s="1" a="1"/>
  <c r="S1101" s="1"/>
  <c r="T845"/>
  <c r="S845" s="1" a="1"/>
  <c r="S845" s="1"/>
  <c r="T589"/>
  <c r="S589" s="1" a="1"/>
  <c r="S589" s="1"/>
  <c r="T45"/>
  <c r="S45" s="1" a="1"/>
  <c r="S45" s="1"/>
  <c r="T550"/>
  <c r="S550" s="1" a="1"/>
  <c r="S550" s="1"/>
  <c r="T358"/>
  <c r="S358" s="1" a="1"/>
  <c r="S358" s="1"/>
  <c r="T198"/>
  <c r="S198" s="1" a="1"/>
  <c r="S198" s="1"/>
  <c r="T134"/>
  <c r="S134" s="1" a="1"/>
  <c r="S134" s="1"/>
  <c r="T38"/>
  <c r="S38" s="1" a="1"/>
  <c r="S38" s="1"/>
  <c r="T831"/>
  <c r="S831" s="1" a="1"/>
  <c r="S831" s="1"/>
  <c r="T2150"/>
  <c r="S2150" s="1" a="1"/>
  <c r="S2150" s="1"/>
  <c r="T1894"/>
  <c r="S1894" s="1" a="1"/>
  <c r="S1894" s="1"/>
  <c r="T1766"/>
  <c r="S1766" s="1" a="1"/>
  <c r="S1766" s="1"/>
  <c r="T2087"/>
  <c r="S2087" s="1" a="1"/>
  <c r="S2087" s="1"/>
  <c r="T2023"/>
  <c r="S2023" s="1" a="1"/>
  <c r="S2023" s="1"/>
  <c r="T1959"/>
  <c r="S1959" s="1" a="1"/>
  <c r="S1959" s="1"/>
  <c r="T1767"/>
  <c r="S1767" s="1" a="1"/>
  <c r="S1767" s="1"/>
  <c r="T1511"/>
  <c r="S1511" s="1" a="1"/>
  <c r="S1511" s="1"/>
  <c r="T1255"/>
  <c r="S1255" s="1" a="1"/>
  <c r="S1255" s="1"/>
  <c r="T2146"/>
  <c r="S2146" s="1" a="1"/>
  <c r="S2146" s="1"/>
  <c r="T2018"/>
  <c r="S2018" s="1" a="1"/>
  <c r="S2018" s="1"/>
  <c r="T1954"/>
  <c r="S1954" s="1" a="1"/>
  <c r="S1954" s="1"/>
  <c r="T1890"/>
  <c r="S1890" s="1" a="1"/>
  <c r="S1890" s="1"/>
  <c r="T1826"/>
  <c r="S1826" s="1" a="1"/>
  <c r="S1826" s="1"/>
  <c r="T1570"/>
  <c r="S1570" s="1" a="1"/>
  <c r="S1570" s="1"/>
  <c r="T1250"/>
  <c r="S1250" s="1" a="1"/>
  <c r="S1250" s="1"/>
  <c r="T1122"/>
  <c r="S1122" s="1" a="1"/>
  <c r="S1122" s="1"/>
  <c r="T1819"/>
  <c r="S1819" s="1" a="1"/>
  <c r="S1819" s="1"/>
  <c r="T1563"/>
  <c r="S1563" s="1" a="1"/>
  <c r="S1563" s="1"/>
  <c r="T1499"/>
  <c r="S1499" s="1" a="1"/>
  <c r="S1499" s="1"/>
  <c r="T1115"/>
  <c r="S1115" s="1" a="1"/>
  <c r="S1115" s="1"/>
  <c r="T2024"/>
  <c r="S2024" s="1" a="1"/>
  <c r="S2024" s="1"/>
  <c r="T1928"/>
  <c r="S1928" s="1" a="1"/>
  <c r="S1928" s="1"/>
  <c r="T1864"/>
  <c r="S1864" s="1" a="1"/>
  <c r="S1864" s="1"/>
  <c r="T1832"/>
  <c r="S1832" s="1" a="1"/>
  <c r="S1832" s="1"/>
  <c r="T1800"/>
  <c r="S1800" s="1" a="1"/>
  <c r="S1800" s="1"/>
  <c r="T1736"/>
  <c r="S1736" s="1" a="1"/>
  <c r="S1736" s="1"/>
  <c r="T1672"/>
  <c r="S1672" s="1" a="1"/>
  <c r="S1672" s="1"/>
  <c r="T1608"/>
  <c r="S1608" s="1" a="1"/>
  <c r="S1608" s="1"/>
  <c r="T1576"/>
  <c r="S1576" s="1" a="1"/>
  <c r="S1576" s="1"/>
  <c r="T1544"/>
  <c r="S1544" s="1" a="1"/>
  <c r="S1544" s="1"/>
  <c r="T1192"/>
  <c r="S1192" s="1" a="1"/>
  <c r="S1192" s="1"/>
  <c r="T1160"/>
  <c r="S1160" s="1" a="1"/>
  <c r="S1160" s="1"/>
  <c r="T1064"/>
  <c r="S1064" s="1" a="1"/>
  <c r="S1064" s="1"/>
  <c r="T1000"/>
  <c r="S1000" s="1" a="1"/>
  <c r="S1000" s="1"/>
  <c r="T968"/>
  <c r="S968" s="1" a="1"/>
  <c r="S968" s="1"/>
  <c r="T936"/>
  <c r="S936" s="1" a="1"/>
  <c r="S936" s="1"/>
  <c r="T904"/>
  <c r="S904" s="1" a="1"/>
  <c r="S904" s="1"/>
  <c r="T744"/>
  <c r="S744" s="1" a="1"/>
  <c r="S744" s="1"/>
  <c r="T712"/>
  <c r="S712" s="1" a="1"/>
  <c r="S712" s="1"/>
  <c r="T680"/>
  <c r="S680" s="1" a="1"/>
  <c r="S680" s="1"/>
  <c r="T648"/>
  <c r="S648" s="1" a="1"/>
  <c r="S648" s="1"/>
  <c r="T616"/>
  <c r="S616" s="1" a="1"/>
  <c r="S616" s="1"/>
  <c r="T488"/>
  <c r="S488" s="1" a="1"/>
  <c r="S488" s="1"/>
  <c r="T456"/>
  <c r="S456" s="1" a="1"/>
  <c r="S456" s="1"/>
  <c r="T328"/>
  <c r="S328" s="1" a="1"/>
  <c r="S328" s="1"/>
  <c r="T296"/>
  <c r="S296" s="1" a="1"/>
  <c r="S296" s="1"/>
  <c r="T232"/>
  <c r="S232" s="1" a="1"/>
  <c r="S232" s="1"/>
  <c r="T200"/>
  <c r="S200" s="1" a="1"/>
  <c r="S200" s="1"/>
  <c r="T168"/>
  <c r="S168" s="1" a="1"/>
  <c r="S168" s="1"/>
  <c r="T2013"/>
  <c r="S2013" s="1" a="1"/>
  <c r="S2013" s="1"/>
  <c r="T1885"/>
  <c r="S1885" s="1" a="1"/>
  <c r="S1885" s="1"/>
  <c r="T1853"/>
  <c r="S1853" s="1" a="1"/>
  <c r="S1853" s="1"/>
  <c r="T1821"/>
  <c r="S1821" s="1" a="1"/>
  <c r="S1821" s="1"/>
  <c r="T1789"/>
  <c r="S1789" s="1" a="1"/>
  <c r="S1789" s="1"/>
  <c r="T1757"/>
  <c r="S1757" s="1" a="1"/>
  <c r="S1757" s="1"/>
  <c r="T1629"/>
  <c r="S1629" s="1" a="1"/>
  <c r="S1629" s="1"/>
  <c r="T1597"/>
  <c r="S1597" s="1" a="1"/>
  <c r="S1597" s="1"/>
  <c r="T1565"/>
  <c r="S1565" s="1" a="1"/>
  <c r="S1565" s="1"/>
  <c r="T1501"/>
  <c r="S1501" s="1" a="1"/>
  <c r="S1501" s="1"/>
  <c r="T1405"/>
  <c r="S1405" s="1" a="1"/>
  <c r="S1405" s="1"/>
  <c r="T1373"/>
  <c r="S1373" s="1" a="1"/>
  <c r="S1373" s="1"/>
  <c r="T1309"/>
  <c r="S1309" s="1" a="1"/>
  <c r="S1309" s="1"/>
  <c r="T1117"/>
  <c r="S1117" s="1" a="1"/>
  <c r="S1117" s="1"/>
  <c r="T1085"/>
  <c r="S1085" s="1" a="1"/>
  <c r="S1085" s="1"/>
  <c r="T1053"/>
  <c r="S1053" s="1" a="1"/>
  <c r="S1053" s="1"/>
  <c r="T1021"/>
  <c r="S1021" s="1" a="1"/>
  <c r="S1021" s="1"/>
  <c r="T989"/>
  <c r="S989" s="1" a="1"/>
  <c r="S989" s="1"/>
  <c r="T957"/>
  <c r="S957" s="1" a="1"/>
  <c r="S957" s="1"/>
  <c r="T925"/>
  <c r="S925" s="1" a="1"/>
  <c r="S925" s="1"/>
  <c r="T861"/>
  <c r="S861" s="1" a="1"/>
  <c r="S861" s="1"/>
  <c r="T797"/>
  <c r="S797" s="1" a="1"/>
  <c r="S797" s="1"/>
  <c r="T765"/>
  <c r="S765" s="1" a="1"/>
  <c r="S765" s="1"/>
  <c r="T733"/>
  <c r="S733" s="1" a="1"/>
  <c r="S733" s="1"/>
  <c r="T701"/>
  <c r="S701" s="1" a="1"/>
  <c r="S701" s="1"/>
  <c r="T669"/>
  <c r="S669" s="1" a="1"/>
  <c r="S669" s="1"/>
  <c r="T541"/>
  <c r="S541" s="1" a="1"/>
  <c r="S541" s="1"/>
  <c r="T253"/>
  <c r="S253" s="1" a="1"/>
  <c r="S253" s="1"/>
  <c r="T221"/>
  <c r="S221" s="1" a="1"/>
  <c r="S221" s="1"/>
  <c r="T189"/>
  <c r="S189" s="1" a="1"/>
  <c r="S189" s="1"/>
  <c r="T157"/>
  <c r="S157" s="1" a="1"/>
  <c r="S157" s="1"/>
  <c r="T125"/>
  <c r="S125" s="1" a="1"/>
  <c r="S125" s="1"/>
  <c r="T61"/>
  <c r="S61" s="1" a="1"/>
  <c r="S61" s="1"/>
  <c r="T1078"/>
  <c r="S1078" s="1" a="1"/>
  <c r="S1078" s="1"/>
  <c r="T1046"/>
  <c r="S1046" s="1" a="1"/>
  <c r="S1046" s="1"/>
  <c r="T982"/>
  <c r="S982" s="1" a="1"/>
  <c r="S982" s="1"/>
  <c r="T950"/>
  <c r="S950" s="1" a="1"/>
  <c r="S950" s="1"/>
  <c r="T918"/>
  <c r="S918" s="1" a="1"/>
  <c r="S918" s="1"/>
  <c r="T886"/>
  <c r="S886" s="1" a="1"/>
  <c r="S886" s="1"/>
  <c r="T854"/>
  <c r="S854" s="1" a="1"/>
  <c r="S854" s="1"/>
  <c r="T822"/>
  <c r="S822" s="1" a="1"/>
  <c r="S822" s="1"/>
  <c r="T790"/>
  <c r="S790" s="1" a="1"/>
  <c r="S790" s="1"/>
  <c r="T758"/>
  <c r="S758" s="1" a="1"/>
  <c r="S758" s="1"/>
  <c r="T630"/>
  <c r="S630" s="1" a="1"/>
  <c r="S630" s="1"/>
  <c r="T534"/>
  <c r="S534" s="1" a="1"/>
  <c r="S534" s="1"/>
  <c r="T470"/>
  <c r="S470" s="1" a="1"/>
  <c r="S470" s="1"/>
  <c r="T278"/>
  <c r="S278" s="1" a="1"/>
  <c r="S278" s="1"/>
  <c r="T214"/>
  <c r="S214" s="1" a="1"/>
  <c r="S214" s="1"/>
  <c r="T182"/>
  <c r="S182" s="1" a="1"/>
  <c r="S182" s="1"/>
  <c r="T150"/>
  <c r="S150" s="1" a="1"/>
  <c r="S150" s="1"/>
  <c r="T118"/>
  <c r="S118" s="1" a="1"/>
  <c r="S118" s="1"/>
  <c r="T1039"/>
  <c r="S1039" s="1" a="1"/>
  <c r="S1039" s="1"/>
  <c r="T975"/>
  <c r="S975" s="1" a="1"/>
  <c r="S975" s="1"/>
  <c r="T943"/>
  <c r="S943" s="1" a="1"/>
  <c r="S943" s="1"/>
  <c r="T911"/>
  <c r="S911" s="1" a="1"/>
  <c r="S911" s="1"/>
  <c r="T879"/>
  <c r="S879" s="1" a="1"/>
  <c r="S879" s="1"/>
  <c r="T815"/>
  <c r="S815" s="1" a="1"/>
  <c r="S815" s="1"/>
  <c r="T783"/>
  <c r="S783" s="1" a="1"/>
  <c r="S783" s="1"/>
  <c r="T751"/>
  <c r="S751" s="1" a="1"/>
  <c r="S751" s="1"/>
  <c r="T719"/>
  <c r="S719" s="1" a="1"/>
  <c r="S719" s="1"/>
  <c r="T687"/>
  <c r="S687" s="1" a="1"/>
  <c r="S687" s="1"/>
  <c r="T655"/>
  <c r="S655" s="1" a="1"/>
  <c r="S655" s="1"/>
  <c r="T527"/>
  <c r="S527" s="1" a="1"/>
  <c r="S527" s="1"/>
  <c r="T463"/>
  <c r="S463" s="1" a="1"/>
  <c r="S463" s="1"/>
  <c r="T431"/>
  <c r="S431" s="1" a="1"/>
  <c r="S431" s="1"/>
  <c r="T367"/>
  <c r="S367" s="1" a="1"/>
  <c r="S367" s="1"/>
  <c r="T303"/>
  <c r="S303" s="1" a="1"/>
  <c r="S303" s="1"/>
  <c r="T271"/>
  <c r="S271" s="1" a="1"/>
  <c r="S271" s="1"/>
  <c r="T207"/>
  <c r="S207" s="1" a="1"/>
  <c r="S207" s="1"/>
  <c r="T175"/>
  <c r="S175" s="1" a="1"/>
  <c r="S175" s="1"/>
  <c r="T143"/>
  <c r="S143" s="1" a="1"/>
  <c r="S143" s="1"/>
  <c r="T111"/>
  <c r="S111" s="1" a="1"/>
  <c r="S111" s="1"/>
  <c r="T47"/>
  <c r="S47" s="1" a="1"/>
  <c r="S47" s="1"/>
  <c r="T560"/>
  <c r="S560" s="1" a="1"/>
  <c r="S560" s="1"/>
  <c r="T1509"/>
  <c r="S1509" s="1" a="1"/>
  <c r="S1509" s="1"/>
  <c r="T965"/>
  <c r="S965" s="1" a="1"/>
  <c r="S965" s="1"/>
  <c r="T165"/>
  <c r="S165" s="1" a="1"/>
  <c r="S165" s="1"/>
  <c r="T478"/>
  <c r="S478" s="1" a="1"/>
  <c r="S478" s="1"/>
  <c r="T1658"/>
  <c r="S1658" s="1" a="1"/>
  <c r="S1658" s="1"/>
  <c r="T1395"/>
  <c r="S1395" s="1" a="1"/>
  <c r="S1395" s="1"/>
  <c r="T1609"/>
  <c r="S1609" s="1" a="1"/>
  <c r="S1609" s="1"/>
  <c r="T1225"/>
  <c r="S1225" s="1" a="1"/>
  <c r="S1225" s="1"/>
  <c r="T1097"/>
  <c r="S1097" s="1" a="1"/>
  <c r="S1097" s="1"/>
  <c r="T841"/>
  <c r="S841" s="1" a="1"/>
  <c r="S841" s="1"/>
  <c r="T201"/>
  <c r="S201" s="1" a="1"/>
  <c r="S201" s="1"/>
  <c r="T1058"/>
  <c r="S1058" s="1" a="1"/>
  <c r="S1058" s="1"/>
  <c r="T642"/>
  <c r="S642" s="1" a="1"/>
  <c r="S642" s="1"/>
  <c r="T290"/>
  <c r="S290" s="1" a="1"/>
  <c r="S290" s="1"/>
  <c r="T891"/>
  <c r="S891" s="1" a="1"/>
  <c r="S891" s="1"/>
  <c r="T1094"/>
  <c r="S1094" s="1" a="1"/>
  <c r="S1094" s="1"/>
  <c r="T1735"/>
  <c r="S1735" s="1" a="1"/>
  <c r="S1735" s="1"/>
  <c r="T1784"/>
  <c r="S1784" s="1" a="1"/>
  <c r="S1784" s="1"/>
  <c r="T952"/>
  <c r="S952" s="1" a="1"/>
  <c r="S952" s="1"/>
  <c r="T728"/>
  <c r="S728" s="1" a="1"/>
  <c r="S728" s="1"/>
  <c r="T376"/>
  <c r="S376" s="1" a="1"/>
  <c r="S376" s="1"/>
  <c r="T2093"/>
  <c r="S2093" s="1" a="1"/>
  <c r="S2093" s="1"/>
  <c r="T1709"/>
  <c r="S1709" s="1" a="1"/>
  <c r="S1709" s="1"/>
  <c r="T1357"/>
  <c r="S1357" s="1" a="1"/>
  <c r="S1357" s="1"/>
  <c r="T1197"/>
  <c r="S1197" s="1" a="1"/>
  <c r="S1197" s="1"/>
  <c r="T813"/>
  <c r="S813" s="1" a="1"/>
  <c r="S813" s="1"/>
  <c r="T749"/>
  <c r="S749" s="1" a="1"/>
  <c r="S749" s="1"/>
  <c r="T621"/>
  <c r="S621" s="1" a="1"/>
  <c r="S621" s="1"/>
  <c r="T333"/>
  <c r="S333" s="1" a="1"/>
  <c r="S333" s="1"/>
  <c r="T269"/>
  <c r="S269" s="1" a="1"/>
  <c r="S269" s="1"/>
  <c r="T902"/>
  <c r="S902" s="1" a="1"/>
  <c r="S902" s="1"/>
  <c r="T1023"/>
  <c r="S1023" s="1" a="1"/>
  <c r="S1023" s="1"/>
  <c r="T895"/>
  <c r="S895" s="1" a="1"/>
  <c r="S895" s="1"/>
  <c r="T767"/>
  <c r="S767" s="1" a="1"/>
  <c r="S767" s="1"/>
  <c r="T543"/>
  <c r="S543" s="1" a="1"/>
  <c r="S543" s="1"/>
  <c r="T1742"/>
  <c r="S1742" s="1" a="1"/>
  <c r="S1742" s="1"/>
  <c r="T1678"/>
  <c r="S1678" s="1" a="1"/>
  <c r="S1678" s="1"/>
  <c r="T1294"/>
  <c r="S1294" s="1" a="1"/>
  <c r="S1294" s="1"/>
  <c r="T1166"/>
  <c r="S1166" s="1" a="1"/>
  <c r="S1166" s="1"/>
  <c r="T1102"/>
  <c r="S1102" s="1" a="1"/>
  <c r="S1102" s="1"/>
  <c r="T2127"/>
  <c r="S2127" s="1" a="1"/>
  <c r="S2127" s="1"/>
  <c r="T1487"/>
  <c r="S1487" s="1" a="1"/>
  <c r="S1487" s="1"/>
  <c r="T2122"/>
  <c r="S2122" s="1" a="1"/>
  <c r="S2122" s="1"/>
  <c r="T1994"/>
  <c r="S1994" s="1" a="1"/>
  <c r="S1994" s="1"/>
  <c r="T1930"/>
  <c r="S1930" s="1" a="1"/>
  <c r="S1930" s="1"/>
  <c r="T1738"/>
  <c r="S1738" s="1" a="1"/>
  <c r="S1738" s="1"/>
  <c r="T1482"/>
  <c r="S1482" s="1" a="1"/>
  <c r="S1482" s="1"/>
  <c r="T1354"/>
  <c r="S1354" s="1" a="1"/>
  <c r="S1354" s="1"/>
  <c r="T1226"/>
  <c r="S1226" s="1" a="1"/>
  <c r="S1226" s="1"/>
  <c r="T1098"/>
  <c r="S1098" s="1" a="1"/>
  <c r="S1098" s="1"/>
  <c r="T1859"/>
  <c r="S1859" s="1" a="1"/>
  <c r="S1859" s="1"/>
  <c r="T1795"/>
  <c r="S1795" s="1" a="1"/>
  <c r="S1795" s="1"/>
  <c r="T1603"/>
  <c r="S1603" s="1" a="1"/>
  <c r="S1603" s="1"/>
  <c r="T1539"/>
  <c r="S1539" s="1" a="1"/>
  <c r="S1539" s="1"/>
  <c r="T1475"/>
  <c r="S1475" s="1" a="1"/>
  <c r="S1475" s="1"/>
  <c r="T1347"/>
  <c r="S1347" s="1" a="1"/>
  <c r="S1347" s="1"/>
  <c r="T1155"/>
  <c r="S1155" s="1" a="1"/>
  <c r="S1155" s="1"/>
  <c r="T2140"/>
  <c r="S2140" s="1" a="1"/>
  <c r="S2140" s="1"/>
  <c r="T1916"/>
  <c r="S1916" s="1" a="1"/>
  <c r="S1916" s="1"/>
  <c r="T1884"/>
  <c r="S1884" s="1" a="1"/>
  <c r="S1884" s="1"/>
  <c r="T1852"/>
  <c r="S1852" s="1" a="1"/>
  <c r="S1852" s="1"/>
  <c r="T1724"/>
  <c r="S1724" s="1" a="1"/>
  <c r="S1724" s="1"/>
  <c r="T1628"/>
  <c r="S1628" s="1" a="1"/>
  <c r="S1628" s="1"/>
  <c r="T1596"/>
  <c r="S1596" s="1" a="1"/>
  <c r="S1596" s="1"/>
  <c r="T1500"/>
  <c r="S1500" s="1" a="1"/>
  <c r="S1500" s="1"/>
  <c r="T1436"/>
  <c r="S1436" s="1" a="1"/>
  <c r="S1436" s="1"/>
  <c r="T1372"/>
  <c r="S1372" s="1" a="1"/>
  <c r="S1372" s="1"/>
  <c r="T1308"/>
  <c r="S1308" s="1" a="1"/>
  <c r="S1308" s="1"/>
  <c r="T1244"/>
  <c r="S1244" s="1" a="1"/>
  <c r="S1244" s="1"/>
  <c r="T1212"/>
  <c r="S1212" s="1" a="1"/>
  <c r="S1212" s="1"/>
  <c r="T1180"/>
  <c r="S1180" s="1" a="1"/>
  <c r="S1180" s="1"/>
  <c r="T1116"/>
  <c r="S1116" s="1" a="1"/>
  <c r="S1116" s="1"/>
  <c r="T1084"/>
  <c r="S1084" s="1" a="1"/>
  <c r="S1084" s="1"/>
  <c r="T1020"/>
  <c r="S1020" s="1" a="1"/>
  <c r="S1020" s="1"/>
  <c r="T988"/>
  <c r="S988" s="1" a="1"/>
  <c r="S988" s="1"/>
  <c r="T796"/>
  <c r="S796" s="1" a="1"/>
  <c r="S796" s="1"/>
  <c r="T668"/>
  <c r="S668" s="1" a="1"/>
  <c r="S668" s="1"/>
  <c r="T572"/>
  <c r="S572" s="1" a="1"/>
  <c r="S572" s="1"/>
  <c r="T348"/>
  <c r="S348" s="1" a="1"/>
  <c r="S348" s="1"/>
  <c r="T220"/>
  <c r="S220" s="1" a="1"/>
  <c r="S220" s="1"/>
  <c r="T188"/>
  <c r="S188" s="1" a="1"/>
  <c r="S188" s="1"/>
  <c r="T156"/>
  <c r="S156" s="1" a="1"/>
  <c r="S156" s="1"/>
  <c r="T60"/>
  <c r="S60" s="1" a="1"/>
  <c r="S60" s="1"/>
  <c r="T2129"/>
  <c r="S2129" s="1" a="1"/>
  <c r="S2129" s="1"/>
  <c r="T2065"/>
  <c r="S2065" s="1" a="1"/>
  <c r="S2065" s="1"/>
  <c r="T2001"/>
  <c r="S2001" s="1" a="1"/>
  <c r="S2001" s="1"/>
  <c r="T1873"/>
  <c r="S1873" s="1" a="1"/>
  <c r="S1873" s="1"/>
  <c r="T1841"/>
  <c r="S1841" s="1" a="1"/>
  <c r="S1841" s="1"/>
  <c r="T1809"/>
  <c r="S1809" s="1" a="1"/>
  <c r="S1809" s="1"/>
  <c r="T1777"/>
  <c r="S1777" s="1" a="1"/>
  <c r="S1777" s="1"/>
  <c r="T1713"/>
  <c r="S1713" s="1" a="1"/>
  <c r="S1713" s="1"/>
  <c r="T1617"/>
  <c r="S1617" s="1" a="1"/>
  <c r="S1617" s="1"/>
  <c r="T1553"/>
  <c r="S1553" s="1" a="1"/>
  <c r="S1553" s="1"/>
  <c r="T1393"/>
  <c r="S1393" s="1" a="1"/>
  <c r="S1393" s="1"/>
  <c r="T1361"/>
  <c r="S1361" s="1" a="1"/>
  <c r="S1361" s="1"/>
  <c r="T1297"/>
  <c r="S1297" s="1" a="1"/>
  <c r="S1297" s="1"/>
  <c r="T1265"/>
  <c r="S1265" s="1" a="1"/>
  <c r="S1265" s="1"/>
  <c r="T1233"/>
  <c r="S1233" s="1" a="1"/>
  <c r="S1233" s="1"/>
  <c r="T1201"/>
  <c r="S1201" s="1" a="1"/>
  <c r="S1201" s="1"/>
  <c r="T1169"/>
  <c r="S1169" s="1" a="1"/>
  <c r="S1169" s="1"/>
  <c r="T1137"/>
  <c r="S1137" s="1" a="1"/>
  <c r="S1137" s="1"/>
  <c r="T1105"/>
  <c r="S1105" s="1" a="1"/>
  <c r="S1105" s="1"/>
  <c r="T1041"/>
  <c r="S1041" s="1" a="1"/>
  <c r="S1041" s="1"/>
  <c r="T1009"/>
  <c r="S1009" s="1" a="1"/>
  <c r="S1009" s="1"/>
  <c r="T977"/>
  <c r="S977" s="1" a="1"/>
  <c r="S977" s="1"/>
  <c r="T945"/>
  <c r="S945" s="1" a="1"/>
  <c r="S945" s="1"/>
  <c r="T913"/>
  <c r="S913" s="1" a="1"/>
  <c r="S913" s="1"/>
  <c r="T881"/>
  <c r="S881" s="1" a="1"/>
  <c r="S881" s="1"/>
  <c r="T849"/>
  <c r="S849" s="1" a="1"/>
  <c r="S849" s="1"/>
  <c r="T817"/>
  <c r="S817" s="1" a="1"/>
  <c r="S817" s="1"/>
  <c r="T785"/>
  <c r="S785" s="1" a="1"/>
  <c r="S785" s="1"/>
  <c r="T753"/>
  <c r="S753" s="1" a="1"/>
  <c r="S753" s="1"/>
  <c r="T625"/>
  <c r="S625" s="1" a="1"/>
  <c r="S625" s="1"/>
  <c r="T593"/>
  <c r="S593" s="1" a="1"/>
  <c r="S593" s="1"/>
  <c r="T561"/>
  <c r="S561" s="1" a="1"/>
  <c r="S561" s="1"/>
  <c r="T497"/>
  <c r="S497" s="1" a="1"/>
  <c r="S497" s="1"/>
  <c r="T369"/>
  <c r="S369" s="1" a="1"/>
  <c r="S369" s="1"/>
  <c r="T337"/>
  <c r="S337" s="1" a="1"/>
  <c r="S337" s="1"/>
  <c r="T305"/>
  <c r="S305" s="1" a="1"/>
  <c r="S305" s="1"/>
  <c r="T209"/>
  <c r="S209" s="1" a="1"/>
  <c r="S209" s="1"/>
  <c r="T177"/>
  <c r="S177" s="1" a="1"/>
  <c r="S177" s="1"/>
  <c r="T145"/>
  <c r="S145" s="1" a="1"/>
  <c r="S145" s="1"/>
  <c r="T81"/>
  <c r="S81" s="1" a="1"/>
  <c r="S81" s="1"/>
  <c r="T49"/>
  <c r="S49" s="1" a="1"/>
  <c r="S49" s="1"/>
  <c r="T1066"/>
  <c r="S1066" s="1" a="1"/>
  <c r="S1066" s="1"/>
  <c r="T1034"/>
  <c r="S1034" s="1" a="1"/>
  <c r="S1034" s="1"/>
  <c r="T1002"/>
  <c r="S1002" s="1" a="1"/>
  <c r="S1002" s="1"/>
  <c r="T970"/>
  <c r="S970" s="1" a="1"/>
  <c r="S970" s="1"/>
  <c r="T842"/>
  <c r="S842" s="1" a="1"/>
  <c r="S842" s="1"/>
  <c r="T778"/>
  <c r="S778" s="1" a="1"/>
  <c r="S778" s="1"/>
  <c r="T682"/>
  <c r="S682" s="1" a="1"/>
  <c r="S682" s="1"/>
  <c r="T650"/>
  <c r="S650" s="1" a="1"/>
  <c r="S650" s="1"/>
  <c r="T490"/>
  <c r="S490" s="1" a="1"/>
  <c r="S490" s="1"/>
  <c r="T394"/>
  <c r="S394" s="1" a="1"/>
  <c r="S394" s="1"/>
  <c r="T362"/>
  <c r="S362" s="1" a="1"/>
  <c r="S362" s="1"/>
  <c r="T330"/>
  <c r="S330" s="1" a="1"/>
  <c r="S330" s="1"/>
  <c r="T266"/>
  <c r="S266" s="1" a="1"/>
  <c r="S266" s="1"/>
  <c r="T234"/>
  <c r="S234" s="1" a="1"/>
  <c r="S234" s="1"/>
  <c r="T202"/>
  <c r="S202" s="1" a="1"/>
  <c r="S202" s="1"/>
  <c r="T170"/>
  <c r="S170" s="1" a="1"/>
  <c r="S170" s="1"/>
  <c r="T106"/>
  <c r="S106" s="1" a="1"/>
  <c r="S106" s="1"/>
  <c r="T42"/>
  <c r="S42" s="1" a="1"/>
  <c r="S42" s="1"/>
  <c r="T1059"/>
  <c r="S1059" s="1" a="1"/>
  <c r="S1059" s="1"/>
  <c r="T1027"/>
  <c r="S1027" s="1" a="1"/>
  <c r="S1027" s="1"/>
  <c r="T995"/>
  <c r="S995" s="1" a="1"/>
  <c r="S995" s="1"/>
  <c r="T963"/>
  <c r="S963" s="1" a="1"/>
  <c r="S963" s="1"/>
  <c r="T931"/>
  <c r="S931" s="1" a="1"/>
  <c r="S931" s="1"/>
  <c r="T899"/>
  <c r="S899" s="1" a="1"/>
  <c r="S899" s="1"/>
  <c r="T803"/>
  <c r="S803" s="1" a="1"/>
  <c r="S803" s="1"/>
  <c r="T739"/>
  <c r="S739" s="1" a="1"/>
  <c r="S739" s="1"/>
  <c r="T707"/>
  <c r="S707" s="1" a="1"/>
  <c r="S707" s="1"/>
  <c r="T675"/>
  <c r="S675" s="1" a="1"/>
  <c r="S675" s="1"/>
  <c r="T643"/>
  <c r="S643" s="1" a="1"/>
  <c r="S643" s="1"/>
  <c r="T611"/>
  <c r="S611" s="1" a="1"/>
  <c r="S611" s="1"/>
  <c r="T515"/>
  <c r="S515" s="1" a="1"/>
  <c r="S515" s="1"/>
  <c r="T419"/>
  <c r="S419" s="1" a="1"/>
  <c r="S419" s="1"/>
  <c r="T323"/>
  <c r="S323" s="1" a="1"/>
  <c r="S323" s="1"/>
  <c r="T291"/>
  <c r="S291" s="1" a="1"/>
  <c r="S291" s="1"/>
  <c r="T227"/>
  <c r="S227" s="1" a="1"/>
  <c r="S227" s="1"/>
  <c r="T163"/>
  <c r="S163" s="1" a="1"/>
  <c r="S163" s="1"/>
  <c r="T99"/>
  <c r="S99" s="1" a="1"/>
  <c r="S99" s="1"/>
  <c r="T35"/>
  <c r="S35" s="1" a="1"/>
  <c r="S35" s="1"/>
  <c r="T2160"/>
  <c r="S2160" s="1" a="1"/>
  <c r="S2160" s="1"/>
  <c r="T816"/>
  <c r="S816" s="1" a="1"/>
  <c r="S816" s="1"/>
  <c r="T2053"/>
  <c r="S2053" s="1" a="1"/>
  <c r="S2053" s="1"/>
  <c r="T1989"/>
  <c r="S1989" s="1" a="1"/>
  <c r="S1989" s="1"/>
  <c r="T1605"/>
  <c r="S1605" s="1" a="1"/>
  <c r="S1605" s="1"/>
  <c r="T1349"/>
  <c r="S1349" s="1" a="1"/>
  <c r="S1349" s="1"/>
  <c r="T1125"/>
  <c r="S1125" s="1" a="1"/>
  <c r="S1125" s="1"/>
  <c r="T997"/>
  <c r="S997" s="1" a="1"/>
  <c r="S997" s="1"/>
  <c r="T357"/>
  <c r="S357" s="1" a="1"/>
  <c r="S357" s="1"/>
  <c r="T350"/>
  <c r="S350" s="1" a="1"/>
  <c r="S350" s="1"/>
  <c r="T94"/>
  <c r="S94" s="1" a="1"/>
  <c r="S94" s="1"/>
  <c r="T2110"/>
  <c r="S2110" s="1" a="1"/>
  <c r="S2110" s="1"/>
  <c r="T1918"/>
  <c r="S1918" s="1" a="1"/>
  <c r="S1918" s="1"/>
  <c r="T1599"/>
  <c r="S1599" s="1" a="1"/>
  <c r="S1599" s="1"/>
  <c r="T1151"/>
  <c r="S1151" s="1" a="1"/>
  <c r="S1151" s="1"/>
  <c r="T1722"/>
  <c r="S1722" s="1" a="1"/>
  <c r="S1722" s="1"/>
  <c r="T1146"/>
  <c r="S1146" s="1" a="1"/>
  <c r="S1146" s="1"/>
  <c r="T1715"/>
  <c r="S1715" s="1" a="1"/>
  <c r="S1715" s="1"/>
  <c r="T1203"/>
  <c r="S1203" s="1" a="1"/>
  <c r="S1203" s="1"/>
  <c r="T116"/>
  <c r="S116" s="1" a="1"/>
  <c r="S116" s="1"/>
  <c r="T1961"/>
  <c r="S1961" s="1" a="1"/>
  <c r="S1961" s="1"/>
  <c r="T1769"/>
  <c r="S1769" s="1" a="1"/>
  <c r="S1769" s="1"/>
  <c r="T1641"/>
  <c r="S1641" s="1" a="1"/>
  <c r="S1641" s="1"/>
  <c r="T1513"/>
  <c r="S1513" s="1" a="1"/>
  <c r="S1513" s="1"/>
  <c r="T1257"/>
  <c r="S1257" s="1" a="1"/>
  <c r="S1257" s="1"/>
  <c r="T1193"/>
  <c r="S1193" s="1" a="1"/>
  <c r="S1193" s="1"/>
  <c r="T905"/>
  <c r="S905" s="1" a="1"/>
  <c r="S905" s="1"/>
  <c r="T489"/>
  <c r="S489" s="1" a="1"/>
  <c r="S489" s="1"/>
  <c r="T450"/>
  <c r="S450" s="1" a="1"/>
  <c r="S450" s="1"/>
  <c r="T418"/>
  <c r="S418" s="1" a="1"/>
  <c r="S418" s="1"/>
  <c r="T1051"/>
  <c r="S1051" s="1" a="1"/>
  <c r="S1051" s="1"/>
  <c r="T795"/>
  <c r="S795" s="1" a="1"/>
  <c r="S795" s="1"/>
  <c r="T1666"/>
  <c r="S1666" s="1" a="1"/>
  <c r="S1666" s="1"/>
  <c r="T1944"/>
  <c r="S1944" s="1" a="1"/>
  <c r="S1944" s="1"/>
  <c r="T1432"/>
  <c r="S1432" s="1" a="1"/>
  <c r="S1432" s="1"/>
  <c r="T1336"/>
  <c r="S1336" s="1" a="1"/>
  <c r="S1336" s="1"/>
  <c r="T216"/>
  <c r="S216" s="1" a="1"/>
  <c r="S216" s="1"/>
  <c r="T2029"/>
  <c r="S2029" s="1" a="1"/>
  <c r="S2029" s="1"/>
  <c r="T1773"/>
  <c r="S1773" s="1" a="1"/>
  <c r="S1773" s="1"/>
  <c r="T1389"/>
  <c r="S1389" s="1" a="1"/>
  <c r="S1389" s="1"/>
  <c r="T1005"/>
  <c r="S1005" s="1" a="1"/>
  <c r="S1005" s="1"/>
  <c r="T877"/>
  <c r="S877" s="1" a="1"/>
  <c r="S877" s="1"/>
  <c r="T966"/>
  <c r="S966" s="1" a="1"/>
  <c r="S966" s="1"/>
  <c r="T678"/>
  <c r="S678" s="1" a="1"/>
  <c r="S678" s="1"/>
  <c r="T390"/>
  <c r="S390" s="1" a="1"/>
  <c r="S390" s="1"/>
  <c r="T799"/>
  <c r="S799" s="1" a="1"/>
  <c r="S799" s="1"/>
  <c r="T383"/>
  <c r="S383" s="1" a="1"/>
  <c r="S383" s="1"/>
  <c r="T191"/>
  <c r="S191" s="1" a="1"/>
  <c r="S191" s="1"/>
  <c r="T63"/>
  <c r="S63" s="1" a="1"/>
  <c r="S63" s="1"/>
  <c r="T1942"/>
  <c r="S1942" s="1" a="1"/>
  <c r="S1942" s="1"/>
  <c r="T1558"/>
  <c r="S1558" s="1" a="1"/>
  <c r="S1558" s="1"/>
  <c r="T1430"/>
  <c r="S1430" s="1" a="1"/>
  <c r="S1430" s="1"/>
  <c r="T1174"/>
  <c r="S1174" s="1" a="1"/>
  <c r="S1174" s="1"/>
  <c r="T1110"/>
  <c r="S1110" s="1" a="1"/>
  <c r="S1110" s="1"/>
  <c r="T2071"/>
  <c r="S2071" s="1" a="1"/>
  <c r="S2071" s="1"/>
  <c r="T1879"/>
  <c r="S1879" s="1" a="1"/>
  <c r="S1879" s="1"/>
  <c r="T1623"/>
  <c r="S1623" s="1" a="1"/>
  <c r="S1623" s="1"/>
  <c r="T1559"/>
  <c r="S1559" s="1" a="1"/>
  <c r="S1559" s="1"/>
  <c r="T1367"/>
  <c r="S1367" s="1" a="1"/>
  <c r="S1367" s="1"/>
  <c r="T1111"/>
  <c r="S1111" s="1" a="1"/>
  <c r="S1111" s="1"/>
  <c r="T2130"/>
  <c r="S2130" s="1" a="1"/>
  <c r="S2130" s="1"/>
  <c r="T1810"/>
  <c r="S1810" s="1" a="1"/>
  <c r="S1810" s="1"/>
  <c r="T1746"/>
  <c r="S1746" s="1" a="1"/>
  <c r="S1746" s="1"/>
  <c r="T1682"/>
  <c r="S1682" s="1" a="1"/>
  <c r="S1682" s="1"/>
  <c r="T1426"/>
  <c r="S1426" s="1" a="1"/>
  <c r="S1426" s="1"/>
  <c r="T1298"/>
  <c r="S1298" s="1" a="1"/>
  <c r="S1298" s="1"/>
  <c r="T1170"/>
  <c r="S1170" s="1" a="1"/>
  <c r="S1170" s="1"/>
  <c r="T1106"/>
  <c r="S1106" s="1" a="1"/>
  <c r="S1106" s="1"/>
  <c r="T1931"/>
  <c r="S1931" s="1" a="1"/>
  <c r="S1931" s="1"/>
  <c r="T1419"/>
  <c r="S1419" s="1" a="1"/>
  <c r="S1419" s="1"/>
  <c r="T1227"/>
  <c r="S1227" s="1" a="1"/>
  <c r="S1227" s="1"/>
  <c r="T1163"/>
  <c r="S1163" s="1" a="1"/>
  <c r="S1163" s="1"/>
  <c r="T1099"/>
  <c r="S1099" s="1" a="1"/>
  <c r="S1099" s="1"/>
  <c r="T2080"/>
  <c r="S2080" s="1" a="1"/>
  <c r="S2080" s="1"/>
  <c r="T2048"/>
  <c r="S2048" s="1" a="1"/>
  <c r="S2048" s="1"/>
  <c r="T2016"/>
  <c r="S2016" s="1" a="1"/>
  <c r="S2016" s="1"/>
  <c r="T1888"/>
  <c r="S1888" s="1" a="1"/>
  <c r="S1888" s="1"/>
  <c r="T1856"/>
  <c r="S1856" s="1" a="1"/>
  <c r="S1856" s="1"/>
  <c r="T1824"/>
  <c r="S1824" s="1" a="1"/>
  <c r="S1824" s="1"/>
  <c r="T1792"/>
  <c r="S1792" s="1" a="1"/>
  <c r="S1792" s="1"/>
  <c r="T1760"/>
  <c r="S1760" s="1" a="1"/>
  <c r="S1760" s="1"/>
  <c r="T1376"/>
  <c r="S1376" s="1" a="1"/>
  <c r="S1376" s="1"/>
  <c r="T1344"/>
  <c r="S1344" s="1" a="1"/>
  <c r="S1344" s="1"/>
  <c r="T1312"/>
  <c r="S1312" s="1" a="1"/>
  <c r="S1312" s="1"/>
  <c r="T1120"/>
  <c r="S1120" s="1" a="1"/>
  <c r="S1120" s="1"/>
  <c r="T992"/>
  <c r="S992" s="1" a="1"/>
  <c r="S992" s="1"/>
  <c r="T960"/>
  <c r="S960" s="1" a="1"/>
  <c r="S960" s="1"/>
  <c r="T928"/>
  <c r="S928" s="1" a="1"/>
  <c r="S928" s="1"/>
  <c r="T896"/>
  <c r="S896" s="1" a="1"/>
  <c r="S896" s="1"/>
  <c r="T864"/>
  <c r="S864" s="1" a="1"/>
  <c r="S864" s="1"/>
  <c r="T800"/>
  <c r="S800" s="1" a="1"/>
  <c r="S800" s="1"/>
  <c r="T704"/>
  <c r="S704" s="1" a="1"/>
  <c r="S704" s="1"/>
  <c r="T640"/>
  <c r="S640" s="1" a="1"/>
  <c r="S640" s="1"/>
  <c r="T544"/>
  <c r="S544" s="1" a="1"/>
  <c r="S544" s="1"/>
  <c r="T480"/>
  <c r="S480" s="1" a="1"/>
  <c r="S480" s="1"/>
  <c r="T384"/>
  <c r="S384" s="1" a="1"/>
  <c r="S384" s="1"/>
  <c r="T224"/>
  <c r="S224" s="1" a="1"/>
  <c r="S224" s="1"/>
  <c r="T96"/>
  <c r="S96" s="1" a="1"/>
  <c r="S96" s="1"/>
  <c r="T2005"/>
  <c r="S2005" s="1" a="1"/>
  <c r="S2005" s="1"/>
  <c r="T1973"/>
  <c r="S1973" s="1" a="1"/>
  <c r="S1973" s="1"/>
  <c r="T1941"/>
  <c r="S1941" s="1" a="1"/>
  <c r="S1941" s="1"/>
  <c r="T1909"/>
  <c r="S1909" s="1" a="1"/>
  <c r="S1909" s="1"/>
  <c r="T1781"/>
  <c r="S1781" s="1" a="1"/>
  <c r="S1781" s="1"/>
  <c r="T1749"/>
  <c r="S1749" s="1" a="1"/>
  <c r="S1749" s="1"/>
  <c r="T1717"/>
  <c r="S1717" s="1" a="1"/>
  <c r="S1717" s="1"/>
  <c r="T1685"/>
  <c r="S1685" s="1" a="1"/>
  <c r="S1685" s="1"/>
  <c r="T1653"/>
  <c r="S1653" s="1" a="1"/>
  <c r="S1653" s="1"/>
  <c r="T1589"/>
  <c r="S1589" s="1" a="1"/>
  <c r="S1589" s="1"/>
  <c r="T1461"/>
  <c r="S1461" s="1" a="1"/>
  <c r="S1461" s="1"/>
  <c r="T1429"/>
  <c r="S1429" s="1" a="1"/>
  <c r="S1429" s="1"/>
  <c r="T1397"/>
  <c r="S1397" s="1" a="1"/>
  <c r="S1397" s="1"/>
  <c r="T1333"/>
  <c r="S1333" s="1" a="1"/>
  <c r="S1333" s="1"/>
  <c r="T1269"/>
  <c r="S1269" s="1" a="1"/>
  <c r="S1269" s="1"/>
  <c r="T1205"/>
  <c r="S1205" s="1" a="1"/>
  <c r="S1205" s="1"/>
  <c r="T1109"/>
  <c r="S1109" s="1" a="1"/>
  <c r="S1109" s="1"/>
  <c r="T1077"/>
  <c r="S1077" s="1" a="1"/>
  <c r="S1077" s="1"/>
  <c r="T1045"/>
  <c r="S1045" s="1" a="1"/>
  <c r="S1045" s="1"/>
  <c r="T981"/>
  <c r="S981" s="1" a="1"/>
  <c r="S981" s="1"/>
  <c r="T917"/>
  <c r="S917" s="1" a="1"/>
  <c r="S917" s="1"/>
  <c r="T853"/>
  <c r="S853" s="1" a="1"/>
  <c r="S853" s="1"/>
  <c r="T821"/>
  <c r="S821" s="1" a="1"/>
  <c r="S821" s="1"/>
  <c r="T789"/>
  <c r="S789" s="1" a="1"/>
  <c r="S789" s="1"/>
  <c r="T725"/>
  <c r="S725" s="1" a="1"/>
  <c r="S725" s="1"/>
  <c r="T693"/>
  <c r="S693" s="1" a="1"/>
  <c r="S693" s="1"/>
  <c r="T661"/>
  <c r="S661" s="1" a="1"/>
  <c r="S661" s="1"/>
  <c r="T597"/>
  <c r="S597" s="1" a="1"/>
  <c r="S597" s="1"/>
  <c r="T565"/>
  <c r="S565" s="1" a="1"/>
  <c r="S565" s="1"/>
  <c r="T533"/>
  <c r="S533" s="1" a="1"/>
  <c r="S533" s="1"/>
  <c r="T501"/>
  <c r="S501" s="1" a="1"/>
  <c r="S501" s="1"/>
  <c r="T405"/>
  <c r="S405" s="1" a="1"/>
  <c r="S405" s="1"/>
  <c r="T373"/>
  <c r="S373" s="1" a="1"/>
  <c r="S373" s="1"/>
  <c r="T341"/>
  <c r="S341" s="1" a="1"/>
  <c r="S341" s="1"/>
  <c r="T309"/>
  <c r="S309" s="1" a="1"/>
  <c r="S309" s="1"/>
  <c r="T277"/>
  <c r="S277" s="1" a="1"/>
  <c r="S277" s="1"/>
  <c r="T181"/>
  <c r="S181" s="1" a="1"/>
  <c r="S181" s="1"/>
  <c r="T117"/>
  <c r="S117" s="1" a="1"/>
  <c r="S117" s="1"/>
  <c r="T1006"/>
  <c r="S1006" s="1" a="1"/>
  <c r="S1006" s="1"/>
  <c r="T974"/>
  <c r="S974" s="1" a="1"/>
  <c r="S974" s="1"/>
  <c r="T942"/>
  <c r="S942" s="1" a="1"/>
  <c r="S942" s="1"/>
  <c r="T910"/>
  <c r="S910" s="1" a="1"/>
  <c r="S910" s="1"/>
  <c r="T878"/>
  <c r="S878" s="1" a="1"/>
  <c r="S878" s="1"/>
  <c r="T814"/>
  <c r="S814" s="1" a="1"/>
  <c r="S814" s="1"/>
  <c r="T750"/>
  <c r="S750" s="1" a="1"/>
  <c r="S750" s="1"/>
  <c r="T718"/>
  <c r="S718" s="1" a="1"/>
  <c r="S718" s="1"/>
  <c r="T654"/>
  <c r="S654" s="1" a="1"/>
  <c r="S654" s="1"/>
  <c r="T590"/>
  <c r="S590" s="1" a="1"/>
  <c r="S590" s="1"/>
  <c r="T494"/>
  <c r="S494" s="1" a="1"/>
  <c r="S494" s="1"/>
  <c r="T398"/>
  <c r="S398" s="1" a="1"/>
  <c r="S398" s="1"/>
  <c r="T334"/>
  <c r="S334" s="1" a="1"/>
  <c r="S334" s="1"/>
  <c r="T302"/>
  <c r="S302" s="1" a="1"/>
  <c r="S302" s="1"/>
  <c r="T238"/>
  <c r="S238" s="1" a="1"/>
  <c r="S238" s="1"/>
  <c r="T110"/>
  <c r="S110" s="1" a="1"/>
  <c r="S110" s="1"/>
  <c r="T78"/>
  <c r="S78" s="1" a="1"/>
  <c r="S78" s="1"/>
  <c r="T46"/>
  <c r="S46" s="1" a="1"/>
  <c r="S46" s="1"/>
  <c r="T999"/>
  <c r="S999" s="1" a="1"/>
  <c r="S999" s="1"/>
  <c r="T967"/>
  <c r="S967" s="1" a="1"/>
  <c r="S967" s="1"/>
  <c r="T903"/>
  <c r="S903" s="1" a="1"/>
  <c r="S903" s="1"/>
  <c r="T871"/>
  <c r="S871" s="1" a="1"/>
  <c r="S871" s="1"/>
  <c r="T839"/>
  <c r="S839" s="1" a="1"/>
  <c r="S839" s="1"/>
  <c r="T807"/>
  <c r="S807" s="1" a="1"/>
  <c r="S807" s="1"/>
  <c r="T775"/>
  <c r="S775" s="1" a="1"/>
  <c r="S775" s="1"/>
  <c r="T711"/>
  <c r="S711" s="1" a="1"/>
  <c r="S711" s="1"/>
  <c r="T615"/>
  <c r="S615" s="1" a="1"/>
  <c r="S615" s="1"/>
  <c r="T487"/>
  <c r="S487" s="1" a="1"/>
  <c r="S487" s="1"/>
  <c r="T455"/>
  <c r="S455" s="1" a="1"/>
  <c r="S455" s="1"/>
  <c r="T359"/>
  <c r="S359" s="1" a="1"/>
  <c r="S359" s="1"/>
  <c r="T295"/>
  <c r="S295" s="1" a="1"/>
  <c r="S295" s="1"/>
  <c r="T263"/>
  <c r="S263" s="1" a="1"/>
  <c r="S263" s="1"/>
  <c r="T231"/>
  <c r="S231" s="1" a="1"/>
  <c r="S231" s="1"/>
  <c r="T199"/>
  <c r="S199" s="1" a="1"/>
  <c r="S199" s="1"/>
  <c r="T167"/>
  <c r="S167" s="1" a="1"/>
  <c r="S167" s="1"/>
  <c r="T135"/>
  <c r="S135" s="1" a="1"/>
  <c r="S135" s="1"/>
  <c r="T103"/>
  <c r="S103" s="1" a="1"/>
  <c r="S103" s="1"/>
  <c r="T1456"/>
  <c r="S1456" s="1" a="1"/>
  <c r="S1456" s="1"/>
  <c r="T1360"/>
  <c r="S1360" s="1" a="1"/>
  <c r="S1360" s="1"/>
  <c r="T1008"/>
  <c r="S1008" s="1" a="1"/>
  <c r="S1008" s="1"/>
  <c r="T336"/>
  <c r="S336" s="1" a="1"/>
  <c r="S336" s="1"/>
  <c r="T144"/>
  <c r="S144" s="1" a="1"/>
  <c r="S144" s="1"/>
  <c r="T2085"/>
  <c r="S2085" s="1" a="1"/>
  <c r="S2085" s="1"/>
  <c r="T158"/>
  <c r="S158" s="1" a="1"/>
  <c r="S158" s="1"/>
  <c r="T2068"/>
  <c r="S2068" s="1" a="1"/>
  <c r="S2068" s="1"/>
  <c r="T1076"/>
  <c r="S1076" s="1" a="1"/>
  <c r="S1076" s="1"/>
  <c r="T1449"/>
  <c r="S1449" s="1" a="1"/>
  <c r="S1449" s="1"/>
  <c r="T873"/>
  <c r="S873" s="1" a="1"/>
  <c r="S873" s="1"/>
  <c r="T521"/>
  <c r="S521" s="1" a="1"/>
  <c r="S521" s="1"/>
  <c r="T425"/>
  <c r="S425" s="1" a="1"/>
  <c r="S425" s="1"/>
  <c r="T169"/>
  <c r="S169" s="1" a="1"/>
  <c r="S169" s="1"/>
  <c r="T105"/>
  <c r="S105" s="1" a="1"/>
  <c r="S105" s="1"/>
  <c r="T962"/>
  <c r="S962" s="1" a="1"/>
  <c r="S962" s="1"/>
  <c r="T866"/>
  <c r="S866" s="1" a="1"/>
  <c r="S866" s="1"/>
  <c r="T443"/>
  <c r="S443" s="1" a="1"/>
  <c r="S443" s="1"/>
  <c r="T1158"/>
  <c r="S1158" s="1" a="1"/>
  <c r="S1158" s="1"/>
  <c r="T1799"/>
  <c r="S1799" s="1" a="1"/>
  <c r="S1799" s="1"/>
  <c r="T1543"/>
  <c r="S1543" s="1" a="1"/>
  <c r="S1543" s="1"/>
  <c r="T1287"/>
  <c r="S1287" s="1" a="1"/>
  <c r="S1287" s="1"/>
  <c r="T1538"/>
  <c r="S1538" s="1" a="1"/>
  <c r="S1538" s="1"/>
  <c r="T1976"/>
  <c r="S1976" s="1" a="1"/>
  <c r="S1976" s="1"/>
  <c r="T1464"/>
  <c r="S1464" s="1" a="1"/>
  <c r="S1464" s="1"/>
  <c r="T1272"/>
  <c r="S1272" s="1" a="1"/>
  <c r="S1272" s="1"/>
  <c r="T1144"/>
  <c r="S1144" s="1" a="1"/>
  <c r="S1144" s="1"/>
  <c r="T1016"/>
  <c r="S1016" s="1" a="1"/>
  <c r="S1016" s="1"/>
  <c r="T504"/>
  <c r="S504" s="1" a="1"/>
  <c r="S504" s="1"/>
  <c r="T1901"/>
  <c r="S1901" s="1" a="1"/>
  <c r="S1901" s="1"/>
  <c r="T1229"/>
  <c r="S1229" s="1" a="1"/>
  <c r="S1229" s="1"/>
  <c r="T1133"/>
  <c r="S1133" s="1" a="1"/>
  <c r="S1133" s="1"/>
  <c r="T685"/>
  <c r="S685" s="1" a="1"/>
  <c r="S685" s="1"/>
  <c r="T397"/>
  <c r="S397" s="1" a="1"/>
  <c r="S397" s="1"/>
  <c r="T806"/>
  <c r="S806" s="1" a="1"/>
  <c r="S806" s="1"/>
  <c r="T710"/>
  <c r="S710" s="1" a="1"/>
  <c r="S710" s="1"/>
  <c r="T70"/>
  <c r="S70" s="1" a="1"/>
  <c r="S70" s="1"/>
  <c r="T863"/>
  <c r="S863" s="1" a="1"/>
  <c r="S863" s="1"/>
  <c r="T735"/>
  <c r="S735" s="1" a="1"/>
  <c r="S735" s="1"/>
  <c r="T319"/>
  <c r="S319" s="1" a="1"/>
  <c r="S319" s="1"/>
  <c r="T2070"/>
  <c r="S2070" s="1" a="1"/>
  <c r="S2070" s="1"/>
  <c r="T2142"/>
  <c r="S2142" s="1" a="1"/>
  <c r="S2142" s="1"/>
  <c r="T2078"/>
  <c r="S2078" s="1" a="1"/>
  <c r="S2078" s="1"/>
  <c r="T2014"/>
  <c r="S2014" s="1" a="1"/>
  <c r="S2014" s="1"/>
  <c r="T1950"/>
  <c r="S1950" s="1" a="1"/>
  <c r="S1950" s="1"/>
  <c r="T1758"/>
  <c r="S1758" s="1" a="1"/>
  <c r="S1758" s="1"/>
  <c r="T1502"/>
  <c r="S1502" s="1" a="1"/>
  <c r="S1502" s="1"/>
  <c r="T1438"/>
  <c r="S1438" s="1" a="1"/>
  <c r="S1438" s="1"/>
  <c r="T1374"/>
  <c r="S1374" s="1" a="1"/>
  <c r="S1374" s="1"/>
  <c r="T1310"/>
  <c r="S1310" s="1" a="1"/>
  <c r="S1310" s="1"/>
  <c r="T1246"/>
  <c r="S1246" s="1" a="1"/>
  <c r="S1246" s="1"/>
  <c r="T1182"/>
  <c r="S1182" s="1" a="1"/>
  <c r="S1182" s="1"/>
  <c r="T1118"/>
  <c r="S1118" s="1" a="1"/>
  <c r="S1118" s="1"/>
  <c r="T2079"/>
  <c r="S2079" s="1" a="1"/>
  <c r="S2079" s="1"/>
  <c r="T2015"/>
  <c r="S2015" s="1" a="1"/>
  <c r="S2015" s="1"/>
  <c r="T1887"/>
  <c r="S1887" s="1" a="1"/>
  <c r="S1887" s="1"/>
  <c r="T1631"/>
  <c r="S1631" s="1" a="1"/>
  <c r="S1631" s="1"/>
  <c r="T1567"/>
  <c r="S1567" s="1" a="1"/>
  <c r="S1567" s="1"/>
  <c r="T1503"/>
  <c r="S1503" s="1" a="1"/>
  <c r="S1503" s="1"/>
  <c r="T1439"/>
  <c r="S1439" s="1" a="1"/>
  <c r="S1439" s="1"/>
  <c r="T1311"/>
  <c r="S1311" s="1" a="1"/>
  <c r="S1311" s="1"/>
  <c r="T1247"/>
  <c r="S1247" s="1" a="1"/>
  <c r="S1247" s="1"/>
  <c r="T1119"/>
  <c r="S1119" s="1" a="1"/>
  <c r="S1119" s="1"/>
  <c r="T2138"/>
  <c r="S2138" s="1" a="1"/>
  <c r="S2138" s="1"/>
  <c r="T2074"/>
  <c r="S2074" s="1" a="1"/>
  <c r="S2074" s="1"/>
  <c r="T2010"/>
  <c r="S2010" s="1" a="1"/>
  <c r="S2010" s="1"/>
  <c r="T1882"/>
  <c r="S1882" s="1" a="1"/>
  <c r="S1882" s="1"/>
  <c r="T1690"/>
  <c r="S1690" s="1" a="1"/>
  <c r="S1690" s="1"/>
  <c r="T1562"/>
  <c r="S1562" s="1" a="1"/>
  <c r="S1562" s="1"/>
  <c r="T1498"/>
  <c r="S1498" s="1" a="1"/>
  <c r="S1498" s="1"/>
  <c r="T1242"/>
  <c r="S1242" s="1" a="1"/>
  <c r="S1242" s="1"/>
  <c r="T1178"/>
  <c r="S1178" s="1" a="1"/>
  <c r="S1178" s="1"/>
  <c r="T2131"/>
  <c r="S2131" s="1" a="1"/>
  <c r="S2131" s="1"/>
  <c r="T2067"/>
  <c r="S2067" s="1" a="1"/>
  <c r="S2067" s="1"/>
  <c r="T1939"/>
  <c r="S1939" s="1" a="1"/>
  <c r="S1939" s="1"/>
  <c r="T1875"/>
  <c r="S1875" s="1" a="1"/>
  <c r="S1875" s="1"/>
  <c r="T1811"/>
  <c r="S1811" s="1" a="1"/>
  <c r="S1811" s="1"/>
  <c r="T1747"/>
  <c r="S1747" s="1" a="1"/>
  <c r="S1747" s="1"/>
  <c r="T1619"/>
  <c r="S1619" s="1" a="1"/>
  <c r="S1619" s="1"/>
  <c r="T1427"/>
  <c r="S1427" s="1" a="1"/>
  <c r="S1427" s="1"/>
  <c r="T1299"/>
  <c r="S1299" s="1" a="1"/>
  <c r="S1299" s="1"/>
  <c r="T1235"/>
  <c r="S1235" s="1" a="1"/>
  <c r="S1235" s="1"/>
  <c r="T1107"/>
  <c r="S1107" s="1" a="1"/>
  <c r="S1107" s="1"/>
  <c r="T2148"/>
  <c r="S2148" s="1" a="1"/>
  <c r="S2148" s="1"/>
  <c r="T2116"/>
  <c r="S2116" s="1" a="1"/>
  <c r="S2116" s="1"/>
  <c r="T1956"/>
  <c r="S1956" s="1" a="1"/>
  <c r="S1956" s="1"/>
  <c r="T1796"/>
  <c r="S1796" s="1" a="1"/>
  <c r="S1796" s="1"/>
  <c r="T1764"/>
  <c r="S1764" s="1" a="1"/>
  <c r="S1764" s="1"/>
  <c r="T1732"/>
  <c r="S1732" s="1" a="1"/>
  <c r="S1732" s="1"/>
  <c r="T1668"/>
  <c r="S1668" s="1" a="1"/>
  <c r="S1668" s="1"/>
  <c r="T1540"/>
  <c r="S1540" s="1" a="1"/>
  <c r="S1540" s="1"/>
  <c r="T1476"/>
  <c r="S1476" s="1" a="1"/>
  <c r="S1476" s="1"/>
  <c r="T1284"/>
  <c r="S1284" s="1" a="1"/>
  <c r="S1284" s="1"/>
  <c r="T1252"/>
  <c r="S1252" s="1" a="1"/>
  <c r="S1252" s="1"/>
  <c r="T1220"/>
  <c r="S1220" s="1" a="1"/>
  <c r="S1220" s="1"/>
  <c r="T1124"/>
  <c r="S1124" s="1" a="1"/>
  <c r="S1124" s="1"/>
  <c r="T1060"/>
  <c r="S1060" s="1" a="1"/>
  <c r="S1060" s="1"/>
  <c r="T900"/>
  <c r="S900" s="1" a="1"/>
  <c r="S900" s="1"/>
  <c r="T868"/>
  <c r="S868" s="1" a="1"/>
  <c r="S868" s="1"/>
  <c r="T836"/>
  <c r="S836" s="1" a="1"/>
  <c r="S836" s="1"/>
  <c r="T804"/>
  <c r="S804" s="1" a="1"/>
  <c r="S804" s="1"/>
  <c r="T772"/>
  <c r="S772" s="1" a="1"/>
  <c r="S772" s="1"/>
  <c r="T740"/>
  <c r="S740" s="1" a="1"/>
  <c r="S740" s="1"/>
  <c r="T708"/>
  <c r="S708" s="1" a="1"/>
  <c r="S708" s="1"/>
  <c r="T548"/>
  <c r="S548" s="1" a="1"/>
  <c r="S548" s="1"/>
  <c r="T324"/>
  <c r="S324" s="1" a="1"/>
  <c r="S324" s="1"/>
  <c r="T196"/>
  <c r="S196" s="1" a="1"/>
  <c r="S196" s="1"/>
  <c r="T132"/>
  <c r="S132" s="1" a="1"/>
  <c r="S132" s="1"/>
  <c r="T68"/>
  <c r="S68" s="1" a="1"/>
  <c r="S68" s="1"/>
  <c r="T2105"/>
  <c r="S2105" s="1" a="1"/>
  <c r="S2105" s="1"/>
  <c r="T1913"/>
  <c r="S1913" s="1" a="1"/>
  <c r="S1913" s="1"/>
  <c r="T1881"/>
  <c r="S1881" s="1" a="1"/>
  <c r="S1881" s="1"/>
  <c r="T1849"/>
  <c r="S1849" s="1" a="1"/>
  <c r="S1849" s="1"/>
  <c r="T1689"/>
  <c r="S1689" s="1" a="1"/>
  <c r="S1689" s="1"/>
  <c r="T1657"/>
  <c r="S1657" s="1" a="1"/>
  <c r="S1657" s="1"/>
  <c r="T1625"/>
  <c r="S1625" s="1" a="1"/>
  <c r="S1625" s="1"/>
  <c r="T1561"/>
  <c r="S1561" s="1" a="1"/>
  <c r="S1561" s="1"/>
  <c r="T1497"/>
  <c r="S1497" s="1" a="1"/>
  <c r="S1497" s="1"/>
  <c r="T1433"/>
  <c r="S1433" s="1" a="1"/>
  <c r="S1433" s="1"/>
  <c r="T1369"/>
  <c r="S1369" s="1" a="1"/>
  <c r="S1369" s="1"/>
  <c r="T1305"/>
  <c r="S1305" s="1" a="1"/>
  <c r="S1305" s="1"/>
  <c r="T1209"/>
  <c r="S1209" s="1" a="1"/>
  <c r="S1209" s="1"/>
  <c r="T1177"/>
  <c r="S1177" s="1" a="1"/>
  <c r="S1177" s="1"/>
  <c r="T1017"/>
  <c r="S1017" s="1" a="1"/>
  <c r="S1017" s="1"/>
  <c r="T857"/>
  <c r="S857" s="1" a="1"/>
  <c r="S857" s="1"/>
  <c r="T825"/>
  <c r="S825" s="1" a="1"/>
  <c r="S825" s="1"/>
  <c r="T793"/>
  <c r="S793" s="1" a="1"/>
  <c r="S793" s="1"/>
  <c r="T761"/>
  <c r="S761" s="1" a="1"/>
  <c r="S761" s="1"/>
  <c r="T729"/>
  <c r="S729" s="1" a="1"/>
  <c r="S729" s="1"/>
  <c r="T601"/>
  <c r="S601" s="1" a="1"/>
  <c r="S601" s="1"/>
  <c r="T537"/>
  <c r="S537" s="1" a="1"/>
  <c r="S537" s="1"/>
  <c r="T505"/>
  <c r="S505" s="1" a="1"/>
  <c r="S505" s="1"/>
  <c r="T473"/>
  <c r="S473" s="1" a="1"/>
  <c r="S473" s="1"/>
  <c r="T217"/>
  <c r="S217" s="1" a="1"/>
  <c r="S217" s="1"/>
  <c r="T121"/>
  <c r="S121" s="1" a="1"/>
  <c r="S121" s="1"/>
  <c r="T89"/>
  <c r="S89" s="1" a="1"/>
  <c r="S89" s="1"/>
  <c r="T57"/>
  <c r="S57" s="1" a="1"/>
  <c r="S57" s="1"/>
  <c r="T1010"/>
  <c r="S1010" s="1" a="1"/>
  <c r="S1010" s="1"/>
  <c r="T978"/>
  <c r="S978" s="1" a="1"/>
  <c r="S978" s="1"/>
  <c r="T946"/>
  <c r="S946" s="1" a="1"/>
  <c r="S946" s="1"/>
  <c r="T914"/>
  <c r="S914" s="1" a="1"/>
  <c r="S914" s="1"/>
  <c r="T850"/>
  <c r="S850" s="1" a="1"/>
  <c r="S850" s="1"/>
  <c r="T818"/>
  <c r="S818" s="1" a="1"/>
  <c r="S818" s="1"/>
  <c r="T722"/>
  <c r="S722" s="1" a="1"/>
  <c r="S722" s="1"/>
  <c r="T658"/>
  <c r="S658" s="1" a="1"/>
  <c r="S658" s="1"/>
  <c r="T594"/>
  <c r="S594" s="1" a="1"/>
  <c r="S594" s="1"/>
  <c r="T562"/>
  <c r="S562" s="1" a="1"/>
  <c r="S562" s="1"/>
  <c r="T434"/>
  <c r="S434" s="1" a="1"/>
  <c r="S434" s="1"/>
  <c r="T338"/>
  <c r="S338" s="1" a="1"/>
  <c r="S338" s="1"/>
  <c r="T210"/>
  <c r="S210" s="1" a="1"/>
  <c r="S210" s="1"/>
  <c r="T178"/>
  <c r="S178" s="1" a="1"/>
  <c r="S178" s="1"/>
  <c r="T146"/>
  <c r="S146" s="1" a="1"/>
  <c r="S146" s="1"/>
  <c r="T1003"/>
  <c r="S1003" s="1" a="1"/>
  <c r="S1003" s="1"/>
  <c r="T971"/>
  <c r="S971" s="1" a="1"/>
  <c r="S971" s="1"/>
  <c r="T907"/>
  <c r="S907" s="1" a="1"/>
  <c r="S907" s="1"/>
  <c r="T875"/>
  <c r="S875" s="1" a="1"/>
  <c r="S875" s="1"/>
  <c r="T779"/>
  <c r="S779" s="1" a="1"/>
  <c r="S779" s="1"/>
  <c r="T747"/>
  <c r="S747" s="1" a="1"/>
  <c r="S747" s="1"/>
  <c r="T715"/>
  <c r="S715" s="1" a="1"/>
  <c r="S715" s="1"/>
  <c r="T683"/>
  <c r="S683" s="1" a="1"/>
  <c r="S683" s="1"/>
  <c r="T555"/>
  <c r="S555" s="1" a="1"/>
  <c r="S555" s="1"/>
  <c r="T523"/>
  <c r="S523" s="1" a="1"/>
  <c r="S523" s="1"/>
  <c r="T459"/>
  <c r="S459" s="1" a="1"/>
  <c r="S459" s="1"/>
  <c r="T331"/>
  <c r="S331" s="1" a="1"/>
  <c r="S331" s="1"/>
  <c r="T299"/>
  <c r="S299" s="1" a="1"/>
  <c r="S299" s="1"/>
  <c r="T267"/>
  <c r="S267" s="1" a="1"/>
  <c r="S267" s="1"/>
  <c r="T203"/>
  <c r="S203" s="1" a="1"/>
  <c r="S203" s="1"/>
  <c r="T107"/>
  <c r="S107" s="1" a="1"/>
  <c r="S107" s="1"/>
  <c r="T43"/>
  <c r="S43" s="1" a="1"/>
  <c r="S43" s="1"/>
  <c r="T139"/>
  <c r="S139" s="1" a="1"/>
  <c r="S139" s="1"/>
  <c r="T75"/>
  <c r="S75" s="1" a="1"/>
  <c r="S75" s="1"/>
  <c r="V8"/>
  <c r="T8" s="1"/>
  <c r="S8" s="1" a="1"/>
  <c r="S8" s="1"/>
  <c r="V18"/>
  <c r="T18" s="1"/>
  <c r="S18" s="1" a="1"/>
  <c r="S18" s="1"/>
  <c r="V14"/>
  <c r="T14" s="1"/>
  <c r="S14" s="1" a="1"/>
  <c r="S14" s="1"/>
  <c r="V17"/>
  <c r="T17" s="1"/>
  <c r="S17" s="1" a="1"/>
  <c r="S17" s="1"/>
  <c r="V20"/>
  <c r="T20" s="1"/>
  <c r="S20" s="1" a="1"/>
  <c r="S20" s="1"/>
  <c r="V19"/>
  <c r="T19" s="1"/>
  <c r="S19" s="1" a="1"/>
  <c r="S19" s="1"/>
  <c r="V15"/>
  <c r="T15" s="1"/>
  <c r="S15" s="1" a="1"/>
  <c r="S15" s="1"/>
  <c r="V11"/>
  <c r="T11" s="1"/>
  <c r="S11" s="1" a="1"/>
  <c r="S11" s="1"/>
  <c r="V12"/>
  <c r="T12" s="1"/>
  <c r="S12" s="1" a="1"/>
  <c r="S12" s="1"/>
  <c r="V10"/>
  <c r="T10" s="1"/>
  <c r="S10" s="1" a="1"/>
  <c r="S10" s="1"/>
  <c r="V13"/>
  <c r="T13" s="1"/>
  <c r="S13" s="1" a="1"/>
  <c r="S13" s="1"/>
  <c r="V6"/>
  <c r="T6" s="1"/>
  <c r="S6" s="1" a="1"/>
  <c r="S6" s="1"/>
  <c r="V7"/>
  <c r="T7" s="1"/>
  <c r="S7" s="1" a="1"/>
  <c r="S7" s="1"/>
  <c r="AJ2169" i="8"/>
  <c r="T31" i="2"/>
  <c r="S31" s="1" a="1"/>
  <c r="S31" s="1"/>
  <c r="T27"/>
  <c r="S27" s="1" a="1"/>
  <c r="S27" s="1"/>
  <c r="T23"/>
  <c r="S23" s="1" a="1"/>
  <c r="S23" s="1"/>
  <c r="T34"/>
  <c r="S34" s="1" a="1"/>
  <c r="S34" s="1"/>
  <c r="T30"/>
  <c r="S30" s="1" a="1"/>
  <c r="S30" s="1"/>
  <c r="T26"/>
  <c r="S26" s="1" a="1"/>
  <c r="S26" s="1"/>
  <c r="T22"/>
  <c r="S22" s="1" a="1"/>
  <c r="S22" s="1"/>
  <c r="T33"/>
  <c r="S33" s="1" a="1"/>
  <c r="S33" s="1"/>
  <c r="T29"/>
  <c r="S29" s="1" a="1"/>
  <c r="S29" s="1"/>
  <c r="T25"/>
  <c r="S25" s="1" a="1"/>
  <c r="S25" s="1"/>
  <c r="T21"/>
  <c r="S21" s="1" a="1"/>
  <c r="S21" s="1"/>
  <c r="T32"/>
  <c r="S32" s="1" a="1"/>
  <c r="S32" s="1"/>
  <c r="T28"/>
  <c r="S28" s="1" a="1"/>
  <c r="S28" s="1"/>
  <c r="T24"/>
  <c r="S24" s="1" a="1"/>
  <c r="S24" s="1"/>
  <c r="T9"/>
  <c r="S9" s="1" a="1"/>
  <c r="S9" s="1"/>
  <c r="U2169"/>
  <c r="R2169"/>
  <c r="T16"/>
  <c r="S16" s="1" a="1"/>
  <c r="S16" s="1"/>
  <c r="T5" l="1"/>
  <c r="V2169"/>
  <c r="C15" i="6" l="1" a="1"/>
  <c r="C15" s="1"/>
  <c r="C16" a="1"/>
  <c r="C16" s="1"/>
  <c r="C13" a="1"/>
  <c r="C13" s="1"/>
  <c r="C14" a="1"/>
  <c r="C14" s="1"/>
  <c r="S2169" i="2"/>
  <c r="C6" i="6" a="1"/>
  <c r="C6" s="1"/>
  <c r="C10" a="1"/>
  <c r="C10" s="1"/>
  <c r="T2169" i="2"/>
  <c r="C12" i="6" a="1"/>
  <c r="C12" s="1"/>
  <c r="C3" a="1"/>
  <c r="C3" s="1"/>
  <c r="C7" a="1"/>
  <c r="C7" s="1"/>
  <c r="C4" a="1"/>
  <c r="C4" s="1"/>
  <c r="C8" a="1"/>
  <c r="C8" s="1"/>
  <c r="S5" i="2" a="1"/>
  <c r="S5" s="1"/>
  <c r="C11" i="6" a="1"/>
  <c r="C11" s="1"/>
  <c r="C5" a="1"/>
  <c r="C5" s="1"/>
  <c r="C9" a="1"/>
  <c r="C9" s="1"/>
  <c r="W35" i="2" l="1"/>
  <c r="A47" i="8" s="1"/>
  <c r="W39" i="2"/>
  <c r="A51" i="8" s="1"/>
  <c r="W43" i="2"/>
  <c r="A55" i="8" s="1"/>
  <c r="W47" i="2"/>
  <c r="A59" i="8" s="1"/>
  <c r="W51" i="2"/>
  <c r="A63" i="8" s="1"/>
  <c r="W55" i="2"/>
  <c r="A67" i="8" s="1"/>
  <c r="W59" i="2"/>
  <c r="A71" i="8" s="1"/>
  <c r="W63" i="2"/>
  <c r="A75" i="8" s="1"/>
  <c r="W67" i="2"/>
  <c r="A78" i="8" s="1"/>
  <c r="W71" i="2"/>
  <c r="A15" i="8" s="1"/>
  <c r="W75" i="2"/>
  <c r="A85" i="8" s="1"/>
  <c r="W79" i="2"/>
  <c r="A89" i="8" s="1"/>
  <c r="W83" i="2"/>
  <c r="A93" i="8" s="1"/>
  <c r="W87" i="2"/>
  <c r="A97" i="8" s="1"/>
  <c r="W91" i="2"/>
  <c r="A101" i="8" s="1"/>
  <c r="W95" i="2"/>
  <c r="A105" i="8" s="1"/>
  <c r="W99" i="2"/>
  <c r="A109" i="8" s="1"/>
  <c r="W103" i="2"/>
  <c r="A113" i="8" s="1"/>
  <c r="W107" i="2"/>
  <c r="A117" i="8" s="1"/>
  <c r="W111" i="2"/>
  <c r="A121" i="8" s="1"/>
  <c r="W115" i="2"/>
  <c r="A125" i="8" s="1"/>
  <c r="W119" i="2"/>
  <c r="A129" i="8" s="1"/>
  <c r="W123" i="2"/>
  <c r="A133" i="8" s="1"/>
  <c r="W127" i="2"/>
  <c r="A137" i="8" s="1"/>
  <c r="W131" i="2"/>
  <c r="A141" i="8" s="1"/>
  <c r="W135" i="2"/>
  <c r="A145" i="8" s="1"/>
  <c r="W139" i="2"/>
  <c r="A149" i="8" s="1"/>
  <c r="W143" i="2"/>
  <c r="A153" i="8" s="1"/>
  <c r="W147" i="2"/>
  <c r="A157" i="8" s="1"/>
  <c r="W151" i="2"/>
  <c r="A161" i="8" s="1"/>
  <c r="W155" i="2"/>
  <c r="A165" i="8" s="1"/>
  <c r="W159" i="2"/>
  <c r="A169" i="8" s="1"/>
  <c r="W163" i="2"/>
  <c r="A173" i="8" s="1"/>
  <c r="W167" i="2"/>
  <c r="A177" i="8" s="1"/>
  <c r="W171" i="2"/>
  <c r="A181" i="8" s="1"/>
  <c r="W175" i="2"/>
  <c r="A185" i="8" s="1"/>
  <c r="W179" i="2"/>
  <c r="A189" i="8" s="1"/>
  <c r="W183" i="2"/>
  <c r="A193" i="8" s="1"/>
  <c r="W187" i="2"/>
  <c r="A197" i="8" s="1"/>
  <c r="W38" i="2"/>
  <c r="A50" i="8" s="1"/>
  <c r="W42" i="2"/>
  <c r="A54" i="8" s="1"/>
  <c r="W46" i="2"/>
  <c r="A58" i="8" s="1"/>
  <c r="W50" i="2"/>
  <c r="A62" i="8" s="1"/>
  <c r="W54" i="2"/>
  <c r="A66" i="8" s="1"/>
  <c r="W58" i="2"/>
  <c r="A70" i="8" s="1"/>
  <c r="W62" i="2"/>
  <c r="A74" i="8" s="1"/>
  <c r="W66" i="2"/>
  <c r="A77" i="8" s="1"/>
  <c r="W70" i="2"/>
  <c r="A81" i="8" s="1"/>
  <c r="W74" i="2"/>
  <c r="A84" i="8" s="1"/>
  <c r="W78" i="2"/>
  <c r="A88" i="8" s="1"/>
  <c r="W82" i="2"/>
  <c r="A92" i="8" s="1"/>
  <c r="W86" i="2"/>
  <c r="A96" i="8" s="1"/>
  <c r="W90" i="2"/>
  <c r="A100" i="8" s="1"/>
  <c r="W94" i="2"/>
  <c r="A104" i="8" s="1"/>
  <c r="W98" i="2"/>
  <c r="A108" i="8" s="1"/>
  <c r="W102" i="2"/>
  <c r="A112" i="8" s="1"/>
  <c r="W106" i="2"/>
  <c r="A116" i="8" s="1"/>
  <c r="W110" i="2"/>
  <c r="A120" i="8" s="1"/>
  <c r="W114" i="2"/>
  <c r="A124" i="8" s="1"/>
  <c r="W118" i="2"/>
  <c r="A128" i="8" s="1"/>
  <c r="W122" i="2"/>
  <c r="A132" i="8" s="1"/>
  <c r="W126" i="2"/>
  <c r="A136" i="8" s="1"/>
  <c r="W130" i="2"/>
  <c r="A140" i="8" s="1"/>
  <c r="W134" i="2"/>
  <c r="A144" i="8" s="1"/>
  <c r="W138" i="2"/>
  <c r="A148" i="8" s="1"/>
  <c r="W142" i="2"/>
  <c r="A152" i="8" s="1"/>
  <c r="W146" i="2"/>
  <c r="A156" i="8" s="1"/>
  <c r="W150" i="2"/>
  <c r="A160" i="8" s="1"/>
  <c r="W154" i="2"/>
  <c r="A164" i="8" s="1"/>
  <c r="W158" i="2"/>
  <c r="A168" i="8" s="1"/>
  <c r="W162" i="2"/>
  <c r="A172" i="8" s="1"/>
  <c r="W166" i="2"/>
  <c r="A176" i="8" s="1"/>
  <c r="W170" i="2"/>
  <c r="A180" i="8" s="1"/>
  <c r="W174" i="2"/>
  <c r="A184" i="8" s="1"/>
  <c r="W178" i="2"/>
  <c r="A188" i="8" s="1"/>
  <c r="W182" i="2"/>
  <c r="A192" i="8" s="1"/>
  <c r="W186" i="2"/>
  <c r="A196" i="8" s="1"/>
  <c r="W190" i="2"/>
  <c r="A200" i="8" s="1"/>
  <c r="W37" i="2"/>
  <c r="A49" i="8" s="1"/>
  <c r="W45" i="2"/>
  <c r="A57" i="8" s="1"/>
  <c r="W53" i="2"/>
  <c r="A65" i="8" s="1"/>
  <c r="W61" i="2"/>
  <c r="A73" i="8" s="1"/>
  <c r="W69" i="2"/>
  <c r="A80" i="8" s="1"/>
  <c r="W77" i="2"/>
  <c r="A87" i="8" s="1"/>
  <c r="W85" i="2"/>
  <c r="A95" i="8" s="1"/>
  <c r="W93" i="2"/>
  <c r="A103" i="8" s="1"/>
  <c r="W101" i="2"/>
  <c r="A111" i="8" s="1"/>
  <c r="W109" i="2"/>
  <c r="A119" i="8" s="1"/>
  <c r="W117" i="2"/>
  <c r="A127" i="8" s="1"/>
  <c r="W125" i="2"/>
  <c r="A135" i="8" s="1"/>
  <c r="W133" i="2"/>
  <c r="A143" i="8" s="1"/>
  <c r="W141" i="2"/>
  <c r="A151" i="8" s="1"/>
  <c r="W149" i="2"/>
  <c r="A159" i="8" s="1"/>
  <c r="W157" i="2"/>
  <c r="A167" i="8" s="1"/>
  <c r="W165" i="2"/>
  <c r="A175" i="8" s="1"/>
  <c r="W173" i="2"/>
  <c r="A183" i="8" s="1"/>
  <c r="W181" i="2"/>
  <c r="A191" i="8" s="1"/>
  <c r="W189" i="2"/>
  <c r="A199" i="8" s="1"/>
  <c r="W194" i="2"/>
  <c r="A204" i="8" s="1"/>
  <c r="W198" i="2"/>
  <c r="A208" i="8" s="1"/>
  <c r="W202" i="2"/>
  <c r="A212" i="8" s="1"/>
  <c r="W206" i="2"/>
  <c r="A216" i="8" s="1"/>
  <c r="W210" i="2"/>
  <c r="A220" i="8" s="1"/>
  <c r="W214" i="2"/>
  <c r="A224" i="8" s="1"/>
  <c r="W218" i="2"/>
  <c r="A228" i="8" s="1"/>
  <c r="W222" i="2"/>
  <c r="A232" i="8" s="1"/>
  <c r="W226" i="2"/>
  <c r="A236" i="8" s="1"/>
  <c r="W230" i="2"/>
  <c r="A240" i="8" s="1"/>
  <c r="W234" i="2"/>
  <c r="A244" i="8" s="1"/>
  <c r="W238" i="2"/>
  <c r="A248" i="8" s="1"/>
  <c r="W242" i="2"/>
  <c r="A252" i="8" s="1"/>
  <c r="W246" i="2"/>
  <c r="A256" i="8" s="1"/>
  <c r="W250" i="2"/>
  <c r="A260" i="8" s="1"/>
  <c r="W254" i="2"/>
  <c r="A264" i="8" s="1"/>
  <c r="W258" i="2"/>
  <c r="A268" i="8" s="1"/>
  <c r="W262" i="2"/>
  <c r="A272" i="8" s="1"/>
  <c r="W266" i="2"/>
  <c r="A276" i="8" s="1"/>
  <c r="W270" i="2"/>
  <c r="A280" i="8" s="1"/>
  <c r="W274" i="2"/>
  <c r="A284" i="8" s="1"/>
  <c r="W278" i="2"/>
  <c r="A288" i="8" s="1"/>
  <c r="W282" i="2"/>
  <c r="A292" i="8" s="1"/>
  <c r="W286" i="2"/>
  <c r="A296" i="8" s="1"/>
  <c r="W290" i="2"/>
  <c r="A300" i="8" s="1"/>
  <c r="W294" i="2"/>
  <c r="A304" i="8" s="1"/>
  <c r="W298" i="2"/>
  <c r="A308" i="8" s="1"/>
  <c r="W302" i="2"/>
  <c r="A312" i="8" s="1"/>
  <c r="W306" i="2"/>
  <c r="A316" i="8" s="1"/>
  <c r="W310" i="2"/>
  <c r="A320" i="8" s="1"/>
  <c r="W314" i="2"/>
  <c r="A324" i="8" s="1"/>
  <c r="W318" i="2"/>
  <c r="A328" i="8" s="1"/>
  <c r="W322" i="2"/>
  <c r="A332" i="8" s="1"/>
  <c r="W326" i="2"/>
  <c r="A336" i="8" s="1"/>
  <c r="W330" i="2"/>
  <c r="A340" i="8" s="1"/>
  <c r="W334" i="2"/>
  <c r="A344" i="8" s="1"/>
  <c r="W338" i="2"/>
  <c r="A348" i="8" s="1"/>
  <c r="W342" i="2"/>
  <c r="A352" i="8" s="1"/>
  <c r="W346" i="2"/>
  <c r="A356" i="8" s="1"/>
  <c r="W350" i="2"/>
  <c r="A360" i="8" s="1"/>
  <c r="W354" i="2"/>
  <c r="A364" i="8" s="1"/>
  <c r="W358" i="2"/>
  <c r="A368" i="8" s="1"/>
  <c r="W362" i="2"/>
  <c r="A372" i="8" s="1"/>
  <c r="W366" i="2"/>
  <c r="A376" i="8" s="1"/>
  <c r="W370" i="2"/>
  <c r="A380" i="8" s="1"/>
  <c r="W374" i="2"/>
  <c r="A384" i="8" s="1"/>
  <c r="W378" i="2"/>
  <c r="A388" i="8" s="1"/>
  <c r="W382" i="2"/>
  <c r="A392" i="8" s="1"/>
  <c r="W386" i="2"/>
  <c r="A396" i="8" s="1"/>
  <c r="W390" i="2"/>
  <c r="A400" i="8" s="1"/>
  <c r="W394" i="2"/>
  <c r="A404" i="8" s="1"/>
  <c r="W398" i="2"/>
  <c r="A408" i="8" s="1"/>
  <c r="W402" i="2"/>
  <c r="A412" i="8" s="1"/>
  <c r="W406" i="2"/>
  <c r="A416" i="8" s="1"/>
  <c r="W410" i="2"/>
  <c r="A420" i="8" s="1"/>
  <c r="W414" i="2"/>
  <c r="A424" i="8" s="1"/>
  <c r="W418" i="2"/>
  <c r="A428" i="8" s="1"/>
  <c r="W422" i="2"/>
  <c r="A432" i="8" s="1"/>
  <c r="W426" i="2"/>
  <c r="A436" i="8" s="1"/>
  <c r="W430" i="2"/>
  <c r="A440" i="8" s="1"/>
  <c r="W434" i="2"/>
  <c r="A444" i="8" s="1"/>
  <c r="W438" i="2"/>
  <c r="A448" i="8" s="1"/>
  <c r="W442" i="2"/>
  <c r="A452" i="8" s="1"/>
  <c r="W446" i="2"/>
  <c r="A456" i="8" s="1"/>
  <c r="W450" i="2"/>
  <c r="A460" i="8" s="1"/>
  <c r="W454" i="2"/>
  <c r="A464" i="8" s="1"/>
  <c r="W458" i="2"/>
  <c r="A468" i="8" s="1"/>
  <c r="W462" i="2"/>
  <c r="A472" i="8" s="1"/>
  <c r="W466" i="2"/>
  <c r="A476" i="8" s="1"/>
  <c r="W470" i="2"/>
  <c r="A480" i="8" s="1"/>
  <c r="W474" i="2"/>
  <c r="A484" i="8" s="1"/>
  <c r="W478" i="2"/>
  <c r="A488" i="8" s="1"/>
  <c r="W482" i="2"/>
  <c r="A492" i="8" s="1"/>
  <c r="W486" i="2"/>
  <c r="A496" i="8" s="1"/>
  <c r="W490" i="2"/>
  <c r="A500" i="8" s="1"/>
  <c r="W494" i="2"/>
  <c r="A504" i="8" s="1"/>
  <c r="W498" i="2"/>
  <c r="A508" i="8" s="1"/>
  <c r="W502" i="2"/>
  <c r="A512" i="8" s="1"/>
  <c r="W506" i="2"/>
  <c r="A516" i="8" s="1"/>
  <c r="W510" i="2"/>
  <c r="A520" i="8" s="1"/>
  <c r="W514" i="2"/>
  <c r="A524" i="8" s="1"/>
  <c r="W518" i="2"/>
  <c r="A528" i="8" s="1"/>
  <c r="W522" i="2"/>
  <c r="A532" i="8" s="1"/>
  <c r="W526" i="2"/>
  <c r="A536" i="8" s="1"/>
  <c r="W530" i="2"/>
  <c r="A540" i="8" s="1"/>
  <c r="W534" i="2"/>
  <c r="A544" i="8" s="1"/>
  <c r="W538" i="2"/>
  <c r="A548" i="8" s="1"/>
  <c r="W542" i="2"/>
  <c r="A552" i="8" s="1"/>
  <c r="W546" i="2"/>
  <c r="A556" i="8" s="1"/>
  <c r="W550" i="2"/>
  <c r="A560" i="8" s="1"/>
  <c r="W554" i="2"/>
  <c r="A564" i="8" s="1"/>
  <c r="W558" i="2"/>
  <c r="A568" i="8" s="1"/>
  <c r="W562" i="2"/>
  <c r="A572" i="8" s="1"/>
  <c r="W566" i="2"/>
  <c r="A576" i="8" s="1"/>
  <c r="W570" i="2"/>
  <c r="A580" i="8" s="1"/>
  <c r="W574" i="2"/>
  <c r="A584" i="8" s="1"/>
  <c r="W578" i="2"/>
  <c r="A588" i="8" s="1"/>
  <c r="W582" i="2"/>
  <c r="A592" i="8" s="1"/>
  <c r="W586" i="2"/>
  <c r="A596" i="8" s="1"/>
  <c r="W590" i="2"/>
  <c r="A600" i="8" s="1"/>
  <c r="W594" i="2"/>
  <c r="A604" i="8" s="1"/>
  <c r="W598" i="2"/>
  <c r="A608" i="8" s="1"/>
  <c r="W602" i="2"/>
  <c r="A612" i="8" s="1"/>
  <c r="W606" i="2"/>
  <c r="A616" i="8" s="1"/>
  <c r="W610" i="2"/>
  <c r="A620" i="8" s="1"/>
  <c r="W614" i="2"/>
  <c r="A624" i="8" s="1"/>
  <c r="W618" i="2"/>
  <c r="A628" i="8" s="1"/>
  <c r="W622" i="2"/>
  <c r="A632" i="8" s="1"/>
  <c r="W626" i="2"/>
  <c r="A636" i="8" s="1"/>
  <c r="W630" i="2"/>
  <c r="A640" i="8" s="1"/>
  <c r="W634" i="2"/>
  <c r="A644" i="8" s="1"/>
  <c r="W638" i="2"/>
  <c r="A648" i="8" s="1"/>
  <c r="W642" i="2"/>
  <c r="A652" i="8" s="1"/>
  <c r="W646" i="2"/>
  <c r="A656" i="8" s="1"/>
  <c r="W650" i="2"/>
  <c r="A660" i="8" s="1"/>
  <c r="W654" i="2"/>
  <c r="A664" i="8" s="1"/>
  <c r="W658" i="2"/>
  <c r="A668" i="8" s="1"/>
  <c r="W662" i="2"/>
  <c r="A672" i="8" s="1"/>
  <c r="W666" i="2"/>
  <c r="A676" i="8" s="1"/>
  <c r="W670" i="2"/>
  <c r="A680" i="8" s="1"/>
  <c r="W674" i="2"/>
  <c r="A684" i="8" s="1"/>
  <c r="W678" i="2"/>
  <c r="A688" i="8" s="1"/>
  <c r="W682" i="2"/>
  <c r="A692" i="8" s="1"/>
  <c r="W686" i="2"/>
  <c r="A696" i="8" s="1"/>
  <c r="W690" i="2"/>
  <c r="A700" i="8" s="1"/>
  <c r="W694" i="2"/>
  <c r="A704" i="8" s="1"/>
  <c r="W698" i="2"/>
  <c r="A708" i="8" s="1"/>
  <c r="W702" i="2"/>
  <c r="A712" i="8" s="1"/>
  <c r="W706" i="2"/>
  <c r="A716" i="8" s="1"/>
  <c r="W710" i="2"/>
  <c r="A720" i="8" s="1"/>
  <c r="W714" i="2"/>
  <c r="A724" i="8" s="1"/>
  <c r="W718" i="2"/>
  <c r="A727" i="8" s="1"/>
  <c r="W722" i="2"/>
  <c r="A731" i="8" s="1"/>
  <c r="W726" i="2"/>
  <c r="A735" i="8" s="1"/>
  <c r="W730" i="2"/>
  <c r="A739" i="8" s="1"/>
  <c r="W734" i="2"/>
  <c r="A743" i="8" s="1"/>
  <c r="W738" i="2"/>
  <c r="A747" i="8" s="1"/>
  <c r="W742" i="2"/>
  <c r="A751" i="8" s="1"/>
  <c r="W746" i="2"/>
  <c r="A755" i="8" s="1"/>
  <c r="W750" i="2"/>
  <c r="A759" i="8" s="1"/>
  <c r="W754" i="2"/>
  <c r="A763" i="8" s="1"/>
  <c r="W758" i="2"/>
  <c r="A767" i="8" s="1"/>
  <c r="W762" i="2"/>
  <c r="A771" i="8" s="1"/>
  <c r="W766" i="2"/>
  <c r="A775" i="8" s="1"/>
  <c r="W770" i="2"/>
  <c r="A779" i="8" s="1"/>
  <c r="W774" i="2"/>
  <c r="A783" i="8" s="1"/>
  <c r="W778" i="2"/>
  <c r="A787" i="8" s="1"/>
  <c r="W782" i="2"/>
  <c r="A791" i="8" s="1"/>
  <c r="W786" i="2"/>
  <c r="A795" i="8" s="1"/>
  <c r="W790" i="2"/>
  <c r="A799" i="8" s="1"/>
  <c r="W794" i="2"/>
  <c r="A803" i="8" s="1"/>
  <c r="W798" i="2"/>
  <c r="A807" i="8" s="1"/>
  <c r="W802" i="2"/>
  <c r="A811" i="8" s="1"/>
  <c r="W806" i="2"/>
  <c r="A815" i="8" s="1"/>
  <c r="W810" i="2"/>
  <c r="A819" i="8" s="1"/>
  <c r="W814" i="2"/>
  <c r="A823" i="8" s="1"/>
  <c r="W818" i="2"/>
  <c r="A827" i="8" s="1"/>
  <c r="W822" i="2"/>
  <c r="A831" i="8" s="1"/>
  <c r="W826" i="2"/>
  <c r="A835" i="8" s="1"/>
  <c r="W830" i="2"/>
  <c r="A839" i="8" s="1"/>
  <c r="W834" i="2"/>
  <c r="A843" i="8" s="1"/>
  <c r="W838" i="2"/>
  <c r="A847" i="8" s="1"/>
  <c r="W842" i="2"/>
  <c r="A851" i="8" s="1"/>
  <c r="W846" i="2"/>
  <c r="A855" i="8" s="1"/>
  <c r="W850" i="2"/>
  <c r="A859" i="8" s="1"/>
  <c r="W854" i="2"/>
  <c r="A863" i="8" s="1"/>
  <c r="W858" i="2"/>
  <c r="A867" i="8" s="1"/>
  <c r="W862" i="2"/>
  <c r="A871" i="8" s="1"/>
  <c r="W866" i="2"/>
  <c r="A875" i="8" s="1"/>
  <c r="W870" i="2"/>
  <c r="A879" i="8" s="1"/>
  <c r="W874" i="2"/>
  <c r="A883" i="8" s="1"/>
  <c r="W878" i="2"/>
  <c r="A887" i="8" s="1"/>
  <c r="W882" i="2"/>
  <c r="A891" i="8" s="1"/>
  <c r="W886" i="2"/>
  <c r="A895" i="8" s="1"/>
  <c r="W890" i="2"/>
  <c r="A899" i="8" s="1"/>
  <c r="W894" i="2"/>
  <c r="A903" i="8" s="1"/>
  <c r="W898" i="2"/>
  <c r="A907" i="8" s="1"/>
  <c r="W902" i="2"/>
  <c r="A911" i="8" s="1"/>
  <c r="W906" i="2"/>
  <c r="A915" i="8" s="1"/>
  <c r="W910" i="2"/>
  <c r="A919" i="8" s="1"/>
  <c r="W914" i="2"/>
  <c r="A923" i="8" s="1"/>
  <c r="W918" i="2"/>
  <c r="A927" i="8" s="1"/>
  <c r="W922" i="2"/>
  <c r="A931" i="8" s="1"/>
  <c r="W926" i="2"/>
  <c r="A935" i="8" s="1"/>
  <c r="W930" i="2"/>
  <c r="A939" i="8" s="1"/>
  <c r="W934" i="2"/>
  <c r="A943" i="8" s="1"/>
  <c r="W938" i="2"/>
  <c r="A947" i="8" s="1"/>
  <c r="W942" i="2"/>
  <c r="A951" i="8" s="1"/>
  <c r="W946" i="2"/>
  <c r="A955" i="8" s="1"/>
  <c r="W950" i="2"/>
  <c r="A959" i="8" s="1"/>
  <c r="W954" i="2"/>
  <c r="A963" i="8" s="1"/>
  <c r="W958" i="2"/>
  <c r="A967" i="8" s="1"/>
  <c r="W962" i="2"/>
  <c r="A971" i="8" s="1"/>
  <c r="W966" i="2"/>
  <c r="A974" i="8" s="1"/>
  <c r="W970" i="2"/>
  <c r="A978" i="8" s="1"/>
  <c r="W974" i="2"/>
  <c r="A982" i="8" s="1"/>
  <c r="W978" i="2"/>
  <c r="A986" i="8" s="1"/>
  <c r="W982" i="2"/>
  <c r="A990" i="8" s="1"/>
  <c r="W986" i="2"/>
  <c r="A994" i="8" s="1"/>
  <c r="W990" i="2"/>
  <c r="A998" i="8" s="1"/>
  <c r="W994" i="2"/>
  <c r="A1002" i="8" s="1"/>
  <c r="W998" i="2"/>
  <c r="A1006" i="8" s="1"/>
  <c r="W1002" i="2"/>
  <c r="A1010" i="8" s="1"/>
  <c r="W1006" i="2"/>
  <c r="A1014" i="8" s="1"/>
  <c r="W1010" i="2"/>
  <c r="A1018" i="8" s="1"/>
  <c r="W1014" i="2"/>
  <c r="A1022" i="8" s="1"/>
  <c r="W1018" i="2"/>
  <c r="A1026" i="8" s="1"/>
  <c r="W1022" i="2"/>
  <c r="A1030" i="8" s="1"/>
  <c r="W1026" i="2"/>
  <c r="A1034" i="8" s="1"/>
  <c r="W1030" i="2"/>
  <c r="A1038" i="8" s="1"/>
  <c r="W1034" i="2"/>
  <c r="A1042" i="8" s="1"/>
  <c r="W1038" i="2"/>
  <c r="A1046" i="8" s="1"/>
  <c r="W1042" i="2"/>
  <c r="A1050" i="8" s="1"/>
  <c r="W1046" i="2"/>
  <c r="A1054" i="8" s="1"/>
  <c r="W1050" i="2"/>
  <c r="A1058" i="8" s="1"/>
  <c r="W1054" i="2"/>
  <c r="A1062" i="8" s="1"/>
  <c r="W1058" i="2"/>
  <c r="A1066" i="8" s="1"/>
  <c r="W1062" i="2"/>
  <c r="A1070" i="8" s="1"/>
  <c r="W1066" i="2"/>
  <c r="A1074" i="8" s="1"/>
  <c r="W1070" i="2"/>
  <c r="A1078" i="8" s="1"/>
  <c r="W1074" i="2"/>
  <c r="A1082" i="8" s="1"/>
  <c r="W1078" i="2"/>
  <c r="A1086" i="8" s="1"/>
  <c r="W1082" i="2"/>
  <c r="A1090" i="8" s="1"/>
  <c r="W1086" i="2"/>
  <c r="A1094" i="8" s="1"/>
  <c r="W1090" i="2"/>
  <c r="A1098" i="8" s="1"/>
  <c r="W1094" i="2"/>
  <c r="A1102" i="8" s="1"/>
  <c r="W1098" i="2"/>
  <c r="A1106" i="8" s="1"/>
  <c r="W1102" i="2"/>
  <c r="A1110" i="8" s="1"/>
  <c r="W1106" i="2"/>
  <c r="A1114" i="8" s="1"/>
  <c r="W1110" i="2"/>
  <c r="A1118" i="8" s="1"/>
  <c r="W1114" i="2"/>
  <c r="A1122" i="8" s="1"/>
  <c r="W1118" i="2"/>
  <c r="A1126" i="8" s="1"/>
  <c r="W1122" i="2"/>
  <c r="A1130" i="8" s="1"/>
  <c r="W1126" i="2"/>
  <c r="A1134" i="8" s="1"/>
  <c r="W1130" i="2"/>
  <c r="A1138" i="8" s="1"/>
  <c r="W1134" i="2"/>
  <c r="A1142" i="8" s="1"/>
  <c r="W1138" i="2"/>
  <c r="A1146" i="8" s="1"/>
  <c r="W1142" i="2"/>
  <c r="A1150" i="8" s="1"/>
  <c r="W1146" i="2"/>
  <c r="A1154" i="8" s="1"/>
  <c r="W1150" i="2"/>
  <c r="A1158" i="8" s="1"/>
  <c r="W1154" i="2"/>
  <c r="A1162" i="8" s="1"/>
  <c r="W1158" i="2"/>
  <c r="A1166" i="8" s="1"/>
  <c r="W1162" i="2"/>
  <c r="A1170" i="8" s="1"/>
  <c r="W1166" i="2"/>
  <c r="A1174" i="8" s="1"/>
  <c r="W1170" i="2"/>
  <c r="A1178" i="8" s="1"/>
  <c r="W1174" i="2"/>
  <c r="A1182" i="8" s="1"/>
  <c r="W1178" i="2"/>
  <c r="A1186" i="8" s="1"/>
  <c r="W1182" i="2"/>
  <c r="A1190" i="8" s="1"/>
  <c r="W1186" i="2"/>
  <c r="A1194" i="8" s="1"/>
  <c r="W1190" i="2"/>
  <c r="A1198" i="8" s="1"/>
  <c r="W1194" i="2"/>
  <c r="A1202" i="8" s="1"/>
  <c r="W1198" i="2"/>
  <c r="A1206" i="8" s="1"/>
  <c r="W1202" i="2"/>
  <c r="A1210" i="8" s="1"/>
  <c r="W1206" i="2"/>
  <c r="A1214" i="8" s="1"/>
  <c r="W1210" i="2"/>
  <c r="A1218" i="8" s="1"/>
  <c r="W1214" i="2"/>
  <c r="A1222" i="8" s="1"/>
  <c r="W1218" i="2"/>
  <c r="A1226" i="8" s="1"/>
  <c r="W1222" i="2"/>
  <c r="A1230" i="8" s="1"/>
  <c r="W1226" i="2"/>
  <c r="A1234" i="8" s="1"/>
  <c r="W1230" i="2"/>
  <c r="A1238" i="8" s="1"/>
  <c r="W1234" i="2"/>
  <c r="A1242" i="8" s="1"/>
  <c r="W1238" i="2"/>
  <c r="A1246" i="8" s="1"/>
  <c r="W1242" i="2"/>
  <c r="A1250" i="8" s="1"/>
  <c r="W1246" i="2"/>
  <c r="A1254" i="8" s="1"/>
  <c r="W1250" i="2"/>
  <c r="A1258" i="8" s="1"/>
  <c r="W1254" i="2"/>
  <c r="A1262" i="8" s="1"/>
  <c r="W1258" i="2"/>
  <c r="A1266" i="8" s="1"/>
  <c r="W1262" i="2"/>
  <c r="A1270" i="8" s="1"/>
  <c r="W1266" i="2"/>
  <c r="A1273" i="8" s="1"/>
  <c r="W1270" i="2"/>
  <c r="A1277" i="8" s="1"/>
  <c r="W1274" i="2"/>
  <c r="A1281" i="8" s="1"/>
  <c r="W1278" i="2"/>
  <c r="A1285" i="8" s="1"/>
  <c r="W1282" i="2"/>
  <c r="A1289" i="8" s="1"/>
  <c r="W1286" i="2"/>
  <c r="A1293" i="8" s="1"/>
  <c r="W1290" i="2"/>
  <c r="A1297" i="8" s="1"/>
  <c r="W1294" i="2"/>
  <c r="A1301" i="8" s="1"/>
  <c r="W1298" i="2"/>
  <c r="A1305" i="8" s="1"/>
  <c r="W1302" i="2"/>
  <c r="A1309" i="8" s="1"/>
  <c r="W1306" i="2"/>
  <c r="A1313" i="8" s="1"/>
  <c r="W1310" i="2"/>
  <c r="A1317" i="8" s="1"/>
  <c r="W1314" i="2"/>
  <c r="A1321" i="8" s="1"/>
  <c r="W1318" i="2"/>
  <c r="A1325" i="8" s="1"/>
  <c r="W1322" i="2"/>
  <c r="A1329" i="8" s="1"/>
  <c r="W1326" i="2"/>
  <c r="A1333" i="8" s="1"/>
  <c r="W1330" i="2"/>
  <c r="A1337" i="8" s="1"/>
  <c r="W1334" i="2"/>
  <c r="A1341" i="8" s="1"/>
  <c r="W1338" i="2"/>
  <c r="A1345" i="8" s="1"/>
  <c r="W1342" i="2"/>
  <c r="A1349" i="8" s="1"/>
  <c r="W1346" i="2"/>
  <c r="A1353" i="8" s="1"/>
  <c r="W1350" i="2"/>
  <c r="A1357" i="8" s="1"/>
  <c r="W1354" i="2"/>
  <c r="A1361" i="8" s="1"/>
  <c r="W1358" i="2"/>
  <c r="A1365" i="8" s="1"/>
  <c r="W1362" i="2"/>
  <c r="A1369" i="8" s="1"/>
  <c r="W1366" i="2"/>
  <c r="A1373" i="8" s="1"/>
  <c r="W1370" i="2"/>
  <c r="A1377" i="8" s="1"/>
  <c r="W1374" i="2"/>
  <c r="A1381" i="8" s="1"/>
  <c r="W1378" i="2"/>
  <c r="A1385" i="8" s="1"/>
  <c r="W1382" i="2"/>
  <c r="A1389" i="8" s="1"/>
  <c r="W1386" i="2"/>
  <c r="A1393" i="8" s="1"/>
  <c r="W1390" i="2"/>
  <c r="A1397" i="8" s="1"/>
  <c r="W1394" i="2"/>
  <c r="A1401" i="8" s="1"/>
  <c r="W1398" i="2"/>
  <c r="A1405" i="8" s="1"/>
  <c r="W1402" i="2"/>
  <c r="A1409" i="8" s="1"/>
  <c r="W1406" i="2"/>
  <c r="A1413" i="8" s="1"/>
  <c r="W1410" i="2"/>
  <c r="A1417" i="8" s="1"/>
  <c r="W1414" i="2"/>
  <c r="A1421" i="8" s="1"/>
  <c r="W1418" i="2"/>
  <c r="A1425" i="8" s="1"/>
  <c r="W1422" i="2"/>
  <c r="A1429" i="8" s="1"/>
  <c r="W1426" i="2"/>
  <c r="A1433" i="8" s="1"/>
  <c r="W1430" i="2"/>
  <c r="A1437" i="8" s="1"/>
  <c r="W1434" i="2"/>
  <c r="A1441" i="8" s="1"/>
  <c r="W1438" i="2"/>
  <c r="A1445" i="8" s="1"/>
  <c r="W1442" i="2"/>
  <c r="A1449" i="8" s="1"/>
  <c r="W1446" i="2"/>
  <c r="A1453" i="8" s="1"/>
  <c r="W1450" i="2"/>
  <c r="A1457" i="8" s="1"/>
  <c r="W1454" i="2"/>
  <c r="A1461" i="8" s="1"/>
  <c r="W1458" i="2"/>
  <c r="A1465" i="8" s="1"/>
  <c r="W1462" i="2"/>
  <c r="A1469" i="8" s="1"/>
  <c r="W1466" i="2"/>
  <c r="A1473" i="8" s="1"/>
  <c r="W1470" i="2"/>
  <c r="A1477" i="8" s="1"/>
  <c r="W1474" i="2"/>
  <c r="A1481" i="8" s="1"/>
  <c r="W1478" i="2"/>
  <c r="A1485" i="8" s="1"/>
  <c r="W1482" i="2"/>
  <c r="A1489" i="8" s="1"/>
  <c r="W1486" i="2"/>
  <c r="A1493" i="8" s="1"/>
  <c r="W1490" i="2"/>
  <c r="A1497" i="8" s="1"/>
  <c r="W1494" i="2"/>
  <c r="A1501" i="8" s="1"/>
  <c r="W1498" i="2"/>
  <c r="A1505" i="8" s="1"/>
  <c r="W1502" i="2"/>
  <c r="A1509" i="8" s="1"/>
  <c r="W1506" i="2"/>
  <c r="A1513" i="8" s="1"/>
  <c r="W1510" i="2"/>
  <c r="A1517" i="8" s="1"/>
  <c r="W1514" i="2"/>
  <c r="A1521" i="8" s="1"/>
  <c r="W1518" i="2"/>
  <c r="A1525" i="8" s="1"/>
  <c r="W1522" i="2"/>
  <c r="A1529" i="8" s="1"/>
  <c r="W1526" i="2"/>
  <c r="A1533" i="8" s="1"/>
  <c r="W1530" i="2"/>
  <c r="A1537" i="8" s="1"/>
  <c r="W1534" i="2"/>
  <c r="A1541" i="8" s="1"/>
  <c r="W1538" i="2"/>
  <c r="A1545" i="8" s="1"/>
  <c r="W1542" i="2"/>
  <c r="A1549" i="8" s="1"/>
  <c r="W1546" i="2"/>
  <c r="A1553" i="8" s="1"/>
  <c r="W1550" i="2"/>
  <c r="A1557" i="8" s="1"/>
  <c r="W1554" i="2"/>
  <c r="A1561" i="8" s="1"/>
  <c r="W1558" i="2"/>
  <c r="A1565" i="8" s="1"/>
  <c r="W1562" i="2"/>
  <c r="A1569" i="8" s="1"/>
  <c r="W1566" i="2"/>
  <c r="A1573" i="8" s="1"/>
  <c r="W1570" i="2"/>
  <c r="A1577" i="8" s="1"/>
  <c r="W1574" i="2"/>
  <c r="A1581" i="8" s="1"/>
  <c r="W1578" i="2"/>
  <c r="A1585" i="8" s="1"/>
  <c r="W1582" i="2"/>
  <c r="A1589" i="8" s="1"/>
  <c r="W1586" i="2"/>
  <c r="A1593" i="8" s="1"/>
  <c r="W1590" i="2"/>
  <c r="A1597" i="8" s="1"/>
  <c r="W1594" i="2"/>
  <c r="A1601" i="8" s="1"/>
  <c r="W1598" i="2"/>
  <c r="A1605" i="8" s="1"/>
  <c r="W1602" i="2"/>
  <c r="A1609" i="8" s="1"/>
  <c r="W1606" i="2"/>
  <c r="A1613" i="8" s="1"/>
  <c r="W1610" i="2"/>
  <c r="A1617" i="8" s="1"/>
  <c r="W1614" i="2"/>
  <c r="A1621" i="8" s="1"/>
  <c r="W1618" i="2"/>
  <c r="A1624" i="8" s="1"/>
  <c r="W1622" i="2"/>
  <c r="A1628" i="8" s="1"/>
  <c r="W1626" i="2"/>
  <c r="A1632" i="8" s="1"/>
  <c r="W1630" i="2"/>
  <c r="A1636" i="8" s="1"/>
  <c r="W1634" i="2"/>
  <c r="A1640" i="8" s="1"/>
  <c r="W1638" i="2"/>
  <c r="A1644" i="8" s="1"/>
  <c r="W1642" i="2"/>
  <c r="A1648" i="8" s="1"/>
  <c r="W1646" i="2"/>
  <c r="A1652" i="8" s="1"/>
  <c r="W1650" i="2"/>
  <c r="A1656" i="8" s="1"/>
  <c r="W1654" i="2"/>
  <c r="A1660" i="8" s="1"/>
  <c r="W1658" i="2"/>
  <c r="A1664" i="8" s="1"/>
  <c r="W1662" i="2"/>
  <c r="A1668" i="8" s="1"/>
  <c r="W1666" i="2"/>
  <c r="A1672" i="8" s="1"/>
  <c r="W1670" i="2"/>
  <c r="A1676" i="8" s="1"/>
  <c r="W1674" i="2"/>
  <c r="A1680" i="8" s="1"/>
  <c r="W1678" i="2"/>
  <c r="A1684" i="8" s="1"/>
  <c r="W1682" i="2"/>
  <c r="A1688" i="8" s="1"/>
  <c r="W1686" i="2"/>
  <c r="A1692" i="8" s="1"/>
  <c r="W1690" i="2"/>
  <c r="A1696" i="8" s="1"/>
  <c r="W1694" i="2"/>
  <c r="A1700" i="8" s="1"/>
  <c r="W1698" i="2"/>
  <c r="A1704" i="8" s="1"/>
  <c r="W1702" i="2"/>
  <c r="A1708" i="8" s="1"/>
  <c r="W1706" i="2"/>
  <c r="A1712" i="8" s="1"/>
  <c r="W1710" i="2"/>
  <c r="A1716" i="8" s="1"/>
  <c r="W1714" i="2"/>
  <c r="A1720" i="8" s="1"/>
  <c r="W1718" i="2"/>
  <c r="A1724" i="8" s="1"/>
  <c r="W1722" i="2"/>
  <c r="A1728" i="8" s="1"/>
  <c r="W1726" i="2"/>
  <c r="A7" i="8" s="1"/>
  <c r="W1730" i="2"/>
  <c r="A1735" i="8" s="1"/>
  <c r="W1734" i="2"/>
  <c r="A1739" i="8" s="1"/>
  <c r="W1738" i="2"/>
  <c r="A1743" i="8" s="1"/>
  <c r="W1742" i="2"/>
  <c r="A1747" i="8" s="1"/>
  <c r="W1746" i="2"/>
  <c r="A1751" i="8" s="1"/>
  <c r="W1750" i="2"/>
  <c r="A1755" i="8" s="1"/>
  <c r="W1754" i="2"/>
  <c r="A1759" i="8" s="1"/>
  <c r="W1758" i="2"/>
  <c r="A1763" i="8" s="1"/>
  <c r="W1762" i="2"/>
  <c r="A1767" i="8" s="1"/>
  <c r="W1766" i="2"/>
  <c r="A1771" i="8" s="1"/>
  <c r="W1770" i="2"/>
  <c r="A1775" i="8" s="1"/>
  <c r="W1774" i="2"/>
  <c r="A1779" i="8" s="1"/>
  <c r="W1778" i="2"/>
  <c r="A1783" i="8" s="1"/>
  <c r="W1782" i="2"/>
  <c r="A1787" i="8" s="1"/>
  <c r="W1786" i="2"/>
  <c r="A1791" i="8" s="1"/>
  <c r="W1790" i="2"/>
  <c r="A1795" i="8" s="1"/>
  <c r="W1794" i="2"/>
  <c r="A1799" i="8" s="1"/>
  <c r="W1798" i="2"/>
  <c r="A1803" i="8" s="1"/>
  <c r="W1802" i="2"/>
  <c r="A1807" i="8" s="1"/>
  <c r="W1806" i="2"/>
  <c r="A1811" i="8" s="1"/>
  <c r="W1810" i="2"/>
  <c r="A1815" i="8" s="1"/>
  <c r="W1814" i="2"/>
  <c r="A1819" i="8" s="1"/>
  <c r="W1818" i="2"/>
  <c r="A1823" i="8" s="1"/>
  <c r="W1822" i="2"/>
  <c r="A1827" i="8" s="1"/>
  <c r="W1826" i="2"/>
  <c r="A1831" i="8" s="1"/>
  <c r="W1830" i="2"/>
  <c r="A1835" i="8" s="1"/>
  <c r="W1834" i="2"/>
  <c r="A1839" i="8" s="1"/>
  <c r="W1838" i="2"/>
  <c r="A1842" i="8" s="1"/>
  <c r="W1842" i="2"/>
  <c r="A1846" i="8" s="1"/>
  <c r="W1846" i="2"/>
  <c r="A1850" i="8" s="1"/>
  <c r="W1850" i="2"/>
  <c r="A1854" i="8" s="1"/>
  <c r="W1854" i="2"/>
  <c r="A1858" i="8" s="1"/>
  <c r="W1858" i="2"/>
  <c r="A1861" i="8" s="1"/>
  <c r="W1862" i="2"/>
  <c r="A1865" i="8" s="1"/>
  <c r="W1866" i="2"/>
  <c r="A1869" i="8" s="1"/>
  <c r="W1870" i="2"/>
  <c r="A1873" i="8" s="1"/>
  <c r="W1874" i="2"/>
  <c r="A1877" i="8" s="1"/>
  <c r="W1878" i="2"/>
  <c r="A1881" i="8" s="1"/>
  <c r="W1882" i="2"/>
  <c r="A1885" i="8" s="1"/>
  <c r="W1886" i="2"/>
  <c r="A1889" i="8" s="1"/>
  <c r="W1890" i="2"/>
  <c r="A1893" i="8" s="1"/>
  <c r="W1894" i="2"/>
  <c r="A1897" i="8" s="1"/>
  <c r="W1898" i="2"/>
  <c r="A1901" i="8" s="1"/>
  <c r="W1902" i="2"/>
  <c r="A1905" i="8" s="1"/>
  <c r="W1906" i="2"/>
  <c r="A1909" i="8" s="1"/>
  <c r="W1910" i="2"/>
  <c r="A1913" i="8" s="1"/>
  <c r="W1914" i="2"/>
  <c r="A1917" i="8" s="1"/>
  <c r="W1918" i="2"/>
  <c r="A1921" i="8" s="1"/>
  <c r="W1922" i="2"/>
  <c r="A1925" i="8" s="1"/>
  <c r="W1926" i="2"/>
  <c r="A1929" i="8" s="1"/>
  <c r="W1930" i="2"/>
  <c r="A1932" i="8" s="1"/>
  <c r="W1934" i="2"/>
  <c r="A1936" i="8" s="1"/>
  <c r="W1938" i="2"/>
  <c r="A1940" i="8" s="1"/>
  <c r="W1942" i="2"/>
  <c r="A1943" i="8" s="1"/>
  <c r="W1946" i="2"/>
  <c r="A1947" i="8" s="1"/>
  <c r="W1950" i="2"/>
  <c r="A1951" i="8" s="1"/>
  <c r="W1954" i="2"/>
  <c r="A1955" i="8" s="1"/>
  <c r="W1958" i="2"/>
  <c r="A1959" i="8" s="1"/>
  <c r="W1962" i="2"/>
  <c r="A1963" i="8" s="1"/>
  <c r="W1966" i="2"/>
  <c r="A1967" i="8" s="1"/>
  <c r="W1970" i="2"/>
  <c r="A1971" i="8" s="1"/>
  <c r="W1974" i="2"/>
  <c r="A1975" i="8" s="1"/>
  <c r="W1978" i="2"/>
  <c r="A1979" i="8" s="1"/>
  <c r="W1982" i="2"/>
  <c r="A1983" i="8" s="1"/>
  <c r="W1986" i="2"/>
  <c r="A1987" i="8" s="1"/>
  <c r="W1990" i="2"/>
  <c r="A1991" i="8" s="1"/>
  <c r="W1994" i="2"/>
  <c r="A1995" i="8" s="1"/>
  <c r="W1998" i="2"/>
  <c r="A1999" i="8" s="1"/>
  <c r="W2002" i="2"/>
  <c r="A2003" i="8" s="1"/>
  <c r="W2006" i="2"/>
  <c r="A2007" i="8" s="1"/>
  <c r="W2010" i="2"/>
  <c r="A2011" i="8" s="1"/>
  <c r="W2014" i="2"/>
  <c r="A2015" i="8" s="1"/>
  <c r="W2018" i="2"/>
  <c r="A2019" i="8" s="1"/>
  <c r="W2022" i="2"/>
  <c r="A2023" i="8" s="1"/>
  <c r="W2026" i="2"/>
  <c r="A2027" i="8" s="1"/>
  <c r="W2030" i="2"/>
  <c r="A2031" i="8" s="1"/>
  <c r="W2034" i="2"/>
  <c r="A2035" i="8" s="1"/>
  <c r="W2038" i="2"/>
  <c r="A2039" i="8" s="1"/>
  <c r="W2042" i="2"/>
  <c r="A2043" i="8" s="1"/>
  <c r="W2046" i="2"/>
  <c r="A2047" i="8" s="1"/>
  <c r="W2050" i="2"/>
  <c r="A2051" i="8" s="1"/>
  <c r="W2054" i="2"/>
  <c r="A2055" i="8" s="1"/>
  <c r="W2058" i="2"/>
  <c r="A2059" i="8" s="1"/>
  <c r="W2062" i="2"/>
  <c r="A2063" i="8" s="1"/>
  <c r="W2066" i="2"/>
  <c r="A2067" i="8" s="1"/>
  <c r="W2070" i="2"/>
  <c r="A2071" i="8" s="1"/>
  <c r="W2074" i="2"/>
  <c r="A2075" i="8" s="1"/>
  <c r="W2078" i="2"/>
  <c r="A2079" i="8" s="1"/>
  <c r="W2082" i="2"/>
  <c r="A2083" i="8" s="1"/>
  <c r="W2086" i="2"/>
  <c r="A2086" i="8" s="1"/>
  <c r="W2090" i="2"/>
  <c r="A2090" i="8" s="1"/>
  <c r="W2094" i="2"/>
  <c r="A2094" i="8" s="1"/>
  <c r="W2098" i="2"/>
  <c r="A2098" i="8" s="1"/>
  <c r="W2102" i="2"/>
  <c r="A2102" i="8" s="1"/>
  <c r="W2106" i="2"/>
  <c r="A2106" i="8" s="1"/>
  <c r="W2110" i="2"/>
  <c r="A2110" i="8" s="1"/>
  <c r="W2114" i="2"/>
  <c r="A2114" i="8" s="1"/>
  <c r="W2118" i="2"/>
  <c r="A2118" i="8" s="1"/>
  <c r="W2122" i="2"/>
  <c r="A2122" i="8" s="1"/>
  <c r="W2126" i="2"/>
  <c r="A2126" i="8" s="1"/>
  <c r="W2130" i="2"/>
  <c r="A2130" i="8" s="1"/>
  <c r="W2134" i="2"/>
  <c r="A2134" i="8" s="1"/>
  <c r="W2138" i="2"/>
  <c r="A2138" i="8" s="1"/>
  <c r="W2142" i="2"/>
  <c r="A2142" i="8" s="1"/>
  <c r="W2146" i="2"/>
  <c r="A2146" i="8" s="1"/>
  <c r="W2150" i="2"/>
  <c r="A2150" i="8" s="1"/>
  <c r="W2154" i="2"/>
  <c r="A2154" i="8" s="1"/>
  <c r="W2158" i="2"/>
  <c r="A2158" i="8" s="1"/>
  <c r="W2162" i="2"/>
  <c r="A2162" i="8" s="1"/>
  <c r="W2166" i="2"/>
  <c r="A2166" i="8" s="1"/>
  <c r="X36" i="2"/>
  <c r="L48" i="8" s="1"/>
  <c r="X40" i="2"/>
  <c r="L52" i="8" s="1"/>
  <c r="X44" i="2"/>
  <c r="L56" i="8" s="1"/>
  <c r="X48" i="2"/>
  <c r="L60" i="8" s="1"/>
  <c r="X52" i="2"/>
  <c r="L64" i="8" s="1"/>
  <c r="X56" i="2"/>
  <c r="L68" i="8" s="1"/>
  <c r="X60" i="2"/>
  <c r="L72" i="8" s="1"/>
  <c r="X64" i="2"/>
  <c r="L76" i="8" s="1"/>
  <c r="X68" i="2"/>
  <c r="L79" i="8" s="1"/>
  <c r="X72" i="2"/>
  <c r="L82" i="8" s="1"/>
  <c r="X76" i="2"/>
  <c r="L86" i="8" s="1"/>
  <c r="X80" i="2"/>
  <c r="L90" i="8" s="1"/>
  <c r="X84" i="2"/>
  <c r="L94" i="8" s="1"/>
  <c r="X88" i="2"/>
  <c r="L98" i="8" s="1"/>
  <c r="X92" i="2"/>
  <c r="L102" i="8" s="1"/>
  <c r="X96" i="2"/>
  <c r="L106" i="8" s="1"/>
  <c r="X100" i="2"/>
  <c r="L110" i="8" s="1"/>
  <c r="X104" i="2"/>
  <c r="L114" i="8" s="1"/>
  <c r="X108" i="2"/>
  <c r="L118" i="8" s="1"/>
  <c r="X112" i="2"/>
  <c r="L122" i="8" s="1"/>
  <c r="X116" i="2"/>
  <c r="L126" i="8" s="1"/>
  <c r="X120" i="2"/>
  <c r="L130" i="8" s="1"/>
  <c r="X124" i="2"/>
  <c r="L134" i="8" s="1"/>
  <c r="X128" i="2"/>
  <c r="L138" i="8" s="1"/>
  <c r="X132" i="2"/>
  <c r="L142" i="8" s="1"/>
  <c r="X136" i="2"/>
  <c r="L146" i="8" s="1"/>
  <c r="X140" i="2"/>
  <c r="L150" i="8" s="1"/>
  <c r="X144" i="2"/>
  <c r="L154" i="8" s="1"/>
  <c r="X148" i="2"/>
  <c r="L158" i="8" s="1"/>
  <c r="X152" i="2"/>
  <c r="L162" i="8" s="1"/>
  <c r="X156" i="2"/>
  <c r="L166" i="8" s="1"/>
  <c r="X160" i="2"/>
  <c r="L170" i="8" s="1"/>
  <c r="X164" i="2"/>
  <c r="L174" i="8" s="1"/>
  <c r="X168" i="2"/>
  <c r="L178" i="8" s="1"/>
  <c r="X172" i="2"/>
  <c r="L182" i="8" s="1"/>
  <c r="X176" i="2"/>
  <c r="L186" i="8" s="1"/>
  <c r="X180" i="2"/>
  <c r="L190" i="8" s="1"/>
  <c r="X184" i="2"/>
  <c r="L194" i="8" s="1"/>
  <c r="X188" i="2"/>
  <c r="L198" i="8" s="1"/>
  <c r="X192" i="2"/>
  <c r="L202" i="8" s="1"/>
  <c r="X196" i="2"/>
  <c r="L206" i="8" s="1"/>
  <c r="X200" i="2"/>
  <c r="L210" i="8" s="1"/>
  <c r="X204" i="2"/>
  <c r="L214" i="8" s="1"/>
  <c r="X208" i="2"/>
  <c r="L218" i="8" s="1"/>
  <c r="X212" i="2"/>
  <c r="L222" i="8" s="1"/>
  <c r="X216" i="2"/>
  <c r="L226" i="8" s="1"/>
  <c r="X220" i="2"/>
  <c r="L230" i="8" s="1"/>
  <c r="X224" i="2"/>
  <c r="L234" i="8" s="1"/>
  <c r="X228" i="2"/>
  <c r="L238" i="8" s="1"/>
  <c r="X232" i="2"/>
  <c r="L242" i="8" s="1"/>
  <c r="X236" i="2"/>
  <c r="L246" i="8" s="1"/>
  <c r="X240" i="2"/>
  <c r="L250" i="8" s="1"/>
  <c r="X244" i="2"/>
  <c r="L254" i="8" s="1"/>
  <c r="X248" i="2"/>
  <c r="L258" i="8" s="1"/>
  <c r="X252" i="2"/>
  <c r="L262" i="8" s="1"/>
  <c r="X256" i="2"/>
  <c r="L266" i="8" s="1"/>
  <c r="X260" i="2"/>
  <c r="L270" i="8" s="1"/>
  <c r="X264" i="2"/>
  <c r="L274" i="8" s="1"/>
  <c r="X268" i="2"/>
  <c r="L278" i="8" s="1"/>
  <c r="X272" i="2"/>
  <c r="L282" i="8" s="1"/>
  <c r="X276" i="2"/>
  <c r="L286" i="8" s="1"/>
  <c r="X280" i="2"/>
  <c r="L290" i="8" s="1"/>
  <c r="X284" i="2"/>
  <c r="L294" i="8" s="1"/>
  <c r="X288" i="2"/>
  <c r="L298" i="8" s="1"/>
  <c r="X292" i="2"/>
  <c r="L302" i="8" s="1"/>
  <c r="X296" i="2"/>
  <c r="L306" i="8" s="1"/>
  <c r="X300" i="2"/>
  <c r="L310" i="8" s="1"/>
  <c r="X304" i="2"/>
  <c r="L314" i="8" s="1"/>
  <c r="X308" i="2"/>
  <c r="L318" i="8" s="1"/>
  <c r="X312" i="2"/>
  <c r="L322" i="8" s="1"/>
  <c r="X316" i="2"/>
  <c r="L326" i="8" s="1"/>
  <c r="X320" i="2"/>
  <c r="L330" i="8" s="1"/>
  <c r="X324" i="2"/>
  <c r="L334" i="8" s="1"/>
  <c r="X328" i="2"/>
  <c r="L338" i="8" s="1"/>
  <c r="X332" i="2"/>
  <c r="L342" i="8" s="1"/>
  <c r="X336" i="2"/>
  <c r="L346" i="8" s="1"/>
  <c r="X340" i="2"/>
  <c r="L350" i="8" s="1"/>
  <c r="X344" i="2"/>
  <c r="L354" i="8" s="1"/>
  <c r="X348" i="2"/>
  <c r="L358" i="8" s="1"/>
  <c r="X352" i="2"/>
  <c r="L362" i="8" s="1"/>
  <c r="X356" i="2"/>
  <c r="L366" i="8" s="1"/>
  <c r="X360" i="2"/>
  <c r="L370" i="8" s="1"/>
  <c r="X364" i="2"/>
  <c r="L374" i="8" s="1"/>
  <c r="X368" i="2"/>
  <c r="L378" i="8" s="1"/>
  <c r="X372" i="2"/>
  <c r="L382" i="8" s="1"/>
  <c r="X376" i="2"/>
  <c r="L386" i="8" s="1"/>
  <c r="X380" i="2"/>
  <c r="L390" i="8" s="1"/>
  <c r="X384" i="2"/>
  <c r="L394" i="8" s="1"/>
  <c r="X388" i="2"/>
  <c r="L398" i="8" s="1"/>
  <c r="X392" i="2"/>
  <c r="L402" i="8" s="1"/>
  <c r="X396" i="2"/>
  <c r="L406" i="8" s="1"/>
  <c r="X400" i="2"/>
  <c r="L410" i="8" s="1"/>
  <c r="X404" i="2"/>
  <c r="L414" i="8" s="1"/>
  <c r="X408" i="2"/>
  <c r="L418" i="8" s="1"/>
  <c r="X412" i="2"/>
  <c r="L422" i="8" s="1"/>
  <c r="X416" i="2"/>
  <c r="L426" i="8" s="1"/>
  <c r="X420" i="2"/>
  <c r="L430" i="8" s="1"/>
  <c r="X424" i="2"/>
  <c r="L434" i="8" s="1"/>
  <c r="X428" i="2"/>
  <c r="L438" i="8" s="1"/>
  <c r="X432" i="2"/>
  <c r="L442" i="8" s="1"/>
  <c r="X436" i="2"/>
  <c r="L446" i="8" s="1"/>
  <c r="X440" i="2"/>
  <c r="L450" i="8" s="1"/>
  <c r="X444" i="2"/>
  <c r="L454" i="8" s="1"/>
  <c r="X448" i="2"/>
  <c r="L458" i="8" s="1"/>
  <c r="X452" i="2"/>
  <c r="L462" i="8" s="1"/>
  <c r="X456" i="2"/>
  <c r="L466" i="8" s="1"/>
  <c r="X460" i="2"/>
  <c r="L470" i="8" s="1"/>
  <c r="X464" i="2"/>
  <c r="L474" i="8" s="1"/>
  <c r="X468" i="2"/>
  <c r="L478" i="8" s="1"/>
  <c r="X472" i="2"/>
  <c r="L482" i="8" s="1"/>
  <c r="X476" i="2"/>
  <c r="L486" i="8" s="1"/>
  <c r="X480" i="2"/>
  <c r="L490" i="8" s="1"/>
  <c r="X484" i="2"/>
  <c r="L494" i="8" s="1"/>
  <c r="X488" i="2"/>
  <c r="L498" i="8" s="1"/>
  <c r="X492" i="2"/>
  <c r="L502" i="8" s="1"/>
  <c r="X496" i="2"/>
  <c r="L506" i="8" s="1"/>
  <c r="X500" i="2"/>
  <c r="L510" i="8" s="1"/>
  <c r="X504" i="2"/>
  <c r="L514" i="8" s="1"/>
  <c r="X508" i="2"/>
  <c r="L518" i="8" s="1"/>
  <c r="X512" i="2"/>
  <c r="L522" i="8" s="1"/>
  <c r="X516" i="2"/>
  <c r="L526" i="8" s="1"/>
  <c r="X520" i="2"/>
  <c r="L530" i="8" s="1"/>
  <c r="X524" i="2"/>
  <c r="L534" i="8" s="1"/>
  <c r="X528" i="2"/>
  <c r="L538" i="8" s="1"/>
  <c r="X532" i="2"/>
  <c r="L542" i="8" s="1"/>
  <c r="X536" i="2"/>
  <c r="L546" i="8" s="1"/>
  <c r="X540" i="2"/>
  <c r="L550" i="8" s="1"/>
  <c r="X544" i="2"/>
  <c r="L554" i="8" s="1"/>
  <c r="X548" i="2"/>
  <c r="L558" i="8" s="1"/>
  <c r="X552" i="2"/>
  <c r="L562" i="8" s="1"/>
  <c r="X556" i="2"/>
  <c r="L566" i="8" s="1"/>
  <c r="X560" i="2"/>
  <c r="L570" i="8" s="1"/>
  <c r="X564" i="2"/>
  <c r="L574" i="8" s="1"/>
  <c r="X568" i="2"/>
  <c r="L578" i="8" s="1"/>
  <c r="X572" i="2"/>
  <c r="L582" i="8" s="1"/>
  <c r="X576" i="2"/>
  <c r="L586" i="8" s="1"/>
  <c r="X580" i="2"/>
  <c r="L590" i="8" s="1"/>
  <c r="X584" i="2"/>
  <c r="L594" i="8" s="1"/>
  <c r="X588" i="2"/>
  <c r="L598" i="8" s="1"/>
  <c r="X592" i="2"/>
  <c r="L602" i="8" s="1"/>
  <c r="X596" i="2"/>
  <c r="L606" i="8" s="1"/>
  <c r="X600" i="2"/>
  <c r="L610" i="8" s="1"/>
  <c r="X604" i="2"/>
  <c r="L614" i="8" s="1"/>
  <c r="X608" i="2"/>
  <c r="L618" i="8" s="1"/>
  <c r="X612" i="2"/>
  <c r="L622" i="8" s="1"/>
  <c r="X616" i="2"/>
  <c r="L626" i="8" s="1"/>
  <c r="X620" i="2"/>
  <c r="L630" i="8" s="1"/>
  <c r="X624" i="2"/>
  <c r="L634" i="8" s="1"/>
  <c r="X628" i="2"/>
  <c r="L638" i="8" s="1"/>
  <c r="X632" i="2"/>
  <c r="L642" i="8" s="1"/>
  <c r="X636" i="2"/>
  <c r="L646" i="8" s="1"/>
  <c r="X640" i="2"/>
  <c r="L650" i="8" s="1"/>
  <c r="X644" i="2"/>
  <c r="L654" i="8" s="1"/>
  <c r="X648" i="2"/>
  <c r="L658" i="8" s="1"/>
  <c r="X652" i="2"/>
  <c r="L662" i="8" s="1"/>
  <c r="X656" i="2"/>
  <c r="L666" i="8" s="1"/>
  <c r="X660" i="2"/>
  <c r="L670" i="8" s="1"/>
  <c r="X664" i="2"/>
  <c r="L674" i="8" s="1"/>
  <c r="X668" i="2"/>
  <c r="L678" i="8" s="1"/>
  <c r="X672" i="2"/>
  <c r="L682" i="8" s="1"/>
  <c r="X676" i="2"/>
  <c r="L686" i="8" s="1"/>
  <c r="X680" i="2"/>
  <c r="L690" i="8" s="1"/>
  <c r="X684" i="2"/>
  <c r="L694" i="8" s="1"/>
  <c r="X688" i="2"/>
  <c r="L698" i="8" s="1"/>
  <c r="X692" i="2"/>
  <c r="L702" i="8" s="1"/>
  <c r="X696" i="2"/>
  <c r="L706" i="8" s="1"/>
  <c r="X700" i="2"/>
  <c r="L710" i="8" s="1"/>
  <c r="X704" i="2"/>
  <c r="L714" i="8" s="1"/>
  <c r="X708" i="2"/>
  <c r="L718" i="8" s="1"/>
  <c r="X712" i="2"/>
  <c r="L722" i="8" s="1"/>
  <c r="X716" i="2"/>
  <c r="L726" i="8" s="1"/>
  <c r="X720" i="2"/>
  <c r="L729" i="8" s="1"/>
  <c r="X724" i="2"/>
  <c r="L733" i="8" s="1"/>
  <c r="X728" i="2"/>
  <c r="L737" i="8" s="1"/>
  <c r="X732" i="2"/>
  <c r="L741" i="8" s="1"/>
  <c r="X736" i="2"/>
  <c r="L745" i="8" s="1"/>
  <c r="X740" i="2"/>
  <c r="L749" i="8" s="1"/>
  <c r="X744" i="2"/>
  <c r="L753" i="8" s="1"/>
  <c r="X748" i="2"/>
  <c r="L757" i="8" s="1"/>
  <c r="X752" i="2"/>
  <c r="L761" i="8" s="1"/>
  <c r="X756" i="2"/>
  <c r="L765" i="8" s="1"/>
  <c r="X760" i="2"/>
  <c r="L769" i="8" s="1"/>
  <c r="X764" i="2"/>
  <c r="L773" i="8" s="1"/>
  <c r="X768" i="2"/>
  <c r="L777" i="8" s="1"/>
  <c r="X772" i="2"/>
  <c r="L781" i="8" s="1"/>
  <c r="X776" i="2"/>
  <c r="L785" i="8" s="1"/>
  <c r="X780" i="2"/>
  <c r="L789" i="8" s="1"/>
  <c r="X784" i="2"/>
  <c r="L793" i="8" s="1"/>
  <c r="X788" i="2"/>
  <c r="L797" i="8" s="1"/>
  <c r="X792" i="2"/>
  <c r="L801" i="8" s="1"/>
  <c r="X796" i="2"/>
  <c r="L805" i="8" s="1"/>
  <c r="X800" i="2"/>
  <c r="L809" i="8" s="1"/>
  <c r="X804" i="2"/>
  <c r="L813" i="8" s="1"/>
  <c r="X808" i="2"/>
  <c r="L817" i="8" s="1"/>
  <c r="X812" i="2"/>
  <c r="L821" i="8" s="1"/>
  <c r="X816" i="2"/>
  <c r="L825" i="8" s="1"/>
  <c r="X820" i="2"/>
  <c r="L829" i="8" s="1"/>
  <c r="X824" i="2"/>
  <c r="L833" i="8" s="1"/>
  <c r="X828" i="2"/>
  <c r="L837" i="8" s="1"/>
  <c r="X832" i="2"/>
  <c r="L841" i="8" s="1"/>
  <c r="X836" i="2"/>
  <c r="L845" i="8" s="1"/>
  <c r="X840" i="2"/>
  <c r="L849" i="8" s="1"/>
  <c r="X844" i="2"/>
  <c r="L853" i="8" s="1"/>
  <c r="X848" i="2"/>
  <c r="L857" i="8" s="1"/>
  <c r="X852" i="2"/>
  <c r="L861" i="8" s="1"/>
  <c r="X856" i="2"/>
  <c r="L865" i="8" s="1"/>
  <c r="X860" i="2"/>
  <c r="L869" i="8" s="1"/>
  <c r="X864" i="2"/>
  <c r="L873" i="8" s="1"/>
  <c r="X868" i="2"/>
  <c r="L877" i="8" s="1"/>
  <c r="X872" i="2"/>
  <c r="L881" i="8" s="1"/>
  <c r="X876" i="2"/>
  <c r="L885" i="8" s="1"/>
  <c r="X880" i="2"/>
  <c r="L889" i="8" s="1"/>
  <c r="X884" i="2"/>
  <c r="L893" i="8" s="1"/>
  <c r="X888" i="2"/>
  <c r="L897" i="8" s="1"/>
  <c r="X892" i="2"/>
  <c r="L901" i="8" s="1"/>
  <c r="X896" i="2"/>
  <c r="L905" i="8" s="1"/>
  <c r="X900" i="2"/>
  <c r="L909" i="8" s="1"/>
  <c r="X904" i="2"/>
  <c r="L913" i="8" s="1"/>
  <c r="X908" i="2"/>
  <c r="L917" i="8" s="1"/>
  <c r="X912" i="2"/>
  <c r="L921" i="8" s="1"/>
  <c r="X916" i="2"/>
  <c r="L925" i="8" s="1"/>
  <c r="X920" i="2"/>
  <c r="L929" i="8" s="1"/>
  <c r="X924" i="2"/>
  <c r="L933" i="8" s="1"/>
  <c r="X928" i="2"/>
  <c r="L937" i="8" s="1"/>
  <c r="X932" i="2"/>
  <c r="L941" i="8" s="1"/>
  <c r="X936" i="2"/>
  <c r="L945" i="8" s="1"/>
  <c r="X940" i="2"/>
  <c r="L949" i="8" s="1"/>
  <c r="X944" i="2"/>
  <c r="L953" i="8" s="1"/>
  <c r="X948" i="2"/>
  <c r="L957" i="8" s="1"/>
  <c r="X952" i="2"/>
  <c r="L961" i="8" s="1"/>
  <c r="X956" i="2"/>
  <c r="L965" i="8" s="1"/>
  <c r="X960" i="2"/>
  <c r="L969" i="8" s="1"/>
  <c r="X964" i="2"/>
  <c r="L973" i="8" s="1"/>
  <c r="X968" i="2"/>
  <c r="L976" i="8" s="1"/>
  <c r="X972" i="2"/>
  <c r="L980" i="8" s="1"/>
  <c r="X976" i="2"/>
  <c r="L984" i="8" s="1"/>
  <c r="X980" i="2"/>
  <c r="L988" i="8" s="1"/>
  <c r="X984" i="2"/>
  <c r="L992" i="8" s="1"/>
  <c r="X988" i="2"/>
  <c r="L996" i="8" s="1"/>
  <c r="X992" i="2"/>
  <c r="L1000" i="8" s="1"/>
  <c r="X996" i="2"/>
  <c r="L1004" i="8" s="1"/>
  <c r="X1000" i="2"/>
  <c r="L1008" i="8" s="1"/>
  <c r="X1004" i="2"/>
  <c r="L1012" i="8" s="1"/>
  <c r="X1008" i="2"/>
  <c r="L1016" i="8" s="1"/>
  <c r="X1012" i="2"/>
  <c r="L1020" i="8" s="1"/>
  <c r="X1016" i="2"/>
  <c r="L1024" i="8" s="1"/>
  <c r="X1020" i="2"/>
  <c r="L1028" i="8" s="1"/>
  <c r="X1024" i="2"/>
  <c r="L1032" i="8" s="1"/>
  <c r="X1028" i="2"/>
  <c r="L1036" i="8" s="1"/>
  <c r="X1032" i="2"/>
  <c r="L1040" i="8" s="1"/>
  <c r="X1036" i="2"/>
  <c r="L1044" i="8" s="1"/>
  <c r="X1040" i="2"/>
  <c r="L1048" i="8" s="1"/>
  <c r="X1044" i="2"/>
  <c r="L1052" i="8" s="1"/>
  <c r="X1048" i="2"/>
  <c r="L1056" i="8" s="1"/>
  <c r="X1052" i="2"/>
  <c r="L1060" i="8" s="1"/>
  <c r="X1056" i="2"/>
  <c r="L1064" i="8" s="1"/>
  <c r="X1060" i="2"/>
  <c r="L1068" i="8" s="1"/>
  <c r="X1064" i="2"/>
  <c r="L1072" i="8" s="1"/>
  <c r="X1068" i="2"/>
  <c r="L1076" i="8" s="1"/>
  <c r="X1072" i="2"/>
  <c r="L1080" i="8" s="1"/>
  <c r="X1076" i="2"/>
  <c r="L1084" i="8" s="1"/>
  <c r="X1080" i="2"/>
  <c r="L1088" i="8" s="1"/>
  <c r="X1084" i="2"/>
  <c r="L1092" i="8" s="1"/>
  <c r="X1088" i="2"/>
  <c r="L1096" i="8" s="1"/>
  <c r="X1092" i="2"/>
  <c r="L1100" i="8" s="1"/>
  <c r="X1096" i="2"/>
  <c r="L1104" i="8" s="1"/>
  <c r="X1100" i="2"/>
  <c r="L1108" i="8" s="1"/>
  <c r="X1104" i="2"/>
  <c r="L1112" i="8" s="1"/>
  <c r="X1108" i="2"/>
  <c r="L1116" i="8" s="1"/>
  <c r="X1112" i="2"/>
  <c r="L1120" i="8" s="1"/>
  <c r="X1116" i="2"/>
  <c r="L1124" i="8" s="1"/>
  <c r="X1120" i="2"/>
  <c r="L1128" i="8" s="1"/>
  <c r="X1124" i="2"/>
  <c r="L1132" i="8" s="1"/>
  <c r="X1128" i="2"/>
  <c r="L1136" i="8" s="1"/>
  <c r="X1132" i="2"/>
  <c r="L1140" i="8" s="1"/>
  <c r="X1136" i="2"/>
  <c r="L1144" i="8" s="1"/>
  <c r="X1140" i="2"/>
  <c r="L1148" i="8" s="1"/>
  <c r="X1144" i="2"/>
  <c r="L1152" i="8" s="1"/>
  <c r="X1148" i="2"/>
  <c r="L1156" i="8" s="1"/>
  <c r="X1152" i="2"/>
  <c r="L1160" i="8" s="1"/>
  <c r="X1156" i="2"/>
  <c r="L1164" i="8" s="1"/>
  <c r="X1160" i="2"/>
  <c r="L1168" i="8" s="1"/>
  <c r="X1164" i="2"/>
  <c r="L1172" i="8" s="1"/>
  <c r="X1168" i="2"/>
  <c r="L1176" i="8" s="1"/>
  <c r="X1172" i="2"/>
  <c r="L1180" i="8" s="1"/>
  <c r="X1176" i="2"/>
  <c r="L1184" i="8" s="1"/>
  <c r="X1180" i="2"/>
  <c r="L1188" i="8" s="1"/>
  <c r="X1184" i="2"/>
  <c r="L1192" i="8" s="1"/>
  <c r="X1188" i="2"/>
  <c r="L1196" i="8" s="1"/>
  <c r="X1192" i="2"/>
  <c r="L1200" i="8" s="1"/>
  <c r="X1196" i="2"/>
  <c r="L1204" i="8" s="1"/>
  <c r="X1200" i="2"/>
  <c r="L1208" i="8" s="1"/>
  <c r="X1204" i="2"/>
  <c r="L1212" i="8" s="1"/>
  <c r="X1208" i="2"/>
  <c r="L1216" i="8" s="1"/>
  <c r="X1212" i="2"/>
  <c r="L1220" i="8" s="1"/>
  <c r="X1216" i="2"/>
  <c r="L1224" i="8" s="1"/>
  <c r="X1220" i="2"/>
  <c r="L1228" i="8" s="1"/>
  <c r="X1224" i="2"/>
  <c r="L1232" i="8" s="1"/>
  <c r="X1228" i="2"/>
  <c r="L1236" i="8" s="1"/>
  <c r="X1232" i="2"/>
  <c r="L1240" i="8" s="1"/>
  <c r="X1236" i="2"/>
  <c r="L1244" i="8" s="1"/>
  <c r="X1240" i="2"/>
  <c r="L1248" i="8" s="1"/>
  <c r="X1244" i="2"/>
  <c r="L1252" i="8" s="1"/>
  <c r="X1248" i="2"/>
  <c r="L1256" i="8" s="1"/>
  <c r="X1252" i="2"/>
  <c r="L1260" i="8" s="1"/>
  <c r="X1256" i="2"/>
  <c r="L1264" i="8" s="1"/>
  <c r="X1260" i="2"/>
  <c r="L1268" i="8" s="1"/>
  <c r="X1264" i="2"/>
  <c r="L1272" i="8" s="1"/>
  <c r="X1268" i="2"/>
  <c r="L1275" i="8" s="1"/>
  <c r="X1272" i="2"/>
  <c r="L1279" i="8" s="1"/>
  <c r="X1276" i="2"/>
  <c r="L1283" i="8" s="1"/>
  <c r="X1280" i="2"/>
  <c r="L1287" i="8" s="1"/>
  <c r="X1284" i="2"/>
  <c r="L1291" i="8" s="1"/>
  <c r="X1288" i="2"/>
  <c r="L1295" i="8" s="1"/>
  <c r="X1292" i="2"/>
  <c r="L1299" i="8" s="1"/>
  <c r="X1296" i="2"/>
  <c r="L1303" i="8" s="1"/>
  <c r="X1300" i="2"/>
  <c r="L1307" i="8" s="1"/>
  <c r="X1304" i="2"/>
  <c r="L1311" i="8" s="1"/>
  <c r="X1308" i="2"/>
  <c r="L1315" i="8" s="1"/>
  <c r="X1312" i="2"/>
  <c r="L1319" i="8" s="1"/>
  <c r="X1316" i="2"/>
  <c r="L1323" i="8" s="1"/>
  <c r="X1320" i="2"/>
  <c r="L1327" i="8" s="1"/>
  <c r="X1324" i="2"/>
  <c r="L1331" i="8" s="1"/>
  <c r="X1328" i="2"/>
  <c r="L1335" i="8" s="1"/>
  <c r="X1332" i="2"/>
  <c r="L1339" i="8" s="1"/>
  <c r="X1336" i="2"/>
  <c r="L1343" i="8" s="1"/>
  <c r="X1340" i="2"/>
  <c r="L1347" i="8" s="1"/>
  <c r="X1344" i="2"/>
  <c r="L1351" i="8" s="1"/>
  <c r="X1348" i="2"/>
  <c r="L1355" i="8" s="1"/>
  <c r="X1352" i="2"/>
  <c r="L1359" i="8" s="1"/>
  <c r="X1356" i="2"/>
  <c r="L1363" i="8" s="1"/>
  <c r="X1360" i="2"/>
  <c r="L1367" i="8" s="1"/>
  <c r="X1364" i="2"/>
  <c r="L1371" i="8" s="1"/>
  <c r="X1368" i="2"/>
  <c r="L1375" i="8" s="1"/>
  <c r="X1372" i="2"/>
  <c r="L1379" i="8" s="1"/>
  <c r="X1376" i="2"/>
  <c r="L1383" i="8" s="1"/>
  <c r="X1380" i="2"/>
  <c r="L1387" i="8" s="1"/>
  <c r="X1384" i="2"/>
  <c r="L1391" i="8" s="1"/>
  <c r="X1388" i="2"/>
  <c r="L1395" i="8" s="1"/>
  <c r="X1392" i="2"/>
  <c r="L1399" i="8" s="1"/>
  <c r="X1396" i="2"/>
  <c r="L1403" i="8" s="1"/>
  <c r="X1400" i="2"/>
  <c r="L1407" i="8" s="1"/>
  <c r="X1404" i="2"/>
  <c r="L1411" i="8" s="1"/>
  <c r="X1408" i="2"/>
  <c r="L1415" i="8" s="1"/>
  <c r="X1412" i="2"/>
  <c r="L1419" i="8" s="1"/>
  <c r="X1416" i="2"/>
  <c r="L1423" i="8" s="1"/>
  <c r="X1420" i="2"/>
  <c r="L1427" i="8" s="1"/>
  <c r="X1424" i="2"/>
  <c r="L1431" i="8" s="1"/>
  <c r="X1428" i="2"/>
  <c r="L1435" i="8" s="1"/>
  <c r="X1432" i="2"/>
  <c r="L1439" i="8" s="1"/>
  <c r="X1436" i="2"/>
  <c r="L1443" i="8" s="1"/>
  <c r="X1440" i="2"/>
  <c r="L1447" i="8" s="1"/>
  <c r="X1444" i="2"/>
  <c r="L1451" i="8" s="1"/>
  <c r="X1448" i="2"/>
  <c r="L1455" i="8" s="1"/>
  <c r="X1452" i="2"/>
  <c r="L1459" i="8" s="1"/>
  <c r="X1456" i="2"/>
  <c r="L1463" i="8" s="1"/>
  <c r="X1460" i="2"/>
  <c r="L1467" i="8" s="1"/>
  <c r="X1464" i="2"/>
  <c r="L1471" i="8" s="1"/>
  <c r="X1468" i="2"/>
  <c r="L1475" i="8" s="1"/>
  <c r="X1472" i="2"/>
  <c r="L1479" i="8" s="1"/>
  <c r="X1476" i="2"/>
  <c r="L1483" i="8" s="1"/>
  <c r="X1480" i="2"/>
  <c r="L1487" i="8" s="1"/>
  <c r="X1484" i="2"/>
  <c r="L1491" i="8" s="1"/>
  <c r="X1488" i="2"/>
  <c r="L1495" i="8" s="1"/>
  <c r="X1492" i="2"/>
  <c r="L1499" i="8" s="1"/>
  <c r="X1496" i="2"/>
  <c r="L1503" i="8" s="1"/>
  <c r="X1500" i="2"/>
  <c r="L1507" i="8" s="1"/>
  <c r="X1504" i="2"/>
  <c r="L1511" i="8" s="1"/>
  <c r="X1508" i="2"/>
  <c r="L1515" i="8" s="1"/>
  <c r="X1512" i="2"/>
  <c r="L1519" i="8" s="1"/>
  <c r="X1516" i="2"/>
  <c r="L1523" i="8" s="1"/>
  <c r="X1520" i="2"/>
  <c r="L1527" i="8" s="1"/>
  <c r="X1524" i="2"/>
  <c r="L1531" i="8" s="1"/>
  <c r="X1528" i="2"/>
  <c r="L1535" i="8" s="1"/>
  <c r="X1532" i="2"/>
  <c r="L1539" i="8" s="1"/>
  <c r="X1536" i="2"/>
  <c r="L1543" i="8" s="1"/>
  <c r="X1540" i="2"/>
  <c r="L1547" i="8" s="1"/>
  <c r="X1544" i="2"/>
  <c r="L1551" i="8" s="1"/>
  <c r="X1548" i="2"/>
  <c r="L1555" i="8" s="1"/>
  <c r="X1552" i="2"/>
  <c r="L1559" i="8" s="1"/>
  <c r="X1556" i="2"/>
  <c r="L1563" i="8" s="1"/>
  <c r="X1560" i="2"/>
  <c r="L1567" i="8" s="1"/>
  <c r="X1564" i="2"/>
  <c r="L1571" i="8" s="1"/>
  <c r="X1568" i="2"/>
  <c r="L1575" i="8" s="1"/>
  <c r="X1572" i="2"/>
  <c r="L1579" i="8" s="1"/>
  <c r="X1576" i="2"/>
  <c r="L1583" i="8" s="1"/>
  <c r="X1580" i="2"/>
  <c r="L1587" i="8" s="1"/>
  <c r="X1584" i="2"/>
  <c r="L1591" i="8" s="1"/>
  <c r="X1588" i="2"/>
  <c r="L1595" i="8" s="1"/>
  <c r="X1592" i="2"/>
  <c r="L1599" i="8" s="1"/>
  <c r="X1596" i="2"/>
  <c r="L1603" i="8" s="1"/>
  <c r="X1600" i="2"/>
  <c r="L1607" i="8" s="1"/>
  <c r="X1604" i="2"/>
  <c r="L1611" i="8" s="1"/>
  <c r="X1608" i="2"/>
  <c r="L1615" i="8" s="1"/>
  <c r="X1612" i="2"/>
  <c r="L1619" i="8" s="1"/>
  <c r="X1616" i="2"/>
  <c r="L1622" i="8" s="1"/>
  <c r="X1620" i="2"/>
  <c r="L1626" i="8" s="1"/>
  <c r="X1624" i="2"/>
  <c r="L1630" i="8" s="1"/>
  <c r="X1628" i="2"/>
  <c r="L1634" i="8" s="1"/>
  <c r="X1632" i="2"/>
  <c r="L1638" i="8" s="1"/>
  <c r="X1636" i="2"/>
  <c r="L1642" i="8" s="1"/>
  <c r="X1640" i="2"/>
  <c r="L1646" i="8" s="1"/>
  <c r="X1644" i="2"/>
  <c r="L1650" i="8" s="1"/>
  <c r="X1648" i="2"/>
  <c r="L1654" i="8" s="1"/>
  <c r="X1652" i="2"/>
  <c r="L1658" i="8" s="1"/>
  <c r="X1656" i="2"/>
  <c r="L1662" i="8" s="1"/>
  <c r="X1660" i="2"/>
  <c r="L1666" i="8" s="1"/>
  <c r="X1664" i="2"/>
  <c r="L1670" i="8" s="1"/>
  <c r="X1668" i="2"/>
  <c r="L1674" i="8" s="1"/>
  <c r="X1672" i="2"/>
  <c r="L1678" i="8" s="1"/>
  <c r="X1676" i="2"/>
  <c r="L1682" i="8" s="1"/>
  <c r="X1680" i="2"/>
  <c r="L1686" i="8" s="1"/>
  <c r="X1684" i="2"/>
  <c r="L1690" i="8" s="1"/>
  <c r="X1688" i="2"/>
  <c r="L1694" i="8" s="1"/>
  <c r="X1692" i="2"/>
  <c r="L1698" i="8" s="1"/>
  <c r="X1696" i="2"/>
  <c r="L1702" i="8" s="1"/>
  <c r="X1700" i="2"/>
  <c r="L1706" i="8" s="1"/>
  <c r="X1704" i="2"/>
  <c r="L1710" i="8" s="1"/>
  <c r="X1708" i="2"/>
  <c r="L1714" i="8" s="1"/>
  <c r="X1712" i="2"/>
  <c r="L1718" i="8" s="1"/>
  <c r="X1716" i="2"/>
  <c r="L1722" i="8" s="1"/>
  <c r="X1720" i="2"/>
  <c r="L1726" i="8" s="1"/>
  <c r="X1724" i="2"/>
  <c r="L1730" i="8" s="1"/>
  <c r="X1728" i="2"/>
  <c r="L1733" i="8" s="1"/>
  <c r="X1732" i="2"/>
  <c r="L1737" i="8" s="1"/>
  <c r="X1736" i="2"/>
  <c r="L1741" i="8" s="1"/>
  <c r="X1740" i="2"/>
  <c r="L1745" i="8" s="1"/>
  <c r="X1744" i="2"/>
  <c r="L1749" i="8" s="1"/>
  <c r="X1748" i="2"/>
  <c r="L1753" i="8" s="1"/>
  <c r="X1752" i="2"/>
  <c r="L1757" i="8" s="1"/>
  <c r="X1756" i="2"/>
  <c r="L1761" i="8" s="1"/>
  <c r="X1760" i="2"/>
  <c r="L1765" i="8" s="1"/>
  <c r="X1764" i="2"/>
  <c r="L1769" i="8" s="1"/>
  <c r="X1768" i="2"/>
  <c r="L1773" i="8" s="1"/>
  <c r="X1772" i="2"/>
  <c r="L1777" i="8" s="1"/>
  <c r="X1776" i="2"/>
  <c r="L1781" i="8" s="1"/>
  <c r="X1780" i="2"/>
  <c r="L1785" i="8" s="1"/>
  <c r="X1784" i="2"/>
  <c r="L1789" i="8" s="1"/>
  <c r="X1788" i="2"/>
  <c r="L1793" i="8" s="1"/>
  <c r="X1792" i="2"/>
  <c r="L1797" i="8" s="1"/>
  <c r="X1796" i="2"/>
  <c r="L1801" i="8" s="1"/>
  <c r="X1800" i="2"/>
  <c r="L1805" i="8" s="1"/>
  <c r="X1804" i="2"/>
  <c r="L1809" i="8" s="1"/>
  <c r="X1808" i="2"/>
  <c r="L1813" i="8" s="1"/>
  <c r="X1812" i="2"/>
  <c r="L1817" i="8" s="1"/>
  <c r="X1816" i="2"/>
  <c r="L1821" i="8" s="1"/>
  <c r="X1820" i="2"/>
  <c r="L1825" i="8" s="1"/>
  <c r="X1824" i="2"/>
  <c r="L1829" i="8" s="1"/>
  <c r="X1828" i="2"/>
  <c r="L1833" i="8" s="1"/>
  <c r="X1832" i="2"/>
  <c r="L1837" i="8" s="1"/>
  <c r="X1836" i="2"/>
  <c r="L1841" i="8" s="1"/>
  <c r="X1840" i="2"/>
  <c r="L1844" i="8" s="1"/>
  <c r="X1844" i="2"/>
  <c r="L1848" i="8" s="1"/>
  <c r="X1848" i="2"/>
  <c r="L1852" i="8" s="1"/>
  <c r="X1852" i="2"/>
  <c r="L1856" i="8" s="1"/>
  <c r="X1856" i="2"/>
  <c r="L1859" i="8" s="1"/>
  <c r="X1860" i="2"/>
  <c r="L1863" i="8" s="1"/>
  <c r="X1864" i="2"/>
  <c r="L1867" i="8" s="1"/>
  <c r="X1868" i="2"/>
  <c r="L1871" i="8" s="1"/>
  <c r="X1872" i="2"/>
  <c r="L1875" i="8" s="1"/>
  <c r="X1876" i="2"/>
  <c r="L1879" i="8" s="1"/>
  <c r="X1880" i="2"/>
  <c r="L1883" i="8" s="1"/>
  <c r="X1884" i="2"/>
  <c r="L1887" i="8" s="1"/>
  <c r="X1888" i="2"/>
  <c r="L1891" i="8" s="1"/>
  <c r="X1892" i="2"/>
  <c r="L1895" i="8" s="1"/>
  <c r="X1896" i="2"/>
  <c r="L1899" i="8" s="1"/>
  <c r="X1900" i="2"/>
  <c r="L1903" i="8" s="1"/>
  <c r="X1904" i="2"/>
  <c r="L1907" i="8" s="1"/>
  <c r="X1908" i="2"/>
  <c r="L1911" i="8" s="1"/>
  <c r="X1912" i="2"/>
  <c r="L1915" i="8" s="1"/>
  <c r="X1916" i="2"/>
  <c r="L1919" i="8" s="1"/>
  <c r="X1920" i="2"/>
  <c r="L1923" i="8" s="1"/>
  <c r="X1924" i="2"/>
  <c r="L1927" i="8" s="1"/>
  <c r="X1928" i="2"/>
  <c r="L1930" i="8" s="1"/>
  <c r="X1932" i="2"/>
  <c r="L1934" i="8" s="1"/>
  <c r="X1936" i="2"/>
  <c r="L1938" i="8" s="1"/>
  <c r="X1940" i="2"/>
  <c r="L1941" i="8" s="1"/>
  <c r="X1944" i="2"/>
  <c r="L1945" i="8" s="1"/>
  <c r="X1948" i="2"/>
  <c r="L1949" i="8" s="1"/>
  <c r="X1952" i="2"/>
  <c r="L1953" i="8" s="1"/>
  <c r="X1956" i="2"/>
  <c r="L1957" i="8" s="1"/>
  <c r="X1960" i="2"/>
  <c r="L1961" i="8" s="1"/>
  <c r="X1964" i="2"/>
  <c r="L1965" i="8" s="1"/>
  <c r="X1968" i="2"/>
  <c r="L1969" i="8" s="1"/>
  <c r="X1972" i="2"/>
  <c r="L1973" i="8" s="1"/>
  <c r="X1976" i="2"/>
  <c r="L1977" i="8" s="1"/>
  <c r="X1980" i="2"/>
  <c r="L1981" i="8" s="1"/>
  <c r="X1984" i="2"/>
  <c r="L1985" i="8" s="1"/>
  <c r="X1988" i="2"/>
  <c r="L1989" i="8" s="1"/>
  <c r="X1992" i="2"/>
  <c r="L1993" i="8" s="1"/>
  <c r="X1996" i="2"/>
  <c r="L1997" i="8" s="1"/>
  <c r="X2000" i="2"/>
  <c r="L2001" i="8" s="1"/>
  <c r="X2004" i="2"/>
  <c r="L2005" i="8" s="1"/>
  <c r="X2008" i="2"/>
  <c r="L2009" i="8" s="1"/>
  <c r="X2012" i="2"/>
  <c r="L2013" i="8" s="1"/>
  <c r="X2016" i="2"/>
  <c r="L2017" i="8" s="1"/>
  <c r="X2020" i="2"/>
  <c r="L2021" i="8" s="1"/>
  <c r="X2024" i="2"/>
  <c r="L2025" i="8" s="1"/>
  <c r="X2028" i="2"/>
  <c r="L2029" i="8" s="1"/>
  <c r="X2032" i="2"/>
  <c r="L2033" i="8" s="1"/>
  <c r="X2036" i="2"/>
  <c r="L2037" i="8" s="1"/>
  <c r="X2040" i="2"/>
  <c r="L2041" i="8" s="1"/>
  <c r="X2044" i="2"/>
  <c r="L2045" i="8" s="1"/>
  <c r="X2048" i="2"/>
  <c r="L2049" i="8" s="1"/>
  <c r="X2052" i="2"/>
  <c r="L2053" i="8" s="1"/>
  <c r="X2056" i="2"/>
  <c r="L2057" i="8" s="1"/>
  <c r="X2060" i="2"/>
  <c r="L2061" i="8" s="1"/>
  <c r="X2064" i="2"/>
  <c r="L2065" i="8" s="1"/>
  <c r="X2068" i="2"/>
  <c r="L2069" i="8" s="1"/>
  <c r="X2072" i="2"/>
  <c r="L2073" i="8" s="1"/>
  <c r="X2076" i="2"/>
  <c r="L2077" i="8" s="1"/>
  <c r="W36" i="2"/>
  <c r="A48" i="8" s="1"/>
  <c r="W44" i="2"/>
  <c r="A56" i="8" s="1"/>
  <c r="W52" i="2"/>
  <c r="A64" i="8" s="1"/>
  <c r="W60" i="2"/>
  <c r="A72" i="8" s="1"/>
  <c r="W68" i="2"/>
  <c r="A79" i="8" s="1"/>
  <c r="W76" i="2"/>
  <c r="A86" i="8" s="1"/>
  <c r="W84" i="2"/>
  <c r="A94" i="8" s="1"/>
  <c r="W92" i="2"/>
  <c r="A102" i="8" s="1"/>
  <c r="W100" i="2"/>
  <c r="A110" i="8" s="1"/>
  <c r="W108" i="2"/>
  <c r="A118" i="8" s="1"/>
  <c r="W116" i="2"/>
  <c r="A126" i="8" s="1"/>
  <c r="W124" i="2"/>
  <c r="A134" i="8" s="1"/>
  <c r="W132" i="2"/>
  <c r="A142" i="8" s="1"/>
  <c r="W140" i="2"/>
  <c r="A150" i="8" s="1"/>
  <c r="W148" i="2"/>
  <c r="A158" i="8" s="1"/>
  <c r="W156" i="2"/>
  <c r="A166" i="8" s="1"/>
  <c r="W164" i="2"/>
  <c r="A174" i="8" s="1"/>
  <c r="W172" i="2"/>
  <c r="A182" i="8" s="1"/>
  <c r="W180" i="2"/>
  <c r="A190" i="8" s="1"/>
  <c r="W188" i="2"/>
  <c r="A198" i="8" s="1"/>
  <c r="W193" i="2"/>
  <c r="A203" i="8" s="1"/>
  <c r="W197" i="2"/>
  <c r="A207" i="8" s="1"/>
  <c r="W201" i="2"/>
  <c r="A211" i="8" s="1"/>
  <c r="W205" i="2"/>
  <c r="A215" i="8" s="1"/>
  <c r="W209" i="2"/>
  <c r="A219" i="8" s="1"/>
  <c r="W213" i="2"/>
  <c r="A223" i="8" s="1"/>
  <c r="W217" i="2"/>
  <c r="A227" i="8" s="1"/>
  <c r="W221" i="2"/>
  <c r="A231" i="8" s="1"/>
  <c r="W225" i="2"/>
  <c r="A235" i="8" s="1"/>
  <c r="W229" i="2"/>
  <c r="A239" i="8" s="1"/>
  <c r="W233" i="2"/>
  <c r="A243" i="8" s="1"/>
  <c r="W237" i="2"/>
  <c r="A247" i="8" s="1"/>
  <c r="W241" i="2"/>
  <c r="A251" i="8" s="1"/>
  <c r="W245" i="2"/>
  <c r="A255" i="8" s="1"/>
  <c r="W249" i="2"/>
  <c r="A259" i="8" s="1"/>
  <c r="W253" i="2"/>
  <c r="A263" i="8" s="1"/>
  <c r="W257" i="2"/>
  <c r="A267" i="8" s="1"/>
  <c r="W261" i="2"/>
  <c r="A271" i="8" s="1"/>
  <c r="W265" i="2"/>
  <c r="A275" i="8" s="1"/>
  <c r="W269" i="2"/>
  <c r="A279" i="8" s="1"/>
  <c r="W273" i="2"/>
  <c r="A283" i="8" s="1"/>
  <c r="W277" i="2"/>
  <c r="A287" i="8" s="1"/>
  <c r="W281" i="2"/>
  <c r="A291" i="8" s="1"/>
  <c r="W285" i="2"/>
  <c r="A295" i="8" s="1"/>
  <c r="W289" i="2"/>
  <c r="A299" i="8" s="1"/>
  <c r="W293" i="2"/>
  <c r="A303" i="8" s="1"/>
  <c r="W297" i="2"/>
  <c r="A307" i="8" s="1"/>
  <c r="W301" i="2"/>
  <c r="A311" i="8" s="1"/>
  <c r="W305" i="2"/>
  <c r="A315" i="8" s="1"/>
  <c r="W309" i="2"/>
  <c r="A319" i="8" s="1"/>
  <c r="W313" i="2"/>
  <c r="A323" i="8" s="1"/>
  <c r="W317" i="2"/>
  <c r="A327" i="8" s="1"/>
  <c r="W321" i="2"/>
  <c r="A331" i="8" s="1"/>
  <c r="W325" i="2"/>
  <c r="A335" i="8" s="1"/>
  <c r="W329" i="2"/>
  <c r="A339" i="8" s="1"/>
  <c r="W333" i="2"/>
  <c r="A343" i="8" s="1"/>
  <c r="W337" i="2"/>
  <c r="A347" i="8" s="1"/>
  <c r="W341" i="2"/>
  <c r="A351" i="8" s="1"/>
  <c r="W345" i="2"/>
  <c r="A355" i="8" s="1"/>
  <c r="W349" i="2"/>
  <c r="A359" i="8" s="1"/>
  <c r="W353" i="2"/>
  <c r="A363" i="8" s="1"/>
  <c r="W357" i="2"/>
  <c r="A367" i="8" s="1"/>
  <c r="W361" i="2"/>
  <c r="A371" i="8" s="1"/>
  <c r="W365" i="2"/>
  <c r="A375" i="8" s="1"/>
  <c r="W369" i="2"/>
  <c r="A379" i="8" s="1"/>
  <c r="W373" i="2"/>
  <c r="A383" i="8" s="1"/>
  <c r="W377" i="2"/>
  <c r="A387" i="8" s="1"/>
  <c r="W381" i="2"/>
  <c r="A391" i="8" s="1"/>
  <c r="W385" i="2"/>
  <c r="A395" i="8" s="1"/>
  <c r="W389" i="2"/>
  <c r="A399" i="8" s="1"/>
  <c r="W393" i="2"/>
  <c r="A403" i="8" s="1"/>
  <c r="W397" i="2"/>
  <c r="A407" i="8" s="1"/>
  <c r="W401" i="2"/>
  <c r="A411" i="8" s="1"/>
  <c r="W405" i="2"/>
  <c r="A415" i="8" s="1"/>
  <c r="W409" i="2"/>
  <c r="A419" i="8" s="1"/>
  <c r="W413" i="2"/>
  <c r="A423" i="8" s="1"/>
  <c r="W417" i="2"/>
  <c r="A427" i="8" s="1"/>
  <c r="W421" i="2"/>
  <c r="A431" i="8" s="1"/>
  <c r="W425" i="2"/>
  <c r="A435" i="8" s="1"/>
  <c r="W429" i="2"/>
  <c r="A439" i="8" s="1"/>
  <c r="W433" i="2"/>
  <c r="A443" i="8" s="1"/>
  <c r="W437" i="2"/>
  <c r="A447" i="8" s="1"/>
  <c r="W441" i="2"/>
  <c r="A451" i="8" s="1"/>
  <c r="W445" i="2"/>
  <c r="A455" i="8" s="1"/>
  <c r="W449" i="2"/>
  <c r="A459" i="8" s="1"/>
  <c r="W453" i="2"/>
  <c r="A463" i="8" s="1"/>
  <c r="W457" i="2"/>
  <c r="A467" i="8" s="1"/>
  <c r="W461" i="2"/>
  <c r="A471" i="8" s="1"/>
  <c r="W465" i="2"/>
  <c r="A475" i="8" s="1"/>
  <c r="W469" i="2"/>
  <c r="A479" i="8" s="1"/>
  <c r="W473" i="2"/>
  <c r="A483" i="8" s="1"/>
  <c r="W477" i="2"/>
  <c r="A487" i="8" s="1"/>
  <c r="W481" i="2"/>
  <c r="A491" i="8" s="1"/>
  <c r="W485" i="2"/>
  <c r="A495" i="8" s="1"/>
  <c r="W489" i="2"/>
  <c r="A499" i="8" s="1"/>
  <c r="W493" i="2"/>
  <c r="A503" i="8" s="1"/>
  <c r="W497" i="2"/>
  <c r="A507" i="8" s="1"/>
  <c r="W501" i="2"/>
  <c r="A511" i="8" s="1"/>
  <c r="W505" i="2"/>
  <c r="A515" i="8" s="1"/>
  <c r="W509" i="2"/>
  <c r="A519" i="8" s="1"/>
  <c r="W513" i="2"/>
  <c r="A523" i="8" s="1"/>
  <c r="W517" i="2"/>
  <c r="A527" i="8" s="1"/>
  <c r="W521" i="2"/>
  <c r="A531" i="8" s="1"/>
  <c r="W525" i="2"/>
  <c r="A535" i="8" s="1"/>
  <c r="W529" i="2"/>
  <c r="A539" i="8" s="1"/>
  <c r="W533" i="2"/>
  <c r="A543" i="8" s="1"/>
  <c r="W537" i="2"/>
  <c r="A547" i="8" s="1"/>
  <c r="W541" i="2"/>
  <c r="A551" i="8" s="1"/>
  <c r="W545" i="2"/>
  <c r="A555" i="8" s="1"/>
  <c r="W549" i="2"/>
  <c r="A559" i="8" s="1"/>
  <c r="W553" i="2"/>
  <c r="A563" i="8" s="1"/>
  <c r="W557" i="2"/>
  <c r="A567" i="8" s="1"/>
  <c r="W561" i="2"/>
  <c r="A571" i="8" s="1"/>
  <c r="W565" i="2"/>
  <c r="A575" i="8" s="1"/>
  <c r="W569" i="2"/>
  <c r="A579" i="8" s="1"/>
  <c r="W573" i="2"/>
  <c r="A583" i="8" s="1"/>
  <c r="W577" i="2"/>
  <c r="A587" i="8" s="1"/>
  <c r="W581" i="2"/>
  <c r="A591" i="8" s="1"/>
  <c r="W585" i="2"/>
  <c r="A595" i="8" s="1"/>
  <c r="W589" i="2"/>
  <c r="A599" i="8" s="1"/>
  <c r="W593" i="2"/>
  <c r="A603" i="8" s="1"/>
  <c r="W597" i="2"/>
  <c r="A607" i="8" s="1"/>
  <c r="W601" i="2"/>
  <c r="A611" i="8" s="1"/>
  <c r="W605" i="2"/>
  <c r="A615" i="8" s="1"/>
  <c r="W609" i="2"/>
  <c r="A619" i="8" s="1"/>
  <c r="W613" i="2"/>
  <c r="A623" i="8" s="1"/>
  <c r="W617" i="2"/>
  <c r="A627" i="8" s="1"/>
  <c r="W621" i="2"/>
  <c r="A631" i="8" s="1"/>
  <c r="W625" i="2"/>
  <c r="A635" i="8" s="1"/>
  <c r="W629" i="2"/>
  <c r="A639" i="8" s="1"/>
  <c r="W633" i="2"/>
  <c r="A643" i="8" s="1"/>
  <c r="W637" i="2"/>
  <c r="A647" i="8" s="1"/>
  <c r="W641" i="2"/>
  <c r="A651" i="8" s="1"/>
  <c r="W645" i="2"/>
  <c r="A655" i="8" s="1"/>
  <c r="W649" i="2"/>
  <c r="A659" i="8" s="1"/>
  <c r="W653" i="2"/>
  <c r="A663" i="8" s="1"/>
  <c r="W657" i="2"/>
  <c r="A667" i="8" s="1"/>
  <c r="W661" i="2"/>
  <c r="A671" i="8" s="1"/>
  <c r="W665" i="2"/>
  <c r="A675" i="8" s="1"/>
  <c r="W669" i="2"/>
  <c r="A679" i="8" s="1"/>
  <c r="W673" i="2"/>
  <c r="A683" i="8" s="1"/>
  <c r="W677" i="2"/>
  <c r="A687" i="8" s="1"/>
  <c r="W681" i="2"/>
  <c r="A691" i="8" s="1"/>
  <c r="W685" i="2"/>
  <c r="A695" i="8" s="1"/>
  <c r="W689" i="2"/>
  <c r="A699" i="8" s="1"/>
  <c r="W693" i="2"/>
  <c r="A703" i="8" s="1"/>
  <c r="W697" i="2"/>
  <c r="A707" i="8" s="1"/>
  <c r="W701" i="2"/>
  <c r="A711" i="8" s="1"/>
  <c r="W705" i="2"/>
  <c r="A715" i="8" s="1"/>
  <c r="W709" i="2"/>
  <c r="A719" i="8" s="1"/>
  <c r="W713" i="2"/>
  <c r="A723" i="8" s="1"/>
  <c r="W717" i="2"/>
  <c r="A14" i="8" s="1"/>
  <c r="W721" i="2"/>
  <c r="A730" i="8" s="1"/>
  <c r="W725" i="2"/>
  <c r="A734" i="8" s="1"/>
  <c r="W729" i="2"/>
  <c r="A738" i="8" s="1"/>
  <c r="W733" i="2"/>
  <c r="A742" i="8" s="1"/>
  <c r="W737" i="2"/>
  <c r="A746" i="8" s="1"/>
  <c r="W741" i="2"/>
  <c r="A750" i="8" s="1"/>
  <c r="W745" i="2"/>
  <c r="A754" i="8" s="1"/>
  <c r="W749" i="2"/>
  <c r="A758" i="8" s="1"/>
  <c r="W753" i="2"/>
  <c r="A762" i="8" s="1"/>
  <c r="W757" i="2"/>
  <c r="A766" i="8" s="1"/>
  <c r="W761" i="2"/>
  <c r="A770" i="8" s="1"/>
  <c r="W765" i="2"/>
  <c r="A774" i="8" s="1"/>
  <c r="W769" i="2"/>
  <c r="A778" i="8" s="1"/>
  <c r="W773" i="2"/>
  <c r="A782" i="8" s="1"/>
  <c r="W777" i="2"/>
  <c r="A786" i="8" s="1"/>
  <c r="W781" i="2"/>
  <c r="A790" i="8" s="1"/>
  <c r="W785" i="2"/>
  <c r="A794" i="8" s="1"/>
  <c r="W789" i="2"/>
  <c r="A798" i="8" s="1"/>
  <c r="W793" i="2"/>
  <c r="A802" i="8" s="1"/>
  <c r="W797" i="2"/>
  <c r="A806" i="8" s="1"/>
  <c r="W801" i="2"/>
  <c r="A810" i="8" s="1"/>
  <c r="W805" i="2"/>
  <c r="A814" i="8" s="1"/>
  <c r="W809" i="2"/>
  <c r="A818" i="8" s="1"/>
  <c r="W813" i="2"/>
  <c r="A822" i="8" s="1"/>
  <c r="W817" i="2"/>
  <c r="A826" i="8" s="1"/>
  <c r="W821" i="2"/>
  <c r="A830" i="8" s="1"/>
  <c r="W825" i="2"/>
  <c r="A834" i="8" s="1"/>
  <c r="W829" i="2"/>
  <c r="A838" i="8" s="1"/>
  <c r="W833" i="2"/>
  <c r="A842" i="8" s="1"/>
  <c r="W837" i="2"/>
  <c r="A846" i="8" s="1"/>
  <c r="W841" i="2"/>
  <c r="A850" i="8" s="1"/>
  <c r="W845" i="2"/>
  <c r="A854" i="8" s="1"/>
  <c r="W849" i="2"/>
  <c r="A858" i="8" s="1"/>
  <c r="W853" i="2"/>
  <c r="A862" i="8" s="1"/>
  <c r="W857" i="2"/>
  <c r="A866" i="8" s="1"/>
  <c r="W861" i="2"/>
  <c r="A870" i="8" s="1"/>
  <c r="W865" i="2"/>
  <c r="A874" i="8" s="1"/>
  <c r="W869" i="2"/>
  <c r="A878" i="8" s="1"/>
  <c r="W873" i="2"/>
  <c r="A882" i="8" s="1"/>
  <c r="W877" i="2"/>
  <c r="A886" i="8" s="1"/>
  <c r="W881" i="2"/>
  <c r="A890" i="8" s="1"/>
  <c r="W885" i="2"/>
  <c r="A894" i="8" s="1"/>
  <c r="W889" i="2"/>
  <c r="A898" i="8" s="1"/>
  <c r="W893" i="2"/>
  <c r="A902" i="8" s="1"/>
  <c r="W897" i="2"/>
  <c r="A906" i="8" s="1"/>
  <c r="W901" i="2"/>
  <c r="A910" i="8" s="1"/>
  <c r="W905" i="2"/>
  <c r="A914" i="8" s="1"/>
  <c r="W909" i="2"/>
  <c r="A918" i="8" s="1"/>
  <c r="W913" i="2"/>
  <c r="A922" i="8" s="1"/>
  <c r="W917" i="2"/>
  <c r="A926" i="8" s="1"/>
  <c r="W921" i="2"/>
  <c r="A930" i="8" s="1"/>
  <c r="W925" i="2"/>
  <c r="A934" i="8" s="1"/>
  <c r="W929" i="2"/>
  <c r="A938" i="8" s="1"/>
  <c r="W933" i="2"/>
  <c r="A942" i="8" s="1"/>
  <c r="W937" i="2"/>
  <c r="A946" i="8" s="1"/>
  <c r="W941" i="2"/>
  <c r="A950" i="8" s="1"/>
  <c r="W945" i="2"/>
  <c r="A954" i="8" s="1"/>
  <c r="W949" i="2"/>
  <c r="A958" i="8" s="1"/>
  <c r="W953" i="2"/>
  <c r="A962" i="8" s="1"/>
  <c r="W957" i="2"/>
  <c r="A966" i="8" s="1"/>
  <c r="W961" i="2"/>
  <c r="A970" i="8" s="1"/>
  <c r="W965" i="2"/>
  <c r="A6" i="8" s="1"/>
  <c r="W969" i="2"/>
  <c r="A977" i="8" s="1"/>
  <c r="W973" i="2"/>
  <c r="A981" i="8" s="1"/>
  <c r="W977" i="2"/>
  <c r="A985" i="8" s="1"/>
  <c r="W981" i="2"/>
  <c r="A989" i="8" s="1"/>
  <c r="W985" i="2"/>
  <c r="A993" i="8" s="1"/>
  <c r="W989" i="2"/>
  <c r="A997" i="8" s="1"/>
  <c r="W993" i="2"/>
  <c r="A1001" i="8" s="1"/>
  <c r="W997" i="2"/>
  <c r="A1005" i="8" s="1"/>
  <c r="W1001" i="2"/>
  <c r="A1009" i="8" s="1"/>
  <c r="W1005" i="2"/>
  <c r="A1013" i="8" s="1"/>
  <c r="W1009" i="2"/>
  <c r="A1017" i="8" s="1"/>
  <c r="W1013" i="2"/>
  <c r="A1021" i="8" s="1"/>
  <c r="W1017" i="2"/>
  <c r="A1025" i="8" s="1"/>
  <c r="W1021" i="2"/>
  <c r="A1029" i="8" s="1"/>
  <c r="W1025" i="2"/>
  <c r="A1033" i="8" s="1"/>
  <c r="W1029" i="2"/>
  <c r="A1037" i="8" s="1"/>
  <c r="W1033" i="2"/>
  <c r="A1041" i="8" s="1"/>
  <c r="W1037" i="2"/>
  <c r="A1045" i="8" s="1"/>
  <c r="W1041" i="2"/>
  <c r="A1049" i="8" s="1"/>
  <c r="W1045" i="2"/>
  <c r="A1053" i="8" s="1"/>
  <c r="W1049" i="2"/>
  <c r="A1057" i="8" s="1"/>
  <c r="W1053" i="2"/>
  <c r="A1061" i="8" s="1"/>
  <c r="W1057" i="2"/>
  <c r="A1065" i="8" s="1"/>
  <c r="W1061" i="2"/>
  <c r="A1069" i="8" s="1"/>
  <c r="W1065" i="2"/>
  <c r="A1073" i="8" s="1"/>
  <c r="W1069" i="2"/>
  <c r="A1077" i="8" s="1"/>
  <c r="W1073" i="2"/>
  <c r="A1081" i="8" s="1"/>
  <c r="W1077" i="2"/>
  <c r="A1085" i="8" s="1"/>
  <c r="W1081" i="2"/>
  <c r="A1089" i="8" s="1"/>
  <c r="W1085" i="2"/>
  <c r="A1093" i="8" s="1"/>
  <c r="W1089" i="2"/>
  <c r="A1097" i="8" s="1"/>
  <c r="W1093" i="2"/>
  <c r="A1101" i="8" s="1"/>
  <c r="W1097" i="2"/>
  <c r="A1105" i="8" s="1"/>
  <c r="W1101" i="2"/>
  <c r="A1109" i="8" s="1"/>
  <c r="W1105" i="2"/>
  <c r="A1113" i="8" s="1"/>
  <c r="W1109" i="2"/>
  <c r="A1117" i="8" s="1"/>
  <c r="W1113" i="2"/>
  <c r="A1121" i="8" s="1"/>
  <c r="W1117" i="2"/>
  <c r="A1125" i="8" s="1"/>
  <c r="W1121" i="2"/>
  <c r="A1129" i="8" s="1"/>
  <c r="W1125" i="2"/>
  <c r="A1133" i="8" s="1"/>
  <c r="W1129" i="2"/>
  <c r="A1137" i="8" s="1"/>
  <c r="W1133" i="2"/>
  <c r="A1141" i="8" s="1"/>
  <c r="W1137" i="2"/>
  <c r="A1145" i="8" s="1"/>
  <c r="W1141" i="2"/>
  <c r="A1149" i="8" s="1"/>
  <c r="W1145" i="2"/>
  <c r="A1153" i="8" s="1"/>
  <c r="W1149" i="2"/>
  <c r="A1157" i="8" s="1"/>
  <c r="W1153" i="2"/>
  <c r="A1161" i="8" s="1"/>
  <c r="W1157" i="2"/>
  <c r="A1165" i="8" s="1"/>
  <c r="W1161" i="2"/>
  <c r="A1169" i="8" s="1"/>
  <c r="W1165" i="2"/>
  <c r="A1173" i="8" s="1"/>
  <c r="W1169" i="2"/>
  <c r="A1177" i="8" s="1"/>
  <c r="W1173" i="2"/>
  <c r="A1181" i="8" s="1"/>
  <c r="W1177" i="2"/>
  <c r="A1185" i="8" s="1"/>
  <c r="W1181" i="2"/>
  <c r="A1189" i="8" s="1"/>
  <c r="W1185" i="2"/>
  <c r="A1193" i="8" s="1"/>
  <c r="W1189" i="2"/>
  <c r="A1197" i="8" s="1"/>
  <c r="W1193" i="2"/>
  <c r="A1201" i="8" s="1"/>
  <c r="W1197" i="2"/>
  <c r="A1205" i="8" s="1"/>
  <c r="W1201" i="2"/>
  <c r="A1209" i="8" s="1"/>
  <c r="W1205" i="2"/>
  <c r="A1213" i="8" s="1"/>
  <c r="W1209" i="2"/>
  <c r="A1217" i="8" s="1"/>
  <c r="W1213" i="2"/>
  <c r="A1221" i="8" s="1"/>
  <c r="W1217" i="2"/>
  <c r="A1225" i="8" s="1"/>
  <c r="W1221" i="2"/>
  <c r="A1229" i="8" s="1"/>
  <c r="W1225" i="2"/>
  <c r="A1233" i="8" s="1"/>
  <c r="W1229" i="2"/>
  <c r="A1237" i="8" s="1"/>
  <c r="W1233" i="2"/>
  <c r="A1241" i="8" s="1"/>
  <c r="W1237" i="2"/>
  <c r="A1245" i="8" s="1"/>
  <c r="W1241" i="2"/>
  <c r="A1249" i="8" s="1"/>
  <c r="W1245" i="2"/>
  <c r="A1253" i="8" s="1"/>
  <c r="W1249" i="2"/>
  <c r="A1257" i="8" s="1"/>
  <c r="W1253" i="2"/>
  <c r="A1261" i="8" s="1"/>
  <c r="W1257" i="2"/>
  <c r="A1265" i="8" s="1"/>
  <c r="W1261" i="2"/>
  <c r="A1269" i="8" s="1"/>
  <c r="W1265" i="2"/>
  <c r="A17" i="8" s="1"/>
  <c r="W1269" i="2"/>
  <c r="A1276" i="8" s="1"/>
  <c r="W1273" i="2"/>
  <c r="A1280" i="8" s="1"/>
  <c r="W1277" i="2"/>
  <c r="A1284" i="8" s="1"/>
  <c r="W1281" i="2"/>
  <c r="A1288" i="8" s="1"/>
  <c r="W1285" i="2"/>
  <c r="A1292" i="8" s="1"/>
  <c r="W1289" i="2"/>
  <c r="A1296" i="8" s="1"/>
  <c r="W1293" i="2"/>
  <c r="A1300" i="8" s="1"/>
  <c r="W1297" i="2"/>
  <c r="A1304" i="8" s="1"/>
  <c r="W1301" i="2"/>
  <c r="A1308" i="8" s="1"/>
  <c r="W1305" i="2"/>
  <c r="A1312" i="8" s="1"/>
  <c r="W1309" i="2"/>
  <c r="A1316" i="8" s="1"/>
  <c r="W1313" i="2"/>
  <c r="A1320" i="8" s="1"/>
  <c r="W1317" i="2"/>
  <c r="A1324" i="8" s="1"/>
  <c r="W1321" i="2"/>
  <c r="A1328" i="8" s="1"/>
  <c r="W1325" i="2"/>
  <c r="A1332" i="8" s="1"/>
  <c r="W1329" i="2"/>
  <c r="A1336" i="8" s="1"/>
  <c r="W1333" i="2"/>
  <c r="A1340" i="8" s="1"/>
  <c r="W1337" i="2"/>
  <c r="A1344" i="8" s="1"/>
  <c r="W1341" i="2"/>
  <c r="A1348" i="8" s="1"/>
  <c r="W1345" i="2"/>
  <c r="A1352" i="8" s="1"/>
  <c r="W1349" i="2"/>
  <c r="A1356" i="8" s="1"/>
  <c r="W1353" i="2"/>
  <c r="A1360" i="8" s="1"/>
  <c r="W1357" i="2"/>
  <c r="A1364" i="8" s="1"/>
  <c r="W1361" i="2"/>
  <c r="A1368" i="8" s="1"/>
  <c r="W1365" i="2"/>
  <c r="A1372" i="8" s="1"/>
  <c r="W1369" i="2"/>
  <c r="A1376" i="8" s="1"/>
  <c r="W1373" i="2"/>
  <c r="A1380" i="8" s="1"/>
  <c r="W1377" i="2"/>
  <c r="A1384" i="8" s="1"/>
  <c r="W1381" i="2"/>
  <c r="A1388" i="8" s="1"/>
  <c r="W1385" i="2"/>
  <c r="A1392" i="8" s="1"/>
  <c r="W1389" i="2"/>
  <c r="A1396" i="8" s="1"/>
  <c r="W1393" i="2"/>
  <c r="A1400" i="8" s="1"/>
  <c r="W1397" i="2"/>
  <c r="A1404" i="8" s="1"/>
  <c r="W1401" i="2"/>
  <c r="A1408" i="8" s="1"/>
  <c r="W1405" i="2"/>
  <c r="A1412" i="8" s="1"/>
  <c r="W1409" i="2"/>
  <c r="A1416" i="8" s="1"/>
  <c r="W1413" i="2"/>
  <c r="A1420" i="8" s="1"/>
  <c r="W1417" i="2"/>
  <c r="A1424" i="8" s="1"/>
  <c r="W1421" i="2"/>
  <c r="A1428" i="8" s="1"/>
  <c r="W1425" i="2"/>
  <c r="A1432" i="8" s="1"/>
  <c r="W1429" i="2"/>
  <c r="A1436" i="8" s="1"/>
  <c r="W1433" i="2"/>
  <c r="A1440" i="8" s="1"/>
  <c r="W1437" i="2"/>
  <c r="A1444" i="8" s="1"/>
  <c r="W1441" i="2"/>
  <c r="A1448" i="8" s="1"/>
  <c r="W1445" i="2"/>
  <c r="A1452" i="8" s="1"/>
  <c r="W1449" i="2"/>
  <c r="A1456" i="8" s="1"/>
  <c r="W1453" i="2"/>
  <c r="A1460" i="8" s="1"/>
  <c r="W1457" i="2"/>
  <c r="A1464" i="8" s="1"/>
  <c r="W1461" i="2"/>
  <c r="A1468" i="8" s="1"/>
  <c r="W1465" i="2"/>
  <c r="A1472" i="8" s="1"/>
  <c r="W1469" i="2"/>
  <c r="A1476" i="8" s="1"/>
  <c r="W1473" i="2"/>
  <c r="A1480" i="8" s="1"/>
  <c r="W1477" i="2"/>
  <c r="A1484" i="8" s="1"/>
  <c r="W1481" i="2"/>
  <c r="A1488" i="8" s="1"/>
  <c r="W1485" i="2"/>
  <c r="A1492" i="8" s="1"/>
  <c r="W1489" i="2"/>
  <c r="A1496" i="8" s="1"/>
  <c r="W1493" i="2"/>
  <c r="A1500" i="8" s="1"/>
  <c r="W1497" i="2"/>
  <c r="A1504" i="8" s="1"/>
  <c r="W1501" i="2"/>
  <c r="A1508" i="8" s="1"/>
  <c r="W1505" i="2"/>
  <c r="A1512" i="8" s="1"/>
  <c r="W1509" i="2"/>
  <c r="A1516" i="8" s="1"/>
  <c r="W1513" i="2"/>
  <c r="A1520" i="8" s="1"/>
  <c r="W1517" i="2"/>
  <c r="A1524" i="8" s="1"/>
  <c r="W1521" i="2"/>
  <c r="A1528" i="8" s="1"/>
  <c r="W1525" i="2"/>
  <c r="A1532" i="8" s="1"/>
  <c r="W1529" i="2"/>
  <c r="A1536" i="8" s="1"/>
  <c r="W1533" i="2"/>
  <c r="A1540" i="8" s="1"/>
  <c r="W1537" i="2"/>
  <c r="A1544" i="8" s="1"/>
  <c r="W1541" i="2"/>
  <c r="A1548" i="8" s="1"/>
  <c r="W1545" i="2"/>
  <c r="A1552" i="8" s="1"/>
  <c r="W1549" i="2"/>
  <c r="A1556" i="8" s="1"/>
  <c r="W1553" i="2"/>
  <c r="A1560" i="8" s="1"/>
  <c r="W1557" i="2"/>
  <c r="A1564" i="8" s="1"/>
  <c r="W1561" i="2"/>
  <c r="A1568" i="8" s="1"/>
  <c r="W1565" i="2"/>
  <c r="A1572" i="8" s="1"/>
  <c r="W1569" i="2"/>
  <c r="A1576" i="8" s="1"/>
  <c r="W1573" i="2"/>
  <c r="A1580" i="8" s="1"/>
  <c r="W1577" i="2"/>
  <c r="A1584" i="8" s="1"/>
  <c r="W1581" i="2"/>
  <c r="A1588" i="8" s="1"/>
  <c r="W1585" i="2"/>
  <c r="A1592" i="8" s="1"/>
  <c r="W1589" i="2"/>
  <c r="A1596" i="8" s="1"/>
  <c r="W1593" i="2"/>
  <c r="A1600" i="8" s="1"/>
  <c r="W1597" i="2"/>
  <c r="A1604" i="8" s="1"/>
  <c r="W1601" i="2"/>
  <c r="A1608" i="8" s="1"/>
  <c r="W1605" i="2"/>
  <c r="A1612" i="8" s="1"/>
  <c r="W1609" i="2"/>
  <c r="A1616" i="8" s="1"/>
  <c r="W1613" i="2"/>
  <c r="A1620" i="8" s="1"/>
  <c r="W1617" i="2"/>
  <c r="A1623" i="8" s="1"/>
  <c r="W1621" i="2"/>
  <c r="A1627" i="8" s="1"/>
  <c r="W1625" i="2"/>
  <c r="A1631" i="8" s="1"/>
  <c r="W1629" i="2"/>
  <c r="A1635" i="8" s="1"/>
  <c r="W1633" i="2"/>
  <c r="A1639" i="8" s="1"/>
  <c r="W1637" i="2"/>
  <c r="A1643" i="8" s="1"/>
  <c r="W1641" i="2"/>
  <c r="A1647" i="8" s="1"/>
  <c r="W1645" i="2"/>
  <c r="A1651" i="8" s="1"/>
  <c r="W1649" i="2"/>
  <c r="A1655" i="8" s="1"/>
  <c r="W1653" i="2"/>
  <c r="A1659" i="8" s="1"/>
  <c r="W1657" i="2"/>
  <c r="A1663" i="8" s="1"/>
  <c r="W1661" i="2"/>
  <c r="A1667" i="8" s="1"/>
  <c r="W1665" i="2"/>
  <c r="A1671" i="8" s="1"/>
  <c r="W1669" i="2"/>
  <c r="A1675" i="8" s="1"/>
  <c r="W1673" i="2"/>
  <c r="A1679" i="8" s="1"/>
  <c r="W1677" i="2"/>
  <c r="A1683" i="8" s="1"/>
  <c r="W1681" i="2"/>
  <c r="A1687" i="8" s="1"/>
  <c r="W1685" i="2"/>
  <c r="A1691" i="8" s="1"/>
  <c r="W1689" i="2"/>
  <c r="A1695" i="8" s="1"/>
  <c r="W1693" i="2"/>
  <c r="A1699" i="8" s="1"/>
  <c r="W1697" i="2"/>
  <c r="A1703" i="8" s="1"/>
  <c r="W1701" i="2"/>
  <c r="A1707" i="8" s="1"/>
  <c r="W1705" i="2"/>
  <c r="A1711" i="8" s="1"/>
  <c r="W1709" i="2"/>
  <c r="A1715" i="8" s="1"/>
  <c r="W1713" i="2"/>
  <c r="A1719" i="8" s="1"/>
  <c r="W1717" i="2"/>
  <c r="A1723" i="8" s="1"/>
  <c r="W1721" i="2"/>
  <c r="A1727" i="8" s="1"/>
  <c r="W1725" i="2"/>
  <c r="A1731" i="8" s="1"/>
  <c r="W1729" i="2"/>
  <c r="A1734" i="8" s="1"/>
  <c r="W1733" i="2"/>
  <c r="A1738" i="8" s="1"/>
  <c r="W1737" i="2"/>
  <c r="A1742" i="8" s="1"/>
  <c r="W1741" i="2"/>
  <c r="A1746" i="8" s="1"/>
  <c r="W1745" i="2"/>
  <c r="A1750" i="8" s="1"/>
  <c r="W1749" i="2"/>
  <c r="A1754" i="8" s="1"/>
  <c r="W1753" i="2"/>
  <c r="A1758" i="8" s="1"/>
  <c r="W1757" i="2"/>
  <c r="A1762" i="8" s="1"/>
  <c r="W1761" i="2"/>
  <c r="A1766" i="8" s="1"/>
  <c r="W1765" i="2"/>
  <c r="A1770" i="8" s="1"/>
  <c r="W1769" i="2"/>
  <c r="A1774" i="8" s="1"/>
  <c r="W1773" i="2"/>
  <c r="A1778" i="8" s="1"/>
  <c r="W1777" i="2"/>
  <c r="A1782" i="8" s="1"/>
  <c r="W1781" i="2"/>
  <c r="A1786" i="8" s="1"/>
  <c r="W1785" i="2"/>
  <c r="A1790" i="8" s="1"/>
  <c r="W1789" i="2"/>
  <c r="A1794" i="8" s="1"/>
  <c r="W1793" i="2"/>
  <c r="A1798" i="8" s="1"/>
  <c r="W1797" i="2"/>
  <c r="A1802" i="8" s="1"/>
  <c r="W1801" i="2"/>
  <c r="A1806" i="8" s="1"/>
  <c r="W1805" i="2"/>
  <c r="A1810" i="8" s="1"/>
  <c r="W1809" i="2"/>
  <c r="A1814" i="8" s="1"/>
  <c r="W1813" i="2"/>
  <c r="A1818" i="8" s="1"/>
  <c r="W1817" i="2"/>
  <c r="A1822" i="8" s="1"/>
  <c r="W1821" i="2"/>
  <c r="A1826" i="8" s="1"/>
  <c r="W1825" i="2"/>
  <c r="A1830" i="8" s="1"/>
  <c r="W1829" i="2"/>
  <c r="A1834" i="8" s="1"/>
  <c r="W1833" i="2"/>
  <c r="A1838" i="8" s="1"/>
  <c r="W1837" i="2"/>
  <c r="A8" i="8" s="1"/>
  <c r="W1841" i="2"/>
  <c r="A1845" i="8" s="1"/>
  <c r="W1845" i="2"/>
  <c r="A1849" i="8" s="1"/>
  <c r="W1849" i="2"/>
  <c r="A1853" i="8" s="1"/>
  <c r="W1853" i="2"/>
  <c r="A1857" i="8" s="1"/>
  <c r="W1857" i="2"/>
  <c r="A1860" i="8" s="1"/>
  <c r="W1861" i="2"/>
  <c r="A1864" i="8" s="1"/>
  <c r="W1865" i="2"/>
  <c r="A1868" i="8" s="1"/>
  <c r="W1869" i="2"/>
  <c r="A1872" i="8" s="1"/>
  <c r="W1873" i="2"/>
  <c r="A1876" i="8" s="1"/>
  <c r="W1877" i="2"/>
  <c r="A1880" i="8" s="1"/>
  <c r="W1881" i="2"/>
  <c r="A1884" i="8" s="1"/>
  <c r="W1885" i="2"/>
  <c r="A1888" i="8" s="1"/>
  <c r="W1889" i="2"/>
  <c r="A1892" i="8" s="1"/>
  <c r="W1893" i="2"/>
  <c r="A1896" i="8" s="1"/>
  <c r="W1897" i="2"/>
  <c r="A1900" i="8" s="1"/>
  <c r="W1901" i="2"/>
  <c r="A1904" i="8" s="1"/>
  <c r="W1905" i="2"/>
  <c r="A1908" i="8" s="1"/>
  <c r="W1909" i="2"/>
  <c r="A1912" i="8" s="1"/>
  <c r="W1913" i="2"/>
  <c r="A1916" i="8" s="1"/>
  <c r="W1917" i="2"/>
  <c r="A1920" i="8" s="1"/>
  <c r="W1921" i="2"/>
  <c r="A1924" i="8" s="1"/>
  <c r="W1925" i="2"/>
  <c r="A1928" i="8" s="1"/>
  <c r="W1929" i="2"/>
  <c r="A1931" i="8" s="1"/>
  <c r="W1933" i="2"/>
  <c r="A1935" i="8" s="1"/>
  <c r="W1937" i="2"/>
  <c r="A1939" i="8" s="1"/>
  <c r="W1941" i="2"/>
  <c r="A1942" i="8" s="1"/>
  <c r="W1945" i="2"/>
  <c r="A1946" i="8" s="1"/>
  <c r="W1949" i="2"/>
  <c r="A1950" i="8" s="1"/>
  <c r="W1953" i="2"/>
  <c r="A1954" i="8" s="1"/>
  <c r="W1957" i="2"/>
  <c r="A1958" i="8" s="1"/>
  <c r="W1961" i="2"/>
  <c r="A1962" i="8" s="1"/>
  <c r="W1965" i="2"/>
  <c r="A1966" i="8" s="1"/>
  <c r="W1969" i="2"/>
  <c r="A1970" i="8" s="1"/>
  <c r="W1973" i="2"/>
  <c r="A1974" i="8" s="1"/>
  <c r="W1977" i="2"/>
  <c r="A1978" i="8" s="1"/>
  <c r="W1981" i="2"/>
  <c r="A1982" i="8" s="1"/>
  <c r="W1985" i="2"/>
  <c r="A1986" i="8" s="1"/>
  <c r="W1989" i="2"/>
  <c r="A1990" i="8" s="1"/>
  <c r="W1993" i="2"/>
  <c r="A1994" i="8" s="1"/>
  <c r="W1997" i="2"/>
  <c r="A1998" i="8" s="1"/>
  <c r="W2001" i="2"/>
  <c r="A2002" i="8" s="1"/>
  <c r="W2005" i="2"/>
  <c r="A2006" i="8" s="1"/>
  <c r="W2009" i="2"/>
  <c r="A2010" i="8" s="1"/>
  <c r="W2013" i="2"/>
  <c r="A2014" i="8" s="1"/>
  <c r="W2017" i="2"/>
  <c r="A2018" i="8" s="1"/>
  <c r="W2021" i="2"/>
  <c r="A2022" i="8" s="1"/>
  <c r="W2025" i="2"/>
  <c r="A2026" i="8" s="1"/>
  <c r="W2029" i="2"/>
  <c r="A2030" i="8" s="1"/>
  <c r="W2033" i="2"/>
  <c r="A2034" i="8" s="1"/>
  <c r="W2037" i="2"/>
  <c r="A2038" i="8" s="1"/>
  <c r="W2041" i="2"/>
  <c r="A2042" i="8" s="1"/>
  <c r="W2045" i="2"/>
  <c r="A2046" i="8" s="1"/>
  <c r="W2049" i="2"/>
  <c r="A2050" i="8" s="1"/>
  <c r="W2053" i="2"/>
  <c r="A2054" i="8" s="1"/>
  <c r="W2057" i="2"/>
  <c r="A2058" i="8" s="1"/>
  <c r="W2061" i="2"/>
  <c r="A2062" i="8" s="1"/>
  <c r="W2065" i="2"/>
  <c r="A2066" i="8" s="1"/>
  <c r="W2069" i="2"/>
  <c r="A2070" i="8" s="1"/>
  <c r="W2073" i="2"/>
  <c r="A2074" i="8" s="1"/>
  <c r="W2077" i="2"/>
  <c r="A2078" i="8" s="1"/>
  <c r="W2081" i="2"/>
  <c r="A2082" i="8" s="1"/>
  <c r="W2085" i="2"/>
  <c r="A10" i="8" s="1"/>
  <c r="W2089" i="2"/>
  <c r="A2089" i="8" s="1"/>
  <c r="W2093" i="2"/>
  <c r="A2093" i="8" s="1"/>
  <c r="W2097" i="2"/>
  <c r="A2097" i="8" s="1"/>
  <c r="W2101" i="2"/>
  <c r="A2101" i="8" s="1"/>
  <c r="W2105" i="2"/>
  <c r="A2105" i="8" s="1"/>
  <c r="W2109" i="2"/>
  <c r="A2109" i="8" s="1"/>
  <c r="W2113" i="2"/>
  <c r="A2113" i="8" s="1"/>
  <c r="W2117" i="2"/>
  <c r="A2117" i="8" s="1"/>
  <c r="W2121" i="2"/>
  <c r="A2121" i="8" s="1"/>
  <c r="W2125" i="2"/>
  <c r="A2125" i="8" s="1"/>
  <c r="W2129" i="2"/>
  <c r="A2129" i="8" s="1"/>
  <c r="W2133" i="2"/>
  <c r="A2133" i="8" s="1"/>
  <c r="W2137" i="2"/>
  <c r="A2137" i="8" s="1"/>
  <c r="W2141" i="2"/>
  <c r="A2141" i="8" s="1"/>
  <c r="W2145" i="2"/>
  <c r="A2145" i="8" s="1"/>
  <c r="W2149" i="2"/>
  <c r="A2149" i="8" s="1"/>
  <c r="W2153" i="2"/>
  <c r="A2153" i="8" s="1"/>
  <c r="W2157" i="2"/>
  <c r="A2157" i="8" s="1"/>
  <c r="W2161" i="2"/>
  <c r="A2161" i="8" s="1"/>
  <c r="W2165" i="2"/>
  <c r="A2165" i="8" s="1"/>
  <c r="X35" i="2"/>
  <c r="L47" i="8" s="1"/>
  <c r="X39" i="2"/>
  <c r="L51" i="8" s="1"/>
  <c r="X43" i="2"/>
  <c r="L55" i="8" s="1"/>
  <c r="X47" i="2"/>
  <c r="L59" i="8" s="1"/>
  <c r="X51" i="2"/>
  <c r="L63" i="8" s="1"/>
  <c r="X55" i="2"/>
  <c r="L67" i="8" s="1"/>
  <c r="X59" i="2"/>
  <c r="L71" i="8" s="1"/>
  <c r="X63" i="2"/>
  <c r="L75" i="8" s="1"/>
  <c r="X67" i="2"/>
  <c r="L78" i="8" s="1"/>
  <c r="X71" i="2"/>
  <c r="L15" i="8" s="1"/>
  <c r="X75" i="2"/>
  <c r="L85" i="8" s="1"/>
  <c r="X79" i="2"/>
  <c r="L89" i="8" s="1"/>
  <c r="X83" i="2"/>
  <c r="L93" i="8" s="1"/>
  <c r="X87" i="2"/>
  <c r="L97" i="8" s="1"/>
  <c r="X91" i="2"/>
  <c r="L101" i="8" s="1"/>
  <c r="X95" i="2"/>
  <c r="L105" i="8" s="1"/>
  <c r="X99" i="2"/>
  <c r="L109" i="8" s="1"/>
  <c r="X103" i="2"/>
  <c r="L113" i="8" s="1"/>
  <c r="X107" i="2"/>
  <c r="L117" i="8" s="1"/>
  <c r="X111" i="2"/>
  <c r="L121" i="8" s="1"/>
  <c r="X115" i="2"/>
  <c r="L125" i="8" s="1"/>
  <c r="X119" i="2"/>
  <c r="L129" i="8" s="1"/>
  <c r="X123" i="2"/>
  <c r="L133" i="8" s="1"/>
  <c r="X127" i="2"/>
  <c r="L137" i="8" s="1"/>
  <c r="X131" i="2"/>
  <c r="L141" i="8" s="1"/>
  <c r="X135" i="2"/>
  <c r="L145" i="8" s="1"/>
  <c r="X139" i="2"/>
  <c r="L149" i="8" s="1"/>
  <c r="X143" i="2"/>
  <c r="L153" i="8" s="1"/>
  <c r="X147" i="2"/>
  <c r="L157" i="8" s="1"/>
  <c r="X151" i="2"/>
  <c r="L161" i="8" s="1"/>
  <c r="X155" i="2"/>
  <c r="L165" i="8" s="1"/>
  <c r="X159" i="2"/>
  <c r="L169" i="8" s="1"/>
  <c r="X163" i="2"/>
  <c r="L173" i="8" s="1"/>
  <c r="X167" i="2"/>
  <c r="L177" i="8" s="1"/>
  <c r="X171" i="2"/>
  <c r="L181" i="8" s="1"/>
  <c r="X175" i="2"/>
  <c r="L185" i="8" s="1"/>
  <c r="X179" i="2"/>
  <c r="L189" i="8" s="1"/>
  <c r="X183" i="2"/>
  <c r="L193" i="8" s="1"/>
  <c r="X187" i="2"/>
  <c r="L197" i="8" s="1"/>
  <c r="X191" i="2"/>
  <c r="L201" i="8" s="1"/>
  <c r="X195" i="2"/>
  <c r="L205" i="8" s="1"/>
  <c r="X199" i="2"/>
  <c r="L209" i="8" s="1"/>
  <c r="X203" i="2"/>
  <c r="L213" i="8" s="1"/>
  <c r="X207" i="2"/>
  <c r="L217" i="8" s="1"/>
  <c r="X211" i="2"/>
  <c r="L221" i="8" s="1"/>
  <c r="X215" i="2"/>
  <c r="L225" i="8" s="1"/>
  <c r="X219" i="2"/>
  <c r="L229" i="8" s="1"/>
  <c r="X223" i="2"/>
  <c r="L233" i="8" s="1"/>
  <c r="X227" i="2"/>
  <c r="L237" i="8" s="1"/>
  <c r="X231" i="2"/>
  <c r="L241" i="8" s="1"/>
  <c r="X235" i="2"/>
  <c r="L245" i="8" s="1"/>
  <c r="X239" i="2"/>
  <c r="L249" i="8" s="1"/>
  <c r="X243" i="2"/>
  <c r="L253" i="8" s="1"/>
  <c r="X247" i="2"/>
  <c r="L257" i="8" s="1"/>
  <c r="X251" i="2"/>
  <c r="L261" i="8" s="1"/>
  <c r="X255" i="2"/>
  <c r="L265" i="8" s="1"/>
  <c r="X259" i="2"/>
  <c r="L269" i="8" s="1"/>
  <c r="X263" i="2"/>
  <c r="L273" i="8" s="1"/>
  <c r="X267" i="2"/>
  <c r="L277" i="8" s="1"/>
  <c r="X271" i="2"/>
  <c r="L281" i="8" s="1"/>
  <c r="X275" i="2"/>
  <c r="L285" i="8" s="1"/>
  <c r="X279" i="2"/>
  <c r="L289" i="8" s="1"/>
  <c r="X283" i="2"/>
  <c r="L293" i="8" s="1"/>
  <c r="X287" i="2"/>
  <c r="L297" i="8" s="1"/>
  <c r="X291" i="2"/>
  <c r="L301" i="8" s="1"/>
  <c r="X295" i="2"/>
  <c r="L305" i="8" s="1"/>
  <c r="X299" i="2"/>
  <c r="L309" i="8" s="1"/>
  <c r="X303" i="2"/>
  <c r="L313" i="8" s="1"/>
  <c r="X307" i="2"/>
  <c r="L317" i="8" s="1"/>
  <c r="X311" i="2"/>
  <c r="L321" i="8" s="1"/>
  <c r="X315" i="2"/>
  <c r="L325" i="8" s="1"/>
  <c r="X319" i="2"/>
  <c r="L329" i="8" s="1"/>
  <c r="X323" i="2"/>
  <c r="L333" i="8" s="1"/>
  <c r="X327" i="2"/>
  <c r="L337" i="8" s="1"/>
  <c r="X331" i="2"/>
  <c r="L341" i="8" s="1"/>
  <c r="X335" i="2"/>
  <c r="L345" i="8" s="1"/>
  <c r="X339" i="2"/>
  <c r="L349" i="8" s="1"/>
  <c r="X343" i="2"/>
  <c r="L353" i="8" s="1"/>
  <c r="X347" i="2"/>
  <c r="L357" i="8" s="1"/>
  <c r="X351" i="2"/>
  <c r="L361" i="8" s="1"/>
  <c r="X355" i="2"/>
  <c r="L365" i="8" s="1"/>
  <c r="X359" i="2"/>
  <c r="L369" i="8" s="1"/>
  <c r="X363" i="2"/>
  <c r="L373" i="8" s="1"/>
  <c r="X367" i="2"/>
  <c r="L377" i="8" s="1"/>
  <c r="X371" i="2"/>
  <c r="L381" i="8" s="1"/>
  <c r="X375" i="2"/>
  <c r="L385" i="8" s="1"/>
  <c r="X379" i="2"/>
  <c r="L389" i="8" s="1"/>
  <c r="X383" i="2"/>
  <c r="L393" i="8" s="1"/>
  <c r="X387" i="2"/>
  <c r="L397" i="8" s="1"/>
  <c r="X391" i="2"/>
  <c r="L401" i="8" s="1"/>
  <c r="X395" i="2"/>
  <c r="L405" i="8" s="1"/>
  <c r="X399" i="2"/>
  <c r="L409" i="8" s="1"/>
  <c r="X403" i="2"/>
  <c r="L413" i="8" s="1"/>
  <c r="X407" i="2"/>
  <c r="L417" i="8" s="1"/>
  <c r="X411" i="2"/>
  <c r="L421" i="8" s="1"/>
  <c r="X415" i="2"/>
  <c r="L425" i="8" s="1"/>
  <c r="X419" i="2"/>
  <c r="L429" i="8" s="1"/>
  <c r="X423" i="2"/>
  <c r="L433" i="8" s="1"/>
  <c r="X427" i="2"/>
  <c r="L437" i="8" s="1"/>
  <c r="X431" i="2"/>
  <c r="L441" i="8" s="1"/>
  <c r="X435" i="2"/>
  <c r="L445" i="8" s="1"/>
  <c r="X439" i="2"/>
  <c r="L449" i="8" s="1"/>
  <c r="X443" i="2"/>
  <c r="L453" i="8" s="1"/>
  <c r="X447" i="2"/>
  <c r="L457" i="8" s="1"/>
  <c r="X451" i="2"/>
  <c r="L461" i="8" s="1"/>
  <c r="X455" i="2"/>
  <c r="L465" i="8" s="1"/>
  <c r="X459" i="2"/>
  <c r="L469" i="8" s="1"/>
  <c r="X463" i="2"/>
  <c r="L473" i="8" s="1"/>
  <c r="X467" i="2"/>
  <c r="L477" i="8" s="1"/>
  <c r="X471" i="2"/>
  <c r="L481" i="8" s="1"/>
  <c r="X475" i="2"/>
  <c r="L485" i="8" s="1"/>
  <c r="X479" i="2"/>
  <c r="L489" i="8" s="1"/>
  <c r="X483" i="2"/>
  <c r="L493" i="8" s="1"/>
  <c r="X487" i="2"/>
  <c r="L497" i="8" s="1"/>
  <c r="X491" i="2"/>
  <c r="L501" i="8" s="1"/>
  <c r="X495" i="2"/>
  <c r="L505" i="8" s="1"/>
  <c r="X499" i="2"/>
  <c r="L509" i="8" s="1"/>
  <c r="X503" i="2"/>
  <c r="L513" i="8" s="1"/>
  <c r="X507" i="2"/>
  <c r="L517" i="8" s="1"/>
  <c r="X511" i="2"/>
  <c r="L521" i="8" s="1"/>
  <c r="X515" i="2"/>
  <c r="L525" i="8" s="1"/>
  <c r="X519" i="2"/>
  <c r="L529" i="8" s="1"/>
  <c r="X523" i="2"/>
  <c r="L533" i="8" s="1"/>
  <c r="X527" i="2"/>
  <c r="L537" i="8" s="1"/>
  <c r="X531" i="2"/>
  <c r="L541" i="8" s="1"/>
  <c r="X535" i="2"/>
  <c r="L545" i="8" s="1"/>
  <c r="X539" i="2"/>
  <c r="L549" i="8" s="1"/>
  <c r="X543" i="2"/>
  <c r="L553" i="8" s="1"/>
  <c r="X547" i="2"/>
  <c r="L557" i="8" s="1"/>
  <c r="X551" i="2"/>
  <c r="L561" i="8" s="1"/>
  <c r="X555" i="2"/>
  <c r="L565" i="8" s="1"/>
  <c r="X559" i="2"/>
  <c r="L569" i="8" s="1"/>
  <c r="X563" i="2"/>
  <c r="L573" i="8" s="1"/>
  <c r="X567" i="2"/>
  <c r="L577" i="8" s="1"/>
  <c r="X571" i="2"/>
  <c r="L581" i="8" s="1"/>
  <c r="X575" i="2"/>
  <c r="L585" i="8" s="1"/>
  <c r="X579" i="2"/>
  <c r="L589" i="8" s="1"/>
  <c r="X583" i="2"/>
  <c r="L593" i="8" s="1"/>
  <c r="X587" i="2"/>
  <c r="L597" i="8" s="1"/>
  <c r="X591" i="2"/>
  <c r="L601" i="8" s="1"/>
  <c r="X595" i="2"/>
  <c r="L605" i="8" s="1"/>
  <c r="X599" i="2"/>
  <c r="L609" i="8" s="1"/>
  <c r="X603" i="2"/>
  <c r="L613" i="8" s="1"/>
  <c r="X607" i="2"/>
  <c r="L617" i="8" s="1"/>
  <c r="X611" i="2"/>
  <c r="L621" i="8" s="1"/>
  <c r="X615" i="2"/>
  <c r="L625" i="8" s="1"/>
  <c r="X619" i="2"/>
  <c r="L629" i="8" s="1"/>
  <c r="X623" i="2"/>
  <c r="L633" i="8" s="1"/>
  <c r="X627" i="2"/>
  <c r="L637" i="8" s="1"/>
  <c r="X631" i="2"/>
  <c r="L641" i="8" s="1"/>
  <c r="X635" i="2"/>
  <c r="L645" i="8" s="1"/>
  <c r="X639" i="2"/>
  <c r="L649" i="8" s="1"/>
  <c r="X643" i="2"/>
  <c r="L653" i="8" s="1"/>
  <c r="X647" i="2"/>
  <c r="L657" i="8" s="1"/>
  <c r="X651" i="2"/>
  <c r="L661" i="8" s="1"/>
  <c r="X655" i="2"/>
  <c r="L665" i="8" s="1"/>
  <c r="X659" i="2"/>
  <c r="L669" i="8" s="1"/>
  <c r="X663" i="2"/>
  <c r="L673" i="8" s="1"/>
  <c r="X667" i="2"/>
  <c r="L677" i="8" s="1"/>
  <c r="X671" i="2"/>
  <c r="L681" i="8" s="1"/>
  <c r="X675" i="2"/>
  <c r="L685" i="8" s="1"/>
  <c r="X679" i="2"/>
  <c r="L689" i="8" s="1"/>
  <c r="X683" i="2"/>
  <c r="L693" i="8" s="1"/>
  <c r="X687" i="2"/>
  <c r="L697" i="8" s="1"/>
  <c r="X691" i="2"/>
  <c r="L701" i="8" s="1"/>
  <c r="X695" i="2"/>
  <c r="L705" i="8" s="1"/>
  <c r="X699" i="2"/>
  <c r="L709" i="8" s="1"/>
  <c r="X703" i="2"/>
  <c r="L713" i="8" s="1"/>
  <c r="X707" i="2"/>
  <c r="L717" i="8" s="1"/>
  <c r="X711" i="2"/>
  <c r="L721" i="8" s="1"/>
  <c r="X715" i="2"/>
  <c r="L725" i="8" s="1"/>
  <c r="X719" i="2"/>
  <c r="L728" i="8" s="1"/>
  <c r="X723" i="2"/>
  <c r="L732" i="8" s="1"/>
  <c r="X727" i="2"/>
  <c r="L736" i="8" s="1"/>
  <c r="X731" i="2"/>
  <c r="L740" i="8" s="1"/>
  <c r="X735" i="2"/>
  <c r="L744" i="8" s="1"/>
  <c r="X739" i="2"/>
  <c r="L748" i="8" s="1"/>
  <c r="X743" i="2"/>
  <c r="L752" i="8" s="1"/>
  <c r="X747" i="2"/>
  <c r="L756" i="8" s="1"/>
  <c r="X751" i="2"/>
  <c r="L760" i="8" s="1"/>
  <c r="X755" i="2"/>
  <c r="L764" i="8" s="1"/>
  <c r="X759" i="2"/>
  <c r="L768" i="8" s="1"/>
  <c r="X763" i="2"/>
  <c r="L772" i="8" s="1"/>
  <c r="X767" i="2"/>
  <c r="L776" i="8" s="1"/>
  <c r="X771" i="2"/>
  <c r="L780" i="8" s="1"/>
  <c r="X775" i="2"/>
  <c r="L784" i="8" s="1"/>
  <c r="X779" i="2"/>
  <c r="L788" i="8" s="1"/>
  <c r="X783" i="2"/>
  <c r="L792" i="8" s="1"/>
  <c r="X787" i="2"/>
  <c r="L796" i="8" s="1"/>
  <c r="X791" i="2"/>
  <c r="L800" i="8" s="1"/>
  <c r="X795" i="2"/>
  <c r="L804" i="8" s="1"/>
  <c r="X799" i="2"/>
  <c r="L808" i="8" s="1"/>
  <c r="X803" i="2"/>
  <c r="L812" i="8" s="1"/>
  <c r="X807" i="2"/>
  <c r="L816" i="8" s="1"/>
  <c r="X811" i="2"/>
  <c r="L820" i="8" s="1"/>
  <c r="X815" i="2"/>
  <c r="L824" i="8" s="1"/>
  <c r="X819" i="2"/>
  <c r="L828" i="8" s="1"/>
  <c r="X823" i="2"/>
  <c r="L832" i="8" s="1"/>
  <c r="X827" i="2"/>
  <c r="L836" i="8" s="1"/>
  <c r="X831" i="2"/>
  <c r="L840" i="8" s="1"/>
  <c r="X835" i="2"/>
  <c r="L844" i="8" s="1"/>
  <c r="X839" i="2"/>
  <c r="L848" i="8" s="1"/>
  <c r="X843" i="2"/>
  <c r="L852" i="8" s="1"/>
  <c r="X847" i="2"/>
  <c r="L856" i="8" s="1"/>
  <c r="X851" i="2"/>
  <c r="L860" i="8" s="1"/>
  <c r="X855" i="2"/>
  <c r="L864" i="8" s="1"/>
  <c r="X859" i="2"/>
  <c r="L868" i="8" s="1"/>
  <c r="X863" i="2"/>
  <c r="L872" i="8" s="1"/>
  <c r="X867" i="2"/>
  <c r="L876" i="8" s="1"/>
  <c r="X871" i="2"/>
  <c r="L880" i="8" s="1"/>
  <c r="X875" i="2"/>
  <c r="L884" i="8" s="1"/>
  <c r="X879" i="2"/>
  <c r="L888" i="8" s="1"/>
  <c r="X883" i="2"/>
  <c r="L892" i="8" s="1"/>
  <c r="X887" i="2"/>
  <c r="L896" i="8" s="1"/>
  <c r="X891" i="2"/>
  <c r="L900" i="8" s="1"/>
  <c r="X895" i="2"/>
  <c r="L904" i="8" s="1"/>
  <c r="X899" i="2"/>
  <c r="L908" i="8" s="1"/>
  <c r="X903" i="2"/>
  <c r="L912" i="8" s="1"/>
  <c r="X907" i="2"/>
  <c r="L916" i="8" s="1"/>
  <c r="X911" i="2"/>
  <c r="L920" i="8" s="1"/>
  <c r="X915" i="2"/>
  <c r="L924" i="8" s="1"/>
  <c r="X919" i="2"/>
  <c r="L928" i="8" s="1"/>
  <c r="X923" i="2"/>
  <c r="L932" i="8" s="1"/>
  <c r="X927" i="2"/>
  <c r="L936" i="8" s="1"/>
  <c r="X931" i="2"/>
  <c r="L940" i="8" s="1"/>
  <c r="X935" i="2"/>
  <c r="L944" i="8" s="1"/>
  <c r="X939" i="2"/>
  <c r="L948" i="8" s="1"/>
  <c r="X943" i="2"/>
  <c r="L952" i="8" s="1"/>
  <c r="X947" i="2"/>
  <c r="L956" i="8" s="1"/>
  <c r="X951" i="2"/>
  <c r="L960" i="8" s="1"/>
  <c r="X955" i="2"/>
  <c r="L964" i="8" s="1"/>
  <c r="X959" i="2"/>
  <c r="L968" i="8" s="1"/>
  <c r="X963" i="2"/>
  <c r="L972" i="8" s="1"/>
  <c r="X967" i="2"/>
  <c r="L975" i="8" s="1"/>
  <c r="X971" i="2"/>
  <c r="L979" i="8" s="1"/>
  <c r="X975" i="2"/>
  <c r="L983" i="8" s="1"/>
  <c r="X979" i="2"/>
  <c r="L987" i="8" s="1"/>
  <c r="X983" i="2"/>
  <c r="L991" i="8" s="1"/>
  <c r="X987" i="2"/>
  <c r="L995" i="8" s="1"/>
  <c r="X991" i="2"/>
  <c r="L999" i="8" s="1"/>
  <c r="X995" i="2"/>
  <c r="L1003" i="8" s="1"/>
  <c r="X999" i="2"/>
  <c r="L1007" i="8" s="1"/>
  <c r="X1003" i="2"/>
  <c r="L1011" i="8" s="1"/>
  <c r="X1007" i="2"/>
  <c r="L1015" i="8" s="1"/>
  <c r="X1011" i="2"/>
  <c r="L1019" i="8" s="1"/>
  <c r="X1015" i="2"/>
  <c r="L1023" i="8" s="1"/>
  <c r="X1019" i="2"/>
  <c r="L1027" i="8" s="1"/>
  <c r="X1023" i="2"/>
  <c r="L1031" i="8" s="1"/>
  <c r="X1027" i="2"/>
  <c r="L1035" i="8" s="1"/>
  <c r="X1031" i="2"/>
  <c r="L1039" i="8" s="1"/>
  <c r="X1035" i="2"/>
  <c r="L1043" i="8" s="1"/>
  <c r="X1039" i="2"/>
  <c r="L1047" i="8" s="1"/>
  <c r="X1043" i="2"/>
  <c r="L1051" i="8" s="1"/>
  <c r="X1047" i="2"/>
  <c r="L1055" i="8" s="1"/>
  <c r="X1051" i="2"/>
  <c r="L1059" i="8" s="1"/>
  <c r="X1055" i="2"/>
  <c r="L1063" i="8" s="1"/>
  <c r="X1059" i="2"/>
  <c r="L1067" i="8" s="1"/>
  <c r="X1063" i="2"/>
  <c r="L1071" i="8" s="1"/>
  <c r="X1067" i="2"/>
  <c r="L1075" i="8" s="1"/>
  <c r="X1071" i="2"/>
  <c r="L1079" i="8" s="1"/>
  <c r="X1075" i="2"/>
  <c r="L1083" i="8" s="1"/>
  <c r="X1079" i="2"/>
  <c r="L1087" i="8" s="1"/>
  <c r="X1083" i="2"/>
  <c r="L1091" i="8" s="1"/>
  <c r="X1087" i="2"/>
  <c r="L1095" i="8" s="1"/>
  <c r="X1091" i="2"/>
  <c r="L1099" i="8" s="1"/>
  <c r="X1095" i="2"/>
  <c r="L1103" i="8" s="1"/>
  <c r="X1099" i="2"/>
  <c r="L1107" i="8" s="1"/>
  <c r="X1103" i="2"/>
  <c r="L1111" i="8" s="1"/>
  <c r="X1107" i="2"/>
  <c r="L1115" i="8" s="1"/>
  <c r="X1111" i="2"/>
  <c r="L1119" i="8" s="1"/>
  <c r="X1115" i="2"/>
  <c r="L1123" i="8" s="1"/>
  <c r="X1119" i="2"/>
  <c r="L1127" i="8" s="1"/>
  <c r="X1123" i="2"/>
  <c r="L1131" i="8" s="1"/>
  <c r="X1127" i="2"/>
  <c r="L1135" i="8" s="1"/>
  <c r="X1131" i="2"/>
  <c r="L1139" i="8" s="1"/>
  <c r="X1135" i="2"/>
  <c r="L1143" i="8" s="1"/>
  <c r="X1139" i="2"/>
  <c r="L1147" i="8" s="1"/>
  <c r="X1143" i="2"/>
  <c r="L1151" i="8" s="1"/>
  <c r="X1147" i="2"/>
  <c r="L1155" i="8" s="1"/>
  <c r="X1151" i="2"/>
  <c r="L1159" i="8" s="1"/>
  <c r="X1155" i="2"/>
  <c r="L1163" i="8" s="1"/>
  <c r="X1159" i="2"/>
  <c r="L1167" i="8" s="1"/>
  <c r="X1163" i="2"/>
  <c r="L1171" i="8" s="1"/>
  <c r="X1167" i="2"/>
  <c r="L1175" i="8" s="1"/>
  <c r="X1171" i="2"/>
  <c r="L1179" i="8" s="1"/>
  <c r="X1175" i="2"/>
  <c r="L1183" i="8" s="1"/>
  <c r="X1179" i="2"/>
  <c r="L1187" i="8" s="1"/>
  <c r="X1183" i="2"/>
  <c r="L1191" i="8" s="1"/>
  <c r="X1187" i="2"/>
  <c r="L1195" i="8" s="1"/>
  <c r="X1191" i="2"/>
  <c r="L1199" i="8" s="1"/>
  <c r="X1195" i="2"/>
  <c r="L1203" i="8" s="1"/>
  <c r="X1199" i="2"/>
  <c r="L1207" i="8" s="1"/>
  <c r="X1203" i="2"/>
  <c r="L1211" i="8" s="1"/>
  <c r="X1207" i="2"/>
  <c r="L1215" i="8" s="1"/>
  <c r="X1211" i="2"/>
  <c r="L1219" i="8" s="1"/>
  <c r="X1215" i="2"/>
  <c r="L1223" i="8" s="1"/>
  <c r="X1219" i="2"/>
  <c r="L1227" i="8" s="1"/>
  <c r="X1223" i="2"/>
  <c r="L1231" i="8" s="1"/>
  <c r="X1227" i="2"/>
  <c r="L1235" i="8" s="1"/>
  <c r="X1231" i="2"/>
  <c r="L1239" i="8" s="1"/>
  <c r="X1235" i="2"/>
  <c r="L1243" i="8" s="1"/>
  <c r="X1239" i="2"/>
  <c r="L1247" i="8" s="1"/>
  <c r="X1243" i="2"/>
  <c r="L1251" i="8" s="1"/>
  <c r="X1247" i="2"/>
  <c r="L1255" i="8" s="1"/>
  <c r="X1251" i="2"/>
  <c r="L1259" i="8" s="1"/>
  <c r="X1255" i="2"/>
  <c r="L1263" i="8" s="1"/>
  <c r="X1259" i="2"/>
  <c r="L1267" i="8" s="1"/>
  <c r="X1263" i="2"/>
  <c r="L1271" i="8" s="1"/>
  <c r="X1267" i="2"/>
  <c r="L1274" i="8" s="1"/>
  <c r="X1271" i="2"/>
  <c r="L1278" i="8" s="1"/>
  <c r="X1275" i="2"/>
  <c r="L1282" i="8" s="1"/>
  <c r="X1279" i="2"/>
  <c r="L1286" i="8" s="1"/>
  <c r="X1283" i="2"/>
  <c r="L1290" i="8" s="1"/>
  <c r="X1287" i="2"/>
  <c r="L1294" i="8" s="1"/>
  <c r="X1291" i="2"/>
  <c r="L1298" i="8" s="1"/>
  <c r="X1295" i="2"/>
  <c r="L1302" i="8" s="1"/>
  <c r="X1299" i="2"/>
  <c r="L1306" i="8" s="1"/>
  <c r="X1303" i="2"/>
  <c r="L1310" i="8" s="1"/>
  <c r="X1307" i="2"/>
  <c r="L1314" i="8" s="1"/>
  <c r="X1311" i="2"/>
  <c r="L1318" i="8" s="1"/>
  <c r="X1315" i="2"/>
  <c r="L1322" i="8" s="1"/>
  <c r="X1319" i="2"/>
  <c r="L1326" i="8" s="1"/>
  <c r="X1323" i="2"/>
  <c r="L1330" i="8" s="1"/>
  <c r="X1327" i="2"/>
  <c r="L1334" i="8" s="1"/>
  <c r="X1331" i="2"/>
  <c r="L1338" i="8" s="1"/>
  <c r="X1335" i="2"/>
  <c r="L1342" i="8" s="1"/>
  <c r="X1339" i="2"/>
  <c r="L1346" i="8" s="1"/>
  <c r="X1343" i="2"/>
  <c r="L1350" i="8" s="1"/>
  <c r="X1347" i="2"/>
  <c r="L1354" i="8" s="1"/>
  <c r="X1351" i="2"/>
  <c r="L1358" i="8" s="1"/>
  <c r="X1355" i="2"/>
  <c r="L1362" i="8" s="1"/>
  <c r="X1359" i="2"/>
  <c r="L1366" i="8" s="1"/>
  <c r="X1363" i="2"/>
  <c r="L1370" i="8" s="1"/>
  <c r="X1367" i="2"/>
  <c r="L1374" i="8" s="1"/>
  <c r="X1371" i="2"/>
  <c r="L1378" i="8" s="1"/>
  <c r="X1375" i="2"/>
  <c r="L1382" i="8" s="1"/>
  <c r="X1379" i="2"/>
  <c r="L1386" i="8" s="1"/>
  <c r="X1383" i="2"/>
  <c r="L1390" i="8" s="1"/>
  <c r="X1387" i="2"/>
  <c r="L1394" i="8" s="1"/>
  <c r="X1391" i="2"/>
  <c r="L1398" i="8" s="1"/>
  <c r="X1395" i="2"/>
  <c r="L1402" i="8" s="1"/>
  <c r="X1399" i="2"/>
  <c r="L1406" i="8" s="1"/>
  <c r="X1403" i="2"/>
  <c r="L1410" i="8" s="1"/>
  <c r="X1407" i="2"/>
  <c r="L1414" i="8" s="1"/>
  <c r="X1411" i="2"/>
  <c r="L1418" i="8" s="1"/>
  <c r="X1415" i="2"/>
  <c r="L1422" i="8" s="1"/>
  <c r="X1419" i="2"/>
  <c r="L1426" i="8" s="1"/>
  <c r="X1423" i="2"/>
  <c r="L1430" i="8" s="1"/>
  <c r="X1427" i="2"/>
  <c r="L1434" i="8" s="1"/>
  <c r="X1431" i="2"/>
  <c r="L1438" i="8" s="1"/>
  <c r="X1435" i="2"/>
  <c r="L1442" i="8" s="1"/>
  <c r="X1439" i="2"/>
  <c r="L1446" i="8" s="1"/>
  <c r="X1443" i="2"/>
  <c r="L1450" i="8" s="1"/>
  <c r="X1447" i="2"/>
  <c r="L1454" i="8" s="1"/>
  <c r="X1451" i="2"/>
  <c r="L1458" i="8" s="1"/>
  <c r="X1455" i="2"/>
  <c r="L1462" i="8" s="1"/>
  <c r="X1459" i="2"/>
  <c r="L1466" i="8" s="1"/>
  <c r="X1463" i="2"/>
  <c r="L1470" i="8" s="1"/>
  <c r="X1467" i="2"/>
  <c r="L1474" i="8" s="1"/>
  <c r="X1471" i="2"/>
  <c r="L1478" i="8" s="1"/>
  <c r="X1475" i="2"/>
  <c r="L1482" i="8" s="1"/>
  <c r="X1479" i="2"/>
  <c r="L1486" i="8" s="1"/>
  <c r="X1483" i="2"/>
  <c r="L1490" i="8" s="1"/>
  <c r="X1487" i="2"/>
  <c r="L1494" i="8" s="1"/>
  <c r="X1491" i="2"/>
  <c r="L1498" i="8" s="1"/>
  <c r="X1495" i="2"/>
  <c r="L1502" i="8" s="1"/>
  <c r="X1499" i="2"/>
  <c r="L1506" i="8" s="1"/>
  <c r="X1503" i="2"/>
  <c r="L1510" i="8" s="1"/>
  <c r="X1507" i="2"/>
  <c r="L1514" i="8" s="1"/>
  <c r="X1511" i="2"/>
  <c r="L1518" i="8" s="1"/>
  <c r="X1515" i="2"/>
  <c r="L1522" i="8" s="1"/>
  <c r="X1519" i="2"/>
  <c r="L1526" i="8" s="1"/>
  <c r="X1523" i="2"/>
  <c r="L1530" i="8" s="1"/>
  <c r="X1527" i="2"/>
  <c r="L1534" i="8" s="1"/>
  <c r="X1531" i="2"/>
  <c r="L1538" i="8" s="1"/>
  <c r="X1535" i="2"/>
  <c r="L1542" i="8" s="1"/>
  <c r="X1539" i="2"/>
  <c r="L1546" i="8" s="1"/>
  <c r="X1543" i="2"/>
  <c r="L1550" i="8" s="1"/>
  <c r="X1547" i="2"/>
  <c r="L1554" i="8" s="1"/>
  <c r="X1551" i="2"/>
  <c r="L1558" i="8" s="1"/>
  <c r="X1555" i="2"/>
  <c r="L1562" i="8" s="1"/>
  <c r="X1559" i="2"/>
  <c r="L1566" i="8" s="1"/>
  <c r="X1563" i="2"/>
  <c r="L1570" i="8" s="1"/>
  <c r="X1567" i="2"/>
  <c r="L1574" i="8" s="1"/>
  <c r="X1571" i="2"/>
  <c r="L1578" i="8" s="1"/>
  <c r="X1575" i="2"/>
  <c r="L1582" i="8" s="1"/>
  <c r="X1579" i="2"/>
  <c r="L1586" i="8" s="1"/>
  <c r="X1583" i="2"/>
  <c r="L1590" i="8" s="1"/>
  <c r="X1587" i="2"/>
  <c r="L1594" i="8" s="1"/>
  <c r="X1591" i="2"/>
  <c r="L1598" i="8" s="1"/>
  <c r="X1595" i="2"/>
  <c r="L1602" i="8" s="1"/>
  <c r="X1599" i="2"/>
  <c r="L1606" i="8" s="1"/>
  <c r="X1603" i="2"/>
  <c r="L1610" i="8" s="1"/>
  <c r="X1607" i="2"/>
  <c r="L1614" i="8" s="1"/>
  <c r="X1611" i="2"/>
  <c r="L1618" i="8" s="1"/>
  <c r="X1615" i="2"/>
  <c r="L11" i="8" s="1"/>
  <c r="X1619" i="2"/>
  <c r="L1625" i="8" s="1"/>
  <c r="X1623" i="2"/>
  <c r="L1629" i="8" s="1"/>
  <c r="X1627" i="2"/>
  <c r="L1633" i="8" s="1"/>
  <c r="X1631" i="2"/>
  <c r="L1637" i="8" s="1"/>
  <c r="X1635" i="2"/>
  <c r="L1641" i="8" s="1"/>
  <c r="X1639" i="2"/>
  <c r="L1645" i="8" s="1"/>
  <c r="X1643" i="2"/>
  <c r="L1649" i="8" s="1"/>
  <c r="X1647" i="2"/>
  <c r="L1653" i="8" s="1"/>
  <c r="X1651" i="2"/>
  <c r="L1657" i="8" s="1"/>
  <c r="X1655" i="2"/>
  <c r="L1661" i="8" s="1"/>
  <c r="X1659" i="2"/>
  <c r="L1665" i="8" s="1"/>
  <c r="X1663" i="2"/>
  <c r="L1669" i="8" s="1"/>
  <c r="X1667" i="2"/>
  <c r="L1673" i="8" s="1"/>
  <c r="X1671" i="2"/>
  <c r="L1677" i="8" s="1"/>
  <c r="X1675" i="2"/>
  <c r="L1681" i="8" s="1"/>
  <c r="X1679" i="2"/>
  <c r="L1685" i="8" s="1"/>
  <c r="X1683" i="2"/>
  <c r="L1689" i="8" s="1"/>
  <c r="X1687" i="2"/>
  <c r="L1693" i="8" s="1"/>
  <c r="X1691" i="2"/>
  <c r="L1697" i="8" s="1"/>
  <c r="X1695" i="2"/>
  <c r="L1701" i="8" s="1"/>
  <c r="X1699" i="2"/>
  <c r="L1705" i="8" s="1"/>
  <c r="X1703" i="2"/>
  <c r="L1709" i="8" s="1"/>
  <c r="X1707" i="2"/>
  <c r="L1713" i="8" s="1"/>
  <c r="X1711" i="2"/>
  <c r="L1717" i="8" s="1"/>
  <c r="X1715" i="2"/>
  <c r="L1721" i="8" s="1"/>
  <c r="X1719" i="2"/>
  <c r="L1725" i="8" s="1"/>
  <c r="X1723" i="2"/>
  <c r="L1729" i="8" s="1"/>
  <c r="X1727" i="2"/>
  <c r="L1732" i="8" s="1"/>
  <c r="X1731" i="2"/>
  <c r="L1736" i="8" s="1"/>
  <c r="X1735" i="2"/>
  <c r="L1740" i="8" s="1"/>
  <c r="X1739" i="2"/>
  <c r="L1744" i="8" s="1"/>
  <c r="X1743" i="2"/>
  <c r="L1748" i="8" s="1"/>
  <c r="X1747" i="2"/>
  <c r="L1752" i="8" s="1"/>
  <c r="X1751" i="2"/>
  <c r="L1756" i="8" s="1"/>
  <c r="X1755" i="2"/>
  <c r="L1760" i="8" s="1"/>
  <c r="X1759" i="2"/>
  <c r="L1764" i="8" s="1"/>
  <c r="X1763" i="2"/>
  <c r="L1768" i="8" s="1"/>
  <c r="X1767" i="2"/>
  <c r="L1772" i="8" s="1"/>
  <c r="X1771" i="2"/>
  <c r="L1776" i="8" s="1"/>
  <c r="X1775" i="2"/>
  <c r="L1780" i="8" s="1"/>
  <c r="X1779" i="2"/>
  <c r="L1784" i="8" s="1"/>
  <c r="X1783" i="2"/>
  <c r="L1788" i="8" s="1"/>
  <c r="X1787" i="2"/>
  <c r="L1792" i="8" s="1"/>
  <c r="X1791" i="2"/>
  <c r="L1796" i="8" s="1"/>
  <c r="X1795" i="2"/>
  <c r="L1800" i="8" s="1"/>
  <c r="X1799" i="2"/>
  <c r="L1804" i="8" s="1"/>
  <c r="X1803" i="2"/>
  <c r="L1808" i="8" s="1"/>
  <c r="X1807" i="2"/>
  <c r="L1812" i="8" s="1"/>
  <c r="X1811" i="2"/>
  <c r="L1816" i="8" s="1"/>
  <c r="X1815" i="2"/>
  <c r="L1820" i="8" s="1"/>
  <c r="X1819" i="2"/>
  <c r="L1824" i="8" s="1"/>
  <c r="X1823" i="2"/>
  <c r="L1828" i="8" s="1"/>
  <c r="X1827" i="2"/>
  <c r="L1832" i="8" s="1"/>
  <c r="X1831" i="2"/>
  <c r="L1836" i="8" s="1"/>
  <c r="X1835" i="2"/>
  <c r="L1840" i="8" s="1"/>
  <c r="X1839" i="2"/>
  <c r="L1843" i="8" s="1"/>
  <c r="X1843" i="2"/>
  <c r="L1847" i="8" s="1"/>
  <c r="X1847" i="2"/>
  <c r="L1851" i="8" s="1"/>
  <c r="X1851" i="2"/>
  <c r="L1855" i="8" s="1"/>
  <c r="X1855" i="2"/>
  <c r="L12" i="8" s="1"/>
  <c r="X1859" i="2"/>
  <c r="L1862" i="8" s="1"/>
  <c r="X1863" i="2"/>
  <c r="L1866" i="8" s="1"/>
  <c r="X1867" i="2"/>
  <c r="L1870" i="8" s="1"/>
  <c r="X1871" i="2"/>
  <c r="L1874" i="8" s="1"/>
  <c r="X1875" i="2"/>
  <c r="L1878" i="8" s="1"/>
  <c r="X1879" i="2"/>
  <c r="L1882" i="8" s="1"/>
  <c r="X1883" i="2"/>
  <c r="L1886" i="8" s="1"/>
  <c r="X1887" i="2"/>
  <c r="L1890" i="8" s="1"/>
  <c r="X1891" i="2"/>
  <c r="L1894" i="8" s="1"/>
  <c r="X1895" i="2"/>
  <c r="L1898" i="8" s="1"/>
  <c r="X1899" i="2"/>
  <c r="L1902" i="8" s="1"/>
  <c r="X1903" i="2"/>
  <c r="L1906" i="8" s="1"/>
  <c r="X1907" i="2"/>
  <c r="L1910" i="8" s="1"/>
  <c r="X1911" i="2"/>
  <c r="L1914" i="8" s="1"/>
  <c r="X1915" i="2"/>
  <c r="L1918" i="8" s="1"/>
  <c r="X1919" i="2"/>
  <c r="L1922" i="8" s="1"/>
  <c r="X1923" i="2"/>
  <c r="L1926" i="8" s="1"/>
  <c r="X1927" i="2"/>
  <c r="L16" i="8" s="1"/>
  <c r="X1931" i="2"/>
  <c r="L1933" i="8" s="1"/>
  <c r="X1935" i="2"/>
  <c r="L1937" i="8" s="1"/>
  <c r="X1939" i="2"/>
  <c r="L5" i="8" s="1"/>
  <c r="X1943" i="2"/>
  <c r="L1944" i="8" s="1"/>
  <c r="X1947" i="2"/>
  <c r="L1948" i="8" s="1"/>
  <c r="X1951" i="2"/>
  <c r="L1952" i="8" s="1"/>
  <c r="X1955" i="2"/>
  <c r="L1956" i="8" s="1"/>
  <c r="X1959" i="2"/>
  <c r="L1960" i="8" s="1"/>
  <c r="X1963" i="2"/>
  <c r="L1964" i="8" s="1"/>
  <c r="X1967" i="2"/>
  <c r="L1968" i="8" s="1"/>
  <c r="X1971" i="2"/>
  <c r="L1972" i="8" s="1"/>
  <c r="X1975" i="2"/>
  <c r="L1976" i="8" s="1"/>
  <c r="X1979" i="2"/>
  <c r="L1980" i="8" s="1"/>
  <c r="X1983" i="2"/>
  <c r="L1984" i="8" s="1"/>
  <c r="X1987" i="2"/>
  <c r="L1988" i="8" s="1"/>
  <c r="X1991" i="2"/>
  <c r="L1992" i="8" s="1"/>
  <c r="X1995" i="2"/>
  <c r="L1996" i="8" s="1"/>
  <c r="X1999" i="2"/>
  <c r="L2000" i="8" s="1"/>
  <c r="X2003" i="2"/>
  <c r="L2004" i="8" s="1"/>
  <c r="X2007" i="2"/>
  <c r="L2008" i="8" s="1"/>
  <c r="X2011" i="2"/>
  <c r="L2012" i="8" s="1"/>
  <c r="X2015" i="2"/>
  <c r="L2016" i="8" s="1"/>
  <c r="X2019" i="2"/>
  <c r="L2020" i="8" s="1"/>
  <c r="X2023" i="2"/>
  <c r="L2024" i="8" s="1"/>
  <c r="X2027" i="2"/>
  <c r="L2028" i="8" s="1"/>
  <c r="X2031" i="2"/>
  <c r="L2032" i="8" s="1"/>
  <c r="X2035" i="2"/>
  <c r="L2036" i="8" s="1"/>
  <c r="X2039" i="2"/>
  <c r="L2040" i="8" s="1"/>
  <c r="X2043" i="2"/>
  <c r="L2044" i="8" s="1"/>
  <c r="X2047" i="2"/>
  <c r="L2048" i="8" s="1"/>
  <c r="X2051" i="2"/>
  <c r="L2052" i="8" s="1"/>
  <c r="X2055" i="2"/>
  <c r="L2056" i="8" s="1"/>
  <c r="X2059" i="2"/>
  <c r="L2060" i="8" s="1"/>
  <c r="X2063" i="2"/>
  <c r="L2064" i="8" s="1"/>
  <c r="X2067" i="2"/>
  <c r="L2068" i="8" s="1"/>
  <c r="X2071" i="2"/>
  <c r="L2072" i="8" s="1"/>
  <c r="W41" i="2"/>
  <c r="A53" i="8" s="1"/>
  <c r="W49" i="2"/>
  <c r="A61" i="8" s="1"/>
  <c r="W57" i="2"/>
  <c r="A69" i="8" s="1"/>
  <c r="W65" i="2"/>
  <c r="A9" i="8" s="1"/>
  <c r="W73" i="2"/>
  <c r="A83" i="8" s="1"/>
  <c r="W81" i="2"/>
  <c r="A91" i="8" s="1"/>
  <c r="W89" i="2"/>
  <c r="A99" i="8" s="1"/>
  <c r="W97" i="2"/>
  <c r="A107" i="8" s="1"/>
  <c r="W105" i="2"/>
  <c r="A115" i="8" s="1"/>
  <c r="W113" i="2"/>
  <c r="A123" i="8" s="1"/>
  <c r="W121" i="2"/>
  <c r="A131" i="8" s="1"/>
  <c r="W129" i="2"/>
  <c r="A139" i="8" s="1"/>
  <c r="W137" i="2"/>
  <c r="A147" i="8" s="1"/>
  <c r="W145" i="2"/>
  <c r="A155" i="8" s="1"/>
  <c r="W153" i="2"/>
  <c r="A163" i="8" s="1"/>
  <c r="W161" i="2"/>
  <c r="A171" i="8" s="1"/>
  <c r="W169" i="2"/>
  <c r="A179" i="8" s="1"/>
  <c r="W177" i="2"/>
  <c r="A187" i="8" s="1"/>
  <c r="W185" i="2"/>
  <c r="A195" i="8" s="1"/>
  <c r="W192" i="2"/>
  <c r="A202" i="8" s="1"/>
  <c r="W196" i="2"/>
  <c r="A206" i="8" s="1"/>
  <c r="W200" i="2"/>
  <c r="A210" i="8" s="1"/>
  <c r="W204" i="2"/>
  <c r="A214" i="8" s="1"/>
  <c r="W208" i="2"/>
  <c r="A218" i="8" s="1"/>
  <c r="W212" i="2"/>
  <c r="A222" i="8" s="1"/>
  <c r="W216" i="2"/>
  <c r="A226" i="8" s="1"/>
  <c r="W220" i="2"/>
  <c r="A230" i="8" s="1"/>
  <c r="W224" i="2"/>
  <c r="A234" i="8" s="1"/>
  <c r="W228" i="2"/>
  <c r="A238" i="8" s="1"/>
  <c r="W232" i="2"/>
  <c r="A242" i="8" s="1"/>
  <c r="W236" i="2"/>
  <c r="A246" i="8" s="1"/>
  <c r="W240" i="2"/>
  <c r="A250" i="8" s="1"/>
  <c r="W244" i="2"/>
  <c r="A254" i="8" s="1"/>
  <c r="W248" i="2"/>
  <c r="A258" i="8" s="1"/>
  <c r="W252" i="2"/>
  <c r="A262" i="8" s="1"/>
  <c r="W256" i="2"/>
  <c r="A266" i="8" s="1"/>
  <c r="W260" i="2"/>
  <c r="A270" i="8" s="1"/>
  <c r="W264" i="2"/>
  <c r="A274" i="8" s="1"/>
  <c r="W268" i="2"/>
  <c r="A278" i="8" s="1"/>
  <c r="W272" i="2"/>
  <c r="A282" i="8" s="1"/>
  <c r="W276" i="2"/>
  <c r="A286" i="8" s="1"/>
  <c r="W280" i="2"/>
  <c r="A290" i="8" s="1"/>
  <c r="W284" i="2"/>
  <c r="A294" i="8" s="1"/>
  <c r="W288" i="2"/>
  <c r="A298" i="8" s="1"/>
  <c r="W292" i="2"/>
  <c r="A302" i="8" s="1"/>
  <c r="W296" i="2"/>
  <c r="A306" i="8" s="1"/>
  <c r="W300" i="2"/>
  <c r="A310" i="8" s="1"/>
  <c r="W304" i="2"/>
  <c r="A314" i="8" s="1"/>
  <c r="W308" i="2"/>
  <c r="A318" i="8" s="1"/>
  <c r="W312" i="2"/>
  <c r="A322" i="8" s="1"/>
  <c r="W316" i="2"/>
  <c r="A326" i="8" s="1"/>
  <c r="W320" i="2"/>
  <c r="A330" i="8" s="1"/>
  <c r="W324" i="2"/>
  <c r="A334" i="8" s="1"/>
  <c r="W328" i="2"/>
  <c r="A338" i="8" s="1"/>
  <c r="W332" i="2"/>
  <c r="A342" i="8" s="1"/>
  <c r="W336" i="2"/>
  <c r="A346" i="8" s="1"/>
  <c r="W340" i="2"/>
  <c r="A350" i="8" s="1"/>
  <c r="W344" i="2"/>
  <c r="A354" i="8" s="1"/>
  <c r="W348" i="2"/>
  <c r="A358" i="8" s="1"/>
  <c r="W352" i="2"/>
  <c r="A362" i="8" s="1"/>
  <c r="W356" i="2"/>
  <c r="A366" i="8" s="1"/>
  <c r="W360" i="2"/>
  <c r="A370" i="8" s="1"/>
  <c r="W364" i="2"/>
  <c r="A374" i="8" s="1"/>
  <c r="W368" i="2"/>
  <c r="A378" i="8" s="1"/>
  <c r="W372" i="2"/>
  <c r="A382" i="8" s="1"/>
  <c r="W376" i="2"/>
  <c r="A386" i="8" s="1"/>
  <c r="W380" i="2"/>
  <c r="A390" i="8" s="1"/>
  <c r="W384" i="2"/>
  <c r="A394" i="8" s="1"/>
  <c r="W388" i="2"/>
  <c r="A398" i="8" s="1"/>
  <c r="W392" i="2"/>
  <c r="A402" i="8" s="1"/>
  <c r="W396" i="2"/>
  <c r="A406" i="8" s="1"/>
  <c r="W400" i="2"/>
  <c r="A410" i="8" s="1"/>
  <c r="W404" i="2"/>
  <c r="A414" i="8" s="1"/>
  <c r="W408" i="2"/>
  <c r="A418" i="8" s="1"/>
  <c r="W412" i="2"/>
  <c r="A422" i="8" s="1"/>
  <c r="W416" i="2"/>
  <c r="A426" i="8" s="1"/>
  <c r="W420" i="2"/>
  <c r="A430" i="8" s="1"/>
  <c r="W424" i="2"/>
  <c r="A434" i="8" s="1"/>
  <c r="W428" i="2"/>
  <c r="A438" i="8" s="1"/>
  <c r="W432" i="2"/>
  <c r="A442" i="8" s="1"/>
  <c r="W436" i="2"/>
  <c r="A446" i="8" s="1"/>
  <c r="W440" i="2"/>
  <c r="A450" i="8" s="1"/>
  <c r="W444" i="2"/>
  <c r="A454" i="8" s="1"/>
  <c r="W448" i="2"/>
  <c r="A458" i="8" s="1"/>
  <c r="W452" i="2"/>
  <c r="A462" i="8" s="1"/>
  <c r="W456" i="2"/>
  <c r="A466" i="8" s="1"/>
  <c r="W460" i="2"/>
  <c r="A470" i="8" s="1"/>
  <c r="W464" i="2"/>
  <c r="A474" i="8" s="1"/>
  <c r="W468" i="2"/>
  <c r="A478" i="8" s="1"/>
  <c r="W472" i="2"/>
  <c r="A482" i="8" s="1"/>
  <c r="W476" i="2"/>
  <c r="A486" i="8" s="1"/>
  <c r="W480" i="2"/>
  <c r="A490" i="8" s="1"/>
  <c r="W484" i="2"/>
  <c r="A494" i="8" s="1"/>
  <c r="W488" i="2"/>
  <c r="A498" i="8" s="1"/>
  <c r="W492" i="2"/>
  <c r="A502" i="8" s="1"/>
  <c r="W496" i="2"/>
  <c r="A506" i="8" s="1"/>
  <c r="W500" i="2"/>
  <c r="A510" i="8" s="1"/>
  <c r="W504" i="2"/>
  <c r="A514" i="8" s="1"/>
  <c r="W508" i="2"/>
  <c r="A518" i="8" s="1"/>
  <c r="W512" i="2"/>
  <c r="A522" i="8" s="1"/>
  <c r="W516" i="2"/>
  <c r="A526" i="8" s="1"/>
  <c r="W520" i="2"/>
  <c r="A530" i="8" s="1"/>
  <c r="W524" i="2"/>
  <c r="A534" i="8" s="1"/>
  <c r="W528" i="2"/>
  <c r="A538" i="8" s="1"/>
  <c r="W532" i="2"/>
  <c r="A542" i="8" s="1"/>
  <c r="W536" i="2"/>
  <c r="A546" i="8" s="1"/>
  <c r="W540" i="2"/>
  <c r="A550" i="8" s="1"/>
  <c r="W544" i="2"/>
  <c r="A554" i="8" s="1"/>
  <c r="W548" i="2"/>
  <c r="A558" i="8" s="1"/>
  <c r="W552" i="2"/>
  <c r="A562" i="8" s="1"/>
  <c r="W556" i="2"/>
  <c r="A566" i="8" s="1"/>
  <c r="W560" i="2"/>
  <c r="A570" i="8" s="1"/>
  <c r="W564" i="2"/>
  <c r="A574" i="8" s="1"/>
  <c r="W568" i="2"/>
  <c r="A578" i="8" s="1"/>
  <c r="W572" i="2"/>
  <c r="A582" i="8" s="1"/>
  <c r="W576" i="2"/>
  <c r="A586" i="8" s="1"/>
  <c r="W580" i="2"/>
  <c r="A590" i="8" s="1"/>
  <c r="W584" i="2"/>
  <c r="A594" i="8" s="1"/>
  <c r="W588" i="2"/>
  <c r="A598" i="8" s="1"/>
  <c r="W592" i="2"/>
  <c r="A602" i="8" s="1"/>
  <c r="W596" i="2"/>
  <c r="A606" i="8" s="1"/>
  <c r="W600" i="2"/>
  <c r="A610" i="8" s="1"/>
  <c r="W604" i="2"/>
  <c r="A614" i="8" s="1"/>
  <c r="W608" i="2"/>
  <c r="A618" i="8" s="1"/>
  <c r="W612" i="2"/>
  <c r="A622" i="8" s="1"/>
  <c r="W616" i="2"/>
  <c r="A626" i="8" s="1"/>
  <c r="W620" i="2"/>
  <c r="A630" i="8" s="1"/>
  <c r="W624" i="2"/>
  <c r="A634" i="8" s="1"/>
  <c r="W628" i="2"/>
  <c r="A638" i="8" s="1"/>
  <c r="W632" i="2"/>
  <c r="A642" i="8" s="1"/>
  <c r="W636" i="2"/>
  <c r="A646" i="8" s="1"/>
  <c r="W640" i="2"/>
  <c r="A650" i="8" s="1"/>
  <c r="W644" i="2"/>
  <c r="A654" i="8" s="1"/>
  <c r="W648" i="2"/>
  <c r="A658" i="8" s="1"/>
  <c r="W652" i="2"/>
  <c r="A662" i="8" s="1"/>
  <c r="W656" i="2"/>
  <c r="A666" i="8" s="1"/>
  <c r="W660" i="2"/>
  <c r="A670" i="8" s="1"/>
  <c r="W664" i="2"/>
  <c r="A674" i="8" s="1"/>
  <c r="W668" i="2"/>
  <c r="A678" i="8" s="1"/>
  <c r="W672" i="2"/>
  <c r="A682" i="8" s="1"/>
  <c r="W676" i="2"/>
  <c r="A686" i="8" s="1"/>
  <c r="W680" i="2"/>
  <c r="A690" i="8" s="1"/>
  <c r="W684" i="2"/>
  <c r="A694" i="8" s="1"/>
  <c r="W688" i="2"/>
  <c r="A698" i="8" s="1"/>
  <c r="W692" i="2"/>
  <c r="A702" i="8" s="1"/>
  <c r="W696" i="2"/>
  <c r="A706" i="8" s="1"/>
  <c r="W700" i="2"/>
  <c r="A710" i="8" s="1"/>
  <c r="W704" i="2"/>
  <c r="A714" i="8" s="1"/>
  <c r="W708" i="2"/>
  <c r="A718" i="8" s="1"/>
  <c r="W712" i="2"/>
  <c r="A722" i="8" s="1"/>
  <c r="W716" i="2"/>
  <c r="A726" i="8" s="1"/>
  <c r="W720" i="2"/>
  <c r="A729" i="8" s="1"/>
  <c r="W724" i="2"/>
  <c r="A733" i="8" s="1"/>
  <c r="W728" i="2"/>
  <c r="A737" i="8" s="1"/>
  <c r="W732" i="2"/>
  <c r="A741" i="8" s="1"/>
  <c r="W736" i="2"/>
  <c r="A745" i="8" s="1"/>
  <c r="W740" i="2"/>
  <c r="A749" i="8" s="1"/>
  <c r="W744" i="2"/>
  <c r="A753" i="8" s="1"/>
  <c r="W748" i="2"/>
  <c r="A757" i="8" s="1"/>
  <c r="W752" i="2"/>
  <c r="A761" i="8" s="1"/>
  <c r="W756" i="2"/>
  <c r="A765" i="8" s="1"/>
  <c r="W760" i="2"/>
  <c r="A769" i="8" s="1"/>
  <c r="W764" i="2"/>
  <c r="A773" i="8" s="1"/>
  <c r="W768" i="2"/>
  <c r="A777" i="8" s="1"/>
  <c r="W772" i="2"/>
  <c r="A781" i="8" s="1"/>
  <c r="W776" i="2"/>
  <c r="A785" i="8" s="1"/>
  <c r="W780" i="2"/>
  <c r="A789" i="8" s="1"/>
  <c r="W784" i="2"/>
  <c r="A793" i="8" s="1"/>
  <c r="W788" i="2"/>
  <c r="A797" i="8" s="1"/>
  <c r="W792" i="2"/>
  <c r="A801" i="8" s="1"/>
  <c r="W796" i="2"/>
  <c r="A805" i="8" s="1"/>
  <c r="W800" i="2"/>
  <c r="A809" i="8" s="1"/>
  <c r="W804" i="2"/>
  <c r="A813" i="8" s="1"/>
  <c r="W808" i="2"/>
  <c r="A817" i="8" s="1"/>
  <c r="W812" i="2"/>
  <c r="A821" i="8" s="1"/>
  <c r="W816" i="2"/>
  <c r="A825" i="8" s="1"/>
  <c r="W820" i="2"/>
  <c r="A829" i="8" s="1"/>
  <c r="W824" i="2"/>
  <c r="A833" i="8" s="1"/>
  <c r="W828" i="2"/>
  <c r="A837" i="8" s="1"/>
  <c r="W832" i="2"/>
  <c r="A841" i="8" s="1"/>
  <c r="W836" i="2"/>
  <c r="A845" i="8" s="1"/>
  <c r="W840" i="2"/>
  <c r="A849" i="8" s="1"/>
  <c r="W844" i="2"/>
  <c r="A853" i="8" s="1"/>
  <c r="W848" i="2"/>
  <c r="A857" i="8" s="1"/>
  <c r="W852" i="2"/>
  <c r="A861" i="8" s="1"/>
  <c r="W856" i="2"/>
  <c r="A865" i="8" s="1"/>
  <c r="W860" i="2"/>
  <c r="A869" i="8" s="1"/>
  <c r="W864" i="2"/>
  <c r="A873" i="8" s="1"/>
  <c r="W868" i="2"/>
  <c r="A877" i="8" s="1"/>
  <c r="W872" i="2"/>
  <c r="A881" i="8" s="1"/>
  <c r="W876" i="2"/>
  <c r="A885" i="8" s="1"/>
  <c r="W880" i="2"/>
  <c r="A889" i="8" s="1"/>
  <c r="W884" i="2"/>
  <c r="A893" i="8" s="1"/>
  <c r="W888" i="2"/>
  <c r="A897" i="8" s="1"/>
  <c r="W892" i="2"/>
  <c r="A901" i="8" s="1"/>
  <c r="W896" i="2"/>
  <c r="A905" i="8" s="1"/>
  <c r="W900" i="2"/>
  <c r="A909" i="8" s="1"/>
  <c r="W904" i="2"/>
  <c r="A913" i="8" s="1"/>
  <c r="W908" i="2"/>
  <c r="A917" i="8" s="1"/>
  <c r="W912" i="2"/>
  <c r="A921" i="8" s="1"/>
  <c r="W916" i="2"/>
  <c r="A925" i="8" s="1"/>
  <c r="W920" i="2"/>
  <c r="A929" i="8" s="1"/>
  <c r="W924" i="2"/>
  <c r="A933" i="8" s="1"/>
  <c r="W928" i="2"/>
  <c r="A937" i="8" s="1"/>
  <c r="W932" i="2"/>
  <c r="A941" i="8" s="1"/>
  <c r="W936" i="2"/>
  <c r="A945" i="8" s="1"/>
  <c r="W940" i="2"/>
  <c r="A949" i="8" s="1"/>
  <c r="W944" i="2"/>
  <c r="A953" i="8" s="1"/>
  <c r="W948" i="2"/>
  <c r="A957" i="8" s="1"/>
  <c r="W952" i="2"/>
  <c r="A961" i="8" s="1"/>
  <c r="W956" i="2"/>
  <c r="A965" i="8" s="1"/>
  <c r="W960" i="2"/>
  <c r="A969" i="8" s="1"/>
  <c r="W964" i="2"/>
  <c r="A973" i="8" s="1"/>
  <c r="W968" i="2"/>
  <c r="A976" i="8" s="1"/>
  <c r="W972" i="2"/>
  <c r="A980" i="8" s="1"/>
  <c r="W976" i="2"/>
  <c r="A984" i="8" s="1"/>
  <c r="W980" i="2"/>
  <c r="A988" i="8" s="1"/>
  <c r="W984" i="2"/>
  <c r="A992" i="8" s="1"/>
  <c r="W988" i="2"/>
  <c r="A996" i="8" s="1"/>
  <c r="W992" i="2"/>
  <c r="A1000" i="8" s="1"/>
  <c r="W996" i="2"/>
  <c r="A1004" i="8" s="1"/>
  <c r="W1000" i="2"/>
  <c r="A1008" i="8" s="1"/>
  <c r="W1004" i="2"/>
  <c r="A1012" i="8" s="1"/>
  <c r="W1008" i="2"/>
  <c r="A1016" i="8" s="1"/>
  <c r="W1012" i="2"/>
  <c r="A1020" i="8" s="1"/>
  <c r="W1016" i="2"/>
  <c r="A1024" i="8" s="1"/>
  <c r="W1020" i="2"/>
  <c r="A1028" i="8" s="1"/>
  <c r="W1024" i="2"/>
  <c r="A1032" i="8" s="1"/>
  <c r="W1028" i="2"/>
  <c r="A1036" i="8" s="1"/>
  <c r="W1032" i="2"/>
  <c r="A1040" i="8" s="1"/>
  <c r="W1036" i="2"/>
  <c r="A1044" i="8" s="1"/>
  <c r="W1040" i="2"/>
  <c r="A1048" i="8" s="1"/>
  <c r="W1044" i="2"/>
  <c r="A1052" i="8" s="1"/>
  <c r="W1048" i="2"/>
  <c r="A1056" i="8" s="1"/>
  <c r="W1052" i="2"/>
  <c r="A1060" i="8" s="1"/>
  <c r="W1056" i="2"/>
  <c r="A1064" i="8" s="1"/>
  <c r="W1060" i="2"/>
  <c r="A1068" i="8" s="1"/>
  <c r="W1064" i="2"/>
  <c r="A1072" i="8" s="1"/>
  <c r="W1068" i="2"/>
  <c r="A1076" i="8" s="1"/>
  <c r="W1072" i="2"/>
  <c r="A1080" i="8" s="1"/>
  <c r="W1076" i="2"/>
  <c r="A1084" i="8" s="1"/>
  <c r="W1080" i="2"/>
  <c r="A1088" i="8" s="1"/>
  <c r="W1084" i="2"/>
  <c r="A1092" i="8" s="1"/>
  <c r="W1088" i="2"/>
  <c r="A1096" i="8" s="1"/>
  <c r="W1092" i="2"/>
  <c r="A1100" i="8" s="1"/>
  <c r="W1096" i="2"/>
  <c r="A1104" i="8" s="1"/>
  <c r="W1100" i="2"/>
  <c r="A1108" i="8" s="1"/>
  <c r="W1104" i="2"/>
  <c r="A1112" i="8" s="1"/>
  <c r="W1108" i="2"/>
  <c r="A1116" i="8" s="1"/>
  <c r="W1112" i="2"/>
  <c r="A1120" i="8" s="1"/>
  <c r="W1116" i="2"/>
  <c r="A1124" i="8" s="1"/>
  <c r="W1120" i="2"/>
  <c r="A1128" i="8" s="1"/>
  <c r="W1124" i="2"/>
  <c r="A1132" i="8" s="1"/>
  <c r="W1128" i="2"/>
  <c r="A1136" i="8" s="1"/>
  <c r="W1132" i="2"/>
  <c r="A1140" i="8" s="1"/>
  <c r="W1136" i="2"/>
  <c r="A1144" i="8" s="1"/>
  <c r="W1140" i="2"/>
  <c r="A1148" i="8" s="1"/>
  <c r="W1144" i="2"/>
  <c r="A1152" i="8" s="1"/>
  <c r="W1148" i="2"/>
  <c r="A1156" i="8" s="1"/>
  <c r="W1152" i="2"/>
  <c r="A1160" i="8" s="1"/>
  <c r="W1156" i="2"/>
  <c r="A1164" i="8" s="1"/>
  <c r="W1160" i="2"/>
  <c r="A1168" i="8" s="1"/>
  <c r="W1164" i="2"/>
  <c r="A1172" i="8" s="1"/>
  <c r="W1168" i="2"/>
  <c r="A1176" i="8" s="1"/>
  <c r="W1172" i="2"/>
  <c r="A1180" i="8" s="1"/>
  <c r="W1176" i="2"/>
  <c r="A1184" i="8" s="1"/>
  <c r="W1180" i="2"/>
  <c r="A1188" i="8" s="1"/>
  <c r="W1184" i="2"/>
  <c r="A1192" i="8" s="1"/>
  <c r="W1188" i="2"/>
  <c r="A1196" i="8" s="1"/>
  <c r="W1192" i="2"/>
  <c r="A1200" i="8" s="1"/>
  <c r="W1196" i="2"/>
  <c r="A1204" i="8" s="1"/>
  <c r="W1200" i="2"/>
  <c r="A1208" i="8" s="1"/>
  <c r="W1204" i="2"/>
  <c r="A1212" i="8" s="1"/>
  <c r="W1208" i="2"/>
  <c r="A1216" i="8" s="1"/>
  <c r="W1212" i="2"/>
  <c r="A1220" i="8" s="1"/>
  <c r="W1216" i="2"/>
  <c r="A1224" i="8" s="1"/>
  <c r="W1220" i="2"/>
  <c r="A1228" i="8" s="1"/>
  <c r="W1224" i="2"/>
  <c r="A1232" i="8" s="1"/>
  <c r="W1228" i="2"/>
  <c r="A1236" i="8" s="1"/>
  <c r="W1232" i="2"/>
  <c r="A1240" i="8" s="1"/>
  <c r="W1236" i="2"/>
  <c r="A1244" i="8" s="1"/>
  <c r="W1240" i="2"/>
  <c r="A1248" i="8" s="1"/>
  <c r="W1244" i="2"/>
  <c r="A1252" i="8" s="1"/>
  <c r="W1248" i="2"/>
  <c r="A1256" i="8" s="1"/>
  <c r="W1252" i="2"/>
  <c r="A1260" i="8" s="1"/>
  <c r="W1256" i="2"/>
  <c r="A1264" i="8" s="1"/>
  <c r="W1260" i="2"/>
  <c r="A1268" i="8" s="1"/>
  <c r="W1264" i="2"/>
  <c r="A1272" i="8" s="1"/>
  <c r="W1268" i="2"/>
  <c r="A1275" i="8" s="1"/>
  <c r="W1272" i="2"/>
  <c r="A1279" i="8" s="1"/>
  <c r="W1276" i="2"/>
  <c r="A1283" i="8" s="1"/>
  <c r="W1280" i="2"/>
  <c r="A1287" i="8" s="1"/>
  <c r="W1284" i="2"/>
  <c r="A1291" i="8" s="1"/>
  <c r="W1288" i="2"/>
  <c r="A1295" i="8" s="1"/>
  <c r="W1292" i="2"/>
  <c r="A1299" i="8" s="1"/>
  <c r="W1296" i="2"/>
  <c r="A1303" i="8" s="1"/>
  <c r="W1300" i="2"/>
  <c r="A1307" i="8" s="1"/>
  <c r="W1304" i="2"/>
  <c r="A1311" i="8" s="1"/>
  <c r="W1308" i="2"/>
  <c r="A1315" i="8" s="1"/>
  <c r="W1312" i="2"/>
  <c r="A1319" i="8" s="1"/>
  <c r="W1316" i="2"/>
  <c r="A1323" i="8" s="1"/>
  <c r="W1320" i="2"/>
  <c r="A1327" i="8" s="1"/>
  <c r="W1324" i="2"/>
  <c r="A1331" i="8" s="1"/>
  <c r="W1328" i="2"/>
  <c r="A1335" i="8" s="1"/>
  <c r="W1332" i="2"/>
  <c r="A1339" i="8" s="1"/>
  <c r="W1336" i="2"/>
  <c r="A1343" i="8" s="1"/>
  <c r="W1340" i="2"/>
  <c r="A1347" i="8" s="1"/>
  <c r="W1344" i="2"/>
  <c r="A1351" i="8" s="1"/>
  <c r="W1348" i="2"/>
  <c r="A1355" i="8" s="1"/>
  <c r="W1352" i="2"/>
  <c r="A1359" i="8" s="1"/>
  <c r="W1356" i="2"/>
  <c r="A1363" i="8" s="1"/>
  <c r="W1360" i="2"/>
  <c r="A1367" i="8" s="1"/>
  <c r="W1364" i="2"/>
  <c r="A1371" i="8" s="1"/>
  <c r="W1368" i="2"/>
  <c r="A1375" i="8" s="1"/>
  <c r="W1372" i="2"/>
  <c r="A1379" i="8" s="1"/>
  <c r="W1376" i="2"/>
  <c r="A1383" i="8" s="1"/>
  <c r="W1380" i="2"/>
  <c r="A1387" i="8" s="1"/>
  <c r="W1384" i="2"/>
  <c r="A1391" i="8" s="1"/>
  <c r="W1388" i="2"/>
  <c r="A1395" i="8" s="1"/>
  <c r="W1392" i="2"/>
  <c r="A1399" i="8" s="1"/>
  <c r="W1396" i="2"/>
  <c r="A1403" i="8" s="1"/>
  <c r="W1400" i="2"/>
  <c r="A1407" i="8" s="1"/>
  <c r="W1404" i="2"/>
  <c r="A1411" i="8" s="1"/>
  <c r="W1408" i="2"/>
  <c r="A1415" i="8" s="1"/>
  <c r="W1412" i="2"/>
  <c r="A1419" i="8" s="1"/>
  <c r="W1416" i="2"/>
  <c r="A1423" i="8" s="1"/>
  <c r="W1420" i="2"/>
  <c r="A1427" i="8" s="1"/>
  <c r="W1424" i="2"/>
  <c r="A1431" i="8" s="1"/>
  <c r="W1428" i="2"/>
  <c r="A1435" i="8" s="1"/>
  <c r="W1432" i="2"/>
  <c r="A1439" i="8" s="1"/>
  <c r="W1436" i="2"/>
  <c r="A1443" i="8" s="1"/>
  <c r="W1440" i="2"/>
  <c r="A1447" i="8" s="1"/>
  <c r="W1444" i="2"/>
  <c r="A1451" i="8" s="1"/>
  <c r="W1448" i="2"/>
  <c r="A1455" i="8" s="1"/>
  <c r="W1452" i="2"/>
  <c r="A1459" i="8" s="1"/>
  <c r="W1456" i="2"/>
  <c r="A1463" i="8" s="1"/>
  <c r="W1460" i="2"/>
  <c r="A1467" i="8" s="1"/>
  <c r="W1464" i="2"/>
  <c r="A1471" i="8" s="1"/>
  <c r="W1468" i="2"/>
  <c r="A1475" i="8" s="1"/>
  <c r="W1472" i="2"/>
  <c r="A1479" i="8" s="1"/>
  <c r="W1476" i="2"/>
  <c r="A1483" i="8" s="1"/>
  <c r="W1480" i="2"/>
  <c r="A1487" i="8" s="1"/>
  <c r="W1484" i="2"/>
  <c r="A1491" i="8" s="1"/>
  <c r="W1488" i="2"/>
  <c r="A1495" i="8" s="1"/>
  <c r="W1492" i="2"/>
  <c r="A1499" i="8" s="1"/>
  <c r="W1496" i="2"/>
  <c r="A1503" i="8" s="1"/>
  <c r="W1500" i="2"/>
  <c r="A1507" i="8" s="1"/>
  <c r="W1504" i="2"/>
  <c r="A1511" i="8" s="1"/>
  <c r="W1508" i="2"/>
  <c r="A1515" i="8" s="1"/>
  <c r="W1512" i="2"/>
  <c r="A1519" i="8" s="1"/>
  <c r="W1516" i="2"/>
  <c r="A1523" i="8" s="1"/>
  <c r="W1520" i="2"/>
  <c r="A1527" i="8" s="1"/>
  <c r="W1524" i="2"/>
  <c r="A1531" i="8" s="1"/>
  <c r="W1528" i="2"/>
  <c r="A1535" i="8" s="1"/>
  <c r="W1532" i="2"/>
  <c r="A1539" i="8" s="1"/>
  <c r="W1536" i="2"/>
  <c r="A1543" i="8" s="1"/>
  <c r="W1540" i="2"/>
  <c r="A1547" i="8" s="1"/>
  <c r="W1544" i="2"/>
  <c r="A1551" i="8" s="1"/>
  <c r="W1548" i="2"/>
  <c r="A1555" i="8" s="1"/>
  <c r="W1552" i="2"/>
  <c r="A1559" i="8" s="1"/>
  <c r="W1556" i="2"/>
  <c r="A1563" i="8" s="1"/>
  <c r="W1560" i="2"/>
  <c r="A1567" i="8" s="1"/>
  <c r="W1564" i="2"/>
  <c r="A1571" i="8" s="1"/>
  <c r="W1568" i="2"/>
  <c r="A1575" i="8" s="1"/>
  <c r="W1572" i="2"/>
  <c r="A1579" i="8" s="1"/>
  <c r="W1576" i="2"/>
  <c r="A1583" i="8" s="1"/>
  <c r="W1580" i="2"/>
  <c r="A1587" i="8" s="1"/>
  <c r="W1584" i="2"/>
  <c r="A1591" i="8" s="1"/>
  <c r="W1588" i="2"/>
  <c r="A1595" i="8" s="1"/>
  <c r="W1592" i="2"/>
  <c r="A1599" i="8" s="1"/>
  <c r="W1596" i="2"/>
  <c r="A1603" i="8" s="1"/>
  <c r="W1600" i="2"/>
  <c r="A1607" i="8" s="1"/>
  <c r="W1604" i="2"/>
  <c r="A1611" i="8" s="1"/>
  <c r="W1608" i="2"/>
  <c r="A1615" i="8" s="1"/>
  <c r="W1612" i="2"/>
  <c r="A1619" i="8" s="1"/>
  <c r="W1616" i="2"/>
  <c r="A1622" i="8" s="1"/>
  <c r="W1620" i="2"/>
  <c r="A1626" i="8" s="1"/>
  <c r="W1624" i="2"/>
  <c r="A1630" i="8" s="1"/>
  <c r="W1628" i="2"/>
  <c r="A1634" i="8" s="1"/>
  <c r="W1632" i="2"/>
  <c r="A1638" i="8" s="1"/>
  <c r="W1636" i="2"/>
  <c r="A1642" i="8" s="1"/>
  <c r="W1640" i="2"/>
  <c r="A1646" i="8" s="1"/>
  <c r="W1644" i="2"/>
  <c r="A1650" i="8" s="1"/>
  <c r="W1648" i="2"/>
  <c r="A1654" i="8" s="1"/>
  <c r="W1652" i="2"/>
  <c r="A1658" i="8" s="1"/>
  <c r="W1656" i="2"/>
  <c r="A1662" i="8" s="1"/>
  <c r="W1660" i="2"/>
  <c r="A1666" i="8" s="1"/>
  <c r="W1664" i="2"/>
  <c r="A1670" i="8" s="1"/>
  <c r="W1668" i="2"/>
  <c r="A1674" i="8" s="1"/>
  <c r="W1672" i="2"/>
  <c r="A1678" i="8" s="1"/>
  <c r="W1676" i="2"/>
  <c r="A1682" i="8" s="1"/>
  <c r="W1680" i="2"/>
  <c r="A1686" i="8" s="1"/>
  <c r="W1684" i="2"/>
  <c r="A1690" i="8" s="1"/>
  <c r="W1688" i="2"/>
  <c r="A1694" i="8" s="1"/>
  <c r="W1692" i="2"/>
  <c r="A1698" i="8" s="1"/>
  <c r="W1696" i="2"/>
  <c r="A1702" i="8" s="1"/>
  <c r="W1700" i="2"/>
  <c r="A1706" i="8" s="1"/>
  <c r="W1704" i="2"/>
  <c r="A1710" i="8" s="1"/>
  <c r="W1708" i="2"/>
  <c r="A1714" i="8" s="1"/>
  <c r="W1712" i="2"/>
  <c r="A1718" i="8" s="1"/>
  <c r="W1716" i="2"/>
  <c r="A1722" i="8" s="1"/>
  <c r="W1720" i="2"/>
  <c r="A1726" i="8" s="1"/>
  <c r="W1724" i="2"/>
  <c r="A1730" i="8" s="1"/>
  <c r="W1728" i="2"/>
  <c r="A1733" i="8" s="1"/>
  <c r="W1732" i="2"/>
  <c r="A1737" i="8" s="1"/>
  <c r="W1736" i="2"/>
  <c r="A1741" i="8" s="1"/>
  <c r="W1740" i="2"/>
  <c r="A1745" i="8" s="1"/>
  <c r="W1744" i="2"/>
  <c r="A1749" i="8" s="1"/>
  <c r="W1748" i="2"/>
  <c r="A1753" i="8" s="1"/>
  <c r="W1752" i="2"/>
  <c r="A1757" i="8" s="1"/>
  <c r="W1756" i="2"/>
  <c r="A1761" i="8" s="1"/>
  <c r="W1760" i="2"/>
  <c r="A1765" i="8" s="1"/>
  <c r="W1764" i="2"/>
  <c r="A1769" i="8" s="1"/>
  <c r="W1768" i="2"/>
  <c r="A1773" i="8" s="1"/>
  <c r="W1772" i="2"/>
  <c r="A1777" i="8" s="1"/>
  <c r="W1776" i="2"/>
  <c r="A1781" i="8" s="1"/>
  <c r="W1780" i="2"/>
  <c r="A1785" i="8" s="1"/>
  <c r="W1784" i="2"/>
  <c r="A1789" i="8" s="1"/>
  <c r="W1788" i="2"/>
  <c r="A1793" i="8" s="1"/>
  <c r="W1792" i="2"/>
  <c r="A1797" i="8" s="1"/>
  <c r="W1796" i="2"/>
  <c r="A1801" i="8" s="1"/>
  <c r="W1800" i="2"/>
  <c r="A1805" i="8" s="1"/>
  <c r="W1804" i="2"/>
  <c r="A1809" i="8" s="1"/>
  <c r="W1808" i="2"/>
  <c r="A1813" i="8" s="1"/>
  <c r="W1812" i="2"/>
  <c r="A1817" i="8" s="1"/>
  <c r="W1816" i="2"/>
  <c r="A1821" i="8" s="1"/>
  <c r="W1820" i="2"/>
  <c r="A1825" i="8" s="1"/>
  <c r="W1824" i="2"/>
  <c r="A1829" i="8" s="1"/>
  <c r="W1828" i="2"/>
  <c r="A1833" i="8" s="1"/>
  <c r="W1832" i="2"/>
  <c r="A1837" i="8" s="1"/>
  <c r="W1836" i="2"/>
  <c r="A1841" i="8" s="1"/>
  <c r="W1840" i="2"/>
  <c r="A1844" i="8" s="1"/>
  <c r="W1844" i="2"/>
  <c r="A1848" i="8" s="1"/>
  <c r="W1848" i="2"/>
  <c r="A1852" i="8" s="1"/>
  <c r="W1852" i="2"/>
  <c r="A1856" i="8" s="1"/>
  <c r="W1856" i="2"/>
  <c r="A1859" i="8" s="1"/>
  <c r="W1860" i="2"/>
  <c r="A1863" i="8" s="1"/>
  <c r="W1864" i="2"/>
  <c r="A1867" i="8" s="1"/>
  <c r="W1868" i="2"/>
  <c r="A1871" i="8" s="1"/>
  <c r="W1872" i="2"/>
  <c r="A1875" i="8" s="1"/>
  <c r="W1876" i="2"/>
  <c r="A1879" i="8" s="1"/>
  <c r="W1880" i="2"/>
  <c r="A1883" i="8" s="1"/>
  <c r="W1884" i="2"/>
  <c r="A1887" i="8" s="1"/>
  <c r="W1888" i="2"/>
  <c r="A1891" i="8" s="1"/>
  <c r="W1892" i="2"/>
  <c r="A1895" i="8" s="1"/>
  <c r="W1896" i="2"/>
  <c r="A1899" i="8" s="1"/>
  <c r="W1900" i="2"/>
  <c r="A1903" i="8" s="1"/>
  <c r="W1904" i="2"/>
  <c r="A1907" i="8" s="1"/>
  <c r="W1908" i="2"/>
  <c r="A1911" i="8" s="1"/>
  <c r="W1912" i="2"/>
  <c r="A1915" i="8" s="1"/>
  <c r="W1916" i="2"/>
  <c r="A1919" i="8" s="1"/>
  <c r="W1920" i="2"/>
  <c r="A1923" i="8" s="1"/>
  <c r="W1924" i="2"/>
  <c r="A1927" i="8" s="1"/>
  <c r="W1928" i="2"/>
  <c r="A1930" i="8" s="1"/>
  <c r="W1932" i="2"/>
  <c r="A1934" i="8" s="1"/>
  <c r="W1936" i="2"/>
  <c r="A1938" i="8" s="1"/>
  <c r="W1940" i="2"/>
  <c r="A1941" i="8" s="1"/>
  <c r="W1944" i="2"/>
  <c r="A1945" i="8" s="1"/>
  <c r="W1948" i="2"/>
  <c r="A1949" i="8" s="1"/>
  <c r="W1952" i="2"/>
  <c r="A1953" i="8" s="1"/>
  <c r="W1956" i="2"/>
  <c r="A1957" i="8" s="1"/>
  <c r="W1960" i="2"/>
  <c r="A1961" i="8" s="1"/>
  <c r="W1964" i="2"/>
  <c r="A1965" i="8" s="1"/>
  <c r="W1968" i="2"/>
  <c r="A1969" i="8" s="1"/>
  <c r="W1972" i="2"/>
  <c r="A1973" i="8" s="1"/>
  <c r="W1976" i="2"/>
  <c r="A1977" i="8" s="1"/>
  <c r="W1980" i="2"/>
  <c r="A1981" i="8" s="1"/>
  <c r="W1984" i="2"/>
  <c r="A1985" i="8" s="1"/>
  <c r="W1988" i="2"/>
  <c r="A1989" i="8" s="1"/>
  <c r="W1992" i="2"/>
  <c r="A1993" i="8" s="1"/>
  <c r="W1996" i="2"/>
  <c r="A1997" i="8" s="1"/>
  <c r="W2000" i="2"/>
  <c r="A2001" i="8" s="1"/>
  <c r="W2004" i="2"/>
  <c r="A2005" i="8" s="1"/>
  <c r="W2008" i="2"/>
  <c r="A2009" i="8" s="1"/>
  <c r="W2012" i="2"/>
  <c r="A2013" i="8" s="1"/>
  <c r="W2016" i="2"/>
  <c r="A2017" i="8" s="1"/>
  <c r="W2020" i="2"/>
  <c r="A2021" i="8" s="1"/>
  <c r="W2024" i="2"/>
  <c r="A2025" i="8" s="1"/>
  <c r="W2028" i="2"/>
  <c r="A2029" i="8" s="1"/>
  <c r="W2032" i="2"/>
  <c r="A2033" i="8" s="1"/>
  <c r="W2036" i="2"/>
  <c r="A2037" i="8" s="1"/>
  <c r="W2040" i="2"/>
  <c r="A2041" i="8" s="1"/>
  <c r="W2044" i="2"/>
  <c r="A2045" i="8" s="1"/>
  <c r="W2048" i="2"/>
  <c r="A2049" i="8" s="1"/>
  <c r="W2052" i="2"/>
  <c r="A2053" i="8" s="1"/>
  <c r="W2056" i="2"/>
  <c r="A2057" i="8" s="1"/>
  <c r="W2060" i="2"/>
  <c r="A2061" i="8" s="1"/>
  <c r="W2064" i="2"/>
  <c r="A2065" i="8" s="1"/>
  <c r="W2068" i="2"/>
  <c r="A2069" i="8" s="1"/>
  <c r="W2072" i="2"/>
  <c r="A2073" i="8" s="1"/>
  <c r="W2076" i="2"/>
  <c r="A2077" i="8" s="1"/>
  <c r="W2080" i="2"/>
  <c r="A2081" i="8" s="1"/>
  <c r="W2084" i="2"/>
  <c r="A2085" i="8" s="1"/>
  <c r="W2088" i="2"/>
  <c r="A2088" i="8" s="1"/>
  <c r="W2092" i="2"/>
  <c r="A2092" i="8" s="1"/>
  <c r="W2096" i="2"/>
  <c r="A2096" i="8" s="1"/>
  <c r="W2100" i="2"/>
  <c r="A2100" i="8" s="1"/>
  <c r="W2104" i="2"/>
  <c r="A2104" i="8" s="1"/>
  <c r="W2108" i="2"/>
  <c r="A2108" i="8" s="1"/>
  <c r="W2112" i="2"/>
  <c r="A2112" i="8" s="1"/>
  <c r="W2116" i="2"/>
  <c r="A2116" i="8" s="1"/>
  <c r="W2120" i="2"/>
  <c r="A2120" i="8" s="1"/>
  <c r="W2124" i="2"/>
  <c r="A2124" i="8" s="1"/>
  <c r="W2128" i="2"/>
  <c r="A2128" i="8" s="1"/>
  <c r="W2132" i="2"/>
  <c r="A2132" i="8" s="1"/>
  <c r="W2136" i="2"/>
  <c r="A2136" i="8" s="1"/>
  <c r="W2140" i="2"/>
  <c r="A2140" i="8" s="1"/>
  <c r="W2144" i="2"/>
  <c r="A2144" i="8" s="1"/>
  <c r="W2148" i="2"/>
  <c r="A2148" i="8" s="1"/>
  <c r="W2152" i="2"/>
  <c r="A2152" i="8" s="1"/>
  <c r="W2156" i="2"/>
  <c r="A2156" i="8" s="1"/>
  <c r="W2160" i="2"/>
  <c r="A2160" i="8" s="1"/>
  <c r="W2164" i="2"/>
  <c r="A2164" i="8" s="1"/>
  <c r="W2168" i="2"/>
  <c r="A2168" i="8" s="1"/>
  <c r="X38" i="2"/>
  <c r="L50" i="8" s="1"/>
  <c r="X42" i="2"/>
  <c r="L54" i="8" s="1"/>
  <c r="X46" i="2"/>
  <c r="L58" i="8" s="1"/>
  <c r="X50" i="2"/>
  <c r="L62" i="8" s="1"/>
  <c r="X54" i="2"/>
  <c r="L66" i="8" s="1"/>
  <c r="X58" i="2"/>
  <c r="L70" i="8" s="1"/>
  <c r="X62" i="2"/>
  <c r="L74" i="8" s="1"/>
  <c r="X66" i="2"/>
  <c r="L77" i="8" s="1"/>
  <c r="X70" i="2"/>
  <c r="L81" i="8" s="1"/>
  <c r="X74" i="2"/>
  <c r="L84" i="8" s="1"/>
  <c r="X78" i="2"/>
  <c r="L88" i="8" s="1"/>
  <c r="X82" i="2"/>
  <c r="L92" i="8" s="1"/>
  <c r="X86" i="2"/>
  <c r="L96" i="8" s="1"/>
  <c r="X90" i="2"/>
  <c r="L100" i="8" s="1"/>
  <c r="X94" i="2"/>
  <c r="L104" i="8" s="1"/>
  <c r="X98" i="2"/>
  <c r="L108" i="8" s="1"/>
  <c r="X102" i="2"/>
  <c r="L112" i="8" s="1"/>
  <c r="X106" i="2"/>
  <c r="L116" i="8" s="1"/>
  <c r="X110" i="2"/>
  <c r="L120" i="8" s="1"/>
  <c r="X114" i="2"/>
  <c r="L124" i="8" s="1"/>
  <c r="X118" i="2"/>
  <c r="L128" i="8" s="1"/>
  <c r="X122" i="2"/>
  <c r="L132" i="8" s="1"/>
  <c r="X126" i="2"/>
  <c r="L136" i="8" s="1"/>
  <c r="X130" i="2"/>
  <c r="L140" i="8" s="1"/>
  <c r="X134" i="2"/>
  <c r="L144" i="8" s="1"/>
  <c r="X138" i="2"/>
  <c r="L148" i="8" s="1"/>
  <c r="X142" i="2"/>
  <c r="L152" i="8" s="1"/>
  <c r="X146" i="2"/>
  <c r="L156" i="8" s="1"/>
  <c r="X150" i="2"/>
  <c r="L160" i="8" s="1"/>
  <c r="X154" i="2"/>
  <c r="L164" i="8" s="1"/>
  <c r="X158" i="2"/>
  <c r="L168" i="8" s="1"/>
  <c r="X162" i="2"/>
  <c r="L172" i="8" s="1"/>
  <c r="X166" i="2"/>
  <c r="L176" i="8" s="1"/>
  <c r="X170" i="2"/>
  <c r="L180" i="8" s="1"/>
  <c r="X174" i="2"/>
  <c r="L184" i="8" s="1"/>
  <c r="X178" i="2"/>
  <c r="L188" i="8" s="1"/>
  <c r="X182" i="2"/>
  <c r="L192" i="8" s="1"/>
  <c r="X186" i="2"/>
  <c r="L196" i="8" s="1"/>
  <c r="X190" i="2"/>
  <c r="L200" i="8" s="1"/>
  <c r="X194" i="2"/>
  <c r="L204" i="8" s="1"/>
  <c r="X198" i="2"/>
  <c r="L208" i="8" s="1"/>
  <c r="X202" i="2"/>
  <c r="L212" i="8" s="1"/>
  <c r="X206" i="2"/>
  <c r="L216" i="8" s="1"/>
  <c r="X210" i="2"/>
  <c r="L220" i="8" s="1"/>
  <c r="X214" i="2"/>
  <c r="L224" i="8" s="1"/>
  <c r="X218" i="2"/>
  <c r="L228" i="8" s="1"/>
  <c r="X222" i="2"/>
  <c r="L232" i="8" s="1"/>
  <c r="X226" i="2"/>
  <c r="L236" i="8" s="1"/>
  <c r="X230" i="2"/>
  <c r="L240" i="8" s="1"/>
  <c r="X234" i="2"/>
  <c r="L244" i="8" s="1"/>
  <c r="X238" i="2"/>
  <c r="L248" i="8" s="1"/>
  <c r="X242" i="2"/>
  <c r="L252" i="8" s="1"/>
  <c r="X246" i="2"/>
  <c r="L256" i="8" s="1"/>
  <c r="X250" i="2"/>
  <c r="L260" i="8" s="1"/>
  <c r="X254" i="2"/>
  <c r="L264" i="8" s="1"/>
  <c r="X258" i="2"/>
  <c r="L268" i="8" s="1"/>
  <c r="X262" i="2"/>
  <c r="L272" i="8" s="1"/>
  <c r="X266" i="2"/>
  <c r="L276" i="8" s="1"/>
  <c r="X270" i="2"/>
  <c r="L280" i="8" s="1"/>
  <c r="X274" i="2"/>
  <c r="L284" i="8" s="1"/>
  <c r="X278" i="2"/>
  <c r="L288" i="8" s="1"/>
  <c r="X282" i="2"/>
  <c r="L292" i="8" s="1"/>
  <c r="X286" i="2"/>
  <c r="L296" i="8" s="1"/>
  <c r="X290" i="2"/>
  <c r="L300" i="8" s="1"/>
  <c r="X294" i="2"/>
  <c r="L304" i="8" s="1"/>
  <c r="X298" i="2"/>
  <c r="L308" i="8" s="1"/>
  <c r="X302" i="2"/>
  <c r="L312" i="8" s="1"/>
  <c r="X306" i="2"/>
  <c r="L316" i="8" s="1"/>
  <c r="X310" i="2"/>
  <c r="L320" i="8" s="1"/>
  <c r="X314" i="2"/>
  <c r="L324" i="8" s="1"/>
  <c r="X318" i="2"/>
  <c r="L328" i="8" s="1"/>
  <c r="X322" i="2"/>
  <c r="L332" i="8" s="1"/>
  <c r="X326" i="2"/>
  <c r="L336" i="8" s="1"/>
  <c r="X330" i="2"/>
  <c r="L340" i="8" s="1"/>
  <c r="X334" i="2"/>
  <c r="L344" i="8" s="1"/>
  <c r="X338" i="2"/>
  <c r="L348" i="8" s="1"/>
  <c r="X342" i="2"/>
  <c r="L352" i="8" s="1"/>
  <c r="X346" i="2"/>
  <c r="L356" i="8" s="1"/>
  <c r="X350" i="2"/>
  <c r="L360" i="8" s="1"/>
  <c r="X354" i="2"/>
  <c r="L364" i="8" s="1"/>
  <c r="X358" i="2"/>
  <c r="L368" i="8" s="1"/>
  <c r="X362" i="2"/>
  <c r="L372" i="8" s="1"/>
  <c r="X366" i="2"/>
  <c r="L376" i="8" s="1"/>
  <c r="X370" i="2"/>
  <c r="L380" i="8" s="1"/>
  <c r="X374" i="2"/>
  <c r="L384" i="8" s="1"/>
  <c r="X378" i="2"/>
  <c r="L388" i="8" s="1"/>
  <c r="X382" i="2"/>
  <c r="L392" i="8" s="1"/>
  <c r="X386" i="2"/>
  <c r="L396" i="8" s="1"/>
  <c r="X390" i="2"/>
  <c r="L400" i="8" s="1"/>
  <c r="X394" i="2"/>
  <c r="L404" i="8" s="1"/>
  <c r="X398" i="2"/>
  <c r="L408" i="8" s="1"/>
  <c r="X402" i="2"/>
  <c r="L412" i="8" s="1"/>
  <c r="X406" i="2"/>
  <c r="L416" i="8" s="1"/>
  <c r="X410" i="2"/>
  <c r="L420" i="8" s="1"/>
  <c r="X414" i="2"/>
  <c r="L424" i="8" s="1"/>
  <c r="X418" i="2"/>
  <c r="L428" i="8" s="1"/>
  <c r="X422" i="2"/>
  <c r="L432" i="8" s="1"/>
  <c r="X426" i="2"/>
  <c r="L436" i="8" s="1"/>
  <c r="X430" i="2"/>
  <c r="L440" i="8" s="1"/>
  <c r="X434" i="2"/>
  <c r="L444" i="8" s="1"/>
  <c r="X438" i="2"/>
  <c r="L448" i="8" s="1"/>
  <c r="X442" i="2"/>
  <c r="L452" i="8" s="1"/>
  <c r="X446" i="2"/>
  <c r="L456" i="8" s="1"/>
  <c r="X450" i="2"/>
  <c r="L460" i="8" s="1"/>
  <c r="X454" i="2"/>
  <c r="L464" i="8" s="1"/>
  <c r="X458" i="2"/>
  <c r="L468" i="8" s="1"/>
  <c r="X462" i="2"/>
  <c r="L472" i="8" s="1"/>
  <c r="X466" i="2"/>
  <c r="L476" i="8" s="1"/>
  <c r="X470" i="2"/>
  <c r="L480" i="8" s="1"/>
  <c r="X474" i="2"/>
  <c r="L484" i="8" s="1"/>
  <c r="X478" i="2"/>
  <c r="L488" i="8" s="1"/>
  <c r="X482" i="2"/>
  <c r="L492" i="8" s="1"/>
  <c r="X486" i="2"/>
  <c r="L496" i="8" s="1"/>
  <c r="X490" i="2"/>
  <c r="L500" i="8" s="1"/>
  <c r="X494" i="2"/>
  <c r="L504" i="8" s="1"/>
  <c r="X498" i="2"/>
  <c r="L508" i="8" s="1"/>
  <c r="X502" i="2"/>
  <c r="L512" i="8" s="1"/>
  <c r="X506" i="2"/>
  <c r="L516" i="8" s="1"/>
  <c r="X510" i="2"/>
  <c r="L520" i="8" s="1"/>
  <c r="X514" i="2"/>
  <c r="L524" i="8" s="1"/>
  <c r="X518" i="2"/>
  <c r="L528" i="8" s="1"/>
  <c r="X522" i="2"/>
  <c r="L532" i="8" s="1"/>
  <c r="X526" i="2"/>
  <c r="L536" i="8" s="1"/>
  <c r="X530" i="2"/>
  <c r="L540" i="8" s="1"/>
  <c r="X534" i="2"/>
  <c r="L544" i="8" s="1"/>
  <c r="X538" i="2"/>
  <c r="L548" i="8" s="1"/>
  <c r="X542" i="2"/>
  <c r="L552" i="8" s="1"/>
  <c r="X546" i="2"/>
  <c r="L556" i="8" s="1"/>
  <c r="X550" i="2"/>
  <c r="L560" i="8" s="1"/>
  <c r="X554" i="2"/>
  <c r="L564" i="8" s="1"/>
  <c r="X558" i="2"/>
  <c r="L568" i="8" s="1"/>
  <c r="X562" i="2"/>
  <c r="L572" i="8" s="1"/>
  <c r="X566" i="2"/>
  <c r="L576" i="8" s="1"/>
  <c r="X570" i="2"/>
  <c r="L580" i="8" s="1"/>
  <c r="X574" i="2"/>
  <c r="L584" i="8" s="1"/>
  <c r="X578" i="2"/>
  <c r="L588" i="8" s="1"/>
  <c r="X582" i="2"/>
  <c r="L592" i="8" s="1"/>
  <c r="X586" i="2"/>
  <c r="L596" i="8" s="1"/>
  <c r="X590" i="2"/>
  <c r="L600" i="8" s="1"/>
  <c r="X594" i="2"/>
  <c r="L604" i="8" s="1"/>
  <c r="X598" i="2"/>
  <c r="L608" i="8" s="1"/>
  <c r="X602" i="2"/>
  <c r="L612" i="8" s="1"/>
  <c r="X606" i="2"/>
  <c r="L616" i="8" s="1"/>
  <c r="X610" i="2"/>
  <c r="L620" i="8" s="1"/>
  <c r="X614" i="2"/>
  <c r="L624" i="8" s="1"/>
  <c r="X618" i="2"/>
  <c r="L628" i="8" s="1"/>
  <c r="X622" i="2"/>
  <c r="L632" i="8" s="1"/>
  <c r="X626" i="2"/>
  <c r="L636" i="8" s="1"/>
  <c r="X630" i="2"/>
  <c r="L640" i="8" s="1"/>
  <c r="X634" i="2"/>
  <c r="L644" i="8" s="1"/>
  <c r="X638" i="2"/>
  <c r="L648" i="8" s="1"/>
  <c r="X642" i="2"/>
  <c r="L652" i="8" s="1"/>
  <c r="X646" i="2"/>
  <c r="L656" i="8" s="1"/>
  <c r="X650" i="2"/>
  <c r="L660" i="8" s="1"/>
  <c r="X654" i="2"/>
  <c r="L664" i="8" s="1"/>
  <c r="X658" i="2"/>
  <c r="L668" i="8" s="1"/>
  <c r="X662" i="2"/>
  <c r="L672" i="8" s="1"/>
  <c r="X666" i="2"/>
  <c r="L676" i="8" s="1"/>
  <c r="X670" i="2"/>
  <c r="L680" i="8" s="1"/>
  <c r="X674" i="2"/>
  <c r="L684" i="8" s="1"/>
  <c r="X678" i="2"/>
  <c r="L688" i="8" s="1"/>
  <c r="X682" i="2"/>
  <c r="L692" i="8" s="1"/>
  <c r="X686" i="2"/>
  <c r="L696" i="8" s="1"/>
  <c r="X690" i="2"/>
  <c r="L700" i="8" s="1"/>
  <c r="X694" i="2"/>
  <c r="L704" i="8" s="1"/>
  <c r="X698" i="2"/>
  <c r="L708" i="8" s="1"/>
  <c r="X702" i="2"/>
  <c r="L712" i="8" s="1"/>
  <c r="X706" i="2"/>
  <c r="L716" i="8" s="1"/>
  <c r="X710" i="2"/>
  <c r="L720" i="8" s="1"/>
  <c r="X714" i="2"/>
  <c r="L724" i="8" s="1"/>
  <c r="X718" i="2"/>
  <c r="L727" i="8" s="1"/>
  <c r="X722" i="2"/>
  <c r="L731" i="8" s="1"/>
  <c r="X726" i="2"/>
  <c r="L735" i="8" s="1"/>
  <c r="X730" i="2"/>
  <c r="L739" i="8" s="1"/>
  <c r="X734" i="2"/>
  <c r="L743" i="8" s="1"/>
  <c r="X738" i="2"/>
  <c r="L747" i="8" s="1"/>
  <c r="X742" i="2"/>
  <c r="L751" i="8" s="1"/>
  <c r="X746" i="2"/>
  <c r="L755" i="8" s="1"/>
  <c r="X750" i="2"/>
  <c r="L759" i="8" s="1"/>
  <c r="X754" i="2"/>
  <c r="L763" i="8" s="1"/>
  <c r="X758" i="2"/>
  <c r="L767" i="8" s="1"/>
  <c r="W40" i="2"/>
  <c r="A52" i="8" s="1"/>
  <c r="W48" i="2"/>
  <c r="A60" i="8" s="1"/>
  <c r="W56" i="2"/>
  <c r="A68" i="8" s="1"/>
  <c r="W64" i="2"/>
  <c r="A76" i="8" s="1"/>
  <c r="W72" i="2"/>
  <c r="A82" i="8" s="1"/>
  <c r="W80" i="2"/>
  <c r="A90" i="8" s="1"/>
  <c r="W88" i="2"/>
  <c r="A98" i="8" s="1"/>
  <c r="W96" i="2"/>
  <c r="A106" i="8" s="1"/>
  <c r="W104" i="2"/>
  <c r="A114" i="8" s="1"/>
  <c r="W112" i="2"/>
  <c r="A122" i="8" s="1"/>
  <c r="W120" i="2"/>
  <c r="A130" i="8" s="1"/>
  <c r="W128" i="2"/>
  <c r="A138" i="8" s="1"/>
  <c r="W136" i="2"/>
  <c r="A146" i="8" s="1"/>
  <c r="W144" i="2"/>
  <c r="A154" i="8" s="1"/>
  <c r="W152" i="2"/>
  <c r="A162" i="8" s="1"/>
  <c r="W160" i="2"/>
  <c r="A170" i="8" s="1"/>
  <c r="W168" i="2"/>
  <c r="A178" i="8" s="1"/>
  <c r="W176" i="2"/>
  <c r="A186" i="8" s="1"/>
  <c r="W184" i="2"/>
  <c r="A194" i="8" s="1"/>
  <c r="W191" i="2"/>
  <c r="A201" i="8" s="1"/>
  <c r="W195" i="2"/>
  <c r="A205" i="8" s="1"/>
  <c r="W199" i="2"/>
  <c r="A209" i="8" s="1"/>
  <c r="W203" i="2"/>
  <c r="A213" i="8" s="1"/>
  <c r="W207" i="2"/>
  <c r="A217" i="8" s="1"/>
  <c r="W211" i="2"/>
  <c r="A221" i="8" s="1"/>
  <c r="W215" i="2"/>
  <c r="A225" i="8" s="1"/>
  <c r="W219" i="2"/>
  <c r="A229" i="8" s="1"/>
  <c r="W223" i="2"/>
  <c r="A233" i="8" s="1"/>
  <c r="W227" i="2"/>
  <c r="A237" i="8" s="1"/>
  <c r="W231" i="2"/>
  <c r="A241" i="8" s="1"/>
  <c r="W235" i="2"/>
  <c r="A245" i="8" s="1"/>
  <c r="W239" i="2"/>
  <c r="A249" i="8" s="1"/>
  <c r="W243" i="2"/>
  <c r="A253" i="8" s="1"/>
  <c r="W247" i="2"/>
  <c r="A257" i="8" s="1"/>
  <c r="W251" i="2"/>
  <c r="A261" i="8" s="1"/>
  <c r="W255" i="2"/>
  <c r="A265" i="8" s="1"/>
  <c r="W259" i="2"/>
  <c r="A269" i="8" s="1"/>
  <c r="W263" i="2"/>
  <c r="A273" i="8" s="1"/>
  <c r="W267" i="2"/>
  <c r="A277" i="8" s="1"/>
  <c r="W271" i="2"/>
  <c r="A281" i="8" s="1"/>
  <c r="W275" i="2"/>
  <c r="A285" i="8" s="1"/>
  <c r="W279" i="2"/>
  <c r="A289" i="8" s="1"/>
  <c r="W283" i="2"/>
  <c r="A293" i="8" s="1"/>
  <c r="W287" i="2"/>
  <c r="A297" i="8" s="1"/>
  <c r="W291" i="2"/>
  <c r="A301" i="8" s="1"/>
  <c r="W295" i="2"/>
  <c r="A305" i="8" s="1"/>
  <c r="W299" i="2"/>
  <c r="A309" i="8" s="1"/>
  <c r="W303" i="2"/>
  <c r="A313" i="8" s="1"/>
  <c r="W307" i="2"/>
  <c r="A317" i="8" s="1"/>
  <c r="W311" i="2"/>
  <c r="A321" i="8" s="1"/>
  <c r="W315" i="2"/>
  <c r="A325" i="8" s="1"/>
  <c r="W319" i="2"/>
  <c r="A329" i="8" s="1"/>
  <c r="W323" i="2"/>
  <c r="A333" i="8" s="1"/>
  <c r="W327" i="2"/>
  <c r="A337" i="8" s="1"/>
  <c r="W331" i="2"/>
  <c r="A341" i="8" s="1"/>
  <c r="W335" i="2"/>
  <c r="A345" i="8" s="1"/>
  <c r="W339" i="2"/>
  <c r="A349" i="8" s="1"/>
  <c r="W343" i="2"/>
  <c r="A353" i="8" s="1"/>
  <c r="W347" i="2"/>
  <c r="A357" i="8" s="1"/>
  <c r="W351" i="2"/>
  <c r="A361" i="8" s="1"/>
  <c r="W355" i="2"/>
  <c r="A365" i="8" s="1"/>
  <c r="W359" i="2"/>
  <c r="A369" i="8" s="1"/>
  <c r="W363" i="2"/>
  <c r="A373" i="8" s="1"/>
  <c r="W367" i="2"/>
  <c r="A377" i="8" s="1"/>
  <c r="W371" i="2"/>
  <c r="A381" i="8" s="1"/>
  <c r="W375" i="2"/>
  <c r="A385" i="8" s="1"/>
  <c r="W379" i="2"/>
  <c r="A389" i="8" s="1"/>
  <c r="W383" i="2"/>
  <c r="A393" i="8" s="1"/>
  <c r="W387" i="2"/>
  <c r="A397" i="8" s="1"/>
  <c r="W391" i="2"/>
  <c r="A401" i="8" s="1"/>
  <c r="W395" i="2"/>
  <c r="A405" i="8" s="1"/>
  <c r="W399" i="2"/>
  <c r="A409" i="8" s="1"/>
  <c r="W403" i="2"/>
  <c r="A413" i="8" s="1"/>
  <c r="W407" i="2"/>
  <c r="A417" i="8" s="1"/>
  <c r="W411" i="2"/>
  <c r="A421" i="8" s="1"/>
  <c r="W415" i="2"/>
  <c r="A425" i="8" s="1"/>
  <c r="W419" i="2"/>
  <c r="A429" i="8" s="1"/>
  <c r="W423" i="2"/>
  <c r="A433" i="8" s="1"/>
  <c r="W427" i="2"/>
  <c r="A437" i="8" s="1"/>
  <c r="W431" i="2"/>
  <c r="A441" i="8" s="1"/>
  <c r="W435" i="2"/>
  <c r="A445" i="8" s="1"/>
  <c r="W439" i="2"/>
  <c r="A449" i="8" s="1"/>
  <c r="W443" i="2"/>
  <c r="A453" i="8" s="1"/>
  <c r="W447" i="2"/>
  <c r="A457" i="8" s="1"/>
  <c r="W451" i="2"/>
  <c r="A461" i="8" s="1"/>
  <c r="W455" i="2"/>
  <c r="A465" i="8" s="1"/>
  <c r="W459" i="2"/>
  <c r="A469" i="8" s="1"/>
  <c r="W463" i="2"/>
  <c r="A473" i="8" s="1"/>
  <c r="W467" i="2"/>
  <c r="A477" i="8" s="1"/>
  <c r="W471" i="2"/>
  <c r="A481" i="8" s="1"/>
  <c r="W475" i="2"/>
  <c r="A485" i="8" s="1"/>
  <c r="W479" i="2"/>
  <c r="A489" i="8" s="1"/>
  <c r="W483" i="2"/>
  <c r="A493" i="8" s="1"/>
  <c r="W487" i="2"/>
  <c r="A497" i="8" s="1"/>
  <c r="W491" i="2"/>
  <c r="A501" i="8" s="1"/>
  <c r="W495" i="2"/>
  <c r="A505" i="8" s="1"/>
  <c r="W499" i="2"/>
  <c r="A509" i="8" s="1"/>
  <c r="W503" i="2"/>
  <c r="A513" i="8" s="1"/>
  <c r="W507" i="2"/>
  <c r="A517" i="8" s="1"/>
  <c r="W511" i="2"/>
  <c r="A521" i="8" s="1"/>
  <c r="W515" i="2"/>
  <c r="A525" i="8" s="1"/>
  <c r="W519" i="2"/>
  <c r="A529" i="8" s="1"/>
  <c r="W523" i="2"/>
  <c r="A533" i="8" s="1"/>
  <c r="W527" i="2"/>
  <c r="A537" i="8" s="1"/>
  <c r="W531" i="2"/>
  <c r="A541" i="8" s="1"/>
  <c r="W535" i="2"/>
  <c r="A545" i="8" s="1"/>
  <c r="W539" i="2"/>
  <c r="A549" i="8" s="1"/>
  <c r="W543" i="2"/>
  <c r="A553" i="8" s="1"/>
  <c r="W547" i="2"/>
  <c r="A557" i="8" s="1"/>
  <c r="W551" i="2"/>
  <c r="A561" i="8" s="1"/>
  <c r="W555" i="2"/>
  <c r="A565" i="8" s="1"/>
  <c r="W559" i="2"/>
  <c r="A569" i="8" s="1"/>
  <c r="W563" i="2"/>
  <c r="A573" i="8" s="1"/>
  <c r="W567" i="2"/>
  <c r="A577" i="8" s="1"/>
  <c r="W571" i="2"/>
  <c r="A581" i="8" s="1"/>
  <c r="W575" i="2"/>
  <c r="A585" i="8" s="1"/>
  <c r="W579" i="2"/>
  <c r="A589" i="8" s="1"/>
  <c r="W583" i="2"/>
  <c r="A593" i="8" s="1"/>
  <c r="W587" i="2"/>
  <c r="A597" i="8" s="1"/>
  <c r="W591" i="2"/>
  <c r="A601" i="8" s="1"/>
  <c r="W595" i="2"/>
  <c r="A605" i="8" s="1"/>
  <c r="W599" i="2"/>
  <c r="A609" i="8" s="1"/>
  <c r="W603" i="2"/>
  <c r="A613" i="8" s="1"/>
  <c r="W607" i="2"/>
  <c r="A617" i="8" s="1"/>
  <c r="W611" i="2"/>
  <c r="A621" i="8" s="1"/>
  <c r="W615" i="2"/>
  <c r="A625" i="8" s="1"/>
  <c r="W619" i="2"/>
  <c r="A629" i="8" s="1"/>
  <c r="W623" i="2"/>
  <c r="A633" i="8" s="1"/>
  <c r="W627" i="2"/>
  <c r="A637" i="8" s="1"/>
  <c r="W631" i="2"/>
  <c r="A641" i="8" s="1"/>
  <c r="W635" i="2"/>
  <c r="A645" i="8" s="1"/>
  <c r="W639" i="2"/>
  <c r="A649" i="8" s="1"/>
  <c r="W643" i="2"/>
  <c r="A653" i="8" s="1"/>
  <c r="W647" i="2"/>
  <c r="A657" i="8" s="1"/>
  <c r="W651" i="2"/>
  <c r="A661" i="8" s="1"/>
  <c r="W655" i="2"/>
  <c r="A665" i="8" s="1"/>
  <c r="W659" i="2"/>
  <c r="A669" i="8" s="1"/>
  <c r="W663" i="2"/>
  <c r="A673" i="8" s="1"/>
  <c r="W667" i="2"/>
  <c r="A677" i="8" s="1"/>
  <c r="W671" i="2"/>
  <c r="A681" i="8" s="1"/>
  <c r="W675" i="2"/>
  <c r="A685" i="8" s="1"/>
  <c r="W679" i="2"/>
  <c r="A689" i="8" s="1"/>
  <c r="W683" i="2"/>
  <c r="A693" i="8" s="1"/>
  <c r="W687" i="2"/>
  <c r="A697" i="8" s="1"/>
  <c r="W691" i="2"/>
  <c r="A701" i="8" s="1"/>
  <c r="W695" i="2"/>
  <c r="A705" i="8" s="1"/>
  <c r="W699" i="2"/>
  <c r="A709" i="8" s="1"/>
  <c r="W703" i="2"/>
  <c r="A713" i="8" s="1"/>
  <c r="W707" i="2"/>
  <c r="A717" i="8" s="1"/>
  <c r="W711" i="2"/>
  <c r="A721" i="8" s="1"/>
  <c r="W715" i="2"/>
  <c r="A725" i="8" s="1"/>
  <c r="W719" i="2"/>
  <c r="A728" i="8" s="1"/>
  <c r="W723" i="2"/>
  <c r="A732" i="8" s="1"/>
  <c r="W727" i="2"/>
  <c r="A736" i="8" s="1"/>
  <c r="W731" i="2"/>
  <c r="A740" i="8" s="1"/>
  <c r="W735" i="2"/>
  <c r="A744" i="8" s="1"/>
  <c r="W739" i="2"/>
  <c r="A748" i="8" s="1"/>
  <c r="W743" i="2"/>
  <c r="A752" i="8" s="1"/>
  <c r="W747" i="2"/>
  <c r="A756" i="8" s="1"/>
  <c r="W751" i="2"/>
  <c r="A760" i="8" s="1"/>
  <c r="W755" i="2"/>
  <c r="A764" i="8" s="1"/>
  <c r="W759" i="2"/>
  <c r="A768" i="8" s="1"/>
  <c r="W763" i="2"/>
  <c r="A772" i="8" s="1"/>
  <c r="W767" i="2"/>
  <c r="A776" i="8" s="1"/>
  <c r="W771" i="2"/>
  <c r="A780" i="8" s="1"/>
  <c r="W775" i="2"/>
  <c r="A784" i="8" s="1"/>
  <c r="W779" i="2"/>
  <c r="A788" i="8" s="1"/>
  <c r="W783" i="2"/>
  <c r="A792" i="8" s="1"/>
  <c r="W787" i="2"/>
  <c r="A796" i="8" s="1"/>
  <c r="W791" i="2"/>
  <c r="A800" i="8" s="1"/>
  <c r="W795" i="2"/>
  <c r="A804" i="8" s="1"/>
  <c r="W799" i="2"/>
  <c r="A808" i="8" s="1"/>
  <c r="W803" i="2"/>
  <c r="A812" i="8" s="1"/>
  <c r="W807" i="2"/>
  <c r="A816" i="8" s="1"/>
  <c r="W811" i="2"/>
  <c r="A820" i="8" s="1"/>
  <c r="W815" i="2"/>
  <c r="A824" i="8" s="1"/>
  <c r="W819" i="2"/>
  <c r="A828" i="8" s="1"/>
  <c r="W823" i="2"/>
  <c r="A832" i="8" s="1"/>
  <c r="W827" i="2"/>
  <c r="A836" i="8" s="1"/>
  <c r="W831" i="2"/>
  <c r="A840" i="8" s="1"/>
  <c r="W835" i="2"/>
  <c r="A844" i="8" s="1"/>
  <c r="W839" i="2"/>
  <c r="A848" i="8" s="1"/>
  <c r="W843" i="2"/>
  <c r="A852" i="8" s="1"/>
  <c r="W847" i="2"/>
  <c r="A856" i="8" s="1"/>
  <c r="W851" i="2"/>
  <c r="A860" i="8" s="1"/>
  <c r="W855" i="2"/>
  <c r="A864" i="8" s="1"/>
  <c r="W859" i="2"/>
  <c r="A868" i="8" s="1"/>
  <c r="W863" i="2"/>
  <c r="A872" i="8" s="1"/>
  <c r="W867" i="2"/>
  <c r="A876" i="8" s="1"/>
  <c r="W871" i="2"/>
  <c r="A880" i="8" s="1"/>
  <c r="W875" i="2"/>
  <c r="A884" i="8" s="1"/>
  <c r="W879" i="2"/>
  <c r="A888" i="8" s="1"/>
  <c r="W883" i="2"/>
  <c r="A892" i="8" s="1"/>
  <c r="W887" i="2"/>
  <c r="A896" i="8" s="1"/>
  <c r="W891" i="2"/>
  <c r="A900" i="8" s="1"/>
  <c r="W895" i="2"/>
  <c r="A904" i="8" s="1"/>
  <c r="W899" i="2"/>
  <c r="A908" i="8" s="1"/>
  <c r="W903" i="2"/>
  <c r="A912" i="8" s="1"/>
  <c r="W907" i="2"/>
  <c r="A916" i="8" s="1"/>
  <c r="W911" i="2"/>
  <c r="A920" i="8" s="1"/>
  <c r="W915" i="2"/>
  <c r="A924" i="8" s="1"/>
  <c r="W919" i="2"/>
  <c r="A928" i="8" s="1"/>
  <c r="W923" i="2"/>
  <c r="A932" i="8" s="1"/>
  <c r="W927" i="2"/>
  <c r="A936" i="8" s="1"/>
  <c r="W931" i="2"/>
  <c r="A940" i="8" s="1"/>
  <c r="W935" i="2"/>
  <c r="A944" i="8" s="1"/>
  <c r="W939" i="2"/>
  <c r="A948" i="8" s="1"/>
  <c r="W943" i="2"/>
  <c r="A952" i="8" s="1"/>
  <c r="W947" i="2"/>
  <c r="A956" i="8" s="1"/>
  <c r="W951" i="2"/>
  <c r="A960" i="8" s="1"/>
  <c r="W955" i="2"/>
  <c r="A964" i="8" s="1"/>
  <c r="W959" i="2"/>
  <c r="A968" i="8" s="1"/>
  <c r="W963" i="2"/>
  <c r="A972" i="8" s="1"/>
  <c r="W967" i="2"/>
  <c r="A975" i="8" s="1"/>
  <c r="W971" i="2"/>
  <c r="A979" i="8" s="1"/>
  <c r="W975" i="2"/>
  <c r="A983" i="8" s="1"/>
  <c r="W979" i="2"/>
  <c r="A987" i="8" s="1"/>
  <c r="W983" i="2"/>
  <c r="A991" i="8" s="1"/>
  <c r="W987" i="2"/>
  <c r="A995" i="8" s="1"/>
  <c r="W991" i="2"/>
  <c r="A999" i="8" s="1"/>
  <c r="W995" i="2"/>
  <c r="A1003" i="8" s="1"/>
  <c r="W999" i="2"/>
  <c r="A1007" i="8" s="1"/>
  <c r="W1003" i="2"/>
  <c r="A1011" i="8" s="1"/>
  <c r="W1007" i="2"/>
  <c r="A1015" i="8" s="1"/>
  <c r="W1011" i="2"/>
  <c r="A1019" i="8" s="1"/>
  <c r="W1015" i="2"/>
  <c r="A1023" i="8" s="1"/>
  <c r="W1019" i="2"/>
  <c r="A1027" i="8" s="1"/>
  <c r="W1023" i="2"/>
  <c r="A1031" i="8" s="1"/>
  <c r="W1027" i="2"/>
  <c r="A1035" i="8" s="1"/>
  <c r="W1031" i="2"/>
  <c r="A1039" i="8" s="1"/>
  <c r="W1035" i="2"/>
  <c r="A1043" i="8" s="1"/>
  <c r="W1039" i="2"/>
  <c r="A1047" i="8" s="1"/>
  <c r="W1043" i="2"/>
  <c r="A1051" i="8" s="1"/>
  <c r="W1047" i="2"/>
  <c r="A1055" i="8" s="1"/>
  <c r="W1051" i="2"/>
  <c r="A1059" i="8" s="1"/>
  <c r="W1055" i="2"/>
  <c r="A1063" i="8" s="1"/>
  <c r="W1059" i="2"/>
  <c r="A1067" i="8" s="1"/>
  <c r="W1063" i="2"/>
  <c r="A1071" i="8" s="1"/>
  <c r="W1067" i="2"/>
  <c r="A1075" i="8" s="1"/>
  <c r="W1071" i="2"/>
  <c r="A1079" i="8" s="1"/>
  <c r="W1075" i="2"/>
  <c r="A1083" i="8" s="1"/>
  <c r="W1079" i="2"/>
  <c r="A1087" i="8" s="1"/>
  <c r="W1083" i="2"/>
  <c r="A1091" i="8" s="1"/>
  <c r="W1087" i="2"/>
  <c r="A1095" i="8" s="1"/>
  <c r="W1091" i="2"/>
  <c r="A1099" i="8" s="1"/>
  <c r="W1095" i="2"/>
  <c r="A1103" i="8" s="1"/>
  <c r="W1099" i="2"/>
  <c r="A1107" i="8" s="1"/>
  <c r="W1103" i="2"/>
  <c r="A1111" i="8" s="1"/>
  <c r="W1107" i="2"/>
  <c r="A1115" i="8" s="1"/>
  <c r="W1111" i="2"/>
  <c r="A1119" i="8" s="1"/>
  <c r="W1115" i="2"/>
  <c r="A1123" i="8" s="1"/>
  <c r="W1119" i="2"/>
  <c r="A1127" i="8" s="1"/>
  <c r="W1123" i="2"/>
  <c r="A1131" i="8" s="1"/>
  <c r="W1127" i="2"/>
  <c r="A1135" i="8" s="1"/>
  <c r="W1131" i="2"/>
  <c r="A1139" i="8" s="1"/>
  <c r="W1135" i="2"/>
  <c r="A1143" i="8" s="1"/>
  <c r="W1139" i="2"/>
  <c r="A1147" i="8" s="1"/>
  <c r="W1143" i="2"/>
  <c r="A1151" i="8" s="1"/>
  <c r="W1147" i="2"/>
  <c r="A1155" i="8" s="1"/>
  <c r="W1151" i="2"/>
  <c r="A1159" i="8" s="1"/>
  <c r="W1155" i="2"/>
  <c r="A1163" i="8" s="1"/>
  <c r="W1159" i="2"/>
  <c r="A1167" i="8" s="1"/>
  <c r="W1163" i="2"/>
  <c r="A1171" i="8" s="1"/>
  <c r="W1167" i="2"/>
  <c r="A1175" i="8" s="1"/>
  <c r="W1171" i="2"/>
  <c r="A1179" i="8" s="1"/>
  <c r="W1175" i="2"/>
  <c r="A1183" i="8" s="1"/>
  <c r="W1179" i="2"/>
  <c r="A1187" i="8" s="1"/>
  <c r="W1183" i="2"/>
  <c r="A1191" i="8" s="1"/>
  <c r="W1187" i="2"/>
  <c r="A1195" i="8" s="1"/>
  <c r="W1191" i="2"/>
  <c r="A1199" i="8" s="1"/>
  <c r="W1195" i="2"/>
  <c r="A1203" i="8" s="1"/>
  <c r="W1199" i="2"/>
  <c r="A1207" i="8" s="1"/>
  <c r="W1203" i="2"/>
  <c r="A1211" i="8" s="1"/>
  <c r="W1207" i="2"/>
  <c r="A1215" i="8" s="1"/>
  <c r="W1211" i="2"/>
  <c r="A1219" i="8" s="1"/>
  <c r="W1215" i="2"/>
  <c r="A1223" i="8" s="1"/>
  <c r="W1219" i="2"/>
  <c r="A1227" i="8" s="1"/>
  <c r="W1223" i="2"/>
  <c r="A1231" i="8" s="1"/>
  <c r="W1227" i="2"/>
  <c r="A1235" i="8" s="1"/>
  <c r="W1231" i="2"/>
  <c r="A1239" i="8" s="1"/>
  <c r="W1235" i="2"/>
  <c r="A1243" i="8" s="1"/>
  <c r="W1239" i="2"/>
  <c r="A1247" i="8" s="1"/>
  <c r="W1243" i="2"/>
  <c r="A1251" i="8" s="1"/>
  <c r="W1247" i="2"/>
  <c r="A1255" i="8" s="1"/>
  <c r="W1251" i="2"/>
  <c r="A1259" i="8" s="1"/>
  <c r="W1255" i="2"/>
  <c r="A1263" i="8" s="1"/>
  <c r="W1259" i="2"/>
  <c r="A1267" i="8" s="1"/>
  <c r="W1263" i="2"/>
  <c r="A1271" i="8" s="1"/>
  <c r="W1267" i="2"/>
  <c r="A1274" i="8" s="1"/>
  <c r="W1271" i="2"/>
  <c r="A1278" i="8" s="1"/>
  <c r="W1275" i="2"/>
  <c r="A1282" i="8" s="1"/>
  <c r="W1279" i="2"/>
  <c r="A1286" i="8" s="1"/>
  <c r="W1283" i="2"/>
  <c r="A1290" i="8" s="1"/>
  <c r="W1287" i="2"/>
  <c r="A1294" i="8" s="1"/>
  <c r="W1291" i="2"/>
  <c r="A1298" i="8" s="1"/>
  <c r="W1295" i="2"/>
  <c r="A1302" i="8" s="1"/>
  <c r="W1299" i="2"/>
  <c r="A1306" i="8" s="1"/>
  <c r="W1303" i="2"/>
  <c r="A1310" i="8" s="1"/>
  <c r="W1307" i="2"/>
  <c r="A1314" i="8" s="1"/>
  <c r="W1311" i="2"/>
  <c r="A1318" i="8" s="1"/>
  <c r="W1315" i="2"/>
  <c r="A1322" i="8" s="1"/>
  <c r="W1319" i="2"/>
  <c r="A1326" i="8" s="1"/>
  <c r="W1323" i="2"/>
  <c r="A1330" i="8" s="1"/>
  <c r="W1327" i="2"/>
  <c r="A1334" i="8" s="1"/>
  <c r="W1331" i="2"/>
  <c r="A1338" i="8" s="1"/>
  <c r="W1335" i="2"/>
  <c r="A1342" i="8" s="1"/>
  <c r="W1339" i="2"/>
  <c r="A1346" i="8" s="1"/>
  <c r="W1343" i="2"/>
  <c r="A1350" i="8" s="1"/>
  <c r="W1347" i="2"/>
  <c r="A1354" i="8" s="1"/>
  <c r="W1351" i="2"/>
  <c r="A1358" i="8" s="1"/>
  <c r="W1355" i="2"/>
  <c r="A1362" i="8" s="1"/>
  <c r="W1359" i="2"/>
  <c r="A1366" i="8" s="1"/>
  <c r="W1363" i="2"/>
  <c r="A1370" i="8" s="1"/>
  <c r="W1367" i="2"/>
  <c r="A1374" i="8" s="1"/>
  <c r="W1371" i="2"/>
  <c r="A1378" i="8" s="1"/>
  <c r="W1375" i="2"/>
  <c r="A1382" i="8" s="1"/>
  <c r="W1379" i="2"/>
  <c r="A1386" i="8" s="1"/>
  <c r="W1383" i="2"/>
  <c r="A1390" i="8" s="1"/>
  <c r="W1387" i="2"/>
  <c r="A1394" i="8" s="1"/>
  <c r="W1391" i="2"/>
  <c r="A1398" i="8" s="1"/>
  <c r="W1395" i="2"/>
  <c r="A1402" i="8" s="1"/>
  <c r="W1399" i="2"/>
  <c r="A1406" i="8" s="1"/>
  <c r="W1403" i="2"/>
  <c r="A1410" i="8" s="1"/>
  <c r="W1407" i="2"/>
  <c r="A1414" i="8" s="1"/>
  <c r="W1411" i="2"/>
  <c r="A1418" i="8" s="1"/>
  <c r="W1415" i="2"/>
  <c r="A1422" i="8" s="1"/>
  <c r="W1419" i="2"/>
  <c r="A1426" i="8" s="1"/>
  <c r="W1423" i="2"/>
  <c r="A1430" i="8" s="1"/>
  <c r="W1427" i="2"/>
  <c r="A1434" i="8" s="1"/>
  <c r="W1431" i="2"/>
  <c r="A1438" i="8" s="1"/>
  <c r="W1435" i="2"/>
  <c r="A1442" i="8" s="1"/>
  <c r="W1439" i="2"/>
  <c r="A1446" i="8" s="1"/>
  <c r="W1443" i="2"/>
  <c r="A1450" i="8" s="1"/>
  <c r="W1447" i="2"/>
  <c r="A1454" i="8" s="1"/>
  <c r="W1451" i="2"/>
  <c r="A1458" i="8" s="1"/>
  <c r="W1455" i="2"/>
  <c r="A1462" i="8" s="1"/>
  <c r="W1459" i="2"/>
  <c r="A1466" i="8" s="1"/>
  <c r="W1463" i="2"/>
  <c r="A1470" i="8" s="1"/>
  <c r="W1467" i="2"/>
  <c r="A1474" i="8" s="1"/>
  <c r="W1471" i="2"/>
  <c r="A1478" i="8" s="1"/>
  <c r="W1475" i="2"/>
  <c r="A1482" i="8" s="1"/>
  <c r="W1479" i="2"/>
  <c r="A1486" i="8" s="1"/>
  <c r="W1483" i="2"/>
  <c r="A1490" i="8" s="1"/>
  <c r="W1487" i="2"/>
  <c r="A1494" i="8" s="1"/>
  <c r="W1491" i="2"/>
  <c r="A1498" i="8" s="1"/>
  <c r="W1495" i="2"/>
  <c r="A1502" i="8" s="1"/>
  <c r="W1499" i="2"/>
  <c r="A1506" i="8" s="1"/>
  <c r="W1503" i="2"/>
  <c r="A1510" i="8" s="1"/>
  <c r="W1507" i="2"/>
  <c r="A1514" i="8" s="1"/>
  <c r="W1511" i="2"/>
  <c r="A1518" i="8" s="1"/>
  <c r="W1515" i="2"/>
  <c r="A1522" i="8" s="1"/>
  <c r="W1519" i="2"/>
  <c r="A1526" i="8" s="1"/>
  <c r="W1523" i="2"/>
  <c r="A1530" i="8" s="1"/>
  <c r="W1527" i="2"/>
  <c r="A1534" i="8" s="1"/>
  <c r="W1531" i="2"/>
  <c r="A1538" i="8" s="1"/>
  <c r="W1535" i="2"/>
  <c r="A1542" i="8" s="1"/>
  <c r="W1539" i="2"/>
  <c r="A1546" i="8" s="1"/>
  <c r="W1543" i="2"/>
  <c r="A1550" i="8" s="1"/>
  <c r="W1547" i="2"/>
  <c r="A1554" i="8" s="1"/>
  <c r="W1551" i="2"/>
  <c r="A1558" i="8" s="1"/>
  <c r="W1555" i="2"/>
  <c r="A1562" i="8" s="1"/>
  <c r="W1559" i="2"/>
  <c r="A1566" i="8" s="1"/>
  <c r="W1563" i="2"/>
  <c r="A1570" i="8" s="1"/>
  <c r="W1567" i="2"/>
  <c r="A1574" i="8" s="1"/>
  <c r="W1571" i="2"/>
  <c r="A1578" i="8" s="1"/>
  <c r="W1575" i="2"/>
  <c r="A1582" i="8" s="1"/>
  <c r="W1579" i="2"/>
  <c r="A1586" i="8" s="1"/>
  <c r="W1583" i="2"/>
  <c r="A1590" i="8" s="1"/>
  <c r="W1587" i="2"/>
  <c r="A1594" i="8" s="1"/>
  <c r="W1591" i="2"/>
  <c r="A1598" i="8" s="1"/>
  <c r="W1595" i="2"/>
  <c r="A1602" i="8" s="1"/>
  <c r="W1599" i="2"/>
  <c r="A1606" i="8" s="1"/>
  <c r="W1603" i="2"/>
  <c r="A1610" i="8" s="1"/>
  <c r="W1607" i="2"/>
  <c r="A1614" i="8" s="1"/>
  <c r="W1611" i="2"/>
  <c r="A1618" i="8" s="1"/>
  <c r="W1615" i="2"/>
  <c r="A11" i="8" s="1"/>
  <c r="W1619" i="2"/>
  <c r="A1625" i="8" s="1"/>
  <c r="W1623" i="2"/>
  <c r="A1629" i="8" s="1"/>
  <c r="W1627" i="2"/>
  <c r="A1633" i="8" s="1"/>
  <c r="W1631" i="2"/>
  <c r="A1637" i="8" s="1"/>
  <c r="W1635" i="2"/>
  <c r="A1641" i="8" s="1"/>
  <c r="W1639" i="2"/>
  <c r="A1645" i="8" s="1"/>
  <c r="W1643" i="2"/>
  <c r="A1649" i="8" s="1"/>
  <c r="W1647" i="2"/>
  <c r="A1653" i="8" s="1"/>
  <c r="W1651" i="2"/>
  <c r="A1657" i="8" s="1"/>
  <c r="W1655" i="2"/>
  <c r="A1661" i="8" s="1"/>
  <c r="W1659" i="2"/>
  <c r="A1665" i="8" s="1"/>
  <c r="W1663" i="2"/>
  <c r="A1669" i="8" s="1"/>
  <c r="W1667" i="2"/>
  <c r="A1673" i="8" s="1"/>
  <c r="W1671" i="2"/>
  <c r="A1677" i="8" s="1"/>
  <c r="W1675" i="2"/>
  <c r="A1681" i="8" s="1"/>
  <c r="W1679" i="2"/>
  <c r="A1685" i="8" s="1"/>
  <c r="W1683" i="2"/>
  <c r="A1689" i="8" s="1"/>
  <c r="W1687" i="2"/>
  <c r="A1693" i="8" s="1"/>
  <c r="W1691" i="2"/>
  <c r="A1697" i="8" s="1"/>
  <c r="W1695" i="2"/>
  <c r="A1701" i="8" s="1"/>
  <c r="W1699" i="2"/>
  <c r="A1705" i="8" s="1"/>
  <c r="W1703" i="2"/>
  <c r="A1709" i="8" s="1"/>
  <c r="W1707" i="2"/>
  <c r="A1713" i="8" s="1"/>
  <c r="W1711" i="2"/>
  <c r="A1717" i="8" s="1"/>
  <c r="W1715" i="2"/>
  <c r="A1721" i="8" s="1"/>
  <c r="W1719" i="2"/>
  <c r="A1725" i="8" s="1"/>
  <c r="W1723" i="2"/>
  <c r="A1729" i="8" s="1"/>
  <c r="W1727" i="2"/>
  <c r="A1732" i="8" s="1"/>
  <c r="W1731" i="2"/>
  <c r="A1736" i="8" s="1"/>
  <c r="W1735" i="2"/>
  <c r="A1740" i="8" s="1"/>
  <c r="W1739" i="2"/>
  <c r="A1744" i="8" s="1"/>
  <c r="W1743" i="2"/>
  <c r="A1748" i="8" s="1"/>
  <c r="W1747" i="2"/>
  <c r="A1752" i="8" s="1"/>
  <c r="W1751" i="2"/>
  <c r="A1756" i="8" s="1"/>
  <c r="W1755" i="2"/>
  <c r="A1760" i="8" s="1"/>
  <c r="W1759" i="2"/>
  <c r="A1764" i="8" s="1"/>
  <c r="W1763" i="2"/>
  <c r="A1768" i="8" s="1"/>
  <c r="W1767" i="2"/>
  <c r="A1772" i="8" s="1"/>
  <c r="W1771" i="2"/>
  <c r="A1776" i="8" s="1"/>
  <c r="W1775" i="2"/>
  <c r="A1780" i="8" s="1"/>
  <c r="W1779" i="2"/>
  <c r="A1784" i="8" s="1"/>
  <c r="W1783" i="2"/>
  <c r="A1788" i="8" s="1"/>
  <c r="W1787" i="2"/>
  <c r="A1792" i="8" s="1"/>
  <c r="W1791" i="2"/>
  <c r="A1796" i="8" s="1"/>
  <c r="W1795" i="2"/>
  <c r="A1800" i="8" s="1"/>
  <c r="W1799" i="2"/>
  <c r="A1804" i="8" s="1"/>
  <c r="W1803" i="2"/>
  <c r="A1808" i="8" s="1"/>
  <c r="W1807" i="2"/>
  <c r="A1812" i="8" s="1"/>
  <c r="W1811" i="2"/>
  <c r="A1816" i="8" s="1"/>
  <c r="W1815" i="2"/>
  <c r="A1820" i="8" s="1"/>
  <c r="W1819" i="2"/>
  <c r="A1824" i="8" s="1"/>
  <c r="W1823" i="2"/>
  <c r="A1828" i="8" s="1"/>
  <c r="W1827" i="2"/>
  <c r="A1832" i="8" s="1"/>
  <c r="W1831" i="2"/>
  <c r="A1836" i="8" s="1"/>
  <c r="W1835" i="2"/>
  <c r="A1840" i="8" s="1"/>
  <c r="W1839" i="2"/>
  <c r="A1843" i="8" s="1"/>
  <c r="W1843" i="2"/>
  <c r="A1847" i="8" s="1"/>
  <c r="W1847" i="2"/>
  <c r="A1851" i="8" s="1"/>
  <c r="W1851" i="2"/>
  <c r="A1855" i="8" s="1"/>
  <c r="W1855" i="2"/>
  <c r="A12" i="8" s="1"/>
  <c r="W1859" i="2"/>
  <c r="A1862" i="8" s="1"/>
  <c r="W1863" i="2"/>
  <c r="A1866" i="8" s="1"/>
  <c r="W1867" i="2"/>
  <c r="A1870" i="8" s="1"/>
  <c r="W1871" i="2"/>
  <c r="A1874" i="8" s="1"/>
  <c r="W1875" i="2"/>
  <c r="A1878" i="8" s="1"/>
  <c r="W1879" i="2"/>
  <c r="A1882" i="8" s="1"/>
  <c r="W1883" i="2"/>
  <c r="A1886" i="8" s="1"/>
  <c r="W1887" i="2"/>
  <c r="A1890" i="8" s="1"/>
  <c r="W1891" i="2"/>
  <c r="A1894" i="8" s="1"/>
  <c r="W1895" i="2"/>
  <c r="A1898" i="8" s="1"/>
  <c r="W1899" i="2"/>
  <c r="A1902" i="8" s="1"/>
  <c r="W1903" i="2"/>
  <c r="A1906" i="8" s="1"/>
  <c r="W1907" i="2"/>
  <c r="A1910" i="8" s="1"/>
  <c r="W1911" i="2"/>
  <c r="A1914" i="8" s="1"/>
  <c r="W1915" i="2"/>
  <c r="A1918" i="8" s="1"/>
  <c r="W1919" i="2"/>
  <c r="A1922" i="8" s="1"/>
  <c r="W1923" i="2"/>
  <c r="A1926" i="8" s="1"/>
  <c r="W1927" i="2"/>
  <c r="A16" i="8" s="1"/>
  <c r="W1931" i="2"/>
  <c r="A1933" i="8" s="1"/>
  <c r="W1935" i="2"/>
  <c r="A1937" i="8" s="1"/>
  <c r="W1939" i="2"/>
  <c r="A5" i="8" s="1"/>
  <c r="W1943" i="2"/>
  <c r="A1944" i="8" s="1"/>
  <c r="W1947" i="2"/>
  <c r="A1948" i="8" s="1"/>
  <c r="W1951" i="2"/>
  <c r="A1952" i="8" s="1"/>
  <c r="W1955" i="2"/>
  <c r="A1956" i="8" s="1"/>
  <c r="W1959" i="2"/>
  <c r="A1960" i="8" s="1"/>
  <c r="W1963" i="2"/>
  <c r="A1964" i="8" s="1"/>
  <c r="W1967" i="2"/>
  <c r="A1968" i="8" s="1"/>
  <c r="W1971" i="2"/>
  <c r="A1972" i="8" s="1"/>
  <c r="W1975" i="2"/>
  <c r="A1976" i="8" s="1"/>
  <c r="W1979" i="2"/>
  <c r="A1980" i="8" s="1"/>
  <c r="W1983" i="2"/>
  <c r="A1984" i="8" s="1"/>
  <c r="W1987" i="2"/>
  <c r="A1988" i="8" s="1"/>
  <c r="W1991" i="2"/>
  <c r="A1992" i="8" s="1"/>
  <c r="W1995" i="2"/>
  <c r="A1996" i="8" s="1"/>
  <c r="W1999" i="2"/>
  <c r="A2000" i="8" s="1"/>
  <c r="W2003" i="2"/>
  <c r="A2004" i="8" s="1"/>
  <c r="W2007" i="2"/>
  <c r="A2008" i="8" s="1"/>
  <c r="W2011" i="2"/>
  <c r="A2012" i="8" s="1"/>
  <c r="W2015" i="2"/>
  <c r="A2016" i="8" s="1"/>
  <c r="W2019" i="2"/>
  <c r="A2020" i="8" s="1"/>
  <c r="W2023" i="2"/>
  <c r="A2024" i="8" s="1"/>
  <c r="W2027" i="2"/>
  <c r="A2028" i="8" s="1"/>
  <c r="W2031" i="2"/>
  <c r="A2032" i="8" s="1"/>
  <c r="W2035" i="2"/>
  <c r="A2036" i="8" s="1"/>
  <c r="W2039" i="2"/>
  <c r="A2040" i="8" s="1"/>
  <c r="W2043" i="2"/>
  <c r="A2044" i="8" s="1"/>
  <c r="W2047" i="2"/>
  <c r="A2048" i="8" s="1"/>
  <c r="W2051" i="2"/>
  <c r="A2052" i="8" s="1"/>
  <c r="W2055" i="2"/>
  <c r="A2056" i="8" s="1"/>
  <c r="W2059" i="2"/>
  <c r="A2060" i="8" s="1"/>
  <c r="W2063" i="2"/>
  <c r="A2064" i="8" s="1"/>
  <c r="W2067" i="2"/>
  <c r="A2068" i="8" s="1"/>
  <c r="W2071" i="2"/>
  <c r="A2072" i="8" s="1"/>
  <c r="W2075" i="2"/>
  <c r="A2076" i="8" s="1"/>
  <c r="W2079" i="2"/>
  <c r="A2080" i="8" s="1"/>
  <c r="W2083" i="2"/>
  <c r="A2084" i="8" s="1"/>
  <c r="W2087" i="2"/>
  <c r="A2087" i="8" s="1"/>
  <c r="W2091" i="2"/>
  <c r="A2091" i="8" s="1"/>
  <c r="W2095" i="2"/>
  <c r="A2095" i="8" s="1"/>
  <c r="W2099" i="2"/>
  <c r="A2099" i="8" s="1"/>
  <c r="W2103" i="2"/>
  <c r="A2103" i="8" s="1"/>
  <c r="W2107" i="2"/>
  <c r="A2107" i="8" s="1"/>
  <c r="W2111" i="2"/>
  <c r="A2111" i="8" s="1"/>
  <c r="W2115" i="2"/>
  <c r="A2115" i="8" s="1"/>
  <c r="W2119" i="2"/>
  <c r="A2119" i="8" s="1"/>
  <c r="W2123" i="2"/>
  <c r="A2123" i="8" s="1"/>
  <c r="W2127" i="2"/>
  <c r="A2127" i="8" s="1"/>
  <c r="W2131" i="2"/>
  <c r="A2131" i="8" s="1"/>
  <c r="W2135" i="2"/>
  <c r="A2135" i="8" s="1"/>
  <c r="W2139" i="2"/>
  <c r="A2139" i="8" s="1"/>
  <c r="W2143" i="2"/>
  <c r="A2143" i="8" s="1"/>
  <c r="W2147" i="2"/>
  <c r="A2147" i="8" s="1"/>
  <c r="W2151" i="2"/>
  <c r="A2151" i="8" s="1"/>
  <c r="W2155" i="2"/>
  <c r="A2155" i="8" s="1"/>
  <c r="W2159" i="2"/>
  <c r="A2159" i="8" s="1"/>
  <c r="W2163" i="2"/>
  <c r="A2163" i="8" s="1"/>
  <c r="W2167" i="2"/>
  <c r="A2167" i="8" s="1"/>
  <c r="X37" i="2"/>
  <c r="L49" i="8" s="1"/>
  <c r="X41" i="2"/>
  <c r="L53" i="8" s="1"/>
  <c r="X45" i="2"/>
  <c r="L57" i="8" s="1"/>
  <c r="X49" i="2"/>
  <c r="L61" i="8" s="1"/>
  <c r="X53" i="2"/>
  <c r="L65" i="8" s="1"/>
  <c r="X57" i="2"/>
  <c r="L69" i="8" s="1"/>
  <c r="X61" i="2"/>
  <c r="L73" i="8" s="1"/>
  <c r="X65" i="2"/>
  <c r="L9" i="8" s="1"/>
  <c r="X69" i="2"/>
  <c r="L80" i="8" s="1"/>
  <c r="X73" i="2"/>
  <c r="L83" i="8" s="1"/>
  <c r="X77" i="2"/>
  <c r="L87" i="8" s="1"/>
  <c r="X81" i="2"/>
  <c r="L91" i="8" s="1"/>
  <c r="X85" i="2"/>
  <c r="L95" i="8" s="1"/>
  <c r="X89" i="2"/>
  <c r="L99" i="8" s="1"/>
  <c r="X93" i="2"/>
  <c r="L103" i="8" s="1"/>
  <c r="X97" i="2"/>
  <c r="L107" i="8" s="1"/>
  <c r="X101" i="2"/>
  <c r="L111" i="8" s="1"/>
  <c r="X105" i="2"/>
  <c r="L115" i="8" s="1"/>
  <c r="X109" i="2"/>
  <c r="L119" i="8" s="1"/>
  <c r="X113" i="2"/>
  <c r="L123" i="8" s="1"/>
  <c r="X117" i="2"/>
  <c r="L127" i="8" s="1"/>
  <c r="X121" i="2"/>
  <c r="L131" i="8" s="1"/>
  <c r="X125" i="2"/>
  <c r="L135" i="8" s="1"/>
  <c r="X129" i="2"/>
  <c r="L139" i="8" s="1"/>
  <c r="X133" i="2"/>
  <c r="L143" i="8" s="1"/>
  <c r="X137" i="2"/>
  <c r="L147" i="8" s="1"/>
  <c r="X141" i="2"/>
  <c r="L151" i="8" s="1"/>
  <c r="X145" i="2"/>
  <c r="L155" i="8" s="1"/>
  <c r="X149" i="2"/>
  <c r="L159" i="8" s="1"/>
  <c r="X153" i="2"/>
  <c r="L163" i="8" s="1"/>
  <c r="X157" i="2"/>
  <c r="L167" i="8" s="1"/>
  <c r="X161" i="2"/>
  <c r="L171" i="8" s="1"/>
  <c r="X165" i="2"/>
  <c r="L175" i="8" s="1"/>
  <c r="X169" i="2"/>
  <c r="L179" i="8" s="1"/>
  <c r="X173" i="2"/>
  <c r="L183" i="8" s="1"/>
  <c r="X177" i="2"/>
  <c r="L187" i="8" s="1"/>
  <c r="X181" i="2"/>
  <c r="L191" i="8" s="1"/>
  <c r="X185" i="2"/>
  <c r="L195" i="8" s="1"/>
  <c r="X189" i="2"/>
  <c r="L199" i="8" s="1"/>
  <c r="X193" i="2"/>
  <c r="L203" i="8" s="1"/>
  <c r="X197" i="2"/>
  <c r="L207" i="8" s="1"/>
  <c r="X201" i="2"/>
  <c r="L211" i="8" s="1"/>
  <c r="X205" i="2"/>
  <c r="L215" i="8" s="1"/>
  <c r="X209" i="2"/>
  <c r="L219" i="8" s="1"/>
  <c r="X213" i="2"/>
  <c r="L223" i="8" s="1"/>
  <c r="X217" i="2"/>
  <c r="L227" i="8" s="1"/>
  <c r="X221" i="2"/>
  <c r="L231" i="8" s="1"/>
  <c r="X225" i="2"/>
  <c r="L235" i="8" s="1"/>
  <c r="X229" i="2"/>
  <c r="L239" i="8" s="1"/>
  <c r="X233" i="2"/>
  <c r="L243" i="8" s="1"/>
  <c r="X237" i="2"/>
  <c r="L247" i="8" s="1"/>
  <c r="X241" i="2"/>
  <c r="L251" i="8" s="1"/>
  <c r="X245" i="2"/>
  <c r="L255" i="8" s="1"/>
  <c r="X249" i="2"/>
  <c r="L259" i="8" s="1"/>
  <c r="X253" i="2"/>
  <c r="L263" i="8" s="1"/>
  <c r="X257" i="2"/>
  <c r="L267" i="8" s="1"/>
  <c r="X261" i="2"/>
  <c r="L271" i="8" s="1"/>
  <c r="X265" i="2"/>
  <c r="L275" i="8" s="1"/>
  <c r="X269" i="2"/>
  <c r="L279" i="8" s="1"/>
  <c r="X273" i="2"/>
  <c r="L283" i="8" s="1"/>
  <c r="X277" i="2"/>
  <c r="L287" i="8" s="1"/>
  <c r="X281" i="2"/>
  <c r="L291" i="8" s="1"/>
  <c r="X285" i="2"/>
  <c r="L295" i="8" s="1"/>
  <c r="X289" i="2"/>
  <c r="L299" i="8" s="1"/>
  <c r="X293" i="2"/>
  <c r="L303" i="8" s="1"/>
  <c r="X297" i="2"/>
  <c r="L307" i="8" s="1"/>
  <c r="X301" i="2"/>
  <c r="L311" i="8" s="1"/>
  <c r="X305" i="2"/>
  <c r="L315" i="8" s="1"/>
  <c r="X309" i="2"/>
  <c r="L319" i="8" s="1"/>
  <c r="X313" i="2"/>
  <c r="L323" i="8" s="1"/>
  <c r="X317" i="2"/>
  <c r="L327" i="8" s="1"/>
  <c r="X321" i="2"/>
  <c r="L331" i="8" s="1"/>
  <c r="X325" i="2"/>
  <c r="L335" i="8" s="1"/>
  <c r="X329" i="2"/>
  <c r="L339" i="8" s="1"/>
  <c r="X333" i="2"/>
  <c r="L343" i="8" s="1"/>
  <c r="X337" i="2"/>
  <c r="L347" i="8" s="1"/>
  <c r="X341" i="2"/>
  <c r="L351" i="8" s="1"/>
  <c r="X345" i="2"/>
  <c r="L355" i="8" s="1"/>
  <c r="X349" i="2"/>
  <c r="L359" i="8" s="1"/>
  <c r="X353" i="2"/>
  <c r="L363" i="8" s="1"/>
  <c r="X357" i="2"/>
  <c r="L367" i="8" s="1"/>
  <c r="X361" i="2"/>
  <c r="L371" i="8" s="1"/>
  <c r="X365" i="2"/>
  <c r="L375" i="8" s="1"/>
  <c r="X369" i="2"/>
  <c r="L379" i="8" s="1"/>
  <c r="X373" i="2"/>
  <c r="L383" i="8" s="1"/>
  <c r="X377" i="2"/>
  <c r="L387" i="8" s="1"/>
  <c r="X381" i="2"/>
  <c r="L391" i="8" s="1"/>
  <c r="X385" i="2"/>
  <c r="L395" i="8" s="1"/>
  <c r="X389" i="2"/>
  <c r="L399" i="8" s="1"/>
  <c r="X393" i="2"/>
  <c r="L403" i="8" s="1"/>
  <c r="X397" i="2"/>
  <c r="L407" i="8" s="1"/>
  <c r="X401" i="2"/>
  <c r="L411" i="8" s="1"/>
  <c r="X405" i="2"/>
  <c r="L415" i="8" s="1"/>
  <c r="X409" i="2"/>
  <c r="L419" i="8" s="1"/>
  <c r="X413" i="2"/>
  <c r="L423" i="8" s="1"/>
  <c r="X417" i="2"/>
  <c r="L427" i="8" s="1"/>
  <c r="X421" i="2"/>
  <c r="L431" i="8" s="1"/>
  <c r="X425" i="2"/>
  <c r="L435" i="8" s="1"/>
  <c r="X429" i="2"/>
  <c r="L439" i="8" s="1"/>
  <c r="X433" i="2"/>
  <c r="L443" i="8" s="1"/>
  <c r="X437" i="2"/>
  <c r="L447" i="8" s="1"/>
  <c r="X441" i="2"/>
  <c r="L451" i="8" s="1"/>
  <c r="X445" i="2"/>
  <c r="L455" i="8" s="1"/>
  <c r="X449" i="2"/>
  <c r="L459" i="8" s="1"/>
  <c r="X453" i="2"/>
  <c r="L463" i="8" s="1"/>
  <c r="X457" i="2"/>
  <c r="L467" i="8" s="1"/>
  <c r="X461" i="2"/>
  <c r="L471" i="8" s="1"/>
  <c r="X465" i="2"/>
  <c r="L475" i="8" s="1"/>
  <c r="X469" i="2"/>
  <c r="L479" i="8" s="1"/>
  <c r="X473" i="2"/>
  <c r="L483" i="8" s="1"/>
  <c r="X477" i="2"/>
  <c r="L487" i="8" s="1"/>
  <c r="X481" i="2"/>
  <c r="L491" i="8" s="1"/>
  <c r="X485" i="2"/>
  <c r="L495" i="8" s="1"/>
  <c r="X489" i="2"/>
  <c r="L499" i="8" s="1"/>
  <c r="X493" i="2"/>
  <c r="L503" i="8" s="1"/>
  <c r="X497" i="2"/>
  <c r="L507" i="8" s="1"/>
  <c r="X501" i="2"/>
  <c r="L511" i="8" s="1"/>
  <c r="X505" i="2"/>
  <c r="L515" i="8" s="1"/>
  <c r="X509" i="2"/>
  <c r="L519" i="8" s="1"/>
  <c r="X513" i="2"/>
  <c r="L523" i="8" s="1"/>
  <c r="X517" i="2"/>
  <c r="L527" i="8" s="1"/>
  <c r="X521" i="2"/>
  <c r="L531" i="8" s="1"/>
  <c r="X525" i="2"/>
  <c r="L535" i="8" s="1"/>
  <c r="X529" i="2"/>
  <c r="L539" i="8" s="1"/>
  <c r="X533" i="2"/>
  <c r="L543" i="8" s="1"/>
  <c r="X537" i="2"/>
  <c r="L547" i="8" s="1"/>
  <c r="X541" i="2"/>
  <c r="L551" i="8" s="1"/>
  <c r="X545" i="2"/>
  <c r="L555" i="8" s="1"/>
  <c r="X549" i="2"/>
  <c r="L559" i="8" s="1"/>
  <c r="X553" i="2"/>
  <c r="L563" i="8" s="1"/>
  <c r="X557" i="2"/>
  <c r="L567" i="8" s="1"/>
  <c r="X561" i="2"/>
  <c r="L571" i="8" s="1"/>
  <c r="X565" i="2"/>
  <c r="L575" i="8" s="1"/>
  <c r="X569" i="2"/>
  <c r="L579" i="8" s="1"/>
  <c r="X573" i="2"/>
  <c r="L583" i="8" s="1"/>
  <c r="X577" i="2"/>
  <c r="L587" i="8" s="1"/>
  <c r="X581" i="2"/>
  <c r="L591" i="8" s="1"/>
  <c r="X585" i="2"/>
  <c r="L595" i="8" s="1"/>
  <c r="X589" i="2"/>
  <c r="L599" i="8" s="1"/>
  <c r="X593" i="2"/>
  <c r="L603" i="8" s="1"/>
  <c r="X597" i="2"/>
  <c r="L607" i="8" s="1"/>
  <c r="X601" i="2"/>
  <c r="L611" i="8" s="1"/>
  <c r="X605" i="2"/>
  <c r="L615" i="8" s="1"/>
  <c r="X609" i="2"/>
  <c r="L619" i="8" s="1"/>
  <c r="X613" i="2"/>
  <c r="L623" i="8" s="1"/>
  <c r="X617" i="2"/>
  <c r="L627" i="8" s="1"/>
  <c r="X621" i="2"/>
  <c r="L631" i="8" s="1"/>
  <c r="X625" i="2"/>
  <c r="L635" i="8" s="1"/>
  <c r="X629" i="2"/>
  <c r="L639" i="8" s="1"/>
  <c r="X633" i="2"/>
  <c r="L643" i="8" s="1"/>
  <c r="X637" i="2"/>
  <c r="L647" i="8" s="1"/>
  <c r="X641" i="2"/>
  <c r="L651" i="8" s="1"/>
  <c r="X645" i="2"/>
  <c r="L655" i="8" s="1"/>
  <c r="X649" i="2"/>
  <c r="L659" i="8" s="1"/>
  <c r="X653" i="2"/>
  <c r="L663" i="8" s="1"/>
  <c r="X657" i="2"/>
  <c r="L667" i="8" s="1"/>
  <c r="X661" i="2"/>
  <c r="L671" i="8" s="1"/>
  <c r="X665" i="2"/>
  <c r="L675" i="8" s="1"/>
  <c r="X669" i="2"/>
  <c r="L679" i="8" s="1"/>
  <c r="X673" i="2"/>
  <c r="L683" i="8" s="1"/>
  <c r="X677" i="2"/>
  <c r="L687" i="8" s="1"/>
  <c r="X681" i="2"/>
  <c r="L691" i="8" s="1"/>
  <c r="X685" i="2"/>
  <c r="L695" i="8" s="1"/>
  <c r="X689" i="2"/>
  <c r="L699" i="8" s="1"/>
  <c r="X693" i="2"/>
  <c r="L703" i="8" s="1"/>
  <c r="X697" i="2"/>
  <c r="L707" i="8" s="1"/>
  <c r="X701" i="2"/>
  <c r="L711" i="8" s="1"/>
  <c r="X705" i="2"/>
  <c r="L715" i="8" s="1"/>
  <c r="X709" i="2"/>
  <c r="L719" i="8" s="1"/>
  <c r="X713" i="2"/>
  <c r="L723" i="8" s="1"/>
  <c r="X717" i="2"/>
  <c r="L14" i="8" s="1"/>
  <c r="X721" i="2"/>
  <c r="L730" i="8" s="1"/>
  <c r="X725" i="2"/>
  <c r="L734" i="8" s="1"/>
  <c r="X729" i="2"/>
  <c r="L738" i="8" s="1"/>
  <c r="X733" i="2"/>
  <c r="L742" i="8" s="1"/>
  <c r="X737" i="2"/>
  <c r="L746" i="8" s="1"/>
  <c r="X741" i="2"/>
  <c r="L750" i="8" s="1"/>
  <c r="X745" i="2"/>
  <c r="L754" i="8" s="1"/>
  <c r="X749" i="2"/>
  <c r="L758" i="8" s="1"/>
  <c r="X753" i="2"/>
  <c r="L762" i="8" s="1"/>
  <c r="X757" i="2"/>
  <c r="L766" i="8" s="1"/>
  <c r="X761" i="2"/>
  <c r="L770" i="8" s="1"/>
  <c r="X765" i="2"/>
  <c r="L774" i="8" s="1"/>
  <c r="X769" i="2"/>
  <c r="L778" i="8" s="1"/>
  <c r="X773" i="2"/>
  <c r="L782" i="8" s="1"/>
  <c r="X777" i="2"/>
  <c r="L786" i="8" s="1"/>
  <c r="X781" i="2"/>
  <c r="L790" i="8" s="1"/>
  <c r="X785" i="2"/>
  <c r="L794" i="8" s="1"/>
  <c r="X789" i="2"/>
  <c r="L798" i="8" s="1"/>
  <c r="X793" i="2"/>
  <c r="L802" i="8" s="1"/>
  <c r="X797" i="2"/>
  <c r="L806" i="8" s="1"/>
  <c r="X801" i="2"/>
  <c r="L810" i="8" s="1"/>
  <c r="X805" i="2"/>
  <c r="L814" i="8" s="1"/>
  <c r="X809" i="2"/>
  <c r="L818" i="8" s="1"/>
  <c r="X813" i="2"/>
  <c r="L822" i="8" s="1"/>
  <c r="X817" i="2"/>
  <c r="L826" i="8" s="1"/>
  <c r="X821" i="2"/>
  <c r="L830" i="8" s="1"/>
  <c r="X825" i="2"/>
  <c r="L834" i="8" s="1"/>
  <c r="X829" i="2"/>
  <c r="L838" i="8" s="1"/>
  <c r="X833" i="2"/>
  <c r="L842" i="8" s="1"/>
  <c r="X837" i="2"/>
  <c r="L846" i="8" s="1"/>
  <c r="X841" i="2"/>
  <c r="L850" i="8" s="1"/>
  <c r="X845" i="2"/>
  <c r="L854" i="8" s="1"/>
  <c r="X849" i="2"/>
  <c r="L858" i="8" s="1"/>
  <c r="X853" i="2"/>
  <c r="L862" i="8" s="1"/>
  <c r="X857" i="2"/>
  <c r="L866" i="8" s="1"/>
  <c r="X861" i="2"/>
  <c r="L870" i="8" s="1"/>
  <c r="X865" i="2"/>
  <c r="L874" i="8" s="1"/>
  <c r="X869" i="2"/>
  <c r="L878" i="8" s="1"/>
  <c r="X873" i="2"/>
  <c r="L882" i="8" s="1"/>
  <c r="X877" i="2"/>
  <c r="L886" i="8" s="1"/>
  <c r="X881" i="2"/>
  <c r="L890" i="8" s="1"/>
  <c r="X885" i="2"/>
  <c r="L894" i="8" s="1"/>
  <c r="X889" i="2"/>
  <c r="L898" i="8" s="1"/>
  <c r="X893" i="2"/>
  <c r="L902" i="8" s="1"/>
  <c r="X897" i="2"/>
  <c r="L906" i="8" s="1"/>
  <c r="X901" i="2"/>
  <c r="L910" i="8" s="1"/>
  <c r="X905" i="2"/>
  <c r="L914" i="8" s="1"/>
  <c r="X909" i="2"/>
  <c r="L918" i="8" s="1"/>
  <c r="X913" i="2"/>
  <c r="L922" i="8" s="1"/>
  <c r="X917" i="2"/>
  <c r="L926" i="8" s="1"/>
  <c r="X921" i="2"/>
  <c r="L930" i="8" s="1"/>
  <c r="X925" i="2"/>
  <c r="L934" i="8" s="1"/>
  <c r="X929" i="2"/>
  <c r="L938" i="8" s="1"/>
  <c r="X933" i="2"/>
  <c r="L942" i="8" s="1"/>
  <c r="X937" i="2"/>
  <c r="L946" i="8" s="1"/>
  <c r="X941" i="2"/>
  <c r="L950" i="8" s="1"/>
  <c r="X945" i="2"/>
  <c r="L954" i="8" s="1"/>
  <c r="X949" i="2"/>
  <c r="L958" i="8" s="1"/>
  <c r="X953" i="2"/>
  <c r="L962" i="8" s="1"/>
  <c r="X957" i="2"/>
  <c r="L966" i="8" s="1"/>
  <c r="X961" i="2"/>
  <c r="L970" i="8" s="1"/>
  <c r="X965" i="2"/>
  <c r="L6" i="8" s="1"/>
  <c r="X969" i="2"/>
  <c r="L977" i="8" s="1"/>
  <c r="X973" i="2"/>
  <c r="L981" i="8" s="1"/>
  <c r="X977" i="2"/>
  <c r="L985" i="8" s="1"/>
  <c r="X981" i="2"/>
  <c r="L989" i="8" s="1"/>
  <c r="X985" i="2"/>
  <c r="L993" i="8" s="1"/>
  <c r="X989" i="2"/>
  <c r="L997" i="8" s="1"/>
  <c r="X993" i="2"/>
  <c r="L1001" i="8" s="1"/>
  <c r="X997" i="2"/>
  <c r="L1005" i="8" s="1"/>
  <c r="X1001" i="2"/>
  <c r="L1009" i="8" s="1"/>
  <c r="X1005" i="2"/>
  <c r="L1013" i="8" s="1"/>
  <c r="X1009" i="2"/>
  <c r="L1017" i="8" s="1"/>
  <c r="X1013" i="2"/>
  <c r="L1021" i="8" s="1"/>
  <c r="X1017" i="2"/>
  <c r="L1025" i="8" s="1"/>
  <c r="X1021" i="2"/>
  <c r="L1029" i="8" s="1"/>
  <c r="X1025" i="2"/>
  <c r="L1033" i="8" s="1"/>
  <c r="X1029" i="2"/>
  <c r="L1037" i="8" s="1"/>
  <c r="X1033" i="2"/>
  <c r="L1041" i="8" s="1"/>
  <c r="X1037" i="2"/>
  <c r="L1045" i="8" s="1"/>
  <c r="X1041" i="2"/>
  <c r="L1049" i="8" s="1"/>
  <c r="X1045" i="2"/>
  <c r="L1053" i="8" s="1"/>
  <c r="X1049" i="2"/>
  <c r="L1057" i="8" s="1"/>
  <c r="X1053" i="2"/>
  <c r="L1061" i="8" s="1"/>
  <c r="X1057" i="2"/>
  <c r="L1065" i="8" s="1"/>
  <c r="X1061" i="2"/>
  <c r="L1069" i="8" s="1"/>
  <c r="X1065" i="2"/>
  <c r="L1073" i="8" s="1"/>
  <c r="X1069" i="2"/>
  <c r="L1077" i="8" s="1"/>
  <c r="X1073" i="2"/>
  <c r="L1081" i="8" s="1"/>
  <c r="X1077" i="2"/>
  <c r="L1085" i="8" s="1"/>
  <c r="X1081" i="2"/>
  <c r="L1089" i="8" s="1"/>
  <c r="X1085" i="2"/>
  <c r="L1093" i="8" s="1"/>
  <c r="X1089" i="2"/>
  <c r="L1097" i="8" s="1"/>
  <c r="X1093" i="2"/>
  <c r="L1101" i="8" s="1"/>
  <c r="X1097" i="2"/>
  <c r="L1105" i="8" s="1"/>
  <c r="X1101" i="2"/>
  <c r="L1109" i="8" s="1"/>
  <c r="X1105" i="2"/>
  <c r="L1113" i="8" s="1"/>
  <c r="X1109" i="2"/>
  <c r="L1117" i="8" s="1"/>
  <c r="X1113" i="2"/>
  <c r="L1121" i="8" s="1"/>
  <c r="X1117" i="2"/>
  <c r="L1125" i="8" s="1"/>
  <c r="X1121" i="2"/>
  <c r="L1129" i="8" s="1"/>
  <c r="X1125" i="2"/>
  <c r="L1133" i="8" s="1"/>
  <c r="X1129" i="2"/>
  <c r="L1137" i="8" s="1"/>
  <c r="X1133" i="2"/>
  <c r="L1141" i="8" s="1"/>
  <c r="X1137" i="2"/>
  <c r="L1145" i="8" s="1"/>
  <c r="X1141" i="2"/>
  <c r="L1149" i="8" s="1"/>
  <c r="X1145" i="2"/>
  <c r="L1153" i="8" s="1"/>
  <c r="X1149" i="2"/>
  <c r="L1157" i="8" s="1"/>
  <c r="X1153" i="2"/>
  <c r="L1161" i="8" s="1"/>
  <c r="X1157" i="2"/>
  <c r="L1165" i="8" s="1"/>
  <c r="X1161" i="2"/>
  <c r="L1169" i="8" s="1"/>
  <c r="X1165" i="2"/>
  <c r="L1173" i="8" s="1"/>
  <c r="X1169" i="2"/>
  <c r="L1177" i="8" s="1"/>
  <c r="X1173" i="2"/>
  <c r="L1181" i="8" s="1"/>
  <c r="X1177" i="2"/>
  <c r="L1185" i="8" s="1"/>
  <c r="X1181" i="2"/>
  <c r="L1189" i="8" s="1"/>
  <c r="X1185" i="2"/>
  <c r="L1193" i="8" s="1"/>
  <c r="X1189" i="2"/>
  <c r="L1197" i="8" s="1"/>
  <c r="X1193" i="2"/>
  <c r="L1201" i="8" s="1"/>
  <c r="X1197" i="2"/>
  <c r="L1205" i="8" s="1"/>
  <c r="X1201" i="2"/>
  <c r="L1209" i="8" s="1"/>
  <c r="X1205" i="2"/>
  <c r="L1213" i="8" s="1"/>
  <c r="X1209" i="2"/>
  <c r="L1217" i="8" s="1"/>
  <c r="X1213" i="2"/>
  <c r="L1221" i="8" s="1"/>
  <c r="X1217" i="2"/>
  <c r="L1225" i="8" s="1"/>
  <c r="X1221" i="2"/>
  <c r="L1229" i="8" s="1"/>
  <c r="X1225" i="2"/>
  <c r="L1233" i="8" s="1"/>
  <c r="X1229" i="2"/>
  <c r="L1237" i="8" s="1"/>
  <c r="X1233" i="2"/>
  <c r="L1241" i="8" s="1"/>
  <c r="X1237" i="2"/>
  <c r="L1245" i="8" s="1"/>
  <c r="X1241" i="2"/>
  <c r="L1249" i="8" s="1"/>
  <c r="X1245" i="2"/>
  <c r="L1253" i="8" s="1"/>
  <c r="X1249" i="2"/>
  <c r="L1257" i="8" s="1"/>
  <c r="X1253" i="2"/>
  <c r="L1261" i="8" s="1"/>
  <c r="X1257" i="2"/>
  <c r="L1265" i="8" s="1"/>
  <c r="X1261" i="2"/>
  <c r="L1269" i="8" s="1"/>
  <c r="X1265" i="2"/>
  <c r="L17" i="8" s="1"/>
  <c r="X1269" i="2"/>
  <c r="L1276" i="8" s="1"/>
  <c r="X1273" i="2"/>
  <c r="L1280" i="8" s="1"/>
  <c r="X1277" i="2"/>
  <c r="L1284" i="8" s="1"/>
  <c r="X1281" i="2"/>
  <c r="L1288" i="8" s="1"/>
  <c r="X1285" i="2"/>
  <c r="L1292" i="8" s="1"/>
  <c r="X1289" i="2"/>
  <c r="L1296" i="8" s="1"/>
  <c r="X1293" i="2"/>
  <c r="L1300" i="8" s="1"/>
  <c r="X1297" i="2"/>
  <c r="L1304" i="8" s="1"/>
  <c r="X1301" i="2"/>
  <c r="L1308" i="8" s="1"/>
  <c r="X1305" i="2"/>
  <c r="L1312" i="8" s="1"/>
  <c r="X1309" i="2"/>
  <c r="L1316" i="8" s="1"/>
  <c r="X1313" i="2"/>
  <c r="L1320" i="8" s="1"/>
  <c r="X1317" i="2"/>
  <c r="L1324" i="8" s="1"/>
  <c r="X1321" i="2"/>
  <c r="L1328" i="8" s="1"/>
  <c r="X1325" i="2"/>
  <c r="L1332" i="8" s="1"/>
  <c r="X1329" i="2"/>
  <c r="L1336" i="8" s="1"/>
  <c r="X1333" i="2"/>
  <c r="L1340" i="8" s="1"/>
  <c r="X1337" i="2"/>
  <c r="L1344" i="8" s="1"/>
  <c r="X1341" i="2"/>
  <c r="L1348" i="8" s="1"/>
  <c r="X1345" i="2"/>
  <c r="L1352" i="8" s="1"/>
  <c r="X1349" i="2"/>
  <c r="L1356" i="8" s="1"/>
  <c r="X1353" i="2"/>
  <c r="L1360" i="8" s="1"/>
  <c r="X1357" i="2"/>
  <c r="L1364" i="8" s="1"/>
  <c r="X1361" i="2"/>
  <c r="L1368" i="8" s="1"/>
  <c r="X1365" i="2"/>
  <c r="L1372" i="8" s="1"/>
  <c r="X1369" i="2"/>
  <c r="L1376" i="8" s="1"/>
  <c r="X1373" i="2"/>
  <c r="L1380" i="8" s="1"/>
  <c r="X1377" i="2"/>
  <c r="L1384" i="8" s="1"/>
  <c r="X1381" i="2"/>
  <c r="L1388" i="8" s="1"/>
  <c r="X1385" i="2"/>
  <c r="L1392" i="8" s="1"/>
  <c r="X1389" i="2"/>
  <c r="L1396" i="8" s="1"/>
  <c r="X1393" i="2"/>
  <c r="L1400" i="8" s="1"/>
  <c r="X1397" i="2"/>
  <c r="L1404" i="8" s="1"/>
  <c r="X1401" i="2"/>
  <c r="L1408" i="8" s="1"/>
  <c r="X1405" i="2"/>
  <c r="L1412" i="8" s="1"/>
  <c r="X1409" i="2"/>
  <c r="L1416" i="8" s="1"/>
  <c r="X1413" i="2"/>
  <c r="L1420" i="8" s="1"/>
  <c r="X1417" i="2"/>
  <c r="L1424" i="8" s="1"/>
  <c r="X1421" i="2"/>
  <c r="L1428" i="8" s="1"/>
  <c r="X1425" i="2"/>
  <c r="L1432" i="8" s="1"/>
  <c r="X1429" i="2"/>
  <c r="L1436" i="8" s="1"/>
  <c r="X1433" i="2"/>
  <c r="L1440" i="8" s="1"/>
  <c r="X1437" i="2"/>
  <c r="L1444" i="8" s="1"/>
  <c r="X1441" i="2"/>
  <c r="L1448" i="8" s="1"/>
  <c r="X1445" i="2"/>
  <c r="L1452" i="8" s="1"/>
  <c r="X1449" i="2"/>
  <c r="L1456" i="8" s="1"/>
  <c r="X1453" i="2"/>
  <c r="L1460" i="8" s="1"/>
  <c r="X1457" i="2"/>
  <c r="L1464" i="8" s="1"/>
  <c r="X1461" i="2"/>
  <c r="L1468" i="8" s="1"/>
  <c r="X1465" i="2"/>
  <c r="L1472" i="8" s="1"/>
  <c r="X1469" i="2"/>
  <c r="L1476" i="8" s="1"/>
  <c r="X1473" i="2"/>
  <c r="L1480" i="8" s="1"/>
  <c r="X1477" i="2"/>
  <c r="L1484" i="8" s="1"/>
  <c r="X1481" i="2"/>
  <c r="L1488" i="8" s="1"/>
  <c r="X1485" i="2"/>
  <c r="L1492" i="8" s="1"/>
  <c r="X1489" i="2"/>
  <c r="L1496" i="8" s="1"/>
  <c r="X1493" i="2"/>
  <c r="L1500" i="8" s="1"/>
  <c r="X1497" i="2"/>
  <c r="L1504" i="8" s="1"/>
  <c r="X1501" i="2"/>
  <c r="L1508" i="8" s="1"/>
  <c r="X1505" i="2"/>
  <c r="L1512" i="8" s="1"/>
  <c r="X1509" i="2"/>
  <c r="L1516" i="8" s="1"/>
  <c r="X1513" i="2"/>
  <c r="L1520" i="8" s="1"/>
  <c r="X1517" i="2"/>
  <c r="L1524" i="8" s="1"/>
  <c r="X1521" i="2"/>
  <c r="L1528" i="8" s="1"/>
  <c r="X1525" i="2"/>
  <c r="L1532" i="8" s="1"/>
  <c r="X1529" i="2"/>
  <c r="L1536" i="8" s="1"/>
  <c r="X1533" i="2"/>
  <c r="L1540" i="8" s="1"/>
  <c r="X1537" i="2"/>
  <c r="L1544" i="8" s="1"/>
  <c r="X1541" i="2"/>
  <c r="L1548" i="8" s="1"/>
  <c r="X1545" i="2"/>
  <c r="L1552" i="8" s="1"/>
  <c r="X1549" i="2"/>
  <c r="L1556" i="8" s="1"/>
  <c r="X1553" i="2"/>
  <c r="L1560" i="8" s="1"/>
  <c r="X1557" i="2"/>
  <c r="L1564" i="8" s="1"/>
  <c r="X1561" i="2"/>
  <c r="L1568" i="8" s="1"/>
  <c r="X1565" i="2"/>
  <c r="L1572" i="8" s="1"/>
  <c r="X1569" i="2"/>
  <c r="L1576" i="8" s="1"/>
  <c r="X1573" i="2"/>
  <c r="L1580" i="8" s="1"/>
  <c r="X1577" i="2"/>
  <c r="L1584" i="8" s="1"/>
  <c r="X1581" i="2"/>
  <c r="L1588" i="8" s="1"/>
  <c r="X1585" i="2"/>
  <c r="L1592" i="8" s="1"/>
  <c r="X1589" i="2"/>
  <c r="L1596" i="8" s="1"/>
  <c r="X1593" i="2"/>
  <c r="L1600" i="8" s="1"/>
  <c r="X1597" i="2"/>
  <c r="L1604" i="8" s="1"/>
  <c r="X1601" i="2"/>
  <c r="L1608" i="8" s="1"/>
  <c r="X1605" i="2"/>
  <c r="L1612" i="8" s="1"/>
  <c r="X1609" i="2"/>
  <c r="L1616" i="8" s="1"/>
  <c r="X1613" i="2"/>
  <c r="L1620" i="8" s="1"/>
  <c r="X1617" i="2"/>
  <c r="L1623" i="8" s="1"/>
  <c r="X1621" i="2"/>
  <c r="L1627" i="8" s="1"/>
  <c r="X1625" i="2"/>
  <c r="L1631" i="8" s="1"/>
  <c r="X1629" i="2"/>
  <c r="L1635" i="8" s="1"/>
  <c r="X1633" i="2"/>
  <c r="L1639" i="8" s="1"/>
  <c r="X1637" i="2"/>
  <c r="L1643" i="8" s="1"/>
  <c r="X1641" i="2"/>
  <c r="L1647" i="8" s="1"/>
  <c r="X1645" i="2"/>
  <c r="L1651" i="8" s="1"/>
  <c r="X1649" i="2"/>
  <c r="L1655" i="8" s="1"/>
  <c r="X1653" i="2"/>
  <c r="L1659" i="8" s="1"/>
  <c r="X1657" i="2"/>
  <c r="L1663" i="8" s="1"/>
  <c r="X1661" i="2"/>
  <c r="L1667" i="8" s="1"/>
  <c r="X1665" i="2"/>
  <c r="L1671" i="8" s="1"/>
  <c r="X1669" i="2"/>
  <c r="L1675" i="8" s="1"/>
  <c r="X1673" i="2"/>
  <c r="L1679" i="8" s="1"/>
  <c r="X1677" i="2"/>
  <c r="L1683" i="8" s="1"/>
  <c r="X1681" i="2"/>
  <c r="L1687" i="8" s="1"/>
  <c r="X1685" i="2"/>
  <c r="L1691" i="8" s="1"/>
  <c r="X1689" i="2"/>
  <c r="L1695" i="8" s="1"/>
  <c r="X1693" i="2"/>
  <c r="L1699" i="8" s="1"/>
  <c r="X1697" i="2"/>
  <c r="L1703" i="8" s="1"/>
  <c r="X1701" i="2"/>
  <c r="L1707" i="8" s="1"/>
  <c r="X1705" i="2"/>
  <c r="L1711" i="8" s="1"/>
  <c r="X1709" i="2"/>
  <c r="L1715" i="8" s="1"/>
  <c r="X1713" i="2"/>
  <c r="L1719" i="8" s="1"/>
  <c r="X1717" i="2"/>
  <c r="L1723" i="8" s="1"/>
  <c r="X1721" i="2"/>
  <c r="L1727" i="8" s="1"/>
  <c r="X1725" i="2"/>
  <c r="L1731" i="8" s="1"/>
  <c r="X1729" i="2"/>
  <c r="L1734" i="8" s="1"/>
  <c r="X1733" i="2"/>
  <c r="L1738" i="8" s="1"/>
  <c r="X1737" i="2"/>
  <c r="L1742" i="8" s="1"/>
  <c r="X1741" i="2"/>
  <c r="L1746" i="8" s="1"/>
  <c r="X1745" i="2"/>
  <c r="L1750" i="8" s="1"/>
  <c r="X1749" i="2"/>
  <c r="L1754" i="8" s="1"/>
  <c r="X1753" i="2"/>
  <c r="L1758" i="8" s="1"/>
  <c r="X1757" i="2"/>
  <c r="L1762" i="8" s="1"/>
  <c r="X1761" i="2"/>
  <c r="L1766" i="8" s="1"/>
  <c r="X1765" i="2"/>
  <c r="L1770" i="8" s="1"/>
  <c r="X1769" i="2"/>
  <c r="L1774" i="8" s="1"/>
  <c r="X1773" i="2"/>
  <c r="L1778" i="8" s="1"/>
  <c r="X1777" i="2"/>
  <c r="L1782" i="8" s="1"/>
  <c r="X1781" i="2"/>
  <c r="L1786" i="8" s="1"/>
  <c r="X1785" i="2"/>
  <c r="L1790" i="8" s="1"/>
  <c r="X1789" i="2"/>
  <c r="L1794" i="8" s="1"/>
  <c r="X1793" i="2"/>
  <c r="L1798" i="8" s="1"/>
  <c r="X1797" i="2"/>
  <c r="L1802" i="8" s="1"/>
  <c r="X1801" i="2"/>
  <c r="L1806" i="8" s="1"/>
  <c r="X1805" i="2"/>
  <c r="L1810" i="8" s="1"/>
  <c r="X1809" i="2"/>
  <c r="L1814" i="8" s="1"/>
  <c r="X1813" i="2"/>
  <c r="L1818" i="8" s="1"/>
  <c r="X1817" i="2"/>
  <c r="L1822" i="8" s="1"/>
  <c r="X1821" i="2"/>
  <c r="L1826" i="8" s="1"/>
  <c r="X1825" i="2"/>
  <c r="L1830" i="8" s="1"/>
  <c r="X1829" i="2"/>
  <c r="L1834" i="8" s="1"/>
  <c r="X1833" i="2"/>
  <c r="L1838" i="8" s="1"/>
  <c r="X1837" i="2"/>
  <c r="L8" i="8" s="1"/>
  <c r="X1841" i="2"/>
  <c r="L1845" i="8" s="1"/>
  <c r="X1845" i="2"/>
  <c r="L1849" i="8" s="1"/>
  <c r="X1849" i="2"/>
  <c r="L1853" i="8" s="1"/>
  <c r="X1853" i="2"/>
  <c r="L1857" i="8" s="1"/>
  <c r="X1857" i="2"/>
  <c r="L1860" i="8" s="1"/>
  <c r="X1861" i="2"/>
  <c r="L1864" i="8" s="1"/>
  <c r="X1865" i="2"/>
  <c r="L1868" i="8" s="1"/>
  <c r="X1869" i="2"/>
  <c r="L1872" i="8" s="1"/>
  <c r="X1873" i="2"/>
  <c r="L1876" i="8" s="1"/>
  <c r="X1877" i="2"/>
  <c r="L1880" i="8" s="1"/>
  <c r="X766" i="2"/>
  <c r="L775" i="8" s="1"/>
  <c r="X782" i="2"/>
  <c r="L791" i="8" s="1"/>
  <c r="X798" i="2"/>
  <c r="L807" i="8" s="1"/>
  <c r="X814" i="2"/>
  <c r="L823" i="8" s="1"/>
  <c r="X830" i="2"/>
  <c r="L839" i="8" s="1"/>
  <c r="X846" i="2"/>
  <c r="L855" i="8" s="1"/>
  <c r="X862" i="2"/>
  <c r="L871" i="8" s="1"/>
  <c r="X878" i="2"/>
  <c r="L887" i="8" s="1"/>
  <c r="X894" i="2"/>
  <c r="L903" i="8" s="1"/>
  <c r="X910" i="2"/>
  <c r="L919" i="8" s="1"/>
  <c r="X926" i="2"/>
  <c r="L935" i="8" s="1"/>
  <c r="X942" i="2"/>
  <c r="L951" i="8" s="1"/>
  <c r="X958" i="2"/>
  <c r="L967" i="8" s="1"/>
  <c r="X974" i="2"/>
  <c r="L982" i="8" s="1"/>
  <c r="X990" i="2"/>
  <c r="L998" i="8" s="1"/>
  <c r="X1006" i="2"/>
  <c r="L1014" i="8" s="1"/>
  <c r="X1022" i="2"/>
  <c r="L1030" i="8" s="1"/>
  <c r="X1038" i="2"/>
  <c r="L1046" i="8" s="1"/>
  <c r="X1054" i="2"/>
  <c r="L1062" i="8" s="1"/>
  <c r="X1070" i="2"/>
  <c r="L1078" i="8" s="1"/>
  <c r="X1086" i="2"/>
  <c r="L1094" i="8" s="1"/>
  <c r="X1102" i="2"/>
  <c r="L1110" i="8" s="1"/>
  <c r="X1118" i="2"/>
  <c r="L1126" i="8" s="1"/>
  <c r="X1134" i="2"/>
  <c r="L1142" i="8" s="1"/>
  <c r="X1150" i="2"/>
  <c r="L1158" i="8" s="1"/>
  <c r="X1166" i="2"/>
  <c r="L1174" i="8" s="1"/>
  <c r="X1182" i="2"/>
  <c r="L1190" i="8" s="1"/>
  <c r="X1198" i="2"/>
  <c r="L1206" i="8" s="1"/>
  <c r="X1214" i="2"/>
  <c r="L1222" i="8" s="1"/>
  <c r="X1230" i="2"/>
  <c r="L1238" i="8" s="1"/>
  <c r="X1246" i="2"/>
  <c r="L1254" i="8" s="1"/>
  <c r="X1262" i="2"/>
  <c r="L1270" i="8" s="1"/>
  <c r="X1278" i="2"/>
  <c r="L1285" i="8" s="1"/>
  <c r="X1294" i="2"/>
  <c r="L1301" i="8" s="1"/>
  <c r="X1310" i="2"/>
  <c r="L1317" i="8" s="1"/>
  <c r="X1326" i="2"/>
  <c r="L1333" i="8" s="1"/>
  <c r="X1342" i="2"/>
  <c r="L1349" i="8" s="1"/>
  <c r="X1358" i="2"/>
  <c r="L1365" i="8" s="1"/>
  <c r="X1374" i="2"/>
  <c r="L1381" i="8" s="1"/>
  <c r="X1390" i="2"/>
  <c r="L1397" i="8" s="1"/>
  <c r="X1406" i="2"/>
  <c r="L1413" i="8" s="1"/>
  <c r="X1422" i="2"/>
  <c r="L1429" i="8" s="1"/>
  <c r="X1438" i="2"/>
  <c r="L1445" i="8" s="1"/>
  <c r="X1454" i="2"/>
  <c r="L1461" i="8" s="1"/>
  <c r="X1470" i="2"/>
  <c r="L1477" i="8" s="1"/>
  <c r="X1486" i="2"/>
  <c r="L1493" i="8" s="1"/>
  <c r="X1502" i="2"/>
  <c r="L1509" i="8" s="1"/>
  <c r="X1518" i="2"/>
  <c r="L1525" i="8" s="1"/>
  <c r="X1534" i="2"/>
  <c r="L1541" i="8" s="1"/>
  <c r="X1550" i="2"/>
  <c r="L1557" i="8" s="1"/>
  <c r="X1566" i="2"/>
  <c r="L1573" i="8" s="1"/>
  <c r="X1582" i="2"/>
  <c r="L1589" i="8" s="1"/>
  <c r="X1598" i="2"/>
  <c r="L1605" i="8" s="1"/>
  <c r="X1614" i="2"/>
  <c r="L1621" i="8" s="1"/>
  <c r="X1630" i="2"/>
  <c r="L1636" i="8" s="1"/>
  <c r="X1646" i="2"/>
  <c r="L1652" i="8" s="1"/>
  <c r="X1662" i="2"/>
  <c r="L1668" i="8" s="1"/>
  <c r="X1678" i="2"/>
  <c r="L1684" i="8" s="1"/>
  <c r="X1694" i="2"/>
  <c r="L1700" i="8" s="1"/>
  <c r="X1710" i="2"/>
  <c r="L1716" i="8" s="1"/>
  <c r="X1726" i="2"/>
  <c r="L7" i="8" s="1"/>
  <c r="X1742" i="2"/>
  <c r="L1747" i="8" s="1"/>
  <c r="X1758" i="2"/>
  <c r="L1763" i="8" s="1"/>
  <c r="X1774" i="2"/>
  <c r="L1779" i="8" s="1"/>
  <c r="X1790" i="2"/>
  <c r="L1795" i="8" s="1"/>
  <c r="X1806" i="2"/>
  <c r="L1811" i="8" s="1"/>
  <c r="X1822" i="2"/>
  <c r="L1827" i="8" s="1"/>
  <c r="X1838" i="2"/>
  <c r="L1842" i="8" s="1"/>
  <c r="X1854" i="2"/>
  <c r="L1858" i="8" s="1"/>
  <c r="X1870" i="2"/>
  <c r="L1873" i="8" s="1"/>
  <c r="X1882" i="2"/>
  <c r="L1885" i="8" s="1"/>
  <c r="X1890" i="2"/>
  <c r="L1893" i="8" s="1"/>
  <c r="X1898" i="2"/>
  <c r="L1901" i="8" s="1"/>
  <c r="X1906" i="2"/>
  <c r="L1909" i="8" s="1"/>
  <c r="X1914" i="2"/>
  <c r="L1917" i="8" s="1"/>
  <c r="X1922" i="2"/>
  <c r="L1925" i="8" s="1"/>
  <c r="X1930" i="2"/>
  <c r="L1932" i="8" s="1"/>
  <c r="X1938" i="2"/>
  <c r="L1940" i="8" s="1"/>
  <c r="X1946" i="2"/>
  <c r="L1947" i="8" s="1"/>
  <c r="X1954" i="2"/>
  <c r="L1955" i="8" s="1"/>
  <c r="X1962" i="2"/>
  <c r="L1963" i="8" s="1"/>
  <c r="X1970" i="2"/>
  <c r="L1971" i="8" s="1"/>
  <c r="X1978" i="2"/>
  <c r="L1979" i="8" s="1"/>
  <c r="X1986" i="2"/>
  <c r="L1987" i="8" s="1"/>
  <c r="X1994" i="2"/>
  <c r="L1995" i="8" s="1"/>
  <c r="X2002" i="2"/>
  <c r="L2003" i="8" s="1"/>
  <c r="X2010" i="2"/>
  <c r="L2011" i="8" s="1"/>
  <c r="X2018" i="2"/>
  <c r="L2019" i="8" s="1"/>
  <c r="X2026" i="2"/>
  <c r="L2027" i="8" s="1"/>
  <c r="X2034" i="2"/>
  <c r="L2035" i="8" s="1"/>
  <c r="X2042" i="2"/>
  <c r="L2043" i="8" s="1"/>
  <c r="X2050" i="2"/>
  <c r="L2051" i="8" s="1"/>
  <c r="X2058" i="2"/>
  <c r="L2059" i="8" s="1"/>
  <c r="X2066" i="2"/>
  <c r="L2067" i="8" s="1"/>
  <c r="X2074" i="2"/>
  <c r="L2075" i="8" s="1"/>
  <c r="X2079" i="2"/>
  <c r="L2080" i="8" s="1"/>
  <c r="X2083" i="2"/>
  <c r="L2084" i="8" s="1"/>
  <c r="X2087" i="2"/>
  <c r="L2087" i="8" s="1"/>
  <c r="X2091" i="2"/>
  <c r="L2091" i="8" s="1"/>
  <c r="X2095" i="2"/>
  <c r="L2095" i="8" s="1"/>
  <c r="X2099" i="2"/>
  <c r="L2099" i="8" s="1"/>
  <c r="X2103" i="2"/>
  <c r="L2103" i="8" s="1"/>
  <c r="X2107" i="2"/>
  <c r="L2107" i="8" s="1"/>
  <c r="X2111" i="2"/>
  <c r="L2111" i="8" s="1"/>
  <c r="X2115" i="2"/>
  <c r="L2115" i="8" s="1"/>
  <c r="X2119" i="2"/>
  <c r="L2119" i="8" s="1"/>
  <c r="X2123" i="2"/>
  <c r="L2123" i="8" s="1"/>
  <c r="X2127" i="2"/>
  <c r="L2127" i="8" s="1"/>
  <c r="X2131" i="2"/>
  <c r="L2131" i="8" s="1"/>
  <c r="X2135" i="2"/>
  <c r="L2135" i="8" s="1"/>
  <c r="X2139" i="2"/>
  <c r="L2139" i="8" s="1"/>
  <c r="X2143" i="2"/>
  <c r="L2143" i="8" s="1"/>
  <c r="X2147" i="2"/>
  <c r="L2147" i="8" s="1"/>
  <c r="X2151" i="2"/>
  <c r="L2151" i="8" s="1"/>
  <c r="X2155" i="2"/>
  <c r="L2155" i="8" s="1"/>
  <c r="X2159" i="2"/>
  <c r="L2159" i="8" s="1"/>
  <c r="X2163" i="2"/>
  <c r="L2163" i="8" s="1"/>
  <c r="X2167" i="2"/>
  <c r="L2167" i="8" s="1"/>
  <c r="X762" i="2"/>
  <c r="L771" i="8" s="1"/>
  <c r="X778" i="2"/>
  <c r="L787" i="8" s="1"/>
  <c r="X794" i="2"/>
  <c r="L803" i="8" s="1"/>
  <c r="X810" i="2"/>
  <c r="L819" i="8" s="1"/>
  <c r="X826" i="2"/>
  <c r="L835" i="8" s="1"/>
  <c r="X842" i="2"/>
  <c r="L851" i="8" s="1"/>
  <c r="X858" i="2"/>
  <c r="L867" i="8" s="1"/>
  <c r="X874" i="2"/>
  <c r="L883" i="8" s="1"/>
  <c r="X890" i="2"/>
  <c r="L899" i="8" s="1"/>
  <c r="X906" i="2"/>
  <c r="L915" i="8" s="1"/>
  <c r="X922" i="2"/>
  <c r="L931" i="8" s="1"/>
  <c r="X938" i="2"/>
  <c r="L947" i="8" s="1"/>
  <c r="X954" i="2"/>
  <c r="L963" i="8" s="1"/>
  <c r="X970" i="2"/>
  <c r="L978" i="8" s="1"/>
  <c r="X986" i="2"/>
  <c r="L994" i="8" s="1"/>
  <c r="X1002" i="2"/>
  <c r="L1010" i="8" s="1"/>
  <c r="X1018" i="2"/>
  <c r="L1026" i="8" s="1"/>
  <c r="X1034" i="2"/>
  <c r="L1042" i="8" s="1"/>
  <c r="X1050" i="2"/>
  <c r="L1058" i="8" s="1"/>
  <c r="X1066" i="2"/>
  <c r="L1074" i="8" s="1"/>
  <c r="X1082" i="2"/>
  <c r="L1090" i="8" s="1"/>
  <c r="X1098" i="2"/>
  <c r="L1106" i="8" s="1"/>
  <c r="X1114" i="2"/>
  <c r="L1122" i="8" s="1"/>
  <c r="X1130" i="2"/>
  <c r="L1138" i="8" s="1"/>
  <c r="X1146" i="2"/>
  <c r="L1154" i="8" s="1"/>
  <c r="X1162" i="2"/>
  <c r="L1170" i="8" s="1"/>
  <c r="X1178" i="2"/>
  <c r="L1186" i="8" s="1"/>
  <c r="X1194" i="2"/>
  <c r="L1202" i="8" s="1"/>
  <c r="X1210" i="2"/>
  <c r="L1218" i="8" s="1"/>
  <c r="X1226" i="2"/>
  <c r="L1234" i="8" s="1"/>
  <c r="X1242" i="2"/>
  <c r="L1250" i="8" s="1"/>
  <c r="X1258" i="2"/>
  <c r="L1266" i="8" s="1"/>
  <c r="X1274" i="2"/>
  <c r="L1281" i="8" s="1"/>
  <c r="X1290" i="2"/>
  <c r="L1297" i="8" s="1"/>
  <c r="X1306" i="2"/>
  <c r="L1313" i="8" s="1"/>
  <c r="X1322" i="2"/>
  <c r="L1329" i="8" s="1"/>
  <c r="X1338" i="2"/>
  <c r="L1345" i="8" s="1"/>
  <c r="X1354" i="2"/>
  <c r="L1361" i="8" s="1"/>
  <c r="X1370" i="2"/>
  <c r="L1377" i="8" s="1"/>
  <c r="X1386" i="2"/>
  <c r="L1393" i="8" s="1"/>
  <c r="X1402" i="2"/>
  <c r="L1409" i="8" s="1"/>
  <c r="X1418" i="2"/>
  <c r="L1425" i="8" s="1"/>
  <c r="X1434" i="2"/>
  <c r="L1441" i="8" s="1"/>
  <c r="X1450" i="2"/>
  <c r="L1457" i="8" s="1"/>
  <c r="X1466" i="2"/>
  <c r="L1473" i="8" s="1"/>
  <c r="X1482" i="2"/>
  <c r="L1489" i="8" s="1"/>
  <c r="X1498" i="2"/>
  <c r="L1505" i="8" s="1"/>
  <c r="X1514" i="2"/>
  <c r="L1521" i="8" s="1"/>
  <c r="X1530" i="2"/>
  <c r="L1537" i="8" s="1"/>
  <c r="X1546" i="2"/>
  <c r="L1553" i="8" s="1"/>
  <c r="X1562" i="2"/>
  <c r="L1569" i="8" s="1"/>
  <c r="X1578" i="2"/>
  <c r="L1585" i="8" s="1"/>
  <c r="X1594" i="2"/>
  <c r="L1601" i="8" s="1"/>
  <c r="X1610" i="2"/>
  <c r="L1617" i="8" s="1"/>
  <c r="X1626" i="2"/>
  <c r="L1632" i="8" s="1"/>
  <c r="X1642" i="2"/>
  <c r="L1648" i="8" s="1"/>
  <c r="X1658" i="2"/>
  <c r="L1664" i="8" s="1"/>
  <c r="X1674" i="2"/>
  <c r="L1680" i="8" s="1"/>
  <c r="X1690" i="2"/>
  <c r="L1696" i="8" s="1"/>
  <c r="X1706" i="2"/>
  <c r="L1712" i="8" s="1"/>
  <c r="X1722" i="2"/>
  <c r="L1728" i="8" s="1"/>
  <c r="X1738" i="2"/>
  <c r="L1743" i="8" s="1"/>
  <c r="X1754" i="2"/>
  <c r="L1759" i="8" s="1"/>
  <c r="X1770" i="2"/>
  <c r="L1775" i="8" s="1"/>
  <c r="X1786" i="2"/>
  <c r="L1791" i="8" s="1"/>
  <c r="X1802" i="2"/>
  <c r="L1807" i="8" s="1"/>
  <c r="X1818" i="2"/>
  <c r="L1823" i="8" s="1"/>
  <c r="X1834" i="2"/>
  <c r="L1839" i="8" s="1"/>
  <c r="X1850" i="2"/>
  <c r="L1854" i="8" s="1"/>
  <c r="X1866" i="2"/>
  <c r="L1869" i="8" s="1"/>
  <c r="X1881" i="2"/>
  <c r="L1884" i="8" s="1"/>
  <c r="X1889" i="2"/>
  <c r="L1892" i="8" s="1"/>
  <c r="X1897" i="2"/>
  <c r="L1900" i="8" s="1"/>
  <c r="X1905" i="2"/>
  <c r="L1908" i="8" s="1"/>
  <c r="X1913" i="2"/>
  <c r="L1916" i="8" s="1"/>
  <c r="X1921" i="2"/>
  <c r="L1924" i="8" s="1"/>
  <c r="X1929" i="2"/>
  <c r="L1931" i="8" s="1"/>
  <c r="X1937" i="2"/>
  <c r="L1939" i="8" s="1"/>
  <c r="X1945" i="2"/>
  <c r="L1946" i="8" s="1"/>
  <c r="X1953" i="2"/>
  <c r="L1954" i="8" s="1"/>
  <c r="X1961" i="2"/>
  <c r="L1962" i="8" s="1"/>
  <c r="X1969" i="2"/>
  <c r="L1970" i="8" s="1"/>
  <c r="X1977" i="2"/>
  <c r="L1978" i="8" s="1"/>
  <c r="X1985" i="2"/>
  <c r="L1986" i="8" s="1"/>
  <c r="X1993" i="2"/>
  <c r="L1994" i="8" s="1"/>
  <c r="X2001" i="2"/>
  <c r="L2002" i="8" s="1"/>
  <c r="X2009" i="2"/>
  <c r="L2010" i="8" s="1"/>
  <c r="X2017" i="2"/>
  <c r="L2018" i="8" s="1"/>
  <c r="X2025" i="2"/>
  <c r="L2026" i="8" s="1"/>
  <c r="X2033" i="2"/>
  <c r="L2034" i="8" s="1"/>
  <c r="X2041" i="2"/>
  <c r="L2042" i="8" s="1"/>
  <c r="X2049" i="2"/>
  <c r="L2050" i="8" s="1"/>
  <c r="X2057" i="2"/>
  <c r="L2058" i="8" s="1"/>
  <c r="X2065" i="2"/>
  <c r="L2066" i="8" s="1"/>
  <c r="X2073" i="2"/>
  <c r="L2074" i="8" s="1"/>
  <c r="X2078" i="2"/>
  <c r="L2079" i="8" s="1"/>
  <c r="X2082" i="2"/>
  <c r="L2083" i="8" s="1"/>
  <c r="X2086" i="2"/>
  <c r="L2086" i="8" s="1"/>
  <c r="X2090" i="2"/>
  <c r="L2090" i="8" s="1"/>
  <c r="X2094" i="2"/>
  <c r="L2094" i="8" s="1"/>
  <c r="X2098" i="2"/>
  <c r="L2098" i="8" s="1"/>
  <c r="X2102" i="2"/>
  <c r="L2102" i="8" s="1"/>
  <c r="X2106" i="2"/>
  <c r="L2106" i="8" s="1"/>
  <c r="X2110" i="2"/>
  <c r="L2110" i="8" s="1"/>
  <c r="X2114" i="2"/>
  <c r="L2114" i="8" s="1"/>
  <c r="X2118" i="2"/>
  <c r="L2118" i="8" s="1"/>
  <c r="X2122" i="2"/>
  <c r="L2122" i="8" s="1"/>
  <c r="X2126" i="2"/>
  <c r="L2126" i="8" s="1"/>
  <c r="X2130" i="2"/>
  <c r="L2130" i="8" s="1"/>
  <c r="X2134" i="2"/>
  <c r="L2134" i="8" s="1"/>
  <c r="X2138" i="2"/>
  <c r="L2138" i="8" s="1"/>
  <c r="X2142" i="2"/>
  <c r="L2142" i="8" s="1"/>
  <c r="X2146" i="2"/>
  <c r="L2146" i="8" s="1"/>
  <c r="X2150" i="2"/>
  <c r="L2150" i="8" s="1"/>
  <c r="X2154" i="2"/>
  <c r="L2154" i="8" s="1"/>
  <c r="X2158" i="2"/>
  <c r="L2158" i="8" s="1"/>
  <c r="X2162" i="2"/>
  <c r="L2162" i="8" s="1"/>
  <c r="X2166" i="2"/>
  <c r="L2166" i="8" s="1"/>
  <c r="X774" i="2"/>
  <c r="L783" i="8" s="1"/>
  <c r="X790" i="2"/>
  <c r="L799" i="8" s="1"/>
  <c r="X806" i="2"/>
  <c r="L815" i="8" s="1"/>
  <c r="X822" i="2"/>
  <c r="L831" i="8" s="1"/>
  <c r="X838" i="2"/>
  <c r="L847" i="8" s="1"/>
  <c r="X854" i="2"/>
  <c r="L863" i="8" s="1"/>
  <c r="X870" i="2"/>
  <c r="L879" i="8" s="1"/>
  <c r="X886" i="2"/>
  <c r="L895" i="8" s="1"/>
  <c r="X902" i="2"/>
  <c r="L911" i="8" s="1"/>
  <c r="X918" i="2"/>
  <c r="L927" i="8" s="1"/>
  <c r="X934" i="2"/>
  <c r="L943" i="8" s="1"/>
  <c r="X950" i="2"/>
  <c r="L959" i="8" s="1"/>
  <c r="X966" i="2"/>
  <c r="L974" i="8" s="1"/>
  <c r="X982" i="2"/>
  <c r="L990" i="8" s="1"/>
  <c r="X998" i="2"/>
  <c r="L1006" i="8" s="1"/>
  <c r="X1014" i="2"/>
  <c r="L1022" i="8" s="1"/>
  <c r="X1030" i="2"/>
  <c r="L1038" i="8" s="1"/>
  <c r="X1046" i="2"/>
  <c r="L1054" i="8" s="1"/>
  <c r="X1062" i="2"/>
  <c r="L1070" i="8" s="1"/>
  <c r="X1078" i="2"/>
  <c r="L1086" i="8" s="1"/>
  <c r="X1094" i="2"/>
  <c r="L1102" i="8" s="1"/>
  <c r="X1110" i="2"/>
  <c r="L1118" i="8" s="1"/>
  <c r="X1126" i="2"/>
  <c r="L1134" i="8" s="1"/>
  <c r="X1142" i="2"/>
  <c r="L1150" i="8" s="1"/>
  <c r="X1158" i="2"/>
  <c r="L1166" i="8" s="1"/>
  <c r="X1174" i="2"/>
  <c r="L1182" i="8" s="1"/>
  <c r="X1190" i="2"/>
  <c r="L1198" i="8" s="1"/>
  <c r="X1206" i="2"/>
  <c r="L1214" i="8" s="1"/>
  <c r="X1222" i="2"/>
  <c r="L1230" i="8" s="1"/>
  <c r="X1238" i="2"/>
  <c r="L1246" i="8" s="1"/>
  <c r="X1254" i="2"/>
  <c r="L1262" i="8" s="1"/>
  <c r="X1270" i="2"/>
  <c r="L1277" i="8" s="1"/>
  <c r="X1286" i="2"/>
  <c r="L1293" i="8" s="1"/>
  <c r="X1302" i="2"/>
  <c r="L1309" i="8" s="1"/>
  <c r="X1318" i="2"/>
  <c r="L1325" i="8" s="1"/>
  <c r="X1334" i="2"/>
  <c r="L1341" i="8" s="1"/>
  <c r="X1350" i="2"/>
  <c r="L1357" i="8" s="1"/>
  <c r="X1366" i="2"/>
  <c r="L1373" i="8" s="1"/>
  <c r="X1382" i="2"/>
  <c r="L1389" i="8" s="1"/>
  <c r="X1398" i="2"/>
  <c r="L1405" i="8" s="1"/>
  <c r="X1414" i="2"/>
  <c r="L1421" i="8" s="1"/>
  <c r="X1430" i="2"/>
  <c r="L1437" i="8" s="1"/>
  <c r="X1446" i="2"/>
  <c r="L1453" i="8" s="1"/>
  <c r="X1462" i="2"/>
  <c r="L1469" i="8" s="1"/>
  <c r="X1478" i="2"/>
  <c r="L1485" i="8" s="1"/>
  <c r="X1494" i="2"/>
  <c r="L1501" i="8" s="1"/>
  <c r="X1510" i="2"/>
  <c r="L1517" i="8" s="1"/>
  <c r="X1526" i="2"/>
  <c r="L1533" i="8" s="1"/>
  <c r="X1542" i="2"/>
  <c r="L1549" i="8" s="1"/>
  <c r="X1558" i="2"/>
  <c r="L1565" i="8" s="1"/>
  <c r="X1574" i="2"/>
  <c r="L1581" i="8" s="1"/>
  <c r="X1590" i="2"/>
  <c r="L1597" i="8" s="1"/>
  <c r="X1606" i="2"/>
  <c r="L1613" i="8" s="1"/>
  <c r="X1622" i="2"/>
  <c r="L1628" i="8" s="1"/>
  <c r="X1638" i="2"/>
  <c r="L1644" i="8" s="1"/>
  <c r="X1654" i="2"/>
  <c r="L1660" i="8" s="1"/>
  <c r="X1670" i="2"/>
  <c r="L1676" i="8" s="1"/>
  <c r="X1686" i="2"/>
  <c r="L1692" i="8" s="1"/>
  <c r="X1702" i="2"/>
  <c r="L1708" i="8" s="1"/>
  <c r="X1718" i="2"/>
  <c r="L1724" i="8" s="1"/>
  <c r="X1734" i="2"/>
  <c r="L1739" i="8" s="1"/>
  <c r="X1750" i="2"/>
  <c r="L1755" i="8" s="1"/>
  <c r="X1766" i="2"/>
  <c r="L1771" i="8" s="1"/>
  <c r="X1782" i="2"/>
  <c r="L1787" i="8" s="1"/>
  <c r="X1798" i="2"/>
  <c r="L1803" i="8" s="1"/>
  <c r="X1814" i="2"/>
  <c r="L1819" i="8" s="1"/>
  <c r="X1830" i="2"/>
  <c r="L1835" i="8" s="1"/>
  <c r="X1846" i="2"/>
  <c r="L1850" i="8" s="1"/>
  <c r="X1862" i="2"/>
  <c r="L1865" i="8" s="1"/>
  <c r="X1878" i="2"/>
  <c r="L1881" i="8" s="1"/>
  <c r="X1886" i="2"/>
  <c r="L1889" i="8" s="1"/>
  <c r="X1894" i="2"/>
  <c r="L1897" i="8" s="1"/>
  <c r="X1902" i="2"/>
  <c r="L1905" i="8" s="1"/>
  <c r="X1910" i="2"/>
  <c r="L1913" i="8" s="1"/>
  <c r="X1918" i="2"/>
  <c r="L1921" i="8" s="1"/>
  <c r="X1926" i="2"/>
  <c r="L1929" i="8" s="1"/>
  <c r="X1934" i="2"/>
  <c r="L1936" i="8" s="1"/>
  <c r="X1942" i="2"/>
  <c r="L1943" i="8" s="1"/>
  <c r="X1950" i="2"/>
  <c r="L1951" i="8" s="1"/>
  <c r="X1958" i="2"/>
  <c r="L1959" i="8" s="1"/>
  <c r="X1966" i="2"/>
  <c r="L1967" i="8" s="1"/>
  <c r="X1974" i="2"/>
  <c r="L1975" i="8" s="1"/>
  <c r="X1982" i="2"/>
  <c r="L1983" i="8" s="1"/>
  <c r="X1990" i="2"/>
  <c r="L1991" i="8" s="1"/>
  <c r="X1998" i="2"/>
  <c r="L1999" i="8" s="1"/>
  <c r="X2006" i="2"/>
  <c r="L2007" i="8" s="1"/>
  <c r="X2014" i="2"/>
  <c r="L2015" i="8" s="1"/>
  <c r="X2022" i="2"/>
  <c r="L2023" i="8" s="1"/>
  <c r="X2030" i="2"/>
  <c r="L2031" i="8" s="1"/>
  <c r="X2038" i="2"/>
  <c r="L2039" i="8" s="1"/>
  <c r="X2046" i="2"/>
  <c r="L2047" i="8" s="1"/>
  <c r="X2054" i="2"/>
  <c r="L2055" i="8" s="1"/>
  <c r="X2062" i="2"/>
  <c r="L2063" i="8" s="1"/>
  <c r="X2070" i="2"/>
  <c r="L2071" i="8" s="1"/>
  <c r="X2077" i="2"/>
  <c r="L2078" i="8" s="1"/>
  <c r="X2081" i="2"/>
  <c r="L2082" i="8" s="1"/>
  <c r="X2085" i="2"/>
  <c r="L10" i="8" s="1"/>
  <c r="X2089" i="2"/>
  <c r="L2089" i="8" s="1"/>
  <c r="X2093" i="2"/>
  <c r="L2093" i="8" s="1"/>
  <c r="X2097" i="2"/>
  <c r="L2097" i="8" s="1"/>
  <c r="X2101" i="2"/>
  <c r="L2101" i="8" s="1"/>
  <c r="X2105" i="2"/>
  <c r="L2105" i="8" s="1"/>
  <c r="X2109" i="2"/>
  <c r="L2109" i="8" s="1"/>
  <c r="X2113" i="2"/>
  <c r="L2113" i="8" s="1"/>
  <c r="X2117" i="2"/>
  <c r="L2117" i="8" s="1"/>
  <c r="X2121" i="2"/>
  <c r="L2121" i="8" s="1"/>
  <c r="X2125" i="2"/>
  <c r="L2125" i="8" s="1"/>
  <c r="X2129" i="2"/>
  <c r="L2129" i="8" s="1"/>
  <c r="X2133" i="2"/>
  <c r="L2133" i="8" s="1"/>
  <c r="X2137" i="2"/>
  <c r="L2137" i="8" s="1"/>
  <c r="X2141" i="2"/>
  <c r="L2141" i="8" s="1"/>
  <c r="X2145" i="2"/>
  <c r="L2145" i="8" s="1"/>
  <c r="X2149" i="2"/>
  <c r="L2149" i="8" s="1"/>
  <c r="X2153" i="2"/>
  <c r="L2153" i="8" s="1"/>
  <c r="X2157" i="2"/>
  <c r="L2157" i="8" s="1"/>
  <c r="X2161" i="2"/>
  <c r="L2161" i="8" s="1"/>
  <c r="X2165" i="2"/>
  <c r="L2165" i="8" s="1"/>
  <c r="X770" i="2"/>
  <c r="L779" i="8" s="1"/>
  <c r="X786" i="2"/>
  <c r="L795" i="8" s="1"/>
  <c r="X802" i="2"/>
  <c r="L811" i="8" s="1"/>
  <c r="X818" i="2"/>
  <c r="L827" i="8" s="1"/>
  <c r="X834" i="2"/>
  <c r="L843" i="8" s="1"/>
  <c r="X850" i="2"/>
  <c r="L859" i="8" s="1"/>
  <c r="X866" i="2"/>
  <c r="L875" i="8" s="1"/>
  <c r="X882" i="2"/>
  <c r="L891" i="8" s="1"/>
  <c r="X898" i="2"/>
  <c r="L907" i="8" s="1"/>
  <c r="X914" i="2"/>
  <c r="L923" i="8" s="1"/>
  <c r="X930" i="2"/>
  <c r="L939" i="8" s="1"/>
  <c r="X946" i="2"/>
  <c r="L955" i="8" s="1"/>
  <c r="X962" i="2"/>
  <c r="L971" i="8" s="1"/>
  <c r="X978" i="2"/>
  <c r="L986" i="8" s="1"/>
  <c r="X994" i="2"/>
  <c r="L1002" i="8" s="1"/>
  <c r="X1010" i="2"/>
  <c r="L1018" i="8" s="1"/>
  <c r="X1026" i="2"/>
  <c r="L1034" i="8" s="1"/>
  <c r="X1042" i="2"/>
  <c r="L1050" i="8" s="1"/>
  <c r="X1058" i="2"/>
  <c r="L1066" i="8" s="1"/>
  <c r="X1074" i="2"/>
  <c r="L1082" i="8" s="1"/>
  <c r="X1090" i="2"/>
  <c r="L1098" i="8" s="1"/>
  <c r="X1106" i="2"/>
  <c r="L1114" i="8" s="1"/>
  <c r="X1122" i="2"/>
  <c r="L1130" i="8" s="1"/>
  <c r="X1138" i="2"/>
  <c r="L1146" i="8" s="1"/>
  <c r="X1154" i="2"/>
  <c r="L1162" i="8" s="1"/>
  <c r="X1170" i="2"/>
  <c r="L1178" i="8" s="1"/>
  <c r="X1186" i="2"/>
  <c r="L1194" i="8" s="1"/>
  <c r="X1202" i="2"/>
  <c r="L1210" i="8" s="1"/>
  <c r="X1218" i="2"/>
  <c r="L1226" i="8" s="1"/>
  <c r="X1234" i="2"/>
  <c r="L1242" i="8" s="1"/>
  <c r="X1250" i="2"/>
  <c r="L1258" i="8" s="1"/>
  <c r="X1266" i="2"/>
  <c r="L1273" i="8" s="1"/>
  <c r="X1282" i="2"/>
  <c r="L1289" i="8" s="1"/>
  <c r="X1298" i="2"/>
  <c r="L1305" i="8" s="1"/>
  <c r="X1314" i="2"/>
  <c r="L1321" i="8" s="1"/>
  <c r="X1330" i="2"/>
  <c r="L1337" i="8" s="1"/>
  <c r="X1346" i="2"/>
  <c r="L1353" i="8" s="1"/>
  <c r="X1362" i="2"/>
  <c r="L1369" i="8" s="1"/>
  <c r="X1378" i="2"/>
  <c r="L1385" i="8" s="1"/>
  <c r="X1394" i="2"/>
  <c r="L1401" i="8" s="1"/>
  <c r="X1410" i="2"/>
  <c r="L1417" i="8" s="1"/>
  <c r="X1426" i="2"/>
  <c r="L1433" i="8" s="1"/>
  <c r="X1442" i="2"/>
  <c r="L1449" i="8" s="1"/>
  <c r="X1458" i="2"/>
  <c r="L1465" i="8" s="1"/>
  <c r="X1474" i="2"/>
  <c r="L1481" i="8" s="1"/>
  <c r="X1490" i="2"/>
  <c r="L1497" i="8" s="1"/>
  <c r="X1506" i="2"/>
  <c r="L1513" i="8" s="1"/>
  <c r="X1522" i="2"/>
  <c r="L1529" i="8" s="1"/>
  <c r="X1538" i="2"/>
  <c r="L1545" i="8" s="1"/>
  <c r="X1554" i="2"/>
  <c r="L1561" i="8" s="1"/>
  <c r="X1570" i="2"/>
  <c r="L1577" i="8" s="1"/>
  <c r="X1586" i="2"/>
  <c r="L1593" i="8" s="1"/>
  <c r="X1602" i="2"/>
  <c r="L1609" i="8" s="1"/>
  <c r="X1618" i="2"/>
  <c r="L1624" i="8" s="1"/>
  <c r="X1634" i="2"/>
  <c r="L1640" i="8" s="1"/>
  <c r="X1650" i="2"/>
  <c r="L1656" i="8" s="1"/>
  <c r="X1666" i="2"/>
  <c r="L1672" i="8" s="1"/>
  <c r="X1682" i="2"/>
  <c r="L1688" i="8" s="1"/>
  <c r="X1698" i="2"/>
  <c r="L1704" i="8" s="1"/>
  <c r="X1714" i="2"/>
  <c r="L1720" i="8" s="1"/>
  <c r="X1730" i="2"/>
  <c r="L1735" i="8" s="1"/>
  <c r="X1746" i="2"/>
  <c r="L1751" i="8" s="1"/>
  <c r="X1762" i="2"/>
  <c r="L1767" i="8" s="1"/>
  <c r="X1778" i="2"/>
  <c r="L1783" i="8" s="1"/>
  <c r="X1794" i="2"/>
  <c r="L1799" i="8" s="1"/>
  <c r="X1810" i="2"/>
  <c r="L1815" i="8" s="1"/>
  <c r="X1826" i="2"/>
  <c r="L1831" i="8" s="1"/>
  <c r="X1842" i="2"/>
  <c r="L1846" i="8" s="1"/>
  <c r="X1858" i="2"/>
  <c r="L1861" i="8" s="1"/>
  <c r="X1874" i="2"/>
  <c r="L1877" i="8" s="1"/>
  <c r="X1885" i="2"/>
  <c r="L1888" i="8" s="1"/>
  <c r="X1893" i="2"/>
  <c r="L1896" i="8" s="1"/>
  <c r="X1901" i="2"/>
  <c r="L1904" i="8" s="1"/>
  <c r="X1909" i="2"/>
  <c r="L1912" i="8" s="1"/>
  <c r="X1917" i="2"/>
  <c r="L1920" i="8" s="1"/>
  <c r="X1925" i="2"/>
  <c r="L1928" i="8" s="1"/>
  <c r="X1933" i="2"/>
  <c r="L1935" i="8" s="1"/>
  <c r="X1941" i="2"/>
  <c r="L1942" i="8" s="1"/>
  <c r="X1949" i="2"/>
  <c r="L1950" i="8" s="1"/>
  <c r="X1957" i="2"/>
  <c r="L1958" i="8" s="1"/>
  <c r="X1965" i="2"/>
  <c r="L1966" i="8" s="1"/>
  <c r="X1973" i="2"/>
  <c r="L1974" i="8" s="1"/>
  <c r="X1981" i="2"/>
  <c r="L1982" i="8" s="1"/>
  <c r="X1989" i="2"/>
  <c r="L1990" i="8" s="1"/>
  <c r="X1997" i="2"/>
  <c r="L1998" i="8" s="1"/>
  <c r="X2005" i="2"/>
  <c r="L2006" i="8" s="1"/>
  <c r="X2013" i="2"/>
  <c r="L2014" i="8" s="1"/>
  <c r="X2021" i="2"/>
  <c r="L2022" i="8" s="1"/>
  <c r="X2029" i="2"/>
  <c r="L2030" i="8" s="1"/>
  <c r="X2037" i="2"/>
  <c r="L2038" i="8" s="1"/>
  <c r="X2045" i="2"/>
  <c r="L2046" i="8" s="1"/>
  <c r="X2053" i="2"/>
  <c r="L2054" i="8" s="1"/>
  <c r="X2061" i="2"/>
  <c r="L2062" i="8" s="1"/>
  <c r="X2069" i="2"/>
  <c r="L2070" i="8" s="1"/>
  <c r="X2075" i="2"/>
  <c r="L2076" i="8" s="1"/>
  <c r="X2080" i="2"/>
  <c r="L2081" i="8" s="1"/>
  <c r="X2084" i="2"/>
  <c r="L2085" i="8" s="1"/>
  <c r="X2088" i="2"/>
  <c r="L2088" i="8" s="1"/>
  <c r="X2092" i="2"/>
  <c r="L2092" i="8" s="1"/>
  <c r="X2096" i="2"/>
  <c r="L2096" i="8" s="1"/>
  <c r="X2100" i="2"/>
  <c r="L2100" i="8" s="1"/>
  <c r="X2104" i="2"/>
  <c r="L2104" i="8" s="1"/>
  <c r="X2108" i="2"/>
  <c r="L2108" i="8" s="1"/>
  <c r="X2112" i="2"/>
  <c r="L2112" i="8" s="1"/>
  <c r="X2116" i="2"/>
  <c r="L2116" i="8" s="1"/>
  <c r="X2120" i="2"/>
  <c r="L2120" i="8" s="1"/>
  <c r="X2124" i="2"/>
  <c r="L2124" i="8" s="1"/>
  <c r="X2128" i="2"/>
  <c r="L2128" i="8" s="1"/>
  <c r="X2132" i="2"/>
  <c r="L2132" i="8" s="1"/>
  <c r="X2136" i="2"/>
  <c r="L2136" i="8" s="1"/>
  <c r="X2140" i="2"/>
  <c r="L2140" i="8" s="1"/>
  <c r="X2144" i="2"/>
  <c r="L2144" i="8" s="1"/>
  <c r="X2148" i="2"/>
  <c r="L2148" i="8" s="1"/>
  <c r="X2152" i="2"/>
  <c r="L2152" i="8" s="1"/>
  <c r="X2156" i="2"/>
  <c r="L2156" i="8" s="1"/>
  <c r="X2160" i="2"/>
  <c r="L2160" i="8" s="1"/>
  <c r="X2164" i="2"/>
  <c r="L2164" i="8" s="1"/>
  <c r="X2168" i="2"/>
  <c r="L2168" i="8" s="1"/>
  <c r="W22" i="2"/>
  <c r="A13" i="8" s="1"/>
  <c r="W24" i="2"/>
  <c r="A36" i="8" s="1"/>
  <c r="W26" i="2"/>
  <c r="A38" i="8" s="1"/>
  <c r="W28" i="2"/>
  <c r="A40" i="8" s="1"/>
  <c r="W30" i="2"/>
  <c r="A42" i="8" s="1"/>
  <c r="W32" i="2"/>
  <c r="A44" i="8" s="1"/>
  <c r="W34" i="2"/>
  <c r="A46" i="8" s="1"/>
  <c r="X22" i="2"/>
  <c r="L13" i="8" s="1"/>
  <c r="X24" i="2"/>
  <c r="L36" i="8" s="1"/>
  <c r="X26" i="2"/>
  <c r="L38" i="8" s="1"/>
  <c r="X28" i="2"/>
  <c r="L40" i="8" s="1"/>
  <c r="X30" i="2"/>
  <c r="L42" i="8" s="1"/>
  <c r="X32" i="2"/>
  <c r="L44" i="8" s="1"/>
  <c r="X34" i="2"/>
  <c r="L46" i="8" s="1"/>
  <c r="W21" i="2"/>
  <c r="A35" i="8" s="1"/>
  <c r="W23" i="2"/>
  <c r="A18" i="8" s="1"/>
  <c r="W25" i="2"/>
  <c r="A37" i="8" s="1"/>
  <c r="W27" i="2"/>
  <c r="A39" i="8" s="1"/>
  <c r="W29" i="2"/>
  <c r="A41" i="8" s="1"/>
  <c r="W31" i="2"/>
  <c r="A43" i="8" s="1"/>
  <c r="W33" i="2"/>
  <c r="A45" i="8" s="1"/>
  <c r="X21" i="2"/>
  <c r="L35" i="8" s="1"/>
  <c r="X23" i="2"/>
  <c r="L18" i="8" s="1"/>
  <c r="X25" i="2"/>
  <c r="L37" i="8" s="1"/>
  <c r="X27" i="2"/>
  <c r="L39" i="8" s="1"/>
  <c r="X29" i="2"/>
  <c r="L41" i="8" s="1"/>
  <c r="X31" i="2"/>
  <c r="L43" i="8" s="1"/>
  <c r="X33" i="2"/>
  <c r="L45" i="8" s="1"/>
  <c r="W20" i="2"/>
  <c r="A34" i="8" s="1"/>
  <c r="W18" i="2"/>
  <c r="A32" i="8" s="1"/>
  <c r="W16" i="2"/>
  <c r="A30" i="8" s="1"/>
  <c r="W14" i="2"/>
  <c r="A28" i="8" s="1"/>
  <c r="W12" i="2"/>
  <c r="A26" i="8" s="1"/>
  <c r="W10" i="2"/>
  <c r="A24" i="8" s="1"/>
  <c r="W8" i="2"/>
  <c r="A22" i="8" s="1"/>
  <c r="W6" i="2"/>
  <c r="A20" i="8" s="1"/>
  <c r="W19" i="2"/>
  <c r="A33" i="8" s="1"/>
  <c r="W17" i="2"/>
  <c r="A31" i="8" s="1"/>
  <c r="W15" i="2"/>
  <c r="A29" i="8" s="1"/>
  <c r="W13" i="2"/>
  <c r="A27" i="8" s="1"/>
  <c r="W11" i="2"/>
  <c r="A25" i="8" s="1"/>
  <c r="W9" i="2"/>
  <c r="A23" i="8" s="1"/>
  <c r="W7" i="2"/>
  <c r="A21" i="8" s="1"/>
  <c r="W5" i="2"/>
  <c r="A19" i="8" s="1"/>
  <c r="X12" i="2"/>
  <c r="L26" i="8" s="1"/>
  <c r="X5" i="2"/>
  <c r="X13"/>
  <c r="L27" i="8" s="1"/>
  <c r="X18" i="2"/>
  <c r="L32" i="8" s="1"/>
  <c r="X20" i="2"/>
  <c r="L34" i="8" s="1"/>
  <c r="X8" i="2"/>
  <c r="L22" i="8" s="1"/>
  <c r="X19" i="2"/>
  <c r="L33" i="8" s="1"/>
  <c r="X17" i="2"/>
  <c r="L31" i="8" s="1"/>
  <c r="X7" i="2"/>
  <c r="L21" i="8" s="1"/>
  <c r="X11" i="2"/>
  <c r="L25" i="8" s="1"/>
  <c r="X9" i="2"/>
  <c r="L23" i="8" s="1"/>
  <c r="X6" i="2"/>
  <c r="L20" i="8" s="1"/>
  <c r="X15" i="2"/>
  <c r="L29" i="8" s="1"/>
  <c r="X10" i="2"/>
  <c r="L24" i="8" s="1"/>
  <c r="X14" i="2"/>
  <c r="L28" i="8" s="1"/>
  <c r="X16" i="2"/>
  <c r="L30" i="8" s="1"/>
  <c r="AA1321" l="1"/>
  <c r="AK1321"/>
  <c r="AA2156"/>
  <c r="AK2156"/>
  <c r="AA1982"/>
  <c r="AK1982"/>
  <c r="AA1704"/>
  <c r="AK1704"/>
  <c r="AA2096"/>
  <c r="AK2096"/>
  <c r="AA1846"/>
  <c r="AK1846"/>
  <c r="AA1593"/>
  <c r="AK1593"/>
  <c r="AA827"/>
  <c r="AK827"/>
  <c r="AA2117"/>
  <c r="AK2117"/>
  <c r="AA1549"/>
  <c r="AK1549"/>
  <c r="AA1293"/>
  <c r="AK1293"/>
  <c r="AA2106"/>
  <c r="AK2106"/>
  <c r="AA1505"/>
  <c r="AK1505"/>
  <c r="AA1250"/>
  <c r="AK1250"/>
  <c r="AA994"/>
  <c r="AK994"/>
  <c r="AA1995"/>
  <c r="AK1995"/>
  <c r="AA1858"/>
  <c r="AK1858"/>
  <c r="AA967"/>
  <c r="AK967"/>
  <c r="AA1868"/>
  <c r="AK1868"/>
  <c r="AA1742"/>
  <c r="AK1742"/>
  <c r="AA1552"/>
  <c r="AK1552"/>
  <c r="AA1456"/>
  <c r="AK1456"/>
  <c r="AA1328"/>
  <c r="AK1328"/>
  <c r="AA1201"/>
  <c r="AK1201"/>
  <c r="AA1137"/>
  <c r="AK1137"/>
  <c r="AA946"/>
  <c r="AK946"/>
  <c r="AA882"/>
  <c r="AK882"/>
  <c r="AA691"/>
  <c r="AK691"/>
  <c r="AA627"/>
  <c r="AK627"/>
  <c r="AA499"/>
  <c r="AK499"/>
  <c r="AA371"/>
  <c r="AK371"/>
  <c r="AA275"/>
  <c r="AK275"/>
  <c r="AA115"/>
  <c r="AK115"/>
  <c r="AA720"/>
  <c r="AK720"/>
  <c r="AA592"/>
  <c r="AK592"/>
  <c r="AA528"/>
  <c r="AK528"/>
  <c r="AA336"/>
  <c r="AK336"/>
  <c r="AA272"/>
  <c r="AK272"/>
  <c r="AA81"/>
  <c r="AK81"/>
  <c r="AA2020"/>
  <c r="AK2020"/>
  <c r="AA1926"/>
  <c r="AK1926"/>
  <c r="AA1800"/>
  <c r="AK1800"/>
  <c r="AA1705"/>
  <c r="AK1705"/>
  <c r="AA1514"/>
  <c r="AK1514"/>
  <c r="AA1386"/>
  <c r="AK1386"/>
  <c r="AA1259"/>
  <c r="AK1259"/>
  <c r="AA1195"/>
  <c r="AK1195"/>
  <c r="AA1003"/>
  <c r="AK1003"/>
  <c r="AA940"/>
  <c r="AK940"/>
  <c r="AA748"/>
  <c r="AK748"/>
  <c r="AA685"/>
  <c r="AK685"/>
  <c r="AA621"/>
  <c r="AK621"/>
  <c r="AA429"/>
  <c r="AK429"/>
  <c r="AA365"/>
  <c r="AK365"/>
  <c r="AA173"/>
  <c r="AK173"/>
  <c r="AA109"/>
  <c r="AK109"/>
  <c r="AA1961"/>
  <c r="AK1961"/>
  <c r="AA1837"/>
  <c r="AK1837"/>
  <c r="AA1773"/>
  <c r="AK1773"/>
  <c r="AA1710"/>
  <c r="AK1710"/>
  <c r="AA1646"/>
  <c r="AK1646"/>
  <c r="AA1487"/>
  <c r="AK1487"/>
  <c r="AA1423"/>
  <c r="AK1423"/>
  <c r="AA1264"/>
  <c r="AK1264"/>
  <c r="AA1168"/>
  <c r="AK1168"/>
  <c r="AA1104"/>
  <c r="AK1104"/>
  <c r="AA945"/>
  <c r="AK945"/>
  <c r="AA849"/>
  <c r="AK849"/>
  <c r="AA785"/>
  <c r="AK785"/>
  <c r="AA690"/>
  <c r="AK690"/>
  <c r="AA562"/>
  <c r="AK562"/>
  <c r="AA498"/>
  <c r="AK498"/>
  <c r="AA434"/>
  <c r="AK434"/>
  <c r="AA370"/>
  <c r="AK370"/>
  <c r="AA274"/>
  <c r="AK274"/>
  <c r="AA210"/>
  <c r="AK210"/>
  <c r="AA178"/>
  <c r="AK178"/>
  <c r="AA114"/>
  <c r="AK114"/>
  <c r="AA82"/>
  <c r="AK82"/>
  <c r="AA52"/>
  <c r="AK52"/>
  <c r="AA2164"/>
  <c r="AK2164"/>
  <c r="AA2132"/>
  <c r="AK2132"/>
  <c r="AA2100"/>
  <c r="AK2100"/>
  <c r="AA2062"/>
  <c r="AK2062"/>
  <c r="AA1998"/>
  <c r="AK1998"/>
  <c r="AA1935"/>
  <c r="AK1935"/>
  <c r="AA1861"/>
  <c r="AK1861"/>
  <c r="AA1735"/>
  <c r="AK1735"/>
  <c r="AA1609"/>
  <c r="AK1609"/>
  <c r="AA1481"/>
  <c r="AK1481"/>
  <c r="AA1353"/>
  <c r="AK1353"/>
  <c r="AA1226"/>
  <c r="AK1226"/>
  <c r="AA2046"/>
  <c r="AK2046"/>
  <c r="AA2128"/>
  <c r="AK2128"/>
  <c r="AA1337"/>
  <c r="AK1337"/>
  <c r="AA2031"/>
  <c r="AK2031"/>
  <c r="AA1166"/>
  <c r="AK1166"/>
  <c r="AA1946"/>
  <c r="AK1946"/>
  <c r="AA867"/>
  <c r="AK867"/>
  <c r="AA1222"/>
  <c r="AK1222"/>
  <c r="AA1520"/>
  <c r="AK1520"/>
  <c r="AA1265"/>
  <c r="AK1265"/>
  <c r="AA1009"/>
  <c r="AK1009"/>
  <c r="AA754"/>
  <c r="AK754"/>
  <c r="AA467"/>
  <c r="AK467"/>
  <c r="AA211"/>
  <c r="AK211"/>
  <c r="AA688"/>
  <c r="AK688"/>
  <c r="AA400"/>
  <c r="AK400"/>
  <c r="AA112"/>
  <c r="AK112"/>
  <c r="AA1988"/>
  <c r="AK1988"/>
  <c r="AA1578"/>
  <c r="AK1578"/>
  <c r="AA1322"/>
  <c r="AK1322"/>
  <c r="AA1067"/>
  <c r="AK1067"/>
  <c r="AA812"/>
  <c r="AK812"/>
  <c r="AA589"/>
  <c r="AK589"/>
  <c r="AA269"/>
  <c r="AK269"/>
  <c r="AA1867"/>
  <c r="AK1867"/>
  <c r="AA1678"/>
  <c r="AK1678"/>
  <c r="AA1391"/>
  <c r="AK1391"/>
  <c r="AA913"/>
  <c r="AK913"/>
  <c r="AA1900"/>
  <c r="AK1900"/>
  <c r="AA1920"/>
  <c r="AK1920"/>
  <c r="AA1990"/>
  <c r="AK1990"/>
  <c r="AA955"/>
  <c r="AK955"/>
  <c r="AA1803"/>
  <c r="AK1803"/>
  <c r="AA783"/>
  <c r="AK783"/>
  <c r="AA1759"/>
  <c r="AK1759"/>
  <c r="AA2099"/>
  <c r="AK2099"/>
  <c r="AA1605"/>
  <c r="AK1605"/>
  <c r="AA1838"/>
  <c r="AK1838"/>
  <c r="AA1647"/>
  <c r="AK1647"/>
  <c r="AA1392"/>
  <c r="AK1392"/>
  <c r="AA1105"/>
  <c r="AK1105"/>
  <c r="AA850"/>
  <c r="AK850"/>
  <c r="AA595"/>
  <c r="AK595"/>
  <c r="AA243"/>
  <c r="AK243"/>
  <c r="AA464"/>
  <c r="AK464"/>
  <c r="AA208"/>
  <c r="AK208"/>
  <c r="AA1832"/>
  <c r="AK1832"/>
  <c r="AA1641"/>
  <c r="AK1641"/>
  <c r="AA1418"/>
  <c r="AK1418"/>
  <c r="AA1131"/>
  <c r="AK1131"/>
  <c r="AA876"/>
  <c r="AK876"/>
  <c r="AA525"/>
  <c r="AK525"/>
  <c r="AA237"/>
  <c r="AK237"/>
  <c r="AA1993"/>
  <c r="AK1993"/>
  <c r="AA1583"/>
  <c r="AK1583"/>
  <c r="AA1327"/>
  <c r="AK1327"/>
  <c r="AA1040"/>
  <c r="AK1040"/>
  <c r="AA626"/>
  <c r="AK626"/>
  <c r="AA2070"/>
  <c r="AK2070"/>
  <c r="AA1751"/>
  <c r="AK1751"/>
  <c r="AA1114"/>
  <c r="AK1114"/>
  <c r="AA2047"/>
  <c r="AK2047"/>
  <c r="AA1453"/>
  <c r="AK1453"/>
  <c r="AA815"/>
  <c r="AK815"/>
  <c r="AA1537"/>
  <c r="AK1537"/>
  <c r="AA1831"/>
  <c r="AK1831"/>
  <c r="AA1928"/>
  <c r="AK1928"/>
  <c r="AA1082"/>
  <c r="AK1082"/>
  <c r="AA1905"/>
  <c r="AK1905"/>
  <c r="AA2138"/>
  <c r="AK2138"/>
  <c r="AA1632"/>
  <c r="AK1632"/>
  <c r="AA2131"/>
  <c r="AK2131"/>
  <c r="AA1477"/>
  <c r="AK1477"/>
  <c r="AA1806"/>
  <c r="AK1806"/>
  <c r="AA1679"/>
  <c r="AK1679"/>
  <c r="AA1360"/>
  <c r="AK1360"/>
  <c r="AA1073"/>
  <c r="AK1073"/>
  <c r="AA818"/>
  <c r="AK818"/>
  <c r="AA563"/>
  <c r="AK563"/>
  <c r="AA307"/>
  <c r="AK307"/>
  <c r="AA53"/>
  <c r="AK53"/>
  <c r="AA496"/>
  <c r="AK496"/>
  <c r="AA240"/>
  <c r="AK240"/>
  <c r="AA1862"/>
  <c r="AK1862"/>
  <c r="AA1673"/>
  <c r="AK1673"/>
  <c r="AA1450"/>
  <c r="AK1450"/>
  <c r="AA1163"/>
  <c r="AK1163"/>
  <c r="AA844"/>
  <c r="AK844"/>
  <c r="AA493"/>
  <c r="AK493"/>
  <c r="AA205"/>
  <c r="AK205"/>
  <c r="AA2057"/>
  <c r="AK2057"/>
  <c r="AA1805"/>
  <c r="AK1805"/>
  <c r="AA1615"/>
  <c r="AK1615"/>
  <c r="AA1359"/>
  <c r="AK1359"/>
  <c r="AA1072"/>
  <c r="AK1072"/>
  <c r="AA658"/>
  <c r="AK658"/>
  <c r="AA2168"/>
  <c r="AK2168"/>
  <c r="AA1497"/>
  <c r="AK1497"/>
  <c r="AA859"/>
  <c r="AK859"/>
  <c r="AA1581"/>
  <c r="AK1581"/>
  <c r="AA1664"/>
  <c r="AK1664"/>
  <c r="AA2124"/>
  <c r="AK2124"/>
  <c r="AA1577"/>
  <c r="AK1577"/>
  <c r="AA2054"/>
  <c r="AK2054"/>
  <c r="AA1720"/>
  <c r="AK1720"/>
  <c r="AA1210"/>
  <c r="AK1210"/>
  <c r="AA2149"/>
  <c r="AK2149"/>
  <c r="AA10"/>
  <c r="AK10"/>
  <c r="AA1676"/>
  <c r="AK1676"/>
  <c r="AA1421"/>
  <c r="AK1421"/>
  <c r="AA911"/>
  <c r="AK911"/>
  <c r="AA2074"/>
  <c r="AK2074"/>
  <c r="AA2010"/>
  <c r="AK2010"/>
  <c r="AA1377"/>
  <c r="AK1377"/>
  <c r="AA1122"/>
  <c r="AK1122"/>
  <c r="AA2059"/>
  <c r="AK2059"/>
  <c r="AA1932"/>
  <c r="AK1932"/>
  <c r="AA7"/>
  <c r="AK7"/>
  <c r="AA1094"/>
  <c r="AK1094"/>
  <c r="AA839"/>
  <c r="AK839"/>
  <c r="AA1774"/>
  <c r="AK1774"/>
  <c r="AA1711"/>
  <c r="AK1711"/>
  <c r="AA1616"/>
  <c r="AK1616"/>
  <c r="AA1488"/>
  <c r="AK1488"/>
  <c r="AA1424"/>
  <c r="AK1424"/>
  <c r="AA1233"/>
  <c r="AK1233"/>
  <c r="AA1169"/>
  <c r="AK1169"/>
  <c r="AA977"/>
  <c r="AK977"/>
  <c r="AA914"/>
  <c r="AK914"/>
  <c r="AA786"/>
  <c r="AK786"/>
  <c r="AA659"/>
  <c r="AK659"/>
  <c r="AA531"/>
  <c r="AK531"/>
  <c r="AA403"/>
  <c r="AK403"/>
  <c r="AA339"/>
  <c r="AK339"/>
  <c r="AA179"/>
  <c r="AK179"/>
  <c r="AA83"/>
  <c r="AK83"/>
  <c r="AA751"/>
  <c r="AK751"/>
  <c r="AA624"/>
  <c r="AK624"/>
  <c r="AA560"/>
  <c r="AK560"/>
  <c r="AA432"/>
  <c r="AK432"/>
  <c r="AA304"/>
  <c r="AK304"/>
  <c r="AA176"/>
  <c r="AK176"/>
  <c r="AA50"/>
  <c r="AK50"/>
  <c r="AA1956"/>
  <c r="AK1956"/>
  <c r="AA1894"/>
  <c r="AK1894"/>
  <c r="AA1736"/>
  <c r="AK1736"/>
  <c r="AA1546"/>
  <c r="AK1546"/>
  <c r="AA1482"/>
  <c r="AK1482"/>
  <c r="AA1290"/>
  <c r="AK1290"/>
  <c r="AA1227"/>
  <c r="AK1227"/>
  <c r="AA1099"/>
  <c r="AK1099"/>
  <c r="AA972"/>
  <c r="AK972"/>
  <c r="AA908"/>
  <c r="AK908"/>
  <c r="AA717"/>
  <c r="AK717"/>
  <c r="AA653"/>
  <c r="AK653"/>
  <c r="AA461"/>
  <c r="AK461"/>
  <c r="AA397"/>
  <c r="AK397"/>
  <c r="AA333"/>
  <c r="AK333"/>
  <c r="AA141"/>
  <c r="AK141"/>
  <c r="AA78"/>
  <c r="AK78"/>
  <c r="AA2025"/>
  <c r="AK2025"/>
  <c r="AA1899"/>
  <c r="AK1899"/>
  <c r="AA1741"/>
  <c r="AK1741"/>
  <c r="AA1551"/>
  <c r="AK1551"/>
  <c r="AA1455"/>
  <c r="AK1455"/>
  <c r="AA1295"/>
  <c r="AK1295"/>
  <c r="AA1200"/>
  <c r="AK1200"/>
  <c r="AA1136"/>
  <c r="AK1136"/>
  <c r="AA976"/>
  <c r="AK976"/>
  <c r="AA881"/>
  <c r="AK881"/>
  <c r="AA817"/>
  <c r="AK817"/>
  <c r="AA722"/>
  <c r="AK722"/>
  <c r="AA594"/>
  <c r="AK594"/>
  <c r="AA530"/>
  <c r="AK530"/>
  <c r="AA466"/>
  <c r="AK466"/>
  <c r="AA402"/>
  <c r="AK402"/>
  <c r="AA306"/>
  <c r="AK306"/>
  <c r="AA242"/>
  <c r="AK242"/>
  <c r="AA146"/>
  <c r="AK146"/>
  <c r="AA2136"/>
  <c r="AK2136"/>
  <c r="AA2006"/>
  <c r="AK2006"/>
  <c r="AA1942"/>
  <c r="AK1942"/>
  <c r="AA1624"/>
  <c r="AK1624"/>
  <c r="AA1369"/>
  <c r="AK1369"/>
  <c r="AA986"/>
  <c r="AK986"/>
  <c r="AA2157"/>
  <c r="AK2157"/>
  <c r="AA2093"/>
  <c r="AK2093"/>
  <c r="AA1983"/>
  <c r="AK1983"/>
  <c r="AA1921"/>
  <c r="AK1921"/>
  <c r="AA1708"/>
  <c r="AK1708"/>
  <c r="AA943"/>
  <c r="AK943"/>
  <c r="AA1281"/>
  <c r="AK1281"/>
  <c r="AA2092"/>
  <c r="AK2092"/>
  <c r="AA1449"/>
  <c r="AK1449"/>
  <c r="AA2160"/>
  <c r="AK2160"/>
  <c r="AA1465"/>
  <c r="AK1465"/>
  <c r="AA1967"/>
  <c r="AK1967"/>
  <c r="AA1038"/>
  <c r="AK1038"/>
  <c r="AA1884"/>
  <c r="AK1884"/>
  <c r="AA2163"/>
  <c r="AK2163"/>
  <c r="AA1349"/>
  <c r="AK1349"/>
  <c r="AA1584"/>
  <c r="AK1584"/>
  <c r="AA1296"/>
  <c r="AK1296"/>
  <c r="AA1041"/>
  <c r="AK1041"/>
  <c r="AA723"/>
  <c r="AK723"/>
  <c r="AA435"/>
  <c r="AK435"/>
  <c r="AA147"/>
  <c r="AK147"/>
  <c r="AA656"/>
  <c r="AK656"/>
  <c r="AA368"/>
  <c r="AK368"/>
  <c r="AA144"/>
  <c r="AK144"/>
  <c r="AA2052"/>
  <c r="AK2052"/>
  <c r="AA1768"/>
  <c r="AK1768"/>
  <c r="AA1610"/>
  <c r="AK1610"/>
  <c r="AA1354"/>
  <c r="AK1354"/>
  <c r="AA1035"/>
  <c r="AK1035"/>
  <c r="AA780"/>
  <c r="AK780"/>
  <c r="AA557"/>
  <c r="AK557"/>
  <c r="AA301"/>
  <c r="AK301"/>
  <c r="AA47"/>
  <c r="AK47"/>
  <c r="AA1930"/>
  <c r="AK1930"/>
  <c r="AA1519"/>
  <c r="AK1519"/>
  <c r="AA1232"/>
  <c r="AK1232"/>
  <c r="AA1008"/>
  <c r="AK1008"/>
  <c r="AA753"/>
  <c r="AK753"/>
  <c r="AA338"/>
  <c r="AK338"/>
  <c r="AA2104"/>
  <c r="AK2104"/>
  <c r="AA1877"/>
  <c r="AK1877"/>
  <c r="AA1242"/>
  <c r="AK1242"/>
  <c r="AA2125"/>
  <c r="AK2125"/>
  <c r="AA1835"/>
  <c r="AK1835"/>
  <c r="AA1325"/>
  <c r="AK1325"/>
  <c r="AA1198"/>
  <c r="AK1198"/>
  <c r="AA1070"/>
  <c r="AK1070"/>
  <c r="AA2146"/>
  <c r="AK2146"/>
  <c r="AA2114"/>
  <c r="AK2114"/>
  <c r="AA2083"/>
  <c r="AK2083"/>
  <c r="AA2026"/>
  <c r="AK2026"/>
  <c r="AA1962"/>
  <c r="AK1962"/>
  <c r="AA1791"/>
  <c r="AK1791"/>
  <c r="AA1409"/>
  <c r="AK1409"/>
  <c r="AA1194"/>
  <c r="AK1194"/>
  <c r="AA1098"/>
  <c r="AK1098"/>
  <c r="AA971"/>
  <c r="AK971"/>
  <c r="AA843"/>
  <c r="AK843"/>
  <c r="AA2153"/>
  <c r="AK2153"/>
  <c r="AA2121"/>
  <c r="AK2121"/>
  <c r="AA2089"/>
  <c r="AK2089"/>
  <c r="AA2039"/>
  <c r="AK2039"/>
  <c r="AA1975"/>
  <c r="AK1975"/>
  <c r="AA1913"/>
  <c r="AK1913"/>
  <c r="AA1819"/>
  <c r="AK1819"/>
  <c r="AA1692"/>
  <c r="AK1692"/>
  <c r="AA1565"/>
  <c r="AK1565"/>
  <c r="AA1437"/>
  <c r="AK1437"/>
  <c r="AA1309"/>
  <c r="AK1309"/>
  <c r="AA1182"/>
  <c r="AK1182"/>
  <c r="AA1054"/>
  <c r="AK1054"/>
  <c r="AA927"/>
  <c r="AK927"/>
  <c r="AA799"/>
  <c r="AK799"/>
  <c r="AA2142"/>
  <c r="AK2142"/>
  <c r="AA2110"/>
  <c r="AK2110"/>
  <c r="AA2079"/>
  <c r="AK2079"/>
  <c r="AA2018"/>
  <c r="AK2018"/>
  <c r="AA1954"/>
  <c r="AK1954"/>
  <c r="AA1892"/>
  <c r="AK1892"/>
  <c r="AA1775"/>
  <c r="AK1775"/>
  <c r="AA1648"/>
  <c r="AK1648"/>
  <c r="AA1521"/>
  <c r="AK1521"/>
  <c r="AA1393"/>
  <c r="AK1393"/>
  <c r="AA1266"/>
  <c r="AK1266"/>
  <c r="AA1138"/>
  <c r="AK1138"/>
  <c r="AA1010"/>
  <c r="AK1010"/>
  <c r="AA883"/>
  <c r="AK883"/>
  <c r="AA2167"/>
  <c r="AK2167"/>
  <c r="AA2135"/>
  <c r="AK2135"/>
  <c r="AA2103"/>
  <c r="AK2103"/>
  <c r="AA2067"/>
  <c r="AK2067"/>
  <c r="AA2003"/>
  <c r="AK2003"/>
  <c r="AA1940"/>
  <c r="AK1940"/>
  <c r="AA1873"/>
  <c r="AK1873"/>
  <c r="AA1747"/>
  <c r="AK1747"/>
  <c r="AA1621"/>
  <c r="AK1621"/>
  <c r="AA1493"/>
  <c r="AK1493"/>
  <c r="AA1365"/>
  <c r="AK1365"/>
  <c r="AA1238"/>
  <c r="AK1238"/>
  <c r="AA1110"/>
  <c r="AK1110"/>
  <c r="AA982"/>
  <c r="AK982"/>
  <c r="AA855"/>
  <c r="AK855"/>
  <c r="AA1872"/>
  <c r="AK1872"/>
  <c r="AA8"/>
  <c r="AK8"/>
  <c r="AA1810"/>
  <c r="AK1810"/>
  <c r="AA1778"/>
  <c r="AK1778"/>
  <c r="AA1746"/>
  <c r="AK1746"/>
  <c r="AA1715"/>
  <c r="AK1715"/>
  <c r="AA1683"/>
  <c r="AK1683"/>
  <c r="AA1651"/>
  <c r="AK1651"/>
  <c r="AA1620"/>
  <c r="AK1620"/>
  <c r="AA1588"/>
  <c r="AK1588"/>
  <c r="AA1556"/>
  <c r="AK1556"/>
  <c r="AA1524"/>
  <c r="AK1524"/>
  <c r="AA1492"/>
  <c r="AK1492"/>
  <c r="AA1460"/>
  <c r="AK1460"/>
  <c r="AA1428"/>
  <c r="AK1428"/>
  <c r="AA1396"/>
  <c r="AK1396"/>
  <c r="AA1364"/>
  <c r="AK1364"/>
  <c r="AA1332"/>
  <c r="AK1332"/>
  <c r="AA1300"/>
  <c r="AK1300"/>
  <c r="AA1269"/>
  <c r="AK1269"/>
  <c r="AA1237"/>
  <c r="AK1237"/>
  <c r="AA1205"/>
  <c r="AK1205"/>
  <c r="AA1173"/>
  <c r="AK1173"/>
  <c r="AA1141"/>
  <c r="AK1141"/>
  <c r="AA1109"/>
  <c r="AK1109"/>
  <c r="AA1077"/>
  <c r="AK1077"/>
  <c r="AA1045"/>
  <c r="AK1045"/>
  <c r="AA1013"/>
  <c r="AK1013"/>
  <c r="AA981"/>
  <c r="AK981"/>
  <c r="AA950"/>
  <c r="AK950"/>
  <c r="AA918"/>
  <c r="AK918"/>
  <c r="AA886"/>
  <c r="AK886"/>
  <c r="AA854"/>
  <c r="AK854"/>
  <c r="AA822"/>
  <c r="AK822"/>
  <c r="AA790"/>
  <c r="AK790"/>
  <c r="AA758"/>
  <c r="AK758"/>
  <c r="AA14"/>
  <c r="AK14"/>
  <c r="AA695"/>
  <c r="AK695"/>
  <c r="AA663"/>
  <c r="AK663"/>
  <c r="AA631"/>
  <c r="AK631"/>
  <c r="AA599"/>
  <c r="AK599"/>
  <c r="AA567"/>
  <c r="AK567"/>
  <c r="AA535"/>
  <c r="AK535"/>
  <c r="AA503"/>
  <c r="AK503"/>
  <c r="AA471"/>
  <c r="AK471"/>
  <c r="AA439"/>
  <c r="AK439"/>
  <c r="AA407"/>
  <c r="AK407"/>
  <c r="AA375"/>
  <c r="AK375"/>
  <c r="AA343"/>
  <c r="AK343"/>
  <c r="AA311"/>
  <c r="AK311"/>
  <c r="AA279"/>
  <c r="AK279"/>
  <c r="AA247"/>
  <c r="AK247"/>
  <c r="AA215"/>
  <c r="AK215"/>
  <c r="AA183"/>
  <c r="AK183"/>
  <c r="AA151"/>
  <c r="AK151"/>
  <c r="AA119"/>
  <c r="AK119"/>
  <c r="AA87"/>
  <c r="AK87"/>
  <c r="AA57"/>
  <c r="AK57"/>
  <c r="AA755"/>
  <c r="AK755"/>
  <c r="AA724"/>
  <c r="AK724"/>
  <c r="AA692"/>
  <c r="AK692"/>
  <c r="AA660"/>
  <c r="AK660"/>
  <c r="AA628"/>
  <c r="AK628"/>
  <c r="AA596"/>
  <c r="AK596"/>
  <c r="AA564"/>
  <c r="AK564"/>
  <c r="AA532"/>
  <c r="AK532"/>
  <c r="AA500"/>
  <c r="AK500"/>
  <c r="AA468"/>
  <c r="AK468"/>
  <c r="AA436"/>
  <c r="AK436"/>
  <c r="AA404"/>
  <c r="AK404"/>
  <c r="AA372"/>
  <c r="AK372"/>
  <c r="AA340"/>
  <c r="AK340"/>
  <c r="AA308"/>
  <c r="AK308"/>
  <c r="AA276"/>
  <c r="AK276"/>
  <c r="AA244"/>
  <c r="AK244"/>
  <c r="AA212"/>
  <c r="AK212"/>
  <c r="AA180"/>
  <c r="AK180"/>
  <c r="AA148"/>
  <c r="AK148"/>
  <c r="AA116"/>
  <c r="AK116"/>
  <c r="AA84"/>
  <c r="AK84"/>
  <c r="AA54"/>
  <c r="AK54"/>
  <c r="AA2056"/>
  <c r="AK2056"/>
  <c r="AA2024"/>
  <c r="AK2024"/>
  <c r="AA1992"/>
  <c r="AK1992"/>
  <c r="AA1960"/>
  <c r="AK1960"/>
  <c r="AA16"/>
  <c r="AK16"/>
  <c r="AA1898"/>
  <c r="AK1898"/>
  <c r="AA1866"/>
  <c r="AK1866"/>
  <c r="AA1836"/>
  <c r="AK1836"/>
  <c r="AA1804"/>
  <c r="AK1804"/>
  <c r="AA1772"/>
  <c r="AK1772"/>
  <c r="AA1740"/>
  <c r="AK1740"/>
  <c r="AA1709"/>
  <c r="AK1709"/>
  <c r="AA1677"/>
  <c r="AK1677"/>
  <c r="AA1645"/>
  <c r="AK1645"/>
  <c r="AA1614"/>
  <c r="AK1614"/>
  <c r="AA1582"/>
  <c r="AK1582"/>
  <c r="AA1550"/>
  <c r="AK1550"/>
  <c r="AA1518"/>
  <c r="AK1518"/>
  <c r="AA1486"/>
  <c r="AK1486"/>
  <c r="AA1454"/>
  <c r="AK1454"/>
  <c r="AA1422"/>
  <c r="AK1422"/>
  <c r="AA1390"/>
  <c r="AK1390"/>
  <c r="AA1358"/>
  <c r="AK1358"/>
  <c r="AA1326"/>
  <c r="AK1326"/>
  <c r="AA1294"/>
  <c r="AK1294"/>
  <c r="AA1263"/>
  <c r="AK1263"/>
  <c r="AA1231"/>
  <c r="AK1231"/>
  <c r="AA1199"/>
  <c r="AK1199"/>
  <c r="AA1167"/>
  <c r="AK1167"/>
  <c r="AA1135"/>
  <c r="AK1135"/>
  <c r="AA1103"/>
  <c r="AK1103"/>
  <c r="AA1071"/>
  <c r="AK1071"/>
  <c r="AA1039"/>
  <c r="AK1039"/>
  <c r="AA1007"/>
  <c r="AK1007"/>
  <c r="AA975"/>
  <c r="AK975"/>
  <c r="AA944"/>
  <c r="AK944"/>
  <c r="AA912"/>
  <c r="AK912"/>
  <c r="AA880"/>
  <c r="AK880"/>
  <c r="AA848"/>
  <c r="AK848"/>
  <c r="AA816"/>
  <c r="AK816"/>
  <c r="AA784"/>
  <c r="AK784"/>
  <c r="AA752"/>
  <c r="AK752"/>
  <c r="AA721"/>
  <c r="AK721"/>
  <c r="AA689"/>
  <c r="AK689"/>
  <c r="AA657"/>
  <c r="AK657"/>
  <c r="AA625"/>
  <c r="AK625"/>
  <c r="AA593"/>
  <c r="AK593"/>
  <c r="AA561"/>
  <c r="AK561"/>
  <c r="AA529"/>
  <c r="AK529"/>
  <c r="AA497"/>
  <c r="AK497"/>
  <c r="AA465"/>
  <c r="AK465"/>
  <c r="AA433"/>
  <c r="AK433"/>
  <c r="AA401"/>
  <c r="AK401"/>
  <c r="AA369"/>
  <c r="AK369"/>
  <c r="AA337"/>
  <c r="AK337"/>
  <c r="AA305"/>
  <c r="AK305"/>
  <c r="AA273"/>
  <c r="AK273"/>
  <c r="AA241"/>
  <c r="AK241"/>
  <c r="AA209"/>
  <c r="AK209"/>
  <c r="AA177"/>
  <c r="AK177"/>
  <c r="AA145"/>
  <c r="AK145"/>
  <c r="AA113"/>
  <c r="AK113"/>
  <c r="AA15"/>
  <c r="AK15"/>
  <c r="AA51"/>
  <c r="AK51"/>
  <c r="AA2061"/>
  <c r="AK2061"/>
  <c r="AA2029"/>
  <c r="AK2029"/>
  <c r="AA1997"/>
  <c r="AK1997"/>
  <c r="AA1965"/>
  <c r="AK1965"/>
  <c r="AA1934"/>
  <c r="AK1934"/>
  <c r="AA1903"/>
  <c r="AK1903"/>
  <c r="AA1871"/>
  <c r="AK1871"/>
  <c r="AA1841"/>
  <c r="AK1841"/>
  <c r="AA1809"/>
  <c r="AK1809"/>
  <c r="AA1777"/>
  <c r="AK1777"/>
  <c r="AA1745"/>
  <c r="AK1745"/>
  <c r="AA1714"/>
  <c r="AK1714"/>
  <c r="AA1682"/>
  <c r="AK1682"/>
  <c r="AA1650"/>
  <c r="AK1650"/>
  <c r="AA1619"/>
  <c r="AK1619"/>
  <c r="AA1587"/>
  <c r="AK1587"/>
  <c r="AA1555"/>
  <c r="AK1555"/>
  <c r="AA1523"/>
  <c r="AK1523"/>
  <c r="AA1491"/>
  <c r="AK1491"/>
  <c r="AA1459"/>
  <c r="AK1459"/>
  <c r="AA1427"/>
  <c r="AK1427"/>
  <c r="AA1395"/>
  <c r="AK1395"/>
  <c r="AA1363"/>
  <c r="AK1363"/>
  <c r="AA1331"/>
  <c r="AK1331"/>
  <c r="AA1299"/>
  <c r="AK1299"/>
  <c r="AA1268"/>
  <c r="AK1268"/>
  <c r="AA1236"/>
  <c r="AK1236"/>
  <c r="AA1204"/>
  <c r="AK1204"/>
  <c r="AA1172"/>
  <c r="AK1172"/>
  <c r="AA1140"/>
  <c r="AK1140"/>
  <c r="AA1108"/>
  <c r="AK1108"/>
  <c r="AA1076"/>
  <c r="AK1076"/>
  <c r="AA1044"/>
  <c r="AK1044"/>
  <c r="AA1012"/>
  <c r="AK1012"/>
  <c r="AA980"/>
  <c r="AK980"/>
  <c r="AA949"/>
  <c r="AK949"/>
  <c r="AA917"/>
  <c r="AK917"/>
  <c r="AA885"/>
  <c r="AK885"/>
  <c r="AA853"/>
  <c r="AK853"/>
  <c r="AA821"/>
  <c r="AK821"/>
  <c r="AA789"/>
  <c r="AK789"/>
  <c r="AA757"/>
  <c r="AK757"/>
  <c r="AA726"/>
  <c r="AK726"/>
  <c r="AA694"/>
  <c r="AK694"/>
  <c r="AA662"/>
  <c r="AK662"/>
  <c r="AA630"/>
  <c r="AK630"/>
  <c r="AA598"/>
  <c r="AK598"/>
  <c r="AA566"/>
  <c r="AK566"/>
  <c r="AA534"/>
  <c r="AK534"/>
  <c r="AA502"/>
  <c r="AK502"/>
  <c r="AA470"/>
  <c r="AK470"/>
  <c r="AA438"/>
  <c r="AK438"/>
  <c r="AA406"/>
  <c r="AK406"/>
  <c r="AA374"/>
  <c r="AK374"/>
  <c r="AA342"/>
  <c r="AK342"/>
  <c r="AA310"/>
  <c r="AK310"/>
  <c r="AA278"/>
  <c r="AK278"/>
  <c r="AA246"/>
  <c r="AK246"/>
  <c r="AA214"/>
  <c r="AK214"/>
  <c r="AA182"/>
  <c r="AK182"/>
  <c r="AA150"/>
  <c r="AK150"/>
  <c r="AA118"/>
  <c r="AK118"/>
  <c r="AA86"/>
  <c r="AK86"/>
  <c r="AA56"/>
  <c r="AK56"/>
  <c r="AA1026"/>
  <c r="AK1026"/>
  <c r="AA2075"/>
  <c r="AK2075"/>
  <c r="AA1763"/>
  <c r="AK1763"/>
  <c r="AA1126"/>
  <c r="AK1126"/>
  <c r="AA1814"/>
  <c r="AK1814"/>
  <c r="AA1655"/>
  <c r="AK1655"/>
  <c r="AA1592"/>
  <c r="AK1592"/>
  <c r="AA1400"/>
  <c r="AK1400"/>
  <c r="AA1241"/>
  <c r="AK1241"/>
  <c r="AA1081"/>
  <c r="AK1081"/>
  <c r="AA922"/>
  <c r="AK922"/>
  <c r="AA762"/>
  <c r="AK762"/>
  <c r="AA603"/>
  <c r="AK603"/>
  <c r="AA443"/>
  <c r="AK443"/>
  <c r="AA251"/>
  <c r="AK251"/>
  <c r="AA91"/>
  <c r="AK91"/>
  <c r="AA899"/>
  <c r="AK899"/>
  <c r="AA2011"/>
  <c r="AK2011"/>
  <c r="AA1636"/>
  <c r="AK1636"/>
  <c r="AA871"/>
  <c r="AK871"/>
  <c r="AA1719"/>
  <c r="AK1719"/>
  <c r="AA1496"/>
  <c r="AK1496"/>
  <c r="AA1336"/>
  <c r="AK1336"/>
  <c r="AA1177"/>
  <c r="AK1177"/>
  <c r="AA985"/>
  <c r="AK985"/>
  <c r="AA826"/>
  <c r="AK826"/>
  <c r="AA667"/>
  <c r="AK667"/>
  <c r="AA507"/>
  <c r="AK507"/>
  <c r="AA315"/>
  <c r="AK315"/>
  <c r="AA155"/>
  <c r="AK155"/>
  <c r="AA727"/>
  <c r="AK727"/>
  <c r="AA600"/>
  <c r="AK600"/>
  <c r="AA440"/>
  <c r="AK440"/>
  <c r="AA312"/>
  <c r="AK312"/>
  <c r="AA184"/>
  <c r="AK184"/>
  <c r="AA88"/>
  <c r="AK88"/>
  <c r="AA2028"/>
  <c r="AK2028"/>
  <c r="AA1933"/>
  <c r="AK1933"/>
  <c r="AA1840"/>
  <c r="AK1840"/>
  <c r="AA1744"/>
  <c r="AK1744"/>
  <c r="AA1649"/>
  <c r="AK1649"/>
  <c r="AA1554"/>
  <c r="AK1554"/>
  <c r="AA1458"/>
  <c r="AK1458"/>
  <c r="AA1362"/>
  <c r="AK1362"/>
  <c r="AA1267"/>
  <c r="AK1267"/>
  <c r="AA1171"/>
  <c r="AK1171"/>
  <c r="AA1075"/>
  <c r="AK1075"/>
  <c r="AA979"/>
  <c r="AK979"/>
  <c r="AA884"/>
  <c r="AK884"/>
  <c r="AA788"/>
  <c r="AK788"/>
  <c r="AA693"/>
  <c r="AK693"/>
  <c r="AA597"/>
  <c r="AK597"/>
  <c r="AA501"/>
  <c r="AK501"/>
  <c r="AA405"/>
  <c r="AK405"/>
  <c r="AA309"/>
  <c r="AK309"/>
  <c r="AA213"/>
  <c r="AK213"/>
  <c r="AA85"/>
  <c r="AK85"/>
  <c r="AA2033"/>
  <c r="AK2033"/>
  <c r="AA1938"/>
  <c r="AK1938"/>
  <c r="AA1844"/>
  <c r="AK1844"/>
  <c r="AA1749"/>
  <c r="AK1749"/>
  <c r="AA1654"/>
  <c r="AK1654"/>
  <c r="AA1559"/>
  <c r="AK1559"/>
  <c r="AA1463"/>
  <c r="AK1463"/>
  <c r="AA1367"/>
  <c r="AK1367"/>
  <c r="AA1272"/>
  <c r="AK1272"/>
  <c r="AA1176"/>
  <c r="AK1176"/>
  <c r="AA1080"/>
  <c r="AK1080"/>
  <c r="AA984"/>
  <c r="AK984"/>
  <c r="AA889"/>
  <c r="AK889"/>
  <c r="AA793"/>
  <c r="AK793"/>
  <c r="AA698"/>
  <c r="AK698"/>
  <c r="AA602"/>
  <c r="AK602"/>
  <c r="AA506"/>
  <c r="AK506"/>
  <c r="AA410"/>
  <c r="AK410"/>
  <c r="AA314"/>
  <c r="AK314"/>
  <c r="AA218"/>
  <c r="AK218"/>
  <c r="AA154"/>
  <c r="AK154"/>
  <c r="AA60"/>
  <c r="AK60"/>
  <c r="AA2108"/>
  <c r="AK2108"/>
  <c r="AA1950"/>
  <c r="AK1950"/>
  <c r="AA1513"/>
  <c r="AK1513"/>
  <c r="AA1130"/>
  <c r="AK1130"/>
  <c r="AA2161"/>
  <c r="AK2161"/>
  <c r="AA2055"/>
  <c r="AK2055"/>
  <c r="AA1850"/>
  <c r="AK1850"/>
  <c r="AA1469"/>
  <c r="AK1469"/>
  <c r="AA1086"/>
  <c r="AK1086"/>
  <c r="AA2150"/>
  <c r="AK2150"/>
  <c r="AA2086"/>
  <c r="AK2086"/>
  <c r="AA1908"/>
  <c r="AK1908"/>
  <c r="AA1680"/>
  <c r="AK1680"/>
  <c r="AA1297"/>
  <c r="AK1297"/>
  <c r="AA915"/>
  <c r="AK915"/>
  <c r="AA2111"/>
  <c r="AK2111"/>
  <c r="AA1955"/>
  <c r="AK1955"/>
  <c r="AA1779"/>
  <c r="AK1779"/>
  <c r="AA1397"/>
  <c r="AK1397"/>
  <c r="AA1014"/>
  <c r="AK1014"/>
  <c r="AA1849"/>
  <c r="AK1849"/>
  <c r="AA1754"/>
  <c r="AK1754"/>
  <c r="AA1659"/>
  <c r="AK1659"/>
  <c r="AA1564"/>
  <c r="AK1564"/>
  <c r="AA1468"/>
  <c r="AK1468"/>
  <c r="AA1340"/>
  <c r="AK1340"/>
  <c r="AA1245"/>
  <c r="AK1245"/>
  <c r="AA1149"/>
  <c r="AK1149"/>
  <c r="AA1053"/>
  <c r="AK1053"/>
  <c r="AA958"/>
  <c r="AK958"/>
  <c r="AA862"/>
  <c r="AK862"/>
  <c r="AA766"/>
  <c r="AK766"/>
  <c r="AA671"/>
  <c r="AK671"/>
  <c r="AA575"/>
  <c r="AK575"/>
  <c r="AA479"/>
  <c r="AK479"/>
  <c r="AA383"/>
  <c r="AK383"/>
  <c r="AA287"/>
  <c r="AK287"/>
  <c r="AA159"/>
  <c r="AK159"/>
  <c r="AA65"/>
  <c r="AK65"/>
  <c r="AA763"/>
  <c r="AK763"/>
  <c r="AA668"/>
  <c r="AK668"/>
  <c r="AA572"/>
  <c r="AK572"/>
  <c r="AA476"/>
  <c r="AK476"/>
  <c r="AA380"/>
  <c r="AK380"/>
  <c r="AA284"/>
  <c r="AK284"/>
  <c r="AA188"/>
  <c r="AK188"/>
  <c r="AA92"/>
  <c r="AK92"/>
  <c r="AA2064"/>
  <c r="AK2064"/>
  <c r="AA1968"/>
  <c r="AK1968"/>
  <c r="AA1874"/>
  <c r="AK1874"/>
  <c r="AA1780"/>
  <c r="AK1780"/>
  <c r="AA1685"/>
  <c r="AK1685"/>
  <c r="AA1590"/>
  <c r="AK1590"/>
  <c r="AA1494"/>
  <c r="AK1494"/>
  <c r="AA1398"/>
  <c r="AK1398"/>
  <c r="AA1302"/>
  <c r="AK1302"/>
  <c r="AA1207"/>
  <c r="AK1207"/>
  <c r="AA1111"/>
  <c r="AK1111"/>
  <c r="AA1015"/>
  <c r="AK1015"/>
  <c r="AA920"/>
  <c r="AK920"/>
  <c r="AA824"/>
  <c r="AK824"/>
  <c r="AA728"/>
  <c r="AK728"/>
  <c r="AA633"/>
  <c r="AK633"/>
  <c r="AA537"/>
  <c r="AK537"/>
  <c r="AA441"/>
  <c r="AK441"/>
  <c r="AA345"/>
  <c r="AK345"/>
  <c r="AA249"/>
  <c r="AK249"/>
  <c r="AA153"/>
  <c r="AK153"/>
  <c r="AA59"/>
  <c r="AK59"/>
  <c r="AA2037"/>
  <c r="AK2037"/>
  <c r="AA1941"/>
  <c r="AK1941"/>
  <c r="AA1848"/>
  <c r="AK1848"/>
  <c r="AA1753"/>
  <c r="AK1753"/>
  <c r="AA1658"/>
  <c r="AK1658"/>
  <c r="AA1563"/>
  <c r="AK1563"/>
  <c r="AA1467"/>
  <c r="AK1467"/>
  <c r="AA1371"/>
  <c r="AK1371"/>
  <c r="AA1275"/>
  <c r="AK1275"/>
  <c r="AA1180"/>
  <c r="AK1180"/>
  <c r="AA1084"/>
  <c r="AK1084"/>
  <c r="AA988"/>
  <c r="AK988"/>
  <c r="AA893"/>
  <c r="AK893"/>
  <c r="AA797"/>
  <c r="AK797"/>
  <c r="AA702"/>
  <c r="AK702"/>
  <c r="AA606"/>
  <c r="AK606"/>
  <c r="AA510"/>
  <c r="AK510"/>
  <c r="AA414"/>
  <c r="AK414"/>
  <c r="AA318"/>
  <c r="AK318"/>
  <c r="AA222"/>
  <c r="AK222"/>
  <c r="AA126"/>
  <c r="AK126"/>
  <c r="AA2144"/>
  <c r="AK2144"/>
  <c r="AA2112"/>
  <c r="AK2112"/>
  <c r="AA2081"/>
  <c r="AK2081"/>
  <c r="AA2022"/>
  <c r="AK2022"/>
  <c r="AA1958"/>
  <c r="AK1958"/>
  <c r="AA1896"/>
  <c r="AK1896"/>
  <c r="AA1783"/>
  <c r="AK1783"/>
  <c r="AA1656"/>
  <c r="AK1656"/>
  <c r="AA1529"/>
  <c r="AK1529"/>
  <c r="AA1401"/>
  <c r="AK1401"/>
  <c r="AA1273"/>
  <c r="AK1273"/>
  <c r="AA1154"/>
  <c r="AK1154"/>
  <c r="AA2139"/>
  <c r="AK2139"/>
  <c r="AA2107"/>
  <c r="AK2107"/>
  <c r="AA1885"/>
  <c r="AK1885"/>
  <c r="AA1509"/>
  <c r="AK1509"/>
  <c r="AA1254"/>
  <c r="AK1254"/>
  <c r="AA998"/>
  <c r="AK998"/>
  <c r="AA1845"/>
  <c r="AK1845"/>
  <c r="AA1782"/>
  <c r="AK1782"/>
  <c r="AA1687"/>
  <c r="AK1687"/>
  <c r="AA1623"/>
  <c r="AK1623"/>
  <c r="AA1560"/>
  <c r="AK1560"/>
  <c r="AA1464"/>
  <c r="AK1464"/>
  <c r="AA1432"/>
  <c r="AK1432"/>
  <c r="AA1304"/>
  <c r="AK1304"/>
  <c r="AA17"/>
  <c r="AK17"/>
  <c r="AA1145"/>
  <c r="AK1145"/>
  <c r="AA1113"/>
  <c r="AK1113"/>
  <c r="AA1017"/>
  <c r="AK1017"/>
  <c r="AA954"/>
  <c r="AK954"/>
  <c r="AA890"/>
  <c r="AK890"/>
  <c r="AA794"/>
  <c r="AK794"/>
  <c r="AA730"/>
  <c r="AK730"/>
  <c r="AA635"/>
  <c r="AK635"/>
  <c r="AA571"/>
  <c r="AK571"/>
  <c r="AA475"/>
  <c r="AK475"/>
  <c r="AA411"/>
  <c r="AK411"/>
  <c r="AA347"/>
  <c r="AK347"/>
  <c r="AA283"/>
  <c r="AK283"/>
  <c r="AA219"/>
  <c r="AK219"/>
  <c r="AA123"/>
  <c r="AK123"/>
  <c r="AA61"/>
  <c r="AK61"/>
  <c r="AA759"/>
  <c r="AK759"/>
  <c r="AA696"/>
  <c r="AK696"/>
  <c r="AA632"/>
  <c r="AK632"/>
  <c r="AA568"/>
  <c r="AK568"/>
  <c r="AA536"/>
  <c r="AK536"/>
  <c r="AA472"/>
  <c r="AK472"/>
  <c r="AA408"/>
  <c r="AK408"/>
  <c r="AA344"/>
  <c r="AK344"/>
  <c r="AA280"/>
  <c r="AK280"/>
  <c r="AA248"/>
  <c r="AK248"/>
  <c r="AA152"/>
  <c r="AK152"/>
  <c r="AA120"/>
  <c r="AK120"/>
  <c r="AA2060"/>
  <c r="AK2060"/>
  <c r="AA1964"/>
  <c r="AK1964"/>
  <c r="AA1870"/>
  <c r="AK1870"/>
  <c r="AA1776"/>
  <c r="AK1776"/>
  <c r="AA1681"/>
  <c r="AK1681"/>
  <c r="AA1586"/>
  <c r="AK1586"/>
  <c r="AA1490"/>
  <c r="AK1490"/>
  <c r="AA1394"/>
  <c r="AK1394"/>
  <c r="AA1298"/>
  <c r="AK1298"/>
  <c r="AA1203"/>
  <c r="AK1203"/>
  <c r="AA1107"/>
  <c r="AK1107"/>
  <c r="AA1011"/>
  <c r="AK1011"/>
  <c r="AA916"/>
  <c r="AK916"/>
  <c r="AA820"/>
  <c r="AK820"/>
  <c r="AA725"/>
  <c r="AK725"/>
  <c r="AA629"/>
  <c r="AK629"/>
  <c r="AA533"/>
  <c r="AK533"/>
  <c r="AA437"/>
  <c r="AK437"/>
  <c r="AA341"/>
  <c r="AK341"/>
  <c r="AA245"/>
  <c r="AK245"/>
  <c r="AA117"/>
  <c r="AK117"/>
  <c r="AA2001"/>
  <c r="AK2001"/>
  <c r="AA1907"/>
  <c r="AK1907"/>
  <c r="AA1813"/>
  <c r="AK1813"/>
  <c r="AA1718"/>
  <c r="AK1718"/>
  <c r="AA1622"/>
  <c r="AK1622"/>
  <c r="AA1527"/>
  <c r="AK1527"/>
  <c r="AA1431"/>
  <c r="AK1431"/>
  <c r="AA1335"/>
  <c r="AK1335"/>
  <c r="AA1240"/>
  <c r="AK1240"/>
  <c r="AA1144"/>
  <c r="AK1144"/>
  <c r="AA1048"/>
  <c r="AK1048"/>
  <c r="AA953"/>
  <c r="AK953"/>
  <c r="AA857"/>
  <c r="AK857"/>
  <c r="AA761"/>
  <c r="AK761"/>
  <c r="AA666"/>
  <c r="AK666"/>
  <c r="AA570"/>
  <c r="AK570"/>
  <c r="AA474"/>
  <c r="AK474"/>
  <c r="AA378"/>
  <c r="AK378"/>
  <c r="AA282"/>
  <c r="AK282"/>
  <c r="AA186"/>
  <c r="AK186"/>
  <c r="AA90"/>
  <c r="AK90"/>
  <c r="AA2076"/>
  <c r="AK2076"/>
  <c r="AA1888"/>
  <c r="AK1888"/>
  <c r="AA1640"/>
  <c r="AK1640"/>
  <c r="AA1258"/>
  <c r="AK1258"/>
  <c r="AA875"/>
  <c r="AK875"/>
  <c r="AA2097"/>
  <c r="AK2097"/>
  <c r="AA1929"/>
  <c r="AK1929"/>
  <c r="AA1597"/>
  <c r="AK1597"/>
  <c r="AA1214"/>
  <c r="AK1214"/>
  <c r="AA831"/>
  <c r="AK831"/>
  <c r="AA2034"/>
  <c r="AK2034"/>
  <c r="AA1553"/>
  <c r="AK1553"/>
  <c r="AA1170"/>
  <c r="AK1170"/>
  <c r="AA787"/>
  <c r="AK787"/>
  <c r="AA2080"/>
  <c r="AK2080"/>
  <c r="AA1893"/>
  <c r="AK1893"/>
  <c r="AA1652"/>
  <c r="AK1652"/>
  <c r="AA1270"/>
  <c r="AK1270"/>
  <c r="AA1880"/>
  <c r="AK1880"/>
  <c r="AA1786"/>
  <c r="AK1786"/>
  <c r="AA1691"/>
  <c r="AK1691"/>
  <c r="AA1596"/>
  <c r="AK1596"/>
  <c r="AA1500"/>
  <c r="AK1500"/>
  <c r="AA1404"/>
  <c r="AK1404"/>
  <c r="AA1308"/>
  <c r="AK1308"/>
  <c r="AA1213"/>
  <c r="AK1213"/>
  <c r="AA1117"/>
  <c r="AK1117"/>
  <c r="AA1021"/>
  <c r="AK1021"/>
  <c r="AA926"/>
  <c r="AK926"/>
  <c r="AA830"/>
  <c r="AK830"/>
  <c r="AA734"/>
  <c r="AK734"/>
  <c r="AA639"/>
  <c r="AK639"/>
  <c r="AA543"/>
  <c r="AK543"/>
  <c r="AA447"/>
  <c r="AK447"/>
  <c r="AA351"/>
  <c r="AK351"/>
  <c r="AA255"/>
  <c r="AK255"/>
  <c r="AA191"/>
  <c r="AK191"/>
  <c r="AA95"/>
  <c r="AK95"/>
  <c r="AA700"/>
  <c r="AK700"/>
  <c r="AA604"/>
  <c r="AK604"/>
  <c r="AA508"/>
  <c r="AK508"/>
  <c r="AA412"/>
  <c r="AK412"/>
  <c r="AA316"/>
  <c r="AK316"/>
  <c r="AA220"/>
  <c r="AK220"/>
  <c r="AA156"/>
  <c r="AK156"/>
  <c r="AA62"/>
  <c r="AK62"/>
  <c r="AA2032"/>
  <c r="AK2032"/>
  <c r="AA1937"/>
  <c r="AK1937"/>
  <c r="AA1843"/>
  <c r="AK1843"/>
  <c r="AA1717"/>
  <c r="AK1717"/>
  <c r="AA11"/>
  <c r="AK11"/>
  <c r="AA1526"/>
  <c r="AK1526"/>
  <c r="AA1430"/>
  <c r="AK1430"/>
  <c r="AA1334"/>
  <c r="AK1334"/>
  <c r="AA1239"/>
  <c r="AK1239"/>
  <c r="AA1143"/>
  <c r="AK1143"/>
  <c r="AA1047"/>
  <c r="AK1047"/>
  <c r="AA952"/>
  <c r="AK952"/>
  <c r="AA856"/>
  <c r="AK856"/>
  <c r="AA760"/>
  <c r="AK760"/>
  <c r="AA665"/>
  <c r="AK665"/>
  <c r="AA569"/>
  <c r="AK569"/>
  <c r="AA473"/>
  <c r="AK473"/>
  <c r="AA377"/>
  <c r="AK377"/>
  <c r="AA281"/>
  <c r="AK281"/>
  <c r="AA185"/>
  <c r="AK185"/>
  <c r="AA89"/>
  <c r="AK89"/>
  <c r="AA2069"/>
  <c r="AK2069"/>
  <c r="AA1973"/>
  <c r="AK1973"/>
  <c r="AA1879"/>
  <c r="AK1879"/>
  <c r="AA1785"/>
  <c r="AK1785"/>
  <c r="AA1690"/>
  <c r="AK1690"/>
  <c r="AA1595"/>
  <c r="AK1595"/>
  <c r="AA1499"/>
  <c r="AK1499"/>
  <c r="AA1403"/>
  <c r="AK1403"/>
  <c r="AA1307"/>
  <c r="AK1307"/>
  <c r="AA1212"/>
  <c r="AK1212"/>
  <c r="AA1116"/>
  <c r="AK1116"/>
  <c r="AA1020"/>
  <c r="AK1020"/>
  <c r="AA925"/>
  <c r="AK925"/>
  <c r="AA829"/>
  <c r="AK829"/>
  <c r="AA733"/>
  <c r="AK733"/>
  <c r="AA638"/>
  <c r="AK638"/>
  <c r="AA542"/>
  <c r="AK542"/>
  <c r="AA446"/>
  <c r="AK446"/>
  <c r="AA350"/>
  <c r="AK350"/>
  <c r="AA254"/>
  <c r="AK254"/>
  <c r="AA158"/>
  <c r="AK158"/>
  <c r="AA64"/>
  <c r="AK64"/>
  <c r="AA2148"/>
  <c r="AK2148"/>
  <c r="AA2085"/>
  <c r="AK2085"/>
  <c r="AA1966"/>
  <c r="AK1966"/>
  <c r="AA1799"/>
  <c r="AK1799"/>
  <c r="AA1672"/>
  <c r="AK1672"/>
  <c r="AA1545"/>
  <c r="AK1545"/>
  <c r="AA1417"/>
  <c r="AK1417"/>
  <c r="AA1289"/>
  <c r="AK1289"/>
  <c r="AA1162"/>
  <c r="AK1162"/>
  <c r="AA771"/>
  <c r="AK771"/>
  <c r="AA1947"/>
  <c r="AK1947"/>
  <c r="AA1381"/>
  <c r="AK1381"/>
  <c r="AA1876"/>
  <c r="AK1876"/>
  <c r="AA1750"/>
  <c r="AK1750"/>
  <c r="AA1528"/>
  <c r="AK1528"/>
  <c r="AA1368"/>
  <c r="AK1368"/>
  <c r="AA1209"/>
  <c r="AK1209"/>
  <c r="AA1049"/>
  <c r="AK1049"/>
  <c r="AA858"/>
  <c r="AK858"/>
  <c r="AA699"/>
  <c r="AK699"/>
  <c r="AA539"/>
  <c r="AK539"/>
  <c r="AA379"/>
  <c r="AK379"/>
  <c r="AA187"/>
  <c r="AK187"/>
  <c r="AA664"/>
  <c r="AK664"/>
  <c r="AA504"/>
  <c r="AK504"/>
  <c r="AA376"/>
  <c r="AK376"/>
  <c r="AA216"/>
  <c r="AK216"/>
  <c r="AA58"/>
  <c r="AK58"/>
  <c r="AA1996"/>
  <c r="AK1996"/>
  <c r="AA1902"/>
  <c r="AK1902"/>
  <c r="AA1808"/>
  <c r="AK1808"/>
  <c r="AA1713"/>
  <c r="AK1713"/>
  <c r="AA1618"/>
  <c r="AK1618"/>
  <c r="AA1522"/>
  <c r="AK1522"/>
  <c r="AA1426"/>
  <c r="AK1426"/>
  <c r="AA1330"/>
  <c r="AK1330"/>
  <c r="AA1235"/>
  <c r="AK1235"/>
  <c r="AA1139"/>
  <c r="AK1139"/>
  <c r="AA1043"/>
  <c r="AK1043"/>
  <c r="AA948"/>
  <c r="AK948"/>
  <c r="AA852"/>
  <c r="AK852"/>
  <c r="AA756"/>
  <c r="AK756"/>
  <c r="AA661"/>
  <c r="AK661"/>
  <c r="AA565"/>
  <c r="AK565"/>
  <c r="AA469"/>
  <c r="AK469"/>
  <c r="AA373"/>
  <c r="AK373"/>
  <c r="AA277"/>
  <c r="AK277"/>
  <c r="AA181"/>
  <c r="AK181"/>
  <c r="AA149"/>
  <c r="AK149"/>
  <c r="AA55"/>
  <c r="AK55"/>
  <c r="AA2065"/>
  <c r="AK2065"/>
  <c r="AA1969"/>
  <c r="AK1969"/>
  <c r="AA1875"/>
  <c r="AK1875"/>
  <c r="AA1781"/>
  <c r="AK1781"/>
  <c r="AA1686"/>
  <c r="AK1686"/>
  <c r="AA1591"/>
  <c r="AK1591"/>
  <c r="AA1495"/>
  <c r="AK1495"/>
  <c r="AA1399"/>
  <c r="AK1399"/>
  <c r="AA1303"/>
  <c r="AK1303"/>
  <c r="AA1208"/>
  <c r="AK1208"/>
  <c r="AA1112"/>
  <c r="AK1112"/>
  <c r="AA1016"/>
  <c r="AK1016"/>
  <c r="AA921"/>
  <c r="AK921"/>
  <c r="AA825"/>
  <c r="AK825"/>
  <c r="AA729"/>
  <c r="AK729"/>
  <c r="AA634"/>
  <c r="AK634"/>
  <c r="AA538"/>
  <c r="AK538"/>
  <c r="AA442"/>
  <c r="AK442"/>
  <c r="AA346"/>
  <c r="AK346"/>
  <c r="AA250"/>
  <c r="AK250"/>
  <c r="AA122"/>
  <c r="AK122"/>
  <c r="AA2140"/>
  <c r="AK2140"/>
  <c r="AA2014"/>
  <c r="AK2014"/>
  <c r="AA1767"/>
  <c r="AK1767"/>
  <c r="AA1385"/>
  <c r="AK1385"/>
  <c r="AA1002"/>
  <c r="AK1002"/>
  <c r="AA2129"/>
  <c r="AK2129"/>
  <c r="AA1991"/>
  <c r="AK1991"/>
  <c r="AA1724"/>
  <c r="AK1724"/>
  <c r="AA1341"/>
  <c r="AK1341"/>
  <c r="AA959"/>
  <c r="AK959"/>
  <c r="AA2118"/>
  <c r="AK2118"/>
  <c r="AA1970"/>
  <c r="AK1970"/>
  <c r="AA1807"/>
  <c r="AK1807"/>
  <c r="AA1425"/>
  <c r="AK1425"/>
  <c r="AA1042"/>
  <c r="AK1042"/>
  <c r="AA2143"/>
  <c r="AK2143"/>
  <c r="AA2019"/>
  <c r="AK2019"/>
  <c r="AA1525"/>
  <c r="AK1525"/>
  <c r="AA1142"/>
  <c r="AK1142"/>
  <c r="AA887"/>
  <c r="AK887"/>
  <c r="AA1818"/>
  <c r="AK1818"/>
  <c r="AA1723"/>
  <c r="AK1723"/>
  <c r="AA1627"/>
  <c r="AK1627"/>
  <c r="AA1532"/>
  <c r="AK1532"/>
  <c r="AA1436"/>
  <c r="AK1436"/>
  <c r="AA1372"/>
  <c r="AK1372"/>
  <c r="AA1276"/>
  <c r="AK1276"/>
  <c r="AA1181"/>
  <c r="AK1181"/>
  <c r="AA1085"/>
  <c r="AK1085"/>
  <c r="AA989"/>
  <c r="AK989"/>
  <c r="AA894"/>
  <c r="AK894"/>
  <c r="AA798"/>
  <c r="AK798"/>
  <c r="AA703"/>
  <c r="AK703"/>
  <c r="AA607"/>
  <c r="AK607"/>
  <c r="AA511"/>
  <c r="AK511"/>
  <c r="AA415"/>
  <c r="AK415"/>
  <c r="AA319"/>
  <c r="AK319"/>
  <c r="AA223"/>
  <c r="AK223"/>
  <c r="AA127"/>
  <c r="AK127"/>
  <c r="AA731"/>
  <c r="AK731"/>
  <c r="AA636"/>
  <c r="AK636"/>
  <c r="AA540"/>
  <c r="AK540"/>
  <c r="AA444"/>
  <c r="AK444"/>
  <c r="AA348"/>
  <c r="AK348"/>
  <c r="AA252"/>
  <c r="AK252"/>
  <c r="AA124"/>
  <c r="AK124"/>
  <c r="AA2000"/>
  <c r="AK2000"/>
  <c r="AA1906"/>
  <c r="AK1906"/>
  <c r="AA1812"/>
  <c r="AK1812"/>
  <c r="AA1748"/>
  <c r="AK1748"/>
  <c r="AA1653"/>
  <c r="AK1653"/>
  <c r="AA1558"/>
  <c r="AK1558"/>
  <c r="AA1462"/>
  <c r="AK1462"/>
  <c r="AA1366"/>
  <c r="AK1366"/>
  <c r="AA1271"/>
  <c r="AK1271"/>
  <c r="AA1175"/>
  <c r="AK1175"/>
  <c r="AA1079"/>
  <c r="AK1079"/>
  <c r="AA983"/>
  <c r="AK983"/>
  <c r="AA888"/>
  <c r="AK888"/>
  <c r="AA792"/>
  <c r="AK792"/>
  <c r="AA697"/>
  <c r="AK697"/>
  <c r="AA601"/>
  <c r="AK601"/>
  <c r="AA505"/>
  <c r="AK505"/>
  <c r="AA409"/>
  <c r="AK409"/>
  <c r="AA313"/>
  <c r="AK313"/>
  <c r="AA217"/>
  <c r="AK217"/>
  <c r="AA121"/>
  <c r="AK121"/>
  <c r="AA2005"/>
  <c r="AK2005"/>
  <c r="AA1911"/>
  <c r="AK1911"/>
  <c r="AA1817"/>
  <c r="AK1817"/>
  <c r="AA1722"/>
  <c r="AK1722"/>
  <c r="AA1626"/>
  <c r="AK1626"/>
  <c r="AA1531"/>
  <c r="AK1531"/>
  <c r="AA1435"/>
  <c r="AK1435"/>
  <c r="AA1339"/>
  <c r="AK1339"/>
  <c r="AA1244"/>
  <c r="AK1244"/>
  <c r="AA1148"/>
  <c r="AK1148"/>
  <c r="AA1052"/>
  <c r="AK1052"/>
  <c r="AA957"/>
  <c r="AK957"/>
  <c r="AA861"/>
  <c r="AK861"/>
  <c r="AA765"/>
  <c r="AK765"/>
  <c r="AA670"/>
  <c r="AK670"/>
  <c r="AA574"/>
  <c r="AK574"/>
  <c r="AA478"/>
  <c r="AK478"/>
  <c r="AA382"/>
  <c r="AK382"/>
  <c r="AA286"/>
  <c r="AK286"/>
  <c r="AA190"/>
  <c r="AK190"/>
  <c r="AA94"/>
  <c r="AK94"/>
  <c r="AA2116"/>
  <c r="AK2116"/>
  <c r="AA2030"/>
  <c r="AK2030"/>
  <c r="AA1904"/>
  <c r="AK1904"/>
  <c r="AA2152"/>
  <c r="AK2152"/>
  <c r="AA2120"/>
  <c r="AK2120"/>
  <c r="AA2088"/>
  <c r="AK2088"/>
  <c r="AA2038"/>
  <c r="AK2038"/>
  <c r="AA1974"/>
  <c r="AK1974"/>
  <c r="AA1912"/>
  <c r="AK1912"/>
  <c r="AA1815"/>
  <c r="AK1815"/>
  <c r="AA1688"/>
  <c r="AK1688"/>
  <c r="AA1561"/>
  <c r="AK1561"/>
  <c r="AA1433"/>
  <c r="AK1433"/>
  <c r="AA1305"/>
  <c r="AK1305"/>
  <c r="AA1178"/>
  <c r="AK1178"/>
  <c r="AA1066"/>
  <c r="AK1066"/>
  <c r="AA939"/>
  <c r="AK939"/>
  <c r="AA811"/>
  <c r="AK811"/>
  <c r="AA2145"/>
  <c r="AK2145"/>
  <c r="AA2113"/>
  <c r="AK2113"/>
  <c r="AA2082"/>
  <c r="AK2082"/>
  <c r="AA2023"/>
  <c r="AK2023"/>
  <c r="AA1959"/>
  <c r="AK1959"/>
  <c r="AA1897"/>
  <c r="AK1897"/>
  <c r="AA1787"/>
  <c r="AK1787"/>
  <c r="AA1660"/>
  <c r="AK1660"/>
  <c r="AA1533"/>
  <c r="AK1533"/>
  <c r="AA1405"/>
  <c r="AK1405"/>
  <c r="AA1277"/>
  <c r="AK1277"/>
  <c r="AA1150"/>
  <c r="AK1150"/>
  <c r="AA1022"/>
  <c r="AK1022"/>
  <c r="AA895"/>
  <c r="AK895"/>
  <c r="AA2166"/>
  <c r="AK2166"/>
  <c r="AA2134"/>
  <c r="AK2134"/>
  <c r="AA2102"/>
  <c r="AK2102"/>
  <c r="AA2066"/>
  <c r="AK2066"/>
  <c r="AA2002"/>
  <c r="AK2002"/>
  <c r="AA1939"/>
  <c r="AK1939"/>
  <c r="AA1869"/>
  <c r="AK1869"/>
  <c r="AA1743"/>
  <c r="AK1743"/>
  <c r="AA1617"/>
  <c r="AK1617"/>
  <c r="AA1489"/>
  <c r="AK1489"/>
  <c r="AA1361"/>
  <c r="AK1361"/>
  <c r="AA1234"/>
  <c r="AK1234"/>
  <c r="AA1106"/>
  <c r="AK1106"/>
  <c r="AA978"/>
  <c r="AK978"/>
  <c r="AA851"/>
  <c r="AK851"/>
  <c r="AA2159"/>
  <c r="AK2159"/>
  <c r="AA2127"/>
  <c r="AK2127"/>
  <c r="AA2095"/>
  <c r="AK2095"/>
  <c r="AA2051"/>
  <c r="AK2051"/>
  <c r="AA1987"/>
  <c r="AK1987"/>
  <c r="AA1925"/>
  <c r="AK1925"/>
  <c r="AA1842"/>
  <c r="AK1842"/>
  <c r="AA1716"/>
  <c r="AK1716"/>
  <c r="AA1589"/>
  <c r="AK1589"/>
  <c r="AA1461"/>
  <c r="AK1461"/>
  <c r="AA1333"/>
  <c r="AK1333"/>
  <c r="AA1206"/>
  <c r="AK1206"/>
  <c r="AA1078"/>
  <c r="AK1078"/>
  <c r="AA951"/>
  <c r="AK951"/>
  <c r="AA823"/>
  <c r="AK823"/>
  <c r="AA1864"/>
  <c r="AK1864"/>
  <c r="AA1834"/>
  <c r="AK1834"/>
  <c r="AA1802"/>
  <c r="AK1802"/>
  <c r="AA1770"/>
  <c r="AK1770"/>
  <c r="AA1738"/>
  <c r="AK1738"/>
  <c r="AA1707"/>
  <c r="AK1707"/>
  <c r="AA1675"/>
  <c r="AK1675"/>
  <c r="AA1643"/>
  <c r="AK1643"/>
  <c r="AA1612"/>
  <c r="AK1612"/>
  <c r="AA1580"/>
  <c r="AK1580"/>
  <c r="AA1548"/>
  <c r="AK1548"/>
  <c r="AA1516"/>
  <c r="AK1516"/>
  <c r="AA1484"/>
  <c r="AK1484"/>
  <c r="AA1452"/>
  <c r="AK1452"/>
  <c r="AA1420"/>
  <c r="AK1420"/>
  <c r="AA1388"/>
  <c r="AK1388"/>
  <c r="AA1356"/>
  <c r="AK1356"/>
  <c r="AA1324"/>
  <c r="AK1324"/>
  <c r="AA1292"/>
  <c r="AK1292"/>
  <c r="AA1261"/>
  <c r="AK1261"/>
  <c r="AA1229"/>
  <c r="AK1229"/>
  <c r="AA1197"/>
  <c r="AK1197"/>
  <c r="AA1165"/>
  <c r="AK1165"/>
  <c r="AA1133"/>
  <c r="AK1133"/>
  <c r="AA1101"/>
  <c r="AK1101"/>
  <c r="AA1069"/>
  <c r="AK1069"/>
  <c r="AA1037"/>
  <c r="AK1037"/>
  <c r="AA1005"/>
  <c r="AK1005"/>
  <c r="AA6"/>
  <c r="AK6"/>
  <c r="AA942"/>
  <c r="AK942"/>
  <c r="AA910"/>
  <c r="AK910"/>
  <c r="AA878"/>
  <c r="AK878"/>
  <c r="AA846"/>
  <c r="AK846"/>
  <c r="AA814"/>
  <c r="AK814"/>
  <c r="AA782"/>
  <c r="AK782"/>
  <c r="AA750"/>
  <c r="AK750"/>
  <c r="AA719"/>
  <c r="AK719"/>
  <c r="AA687"/>
  <c r="AK687"/>
  <c r="AA655"/>
  <c r="AK655"/>
  <c r="AA623"/>
  <c r="AK623"/>
  <c r="AA591"/>
  <c r="AK591"/>
  <c r="AA559"/>
  <c r="AK559"/>
  <c r="AA527"/>
  <c r="AK527"/>
  <c r="AA495"/>
  <c r="AK495"/>
  <c r="AA463"/>
  <c r="AK463"/>
  <c r="AA431"/>
  <c r="AK431"/>
  <c r="AA399"/>
  <c r="AK399"/>
  <c r="AA367"/>
  <c r="AK367"/>
  <c r="AA335"/>
  <c r="AK335"/>
  <c r="AA303"/>
  <c r="AK303"/>
  <c r="AA271"/>
  <c r="AK271"/>
  <c r="AA239"/>
  <c r="AK239"/>
  <c r="AA207"/>
  <c r="AK207"/>
  <c r="AA175"/>
  <c r="AK175"/>
  <c r="AA143"/>
  <c r="AK143"/>
  <c r="AA111"/>
  <c r="AK111"/>
  <c r="AA80"/>
  <c r="AK80"/>
  <c r="AA49"/>
  <c r="AK49"/>
  <c r="AA747"/>
  <c r="AK747"/>
  <c r="AA716"/>
  <c r="AK716"/>
  <c r="AA684"/>
  <c r="AK684"/>
  <c r="AA652"/>
  <c r="AK652"/>
  <c r="AA620"/>
  <c r="AK620"/>
  <c r="AA588"/>
  <c r="AK588"/>
  <c r="AA556"/>
  <c r="AK556"/>
  <c r="AA524"/>
  <c r="AK524"/>
  <c r="AA492"/>
  <c r="AK492"/>
  <c r="AA460"/>
  <c r="AK460"/>
  <c r="AA428"/>
  <c r="AK428"/>
  <c r="AA396"/>
  <c r="AK396"/>
  <c r="AA364"/>
  <c r="AK364"/>
  <c r="AA332"/>
  <c r="AK332"/>
  <c r="AA300"/>
  <c r="AK300"/>
  <c r="AA268"/>
  <c r="AK268"/>
  <c r="AA236"/>
  <c r="AK236"/>
  <c r="AA204"/>
  <c r="AK204"/>
  <c r="AA172"/>
  <c r="AK172"/>
  <c r="AA140"/>
  <c r="AK140"/>
  <c r="AA108"/>
  <c r="AK108"/>
  <c r="AA77"/>
  <c r="AK77"/>
  <c r="AA2048"/>
  <c r="AK2048"/>
  <c r="AA2016"/>
  <c r="AK2016"/>
  <c r="AA1984"/>
  <c r="AK1984"/>
  <c r="AA1952"/>
  <c r="AK1952"/>
  <c r="AA1922"/>
  <c r="AK1922"/>
  <c r="AA1890"/>
  <c r="AK1890"/>
  <c r="AA12"/>
  <c r="AK12"/>
  <c r="AA1828"/>
  <c r="AK1828"/>
  <c r="AA1796"/>
  <c r="AK1796"/>
  <c r="AA1764"/>
  <c r="AK1764"/>
  <c r="AA1732"/>
  <c r="AK1732"/>
  <c r="AA1701"/>
  <c r="AK1701"/>
  <c r="AA1669"/>
  <c r="AK1669"/>
  <c r="AA1637"/>
  <c r="AK1637"/>
  <c r="AA1606"/>
  <c r="AK1606"/>
  <c r="AA1574"/>
  <c r="AK1574"/>
  <c r="AA1542"/>
  <c r="AK1542"/>
  <c r="AA1510"/>
  <c r="AK1510"/>
  <c r="AA1478"/>
  <c r="AK1478"/>
  <c r="AA1446"/>
  <c r="AK1446"/>
  <c r="AA1414"/>
  <c r="AK1414"/>
  <c r="AA1382"/>
  <c r="AK1382"/>
  <c r="AA1350"/>
  <c r="AK1350"/>
  <c r="AA1318"/>
  <c r="AK1318"/>
  <c r="AA1286"/>
  <c r="AK1286"/>
  <c r="AA1255"/>
  <c r="AK1255"/>
  <c r="AA1223"/>
  <c r="AK1223"/>
  <c r="AA1191"/>
  <c r="AK1191"/>
  <c r="AA1159"/>
  <c r="AK1159"/>
  <c r="AA1127"/>
  <c r="AK1127"/>
  <c r="AA1095"/>
  <c r="AK1095"/>
  <c r="AA1063"/>
  <c r="AK1063"/>
  <c r="AA1031"/>
  <c r="AK1031"/>
  <c r="AA999"/>
  <c r="AK999"/>
  <c r="AA968"/>
  <c r="AK968"/>
  <c r="AA936"/>
  <c r="AK936"/>
  <c r="AA904"/>
  <c r="AK904"/>
  <c r="AA872"/>
  <c r="AK872"/>
  <c r="AA840"/>
  <c r="AK840"/>
  <c r="AA808"/>
  <c r="AK808"/>
  <c r="AA776"/>
  <c r="AK776"/>
  <c r="AA744"/>
  <c r="AK744"/>
  <c r="AA713"/>
  <c r="AK713"/>
  <c r="AA681"/>
  <c r="AK681"/>
  <c r="AA649"/>
  <c r="AK649"/>
  <c r="AA617"/>
  <c r="AK617"/>
  <c r="AA585"/>
  <c r="AK585"/>
  <c r="AA553"/>
  <c r="AK553"/>
  <c r="AA521"/>
  <c r="AK521"/>
  <c r="AA489"/>
  <c r="AK489"/>
  <c r="AA457"/>
  <c r="AK457"/>
  <c r="AA425"/>
  <c r="AK425"/>
  <c r="AA393"/>
  <c r="AK393"/>
  <c r="AA361"/>
  <c r="AK361"/>
  <c r="AA329"/>
  <c r="AK329"/>
  <c r="AA297"/>
  <c r="AK297"/>
  <c r="AA265"/>
  <c r="AK265"/>
  <c r="AA233"/>
  <c r="AK233"/>
  <c r="AA201"/>
  <c r="AK201"/>
  <c r="AA169"/>
  <c r="AK169"/>
  <c r="AA137"/>
  <c r="AK137"/>
  <c r="AA105"/>
  <c r="AK105"/>
  <c r="AA75"/>
  <c r="AK75"/>
  <c r="AA2053"/>
  <c r="AK2053"/>
  <c r="AA2021"/>
  <c r="AK2021"/>
  <c r="AA1989"/>
  <c r="AK1989"/>
  <c r="AA1957"/>
  <c r="AK1957"/>
  <c r="AA1927"/>
  <c r="AK1927"/>
  <c r="AA1895"/>
  <c r="AK1895"/>
  <c r="AA1863"/>
  <c r="AK1863"/>
  <c r="AA1833"/>
  <c r="AK1833"/>
  <c r="AA1801"/>
  <c r="AK1801"/>
  <c r="AA1769"/>
  <c r="AK1769"/>
  <c r="AA1737"/>
  <c r="AK1737"/>
  <c r="AA1706"/>
  <c r="AK1706"/>
  <c r="AA1674"/>
  <c r="AK1674"/>
  <c r="AA1642"/>
  <c r="AK1642"/>
  <c r="AA1611"/>
  <c r="AK1611"/>
  <c r="AA1579"/>
  <c r="AK1579"/>
  <c r="AA1547"/>
  <c r="AK1547"/>
  <c r="AA1515"/>
  <c r="AK1515"/>
  <c r="AA1483"/>
  <c r="AK1483"/>
  <c r="AA1451"/>
  <c r="AK1451"/>
  <c r="AA1419"/>
  <c r="AK1419"/>
  <c r="AA1387"/>
  <c r="AK1387"/>
  <c r="AA1355"/>
  <c r="AK1355"/>
  <c r="AA1323"/>
  <c r="AK1323"/>
  <c r="AA1291"/>
  <c r="AK1291"/>
  <c r="AA1260"/>
  <c r="AK1260"/>
  <c r="AA1228"/>
  <c r="AK1228"/>
  <c r="AA1196"/>
  <c r="AK1196"/>
  <c r="AA1164"/>
  <c r="AK1164"/>
  <c r="AA1132"/>
  <c r="AK1132"/>
  <c r="AA1100"/>
  <c r="AK1100"/>
  <c r="AA1068"/>
  <c r="AK1068"/>
  <c r="AA1036"/>
  <c r="AK1036"/>
  <c r="AA1004"/>
  <c r="AK1004"/>
  <c r="AA973"/>
  <c r="AK973"/>
  <c r="AA941"/>
  <c r="AK941"/>
  <c r="AA909"/>
  <c r="AK909"/>
  <c r="AA877"/>
  <c r="AK877"/>
  <c r="AA845"/>
  <c r="AK845"/>
  <c r="AA813"/>
  <c r="AK813"/>
  <c r="AA781"/>
  <c r="AK781"/>
  <c r="AA749"/>
  <c r="AK749"/>
  <c r="AA718"/>
  <c r="AK718"/>
  <c r="AA686"/>
  <c r="AK686"/>
  <c r="AA654"/>
  <c r="AK654"/>
  <c r="AA622"/>
  <c r="AK622"/>
  <c r="AA590"/>
  <c r="AK590"/>
  <c r="AA558"/>
  <c r="AK558"/>
  <c r="AA526"/>
  <c r="AK526"/>
  <c r="AA494"/>
  <c r="AK494"/>
  <c r="AA462"/>
  <c r="AK462"/>
  <c r="AA430"/>
  <c r="AK430"/>
  <c r="AA398"/>
  <c r="AK398"/>
  <c r="AA366"/>
  <c r="AK366"/>
  <c r="AA334"/>
  <c r="AK334"/>
  <c r="AA302"/>
  <c r="AK302"/>
  <c r="AA270"/>
  <c r="AK270"/>
  <c r="AA238"/>
  <c r="AK238"/>
  <c r="AA206"/>
  <c r="AK206"/>
  <c r="AA174"/>
  <c r="AK174"/>
  <c r="AA142"/>
  <c r="AK142"/>
  <c r="AA110"/>
  <c r="AK110"/>
  <c r="AA79"/>
  <c r="AK79"/>
  <c r="AA48"/>
  <c r="AK48"/>
  <c r="AA1146"/>
  <c r="AK1146"/>
  <c r="AA1018"/>
  <c r="AK1018"/>
  <c r="AA891"/>
  <c r="AK891"/>
  <c r="AA2165"/>
  <c r="AK2165"/>
  <c r="AA2133"/>
  <c r="AK2133"/>
  <c r="AA2101"/>
  <c r="AK2101"/>
  <c r="AA2063"/>
  <c r="AK2063"/>
  <c r="AA1999"/>
  <c r="AK1999"/>
  <c r="AA1936"/>
  <c r="AK1936"/>
  <c r="AA1865"/>
  <c r="AK1865"/>
  <c r="AA1739"/>
  <c r="AK1739"/>
  <c r="AA1613"/>
  <c r="AK1613"/>
  <c r="AA1485"/>
  <c r="AK1485"/>
  <c r="AA1357"/>
  <c r="AK1357"/>
  <c r="AA1230"/>
  <c r="AK1230"/>
  <c r="AA1102"/>
  <c r="AK1102"/>
  <c r="AA974"/>
  <c r="AK974"/>
  <c r="AA847"/>
  <c r="AK847"/>
  <c r="AA2154"/>
  <c r="AK2154"/>
  <c r="AA2122"/>
  <c r="AK2122"/>
  <c r="AA2090"/>
  <c r="AK2090"/>
  <c r="AA2042"/>
  <c r="AK2042"/>
  <c r="AA1978"/>
  <c r="AK1978"/>
  <c r="AA1916"/>
  <c r="AK1916"/>
  <c r="AA1823"/>
  <c r="AK1823"/>
  <c r="AA1696"/>
  <c r="AK1696"/>
  <c r="AA1569"/>
  <c r="AK1569"/>
  <c r="AA1441"/>
  <c r="AK1441"/>
  <c r="AA1313"/>
  <c r="AK1313"/>
  <c r="AA1186"/>
  <c r="AK1186"/>
  <c r="AA1058"/>
  <c r="AK1058"/>
  <c r="AA931"/>
  <c r="AK931"/>
  <c r="AA803"/>
  <c r="AK803"/>
  <c r="AA2147"/>
  <c r="AK2147"/>
  <c r="AA2115"/>
  <c r="AK2115"/>
  <c r="AA2084"/>
  <c r="AK2084"/>
  <c r="AA2027"/>
  <c r="AK2027"/>
  <c r="AA1963"/>
  <c r="AK1963"/>
  <c r="AA1901"/>
  <c r="AK1901"/>
  <c r="AA1795"/>
  <c r="AK1795"/>
  <c r="AA1668"/>
  <c r="AK1668"/>
  <c r="AA1541"/>
  <c r="AK1541"/>
  <c r="AA1413"/>
  <c r="AK1413"/>
  <c r="AA1285"/>
  <c r="AK1285"/>
  <c r="AA1158"/>
  <c r="AK1158"/>
  <c r="AA1030"/>
  <c r="AK1030"/>
  <c r="AA903"/>
  <c r="AK903"/>
  <c r="AA775"/>
  <c r="AK775"/>
  <c r="AA1853"/>
  <c r="AK1853"/>
  <c r="AA1822"/>
  <c r="AK1822"/>
  <c r="AA1790"/>
  <c r="AK1790"/>
  <c r="AA1758"/>
  <c r="AK1758"/>
  <c r="AA1727"/>
  <c r="AK1727"/>
  <c r="AA1695"/>
  <c r="AK1695"/>
  <c r="AA1663"/>
  <c r="AK1663"/>
  <c r="AA1631"/>
  <c r="AK1631"/>
  <c r="AA1600"/>
  <c r="AK1600"/>
  <c r="AA1568"/>
  <c r="AK1568"/>
  <c r="AA1536"/>
  <c r="AK1536"/>
  <c r="AA1504"/>
  <c r="AK1504"/>
  <c r="AA1472"/>
  <c r="AK1472"/>
  <c r="AA1440"/>
  <c r="AK1440"/>
  <c r="AA1408"/>
  <c r="AK1408"/>
  <c r="AA1376"/>
  <c r="AK1376"/>
  <c r="AA1344"/>
  <c r="AK1344"/>
  <c r="AA1312"/>
  <c r="AK1312"/>
  <c r="AA1280"/>
  <c r="AK1280"/>
  <c r="AA1249"/>
  <c r="AK1249"/>
  <c r="AA1217"/>
  <c r="AK1217"/>
  <c r="AA1185"/>
  <c r="AK1185"/>
  <c r="AA1153"/>
  <c r="AK1153"/>
  <c r="AA1121"/>
  <c r="AK1121"/>
  <c r="AA1089"/>
  <c r="AK1089"/>
  <c r="AA1057"/>
  <c r="AK1057"/>
  <c r="AA1025"/>
  <c r="AK1025"/>
  <c r="AA993"/>
  <c r="AK993"/>
  <c r="AA962"/>
  <c r="AK962"/>
  <c r="AA930"/>
  <c r="AK930"/>
  <c r="AA898"/>
  <c r="AK898"/>
  <c r="AA866"/>
  <c r="AK866"/>
  <c r="AA834"/>
  <c r="AK834"/>
  <c r="AA802"/>
  <c r="AK802"/>
  <c r="AA770"/>
  <c r="AK770"/>
  <c r="AA738"/>
  <c r="AK738"/>
  <c r="AA707"/>
  <c r="AK707"/>
  <c r="AA675"/>
  <c r="AK675"/>
  <c r="AA643"/>
  <c r="AK643"/>
  <c r="AA611"/>
  <c r="AK611"/>
  <c r="AA579"/>
  <c r="AK579"/>
  <c r="AA547"/>
  <c r="AK547"/>
  <c r="AA515"/>
  <c r="AK515"/>
  <c r="AA483"/>
  <c r="AK483"/>
  <c r="AA451"/>
  <c r="AK451"/>
  <c r="AA419"/>
  <c r="AK419"/>
  <c r="AA387"/>
  <c r="AK387"/>
  <c r="AA355"/>
  <c r="AK355"/>
  <c r="AA323"/>
  <c r="AK323"/>
  <c r="AA291"/>
  <c r="AK291"/>
  <c r="AA259"/>
  <c r="AK259"/>
  <c r="AA227"/>
  <c r="AK227"/>
  <c r="AA195"/>
  <c r="AK195"/>
  <c r="AA163"/>
  <c r="AK163"/>
  <c r="AA131"/>
  <c r="AK131"/>
  <c r="AA99"/>
  <c r="AK99"/>
  <c r="AA69"/>
  <c r="AK69"/>
  <c r="AA767"/>
  <c r="AK767"/>
  <c r="AA735"/>
  <c r="AK735"/>
  <c r="AA704"/>
  <c r="AK704"/>
  <c r="AA672"/>
  <c r="AK672"/>
  <c r="AA640"/>
  <c r="AK640"/>
  <c r="AA608"/>
  <c r="AK608"/>
  <c r="AA576"/>
  <c r="AK576"/>
  <c r="AA544"/>
  <c r="AK544"/>
  <c r="AA512"/>
  <c r="AK512"/>
  <c r="AA480"/>
  <c r="AK480"/>
  <c r="AA448"/>
  <c r="AK448"/>
  <c r="AA416"/>
  <c r="AK416"/>
  <c r="AA384"/>
  <c r="AK384"/>
  <c r="AA352"/>
  <c r="AK352"/>
  <c r="AA320"/>
  <c r="AK320"/>
  <c r="AA288"/>
  <c r="AK288"/>
  <c r="AA256"/>
  <c r="AK256"/>
  <c r="AA224"/>
  <c r="AK224"/>
  <c r="AA192"/>
  <c r="AK192"/>
  <c r="AA160"/>
  <c r="AK160"/>
  <c r="AA128"/>
  <c r="AK128"/>
  <c r="AA96"/>
  <c r="AK96"/>
  <c r="AA66"/>
  <c r="AK66"/>
  <c r="AA2068"/>
  <c r="AK2068"/>
  <c r="AA2036"/>
  <c r="AK2036"/>
  <c r="AA2004"/>
  <c r="AK2004"/>
  <c r="AA1972"/>
  <c r="AK1972"/>
  <c r="AA5"/>
  <c r="AK5"/>
  <c r="AA1910"/>
  <c r="AK1910"/>
  <c r="AA1878"/>
  <c r="AK1878"/>
  <c r="AA1847"/>
  <c r="AK1847"/>
  <c r="AA1816"/>
  <c r="AK1816"/>
  <c r="AA1784"/>
  <c r="AK1784"/>
  <c r="AA1752"/>
  <c r="AK1752"/>
  <c r="AA1721"/>
  <c r="AK1721"/>
  <c r="AA1689"/>
  <c r="AK1689"/>
  <c r="AA1657"/>
  <c r="AK1657"/>
  <c r="AA1625"/>
  <c r="AK1625"/>
  <c r="AA1594"/>
  <c r="AK1594"/>
  <c r="AA1562"/>
  <c r="AK1562"/>
  <c r="AA1530"/>
  <c r="AK1530"/>
  <c r="AA1498"/>
  <c r="AK1498"/>
  <c r="AA1466"/>
  <c r="AK1466"/>
  <c r="AA1434"/>
  <c r="AK1434"/>
  <c r="AA1402"/>
  <c r="AK1402"/>
  <c r="AA1370"/>
  <c r="AK1370"/>
  <c r="AA1338"/>
  <c r="AK1338"/>
  <c r="AA1306"/>
  <c r="AK1306"/>
  <c r="AA1274"/>
  <c r="AK1274"/>
  <c r="AA1243"/>
  <c r="AK1243"/>
  <c r="AA1211"/>
  <c r="AK1211"/>
  <c r="AA1179"/>
  <c r="AK1179"/>
  <c r="AA1147"/>
  <c r="AK1147"/>
  <c r="AA1115"/>
  <c r="AK1115"/>
  <c r="AA1083"/>
  <c r="AK1083"/>
  <c r="AA1051"/>
  <c r="AK1051"/>
  <c r="AA1019"/>
  <c r="AK1019"/>
  <c r="AA987"/>
  <c r="AK987"/>
  <c r="AA956"/>
  <c r="AK956"/>
  <c r="AA924"/>
  <c r="AK924"/>
  <c r="AA892"/>
  <c r="AK892"/>
  <c r="AA860"/>
  <c r="AK860"/>
  <c r="AA828"/>
  <c r="AK828"/>
  <c r="AA796"/>
  <c r="AK796"/>
  <c r="AA764"/>
  <c r="AK764"/>
  <c r="AA732"/>
  <c r="AK732"/>
  <c r="AA701"/>
  <c r="AK701"/>
  <c r="AA669"/>
  <c r="AK669"/>
  <c r="AA637"/>
  <c r="AK637"/>
  <c r="AA605"/>
  <c r="AK605"/>
  <c r="AA573"/>
  <c r="AK573"/>
  <c r="AA541"/>
  <c r="AK541"/>
  <c r="AA509"/>
  <c r="AK509"/>
  <c r="AA477"/>
  <c r="AK477"/>
  <c r="AA445"/>
  <c r="AK445"/>
  <c r="AA413"/>
  <c r="AK413"/>
  <c r="AA381"/>
  <c r="AK381"/>
  <c r="AA349"/>
  <c r="AK349"/>
  <c r="AA317"/>
  <c r="AK317"/>
  <c r="AA285"/>
  <c r="AK285"/>
  <c r="AA253"/>
  <c r="AK253"/>
  <c r="AA221"/>
  <c r="AK221"/>
  <c r="AA189"/>
  <c r="AK189"/>
  <c r="AA157"/>
  <c r="AK157"/>
  <c r="AA125"/>
  <c r="AK125"/>
  <c r="AA93"/>
  <c r="AK93"/>
  <c r="AA63"/>
  <c r="AK63"/>
  <c r="AA2073"/>
  <c r="AK2073"/>
  <c r="AA2041"/>
  <c r="AK2041"/>
  <c r="AA2009"/>
  <c r="AK2009"/>
  <c r="AA1977"/>
  <c r="AK1977"/>
  <c r="AA1945"/>
  <c r="AK1945"/>
  <c r="AA1915"/>
  <c r="AK1915"/>
  <c r="AA1883"/>
  <c r="AK1883"/>
  <c r="AA1852"/>
  <c r="AK1852"/>
  <c r="AA1821"/>
  <c r="AK1821"/>
  <c r="AA1789"/>
  <c r="AK1789"/>
  <c r="AA1757"/>
  <c r="AK1757"/>
  <c r="AA1726"/>
  <c r="AK1726"/>
  <c r="AA1694"/>
  <c r="AK1694"/>
  <c r="AA1662"/>
  <c r="AK1662"/>
  <c r="AA1630"/>
  <c r="AK1630"/>
  <c r="AA1599"/>
  <c r="AK1599"/>
  <c r="AA1567"/>
  <c r="AK1567"/>
  <c r="AA1535"/>
  <c r="AK1535"/>
  <c r="AA1503"/>
  <c r="AK1503"/>
  <c r="AA1471"/>
  <c r="AK1471"/>
  <c r="AA1439"/>
  <c r="AK1439"/>
  <c r="AA1407"/>
  <c r="AK1407"/>
  <c r="AA1375"/>
  <c r="AK1375"/>
  <c r="AA1343"/>
  <c r="AK1343"/>
  <c r="AA1311"/>
  <c r="AK1311"/>
  <c r="AA1279"/>
  <c r="AK1279"/>
  <c r="AA1248"/>
  <c r="AK1248"/>
  <c r="AA1216"/>
  <c r="AK1216"/>
  <c r="AA1184"/>
  <c r="AK1184"/>
  <c r="AA1152"/>
  <c r="AK1152"/>
  <c r="AA1120"/>
  <c r="AK1120"/>
  <c r="AA1088"/>
  <c r="AK1088"/>
  <c r="AA1056"/>
  <c r="AK1056"/>
  <c r="AA1024"/>
  <c r="AK1024"/>
  <c r="AA992"/>
  <c r="AK992"/>
  <c r="AA961"/>
  <c r="AK961"/>
  <c r="AA929"/>
  <c r="AK929"/>
  <c r="AA897"/>
  <c r="AK897"/>
  <c r="AA865"/>
  <c r="AK865"/>
  <c r="AA833"/>
  <c r="AK833"/>
  <c r="AA801"/>
  <c r="AK801"/>
  <c r="AA769"/>
  <c r="AK769"/>
  <c r="AA737"/>
  <c r="AK737"/>
  <c r="AA706"/>
  <c r="AK706"/>
  <c r="AA674"/>
  <c r="AK674"/>
  <c r="AA642"/>
  <c r="AK642"/>
  <c r="AA610"/>
  <c r="AK610"/>
  <c r="AA578"/>
  <c r="AK578"/>
  <c r="AA546"/>
  <c r="AK546"/>
  <c r="AA514"/>
  <c r="AK514"/>
  <c r="AA482"/>
  <c r="AK482"/>
  <c r="AA450"/>
  <c r="AK450"/>
  <c r="AA418"/>
  <c r="AK418"/>
  <c r="AA386"/>
  <c r="AK386"/>
  <c r="AA354"/>
  <c r="AK354"/>
  <c r="AA322"/>
  <c r="AK322"/>
  <c r="AA290"/>
  <c r="AK290"/>
  <c r="AA258"/>
  <c r="AK258"/>
  <c r="AA226"/>
  <c r="AK226"/>
  <c r="AA194"/>
  <c r="AK194"/>
  <c r="AA162"/>
  <c r="AK162"/>
  <c r="AA130"/>
  <c r="AK130"/>
  <c r="AA98"/>
  <c r="AK98"/>
  <c r="AA68"/>
  <c r="AK68"/>
  <c r="AA1034"/>
  <c r="AK1034"/>
  <c r="AA907"/>
  <c r="AK907"/>
  <c r="AA779"/>
  <c r="AK779"/>
  <c r="AA2137"/>
  <c r="AK2137"/>
  <c r="AA2105"/>
  <c r="AK2105"/>
  <c r="AA2071"/>
  <c r="AK2071"/>
  <c r="AA2007"/>
  <c r="AK2007"/>
  <c r="AA1943"/>
  <c r="AK1943"/>
  <c r="AA1881"/>
  <c r="AK1881"/>
  <c r="AA1755"/>
  <c r="AK1755"/>
  <c r="AA1628"/>
  <c r="AK1628"/>
  <c r="AA1501"/>
  <c r="AK1501"/>
  <c r="AA1373"/>
  <c r="AK1373"/>
  <c r="AA1246"/>
  <c r="AK1246"/>
  <c r="AA1118"/>
  <c r="AK1118"/>
  <c r="AA990"/>
  <c r="AK990"/>
  <c r="AA863"/>
  <c r="AK863"/>
  <c r="AA2158"/>
  <c r="AK2158"/>
  <c r="AA2126"/>
  <c r="AK2126"/>
  <c r="AA2094"/>
  <c r="AK2094"/>
  <c r="AA2050"/>
  <c r="AK2050"/>
  <c r="AA1986"/>
  <c r="AK1986"/>
  <c r="AA1924"/>
  <c r="AK1924"/>
  <c r="AA1839"/>
  <c r="AK1839"/>
  <c r="AA1712"/>
  <c r="AK1712"/>
  <c r="AA1585"/>
  <c r="AK1585"/>
  <c r="AA1457"/>
  <c r="AK1457"/>
  <c r="AA1329"/>
  <c r="AK1329"/>
  <c r="AA1202"/>
  <c r="AK1202"/>
  <c r="AA1074"/>
  <c r="AK1074"/>
  <c r="AA947"/>
  <c r="AK947"/>
  <c r="AA819"/>
  <c r="AK819"/>
  <c r="AA2151"/>
  <c r="AK2151"/>
  <c r="AA2119"/>
  <c r="AK2119"/>
  <c r="AA2087"/>
  <c r="AK2087"/>
  <c r="AA2035"/>
  <c r="AK2035"/>
  <c r="AA1971"/>
  <c r="AK1971"/>
  <c r="AA1909"/>
  <c r="AK1909"/>
  <c r="AA1811"/>
  <c r="AK1811"/>
  <c r="AA1684"/>
  <c r="AK1684"/>
  <c r="AA1557"/>
  <c r="AK1557"/>
  <c r="AA1429"/>
  <c r="AK1429"/>
  <c r="AA1301"/>
  <c r="AK1301"/>
  <c r="AA1174"/>
  <c r="AK1174"/>
  <c r="AA1046"/>
  <c r="AK1046"/>
  <c r="AA919"/>
  <c r="AK919"/>
  <c r="AA791"/>
  <c r="AK791"/>
  <c r="AA1857"/>
  <c r="AK1857"/>
  <c r="AA1826"/>
  <c r="AK1826"/>
  <c r="AA1794"/>
  <c r="AK1794"/>
  <c r="AA1762"/>
  <c r="AK1762"/>
  <c r="AA1731"/>
  <c r="AK1731"/>
  <c r="AA1699"/>
  <c r="AK1699"/>
  <c r="AA1667"/>
  <c r="AK1667"/>
  <c r="AA1635"/>
  <c r="AK1635"/>
  <c r="AA1604"/>
  <c r="AK1604"/>
  <c r="AA1572"/>
  <c r="AK1572"/>
  <c r="AA1540"/>
  <c r="AK1540"/>
  <c r="AA1508"/>
  <c r="AK1508"/>
  <c r="AA1476"/>
  <c r="AK1476"/>
  <c r="AA1444"/>
  <c r="AK1444"/>
  <c r="AA1412"/>
  <c r="AK1412"/>
  <c r="AA1380"/>
  <c r="AK1380"/>
  <c r="AA1348"/>
  <c r="AK1348"/>
  <c r="AA1316"/>
  <c r="AK1316"/>
  <c r="AA1284"/>
  <c r="AK1284"/>
  <c r="AA1253"/>
  <c r="AK1253"/>
  <c r="AA1221"/>
  <c r="AK1221"/>
  <c r="AA1189"/>
  <c r="AK1189"/>
  <c r="AA1157"/>
  <c r="AK1157"/>
  <c r="AA1125"/>
  <c r="AK1125"/>
  <c r="AA1093"/>
  <c r="AK1093"/>
  <c r="AA1061"/>
  <c r="AK1061"/>
  <c r="AA1029"/>
  <c r="AK1029"/>
  <c r="AA997"/>
  <c r="AK997"/>
  <c r="AA966"/>
  <c r="AK966"/>
  <c r="AA934"/>
  <c r="AK934"/>
  <c r="AA902"/>
  <c r="AK902"/>
  <c r="AA870"/>
  <c r="AK870"/>
  <c r="AA838"/>
  <c r="AK838"/>
  <c r="AA806"/>
  <c r="AK806"/>
  <c r="AA774"/>
  <c r="AK774"/>
  <c r="AA742"/>
  <c r="AK742"/>
  <c r="AA711"/>
  <c r="AK711"/>
  <c r="AA679"/>
  <c r="AK679"/>
  <c r="AA647"/>
  <c r="AK647"/>
  <c r="AA615"/>
  <c r="AK615"/>
  <c r="AA583"/>
  <c r="AK583"/>
  <c r="AA551"/>
  <c r="AK551"/>
  <c r="AA519"/>
  <c r="AK519"/>
  <c r="AA487"/>
  <c r="AK487"/>
  <c r="AA455"/>
  <c r="AK455"/>
  <c r="AA423"/>
  <c r="AK423"/>
  <c r="AA391"/>
  <c r="AK391"/>
  <c r="AA359"/>
  <c r="AK359"/>
  <c r="AA327"/>
  <c r="AK327"/>
  <c r="AA295"/>
  <c r="AK295"/>
  <c r="AA263"/>
  <c r="AK263"/>
  <c r="AA231"/>
  <c r="AK231"/>
  <c r="AA199"/>
  <c r="AK199"/>
  <c r="AA167"/>
  <c r="AK167"/>
  <c r="AA135"/>
  <c r="AK135"/>
  <c r="AA103"/>
  <c r="AK103"/>
  <c r="AA73"/>
  <c r="AK73"/>
  <c r="AA739"/>
  <c r="AK739"/>
  <c r="AA708"/>
  <c r="AK708"/>
  <c r="AA676"/>
  <c r="AK676"/>
  <c r="AA644"/>
  <c r="AK644"/>
  <c r="AA612"/>
  <c r="AK612"/>
  <c r="AA580"/>
  <c r="AK580"/>
  <c r="AA548"/>
  <c r="AK548"/>
  <c r="AA516"/>
  <c r="AK516"/>
  <c r="AA484"/>
  <c r="AK484"/>
  <c r="AA452"/>
  <c r="AK452"/>
  <c r="AA420"/>
  <c r="AK420"/>
  <c r="AA388"/>
  <c r="AK388"/>
  <c r="AA356"/>
  <c r="AK356"/>
  <c r="AA324"/>
  <c r="AK324"/>
  <c r="AA292"/>
  <c r="AK292"/>
  <c r="AA260"/>
  <c r="AK260"/>
  <c r="AA228"/>
  <c r="AK228"/>
  <c r="AA196"/>
  <c r="AK196"/>
  <c r="AA164"/>
  <c r="AK164"/>
  <c r="AA132"/>
  <c r="AK132"/>
  <c r="AA100"/>
  <c r="AK100"/>
  <c r="AA70"/>
  <c r="AK70"/>
  <c r="AA2072"/>
  <c r="AK2072"/>
  <c r="AA2040"/>
  <c r="AK2040"/>
  <c r="AA2008"/>
  <c r="AK2008"/>
  <c r="AA1976"/>
  <c r="AK1976"/>
  <c r="AA1944"/>
  <c r="AK1944"/>
  <c r="AA1914"/>
  <c r="AK1914"/>
  <c r="AA1882"/>
  <c r="AK1882"/>
  <c r="AA1851"/>
  <c r="AK1851"/>
  <c r="AA1820"/>
  <c r="AK1820"/>
  <c r="AA1788"/>
  <c r="AK1788"/>
  <c r="AA1756"/>
  <c r="AK1756"/>
  <c r="AA1725"/>
  <c r="AK1725"/>
  <c r="AA1693"/>
  <c r="AK1693"/>
  <c r="AA1661"/>
  <c r="AK1661"/>
  <c r="AA1629"/>
  <c r="AK1629"/>
  <c r="AA1598"/>
  <c r="AK1598"/>
  <c r="AA1566"/>
  <c r="AK1566"/>
  <c r="AA1534"/>
  <c r="AK1534"/>
  <c r="AA1502"/>
  <c r="AK1502"/>
  <c r="AA1470"/>
  <c r="AK1470"/>
  <c r="AA1438"/>
  <c r="AK1438"/>
  <c r="AA1406"/>
  <c r="AK1406"/>
  <c r="AA1374"/>
  <c r="AK1374"/>
  <c r="AA1342"/>
  <c r="AK1342"/>
  <c r="AA1310"/>
  <c r="AK1310"/>
  <c r="AA1278"/>
  <c r="AK1278"/>
  <c r="AA1247"/>
  <c r="AK1247"/>
  <c r="AA1215"/>
  <c r="AK1215"/>
  <c r="AA1183"/>
  <c r="AK1183"/>
  <c r="AA1151"/>
  <c r="AK1151"/>
  <c r="AA1119"/>
  <c r="AK1119"/>
  <c r="AA1087"/>
  <c r="AK1087"/>
  <c r="AA1055"/>
  <c r="AK1055"/>
  <c r="AA1023"/>
  <c r="AK1023"/>
  <c r="AA991"/>
  <c r="AK991"/>
  <c r="AA960"/>
  <c r="AK960"/>
  <c r="AA928"/>
  <c r="AK928"/>
  <c r="AA896"/>
  <c r="AK896"/>
  <c r="AA864"/>
  <c r="AK864"/>
  <c r="AA832"/>
  <c r="AK832"/>
  <c r="AA800"/>
  <c r="AK800"/>
  <c r="AA768"/>
  <c r="AK768"/>
  <c r="AA736"/>
  <c r="AK736"/>
  <c r="AA705"/>
  <c r="AK705"/>
  <c r="AA673"/>
  <c r="AK673"/>
  <c r="AA641"/>
  <c r="AK641"/>
  <c r="AA609"/>
  <c r="AK609"/>
  <c r="AA577"/>
  <c r="AK577"/>
  <c r="AA545"/>
  <c r="AK545"/>
  <c r="AA513"/>
  <c r="AK513"/>
  <c r="AA481"/>
  <c r="AK481"/>
  <c r="AA449"/>
  <c r="AK449"/>
  <c r="AA417"/>
  <c r="AK417"/>
  <c r="AA385"/>
  <c r="AK385"/>
  <c r="AA353"/>
  <c r="AK353"/>
  <c r="AA321"/>
  <c r="AK321"/>
  <c r="AA289"/>
  <c r="AK289"/>
  <c r="AA257"/>
  <c r="AK257"/>
  <c r="AA225"/>
  <c r="AK225"/>
  <c r="AA193"/>
  <c r="AK193"/>
  <c r="AA161"/>
  <c r="AK161"/>
  <c r="AA129"/>
  <c r="AK129"/>
  <c r="AA97"/>
  <c r="AK97"/>
  <c r="AA67"/>
  <c r="AK67"/>
  <c r="AA2077"/>
  <c r="AK2077"/>
  <c r="AA2045"/>
  <c r="AK2045"/>
  <c r="AA2013"/>
  <c r="AK2013"/>
  <c r="AA1981"/>
  <c r="AK1981"/>
  <c r="AA1949"/>
  <c r="AK1949"/>
  <c r="AA1919"/>
  <c r="AK1919"/>
  <c r="AA1887"/>
  <c r="AK1887"/>
  <c r="AA1856"/>
  <c r="AK1856"/>
  <c r="AA1825"/>
  <c r="AK1825"/>
  <c r="AA1793"/>
  <c r="AK1793"/>
  <c r="AA1761"/>
  <c r="AK1761"/>
  <c r="AA1730"/>
  <c r="AK1730"/>
  <c r="AA1698"/>
  <c r="AK1698"/>
  <c r="AA1666"/>
  <c r="AK1666"/>
  <c r="AA1634"/>
  <c r="AK1634"/>
  <c r="AA1603"/>
  <c r="AK1603"/>
  <c r="AA1571"/>
  <c r="AK1571"/>
  <c r="AA1539"/>
  <c r="AK1539"/>
  <c r="AA1507"/>
  <c r="AK1507"/>
  <c r="AA1475"/>
  <c r="AK1475"/>
  <c r="AA1443"/>
  <c r="AK1443"/>
  <c r="AA1411"/>
  <c r="AK1411"/>
  <c r="AA1379"/>
  <c r="AK1379"/>
  <c r="AA1347"/>
  <c r="AK1347"/>
  <c r="AA1315"/>
  <c r="AK1315"/>
  <c r="AA1283"/>
  <c r="AK1283"/>
  <c r="AA1252"/>
  <c r="AK1252"/>
  <c r="AA1220"/>
  <c r="AK1220"/>
  <c r="AA1188"/>
  <c r="AK1188"/>
  <c r="AA1156"/>
  <c r="AK1156"/>
  <c r="AA1124"/>
  <c r="AK1124"/>
  <c r="AA1092"/>
  <c r="AK1092"/>
  <c r="AA1060"/>
  <c r="AK1060"/>
  <c r="AA1028"/>
  <c r="AK1028"/>
  <c r="AA996"/>
  <c r="AK996"/>
  <c r="AA965"/>
  <c r="AK965"/>
  <c r="AA933"/>
  <c r="AK933"/>
  <c r="AA901"/>
  <c r="AK901"/>
  <c r="AA869"/>
  <c r="AK869"/>
  <c r="AA837"/>
  <c r="AK837"/>
  <c r="AA805"/>
  <c r="AK805"/>
  <c r="AA773"/>
  <c r="AK773"/>
  <c r="AA741"/>
  <c r="AK741"/>
  <c r="AA710"/>
  <c r="AK710"/>
  <c r="AA678"/>
  <c r="AK678"/>
  <c r="AA646"/>
  <c r="AK646"/>
  <c r="AA614"/>
  <c r="AK614"/>
  <c r="AA582"/>
  <c r="AK582"/>
  <c r="AA550"/>
  <c r="AK550"/>
  <c r="AA518"/>
  <c r="AK518"/>
  <c r="AA486"/>
  <c r="AK486"/>
  <c r="AA454"/>
  <c r="AK454"/>
  <c r="AA422"/>
  <c r="AK422"/>
  <c r="AA390"/>
  <c r="AK390"/>
  <c r="AA358"/>
  <c r="AK358"/>
  <c r="AA326"/>
  <c r="AK326"/>
  <c r="AA294"/>
  <c r="AK294"/>
  <c r="AA262"/>
  <c r="AK262"/>
  <c r="AA230"/>
  <c r="AK230"/>
  <c r="AA198"/>
  <c r="AK198"/>
  <c r="AA166"/>
  <c r="AK166"/>
  <c r="AA134"/>
  <c r="AK134"/>
  <c r="AA102"/>
  <c r="AK102"/>
  <c r="AA72"/>
  <c r="AK72"/>
  <c r="AA1050"/>
  <c r="AK1050"/>
  <c r="AA923"/>
  <c r="AK923"/>
  <c r="AA795"/>
  <c r="AK795"/>
  <c r="AA2141"/>
  <c r="AK2141"/>
  <c r="AA2109"/>
  <c r="AK2109"/>
  <c r="AA2078"/>
  <c r="AK2078"/>
  <c r="AA2015"/>
  <c r="AK2015"/>
  <c r="AA1951"/>
  <c r="AK1951"/>
  <c r="AA1889"/>
  <c r="AK1889"/>
  <c r="AA1771"/>
  <c r="AK1771"/>
  <c r="AA1644"/>
  <c r="AK1644"/>
  <c r="AA1517"/>
  <c r="AK1517"/>
  <c r="AA1389"/>
  <c r="AK1389"/>
  <c r="AA1262"/>
  <c r="AK1262"/>
  <c r="AA1134"/>
  <c r="AK1134"/>
  <c r="AA1006"/>
  <c r="AK1006"/>
  <c r="AA879"/>
  <c r="AK879"/>
  <c r="AA2162"/>
  <c r="AK2162"/>
  <c r="AA2130"/>
  <c r="AK2130"/>
  <c r="AA2098"/>
  <c r="AK2098"/>
  <c r="AA2058"/>
  <c r="AK2058"/>
  <c r="AA1994"/>
  <c r="AK1994"/>
  <c r="AA1931"/>
  <c r="AK1931"/>
  <c r="AA1854"/>
  <c r="AK1854"/>
  <c r="AA1728"/>
  <c r="AK1728"/>
  <c r="AA1601"/>
  <c r="AK1601"/>
  <c r="AA1473"/>
  <c r="AK1473"/>
  <c r="AA1345"/>
  <c r="AK1345"/>
  <c r="AA1218"/>
  <c r="AK1218"/>
  <c r="AA1090"/>
  <c r="AK1090"/>
  <c r="AA963"/>
  <c r="AK963"/>
  <c r="AA835"/>
  <c r="AK835"/>
  <c r="AA2155"/>
  <c r="AK2155"/>
  <c r="AA2123"/>
  <c r="AK2123"/>
  <c r="AA2091"/>
  <c r="AK2091"/>
  <c r="AA2043"/>
  <c r="AK2043"/>
  <c r="AA1979"/>
  <c r="AK1979"/>
  <c r="AA1917"/>
  <c r="AK1917"/>
  <c r="AA1827"/>
  <c r="AK1827"/>
  <c r="AA1700"/>
  <c r="AK1700"/>
  <c r="AA1573"/>
  <c r="AK1573"/>
  <c r="AA1445"/>
  <c r="AK1445"/>
  <c r="AA1317"/>
  <c r="AK1317"/>
  <c r="AA1190"/>
  <c r="AK1190"/>
  <c r="AA1062"/>
  <c r="AK1062"/>
  <c r="AA935"/>
  <c r="AK935"/>
  <c r="AA807"/>
  <c r="AK807"/>
  <c r="AA1860"/>
  <c r="AK1860"/>
  <c r="AA1830"/>
  <c r="AK1830"/>
  <c r="AA1798"/>
  <c r="AK1798"/>
  <c r="AA1766"/>
  <c r="AK1766"/>
  <c r="AA1734"/>
  <c r="AK1734"/>
  <c r="AA1703"/>
  <c r="AK1703"/>
  <c r="AA1671"/>
  <c r="AK1671"/>
  <c r="AA1639"/>
  <c r="AK1639"/>
  <c r="AA1608"/>
  <c r="AK1608"/>
  <c r="AA1576"/>
  <c r="AK1576"/>
  <c r="AA1544"/>
  <c r="AK1544"/>
  <c r="AA1512"/>
  <c r="AK1512"/>
  <c r="AA1480"/>
  <c r="AK1480"/>
  <c r="AA1448"/>
  <c r="AK1448"/>
  <c r="AA1416"/>
  <c r="AK1416"/>
  <c r="AA1384"/>
  <c r="AK1384"/>
  <c r="AA1352"/>
  <c r="AK1352"/>
  <c r="AA1320"/>
  <c r="AK1320"/>
  <c r="AA1288"/>
  <c r="AK1288"/>
  <c r="AA1257"/>
  <c r="AK1257"/>
  <c r="AA1225"/>
  <c r="AK1225"/>
  <c r="AA1193"/>
  <c r="AK1193"/>
  <c r="AA1161"/>
  <c r="AK1161"/>
  <c r="AA1129"/>
  <c r="AK1129"/>
  <c r="AA1097"/>
  <c r="AK1097"/>
  <c r="AA1065"/>
  <c r="AK1065"/>
  <c r="AA1033"/>
  <c r="AK1033"/>
  <c r="AA1001"/>
  <c r="AK1001"/>
  <c r="AA970"/>
  <c r="AK970"/>
  <c r="AA938"/>
  <c r="AK938"/>
  <c r="AA906"/>
  <c r="AK906"/>
  <c r="AA874"/>
  <c r="AK874"/>
  <c r="AA842"/>
  <c r="AK842"/>
  <c r="AA810"/>
  <c r="AK810"/>
  <c r="AA778"/>
  <c r="AK778"/>
  <c r="AA746"/>
  <c r="AK746"/>
  <c r="AA715"/>
  <c r="AK715"/>
  <c r="AA683"/>
  <c r="AK683"/>
  <c r="AA651"/>
  <c r="AK651"/>
  <c r="AA619"/>
  <c r="AK619"/>
  <c r="AA587"/>
  <c r="AK587"/>
  <c r="AA555"/>
  <c r="AK555"/>
  <c r="AA523"/>
  <c r="AK523"/>
  <c r="AA491"/>
  <c r="AK491"/>
  <c r="AA459"/>
  <c r="AK459"/>
  <c r="AA427"/>
  <c r="AK427"/>
  <c r="AA395"/>
  <c r="AK395"/>
  <c r="AA363"/>
  <c r="AK363"/>
  <c r="AA331"/>
  <c r="AK331"/>
  <c r="AA299"/>
  <c r="AK299"/>
  <c r="AA267"/>
  <c r="AK267"/>
  <c r="AA235"/>
  <c r="AK235"/>
  <c r="AA203"/>
  <c r="AK203"/>
  <c r="AA171"/>
  <c r="AK171"/>
  <c r="AA139"/>
  <c r="AK139"/>
  <c r="AA107"/>
  <c r="AK107"/>
  <c r="AA9"/>
  <c r="AK9"/>
  <c r="AA743"/>
  <c r="AK743"/>
  <c r="AA712"/>
  <c r="AK712"/>
  <c r="AA680"/>
  <c r="AK680"/>
  <c r="AA648"/>
  <c r="AK648"/>
  <c r="AA616"/>
  <c r="AK616"/>
  <c r="AA584"/>
  <c r="AK584"/>
  <c r="AA552"/>
  <c r="AK552"/>
  <c r="AA520"/>
  <c r="AK520"/>
  <c r="AA488"/>
  <c r="AK488"/>
  <c r="AA456"/>
  <c r="AK456"/>
  <c r="AA424"/>
  <c r="AK424"/>
  <c r="AA392"/>
  <c r="AK392"/>
  <c r="AA360"/>
  <c r="AK360"/>
  <c r="AA328"/>
  <c r="AK328"/>
  <c r="AA296"/>
  <c r="AK296"/>
  <c r="AA264"/>
  <c r="AK264"/>
  <c r="AA232"/>
  <c r="AK232"/>
  <c r="AA200"/>
  <c r="AK200"/>
  <c r="AA168"/>
  <c r="AK168"/>
  <c r="AA136"/>
  <c r="AK136"/>
  <c r="AA104"/>
  <c r="AK104"/>
  <c r="AA74"/>
  <c r="AK74"/>
  <c r="AA2044"/>
  <c r="AK2044"/>
  <c r="AA2012"/>
  <c r="AK2012"/>
  <c r="AA1980"/>
  <c r="AK1980"/>
  <c r="AA1948"/>
  <c r="AK1948"/>
  <c r="AA1918"/>
  <c r="AK1918"/>
  <c r="AA1886"/>
  <c r="AK1886"/>
  <c r="AA1855"/>
  <c r="AK1855"/>
  <c r="AA1824"/>
  <c r="AK1824"/>
  <c r="AA1792"/>
  <c r="AK1792"/>
  <c r="AA1760"/>
  <c r="AK1760"/>
  <c r="AA1729"/>
  <c r="AK1729"/>
  <c r="AA1697"/>
  <c r="AK1697"/>
  <c r="AA1665"/>
  <c r="AK1665"/>
  <c r="AA1633"/>
  <c r="AK1633"/>
  <c r="AA1602"/>
  <c r="AK1602"/>
  <c r="AA1570"/>
  <c r="AK1570"/>
  <c r="AA1538"/>
  <c r="AK1538"/>
  <c r="AA1506"/>
  <c r="AK1506"/>
  <c r="AA1474"/>
  <c r="AK1474"/>
  <c r="AA1442"/>
  <c r="AK1442"/>
  <c r="AA1410"/>
  <c r="AK1410"/>
  <c r="AA1378"/>
  <c r="AK1378"/>
  <c r="AA1346"/>
  <c r="AK1346"/>
  <c r="AA1314"/>
  <c r="AK1314"/>
  <c r="AA1282"/>
  <c r="AK1282"/>
  <c r="AA1251"/>
  <c r="AK1251"/>
  <c r="AA1219"/>
  <c r="AK1219"/>
  <c r="AA1187"/>
  <c r="AK1187"/>
  <c r="AA1155"/>
  <c r="AK1155"/>
  <c r="AA1123"/>
  <c r="AK1123"/>
  <c r="AA1091"/>
  <c r="AK1091"/>
  <c r="AA1059"/>
  <c r="AK1059"/>
  <c r="AA1027"/>
  <c r="AK1027"/>
  <c r="AA995"/>
  <c r="AK995"/>
  <c r="AA964"/>
  <c r="AK964"/>
  <c r="AA932"/>
  <c r="AK932"/>
  <c r="AA900"/>
  <c r="AK900"/>
  <c r="AA868"/>
  <c r="AK868"/>
  <c r="AA836"/>
  <c r="AK836"/>
  <c r="AA804"/>
  <c r="AK804"/>
  <c r="AA772"/>
  <c r="AK772"/>
  <c r="AA740"/>
  <c r="AK740"/>
  <c r="AA709"/>
  <c r="AK709"/>
  <c r="AA677"/>
  <c r="AK677"/>
  <c r="AA645"/>
  <c r="AK645"/>
  <c r="AA613"/>
  <c r="AK613"/>
  <c r="AA581"/>
  <c r="AK581"/>
  <c r="AA549"/>
  <c r="AK549"/>
  <c r="AA517"/>
  <c r="AK517"/>
  <c r="AA485"/>
  <c r="AK485"/>
  <c r="AA453"/>
  <c r="AK453"/>
  <c r="AA421"/>
  <c r="AK421"/>
  <c r="AA389"/>
  <c r="AK389"/>
  <c r="AA357"/>
  <c r="AK357"/>
  <c r="AA325"/>
  <c r="AK325"/>
  <c r="AA293"/>
  <c r="AK293"/>
  <c r="AA261"/>
  <c r="AK261"/>
  <c r="AA229"/>
  <c r="AK229"/>
  <c r="AA197"/>
  <c r="AK197"/>
  <c r="AA165"/>
  <c r="AK165"/>
  <c r="AA133"/>
  <c r="AK133"/>
  <c r="AA101"/>
  <c r="AK101"/>
  <c r="AA71"/>
  <c r="AK71"/>
  <c r="AA2049"/>
  <c r="AK2049"/>
  <c r="AA2017"/>
  <c r="AK2017"/>
  <c r="AA1985"/>
  <c r="AK1985"/>
  <c r="AA1953"/>
  <c r="AK1953"/>
  <c r="AA1923"/>
  <c r="AK1923"/>
  <c r="AA1891"/>
  <c r="AK1891"/>
  <c r="AA1859"/>
  <c r="AK1859"/>
  <c r="AA1829"/>
  <c r="AK1829"/>
  <c r="AA1797"/>
  <c r="AK1797"/>
  <c r="AA1765"/>
  <c r="AK1765"/>
  <c r="AA1733"/>
  <c r="AK1733"/>
  <c r="AA1702"/>
  <c r="AK1702"/>
  <c r="AA1670"/>
  <c r="AK1670"/>
  <c r="AA1638"/>
  <c r="AK1638"/>
  <c r="AA1607"/>
  <c r="AK1607"/>
  <c r="AA1575"/>
  <c r="AK1575"/>
  <c r="AA1543"/>
  <c r="AK1543"/>
  <c r="AA1511"/>
  <c r="AK1511"/>
  <c r="AA1479"/>
  <c r="AK1479"/>
  <c r="AA1447"/>
  <c r="AK1447"/>
  <c r="AA1415"/>
  <c r="AK1415"/>
  <c r="AA1383"/>
  <c r="AK1383"/>
  <c r="AA1351"/>
  <c r="AK1351"/>
  <c r="AA1319"/>
  <c r="AK1319"/>
  <c r="AA1287"/>
  <c r="AK1287"/>
  <c r="AA1256"/>
  <c r="AK1256"/>
  <c r="AA1224"/>
  <c r="AK1224"/>
  <c r="AA1192"/>
  <c r="AK1192"/>
  <c r="AA1160"/>
  <c r="AK1160"/>
  <c r="AA1128"/>
  <c r="AK1128"/>
  <c r="AA1096"/>
  <c r="AK1096"/>
  <c r="AA1064"/>
  <c r="AK1064"/>
  <c r="AA1032"/>
  <c r="AK1032"/>
  <c r="AA1000"/>
  <c r="AK1000"/>
  <c r="AA969"/>
  <c r="AK969"/>
  <c r="AA937"/>
  <c r="AK937"/>
  <c r="AA905"/>
  <c r="AK905"/>
  <c r="AA873"/>
  <c r="AK873"/>
  <c r="AA841"/>
  <c r="AK841"/>
  <c r="AA809"/>
  <c r="AK809"/>
  <c r="AA777"/>
  <c r="AK777"/>
  <c r="AA745"/>
  <c r="AK745"/>
  <c r="AA714"/>
  <c r="AK714"/>
  <c r="AA682"/>
  <c r="AK682"/>
  <c r="AA650"/>
  <c r="AK650"/>
  <c r="AA618"/>
  <c r="AK618"/>
  <c r="AA586"/>
  <c r="AK586"/>
  <c r="AA554"/>
  <c r="AK554"/>
  <c r="AA522"/>
  <c r="AK522"/>
  <c r="AA490"/>
  <c r="AK490"/>
  <c r="AA458"/>
  <c r="AK458"/>
  <c r="AA426"/>
  <c r="AK426"/>
  <c r="AA394"/>
  <c r="AK394"/>
  <c r="AA362"/>
  <c r="AK362"/>
  <c r="AA330"/>
  <c r="AK330"/>
  <c r="AA298"/>
  <c r="AK298"/>
  <c r="AA266"/>
  <c r="AK266"/>
  <c r="AA234"/>
  <c r="AK234"/>
  <c r="AA202"/>
  <c r="AK202"/>
  <c r="AA170"/>
  <c r="AK170"/>
  <c r="AA138"/>
  <c r="AK138"/>
  <c r="AA106"/>
  <c r="AK106"/>
  <c r="AA76"/>
  <c r="AK76"/>
  <c r="AK36"/>
  <c r="AA36"/>
  <c r="AK29"/>
  <c r="AA29"/>
  <c r="AK21"/>
  <c r="AA21"/>
  <c r="AK34"/>
  <c r="AA34"/>
  <c r="AK26"/>
  <c r="AA26"/>
  <c r="AK39"/>
  <c r="AA39"/>
  <c r="AK44"/>
  <c r="AA44"/>
  <c r="AK24"/>
  <c r="AA24"/>
  <c r="AK25"/>
  <c r="AA25"/>
  <c r="AK22"/>
  <c r="AA22"/>
  <c r="AK41"/>
  <c r="AA41"/>
  <c r="AK35"/>
  <c r="AA35"/>
  <c r="AK46"/>
  <c r="AA46"/>
  <c r="AK38"/>
  <c r="AA38"/>
  <c r="AK40"/>
  <c r="AA40"/>
  <c r="AK28"/>
  <c r="AA28"/>
  <c r="AK23"/>
  <c r="AA23"/>
  <c r="AK33"/>
  <c r="AA33"/>
  <c r="AK27"/>
  <c r="AA27"/>
  <c r="AK43"/>
  <c r="AA43"/>
  <c r="AK18"/>
  <c r="AA18"/>
  <c r="AK30"/>
  <c r="AA30"/>
  <c r="AK20"/>
  <c r="AA20"/>
  <c r="AK31"/>
  <c r="AA31"/>
  <c r="AK32"/>
  <c r="AA32"/>
  <c r="AK45"/>
  <c r="AA45"/>
  <c r="AK37"/>
  <c r="AA37"/>
  <c r="AK42"/>
  <c r="AA42"/>
  <c r="AK13"/>
  <c r="AA13"/>
  <c r="X2169" i="2"/>
  <c r="L19" i="8"/>
  <c r="AK19" l="1"/>
  <c r="AK2169" s="1"/>
  <c r="AA19"/>
  <c r="L2169"/>
  <c r="AL41" l="1"/>
  <c r="AN41" s="1"/>
  <c r="AL18"/>
  <c r="AM18" s="1"/>
  <c r="AL50"/>
  <c r="AL54"/>
  <c r="AL58"/>
  <c r="AL62"/>
  <c r="AL66"/>
  <c r="AL70"/>
  <c r="AL74"/>
  <c r="AL77"/>
  <c r="AL81"/>
  <c r="AL84"/>
  <c r="AL88"/>
  <c r="AL92"/>
  <c r="AL96"/>
  <c r="AL100"/>
  <c r="AL104"/>
  <c r="AL108"/>
  <c r="AL112"/>
  <c r="AL116"/>
  <c r="AL120"/>
  <c r="AL124"/>
  <c r="AL128"/>
  <c r="AL132"/>
  <c r="AL136"/>
  <c r="AL140"/>
  <c r="AL144"/>
  <c r="AL148"/>
  <c r="AL152"/>
  <c r="AL156"/>
  <c r="AL160"/>
  <c r="AL164"/>
  <c r="AL168"/>
  <c r="AL172"/>
  <c r="AL176"/>
  <c r="AL180"/>
  <c r="AL184"/>
  <c r="AL188"/>
  <c r="AL192"/>
  <c r="AL196"/>
  <c r="AL200"/>
  <c r="AL204"/>
  <c r="AL208"/>
  <c r="AL212"/>
  <c r="AL216"/>
  <c r="AL220"/>
  <c r="AL224"/>
  <c r="AL228"/>
  <c r="AL232"/>
  <c r="AL236"/>
  <c r="AL240"/>
  <c r="AL244"/>
  <c r="AL248"/>
  <c r="AL252"/>
  <c r="AL256"/>
  <c r="AL260"/>
  <c r="AL264"/>
  <c r="AL268"/>
  <c r="AL272"/>
  <c r="AL276"/>
  <c r="AL280"/>
  <c r="AL284"/>
  <c r="AL288"/>
  <c r="AL292"/>
  <c r="AL296"/>
  <c r="AL300"/>
  <c r="AL304"/>
  <c r="AL308"/>
  <c r="AL312"/>
  <c r="AL316"/>
  <c r="AL320"/>
  <c r="AL324"/>
  <c r="AL328"/>
  <c r="AL332"/>
  <c r="AL336"/>
  <c r="AL340"/>
  <c r="AL344"/>
  <c r="AL348"/>
  <c r="AL352"/>
  <c r="AL356"/>
  <c r="AL360"/>
  <c r="AL364"/>
  <c r="AL368"/>
  <c r="AL372"/>
  <c r="AL376"/>
  <c r="AL380"/>
  <c r="AL384"/>
  <c r="AL388"/>
  <c r="AL392"/>
  <c r="AL396"/>
  <c r="AL400"/>
  <c r="AL404"/>
  <c r="AL408"/>
  <c r="AL412"/>
  <c r="AL416"/>
  <c r="AL420"/>
  <c r="AL424"/>
  <c r="AL428"/>
  <c r="AL432"/>
  <c r="AL436"/>
  <c r="AL440"/>
  <c r="AL444"/>
  <c r="AL448"/>
  <c r="AL452"/>
  <c r="AL456"/>
  <c r="AL460"/>
  <c r="AL464"/>
  <c r="AL468"/>
  <c r="AL472"/>
  <c r="AL476"/>
  <c r="AL480"/>
  <c r="AL484"/>
  <c r="AL488"/>
  <c r="AL492"/>
  <c r="AL496"/>
  <c r="AL500"/>
  <c r="AL504"/>
  <c r="AL508"/>
  <c r="AL512"/>
  <c r="AL516"/>
  <c r="AL520"/>
  <c r="AL524"/>
  <c r="AL528"/>
  <c r="AL532"/>
  <c r="AL536"/>
  <c r="AL540"/>
  <c r="AL544"/>
  <c r="AL548"/>
  <c r="AL552"/>
  <c r="AL556"/>
  <c r="AL560"/>
  <c r="AL564"/>
  <c r="AL568"/>
  <c r="AL572"/>
  <c r="AL576"/>
  <c r="AL580"/>
  <c r="AL584"/>
  <c r="AL588"/>
  <c r="AL592"/>
  <c r="AL596"/>
  <c r="AL600"/>
  <c r="AL604"/>
  <c r="AL608"/>
  <c r="AL612"/>
  <c r="AL616"/>
  <c r="AL620"/>
  <c r="AL624"/>
  <c r="AL628"/>
  <c r="AL632"/>
  <c r="AL636"/>
  <c r="AL640"/>
  <c r="AL644"/>
  <c r="AL648"/>
  <c r="AL652"/>
  <c r="AL656"/>
  <c r="AL660"/>
  <c r="AL664"/>
  <c r="AL668"/>
  <c r="AL672"/>
  <c r="AL676"/>
  <c r="AL680"/>
  <c r="AL684"/>
  <c r="AL688"/>
  <c r="AL692"/>
  <c r="AL696"/>
  <c r="AL700"/>
  <c r="AL704"/>
  <c r="AL708"/>
  <c r="AL712"/>
  <c r="AL716"/>
  <c r="AL720"/>
  <c r="AL724"/>
  <c r="AL727"/>
  <c r="AL731"/>
  <c r="AL735"/>
  <c r="AL739"/>
  <c r="AL743"/>
  <c r="AL747"/>
  <c r="AL751"/>
  <c r="AL755"/>
  <c r="AL759"/>
  <c r="AL763"/>
  <c r="AL767"/>
  <c r="AL771"/>
  <c r="AL775"/>
  <c r="AL779"/>
  <c r="AL783"/>
  <c r="AL787"/>
  <c r="AL791"/>
  <c r="AL795"/>
  <c r="AL799"/>
  <c r="AL803"/>
  <c r="AL807"/>
  <c r="AL811"/>
  <c r="AL815"/>
  <c r="AL819"/>
  <c r="AL823"/>
  <c r="AL827"/>
  <c r="AL831"/>
  <c r="AL835"/>
  <c r="AL839"/>
  <c r="AL843"/>
  <c r="AL847"/>
  <c r="AL851"/>
  <c r="AL855"/>
  <c r="AL859"/>
  <c r="AL863"/>
  <c r="AL867"/>
  <c r="AL871"/>
  <c r="AL875"/>
  <c r="AL879"/>
  <c r="AL883"/>
  <c r="AL887"/>
  <c r="AL891"/>
  <c r="AL895"/>
  <c r="AL899"/>
  <c r="AL903"/>
  <c r="AL907"/>
  <c r="AL911"/>
  <c r="AL915"/>
  <c r="AL919"/>
  <c r="AL923"/>
  <c r="AL927"/>
  <c r="AL931"/>
  <c r="AL935"/>
  <c r="AL939"/>
  <c r="AL943"/>
  <c r="AL947"/>
  <c r="AL951"/>
  <c r="AL955"/>
  <c r="AL959"/>
  <c r="AL963"/>
  <c r="AL967"/>
  <c r="AL971"/>
  <c r="AL974"/>
  <c r="AL978"/>
  <c r="AL982"/>
  <c r="AL986"/>
  <c r="AL990"/>
  <c r="AL994"/>
  <c r="AL998"/>
  <c r="AL1002"/>
  <c r="AL1006"/>
  <c r="AL1010"/>
  <c r="AL1014"/>
  <c r="AL1018"/>
  <c r="AL1022"/>
  <c r="AL1026"/>
  <c r="AL1030"/>
  <c r="AL1034"/>
  <c r="AL1038"/>
  <c r="AL1042"/>
  <c r="AL1046"/>
  <c r="AL1050"/>
  <c r="AL1054"/>
  <c r="AL1058"/>
  <c r="AL1062"/>
  <c r="AL1066"/>
  <c r="AL1070"/>
  <c r="AL1074"/>
  <c r="AL1078"/>
  <c r="AL1082"/>
  <c r="AL1086"/>
  <c r="AL1090"/>
  <c r="AL1094"/>
  <c r="AL1098"/>
  <c r="AL1102"/>
  <c r="AL1106"/>
  <c r="AL1110"/>
  <c r="AL1114"/>
  <c r="AL1118"/>
  <c r="AL1122"/>
  <c r="AL1126"/>
  <c r="AL1130"/>
  <c r="AL1134"/>
  <c r="AL1138"/>
  <c r="AL1142"/>
  <c r="AL1146"/>
  <c r="AL1150"/>
  <c r="AL1154"/>
  <c r="AL1158"/>
  <c r="AL1162"/>
  <c r="AL1166"/>
  <c r="AL1170"/>
  <c r="AL1174"/>
  <c r="AL1178"/>
  <c r="AL1182"/>
  <c r="AL1186"/>
  <c r="AL1190"/>
  <c r="AL1194"/>
  <c r="AL1198"/>
  <c r="AL1202"/>
  <c r="AL1206"/>
  <c r="AL1210"/>
  <c r="AL1214"/>
  <c r="AL1218"/>
  <c r="AL1222"/>
  <c r="AL1226"/>
  <c r="AL1230"/>
  <c r="AL1234"/>
  <c r="AL1238"/>
  <c r="AL1242"/>
  <c r="AL1246"/>
  <c r="AL1250"/>
  <c r="AL1254"/>
  <c r="AL1258"/>
  <c r="AL1262"/>
  <c r="AL1266"/>
  <c r="AL1270"/>
  <c r="AL1273"/>
  <c r="AL1277"/>
  <c r="AL1281"/>
  <c r="AL1285"/>
  <c r="AL1289"/>
  <c r="AL1293"/>
  <c r="AL1297"/>
  <c r="AL1301"/>
  <c r="AL1305"/>
  <c r="AL1309"/>
  <c r="AL1313"/>
  <c r="AL1317"/>
  <c r="AL1321"/>
  <c r="AL1325"/>
  <c r="AL1329"/>
  <c r="AL1333"/>
  <c r="AL1337"/>
  <c r="AL1341"/>
  <c r="AL1345"/>
  <c r="AL1349"/>
  <c r="AL1353"/>
  <c r="AL1357"/>
  <c r="AL1361"/>
  <c r="AL1365"/>
  <c r="AL1369"/>
  <c r="AL1373"/>
  <c r="AL1377"/>
  <c r="AL1381"/>
  <c r="AL1385"/>
  <c r="AL1389"/>
  <c r="AL1393"/>
  <c r="AL1397"/>
  <c r="AL1401"/>
  <c r="AL1405"/>
  <c r="AL1409"/>
  <c r="AL1413"/>
  <c r="AL1417"/>
  <c r="AL1421"/>
  <c r="AL1425"/>
  <c r="AL1429"/>
  <c r="AL1433"/>
  <c r="AL1437"/>
  <c r="AL1441"/>
  <c r="AL1445"/>
  <c r="AL1449"/>
  <c r="AL1453"/>
  <c r="AL1457"/>
  <c r="AL1461"/>
  <c r="AL1465"/>
  <c r="AL1469"/>
  <c r="AL1473"/>
  <c r="AL1477"/>
  <c r="AL1481"/>
  <c r="AL1485"/>
  <c r="AL1489"/>
  <c r="AL1493"/>
  <c r="AL1497"/>
  <c r="AL1501"/>
  <c r="AL1505"/>
  <c r="AL1509"/>
  <c r="AL1513"/>
  <c r="AL1517"/>
  <c r="AL1521"/>
  <c r="AL1525"/>
  <c r="AL1529"/>
  <c r="AL1533"/>
  <c r="AL1537"/>
  <c r="AL1541"/>
  <c r="AL1545"/>
  <c r="AL1549"/>
  <c r="AL1553"/>
  <c r="AL1557"/>
  <c r="AL1561"/>
  <c r="AL1565"/>
  <c r="AL1569"/>
  <c r="AL1573"/>
  <c r="AL1577"/>
  <c r="AL1581"/>
  <c r="AL1585"/>
  <c r="AL1589"/>
  <c r="AL1593"/>
  <c r="AL1597"/>
  <c r="AL1601"/>
  <c r="AL1605"/>
  <c r="AL1609"/>
  <c r="AL1613"/>
  <c r="AL1617"/>
  <c r="AL1621"/>
  <c r="AL1624"/>
  <c r="AL1628"/>
  <c r="AL1632"/>
  <c r="AL1636"/>
  <c r="AL1640"/>
  <c r="AL1644"/>
  <c r="AL1648"/>
  <c r="AL1652"/>
  <c r="AL1656"/>
  <c r="AL1660"/>
  <c r="AL1664"/>
  <c r="AL1668"/>
  <c r="AL1672"/>
  <c r="AL1676"/>
  <c r="AL1680"/>
  <c r="AL1684"/>
  <c r="AL1688"/>
  <c r="AL1692"/>
  <c r="AL1696"/>
  <c r="AL1700"/>
  <c r="AL1704"/>
  <c r="AL1708"/>
  <c r="AL1712"/>
  <c r="AL1716"/>
  <c r="AL1720"/>
  <c r="AL1724"/>
  <c r="AL1728"/>
  <c r="AL7"/>
  <c r="AL1735"/>
  <c r="AL1739"/>
  <c r="AL1743"/>
  <c r="AL1747"/>
  <c r="AL1751"/>
  <c r="AL1755"/>
  <c r="AL1759"/>
  <c r="AL1763"/>
  <c r="AL1767"/>
  <c r="AL1771"/>
  <c r="AL1775"/>
  <c r="AL1779"/>
  <c r="AL1783"/>
  <c r="AL1787"/>
  <c r="AL1791"/>
  <c r="AL1795"/>
  <c r="AL1799"/>
  <c r="AL1803"/>
  <c r="AL1807"/>
  <c r="AL1811"/>
  <c r="AL1815"/>
  <c r="AL1819"/>
  <c r="AL1823"/>
  <c r="AL1827"/>
  <c r="AL1831"/>
  <c r="AL1835"/>
  <c r="AL1839"/>
  <c r="AL1842"/>
  <c r="AL1846"/>
  <c r="AL1850"/>
  <c r="AL1854"/>
  <c r="AL1858"/>
  <c r="AL1861"/>
  <c r="AL1865"/>
  <c r="AL1869"/>
  <c r="AL1873"/>
  <c r="AL1877"/>
  <c r="AL49"/>
  <c r="AL53"/>
  <c r="AL57"/>
  <c r="AL61"/>
  <c r="AL65"/>
  <c r="AL69"/>
  <c r="AL73"/>
  <c r="AL9"/>
  <c r="AL80"/>
  <c r="AL83"/>
  <c r="AL87"/>
  <c r="AL91"/>
  <c r="AL95"/>
  <c r="AL99"/>
  <c r="AL103"/>
  <c r="AL107"/>
  <c r="AL111"/>
  <c r="AL115"/>
  <c r="AL119"/>
  <c r="AL123"/>
  <c r="AL127"/>
  <c r="AL131"/>
  <c r="AL135"/>
  <c r="AL139"/>
  <c r="AL143"/>
  <c r="AL147"/>
  <c r="AL151"/>
  <c r="AL155"/>
  <c r="AL159"/>
  <c r="AL163"/>
  <c r="AL167"/>
  <c r="AL171"/>
  <c r="AL175"/>
  <c r="AL179"/>
  <c r="AL183"/>
  <c r="AL187"/>
  <c r="AL191"/>
  <c r="AL195"/>
  <c r="AL199"/>
  <c r="AL203"/>
  <c r="AL207"/>
  <c r="AL211"/>
  <c r="AL215"/>
  <c r="AL219"/>
  <c r="AL223"/>
  <c r="AL227"/>
  <c r="AL231"/>
  <c r="AL235"/>
  <c r="AL239"/>
  <c r="AL243"/>
  <c r="AL247"/>
  <c r="AL251"/>
  <c r="AL255"/>
  <c r="AL259"/>
  <c r="AL263"/>
  <c r="AL267"/>
  <c r="AL271"/>
  <c r="AL275"/>
  <c r="AL279"/>
  <c r="AL283"/>
  <c r="AL287"/>
  <c r="AL291"/>
  <c r="AL295"/>
  <c r="AL299"/>
  <c r="AL303"/>
  <c r="AL307"/>
  <c r="AL311"/>
  <c r="AL315"/>
  <c r="AL319"/>
  <c r="AL323"/>
  <c r="AL327"/>
  <c r="AL331"/>
  <c r="AL335"/>
  <c r="AL339"/>
  <c r="AL343"/>
  <c r="AL347"/>
  <c r="AL351"/>
  <c r="AL355"/>
  <c r="AL359"/>
  <c r="AL363"/>
  <c r="AL367"/>
  <c r="AL371"/>
  <c r="AL375"/>
  <c r="AL379"/>
  <c r="AL383"/>
  <c r="AL387"/>
  <c r="AL391"/>
  <c r="AL395"/>
  <c r="AL399"/>
  <c r="AL403"/>
  <c r="AL407"/>
  <c r="AL411"/>
  <c r="AL415"/>
  <c r="AL419"/>
  <c r="AL423"/>
  <c r="AL427"/>
  <c r="AL431"/>
  <c r="AL435"/>
  <c r="AL439"/>
  <c r="AL443"/>
  <c r="AL447"/>
  <c r="AL451"/>
  <c r="AL455"/>
  <c r="AL459"/>
  <c r="AL463"/>
  <c r="AL467"/>
  <c r="AL471"/>
  <c r="AL475"/>
  <c r="AL479"/>
  <c r="AL483"/>
  <c r="AL487"/>
  <c r="AL491"/>
  <c r="AL495"/>
  <c r="AL499"/>
  <c r="AL47"/>
  <c r="AL51"/>
  <c r="AL55"/>
  <c r="AL59"/>
  <c r="AL63"/>
  <c r="AL67"/>
  <c r="AL71"/>
  <c r="AL75"/>
  <c r="AL78"/>
  <c r="AL15"/>
  <c r="AL85"/>
  <c r="AL89"/>
  <c r="AL93"/>
  <c r="AL97"/>
  <c r="AL101"/>
  <c r="AL105"/>
  <c r="AL109"/>
  <c r="AL113"/>
  <c r="AL117"/>
  <c r="AL121"/>
  <c r="AL125"/>
  <c r="AL129"/>
  <c r="AL133"/>
  <c r="AL137"/>
  <c r="AL141"/>
  <c r="AL145"/>
  <c r="AL149"/>
  <c r="AL153"/>
  <c r="AL157"/>
  <c r="AL161"/>
  <c r="AL165"/>
  <c r="AL169"/>
  <c r="AL173"/>
  <c r="AL177"/>
  <c r="AL181"/>
  <c r="AL185"/>
  <c r="AL189"/>
  <c r="AL193"/>
  <c r="AL197"/>
  <c r="AL201"/>
  <c r="AL205"/>
  <c r="AL209"/>
  <c r="AL213"/>
  <c r="AL217"/>
  <c r="AL221"/>
  <c r="AL225"/>
  <c r="AL229"/>
  <c r="AL233"/>
  <c r="AL237"/>
  <c r="AL241"/>
  <c r="AL245"/>
  <c r="AL249"/>
  <c r="AL253"/>
  <c r="AL257"/>
  <c r="AL261"/>
  <c r="AL265"/>
  <c r="AL269"/>
  <c r="AL273"/>
  <c r="AL277"/>
  <c r="AL281"/>
  <c r="AL285"/>
  <c r="AL289"/>
  <c r="AL293"/>
  <c r="AL297"/>
  <c r="AL301"/>
  <c r="AL305"/>
  <c r="AL309"/>
  <c r="AL313"/>
  <c r="AL317"/>
  <c r="AL321"/>
  <c r="AL325"/>
  <c r="AL329"/>
  <c r="AL333"/>
  <c r="AL337"/>
  <c r="AL341"/>
  <c r="AL345"/>
  <c r="AL349"/>
  <c r="AL353"/>
  <c r="AL357"/>
  <c r="AL361"/>
  <c r="AL365"/>
  <c r="AL369"/>
  <c r="AL373"/>
  <c r="AL377"/>
  <c r="AL381"/>
  <c r="AL385"/>
  <c r="AL389"/>
  <c r="AL393"/>
  <c r="AL397"/>
  <c r="AL401"/>
  <c r="AL405"/>
  <c r="AL409"/>
  <c r="AL413"/>
  <c r="AL417"/>
  <c r="AL421"/>
  <c r="AL425"/>
  <c r="AL429"/>
  <c r="AL433"/>
  <c r="AL437"/>
  <c r="AL441"/>
  <c r="AL445"/>
  <c r="AL449"/>
  <c r="AL453"/>
  <c r="AL457"/>
  <c r="AL461"/>
  <c r="AL465"/>
  <c r="AL469"/>
  <c r="AL473"/>
  <c r="AL477"/>
  <c r="AL481"/>
  <c r="AL485"/>
  <c r="AL489"/>
  <c r="AL493"/>
  <c r="AL497"/>
  <c r="AL501"/>
  <c r="AL505"/>
  <c r="AL509"/>
  <c r="AL513"/>
  <c r="AL517"/>
  <c r="AL521"/>
  <c r="AL525"/>
  <c r="AL529"/>
  <c r="AL533"/>
  <c r="AL537"/>
  <c r="AL541"/>
  <c r="AL545"/>
  <c r="AL549"/>
  <c r="AL553"/>
  <c r="AL557"/>
  <c r="AL561"/>
  <c r="AL565"/>
  <c r="AL569"/>
  <c r="AL573"/>
  <c r="AL577"/>
  <c r="AL581"/>
  <c r="AL585"/>
  <c r="AL589"/>
  <c r="AL593"/>
  <c r="AL597"/>
  <c r="AL601"/>
  <c r="AL605"/>
  <c r="AL609"/>
  <c r="AL613"/>
  <c r="AL617"/>
  <c r="AL621"/>
  <c r="AL625"/>
  <c r="AL629"/>
  <c r="AL633"/>
  <c r="AL637"/>
  <c r="AL641"/>
  <c r="AL645"/>
  <c r="AL649"/>
  <c r="AL653"/>
  <c r="AL657"/>
  <c r="AL661"/>
  <c r="AL665"/>
  <c r="AL669"/>
  <c r="AL673"/>
  <c r="AL677"/>
  <c r="AL681"/>
  <c r="AL685"/>
  <c r="AL689"/>
  <c r="AL693"/>
  <c r="AL697"/>
  <c r="AL701"/>
  <c r="AL705"/>
  <c r="AL709"/>
  <c r="AL713"/>
  <c r="AL717"/>
  <c r="AL721"/>
  <c r="AL725"/>
  <c r="AL728"/>
  <c r="AL732"/>
  <c r="AL736"/>
  <c r="AL740"/>
  <c r="AL744"/>
  <c r="AL748"/>
  <c r="AL752"/>
  <c r="AL756"/>
  <c r="AL760"/>
  <c r="AL764"/>
  <c r="AL768"/>
  <c r="AL772"/>
  <c r="AL776"/>
  <c r="AL780"/>
  <c r="AL784"/>
  <c r="AL788"/>
  <c r="AL792"/>
  <c r="AL796"/>
  <c r="AL800"/>
  <c r="AL804"/>
  <c r="AL808"/>
  <c r="AL812"/>
  <c r="AL816"/>
  <c r="AL820"/>
  <c r="AL824"/>
  <c r="AL828"/>
  <c r="AL832"/>
  <c r="AL836"/>
  <c r="AL840"/>
  <c r="AL844"/>
  <c r="AL848"/>
  <c r="AL852"/>
  <c r="AL856"/>
  <c r="AL860"/>
  <c r="AL864"/>
  <c r="AL868"/>
  <c r="AL872"/>
  <c r="AL876"/>
  <c r="AL880"/>
  <c r="AL884"/>
  <c r="AL888"/>
  <c r="AL892"/>
  <c r="AL896"/>
  <c r="AL900"/>
  <c r="AL904"/>
  <c r="AL908"/>
  <c r="AL912"/>
  <c r="AL916"/>
  <c r="AL920"/>
  <c r="AL924"/>
  <c r="AL928"/>
  <c r="AL932"/>
  <c r="AL936"/>
  <c r="AL940"/>
  <c r="AL944"/>
  <c r="AL948"/>
  <c r="AL952"/>
  <c r="AL956"/>
  <c r="AL960"/>
  <c r="AL964"/>
  <c r="AL968"/>
  <c r="AL972"/>
  <c r="AL975"/>
  <c r="AL979"/>
  <c r="AL983"/>
  <c r="AL987"/>
  <c r="AL991"/>
  <c r="AL995"/>
  <c r="AL999"/>
  <c r="AL1003"/>
  <c r="AL1007"/>
  <c r="AL1011"/>
  <c r="AL1015"/>
  <c r="AL1019"/>
  <c r="AL1023"/>
  <c r="AL1027"/>
  <c r="AL1031"/>
  <c r="AL1035"/>
  <c r="AL1039"/>
  <c r="AL1043"/>
  <c r="AL1047"/>
  <c r="AL1051"/>
  <c r="AL1055"/>
  <c r="AL1059"/>
  <c r="AL1063"/>
  <c r="AL1067"/>
  <c r="AL1071"/>
  <c r="AL1075"/>
  <c r="AL1079"/>
  <c r="AL1083"/>
  <c r="AL1087"/>
  <c r="AL1091"/>
  <c r="AL1095"/>
  <c r="AL1099"/>
  <c r="AL1103"/>
  <c r="AL1107"/>
  <c r="AL1111"/>
  <c r="AL1115"/>
  <c r="AL1119"/>
  <c r="AL1123"/>
  <c r="AL1127"/>
  <c r="AL1131"/>
  <c r="AL1135"/>
  <c r="AL1139"/>
  <c r="AL1143"/>
  <c r="AL1147"/>
  <c r="AL1151"/>
  <c r="AL1155"/>
  <c r="AL1159"/>
  <c r="AL1163"/>
  <c r="AL1167"/>
  <c r="AL1171"/>
  <c r="AL1175"/>
  <c r="AL1179"/>
  <c r="AL1183"/>
  <c r="AL1187"/>
  <c r="AL1191"/>
  <c r="AL1195"/>
  <c r="AL1199"/>
  <c r="AL1203"/>
  <c r="AL1207"/>
  <c r="AL1211"/>
  <c r="AL1215"/>
  <c r="AL1219"/>
  <c r="AL1223"/>
  <c r="AL1227"/>
  <c r="AL1231"/>
  <c r="AL1235"/>
  <c r="AL1239"/>
  <c r="AL1243"/>
  <c r="AL1247"/>
  <c r="AL1251"/>
  <c r="AL1255"/>
  <c r="AL1259"/>
  <c r="AL1263"/>
  <c r="AL1267"/>
  <c r="AL1271"/>
  <c r="AL1274"/>
  <c r="AL1278"/>
  <c r="AL1282"/>
  <c r="AL1286"/>
  <c r="AL1290"/>
  <c r="AL1294"/>
  <c r="AL1298"/>
  <c r="AL1302"/>
  <c r="AL1306"/>
  <c r="AL1310"/>
  <c r="AL1314"/>
  <c r="AL1318"/>
  <c r="AL1322"/>
  <c r="AL1326"/>
  <c r="AL1330"/>
  <c r="AL1334"/>
  <c r="AL1338"/>
  <c r="AL1342"/>
  <c r="AL1346"/>
  <c r="AL1350"/>
  <c r="AL1354"/>
  <c r="AL1358"/>
  <c r="AL1362"/>
  <c r="AL1366"/>
  <c r="AL1370"/>
  <c r="AL1374"/>
  <c r="AL1378"/>
  <c r="AL1382"/>
  <c r="AL1386"/>
  <c r="AL1390"/>
  <c r="AL1394"/>
  <c r="AL1398"/>
  <c r="AL1402"/>
  <c r="AL1406"/>
  <c r="AL1410"/>
  <c r="AL1414"/>
  <c r="AL1418"/>
  <c r="AL1422"/>
  <c r="AL1426"/>
  <c r="AL1430"/>
  <c r="AL1434"/>
  <c r="AL1438"/>
  <c r="AL1442"/>
  <c r="AL1446"/>
  <c r="AL1450"/>
  <c r="AL1454"/>
  <c r="AL1458"/>
  <c r="AL1462"/>
  <c r="AL1466"/>
  <c r="AL1470"/>
  <c r="AL1474"/>
  <c r="AL1478"/>
  <c r="AL1482"/>
  <c r="AL1486"/>
  <c r="AL1490"/>
  <c r="AL1494"/>
  <c r="AL1498"/>
  <c r="AL1502"/>
  <c r="AL1506"/>
  <c r="AL1510"/>
  <c r="AL1514"/>
  <c r="AL1518"/>
  <c r="AL1522"/>
  <c r="AL1526"/>
  <c r="AL1530"/>
  <c r="AL1534"/>
  <c r="AL1538"/>
  <c r="AL1542"/>
  <c r="AL1546"/>
  <c r="AL1550"/>
  <c r="AL1554"/>
  <c r="AL1558"/>
  <c r="AL1562"/>
  <c r="AL1566"/>
  <c r="AL1570"/>
  <c r="AL1574"/>
  <c r="AL1578"/>
  <c r="AL1582"/>
  <c r="AL1586"/>
  <c r="AL1590"/>
  <c r="AL1594"/>
  <c r="AL1598"/>
  <c r="AL1602"/>
  <c r="AL1606"/>
  <c r="AL1610"/>
  <c r="AL1614"/>
  <c r="AL1618"/>
  <c r="AL11"/>
  <c r="AL1625"/>
  <c r="AL1629"/>
  <c r="AL1633"/>
  <c r="AL1637"/>
  <c r="AL1641"/>
  <c r="AL1645"/>
  <c r="AL1649"/>
  <c r="AL1653"/>
  <c r="AL1657"/>
  <c r="AL1661"/>
  <c r="AL1665"/>
  <c r="AL1669"/>
  <c r="AL1673"/>
  <c r="AL1677"/>
  <c r="AL1681"/>
  <c r="AL1685"/>
  <c r="AL1689"/>
  <c r="AL1693"/>
  <c r="AL1697"/>
  <c r="AL1701"/>
  <c r="AL1705"/>
  <c r="AL1709"/>
  <c r="AL1713"/>
  <c r="AL1717"/>
  <c r="AL1721"/>
  <c r="AL1725"/>
  <c r="AL1729"/>
  <c r="AL1732"/>
  <c r="AL1736"/>
  <c r="AL1740"/>
  <c r="AL1744"/>
  <c r="AL1748"/>
  <c r="AL1752"/>
  <c r="AL1756"/>
  <c r="AL1760"/>
  <c r="AL1764"/>
  <c r="AL1768"/>
  <c r="AL1772"/>
  <c r="AL1776"/>
  <c r="AL1780"/>
  <c r="AL1784"/>
  <c r="AL1788"/>
  <c r="AL1792"/>
  <c r="AL1796"/>
  <c r="AL1800"/>
  <c r="AL1804"/>
  <c r="AL1808"/>
  <c r="AL1812"/>
  <c r="AL1816"/>
  <c r="AL1820"/>
  <c r="AL1824"/>
  <c r="AL1828"/>
  <c r="AL1832"/>
  <c r="AL1836"/>
  <c r="AL1840"/>
  <c r="AL1843"/>
  <c r="AL1847"/>
  <c r="AL1851"/>
  <c r="AL1855"/>
  <c r="AL12"/>
  <c r="AL1862"/>
  <c r="AL1866"/>
  <c r="AL1870"/>
  <c r="AL1874"/>
  <c r="AL1878"/>
  <c r="AL52"/>
  <c r="AL68"/>
  <c r="AL82"/>
  <c r="AL98"/>
  <c r="AL114"/>
  <c r="AL130"/>
  <c r="AL146"/>
  <c r="AL162"/>
  <c r="AL178"/>
  <c r="AL194"/>
  <c r="AL210"/>
  <c r="AL226"/>
  <c r="AL242"/>
  <c r="AL258"/>
  <c r="AL274"/>
  <c r="AL290"/>
  <c r="AL306"/>
  <c r="AL322"/>
  <c r="AL338"/>
  <c r="AL354"/>
  <c r="AL370"/>
  <c r="AL386"/>
  <c r="AL402"/>
  <c r="AL418"/>
  <c r="AL434"/>
  <c r="AL450"/>
  <c r="AL466"/>
  <c r="AL482"/>
  <c r="AL498"/>
  <c r="AL507"/>
  <c r="AL515"/>
  <c r="AL523"/>
  <c r="AL531"/>
  <c r="AL539"/>
  <c r="AL547"/>
  <c r="AL555"/>
  <c r="AL563"/>
  <c r="AL571"/>
  <c r="AL579"/>
  <c r="AL587"/>
  <c r="AL595"/>
  <c r="AL603"/>
  <c r="AL611"/>
  <c r="AL619"/>
  <c r="AL627"/>
  <c r="AL635"/>
  <c r="AL643"/>
  <c r="AL651"/>
  <c r="AL659"/>
  <c r="AL667"/>
  <c r="AL675"/>
  <c r="AL683"/>
  <c r="AL691"/>
  <c r="AL699"/>
  <c r="AL707"/>
  <c r="AL715"/>
  <c r="AL723"/>
  <c r="AL730"/>
  <c r="AL738"/>
  <c r="AL746"/>
  <c r="AL754"/>
  <c r="AL762"/>
  <c r="AL770"/>
  <c r="AL778"/>
  <c r="AL786"/>
  <c r="AL794"/>
  <c r="AL802"/>
  <c r="AL810"/>
  <c r="AL818"/>
  <c r="AL826"/>
  <c r="AL834"/>
  <c r="AL842"/>
  <c r="AL850"/>
  <c r="AL858"/>
  <c r="AL866"/>
  <c r="AL874"/>
  <c r="AL882"/>
  <c r="AL890"/>
  <c r="AL898"/>
  <c r="AL906"/>
  <c r="AL914"/>
  <c r="AL922"/>
  <c r="AL930"/>
  <c r="AL938"/>
  <c r="AL946"/>
  <c r="AL954"/>
  <c r="AL962"/>
  <c r="AL970"/>
  <c r="AL977"/>
  <c r="AL985"/>
  <c r="AL993"/>
  <c r="AL1001"/>
  <c r="AL1009"/>
  <c r="AL1017"/>
  <c r="AL1025"/>
  <c r="AL1033"/>
  <c r="AL1041"/>
  <c r="AL1049"/>
  <c r="AL1057"/>
  <c r="AL1065"/>
  <c r="AL1073"/>
  <c r="AL1081"/>
  <c r="AL1089"/>
  <c r="AL1097"/>
  <c r="AL1105"/>
  <c r="AL1113"/>
  <c r="AL1121"/>
  <c r="AL1129"/>
  <c r="AL1137"/>
  <c r="AL1145"/>
  <c r="AL1153"/>
  <c r="AL1161"/>
  <c r="AL1169"/>
  <c r="AL1177"/>
  <c r="AL1185"/>
  <c r="AL1193"/>
  <c r="AL1201"/>
  <c r="AL1209"/>
  <c r="AL1217"/>
  <c r="AL1225"/>
  <c r="AL1233"/>
  <c r="AL1241"/>
  <c r="AL1249"/>
  <c r="AL1257"/>
  <c r="AL1265"/>
  <c r="AL17"/>
  <c r="AL1280"/>
  <c r="AL1288"/>
  <c r="AL1296"/>
  <c r="AL1304"/>
  <c r="AL1312"/>
  <c r="AL1320"/>
  <c r="AL1328"/>
  <c r="AL1336"/>
  <c r="AL1344"/>
  <c r="AL1352"/>
  <c r="AL1360"/>
  <c r="AL1368"/>
  <c r="AL1376"/>
  <c r="AL1384"/>
  <c r="AL1392"/>
  <c r="AL1400"/>
  <c r="AL1408"/>
  <c r="AL1416"/>
  <c r="AL1424"/>
  <c r="AL1432"/>
  <c r="AL1440"/>
  <c r="AL1448"/>
  <c r="AL1456"/>
  <c r="AL1464"/>
  <c r="AL1472"/>
  <c r="AL1480"/>
  <c r="AL1488"/>
  <c r="AL1496"/>
  <c r="AL1504"/>
  <c r="AL1512"/>
  <c r="AL1520"/>
  <c r="AL1528"/>
  <c r="AL1536"/>
  <c r="AL1544"/>
  <c r="AL1552"/>
  <c r="AL1560"/>
  <c r="AL1568"/>
  <c r="AL1576"/>
  <c r="AL1584"/>
  <c r="AL1592"/>
  <c r="AL1600"/>
  <c r="AL1608"/>
  <c r="AL1616"/>
  <c r="AL1623"/>
  <c r="AL1631"/>
  <c r="AL1639"/>
  <c r="AL1647"/>
  <c r="AL1655"/>
  <c r="AL1663"/>
  <c r="AL1671"/>
  <c r="AL1679"/>
  <c r="AL1687"/>
  <c r="AL1695"/>
  <c r="AL1703"/>
  <c r="AL1711"/>
  <c r="AL1719"/>
  <c r="AL1727"/>
  <c r="AL1734"/>
  <c r="AL1742"/>
  <c r="AL1750"/>
  <c r="AL1758"/>
  <c r="AL1766"/>
  <c r="AL1774"/>
  <c r="AL1782"/>
  <c r="AL1790"/>
  <c r="AL1798"/>
  <c r="AL1806"/>
  <c r="AL1814"/>
  <c r="AL1822"/>
  <c r="AL1830"/>
  <c r="AL1838"/>
  <c r="AL1845"/>
  <c r="AL1853"/>
  <c r="AL1860"/>
  <c r="AL1868"/>
  <c r="AL1876"/>
  <c r="AL1882"/>
  <c r="AL1886"/>
  <c r="AL1890"/>
  <c r="AL1894"/>
  <c r="AL1898"/>
  <c r="AL1902"/>
  <c r="AL1906"/>
  <c r="AL1910"/>
  <c r="AL1914"/>
  <c r="AL1918"/>
  <c r="AL1922"/>
  <c r="AL1926"/>
  <c r="AL16"/>
  <c r="AL1933"/>
  <c r="AL1937"/>
  <c r="AL5"/>
  <c r="AL1944"/>
  <c r="AL1948"/>
  <c r="AL1952"/>
  <c r="AL1956"/>
  <c r="AL1960"/>
  <c r="AL1964"/>
  <c r="AL1968"/>
  <c r="AL1972"/>
  <c r="AL1976"/>
  <c r="AL1980"/>
  <c r="AL1984"/>
  <c r="AL1988"/>
  <c r="AL1992"/>
  <c r="AL1996"/>
  <c r="AL2000"/>
  <c r="AL2004"/>
  <c r="AL2008"/>
  <c r="AL2012"/>
  <c r="AL2016"/>
  <c r="AL2020"/>
  <c r="AL2024"/>
  <c r="AL2028"/>
  <c r="AL2032"/>
  <c r="AL2036"/>
  <c r="AL2040"/>
  <c r="AL2044"/>
  <c r="AL2048"/>
  <c r="AL2052"/>
  <c r="AL2056"/>
  <c r="AL2060"/>
  <c r="AL2064"/>
  <c r="AL2068"/>
  <c r="AL2072"/>
  <c r="AL2076"/>
  <c r="AL2080"/>
  <c r="AL2084"/>
  <c r="AL2087"/>
  <c r="AL2091"/>
  <c r="AL2095"/>
  <c r="AL2099"/>
  <c r="AL2103"/>
  <c r="AL2107"/>
  <c r="AL2111"/>
  <c r="AL2115"/>
  <c r="AL2119"/>
  <c r="AL2123"/>
  <c r="AL2127"/>
  <c r="AL2131"/>
  <c r="AL2135"/>
  <c r="AL2139"/>
  <c r="AL2143"/>
  <c r="AL2147"/>
  <c r="AL2151"/>
  <c r="AL2155"/>
  <c r="AL2159"/>
  <c r="AL2163"/>
  <c r="AL2167"/>
  <c r="AL48"/>
  <c r="AL64"/>
  <c r="AL79"/>
  <c r="AL94"/>
  <c r="AL110"/>
  <c r="AL126"/>
  <c r="AL142"/>
  <c r="AL158"/>
  <c r="AL174"/>
  <c r="AL190"/>
  <c r="AL206"/>
  <c r="AL222"/>
  <c r="AL238"/>
  <c r="AL254"/>
  <c r="AL270"/>
  <c r="AL286"/>
  <c r="AL302"/>
  <c r="AL318"/>
  <c r="AL334"/>
  <c r="AL350"/>
  <c r="AL366"/>
  <c r="AL382"/>
  <c r="AL398"/>
  <c r="AL414"/>
  <c r="AL430"/>
  <c r="AL446"/>
  <c r="AL462"/>
  <c r="AL478"/>
  <c r="AL494"/>
  <c r="AL506"/>
  <c r="AL514"/>
  <c r="AL522"/>
  <c r="AL530"/>
  <c r="AL538"/>
  <c r="AL546"/>
  <c r="AL554"/>
  <c r="AL562"/>
  <c r="AL570"/>
  <c r="AL578"/>
  <c r="AL586"/>
  <c r="AL594"/>
  <c r="AL602"/>
  <c r="AL610"/>
  <c r="AL618"/>
  <c r="AL626"/>
  <c r="AL634"/>
  <c r="AL642"/>
  <c r="AL650"/>
  <c r="AL658"/>
  <c r="AL666"/>
  <c r="AL674"/>
  <c r="AL682"/>
  <c r="AL690"/>
  <c r="AL698"/>
  <c r="AL706"/>
  <c r="AL714"/>
  <c r="AL722"/>
  <c r="AL729"/>
  <c r="AL737"/>
  <c r="AL745"/>
  <c r="AL753"/>
  <c r="AL761"/>
  <c r="AL769"/>
  <c r="AL777"/>
  <c r="AL785"/>
  <c r="AL793"/>
  <c r="AL801"/>
  <c r="AL809"/>
  <c r="AL817"/>
  <c r="AL825"/>
  <c r="AL833"/>
  <c r="AL841"/>
  <c r="AL849"/>
  <c r="AL857"/>
  <c r="AL865"/>
  <c r="AL873"/>
  <c r="AL881"/>
  <c r="AL889"/>
  <c r="AL897"/>
  <c r="AL905"/>
  <c r="AL913"/>
  <c r="AL921"/>
  <c r="AL929"/>
  <c r="AL937"/>
  <c r="AL945"/>
  <c r="AL953"/>
  <c r="AL961"/>
  <c r="AL969"/>
  <c r="AL976"/>
  <c r="AL984"/>
  <c r="AL992"/>
  <c r="AL1000"/>
  <c r="AL1008"/>
  <c r="AL1016"/>
  <c r="AL1024"/>
  <c r="AL1032"/>
  <c r="AL1040"/>
  <c r="AL1048"/>
  <c r="AL1056"/>
  <c r="AL1064"/>
  <c r="AL1072"/>
  <c r="AL1080"/>
  <c r="AL1088"/>
  <c r="AL1096"/>
  <c r="AL1104"/>
  <c r="AL1112"/>
  <c r="AL1120"/>
  <c r="AL1128"/>
  <c r="AL1136"/>
  <c r="AL1144"/>
  <c r="AL1152"/>
  <c r="AL1160"/>
  <c r="AL1168"/>
  <c r="AL1176"/>
  <c r="AL1184"/>
  <c r="AL1192"/>
  <c r="AL1200"/>
  <c r="AL1208"/>
  <c r="AL1216"/>
  <c r="AL1224"/>
  <c r="AL1232"/>
  <c r="AL1240"/>
  <c r="AL1248"/>
  <c r="AL1256"/>
  <c r="AL1264"/>
  <c r="AL1272"/>
  <c r="AL1279"/>
  <c r="AL1287"/>
  <c r="AL1295"/>
  <c r="AL1303"/>
  <c r="AL1311"/>
  <c r="AL1319"/>
  <c r="AL1327"/>
  <c r="AL1335"/>
  <c r="AL1343"/>
  <c r="AL1351"/>
  <c r="AL1359"/>
  <c r="AL1367"/>
  <c r="AL1375"/>
  <c r="AL1383"/>
  <c r="AL1391"/>
  <c r="AL1399"/>
  <c r="AL1407"/>
  <c r="AL1415"/>
  <c r="AL1423"/>
  <c r="AL1431"/>
  <c r="AL1439"/>
  <c r="AL1447"/>
  <c r="AL1455"/>
  <c r="AL1463"/>
  <c r="AL1471"/>
  <c r="AL1479"/>
  <c r="AL1487"/>
  <c r="AL1495"/>
  <c r="AL1503"/>
  <c r="AL1511"/>
  <c r="AL1519"/>
  <c r="AL1527"/>
  <c r="AL1535"/>
  <c r="AL1543"/>
  <c r="AL1551"/>
  <c r="AL1559"/>
  <c r="AL1567"/>
  <c r="AL1575"/>
  <c r="AL1583"/>
  <c r="AL1591"/>
  <c r="AL1599"/>
  <c r="AL1607"/>
  <c r="AL1615"/>
  <c r="AL1622"/>
  <c r="AL1630"/>
  <c r="AL1638"/>
  <c r="AL1646"/>
  <c r="AL1654"/>
  <c r="AL1662"/>
  <c r="AL1670"/>
  <c r="AL1678"/>
  <c r="AL1686"/>
  <c r="AL1694"/>
  <c r="AL1702"/>
  <c r="AL1710"/>
  <c r="AL1718"/>
  <c r="AL1726"/>
  <c r="AL1733"/>
  <c r="AL1741"/>
  <c r="AL1749"/>
  <c r="AL1757"/>
  <c r="AL1765"/>
  <c r="AL1773"/>
  <c r="AL1781"/>
  <c r="AL1789"/>
  <c r="AL1797"/>
  <c r="AL1805"/>
  <c r="AL1813"/>
  <c r="AL1821"/>
  <c r="AL1829"/>
  <c r="AL1837"/>
  <c r="AL1844"/>
  <c r="AL1852"/>
  <c r="AL1859"/>
  <c r="AL1867"/>
  <c r="AL1875"/>
  <c r="AL1881"/>
  <c r="AL1885"/>
  <c r="AL1889"/>
  <c r="AL1893"/>
  <c r="AL1897"/>
  <c r="AL1901"/>
  <c r="AL1905"/>
  <c r="AL1909"/>
  <c r="AL1913"/>
  <c r="AL1917"/>
  <c r="AL1921"/>
  <c r="AL1925"/>
  <c r="AL1929"/>
  <c r="AL1932"/>
  <c r="AL1936"/>
  <c r="AL1940"/>
  <c r="AL1943"/>
  <c r="AL1947"/>
  <c r="AL1951"/>
  <c r="AL1955"/>
  <c r="AL1959"/>
  <c r="AL1963"/>
  <c r="AL1967"/>
  <c r="AL1971"/>
  <c r="AL1975"/>
  <c r="AL1979"/>
  <c r="AL1983"/>
  <c r="AL1987"/>
  <c r="AL1991"/>
  <c r="AL1995"/>
  <c r="AL1999"/>
  <c r="AL2003"/>
  <c r="AL2007"/>
  <c r="AL2011"/>
  <c r="AL2015"/>
  <c r="AL2019"/>
  <c r="AL2023"/>
  <c r="AL2027"/>
  <c r="AL2031"/>
  <c r="AL2035"/>
  <c r="AL2039"/>
  <c r="AL2043"/>
  <c r="AL2047"/>
  <c r="AL2051"/>
  <c r="AL2055"/>
  <c r="AL2059"/>
  <c r="AL2063"/>
  <c r="AL2067"/>
  <c r="AL2071"/>
  <c r="AL2075"/>
  <c r="AL2079"/>
  <c r="AL2083"/>
  <c r="AL2086"/>
  <c r="AL2090"/>
  <c r="AL2094"/>
  <c r="AL2098"/>
  <c r="AL2102"/>
  <c r="AL2106"/>
  <c r="AL2110"/>
  <c r="AL2114"/>
  <c r="AL2118"/>
  <c r="AL2122"/>
  <c r="AL2126"/>
  <c r="AL2130"/>
  <c r="AL2134"/>
  <c r="AL2138"/>
  <c r="AL2142"/>
  <c r="AL2146"/>
  <c r="AL2150"/>
  <c r="AL2154"/>
  <c r="AL2158"/>
  <c r="AL2162"/>
  <c r="AL2166"/>
  <c r="AL60"/>
  <c r="AL76"/>
  <c r="AL90"/>
  <c r="AL106"/>
  <c r="AL122"/>
  <c r="AL138"/>
  <c r="AL154"/>
  <c r="AL170"/>
  <c r="AL186"/>
  <c r="AL202"/>
  <c r="AL218"/>
  <c r="AL234"/>
  <c r="AL250"/>
  <c r="AL266"/>
  <c r="AL282"/>
  <c r="AL298"/>
  <c r="AL314"/>
  <c r="AL330"/>
  <c r="AL346"/>
  <c r="AL362"/>
  <c r="AL378"/>
  <c r="AL394"/>
  <c r="AL410"/>
  <c r="AL426"/>
  <c r="AL442"/>
  <c r="AL458"/>
  <c r="AL474"/>
  <c r="AL490"/>
  <c r="AL503"/>
  <c r="AL511"/>
  <c r="AL519"/>
  <c r="AL527"/>
  <c r="AL535"/>
  <c r="AL543"/>
  <c r="AL551"/>
  <c r="AL559"/>
  <c r="AL567"/>
  <c r="AL575"/>
  <c r="AL583"/>
  <c r="AL591"/>
  <c r="AL599"/>
  <c r="AL607"/>
  <c r="AL615"/>
  <c r="AL623"/>
  <c r="AL631"/>
  <c r="AL639"/>
  <c r="AL647"/>
  <c r="AL655"/>
  <c r="AL663"/>
  <c r="AL671"/>
  <c r="AL679"/>
  <c r="AL687"/>
  <c r="AL695"/>
  <c r="AL703"/>
  <c r="AL711"/>
  <c r="AL719"/>
  <c r="AL14"/>
  <c r="AL734"/>
  <c r="AL742"/>
  <c r="AL750"/>
  <c r="AL758"/>
  <c r="AL766"/>
  <c r="AL774"/>
  <c r="AL782"/>
  <c r="AL790"/>
  <c r="AL798"/>
  <c r="AL806"/>
  <c r="AL814"/>
  <c r="AL822"/>
  <c r="AL830"/>
  <c r="AL838"/>
  <c r="AL846"/>
  <c r="AL854"/>
  <c r="AL862"/>
  <c r="AL870"/>
  <c r="AL878"/>
  <c r="AL886"/>
  <c r="AL894"/>
  <c r="AL902"/>
  <c r="AL910"/>
  <c r="AL918"/>
  <c r="AL926"/>
  <c r="AL934"/>
  <c r="AL942"/>
  <c r="AL950"/>
  <c r="AL958"/>
  <c r="AL966"/>
  <c r="AL6"/>
  <c r="AL981"/>
  <c r="AL989"/>
  <c r="AL997"/>
  <c r="AL1005"/>
  <c r="AL1013"/>
  <c r="AL1021"/>
  <c r="AL1029"/>
  <c r="AL1037"/>
  <c r="AL1045"/>
  <c r="AL1053"/>
  <c r="AL1061"/>
  <c r="AL1069"/>
  <c r="AL1077"/>
  <c r="AL1085"/>
  <c r="AL1093"/>
  <c r="AL1101"/>
  <c r="AL1109"/>
  <c r="AL1117"/>
  <c r="AL1125"/>
  <c r="AL1133"/>
  <c r="AL1141"/>
  <c r="AL1149"/>
  <c r="AL1157"/>
  <c r="AL1165"/>
  <c r="AL1173"/>
  <c r="AL1181"/>
  <c r="AL1189"/>
  <c r="AL1197"/>
  <c r="AL56"/>
  <c r="AL72"/>
  <c r="AL86"/>
  <c r="AL102"/>
  <c r="AL118"/>
  <c r="AL134"/>
  <c r="AL150"/>
  <c r="AL166"/>
  <c r="AL182"/>
  <c r="AL198"/>
  <c r="AL214"/>
  <c r="AL230"/>
  <c r="AL246"/>
  <c r="AL262"/>
  <c r="AL278"/>
  <c r="AL294"/>
  <c r="AL310"/>
  <c r="AL326"/>
  <c r="AL342"/>
  <c r="AL358"/>
  <c r="AL374"/>
  <c r="AL390"/>
  <c r="AL406"/>
  <c r="AL422"/>
  <c r="AL438"/>
  <c r="AL454"/>
  <c r="AL470"/>
  <c r="AL486"/>
  <c r="AL502"/>
  <c r="AL510"/>
  <c r="AL518"/>
  <c r="AL526"/>
  <c r="AL534"/>
  <c r="AL542"/>
  <c r="AL550"/>
  <c r="AL558"/>
  <c r="AL566"/>
  <c r="AL574"/>
  <c r="AL582"/>
  <c r="AL590"/>
  <c r="AL598"/>
  <c r="AL606"/>
  <c r="AL614"/>
  <c r="AL622"/>
  <c r="AL630"/>
  <c r="AL638"/>
  <c r="AL646"/>
  <c r="AL654"/>
  <c r="AL662"/>
  <c r="AL670"/>
  <c r="AL678"/>
  <c r="AL686"/>
  <c r="AL694"/>
  <c r="AL702"/>
  <c r="AL710"/>
  <c r="AL718"/>
  <c r="AL726"/>
  <c r="AL733"/>
  <c r="AL741"/>
  <c r="AL749"/>
  <c r="AL757"/>
  <c r="AL765"/>
  <c r="AL773"/>
  <c r="AL781"/>
  <c r="AL789"/>
  <c r="AL797"/>
  <c r="AL805"/>
  <c r="AL813"/>
  <c r="AL821"/>
  <c r="AL829"/>
  <c r="AL837"/>
  <c r="AL845"/>
  <c r="AL853"/>
  <c r="AL861"/>
  <c r="AL869"/>
  <c r="AL877"/>
  <c r="AL885"/>
  <c r="AL893"/>
  <c r="AL901"/>
  <c r="AL909"/>
  <c r="AL917"/>
  <c r="AL925"/>
  <c r="AL933"/>
  <c r="AL941"/>
  <c r="AL949"/>
  <c r="AL957"/>
  <c r="AL965"/>
  <c r="AL973"/>
  <c r="AL980"/>
  <c r="AL988"/>
  <c r="AL996"/>
  <c r="AL1004"/>
  <c r="AL1012"/>
  <c r="AL1020"/>
  <c r="AL1028"/>
  <c r="AL1036"/>
  <c r="AL1044"/>
  <c r="AL1052"/>
  <c r="AL1060"/>
  <c r="AL1068"/>
  <c r="AL1076"/>
  <c r="AL1084"/>
  <c r="AL1092"/>
  <c r="AL1100"/>
  <c r="AL1108"/>
  <c r="AL1116"/>
  <c r="AL1124"/>
  <c r="AL1132"/>
  <c r="AL1140"/>
  <c r="AL1148"/>
  <c r="AL1156"/>
  <c r="AL1164"/>
  <c r="AL1172"/>
  <c r="AL1180"/>
  <c r="AL1188"/>
  <c r="AL1196"/>
  <c r="AL1204"/>
  <c r="AL1212"/>
  <c r="AL1220"/>
  <c r="AL1228"/>
  <c r="AL1236"/>
  <c r="AL1244"/>
  <c r="AL1252"/>
  <c r="AL1260"/>
  <c r="AL1268"/>
  <c r="AL1275"/>
  <c r="AL1283"/>
  <c r="AL1291"/>
  <c r="AL1299"/>
  <c r="AL1307"/>
  <c r="AL1315"/>
  <c r="AL1323"/>
  <c r="AL1331"/>
  <c r="AL1339"/>
  <c r="AL1347"/>
  <c r="AL1355"/>
  <c r="AL1363"/>
  <c r="AL1371"/>
  <c r="AL1379"/>
  <c r="AL1387"/>
  <c r="AL1395"/>
  <c r="AL1403"/>
  <c r="AL1411"/>
  <c r="AL1419"/>
  <c r="AL1427"/>
  <c r="AL1435"/>
  <c r="AL1443"/>
  <c r="AL1451"/>
  <c r="AL1459"/>
  <c r="AL1467"/>
  <c r="AL1475"/>
  <c r="AL1483"/>
  <c r="AL1491"/>
  <c r="AL1499"/>
  <c r="AL1507"/>
  <c r="AL1515"/>
  <c r="AL1523"/>
  <c r="AL1531"/>
  <c r="AL1539"/>
  <c r="AL1547"/>
  <c r="AL1555"/>
  <c r="AL1563"/>
  <c r="AL1571"/>
  <c r="AL1579"/>
  <c r="AL1587"/>
  <c r="AL1595"/>
  <c r="AL1603"/>
  <c r="AL1611"/>
  <c r="AL1619"/>
  <c r="AL1626"/>
  <c r="AL1634"/>
  <c r="AL1642"/>
  <c r="AL1650"/>
  <c r="AL1658"/>
  <c r="AL1666"/>
  <c r="AL1674"/>
  <c r="AL1682"/>
  <c r="AL1690"/>
  <c r="AL1698"/>
  <c r="AL1706"/>
  <c r="AL1714"/>
  <c r="AL1722"/>
  <c r="AL1730"/>
  <c r="AL1737"/>
  <c r="AL1745"/>
  <c r="AL1753"/>
  <c r="AL1761"/>
  <c r="AL1769"/>
  <c r="AL1777"/>
  <c r="AL1785"/>
  <c r="AL1793"/>
  <c r="AL1801"/>
  <c r="AL1809"/>
  <c r="AL1817"/>
  <c r="AL1825"/>
  <c r="AL1833"/>
  <c r="AL1841"/>
  <c r="AL1848"/>
  <c r="AL1856"/>
  <c r="AL1863"/>
  <c r="AL1871"/>
  <c r="AL1879"/>
  <c r="AL1883"/>
  <c r="AL1887"/>
  <c r="AL1891"/>
  <c r="AL1895"/>
  <c r="AL1899"/>
  <c r="AL1903"/>
  <c r="AL1907"/>
  <c r="AL1911"/>
  <c r="AL1915"/>
  <c r="AL1919"/>
  <c r="AL1923"/>
  <c r="AL1927"/>
  <c r="AL1930"/>
  <c r="AL1934"/>
  <c r="AL1938"/>
  <c r="AL1941"/>
  <c r="AL1945"/>
  <c r="AL1949"/>
  <c r="AL1953"/>
  <c r="AL1957"/>
  <c r="AL1961"/>
  <c r="AL1965"/>
  <c r="AL1969"/>
  <c r="AL1973"/>
  <c r="AL1977"/>
  <c r="AL1981"/>
  <c r="AL1985"/>
  <c r="AL1989"/>
  <c r="AL1993"/>
  <c r="AL1997"/>
  <c r="AL2001"/>
  <c r="AL2005"/>
  <c r="AL2009"/>
  <c r="AL2013"/>
  <c r="AL2017"/>
  <c r="AL2021"/>
  <c r="AL2025"/>
  <c r="AL2029"/>
  <c r="AL2033"/>
  <c r="AL2037"/>
  <c r="AL2041"/>
  <c r="AL2045"/>
  <c r="AL2049"/>
  <c r="AL2053"/>
  <c r="AL2057"/>
  <c r="AL2061"/>
  <c r="AL2065"/>
  <c r="AL2069"/>
  <c r="AL2073"/>
  <c r="AL2077"/>
  <c r="AL2081"/>
  <c r="AL2085"/>
  <c r="AL2088"/>
  <c r="AL2092"/>
  <c r="AL2096"/>
  <c r="AL2100"/>
  <c r="AL2104"/>
  <c r="AL2108"/>
  <c r="AL2112"/>
  <c r="AL2116"/>
  <c r="AL2120"/>
  <c r="AL2124"/>
  <c r="AL2128"/>
  <c r="AL2132"/>
  <c r="AL2136"/>
  <c r="AL2140"/>
  <c r="AL2144"/>
  <c r="AL2148"/>
  <c r="AL2152"/>
  <c r="AL2156"/>
  <c r="AL2160"/>
  <c r="AL2164"/>
  <c r="AL2168"/>
  <c r="AL1229"/>
  <c r="AL1261"/>
  <c r="AL1292"/>
  <c r="AL1324"/>
  <c r="AL1356"/>
  <c r="AL1388"/>
  <c r="AL1420"/>
  <c r="AL1452"/>
  <c r="AL1484"/>
  <c r="AL1516"/>
  <c r="AL1548"/>
  <c r="AL1580"/>
  <c r="AL1612"/>
  <c r="AL1643"/>
  <c r="AL1675"/>
  <c r="AL1707"/>
  <c r="AL1738"/>
  <c r="AL1770"/>
  <c r="AL1802"/>
  <c r="AL1834"/>
  <c r="AL1864"/>
  <c r="AL1888"/>
  <c r="AL1904"/>
  <c r="AL1920"/>
  <c r="AL1935"/>
  <c r="AL1950"/>
  <c r="AL1966"/>
  <c r="AL1982"/>
  <c r="AL1998"/>
  <c r="AL2014"/>
  <c r="AL2030"/>
  <c r="AL2046"/>
  <c r="AL2062"/>
  <c r="AL2078"/>
  <c r="AL2093"/>
  <c r="AL2109"/>
  <c r="AL2125"/>
  <c r="AL2141"/>
  <c r="AL2157"/>
  <c r="AL1221"/>
  <c r="AL1253"/>
  <c r="AL1284"/>
  <c r="AL1316"/>
  <c r="AL1348"/>
  <c r="AL1380"/>
  <c r="AL1412"/>
  <c r="AL1444"/>
  <c r="AL1476"/>
  <c r="AL1508"/>
  <c r="AL1540"/>
  <c r="AL1572"/>
  <c r="AL1604"/>
  <c r="AL1635"/>
  <c r="AL1667"/>
  <c r="AL1699"/>
  <c r="AL1731"/>
  <c r="AL1762"/>
  <c r="AL1794"/>
  <c r="AL1826"/>
  <c r="AL1857"/>
  <c r="AL1884"/>
  <c r="AL1900"/>
  <c r="AL1916"/>
  <c r="AL1931"/>
  <c r="AL1946"/>
  <c r="AL1962"/>
  <c r="AL1978"/>
  <c r="AL1994"/>
  <c r="AL2010"/>
  <c r="AL2026"/>
  <c r="AL2042"/>
  <c r="AL2058"/>
  <c r="AL2074"/>
  <c r="AL2089"/>
  <c r="AL2105"/>
  <c r="AL2121"/>
  <c r="AL2137"/>
  <c r="AL2153"/>
  <c r="AL1213"/>
  <c r="AL1245"/>
  <c r="AL1276"/>
  <c r="AL1308"/>
  <c r="AL1340"/>
  <c r="AL1372"/>
  <c r="AL1404"/>
  <c r="AL1436"/>
  <c r="AL1468"/>
  <c r="AL1500"/>
  <c r="AL1532"/>
  <c r="AL1564"/>
  <c r="AL1596"/>
  <c r="AL1627"/>
  <c r="AL1659"/>
  <c r="AL1691"/>
  <c r="AL1723"/>
  <c r="AL1754"/>
  <c r="AL1786"/>
  <c r="AL1818"/>
  <c r="AL1849"/>
  <c r="AL1880"/>
  <c r="AL1896"/>
  <c r="AL1912"/>
  <c r="AL1928"/>
  <c r="AL1942"/>
  <c r="AL1958"/>
  <c r="AL1974"/>
  <c r="AL1990"/>
  <c r="AL2006"/>
  <c r="AL2022"/>
  <c r="AL2038"/>
  <c r="AL2054"/>
  <c r="AL2070"/>
  <c r="AL10"/>
  <c r="AL2101"/>
  <c r="AL2117"/>
  <c r="AL2133"/>
  <c r="AL2149"/>
  <c r="AL2165"/>
  <c r="AL1205"/>
  <c r="AL1237"/>
  <c r="AL1269"/>
  <c r="AL1300"/>
  <c r="AL1332"/>
  <c r="AL1364"/>
  <c r="AL1396"/>
  <c r="AL1428"/>
  <c r="AL1460"/>
  <c r="AL1492"/>
  <c r="AL1524"/>
  <c r="AL1556"/>
  <c r="AL1588"/>
  <c r="AL1620"/>
  <c r="AL1651"/>
  <c r="AL1683"/>
  <c r="AL1715"/>
  <c r="AL1746"/>
  <c r="AL1778"/>
  <c r="AL1810"/>
  <c r="AL8"/>
  <c r="AL1872"/>
  <c r="AL1892"/>
  <c r="AL1908"/>
  <c r="AL1924"/>
  <c r="AL1939"/>
  <c r="AL1954"/>
  <c r="AL1970"/>
  <c r="AL1986"/>
  <c r="AL2002"/>
  <c r="AL2018"/>
  <c r="AL2034"/>
  <c r="AL2050"/>
  <c r="AL2066"/>
  <c r="AL2082"/>
  <c r="AL2097"/>
  <c r="AL2113"/>
  <c r="AL2129"/>
  <c r="AL2145"/>
  <c r="AL2161"/>
  <c r="AL29"/>
  <c r="AM29" s="1"/>
  <c r="AL27"/>
  <c r="AN27" s="1"/>
  <c r="AL13"/>
  <c r="AM13" s="1"/>
  <c r="AL42"/>
  <c r="AM42" s="1"/>
  <c r="AL23"/>
  <c r="AN23" s="1"/>
  <c r="AL22"/>
  <c r="AM22" s="1"/>
  <c r="AL44"/>
  <c r="AN44" s="1"/>
  <c r="AL28"/>
  <c r="AN28" s="1"/>
  <c r="AL26"/>
  <c r="AM26" s="1"/>
  <c r="AL24"/>
  <c r="AM24" s="1"/>
  <c r="AL30"/>
  <c r="AN30" s="1"/>
  <c r="AL43"/>
  <c r="AM43" s="1"/>
  <c r="AL37"/>
  <c r="AM37" s="1"/>
  <c r="AL40"/>
  <c r="AN40" s="1"/>
  <c r="AL31"/>
  <c r="AN31" s="1"/>
  <c r="AL34"/>
  <c r="AN34" s="1"/>
  <c r="AL32"/>
  <c r="AM32" s="1"/>
  <c r="AL25"/>
  <c r="AN25" s="1"/>
  <c r="AL39"/>
  <c r="AM39" s="1"/>
  <c r="AL35"/>
  <c r="AM35" s="1"/>
  <c r="AL36"/>
  <c r="AN36" s="1"/>
  <c r="AL46"/>
  <c r="AN46" s="1"/>
  <c r="AL20"/>
  <c r="AN20" s="1"/>
  <c r="AL21"/>
  <c r="AN21" s="1"/>
  <c r="AL19"/>
  <c r="AN19" s="1"/>
  <c r="AL33"/>
  <c r="AN33" s="1"/>
  <c r="AL45"/>
  <c r="AM45" s="1"/>
  <c r="AL38"/>
  <c r="AA2169"/>
  <c r="B22" i="3" s="1"/>
  <c r="AN22" i="8" l="1"/>
  <c r="AO22" s="1"/>
  <c r="AM30"/>
  <c r="AM36"/>
  <c r="AM41"/>
  <c r="AM40"/>
  <c r="AN32"/>
  <c r="AO32" s="1"/>
  <c r="AM27"/>
  <c r="AN24"/>
  <c r="AN13"/>
  <c r="AO13" s="1"/>
  <c r="AN29"/>
  <c r="AO29" s="1"/>
  <c r="AN18"/>
  <c r="AM23"/>
  <c r="AM21"/>
  <c r="AM2161"/>
  <c r="AN2161"/>
  <c r="AM2129"/>
  <c r="AN2129"/>
  <c r="AM2066"/>
  <c r="AN2066"/>
  <c r="AM2002"/>
  <c r="AN2002"/>
  <c r="AM1939"/>
  <c r="AN1939"/>
  <c r="AM1872"/>
  <c r="AN1872"/>
  <c r="AM1746"/>
  <c r="AN1746"/>
  <c r="AM1620"/>
  <c r="AN1620"/>
  <c r="AM1492"/>
  <c r="AN1492"/>
  <c r="AM1364"/>
  <c r="AN1364"/>
  <c r="AM1237"/>
  <c r="AN1237"/>
  <c r="AM2133"/>
  <c r="AN2133"/>
  <c r="AM2070"/>
  <c r="AN2070"/>
  <c r="AM2006"/>
  <c r="AN2006"/>
  <c r="AM1942"/>
  <c r="AN1942"/>
  <c r="AM1880"/>
  <c r="AN1880"/>
  <c r="AM1754"/>
  <c r="AN1754"/>
  <c r="AM1627"/>
  <c r="AN1627"/>
  <c r="AM1500"/>
  <c r="AN1500"/>
  <c r="AM1372"/>
  <c r="AN1372"/>
  <c r="AM1245"/>
  <c r="AN1245"/>
  <c r="AM2121"/>
  <c r="AN2121"/>
  <c r="AM2058"/>
  <c r="AN2058"/>
  <c r="AN26"/>
  <c r="AO26" s="1"/>
  <c r="AM2145"/>
  <c r="AN2145"/>
  <c r="AM2082"/>
  <c r="AN2082"/>
  <c r="AM2018"/>
  <c r="AN2018"/>
  <c r="AM1954"/>
  <c r="AN1954"/>
  <c r="AM1892"/>
  <c r="AN1892"/>
  <c r="AM1778"/>
  <c r="AN1778"/>
  <c r="AM1651"/>
  <c r="AN1651"/>
  <c r="AM1524"/>
  <c r="AN1524"/>
  <c r="AM1396"/>
  <c r="AN1396"/>
  <c r="AM1269"/>
  <c r="AN1269"/>
  <c r="AM2149"/>
  <c r="AN2149"/>
  <c r="AM10"/>
  <c r="AN10"/>
  <c r="AM2022"/>
  <c r="AN2022"/>
  <c r="AM1958"/>
  <c r="AN1958"/>
  <c r="AM1896"/>
  <c r="AN1896"/>
  <c r="AM1786"/>
  <c r="AN1786"/>
  <c r="AM1659"/>
  <c r="AN1659"/>
  <c r="AM1532"/>
  <c r="AN1532"/>
  <c r="AM1404"/>
  <c r="AN1404"/>
  <c r="AM1276"/>
  <c r="AN1276"/>
  <c r="AM2137"/>
  <c r="AN2137"/>
  <c r="AM2074"/>
  <c r="AN2074"/>
  <c r="AM2097"/>
  <c r="AN2097"/>
  <c r="AM2034"/>
  <c r="AN2034"/>
  <c r="AM1970"/>
  <c r="AN1970"/>
  <c r="AM1908"/>
  <c r="AN1908"/>
  <c r="AM1810"/>
  <c r="AN1810"/>
  <c r="AM1683"/>
  <c r="AN1683"/>
  <c r="AM1556"/>
  <c r="AN1556"/>
  <c r="AM1428"/>
  <c r="AN1428"/>
  <c r="AM1300"/>
  <c r="AN1300"/>
  <c r="AM2165"/>
  <c r="AN2165"/>
  <c r="AM2101"/>
  <c r="AN2101"/>
  <c r="AM2038"/>
  <c r="AN2038"/>
  <c r="AM1974"/>
  <c r="AN1974"/>
  <c r="AM1912"/>
  <c r="AN1912"/>
  <c r="AM1818"/>
  <c r="AN1818"/>
  <c r="AM1691"/>
  <c r="AN1691"/>
  <c r="AM1564"/>
  <c r="AN1564"/>
  <c r="AM1436"/>
  <c r="AN1436"/>
  <c r="AM1308"/>
  <c r="AN1308"/>
  <c r="AM2153"/>
  <c r="AN2153"/>
  <c r="AM2089"/>
  <c r="AN2089"/>
  <c r="AM2026"/>
  <c r="AN2026"/>
  <c r="AM1962"/>
  <c r="AN1962"/>
  <c r="AM1900"/>
  <c r="AN1900"/>
  <c r="AM1794"/>
  <c r="AN1794"/>
  <c r="AM1667"/>
  <c r="AN1667"/>
  <c r="AM1540"/>
  <c r="AN1540"/>
  <c r="AM1412"/>
  <c r="AN1412"/>
  <c r="AM1284"/>
  <c r="AN1284"/>
  <c r="AM2113"/>
  <c r="AN2113"/>
  <c r="AM2050"/>
  <c r="AN2050"/>
  <c r="AM1986"/>
  <c r="AN1986"/>
  <c r="AM1924"/>
  <c r="AN1924"/>
  <c r="AM8"/>
  <c r="AN8"/>
  <c r="AO8" s="1"/>
  <c r="AM1715"/>
  <c r="AN1715"/>
  <c r="AM1588"/>
  <c r="AN1588"/>
  <c r="AM1460"/>
  <c r="AN1460"/>
  <c r="AM1332"/>
  <c r="AN1332"/>
  <c r="AM1205"/>
  <c r="AN1205"/>
  <c r="AM2117"/>
  <c r="AN2117"/>
  <c r="AM2054"/>
  <c r="AN2054"/>
  <c r="AM1990"/>
  <c r="AN1990"/>
  <c r="AM1928"/>
  <c r="AN1928"/>
  <c r="AM1849"/>
  <c r="AN1849"/>
  <c r="AM1723"/>
  <c r="AN1723"/>
  <c r="AM1596"/>
  <c r="AN1596"/>
  <c r="AM1468"/>
  <c r="AN1468"/>
  <c r="AM1340"/>
  <c r="AN1340"/>
  <c r="AM1213"/>
  <c r="AN1213"/>
  <c r="AM2105"/>
  <c r="AN2105"/>
  <c r="AM2042"/>
  <c r="AN2042"/>
  <c r="AM1978"/>
  <c r="AN1978"/>
  <c r="AM1916"/>
  <c r="AN1916"/>
  <c r="AM1826"/>
  <c r="AN1826"/>
  <c r="AM1699"/>
  <c r="AN1699"/>
  <c r="AM1572"/>
  <c r="AN1572"/>
  <c r="AM1444"/>
  <c r="AN1444"/>
  <c r="AM1316"/>
  <c r="AN1316"/>
  <c r="AM1994"/>
  <c r="AN1994"/>
  <c r="AM1931"/>
  <c r="AN1931"/>
  <c r="AM1857"/>
  <c r="AN1857"/>
  <c r="AM1731"/>
  <c r="AN1731"/>
  <c r="AM1604"/>
  <c r="AN1604"/>
  <c r="AM1476"/>
  <c r="AN1476"/>
  <c r="AM1348"/>
  <c r="AN1348"/>
  <c r="AM1221"/>
  <c r="AN1221"/>
  <c r="AM2109"/>
  <c r="AN2109"/>
  <c r="AM2046"/>
  <c r="AN2046"/>
  <c r="AM1982"/>
  <c r="AN1982"/>
  <c r="AM1920"/>
  <c r="AN1920"/>
  <c r="AM1834"/>
  <c r="AN1834"/>
  <c r="AM1707"/>
  <c r="AN1707"/>
  <c r="AM1580"/>
  <c r="AN1580"/>
  <c r="AM1452"/>
  <c r="AN1452"/>
  <c r="AM1324"/>
  <c r="AN1324"/>
  <c r="AM2168"/>
  <c r="AN2168"/>
  <c r="AM2152"/>
  <c r="AN2152"/>
  <c r="AM2136"/>
  <c r="AN2136"/>
  <c r="AM2120"/>
  <c r="AN2120"/>
  <c r="AM2104"/>
  <c r="AN2104"/>
  <c r="AM2088"/>
  <c r="AN2088"/>
  <c r="AM2073"/>
  <c r="AN2073"/>
  <c r="AM2057"/>
  <c r="AN2057"/>
  <c r="AM2041"/>
  <c r="AN2041"/>
  <c r="AM2025"/>
  <c r="AN2025"/>
  <c r="AM2009"/>
  <c r="AN2009"/>
  <c r="AM1993"/>
  <c r="AN1993"/>
  <c r="AM1977"/>
  <c r="AN1977"/>
  <c r="AM1961"/>
  <c r="AN1961"/>
  <c r="AM1945"/>
  <c r="AN1945"/>
  <c r="AM1930"/>
  <c r="AN1930"/>
  <c r="AM1915"/>
  <c r="AN1915"/>
  <c r="AM1899"/>
  <c r="AN1899"/>
  <c r="AM1883"/>
  <c r="AN1883"/>
  <c r="AM1856"/>
  <c r="AN1856"/>
  <c r="AM1825"/>
  <c r="AN1825"/>
  <c r="AM1793"/>
  <c r="AN1793"/>
  <c r="AM1761"/>
  <c r="AN1761"/>
  <c r="AM1730"/>
  <c r="AN1730"/>
  <c r="AM1698"/>
  <c r="AN1698"/>
  <c r="AM1666"/>
  <c r="AN1666"/>
  <c r="AM1634"/>
  <c r="AN1634"/>
  <c r="AM1603"/>
  <c r="AN1603"/>
  <c r="AM1571"/>
  <c r="AN1571"/>
  <c r="AM1539"/>
  <c r="AN1539"/>
  <c r="AM1507"/>
  <c r="AN1507"/>
  <c r="AM1475"/>
  <c r="AN1475"/>
  <c r="AM1443"/>
  <c r="AN1443"/>
  <c r="AM1411"/>
  <c r="AN1411"/>
  <c r="AM1379"/>
  <c r="AN1379"/>
  <c r="AM1347"/>
  <c r="AN1347"/>
  <c r="AM1315"/>
  <c r="AN1315"/>
  <c r="AM1283"/>
  <c r="AN1283"/>
  <c r="AM1252"/>
  <c r="AN1252"/>
  <c r="AM1220"/>
  <c r="AN1220"/>
  <c r="AM1188"/>
  <c r="AN1188"/>
  <c r="AM1156"/>
  <c r="AN1156"/>
  <c r="AM1124"/>
  <c r="AN1124"/>
  <c r="AM1092"/>
  <c r="AN1092"/>
  <c r="AM1060"/>
  <c r="AN1060"/>
  <c r="AM1028"/>
  <c r="AN1028"/>
  <c r="AM996"/>
  <c r="AN996"/>
  <c r="AM965"/>
  <c r="AN965"/>
  <c r="AM933"/>
  <c r="AN933"/>
  <c r="AM901"/>
  <c r="AN901"/>
  <c r="AM869"/>
  <c r="AN869"/>
  <c r="AM837"/>
  <c r="AN837"/>
  <c r="AM805"/>
  <c r="AN805"/>
  <c r="AM773"/>
  <c r="AN773"/>
  <c r="AM741"/>
  <c r="AN741"/>
  <c r="AM710"/>
  <c r="AN710"/>
  <c r="AM678"/>
  <c r="AN678"/>
  <c r="AM646"/>
  <c r="AN646"/>
  <c r="AM614"/>
  <c r="AN614"/>
  <c r="AM582"/>
  <c r="AN582"/>
  <c r="AM550"/>
  <c r="AN550"/>
  <c r="AM518"/>
  <c r="AN518"/>
  <c r="AM470"/>
  <c r="AN470"/>
  <c r="AM406"/>
  <c r="AN406"/>
  <c r="AM342"/>
  <c r="AN342"/>
  <c r="AM278"/>
  <c r="AN278"/>
  <c r="AM214"/>
  <c r="AN214"/>
  <c r="AM150"/>
  <c r="AN150"/>
  <c r="AM86"/>
  <c r="AN86"/>
  <c r="AM1189"/>
  <c r="AN1189"/>
  <c r="AO1189" s="1"/>
  <c r="AM1157"/>
  <c r="AN1157"/>
  <c r="AM1125"/>
  <c r="AN1125"/>
  <c r="AM1093"/>
  <c r="AN1093"/>
  <c r="AM1061"/>
  <c r="AN1061"/>
  <c r="AO1061" s="1"/>
  <c r="AM1029"/>
  <c r="AN1029"/>
  <c r="AM997"/>
  <c r="AN997"/>
  <c r="AM966"/>
  <c r="AN966"/>
  <c r="AM934"/>
  <c r="AN934"/>
  <c r="AO934" s="1"/>
  <c r="AM902"/>
  <c r="AN902"/>
  <c r="AM870"/>
  <c r="AN870"/>
  <c r="AM838"/>
  <c r="AN838"/>
  <c r="AM806"/>
  <c r="AN806"/>
  <c r="AO806" s="1"/>
  <c r="AM774"/>
  <c r="AN774"/>
  <c r="AM742"/>
  <c r="AN742"/>
  <c r="AM711"/>
  <c r="AN711"/>
  <c r="AM679"/>
  <c r="AN679"/>
  <c r="AO679" s="1"/>
  <c r="AM647"/>
  <c r="AN647"/>
  <c r="AM615"/>
  <c r="AN615"/>
  <c r="AM583"/>
  <c r="AN583"/>
  <c r="AM551"/>
  <c r="AN551"/>
  <c r="AO551" s="1"/>
  <c r="AM519"/>
  <c r="AN519"/>
  <c r="AM474"/>
  <c r="AN474"/>
  <c r="AM410"/>
  <c r="AN410"/>
  <c r="AM346"/>
  <c r="AN346"/>
  <c r="AM282"/>
  <c r="AN282"/>
  <c r="AM218"/>
  <c r="AN218"/>
  <c r="AM154"/>
  <c r="AN154"/>
  <c r="AM90"/>
  <c r="AN90"/>
  <c r="AM2162"/>
  <c r="AN2162"/>
  <c r="AO2162" s="1"/>
  <c r="AM2146"/>
  <c r="AN2146"/>
  <c r="AO2146" s="1"/>
  <c r="AM2130"/>
  <c r="AN2130"/>
  <c r="AM2114"/>
  <c r="AN2114"/>
  <c r="AM2098"/>
  <c r="AN2098"/>
  <c r="AM2083"/>
  <c r="AN2083"/>
  <c r="AO2083" s="1"/>
  <c r="AM2067"/>
  <c r="AN2067"/>
  <c r="AM2051"/>
  <c r="AN2051"/>
  <c r="AO2051" s="1"/>
  <c r="AM2035"/>
  <c r="AN2035"/>
  <c r="AO2035" s="1"/>
  <c r="AM2019"/>
  <c r="AN2019"/>
  <c r="AM2003"/>
  <c r="AN2003"/>
  <c r="AM1987"/>
  <c r="AN1987"/>
  <c r="AO1987" s="1"/>
  <c r="AM1971"/>
  <c r="AN1971"/>
  <c r="AO1971" s="1"/>
  <c r="AM1955"/>
  <c r="AN1955"/>
  <c r="AM1940"/>
  <c r="AN1940"/>
  <c r="AO1940" s="1"/>
  <c r="AM1925"/>
  <c r="AN1925"/>
  <c r="AO1925" s="1"/>
  <c r="AM1909"/>
  <c r="AN1909"/>
  <c r="AO1909" s="1"/>
  <c r="AM1893"/>
  <c r="AN1893"/>
  <c r="AO1893" s="1"/>
  <c r="AM1875"/>
  <c r="AN1875"/>
  <c r="AM1844"/>
  <c r="AN1844"/>
  <c r="AM1813"/>
  <c r="AN1813"/>
  <c r="AM1781"/>
  <c r="AN1781"/>
  <c r="AM1749"/>
  <c r="AN1749"/>
  <c r="AM1718"/>
  <c r="AN1718"/>
  <c r="AM1686"/>
  <c r="AN1686"/>
  <c r="AM1654"/>
  <c r="AN1654"/>
  <c r="AM1622"/>
  <c r="AN1622"/>
  <c r="AM1591"/>
  <c r="AN1591"/>
  <c r="AM1559"/>
  <c r="AN1559"/>
  <c r="AM1527"/>
  <c r="AN1527"/>
  <c r="AM1495"/>
  <c r="AN1495"/>
  <c r="AM1463"/>
  <c r="AN1463"/>
  <c r="AM1431"/>
  <c r="AN1431"/>
  <c r="AM1399"/>
  <c r="AN1399"/>
  <c r="AM1367"/>
  <c r="AN1367"/>
  <c r="AM1335"/>
  <c r="AN1335"/>
  <c r="AM1303"/>
  <c r="AN1303"/>
  <c r="AM1272"/>
  <c r="AN1272"/>
  <c r="AM1240"/>
  <c r="AN1240"/>
  <c r="AM1208"/>
  <c r="AN1208"/>
  <c r="AM1176"/>
  <c r="AN1176"/>
  <c r="AM1144"/>
  <c r="AN1144"/>
  <c r="AM1112"/>
  <c r="AN1112"/>
  <c r="AM1080"/>
  <c r="AN1080"/>
  <c r="AM1048"/>
  <c r="AN1048"/>
  <c r="AM1016"/>
  <c r="AN1016"/>
  <c r="AM984"/>
  <c r="AN984"/>
  <c r="AM953"/>
  <c r="AN953"/>
  <c r="AM921"/>
  <c r="AN921"/>
  <c r="AM889"/>
  <c r="AN889"/>
  <c r="AM857"/>
  <c r="AN857"/>
  <c r="AM825"/>
  <c r="AN825"/>
  <c r="AM793"/>
  <c r="AN793"/>
  <c r="AM761"/>
  <c r="AN761"/>
  <c r="AM729"/>
  <c r="AN729"/>
  <c r="AM698"/>
  <c r="AN698"/>
  <c r="AM666"/>
  <c r="AN666"/>
  <c r="AM634"/>
  <c r="AN634"/>
  <c r="AM602"/>
  <c r="AN602"/>
  <c r="AM570"/>
  <c r="AN570"/>
  <c r="AM538"/>
  <c r="AN538"/>
  <c r="AM506"/>
  <c r="AN506"/>
  <c r="AM446"/>
  <c r="AN446"/>
  <c r="AM382"/>
  <c r="AN382"/>
  <c r="AM318"/>
  <c r="AN318"/>
  <c r="AM254"/>
  <c r="AN254"/>
  <c r="AM190"/>
  <c r="AN190"/>
  <c r="AM126"/>
  <c r="AN126"/>
  <c r="AM64"/>
  <c r="AN64"/>
  <c r="AM2159"/>
  <c r="AN2159"/>
  <c r="AM2143"/>
  <c r="AN2143"/>
  <c r="AM2127"/>
  <c r="AN2127"/>
  <c r="AM2111"/>
  <c r="AN2111"/>
  <c r="AM2095"/>
  <c r="AN2095"/>
  <c r="AM2080"/>
  <c r="AN2080"/>
  <c r="AM2064"/>
  <c r="AN2064"/>
  <c r="AM2048"/>
  <c r="AN2048"/>
  <c r="AM2032"/>
  <c r="AN2032"/>
  <c r="AM2016"/>
  <c r="AN2016"/>
  <c r="AM2000"/>
  <c r="AN2000"/>
  <c r="AM1984"/>
  <c r="AN1984"/>
  <c r="AM1968"/>
  <c r="AN1968"/>
  <c r="AM1952"/>
  <c r="AN1952"/>
  <c r="AM1937"/>
  <c r="AN1937"/>
  <c r="AM1922"/>
  <c r="AN1922"/>
  <c r="AM1906"/>
  <c r="AN1906"/>
  <c r="AM1890"/>
  <c r="AN1890"/>
  <c r="AM1868"/>
  <c r="AN1868"/>
  <c r="AM1838"/>
  <c r="AN1838"/>
  <c r="AM1806"/>
  <c r="AN1806"/>
  <c r="AM1774"/>
  <c r="AN1774"/>
  <c r="AM1742"/>
  <c r="AN1742"/>
  <c r="AM1711"/>
  <c r="AN1711"/>
  <c r="AM1679"/>
  <c r="AN1679"/>
  <c r="AM1647"/>
  <c r="AN1647"/>
  <c r="AM1616"/>
  <c r="AN1616"/>
  <c r="AM1584"/>
  <c r="AN1584"/>
  <c r="AM1552"/>
  <c r="AN1552"/>
  <c r="AM1520"/>
  <c r="AN1520"/>
  <c r="AM1488"/>
  <c r="AN1488"/>
  <c r="AM1456"/>
  <c r="AN1456"/>
  <c r="AM1424"/>
  <c r="AN1424"/>
  <c r="AM1392"/>
  <c r="AN1392"/>
  <c r="AM1360"/>
  <c r="AN1360"/>
  <c r="AM1328"/>
  <c r="AN1328"/>
  <c r="AM1296"/>
  <c r="AN1296"/>
  <c r="AM1265"/>
  <c r="AN1265"/>
  <c r="AM1233"/>
  <c r="AN1233"/>
  <c r="AM1201"/>
  <c r="AN1201"/>
  <c r="AM1169"/>
  <c r="AN1169"/>
  <c r="AM1137"/>
  <c r="AN1137"/>
  <c r="AM1105"/>
  <c r="AN1105"/>
  <c r="AM1073"/>
  <c r="AN1073"/>
  <c r="AM1041"/>
  <c r="AN1041"/>
  <c r="AM1009"/>
  <c r="AN1009"/>
  <c r="AM977"/>
  <c r="AN977"/>
  <c r="AM946"/>
  <c r="AN946"/>
  <c r="AM914"/>
  <c r="AN914"/>
  <c r="AM882"/>
  <c r="AN882"/>
  <c r="AM850"/>
  <c r="AN850"/>
  <c r="AM818"/>
  <c r="AN818"/>
  <c r="AM786"/>
  <c r="AN786"/>
  <c r="AM754"/>
  <c r="AN754"/>
  <c r="AM723"/>
  <c r="AN723"/>
  <c r="AM691"/>
  <c r="AN691"/>
  <c r="AM659"/>
  <c r="AN659"/>
  <c r="AM627"/>
  <c r="AN627"/>
  <c r="AM595"/>
  <c r="AN595"/>
  <c r="AM563"/>
  <c r="AN563"/>
  <c r="AM531"/>
  <c r="AN531"/>
  <c r="AM498"/>
  <c r="AN498"/>
  <c r="AM434"/>
  <c r="AN434"/>
  <c r="AM370"/>
  <c r="AN370"/>
  <c r="AM306"/>
  <c r="AN306"/>
  <c r="AM242"/>
  <c r="AN242"/>
  <c r="AM178"/>
  <c r="AN178"/>
  <c r="AM114"/>
  <c r="AN114"/>
  <c r="AM52"/>
  <c r="AN52"/>
  <c r="AM1866"/>
  <c r="AN1866"/>
  <c r="AM1851"/>
  <c r="AN1851"/>
  <c r="AM1836"/>
  <c r="AN1836"/>
  <c r="AM2010"/>
  <c r="AN2010"/>
  <c r="AM1946"/>
  <c r="AN1946"/>
  <c r="AM1884"/>
  <c r="AN1884"/>
  <c r="AM1762"/>
  <c r="AN1762"/>
  <c r="AO1762" s="1"/>
  <c r="AM1635"/>
  <c r="AN1635"/>
  <c r="AM1508"/>
  <c r="AN1508"/>
  <c r="AM1380"/>
  <c r="AN1380"/>
  <c r="AM1253"/>
  <c r="AN1253"/>
  <c r="AO1253" s="1"/>
  <c r="AM2125"/>
  <c r="AN2125"/>
  <c r="AM2062"/>
  <c r="AN2062"/>
  <c r="AM1998"/>
  <c r="AN1998"/>
  <c r="AM1935"/>
  <c r="AN1935"/>
  <c r="AM1864"/>
  <c r="AN1864"/>
  <c r="AM1738"/>
  <c r="AN1738"/>
  <c r="AM1612"/>
  <c r="AN1612"/>
  <c r="AM1484"/>
  <c r="AN1484"/>
  <c r="AM1356"/>
  <c r="AN1356"/>
  <c r="AM1229"/>
  <c r="AN1229"/>
  <c r="AM2156"/>
  <c r="AN2156"/>
  <c r="AM2140"/>
  <c r="AN2140"/>
  <c r="AM2124"/>
  <c r="AN2124"/>
  <c r="AM2108"/>
  <c r="AN2108"/>
  <c r="AM2092"/>
  <c r="AN2092"/>
  <c r="AM2077"/>
  <c r="AN2077"/>
  <c r="AM2061"/>
  <c r="AN2061"/>
  <c r="AM2045"/>
  <c r="AN2045"/>
  <c r="AM2029"/>
  <c r="AN2029"/>
  <c r="AM2013"/>
  <c r="AN2013"/>
  <c r="AM1997"/>
  <c r="AN1997"/>
  <c r="AM1981"/>
  <c r="AN1981"/>
  <c r="AM1965"/>
  <c r="AN1965"/>
  <c r="AM1949"/>
  <c r="AN1949"/>
  <c r="AM1934"/>
  <c r="AN1934"/>
  <c r="AM1919"/>
  <c r="AN1919"/>
  <c r="AM1903"/>
  <c r="AN1903"/>
  <c r="AM1887"/>
  <c r="AN1887"/>
  <c r="AM1863"/>
  <c r="AN1863"/>
  <c r="AM1833"/>
  <c r="AN1833"/>
  <c r="AM1801"/>
  <c r="AN1801"/>
  <c r="AM1769"/>
  <c r="AN1769"/>
  <c r="AM1737"/>
  <c r="AN1737"/>
  <c r="AM1706"/>
  <c r="AN1706"/>
  <c r="AM1674"/>
  <c r="AN1674"/>
  <c r="AM1642"/>
  <c r="AN1642"/>
  <c r="AM1611"/>
  <c r="AN1611"/>
  <c r="AM1579"/>
  <c r="AN1579"/>
  <c r="AM1547"/>
  <c r="AN1547"/>
  <c r="AM1515"/>
  <c r="AN1515"/>
  <c r="AM1483"/>
  <c r="AN1483"/>
  <c r="AM1451"/>
  <c r="AN1451"/>
  <c r="AM1419"/>
  <c r="AN1419"/>
  <c r="AM1387"/>
  <c r="AN1387"/>
  <c r="AM1355"/>
  <c r="AN1355"/>
  <c r="AM1323"/>
  <c r="AN1323"/>
  <c r="AM1291"/>
  <c r="AN1291"/>
  <c r="AM1260"/>
  <c r="AN1260"/>
  <c r="AM1228"/>
  <c r="AN1228"/>
  <c r="AM1196"/>
  <c r="AN1196"/>
  <c r="AM1164"/>
  <c r="AN1164"/>
  <c r="AM1132"/>
  <c r="AN1132"/>
  <c r="AM1100"/>
  <c r="AN1100"/>
  <c r="AM1068"/>
  <c r="AN1068"/>
  <c r="AM1036"/>
  <c r="AN1036"/>
  <c r="AM1004"/>
  <c r="AN1004"/>
  <c r="AM973"/>
  <c r="AN973"/>
  <c r="AM941"/>
  <c r="AN941"/>
  <c r="AM909"/>
  <c r="AN909"/>
  <c r="AM877"/>
  <c r="AN877"/>
  <c r="AM845"/>
  <c r="AN845"/>
  <c r="AM813"/>
  <c r="AN813"/>
  <c r="AM781"/>
  <c r="AN781"/>
  <c r="AM749"/>
  <c r="AN749"/>
  <c r="AM718"/>
  <c r="AN718"/>
  <c r="AM686"/>
  <c r="AN686"/>
  <c r="AM654"/>
  <c r="AN654"/>
  <c r="AM622"/>
  <c r="AN622"/>
  <c r="AM590"/>
  <c r="AN590"/>
  <c r="AM558"/>
  <c r="AN558"/>
  <c r="AM526"/>
  <c r="AN526"/>
  <c r="AM486"/>
  <c r="AN486"/>
  <c r="AM422"/>
  <c r="AN422"/>
  <c r="AM358"/>
  <c r="AN358"/>
  <c r="AM294"/>
  <c r="AN294"/>
  <c r="AM230"/>
  <c r="AN230"/>
  <c r="AM166"/>
  <c r="AN166"/>
  <c r="AM102"/>
  <c r="AN102"/>
  <c r="AM1197"/>
  <c r="AN1197"/>
  <c r="AO1197" s="1"/>
  <c r="AM1165"/>
  <c r="AN1165"/>
  <c r="AM1133"/>
  <c r="AN1133"/>
  <c r="AM1101"/>
  <c r="AN1101"/>
  <c r="AM1069"/>
  <c r="AN1069"/>
  <c r="AO1069" s="1"/>
  <c r="AM1037"/>
  <c r="AN1037"/>
  <c r="AM1005"/>
  <c r="AN1005"/>
  <c r="AM6"/>
  <c r="AN6"/>
  <c r="AO6" s="1"/>
  <c r="AM942"/>
  <c r="AN942"/>
  <c r="AO942" s="1"/>
  <c r="AM910"/>
  <c r="AN910"/>
  <c r="AM878"/>
  <c r="AN878"/>
  <c r="AM846"/>
  <c r="AN846"/>
  <c r="AM814"/>
  <c r="AN814"/>
  <c r="AO814" s="1"/>
  <c r="AM782"/>
  <c r="AN782"/>
  <c r="AM750"/>
  <c r="AN750"/>
  <c r="AM719"/>
  <c r="AN719"/>
  <c r="AM687"/>
  <c r="AN687"/>
  <c r="AO687" s="1"/>
  <c r="AM655"/>
  <c r="AN655"/>
  <c r="AM623"/>
  <c r="AN623"/>
  <c r="AM591"/>
  <c r="AN591"/>
  <c r="AM559"/>
  <c r="AN559"/>
  <c r="AO559" s="1"/>
  <c r="AM527"/>
  <c r="AN527"/>
  <c r="AM490"/>
  <c r="AN490"/>
  <c r="AM426"/>
  <c r="AN426"/>
  <c r="AM362"/>
  <c r="AN362"/>
  <c r="AM298"/>
  <c r="AN298"/>
  <c r="AM234"/>
  <c r="AN234"/>
  <c r="AM170"/>
  <c r="AN170"/>
  <c r="AM106"/>
  <c r="AN106"/>
  <c r="AM2166"/>
  <c r="AN2166"/>
  <c r="AM2150"/>
  <c r="AN2150"/>
  <c r="AM2134"/>
  <c r="AN2134"/>
  <c r="AM2118"/>
  <c r="AN2118"/>
  <c r="AO2118" s="1"/>
  <c r="AM2102"/>
  <c r="AN2102"/>
  <c r="AO2102" s="1"/>
  <c r="AM2086"/>
  <c r="AN2086"/>
  <c r="AM2071"/>
  <c r="AN2071"/>
  <c r="AO2071" s="1"/>
  <c r="AM2055"/>
  <c r="AN2055"/>
  <c r="AO2055" s="1"/>
  <c r="AM2039"/>
  <c r="AN2039"/>
  <c r="AO2039" s="1"/>
  <c r="AM2023"/>
  <c r="AN2023"/>
  <c r="AO2023" s="1"/>
  <c r="AM2007"/>
  <c r="AN2007"/>
  <c r="AM1991"/>
  <c r="AN1991"/>
  <c r="AM1975"/>
  <c r="AN1975"/>
  <c r="AM1959"/>
  <c r="AN1959"/>
  <c r="AO1959" s="1"/>
  <c r="AM1943"/>
  <c r="AN1943"/>
  <c r="AM1929"/>
  <c r="AN1929"/>
  <c r="AO1929" s="1"/>
  <c r="AM1913"/>
  <c r="AN1913"/>
  <c r="AM1897"/>
  <c r="AN1897"/>
  <c r="AM1881"/>
  <c r="AN1881"/>
  <c r="AM1852"/>
  <c r="AN1852"/>
  <c r="AO1852" s="1"/>
  <c r="AM1821"/>
  <c r="AN1821"/>
  <c r="AM1789"/>
  <c r="AN1789"/>
  <c r="AM1757"/>
  <c r="AN1757"/>
  <c r="AM1726"/>
  <c r="AN1726"/>
  <c r="AM1694"/>
  <c r="AN1694"/>
  <c r="AM1662"/>
  <c r="AN1662"/>
  <c r="AM1630"/>
  <c r="AN1630"/>
  <c r="AM1599"/>
  <c r="AN1599"/>
  <c r="AM1567"/>
  <c r="AN1567"/>
  <c r="AM1535"/>
  <c r="AN1535"/>
  <c r="AM1503"/>
  <c r="AN1503"/>
  <c r="AM1471"/>
  <c r="AN1471"/>
  <c r="AM1439"/>
  <c r="AN1439"/>
  <c r="AM1407"/>
  <c r="AN1407"/>
  <c r="AM1375"/>
  <c r="AN1375"/>
  <c r="AM1343"/>
  <c r="AN1343"/>
  <c r="AM1311"/>
  <c r="AN1311"/>
  <c r="AM1279"/>
  <c r="AN1279"/>
  <c r="AM1248"/>
  <c r="AN1248"/>
  <c r="AM1216"/>
  <c r="AN1216"/>
  <c r="AM1184"/>
  <c r="AN1184"/>
  <c r="AM1152"/>
  <c r="AN1152"/>
  <c r="AM1120"/>
  <c r="AN1120"/>
  <c r="AM1088"/>
  <c r="AN1088"/>
  <c r="AM1056"/>
  <c r="AN1056"/>
  <c r="AM1024"/>
  <c r="AN1024"/>
  <c r="AM992"/>
  <c r="AN992"/>
  <c r="AM961"/>
  <c r="AN961"/>
  <c r="AM929"/>
  <c r="AN929"/>
  <c r="AM897"/>
  <c r="AN897"/>
  <c r="AM865"/>
  <c r="AN865"/>
  <c r="AM833"/>
  <c r="AN833"/>
  <c r="AM801"/>
  <c r="AN801"/>
  <c r="AM769"/>
  <c r="AN769"/>
  <c r="AM737"/>
  <c r="AN737"/>
  <c r="AM706"/>
  <c r="AN706"/>
  <c r="AM674"/>
  <c r="AN674"/>
  <c r="AM642"/>
  <c r="AN642"/>
  <c r="AM610"/>
  <c r="AN610"/>
  <c r="AM578"/>
  <c r="AN578"/>
  <c r="AM546"/>
  <c r="AN546"/>
  <c r="AM514"/>
  <c r="AN514"/>
  <c r="AM462"/>
  <c r="AN462"/>
  <c r="AM398"/>
  <c r="AN398"/>
  <c r="AM334"/>
  <c r="AN334"/>
  <c r="AM270"/>
  <c r="AN270"/>
  <c r="AM206"/>
  <c r="AN206"/>
  <c r="AM142"/>
  <c r="AN142"/>
  <c r="AM79"/>
  <c r="AN79"/>
  <c r="AM2163"/>
  <c r="AN2163"/>
  <c r="AM2147"/>
  <c r="AN2147"/>
  <c r="AM2131"/>
  <c r="AN2131"/>
  <c r="AO2131" s="1"/>
  <c r="AM2115"/>
  <c r="AN2115"/>
  <c r="AM2099"/>
  <c r="AN2099"/>
  <c r="AM2084"/>
  <c r="AN2084"/>
  <c r="AM2068"/>
  <c r="AN2068"/>
  <c r="AO2068" s="1"/>
  <c r="AM2052"/>
  <c r="AN2052"/>
  <c r="AM2036"/>
  <c r="AN2036"/>
  <c r="AM2020"/>
  <c r="AN2020"/>
  <c r="AM2004"/>
  <c r="AN2004"/>
  <c r="AO2004" s="1"/>
  <c r="AM1988"/>
  <c r="AN1988"/>
  <c r="AM1972"/>
  <c r="AN1972"/>
  <c r="AM1956"/>
  <c r="AN1956"/>
  <c r="AM5"/>
  <c r="AN5"/>
  <c r="AO5" s="1"/>
  <c r="AM1926"/>
  <c r="AN1926"/>
  <c r="AM1910"/>
  <c r="AN1910"/>
  <c r="AM1894"/>
  <c r="AN1894"/>
  <c r="AM1876"/>
  <c r="AN1876"/>
  <c r="AO1876" s="1"/>
  <c r="AM1845"/>
  <c r="AN1845"/>
  <c r="AM1814"/>
  <c r="AN1814"/>
  <c r="AM1782"/>
  <c r="AN1782"/>
  <c r="AM1750"/>
  <c r="AN1750"/>
  <c r="AO1750" s="1"/>
  <c r="AM1719"/>
  <c r="AN1719"/>
  <c r="AM1687"/>
  <c r="AN1687"/>
  <c r="AM1655"/>
  <c r="AN1655"/>
  <c r="AM1623"/>
  <c r="AN1623"/>
  <c r="AO1623" s="1"/>
  <c r="AM1592"/>
  <c r="AN1592"/>
  <c r="AM1560"/>
  <c r="AN1560"/>
  <c r="AM1528"/>
  <c r="AN1528"/>
  <c r="AM1496"/>
  <c r="AN1496"/>
  <c r="AO1496" s="1"/>
  <c r="AM1464"/>
  <c r="AN1464"/>
  <c r="AM1432"/>
  <c r="AN1432"/>
  <c r="AM1400"/>
  <c r="AN1400"/>
  <c r="AM1368"/>
  <c r="AN1368"/>
  <c r="AO1368" s="1"/>
  <c r="AM1336"/>
  <c r="AN1336"/>
  <c r="AM1304"/>
  <c r="AN1304"/>
  <c r="AM17"/>
  <c r="AN17"/>
  <c r="AO17" s="1"/>
  <c r="AM1241"/>
  <c r="AN1241"/>
  <c r="AO1241" s="1"/>
  <c r="AM1209"/>
  <c r="AN1209"/>
  <c r="AM1177"/>
  <c r="AN1177"/>
  <c r="AM1145"/>
  <c r="AN1145"/>
  <c r="AM1113"/>
  <c r="AN1113"/>
  <c r="AO1113" s="1"/>
  <c r="AM1081"/>
  <c r="AN1081"/>
  <c r="AM1049"/>
  <c r="AN1049"/>
  <c r="AM1017"/>
  <c r="AN1017"/>
  <c r="AM985"/>
  <c r="AN985"/>
  <c r="AO985" s="1"/>
  <c r="AM954"/>
  <c r="AN954"/>
  <c r="AM922"/>
  <c r="AN922"/>
  <c r="AM890"/>
  <c r="AN890"/>
  <c r="AM858"/>
  <c r="AN858"/>
  <c r="AO858" s="1"/>
  <c r="AM826"/>
  <c r="AN826"/>
  <c r="AM794"/>
  <c r="AN794"/>
  <c r="AM762"/>
  <c r="AN762"/>
  <c r="AM730"/>
  <c r="AN730"/>
  <c r="AO730" s="1"/>
  <c r="AM699"/>
  <c r="AN699"/>
  <c r="AM667"/>
  <c r="AN667"/>
  <c r="AM635"/>
  <c r="AN635"/>
  <c r="AM603"/>
  <c r="AN603"/>
  <c r="AO603" s="1"/>
  <c r="AM571"/>
  <c r="AN571"/>
  <c r="AM539"/>
  <c r="AN539"/>
  <c r="AM507"/>
  <c r="AN507"/>
  <c r="AM450"/>
  <c r="AN450"/>
  <c r="AM386"/>
  <c r="AN386"/>
  <c r="AM322"/>
  <c r="AN322"/>
  <c r="AM258"/>
  <c r="AN258"/>
  <c r="AM194"/>
  <c r="AN194"/>
  <c r="AM130"/>
  <c r="AN130"/>
  <c r="AM68"/>
  <c r="AN68"/>
  <c r="AM1870"/>
  <c r="AN1870"/>
  <c r="AM1855"/>
  <c r="AN1855"/>
  <c r="AM1840"/>
  <c r="AN1840"/>
  <c r="AM2141"/>
  <c r="AN2141"/>
  <c r="AM2078"/>
  <c r="AN2078"/>
  <c r="AM2014"/>
  <c r="AN2014"/>
  <c r="AM1950"/>
  <c r="AN1950"/>
  <c r="AO1950" s="1"/>
  <c r="AM1888"/>
  <c r="AN1888"/>
  <c r="AM1770"/>
  <c r="AN1770"/>
  <c r="AM1643"/>
  <c r="AN1643"/>
  <c r="AM1516"/>
  <c r="AN1516"/>
  <c r="AO1516" s="1"/>
  <c r="AM1388"/>
  <c r="AN1388"/>
  <c r="AM1261"/>
  <c r="AN1261"/>
  <c r="AM2160"/>
  <c r="AN2160"/>
  <c r="AO2160" s="1"/>
  <c r="AM2144"/>
  <c r="AN2144"/>
  <c r="AO2144" s="1"/>
  <c r="AM2128"/>
  <c r="AN2128"/>
  <c r="AM2112"/>
  <c r="AN2112"/>
  <c r="AM2096"/>
  <c r="AN2096"/>
  <c r="AO2096" s="1"/>
  <c r="AM2081"/>
  <c r="AN2081"/>
  <c r="AO2081" s="1"/>
  <c r="AM2065"/>
  <c r="AN2065"/>
  <c r="AM2049"/>
  <c r="AN2049"/>
  <c r="AM2033"/>
  <c r="AN2033"/>
  <c r="AO2033" s="1"/>
  <c r="AM2017"/>
  <c r="AN2017"/>
  <c r="AO2017" s="1"/>
  <c r="AM2001"/>
  <c r="AN2001"/>
  <c r="AM1985"/>
  <c r="AN1985"/>
  <c r="AM1969"/>
  <c r="AN1969"/>
  <c r="AO1969" s="1"/>
  <c r="AM1953"/>
  <c r="AN1953"/>
  <c r="AO1953" s="1"/>
  <c r="AM1938"/>
  <c r="AN1938"/>
  <c r="AM1923"/>
  <c r="AN1923"/>
  <c r="AM1907"/>
  <c r="AN1907"/>
  <c r="AO1907" s="1"/>
  <c r="AM1891"/>
  <c r="AN1891"/>
  <c r="AO1891" s="1"/>
  <c r="AM1871"/>
  <c r="AN1871"/>
  <c r="AM1841"/>
  <c r="AN1841"/>
  <c r="AM1809"/>
  <c r="AN1809"/>
  <c r="AM1777"/>
  <c r="AN1777"/>
  <c r="AM1745"/>
  <c r="AN1745"/>
  <c r="AM1714"/>
  <c r="AN1714"/>
  <c r="AM1682"/>
  <c r="AN1682"/>
  <c r="AM1650"/>
  <c r="AN1650"/>
  <c r="AM1619"/>
  <c r="AN1619"/>
  <c r="AM1587"/>
  <c r="AN1587"/>
  <c r="AM1555"/>
  <c r="AN1555"/>
  <c r="AM1523"/>
  <c r="AN1523"/>
  <c r="AM1491"/>
  <c r="AN1491"/>
  <c r="AM1459"/>
  <c r="AN1459"/>
  <c r="AM1427"/>
  <c r="AN1427"/>
  <c r="AM1395"/>
  <c r="AN1395"/>
  <c r="AM1363"/>
  <c r="AN1363"/>
  <c r="AM1331"/>
  <c r="AN1331"/>
  <c r="AM1299"/>
  <c r="AN1299"/>
  <c r="AM1268"/>
  <c r="AN1268"/>
  <c r="AM1236"/>
  <c r="AN1236"/>
  <c r="AM1204"/>
  <c r="AN1204"/>
  <c r="AM1172"/>
  <c r="AN1172"/>
  <c r="AM1140"/>
  <c r="AN1140"/>
  <c r="AM1108"/>
  <c r="AN1108"/>
  <c r="AM1076"/>
  <c r="AN1076"/>
  <c r="AM1044"/>
  <c r="AN1044"/>
  <c r="AM1012"/>
  <c r="AN1012"/>
  <c r="AM980"/>
  <c r="AN980"/>
  <c r="AM949"/>
  <c r="AN949"/>
  <c r="AM917"/>
  <c r="AN917"/>
  <c r="AM885"/>
  <c r="AN885"/>
  <c r="AM853"/>
  <c r="AN853"/>
  <c r="AM821"/>
  <c r="AN821"/>
  <c r="AM789"/>
  <c r="AN789"/>
  <c r="AM757"/>
  <c r="AN757"/>
  <c r="AM726"/>
  <c r="AN726"/>
  <c r="AM694"/>
  <c r="AN694"/>
  <c r="AM662"/>
  <c r="AN662"/>
  <c r="AM630"/>
  <c r="AN630"/>
  <c r="AM598"/>
  <c r="AN598"/>
  <c r="AM566"/>
  <c r="AN566"/>
  <c r="AM534"/>
  <c r="AN534"/>
  <c r="AM502"/>
  <c r="AN502"/>
  <c r="AM438"/>
  <c r="AN438"/>
  <c r="AM374"/>
  <c r="AN374"/>
  <c r="AM310"/>
  <c r="AN310"/>
  <c r="AM246"/>
  <c r="AN246"/>
  <c r="AM182"/>
  <c r="AN182"/>
  <c r="AM118"/>
  <c r="AN118"/>
  <c r="AM56"/>
  <c r="AN56"/>
  <c r="AM1173"/>
  <c r="AN1173"/>
  <c r="AM1141"/>
  <c r="AN1141"/>
  <c r="AM1109"/>
  <c r="AN1109"/>
  <c r="AM1077"/>
  <c r="AN1077"/>
  <c r="AO1077" s="1"/>
  <c r="AM1045"/>
  <c r="AN1045"/>
  <c r="AM1013"/>
  <c r="AN1013"/>
  <c r="AM981"/>
  <c r="AN981"/>
  <c r="AM950"/>
  <c r="AN950"/>
  <c r="AO950" s="1"/>
  <c r="AM918"/>
  <c r="AN918"/>
  <c r="AM886"/>
  <c r="AN886"/>
  <c r="AM854"/>
  <c r="AN854"/>
  <c r="AM822"/>
  <c r="AN822"/>
  <c r="AO822" s="1"/>
  <c r="AM790"/>
  <c r="AN790"/>
  <c r="AM758"/>
  <c r="AN758"/>
  <c r="AM14"/>
  <c r="AN14"/>
  <c r="AO14" s="1"/>
  <c r="AM695"/>
  <c r="AN695"/>
  <c r="AO695" s="1"/>
  <c r="AM663"/>
  <c r="AN663"/>
  <c r="AM631"/>
  <c r="AN631"/>
  <c r="AM599"/>
  <c r="AN599"/>
  <c r="AM567"/>
  <c r="AN567"/>
  <c r="AO567" s="1"/>
  <c r="AM535"/>
  <c r="AN535"/>
  <c r="AM503"/>
  <c r="AN503"/>
  <c r="AM442"/>
  <c r="AN442"/>
  <c r="AM378"/>
  <c r="AN378"/>
  <c r="AM314"/>
  <c r="AN314"/>
  <c r="AM250"/>
  <c r="AN250"/>
  <c r="AM186"/>
  <c r="AN186"/>
  <c r="AM122"/>
  <c r="AN122"/>
  <c r="AM60"/>
  <c r="AN60"/>
  <c r="AM2154"/>
  <c r="AN2154"/>
  <c r="AO2154" s="1"/>
  <c r="AM2138"/>
  <c r="AN2138"/>
  <c r="AM2122"/>
  <c r="AN2122"/>
  <c r="AM2106"/>
  <c r="AN2106"/>
  <c r="AO2106" s="1"/>
  <c r="AM2090"/>
  <c r="AN2090"/>
  <c r="AM2075"/>
  <c r="AN2075"/>
  <c r="AO2075" s="1"/>
  <c r="AM2059"/>
  <c r="AN2059"/>
  <c r="AO2059" s="1"/>
  <c r="AM2043"/>
  <c r="AN2043"/>
  <c r="AO2043" s="1"/>
  <c r="AM2027"/>
  <c r="AN2027"/>
  <c r="AM2011"/>
  <c r="AN2011"/>
  <c r="AM1995"/>
  <c r="AN1995"/>
  <c r="AO1995" s="1"/>
  <c r="AM1979"/>
  <c r="AN1979"/>
  <c r="AO1979" s="1"/>
  <c r="AM1963"/>
  <c r="AN1963"/>
  <c r="AO1963" s="1"/>
  <c r="AM1947"/>
  <c r="AN1947"/>
  <c r="AO1947" s="1"/>
  <c r="AM1932"/>
  <c r="AN1932"/>
  <c r="AO1932" s="1"/>
  <c r="AM1917"/>
  <c r="AN1917"/>
  <c r="AM1901"/>
  <c r="AN1901"/>
  <c r="AO1901" s="1"/>
  <c r="AM1885"/>
  <c r="AN1885"/>
  <c r="AM1859"/>
  <c r="AN1859"/>
  <c r="AM1829"/>
  <c r="AN1829"/>
  <c r="AM1797"/>
  <c r="AN1797"/>
  <c r="AM1765"/>
  <c r="AN1765"/>
  <c r="AM1733"/>
  <c r="AN1733"/>
  <c r="AM1702"/>
  <c r="AN1702"/>
  <c r="AM1670"/>
  <c r="AN1670"/>
  <c r="AM1638"/>
  <c r="AN1638"/>
  <c r="AM1607"/>
  <c r="AN1607"/>
  <c r="AM1575"/>
  <c r="AN1575"/>
  <c r="AM1543"/>
  <c r="AN1543"/>
  <c r="AM1511"/>
  <c r="AN1511"/>
  <c r="AM1479"/>
  <c r="AN1479"/>
  <c r="AM1447"/>
  <c r="AN1447"/>
  <c r="AM1415"/>
  <c r="AN1415"/>
  <c r="AM1383"/>
  <c r="AN1383"/>
  <c r="AM1351"/>
  <c r="AN1351"/>
  <c r="AM1319"/>
  <c r="AN1319"/>
  <c r="AM1287"/>
  <c r="AN1287"/>
  <c r="AM1256"/>
  <c r="AN1256"/>
  <c r="AM1224"/>
  <c r="AN1224"/>
  <c r="AM1192"/>
  <c r="AN1192"/>
  <c r="AM1160"/>
  <c r="AN1160"/>
  <c r="AM1128"/>
  <c r="AN1128"/>
  <c r="AM1096"/>
  <c r="AN1096"/>
  <c r="AM1064"/>
  <c r="AN1064"/>
  <c r="AM1032"/>
  <c r="AN1032"/>
  <c r="AM1000"/>
  <c r="AN1000"/>
  <c r="AM969"/>
  <c r="AN969"/>
  <c r="AM937"/>
  <c r="AN937"/>
  <c r="AM905"/>
  <c r="AN905"/>
  <c r="AM873"/>
  <c r="AN873"/>
  <c r="AM841"/>
  <c r="AN841"/>
  <c r="AM809"/>
  <c r="AN809"/>
  <c r="AM777"/>
  <c r="AN777"/>
  <c r="AM745"/>
  <c r="AN745"/>
  <c r="AM714"/>
  <c r="AN714"/>
  <c r="AM682"/>
  <c r="AN682"/>
  <c r="AM650"/>
  <c r="AN650"/>
  <c r="AM618"/>
  <c r="AN618"/>
  <c r="AM586"/>
  <c r="AN586"/>
  <c r="AM554"/>
  <c r="AN554"/>
  <c r="AM522"/>
  <c r="AN522"/>
  <c r="AM478"/>
  <c r="AN478"/>
  <c r="AM414"/>
  <c r="AN414"/>
  <c r="AM350"/>
  <c r="AN350"/>
  <c r="AM286"/>
  <c r="AN286"/>
  <c r="AM222"/>
  <c r="AN222"/>
  <c r="AM158"/>
  <c r="AN158"/>
  <c r="AM94"/>
  <c r="AN94"/>
  <c r="AM2167"/>
  <c r="AN2167"/>
  <c r="AM2151"/>
  <c r="AN2151"/>
  <c r="AM2135"/>
  <c r="AN2135"/>
  <c r="AO2135" s="1"/>
  <c r="AM2119"/>
  <c r="AN2119"/>
  <c r="AM2103"/>
  <c r="AN2103"/>
  <c r="AM2087"/>
  <c r="AN2087"/>
  <c r="AM2072"/>
  <c r="AN2072"/>
  <c r="AO2072" s="1"/>
  <c r="AM2056"/>
  <c r="AN2056"/>
  <c r="AM2040"/>
  <c r="AN2040"/>
  <c r="AM2024"/>
  <c r="AN2024"/>
  <c r="AM2008"/>
  <c r="AN2008"/>
  <c r="AO2008" s="1"/>
  <c r="AM1992"/>
  <c r="AN1992"/>
  <c r="AM1976"/>
  <c r="AN1976"/>
  <c r="AM1960"/>
  <c r="AN1960"/>
  <c r="AM1944"/>
  <c r="AN1944"/>
  <c r="AO1944" s="1"/>
  <c r="AM16"/>
  <c r="AN16"/>
  <c r="AO16" s="1"/>
  <c r="AM1914"/>
  <c r="AN1914"/>
  <c r="AM1898"/>
  <c r="AN1898"/>
  <c r="AM1882"/>
  <c r="AN1882"/>
  <c r="AO1882" s="1"/>
  <c r="AM1853"/>
  <c r="AN1853"/>
  <c r="AM1822"/>
  <c r="AN1822"/>
  <c r="AM1790"/>
  <c r="AN1790"/>
  <c r="AM1758"/>
  <c r="AN1758"/>
  <c r="AO1758" s="1"/>
  <c r="AM1727"/>
  <c r="AN1727"/>
  <c r="AM1695"/>
  <c r="AN1695"/>
  <c r="AM1663"/>
  <c r="AN1663"/>
  <c r="AM1631"/>
  <c r="AN1631"/>
  <c r="AO1631" s="1"/>
  <c r="AM1600"/>
  <c r="AN1600"/>
  <c r="AM1568"/>
  <c r="AN1568"/>
  <c r="AM1536"/>
  <c r="AN1536"/>
  <c r="AM1504"/>
  <c r="AN1504"/>
  <c r="AO1504" s="1"/>
  <c r="AM1472"/>
  <c r="AN1472"/>
  <c r="AM1440"/>
  <c r="AN1440"/>
  <c r="AM1408"/>
  <c r="AN1408"/>
  <c r="AM1376"/>
  <c r="AN1376"/>
  <c r="AO1376" s="1"/>
  <c r="AM1344"/>
  <c r="AN1344"/>
  <c r="AM1312"/>
  <c r="AN1312"/>
  <c r="AM1280"/>
  <c r="AN1280"/>
  <c r="AM1249"/>
  <c r="AN1249"/>
  <c r="AO1249" s="1"/>
  <c r="AM1217"/>
  <c r="AN1217"/>
  <c r="AM1185"/>
  <c r="AN1185"/>
  <c r="AM1153"/>
  <c r="AN1153"/>
  <c r="AM1121"/>
  <c r="AN1121"/>
  <c r="AO1121" s="1"/>
  <c r="AM1089"/>
  <c r="AN1089"/>
  <c r="AM1057"/>
  <c r="AN1057"/>
  <c r="AM1025"/>
  <c r="AN1025"/>
  <c r="AM993"/>
  <c r="AN993"/>
  <c r="AO993" s="1"/>
  <c r="AM962"/>
  <c r="AN962"/>
  <c r="AM930"/>
  <c r="AN930"/>
  <c r="AM898"/>
  <c r="AN898"/>
  <c r="AM866"/>
  <c r="AN866"/>
  <c r="AO866" s="1"/>
  <c r="AM834"/>
  <c r="AN834"/>
  <c r="AM802"/>
  <c r="AN802"/>
  <c r="AM770"/>
  <c r="AN770"/>
  <c r="AM738"/>
  <c r="AN738"/>
  <c r="AO738" s="1"/>
  <c r="AM707"/>
  <c r="AN707"/>
  <c r="AM675"/>
  <c r="AN675"/>
  <c r="AM643"/>
  <c r="AN643"/>
  <c r="AM611"/>
  <c r="AN611"/>
  <c r="AO611" s="1"/>
  <c r="AM579"/>
  <c r="AN579"/>
  <c r="AM547"/>
  <c r="AN547"/>
  <c r="AM515"/>
  <c r="AN515"/>
  <c r="AM466"/>
  <c r="AN466"/>
  <c r="AM402"/>
  <c r="AN402"/>
  <c r="AM338"/>
  <c r="AN338"/>
  <c r="AM274"/>
  <c r="AN274"/>
  <c r="AM210"/>
  <c r="AN210"/>
  <c r="AM146"/>
  <c r="AN146"/>
  <c r="AM82"/>
  <c r="AN82"/>
  <c r="AM1874"/>
  <c r="AN1874"/>
  <c r="AM12"/>
  <c r="AN12"/>
  <c r="AO12" s="1"/>
  <c r="AM1843"/>
  <c r="AN1843"/>
  <c r="AM1828"/>
  <c r="AN1828"/>
  <c r="AM1812"/>
  <c r="AN1812"/>
  <c r="AM1796"/>
  <c r="AN1796"/>
  <c r="AM1780"/>
  <c r="AN1780"/>
  <c r="AM1764"/>
  <c r="AN1764"/>
  <c r="AM1748"/>
  <c r="AN1748"/>
  <c r="AM1732"/>
  <c r="AN1732"/>
  <c r="AM1717"/>
  <c r="AN1717"/>
  <c r="AM2157"/>
  <c r="AN2157"/>
  <c r="AM2093"/>
  <c r="AN2093"/>
  <c r="AM2030"/>
  <c r="AN2030"/>
  <c r="AM1966"/>
  <c r="AN1966"/>
  <c r="AM1904"/>
  <c r="AN1904"/>
  <c r="AM1802"/>
  <c r="AN1802"/>
  <c r="AM1675"/>
  <c r="AN1675"/>
  <c r="AO1675" s="1"/>
  <c r="AM1548"/>
  <c r="AN1548"/>
  <c r="AM1420"/>
  <c r="AN1420"/>
  <c r="AM1292"/>
  <c r="AN1292"/>
  <c r="AM2164"/>
  <c r="AN2164"/>
  <c r="AO2164" s="1"/>
  <c r="AM2148"/>
  <c r="AN2148"/>
  <c r="AM2132"/>
  <c r="AN2132"/>
  <c r="AM2116"/>
  <c r="AN2116"/>
  <c r="AM2100"/>
  <c r="AN2100"/>
  <c r="AO2100" s="1"/>
  <c r="AM2085"/>
  <c r="AN2085"/>
  <c r="AM2069"/>
  <c r="AN2069"/>
  <c r="AM2053"/>
  <c r="AN2053"/>
  <c r="AM2037"/>
  <c r="AN2037"/>
  <c r="AO2037" s="1"/>
  <c r="AM2021"/>
  <c r="AN2021"/>
  <c r="AM2005"/>
  <c r="AN2005"/>
  <c r="AM1989"/>
  <c r="AN1989"/>
  <c r="AM1973"/>
  <c r="AN1973"/>
  <c r="AO1973" s="1"/>
  <c r="AM1957"/>
  <c r="AN1957"/>
  <c r="AM1941"/>
  <c r="AN1941"/>
  <c r="AM1927"/>
  <c r="AN1927"/>
  <c r="AM1911"/>
  <c r="AN1911"/>
  <c r="AO1911" s="1"/>
  <c r="AM1895"/>
  <c r="AN1895"/>
  <c r="AM1879"/>
  <c r="AN1879"/>
  <c r="AM1848"/>
  <c r="AN1848"/>
  <c r="AM1817"/>
  <c r="AN1817"/>
  <c r="AM1785"/>
  <c r="AN1785"/>
  <c r="AM1753"/>
  <c r="AN1753"/>
  <c r="AM1722"/>
  <c r="AN1722"/>
  <c r="AM1690"/>
  <c r="AN1690"/>
  <c r="AM1658"/>
  <c r="AN1658"/>
  <c r="AM1626"/>
  <c r="AN1626"/>
  <c r="AM1595"/>
  <c r="AN1595"/>
  <c r="AM1563"/>
  <c r="AN1563"/>
  <c r="AM1531"/>
  <c r="AN1531"/>
  <c r="AM1499"/>
  <c r="AN1499"/>
  <c r="AM1467"/>
  <c r="AN1467"/>
  <c r="AM1435"/>
  <c r="AN1435"/>
  <c r="AM1403"/>
  <c r="AN1403"/>
  <c r="AM1371"/>
  <c r="AN1371"/>
  <c r="AM1339"/>
  <c r="AN1339"/>
  <c r="AM1307"/>
  <c r="AN1307"/>
  <c r="AM1275"/>
  <c r="AN1275"/>
  <c r="AM1244"/>
  <c r="AN1244"/>
  <c r="AM1212"/>
  <c r="AN1212"/>
  <c r="AM1180"/>
  <c r="AN1180"/>
  <c r="AM1148"/>
  <c r="AN1148"/>
  <c r="AM1116"/>
  <c r="AN1116"/>
  <c r="AM1084"/>
  <c r="AN1084"/>
  <c r="AM1052"/>
  <c r="AN1052"/>
  <c r="AM1020"/>
  <c r="AN1020"/>
  <c r="AM988"/>
  <c r="AN988"/>
  <c r="AM957"/>
  <c r="AN957"/>
  <c r="AM925"/>
  <c r="AN925"/>
  <c r="AM893"/>
  <c r="AN893"/>
  <c r="AM861"/>
  <c r="AN861"/>
  <c r="AM829"/>
  <c r="AN829"/>
  <c r="AM797"/>
  <c r="AN797"/>
  <c r="AM765"/>
  <c r="AN765"/>
  <c r="AM733"/>
  <c r="AN733"/>
  <c r="AM702"/>
  <c r="AN702"/>
  <c r="AM670"/>
  <c r="AN670"/>
  <c r="AM638"/>
  <c r="AN638"/>
  <c r="AM606"/>
  <c r="AN606"/>
  <c r="AM574"/>
  <c r="AN574"/>
  <c r="AM542"/>
  <c r="AN542"/>
  <c r="AM510"/>
  <c r="AN510"/>
  <c r="AM454"/>
  <c r="AN454"/>
  <c r="AM390"/>
  <c r="AN390"/>
  <c r="AM326"/>
  <c r="AN326"/>
  <c r="AM262"/>
  <c r="AN262"/>
  <c r="AM198"/>
  <c r="AN198"/>
  <c r="AM134"/>
  <c r="AN134"/>
  <c r="AM72"/>
  <c r="AN72"/>
  <c r="AM1181"/>
  <c r="AN1181"/>
  <c r="AM1149"/>
  <c r="AN1149"/>
  <c r="AM1117"/>
  <c r="AN1117"/>
  <c r="AM1085"/>
  <c r="AN1085"/>
  <c r="AO1085" s="1"/>
  <c r="AM1053"/>
  <c r="AN1053"/>
  <c r="AM1021"/>
  <c r="AN1021"/>
  <c r="AM989"/>
  <c r="AN989"/>
  <c r="AM958"/>
  <c r="AN958"/>
  <c r="AO958" s="1"/>
  <c r="AM926"/>
  <c r="AN926"/>
  <c r="AM894"/>
  <c r="AN894"/>
  <c r="AM862"/>
  <c r="AN862"/>
  <c r="AM830"/>
  <c r="AN830"/>
  <c r="AO830" s="1"/>
  <c r="AM798"/>
  <c r="AN798"/>
  <c r="AM766"/>
  <c r="AN766"/>
  <c r="AM734"/>
  <c r="AN734"/>
  <c r="AM703"/>
  <c r="AN703"/>
  <c r="AO703" s="1"/>
  <c r="AM671"/>
  <c r="AN671"/>
  <c r="AM639"/>
  <c r="AN639"/>
  <c r="AM607"/>
  <c r="AN607"/>
  <c r="AM575"/>
  <c r="AN575"/>
  <c r="AO575" s="1"/>
  <c r="AM543"/>
  <c r="AN543"/>
  <c r="AM511"/>
  <c r="AN511"/>
  <c r="AM458"/>
  <c r="AN458"/>
  <c r="AM394"/>
  <c r="AN394"/>
  <c r="AM330"/>
  <c r="AN330"/>
  <c r="AM266"/>
  <c r="AN266"/>
  <c r="AM202"/>
  <c r="AN202"/>
  <c r="AM138"/>
  <c r="AN138"/>
  <c r="AM76"/>
  <c r="AN76"/>
  <c r="AM2158"/>
  <c r="AN2158"/>
  <c r="AO2158" s="1"/>
  <c r="AM2142"/>
  <c r="AN2142"/>
  <c r="AM2126"/>
  <c r="AN2126"/>
  <c r="AO2126" s="1"/>
  <c r="AM2110"/>
  <c r="AN2110"/>
  <c r="AO2110" s="1"/>
  <c r="AM2094"/>
  <c r="AN2094"/>
  <c r="AM2079"/>
  <c r="AN2079"/>
  <c r="AO2079" s="1"/>
  <c r="AM2063"/>
  <c r="AN2063"/>
  <c r="AO2063" s="1"/>
  <c r="AM2047"/>
  <c r="AN2047"/>
  <c r="AO2047" s="1"/>
  <c r="AM2031"/>
  <c r="AN2031"/>
  <c r="AM2015"/>
  <c r="AN2015"/>
  <c r="AM1999"/>
  <c r="AN1999"/>
  <c r="AM1983"/>
  <c r="AN1983"/>
  <c r="AM1967"/>
  <c r="AN1967"/>
  <c r="AM1951"/>
  <c r="AN1951"/>
  <c r="AM1936"/>
  <c r="AN1936"/>
  <c r="AM1921"/>
  <c r="AN1921"/>
  <c r="AO1921" s="1"/>
  <c r="AM1905"/>
  <c r="AN1905"/>
  <c r="AO1905" s="1"/>
  <c r="AM1889"/>
  <c r="AN1889"/>
  <c r="AM1867"/>
  <c r="AN1867"/>
  <c r="AO1867" s="1"/>
  <c r="AM1837"/>
  <c r="AN1837"/>
  <c r="AO1837" s="1"/>
  <c r="AM1805"/>
  <c r="AN1805"/>
  <c r="AM1773"/>
  <c r="AN1773"/>
  <c r="AM1741"/>
  <c r="AN1741"/>
  <c r="AM1710"/>
  <c r="AN1710"/>
  <c r="AM1678"/>
  <c r="AN1678"/>
  <c r="AM1646"/>
  <c r="AN1646"/>
  <c r="AM1615"/>
  <c r="AN1615"/>
  <c r="AM1583"/>
  <c r="AN1583"/>
  <c r="AM1551"/>
  <c r="AN1551"/>
  <c r="AM1519"/>
  <c r="AN1519"/>
  <c r="AM1487"/>
  <c r="AN1487"/>
  <c r="AM1455"/>
  <c r="AN1455"/>
  <c r="AM1423"/>
  <c r="AN1423"/>
  <c r="AM1391"/>
  <c r="AN1391"/>
  <c r="AM1359"/>
  <c r="AN1359"/>
  <c r="AM1327"/>
  <c r="AN1327"/>
  <c r="AM1295"/>
  <c r="AN1295"/>
  <c r="AM1264"/>
  <c r="AN1264"/>
  <c r="AM1232"/>
  <c r="AN1232"/>
  <c r="AM1200"/>
  <c r="AN1200"/>
  <c r="AM1168"/>
  <c r="AN1168"/>
  <c r="AM1136"/>
  <c r="AN1136"/>
  <c r="AM1104"/>
  <c r="AN1104"/>
  <c r="AM1072"/>
  <c r="AN1072"/>
  <c r="AM1040"/>
  <c r="AN1040"/>
  <c r="AM1008"/>
  <c r="AN1008"/>
  <c r="AM976"/>
  <c r="AN976"/>
  <c r="AM945"/>
  <c r="AN945"/>
  <c r="AM913"/>
  <c r="AN913"/>
  <c r="AM881"/>
  <c r="AN881"/>
  <c r="AM849"/>
  <c r="AN849"/>
  <c r="AM817"/>
  <c r="AN817"/>
  <c r="AM785"/>
  <c r="AN785"/>
  <c r="AM753"/>
  <c r="AN753"/>
  <c r="AM722"/>
  <c r="AN722"/>
  <c r="AM690"/>
  <c r="AN690"/>
  <c r="AM658"/>
  <c r="AN658"/>
  <c r="AM626"/>
  <c r="AN626"/>
  <c r="AM594"/>
  <c r="AN594"/>
  <c r="AM562"/>
  <c r="AN562"/>
  <c r="AM530"/>
  <c r="AN530"/>
  <c r="AM494"/>
  <c r="AN494"/>
  <c r="AM430"/>
  <c r="AN430"/>
  <c r="AM366"/>
  <c r="AN366"/>
  <c r="AM302"/>
  <c r="AN302"/>
  <c r="AM238"/>
  <c r="AN238"/>
  <c r="AM174"/>
  <c r="AN174"/>
  <c r="AM110"/>
  <c r="AN110"/>
  <c r="AM48"/>
  <c r="AN48"/>
  <c r="AM2155"/>
  <c r="AN2155"/>
  <c r="AM2139"/>
  <c r="AN2139"/>
  <c r="AO2139" s="1"/>
  <c r="AM2123"/>
  <c r="AN2123"/>
  <c r="AM2107"/>
  <c r="AN2107"/>
  <c r="AM2091"/>
  <c r="AN2091"/>
  <c r="AM2076"/>
  <c r="AN2076"/>
  <c r="AO2076" s="1"/>
  <c r="AM2060"/>
  <c r="AN2060"/>
  <c r="AM2044"/>
  <c r="AN2044"/>
  <c r="AM2028"/>
  <c r="AN2028"/>
  <c r="AM2012"/>
  <c r="AN2012"/>
  <c r="AO2012" s="1"/>
  <c r="AM1996"/>
  <c r="AN1996"/>
  <c r="AM1980"/>
  <c r="AN1980"/>
  <c r="AM1964"/>
  <c r="AN1964"/>
  <c r="AM1948"/>
  <c r="AN1948"/>
  <c r="AO1948" s="1"/>
  <c r="AM1933"/>
  <c r="AN1933"/>
  <c r="AM1918"/>
  <c r="AN1918"/>
  <c r="AM1902"/>
  <c r="AN1902"/>
  <c r="AM1886"/>
  <c r="AN1886"/>
  <c r="AO1886" s="1"/>
  <c r="AM1860"/>
  <c r="AN1860"/>
  <c r="AM1830"/>
  <c r="AN1830"/>
  <c r="AM1798"/>
  <c r="AN1798"/>
  <c r="AM1766"/>
  <c r="AN1766"/>
  <c r="AO1766" s="1"/>
  <c r="AM1734"/>
  <c r="AN1734"/>
  <c r="AM1703"/>
  <c r="AN1703"/>
  <c r="AM1671"/>
  <c r="AN1671"/>
  <c r="AM1639"/>
  <c r="AN1639"/>
  <c r="AO1639" s="1"/>
  <c r="AM1608"/>
  <c r="AN1608"/>
  <c r="AM1576"/>
  <c r="AN1576"/>
  <c r="AM1544"/>
  <c r="AN1544"/>
  <c r="AM1512"/>
  <c r="AN1512"/>
  <c r="AO1512" s="1"/>
  <c r="AM1480"/>
  <c r="AN1480"/>
  <c r="AM1448"/>
  <c r="AN1448"/>
  <c r="AM1416"/>
  <c r="AN1416"/>
  <c r="AM1384"/>
  <c r="AN1384"/>
  <c r="AO1384" s="1"/>
  <c r="AM1352"/>
  <c r="AN1352"/>
  <c r="AM1320"/>
  <c r="AN1320"/>
  <c r="AM1288"/>
  <c r="AN1288"/>
  <c r="AM1257"/>
  <c r="AN1257"/>
  <c r="AO1257" s="1"/>
  <c r="AM1225"/>
  <c r="AN1225"/>
  <c r="AM1193"/>
  <c r="AN1193"/>
  <c r="AM1161"/>
  <c r="AN1161"/>
  <c r="AM1129"/>
  <c r="AN1129"/>
  <c r="AO1129" s="1"/>
  <c r="AM1097"/>
  <c r="AN1097"/>
  <c r="AM1065"/>
  <c r="AN1065"/>
  <c r="AM1033"/>
  <c r="AN1033"/>
  <c r="AM1001"/>
  <c r="AN1001"/>
  <c r="AO1001" s="1"/>
  <c r="AM970"/>
  <c r="AN970"/>
  <c r="AM938"/>
  <c r="AN938"/>
  <c r="AM906"/>
  <c r="AN906"/>
  <c r="AM874"/>
  <c r="AN874"/>
  <c r="AO874" s="1"/>
  <c r="AM842"/>
  <c r="AN842"/>
  <c r="AM810"/>
  <c r="AN810"/>
  <c r="AM778"/>
  <c r="AN778"/>
  <c r="AM746"/>
  <c r="AN746"/>
  <c r="AO746" s="1"/>
  <c r="AM715"/>
  <c r="AN715"/>
  <c r="AM683"/>
  <c r="AN683"/>
  <c r="AM651"/>
  <c r="AN651"/>
  <c r="AM619"/>
  <c r="AN619"/>
  <c r="AO619" s="1"/>
  <c r="AM587"/>
  <c r="AN587"/>
  <c r="AM555"/>
  <c r="AN555"/>
  <c r="AM523"/>
  <c r="AN523"/>
  <c r="AM482"/>
  <c r="AN482"/>
  <c r="AM418"/>
  <c r="AN418"/>
  <c r="AM354"/>
  <c r="AN354"/>
  <c r="AM290"/>
  <c r="AN290"/>
  <c r="AM226"/>
  <c r="AN226"/>
  <c r="AM162"/>
  <c r="AN162"/>
  <c r="AM98"/>
  <c r="AN98"/>
  <c r="AM1878"/>
  <c r="AN1878"/>
  <c r="AM1862"/>
  <c r="AN1862"/>
  <c r="AM1847"/>
  <c r="AN1847"/>
  <c r="AM1832"/>
  <c r="AN1832"/>
  <c r="AM1816"/>
  <c r="AN1816"/>
  <c r="AM1800"/>
  <c r="AN1800"/>
  <c r="AM1784"/>
  <c r="AN1784"/>
  <c r="AM1820"/>
  <c r="AN1820"/>
  <c r="AM1804"/>
  <c r="AN1804"/>
  <c r="AM1788"/>
  <c r="AN1788"/>
  <c r="AM1772"/>
  <c r="AN1772"/>
  <c r="AM1756"/>
  <c r="AN1756"/>
  <c r="AM1740"/>
  <c r="AN1740"/>
  <c r="AM1725"/>
  <c r="AN1725"/>
  <c r="AM1709"/>
  <c r="AN1709"/>
  <c r="AM1693"/>
  <c r="AN1693"/>
  <c r="AM1677"/>
  <c r="AN1677"/>
  <c r="AM1661"/>
  <c r="AN1661"/>
  <c r="AM1645"/>
  <c r="AN1645"/>
  <c r="AM1629"/>
  <c r="AN1629"/>
  <c r="AM1614"/>
  <c r="AN1614"/>
  <c r="AM1598"/>
  <c r="AN1598"/>
  <c r="AM1582"/>
  <c r="AN1582"/>
  <c r="AM1566"/>
  <c r="AN1566"/>
  <c r="AM1550"/>
  <c r="AN1550"/>
  <c r="AM1534"/>
  <c r="AN1534"/>
  <c r="AM1518"/>
  <c r="AN1518"/>
  <c r="AM1502"/>
  <c r="AN1502"/>
  <c r="AM1486"/>
  <c r="AN1486"/>
  <c r="AM1470"/>
  <c r="AN1470"/>
  <c r="AM1454"/>
  <c r="AN1454"/>
  <c r="AM1438"/>
  <c r="AN1438"/>
  <c r="AM1422"/>
  <c r="AN1422"/>
  <c r="AM1406"/>
  <c r="AN1406"/>
  <c r="AM1390"/>
  <c r="AN1390"/>
  <c r="AM1374"/>
  <c r="AN1374"/>
  <c r="AM1358"/>
  <c r="AN1358"/>
  <c r="AM1342"/>
  <c r="AN1342"/>
  <c r="AM1326"/>
  <c r="AN1326"/>
  <c r="AM1310"/>
  <c r="AN1310"/>
  <c r="AM1294"/>
  <c r="AN1294"/>
  <c r="AM1278"/>
  <c r="AN1278"/>
  <c r="AM1263"/>
  <c r="AN1263"/>
  <c r="AM1247"/>
  <c r="AN1247"/>
  <c r="AM1231"/>
  <c r="AN1231"/>
  <c r="AM1215"/>
  <c r="AN1215"/>
  <c r="AM1199"/>
  <c r="AN1199"/>
  <c r="AM1183"/>
  <c r="AN1183"/>
  <c r="AM1167"/>
  <c r="AN1167"/>
  <c r="AM1151"/>
  <c r="AN1151"/>
  <c r="AM1135"/>
  <c r="AN1135"/>
  <c r="AM1119"/>
  <c r="AN1119"/>
  <c r="AM1103"/>
  <c r="AN1103"/>
  <c r="AM1087"/>
  <c r="AN1087"/>
  <c r="AM1071"/>
  <c r="AN1071"/>
  <c r="AM1055"/>
  <c r="AN1055"/>
  <c r="AM1039"/>
  <c r="AN1039"/>
  <c r="AM1023"/>
  <c r="AN1023"/>
  <c r="AM1007"/>
  <c r="AN1007"/>
  <c r="AM991"/>
  <c r="AN991"/>
  <c r="AM975"/>
  <c r="AN975"/>
  <c r="AM960"/>
  <c r="AN960"/>
  <c r="AM944"/>
  <c r="AN944"/>
  <c r="AM928"/>
  <c r="AN928"/>
  <c r="AM912"/>
  <c r="AN912"/>
  <c r="AM896"/>
  <c r="AN896"/>
  <c r="AM880"/>
  <c r="AN880"/>
  <c r="AM864"/>
  <c r="AN864"/>
  <c r="AM848"/>
  <c r="AN848"/>
  <c r="AM832"/>
  <c r="AN832"/>
  <c r="AM816"/>
  <c r="AN816"/>
  <c r="AM800"/>
  <c r="AN800"/>
  <c r="AM784"/>
  <c r="AN784"/>
  <c r="AM768"/>
  <c r="AN768"/>
  <c r="AM752"/>
  <c r="AN752"/>
  <c r="AM736"/>
  <c r="AN736"/>
  <c r="AM721"/>
  <c r="AN721"/>
  <c r="AM705"/>
  <c r="AN705"/>
  <c r="AM689"/>
  <c r="AN689"/>
  <c r="AM673"/>
  <c r="AN673"/>
  <c r="AM657"/>
  <c r="AN657"/>
  <c r="AM641"/>
  <c r="AN641"/>
  <c r="AM625"/>
  <c r="AN625"/>
  <c r="AM609"/>
  <c r="AN609"/>
  <c r="AM593"/>
  <c r="AN593"/>
  <c r="AM577"/>
  <c r="AN577"/>
  <c r="AM561"/>
  <c r="AN561"/>
  <c r="AM545"/>
  <c r="AN545"/>
  <c r="AM529"/>
  <c r="AN529"/>
  <c r="AM513"/>
  <c r="AN513"/>
  <c r="AM497"/>
  <c r="AN497"/>
  <c r="AM481"/>
  <c r="AN481"/>
  <c r="AM465"/>
  <c r="AN465"/>
  <c r="AM449"/>
  <c r="AN449"/>
  <c r="AM433"/>
  <c r="AN433"/>
  <c r="AM417"/>
  <c r="AN417"/>
  <c r="AM401"/>
  <c r="AN401"/>
  <c r="AM385"/>
  <c r="AN385"/>
  <c r="AM369"/>
  <c r="AN369"/>
  <c r="AM353"/>
  <c r="AN353"/>
  <c r="AM337"/>
  <c r="AN337"/>
  <c r="AM321"/>
  <c r="AN321"/>
  <c r="AM305"/>
  <c r="AN305"/>
  <c r="AM289"/>
  <c r="AN289"/>
  <c r="AM273"/>
  <c r="AN273"/>
  <c r="AM257"/>
  <c r="AN257"/>
  <c r="AM241"/>
  <c r="AN241"/>
  <c r="AM225"/>
  <c r="AN225"/>
  <c r="AM209"/>
  <c r="AN209"/>
  <c r="AM193"/>
  <c r="AN193"/>
  <c r="AM177"/>
  <c r="AN177"/>
  <c r="AM161"/>
  <c r="AN161"/>
  <c r="AM145"/>
  <c r="AN145"/>
  <c r="AM129"/>
  <c r="AN129"/>
  <c r="AM113"/>
  <c r="AN113"/>
  <c r="AM97"/>
  <c r="AN97"/>
  <c r="AM15"/>
  <c r="AN15"/>
  <c r="AO15" s="1"/>
  <c r="AM67"/>
  <c r="AN67"/>
  <c r="AM51"/>
  <c r="AN51"/>
  <c r="AM491"/>
  <c r="AN491"/>
  <c r="AO491" s="1"/>
  <c r="AM475"/>
  <c r="AN475"/>
  <c r="AO475" s="1"/>
  <c r="AM459"/>
  <c r="AN459"/>
  <c r="AO459" s="1"/>
  <c r="AM443"/>
  <c r="AN443"/>
  <c r="AM427"/>
  <c r="AN427"/>
  <c r="AO427" s="1"/>
  <c r="AM411"/>
  <c r="AN411"/>
  <c r="AO411" s="1"/>
  <c r="AM395"/>
  <c r="AN395"/>
  <c r="AO395" s="1"/>
  <c r="AM379"/>
  <c r="AN379"/>
  <c r="AM363"/>
  <c r="AN363"/>
  <c r="AM347"/>
  <c r="AN347"/>
  <c r="AM331"/>
  <c r="AN331"/>
  <c r="AM315"/>
  <c r="AN315"/>
  <c r="AO315" s="1"/>
  <c r="AM299"/>
  <c r="AN299"/>
  <c r="AM283"/>
  <c r="AN283"/>
  <c r="AM267"/>
  <c r="AN267"/>
  <c r="AO267" s="1"/>
  <c r="AM251"/>
  <c r="AN251"/>
  <c r="AO251" s="1"/>
  <c r="AM235"/>
  <c r="AN235"/>
  <c r="AO235" s="1"/>
  <c r="AM219"/>
  <c r="AN219"/>
  <c r="AO219" s="1"/>
  <c r="AM203"/>
  <c r="AN203"/>
  <c r="AO203" s="1"/>
  <c r="AM187"/>
  <c r="AN187"/>
  <c r="AM171"/>
  <c r="AN171"/>
  <c r="AO171" s="1"/>
  <c r="AM155"/>
  <c r="AN155"/>
  <c r="AO155" s="1"/>
  <c r="AM139"/>
  <c r="AN139"/>
  <c r="AO139" s="1"/>
  <c r="AM123"/>
  <c r="AN123"/>
  <c r="AM107"/>
  <c r="AN107"/>
  <c r="AM91"/>
  <c r="AN91"/>
  <c r="AM9"/>
  <c r="AN9"/>
  <c r="AO9" s="1"/>
  <c r="AM61"/>
  <c r="AN61"/>
  <c r="AO61" s="1"/>
  <c r="AM1877"/>
  <c r="AN1877"/>
  <c r="AM1861"/>
  <c r="AN1861"/>
  <c r="AM1846"/>
  <c r="AN1846"/>
  <c r="AM1831"/>
  <c r="AN1831"/>
  <c r="AM1815"/>
  <c r="AN1815"/>
  <c r="AO1815" s="1"/>
  <c r="AM1799"/>
  <c r="AN1799"/>
  <c r="AO1799" s="1"/>
  <c r="AM1783"/>
  <c r="AN1783"/>
  <c r="AO1783" s="1"/>
  <c r="AM1767"/>
  <c r="AN1767"/>
  <c r="AM1751"/>
  <c r="AN1751"/>
  <c r="AM1735"/>
  <c r="AN1735"/>
  <c r="AM1720"/>
  <c r="AN1720"/>
  <c r="AM1704"/>
  <c r="AN1704"/>
  <c r="AM1688"/>
  <c r="AN1688"/>
  <c r="AO1688" s="1"/>
  <c r="AM1672"/>
  <c r="AN1672"/>
  <c r="AO1672" s="1"/>
  <c r="AM1656"/>
  <c r="AN1656"/>
  <c r="AO1656" s="1"/>
  <c r="AM1640"/>
  <c r="AN1640"/>
  <c r="AM1624"/>
  <c r="AN1624"/>
  <c r="AM1609"/>
  <c r="AN1609"/>
  <c r="AM1593"/>
  <c r="AN1593"/>
  <c r="AM1577"/>
  <c r="AN1577"/>
  <c r="AM1561"/>
  <c r="AN1561"/>
  <c r="AO1561" s="1"/>
  <c r="AM1545"/>
  <c r="AN1545"/>
  <c r="AO1545" s="1"/>
  <c r="AM1529"/>
  <c r="AN1529"/>
  <c r="AO1529" s="1"/>
  <c r="AM1513"/>
  <c r="AN1513"/>
  <c r="AM1497"/>
  <c r="AN1497"/>
  <c r="AM1481"/>
  <c r="AN1481"/>
  <c r="AM1465"/>
  <c r="AN1465"/>
  <c r="AM1449"/>
  <c r="AN1449"/>
  <c r="AM1433"/>
  <c r="AN1433"/>
  <c r="AO1433" s="1"/>
  <c r="AM1417"/>
  <c r="AN1417"/>
  <c r="AO1417" s="1"/>
  <c r="AM1401"/>
  <c r="AN1401"/>
  <c r="AO1401" s="1"/>
  <c r="AM1385"/>
  <c r="AN1385"/>
  <c r="AM1369"/>
  <c r="AN1369"/>
  <c r="AM1353"/>
  <c r="AN1353"/>
  <c r="AM1337"/>
  <c r="AN1337"/>
  <c r="AM1321"/>
  <c r="AN1321"/>
  <c r="AM1305"/>
  <c r="AN1305"/>
  <c r="AO1305" s="1"/>
  <c r="AM1289"/>
  <c r="AN1289"/>
  <c r="AO1289" s="1"/>
  <c r="AM1273"/>
  <c r="AN1273"/>
  <c r="AO1273" s="1"/>
  <c r="AM1258"/>
  <c r="AN1258"/>
  <c r="AM1242"/>
  <c r="AN1242"/>
  <c r="AM1226"/>
  <c r="AN1226"/>
  <c r="AM1210"/>
  <c r="AN1210"/>
  <c r="AM1194"/>
  <c r="AN1194"/>
  <c r="AM1178"/>
  <c r="AN1178"/>
  <c r="AO1178" s="1"/>
  <c r="AM1162"/>
  <c r="AN1162"/>
  <c r="AO1162" s="1"/>
  <c r="AM1146"/>
  <c r="AN1146"/>
  <c r="AO1146" s="1"/>
  <c r="AM1130"/>
  <c r="AN1130"/>
  <c r="AM1114"/>
  <c r="AN1114"/>
  <c r="AM1098"/>
  <c r="AN1098"/>
  <c r="AM1082"/>
  <c r="AN1082"/>
  <c r="AM1066"/>
  <c r="AN1066"/>
  <c r="AM1050"/>
  <c r="AN1050"/>
  <c r="AO1050" s="1"/>
  <c r="AM1034"/>
  <c r="AN1034"/>
  <c r="AO1034" s="1"/>
  <c r="AM1018"/>
  <c r="AN1018"/>
  <c r="AO1018" s="1"/>
  <c r="AM1002"/>
  <c r="AN1002"/>
  <c r="AM986"/>
  <c r="AN986"/>
  <c r="AM971"/>
  <c r="AN971"/>
  <c r="AM955"/>
  <c r="AN955"/>
  <c r="AM939"/>
  <c r="AN939"/>
  <c r="AM923"/>
  <c r="AN923"/>
  <c r="AO923" s="1"/>
  <c r="AM907"/>
  <c r="AN907"/>
  <c r="AO907" s="1"/>
  <c r="AM891"/>
  <c r="AN891"/>
  <c r="AO891" s="1"/>
  <c r="AM875"/>
  <c r="AN875"/>
  <c r="AM859"/>
  <c r="AN859"/>
  <c r="AM843"/>
  <c r="AN843"/>
  <c r="AM827"/>
  <c r="AN827"/>
  <c r="AM811"/>
  <c r="AN811"/>
  <c r="AM795"/>
  <c r="AN795"/>
  <c r="AO795" s="1"/>
  <c r="AM779"/>
  <c r="AN779"/>
  <c r="AO779" s="1"/>
  <c r="AM763"/>
  <c r="AN763"/>
  <c r="AO763" s="1"/>
  <c r="AM747"/>
  <c r="AN747"/>
  <c r="AM731"/>
  <c r="AN731"/>
  <c r="AM716"/>
  <c r="AN716"/>
  <c r="AM700"/>
  <c r="AN700"/>
  <c r="AM684"/>
  <c r="AN684"/>
  <c r="AM668"/>
  <c r="AN668"/>
  <c r="AO668" s="1"/>
  <c r="AM652"/>
  <c r="AN652"/>
  <c r="AO652" s="1"/>
  <c r="AM636"/>
  <c r="AN636"/>
  <c r="AO636" s="1"/>
  <c r="AM620"/>
  <c r="AN620"/>
  <c r="AM604"/>
  <c r="AN604"/>
  <c r="AM588"/>
  <c r="AN588"/>
  <c r="AM572"/>
  <c r="AN572"/>
  <c r="AM556"/>
  <c r="AN556"/>
  <c r="AM540"/>
  <c r="AN540"/>
  <c r="AO540" s="1"/>
  <c r="AM524"/>
  <c r="AN524"/>
  <c r="AO524" s="1"/>
  <c r="AM508"/>
  <c r="AN508"/>
  <c r="AO508" s="1"/>
  <c r="AM492"/>
  <c r="AN492"/>
  <c r="AM476"/>
  <c r="AN476"/>
  <c r="AM460"/>
  <c r="AN460"/>
  <c r="AM444"/>
  <c r="AN444"/>
  <c r="AM428"/>
  <c r="AN428"/>
  <c r="AM412"/>
  <c r="AN412"/>
  <c r="AM396"/>
  <c r="AN396"/>
  <c r="AM380"/>
  <c r="AN380"/>
  <c r="AM364"/>
  <c r="AN364"/>
  <c r="AM348"/>
  <c r="AN348"/>
  <c r="AM332"/>
  <c r="AN332"/>
  <c r="AM316"/>
  <c r="AN316"/>
  <c r="AM300"/>
  <c r="AN300"/>
  <c r="AM284"/>
  <c r="AN284"/>
  <c r="AM268"/>
  <c r="AN268"/>
  <c r="AM252"/>
  <c r="AN252"/>
  <c r="AM236"/>
  <c r="AN236"/>
  <c r="AM220"/>
  <c r="AN220"/>
  <c r="AM204"/>
  <c r="AN204"/>
  <c r="AM188"/>
  <c r="AN188"/>
  <c r="AM172"/>
  <c r="AN172"/>
  <c r="AM156"/>
  <c r="AN156"/>
  <c r="AM140"/>
  <c r="AN140"/>
  <c r="AM124"/>
  <c r="AN124"/>
  <c r="AM108"/>
  <c r="AN108"/>
  <c r="AM92"/>
  <c r="AN92"/>
  <c r="AM77"/>
  <c r="AN77"/>
  <c r="AM62"/>
  <c r="AN62"/>
  <c r="AM1824"/>
  <c r="AN1824"/>
  <c r="AM1808"/>
  <c r="AN1808"/>
  <c r="AM1792"/>
  <c r="AN1792"/>
  <c r="AM1776"/>
  <c r="AN1776"/>
  <c r="AM1760"/>
  <c r="AN1760"/>
  <c r="AM1744"/>
  <c r="AN1744"/>
  <c r="AM1729"/>
  <c r="AN1729"/>
  <c r="AM1713"/>
  <c r="AN1713"/>
  <c r="AM1697"/>
  <c r="AN1697"/>
  <c r="AM1681"/>
  <c r="AN1681"/>
  <c r="AM1665"/>
  <c r="AN1665"/>
  <c r="AM1649"/>
  <c r="AN1649"/>
  <c r="AM1633"/>
  <c r="AN1633"/>
  <c r="AM1618"/>
  <c r="AN1618"/>
  <c r="AM1602"/>
  <c r="AN1602"/>
  <c r="AM1586"/>
  <c r="AN1586"/>
  <c r="AM1570"/>
  <c r="AN1570"/>
  <c r="AM1554"/>
  <c r="AN1554"/>
  <c r="AM1538"/>
  <c r="AN1538"/>
  <c r="AM1522"/>
  <c r="AN1522"/>
  <c r="AM1506"/>
  <c r="AN1506"/>
  <c r="AM1490"/>
  <c r="AN1490"/>
  <c r="AM1474"/>
  <c r="AN1474"/>
  <c r="AM1458"/>
  <c r="AN1458"/>
  <c r="AM1442"/>
  <c r="AN1442"/>
  <c r="AM1426"/>
  <c r="AN1426"/>
  <c r="AM1410"/>
  <c r="AN1410"/>
  <c r="AM1394"/>
  <c r="AN1394"/>
  <c r="AM1378"/>
  <c r="AN1378"/>
  <c r="AM1362"/>
  <c r="AN1362"/>
  <c r="AM1346"/>
  <c r="AN1346"/>
  <c r="AM1330"/>
  <c r="AN1330"/>
  <c r="AM1314"/>
  <c r="AN1314"/>
  <c r="AM1298"/>
  <c r="AN1298"/>
  <c r="AM1282"/>
  <c r="AN1282"/>
  <c r="AM1267"/>
  <c r="AN1267"/>
  <c r="AM1251"/>
  <c r="AN1251"/>
  <c r="AM1235"/>
  <c r="AN1235"/>
  <c r="AM1219"/>
  <c r="AN1219"/>
  <c r="AM1203"/>
  <c r="AN1203"/>
  <c r="AM1187"/>
  <c r="AN1187"/>
  <c r="AM1171"/>
  <c r="AN1171"/>
  <c r="AM1155"/>
  <c r="AN1155"/>
  <c r="AM1139"/>
  <c r="AN1139"/>
  <c r="AM1123"/>
  <c r="AN1123"/>
  <c r="AM1107"/>
  <c r="AN1107"/>
  <c r="AM1091"/>
  <c r="AN1091"/>
  <c r="AM1075"/>
  <c r="AN1075"/>
  <c r="AM1059"/>
  <c r="AN1059"/>
  <c r="AM1043"/>
  <c r="AN1043"/>
  <c r="AM1027"/>
  <c r="AN1027"/>
  <c r="AM1011"/>
  <c r="AN1011"/>
  <c r="AM995"/>
  <c r="AN995"/>
  <c r="AM979"/>
  <c r="AN979"/>
  <c r="AM964"/>
  <c r="AN964"/>
  <c r="AM948"/>
  <c r="AN948"/>
  <c r="AM932"/>
  <c r="AN932"/>
  <c r="AM916"/>
  <c r="AN916"/>
  <c r="AM900"/>
  <c r="AN900"/>
  <c r="AM884"/>
  <c r="AN884"/>
  <c r="AM868"/>
  <c r="AN868"/>
  <c r="AM852"/>
  <c r="AN852"/>
  <c r="AM836"/>
  <c r="AN836"/>
  <c r="AM820"/>
  <c r="AN820"/>
  <c r="AM804"/>
  <c r="AN804"/>
  <c r="AM788"/>
  <c r="AN788"/>
  <c r="AM772"/>
  <c r="AN772"/>
  <c r="AM756"/>
  <c r="AN756"/>
  <c r="AN740"/>
  <c r="AM740"/>
  <c r="AN725"/>
  <c r="AM725"/>
  <c r="AN709"/>
  <c r="AM709"/>
  <c r="AN693"/>
  <c r="AM693"/>
  <c r="AN677"/>
  <c r="AM677"/>
  <c r="AN661"/>
  <c r="AM661"/>
  <c r="AN645"/>
  <c r="AM645"/>
  <c r="AN629"/>
  <c r="AM629"/>
  <c r="AN613"/>
  <c r="AM613"/>
  <c r="AN597"/>
  <c r="AM597"/>
  <c r="AN581"/>
  <c r="AM581"/>
  <c r="AN565"/>
  <c r="AM565"/>
  <c r="AN549"/>
  <c r="AM549"/>
  <c r="AN533"/>
  <c r="AM533"/>
  <c r="AN517"/>
  <c r="AM517"/>
  <c r="AN501"/>
  <c r="AM501"/>
  <c r="AN485"/>
  <c r="AM485"/>
  <c r="AN469"/>
  <c r="AM469"/>
  <c r="AN453"/>
  <c r="AM453"/>
  <c r="AN437"/>
  <c r="AM437"/>
  <c r="AN421"/>
  <c r="AM421"/>
  <c r="AN405"/>
  <c r="AM405"/>
  <c r="AN389"/>
  <c r="AM389"/>
  <c r="AN373"/>
  <c r="AM373"/>
  <c r="AN357"/>
  <c r="AM357"/>
  <c r="AN341"/>
  <c r="AM341"/>
  <c r="AN325"/>
  <c r="AM325"/>
  <c r="AN309"/>
  <c r="AM309"/>
  <c r="AN293"/>
  <c r="AM293"/>
  <c r="AN277"/>
  <c r="AM277"/>
  <c r="AN261"/>
  <c r="AM261"/>
  <c r="AN245"/>
  <c r="AM245"/>
  <c r="AN229"/>
  <c r="AM229"/>
  <c r="AN213"/>
  <c r="AM213"/>
  <c r="AN197"/>
  <c r="AM197"/>
  <c r="AN181"/>
  <c r="AM181"/>
  <c r="AN165"/>
  <c r="AM165"/>
  <c r="AN149"/>
  <c r="AM149"/>
  <c r="AN133"/>
  <c r="AM133"/>
  <c r="AN117"/>
  <c r="AM117"/>
  <c r="AN101"/>
  <c r="AM101"/>
  <c r="AN85"/>
  <c r="AM85"/>
  <c r="AN71"/>
  <c r="AM71"/>
  <c r="AN55"/>
  <c r="AM55"/>
  <c r="AM495"/>
  <c r="AN495"/>
  <c r="AM479"/>
  <c r="AN479"/>
  <c r="AO479" s="1"/>
  <c r="AM463"/>
  <c r="AN463"/>
  <c r="AO463" s="1"/>
  <c r="AM447"/>
  <c r="AN447"/>
  <c r="AO447" s="1"/>
  <c r="AM431"/>
  <c r="AN431"/>
  <c r="AM415"/>
  <c r="AN415"/>
  <c r="AM399"/>
  <c r="AN399"/>
  <c r="AM383"/>
  <c r="AN383"/>
  <c r="AO383" s="1"/>
  <c r="AM367"/>
  <c r="AN367"/>
  <c r="AO367" s="1"/>
  <c r="AM351"/>
  <c r="AN351"/>
  <c r="AM335"/>
  <c r="AN335"/>
  <c r="AM319"/>
  <c r="AN319"/>
  <c r="AM303"/>
  <c r="AN303"/>
  <c r="AO303" s="1"/>
  <c r="AM287"/>
  <c r="AN287"/>
  <c r="AO287" s="1"/>
  <c r="AM271"/>
  <c r="AN271"/>
  <c r="AO271" s="1"/>
  <c r="AM255"/>
  <c r="AN255"/>
  <c r="AO255" s="1"/>
  <c r="AM239"/>
  <c r="AN239"/>
  <c r="AM223"/>
  <c r="AN223"/>
  <c r="AO223" s="1"/>
  <c r="AM207"/>
  <c r="AN207"/>
  <c r="AO207" s="1"/>
  <c r="AM191"/>
  <c r="AN191"/>
  <c r="AO191" s="1"/>
  <c r="AM175"/>
  <c r="AN175"/>
  <c r="AM159"/>
  <c r="AN159"/>
  <c r="AM143"/>
  <c r="AN143"/>
  <c r="AM127"/>
  <c r="AN127"/>
  <c r="AO127" s="1"/>
  <c r="AM111"/>
  <c r="AN111"/>
  <c r="AO111" s="1"/>
  <c r="AM95"/>
  <c r="AN95"/>
  <c r="AM80"/>
  <c r="AN80"/>
  <c r="AM65"/>
  <c r="AN65"/>
  <c r="AM49"/>
  <c r="AN49"/>
  <c r="AO49" s="1"/>
  <c r="AM1865"/>
  <c r="AN1865"/>
  <c r="AO1865" s="1"/>
  <c r="AM1850"/>
  <c r="AN1850"/>
  <c r="AO1850" s="1"/>
  <c r="AM1835"/>
  <c r="AN1835"/>
  <c r="AO1835" s="1"/>
  <c r="AM1819"/>
  <c r="AN1819"/>
  <c r="AO1819" s="1"/>
  <c r="AM1803"/>
  <c r="AN1803"/>
  <c r="AM1787"/>
  <c r="AN1787"/>
  <c r="AM1771"/>
  <c r="AN1771"/>
  <c r="AO1771" s="1"/>
  <c r="AM1755"/>
  <c r="AN1755"/>
  <c r="AO1755" s="1"/>
  <c r="AM1739"/>
  <c r="AN1739"/>
  <c r="AO1739" s="1"/>
  <c r="AM1724"/>
  <c r="AN1724"/>
  <c r="AM1708"/>
  <c r="AN1708"/>
  <c r="AO1708" s="1"/>
  <c r="AM1692"/>
  <c r="AN1692"/>
  <c r="AO1692" s="1"/>
  <c r="AM1676"/>
  <c r="AN1676"/>
  <c r="AM1660"/>
  <c r="AN1660"/>
  <c r="AO1660" s="1"/>
  <c r="AM1644"/>
  <c r="AN1644"/>
  <c r="AO1644" s="1"/>
  <c r="AM1628"/>
  <c r="AN1628"/>
  <c r="AM1613"/>
  <c r="AN1613"/>
  <c r="AM1597"/>
  <c r="AN1597"/>
  <c r="AM1581"/>
  <c r="AN1581"/>
  <c r="AO1581" s="1"/>
  <c r="AM1565"/>
  <c r="AN1565"/>
  <c r="AM1549"/>
  <c r="AN1549"/>
  <c r="AM1533"/>
  <c r="AN1533"/>
  <c r="AO1533" s="1"/>
  <c r="AM1517"/>
  <c r="AN1517"/>
  <c r="AM1501"/>
  <c r="AN1501"/>
  <c r="AM1485"/>
  <c r="AN1485"/>
  <c r="AM1469"/>
  <c r="AN1469"/>
  <c r="AO1469" s="1"/>
  <c r="AM1453"/>
  <c r="AN1453"/>
  <c r="AM1437"/>
  <c r="AN1437"/>
  <c r="AO1437" s="1"/>
  <c r="AM1421"/>
  <c r="AN1421"/>
  <c r="AO1421" s="1"/>
  <c r="AM1405"/>
  <c r="AN1405"/>
  <c r="AM1389"/>
  <c r="AN1389"/>
  <c r="AO1389" s="1"/>
  <c r="AM1373"/>
  <c r="AN1373"/>
  <c r="AO1373" s="1"/>
  <c r="AM1357"/>
  <c r="AN1357"/>
  <c r="AO1357" s="1"/>
  <c r="AM1341"/>
  <c r="AN1341"/>
  <c r="AO1341" s="1"/>
  <c r="AM1325"/>
  <c r="AN1325"/>
  <c r="AO1325" s="1"/>
  <c r="AM1309"/>
  <c r="AN1309"/>
  <c r="AO1309" s="1"/>
  <c r="AM1293"/>
  <c r="AN1293"/>
  <c r="AM1277"/>
  <c r="AN1277"/>
  <c r="AM1262"/>
  <c r="AN1262"/>
  <c r="AO1262" s="1"/>
  <c r="AM1246"/>
  <c r="AN1246"/>
  <c r="AO1246" s="1"/>
  <c r="AM1230"/>
  <c r="AN1230"/>
  <c r="AO1230" s="1"/>
  <c r="AM1214"/>
  <c r="AN1214"/>
  <c r="AM1198"/>
  <c r="AN1198"/>
  <c r="AO1198" s="1"/>
  <c r="AM1182"/>
  <c r="AN1182"/>
  <c r="AO1182" s="1"/>
  <c r="AM1166"/>
  <c r="AN1166"/>
  <c r="AM1150"/>
  <c r="AN1150"/>
  <c r="AM1134"/>
  <c r="AN1134"/>
  <c r="AO1134" s="1"/>
  <c r="AM1118"/>
  <c r="AN1118"/>
  <c r="AM1102"/>
  <c r="AN1102"/>
  <c r="AO1102" s="1"/>
  <c r="AM1086"/>
  <c r="AN1086"/>
  <c r="AM1070"/>
  <c r="AN1070"/>
  <c r="AO1070" s="1"/>
  <c r="AM1054"/>
  <c r="AN1054"/>
  <c r="AO1054" s="1"/>
  <c r="AM1038"/>
  <c r="AN1038"/>
  <c r="AM1022"/>
  <c r="AN1022"/>
  <c r="AO1022" s="1"/>
  <c r="AM1006"/>
  <c r="AN1006"/>
  <c r="AO1006" s="1"/>
  <c r="AM990"/>
  <c r="AN990"/>
  <c r="AM974"/>
  <c r="AN974"/>
  <c r="AO974" s="1"/>
  <c r="AM959"/>
  <c r="AN959"/>
  <c r="AM943"/>
  <c r="AN943"/>
  <c r="AO943" s="1"/>
  <c r="AM927"/>
  <c r="AN927"/>
  <c r="AO927" s="1"/>
  <c r="AM911"/>
  <c r="AN911"/>
  <c r="AM895"/>
  <c r="AN895"/>
  <c r="AO895" s="1"/>
  <c r="AM879"/>
  <c r="AN879"/>
  <c r="AO879" s="1"/>
  <c r="AM863"/>
  <c r="AN863"/>
  <c r="AM847"/>
  <c r="AN847"/>
  <c r="AO847" s="1"/>
  <c r="AM831"/>
  <c r="AN831"/>
  <c r="AM815"/>
  <c r="AN815"/>
  <c r="AO815" s="1"/>
  <c r="AM799"/>
  <c r="AN799"/>
  <c r="AO799" s="1"/>
  <c r="AM783"/>
  <c r="AN783"/>
  <c r="AM767"/>
  <c r="AN767"/>
  <c r="AO767" s="1"/>
  <c r="AM751"/>
  <c r="AN751"/>
  <c r="AO751" s="1"/>
  <c r="AM735"/>
  <c r="AN735"/>
  <c r="AM720"/>
  <c r="AN720"/>
  <c r="AO720" s="1"/>
  <c r="AM704"/>
  <c r="AN704"/>
  <c r="AM688"/>
  <c r="AN688"/>
  <c r="AO688" s="1"/>
  <c r="AM672"/>
  <c r="AN672"/>
  <c r="AO672" s="1"/>
  <c r="AM656"/>
  <c r="AN656"/>
  <c r="AM640"/>
  <c r="AN640"/>
  <c r="AO640" s="1"/>
  <c r="AM624"/>
  <c r="AN624"/>
  <c r="AO624" s="1"/>
  <c r="AM608"/>
  <c r="AN608"/>
  <c r="AM592"/>
  <c r="AN592"/>
  <c r="AO592" s="1"/>
  <c r="AM576"/>
  <c r="AN576"/>
  <c r="AM560"/>
  <c r="AN560"/>
  <c r="AO560" s="1"/>
  <c r="AM544"/>
  <c r="AN544"/>
  <c r="AO544" s="1"/>
  <c r="AM528"/>
  <c r="AN528"/>
  <c r="AM512"/>
  <c r="AN512"/>
  <c r="AO512" s="1"/>
  <c r="AM496"/>
  <c r="AN496"/>
  <c r="AM480"/>
  <c r="AN480"/>
  <c r="AM464"/>
  <c r="AN464"/>
  <c r="AM448"/>
  <c r="AN448"/>
  <c r="AM432"/>
  <c r="AN432"/>
  <c r="AM416"/>
  <c r="AN416"/>
  <c r="AM400"/>
  <c r="AN400"/>
  <c r="AM384"/>
  <c r="AN384"/>
  <c r="AM368"/>
  <c r="AN368"/>
  <c r="AM352"/>
  <c r="AN352"/>
  <c r="AM336"/>
  <c r="AN336"/>
  <c r="AM320"/>
  <c r="AN320"/>
  <c r="AM304"/>
  <c r="AN304"/>
  <c r="AM288"/>
  <c r="AN288"/>
  <c r="AM272"/>
  <c r="AN272"/>
  <c r="AM256"/>
  <c r="AN256"/>
  <c r="AM240"/>
  <c r="AN240"/>
  <c r="AM224"/>
  <c r="AN224"/>
  <c r="AM208"/>
  <c r="AN208"/>
  <c r="AM192"/>
  <c r="AN192"/>
  <c r="AM176"/>
  <c r="AN176"/>
  <c r="AM160"/>
  <c r="AN160"/>
  <c r="AM144"/>
  <c r="AN144"/>
  <c r="AM128"/>
  <c r="AN128"/>
  <c r="AM112"/>
  <c r="AN112"/>
  <c r="AM96"/>
  <c r="AN96"/>
  <c r="AM81"/>
  <c r="AN81"/>
  <c r="AM66"/>
  <c r="AN66"/>
  <c r="AM50"/>
  <c r="AN50"/>
  <c r="AM1701"/>
  <c r="AN1701"/>
  <c r="AM1685"/>
  <c r="AN1685"/>
  <c r="AM1669"/>
  <c r="AN1669"/>
  <c r="AM1653"/>
  <c r="AN1653"/>
  <c r="AM1637"/>
  <c r="AN1637"/>
  <c r="AM11"/>
  <c r="AN11"/>
  <c r="AO11" s="1"/>
  <c r="AM1606"/>
  <c r="AN1606"/>
  <c r="AM1590"/>
  <c r="AN1590"/>
  <c r="AM1574"/>
  <c r="AN1574"/>
  <c r="AM1558"/>
  <c r="AN1558"/>
  <c r="AM1542"/>
  <c r="AN1542"/>
  <c r="AM1526"/>
  <c r="AN1526"/>
  <c r="AM1510"/>
  <c r="AN1510"/>
  <c r="AM1494"/>
  <c r="AN1494"/>
  <c r="AM1478"/>
  <c r="AN1478"/>
  <c r="AM1462"/>
  <c r="AN1462"/>
  <c r="AM1446"/>
  <c r="AN1446"/>
  <c r="AM1430"/>
  <c r="AN1430"/>
  <c r="AM1414"/>
  <c r="AN1414"/>
  <c r="AM1398"/>
  <c r="AN1398"/>
  <c r="AM1382"/>
  <c r="AN1382"/>
  <c r="AM1366"/>
  <c r="AN1366"/>
  <c r="AM1350"/>
  <c r="AN1350"/>
  <c r="AM1334"/>
  <c r="AN1334"/>
  <c r="AM1318"/>
  <c r="AN1318"/>
  <c r="AM1302"/>
  <c r="AN1302"/>
  <c r="AM1286"/>
  <c r="AN1286"/>
  <c r="AM1271"/>
  <c r="AN1271"/>
  <c r="AM1255"/>
  <c r="AN1255"/>
  <c r="AM1239"/>
  <c r="AN1239"/>
  <c r="AM1223"/>
  <c r="AN1223"/>
  <c r="AM1207"/>
  <c r="AN1207"/>
  <c r="AM1191"/>
  <c r="AN1191"/>
  <c r="AM1175"/>
  <c r="AN1175"/>
  <c r="AM1159"/>
  <c r="AN1159"/>
  <c r="AM1143"/>
  <c r="AN1143"/>
  <c r="AM1127"/>
  <c r="AN1127"/>
  <c r="AM1111"/>
  <c r="AN1111"/>
  <c r="AM1095"/>
  <c r="AN1095"/>
  <c r="AM1079"/>
  <c r="AN1079"/>
  <c r="AM1063"/>
  <c r="AN1063"/>
  <c r="AM1047"/>
  <c r="AN1047"/>
  <c r="AM1031"/>
  <c r="AN1031"/>
  <c r="AM1015"/>
  <c r="AN1015"/>
  <c r="AM999"/>
  <c r="AN999"/>
  <c r="AM983"/>
  <c r="AN983"/>
  <c r="AM968"/>
  <c r="AN968"/>
  <c r="AM952"/>
  <c r="AN952"/>
  <c r="AM936"/>
  <c r="AN936"/>
  <c r="AM920"/>
  <c r="AN920"/>
  <c r="AM904"/>
  <c r="AN904"/>
  <c r="AM888"/>
  <c r="AN888"/>
  <c r="AM872"/>
  <c r="AN872"/>
  <c r="AM856"/>
  <c r="AN856"/>
  <c r="AM840"/>
  <c r="AN840"/>
  <c r="AM824"/>
  <c r="AN824"/>
  <c r="AM808"/>
  <c r="AN808"/>
  <c r="AM792"/>
  <c r="AN792"/>
  <c r="AM776"/>
  <c r="AN776"/>
  <c r="AM760"/>
  <c r="AN760"/>
  <c r="AM744"/>
  <c r="AN744"/>
  <c r="AM728"/>
  <c r="AN728"/>
  <c r="AM713"/>
  <c r="AN713"/>
  <c r="AM697"/>
  <c r="AN697"/>
  <c r="AM681"/>
  <c r="AN681"/>
  <c r="AM665"/>
  <c r="AN665"/>
  <c r="AM649"/>
  <c r="AN649"/>
  <c r="AM633"/>
  <c r="AN633"/>
  <c r="AM617"/>
  <c r="AN617"/>
  <c r="AM601"/>
  <c r="AN601"/>
  <c r="AM585"/>
  <c r="AN585"/>
  <c r="AM569"/>
  <c r="AN569"/>
  <c r="AM553"/>
  <c r="AN553"/>
  <c r="AM537"/>
  <c r="AN537"/>
  <c r="AM521"/>
  <c r="AN521"/>
  <c r="AM505"/>
  <c r="AN505"/>
  <c r="AM489"/>
  <c r="AN489"/>
  <c r="AM473"/>
  <c r="AN473"/>
  <c r="AM457"/>
  <c r="AN457"/>
  <c r="AM441"/>
  <c r="AN441"/>
  <c r="AM425"/>
  <c r="AN425"/>
  <c r="AM409"/>
  <c r="AN409"/>
  <c r="AM393"/>
  <c r="AN393"/>
  <c r="AM377"/>
  <c r="AN377"/>
  <c r="AM361"/>
  <c r="AN361"/>
  <c r="AM345"/>
  <c r="AN345"/>
  <c r="AM329"/>
  <c r="AN329"/>
  <c r="AM313"/>
  <c r="AN313"/>
  <c r="AM297"/>
  <c r="AN297"/>
  <c r="AM281"/>
  <c r="AN281"/>
  <c r="AM265"/>
  <c r="AN265"/>
  <c r="AM249"/>
  <c r="AN249"/>
  <c r="AM233"/>
  <c r="AN233"/>
  <c r="AM217"/>
  <c r="AN217"/>
  <c r="AM201"/>
  <c r="AN201"/>
  <c r="AM185"/>
  <c r="AN185"/>
  <c r="AM169"/>
  <c r="AN169"/>
  <c r="AM153"/>
  <c r="AN153"/>
  <c r="AM137"/>
  <c r="AN137"/>
  <c r="AM121"/>
  <c r="AN121"/>
  <c r="AM105"/>
  <c r="AN105"/>
  <c r="AM89"/>
  <c r="AN89"/>
  <c r="AM75"/>
  <c r="AN75"/>
  <c r="AM59"/>
  <c r="AN59"/>
  <c r="AM499"/>
  <c r="AN499"/>
  <c r="AO499" s="1"/>
  <c r="AM483"/>
  <c r="AN483"/>
  <c r="AM467"/>
  <c r="AN467"/>
  <c r="AM451"/>
  <c r="AN451"/>
  <c r="AM435"/>
  <c r="AN435"/>
  <c r="AM419"/>
  <c r="AN419"/>
  <c r="AM403"/>
  <c r="AN403"/>
  <c r="AM387"/>
  <c r="AN387"/>
  <c r="AM371"/>
  <c r="AN371"/>
  <c r="AO371" s="1"/>
  <c r="AM355"/>
  <c r="AN355"/>
  <c r="AO355" s="1"/>
  <c r="AM339"/>
  <c r="AN339"/>
  <c r="AO339" s="1"/>
  <c r="AM323"/>
  <c r="AN323"/>
  <c r="AO323" s="1"/>
  <c r="AM307"/>
  <c r="AN307"/>
  <c r="AO307" s="1"/>
  <c r="AM291"/>
  <c r="AN291"/>
  <c r="AM275"/>
  <c r="AN275"/>
  <c r="AO275" s="1"/>
  <c r="AM259"/>
  <c r="AN259"/>
  <c r="AO259" s="1"/>
  <c r="AM243"/>
  <c r="AN243"/>
  <c r="AO243" s="1"/>
  <c r="AM227"/>
  <c r="AN227"/>
  <c r="AM211"/>
  <c r="AN211"/>
  <c r="AM195"/>
  <c r="AN195"/>
  <c r="AO195" s="1"/>
  <c r="AM179"/>
  <c r="AN179"/>
  <c r="AM163"/>
  <c r="AN163"/>
  <c r="AM147"/>
  <c r="AN147"/>
  <c r="AM131"/>
  <c r="AN131"/>
  <c r="AM115"/>
  <c r="AN115"/>
  <c r="AO115" s="1"/>
  <c r="AM99"/>
  <c r="AN99"/>
  <c r="AO99" s="1"/>
  <c r="AM83"/>
  <c r="AN83"/>
  <c r="AO83" s="1"/>
  <c r="AM69"/>
  <c r="AN69"/>
  <c r="AO69" s="1"/>
  <c r="AM53"/>
  <c r="AN53"/>
  <c r="AO53" s="1"/>
  <c r="AM1869"/>
  <c r="AN1869"/>
  <c r="AM1854"/>
  <c r="AN1854"/>
  <c r="AM1839"/>
  <c r="AN1839"/>
  <c r="AM1823"/>
  <c r="AN1823"/>
  <c r="AO1823" s="1"/>
  <c r="AM1807"/>
  <c r="AN1807"/>
  <c r="AO1807" s="1"/>
  <c r="AM1791"/>
  <c r="AN1791"/>
  <c r="AO1791" s="1"/>
  <c r="AM1775"/>
  <c r="AN1775"/>
  <c r="AO1775" s="1"/>
  <c r="AM1759"/>
  <c r="AN1759"/>
  <c r="AM1743"/>
  <c r="AN1743"/>
  <c r="AM1728"/>
  <c r="AN1728"/>
  <c r="AM1712"/>
  <c r="AN1712"/>
  <c r="AM1696"/>
  <c r="AN1696"/>
  <c r="AO1696" s="1"/>
  <c r="AM1680"/>
  <c r="AN1680"/>
  <c r="AO1680" s="1"/>
  <c r="AM1664"/>
  <c r="AN1664"/>
  <c r="AO1664" s="1"/>
  <c r="AM1648"/>
  <c r="AN1648"/>
  <c r="AO1648" s="1"/>
  <c r="AM1632"/>
  <c r="AN1632"/>
  <c r="AM1617"/>
  <c r="AN1617"/>
  <c r="AM1601"/>
  <c r="AN1601"/>
  <c r="AM1585"/>
  <c r="AN1585"/>
  <c r="AM1569"/>
  <c r="AN1569"/>
  <c r="AO1569" s="1"/>
  <c r="AM1553"/>
  <c r="AN1553"/>
  <c r="AO1553" s="1"/>
  <c r="AM1537"/>
  <c r="AN1537"/>
  <c r="AO1537" s="1"/>
  <c r="AM1521"/>
  <c r="AN1521"/>
  <c r="AO1521" s="1"/>
  <c r="AM1505"/>
  <c r="AN1505"/>
  <c r="AM1489"/>
  <c r="AN1489"/>
  <c r="AM1473"/>
  <c r="AN1473"/>
  <c r="AM1457"/>
  <c r="AN1457"/>
  <c r="AM1441"/>
  <c r="AN1441"/>
  <c r="AO1441" s="1"/>
  <c r="AM1425"/>
  <c r="AN1425"/>
  <c r="AO1425" s="1"/>
  <c r="AM1409"/>
  <c r="AN1409"/>
  <c r="AO1409" s="1"/>
  <c r="AM1393"/>
  <c r="AN1393"/>
  <c r="AO1393" s="1"/>
  <c r="AM1377"/>
  <c r="AN1377"/>
  <c r="AM1361"/>
  <c r="AN1361"/>
  <c r="AM1345"/>
  <c r="AN1345"/>
  <c r="AM1329"/>
  <c r="AN1329"/>
  <c r="AM1313"/>
  <c r="AN1313"/>
  <c r="AO1313" s="1"/>
  <c r="AM1297"/>
  <c r="AN1297"/>
  <c r="AO1297" s="1"/>
  <c r="AM1281"/>
  <c r="AN1281"/>
  <c r="AO1281" s="1"/>
  <c r="AM1266"/>
  <c r="AN1266"/>
  <c r="AO1266" s="1"/>
  <c r="AM1250"/>
  <c r="AN1250"/>
  <c r="AM1234"/>
  <c r="AN1234"/>
  <c r="AM1218"/>
  <c r="AN1218"/>
  <c r="AM1202"/>
  <c r="AN1202"/>
  <c r="AM1186"/>
  <c r="AN1186"/>
  <c r="AO1186" s="1"/>
  <c r="AM1170"/>
  <c r="AN1170"/>
  <c r="AO1170" s="1"/>
  <c r="AM1154"/>
  <c r="AN1154"/>
  <c r="AO1154" s="1"/>
  <c r="AM1138"/>
  <c r="AN1138"/>
  <c r="AO1138" s="1"/>
  <c r="AM1122"/>
  <c r="AN1122"/>
  <c r="AM1106"/>
  <c r="AN1106"/>
  <c r="AM1090"/>
  <c r="AN1090"/>
  <c r="AM1074"/>
  <c r="AN1074"/>
  <c r="AM1058"/>
  <c r="AN1058"/>
  <c r="AO1058" s="1"/>
  <c r="AM1042"/>
  <c r="AN1042"/>
  <c r="AO1042" s="1"/>
  <c r="AM1026"/>
  <c r="AN1026"/>
  <c r="AO1026" s="1"/>
  <c r="AM1010"/>
  <c r="AN1010"/>
  <c r="AO1010" s="1"/>
  <c r="AM994"/>
  <c r="AN994"/>
  <c r="AM978"/>
  <c r="AN978"/>
  <c r="AM963"/>
  <c r="AN963"/>
  <c r="AM947"/>
  <c r="AN947"/>
  <c r="AM931"/>
  <c r="AN931"/>
  <c r="AO931" s="1"/>
  <c r="AM915"/>
  <c r="AN915"/>
  <c r="AO915" s="1"/>
  <c r="AM899"/>
  <c r="AN899"/>
  <c r="AO899" s="1"/>
  <c r="AM883"/>
  <c r="AN883"/>
  <c r="AO883" s="1"/>
  <c r="AM867"/>
  <c r="AN867"/>
  <c r="AM851"/>
  <c r="AN851"/>
  <c r="AM835"/>
  <c r="AN835"/>
  <c r="AM819"/>
  <c r="AN819"/>
  <c r="AM803"/>
  <c r="AN803"/>
  <c r="AO803" s="1"/>
  <c r="AM787"/>
  <c r="AN787"/>
  <c r="AO787" s="1"/>
  <c r="AM771"/>
  <c r="AN771"/>
  <c r="AO771" s="1"/>
  <c r="AM755"/>
  <c r="AN755"/>
  <c r="AO755" s="1"/>
  <c r="AM739"/>
  <c r="AN739"/>
  <c r="AM724"/>
  <c r="AN724"/>
  <c r="AM708"/>
  <c r="AN708"/>
  <c r="AM692"/>
  <c r="AN692"/>
  <c r="AM676"/>
  <c r="AN676"/>
  <c r="AO676" s="1"/>
  <c r="AM660"/>
  <c r="AN660"/>
  <c r="AO660" s="1"/>
  <c r="AM644"/>
  <c r="AN644"/>
  <c r="AO644" s="1"/>
  <c r="AM628"/>
  <c r="AN628"/>
  <c r="AO628" s="1"/>
  <c r="AM612"/>
  <c r="AN612"/>
  <c r="AM596"/>
  <c r="AN596"/>
  <c r="AM580"/>
  <c r="AN580"/>
  <c r="AM564"/>
  <c r="AN564"/>
  <c r="AM548"/>
  <c r="AN548"/>
  <c r="AO548" s="1"/>
  <c r="AM532"/>
  <c r="AN532"/>
  <c r="AO532" s="1"/>
  <c r="AM516"/>
  <c r="AN516"/>
  <c r="AO516" s="1"/>
  <c r="AM500"/>
  <c r="AN500"/>
  <c r="AM484"/>
  <c r="AN484"/>
  <c r="AM468"/>
  <c r="AN468"/>
  <c r="AM452"/>
  <c r="AN452"/>
  <c r="AM436"/>
  <c r="AN436"/>
  <c r="AM420"/>
  <c r="AN420"/>
  <c r="AM404"/>
  <c r="AN404"/>
  <c r="AM388"/>
  <c r="AN388"/>
  <c r="AM372"/>
  <c r="AN372"/>
  <c r="AM356"/>
  <c r="AN356"/>
  <c r="AM340"/>
  <c r="AN340"/>
  <c r="AM324"/>
  <c r="AN324"/>
  <c r="AM308"/>
  <c r="AN308"/>
  <c r="AM292"/>
  <c r="AN292"/>
  <c r="AM276"/>
  <c r="AN276"/>
  <c r="AM260"/>
  <c r="AN260"/>
  <c r="AM244"/>
  <c r="AN244"/>
  <c r="AM228"/>
  <c r="AN228"/>
  <c r="AM212"/>
  <c r="AN212"/>
  <c r="AM196"/>
  <c r="AN196"/>
  <c r="AM180"/>
  <c r="AN180"/>
  <c r="AM164"/>
  <c r="AN164"/>
  <c r="AM148"/>
  <c r="AN148"/>
  <c r="AM132"/>
  <c r="AN132"/>
  <c r="AM116"/>
  <c r="AN116"/>
  <c r="AM100"/>
  <c r="AN100"/>
  <c r="AM84"/>
  <c r="AN84"/>
  <c r="AM70"/>
  <c r="AN70"/>
  <c r="AM54"/>
  <c r="AN54"/>
  <c r="AM1768"/>
  <c r="AN1768"/>
  <c r="AO1768" s="1"/>
  <c r="AM1752"/>
  <c r="AN1752"/>
  <c r="AO1752" s="1"/>
  <c r="AM1736"/>
  <c r="AN1736"/>
  <c r="AO1736" s="1"/>
  <c r="AM1721"/>
  <c r="AN1721"/>
  <c r="AO1721" s="1"/>
  <c r="AM1705"/>
  <c r="AN1705"/>
  <c r="AO1705" s="1"/>
  <c r="AM1689"/>
  <c r="AN1689"/>
  <c r="AO1689" s="1"/>
  <c r="AM1673"/>
  <c r="AN1673"/>
  <c r="AO1673" s="1"/>
  <c r="AM1657"/>
  <c r="AN1657"/>
  <c r="AO1657" s="1"/>
  <c r="AM1641"/>
  <c r="AN1641"/>
  <c r="AO1641" s="1"/>
  <c r="AM1625"/>
  <c r="AN1625"/>
  <c r="AO1625" s="1"/>
  <c r="AM1610"/>
  <c r="AN1610"/>
  <c r="AO1610" s="1"/>
  <c r="AM1594"/>
  <c r="AN1594"/>
  <c r="AO1594" s="1"/>
  <c r="AM1578"/>
  <c r="AN1578"/>
  <c r="AO1578" s="1"/>
  <c r="AM1562"/>
  <c r="AN1562"/>
  <c r="AO1562" s="1"/>
  <c r="AM1546"/>
  <c r="AN1546"/>
  <c r="AO1546" s="1"/>
  <c r="AM1530"/>
  <c r="AN1530"/>
  <c r="AO1530" s="1"/>
  <c r="AM1514"/>
  <c r="AN1514"/>
  <c r="AO1514" s="1"/>
  <c r="AM1498"/>
  <c r="AN1498"/>
  <c r="AO1498" s="1"/>
  <c r="AM1482"/>
  <c r="AN1482"/>
  <c r="AO1482" s="1"/>
  <c r="AM1466"/>
  <c r="AN1466"/>
  <c r="AO1466" s="1"/>
  <c r="AM1450"/>
  <c r="AN1450"/>
  <c r="AO1450" s="1"/>
  <c r="AM1434"/>
  <c r="AN1434"/>
  <c r="AO1434" s="1"/>
  <c r="AM1418"/>
  <c r="AN1418"/>
  <c r="AO1418" s="1"/>
  <c r="AM1402"/>
  <c r="AN1402"/>
  <c r="AO1402" s="1"/>
  <c r="AM1386"/>
  <c r="AN1386"/>
  <c r="AO1386" s="1"/>
  <c r="AM1370"/>
  <c r="AN1370"/>
  <c r="AO1370" s="1"/>
  <c r="AM1354"/>
  <c r="AN1354"/>
  <c r="AO1354" s="1"/>
  <c r="AM1338"/>
  <c r="AN1338"/>
  <c r="AO1338" s="1"/>
  <c r="AM1322"/>
  <c r="AN1322"/>
  <c r="AO1322" s="1"/>
  <c r="AM1306"/>
  <c r="AN1306"/>
  <c r="AO1306" s="1"/>
  <c r="AM1290"/>
  <c r="AN1290"/>
  <c r="AO1290" s="1"/>
  <c r="AM1274"/>
  <c r="AN1274"/>
  <c r="AO1274" s="1"/>
  <c r="AM1259"/>
  <c r="AN1259"/>
  <c r="AM1243"/>
  <c r="AN1243"/>
  <c r="AO1243" s="1"/>
  <c r="AM1227"/>
  <c r="AN1227"/>
  <c r="AO1227" s="1"/>
  <c r="AM1211"/>
  <c r="AN1211"/>
  <c r="AO1211" s="1"/>
  <c r="AM1195"/>
  <c r="AN1195"/>
  <c r="AO1195" s="1"/>
  <c r="AM1179"/>
  <c r="AN1179"/>
  <c r="AO1179" s="1"/>
  <c r="AM1163"/>
  <c r="AN1163"/>
  <c r="AO1163" s="1"/>
  <c r="AM1147"/>
  <c r="AN1147"/>
  <c r="AO1147" s="1"/>
  <c r="AM1131"/>
  <c r="AN1131"/>
  <c r="AO1131" s="1"/>
  <c r="AM1115"/>
  <c r="AN1115"/>
  <c r="AO1115" s="1"/>
  <c r="AM1099"/>
  <c r="AN1099"/>
  <c r="AO1099" s="1"/>
  <c r="AM1083"/>
  <c r="AN1083"/>
  <c r="AO1083" s="1"/>
  <c r="AM1067"/>
  <c r="AN1067"/>
  <c r="AO1067" s="1"/>
  <c r="AM1051"/>
  <c r="AN1051"/>
  <c r="AO1051" s="1"/>
  <c r="AM1035"/>
  <c r="AN1035"/>
  <c r="AO1035" s="1"/>
  <c r="AM1019"/>
  <c r="AN1019"/>
  <c r="AO1019" s="1"/>
  <c r="AM1003"/>
  <c r="AN1003"/>
  <c r="AO1003" s="1"/>
  <c r="AM987"/>
  <c r="AN987"/>
  <c r="AO987" s="1"/>
  <c r="AM972"/>
  <c r="AN972"/>
  <c r="AO972" s="1"/>
  <c r="AM956"/>
  <c r="AN956"/>
  <c r="AO956" s="1"/>
  <c r="AM940"/>
  <c r="AN940"/>
  <c r="AO940" s="1"/>
  <c r="AM924"/>
  <c r="AN924"/>
  <c r="AO924" s="1"/>
  <c r="AM908"/>
  <c r="AN908"/>
  <c r="AO908" s="1"/>
  <c r="AM892"/>
  <c r="AN892"/>
  <c r="AM876"/>
  <c r="AN876"/>
  <c r="AO876" s="1"/>
  <c r="AM860"/>
  <c r="AN860"/>
  <c r="AO860" s="1"/>
  <c r="AM844"/>
  <c r="AN844"/>
  <c r="AO844" s="1"/>
  <c r="AM828"/>
  <c r="AN828"/>
  <c r="AO828" s="1"/>
  <c r="AM812"/>
  <c r="AN812"/>
  <c r="AO812" s="1"/>
  <c r="AM796"/>
  <c r="AN796"/>
  <c r="AO796" s="1"/>
  <c r="AM780"/>
  <c r="AN780"/>
  <c r="AO780" s="1"/>
  <c r="AM764"/>
  <c r="AN764"/>
  <c r="AM748"/>
  <c r="AN748"/>
  <c r="AO748" s="1"/>
  <c r="AM732"/>
  <c r="AN732"/>
  <c r="AO732" s="1"/>
  <c r="AM717"/>
  <c r="AN717"/>
  <c r="AO717" s="1"/>
  <c r="AM701"/>
  <c r="AN701"/>
  <c r="AO701" s="1"/>
  <c r="AM685"/>
  <c r="AN685"/>
  <c r="AO685" s="1"/>
  <c r="AM669"/>
  <c r="AN669"/>
  <c r="AO669" s="1"/>
  <c r="AM653"/>
  <c r="AN653"/>
  <c r="AO653" s="1"/>
  <c r="AM637"/>
  <c r="AN637"/>
  <c r="AO637" s="1"/>
  <c r="AM621"/>
  <c r="AN621"/>
  <c r="AM605"/>
  <c r="AN605"/>
  <c r="AO605" s="1"/>
  <c r="AM589"/>
  <c r="AN589"/>
  <c r="AO589" s="1"/>
  <c r="AM573"/>
  <c r="AN573"/>
  <c r="AM557"/>
  <c r="AN557"/>
  <c r="AM541"/>
  <c r="AN541"/>
  <c r="AO541" s="1"/>
  <c r="AM525"/>
  <c r="AN525"/>
  <c r="AO525" s="1"/>
  <c r="AM509"/>
  <c r="AN509"/>
  <c r="AO509" s="1"/>
  <c r="AM493"/>
  <c r="AN493"/>
  <c r="AM477"/>
  <c r="AN477"/>
  <c r="AO477" s="1"/>
  <c r="AM461"/>
  <c r="AN461"/>
  <c r="AO461" s="1"/>
  <c r="AM445"/>
  <c r="AN445"/>
  <c r="AM429"/>
  <c r="AN429"/>
  <c r="AM413"/>
  <c r="AN413"/>
  <c r="AO413" s="1"/>
  <c r="AM397"/>
  <c r="AN397"/>
  <c r="AO397" s="1"/>
  <c r="AM381"/>
  <c r="AN381"/>
  <c r="AO381" s="1"/>
  <c r="AM365"/>
  <c r="AN365"/>
  <c r="AO365" s="1"/>
  <c r="AM349"/>
  <c r="AN349"/>
  <c r="AO349" s="1"/>
  <c r="AM333"/>
  <c r="AN333"/>
  <c r="AO333" s="1"/>
  <c r="AM317"/>
  <c r="AN317"/>
  <c r="AO317" s="1"/>
  <c r="AM301"/>
  <c r="AN301"/>
  <c r="AO301" s="1"/>
  <c r="AM285"/>
  <c r="AN285"/>
  <c r="AO285" s="1"/>
  <c r="AM269"/>
  <c r="AN269"/>
  <c r="AO269" s="1"/>
  <c r="AM253"/>
  <c r="AN253"/>
  <c r="AO253" s="1"/>
  <c r="AM237"/>
  <c r="AN237"/>
  <c r="AM221"/>
  <c r="AN221"/>
  <c r="AO221" s="1"/>
  <c r="AM205"/>
  <c r="AN205"/>
  <c r="AO205" s="1"/>
  <c r="AM189"/>
  <c r="AN189"/>
  <c r="AO189" s="1"/>
  <c r="AM173"/>
  <c r="AN173"/>
  <c r="AM157"/>
  <c r="AN157"/>
  <c r="AO157" s="1"/>
  <c r="AM141"/>
  <c r="AN141"/>
  <c r="AO141" s="1"/>
  <c r="AM125"/>
  <c r="AN125"/>
  <c r="AO125" s="1"/>
  <c r="AM109"/>
  <c r="AN109"/>
  <c r="AO109" s="1"/>
  <c r="AM93"/>
  <c r="AN93"/>
  <c r="AO93" s="1"/>
  <c r="AM78"/>
  <c r="AN78"/>
  <c r="AO78" s="1"/>
  <c r="AM63"/>
  <c r="AN63"/>
  <c r="AO63" s="1"/>
  <c r="AM47"/>
  <c r="AN47"/>
  <c r="AO47" s="1"/>
  <c r="AM487"/>
  <c r="AN487"/>
  <c r="AM471"/>
  <c r="AN471"/>
  <c r="AM455"/>
  <c r="AN455"/>
  <c r="AO455" s="1"/>
  <c r="AM439"/>
  <c r="AN439"/>
  <c r="AO439" s="1"/>
  <c r="AM423"/>
  <c r="AN423"/>
  <c r="AO423" s="1"/>
  <c r="AM407"/>
  <c r="AN407"/>
  <c r="AO407" s="1"/>
  <c r="AM391"/>
  <c r="AN391"/>
  <c r="AO391" s="1"/>
  <c r="AM375"/>
  <c r="AN375"/>
  <c r="AO375" s="1"/>
  <c r="AM359"/>
  <c r="AN359"/>
  <c r="AO359" s="1"/>
  <c r="AM343"/>
  <c r="AN343"/>
  <c r="AO343" s="1"/>
  <c r="AM327"/>
  <c r="AN327"/>
  <c r="AO327" s="1"/>
  <c r="AM311"/>
  <c r="AN311"/>
  <c r="AM295"/>
  <c r="AN295"/>
  <c r="AM279"/>
  <c r="AN279"/>
  <c r="AM263"/>
  <c r="AN263"/>
  <c r="AM247"/>
  <c r="AN247"/>
  <c r="AO247" s="1"/>
  <c r="AM231"/>
  <c r="AN231"/>
  <c r="AM215"/>
  <c r="AN215"/>
  <c r="AM199"/>
  <c r="AN199"/>
  <c r="AO199" s="1"/>
  <c r="AM183"/>
  <c r="AN183"/>
  <c r="AO183" s="1"/>
  <c r="AM167"/>
  <c r="AN167"/>
  <c r="AO167" s="1"/>
  <c r="AM151"/>
  <c r="AN151"/>
  <c r="AO151" s="1"/>
  <c r="AM135"/>
  <c r="AN135"/>
  <c r="AO135" s="1"/>
  <c r="AM119"/>
  <c r="AN119"/>
  <c r="AO119" s="1"/>
  <c r="AM103"/>
  <c r="AN103"/>
  <c r="AO103" s="1"/>
  <c r="AM87"/>
  <c r="AN87"/>
  <c r="AO87" s="1"/>
  <c r="AM73"/>
  <c r="AN73"/>
  <c r="AO73" s="1"/>
  <c r="AM57"/>
  <c r="AN57"/>
  <c r="AM1873"/>
  <c r="AN1873"/>
  <c r="AM1858"/>
  <c r="AN1858"/>
  <c r="AM1842"/>
  <c r="AN1842"/>
  <c r="AO1842" s="1"/>
  <c r="AM1827"/>
  <c r="AN1827"/>
  <c r="AO1827" s="1"/>
  <c r="AM1811"/>
  <c r="AN1811"/>
  <c r="AM1795"/>
  <c r="AN1795"/>
  <c r="AM1779"/>
  <c r="AN1779"/>
  <c r="AO1779" s="1"/>
  <c r="AM1763"/>
  <c r="AN1763"/>
  <c r="AO1763" s="1"/>
  <c r="AM1747"/>
  <c r="AN1747"/>
  <c r="AM7"/>
  <c r="AN7"/>
  <c r="AO7" s="1"/>
  <c r="AM1716"/>
  <c r="AN1716"/>
  <c r="AO1716" s="1"/>
  <c r="AM1700"/>
  <c r="AN1700"/>
  <c r="AO1700" s="1"/>
  <c r="AM1684"/>
  <c r="AN1684"/>
  <c r="AM1668"/>
  <c r="AN1668"/>
  <c r="AM1652"/>
  <c r="AN1652"/>
  <c r="AO1652" s="1"/>
  <c r="AM1636"/>
  <c r="AN1636"/>
  <c r="AO1636" s="1"/>
  <c r="AM1621"/>
  <c r="AN1621"/>
  <c r="AM1605"/>
  <c r="AN1605"/>
  <c r="AO1605" s="1"/>
  <c r="AM1589"/>
  <c r="AN1589"/>
  <c r="AO1589" s="1"/>
  <c r="AM1573"/>
  <c r="AN1573"/>
  <c r="AO1573" s="1"/>
  <c r="AM1557"/>
  <c r="AN1557"/>
  <c r="AO1557" s="1"/>
  <c r="AM1541"/>
  <c r="AN1541"/>
  <c r="AO1541" s="1"/>
  <c r="AM1525"/>
  <c r="AN1525"/>
  <c r="AO1525" s="1"/>
  <c r="AM1509"/>
  <c r="AN1509"/>
  <c r="AO1509" s="1"/>
  <c r="AM1493"/>
  <c r="AN1493"/>
  <c r="AO1493" s="1"/>
  <c r="AM1477"/>
  <c r="AN1477"/>
  <c r="AO1477" s="1"/>
  <c r="AM1461"/>
  <c r="AN1461"/>
  <c r="AO1461" s="1"/>
  <c r="AM1445"/>
  <c r="AN1445"/>
  <c r="AM1429"/>
  <c r="AN1429"/>
  <c r="AO1429" s="1"/>
  <c r="AM1413"/>
  <c r="AN1413"/>
  <c r="AO1413" s="1"/>
  <c r="AM1397"/>
  <c r="AN1397"/>
  <c r="AO1397" s="1"/>
  <c r="AM1381"/>
  <c r="AN1381"/>
  <c r="AM1365"/>
  <c r="AN1365"/>
  <c r="AM1349"/>
  <c r="AN1349"/>
  <c r="AM1333"/>
  <c r="AN1333"/>
  <c r="AO1333" s="1"/>
  <c r="AM1317"/>
  <c r="AN1317"/>
  <c r="AO1317" s="1"/>
  <c r="AM1301"/>
  <c r="AN1301"/>
  <c r="AM1285"/>
  <c r="AN1285"/>
  <c r="AM1270"/>
  <c r="AN1270"/>
  <c r="AO1270" s="1"/>
  <c r="AM1254"/>
  <c r="AN1254"/>
  <c r="AO1254" s="1"/>
  <c r="AM1238"/>
  <c r="AN1238"/>
  <c r="AM1222"/>
  <c r="AN1222"/>
  <c r="AM1206"/>
  <c r="AN1206"/>
  <c r="AO1206" s="1"/>
  <c r="AM1190"/>
  <c r="AN1190"/>
  <c r="AM1174"/>
  <c r="AN1174"/>
  <c r="AM1158"/>
  <c r="AN1158"/>
  <c r="AM1142"/>
  <c r="AN1142"/>
  <c r="AO1142" s="1"/>
  <c r="AM1126"/>
  <c r="AN1126"/>
  <c r="AO1126" s="1"/>
  <c r="AM1110"/>
  <c r="AN1110"/>
  <c r="AO1110" s="1"/>
  <c r="AM1094"/>
  <c r="AN1094"/>
  <c r="AO1094" s="1"/>
  <c r="AM1078"/>
  <c r="AN1078"/>
  <c r="AO1078" s="1"/>
  <c r="AM1062"/>
  <c r="AN1062"/>
  <c r="AM1046"/>
  <c r="AN1046"/>
  <c r="AM1030"/>
  <c r="AN1030"/>
  <c r="AM1014"/>
  <c r="AN1014"/>
  <c r="AO1014" s="1"/>
  <c r="AM998"/>
  <c r="AN998"/>
  <c r="AO998" s="1"/>
  <c r="AM982"/>
  <c r="AN982"/>
  <c r="AO982" s="1"/>
  <c r="AM967"/>
  <c r="AN967"/>
  <c r="AO967" s="1"/>
  <c r="AM951"/>
  <c r="AN951"/>
  <c r="AM935"/>
  <c r="AN935"/>
  <c r="AM919"/>
  <c r="AN919"/>
  <c r="AM903"/>
  <c r="AN903"/>
  <c r="AM887"/>
  <c r="AN887"/>
  <c r="AO887" s="1"/>
  <c r="AM871"/>
  <c r="AN871"/>
  <c r="AO871" s="1"/>
  <c r="AM855"/>
  <c r="AN855"/>
  <c r="AO855" s="1"/>
  <c r="AM839"/>
  <c r="AN839"/>
  <c r="AO839" s="1"/>
  <c r="AM823"/>
  <c r="AN823"/>
  <c r="AO823" s="1"/>
  <c r="AM807"/>
  <c r="AN807"/>
  <c r="AM791"/>
  <c r="AN791"/>
  <c r="AM775"/>
  <c r="AN775"/>
  <c r="AM759"/>
  <c r="AN759"/>
  <c r="AO759" s="1"/>
  <c r="AM743"/>
  <c r="AN743"/>
  <c r="AO743" s="1"/>
  <c r="AM727"/>
  <c r="AN727"/>
  <c r="AO727" s="1"/>
  <c r="AM712"/>
  <c r="AN712"/>
  <c r="AO712" s="1"/>
  <c r="AM696"/>
  <c r="AN696"/>
  <c r="AO696" s="1"/>
  <c r="AM680"/>
  <c r="AN680"/>
  <c r="AM664"/>
  <c r="AN664"/>
  <c r="AM648"/>
  <c r="AN648"/>
  <c r="AM632"/>
  <c r="AN632"/>
  <c r="AO632" s="1"/>
  <c r="AM616"/>
  <c r="AN616"/>
  <c r="AO616" s="1"/>
  <c r="AM600"/>
  <c r="AN600"/>
  <c r="AO600" s="1"/>
  <c r="AM584"/>
  <c r="AN584"/>
  <c r="AO584" s="1"/>
  <c r="AM568"/>
  <c r="AN568"/>
  <c r="AO568" s="1"/>
  <c r="AM552"/>
  <c r="AN552"/>
  <c r="AM536"/>
  <c r="AN536"/>
  <c r="AM520"/>
  <c r="AN520"/>
  <c r="AM504"/>
  <c r="AN504"/>
  <c r="AO504" s="1"/>
  <c r="AM488"/>
  <c r="AN488"/>
  <c r="AM472"/>
  <c r="AN472"/>
  <c r="AM456"/>
  <c r="AN456"/>
  <c r="AM440"/>
  <c r="AN440"/>
  <c r="AM424"/>
  <c r="AN424"/>
  <c r="AM408"/>
  <c r="AN408"/>
  <c r="AM392"/>
  <c r="AN392"/>
  <c r="AM376"/>
  <c r="AN376"/>
  <c r="AM360"/>
  <c r="AN360"/>
  <c r="AM344"/>
  <c r="AN344"/>
  <c r="AM328"/>
  <c r="AN328"/>
  <c r="AM312"/>
  <c r="AN312"/>
  <c r="AM296"/>
  <c r="AN296"/>
  <c r="AM280"/>
  <c r="AN280"/>
  <c r="AM264"/>
  <c r="AN264"/>
  <c r="AM248"/>
  <c r="AN248"/>
  <c r="AM232"/>
  <c r="AN232"/>
  <c r="AM216"/>
  <c r="AN216"/>
  <c r="AM200"/>
  <c r="AN200"/>
  <c r="AM184"/>
  <c r="AN184"/>
  <c r="AM168"/>
  <c r="AN168"/>
  <c r="AM152"/>
  <c r="AN152"/>
  <c r="AM136"/>
  <c r="AN136"/>
  <c r="AM120"/>
  <c r="AN120"/>
  <c r="AM104"/>
  <c r="AN104"/>
  <c r="AM88"/>
  <c r="AN88"/>
  <c r="AM74"/>
  <c r="AN74"/>
  <c r="AM58"/>
  <c r="AN58"/>
  <c r="AM25"/>
  <c r="AM44"/>
  <c r="AM33"/>
  <c r="AM31"/>
  <c r="AM46"/>
  <c r="AL2169"/>
  <c r="AM19"/>
  <c r="AN45"/>
  <c r="AO45" s="1"/>
  <c r="AN43"/>
  <c r="AO44" s="1"/>
  <c r="AN42"/>
  <c r="AO42" s="1"/>
  <c r="AN38"/>
  <c r="AM38"/>
  <c r="AM20"/>
  <c r="AM34"/>
  <c r="AM28"/>
  <c r="AN37"/>
  <c r="AO37" s="1"/>
  <c r="AN39"/>
  <c r="AO40" s="1"/>
  <c r="AN35"/>
  <c r="AO35" s="1"/>
  <c r="AO33"/>
  <c r="AO41"/>
  <c r="AO25"/>
  <c r="AO24"/>
  <c r="AO21"/>
  <c r="AO19"/>
  <c r="AO20"/>
  <c r="AO23"/>
  <c r="AO34"/>
  <c r="AO28"/>
  <c r="AO31"/>
  <c r="AO72" l="1"/>
  <c r="AO326"/>
  <c r="AO1800"/>
  <c r="AO1862"/>
  <c r="AO482"/>
  <c r="AO594"/>
  <c r="AO849"/>
  <c r="AO976"/>
  <c r="AO1359"/>
  <c r="AO542"/>
  <c r="AO797"/>
  <c r="AO1052"/>
  <c r="AO1435"/>
  <c r="AO1690"/>
  <c r="AO226"/>
  <c r="AO722"/>
  <c r="AO1104"/>
  <c r="AO1232"/>
  <c r="AO1487"/>
  <c r="AO1615"/>
  <c r="AO1741"/>
  <c r="AO670"/>
  <c r="AO925"/>
  <c r="AO1180"/>
  <c r="AO1307"/>
  <c r="AO1563"/>
  <c r="AO1817"/>
  <c r="AO158"/>
  <c r="AO414"/>
  <c r="AO789"/>
  <c r="AO917"/>
  <c r="AO1044"/>
  <c r="AO1172"/>
  <c r="AO1299"/>
  <c r="AO1427"/>
  <c r="AO1555"/>
  <c r="AO1682"/>
  <c r="AO1809"/>
  <c r="AO294"/>
  <c r="AO1612"/>
  <c r="AO1998"/>
  <c r="AO1580"/>
  <c r="AO1982"/>
  <c r="AO1348"/>
  <c r="AO1857"/>
  <c r="AO1444"/>
  <c r="AO1916"/>
  <c r="AO1460"/>
  <c r="AO1924"/>
  <c r="AO556"/>
  <c r="AO684"/>
  <c r="AO811"/>
  <c r="AO939"/>
  <c r="AO1066"/>
  <c r="AO1194"/>
  <c r="AO1321"/>
  <c r="AO1150"/>
  <c r="AO523"/>
  <c r="AO651"/>
  <c r="AO778"/>
  <c r="AO906"/>
  <c r="AO1033"/>
  <c r="AO1161"/>
  <c r="AO1288"/>
  <c r="AO1416"/>
  <c r="AO1544"/>
  <c r="AO1671"/>
  <c r="AO1798"/>
  <c r="AO1902"/>
  <c r="AO1889"/>
  <c r="AO515"/>
  <c r="AO643"/>
  <c r="AO770"/>
  <c r="AO898"/>
  <c r="AO1025"/>
  <c r="AO1153"/>
  <c r="AO1280"/>
  <c r="AO1408"/>
  <c r="AO1536"/>
  <c r="AO1663"/>
  <c r="AO1790"/>
  <c r="AO1898"/>
  <c r="AO1960"/>
  <c r="AO2024"/>
  <c r="AO2087"/>
  <c r="AO2151"/>
  <c r="AO2011"/>
  <c r="AO2138"/>
  <c r="AO507"/>
  <c r="AO635"/>
  <c r="AO762"/>
  <c r="AO890"/>
  <c r="AO1017"/>
  <c r="AO1145"/>
  <c r="AO1400"/>
  <c r="AO1528"/>
  <c r="AO1655"/>
  <c r="AO1782"/>
  <c r="AO1894"/>
  <c r="AO1956"/>
  <c r="AO2020"/>
  <c r="AO2084"/>
  <c r="AO2147"/>
  <c r="AO237"/>
  <c r="AO451"/>
  <c r="AO764"/>
  <c r="AO445"/>
  <c r="AO573"/>
  <c r="AO1259"/>
  <c r="AO210"/>
  <c r="AO466"/>
  <c r="AO1899"/>
  <c r="AO1961"/>
  <c r="AO2025"/>
  <c r="AO2088"/>
  <c r="AO2152"/>
  <c r="AO518"/>
  <c r="AO646"/>
  <c r="AO90"/>
  <c r="AO346"/>
  <c r="AO1449"/>
  <c r="AO2030"/>
  <c r="AO1913"/>
  <c r="AO2166"/>
  <c r="AO1903"/>
  <c r="AO1965"/>
  <c r="AO2029"/>
  <c r="AO2092"/>
  <c r="AO2156"/>
  <c r="AO1723"/>
  <c r="AO2054"/>
  <c r="AO1364"/>
  <c r="AO1872"/>
  <c r="AO621"/>
  <c r="AO557"/>
  <c r="AO892"/>
  <c r="AO27"/>
  <c r="AO564"/>
  <c r="AO692"/>
  <c r="AO819"/>
  <c r="AO947"/>
  <c r="AO1074"/>
  <c r="AO1202"/>
  <c r="AO104"/>
  <c r="AO168"/>
  <c r="AO232"/>
  <c r="AO296"/>
  <c r="AO424"/>
  <c r="AO488"/>
  <c r="AO100"/>
  <c r="AO164"/>
  <c r="AO228"/>
  <c r="AO292"/>
  <c r="AO356"/>
  <c r="AO420"/>
  <c r="AO484"/>
  <c r="AO96"/>
  <c r="AO160"/>
  <c r="AO224"/>
  <c r="AO288"/>
  <c r="AO352"/>
  <c r="AO416"/>
  <c r="AO480"/>
  <c r="AO608"/>
  <c r="AO735"/>
  <c r="AO863"/>
  <c r="AO990"/>
  <c r="AO1118"/>
  <c r="AO239"/>
  <c r="AO495"/>
  <c r="AO108"/>
  <c r="AO172"/>
  <c r="AO236"/>
  <c r="AO300"/>
  <c r="AO364"/>
  <c r="AO428"/>
  <c r="AO492"/>
  <c r="AO1577"/>
  <c r="AO1704"/>
  <c r="AO1831"/>
  <c r="AO187"/>
  <c r="AO443"/>
  <c r="AO162"/>
  <c r="AO418"/>
  <c r="AO262"/>
  <c r="AO1895"/>
  <c r="AO1957"/>
  <c r="AO2021"/>
  <c r="AO2085"/>
  <c r="AO2148"/>
  <c r="AO1829"/>
  <c r="AO1484"/>
  <c r="AO1935"/>
  <c r="AO1221"/>
  <c r="AO1731"/>
  <c r="AO360"/>
  <c r="AO173"/>
  <c r="AO1627"/>
  <c r="AO1999"/>
  <c r="AO58"/>
  <c r="AO120"/>
  <c r="AO184"/>
  <c r="AO248"/>
  <c r="AO312"/>
  <c r="AO376"/>
  <c r="AO440"/>
  <c r="AO263"/>
  <c r="AO54"/>
  <c r="AO116"/>
  <c r="AO180"/>
  <c r="AO244"/>
  <c r="AO308"/>
  <c r="AO372"/>
  <c r="AO436"/>
  <c r="AO500"/>
  <c r="AO1329"/>
  <c r="AO1457"/>
  <c r="AO1585"/>
  <c r="AO1712"/>
  <c r="AO1839"/>
  <c r="AO131"/>
  <c r="AO387"/>
  <c r="AO50"/>
  <c r="AO112"/>
  <c r="AO176"/>
  <c r="AO240"/>
  <c r="AO304"/>
  <c r="AO368"/>
  <c r="AO432"/>
  <c r="AO496"/>
  <c r="AO1453"/>
  <c r="AO1517"/>
  <c r="AO65"/>
  <c r="AO319"/>
  <c r="AO62"/>
  <c r="AO124"/>
  <c r="AO188"/>
  <c r="AO252"/>
  <c r="AO316"/>
  <c r="AO380"/>
  <c r="AO444"/>
  <c r="AO572"/>
  <c r="AO700"/>
  <c r="AO827"/>
  <c r="AO955"/>
  <c r="AO1082"/>
  <c r="AO1210"/>
  <c r="AO1337"/>
  <c r="AO1465"/>
  <c r="AO1593"/>
  <c r="AO1720"/>
  <c r="AO1846"/>
  <c r="AO331"/>
  <c r="AO174"/>
  <c r="AO430"/>
  <c r="AO1936"/>
  <c r="AO1732"/>
  <c r="AO534"/>
  <c r="AO662"/>
  <c r="AO1643"/>
  <c r="AO2014"/>
  <c r="AO1991"/>
  <c r="AO106"/>
  <c r="AO362"/>
  <c r="AO1380"/>
  <c r="AO1884"/>
  <c r="AO178"/>
  <c r="AO434"/>
  <c r="AO1718"/>
  <c r="AO1844"/>
  <c r="AO278"/>
  <c r="AO1896"/>
  <c r="AO1651"/>
  <c r="AO1621"/>
  <c r="AO429"/>
  <c r="AO951"/>
  <c r="AO493"/>
  <c r="AO1881"/>
  <c r="AO2003"/>
  <c r="AO807"/>
  <c r="AO1062"/>
  <c r="AO1565"/>
  <c r="AO74"/>
  <c r="AO200"/>
  <c r="AO328"/>
  <c r="AO392"/>
  <c r="AO520"/>
  <c r="AO648"/>
  <c r="AO775"/>
  <c r="AO1222"/>
  <c r="AO1349"/>
  <c r="AO1668"/>
  <c r="AO1858"/>
  <c r="AO279"/>
  <c r="AO471"/>
  <c r="AO70"/>
  <c r="AO132"/>
  <c r="AO196"/>
  <c r="AO260"/>
  <c r="AO388"/>
  <c r="AO452"/>
  <c r="AO580"/>
  <c r="AO708"/>
  <c r="AO55"/>
  <c r="AO117"/>
  <c r="AO181"/>
  <c r="AO245"/>
  <c r="AO309"/>
  <c r="AO373"/>
  <c r="AO437"/>
  <c r="AO501"/>
  <c r="AO565"/>
  <c r="AO629"/>
  <c r="AO693"/>
  <c r="AO935"/>
  <c r="AO1190"/>
  <c r="AO1445"/>
  <c r="AO1238"/>
  <c r="AO1684"/>
  <c r="AO1811"/>
  <c r="AO231"/>
  <c r="AO487"/>
  <c r="AO528"/>
  <c r="AO656"/>
  <c r="AO783"/>
  <c r="AO911"/>
  <c r="AO1038"/>
  <c r="AO1166"/>
  <c r="AO1485"/>
  <c r="AO1549"/>
  <c r="AO95"/>
  <c r="AO351"/>
  <c r="AO299"/>
  <c r="AO198"/>
  <c r="AO454"/>
  <c r="AO1568"/>
  <c r="AO1695"/>
  <c r="AO1822"/>
  <c r="AO1914"/>
  <c r="AO539"/>
  <c r="AO667"/>
  <c r="AO794"/>
  <c r="AO922"/>
  <c r="AO1049"/>
  <c r="AO1177"/>
  <c r="AO1304"/>
  <c r="AO1432"/>
  <c r="AO1560"/>
  <c r="AO1687"/>
  <c r="AO1814"/>
  <c r="AO1910"/>
  <c r="AO1635"/>
  <c r="AO680"/>
  <c r="AO536"/>
  <c r="AO664"/>
  <c r="AO791"/>
  <c r="AO919"/>
  <c r="AO1046"/>
  <c r="AO1174"/>
  <c r="AO1301"/>
  <c r="AO1747"/>
  <c r="AO552"/>
  <c r="AO1381"/>
  <c r="AO179"/>
  <c r="AO435"/>
  <c r="AO1501"/>
  <c r="AO136"/>
  <c r="AO264"/>
  <c r="AO456"/>
  <c r="AO903"/>
  <c r="AO1030"/>
  <c r="AO1158"/>
  <c r="AO1285"/>
  <c r="AO1795"/>
  <c r="AO215"/>
  <c r="AO324"/>
  <c r="AO835"/>
  <c r="AO963"/>
  <c r="AO1090"/>
  <c r="AO1218"/>
  <c r="AO1345"/>
  <c r="AO1473"/>
  <c r="AO1601"/>
  <c r="AO1728"/>
  <c r="AO1854"/>
  <c r="AO147"/>
  <c r="AO211"/>
  <c r="AO403"/>
  <c r="AO467"/>
  <c r="AO66"/>
  <c r="AO128"/>
  <c r="AO192"/>
  <c r="AO256"/>
  <c r="AO320"/>
  <c r="AO384"/>
  <c r="AO448"/>
  <c r="AO576"/>
  <c r="AO704"/>
  <c r="AO831"/>
  <c r="AO959"/>
  <c r="AO1086"/>
  <c r="AO1214"/>
  <c r="AO1277"/>
  <c r="AO1405"/>
  <c r="AO1597"/>
  <c r="AO1724"/>
  <c r="AO1787"/>
  <c r="AO80"/>
  <c r="AO143"/>
  <c r="AO335"/>
  <c r="AO399"/>
  <c r="AO77"/>
  <c r="AO588"/>
  <c r="AO716"/>
  <c r="AO843"/>
  <c r="AO971"/>
  <c r="AO1098"/>
  <c r="AO1226"/>
  <c r="AO1353"/>
  <c r="AO1481"/>
  <c r="AO1609"/>
  <c r="AO1735"/>
  <c r="AO1861"/>
  <c r="AO91"/>
  <c r="AO283"/>
  <c r="AO347"/>
  <c r="AO145"/>
  <c r="AO209"/>
  <c r="AO273"/>
  <c r="AO337"/>
  <c r="AO401"/>
  <c r="AO465"/>
  <c r="AO529"/>
  <c r="AO593"/>
  <c r="AO657"/>
  <c r="AO721"/>
  <c r="AO784"/>
  <c r="AO848"/>
  <c r="AO912"/>
  <c r="AO975"/>
  <c r="AO1039"/>
  <c r="AO1103"/>
  <c r="AO1167"/>
  <c r="AO1231"/>
  <c r="AO1294"/>
  <c r="AO1358"/>
  <c r="AO1422"/>
  <c r="AO1486"/>
  <c r="AO1550"/>
  <c r="AO1614"/>
  <c r="AO1677"/>
  <c r="AO1740"/>
  <c r="AO1804"/>
  <c r="AO1816"/>
  <c r="AO1878"/>
  <c r="AO290"/>
  <c r="AO626"/>
  <c r="AO753"/>
  <c r="AO881"/>
  <c r="AO1008"/>
  <c r="AO1136"/>
  <c r="AO1264"/>
  <c r="AO1391"/>
  <c r="AO1519"/>
  <c r="AO1646"/>
  <c r="AO1773"/>
  <c r="AO607"/>
  <c r="AO734"/>
  <c r="AO862"/>
  <c r="AO989"/>
  <c r="AO1117"/>
  <c r="AO134"/>
  <c r="AO390"/>
  <c r="AO1927"/>
  <c r="AO1765"/>
  <c r="AO599"/>
  <c r="AO854"/>
  <c r="AO981"/>
  <c r="AO1109"/>
  <c r="AO1841"/>
  <c r="AO1923"/>
  <c r="AO1261"/>
  <c r="AO1770"/>
  <c r="AO591"/>
  <c r="AO719"/>
  <c r="AO846"/>
  <c r="AO1101"/>
  <c r="AO1229"/>
  <c r="AO1738"/>
  <c r="AO1508"/>
  <c r="AO583"/>
  <c r="AO711"/>
  <c r="AO838"/>
  <c r="AO966"/>
  <c r="AO1093"/>
  <c r="AO1476"/>
  <c r="AO1931"/>
  <c r="AO441"/>
  <c r="AO760"/>
  <c r="AO1207"/>
  <c r="AO1590"/>
  <c r="AO756"/>
  <c r="AO1075"/>
  <c r="AO1394"/>
  <c r="AO1776"/>
  <c r="AO321"/>
  <c r="AO641"/>
  <c r="AO1087"/>
  <c r="AO1406"/>
  <c r="AO138"/>
  <c r="AO969"/>
  <c r="AO1859"/>
  <c r="AO142"/>
  <c r="AO398"/>
  <c r="AO578"/>
  <c r="AO706"/>
  <c r="AO833"/>
  <c r="AO961"/>
  <c r="AO1088"/>
  <c r="AO1216"/>
  <c r="AO1343"/>
  <c r="AO1471"/>
  <c r="AO1599"/>
  <c r="AO1726"/>
  <c r="AO526"/>
  <c r="AO654"/>
  <c r="AO781"/>
  <c r="AO909"/>
  <c r="AO1036"/>
  <c r="AO1164"/>
  <c r="AO1291"/>
  <c r="AO1419"/>
  <c r="AO1547"/>
  <c r="AO1674"/>
  <c r="AO1801"/>
  <c r="AO1851"/>
  <c r="AO595"/>
  <c r="AO723"/>
  <c r="AO850"/>
  <c r="AO977"/>
  <c r="AO1105"/>
  <c r="AO1233"/>
  <c r="AO1360"/>
  <c r="AO1488"/>
  <c r="AO1616"/>
  <c r="AO1742"/>
  <c r="AO1868"/>
  <c r="AO1937"/>
  <c r="AO126"/>
  <c r="AO382"/>
  <c r="AO570"/>
  <c r="AO698"/>
  <c r="AO825"/>
  <c r="AO953"/>
  <c r="AO1080"/>
  <c r="AO1208"/>
  <c r="AO1335"/>
  <c r="AO1463"/>
  <c r="AO1591"/>
  <c r="AO773"/>
  <c r="AO901"/>
  <c r="AO1028"/>
  <c r="AO1156"/>
  <c r="AO1283"/>
  <c r="AO1411"/>
  <c r="AO1539"/>
  <c r="AO1666"/>
  <c r="AO1793"/>
  <c r="AO1213"/>
  <c r="AO1284"/>
  <c r="AO1794"/>
  <c r="AO1564"/>
  <c r="AO1300"/>
  <c r="AO1810"/>
  <c r="AO1404"/>
  <c r="AO30"/>
  <c r="AO101"/>
  <c r="AO165"/>
  <c r="AO229"/>
  <c r="AO293"/>
  <c r="AO357"/>
  <c r="AO421"/>
  <c r="AO485"/>
  <c r="AO549"/>
  <c r="AO613"/>
  <c r="AO677"/>
  <c r="AO740"/>
  <c r="AO1500"/>
  <c r="AO1237"/>
  <c r="AO1746"/>
  <c r="AO18"/>
  <c r="AO185"/>
  <c r="AO505"/>
  <c r="AO952"/>
  <c r="AO1398"/>
  <c r="AO884"/>
  <c r="AO1267"/>
  <c r="AO1713"/>
  <c r="AO67"/>
  <c r="AO449"/>
  <c r="AO896"/>
  <c r="AO1215"/>
  <c r="AO1661"/>
  <c r="AO394"/>
  <c r="AO841"/>
  <c r="AO1733"/>
  <c r="AO378"/>
  <c r="AO310"/>
  <c r="AO1855"/>
  <c r="AO450"/>
  <c r="AO612"/>
  <c r="AO994"/>
  <c r="AO1377"/>
  <c r="AO1759"/>
  <c r="AO169"/>
  <c r="AO617"/>
  <c r="AO1063"/>
  <c r="AO1446"/>
  <c r="AO431"/>
  <c r="AO1187"/>
  <c r="AO1570"/>
  <c r="AO620"/>
  <c r="AO747"/>
  <c r="AO875"/>
  <c r="AO1002"/>
  <c r="AO1130"/>
  <c r="AO1258"/>
  <c r="AO123"/>
  <c r="AO113"/>
  <c r="AO241"/>
  <c r="AO369"/>
  <c r="AO497"/>
  <c r="AO561"/>
  <c r="AO689"/>
  <c r="AO816"/>
  <c r="AO944"/>
  <c r="AO1071"/>
  <c r="AO1199"/>
  <c r="AO1326"/>
  <c r="AO1518"/>
  <c r="AO1645"/>
  <c r="AO1772"/>
  <c r="AO1847"/>
  <c r="AO715"/>
  <c r="AO970"/>
  <c r="AO1225"/>
  <c r="AO1608"/>
  <c r="AO1860"/>
  <c r="AO110"/>
  <c r="AO562"/>
  <c r="AO817"/>
  <c r="AO1072"/>
  <c r="AO1327"/>
  <c r="AO1583"/>
  <c r="AO76"/>
  <c r="AO543"/>
  <c r="AO671"/>
  <c r="AO926"/>
  <c r="AO1181"/>
  <c r="AO510"/>
  <c r="AO765"/>
  <c r="AO1020"/>
  <c r="AO1275"/>
  <c r="AO1531"/>
  <c r="AO1785"/>
  <c r="AO1717"/>
  <c r="AO1843"/>
  <c r="AO402"/>
  <c r="AO707"/>
  <c r="AO962"/>
  <c r="AO1217"/>
  <c r="AO1472"/>
  <c r="AO1727"/>
  <c r="AO94"/>
  <c r="AO350"/>
  <c r="AO554"/>
  <c r="AO682"/>
  <c r="AO809"/>
  <c r="AO937"/>
  <c r="AO1064"/>
  <c r="AO1192"/>
  <c r="AO1319"/>
  <c r="AO1447"/>
  <c r="AO1575"/>
  <c r="AO1702"/>
  <c r="AO1917"/>
  <c r="AO60"/>
  <c r="AO314"/>
  <c r="AO535"/>
  <c r="AO663"/>
  <c r="AO790"/>
  <c r="AO1045"/>
  <c r="AO1173"/>
  <c r="AO246"/>
  <c r="AO502"/>
  <c r="AO630"/>
  <c r="AO757"/>
  <c r="AO885"/>
  <c r="AO1012"/>
  <c r="AO1140"/>
  <c r="AO1268"/>
  <c r="AO1395"/>
  <c r="AO1523"/>
  <c r="AO1650"/>
  <c r="AO1777"/>
  <c r="AO1840"/>
  <c r="AO130"/>
  <c r="AO386"/>
  <c r="AO571"/>
  <c r="AO699"/>
  <c r="AO826"/>
  <c r="AO954"/>
  <c r="AO1081"/>
  <c r="AO1209"/>
  <c r="AO1336"/>
  <c r="AO1464"/>
  <c r="AO1592"/>
  <c r="AO1719"/>
  <c r="AO1845"/>
  <c r="AO1926"/>
  <c r="AO79"/>
  <c r="AO334"/>
  <c r="AO546"/>
  <c r="AO674"/>
  <c r="AO801"/>
  <c r="AO929"/>
  <c r="AO1056"/>
  <c r="AO1184"/>
  <c r="AO1311"/>
  <c r="AO1439"/>
  <c r="AO1567"/>
  <c r="AO1694"/>
  <c r="AO1821"/>
  <c r="AO298"/>
  <c r="AO527"/>
  <c r="AO655"/>
  <c r="AO782"/>
  <c r="AO910"/>
  <c r="AO1037"/>
  <c r="AO1165"/>
  <c r="AO230"/>
  <c r="AO486"/>
  <c r="AO622"/>
  <c r="AO749"/>
  <c r="AO877"/>
  <c r="AO1004"/>
  <c r="AO1132"/>
  <c r="AO1260"/>
  <c r="AO1387"/>
  <c r="AO1515"/>
  <c r="AO1642"/>
  <c r="AO1769"/>
  <c r="AO1887"/>
  <c r="AO1836"/>
  <c r="AO114"/>
  <c r="AO370"/>
  <c r="AO563"/>
  <c r="AO691"/>
  <c r="AO818"/>
  <c r="AO946"/>
  <c r="AO1073"/>
  <c r="AO1201"/>
  <c r="AO1328"/>
  <c r="AO1456"/>
  <c r="AO1584"/>
  <c r="AO1711"/>
  <c r="AO1838"/>
  <c r="AO1922"/>
  <c r="AO64"/>
  <c r="AO318"/>
  <c r="AO538"/>
  <c r="AO666"/>
  <c r="AO793"/>
  <c r="AO921"/>
  <c r="AO1048"/>
  <c r="AO1176"/>
  <c r="AO1303"/>
  <c r="AO1431"/>
  <c r="AO1559"/>
  <c r="AO1686"/>
  <c r="AO1813"/>
  <c r="AO282"/>
  <c r="AO519"/>
  <c r="AO647"/>
  <c r="AO774"/>
  <c r="AO902"/>
  <c r="AO1029"/>
  <c r="AO1157"/>
  <c r="AO214"/>
  <c r="AO470"/>
  <c r="AO614"/>
  <c r="AO741"/>
  <c r="AO869"/>
  <c r="AO996"/>
  <c r="AO1124"/>
  <c r="AO1252"/>
  <c r="AO1379"/>
  <c r="AO1507"/>
  <c r="AO1634"/>
  <c r="AO1761"/>
  <c r="AO1883"/>
  <c r="AO1452"/>
  <c r="AO1920"/>
  <c r="AO1316"/>
  <c r="AO1826"/>
  <c r="AO1596"/>
  <c r="AO1332"/>
  <c r="AO1667"/>
  <c r="AO1436"/>
  <c r="AO1912"/>
  <c r="AO1683"/>
  <c r="AO1276"/>
  <c r="AO1786"/>
  <c r="AO1524"/>
  <c r="AO377"/>
  <c r="AO697"/>
  <c r="AO1143"/>
  <c r="AO1653"/>
  <c r="AO1139"/>
  <c r="AO1458"/>
  <c r="AO385"/>
  <c r="AO832"/>
  <c r="AO1151"/>
  <c r="AO1598"/>
  <c r="AO1351"/>
  <c r="AO57"/>
  <c r="AO1505"/>
  <c r="AO233"/>
  <c r="AO553"/>
  <c r="AO936"/>
  <c r="AO1318"/>
  <c r="AO1701"/>
  <c r="AO1628"/>
  <c r="AO175"/>
  <c r="AO1059"/>
  <c r="AO1442"/>
  <c r="AO1760"/>
  <c r="AO1385"/>
  <c r="AO1640"/>
  <c r="AO1767"/>
  <c r="AO379"/>
  <c r="AO51"/>
  <c r="AO177"/>
  <c r="AO305"/>
  <c r="AO433"/>
  <c r="AO625"/>
  <c r="AO752"/>
  <c r="AO880"/>
  <c r="AO1007"/>
  <c r="AO1135"/>
  <c r="AO1263"/>
  <c r="AO1390"/>
  <c r="AO1454"/>
  <c r="AO1582"/>
  <c r="AO1709"/>
  <c r="AO1784"/>
  <c r="AO587"/>
  <c r="AO842"/>
  <c r="AO1097"/>
  <c r="AO1352"/>
  <c r="AO1480"/>
  <c r="AO1734"/>
  <c r="AO1933"/>
  <c r="AO366"/>
  <c r="AO690"/>
  <c r="AO945"/>
  <c r="AO1200"/>
  <c r="AO1455"/>
  <c r="AO1710"/>
  <c r="AO330"/>
  <c r="AO798"/>
  <c r="AO1053"/>
  <c r="AO638"/>
  <c r="AO893"/>
  <c r="AO1148"/>
  <c r="AO1403"/>
  <c r="AO1658"/>
  <c r="AO1548"/>
  <c r="AO1780"/>
  <c r="AO146"/>
  <c r="AO579"/>
  <c r="AO834"/>
  <c r="AO1089"/>
  <c r="AO1344"/>
  <c r="AO1600"/>
  <c r="AO1853"/>
  <c r="AO918"/>
  <c r="AO36"/>
  <c r="AO85"/>
  <c r="AO149"/>
  <c r="AO213"/>
  <c r="AO277"/>
  <c r="AO341"/>
  <c r="AO405"/>
  <c r="AO469"/>
  <c r="AO533"/>
  <c r="AO597"/>
  <c r="AO661"/>
  <c r="AO725"/>
  <c r="AO1372"/>
  <c r="AO1880"/>
  <c r="AO1620"/>
  <c r="AO121"/>
  <c r="AO313"/>
  <c r="AO633"/>
  <c r="AO888"/>
  <c r="AO1079"/>
  <c r="AO1334"/>
  <c r="AO1526"/>
  <c r="AO820"/>
  <c r="AO1011"/>
  <c r="AO1330"/>
  <c r="AO1522"/>
  <c r="AO1649"/>
  <c r="AO193"/>
  <c r="AO577"/>
  <c r="AO768"/>
  <c r="AO1023"/>
  <c r="AO1342"/>
  <c r="AO1534"/>
  <c r="AO1788"/>
  <c r="AO586"/>
  <c r="AO1096"/>
  <c r="AO1479"/>
  <c r="AO122"/>
  <c r="AO311"/>
  <c r="AO867"/>
  <c r="AO297"/>
  <c r="AO425"/>
  <c r="AO681"/>
  <c r="AO808"/>
  <c r="AO999"/>
  <c r="AO1191"/>
  <c r="AO1382"/>
  <c r="AO1574"/>
  <c r="AO804"/>
  <c r="AO932"/>
  <c r="AO1123"/>
  <c r="AO1314"/>
  <c r="AO1506"/>
  <c r="AO1824"/>
  <c r="AO88"/>
  <c r="AO216"/>
  <c r="AO344"/>
  <c r="AO472"/>
  <c r="AO1873"/>
  <c r="AO84"/>
  <c r="AO212"/>
  <c r="AO340"/>
  <c r="AO468"/>
  <c r="AO596"/>
  <c r="AO724"/>
  <c r="AO851"/>
  <c r="AO978"/>
  <c r="AO1106"/>
  <c r="AO1234"/>
  <c r="AO1361"/>
  <c r="AO1489"/>
  <c r="AO1617"/>
  <c r="AO1743"/>
  <c r="AO1869"/>
  <c r="AO163"/>
  <c r="AO291"/>
  <c r="AO419"/>
  <c r="AO89"/>
  <c r="AO217"/>
  <c r="AO345"/>
  <c r="AO473"/>
  <c r="AO601"/>
  <c r="AO728"/>
  <c r="AO920"/>
  <c r="AO1047"/>
  <c r="AO1175"/>
  <c r="AO1302"/>
  <c r="AO1494"/>
  <c r="AO81"/>
  <c r="AO208"/>
  <c r="AO336"/>
  <c r="AO464"/>
  <c r="AO1613"/>
  <c r="AO159"/>
  <c r="AO788"/>
  <c r="AO979"/>
  <c r="AO1107"/>
  <c r="AO1235"/>
  <c r="AO1362"/>
  <c r="AO1490"/>
  <c r="AO1618"/>
  <c r="AO1744"/>
  <c r="AO156"/>
  <c r="AO284"/>
  <c r="AO412"/>
  <c r="AO1369"/>
  <c r="AO1497"/>
  <c r="AO1624"/>
  <c r="AO1751"/>
  <c r="AO1877"/>
  <c r="AO363"/>
  <c r="AO97"/>
  <c r="AO161"/>
  <c r="AO225"/>
  <c r="AO289"/>
  <c r="AO353"/>
  <c r="AO417"/>
  <c r="AO481"/>
  <c r="AO545"/>
  <c r="AO609"/>
  <c r="AO673"/>
  <c r="AO736"/>
  <c r="AO800"/>
  <c r="AO864"/>
  <c r="AO928"/>
  <c r="AO991"/>
  <c r="AO1055"/>
  <c r="AO1119"/>
  <c r="AO1183"/>
  <c r="AO1247"/>
  <c r="AO1310"/>
  <c r="AO1374"/>
  <c r="AO1502"/>
  <c r="AO1566"/>
  <c r="AO1629"/>
  <c r="AO1693"/>
  <c r="AO1756"/>
  <c r="AO1820"/>
  <c r="AO1832"/>
  <c r="AO98"/>
  <c r="AO354"/>
  <c r="AO555"/>
  <c r="AO683"/>
  <c r="AO810"/>
  <c r="AO938"/>
  <c r="AO1065"/>
  <c r="AO1193"/>
  <c r="AO1320"/>
  <c r="AO1448"/>
  <c r="AO1576"/>
  <c r="AO1703"/>
  <c r="AO1830"/>
  <c r="AO1918"/>
  <c r="AO48"/>
  <c r="AO302"/>
  <c r="AO530"/>
  <c r="AO658"/>
  <c r="AO785"/>
  <c r="AO913"/>
  <c r="AO1040"/>
  <c r="AO1168"/>
  <c r="AO1295"/>
  <c r="AO1423"/>
  <c r="AO1551"/>
  <c r="AO1678"/>
  <c r="AO1805"/>
  <c r="AO266"/>
  <c r="AO511"/>
  <c r="AO639"/>
  <c r="AO766"/>
  <c r="AO894"/>
  <c r="AO1021"/>
  <c r="AO1149"/>
  <c r="AO606"/>
  <c r="AO733"/>
  <c r="AO861"/>
  <c r="AO988"/>
  <c r="AO1116"/>
  <c r="AO1244"/>
  <c r="AO1371"/>
  <c r="AO1499"/>
  <c r="AO1626"/>
  <c r="AO1753"/>
  <c r="AO1879"/>
  <c r="AO1420"/>
  <c r="AO1904"/>
  <c r="AO1764"/>
  <c r="AO1828"/>
  <c r="AO82"/>
  <c r="AO338"/>
  <c r="AO547"/>
  <c r="AO675"/>
  <c r="AO802"/>
  <c r="AO930"/>
  <c r="AO1057"/>
  <c r="AO1185"/>
  <c r="AO1312"/>
  <c r="AO1440"/>
  <c r="AO286"/>
  <c r="AO522"/>
  <c r="AO650"/>
  <c r="AO777"/>
  <c r="AO905"/>
  <c r="AO1032"/>
  <c r="AO1160"/>
  <c r="AO1287"/>
  <c r="AO1415"/>
  <c r="AO1543"/>
  <c r="AO1670"/>
  <c r="AO1797"/>
  <c r="AO250"/>
  <c r="AO503"/>
  <c r="AO631"/>
  <c r="AO758"/>
  <c r="AO886"/>
  <c r="AO1013"/>
  <c r="AO1141"/>
  <c r="AO182"/>
  <c r="AO438"/>
  <c r="AO598"/>
  <c r="AO726"/>
  <c r="AO853"/>
  <c r="AO980"/>
  <c r="AO1108"/>
  <c r="AO1236"/>
  <c r="AO1363"/>
  <c r="AO1491"/>
  <c r="AO1619"/>
  <c r="AO1745"/>
  <c r="AO1871"/>
  <c r="AO1938"/>
  <c r="AO1388"/>
  <c r="AO1888"/>
  <c r="AO68"/>
  <c r="AO322"/>
  <c r="AO270"/>
  <c r="AO514"/>
  <c r="AO642"/>
  <c r="AO769"/>
  <c r="AO897"/>
  <c r="AO1024"/>
  <c r="AO1152"/>
  <c r="AO1279"/>
  <c r="AO1407"/>
  <c r="AO1535"/>
  <c r="AO1662"/>
  <c r="AO1789"/>
  <c r="AO1897"/>
  <c r="AO234"/>
  <c r="AO490"/>
  <c r="AO623"/>
  <c r="AO750"/>
  <c r="AO878"/>
  <c r="AO1005"/>
  <c r="AO1133"/>
  <c r="AO166"/>
  <c r="AO422"/>
  <c r="AO590"/>
  <c r="AO718"/>
  <c r="AO845"/>
  <c r="AO973"/>
  <c r="AO1100"/>
  <c r="AO1228"/>
  <c r="AO1355"/>
  <c r="AO1483"/>
  <c r="AO1611"/>
  <c r="AO1737"/>
  <c r="AO1863"/>
  <c r="AO1934"/>
  <c r="AO1356"/>
  <c r="AO1864"/>
  <c r="AO52"/>
  <c r="AO306"/>
  <c r="AO531"/>
  <c r="AO659"/>
  <c r="AO786"/>
  <c r="AO914"/>
  <c r="AO1041"/>
  <c r="AO1169"/>
  <c r="AO1296"/>
  <c r="AO1424"/>
  <c r="AO1552"/>
  <c r="AO1679"/>
  <c r="AO1806"/>
  <c r="AO1906"/>
  <c r="AO254"/>
  <c r="AO506"/>
  <c r="AO634"/>
  <c r="AO761"/>
  <c r="AO889"/>
  <c r="AO1016"/>
  <c r="AO1144"/>
  <c r="AO1272"/>
  <c r="AO1399"/>
  <c r="AO1527"/>
  <c r="AO1654"/>
  <c r="AO1781"/>
  <c r="AO218"/>
  <c r="AO474"/>
  <c r="AO615"/>
  <c r="AO742"/>
  <c r="AO870"/>
  <c r="AO997"/>
  <c r="AO1125"/>
  <c r="AO150"/>
  <c r="AO406"/>
  <c r="AO582"/>
  <c r="AO710"/>
  <c r="AO837"/>
  <c r="AO965"/>
  <c r="AO1092"/>
  <c r="AO1220"/>
  <c r="AO1347"/>
  <c r="AO1475"/>
  <c r="AO1603"/>
  <c r="AO1730"/>
  <c r="AO1856"/>
  <c r="AO1930"/>
  <c r="AO1324"/>
  <c r="AO1834"/>
  <c r="AO1604"/>
  <c r="AO1699"/>
  <c r="AO1468"/>
  <c r="AO1928"/>
  <c r="AO1205"/>
  <c r="AO1715"/>
  <c r="AO1540"/>
  <c r="AO1308"/>
  <c r="AO1818"/>
  <c r="AO1556"/>
  <c r="AO1659"/>
  <c r="AO1396"/>
  <c r="AO1892"/>
  <c r="AO59"/>
  <c r="AO249"/>
  <c r="AO569"/>
  <c r="AO824"/>
  <c r="AO1015"/>
  <c r="AO1271"/>
  <c r="AO1462"/>
  <c r="AO948"/>
  <c r="AO1203"/>
  <c r="AO1586"/>
  <c r="AO129"/>
  <c r="AO257"/>
  <c r="AO513"/>
  <c r="AO705"/>
  <c r="AO960"/>
  <c r="AO1278"/>
  <c r="AO1470"/>
  <c r="AO1725"/>
  <c r="AO1796"/>
  <c r="AO714"/>
  <c r="AO1224"/>
  <c r="AO1607"/>
  <c r="AO56"/>
  <c r="AO194"/>
  <c r="AO739"/>
  <c r="AO1122"/>
  <c r="AO1250"/>
  <c r="AO1632"/>
  <c r="AO105"/>
  <c r="AO361"/>
  <c r="AO489"/>
  <c r="AO744"/>
  <c r="AO872"/>
  <c r="AO1127"/>
  <c r="AO1255"/>
  <c r="AO1510"/>
  <c r="AO1637"/>
  <c r="AO868"/>
  <c r="AO995"/>
  <c r="AO1251"/>
  <c r="AO1378"/>
  <c r="AO1633"/>
  <c r="AO1697"/>
  <c r="AO1513"/>
  <c r="AO152"/>
  <c r="AO280"/>
  <c r="AO408"/>
  <c r="AO1365"/>
  <c r="AO295"/>
  <c r="AO148"/>
  <c r="AO276"/>
  <c r="AO404"/>
  <c r="AO227"/>
  <c r="AO483"/>
  <c r="AO153"/>
  <c r="AO281"/>
  <c r="AO409"/>
  <c r="AO537"/>
  <c r="AO665"/>
  <c r="AO792"/>
  <c r="AO856"/>
  <c r="AO983"/>
  <c r="AO1111"/>
  <c r="AO1239"/>
  <c r="AO1366"/>
  <c r="AO1430"/>
  <c r="AO1558"/>
  <c r="AO1685"/>
  <c r="AO144"/>
  <c r="AO272"/>
  <c r="AO400"/>
  <c r="AO1293"/>
  <c r="AO1676"/>
  <c r="AO1803"/>
  <c r="AO415"/>
  <c r="AO852"/>
  <c r="AO916"/>
  <c r="AO1043"/>
  <c r="AO1171"/>
  <c r="AO1298"/>
  <c r="AO1426"/>
  <c r="AO1554"/>
  <c r="AO1681"/>
  <c r="AO1808"/>
  <c r="AO92"/>
  <c r="AO220"/>
  <c r="AO348"/>
  <c r="AO476"/>
  <c r="AO604"/>
  <c r="AO731"/>
  <c r="AO859"/>
  <c r="AO986"/>
  <c r="AO1114"/>
  <c r="AO1242"/>
  <c r="AO107"/>
  <c r="AO1438"/>
  <c r="AO46"/>
  <c r="AO71"/>
  <c r="AO133"/>
  <c r="AO197"/>
  <c r="AO261"/>
  <c r="AO325"/>
  <c r="AO389"/>
  <c r="AO453"/>
  <c r="AO517"/>
  <c r="AO581"/>
  <c r="AO645"/>
  <c r="AO709"/>
  <c r="AO1245"/>
  <c r="AO1754"/>
  <c r="AO1492"/>
  <c r="AO1939"/>
  <c r="AO75"/>
  <c r="AO137"/>
  <c r="AO201"/>
  <c r="AO265"/>
  <c r="AO329"/>
  <c r="AO393"/>
  <c r="AO457"/>
  <c r="AO521"/>
  <c r="AO585"/>
  <c r="AO649"/>
  <c r="AO713"/>
  <c r="AO776"/>
  <c r="AO840"/>
  <c r="AO904"/>
  <c r="AO968"/>
  <c r="AO1031"/>
  <c r="AO1095"/>
  <c r="AO1159"/>
  <c r="AO1223"/>
  <c r="AO1286"/>
  <c r="AO1350"/>
  <c r="AO1414"/>
  <c r="AO1478"/>
  <c r="AO1542"/>
  <c r="AO1606"/>
  <c r="AO1669"/>
  <c r="AO772"/>
  <c r="AO836"/>
  <c r="AO900"/>
  <c r="AO964"/>
  <c r="AO1027"/>
  <c r="AO1091"/>
  <c r="AO1155"/>
  <c r="AO1219"/>
  <c r="AO1282"/>
  <c r="AO1346"/>
  <c r="AO1410"/>
  <c r="AO1474"/>
  <c r="AO1538"/>
  <c r="AO1602"/>
  <c r="AO1665"/>
  <c r="AO1729"/>
  <c r="AO1792"/>
  <c r="AO140"/>
  <c r="AO204"/>
  <c r="AO268"/>
  <c r="AO332"/>
  <c r="AO396"/>
  <c r="AO460"/>
  <c r="AO238"/>
  <c r="AO494"/>
  <c r="AO202"/>
  <c r="AO458"/>
  <c r="AO574"/>
  <c r="AO702"/>
  <c r="AO829"/>
  <c r="AO957"/>
  <c r="AO1084"/>
  <c r="AO1212"/>
  <c r="AO1339"/>
  <c r="AO1467"/>
  <c r="AO1595"/>
  <c r="AO1722"/>
  <c r="AO1848"/>
  <c r="AO1292"/>
  <c r="AO1802"/>
  <c r="AO1748"/>
  <c r="AO1812"/>
  <c r="AO1874"/>
  <c r="AO274"/>
  <c r="AO222"/>
  <c r="AO478"/>
  <c r="AO618"/>
  <c r="AO745"/>
  <c r="AO873"/>
  <c r="AO1000"/>
  <c r="AO1128"/>
  <c r="AO1256"/>
  <c r="AO1383"/>
  <c r="AO1511"/>
  <c r="AO1638"/>
  <c r="AO1885"/>
  <c r="AO186"/>
  <c r="AO442"/>
  <c r="AO118"/>
  <c r="AO374"/>
  <c r="AO566"/>
  <c r="AO694"/>
  <c r="AO821"/>
  <c r="AO949"/>
  <c r="AO1076"/>
  <c r="AO1204"/>
  <c r="AO1331"/>
  <c r="AO1459"/>
  <c r="AO1587"/>
  <c r="AO1714"/>
  <c r="AO1870"/>
  <c r="AO258"/>
  <c r="AO206"/>
  <c r="AO462"/>
  <c r="AO610"/>
  <c r="AO737"/>
  <c r="AO865"/>
  <c r="AO992"/>
  <c r="AO1120"/>
  <c r="AO1248"/>
  <c r="AO1375"/>
  <c r="AO1503"/>
  <c r="AO1630"/>
  <c r="AO1757"/>
  <c r="AO170"/>
  <c r="AO426"/>
  <c r="AO102"/>
  <c r="AO358"/>
  <c r="AO558"/>
  <c r="AO686"/>
  <c r="AO813"/>
  <c r="AO941"/>
  <c r="AO1068"/>
  <c r="AO1196"/>
  <c r="AO1323"/>
  <c r="AO1451"/>
  <c r="AO1579"/>
  <c r="AO1706"/>
  <c r="AO1833"/>
  <c r="AO1919"/>
  <c r="AO1866"/>
  <c r="AO242"/>
  <c r="AO498"/>
  <c r="AO627"/>
  <c r="AO754"/>
  <c r="AO882"/>
  <c r="AO1009"/>
  <c r="AO1137"/>
  <c r="AO1265"/>
  <c r="AO1392"/>
  <c r="AO1520"/>
  <c r="AO1647"/>
  <c r="AO1774"/>
  <c r="AO1890"/>
  <c r="AO190"/>
  <c r="AO446"/>
  <c r="AO602"/>
  <c r="AO729"/>
  <c r="AO857"/>
  <c r="AO984"/>
  <c r="AO1112"/>
  <c r="AO1240"/>
  <c r="AO1367"/>
  <c r="AO1495"/>
  <c r="AO1622"/>
  <c r="AO1749"/>
  <c r="AO1875"/>
  <c r="AO154"/>
  <c r="AO410"/>
  <c r="AO86"/>
  <c r="AO342"/>
  <c r="AO550"/>
  <c r="AO678"/>
  <c r="AO805"/>
  <c r="AO933"/>
  <c r="AO1060"/>
  <c r="AO1188"/>
  <c r="AO1315"/>
  <c r="AO1443"/>
  <c r="AO1571"/>
  <c r="AO1698"/>
  <c r="AO1825"/>
  <c r="AO1915"/>
  <c r="AO1707"/>
  <c r="AO1572"/>
  <c r="AO1340"/>
  <c r="AO1849"/>
  <c r="AO1588"/>
  <c r="AO1412"/>
  <c r="AO1900"/>
  <c r="AO1691"/>
  <c r="AO1428"/>
  <c r="AO1908"/>
  <c r="AO1532"/>
  <c r="AO1269"/>
  <c r="AO1778"/>
  <c r="AO2114"/>
  <c r="AO2134"/>
  <c r="AO2006"/>
  <c r="AO2060"/>
  <c r="AO1966"/>
  <c r="AO1992"/>
  <c r="AO2056"/>
  <c r="AO1988"/>
  <c r="AO2052"/>
  <c r="AO1975"/>
  <c r="AO1990"/>
  <c r="AO1996"/>
  <c r="AO1983"/>
  <c r="AO1964"/>
  <c r="AO2028"/>
  <c r="AO2091"/>
  <c r="AO2155"/>
  <c r="AO2142"/>
  <c r="AO1943"/>
  <c r="AO2062"/>
  <c r="AO2067"/>
  <c r="AO2122"/>
  <c r="AO2000"/>
  <c r="AO2064"/>
  <c r="AO1974"/>
  <c r="AO2149"/>
  <c r="AO2018"/>
  <c r="AO2058"/>
  <c r="AO1942"/>
  <c r="AO2066"/>
  <c r="AO1949"/>
  <c r="AO2048"/>
  <c r="AO1945"/>
  <c r="AO2009"/>
  <c r="AO2073"/>
  <c r="AO2026"/>
  <c r="AO2034"/>
  <c r="AO1954"/>
  <c r="AO2002"/>
  <c r="AO2013"/>
  <c r="AO1984"/>
  <c r="AO1980"/>
  <c r="AO2044"/>
  <c r="AO1967"/>
  <c r="AO2031"/>
  <c r="AO2094"/>
  <c r="AO1941"/>
  <c r="AO2005"/>
  <c r="AO2069"/>
  <c r="AO1976"/>
  <c r="AO2040"/>
  <c r="AO2103"/>
  <c r="AO2167"/>
  <c r="AO2027"/>
  <c r="AO2001"/>
  <c r="AO2065"/>
  <c r="AO2141"/>
  <c r="AO1972"/>
  <c r="AO2036"/>
  <c r="AO2099"/>
  <c r="AO2163"/>
  <c r="AO2086"/>
  <c r="AO1997"/>
  <c r="AO2061"/>
  <c r="AO2010"/>
  <c r="AO1968"/>
  <c r="AO2032"/>
  <c r="AO1955"/>
  <c r="AO2019"/>
  <c r="AO1993"/>
  <c r="AO2057"/>
  <c r="AO1994"/>
  <c r="AO2042"/>
  <c r="AO2050"/>
  <c r="AO1962"/>
  <c r="AO1970"/>
  <c r="AO2022"/>
  <c r="AO2077"/>
  <c r="AO2070"/>
  <c r="AO1951"/>
  <c r="AO2015"/>
  <c r="AO1989"/>
  <c r="AO2053"/>
  <c r="AO2116"/>
  <c r="AO1985"/>
  <c r="AO2049"/>
  <c r="AO2112"/>
  <c r="AO2078"/>
  <c r="AO2007"/>
  <c r="AO1981"/>
  <c r="AO2045"/>
  <c r="AO1946"/>
  <c r="AO1952"/>
  <c r="AO2016"/>
  <c r="AO2080"/>
  <c r="AO2130"/>
  <c r="AO1977"/>
  <c r="AO2041"/>
  <c r="AO2046"/>
  <c r="AO1978"/>
  <c r="AO1986"/>
  <c r="AO2038"/>
  <c r="AO2074"/>
  <c r="AO1958"/>
  <c r="AO2082"/>
  <c r="AO2121"/>
  <c r="AO2129"/>
  <c r="AO2123"/>
  <c r="AO2119"/>
  <c r="AO2115"/>
  <c r="AO2140"/>
  <c r="AO2111"/>
  <c r="AO2098"/>
  <c r="AO2136"/>
  <c r="AO2105"/>
  <c r="AO2113"/>
  <c r="AO2165"/>
  <c r="AO10"/>
  <c r="AO2133"/>
  <c r="AO2127"/>
  <c r="AO2089"/>
  <c r="AO2107"/>
  <c r="AO2132"/>
  <c r="AO2157"/>
  <c r="AO2090"/>
  <c r="AO2128"/>
  <c r="AO2150"/>
  <c r="AO2124"/>
  <c r="AO2125"/>
  <c r="AO2095"/>
  <c r="AO2159"/>
  <c r="AO2120"/>
  <c r="AO2109"/>
  <c r="AO2101"/>
  <c r="AO2137"/>
  <c r="AO2145"/>
  <c r="AO2161"/>
  <c r="AO2097"/>
  <c r="AO2093"/>
  <c r="AO2108"/>
  <c r="AO2143"/>
  <c r="AO2104"/>
  <c r="AO2168"/>
  <c r="AO2117"/>
  <c r="AO2153"/>
  <c r="AM2169"/>
  <c r="AO43"/>
  <c r="AO39"/>
  <c r="AO38"/>
  <c r="B21" i="3" l="1"/>
  <c r="B23" s="1"/>
  <c r="B20"/>
  <c r="B19"/>
  <c r="AO2169" i="8"/>
</calcChain>
</file>

<file path=xl/sharedStrings.xml><?xml version="1.0" encoding="utf-8"?>
<sst xmlns="http://schemas.openxmlformats.org/spreadsheetml/2006/main" count="2424" uniqueCount="2347">
  <si>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</si>
  <si>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</si>
  <si>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</si>
  <si>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</si>
  <si>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</si>
  <si>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</si>
  <si>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</si>
  <si>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</si>
  <si>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</si>
  <si>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</si>
  <si>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</si>
  <si>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</si>
  <si>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</si>
  <si>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</si>
  <si>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</si>
  <si>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</si>
  <si>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</si>
  <si>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</si>
  <si>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</si>
  <si>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</si>
  <si>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</si>
  <si>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</si>
  <si>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</si>
  <si>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</si>
  <si>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</si>
  <si>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</si>
  <si>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</si>
  <si>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</si>
  <si>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</si>
  <si>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</si>
  <si>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</si>
  <si>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</si>
  <si>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</si>
  <si>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</si>
  <si>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</si>
  <si>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</si>
  <si>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</si>
  <si>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</si>
  <si>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</si>
  <si>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</si>
  <si>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</si>
  <si>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</si>
  <si>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</si>
  <si>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</si>
  <si>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</si>
  <si>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</si>
  <si>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</si>
  <si>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</si>
  <si>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</si>
  <si>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</si>
  <si>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</si>
  <si>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</si>
  <si>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</si>
  <si>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</si>
  <si>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</si>
  <si>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</si>
  <si>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</si>
  <si>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</si>
  <si>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</si>
  <si>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</si>
  <si>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</si>
  <si>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</si>
  <si>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</si>
  <si>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</si>
  <si>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</si>
  <si>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</si>
  <si>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</si>
  <si>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</si>
  <si>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</si>
  <si>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</si>
  <si>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</si>
  <si>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</si>
  <si>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</si>
  <si>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</si>
  <si>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</si>
  <si>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</si>
  <si>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</si>
  <si>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</si>
  <si>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</si>
  <si>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</si>
  <si>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</si>
  <si>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</si>
  <si>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</si>
  <si>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</si>
  <si>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6</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</si>
  <si>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</si>
  <si>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</si>
  <si>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</si>
  <si>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</si>
  <si>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</si>
  <si>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</si>
  <si>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</si>
  <si>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</si>
  <si>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</si>
  <si>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</si>
  <si>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</si>
  <si>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</si>
  <si>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</si>
  <si>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User Defined Fields</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</si>
  <si>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</si>
  <si>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</si>
  <si>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</si>
  <si>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</si>
  <si>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</si>
  <si>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</si>
  <si>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</si>
  <si>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</si>
  <si>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</si>
  <si>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</si>
  <si>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</si>
  <si>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</si>
  <si>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</si>
  <si>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</si>
  <si>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</si>
  <si>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</si>
  <si>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</si>
  <si>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</si>
  <si>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On the Office Ribbon click on the tab titled: 'Home'.</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</si>
  <si>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</si>
  <si>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</si>
  <si>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</si>
  <si>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</si>
  <si>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t>The calculated range for your minimum and maximum values is displayed in cell B38. If the 
value is in red, then your range is smaller than recommended. Adjust the highest value until 
it is higher than the recommended minimum.</t>
  </si>
  <si>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</si>
  <si>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</si>
  <si>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</si>
  <si>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</si>
  <si>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</si>
  <si>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</si>
  <si>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</si>
  <si>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</si>
  <si>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</si>
  <si>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</si>
  <si>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</si>
  <si>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</si>
  <si>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</si>
  <si>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Enter the number of precincts where the total number of ballots ordered equals the number of ballots voted, soiled and unused.</t>
  </si>
  <si>
    <t>Note: This spreadsheet is not configured to handle more than six (6) candidates or responses.</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</si>
  <si>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</si>
  <si>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</si>
  <si>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</si>
  <si>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</si>
  <si>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</si>
  <si>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The minimum selection range is calculated and displayed in cell B35.</t>
  </si>
  <si>
    <t>Enter the value generated in cell B35 into cell B36.</t>
  </si>
  <si>
    <t>Enter the value "0" in cell B37.</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</si>
  <si>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</si>
  <si>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</si>
  <si>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</si>
  <si>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</si>
  <si>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</si>
  <si>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</si>
  <si>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</si>
  <si>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</si>
  <si>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</si>
  <si>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</si>
  <si>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</si>
  <si>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</si>
  <si>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</si>
  <si>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</si>
  <si>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</si>
  <si>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</si>
  <si>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</si>
  <si>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</si>
  <si>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</si>
  <si>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</si>
  <si>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</si>
  <si>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</si>
  <si>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</si>
  <si>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</si>
  <si>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</si>
  <si>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</si>
  <si>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</si>
  <si>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</si>
  <si>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March 6, 2012 Presidential Primary</t>
  </si>
  <si>
    <t>Mitt Romney</t>
  </si>
  <si>
    <t>Rick Santorum</t>
  </si>
  <si>
    <t>Newt Gingrich</t>
  </si>
  <si>
    <t>Ron Paul</t>
  </si>
  <si>
    <t>Jon Huntsman</t>
  </si>
  <si>
    <t>Rick Perry</t>
  </si>
  <si>
    <t>BAY VILLAGE -01-A</t>
  </si>
  <si>
    <t>BAY VILLAGE -01-A - ABS</t>
  </si>
  <si>
    <t>BAY VILLAGE -01-B</t>
  </si>
  <si>
    <t>BAY VILLAGE -01-B - ABS</t>
  </si>
  <si>
    <t>BAY VILLAGE -01-C</t>
  </si>
  <si>
    <t>BAY VILLAGE -01-C - ABS</t>
  </si>
  <si>
    <t>BAY VILLAGE -02-A</t>
  </si>
  <si>
    <t>BAY VILLAGE -02-A - ABS</t>
  </si>
  <si>
    <t>BAY VILLAGE -02-B</t>
  </si>
  <si>
    <t>BAY VILLAGE -02-B - ABS</t>
  </si>
  <si>
    <t>BAY VILLAGE -02-C</t>
  </si>
  <si>
    <t>BAY VILLAGE -02-C - ABS</t>
  </si>
  <si>
    <t>BAY VILLAGE -03-A</t>
  </si>
  <si>
    <t>BAY VILLAGE -03-A - ABS</t>
  </si>
  <si>
    <t>BAY VILLAGE -03-B</t>
  </si>
  <si>
    <t>BAY VILLAGE -03-B - ABS</t>
  </si>
  <si>
    <t>BAY VILLAGE -03-C</t>
  </si>
  <si>
    <t>BAY VILLAGE -03-C - ABS</t>
  </si>
  <si>
    <t>BAY VILLAGE -04-A</t>
  </si>
  <si>
    <t>BAY VILLAGE -04-A - ABS</t>
  </si>
  <si>
    <t>BAY VILLAGE -04-B</t>
  </si>
  <si>
    <t>BAY VILLAGE -04-B - ABS</t>
  </si>
  <si>
    <t>BAY VILLAGE -04-C</t>
  </si>
  <si>
    <t>BAY VILLAGE -04-C - ABS</t>
  </si>
  <si>
    <t>BEACHWOOD -00-A</t>
  </si>
  <si>
    <t>BEACHWOOD -00-A - ABS</t>
  </si>
  <si>
    <t>BEACHWOOD -00-B</t>
  </si>
  <si>
    <t>BEACHWOOD -00-B - ABS</t>
  </si>
  <si>
    <t>BEACHWOOD -00-C</t>
  </si>
  <si>
    <t>BEACHWOOD -00-C - ABS</t>
  </si>
  <si>
    <t>BEACHWOOD -00-D</t>
  </si>
  <si>
    <t>BEACHWOOD -00-D - ABS</t>
  </si>
  <si>
    <t>BEACHWOOD -00-E</t>
  </si>
  <si>
    <t>BEACHWOOD -00-E - ABS</t>
  </si>
  <si>
    <t>BEACHWOOD -00-F</t>
  </si>
  <si>
    <t>BEACHWOOD -00-F - ABS</t>
  </si>
  <si>
    <t>BEACHWOOD -00-G</t>
  </si>
  <si>
    <t>BEACHWOOD -00-G - ABS</t>
  </si>
  <si>
    <t>BEACHWOOD -00-H</t>
  </si>
  <si>
    <t>BEACHWOOD -00-H - ABS</t>
  </si>
  <si>
    <t>BEACHWOOD -00-I</t>
  </si>
  <si>
    <t>BEACHWOOD -00-I - ABS</t>
  </si>
  <si>
    <t>BEACHWOOD -00-J</t>
  </si>
  <si>
    <t>BEACHWOOD -00-J - ABS</t>
  </si>
  <si>
    <t>BEDFORD -01-A</t>
  </si>
  <si>
    <t>BEDFORD -01-A - ABS</t>
  </si>
  <si>
    <t>BEDFORD -01-B</t>
  </si>
  <si>
    <t>BEDFORD -01-B - ABS</t>
  </si>
  <si>
    <t>BEDFORD -02-A</t>
  </si>
  <si>
    <t>BEDFORD -02-A - ABS</t>
  </si>
  <si>
    <t>BEDFORD -02-B</t>
  </si>
  <si>
    <t>BEDFORD -02-B - ABS</t>
  </si>
  <si>
    <t>BEDFORD -03-A</t>
  </si>
  <si>
    <t>BEDFORD -03-A - ABS</t>
  </si>
  <si>
    <t>BEDFORD -03-B</t>
  </si>
  <si>
    <t>BEDFORD -03-B - ABS</t>
  </si>
  <si>
    <t>BEDFORD -04-A</t>
  </si>
  <si>
    <t>BEDFORD -04-A - ABS</t>
  </si>
  <si>
    <t>BEDFORD -04-B</t>
  </si>
  <si>
    <t>BEDFORD -04-B - ABS</t>
  </si>
  <si>
    <t>BEDFORD -05-A</t>
  </si>
  <si>
    <t>BEDFORD -05-A - ABS</t>
  </si>
  <si>
    <t>BEDFORD -05-B</t>
  </si>
  <si>
    <t>BEDFORD -05-B - ABS</t>
  </si>
  <si>
    <t>BEDFORD -06-A</t>
  </si>
  <si>
    <t>BEDFORD -06-A - ABS</t>
  </si>
  <si>
    <t>BEDFORD -06-B</t>
  </si>
  <si>
    <t>BEDFORD -06-B - ABS</t>
  </si>
  <si>
    <t>BEDFORD HEIGHTS -01-A</t>
  </si>
  <si>
    <t>BEDFORD HEIGHTS -01-A - ABS</t>
  </si>
  <si>
    <t>BEDFORD HEIGHTS -01-B</t>
  </si>
  <si>
    <t>BEDFORD HEIGHTS -01-B - ABS</t>
  </si>
  <si>
    <t>BEDFORD HEIGHTS -01-C</t>
  </si>
  <si>
    <t>BEDFORD HEIGHTS -01-C - ABS</t>
  </si>
  <si>
    <t>BEDFORD HEIGHTS -01-D</t>
  </si>
  <si>
    <t>BEDFORD HEIGHTS -01-D - ABS</t>
  </si>
  <si>
    <t>BEDFORD HEIGHTS -02-A</t>
  </si>
  <si>
    <t>BEDFORD HEIGHTS -02-A - ABS</t>
  </si>
  <si>
    <t>BEDFORD HEIGHTS -02-B</t>
  </si>
  <si>
    <t>BEDFORD HEIGHTS -02-B - ABS</t>
  </si>
  <si>
    <t>BEDFORD HEIGHTS -03-A</t>
  </si>
  <si>
    <t>BEDFORD HEIGHTS -03-A - ABS</t>
  </si>
  <si>
    <t>BEDFORD HEIGHTS -03-B</t>
  </si>
  <si>
    <t>BEDFORD HEIGHTS -03-B - ABS</t>
  </si>
  <si>
    <t>BEDFORD HEIGHTS -04-A</t>
  </si>
  <si>
    <t>BEDFORD HEIGHTS -04-A - ABS</t>
  </si>
  <si>
    <t>BEDFORD HEIGHTS -04-B</t>
  </si>
  <si>
    <t>BEDFORD HEIGHTS -04-B - ABS</t>
  </si>
  <si>
    <t>BENTLEYVILLE -00-A</t>
  </si>
  <si>
    <t>BENTLEYVILLE -00-A - ABS</t>
  </si>
  <si>
    <t>BEREA -01-A</t>
  </si>
  <si>
    <t>BEREA -01-A - ABS</t>
  </si>
  <si>
    <t>BEREA -01-B</t>
  </si>
  <si>
    <t>BEREA -01-B - ABS</t>
  </si>
  <si>
    <t>BEREA -01-C</t>
  </si>
  <si>
    <t>BEREA -01-C - ABS</t>
  </si>
  <si>
    <t>BEREA -02-A</t>
  </si>
  <si>
    <t>BEREA -02-A - ABS</t>
  </si>
  <si>
    <t>BEREA -02-B</t>
  </si>
  <si>
    <t>BEREA -02-B - ABS</t>
  </si>
  <si>
    <t>BEREA -02-C</t>
  </si>
  <si>
    <t>BEREA -02-C - ABS</t>
  </si>
  <si>
    <t>BEREA -03-A</t>
  </si>
  <si>
    <t>BEREA -03-A - ABS</t>
  </si>
  <si>
    <t>BEREA -03-B</t>
  </si>
  <si>
    <t>BEREA -03-B - ABS</t>
  </si>
  <si>
    <t>BEREA -03-C</t>
  </si>
  <si>
    <t>BEREA -03-C - ABS</t>
  </si>
  <si>
    <t>BEREA -03-C.02</t>
  </si>
  <si>
    <t>BEREA -03-C.02 - ABS</t>
  </si>
  <si>
    <t>BEREA -04-A</t>
  </si>
  <si>
    <t>BEREA -04-A - ABS</t>
  </si>
  <si>
    <t>BEREA -04-B</t>
  </si>
  <si>
    <t>BEREA -04-B - ABS</t>
  </si>
  <si>
    <t>BEREA -04-C</t>
  </si>
  <si>
    <t>BEREA -04-C - ABS</t>
  </si>
  <si>
    <t>BEREA -05-A</t>
  </si>
  <si>
    <t>BEREA -05-A - ABS</t>
  </si>
  <si>
    <t>BEREA -05-B</t>
  </si>
  <si>
    <t>BEREA -05-B - ABS</t>
  </si>
  <si>
    <t>BEREA -05-B.02</t>
  </si>
  <si>
    <t>BEREA -05-B.02 - ABS</t>
  </si>
  <si>
    <t>BEREA -05-C</t>
  </si>
  <si>
    <t>BEREA -05-C - ABS</t>
  </si>
  <si>
    <t>BEREA -05-C.02</t>
  </si>
  <si>
    <t>BEREA -05-C.02 - ABS</t>
  </si>
  <si>
    <t>BRATENAHL -00-A</t>
  </si>
  <si>
    <t>BRATENAHL -00-A - ABS</t>
  </si>
  <si>
    <t>BRECKSVILLE -00-A</t>
  </si>
  <si>
    <t>BRECKSVILLE -00-A - ABS</t>
  </si>
  <si>
    <t>BRECKSVILLE -00-B</t>
  </si>
  <si>
    <t>BRECKSVILLE -00-B - ABS</t>
  </si>
  <si>
    <t>BRECKSVILLE -00-C</t>
  </si>
  <si>
    <t>BRECKSVILLE -00-C - ABS</t>
  </si>
  <si>
    <t>BRECKSVILLE -00-D</t>
  </si>
  <si>
    <t>BRECKSVILLE -00-D - ABS</t>
  </si>
  <si>
    <t>BRECKSVILLE -00-E</t>
  </si>
  <si>
    <t>BRECKSVILLE -00-E - ABS</t>
  </si>
  <si>
    <t>BRECKSVILLE -00-F</t>
  </si>
  <si>
    <t>BRECKSVILLE -00-F - ABS</t>
  </si>
  <si>
    <t>BRECKSVILLE -00-G</t>
  </si>
  <si>
    <t>BRECKSVILLE -00-G - ABS</t>
  </si>
  <si>
    <t>BRECKSVILLE -00-H</t>
  </si>
  <si>
    <t>BRECKSVILLE -00-H - ABS</t>
  </si>
  <si>
    <t>BRECKSVILLE -00-I</t>
  </si>
  <si>
    <t>BRECKSVILLE -00-I - ABS</t>
  </si>
  <si>
    <t>BRECKSVILLE -00-J</t>
  </si>
  <si>
    <t>BRECKSVILLE -00-J - ABS</t>
  </si>
  <si>
    <t>BRECKSVILLE -00-K</t>
  </si>
  <si>
    <t>BRECKSVILLE -00-K - ABS</t>
  </si>
  <si>
    <t>BROADVIEW HEIGHTS -01-A</t>
  </si>
  <si>
    <t>BROADVIEW HEIGHTS -01-A - ABS</t>
  </si>
  <si>
    <t>BROADVIEW HEIGHTS -01-B</t>
  </si>
  <si>
    <t>BROADVIEW HEIGHTS -01-B - ABS</t>
  </si>
  <si>
    <t>BROADVIEW HEIGHTS -01-C</t>
  </si>
  <si>
    <t>BROADVIEW HEIGHTS -01-C - ABS</t>
  </si>
  <si>
    <t>BROADVIEW HEIGHTS -02-A</t>
  </si>
  <si>
    <t>BROADVIEW HEIGHTS -02-A - ABS</t>
  </si>
  <si>
    <t>BROADVIEW HEIGHTS -02-B</t>
  </si>
  <si>
    <t>BROADVIEW HEIGHTS -02-B - ABS</t>
  </si>
  <si>
    <t>BROADVIEW HEIGHTS -02-C</t>
  </si>
  <si>
    <t>BROADVIEW HEIGHTS -02-C - ABS</t>
  </si>
  <si>
    <t>BROADVIEW HEIGHTS -02-D</t>
  </si>
  <si>
    <t>BROADVIEW HEIGHTS -02-D - ABS</t>
  </si>
  <si>
    <t>BROADVIEW HEIGHTS -03-A</t>
  </si>
  <si>
    <t>BROADVIEW HEIGHTS -03-A - ABS</t>
  </si>
  <si>
    <t>BROADVIEW HEIGHTS -03-B</t>
  </si>
  <si>
    <t>BROADVIEW HEIGHTS -03-B - ABS</t>
  </si>
  <si>
    <t>BROADVIEW HEIGHTS -03-C</t>
  </si>
  <si>
    <t>BROADVIEW HEIGHTS -03-C - ABS</t>
  </si>
  <si>
    <t>BROADVIEW HEIGHTS -03-D</t>
  </si>
  <si>
    <t>BROADVIEW HEIGHTS -03-D - ABS</t>
  </si>
  <si>
    <t>BROADVIEW HEIGHTS -04-A</t>
  </si>
  <si>
    <t>BROADVIEW HEIGHTS -04-A - ABS</t>
  </si>
  <si>
    <t>BROADVIEW HEIGHTS -04-B</t>
  </si>
  <si>
    <t>BROADVIEW HEIGHTS -04-B - ABS</t>
  </si>
  <si>
    <t>BROADVIEW HEIGHTS -04-C</t>
  </si>
  <si>
    <t>BROADVIEW HEIGHTS -04-C - ABS</t>
  </si>
  <si>
    <t>BROADVIEW HEIGHTS -04-D</t>
  </si>
  <si>
    <t>BROADVIEW HEIGHTS -04-D - ABS</t>
  </si>
  <si>
    <t>BROOK PARK -01-A</t>
  </si>
  <si>
    <t>BROOK PARK -01-A - ABS</t>
  </si>
  <si>
    <t>BROOK PARK -01-B</t>
  </si>
  <si>
    <t>BROOK PARK -01-B - ABS</t>
  </si>
  <si>
    <t>BROOK PARK -01-C</t>
  </si>
  <si>
    <t>BROOK PARK -01-C - ABS</t>
  </si>
  <si>
    <t>BROOK PARK -02-A</t>
  </si>
  <si>
    <t>BROOK PARK -02-A - ABS</t>
  </si>
  <si>
    <t>BROOK PARK -02-B</t>
  </si>
  <si>
    <t>BROOK PARK -02-B - ABS</t>
  </si>
  <si>
    <t>BROOK PARK -02-C</t>
  </si>
  <si>
    <t>BROOK PARK -02-C - ABS</t>
  </si>
  <si>
    <t>BROOK PARK -02-D</t>
  </si>
  <si>
    <t>BROOK PARK -02-D - ABS</t>
  </si>
  <si>
    <t>BROOK PARK -03-A</t>
  </si>
  <si>
    <t>BROOK PARK -03-A - ABS</t>
  </si>
  <si>
    <t>BROOK PARK -03-B</t>
  </si>
  <si>
    <t>BROOK PARK -03-B - ABS</t>
  </si>
  <si>
    <t>BROOK PARK -03-C</t>
  </si>
  <si>
    <t>BROOK PARK -03-C - ABS</t>
  </si>
  <si>
    <t>BROOK PARK -04-A</t>
  </si>
  <si>
    <t>BROOK PARK -04-A - ABS</t>
  </si>
  <si>
    <t>BROOK PARK -04-B</t>
  </si>
  <si>
    <t>BROOK PARK -04-B - ABS</t>
  </si>
  <si>
    <t>BROOK PARK -04-C</t>
  </si>
  <si>
    <t>BROOK PARK -04-C - ABS</t>
  </si>
  <si>
    <t>BROOKLYN -00-A</t>
  </si>
  <si>
    <t>BROOKLYN -00-A - ABS</t>
  </si>
  <si>
    <t>BROOKLYN -00-B</t>
  </si>
  <si>
    <t>BROOKLYN -00-B - ABS</t>
  </si>
  <si>
    <t>BROOKLYN -00-C</t>
  </si>
  <si>
    <t>BROOKLYN -00-C - ABS</t>
  </si>
  <si>
    <t>BROOKLYN -00-D</t>
  </si>
  <si>
    <t>BROOKLYN -00-D - ABS</t>
  </si>
  <si>
    <t>BROOKLYN -00-E</t>
  </si>
  <si>
    <t>BROOKLYN -00-E - ABS</t>
  </si>
  <si>
    <t>BROOKLYN -00-F</t>
  </si>
  <si>
    <t>BROOKLYN -00-F - ABS</t>
  </si>
  <si>
    <t>BROOKLYN -00-G</t>
  </si>
  <si>
    <t>BROOKLYN -00-G - ABS</t>
  </si>
  <si>
    <t>BROOKLYN -00-H</t>
  </si>
  <si>
    <t>BROOKLYN -00-H - ABS</t>
  </si>
  <si>
    <t>BROOKLYN HEIGHTS -00-A</t>
  </si>
  <si>
    <t>BROOKLYN HEIGHTS -00-A - ABS</t>
  </si>
  <si>
    <t>CHAGRIN FALLS -00-A</t>
  </si>
  <si>
    <t>CHAGRIN FALLS -00-A - ABS</t>
  </si>
  <si>
    <t>CHAGRIN FALLS -00-B</t>
  </si>
  <si>
    <t>CHAGRIN FALLS -00-B - ABS</t>
  </si>
  <si>
    <t>CHAGRIN FALLS -00-C</t>
  </si>
  <si>
    <t>CHAGRIN FALLS -00-C - ABS</t>
  </si>
  <si>
    <t>CHAGRIN FALLS -00-D</t>
  </si>
  <si>
    <t>CHAGRIN FALLS -00-D - ABS</t>
  </si>
  <si>
    <t>CHAGRIN FALLS TWP -00-A</t>
  </si>
  <si>
    <t>CHAGRIN FALLS TWP -00-A - ABS</t>
  </si>
  <si>
    <t>CLEVELAND -01-A</t>
  </si>
  <si>
    <t>CLEVELAND -01-A - ABS</t>
  </si>
  <si>
    <t>CLEVELAND -01-B</t>
  </si>
  <si>
    <t>CLEVELAND -01-B - ABS</t>
  </si>
  <si>
    <t>CLEVELAND -01-C</t>
  </si>
  <si>
    <t>CLEVELAND -01-C - ABS</t>
  </si>
  <si>
    <t>CLEVELAND -01-D</t>
  </si>
  <si>
    <t>CLEVELAND -01-D - ABS</t>
  </si>
  <si>
    <t>CLEVELAND -01-E</t>
  </si>
  <si>
    <t>CLEVELAND -01-E - ABS</t>
  </si>
  <si>
    <t>CLEVELAND -01-F</t>
  </si>
  <si>
    <t>CLEVELAND -01-F - ABS</t>
  </si>
  <si>
    <t>CLEVELAND -01-G</t>
  </si>
  <si>
    <t>CLEVELAND -01-G - ABS</t>
  </si>
  <si>
    <t>CLEVELAND -01-H</t>
  </si>
  <si>
    <t>CLEVELAND -01-H - ABS</t>
  </si>
  <si>
    <t>CLEVELAND -01-I</t>
  </si>
  <si>
    <t>CLEVELAND -01-I - ABS</t>
  </si>
  <si>
    <t>CLEVELAND -01-J</t>
  </si>
  <si>
    <t>CLEVELAND -01-J - ABS</t>
  </si>
  <si>
    <t>CLEVELAND -01-K</t>
  </si>
  <si>
    <t>CLEVELAND -01-K - ABS</t>
  </si>
  <si>
    <t>CLEVELAND -01-L</t>
  </si>
  <si>
    <t>CLEVELAND -01-L - ABS</t>
  </si>
  <si>
    <t>CLEVELAND -01-M</t>
  </si>
  <si>
    <t>CLEVELAND -01-M - ABS</t>
  </si>
  <si>
    <t>CLEVELAND -01-N</t>
  </si>
  <si>
    <t>CLEVELAND -01-N - ABS</t>
  </si>
  <si>
    <t>CLEVELAND -01-O</t>
  </si>
  <si>
    <t>CLEVELAND -01-O - ABS</t>
  </si>
  <si>
    <t>CLEVELAND -01-P</t>
  </si>
  <si>
    <t>CLEVELAND -01-P - ABS</t>
  </si>
  <si>
    <t>CLEVELAND -01-Q</t>
  </si>
  <si>
    <t>CLEVELAND -01-Q - ABS</t>
  </si>
  <si>
    <t>CLEVELAND -01-R</t>
  </si>
  <si>
    <t>CLEVELAND -01-R - ABS</t>
  </si>
  <si>
    <t>CLEVELAND -01-S</t>
  </si>
  <si>
    <t>CLEVELAND -01-S - ABS</t>
  </si>
  <si>
    <t>CLEVELAND -01-T</t>
  </si>
  <si>
    <t>CLEVELAND -01-T - ABS</t>
  </si>
  <si>
    <t>CLEVELAND -02-A</t>
  </si>
  <si>
    <t>CLEVELAND -02-A - ABS</t>
  </si>
  <si>
    <t>CLEVELAND -02-B</t>
  </si>
  <si>
    <t>CLEVELAND -02-B - ABS</t>
  </si>
  <si>
    <t>CLEVELAND -02-C</t>
  </si>
  <si>
    <t>CLEVELAND -02-C - ABS</t>
  </si>
  <si>
    <t>CLEVELAND -02-D</t>
  </si>
  <si>
    <t>CLEVELAND -02-D - ABS</t>
  </si>
  <si>
    <t>CLEVELAND -02-E</t>
  </si>
  <si>
    <t>CLEVELAND -02-E - ABS</t>
  </si>
  <si>
    <t>CLEVELAND -02-F</t>
  </si>
  <si>
    <t>CLEVELAND -02-F - ABS</t>
  </si>
  <si>
    <t>CLEVELAND -02-G</t>
  </si>
  <si>
    <t>CLEVELAND -02-G - ABS</t>
  </si>
  <si>
    <t>CLEVELAND -02-H</t>
  </si>
  <si>
    <t>CLEVELAND -02-H - ABS</t>
  </si>
  <si>
    <t>CLEVELAND -02-I</t>
  </si>
  <si>
    <t>CLEVELAND -02-I - ABS</t>
  </si>
  <si>
    <t>CLEVELAND -02-J</t>
  </si>
  <si>
    <t>CLEVELAND -02-J - ABS</t>
  </si>
  <si>
    <t>CLEVELAND -02-K</t>
  </si>
  <si>
    <t>CLEVELAND -02-K - ABS</t>
  </si>
  <si>
    <t>CLEVELAND -02-L</t>
  </si>
  <si>
    <t>CLEVELAND -02-L - ABS</t>
  </si>
  <si>
    <t>CLEVELAND -02-M</t>
  </si>
  <si>
    <t>CLEVELAND -02-M - ABS</t>
  </si>
  <si>
    <t>CLEVELAND -02-N</t>
  </si>
  <si>
    <t>CLEVELAND -02-N - ABS</t>
  </si>
  <si>
    <t>CLEVELAND -02-O</t>
  </si>
  <si>
    <t>CLEVELAND -02-O - ABS</t>
  </si>
  <si>
    <t>CLEVELAND -02-P</t>
  </si>
  <si>
    <t>CLEVELAND -02-P - ABS</t>
  </si>
  <si>
    <t>CLEVELAND -02-Q</t>
  </si>
  <si>
    <t>CLEVELAND -02-Q - ABS</t>
  </si>
  <si>
    <t>CLEVELAND -02-R</t>
  </si>
  <si>
    <t>CLEVELAND -02-R - ABS</t>
  </si>
  <si>
    <t>CLEVELAND -02-S</t>
  </si>
  <si>
    <t>CLEVELAND -02-S - ABS</t>
  </si>
  <si>
    <t>CLEVELAND -03-A</t>
  </si>
  <si>
    <t>CLEVELAND -03-A - ABS</t>
  </si>
  <si>
    <t>CLEVELAND -03-B</t>
  </si>
  <si>
    <t>CLEVELAND -03-B - ABS</t>
  </si>
  <si>
    <t>CLEVELAND -03-C</t>
  </si>
  <si>
    <t>CLEVELAND -03-C - ABS</t>
  </si>
  <si>
    <t>CLEVELAND -03-D</t>
  </si>
  <si>
    <t>CLEVELAND -03-D - ABS</t>
  </si>
  <si>
    <t>CLEVELAND -03-E</t>
  </si>
  <si>
    <t>CLEVELAND -03-E - ABS</t>
  </si>
  <si>
    <t>CLEVELAND -03-F</t>
  </si>
  <si>
    <t>CLEVELAND -03-F - ABS</t>
  </si>
  <si>
    <t>CLEVELAND -03-G</t>
  </si>
  <si>
    <t>CLEVELAND -03-G - ABS</t>
  </si>
  <si>
    <t>CLEVELAND -03-H</t>
  </si>
  <si>
    <t>CLEVELAND -03-H - ABS</t>
  </si>
  <si>
    <t>CLEVELAND -03-I</t>
  </si>
  <si>
    <t>CLEVELAND -03-I - ABS</t>
  </si>
  <si>
    <t>CLEVELAND -03-J</t>
  </si>
  <si>
    <t>CLEVELAND -03-J - ABS</t>
  </si>
  <si>
    <t>CLEVELAND -03-K</t>
  </si>
  <si>
    <t>CLEVELAND -03-K - ABS</t>
  </si>
  <si>
    <t>CLEVELAND -03-L</t>
  </si>
  <si>
    <t>CLEVELAND -03-L - ABS</t>
  </si>
  <si>
    <t>CLEVELAND -03-M</t>
  </si>
  <si>
    <t>CLEVELAND -03-M - ABS</t>
  </si>
  <si>
    <t>CLEVELAND -03-N</t>
  </si>
  <si>
    <t>CLEVELAND -03-N - ABS</t>
  </si>
  <si>
    <t>CLEVELAND -03-O</t>
  </si>
  <si>
    <t>CLEVELAND -03-O - ABS</t>
  </si>
  <si>
    <t>CLEVELAND -03-P</t>
  </si>
  <si>
    <t>CLEVELAND -03-P - ABS</t>
  </si>
  <si>
    <t>CLEVELAND -03-Q</t>
  </si>
  <si>
    <t>CLEVELAND -03-Q - ABS</t>
  </si>
  <si>
    <t>CLEVELAND -03-Q.02</t>
  </si>
  <si>
    <t>CLEVELAND -03-Q.02 - ABS</t>
  </si>
  <si>
    <t>CLEVELAND -03-R</t>
  </si>
  <si>
    <t>CLEVELAND -03-R - ABS</t>
  </si>
  <si>
    <t>CLEVELAND -03-R.02</t>
  </si>
  <si>
    <t>CLEVELAND -03-R.02 - ABS</t>
  </si>
  <si>
    <t>CLEVELAND -03-S</t>
  </si>
  <si>
    <t>CLEVELAND -03-S - ABS</t>
  </si>
  <si>
    <t>CLEVELAND -03-T</t>
  </si>
  <si>
    <t>CLEVELAND -03-T - ABS</t>
  </si>
  <si>
    <t>CLEVELAND -03-U</t>
  </si>
  <si>
    <t>CLEVELAND -03-U - ABS</t>
  </si>
  <si>
    <t>CLEVELAND -03-V</t>
  </si>
  <si>
    <t>CLEVELAND -03-V - ABS</t>
  </si>
  <si>
    <t>CLEVELAND -04-A</t>
  </si>
  <si>
    <t>CLEVELAND -04-A - ABS</t>
  </si>
  <si>
    <t>CLEVELAND -04-B</t>
  </si>
  <si>
    <t>CLEVELAND -04-B - ABS</t>
  </si>
  <si>
    <t>CLEVELAND -04-C</t>
  </si>
  <si>
    <t>CLEVELAND -04-C - ABS</t>
  </si>
  <si>
    <t>CLEVELAND -04-D</t>
  </si>
  <si>
    <t>CLEVELAND -04-D - ABS</t>
  </si>
  <si>
    <t>CLEVELAND -04-E</t>
  </si>
  <si>
    <t>CLEVELAND -04-E - ABS</t>
  </si>
  <si>
    <t>CLEVELAND -04-F</t>
  </si>
  <si>
    <t>CLEVELAND -04-F - ABS</t>
  </si>
  <si>
    <t>CLEVELAND -04-G</t>
  </si>
  <si>
    <t>CLEVELAND -04-G - ABS</t>
  </si>
  <si>
    <t>CLEVELAND -04-H</t>
  </si>
  <si>
    <t>CLEVELAND -04-H - ABS</t>
  </si>
  <si>
    <t>CLEVELAND -04-I</t>
  </si>
  <si>
    <t>CLEVELAND -04-I - ABS</t>
  </si>
  <si>
    <t>CLEVELAND -04-J</t>
  </si>
  <si>
    <t>CLEVELAND -04-J - ABS</t>
  </si>
  <si>
    <t>CLEVELAND -04-K</t>
  </si>
  <si>
    <t>CLEVELAND -04-K - ABS</t>
  </si>
  <si>
    <t>CLEVELAND -04-L</t>
  </si>
  <si>
    <t>CLEVELAND -04-L - ABS</t>
  </si>
  <si>
    <t>CLEVELAND -04-M</t>
  </si>
  <si>
    <t>CLEVELAND -04-M - ABS</t>
  </si>
  <si>
    <t>CLEVELAND -04-N</t>
  </si>
  <si>
    <t>CLEVELAND -04-N - ABS</t>
  </si>
  <si>
    <t>CLEVELAND -04-O</t>
  </si>
  <si>
    <t>CLEVELAND -04-O - ABS</t>
  </si>
  <si>
    <t>CLEVELAND -04-P</t>
  </si>
  <si>
    <t>CLEVELAND -04-P - ABS</t>
  </si>
  <si>
    <t>CLEVELAND -04-Q</t>
  </si>
  <si>
    <t>CLEVELAND -04-Q - ABS</t>
  </si>
  <si>
    <t>CLEVELAND -04-R</t>
  </si>
  <si>
    <t>CLEVELAND -04-R - ABS</t>
  </si>
  <si>
    <t>CLEVELAND -04-S</t>
  </si>
  <si>
    <t>CLEVELAND -04-S - ABS</t>
  </si>
  <si>
    <t>CLEVELAND -05-A</t>
  </si>
  <si>
    <t>CLEVELAND -05-A - ABS</t>
  </si>
  <si>
    <t>CLEVELAND -05-B</t>
  </si>
  <si>
    <t>CLEVELAND -05-B - ABS</t>
  </si>
  <si>
    <t>CLEVELAND -05-C</t>
  </si>
  <si>
    <t>CLEVELAND -05-C - ABS</t>
  </si>
  <si>
    <t>CLEVELAND -05-D</t>
  </si>
  <si>
    <t>CLEVELAND -05-D - ABS</t>
  </si>
  <si>
    <t>CLEVELAND -05-E</t>
  </si>
  <si>
    <t>CLEVELAND -05-E - ABS</t>
  </si>
  <si>
    <t>CLEVELAND -05-F</t>
  </si>
  <si>
    <t>CLEVELAND -05-F - ABS</t>
  </si>
  <si>
    <t>CLEVELAND -05-G</t>
  </si>
  <si>
    <t>CLEVELAND -05-G - ABS</t>
  </si>
  <si>
    <t>CLEVELAND -05-H</t>
  </si>
  <si>
    <t>CLEVELAND -05-H - ABS</t>
  </si>
  <si>
    <t>CLEVELAND -05-I</t>
  </si>
  <si>
    <t>CLEVELAND -05-I - ABS</t>
  </si>
  <si>
    <t>CLEVELAND -05-J</t>
  </si>
  <si>
    <t>CLEVELAND -05-J - ABS</t>
  </si>
  <si>
    <t>CLEVELAND -05-K</t>
  </si>
  <si>
    <t>CLEVELAND -05-K - ABS</t>
  </si>
  <si>
    <t>CLEVELAND -05-L</t>
  </si>
  <si>
    <t>CLEVELAND -05-L - ABS</t>
  </si>
  <si>
    <t>CLEVELAND -05-M</t>
  </si>
  <si>
    <t>CLEVELAND -05-M - ABS</t>
  </si>
  <si>
    <t>CLEVELAND -05-N</t>
  </si>
  <si>
    <t>CLEVELAND -05-N - ABS</t>
  </si>
  <si>
    <t>CLEVELAND -05-O</t>
  </si>
  <si>
    <t>CLEVELAND -05-O - ABS</t>
  </si>
  <si>
    <t>CLEVELAND -05-P</t>
  </si>
  <si>
    <t>CLEVELAND -05-P - ABS</t>
  </si>
  <si>
    <t>CLEVELAND -05-Q</t>
  </si>
  <si>
    <t>CLEVELAND -05-Q - ABS</t>
  </si>
  <si>
    <t>CLEVELAND -05-R</t>
  </si>
  <si>
    <t>CLEVELAND -05-R - ABS</t>
  </si>
  <si>
    <t>CLEVELAND -05-S</t>
  </si>
  <si>
    <t>CLEVELAND -05-S - ABS</t>
  </si>
  <si>
    <t>CLEVELAND -05-T</t>
  </si>
  <si>
    <t>CLEVELAND -05-T - ABS</t>
  </si>
  <si>
    <t>CLEVELAND -05-U</t>
  </si>
  <si>
    <t>CLEVELAND -05-U - ABS</t>
  </si>
  <si>
    <t>CLEVELAND -06-A</t>
  </si>
  <si>
    <t>CLEVELAND -06-A - ABS</t>
  </si>
  <si>
    <t>CLEVELAND -06-B</t>
  </si>
  <si>
    <t>CLEVELAND -06-B - ABS</t>
  </si>
  <si>
    <t>CLEVELAND -06-C</t>
  </si>
  <si>
    <t>CLEVELAND -06-C - ABS</t>
  </si>
  <si>
    <t>CLEVELAND -06-D</t>
  </si>
  <si>
    <t>CLEVELAND -06-D - ABS</t>
  </si>
  <si>
    <t>CLEVELAND -06-E</t>
  </si>
  <si>
    <t>CLEVELAND -06-E - ABS</t>
  </si>
  <si>
    <t>CLEVELAND -06-F</t>
  </si>
  <si>
    <t>CLEVELAND -06-F - ABS</t>
  </si>
  <si>
    <t>CLEVELAND -06-G</t>
  </si>
  <si>
    <t>CLEVELAND -06-G - ABS</t>
  </si>
  <si>
    <t>CLEVELAND -06-H</t>
  </si>
  <si>
    <t>CLEVELAND -06-H - ABS</t>
  </si>
  <si>
    <t>CLEVELAND -06-I</t>
  </si>
  <si>
    <t>CLEVELAND -06-I - ABS</t>
  </si>
  <si>
    <t>CLEVELAND -06-J</t>
  </si>
  <si>
    <t>CLEVELAND -06-J - ABS</t>
  </si>
  <si>
    <t>CLEVELAND -06-K</t>
  </si>
  <si>
    <t>CLEVELAND -06-K - ABS</t>
  </si>
  <si>
    <t>CLEVELAND -06-L</t>
  </si>
  <si>
    <t>CLEVELAND -06-L - ABS</t>
  </si>
  <si>
    <t>CLEVELAND -06-M</t>
  </si>
  <si>
    <t>CLEVELAND -06-M - ABS</t>
  </si>
  <si>
    <t>CLEVELAND -06-N</t>
  </si>
  <si>
    <t>CLEVELAND -06-N - ABS</t>
  </si>
  <si>
    <t>CLEVELAND -06-O</t>
  </si>
  <si>
    <t>CLEVELAND -06-O - ABS</t>
  </si>
  <si>
    <t>CLEVELAND -06-P</t>
  </si>
  <si>
    <t>CLEVELAND -06-P - ABS</t>
  </si>
  <si>
    <t>CLEVELAND -06-Q</t>
  </si>
  <si>
    <t>CLEVELAND -06-Q - ABS</t>
  </si>
  <si>
    <t>CLEVELAND -06-R</t>
  </si>
  <si>
    <t>CLEVELAND -06-R - ABS</t>
  </si>
  <si>
    <t>CLEVELAND -06-S</t>
  </si>
  <si>
    <t>CLEVELAND -06-S - ABS</t>
  </si>
  <si>
    <t>CLEVELAND -06-T</t>
  </si>
  <si>
    <t>CLEVELAND -06-T - ABS</t>
  </si>
  <si>
    <t>CLEVELAND -06-U</t>
  </si>
  <si>
    <t>CLEVELAND -06-U - ABS</t>
  </si>
  <si>
    <t>CLEVELAND -06-V</t>
  </si>
  <si>
    <t>CLEVELAND -06-V - ABS</t>
  </si>
  <si>
    <t>CLEVELAND -07-A</t>
  </si>
  <si>
    <t>CLEVELAND -07-A - ABS</t>
  </si>
  <si>
    <t>CLEVELAND -07-B</t>
  </si>
  <si>
    <t>CLEVELAND -07-B - ABS</t>
  </si>
  <si>
    <t>CLEVELAND -07-C</t>
  </si>
  <si>
    <t>CLEVELAND -07-C - ABS</t>
  </si>
  <si>
    <t>CLEVELAND -07-D</t>
  </si>
  <si>
    <t>CLEVELAND -07-D - ABS</t>
  </si>
  <si>
    <t>CLEVELAND -07-E</t>
  </si>
  <si>
    <t>CLEVELAND -07-E - ABS</t>
  </si>
  <si>
    <t>CLEVELAND -07-F</t>
  </si>
  <si>
    <t>CLEVELAND -07-F - ABS</t>
  </si>
  <si>
    <t>CLEVELAND -07-G</t>
  </si>
  <si>
    <t>CLEVELAND -07-G - ABS</t>
  </si>
  <si>
    <t>CLEVELAND -07-H</t>
  </si>
  <si>
    <t>CLEVELAND -07-H - ABS</t>
  </si>
  <si>
    <t>CLEVELAND -07-I</t>
  </si>
  <si>
    <t>CLEVELAND -07-I - ABS</t>
  </si>
  <si>
    <t>CLEVELAND -07-J</t>
  </si>
  <si>
    <t>CLEVELAND -07-J - ABS</t>
  </si>
  <si>
    <t>CLEVELAND -07-K</t>
  </si>
  <si>
    <t>CLEVELAND -07-K - ABS</t>
  </si>
  <si>
    <t>CLEVELAND -07-L</t>
  </si>
  <si>
    <t>CLEVELAND -07-L - ABS</t>
  </si>
  <si>
    <t>CLEVELAND -07-M</t>
  </si>
  <si>
    <t>CLEVELAND -07-M - ABS</t>
  </si>
  <si>
    <t>CLEVELAND -07-N</t>
  </si>
  <si>
    <t>CLEVELAND -07-N - ABS</t>
  </si>
  <si>
    <t>CLEVELAND -07-O</t>
  </si>
  <si>
    <t>CLEVELAND -07-O - ABS</t>
  </si>
  <si>
    <t>CLEVELAND -07-P</t>
  </si>
  <si>
    <t>CLEVELAND -07-P - ABS</t>
  </si>
  <si>
    <t>CLEVELAND -07-Q</t>
  </si>
  <si>
    <t>CLEVELAND -07-Q - ABS</t>
  </si>
  <si>
    <t>CLEVELAND -07-R</t>
  </si>
  <si>
    <t>CLEVELAND -07-R - ABS</t>
  </si>
  <si>
    <t>CLEVELAND -07-S</t>
  </si>
  <si>
    <t>CLEVELAND -07-S - ABS</t>
  </si>
  <si>
    <t>CLEVELAND -07-T</t>
  </si>
  <si>
    <t>CLEVELAND -07-T - ABS</t>
  </si>
  <si>
    <t>CLEVELAND -07-U</t>
  </si>
  <si>
    <t>CLEVELAND -07-U - ABS</t>
  </si>
  <si>
    <t>CLEVELAND -08-A</t>
  </si>
  <si>
    <t>CLEVELAND -08-A - ABS</t>
  </si>
  <si>
    <t>CLEVELAND -08-B</t>
  </si>
  <si>
    <t>CLEVELAND -08-B - ABS</t>
  </si>
  <si>
    <t>CLEVELAND -08-C</t>
  </si>
  <si>
    <t>CLEVELAND -08-C - ABS</t>
  </si>
  <si>
    <t>CLEVELAND -08-D</t>
  </si>
  <si>
    <t>CLEVELAND -08-D - ABS</t>
  </si>
  <si>
    <t>CLEVELAND -08-E</t>
  </si>
  <si>
    <t>CLEVELAND -08-E - ABS</t>
  </si>
  <si>
    <t>CLEVELAND -08-F</t>
  </si>
  <si>
    <t>CLEVELAND -08-F - ABS</t>
  </si>
  <si>
    <t>CLEVELAND -08-G</t>
  </si>
  <si>
    <t>CLEVELAND -08-G - ABS</t>
  </si>
  <si>
    <t>CLEVELAND -08-H</t>
  </si>
  <si>
    <t>CLEVELAND -08-H - ABS</t>
  </si>
  <si>
    <t>CLEVELAND -08-I</t>
  </si>
  <si>
    <t>CLEVELAND -08-I - ABS</t>
  </si>
  <si>
    <t>CLEVELAND -08-J</t>
  </si>
  <si>
    <t>CLEVELAND -08-J - ABS</t>
  </si>
  <si>
    <t>CLEVELAND -08-K</t>
  </si>
  <si>
    <t>CLEVELAND -08-K - ABS</t>
  </si>
  <si>
    <t>CLEVELAND -08-L</t>
  </si>
  <si>
    <t>CLEVELAND -08-L - ABS</t>
  </si>
  <si>
    <t>CLEVELAND -08-M</t>
  </si>
  <si>
    <t>CLEVELAND -08-M - ABS</t>
  </si>
  <si>
    <t>CLEVELAND -08-N</t>
  </si>
  <si>
    <t>CLEVELAND -08-N - ABS</t>
  </si>
  <si>
    <t>CLEVELAND -08-O</t>
  </si>
  <si>
    <t>CLEVELAND -08-O - ABS</t>
  </si>
  <si>
    <t>CLEVELAND -08-P</t>
  </si>
  <si>
    <t>CLEVELAND -08-P - ABS</t>
  </si>
  <si>
    <t>CLEVELAND -08-Q</t>
  </si>
  <si>
    <t>CLEVELAND -08-Q - ABS</t>
  </si>
  <si>
    <t>CLEVELAND -08-R</t>
  </si>
  <si>
    <t>CLEVELAND -08-R - ABS</t>
  </si>
  <si>
    <t>CLEVELAND -08-S</t>
  </si>
  <si>
    <t>CLEVELAND -08-S - ABS</t>
  </si>
  <si>
    <t>CLEVELAND -08-T</t>
  </si>
  <si>
    <t>CLEVELAND -08-T - ABS</t>
  </si>
  <si>
    <t>CLEVELAND -09-A</t>
  </si>
  <si>
    <t>CLEVELAND -09-A - ABS</t>
  </si>
  <si>
    <t>CLEVELAND -09-B</t>
  </si>
  <si>
    <t>CLEVELAND -09-B - ABS</t>
  </si>
  <si>
    <t>CLEVELAND -09-C</t>
  </si>
  <si>
    <t>CLEVELAND -09-C - ABS</t>
  </si>
  <si>
    <t>CLEVELAND -09-D</t>
  </si>
  <si>
    <t>CLEVELAND -09-D - ABS</t>
  </si>
  <si>
    <t>CLEVELAND -09-E</t>
  </si>
  <si>
    <t>CLEVELAND -09-E - ABS</t>
  </si>
  <si>
    <t>CLEVELAND -09-F</t>
  </si>
  <si>
    <t>CLEVELAND -09-F - ABS</t>
  </si>
  <si>
    <t>CLEVELAND -09-G</t>
  </si>
  <si>
    <t>CLEVELAND -09-G - ABS</t>
  </si>
  <si>
    <t>CLEVELAND -09-H</t>
  </si>
  <si>
    <t>CLEVELAND -09-H - ABS</t>
  </si>
  <si>
    <t>CLEVELAND -09-I</t>
  </si>
  <si>
    <t>CLEVELAND -09-I - ABS</t>
  </si>
  <si>
    <t>CLEVELAND -09-J</t>
  </si>
  <si>
    <t>CLEVELAND -09-J - ABS</t>
  </si>
  <si>
    <t>CLEVELAND -09-K</t>
  </si>
  <si>
    <t>CLEVELAND -09-K - ABS</t>
  </si>
  <si>
    <t>CLEVELAND -09-L</t>
  </si>
  <si>
    <t>CLEVELAND -09-L - ABS</t>
  </si>
  <si>
    <t>CLEVELAND -09-M</t>
  </si>
  <si>
    <t>CLEVELAND -09-M - ABS</t>
  </si>
  <si>
    <t>CLEVELAND -09-N</t>
  </si>
  <si>
    <t>CLEVELAND -09-N - ABS</t>
  </si>
  <si>
    <t>CLEVELAND -09-O</t>
  </si>
  <si>
    <t>CLEVELAND -09-O - ABS</t>
  </si>
  <si>
    <t>CLEVELAND -09-P</t>
  </si>
  <si>
    <t>CLEVELAND -09-P - ABS</t>
  </si>
  <si>
    <t>CLEVELAND -09-Q</t>
  </si>
  <si>
    <t>CLEVELAND -09-Q - ABS</t>
  </si>
  <si>
    <t>CLEVELAND -10-A</t>
  </si>
  <si>
    <t>CLEVELAND -10-A - ABS</t>
  </si>
  <si>
    <t>CLEVELAND -10-B</t>
  </si>
  <si>
    <t>CLEVELAND -10-B - ABS</t>
  </si>
  <si>
    <t>CLEVELAND -10-C</t>
  </si>
  <si>
    <t>CLEVELAND -10-C - ABS</t>
  </si>
  <si>
    <t>CLEVELAND -10-D</t>
  </si>
  <si>
    <t>CLEVELAND -10-D - ABS</t>
  </si>
  <si>
    <t>CLEVELAND -10-E</t>
  </si>
  <si>
    <t>CLEVELAND -10-E - ABS</t>
  </si>
  <si>
    <t>CLEVELAND -10-F</t>
  </si>
  <si>
    <t>CLEVELAND -10-F - ABS</t>
  </si>
  <si>
    <t>CLEVELAND -10-G</t>
  </si>
  <si>
    <t>CLEVELAND -10-G - ABS</t>
  </si>
  <si>
    <t>CLEVELAND -10-H</t>
  </si>
  <si>
    <t>CLEVELAND -10-H - ABS</t>
  </si>
  <si>
    <t>CLEVELAND -10-I</t>
  </si>
  <si>
    <t>CLEVELAND -10-I - ABS</t>
  </si>
  <si>
    <t>CLEVELAND -10-J</t>
  </si>
  <si>
    <t>CLEVELAND -10-J - ABS</t>
  </si>
  <si>
    <t>CLEVELAND -10-K</t>
  </si>
  <si>
    <t>CLEVELAND -10-K - ABS</t>
  </si>
  <si>
    <t>CLEVELAND -10-L</t>
  </si>
  <si>
    <t>CLEVELAND -10-L - ABS</t>
  </si>
  <si>
    <t>CLEVELAND -10-M</t>
  </si>
  <si>
    <t>CLEVELAND -10-M - ABS</t>
  </si>
  <si>
    <t>CLEVELAND -10-N</t>
  </si>
  <si>
    <t>CLEVELAND -10-N - ABS</t>
  </si>
  <si>
    <t>CLEVELAND -10-O</t>
  </si>
  <si>
    <t>CLEVELAND -10-O - ABS</t>
  </si>
  <si>
    <t>CLEVELAND -10-P</t>
  </si>
  <si>
    <t>CLEVELAND -10-P - ABS</t>
  </si>
  <si>
    <t>CLEVELAND -10-Q</t>
  </si>
  <si>
    <t>CLEVELAND -10-Q - ABS</t>
  </si>
  <si>
    <t>CLEVELAND -10-R</t>
  </si>
  <si>
    <t>CLEVELAND -10-R - ABS</t>
  </si>
  <si>
    <t>CLEVELAND -10-S</t>
  </si>
  <si>
    <t>CLEVELAND -10-S - ABS</t>
  </si>
  <si>
    <t>CLEVELAND -10-T</t>
  </si>
  <si>
    <t>CLEVELAND -10-T - ABS</t>
  </si>
  <si>
    <t>CLEVELAND -11-A</t>
  </si>
  <si>
    <t>CLEVELAND -11-A - ABS</t>
  </si>
  <si>
    <t>CLEVELAND -11-B</t>
  </si>
  <si>
    <t>CLEVELAND -11-B - ABS</t>
  </si>
  <si>
    <t>CLEVELAND -11-C</t>
  </si>
  <si>
    <t>CLEVELAND -11-C - ABS</t>
  </si>
  <si>
    <t>CLEVELAND -11-D</t>
  </si>
  <si>
    <t>CLEVELAND -11-D - ABS</t>
  </si>
  <si>
    <t>CLEVELAND -11-E</t>
  </si>
  <si>
    <t>CLEVELAND -11-E - ABS</t>
  </si>
  <si>
    <t>CLEVELAND -11-F</t>
  </si>
  <si>
    <t>CLEVELAND -11-F - ABS</t>
  </si>
  <si>
    <t>CLEVELAND -11-G</t>
  </si>
  <si>
    <t>CLEVELAND -11-G - ABS</t>
  </si>
  <si>
    <t>CLEVELAND -11-H</t>
  </si>
  <si>
    <t>CLEVELAND -11-H - ABS</t>
  </si>
  <si>
    <t>CLEVELAND -11-I</t>
  </si>
  <si>
    <t>CLEVELAND -11-I - ABS</t>
  </si>
  <si>
    <t>CLEVELAND -11-J</t>
  </si>
  <si>
    <t>CLEVELAND -11-J - ABS</t>
  </si>
  <si>
    <t>CLEVELAND -11-K</t>
  </si>
  <si>
    <t>CLEVELAND -11-K - ABS</t>
  </si>
  <si>
    <t>CLEVELAND -11-L</t>
  </si>
  <si>
    <t>CLEVELAND -11-L - ABS</t>
  </si>
  <si>
    <t>CLEVELAND -11-M</t>
  </si>
  <si>
    <t>CLEVELAND -11-M - ABS</t>
  </si>
  <si>
    <t>CLEVELAND -11-N</t>
  </si>
  <si>
    <t>CLEVELAND -11-N - ABS</t>
  </si>
  <si>
    <t>CLEVELAND -11-O</t>
  </si>
  <si>
    <t>CLEVELAND -11-O - ABS</t>
  </si>
  <si>
    <t>CLEVELAND -11-P</t>
  </si>
  <si>
    <t>CLEVELAND -11-P - ABS</t>
  </si>
  <si>
    <t>CLEVELAND -12-A</t>
  </si>
  <si>
    <t>CLEVELAND -12-A - ABS</t>
  </si>
  <si>
    <t>CLEVELAND -12-B</t>
  </si>
  <si>
    <t>CLEVELAND -12-B - ABS</t>
  </si>
  <si>
    <t>CLEVELAND -12-C</t>
  </si>
  <si>
    <t>CLEVELAND -12-C - ABS</t>
  </si>
  <si>
    <t>CLEVELAND -12-D</t>
  </si>
  <si>
    <t>CLEVELAND -12-D - ABS</t>
  </si>
  <si>
    <t>CLEVELAND -12-E</t>
  </si>
  <si>
    <t>CLEVELAND -12-E - ABS</t>
  </si>
  <si>
    <t>CLEVELAND -12-F</t>
  </si>
  <si>
    <t>CLEVELAND -12-F - ABS</t>
  </si>
  <si>
    <t>CLEVELAND -12-G</t>
  </si>
  <si>
    <t>CLEVELAND -12-G - ABS</t>
  </si>
  <si>
    <t>CLEVELAND -12-H</t>
  </si>
  <si>
    <t>CLEVELAND -12-H - ABS</t>
  </si>
  <si>
    <t>CLEVELAND -12-I</t>
  </si>
  <si>
    <t>CLEVELAND -12-I - ABS</t>
  </si>
  <si>
    <t>CLEVELAND -12-J</t>
  </si>
  <si>
    <t>CLEVELAND -12-J - ABS</t>
  </si>
  <si>
    <t>CLEVELAND -12-K</t>
  </si>
  <si>
    <t>CLEVELAND -12-K - ABS</t>
  </si>
  <si>
    <t>CLEVELAND -12-L</t>
  </si>
  <si>
    <t>CLEVELAND -12-L - ABS</t>
  </si>
  <si>
    <t>CLEVELAND -12-M</t>
  </si>
  <si>
    <t>CLEVELAND -12-M - ABS</t>
  </si>
  <si>
    <t>CLEVELAND -12-M.02</t>
  </si>
  <si>
    <t>CLEVELAND -12-M.02 - ABS</t>
  </si>
  <si>
    <t>CLEVELAND -12-N</t>
  </si>
  <si>
    <t>CLEVELAND -12-N - ABS</t>
  </si>
  <si>
    <t>CLEVELAND -12-O</t>
  </si>
  <si>
    <t>CLEVELAND -12-O - ABS</t>
  </si>
  <si>
    <t>CLEVELAND -13-A</t>
  </si>
  <si>
    <t>CLEVELAND -13-A - ABS</t>
  </si>
  <si>
    <t>CLEVELAND -13-B</t>
  </si>
  <si>
    <t>CLEVELAND -13-B - ABS</t>
  </si>
  <si>
    <t>CLEVELAND -13-C</t>
  </si>
  <si>
    <t>CLEVELAND -13-C - ABS</t>
  </si>
  <si>
    <t>CLEVELAND -13-D</t>
  </si>
  <si>
    <t>CLEVELAND -13-D - ABS</t>
  </si>
  <si>
    <t>CLEVELAND -13-E</t>
  </si>
  <si>
    <t>CLEVELAND -13-E - ABS</t>
  </si>
  <si>
    <t>CLEVELAND -13-F</t>
  </si>
  <si>
    <t>CLEVELAND -13-F - ABS</t>
  </si>
  <si>
    <t>CLEVELAND -13-G</t>
  </si>
  <si>
    <t>CLEVELAND -13-G - ABS</t>
  </si>
  <si>
    <t>CLEVELAND -13-H</t>
  </si>
  <si>
    <t>CLEVELAND -13-H - ABS</t>
  </si>
  <si>
    <t>CLEVELAND -13-I</t>
  </si>
  <si>
    <t>CLEVELAND -13-I - ABS</t>
  </si>
  <si>
    <t>CLEVELAND -13-J</t>
  </si>
  <si>
    <t>CLEVELAND -13-J - ABS</t>
  </si>
  <si>
    <t>CLEVELAND -13-K</t>
  </si>
  <si>
    <t>CLEVELAND -13-K - ABS</t>
  </si>
  <si>
    <t>CLEVELAND -13-L</t>
  </si>
  <si>
    <t>CLEVELAND -13-L - ABS</t>
  </si>
  <si>
    <t>CLEVELAND -13-M</t>
  </si>
  <si>
    <t>CLEVELAND -13-M - ABS</t>
  </si>
  <si>
    <t>CLEVELAND -13-N</t>
  </si>
  <si>
    <t>CLEVELAND -13-N - ABS</t>
  </si>
  <si>
    <t>CLEVELAND -13-O</t>
  </si>
  <si>
    <t>CLEVELAND -13-O - ABS</t>
  </si>
  <si>
    <t>CLEVELAND -13-P</t>
  </si>
  <si>
    <t>CLEVELAND -13-P - ABS</t>
  </si>
  <si>
    <t>CLEVELAND -14-A</t>
  </si>
  <si>
    <t>CLEVELAND -14-A - ABS</t>
  </si>
  <si>
    <t>CLEVELAND -14-B</t>
  </si>
  <si>
    <t>CLEVELAND -14-B - ABS</t>
  </si>
  <si>
    <t>CLEVELAND -14-C</t>
  </si>
  <si>
    <t>CLEVELAND -14-C - ABS</t>
  </si>
  <si>
    <t>CLEVELAND -14-D</t>
  </si>
  <si>
    <t>CLEVELAND -14-D - ABS</t>
  </si>
  <si>
    <t>CLEVELAND -14-E</t>
  </si>
  <si>
    <t>CLEVELAND -14-E - ABS</t>
  </si>
  <si>
    <t>CLEVELAND -14-F</t>
  </si>
  <si>
    <t>CLEVELAND -14-F - ABS</t>
  </si>
  <si>
    <t>CLEVELAND -14-G</t>
  </si>
  <si>
    <t>CLEVELAND -14-G - ABS</t>
  </si>
  <si>
    <t>CLEVELAND -14-H</t>
  </si>
  <si>
    <t>CLEVELAND -14-H - ABS</t>
  </si>
  <si>
    <t>CLEVELAND -14-I</t>
  </si>
  <si>
    <t>CLEVELAND -14-I - ABS</t>
  </si>
  <si>
    <t>CLEVELAND -14-J</t>
  </si>
  <si>
    <t>CLEVELAND -14-J - ABS</t>
  </si>
  <si>
    <t>CLEVELAND -14-K</t>
  </si>
  <si>
    <t>CLEVELAND -14-K - ABS</t>
  </si>
  <si>
    <t>CLEVELAND -14-K.02</t>
  </si>
  <si>
    <t>CLEVELAND -14-K.02 - ABS</t>
  </si>
  <si>
    <t>CLEVELAND -14-L</t>
  </si>
  <si>
    <t>CLEVELAND -14-L - ABS</t>
  </si>
  <si>
    <t>CLEVELAND -14-M</t>
  </si>
  <si>
    <t>CLEVELAND -14-M - ABS</t>
  </si>
  <si>
    <t>CLEVELAND -14-N</t>
  </si>
  <si>
    <t>CLEVELAND -14-N - ABS</t>
  </si>
  <si>
    <t>CLEVELAND -14-O</t>
  </si>
  <si>
    <t>CLEVELAND -14-O - ABS</t>
  </si>
  <si>
    <t>CLEVELAND -14-P</t>
  </si>
  <si>
    <t>CLEVELAND -14-P - ABS</t>
  </si>
  <si>
    <t>CLEVELAND -14-Q</t>
  </si>
  <si>
    <t>CLEVELAND -14-Q - ABS</t>
  </si>
  <si>
    <t>CLEVELAND -15-A</t>
  </si>
  <si>
    <t>CLEVELAND -15-A - ABS</t>
  </si>
  <si>
    <t>CLEVELAND -15-B</t>
  </si>
  <si>
    <t>CLEVELAND -15-B - ABS</t>
  </si>
  <si>
    <t>CLEVELAND -15-C</t>
  </si>
  <si>
    <t>CLEVELAND -15-C - ABS</t>
  </si>
  <si>
    <t>CLEVELAND -15-C.02</t>
  </si>
  <si>
    <t>CLEVELAND -15-C.02 - ABS</t>
  </si>
  <si>
    <t>CLEVELAND -15-D</t>
  </si>
  <si>
    <t>CLEVELAND -15-D - ABS</t>
  </si>
  <si>
    <t>CLEVELAND -15-E</t>
  </si>
  <si>
    <t>CLEVELAND -15-E - ABS</t>
  </si>
  <si>
    <t>CLEVELAND -15-F</t>
  </si>
  <si>
    <t>CLEVELAND -15-F - ABS</t>
  </si>
  <si>
    <t>CLEVELAND -15-G</t>
  </si>
  <si>
    <t>CLEVELAND -15-G - ABS</t>
  </si>
  <si>
    <t>CLEVELAND -15-H</t>
  </si>
  <si>
    <t>CLEVELAND -15-H - ABS</t>
  </si>
  <si>
    <t>CLEVELAND -15-I</t>
  </si>
  <si>
    <t>CLEVELAND -15-I - ABS</t>
  </si>
  <si>
    <t>CLEVELAND -15-J</t>
  </si>
  <si>
    <t>CLEVELAND -15-J - ABS</t>
  </si>
  <si>
    <t>CLEVELAND -15-K</t>
  </si>
  <si>
    <t>CLEVELAND -15-K - ABS</t>
  </si>
  <si>
    <t>CLEVELAND -15-L</t>
  </si>
  <si>
    <t>CLEVELAND -15-L - ABS</t>
  </si>
  <si>
    <t>CLEVELAND -15-M</t>
  </si>
  <si>
    <t>CLEVELAND -15-M - ABS</t>
  </si>
  <si>
    <t>CLEVELAND -15-N</t>
  </si>
  <si>
    <t>CLEVELAND -15-N - ABS</t>
  </si>
  <si>
    <t>CLEVELAND -15-O</t>
  </si>
  <si>
    <t>CLEVELAND -15-O - ABS</t>
  </si>
  <si>
    <t>CLEVELAND -15-P</t>
  </si>
  <si>
    <t>CLEVELAND -15-P - ABS</t>
  </si>
  <si>
    <t>CLEVELAND -15-Q</t>
  </si>
  <si>
    <t>CLEVELAND -15-Q - ABS</t>
  </si>
  <si>
    <t>CLEVELAND -16-A</t>
  </si>
  <si>
    <t>CLEVELAND -16-A - ABS</t>
  </si>
  <si>
    <t>CLEVELAND -16-B</t>
  </si>
  <si>
    <t>CLEVELAND -16-B - ABS</t>
  </si>
  <si>
    <t>CLEVELAND -16-C</t>
  </si>
  <si>
    <t>CLEVELAND -16-C - ABS</t>
  </si>
  <si>
    <t>CLEVELAND -16-D</t>
  </si>
  <si>
    <t>CLEVELAND -16-D - ABS</t>
  </si>
  <si>
    <t>CLEVELAND -16-E</t>
  </si>
  <si>
    <t>CLEVELAND -16-E - ABS</t>
  </si>
  <si>
    <t>CLEVELAND -16-F</t>
  </si>
  <si>
    <t>CLEVELAND -16-F - ABS</t>
  </si>
  <si>
    <t>CLEVELAND -16-G</t>
  </si>
  <si>
    <t>CLEVELAND -16-G - ABS</t>
  </si>
  <si>
    <t>CLEVELAND -16-G.02</t>
  </si>
  <si>
    <t>CLEVELAND -16-G.02 - ABS</t>
  </si>
  <si>
    <t>CLEVELAND -16-H</t>
  </si>
  <si>
    <t>CLEVELAND -16-H - ABS</t>
  </si>
  <si>
    <t>CLEVELAND -16-H.02</t>
  </si>
  <si>
    <t>CLEVELAND -16-H.02 - ABS</t>
  </si>
  <si>
    <t>CLEVELAND -16-I</t>
  </si>
  <si>
    <t>CLEVELAND -16-I - ABS</t>
  </si>
  <si>
    <t>CLEVELAND -16-J</t>
  </si>
  <si>
    <t>CLEVELAND -16-J - ABS</t>
  </si>
  <si>
    <t>CLEVELAND -16-J.02</t>
  </si>
  <si>
    <t>CLEVELAND -16-J.02 - ABS</t>
  </si>
  <si>
    <t>CLEVELAND -16-K</t>
  </si>
  <si>
    <t>CLEVELAND -16-K - ABS</t>
  </si>
  <si>
    <t>CLEVELAND -16-L</t>
  </si>
  <si>
    <t>CLEVELAND -16-L - ABS</t>
  </si>
  <si>
    <t>CLEVELAND -16-M</t>
  </si>
  <si>
    <t>CLEVELAND -16-M - ABS</t>
  </si>
  <si>
    <t>CLEVELAND -16-N</t>
  </si>
  <si>
    <t>CLEVELAND -16-N - ABS</t>
  </si>
  <si>
    <t>CLEVELAND -16-O</t>
  </si>
  <si>
    <t>CLEVELAND -16-O - ABS</t>
  </si>
  <si>
    <t>CLEVELAND -16-P</t>
  </si>
  <si>
    <t>CLEVELAND -16-P - ABS</t>
  </si>
  <si>
    <t>CLEVELAND -17-A</t>
  </si>
  <si>
    <t>CLEVELAND -17-A - ABS</t>
  </si>
  <si>
    <t>CLEVELAND -17-B</t>
  </si>
  <si>
    <t>CLEVELAND -17-B - ABS</t>
  </si>
  <si>
    <t>CLEVELAND -17-C</t>
  </si>
  <si>
    <t>CLEVELAND -17-C - ABS</t>
  </si>
  <si>
    <t>CLEVELAND -17-D</t>
  </si>
  <si>
    <t>CLEVELAND -17-D - ABS</t>
  </si>
  <si>
    <t>CLEVELAND -17-E</t>
  </si>
  <si>
    <t>CLEVELAND -17-E - ABS</t>
  </si>
  <si>
    <t>CLEVELAND -17-F</t>
  </si>
  <si>
    <t>CLEVELAND -17-F - ABS</t>
  </si>
  <si>
    <t>CLEVELAND -17-G</t>
  </si>
  <si>
    <t>CLEVELAND -17-G - ABS</t>
  </si>
  <si>
    <t>CLEVELAND -17-H</t>
  </si>
  <si>
    <t>CLEVELAND -17-H - ABS</t>
  </si>
  <si>
    <t>CLEVELAND -17-I</t>
  </si>
  <si>
    <t>CLEVELAND -17-I - ABS</t>
  </si>
  <si>
    <t>CLEVELAND -17-J</t>
  </si>
  <si>
    <t>CLEVELAND -17-J - ABS</t>
  </si>
  <si>
    <t>CLEVELAND -17-K</t>
  </si>
  <si>
    <t>CLEVELAND -17-K - ABS</t>
  </si>
  <si>
    <t>CLEVELAND -17-L</t>
  </si>
  <si>
    <t>CLEVELAND -17-L - ABS</t>
  </si>
  <si>
    <t>CLEVELAND -17-M</t>
  </si>
  <si>
    <t>CLEVELAND -17-M - ABS</t>
  </si>
  <si>
    <t>CLEVELAND -17-N</t>
  </si>
  <si>
    <t>CLEVELAND -17-N - ABS</t>
  </si>
  <si>
    <t>CLEVELAND -18-A</t>
  </si>
  <si>
    <t>CLEVELAND -18-A - ABS</t>
  </si>
  <si>
    <t>CLEVELAND -18-B</t>
  </si>
  <si>
    <t>CLEVELAND -18-B - ABS</t>
  </si>
  <si>
    <t>CLEVELAND -18-C</t>
  </si>
  <si>
    <t>CLEVELAND -18-C - ABS</t>
  </si>
  <si>
    <t>CLEVELAND -18-D</t>
  </si>
  <si>
    <t>CLEVELAND -18-D - ABS</t>
  </si>
  <si>
    <t>CLEVELAND -18-E</t>
  </si>
  <si>
    <t>CLEVELAND -18-E - ABS</t>
  </si>
  <si>
    <t>CLEVELAND -18-F</t>
  </si>
  <si>
    <t>CLEVELAND -18-F - ABS</t>
  </si>
  <si>
    <t>CLEVELAND -18-G</t>
  </si>
  <si>
    <t>CLEVELAND -18-G - ABS</t>
  </si>
  <si>
    <t>CLEVELAND -18-H</t>
  </si>
  <si>
    <t>CLEVELAND -18-H - ABS</t>
  </si>
  <si>
    <t>CLEVELAND -18-I</t>
  </si>
  <si>
    <t>CLEVELAND -18-I - ABS</t>
  </si>
  <si>
    <t>CLEVELAND -18-J</t>
  </si>
  <si>
    <t>CLEVELAND -18-J - ABS</t>
  </si>
  <si>
    <t>CLEVELAND -18-K</t>
  </si>
  <si>
    <t>CLEVELAND -18-K - ABS</t>
  </si>
  <si>
    <t>CLEVELAND -18-L</t>
  </si>
  <si>
    <t>CLEVELAND -18-L - ABS</t>
  </si>
  <si>
    <t>CLEVELAND -18-M</t>
  </si>
  <si>
    <t>CLEVELAND -18-M - ABS</t>
  </si>
  <si>
    <t>CLEVELAND -18-N</t>
  </si>
  <si>
    <t>CLEVELAND -18-N - ABS</t>
  </si>
  <si>
    <t>CLEVELAND -18-O</t>
  </si>
  <si>
    <t>CLEVELAND -18-O - ABS</t>
  </si>
  <si>
    <t>CLEVELAND -19-A</t>
  </si>
  <si>
    <t>CLEVELAND -19-A - ABS</t>
  </si>
  <si>
    <t>CLEVELAND -19-B</t>
  </si>
  <si>
    <t>CLEVELAND -19-B - ABS</t>
  </si>
  <si>
    <t>CLEVELAND -19-C</t>
  </si>
  <si>
    <t>CLEVELAND -19-C - ABS</t>
  </si>
  <si>
    <t>CLEVELAND -19-D</t>
  </si>
  <si>
    <t>CLEVELAND -19-D - ABS</t>
  </si>
  <si>
    <t>CLEVELAND -19-E</t>
  </si>
  <si>
    <t>CLEVELAND -19-E - ABS</t>
  </si>
  <si>
    <t>CLEVELAND -19-F</t>
  </si>
  <si>
    <t>CLEVELAND -19-F - ABS</t>
  </si>
  <si>
    <t>CLEVELAND -19-G</t>
  </si>
  <si>
    <t>CLEVELAND -19-G - ABS</t>
  </si>
  <si>
    <t>CLEVELAND -19-H</t>
  </si>
  <si>
    <t>CLEVELAND -19-H - ABS</t>
  </si>
  <si>
    <t>CLEVELAND -19-I</t>
  </si>
  <si>
    <t>CLEVELAND -19-I - ABS</t>
  </si>
  <si>
    <t>CLEVELAND -19-J</t>
  </si>
  <si>
    <t>CLEVELAND -19-J - ABS</t>
  </si>
  <si>
    <t>CLEVELAND -19-K</t>
  </si>
  <si>
    <t>CLEVELAND -19-K - ABS</t>
  </si>
  <si>
    <t>CLEVELAND -19-L</t>
  </si>
  <si>
    <t>CLEVELAND -19-L - ABS</t>
  </si>
  <si>
    <t>CLEVELAND -19-M</t>
  </si>
  <si>
    <t>CLEVELAND -19-M - ABS</t>
  </si>
  <si>
    <t>CLEVELAND -19-N</t>
  </si>
  <si>
    <t>CLEVELAND -19-N - ABS</t>
  </si>
  <si>
    <t>CLEVELAND -19-O</t>
  </si>
  <si>
    <t>CLEVELAND -19-O - ABS</t>
  </si>
  <si>
    <t>CLEVELAND -19-P</t>
  </si>
  <si>
    <t>CLEVELAND -19-P - ABS</t>
  </si>
  <si>
    <t>CLEVELAND -19-Q</t>
  </si>
  <si>
    <t>CLEVELAND -19-Q - ABS</t>
  </si>
  <si>
    <t>CLEVELAND -19-R</t>
  </si>
  <si>
    <t>CLEVELAND -19-R - ABS</t>
  </si>
  <si>
    <t>CLEVELAND HEIGHTS -01-A</t>
  </si>
  <si>
    <t>CLEVELAND HEIGHTS -01-A - ABS</t>
  </si>
  <si>
    <t>CLEVELAND HEIGHTS -01-B</t>
  </si>
  <si>
    <t>CLEVELAND HEIGHTS -01-B - ABS</t>
  </si>
  <si>
    <t>CLEVELAND HEIGHTS -01-C</t>
  </si>
  <si>
    <t>CLEVELAND HEIGHTS -01-C - ABS</t>
  </si>
  <si>
    <t>CLEVELAND HEIGHTS -01-D</t>
  </si>
  <si>
    <t>CLEVELAND HEIGHTS -01-D - ABS</t>
  </si>
  <si>
    <t>CLEVELAND HEIGHTS -01-E</t>
  </si>
  <si>
    <t>CLEVELAND HEIGHTS -01-E - ABS</t>
  </si>
  <si>
    <t>CLEVELAND HEIGHTS -01-F</t>
  </si>
  <si>
    <t>CLEVELAND HEIGHTS -01-F - ABS</t>
  </si>
  <si>
    <t>CLEVELAND HEIGHTS -01-G</t>
  </si>
  <si>
    <t>CLEVELAND HEIGHTS -01-G - ABS</t>
  </si>
  <si>
    <t>CLEVELAND HEIGHTS -02-A</t>
  </si>
  <si>
    <t>CLEVELAND HEIGHTS -02-A - ABS</t>
  </si>
  <si>
    <t>CLEVELAND HEIGHTS -02-B</t>
  </si>
  <si>
    <t>CLEVELAND HEIGHTS -02-B - ABS</t>
  </si>
  <si>
    <t>CLEVELAND HEIGHTS -02-C</t>
  </si>
  <si>
    <t>CLEVELAND HEIGHTS -02-C - ABS</t>
  </si>
  <si>
    <t>CLEVELAND HEIGHTS -02-D</t>
  </si>
  <si>
    <t>CLEVELAND HEIGHTS -02-D - ABS</t>
  </si>
  <si>
    <t>CLEVELAND HEIGHTS -02-E</t>
  </si>
  <si>
    <t>CLEVELAND HEIGHTS -02-E - ABS</t>
  </si>
  <si>
    <t>CLEVELAND HEIGHTS -02-F</t>
  </si>
  <si>
    <t>CLEVELAND HEIGHTS -02-F - ABS</t>
  </si>
  <si>
    <t>CLEVELAND HEIGHTS -02-G</t>
  </si>
  <si>
    <t>CLEVELAND HEIGHTS -02-G - ABS</t>
  </si>
  <si>
    <t>CLEVELAND HEIGHTS -03-A</t>
  </si>
  <si>
    <t>CLEVELAND HEIGHTS -03-A - ABS</t>
  </si>
  <si>
    <t>CLEVELAND HEIGHTS -03-B</t>
  </si>
  <si>
    <t>CLEVELAND HEIGHTS -03-B - ABS</t>
  </si>
  <si>
    <t>CLEVELAND HEIGHTS -03-C</t>
  </si>
  <si>
    <t>CLEVELAND HEIGHTS -03-C - ABS</t>
  </si>
  <si>
    <t>CLEVELAND HEIGHTS -03-D</t>
  </si>
  <si>
    <t>CLEVELAND HEIGHTS -03-D - ABS</t>
  </si>
  <si>
    <t>CLEVELAND HEIGHTS -03-E</t>
  </si>
  <si>
    <t>CLEVELAND HEIGHTS -03-E - ABS</t>
  </si>
  <si>
    <t>CLEVELAND HEIGHTS -03-F</t>
  </si>
  <si>
    <t>CLEVELAND HEIGHTS -03-F - ABS</t>
  </si>
  <si>
    <t>CLEVELAND HEIGHTS -04-A</t>
  </si>
  <si>
    <t>CLEVELAND HEIGHTS -04-A - ABS</t>
  </si>
  <si>
    <t>CLEVELAND HEIGHTS -04-B</t>
  </si>
  <si>
    <t>CLEVELAND HEIGHTS -04-B - ABS</t>
  </si>
  <si>
    <t>CLEVELAND HEIGHTS -04-C</t>
  </si>
  <si>
    <t>CLEVELAND HEIGHTS -04-C - ABS</t>
  </si>
  <si>
    <t>CLEVELAND HEIGHTS -04-D</t>
  </si>
  <si>
    <t>CLEVELAND HEIGHTS -04-D - ABS</t>
  </si>
  <si>
    <t>CLEVELAND HEIGHTS -04-E</t>
  </si>
  <si>
    <t>CLEVELAND HEIGHTS -04-E - ABS</t>
  </si>
  <si>
    <t>CLEVELAND HEIGHTS -04-F</t>
  </si>
  <si>
    <t>CLEVELAND HEIGHTS -04-F - ABS</t>
  </si>
  <si>
    <t>CLEVELAND HEIGHTS -04-G</t>
  </si>
  <si>
    <t>CLEVELAND HEIGHTS -04-G - ABS</t>
  </si>
  <si>
    <t>CLEVELAND HEIGHTS -04-H</t>
  </si>
  <si>
    <t>CLEVELAND HEIGHTS -04-H - ABS</t>
  </si>
  <si>
    <t>CLEVELAND HEIGHTS -04-I</t>
  </si>
  <si>
    <t>CLEVELAND HEIGHTS -04-I - ABS</t>
  </si>
  <si>
    <t>CLEVELAND HEIGHTS -05-A</t>
  </si>
  <si>
    <t>CLEVELAND HEIGHTS -05-A - ABS</t>
  </si>
  <si>
    <t>CLEVELAND HEIGHTS -05-B</t>
  </si>
  <si>
    <t>CLEVELAND HEIGHTS -05-B - ABS</t>
  </si>
  <si>
    <t>CLEVELAND HEIGHTS -05-C</t>
  </si>
  <si>
    <t>CLEVELAND HEIGHTS -05-C - ABS</t>
  </si>
  <si>
    <t>CLEVELAND HEIGHTS -05-D</t>
  </si>
  <si>
    <t>CLEVELAND HEIGHTS -05-D - ABS</t>
  </si>
  <si>
    <t>CLEVELAND HEIGHTS -05-E</t>
  </si>
  <si>
    <t>CLEVELAND HEIGHTS -05-E - ABS</t>
  </si>
  <si>
    <t>CLEVELAND HEIGHTS -05-F</t>
  </si>
  <si>
    <t>CLEVELAND HEIGHTS -05-F - ABS</t>
  </si>
  <si>
    <t>CLEVELAND HEIGHTS -05-G</t>
  </si>
  <si>
    <t>CLEVELAND HEIGHTS -05-G - ABS</t>
  </si>
  <si>
    <t>CLEVELAND HEIGHTS -05-H</t>
  </si>
  <si>
    <t>CLEVELAND HEIGHTS -05-H - ABS</t>
  </si>
  <si>
    <t>CUYAHOGA HEIGHTS -00-A</t>
  </si>
  <si>
    <t>CUYAHOGA HEIGHTS -00-A - ABS</t>
  </si>
  <si>
    <t>EAST CLEVELAND -02-A</t>
  </si>
  <si>
    <t>EAST CLEVELAND -02-A - ABS</t>
  </si>
  <si>
    <t>EAST CLEVELAND -02-B</t>
  </si>
  <si>
    <t>EAST CLEVELAND -02-B - ABS</t>
  </si>
  <si>
    <t>EAST CLEVELAND -02-C</t>
  </si>
  <si>
    <t>EAST CLEVELAND -02-C - ABS</t>
  </si>
  <si>
    <t>EAST CLEVELAND -02-D</t>
  </si>
  <si>
    <t>EAST CLEVELAND -02-D - ABS</t>
  </si>
  <si>
    <t>EAST CLEVELAND -02-E</t>
  </si>
  <si>
    <t>EAST CLEVELAND -02-E - ABS</t>
  </si>
  <si>
    <t>EAST CLEVELAND -02-F</t>
  </si>
  <si>
    <t>EAST CLEVELAND -02-F - ABS</t>
  </si>
  <si>
    <t>EAST CLEVELAND -03-A</t>
  </si>
  <si>
    <t>EAST CLEVELAND -03-A - ABS</t>
  </si>
  <si>
    <t>EAST CLEVELAND -03-B</t>
  </si>
  <si>
    <t>EAST CLEVELAND -03-B - ABS</t>
  </si>
  <si>
    <t>EAST CLEVELAND -03-C</t>
  </si>
  <si>
    <t>EAST CLEVELAND -03-C - ABS</t>
  </si>
  <si>
    <t>EAST CLEVELAND -03-D</t>
  </si>
  <si>
    <t>EAST CLEVELAND -03-D - ABS</t>
  </si>
  <si>
    <t>EAST CLEVELAND -03-E</t>
  </si>
  <si>
    <t>EAST CLEVELAND -03-E - ABS</t>
  </si>
  <si>
    <t>EAST CLEVELAND -03-F</t>
  </si>
  <si>
    <t>EAST CLEVELAND -03-F - ABS</t>
  </si>
  <si>
    <t>EAST CLEVELAND -04-A</t>
  </si>
  <si>
    <t>EAST CLEVELAND -04-A - ABS</t>
  </si>
  <si>
    <t>EAST CLEVELAND -04-B</t>
  </si>
  <si>
    <t>EAST CLEVELAND -04-B - ABS</t>
  </si>
  <si>
    <t>EAST CLEVELAND -04-C</t>
  </si>
  <si>
    <t>EAST CLEVELAND -04-C - ABS</t>
  </si>
  <si>
    <t>EAST CLEVELAND -04-D</t>
  </si>
  <si>
    <t>EAST CLEVELAND -04-D - ABS</t>
  </si>
  <si>
    <t>EAST CLEVELAND -04-E</t>
  </si>
  <si>
    <t>EAST CLEVELAND -04-E - ABS</t>
  </si>
  <si>
    <t>EAST CLEVELAND -04-F</t>
  </si>
  <si>
    <t>EAST CLEVELAND -04-F - ABS</t>
  </si>
  <si>
    <t>EUCLID -01-A</t>
  </si>
  <si>
    <t>EUCLID -01-A - ABS</t>
  </si>
  <si>
    <t>EUCLID -01-B</t>
  </si>
  <si>
    <t>EUCLID -01-B - ABS</t>
  </si>
  <si>
    <t>EUCLID -01-C</t>
  </si>
  <si>
    <t>EUCLID -01-C - ABS</t>
  </si>
  <si>
    <t>EUCLID -01-D</t>
  </si>
  <si>
    <t>EUCLID -01-D - ABS</t>
  </si>
  <si>
    <t>EUCLID -01-E</t>
  </si>
  <si>
    <t>EUCLID -01-E - ABS</t>
  </si>
  <si>
    <t>EUCLID -01-F</t>
  </si>
  <si>
    <t>EUCLID -01-F - ABS</t>
  </si>
  <si>
    <t>EUCLID -02-A</t>
  </si>
  <si>
    <t>EUCLID -02-A - ABS</t>
  </si>
  <si>
    <t>EUCLID -02-B</t>
  </si>
  <si>
    <t>EUCLID -02-B - ABS</t>
  </si>
  <si>
    <t>EUCLID -02-C</t>
  </si>
  <si>
    <t>EUCLID -02-C - ABS</t>
  </si>
  <si>
    <t>EUCLID -02-D</t>
  </si>
  <si>
    <t>EUCLID -02-D - ABS</t>
  </si>
  <si>
    <t>EUCLID -02-E</t>
  </si>
  <si>
    <t>EUCLID -02-E - ABS</t>
  </si>
  <si>
    <t>EUCLID -02-F</t>
  </si>
  <si>
    <t>EUCLID -02-F - ABS</t>
  </si>
  <si>
    <t>EUCLID -03-A</t>
  </si>
  <si>
    <t>EUCLID -03-A - ABS</t>
  </si>
  <si>
    <t>EUCLID -03-B</t>
  </si>
  <si>
    <t>EUCLID -03-B - ABS</t>
  </si>
  <si>
    <t>EUCLID -03-C</t>
  </si>
  <si>
    <t>EUCLID -03-C - ABS</t>
  </si>
  <si>
    <t>EUCLID -03-D</t>
  </si>
  <si>
    <t>EUCLID -03-D - ABS</t>
  </si>
  <si>
    <t>EUCLID -03-E</t>
  </si>
  <si>
    <t>EUCLID -03-E - ABS</t>
  </si>
  <si>
    <t>EUCLID -03-F</t>
  </si>
  <si>
    <t>EUCLID -03-F - ABS</t>
  </si>
  <si>
    <t>EUCLID -04-A</t>
  </si>
  <si>
    <t>EUCLID -04-A - ABS</t>
  </si>
  <si>
    <t>EUCLID -04-B</t>
  </si>
  <si>
    <t>EUCLID -04-B - ABS</t>
  </si>
  <si>
    <t>EUCLID -04-C</t>
  </si>
  <si>
    <t>EUCLID -04-C - ABS</t>
  </si>
  <si>
    <t>EUCLID -04-D</t>
  </si>
  <si>
    <t>EUCLID -04-D - ABS</t>
  </si>
  <si>
    <t>EUCLID -04-E</t>
  </si>
  <si>
    <t>EUCLID -04-E - ABS</t>
  </si>
  <si>
    <t>EUCLID -04-F</t>
  </si>
  <si>
    <t>EUCLID -04-F - ABS</t>
  </si>
  <si>
    <t>EUCLID -05-A</t>
  </si>
  <si>
    <t>EUCLID -05-A - ABS</t>
  </si>
  <si>
    <t>EUCLID -05-B</t>
  </si>
  <si>
    <t>EUCLID -05-B - ABS</t>
  </si>
  <si>
    <t>EUCLID -05-C</t>
  </si>
  <si>
    <t>EUCLID -05-C - ABS</t>
  </si>
  <si>
    <t>EUCLID -05-D</t>
  </si>
  <si>
    <t>EUCLID -05-D - ABS</t>
  </si>
  <si>
    <t>EUCLID -05-E</t>
  </si>
  <si>
    <t>EUCLID -05-E - ABS</t>
  </si>
  <si>
    <t>EUCLID -05-F</t>
  </si>
  <si>
    <t>EUCLID -05-F - ABS</t>
  </si>
  <si>
    <t>EUCLID -06-A</t>
  </si>
  <si>
    <t>EUCLID -06-A - ABS</t>
  </si>
  <si>
    <t>EUCLID -06-B</t>
  </si>
  <si>
    <t>EUCLID -06-B - ABS</t>
  </si>
  <si>
    <t>EUCLID -06-C</t>
  </si>
  <si>
    <t>EUCLID -06-C - ABS</t>
  </si>
  <si>
    <t>EUCLID -06-D</t>
  </si>
  <si>
    <t>EUCLID -06-D - ABS</t>
  </si>
  <si>
    <t>EUCLID -06-E</t>
  </si>
  <si>
    <t>EUCLID -06-E - ABS</t>
  </si>
  <si>
    <t>EUCLID -06-F</t>
  </si>
  <si>
    <t>EUCLID -06-F - ABS</t>
  </si>
  <si>
    <t>EUCLID -07-A</t>
  </si>
  <si>
    <t>EUCLID -07-A - ABS</t>
  </si>
  <si>
    <t>EUCLID -07-B</t>
  </si>
  <si>
    <t>EUCLID -07-B - ABS</t>
  </si>
  <si>
    <t>EUCLID -07-C</t>
  </si>
  <si>
    <t>EUCLID -07-C - ABS</t>
  </si>
  <si>
    <t>EUCLID -07-D</t>
  </si>
  <si>
    <t>EUCLID -07-D - ABS</t>
  </si>
  <si>
    <t>EUCLID -07-E</t>
  </si>
  <si>
    <t>EUCLID -07-E - ABS</t>
  </si>
  <si>
    <t>EUCLID -07-F</t>
  </si>
  <si>
    <t>EUCLID -07-F - ABS</t>
  </si>
  <si>
    <t>EUCLID -08-A</t>
  </si>
  <si>
    <t>EUCLID -08-A - ABS</t>
  </si>
  <si>
    <t>EUCLID -08-B</t>
  </si>
  <si>
    <t>EUCLID -08-B - ABS</t>
  </si>
  <si>
    <t>EUCLID -08-C</t>
  </si>
  <si>
    <t>EUCLID -08-C - ABS</t>
  </si>
  <si>
    <t>EUCLID -08-D</t>
  </si>
  <si>
    <t>EUCLID -08-D - ABS</t>
  </si>
  <si>
    <t>EUCLID -08-E</t>
  </si>
  <si>
    <t>EUCLID -08-E - ABS</t>
  </si>
  <si>
    <t>EUCLID -08-F</t>
  </si>
  <si>
    <t>EUCLID -08-F - ABS</t>
  </si>
  <si>
    <t>FAIRVIEW PARK -01-A</t>
  </si>
  <si>
    <t>FAIRVIEW PARK -01-A - ABS</t>
  </si>
  <si>
    <t>FAIRVIEW PARK -01-B</t>
  </si>
  <si>
    <t>FAIRVIEW PARK -01-B - ABS</t>
  </si>
  <si>
    <t>FAIRVIEW PARK -01-C</t>
  </si>
  <si>
    <t>FAIRVIEW PARK -01-C - ABS</t>
  </si>
  <si>
    <t>FAIRVIEW PARK -02-A</t>
  </si>
  <si>
    <t>FAIRVIEW PARK -02-A - ABS</t>
  </si>
  <si>
    <t>FAIRVIEW PARK -02-B</t>
  </si>
  <si>
    <t>FAIRVIEW PARK -02-B - ABS</t>
  </si>
  <si>
    <t>FAIRVIEW PARK -02-C</t>
  </si>
  <si>
    <t>FAIRVIEW PARK -02-C - ABS</t>
  </si>
  <si>
    <t>FAIRVIEW PARK -03-A</t>
  </si>
  <si>
    <t>FAIRVIEW PARK -03-A - ABS</t>
  </si>
  <si>
    <t>FAIRVIEW PARK -03-B</t>
  </si>
  <si>
    <t>FAIRVIEW PARK -03-B - ABS</t>
  </si>
  <si>
    <t>FAIRVIEW PARK -03-C</t>
  </si>
  <si>
    <t>FAIRVIEW PARK -03-C - ABS</t>
  </si>
  <si>
    <t>FAIRVIEW PARK -04-A</t>
  </si>
  <si>
    <t>FAIRVIEW PARK -04-A - ABS</t>
  </si>
  <si>
    <t>FAIRVIEW PARK -04-B</t>
  </si>
  <si>
    <t>FAIRVIEW PARK -04-B - ABS</t>
  </si>
  <si>
    <t>FAIRVIEW PARK -04-C</t>
  </si>
  <si>
    <t>FAIRVIEW PARK -04-C - ABS</t>
  </si>
  <si>
    <t>FAIRVIEW PARK -05-A</t>
  </si>
  <si>
    <t>FAIRVIEW PARK -05-A - ABS</t>
  </si>
  <si>
    <t>FAIRVIEW PARK -05-B</t>
  </si>
  <si>
    <t>FAIRVIEW PARK -05-B - ABS</t>
  </si>
  <si>
    <t>FAIRVIEW PARK -05-C</t>
  </si>
  <si>
    <t>FAIRVIEW PARK -05-C - ABS</t>
  </si>
  <si>
    <t>GARFIELD HEIGHTS -01-A</t>
  </si>
  <si>
    <t>GARFIELD HEIGHTS -01-A - ABS</t>
  </si>
  <si>
    <t>GARFIELD HEIGHTS -01-B</t>
  </si>
  <si>
    <t>GARFIELD HEIGHTS -01-B - ABS</t>
  </si>
  <si>
    <t>GARFIELD HEIGHTS -01-C</t>
  </si>
  <si>
    <t>GARFIELD HEIGHTS -01-C - ABS</t>
  </si>
  <si>
    <t>GARFIELD HEIGHTS -01-D</t>
  </si>
  <si>
    <t>GARFIELD HEIGHTS -01-D - ABS</t>
  </si>
  <si>
    <t>GARFIELD HEIGHTS -02-A</t>
  </si>
  <si>
    <t>GARFIELD HEIGHTS -02-A - ABS</t>
  </si>
  <si>
    <t>GARFIELD HEIGHTS -02-B</t>
  </si>
  <si>
    <t>GARFIELD HEIGHTS -02-B - ABS</t>
  </si>
  <si>
    <t>GARFIELD HEIGHTS -02-C</t>
  </si>
  <si>
    <t>GARFIELD HEIGHTS -02-C - ABS</t>
  </si>
  <si>
    <t>GARFIELD HEIGHTS -03-A</t>
  </si>
  <si>
    <t>GARFIELD HEIGHTS -03-A - ABS</t>
  </si>
  <si>
    <t>GARFIELD HEIGHTS -03-B</t>
  </si>
  <si>
    <t>GARFIELD HEIGHTS -03-B - ABS</t>
  </si>
  <si>
    <t>GARFIELD HEIGHTS -03-C</t>
  </si>
  <si>
    <t>GARFIELD HEIGHTS -03-C - ABS</t>
  </si>
  <si>
    <t>GARFIELD HEIGHTS -04-A</t>
  </si>
  <si>
    <t>GARFIELD HEIGHTS -04-A - ABS</t>
  </si>
  <si>
    <t>GARFIELD HEIGHTS -04-B</t>
  </si>
  <si>
    <t>GARFIELD HEIGHTS -04-B - ABS</t>
  </si>
  <si>
    <t>GARFIELD HEIGHTS -04-C</t>
  </si>
  <si>
    <t>GARFIELD HEIGHTS -04-C - ABS</t>
  </si>
  <si>
    <t>GARFIELD HEIGHTS -05-A</t>
  </si>
  <si>
    <t>GARFIELD HEIGHTS -05-A - ABS</t>
  </si>
  <si>
    <t>GARFIELD HEIGHTS -05-B</t>
  </si>
  <si>
    <t>GARFIELD HEIGHTS -05-B - ABS</t>
  </si>
  <si>
    <t>GARFIELD HEIGHTS -05-C</t>
  </si>
  <si>
    <t>GARFIELD HEIGHTS -05-C - ABS</t>
  </si>
  <si>
    <t>GARFIELD HEIGHTS -06-A</t>
  </si>
  <si>
    <t>GARFIELD HEIGHTS -06-A - ABS</t>
  </si>
  <si>
    <t>GARFIELD HEIGHTS -06-B</t>
  </si>
  <si>
    <t>GARFIELD HEIGHTS -06-B - ABS</t>
  </si>
  <si>
    <t>GARFIELD HEIGHTS -06-C</t>
  </si>
  <si>
    <t>GARFIELD HEIGHTS -06-C - ABS</t>
  </si>
  <si>
    <t>GARFIELD HEIGHTS -07-A</t>
  </si>
  <si>
    <t>GARFIELD HEIGHTS -07-A - ABS</t>
  </si>
  <si>
    <t>GARFIELD HEIGHTS -07-B</t>
  </si>
  <si>
    <t>GARFIELD HEIGHTS -07-B - ABS</t>
  </si>
  <si>
    <t>GARFIELD HEIGHTS -07-C</t>
  </si>
  <si>
    <t>GARFIELD HEIGHTS -07-C - ABS</t>
  </si>
  <si>
    <t>GATES MILLS -00-A</t>
  </si>
  <si>
    <t>GATES MILLS -00-A - ABS</t>
  </si>
  <si>
    <t>GATES MILLS -00-B</t>
  </si>
  <si>
    <t>GATES MILLS -00-B - ABS</t>
  </si>
  <si>
    <t>GLENWILLOW -01-A</t>
  </si>
  <si>
    <t>GLENWILLOW -01-A - ABS</t>
  </si>
  <si>
    <t>GLENWILLOW -02-A</t>
  </si>
  <si>
    <t>GLENWILLOW -02-A - ABS</t>
  </si>
  <si>
    <t>GLENWILLOW -03-A</t>
  </si>
  <si>
    <t>GLENWILLOW -03-A - ABS</t>
  </si>
  <si>
    <t>HIGHLAND HEIGHTS -01-A</t>
  </si>
  <si>
    <t>HIGHLAND HEIGHTS -01-A - ABS</t>
  </si>
  <si>
    <t>HIGHLAND HEIGHTS -01-B</t>
  </si>
  <si>
    <t>HIGHLAND HEIGHTS -01-B - ABS</t>
  </si>
  <si>
    <t>HIGHLAND HEIGHTS -02-A</t>
  </si>
  <si>
    <t>HIGHLAND HEIGHTS -02-A - ABS</t>
  </si>
  <si>
    <t>HIGHLAND HEIGHTS -02-B</t>
  </si>
  <si>
    <t>HIGHLAND HEIGHTS -02-B - ABS</t>
  </si>
  <si>
    <t>HIGHLAND HEIGHTS -03-A</t>
  </si>
  <si>
    <t>HIGHLAND HEIGHTS -03-A - ABS</t>
  </si>
  <si>
    <t>HIGHLAND HEIGHTS -03-B</t>
  </si>
  <si>
    <t>HIGHLAND HEIGHTS -03-B - ABS</t>
  </si>
  <si>
    <t>HIGHLAND HEIGHTS -04-A</t>
  </si>
  <si>
    <t>HIGHLAND HEIGHTS -04-A - ABS</t>
  </si>
  <si>
    <t>HIGHLAND HEIGHTS -04-B</t>
  </si>
  <si>
    <t>HIGHLAND HEIGHTS -04-B - ABS</t>
  </si>
  <si>
    <t>HIGHLAND HILLS -00-A</t>
  </si>
  <si>
    <t>HIGHLAND HILLS -00-A - ABS</t>
  </si>
  <si>
    <t>HUNTING VALLEY -00-A</t>
  </si>
  <si>
    <t>HUNTING VALLEY -00-A - ABS</t>
  </si>
  <si>
    <t>INDEPENDENCE -00-A</t>
  </si>
  <si>
    <t>INDEPENDENCE -00-A - ABS</t>
  </si>
  <si>
    <t>INDEPENDENCE -00-B</t>
  </si>
  <si>
    <t>INDEPENDENCE -00-B - ABS</t>
  </si>
  <si>
    <t>INDEPENDENCE -00-C</t>
  </si>
  <si>
    <t>INDEPENDENCE -00-C - ABS</t>
  </si>
  <si>
    <t>INDEPENDENCE -00-D</t>
  </si>
  <si>
    <t>INDEPENDENCE -00-D - ABS</t>
  </si>
  <si>
    <t>INDEPENDENCE -00-E</t>
  </si>
  <si>
    <t>INDEPENDENCE -00-E - ABS</t>
  </si>
  <si>
    <t>LAKEWOOD -01-A</t>
  </si>
  <si>
    <t>LAKEWOOD -01-A - ABS</t>
  </si>
  <si>
    <t>LAKEWOOD -01-B</t>
  </si>
  <si>
    <t>LAKEWOOD -01-B - ABS</t>
  </si>
  <si>
    <t>LAKEWOOD -01-C</t>
  </si>
  <si>
    <t>LAKEWOOD -01-C - ABS</t>
  </si>
  <si>
    <t>LAKEWOOD -01-D</t>
  </si>
  <si>
    <t>LAKEWOOD -01-D - ABS</t>
  </si>
  <si>
    <t>LAKEWOOD -01-E</t>
  </si>
  <si>
    <t>LAKEWOOD -01-E - ABS</t>
  </si>
  <si>
    <t>LAKEWOOD -01-F</t>
  </si>
  <si>
    <t>LAKEWOOD -01-F - ABS</t>
  </si>
  <si>
    <t>LAKEWOOD -01-G</t>
  </si>
  <si>
    <t>LAKEWOOD -01-G - ABS</t>
  </si>
  <si>
    <t>LAKEWOOD -01-H</t>
  </si>
  <si>
    <t>LAKEWOOD -01-H - ABS</t>
  </si>
  <si>
    <t>LAKEWOOD -01-I</t>
  </si>
  <si>
    <t>LAKEWOOD -01-I - ABS</t>
  </si>
  <si>
    <t>LAKEWOOD -01-J</t>
  </si>
  <si>
    <t>LAKEWOOD -01-J - ABS</t>
  </si>
  <si>
    <t>LAKEWOOD -02-A</t>
  </si>
  <si>
    <t>LAKEWOOD -02-A - ABS</t>
  </si>
  <si>
    <t>LAKEWOOD -02-B</t>
  </si>
  <si>
    <t>LAKEWOOD -02-B - ABS</t>
  </si>
  <si>
    <t>LAKEWOOD -02-C</t>
  </si>
  <si>
    <t>LAKEWOOD -02-C - ABS</t>
  </si>
  <si>
    <t>LAKEWOOD -02-D</t>
  </si>
  <si>
    <t>LAKEWOOD -02-D - ABS</t>
  </si>
  <si>
    <t>LAKEWOOD -02-E</t>
  </si>
  <si>
    <t>LAKEWOOD -02-E - ABS</t>
  </si>
  <si>
    <t>LAKEWOOD -02-F</t>
  </si>
  <si>
    <t>LAKEWOOD -02-F - ABS</t>
  </si>
  <si>
    <t>LAKEWOOD -02-G</t>
  </si>
  <si>
    <t>LAKEWOOD -02-G - ABS</t>
  </si>
  <si>
    <t>LAKEWOOD -02-H</t>
  </si>
  <si>
    <t>LAKEWOOD -02-H - ABS</t>
  </si>
  <si>
    <t>LAKEWOOD -02-I</t>
  </si>
  <si>
    <t>LAKEWOOD -02-I - ABS</t>
  </si>
  <si>
    <t>LAKEWOOD -02-J</t>
  </si>
  <si>
    <t>LAKEWOOD -02-J - ABS</t>
  </si>
  <si>
    <t>LAKEWOOD -03-A</t>
  </si>
  <si>
    <t>LAKEWOOD -03-A - ABS</t>
  </si>
  <si>
    <t>LAKEWOOD -03-B</t>
  </si>
  <si>
    <t>LAKEWOOD -03-B - ABS</t>
  </si>
  <si>
    <t>LAKEWOOD -03-C</t>
  </si>
  <si>
    <t>LAKEWOOD -03-C - ABS</t>
  </si>
  <si>
    <t>LAKEWOOD -03-D</t>
  </si>
  <si>
    <t>LAKEWOOD -03-D - ABS</t>
  </si>
  <si>
    <t>LAKEWOOD -03-E</t>
  </si>
  <si>
    <t>LAKEWOOD -03-E - ABS</t>
  </si>
  <si>
    <t>LAKEWOOD -03-F</t>
  </si>
  <si>
    <t>LAKEWOOD -03-F - ABS</t>
  </si>
  <si>
    <t>LAKEWOOD -03-G</t>
  </si>
  <si>
    <t>LAKEWOOD -03-G - ABS</t>
  </si>
  <si>
    <t>LAKEWOOD -03-H</t>
  </si>
  <si>
    <t>LAKEWOOD -03-H - ABS</t>
  </si>
  <si>
    <t>LAKEWOOD -03-I</t>
  </si>
  <si>
    <t>LAKEWOOD -03-I - ABS</t>
  </si>
  <si>
    <t>LAKEWOOD -03-J</t>
  </si>
  <si>
    <t>LAKEWOOD -03-J - ABS</t>
  </si>
  <si>
    <t>LAKEWOOD -04-A</t>
  </si>
  <si>
    <t>LAKEWOOD -04-A - ABS</t>
  </si>
  <si>
    <t>LAKEWOOD -04-B</t>
  </si>
  <si>
    <t>LAKEWOOD -04-B - ABS</t>
  </si>
  <si>
    <t>LAKEWOOD -04-C</t>
  </si>
  <si>
    <t>LAKEWOOD -04-C - ABS</t>
  </si>
  <si>
    <t>LAKEWOOD -04-D</t>
  </si>
  <si>
    <t>LAKEWOOD -04-D - ABS</t>
  </si>
  <si>
    <t>LAKEWOOD -04-E</t>
  </si>
  <si>
    <t>LAKEWOOD -04-E - ABS</t>
  </si>
  <si>
    <t>LAKEWOOD -04-F</t>
  </si>
  <si>
    <t>LAKEWOOD -04-F - ABS</t>
  </si>
  <si>
    <t>LAKEWOOD -04-G</t>
  </si>
  <si>
    <t>LAKEWOOD -04-G - ABS</t>
  </si>
  <si>
    <t>LAKEWOOD -04-H</t>
  </si>
  <si>
    <t>LAKEWOOD -04-H - ABS</t>
  </si>
  <si>
    <t>LAKEWOOD -04-I</t>
  </si>
  <si>
    <t>LAKEWOOD -04-I - ABS</t>
  </si>
  <si>
    <t>LAKEWOOD -04-J</t>
  </si>
  <si>
    <t>LAKEWOOD -04-J - ABS</t>
  </si>
  <si>
    <t>LAKEWOOD -04-K</t>
  </si>
  <si>
    <t>LAKEWOOD -04-K - ABS</t>
  </si>
  <si>
    <t>LINNDALE -00-A</t>
  </si>
  <si>
    <t>LINNDALE -00-A - ABS</t>
  </si>
  <si>
    <t>LYNDHURST -01-A</t>
  </si>
  <si>
    <t>LYNDHURST -01-A - ABS</t>
  </si>
  <si>
    <t>LYNDHURST -01-B</t>
  </si>
  <si>
    <t>LYNDHURST -01-B - ABS</t>
  </si>
  <si>
    <t>LYNDHURST -01-C</t>
  </si>
  <si>
    <t>LYNDHURST -01-C - ABS</t>
  </si>
  <si>
    <t>LYNDHURST -02-A</t>
  </si>
  <si>
    <t>LYNDHURST -02-A - ABS</t>
  </si>
  <si>
    <t>LYNDHURST -02-B</t>
  </si>
  <si>
    <t>LYNDHURST -02-B - ABS</t>
  </si>
  <si>
    <t>LYNDHURST -02-C</t>
  </si>
  <si>
    <t>LYNDHURST -02-C - ABS</t>
  </si>
  <si>
    <t>LYNDHURST -03-A</t>
  </si>
  <si>
    <t>LYNDHURST -03-A - ABS</t>
  </si>
  <si>
    <t>LYNDHURST -03-B</t>
  </si>
  <si>
    <t>LYNDHURST -03-B - ABS</t>
  </si>
  <si>
    <t>LYNDHURST -03-C</t>
  </si>
  <si>
    <t>LYNDHURST -03-C - ABS</t>
  </si>
  <si>
    <t>LYNDHURST -04-A</t>
  </si>
  <si>
    <t>LYNDHURST -04-A - ABS</t>
  </si>
  <si>
    <t>LYNDHURST -04-B</t>
  </si>
  <si>
    <t>LYNDHURST -04-B - ABS</t>
  </si>
  <si>
    <t>LYNDHURST -04-C</t>
  </si>
  <si>
    <t>LYNDHURST -04-C - ABS</t>
  </si>
  <si>
    <t>MAPLE HEIGHTS -01-A</t>
  </si>
  <si>
    <t>MAPLE HEIGHTS -01-A - ABS</t>
  </si>
  <si>
    <t>MAPLE HEIGHTS -01-B</t>
  </si>
  <si>
    <t>MAPLE HEIGHTS -01-B - ABS</t>
  </si>
  <si>
    <t>MAPLE HEIGHTS -02-A</t>
  </si>
  <si>
    <t>MAPLE HEIGHTS -02-A - ABS</t>
  </si>
  <si>
    <t>MAPLE HEIGHTS -02-B</t>
  </si>
  <si>
    <t>MAPLE HEIGHTS -02-B - ABS</t>
  </si>
  <si>
    <t>MAPLE HEIGHTS -02-C</t>
  </si>
  <si>
    <t>MAPLE HEIGHTS -02-C - ABS</t>
  </si>
  <si>
    <t>MAPLE HEIGHTS -03-A</t>
  </si>
  <si>
    <t>MAPLE HEIGHTS -03-A - ABS</t>
  </si>
  <si>
    <t>MAPLE HEIGHTS -03-B</t>
  </si>
  <si>
    <t>MAPLE HEIGHTS -03-B - ABS</t>
  </si>
  <si>
    <t>MAPLE HEIGHTS -04-A</t>
  </si>
  <si>
    <t>MAPLE HEIGHTS -04-A - ABS</t>
  </si>
  <si>
    <t>MAPLE HEIGHTS -04-B</t>
  </si>
  <si>
    <t>MAPLE HEIGHTS -04-B - ABS</t>
  </si>
  <si>
    <t>MAPLE HEIGHTS -04-C</t>
  </si>
  <si>
    <t>MAPLE HEIGHTS -04-C - ABS</t>
  </si>
  <si>
    <t>MAPLE HEIGHTS -05-A</t>
  </si>
  <si>
    <t>MAPLE HEIGHTS -05-A - ABS</t>
  </si>
  <si>
    <t>MAPLE HEIGHTS -05-B</t>
  </si>
  <si>
    <t>MAPLE HEIGHTS -05-B - ABS</t>
  </si>
  <si>
    <t>MAPLE HEIGHTS -05-C</t>
  </si>
  <si>
    <t>MAPLE HEIGHTS -05-C - ABS</t>
  </si>
  <si>
    <t>MAPLE HEIGHTS -06-A</t>
  </si>
  <si>
    <t>MAPLE HEIGHTS -06-A - ABS</t>
  </si>
  <si>
    <t>MAPLE HEIGHTS -06-B</t>
  </si>
  <si>
    <t>MAPLE HEIGHTS -06-B - ABS</t>
  </si>
  <si>
    <t>MAPLE HEIGHTS -06-C</t>
  </si>
  <si>
    <t>MAPLE HEIGHTS -06-C - ABS</t>
  </si>
  <si>
    <t>MAPLE HEIGHTS -07-A</t>
  </si>
  <si>
    <t>MAPLE HEIGHTS -07-A - ABS</t>
  </si>
  <si>
    <t>MAPLE HEIGHTS -07-B</t>
  </si>
  <si>
    <t>MAPLE HEIGHTS -07-B - ABS</t>
  </si>
  <si>
    <t>MAPLE HEIGHTS -07-C</t>
  </si>
  <si>
    <t>MAPLE HEIGHTS -07-C - ABS</t>
  </si>
  <si>
    <t>MAYFIELD HEIGHTS -00-A</t>
  </si>
  <si>
    <t>MAYFIELD HEIGHTS -00-A - ABS</t>
  </si>
  <si>
    <t>MAYFIELD HEIGHTS -00-B</t>
  </si>
  <si>
    <t>MAYFIELD HEIGHTS -00-B - ABS</t>
  </si>
  <si>
    <t>MAYFIELD HEIGHTS -00-C</t>
  </si>
  <si>
    <t>MAYFIELD HEIGHTS -00-C - ABS</t>
  </si>
  <si>
    <t>MAYFIELD HEIGHTS -00-D</t>
  </si>
  <si>
    <t>MAYFIELD HEIGHTS -00-D - ABS</t>
  </si>
  <si>
    <t>MAYFIELD HEIGHTS -00-E</t>
  </si>
  <si>
    <t>MAYFIELD HEIGHTS -00-E - ABS</t>
  </si>
  <si>
    <t>MAYFIELD HEIGHTS -00-F</t>
  </si>
  <si>
    <t>MAYFIELD HEIGHTS -00-F - ABS</t>
  </si>
  <si>
    <t>MAYFIELD HEIGHTS -00-G</t>
  </si>
  <si>
    <t>MAYFIELD HEIGHTS -00-G - ABS</t>
  </si>
  <si>
    <t>MAYFIELD HEIGHTS -00-H</t>
  </si>
  <si>
    <t>MAYFIELD HEIGHTS -00-H - ABS</t>
  </si>
  <si>
    <t>MAYFIELD HEIGHTS -00-I</t>
  </si>
  <si>
    <t>MAYFIELD HEIGHTS -00-I - ABS</t>
  </si>
  <si>
    <t>MAYFIELD HEIGHTS -00-J</t>
  </si>
  <si>
    <t>MAYFIELD HEIGHTS -00-J - ABS</t>
  </si>
  <si>
    <t>MAYFIELD HEIGHTS -00-K</t>
  </si>
  <si>
    <t>MAYFIELD HEIGHTS -00-K - ABS</t>
  </si>
  <si>
    <t>MAYFIELD HEIGHTS -00-L</t>
  </si>
  <si>
    <t>MAYFIELD HEIGHTS -00-L - ABS</t>
  </si>
  <si>
    <t>MAYFIELD HEIGHTS -00-M</t>
  </si>
  <si>
    <t>MAYFIELD HEIGHTS -00-M - ABS</t>
  </si>
  <si>
    <t>MAYFIELD HEIGHTS -00-N</t>
  </si>
  <si>
    <t>MAYFIELD HEIGHTS -00-N - ABS</t>
  </si>
  <si>
    <t>MAYFIELD HEIGHTS -00-O</t>
  </si>
  <si>
    <t>MAYFIELD HEIGHTS -00-O - ABS</t>
  </si>
  <si>
    <t>MAYFIELD VILLAGE -01-A</t>
  </si>
  <si>
    <t>MAYFIELD VILLAGE -01-A - ABS</t>
  </si>
  <si>
    <t>MAYFIELD VILLAGE -02-A</t>
  </si>
  <si>
    <t>MAYFIELD VILLAGE -02-A - ABS</t>
  </si>
  <si>
    <t>MAYFIELD VILLAGE -03-A</t>
  </si>
  <si>
    <t>MAYFIELD VILLAGE -03-A - ABS</t>
  </si>
  <si>
    <t>MAYFIELD VILLAGE -04-A</t>
  </si>
  <si>
    <t>MAYFIELD VILLAGE -04-A - ABS</t>
  </si>
  <si>
    <t>MIDDLEBURG HEIGHTS -01-A</t>
  </si>
  <si>
    <t>MIDDLEBURG HEIGHTS -01-A - ABS</t>
  </si>
  <si>
    <t>MIDDLEBURG HEIGHTS -01-B</t>
  </si>
  <si>
    <t>MIDDLEBURG HEIGHTS -01-B - ABS</t>
  </si>
  <si>
    <t>MIDDLEBURG HEIGHTS -01-C</t>
  </si>
  <si>
    <t>MIDDLEBURG HEIGHTS -01-C - ABS</t>
  </si>
  <si>
    <t>MIDDLEBURG HEIGHTS -01-D</t>
  </si>
  <si>
    <t>MIDDLEBURG HEIGHTS -01-D - ABS</t>
  </si>
  <si>
    <t>MIDDLEBURG HEIGHTS -02-A</t>
  </si>
  <si>
    <t>MIDDLEBURG HEIGHTS -02-A - ABS</t>
  </si>
  <si>
    <t>MIDDLEBURG HEIGHTS -02-B</t>
  </si>
  <si>
    <t>MIDDLEBURG HEIGHTS -02-B - ABS</t>
  </si>
  <si>
    <t>MIDDLEBURG HEIGHTS -02-C</t>
  </si>
  <si>
    <t>MIDDLEBURG HEIGHTS -02-C - ABS</t>
  </si>
  <si>
    <t>MIDDLEBURG HEIGHTS -03-A</t>
  </si>
  <si>
    <t>MIDDLEBURG HEIGHTS -03-A - ABS</t>
  </si>
  <si>
    <t>MIDDLEBURG HEIGHTS -03-B</t>
  </si>
  <si>
    <t>MIDDLEBURG HEIGHTS -03-B - ABS</t>
  </si>
  <si>
    <t>MIDDLEBURG HEIGHTS -03-C</t>
  </si>
  <si>
    <t>MIDDLEBURG HEIGHTS -03-C - ABS</t>
  </si>
  <si>
    <t>MIDDLEBURG HEIGHTS -04-A</t>
  </si>
  <si>
    <t>MIDDLEBURG HEIGHTS -04-A - ABS</t>
  </si>
  <si>
    <t>MIDDLEBURG HEIGHTS -04-B</t>
  </si>
  <si>
    <t>MIDDLEBURG HEIGHTS -04-B - ABS</t>
  </si>
  <si>
    <t>MIDDLEBURG HEIGHTS -04-C</t>
  </si>
  <si>
    <t>MIDDLEBURG HEIGHTS -04-C - ABS</t>
  </si>
  <si>
    <t>MORELAND HILLS -00-A</t>
  </si>
  <si>
    <t>MORELAND HILLS -00-A - ABS</t>
  </si>
  <si>
    <t>MORELAND HILLS -00-B</t>
  </si>
  <si>
    <t>MORELAND HILLS -00-B - ABS</t>
  </si>
  <si>
    <t>MORELAND HILLS -00-C</t>
  </si>
  <si>
    <t>MORELAND HILLS -00-C - ABS</t>
  </si>
  <si>
    <t>NEWBURGH HEIGHTS -00-A</t>
  </si>
  <si>
    <t>NEWBURGH HEIGHTS -00-A - ABS</t>
  </si>
  <si>
    <t>NEWBURGH HEIGHTS -00-B</t>
  </si>
  <si>
    <t>NEWBURGH HEIGHTS -00-B - ABS</t>
  </si>
  <si>
    <t>NORTH OLMSTED -01-A</t>
  </si>
  <si>
    <t>NORTH OLMSTED -01-A - ABS</t>
  </si>
  <si>
    <t>NORTH OLMSTED -01-B</t>
  </si>
  <si>
    <t>NORTH OLMSTED -01-B - ABS</t>
  </si>
  <si>
    <t>NORTH OLMSTED -01-C</t>
  </si>
  <si>
    <t>NORTH OLMSTED -01-C - ABS</t>
  </si>
  <si>
    <t>NORTH OLMSTED -01-D</t>
  </si>
  <si>
    <t>NORTH OLMSTED -01-D - ABS</t>
  </si>
  <si>
    <t>NORTH OLMSTED -01-E</t>
  </si>
  <si>
    <t>NORTH OLMSTED -01-E - ABS</t>
  </si>
  <si>
    <t>NORTH OLMSTED -01-F</t>
  </si>
  <si>
    <t>NORTH OLMSTED -01-F - ABS</t>
  </si>
  <si>
    <t>NORTH OLMSTED -02-A</t>
  </si>
  <si>
    <t>NORTH OLMSTED -02-A - ABS</t>
  </si>
  <si>
    <t>NORTH OLMSTED -02-B</t>
  </si>
  <si>
    <t>NORTH OLMSTED -02-B - ABS</t>
  </si>
  <si>
    <t>NORTH OLMSTED -02-C</t>
  </si>
  <si>
    <t>NORTH OLMSTED -02-C - ABS</t>
  </si>
  <si>
    <t>NORTH OLMSTED -02-D</t>
  </si>
  <si>
    <t>NORTH OLMSTED -02-D - ABS</t>
  </si>
  <si>
    <t>NORTH OLMSTED -02-E</t>
  </si>
  <si>
    <t>NORTH OLMSTED -02-E - ABS</t>
  </si>
  <si>
    <t>NORTH OLMSTED -03-A</t>
  </si>
  <si>
    <t>NORTH OLMSTED -03-A - ABS</t>
  </si>
  <si>
    <t>NORTH OLMSTED -03-B</t>
  </si>
  <si>
    <t>NORTH OLMSTED -03-B - ABS</t>
  </si>
  <si>
    <t>NORTH OLMSTED -03-C</t>
  </si>
  <si>
    <t>NORTH OLMSTED -03-C - ABS</t>
  </si>
  <si>
    <t>NORTH OLMSTED -03-D</t>
  </si>
  <si>
    <t>NORTH OLMSTED -03-D - ABS</t>
  </si>
  <si>
    <t>NORTH OLMSTED -03-E</t>
  </si>
  <si>
    <t>NORTH OLMSTED -03-E - ABS</t>
  </si>
  <si>
    <t>NORTH OLMSTED -03-F</t>
  </si>
  <si>
    <t>NORTH OLMSTED -03-F - ABS</t>
  </si>
  <si>
    <t>NORTH OLMSTED -03-G</t>
  </si>
  <si>
    <t>NORTH OLMSTED -03-G - ABS</t>
  </si>
  <si>
    <t>NORTH OLMSTED -04-A</t>
  </si>
  <si>
    <t>NORTH OLMSTED -04-A - ABS</t>
  </si>
  <si>
    <t>NORTH OLMSTED -04-B</t>
  </si>
  <si>
    <t>NORTH OLMSTED -04-B - ABS</t>
  </si>
  <si>
    <t>NORTH OLMSTED -04-C</t>
  </si>
  <si>
    <t>NORTH OLMSTED -04-C - ABS</t>
  </si>
  <si>
    <t>NORTH OLMSTED -04-D</t>
  </si>
  <si>
    <t>NORTH OLMSTED -04-D - ABS</t>
  </si>
  <si>
    <t>NORTH OLMSTED -04-E</t>
  </si>
  <si>
    <t>NORTH OLMSTED -04-E - ABS</t>
  </si>
  <si>
    <t>NORTH OLMSTED -04-F</t>
  </si>
  <si>
    <t>NORTH OLMSTED -04-F - ABS</t>
  </si>
  <si>
    <t>NORTH RANDALL -00-A</t>
  </si>
  <si>
    <t>NORTH RANDALL -00-A - ABS</t>
  </si>
  <si>
    <t>NORTH ROYALTON -01-A</t>
  </si>
  <si>
    <t>NORTH ROYALTON -01-A - ABS</t>
  </si>
  <si>
    <t>NORTH ROYALTON -01-B</t>
  </si>
  <si>
    <t>NORTH ROYALTON -01-B - ABS</t>
  </si>
  <si>
    <t>NORTH ROYALTON -01-C</t>
  </si>
  <si>
    <t>NORTH ROYALTON -01-C - ABS</t>
  </si>
  <si>
    <t>NORTH ROYALTON -02-A</t>
  </si>
  <si>
    <t>NORTH ROYALTON -02-A - ABS</t>
  </si>
  <si>
    <t>NORTH ROYALTON -02-B</t>
  </si>
  <si>
    <t>NORTH ROYALTON -02-B - ABS</t>
  </si>
  <si>
    <t>NORTH ROYALTON -02-C</t>
  </si>
  <si>
    <t>NORTH ROYALTON -02-C - ABS</t>
  </si>
  <si>
    <t>NORTH ROYALTON -02-D</t>
  </si>
  <si>
    <t>NORTH ROYALTON -02-D - ABS</t>
  </si>
  <si>
    <t>NORTH ROYALTON -03-A</t>
  </si>
  <si>
    <t>NORTH ROYALTON -03-A - ABS</t>
  </si>
  <si>
    <t>NORTH ROYALTON -03-B</t>
  </si>
  <si>
    <t>NORTH ROYALTON -03-B - ABS</t>
  </si>
  <si>
    <t>NORTH ROYALTON -03-C</t>
  </si>
  <si>
    <t>NORTH ROYALTON -03-C - ABS</t>
  </si>
  <si>
    <t>NORTH ROYALTON -03-D</t>
  </si>
  <si>
    <t>NORTH ROYALTON -03-D - ABS</t>
  </si>
  <si>
    <t>NORTH ROYALTON -04-A</t>
  </si>
  <si>
    <t>NORTH ROYALTON -04-A - ABS</t>
  </si>
  <si>
    <t>NORTH ROYALTON -04-B</t>
  </si>
  <si>
    <t>NORTH ROYALTON -04-B - ABS</t>
  </si>
  <si>
    <t>NORTH ROYALTON -04-C</t>
  </si>
  <si>
    <t>NORTH ROYALTON -04-C - ABS</t>
  </si>
  <si>
    <t>NORTH ROYALTON -04-D</t>
  </si>
  <si>
    <t>NORTH ROYALTON -04-D - ABS</t>
  </si>
  <si>
    <t>NORTH ROYALTON -05-A</t>
  </si>
  <si>
    <t>NORTH ROYALTON -05-A - ABS</t>
  </si>
  <si>
    <t>NORTH ROYALTON -05-B</t>
  </si>
  <si>
    <t>NORTH ROYALTON -05-B - ABS</t>
  </si>
  <si>
    <t>NORTH ROYALTON -05-C</t>
  </si>
  <si>
    <t>NORTH ROYALTON -05-C - ABS</t>
  </si>
  <si>
    <t>NORTH ROYALTON -05-D</t>
  </si>
  <si>
    <t>NORTH ROYALTON -05-D - ABS</t>
  </si>
  <si>
    <t>NORTH ROYALTON -06-A</t>
  </si>
  <si>
    <t>NORTH ROYALTON -06-A - ABS</t>
  </si>
  <si>
    <t>NORTH ROYALTON -06-B</t>
  </si>
  <si>
    <t>NORTH ROYALTON -06-B - ABS</t>
  </si>
  <si>
    <t>NORTH ROYALTON -06-C</t>
  </si>
  <si>
    <t>NORTH ROYALTON -06-C - ABS</t>
  </si>
  <si>
    <t>NORTH ROYALTON -06-D</t>
  </si>
  <si>
    <t>NORTH ROYALTON -06-D - ABS</t>
  </si>
  <si>
    <t>OAKWOOD -01-A</t>
  </si>
  <si>
    <t>OAKWOOD -01-A - ABS</t>
  </si>
  <si>
    <t>OAKWOOD -02-A</t>
  </si>
  <si>
    <t>OAKWOOD -02-A - ABS</t>
  </si>
  <si>
    <t>OAKWOOD -03-A</t>
  </si>
  <si>
    <t>OAKWOOD -03-A - ABS</t>
  </si>
  <si>
    <t>OAKWOOD -03-B</t>
  </si>
  <si>
    <t>OAKWOOD -03-B - ABS</t>
  </si>
  <si>
    <t>OAKWOOD -04-A</t>
  </si>
  <si>
    <t>OAKWOOD -04-A - ABS</t>
  </si>
  <si>
    <t>OAKWOOD -04-B</t>
  </si>
  <si>
    <t>OAKWOOD -04-B - ABS</t>
  </si>
  <si>
    <t>OAKWOOD -05-A</t>
  </si>
  <si>
    <t>OAKWOOD -05-A - ABS</t>
  </si>
  <si>
    <t>OLMSTED FALLS  -01-A</t>
  </si>
  <si>
    <t>OLMSTED FALLS  -01-A - ABS</t>
  </si>
  <si>
    <t>OLMSTED FALLS  -01-B</t>
  </si>
  <si>
    <t>OLMSTED FALLS  -01-B - ABS</t>
  </si>
  <si>
    <t>OLMSTED FALLS  -02-A</t>
  </si>
  <si>
    <t>OLMSTED FALLS  -02-A - ABS</t>
  </si>
  <si>
    <t>OLMSTED FALLS  -02-B</t>
  </si>
  <si>
    <t>OLMSTED FALLS  -02-B - ABS</t>
  </si>
  <si>
    <t>OLMSTED FALLS  -03-A</t>
  </si>
  <si>
    <t>OLMSTED FALLS  -03-A - ABS</t>
  </si>
  <si>
    <t>OLMSTED FALLS  -03-B</t>
  </si>
  <si>
    <t>OLMSTED FALLS  -03-B - ABS</t>
  </si>
  <si>
    <t>OLMSTED FALLS  -04-A</t>
  </si>
  <si>
    <t>OLMSTED FALLS  -04-A - ABS</t>
  </si>
  <si>
    <t>OLMSTED FALLS  -04-B</t>
  </si>
  <si>
    <t>OLMSTED FALLS  -04-B - ABS</t>
  </si>
  <si>
    <t>OLMSTED TOWNSHIP -00-A</t>
  </si>
  <si>
    <t>OLMSTED TOWNSHIP -00-A - ABS</t>
  </si>
  <si>
    <t>OLMSTED TOWNSHIP -00-B</t>
  </si>
  <si>
    <t>OLMSTED TOWNSHIP -00-B - ABS</t>
  </si>
  <si>
    <t>OLMSTED TOWNSHIP -00-C</t>
  </si>
  <si>
    <t>OLMSTED TOWNSHIP -00-C - ABS</t>
  </si>
  <si>
    <t>OLMSTED TOWNSHIP -00-D</t>
  </si>
  <si>
    <t>OLMSTED TOWNSHIP -00-D - ABS</t>
  </si>
  <si>
    <t>OLMSTED TOWNSHIP -00-E</t>
  </si>
  <si>
    <t>OLMSTED TOWNSHIP -00-E - ABS</t>
  </si>
  <si>
    <t>OLMSTED TOWNSHIP -00-F</t>
  </si>
  <si>
    <t>OLMSTED TOWNSHIP -00-F - ABS</t>
  </si>
  <si>
    <t>OLMSTED TOWNSHIP -00-G</t>
  </si>
  <si>
    <t>OLMSTED TOWNSHIP -00-G - ABS</t>
  </si>
  <si>
    <t>OLMSTED TOWNSHIP -00-H</t>
  </si>
  <si>
    <t>OLMSTED TOWNSHIP -00-H - ABS</t>
  </si>
  <si>
    <t>OLMSTED TOWNSHIP -00-I</t>
  </si>
  <si>
    <t>OLMSTED TOWNSHIP -00-I - ABS</t>
  </si>
  <si>
    <t>OLMSTED TOWNSHIP -00-J</t>
  </si>
  <si>
    <t>OLMSTED TOWNSHIP -00-J - ABS</t>
  </si>
  <si>
    <t>ORANGE -00-A</t>
  </si>
  <si>
    <t>ORANGE -00-A - ABS</t>
  </si>
  <si>
    <t>ORANGE -00-B</t>
  </si>
  <si>
    <t>ORANGE -00-B - ABS</t>
  </si>
  <si>
    <t>ORANGE -00-C</t>
  </si>
  <si>
    <t>ORANGE -00-C - ABS</t>
  </si>
  <si>
    <t>PARMA -01-A</t>
  </si>
  <si>
    <t>PARMA -01-A - ABS</t>
  </si>
  <si>
    <t>PARMA -01-A.02</t>
  </si>
  <si>
    <t>PARMA -01-A.02 - ABS</t>
  </si>
  <si>
    <t>PARMA -01-B</t>
  </si>
  <si>
    <t>PARMA -01-B - ABS</t>
  </si>
  <si>
    <t>PARMA -01-C</t>
  </si>
  <si>
    <t>PARMA -01-C - ABS</t>
  </si>
  <si>
    <t>PARMA -01-D</t>
  </si>
  <si>
    <t>PARMA -01-D - ABS</t>
  </si>
  <si>
    <t>PARMA -01-E</t>
  </si>
  <si>
    <t>PARMA -01-E - ABS</t>
  </si>
  <si>
    <t>PARMA -01-F</t>
  </si>
  <si>
    <t>PARMA -01-F - ABS</t>
  </si>
  <si>
    <t>PARMA -01-G</t>
  </si>
  <si>
    <t>PARMA -01-G - ABS</t>
  </si>
  <si>
    <t>PARMA -02-A</t>
  </si>
  <si>
    <t>PARMA -02-A - ABS</t>
  </si>
  <si>
    <t>PARMA -02-B</t>
  </si>
  <si>
    <t>PARMA -02-B - ABS</t>
  </si>
  <si>
    <t>PARMA -02-C</t>
  </si>
  <si>
    <t>PARMA -02-C - ABS</t>
  </si>
  <si>
    <t>PARMA -02-D</t>
  </si>
  <si>
    <t>PARMA -02-D - ABS</t>
  </si>
  <si>
    <t>PARMA -02-E</t>
  </si>
  <si>
    <t>PARMA -02-E - ABS</t>
  </si>
  <si>
    <t>PARMA -02-F</t>
  </si>
  <si>
    <t>PARMA -02-F - ABS</t>
  </si>
  <si>
    <t>PARMA -02-G</t>
  </si>
  <si>
    <t>PARMA -02-G - ABS</t>
  </si>
  <si>
    <t>PARMA -03-A</t>
  </si>
  <si>
    <t>PARMA -03-A - ABS</t>
  </si>
  <si>
    <t>PARMA -03-B</t>
  </si>
  <si>
    <t>PARMA -03-B - ABS</t>
  </si>
  <si>
    <t>PARMA -03-C</t>
  </si>
  <si>
    <t>PARMA -03-C - ABS</t>
  </si>
  <si>
    <t>PARMA -03-D</t>
  </si>
  <si>
    <t>PARMA -03-D - ABS</t>
  </si>
  <si>
    <t>PARMA -03-E</t>
  </si>
  <si>
    <t>PARMA -03-E - ABS</t>
  </si>
  <si>
    <t>PARMA -03-F</t>
  </si>
  <si>
    <t>PARMA -03-F - ABS</t>
  </si>
  <si>
    <t>PARMA -03-G</t>
  </si>
  <si>
    <t>PARMA -03-G - ABS</t>
  </si>
  <si>
    <t>PARMA -04-A</t>
  </si>
  <si>
    <t>PARMA -04-A - ABS</t>
  </si>
  <si>
    <t>PARMA -04-B</t>
  </si>
  <si>
    <t>PARMA -04-B - ABS</t>
  </si>
  <si>
    <t>PARMA -04-C</t>
  </si>
  <si>
    <t>PARMA -04-C - ABS</t>
  </si>
  <si>
    <t>PARMA -04-D</t>
  </si>
  <si>
    <t>PARMA -04-D - ABS</t>
  </si>
  <si>
    <t>PARMA -04-E</t>
  </si>
  <si>
    <t>PARMA -04-E - ABS</t>
  </si>
  <si>
    <t>PARMA -04-F</t>
  </si>
  <si>
    <t>PARMA -04-F - ABS</t>
  </si>
  <si>
    <t>PARMA -04-G</t>
  </si>
  <si>
    <t>PARMA -04-G - ABS</t>
  </si>
  <si>
    <t>PARMA -05-A</t>
  </si>
  <si>
    <t>PARMA -05-A - ABS</t>
  </si>
  <si>
    <t>PARMA -05-B</t>
  </si>
  <si>
    <t>PARMA -05-B - ABS</t>
  </si>
  <si>
    <t>PARMA -05-C</t>
  </si>
  <si>
    <t>PARMA -05-C - ABS</t>
  </si>
  <si>
    <t>PARMA -05-D</t>
  </si>
  <si>
    <t>PARMA -05-D - ABS</t>
  </si>
  <si>
    <t>PARMA -05-E</t>
  </si>
  <si>
    <t>PARMA -05-E - ABS</t>
  </si>
  <si>
    <t>PARMA -05-F</t>
  </si>
  <si>
    <t>PARMA -05-F - ABS</t>
  </si>
  <si>
    <t>PARMA -06-A</t>
  </si>
  <si>
    <t>PARMA -06-A - ABS</t>
  </si>
  <si>
    <t>PARMA -06-B</t>
  </si>
  <si>
    <t>PARMA -06-B - ABS</t>
  </si>
  <si>
    <t>PARMA -06-C</t>
  </si>
  <si>
    <t>PARMA -06-C - ABS</t>
  </si>
  <si>
    <t>PARMA -06-D</t>
  </si>
  <si>
    <t>PARMA -06-D - ABS</t>
  </si>
  <si>
    <t>PARMA -06-E</t>
  </si>
  <si>
    <t>PARMA -06-E - ABS</t>
  </si>
  <si>
    <t>PARMA -06-F</t>
  </si>
  <si>
    <t>PARMA -06-F - ABS</t>
  </si>
  <si>
    <t>PARMA -07-A</t>
  </si>
  <si>
    <t>PARMA -07-A - ABS</t>
  </si>
  <si>
    <t>PARMA -07-B</t>
  </si>
  <si>
    <t>PARMA -07-B - ABS</t>
  </si>
  <si>
    <t>PARMA -07-C</t>
  </si>
  <si>
    <t>PARMA -07-C - ABS</t>
  </si>
  <si>
    <t>PARMA -07-D</t>
  </si>
  <si>
    <t>PARMA -07-D - ABS</t>
  </si>
  <si>
    <t>PARMA -07-E</t>
  </si>
  <si>
    <t>PARMA -07-E - ABS</t>
  </si>
  <si>
    <t>PARMA -07-F</t>
  </si>
  <si>
    <t>PARMA -07-F - ABS</t>
  </si>
  <si>
    <t>PARMA -08-A</t>
  </si>
  <si>
    <t>PARMA -08-A - ABS</t>
  </si>
  <si>
    <t>PARMA -08-B</t>
  </si>
  <si>
    <t>PARMA -08-B - ABS</t>
  </si>
  <si>
    <t>PARMA -08-C</t>
  </si>
  <si>
    <t>PARMA -08-C - ABS</t>
  </si>
  <si>
    <t>PARMA -08-C.02</t>
  </si>
  <si>
    <t>PARMA -08-C.02 - ABS</t>
  </si>
  <si>
    <t>PARMA -08-D</t>
  </si>
  <si>
    <t>PARMA -08-D - ABS</t>
  </si>
  <si>
    <t>PARMA -08-E</t>
  </si>
  <si>
    <t>PARMA -08-E - ABS</t>
  </si>
  <si>
    <t>PARMA -08-F</t>
  </si>
  <si>
    <t>PARMA -08-F - ABS</t>
  </si>
  <si>
    <t>PARMA -08-G</t>
  </si>
  <si>
    <t>PARMA -08-G - ABS</t>
  </si>
  <si>
    <t>PARMA -08-G.02</t>
  </si>
  <si>
    <t>PARMA -08-G.02 - ABS</t>
  </si>
  <si>
    <t>PARMA -09-A</t>
  </si>
  <si>
    <t>PARMA -09-A - ABS</t>
  </si>
  <si>
    <t>PARMA -09-A.02</t>
  </si>
  <si>
    <t>PARMA -09-A.02 - ABS</t>
  </si>
  <si>
    <t>PARMA -09-B</t>
  </si>
  <si>
    <t>PARMA -09-B - ABS</t>
  </si>
  <si>
    <t>PARMA -09-C</t>
  </si>
  <si>
    <t>PARMA -09-C - ABS</t>
  </si>
  <si>
    <t>PARMA -09-D</t>
  </si>
  <si>
    <t>PARMA -09-D - ABS</t>
  </si>
  <si>
    <t>PARMA -09-E</t>
  </si>
  <si>
    <t>PARMA -09-E - ABS</t>
  </si>
  <si>
    <t>PARMA -09-E.02</t>
  </si>
  <si>
    <t>PARMA -09-E.02 - ABS</t>
  </si>
  <si>
    <t>PARMA -09-F</t>
  </si>
  <si>
    <t>PARMA -09-F - ABS</t>
  </si>
  <si>
    <t>PARMA -09-G</t>
  </si>
  <si>
    <t>PARMA -09-G - ABS</t>
  </si>
  <si>
    <t>PARMA HEIGHTS -01-A</t>
  </si>
  <si>
    <t>PARMA HEIGHTS -01-A - ABS</t>
  </si>
  <si>
    <t>PARMA HEIGHTS -01-B</t>
  </si>
  <si>
    <t>PARMA HEIGHTS -01-B - ABS</t>
  </si>
  <si>
    <t>PARMA HEIGHTS -01-C</t>
  </si>
  <si>
    <t>PARMA HEIGHTS -01-C - ABS</t>
  </si>
  <si>
    <t>PARMA HEIGHTS -02-A</t>
  </si>
  <si>
    <t>PARMA HEIGHTS -02-A - ABS</t>
  </si>
  <si>
    <t>PARMA HEIGHTS -02-B</t>
  </si>
  <si>
    <t>PARMA HEIGHTS -02-B - ABS</t>
  </si>
  <si>
    <t>PARMA HEIGHTS -02-C</t>
  </si>
  <si>
    <t>PARMA HEIGHTS -02-C - ABS</t>
  </si>
  <si>
    <t>PARMA HEIGHTS -03-A</t>
  </si>
  <si>
    <t>PARMA HEIGHTS -03-A - ABS</t>
  </si>
  <si>
    <t>PARMA HEIGHTS -03-B</t>
  </si>
  <si>
    <t>PARMA HEIGHTS -03-B - ABS</t>
  </si>
  <si>
    <t>PARMA HEIGHTS -03-C</t>
  </si>
  <si>
    <t>PARMA HEIGHTS -03-C - ABS</t>
  </si>
  <si>
    <t>PARMA HEIGHTS -04-A</t>
  </si>
  <si>
    <t>PARMA HEIGHTS -04-A - ABS</t>
  </si>
  <si>
    <t>PARMA HEIGHTS -04-B</t>
  </si>
  <si>
    <t>PARMA HEIGHTS -04-B - ABS</t>
  </si>
  <si>
    <t>PARMA HEIGHTS -04-C</t>
  </si>
  <si>
    <t>PARMA HEIGHTS -04-C - ABS</t>
  </si>
  <si>
    <t>PEPPER PIKE -00-A</t>
  </si>
  <si>
    <t>PEPPER PIKE -00-A - ABS</t>
  </si>
  <si>
    <t>PEPPER PIKE -00-B</t>
  </si>
  <si>
    <t>PEPPER PIKE -00-B - ABS</t>
  </si>
  <si>
    <t>PEPPER PIKE -00-C</t>
  </si>
  <si>
    <t>PEPPER PIKE -00-C - ABS</t>
  </si>
  <si>
    <t>PEPPER PIKE -00-D</t>
  </si>
  <si>
    <t>PEPPER PIKE -00-D - ABS</t>
  </si>
  <si>
    <t>PEPPER PIKE -00-E</t>
  </si>
  <si>
    <t>PEPPER PIKE -00-E - ABS</t>
  </si>
  <si>
    <t>RICHMOND HEIGHTS -01-A</t>
  </si>
  <si>
    <t>RICHMOND HEIGHTS -01-A - ABS</t>
  </si>
  <si>
    <t>RICHMOND HEIGHTS -01-B</t>
  </si>
  <si>
    <t>RICHMOND HEIGHTS -01-B - ABS</t>
  </si>
  <si>
    <t>RICHMOND HEIGHTS -02-A</t>
  </si>
  <si>
    <t>RICHMOND HEIGHTS -02-A - ABS</t>
  </si>
  <si>
    <t>RICHMOND HEIGHTS -02-B</t>
  </si>
  <si>
    <t>RICHMOND HEIGHTS -02-B - ABS</t>
  </si>
  <si>
    <t>RICHMOND HEIGHTS -03-A</t>
  </si>
  <si>
    <t>RICHMOND HEIGHTS -03-A - ABS</t>
  </si>
  <si>
    <t>RICHMOND HEIGHTS -03-B</t>
  </si>
  <si>
    <t>RICHMOND HEIGHTS -03-B - ABS</t>
  </si>
  <si>
    <t>RICHMOND HEIGHTS -03-C</t>
  </si>
  <si>
    <t>RICHMOND HEIGHTS -03-C - ABS</t>
  </si>
  <si>
    <t>RICHMOND HEIGHTS -04-A</t>
  </si>
  <si>
    <t>RICHMOND HEIGHTS -04-A - ABS</t>
  </si>
  <si>
    <t>RICHMOND HEIGHTS -04-B</t>
  </si>
  <si>
    <t>RICHMOND HEIGHTS -04-B - ABS</t>
  </si>
  <si>
    <t>ROCKY RIVER -01-A</t>
  </si>
  <si>
    <t>ROCKY RIVER -01-A - ABS</t>
  </si>
  <si>
    <t>ROCKY RIVER -01-B</t>
  </si>
  <si>
    <t>ROCKY RIVER -01-B - ABS</t>
  </si>
  <si>
    <t>ROCKY RIVER -01-B.02</t>
  </si>
  <si>
    <t>ROCKY RIVER -01-B.02 - ABS</t>
  </si>
  <si>
    <t>ROCKY RIVER -01-C</t>
  </si>
  <si>
    <t>ROCKY RIVER -01-C - ABS</t>
  </si>
  <si>
    <t>ROCKY RIVER -01-D</t>
  </si>
  <si>
    <t>ROCKY RIVER -01-D - ABS</t>
  </si>
  <si>
    <t>ROCKY RIVER -02-A</t>
  </si>
  <si>
    <t>ROCKY RIVER -02-A - ABS</t>
  </si>
  <si>
    <t>ROCKY RIVER -02-B</t>
  </si>
  <si>
    <t>ROCKY RIVER -02-B - ABS</t>
  </si>
  <si>
    <t>ROCKY RIVER -02-C</t>
  </si>
  <si>
    <t>ROCKY RIVER -02-C - ABS</t>
  </si>
  <si>
    <t>ROCKY RIVER -02-D</t>
  </si>
  <si>
    <t>ROCKY RIVER -02-D - ABS</t>
  </si>
  <si>
    <t>ROCKY RIVER -03-A</t>
  </si>
  <si>
    <t>ROCKY RIVER -03-A - ABS</t>
  </si>
  <si>
    <t>ROCKY RIVER -03-A.02</t>
  </si>
  <si>
    <t>ROCKY RIVER -03-A.02 - ABS</t>
  </si>
  <si>
    <t>ROCKY RIVER -03-B</t>
  </si>
  <si>
    <t>ROCKY RIVER -03-B - ABS</t>
  </si>
  <si>
    <t>ROCKY RIVER -03-B.02</t>
  </si>
  <si>
    <t>ROCKY RIVER -03-B.02 - ABS</t>
  </si>
  <si>
    <t>ROCKY RIVER -03-C</t>
  </si>
  <si>
    <t>ROCKY RIVER -03-C - ABS</t>
  </si>
  <si>
    <t>ROCKY RIVER -03-D</t>
  </si>
  <si>
    <t>ROCKY RIVER -03-D - ABS</t>
  </si>
  <si>
    <t>ROCKY RIVER -04-A</t>
  </si>
  <si>
    <t>ROCKY RIVER -04-A - ABS</t>
  </si>
  <si>
    <t>ROCKY RIVER -04-B</t>
  </si>
  <si>
    <t>ROCKY RIVER -04-B - ABS</t>
  </si>
  <si>
    <t>ROCKY RIVER -04-C</t>
  </si>
  <si>
    <t>ROCKY RIVER -04-C - ABS</t>
  </si>
  <si>
    <t>ROCKY RIVER -04-D</t>
  </si>
  <si>
    <t>ROCKY RIVER -04-D - ABS</t>
  </si>
  <si>
    <t>SEVEN HILLS -01-A</t>
  </si>
  <si>
    <t>SEVEN HILLS -01-A - ABS</t>
  </si>
  <si>
    <t>SEVEN HILLS -01-B</t>
  </si>
  <si>
    <t>SEVEN HILLS -01-B - ABS</t>
  </si>
  <si>
    <t>SEVEN HILLS -02-A</t>
  </si>
  <si>
    <t>SEVEN HILLS -02-A - ABS</t>
  </si>
  <si>
    <t>SEVEN HILLS -02-B</t>
  </si>
  <si>
    <t>SEVEN HILLS -02-B - ABS</t>
  </si>
  <si>
    <t>SEVEN HILLS -03-A</t>
  </si>
  <si>
    <t>SEVEN HILLS -03-A - ABS</t>
  </si>
  <si>
    <t>SEVEN HILLS -03-B</t>
  </si>
  <si>
    <t>SEVEN HILLS -03-B - ABS</t>
  </si>
  <si>
    <t>SEVEN HILLS -04-A</t>
  </si>
  <si>
    <t>SEVEN HILLS -04-A - ABS</t>
  </si>
  <si>
    <t>SEVEN HILLS -04-B</t>
  </si>
  <si>
    <t>SEVEN HILLS -04-B - ABS</t>
  </si>
  <si>
    <t>SHAKER HEIGHTS -00-A</t>
  </si>
  <si>
    <t>SHAKER HEIGHTS -00-A - ABS</t>
  </si>
  <si>
    <t>SHAKER HEIGHTS -00-B</t>
  </si>
  <si>
    <t>SHAKER HEIGHTS -00-B - ABS</t>
  </si>
  <si>
    <t>SHAKER HEIGHTS -00-C</t>
  </si>
  <si>
    <t>SHAKER HEIGHTS -00-C - ABS</t>
  </si>
  <si>
    <t>SHAKER HEIGHTS -00-D</t>
  </si>
  <si>
    <t>SHAKER HEIGHTS -00-D - ABS</t>
  </si>
  <si>
    <t>SHAKER HEIGHTS -00-E</t>
  </si>
  <si>
    <t>SHAKER HEIGHTS -00-E - ABS</t>
  </si>
  <si>
    <t>SHAKER HEIGHTS -00-F</t>
  </si>
  <si>
    <t>SHAKER HEIGHTS -00-F - ABS</t>
  </si>
  <si>
    <t>SHAKER HEIGHTS -00-G</t>
  </si>
  <si>
    <t>SHAKER HEIGHTS -00-G - ABS</t>
  </si>
  <si>
    <t>SHAKER HEIGHTS -00-H</t>
  </si>
  <si>
    <t>SHAKER HEIGHTS -00-H - ABS</t>
  </si>
  <si>
    <t>SHAKER HEIGHTS -00-I</t>
  </si>
  <si>
    <t>SHAKER HEIGHTS -00-I - ABS</t>
  </si>
  <si>
    <t>SHAKER HEIGHTS -00-J</t>
  </si>
  <si>
    <t>SHAKER HEIGHTS -00-J - ABS</t>
  </si>
  <si>
    <t>SHAKER HEIGHTS -00-K</t>
  </si>
  <si>
    <t>SHAKER HEIGHTS -00-K - ABS</t>
  </si>
  <si>
    <t>SHAKER HEIGHTS -00-L</t>
  </si>
  <si>
    <t>SHAKER HEIGHTS -00-L - ABS</t>
  </si>
  <si>
    <t>SHAKER HEIGHTS -00-M</t>
  </si>
  <si>
    <t>SHAKER HEIGHTS -00-M - ABS</t>
  </si>
  <si>
    <t>SHAKER HEIGHTS -00-N</t>
  </si>
  <si>
    <t>SHAKER HEIGHTS -00-N - ABS</t>
  </si>
  <si>
    <t>SHAKER HEIGHTS -00-O</t>
  </si>
  <si>
    <t>SHAKER HEIGHTS -00-O - ABS</t>
  </si>
  <si>
    <t>SHAKER HEIGHTS -00-P</t>
  </si>
  <si>
    <t>SHAKER HEIGHTS -00-P - ABS</t>
  </si>
  <si>
    <t>SHAKER HEIGHTS -00-Q</t>
  </si>
  <si>
    <t>SHAKER HEIGHTS -00-Q - ABS</t>
  </si>
  <si>
    <t>SHAKER HEIGHTS -00-R</t>
  </si>
  <si>
    <t>SHAKER HEIGHTS -00-R - ABS</t>
  </si>
  <si>
    <t>SHAKER HEIGHTS -00-S</t>
  </si>
  <si>
    <t>SHAKER HEIGHTS -00-S - ABS</t>
  </si>
  <si>
    <t>SHAKER HEIGHTS -00-T</t>
  </si>
  <si>
    <t>SHAKER HEIGHTS -00-T - ABS</t>
  </si>
  <si>
    <t>SHAKER HEIGHTS -00-U</t>
  </si>
  <si>
    <t>SHAKER HEIGHTS -00-U - ABS</t>
  </si>
  <si>
    <t>SHAKER HEIGHTS -00-V</t>
  </si>
  <si>
    <t>SHAKER HEIGHTS -00-V - ABS</t>
  </si>
  <si>
    <t>SHAKER HEIGHTS -00-W</t>
  </si>
  <si>
    <t>SHAKER HEIGHTS -00-W - ABS</t>
  </si>
  <si>
    <t>SHAKER HEIGHTS -00-X</t>
  </si>
  <si>
    <t>SHAKER HEIGHTS -00-X - ABS</t>
  </si>
  <si>
    <t>SOLON -01-A</t>
  </si>
  <si>
    <t>SOLON -01-A - ABS</t>
  </si>
  <si>
    <t>SOLON -01-B</t>
  </si>
  <si>
    <t>SOLON -01-B - ABS</t>
  </si>
  <si>
    <t>SOLON -02-A</t>
  </si>
  <si>
    <t>SOLON -02-A - ABS</t>
  </si>
  <si>
    <t>SOLON -02-B</t>
  </si>
  <si>
    <t>SOLON -02-B - ABS</t>
  </si>
  <si>
    <t>SOLON -03-A</t>
  </si>
  <si>
    <t>SOLON -03-A - ABS</t>
  </si>
  <si>
    <t>SOLON -03-B</t>
  </si>
  <si>
    <t>SOLON -03-B - ABS</t>
  </si>
  <si>
    <t>SOLON -04-A</t>
  </si>
  <si>
    <t>SOLON -04-A - ABS</t>
  </si>
  <si>
    <t>SOLON -04-B</t>
  </si>
  <si>
    <t>SOLON -04-B - ABS</t>
  </si>
  <si>
    <t>SOLON -04-C</t>
  </si>
  <si>
    <t>SOLON -04-C - ABS</t>
  </si>
  <si>
    <t>SOLON -05-A</t>
  </si>
  <si>
    <t>SOLON -05-A - ABS</t>
  </si>
  <si>
    <t>SOLON -05-B</t>
  </si>
  <si>
    <t>SOLON -05-B - ABS</t>
  </si>
  <si>
    <t>SOLON -05-C</t>
  </si>
  <si>
    <t>SOLON -05-C - ABS</t>
  </si>
  <si>
    <t>SOLON -06-A</t>
  </si>
  <si>
    <t>SOLON -06-A - ABS</t>
  </si>
  <si>
    <t>SOLON -06-B</t>
  </si>
  <si>
    <t>SOLON -06-B - ABS</t>
  </si>
  <si>
    <t>SOLON -07-A</t>
  </si>
  <si>
    <t>SOLON -07-A - ABS</t>
  </si>
  <si>
    <t>SOLON -07-B</t>
  </si>
  <si>
    <t>SOLON -07-B - ABS</t>
  </si>
  <si>
    <t>SOUTH EUCLID -01-A</t>
  </si>
  <si>
    <t>SOUTH EUCLID -01-A - ABS</t>
  </si>
  <si>
    <t>SOUTH EUCLID -01-B</t>
  </si>
  <si>
    <t>SOUTH EUCLID -01-B - ABS</t>
  </si>
  <si>
    <t>SOUTH EUCLID -01-C</t>
  </si>
  <si>
    <t>SOUTH EUCLID -01-C - ABS</t>
  </si>
  <si>
    <t>SOUTH EUCLID -01-D</t>
  </si>
  <si>
    <t>SOUTH EUCLID -01-D - ABS</t>
  </si>
  <si>
    <t>SOUTH EUCLID -02-A</t>
  </si>
  <si>
    <t>SOUTH EUCLID -02-A - ABS</t>
  </si>
  <si>
    <t>SOUTH EUCLID -02-B</t>
  </si>
  <si>
    <t>SOUTH EUCLID -02-B - ABS</t>
  </si>
  <si>
    <t>SOUTH EUCLID -02-C</t>
  </si>
  <si>
    <t>SOUTH EUCLID -02-C - ABS</t>
  </si>
  <si>
    <t>SOUTH EUCLID -02-D</t>
  </si>
  <si>
    <t>SOUTH EUCLID -02-D - ABS</t>
  </si>
  <si>
    <t>SOUTH EUCLID -02-E</t>
  </si>
  <si>
    <t>SOUTH EUCLID -02-E - ABS</t>
  </si>
  <si>
    <t>SOUTH EUCLID -03-A</t>
  </si>
  <si>
    <t>SOUTH EUCLID -03-A - ABS</t>
  </si>
  <si>
    <t>SOUTH EUCLID -03-B</t>
  </si>
  <si>
    <t>SOUTH EUCLID -03-B - ABS</t>
  </si>
  <si>
    <t>SOUTH EUCLID -03-C</t>
  </si>
  <si>
    <t>SOUTH EUCLID -03-C - ABS</t>
  </si>
  <si>
    <t>SOUTH EUCLID -03-D</t>
  </si>
  <si>
    <t>SOUTH EUCLID -03-D - ABS</t>
  </si>
  <si>
    <t>SOUTH EUCLID -04-A</t>
  </si>
  <si>
    <t>SOUTH EUCLID -04-A - ABS</t>
  </si>
  <si>
    <t>SOUTH EUCLID -04-B</t>
  </si>
  <si>
    <t>SOUTH EUCLID -04-B - ABS</t>
  </si>
  <si>
    <t>SOUTH EUCLID -04-C</t>
  </si>
  <si>
    <t>SOUTH EUCLID -04-C - ABS</t>
  </si>
  <si>
    <t>SOUTH EUCLID -04-D</t>
  </si>
  <si>
    <t>SOUTH EUCLID -04-D - ABS</t>
  </si>
  <si>
    <t>STRONGSVILLE -01-A</t>
  </si>
  <si>
    <t>STRONGSVILLE -01-A - ABS</t>
  </si>
  <si>
    <t>STRONGSVILLE -01-B</t>
  </si>
  <si>
    <t>STRONGSVILLE -01-B - ABS</t>
  </si>
  <si>
    <t>STRONGSVILLE -01-C</t>
  </si>
  <si>
    <t>STRONGSVILLE -01-C - ABS</t>
  </si>
  <si>
    <t>STRONGSVILLE -01-D</t>
  </si>
  <si>
    <t>STRONGSVILLE -01-D - ABS</t>
  </si>
  <si>
    <t>STRONGSVILLE -01-E</t>
  </si>
  <si>
    <t>STRONGSVILLE -01-E - ABS</t>
  </si>
  <si>
    <t>STRONGSVILLE -01-F</t>
  </si>
  <si>
    <t>STRONGSVILLE -01-F - ABS</t>
  </si>
  <si>
    <t>STRONGSVILLE -01-G</t>
  </si>
  <si>
    <t>STRONGSVILLE -01-G - ABS</t>
  </si>
  <si>
    <t>STRONGSVILLE -01-H</t>
  </si>
  <si>
    <t>STRONGSVILLE -01-H - ABS</t>
  </si>
  <si>
    <t>STRONGSVILLE -01-I</t>
  </si>
  <si>
    <t>STRONGSVILLE -01-I - ABS</t>
  </si>
  <si>
    <t>STRONGSVILLE -02-A</t>
  </si>
  <si>
    <t>STRONGSVILLE -02-A - ABS</t>
  </si>
  <si>
    <t>STRONGSVILLE -02-B</t>
  </si>
  <si>
    <t>STRONGSVILLE -02-B - ABS</t>
  </si>
  <si>
    <t>STRONGSVILLE -02-C</t>
  </si>
  <si>
    <t>STRONGSVILLE -02-C - ABS</t>
  </si>
  <si>
    <t>STRONGSVILLE -02-D</t>
  </si>
  <si>
    <t>STRONGSVILLE -02-D - ABS</t>
  </si>
  <si>
    <t>STRONGSVILLE -02-E</t>
  </si>
  <si>
    <t>STRONGSVILLE -02-E - ABS</t>
  </si>
  <si>
    <t>STRONGSVILLE -02-F</t>
  </si>
  <si>
    <t>STRONGSVILLE -02-F - ABS</t>
  </si>
  <si>
    <t>STRONGSVILLE -02-G</t>
  </si>
  <si>
    <t>STRONGSVILLE -02-G - ABS</t>
  </si>
  <si>
    <t>STRONGSVILLE -02-H</t>
  </si>
  <si>
    <t>STRONGSVILLE -02-H - ABS</t>
  </si>
  <si>
    <t>STRONGSVILLE -02-I</t>
  </si>
  <si>
    <t>STRONGSVILLE -02-I - ABS</t>
  </si>
  <si>
    <t>STRONGSVILLE -03-A</t>
  </si>
  <si>
    <t>STRONGSVILLE -03-A - ABS</t>
  </si>
  <si>
    <t>STRONGSVILLE -03-B</t>
  </si>
  <si>
    <t>STRONGSVILLE -03-B - ABS</t>
  </si>
  <si>
    <t>STRONGSVILLE -03-C</t>
  </si>
  <si>
    <t>STRONGSVILLE -03-C - ABS</t>
  </si>
  <si>
    <t>STRONGSVILLE -03-D</t>
  </si>
  <si>
    <t>STRONGSVILLE -03-D - ABS</t>
  </si>
  <si>
    <t>STRONGSVILLE -03-E</t>
  </si>
  <si>
    <t>STRONGSVILLE -03-E - ABS</t>
  </si>
  <si>
    <t>STRONGSVILLE -03-F</t>
  </si>
  <si>
    <t>STRONGSVILLE -03-F - ABS</t>
  </si>
  <si>
    <t>STRONGSVILLE -03-G</t>
  </si>
  <si>
    <t>STRONGSVILLE -03-G - ABS</t>
  </si>
  <si>
    <t>STRONGSVILLE -03-H</t>
  </si>
  <si>
    <t>STRONGSVILLE -03-H - ABS</t>
  </si>
  <si>
    <t>STRONGSVILLE -03-I</t>
  </si>
  <si>
    <t>STRONGSVILLE -03-I - ABS</t>
  </si>
  <si>
    <t>STRONGSVILLE -04-A</t>
  </si>
  <si>
    <t>STRONGSVILLE -04-A - ABS</t>
  </si>
  <si>
    <t>STRONGSVILLE -04-B</t>
  </si>
  <si>
    <t>STRONGSVILLE -04-B - ABS</t>
  </si>
  <si>
    <t>STRONGSVILLE -04-C</t>
  </si>
  <si>
    <t>STRONGSVILLE -04-C - ABS</t>
  </si>
  <si>
    <t>STRONGSVILLE -04-D</t>
  </si>
  <si>
    <t>STRONGSVILLE -04-D - ABS</t>
  </si>
  <si>
    <t>STRONGSVILLE -04-E</t>
  </si>
  <si>
    <t>STRONGSVILLE -04-E - ABS</t>
  </si>
  <si>
    <t>STRONGSVILLE -04-F</t>
  </si>
  <si>
    <t>STRONGSVILLE -04-F - ABS</t>
  </si>
  <si>
    <t>STRONGSVILLE -04-G</t>
  </si>
  <si>
    <t>STRONGSVILLE -04-G - ABS</t>
  </si>
  <si>
    <t>STRONGSVILLE -04-H</t>
  </si>
  <si>
    <t>STRONGSVILLE -04-H - ABS</t>
  </si>
  <si>
    <t>STRONGSVILLE -04-I</t>
  </si>
  <si>
    <t>STRONGSVILLE -04-I - ABS</t>
  </si>
  <si>
    <t>UNIVERSITY HEIGHTS -00-A</t>
  </si>
  <si>
    <t>UNIVERSITY HEIGHTS -00-A - ABS</t>
  </si>
  <si>
    <t>UNIVERSITY HEIGHTS -00-B</t>
  </si>
  <si>
    <t>UNIVERSITY HEIGHTS -00-B - ABS</t>
  </si>
  <si>
    <t>UNIVERSITY HEIGHTS -00-C</t>
  </si>
  <si>
    <t>UNIVERSITY HEIGHTS -00-C - ABS</t>
  </si>
  <si>
    <t>UNIVERSITY HEIGHTS -00-D</t>
  </si>
  <si>
    <t>UNIVERSITY HEIGHTS -00-D - ABS</t>
  </si>
  <si>
    <t>UNIVERSITY HEIGHTS -00-E</t>
  </si>
  <si>
    <t>UNIVERSITY HEIGHTS -00-E - ABS</t>
  </si>
  <si>
    <t>UNIVERSITY HEIGHTS -00-F</t>
  </si>
  <si>
    <t>UNIVERSITY HEIGHTS -00-F - ABS</t>
  </si>
  <si>
    <t>UNIVERSITY HEIGHTS -00-G</t>
  </si>
  <si>
    <t>UNIVERSITY HEIGHTS -00-G - ABS</t>
  </si>
  <si>
    <t>UNIVERSITY HEIGHTS -00-H</t>
  </si>
  <si>
    <t>UNIVERSITY HEIGHTS -00-H - ABS</t>
  </si>
  <si>
    <t>UNIVERSITY HEIGHTS -00-I</t>
  </si>
  <si>
    <t>UNIVERSITY HEIGHTS -00-I - ABS</t>
  </si>
  <si>
    <t>UNIVERSITY HEIGHTS -00-J</t>
  </si>
  <si>
    <t>UNIVERSITY HEIGHTS -00-J - ABS</t>
  </si>
  <si>
    <t>VALLEY VIEW -00-A</t>
  </si>
  <si>
    <t>VALLEY VIEW -00-A - ABS</t>
  </si>
  <si>
    <t>VALLEY VIEW -00-B</t>
  </si>
  <si>
    <t>VALLEY VIEW -00-B - ABS</t>
  </si>
  <si>
    <t>WALTON HILLS -00-A</t>
  </si>
  <si>
    <t>WALTON HILLS -00-A - ABS</t>
  </si>
  <si>
    <t>WALTON HILLS -00-B</t>
  </si>
  <si>
    <t>WALTON HILLS -00-B - ABS</t>
  </si>
  <si>
    <t>WARRENSVILLE HTS -01-A</t>
  </si>
  <si>
    <t>WARRENSVILLE HTS -01-A - ABS</t>
  </si>
  <si>
    <t>WARRENSVILLE HTS -01-B</t>
  </si>
  <si>
    <t>WARRENSVILLE HTS -01-B - ABS</t>
  </si>
  <si>
    <t>WARRENSVILLE HTS -02-A</t>
  </si>
  <si>
    <t>WARRENSVILLE HTS -02-A - ABS</t>
  </si>
  <si>
    <t>WARRENSVILLE HTS -02-B</t>
  </si>
  <si>
    <t>WARRENSVILLE HTS -02-B - ABS</t>
  </si>
  <si>
    <t>WARRENSVILLE HTS -03-A</t>
  </si>
  <si>
    <t>WARRENSVILLE HTS -03-A - ABS</t>
  </si>
  <si>
    <t>WARRENSVILLE HTS -03-B</t>
  </si>
  <si>
    <t>WARRENSVILLE HTS -03-B - ABS</t>
  </si>
  <si>
    <t>WARRENSVILLE HTS -04-A</t>
  </si>
  <si>
    <t>WARRENSVILLE HTS -04-A - ABS</t>
  </si>
  <si>
    <t>WARRENSVILLE HTS -04-B</t>
  </si>
  <si>
    <t>WARRENSVILLE HTS -04-B - ABS</t>
  </si>
  <si>
    <t>WARRENSVILLE HTS -05-A</t>
  </si>
  <si>
    <t>WARRENSVILLE HTS -05-A - ABS</t>
  </si>
  <si>
    <t>WARRENSVILLE HTS -05-B</t>
  </si>
  <si>
    <t>WARRENSVILLE HTS -05-B - ABS</t>
  </si>
  <si>
    <t>WARRENSVILLE HTS -06-A</t>
  </si>
  <si>
    <t>WARRENSVILLE HTS -06-A - ABS</t>
  </si>
  <si>
    <t>WARRENSVILLE HTS -06-B</t>
  </si>
  <si>
    <t>WARRENSVILLE HTS -06-B - ABS</t>
  </si>
  <si>
    <t>WARRENSVILLE HTS -07-A</t>
  </si>
  <si>
    <t>WARRENSVILLE HTS -07-A - ABS</t>
  </si>
  <si>
    <t>WARRENSVILLE HTS -07-B</t>
  </si>
  <si>
    <t>WARRENSVILLE HTS -07-B - ABS</t>
  </si>
  <si>
    <t>WESTLAKE -01-A</t>
  </si>
  <si>
    <t>WESTLAKE -01-A - ABS</t>
  </si>
  <si>
    <t>WESTLAKE -01-B</t>
  </si>
  <si>
    <t>WESTLAKE -01-B - ABS</t>
  </si>
  <si>
    <t>WESTLAKE -01-C</t>
  </si>
  <si>
    <t>WESTLAKE -01-C - ABS</t>
  </si>
  <si>
    <t>WESTLAKE -01-D</t>
  </si>
  <si>
    <t>WESTLAKE -01-D - ABS</t>
  </si>
  <si>
    <t>WESTLAKE -02-A</t>
  </si>
  <si>
    <t>WESTLAKE -02-A - ABS</t>
  </si>
  <si>
    <t>WESTLAKE -02-B</t>
  </si>
  <si>
    <t>WESTLAKE -02-B - ABS</t>
  </si>
  <si>
    <t>WESTLAKE -02-C</t>
  </si>
  <si>
    <t>WESTLAKE -02-C - ABS</t>
  </si>
  <si>
    <t>WESTLAKE -02-D</t>
  </si>
  <si>
    <t>WESTLAKE -02-D - ABS</t>
  </si>
  <si>
    <t>WESTLAKE -03-A</t>
  </si>
  <si>
    <t>WESTLAKE -03-A - ABS</t>
  </si>
  <si>
    <t>WESTLAKE -03-B</t>
  </si>
  <si>
    <t>WESTLAKE -03-B - ABS</t>
  </si>
  <si>
    <t>WESTLAKE -03-C</t>
  </si>
  <si>
    <t>WESTLAKE -03-C - ABS</t>
  </si>
  <si>
    <t>WESTLAKE -03-D</t>
  </si>
  <si>
    <t>WESTLAKE -03-D - ABS</t>
  </si>
  <si>
    <t>WESTLAKE -03-E</t>
  </si>
  <si>
    <t>WESTLAKE -03-E - ABS</t>
  </si>
  <si>
    <t>WESTLAKE -04-A</t>
  </si>
  <si>
    <t>WESTLAKE -04-A - ABS</t>
  </si>
  <si>
    <t>WESTLAKE -04-B</t>
  </si>
  <si>
    <t>WESTLAKE -04-B - ABS</t>
  </si>
  <si>
    <t>WESTLAKE -04-C</t>
  </si>
  <si>
    <t>WESTLAKE -04-C - ABS</t>
  </si>
  <si>
    <t>WESTLAKE -04-D</t>
  </si>
  <si>
    <t>WESTLAKE -04-D - ABS</t>
  </si>
  <si>
    <t>WESTLAKE -05-A</t>
  </si>
  <si>
    <t>WESTLAKE -05-A - ABS</t>
  </si>
  <si>
    <t>WESTLAKE -05-B</t>
  </si>
  <si>
    <t>WESTLAKE -05-B - ABS</t>
  </si>
  <si>
    <t>WESTLAKE -05-C</t>
  </si>
  <si>
    <t>WESTLAKE -05-C - ABS</t>
  </si>
  <si>
    <t>WESTLAKE -05-D</t>
  </si>
  <si>
    <t>WESTLAKE -05-D - ABS</t>
  </si>
  <si>
    <t>WESTLAKE -06-A</t>
  </si>
  <si>
    <t>WESTLAKE -06-A - ABS</t>
  </si>
  <si>
    <t>WESTLAKE -06-B</t>
  </si>
  <si>
    <t>WESTLAKE -06-B - ABS</t>
  </si>
  <si>
    <t>WESTLAKE -06-C</t>
  </si>
  <si>
    <t>WESTLAKE -06-C - ABS</t>
  </si>
  <si>
    <t>WESTLAKE -06-D</t>
  </si>
  <si>
    <t>WESTLAKE -06-D - ABS</t>
  </si>
  <si>
    <t>WOODMERE -00-A</t>
  </si>
  <si>
    <t>WOODMERE -00-A - ABS</t>
  </si>
  <si>
    <t>Presidential Delegates-at-Large and Alternates-at-Large (REP)</t>
  </si>
  <si>
    <t>No Discrepancies</t>
  </si>
</sst>
</file>

<file path=xl/styles.xml><?xml version="1.0" encoding="utf-8"?>
<styleSheet xmlns="http://schemas.openxmlformats.org/spreadsheetml/2006/main">
  <numFmts count="5">
    <numFmt numFmtId="44" formatCode="_(&quot;$&quot;* #,##0.00_);_(&quot;$&quot;* \(#,##0.00\);_(&quot;$&quot;* &quot;-&quot;??_);_(@_)"/>
    <numFmt numFmtId="43" formatCode="_(* #,##0.00_);_(* \(#,##0.00\);_(* &quot;-&quot;??_);_(@_)"/>
    <numFmt numFmtId="164" formatCode="0000"/>
    <numFmt numFmtId="165" formatCode="&quot;$&quot;#,##0.000"/>
    <numFmt numFmtId="166" formatCode="&quot;$&quot;#,##0.00"/>
  </numFmts>
  <fonts count="33">
    <font>
      <sz val="11"/>
      <color theme="1"/>
      <name val="Calibri"/>
      <family val="2"/>
      <scheme val="minor"/>
    </font>
    <font>
      <sz val="11"/>
      <color theme="1"/>
      <name val="Calibri"/>
      <family val="2"/>
      <scheme val="minor"/>
    </font>
    <font>
      <sz val="10"/>
      <name val="Calibri"/>
      <family val="2"/>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scheme val="minor"/>
    </font>
    <font>
      <sz val="11"/>
      <color theme="1"/>
      <name val="Calibri"/>
      <scheme val="minor"/>
    </font>
    <font>
      <sz val="11"/>
      <name val="Calibri"/>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5">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right/>
      <top style="thin">
        <color theme="4" tint="0.59999389629810485"/>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4" tint="0.59999389629810485"/>
      </left>
      <right/>
      <top style="thin">
        <color theme="4" tint="0.59999389629810485"/>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right style="thin">
        <color theme="4" tint="0.59999389629810485"/>
      </right>
      <top style="thin">
        <color theme="4" tint="0.59999389629810485"/>
      </top>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4">
    <xf numFmtId="0" fontId="0" fillId="0" borderId="0"/>
    <xf numFmtId="0" fontId="6" fillId="0" borderId="0"/>
    <xf numFmtId="43" fontId="1" fillId="0" borderId="0" applyFont="0" applyFill="0" applyBorder="0" applyAlignment="0" applyProtection="0"/>
    <xf numFmtId="44" fontId="1" fillId="0" borderId="0" applyFont="0" applyFill="0" applyBorder="0" applyAlignment="0" applyProtection="0"/>
  </cellStyleXfs>
  <cellXfs count="184">
    <xf numFmtId="0" fontId="0" fillId="0" borderId="0" xfId="0"/>
    <xf numFmtId="0" fontId="4" fillId="0" borderId="0" xfId="0" applyFont="1" applyAlignment="1">
      <alignment horizontal="center" vertical="center" wrapText="1"/>
    </xf>
    <xf numFmtId="0" fontId="5" fillId="2" borderId="1" xfId="0" applyFont="1" applyFill="1" applyBorder="1" applyAlignment="1">
      <alignment horizontal="center"/>
    </xf>
    <xf numFmtId="0" fontId="5" fillId="2" borderId="1" xfId="0" applyFont="1" applyFill="1" applyBorder="1" applyAlignment="1">
      <alignment horizontal="center"/>
    </xf>
    <xf numFmtId="0" fontId="3" fillId="0" borderId="1" xfId="0" applyFont="1" applyFill="1" applyBorder="1" applyAlignment="1">
      <alignment horizontal="left"/>
    </xf>
    <xf numFmtId="9" fontId="3" fillId="0" borderId="1" xfId="0" applyNumberFormat="1" applyFont="1" applyFill="1" applyBorder="1" applyAlignment="1">
      <alignment horizontal="center"/>
    </xf>
    <xf numFmtId="0" fontId="3" fillId="0" borderId="1" xfId="0" applyFont="1" applyFill="1" applyBorder="1" applyAlignment="1">
      <alignment horizontal="left" vertical="center"/>
    </xf>
    <xf numFmtId="0" fontId="3" fillId="4" borderId="3" xfId="0" applyFont="1" applyFill="1" applyBorder="1" applyAlignment="1">
      <alignment horizontal="left"/>
    </xf>
    <xf numFmtId="0" fontId="3" fillId="0" borderId="3" xfId="0" applyFont="1" applyBorder="1" applyAlignment="1">
      <alignment horizontal="left"/>
    </xf>
    <xf numFmtId="0" fontId="9" fillId="5" borderId="5" xfId="0" applyFont="1" applyFill="1" applyBorder="1" applyAlignment="1">
      <alignment horizontal="center" vertical="center" wrapText="1"/>
    </xf>
    <xf numFmtId="0" fontId="10" fillId="5" borderId="5" xfId="0" applyFont="1" applyFill="1" applyBorder="1" applyAlignment="1">
      <alignment horizontal="center"/>
    </xf>
    <xf numFmtId="3" fontId="3" fillId="0" borderId="1" xfId="0" applyNumberFormat="1" applyFont="1" applyFill="1" applyBorder="1" applyAlignment="1" applyProtection="1">
      <alignment horizontal="center"/>
    </xf>
    <xf numFmtId="3" fontId="3" fillId="0" borderId="1" xfId="2" applyNumberFormat="1" applyFont="1" applyFill="1" applyBorder="1" applyAlignment="1" applyProtection="1">
      <alignment horizontal="center"/>
    </xf>
    <xf numFmtId="10" fontId="3" fillId="0" borderId="1" xfId="0" applyNumberFormat="1" applyFont="1" applyFill="1" applyBorder="1" applyAlignment="1" applyProtection="1">
      <alignment horizontal="center" vertical="center"/>
    </xf>
    <xf numFmtId="0" fontId="5" fillId="2" borderId="1" xfId="0" applyFont="1" applyFill="1" applyBorder="1" applyAlignment="1">
      <alignment horizontal="center"/>
    </xf>
    <xf numFmtId="3" fontId="3" fillId="0" borderId="1" xfId="0" applyNumberFormat="1" applyFont="1" applyFill="1" applyBorder="1" applyAlignment="1">
      <alignment horizontal="center"/>
    </xf>
    <xf numFmtId="0" fontId="0" fillId="0" borderId="0" xfId="0" applyProtection="1">
      <protection locked="0"/>
    </xf>
    <xf numFmtId="0" fontId="2" fillId="0" borderId="0" xfId="0" applyFont="1" applyProtection="1">
      <protection locked="0"/>
    </xf>
    <xf numFmtId="0" fontId="0" fillId="0" borderId="0" xfId="0"/>
    <xf numFmtId="0" fontId="4" fillId="0" borderId="0" xfId="0" applyFont="1" applyAlignment="1">
      <alignment horizontal="center" vertical="center" wrapText="1"/>
    </xf>
    <xf numFmtId="0" fontId="0" fillId="0" borderId="0" xfId="0" applyAlignment="1">
      <alignment horizontal="left"/>
    </xf>
    <xf numFmtId="0" fontId="3" fillId="0" borderId="1" xfId="0" applyFont="1" applyFill="1" applyBorder="1" applyAlignment="1">
      <alignment horizontal="left"/>
    </xf>
    <xf numFmtId="0" fontId="15" fillId="0" borderId="0" xfId="0" applyNumberFormat="1" applyFont="1" applyAlignment="1" applyProtection="1">
      <alignment horizontal="right"/>
    </xf>
    <xf numFmtId="0" fontId="15" fillId="0" borderId="0" xfId="0" applyNumberFormat="1" applyFont="1"/>
    <xf numFmtId="0" fontId="15" fillId="0" borderId="0" xfId="0" applyFont="1"/>
    <xf numFmtId="0" fontId="15" fillId="0" borderId="0" xfId="0" applyNumberFormat="1" applyFont="1" applyAlignment="1">
      <alignment horizontal="right"/>
    </xf>
    <xf numFmtId="0" fontId="15" fillId="0" borderId="0" xfId="0" applyNumberFormat="1" applyFont="1" applyFill="1" applyBorder="1"/>
    <xf numFmtId="3" fontId="15" fillId="0" borderId="0" xfId="0" applyNumberFormat="1" applyFont="1" applyFill="1" applyBorder="1"/>
    <xf numFmtId="0" fontId="15" fillId="0" borderId="0" xfId="0" applyFont="1" applyFill="1" applyBorder="1"/>
    <xf numFmtId="10" fontId="15" fillId="0" borderId="2" xfId="0" applyNumberFormat="1" applyFont="1" applyFill="1" applyBorder="1"/>
    <xf numFmtId="0" fontId="15" fillId="0" borderId="8" xfId="0" applyNumberFormat="1" applyFont="1" applyFill="1" applyBorder="1"/>
    <xf numFmtId="10" fontId="15" fillId="0" borderId="8" xfId="0" applyNumberFormat="1" applyFont="1" applyFill="1" applyBorder="1"/>
    <xf numFmtId="0" fontId="15" fillId="0" borderId="2" xfId="0" applyNumberFormat="1" applyFont="1" applyFill="1" applyBorder="1"/>
    <xf numFmtId="0" fontId="15" fillId="0" borderId="0" xfId="0" applyNumberFormat="1" applyFont="1" applyFill="1" applyBorder="1" applyAlignment="1">
      <alignment horizontal="center"/>
    </xf>
    <xf numFmtId="0" fontId="15" fillId="0" borderId="0" xfId="0" applyNumberFormat="1" applyFont="1" applyFill="1" applyBorder="1" applyAlignment="1">
      <alignment horizontal="left"/>
    </xf>
    <xf numFmtId="0" fontId="3" fillId="0" borderId="0" xfId="0" applyFont="1" applyBorder="1" applyAlignment="1">
      <alignment horizontal="left"/>
    </xf>
    <xf numFmtId="0" fontId="3" fillId="0" borderId="0" xfId="0" applyFont="1" applyBorder="1" applyAlignment="1">
      <alignment horizontal="center"/>
    </xf>
    <xf numFmtId="0" fontId="0" fillId="0" borderId="0" xfId="0" applyNumberFormat="1" applyProtection="1">
      <protection locked="0"/>
    </xf>
    <xf numFmtId="0" fontId="8" fillId="0" borderId="0" xfId="0" applyFont="1" applyFill="1" applyBorder="1" applyProtection="1">
      <protection locked="0"/>
    </xf>
    <xf numFmtId="3" fontId="8" fillId="0" borderId="0" xfId="0" applyNumberFormat="1" applyFont="1" applyFill="1" applyBorder="1" applyProtection="1">
      <protection locked="0"/>
    </xf>
    <xf numFmtId="0" fontId="8" fillId="0" borderId="0" xfId="0" applyNumberFormat="1" applyFont="1" applyFill="1" applyBorder="1" applyProtection="1">
      <protection locked="0"/>
    </xf>
    <xf numFmtId="0" fontId="5" fillId="6" borderId="15"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17" fillId="6" borderId="18"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17" fillId="6" borderId="21"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16" fillId="2" borderId="24" xfId="0" applyFont="1" applyFill="1" applyBorder="1" applyAlignment="1">
      <alignment horizontal="center" vertical="center" wrapText="1"/>
    </xf>
    <xf numFmtId="3" fontId="5" fillId="2" borderId="23" xfId="0" applyNumberFormat="1" applyFont="1" applyFill="1" applyBorder="1" applyAlignment="1">
      <alignment horizontal="center" vertical="center" wrapText="1"/>
    </xf>
    <xf numFmtId="3" fontId="16" fillId="2" borderId="24" xfId="0" applyNumberFormat="1" applyFont="1" applyFill="1" applyBorder="1" applyAlignment="1">
      <alignment horizontal="center" vertical="center" wrapText="1"/>
    </xf>
    <xf numFmtId="3" fontId="17" fillId="6" borderId="15" xfId="0" applyNumberFormat="1" applyFont="1" applyFill="1" applyBorder="1" applyAlignment="1">
      <alignment horizontal="center" vertical="center" wrapText="1"/>
    </xf>
    <xf numFmtId="0" fontId="22" fillId="2" borderId="15" xfId="0" applyFont="1" applyFill="1" applyBorder="1" applyAlignment="1">
      <alignment horizontal="center" vertical="center" wrapText="1"/>
    </xf>
    <xf numFmtId="3" fontId="22" fillId="2" borderId="15" xfId="0" applyNumberFormat="1" applyFont="1" applyFill="1" applyBorder="1" applyAlignment="1">
      <alignment horizontal="center" vertical="center" wrapText="1"/>
    </xf>
    <xf numFmtId="10" fontId="16" fillId="2" borderId="15" xfId="0" applyNumberFormat="1" applyFont="1" applyFill="1" applyBorder="1" applyAlignment="1">
      <alignment horizontal="center" vertical="center" wrapText="1"/>
    </xf>
    <xf numFmtId="0" fontId="17" fillId="6" borderId="25" xfId="0" applyFont="1" applyFill="1" applyBorder="1" applyAlignment="1">
      <alignment horizontal="center" vertical="center" wrapText="1"/>
    </xf>
    <xf numFmtId="0" fontId="5" fillId="2" borderId="16" xfId="0" applyFont="1" applyFill="1" applyBorder="1" applyAlignment="1">
      <alignment horizontal="center" vertical="center" wrapText="1"/>
    </xf>
    <xf numFmtId="3" fontId="5" fillId="2" borderId="16" xfId="0" applyNumberFormat="1" applyFont="1" applyFill="1" applyBorder="1" applyAlignment="1">
      <alignment horizontal="center" vertical="center" wrapText="1"/>
    </xf>
    <xf numFmtId="10" fontId="5" fillId="2" borderId="16" xfId="0" applyNumberFormat="1" applyFont="1" applyFill="1" applyBorder="1" applyAlignment="1">
      <alignment horizontal="center" vertical="center" wrapText="1"/>
    </xf>
    <xf numFmtId="0" fontId="5" fillId="6" borderId="25" xfId="0" applyFont="1" applyFill="1" applyBorder="1" applyAlignment="1">
      <alignment horizontal="center" vertical="center" wrapText="1"/>
    </xf>
    <xf numFmtId="9" fontId="0" fillId="0" borderId="0" xfId="0" applyNumberFormat="1"/>
    <xf numFmtId="164" fontId="0" fillId="0" borderId="0" xfId="0" applyNumberFormat="1" applyFont="1" applyFill="1" applyBorder="1" applyAlignment="1">
      <alignment horizontal="center"/>
    </xf>
    <xf numFmtId="164" fontId="1" fillId="0" borderId="0" xfId="0" applyNumberFormat="1" applyFont="1" applyFill="1" applyAlignment="1">
      <alignment horizontal="center"/>
    </xf>
    <xf numFmtId="164" fontId="1" fillId="0" borderId="0" xfId="0" applyNumberFormat="1" applyFont="1" applyFill="1" applyBorder="1" applyAlignment="1">
      <alignment horizontal="center"/>
    </xf>
    <xf numFmtId="3" fontId="3" fillId="0" borderId="4" xfId="0" applyNumberFormat="1" applyFont="1" applyFill="1" applyBorder="1" applyAlignment="1">
      <alignment horizontal="center"/>
    </xf>
    <xf numFmtId="3" fontId="3" fillId="4" borderId="4" xfId="0" applyNumberFormat="1" applyFont="1" applyFill="1" applyBorder="1" applyAlignment="1">
      <alignment horizontal="center" wrapText="1"/>
    </xf>
    <xf numFmtId="3" fontId="3" fillId="0" borderId="4" xfId="0" applyNumberFormat="1" applyFont="1" applyBorder="1" applyAlignment="1">
      <alignment horizontal="center"/>
    </xf>
    <xf numFmtId="0" fontId="8" fillId="7" borderId="35" xfId="0" applyFont="1" applyFill="1" applyBorder="1" applyAlignment="1">
      <alignment horizontal="left" vertical="top" wrapText="1"/>
    </xf>
    <xf numFmtId="0" fontId="14" fillId="7" borderId="35" xfId="0" applyFont="1" applyFill="1" applyBorder="1" applyAlignment="1">
      <alignment horizontal="left" vertical="top" wrapText="1"/>
    </xf>
    <xf numFmtId="0" fontId="8" fillId="7" borderId="38" xfId="0" applyFont="1" applyFill="1" applyBorder="1" applyAlignment="1">
      <alignment horizontal="left" vertical="top" wrapText="1"/>
    </xf>
    <xf numFmtId="0" fontId="8" fillId="7" borderId="0" xfId="0" applyFont="1" applyFill="1" applyBorder="1" applyAlignment="1">
      <alignment horizontal="center" vertical="top" wrapText="1"/>
    </xf>
    <xf numFmtId="0" fontId="8" fillId="7" borderId="35" xfId="0" applyFont="1" applyFill="1" applyBorder="1" applyAlignment="1">
      <alignment vertical="top" wrapText="1"/>
    </xf>
    <xf numFmtId="0" fontId="8" fillId="7" borderId="38" xfId="0" applyFont="1" applyFill="1" applyBorder="1" applyAlignment="1">
      <alignment vertical="top" wrapText="1"/>
    </xf>
    <xf numFmtId="0" fontId="8" fillId="7" borderId="37" xfId="0" applyFont="1" applyFill="1" applyBorder="1" applyAlignment="1">
      <alignment horizontal="center" vertical="top" wrapText="1"/>
    </xf>
    <xf numFmtId="0" fontId="8" fillId="7" borderId="40" xfId="0" applyFont="1" applyFill="1" applyBorder="1" applyAlignment="1">
      <alignment horizontal="center" vertical="top" wrapText="1"/>
    </xf>
    <xf numFmtId="0" fontId="8" fillId="7" borderId="42" xfId="0" applyFont="1" applyFill="1" applyBorder="1" applyAlignment="1">
      <alignment horizontal="center" vertical="top" wrapText="1"/>
    </xf>
    <xf numFmtId="0" fontId="28" fillId="7" borderId="28" xfId="0" applyFont="1" applyFill="1" applyBorder="1" applyAlignment="1">
      <alignment horizontal="center" vertical="center" wrapText="1"/>
    </xf>
    <xf numFmtId="0" fontId="8" fillId="8" borderId="0" xfId="0" applyFont="1" applyFill="1" applyBorder="1" applyAlignment="1">
      <alignment horizontal="center" vertical="top" wrapText="1"/>
    </xf>
    <xf numFmtId="0" fontId="8" fillId="8" borderId="35" xfId="0" applyFont="1" applyFill="1" applyBorder="1" applyAlignment="1">
      <alignment horizontal="left" vertical="top" wrapText="1"/>
    </xf>
    <xf numFmtId="0" fontId="14" fillId="8" borderId="35" xfId="0" applyFont="1" applyFill="1" applyBorder="1" applyAlignment="1">
      <alignment horizontal="left" vertical="top" wrapText="1"/>
    </xf>
    <xf numFmtId="0" fontId="8" fillId="8" borderId="37" xfId="0" applyFont="1" applyFill="1" applyBorder="1" applyAlignment="1">
      <alignment horizontal="center" vertical="top" wrapText="1"/>
    </xf>
    <xf numFmtId="0" fontId="8" fillId="8" borderId="38" xfId="0" applyFont="1" applyFill="1" applyBorder="1" applyAlignment="1">
      <alignment horizontal="left" vertical="top" wrapText="1"/>
    </xf>
    <xf numFmtId="0" fontId="28" fillId="8" borderId="36" xfId="0" applyFont="1" applyFill="1" applyBorder="1" applyAlignment="1">
      <alignment horizontal="center" vertical="center" wrapText="1"/>
    </xf>
    <xf numFmtId="0" fontId="8" fillId="8" borderId="40" xfId="0" applyFont="1" applyFill="1" applyBorder="1" applyAlignment="1">
      <alignment horizontal="center" vertical="top" wrapText="1"/>
    </xf>
    <xf numFmtId="0" fontId="8" fillId="8" borderId="42" xfId="0" applyFont="1" applyFill="1" applyBorder="1" applyAlignment="1">
      <alignment horizontal="center" vertical="top" wrapText="1"/>
    </xf>
    <xf numFmtId="0" fontId="8" fillId="8" borderId="35" xfId="0" applyFont="1" applyFill="1" applyBorder="1" applyAlignment="1">
      <alignment vertical="top" wrapText="1"/>
    </xf>
    <xf numFmtId="0" fontId="8" fillId="8" borderId="38" xfId="0" applyFont="1" applyFill="1" applyBorder="1" applyAlignment="1">
      <alignment vertical="top" wrapText="1"/>
    </xf>
    <xf numFmtId="0" fontId="27" fillId="8" borderId="39" xfId="0" applyFont="1" applyFill="1" applyBorder="1" applyAlignment="1">
      <alignment horizontal="center" vertical="top" wrapText="1"/>
    </xf>
    <xf numFmtId="0" fontId="0" fillId="0" borderId="50" xfId="0" applyFill="1" applyBorder="1" applyAlignment="1"/>
    <xf numFmtId="0" fontId="0" fillId="0" borderId="51" xfId="0" applyFill="1" applyBorder="1" applyAlignment="1"/>
    <xf numFmtId="0" fontId="3" fillId="0" borderId="52" xfId="0" applyFont="1" applyFill="1" applyBorder="1" applyAlignment="1"/>
    <xf numFmtId="0" fontId="29" fillId="0" borderId="0" xfId="0" applyFont="1"/>
    <xf numFmtId="0" fontId="30" fillId="3" borderId="6" xfId="0" applyNumberFormat="1" applyFont="1" applyFill="1" applyBorder="1"/>
    <xf numFmtId="0" fontId="30" fillId="3" borderId="7" xfId="0" applyFont="1" applyFill="1" applyBorder="1"/>
    <xf numFmtId="3" fontId="30" fillId="3" borderId="7" xfId="0" applyNumberFormat="1" applyFont="1" applyFill="1" applyBorder="1"/>
    <xf numFmtId="0" fontId="30" fillId="3" borderId="7" xfId="0" applyNumberFormat="1" applyFont="1" applyFill="1" applyBorder="1"/>
    <xf numFmtId="10" fontId="30" fillId="3" borderId="7" xfId="0" applyNumberFormat="1" applyFont="1" applyFill="1" applyBorder="1"/>
    <xf numFmtId="9" fontId="30" fillId="3" borderId="7" xfId="0" applyNumberFormat="1" applyFont="1" applyFill="1" applyBorder="1"/>
    <xf numFmtId="0" fontId="3" fillId="0" borderId="1" xfId="0" applyFont="1" applyFill="1" applyBorder="1" applyAlignment="1">
      <alignment horizontal="center" wrapText="1"/>
    </xf>
    <xf numFmtId="0" fontId="30" fillId="0" borderId="0" xfId="0" applyNumberFormat="1" applyFont="1" applyAlignment="1" applyProtection="1">
      <alignment horizontal="right"/>
    </xf>
    <xf numFmtId="0" fontId="30" fillId="0" borderId="0" xfId="0" applyNumberFormat="1" applyFont="1"/>
    <xf numFmtId="0" fontId="30" fillId="0" borderId="0" xfId="0" applyFont="1"/>
    <xf numFmtId="0" fontId="30" fillId="0" borderId="0" xfId="0" applyNumberFormat="1" applyFont="1" applyAlignment="1">
      <alignment horizontal="right"/>
    </xf>
    <xf numFmtId="0" fontId="30" fillId="0" borderId="0" xfId="0" applyNumberFormat="1" applyFont="1" applyFill="1" applyAlignment="1">
      <alignment horizontal="center"/>
    </xf>
    <xf numFmtId="164" fontId="31" fillId="0" borderId="0" xfId="0" applyNumberFormat="1" applyFont="1" applyFill="1" applyAlignment="1">
      <alignment horizontal="center"/>
    </xf>
    <xf numFmtId="0" fontId="30" fillId="0" borderId="0" xfId="0" applyNumberFormat="1" applyFont="1" applyFill="1" applyAlignment="1">
      <alignment horizontal="left"/>
    </xf>
    <xf numFmtId="0" fontId="30" fillId="0" borderId="0" xfId="0" applyNumberFormat="1" applyFont="1" applyFill="1" applyBorder="1" applyAlignment="1">
      <alignment horizontal="center"/>
    </xf>
    <xf numFmtId="164" fontId="31" fillId="0" borderId="0" xfId="0" applyNumberFormat="1" applyFont="1" applyFill="1" applyBorder="1" applyAlignment="1">
      <alignment horizontal="center"/>
    </xf>
    <xf numFmtId="0" fontId="30" fillId="0" borderId="0" xfId="0" applyNumberFormat="1" applyFont="1" applyFill="1" applyBorder="1" applyAlignment="1">
      <alignment horizontal="left"/>
    </xf>
    <xf numFmtId="10" fontId="30" fillId="0" borderId="2" xfId="0" applyNumberFormat="1" applyFont="1" applyFill="1" applyBorder="1"/>
    <xf numFmtId="0" fontId="30" fillId="0" borderId="2" xfId="0" applyNumberFormat="1" applyFont="1" applyFill="1" applyBorder="1"/>
    <xf numFmtId="0" fontId="30" fillId="0" borderId="0" xfId="0" applyNumberFormat="1" applyFont="1" applyFill="1" applyBorder="1"/>
    <xf numFmtId="0" fontId="30" fillId="0" borderId="0" xfId="0" applyFont="1" applyFill="1" applyBorder="1"/>
    <xf numFmtId="3" fontId="30" fillId="0" borderId="0" xfId="0" applyNumberFormat="1" applyFont="1" applyFill="1" applyBorder="1"/>
    <xf numFmtId="0" fontId="32" fillId="0" borderId="0" xfId="0" applyFont="1" applyFill="1" applyBorder="1" applyProtection="1">
      <protection locked="0"/>
    </xf>
    <xf numFmtId="3" fontId="32" fillId="0" borderId="0" xfId="0" applyNumberFormat="1" applyFont="1" applyFill="1" applyBorder="1" applyProtection="1">
      <protection locked="0"/>
    </xf>
    <xf numFmtId="0" fontId="32" fillId="0" borderId="0" xfId="0" applyNumberFormat="1" applyFont="1" applyFill="1" applyBorder="1" applyProtection="1">
      <protection locked="0"/>
    </xf>
    <xf numFmtId="10" fontId="30" fillId="0" borderId="8" xfId="0" applyNumberFormat="1" applyFont="1" applyFill="1" applyBorder="1"/>
    <xf numFmtId="0" fontId="30" fillId="0" borderId="8" xfId="0" applyNumberFormat="1" applyFont="1" applyFill="1" applyBorder="1"/>
    <xf numFmtId="165" fontId="3" fillId="0" borderId="1" xfId="3" applyNumberFormat="1" applyFont="1" applyFill="1" applyBorder="1" applyAlignment="1">
      <alignment horizontal="center"/>
    </xf>
    <xf numFmtId="166" fontId="3" fillId="0" borderId="1" xfId="3" applyNumberFormat="1" applyFont="1" applyFill="1" applyBorder="1" applyAlignment="1">
      <alignment horizontal="center"/>
    </xf>
    <xf numFmtId="0" fontId="7" fillId="2" borderId="0" xfId="0" applyFont="1" applyFill="1" applyAlignment="1">
      <alignment horizontal="center" vertical="center"/>
    </xf>
    <xf numFmtId="0" fontId="7" fillId="2" borderId="0" xfId="0" applyFont="1" applyFill="1" applyAlignment="1">
      <alignment horizontal="center"/>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53" xfId="0" applyFont="1" applyFill="1" applyBorder="1" applyAlignment="1">
      <alignment horizontal="center" vertical="center"/>
    </xf>
    <xf numFmtId="0" fontId="5" fillId="2" borderId="54" xfId="0" applyFont="1" applyFill="1" applyBorder="1" applyAlignment="1">
      <alignment horizontal="center" vertical="center"/>
    </xf>
    <xf numFmtId="0" fontId="0" fillId="0" borderId="11" xfId="0" applyBorder="1" applyAlignment="1">
      <alignment vertical="center"/>
    </xf>
    <xf numFmtId="0" fontId="5" fillId="2" borderId="51" xfId="0" applyFont="1" applyFill="1" applyBorder="1" applyAlignment="1">
      <alignment horizontal="center" vertical="center"/>
    </xf>
    <xf numFmtId="0" fontId="5" fillId="2" borderId="14"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8" fillId="8" borderId="41" xfId="0" applyFont="1" applyFill="1" applyBorder="1" applyAlignment="1">
      <alignment horizontal="left" vertical="center" wrapText="1"/>
    </xf>
    <xf numFmtId="0" fontId="8" fillId="8" borderId="33" xfId="0" applyFont="1" applyFill="1" applyBorder="1" applyAlignment="1">
      <alignment horizontal="left" vertical="center" wrapText="1"/>
    </xf>
    <xf numFmtId="0" fontId="0" fillId="8" borderId="30" xfId="0" applyFill="1" applyBorder="1" applyAlignment="1">
      <alignment horizontal="left" vertical="center" wrapText="1"/>
    </xf>
    <xf numFmtId="0" fontId="0" fillId="8" borderId="29" xfId="0" applyFont="1" applyFill="1" applyBorder="1" applyAlignment="1">
      <alignment horizontal="left" vertical="center" wrapText="1"/>
    </xf>
    <xf numFmtId="0" fontId="0" fillId="7" borderId="41" xfId="0" applyFont="1" applyFill="1" applyBorder="1" applyAlignment="1">
      <alignment horizontal="left" vertical="center" wrapText="1"/>
    </xf>
    <xf numFmtId="0" fontId="0" fillId="7" borderId="33" xfId="0" applyFont="1" applyFill="1" applyBorder="1" applyAlignment="1">
      <alignment horizontal="left" vertical="center" wrapText="1"/>
    </xf>
    <xf numFmtId="0" fontId="8" fillId="7" borderId="41" xfId="0" applyFont="1" applyFill="1" applyBorder="1" applyAlignment="1">
      <alignment horizontal="left" vertical="center" wrapText="1"/>
    </xf>
    <xf numFmtId="0" fontId="8" fillId="7" borderId="33" xfId="0" applyFont="1" applyFill="1" applyBorder="1" applyAlignment="1">
      <alignment horizontal="left" vertical="center" wrapText="1"/>
    </xf>
    <xf numFmtId="0" fontId="8" fillId="7" borderId="49" xfId="0" applyFont="1" applyFill="1" applyBorder="1" applyAlignment="1">
      <alignment horizontal="left" vertical="center" wrapText="1"/>
    </xf>
    <xf numFmtId="0" fontId="8" fillId="7" borderId="29" xfId="0" applyFont="1" applyFill="1" applyBorder="1" applyAlignment="1">
      <alignment horizontal="left" vertical="center" wrapText="1"/>
    </xf>
    <xf numFmtId="0" fontId="5" fillId="2" borderId="28"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28" fillId="7" borderId="43" xfId="0" applyFont="1" applyFill="1" applyBorder="1" applyAlignment="1">
      <alignment horizontal="center" vertical="top" wrapText="1"/>
    </xf>
    <xf numFmtId="0" fontId="28" fillId="7" borderId="45" xfId="0" applyFont="1" applyFill="1" applyBorder="1" applyAlignment="1">
      <alignment horizontal="center" vertical="top" wrapText="1"/>
    </xf>
    <xf numFmtId="0" fontId="28" fillId="8" borderId="31" xfId="0" applyFont="1" applyFill="1" applyBorder="1" applyAlignment="1">
      <alignment horizontal="center" vertical="top" wrapText="1"/>
    </xf>
    <xf numFmtId="0" fontId="28" fillId="8" borderId="34" xfId="0" applyFont="1" applyFill="1" applyBorder="1" applyAlignment="1">
      <alignment horizontal="center" vertical="top" wrapText="1"/>
    </xf>
    <xf numFmtId="0" fontId="28" fillId="8" borderId="36" xfId="0" applyFont="1" applyFill="1" applyBorder="1" applyAlignment="1">
      <alignment horizontal="center" vertical="top" wrapText="1"/>
    </xf>
    <xf numFmtId="0" fontId="28" fillId="7" borderId="44" xfId="0" applyFont="1" applyFill="1" applyBorder="1" applyAlignment="1">
      <alignment horizontal="center" vertical="top" wrapText="1"/>
    </xf>
    <xf numFmtId="0" fontId="28" fillId="8" borderId="43" xfId="0" applyFont="1" applyFill="1" applyBorder="1" applyAlignment="1">
      <alignment horizontal="center" vertical="top" wrapText="1"/>
    </xf>
    <xf numFmtId="0" fontId="28" fillId="8" borderId="44" xfId="0" applyFont="1" applyFill="1" applyBorder="1" applyAlignment="1">
      <alignment horizontal="center" vertical="top" wrapText="1"/>
    </xf>
    <xf numFmtId="0" fontId="28" fillId="8" borderId="45" xfId="0" applyFont="1" applyFill="1" applyBorder="1" applyAlignment="1">
      <alignment horizontal="center" vertical="top" wrapText="1"/>
    </xf>
    <xf numFmtId="0" fontId="14" fillId="7" borderId="28" xfId="0" applyFont="1" applyFill="1" applyBorder="1" applyAlignment="1">
      <alignment horizontal="center" vertical="center" wrapText="1"/>
    </xf>
    <xf numFmtId="0" fontId="14" fillId="7" borderId="30" xfId="0" applyFont="1" applyFill="1" applyBorder="1" applyAlignment="1">
      <alignment horizontal="center" vertical="center" wrapText="1"/>
    </xf>
    <xf numFmtId="0" fontId="14" fillId="7" borderId="29" xfId="0" applyFont="1" applyFill="1" applyBorder="1" applyAlignment="1">
      <alignment horizontal="center" vertical="center" wrapText="1"/>
    </xf>
    <xf numFmtId="0" fontId="8" fillId="8" borderId="49" xfId="0" applyFont="1" applyFill="1" applyBorder="1" applyAlignment="1">
      <alignment vertical="center" wrapText="1"/>
    </xf>
    <xf numFmtId="0" fontId="8" fillId="8" borderId="29" xfId="0" applyFont="1" applyFill="1" applyBorder="1" applyAlignment="1">
      <alignment vertical="center" wrapText="1"/>
    </xf>
    <xf numFmtId="0" fontId="14" fillId="7" borderId="31" xfId="0" applyFont="1" applyFill="1" applyBorder="1" applyAlignment="1">
      <alignment horizontal="left" vertical="center" wrapText="1"/>
    </xf>
    <xf numFmtId="0" fontId="14" fillId="7" borderId="32" xfId="0" applyFont="1" applyFill="1" applyBorder="1" applyAlignment="1">
      <alignment horizontal="left" vertical="center" wrapText="1"/>
    </xf>
    <xf numFmtId="0" fontId="14" fillId="7" borderId="33" xfId="0" applyFont="1" applyFill="1" applyBorder="1" applyAlignment="1">
      <alignment horizontal="left" vertical="center" wrapText="1"/>
    </xf>
    <xf numFmtId="0" fontId="14" fillId="7" borderId="34" xfId="0" applyFont="1" applyFill="1" applyBorder="1" applyAlignment="1">
      <alignment horizontal="left" vertical="center" wrapText="1"/>
    </xf>
    <xf numFmtId="0" fontId="14" fillId="7" borderId="0" xfId="0" applyFont="1" applyFill="1" applyBorder="1" applyAlignment="1">
      <alignment horizontal="left" vertical="center" wrapText="1"/>
    </xf>
    <xf numFmtId="0" fontId="14" fillId="7" borderId="35" xfId="0" applyFont="1" applyFill="1" applyBorder="1" applyAlignment="1">
      <alignment horizontal="left" vertical="center" wrapText="1"/>
    </xf>
    <xf numFmtId="0" fontId="14" fillId="7" borderId="36" xfId="0" applyFont="1" applyFill="1" applyBorder="1" applyAlignment="1">
      <alignment horizontal="left" vertical="center" wrapText="1"/>
    </xf>
    <xf numFmtId="0" fontId="14" fillId="7" borderId="37" xfId="0" applyFont="1" applyFill="1" applyBorder="1" applyAlignment="1">
      <alignment horizontal="left" vertical="center" wrapText="1"/>
    </xf>
    <xf numFmtId="0" fontId="14" fillId="7" borderId="38" xfId="0" applyFont="1" applyFill="1" applyBorder="1" applyAlignment="1">
      <alignment horizontal="left" vertical="center" wrapText="1"/>
    </xf>
    <xf numFmtId="0" fontId="14" fillId="7" borderId="37" xfId="0" applyFont="1" applyFill="1" applyBorder="1" applyAlignment="1">
      <alignment horizontal="left" vertical="top" wrapText="1"/>
    </xf>
    <xf numFmtId="0" fontId="14" fillId="7" borderId="38" xfId="0" applyFont="1" applyFill="1" applyBorder="1" applyAlignment="1">
      <alignment horizontal="left" vertical="top" wrapText="1"/>
    </xf>
    <xf numFmtId="0" fontId="27" fillId="7" borderId="43" xfId="0" applyFont="1" applyFill="1" applyBorder="1" applyAlignment="1">
      <alignment horizontal="center" vertical="top" wrapText="1"/>
    </xf>
    <xf numFmtId="0" fontId="27" fillId="7" borderId="44" xfId="0" applyFont="1" applyFill="1" applyBorder="1" applyAlignment="1">
      <alignment horizontal="center" vertical="top" wrapText="1"/>
    </xf>
    <xf numFmtId="0" fontId="27" fillId="7" borderId="45" xfId="0" applyFont="1" applyFill="1" applyBorder="1" applyAlignment="1">
      <alignment horizontal="center" vertical="top" wrapText="1"/>
    </xf>
    <xf numFmtId="0" fontId="28" fillId="8" borderId="46" xfId="0" applyFont="1" applyFill="1" applyBorder="1" applyAlignment="1">
      <alignment horizontal="center" vertical="top" wrapText="1"/>
    </xf>
    <xf numFmtId="0" fontId="28" fillId="8" borderId="47" xfId="0" applyFont="1" applyFill="1" applyBorder="1" applyAlignment="1">
      <alignment horizontal="center" vertical="top" wrapText="1"/>
    </xf>
    <xf numFmtId="0" fontId="28" fillId="8" borderId="48" xfId="0" applyFont="1" applyFill="1" applyBorder="1" applyAlignment="1">
      <alignment horizontal="center" vertical="top" wrapText="1"/>
    </xf>
  </cellXfs>
  <cellStyles count="4">
    <cellStyle name="Comma" xfId="2" builtinId="3"/>
    <cellStyle name="Currency" xfId="3" builtinId="4"/>
    <cellStyle name="Normal" xfId="0" builtinId="0"/>
    <cellStyle name="Normal 2" xfId="1"/>
  </cellStyles>
  <dxfs count="167">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indent="0" relativeIndent="0" justifyLastLine="0" shrinkToFit="0" mergeCell="0" readingOrder="0"/>
      <border diagonalUp="0" diagonalDown="0">
        <left style="thin">
          <color theme="4" tint="0.59999389629810485"/>
        </left>
        <right style="thin">
          <color theme="4" tint="0.59999389629810485"/>
        </right>
        <top/>
        <bottom/>
      </border>
    </dxf>
    <dxf>
      <fill>
        <patternFill>
          <bgColor rgb="FF92D050"/>
        </patternFill>
      </fill>
    </dxf>
    <dxf>
      <fill>
        <patternFill>
          <bgColor rgb="FFFFFF00"/>
        </patternFill>
      </fill>
    </dxf>
    <dxf>
      <font>
        <color theme="0"/>
      </font>
      <fill>
        <patternFill patternType="solid">
          <fgColor auto="1"/>
          <bgColor rgb="FFFF0000"/>
        </patternFill>
      </fill>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indent="0" relativeIndent="0" justifyLastLine="0" shrinkToFit="0" mergeCell="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indent="0" relativeIndent="0" justifyLastLine="0" shrinkToFit="0" mergeCell="0" readingOrder="0"/>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indent="0" relativeIndent="0" justifyLastLine="0" shrinkToFit="0" mergeCell="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theme="6" tint="-0.499984740745262"/>
        <name val="Calibri"/>
        <scheme val="minor"/>
      </font>
    </dxf>
    <dxf>
      <font>
        <b val="0"/>
        <i val="0"/>
        <strike val="0"/>
        <condense val="0"/>
        <extend val="0"/>
        <outline val="0"/>
        <shadow val="0"/>
        <u val="none"/>
        <vertAlign val="baseline"/>
        <sz val="10"/>
        <color auto="1"/>
        <name val="Calibri"/>
        <scheme val="none"/>
      </font>
      <protection locked="0" hidden="0"/>
    </dxf>
    <dxf>
      <font>
        <b val="0"/>
        <i val="0"/>
        <strike val="0"/>
        <condense val="0"/>
        <extend val="0"/>
        <outline val="0"/>
        <shadow val="0"/>
        <u val="none"/>
        <vertAlign val="baseline"/>
        <sz val="11"/>
        <color theme="6" tint="-0.499984740745262"/>
        <name val="Calibri"/>
        <scheme val="minor"/>
      </font>
    </dxf>
    <dxf>
      <font>
        <b val="0"/>
        <i val="0"/>
        <strike val="0"/>
        <condense val="0"/>
        <extend val="0"/>
        <outline val="0"/>
        <shadow val="0"/>
        <u val="none"/>
        <vertAlign val="baseline"/>
        <sz val="10"/>
        <color auto="1"/>
        <name val="Calibri"/>
        <scheme val="none"/>
      </font>
      <protection locked="0" hidden="0"/>
    </dxf>
    <dxf>
      <font>
        <b val="0"/>
        <i val="0"/>
        <strike val="0"/>
        <condense val="0"/>
        <extend val="0"/>
        <outline val="0"/>
        <shadow val="0"/>
        <u val="none"/>
        <vertAlign val="baseline"/>
        <sz val="11"/>
        <color theme="6" tint="-0.499984740745262"/>
        <name val="Calibri"/>
        <scheme val="minor"/>
      </font>
    </dxf>
    <dxf>
      <numFmt numFmtId="0" formatCode="General"/>
      <protection locked="0" hidden="0"/>
    </dxf>
    <dxf>
      <font>
        <b val="0"/>
        <i val="0"/>
        <strike val="0"/>
        <condense val="0"/>
        <extend val="0"/>
        <outline val="0"/>
        <shadow val="0"/>
        <u val="none"/>
        <vertAlign val="baseline"/>
        <sz val="11"/>
        <color theme="6" tint="-0.499984740745262"/>
        <name val="Calibri"/>
        <scheme val="minor"/>
      </font>
    </dxf>
    <dxf>
      <numFmt numFmtId="0" formatCode="General"/>
      <protection locked="0" hidden="0"/>
    </dxf>
    <dxf>
      <font>
        <b val="0"/>
        <i val="0"/>
        <strike val="0"/>
        <condense val="0"/>
        <extend val="0"/>
        <outline val="0"/>
        <shadow val="0"/>
        <u val="none"/>
        <vertAlign val="baseline"/>
        <sz val="11"/>
        <color theme="6" tint="-0.499984740745262"/>
        <name val="Calibri"/>
        <scheme val="minor"/>
      </font>
    </dxf>
    <dxf>
      <protection locked="0" hidden="0"/>
    </dxf>
    <dxf>
      <font>
        <b val="0"/>
        <i val="0"/>
        <strike val="0"/>
        <condense val="0"/>
        <extend val="0"/>
        <outline val="0"/>
        <shadow val="0"/>
        <u val="none"/>
        <vertAlign val="baseline"/>
        <sz val="11"/>
        <color theme="6" tint="-0.499984740745262"/>
        <name val="Calibri"/>
        <scheme val="minor"/>
      </font>
    </dxf>
    <dxf>
      <protection locked="0" hidden="0"/>
    </dxf>
    <dxf>
      <font>
        <b val="0"/>
        <i val="0"/>
        <strike val="0"/>
        <condense val="0"/>
        <extend val="0"/>
        <outline val="0"/>
        <shadow val="0"/>
        <u val="none"/>
        <vertAlign val="baseline"/>
        <sz val="11"/>
        <color theme="6" tint="-0.499984740745262"/>
        <name val="Calibri"/>
        <scheme val="minor"/>
      </font>
    </dxf>
    <dxf>
      <font>
        <b val="0"/>
        <i val="0"/>
        <strike val="0"/>
        <condense val="0"/>
        <extend val="0"/>
        <outline val="0"/>
        <shadow val="0"/>
        <u val="none"/>
        <vertAlign val="baseline"/>
        <sz val="10"/>
        <color auto="1"/>
        <name val="Calibri"/>
        <scheme val="none"/>
      </font>
      <protection locked="0" hidden="0"/>
    </dxf>
    <dxf>
      <font>
        <b val="0"/>
        <i val="0"/>
        <strike val="0"/>
        <condense val="0"/>
        <extend val="0"/>
        <outline val="0"/>
        <shadow val="0"/>
        <u val="none"/>
        <vertAlign val="baseline"/>
        <sz val="11"/>
        <color theme="6" tint="-0.499984740745262"/>
        <name val="Calibri"/>
        <scheme val="minor"/>
      </font>
    </dxf>
    <dxf>
      <font>
        <b val="0"/>
        <i val="0"/>
        <strike val="0"/>
        <condense val="0"/>
        <extend val="0"/>
        <outline val="0"/>
        <shadow val="0"/>
        <u val="none"/>
        <vertAlign val="baseline"/>
        <sz val="10"/>
        <color auto="1"/>
        <name val="Calibri"/>
        <scheme val="none"/>
      </font>
      <protection locked="0" hidden="0"/>
    </dxf>
    <dxf>
      <font>
        <b val="0"/>
        <i val="0"/>
        <strike val="0"/>
        <condense val="0"/>
        <extend val="0"/>
        <outline val="0"/>
        <shadow val="0"/>
        <u val="none"/>
        <vertAlign val="baseline"/>
        <sz val="11"/>
        <color theme="6" tint="-0.499984740745262"/>
        <name val="Calibri"/>
        <scheme val="minor"/>
      </font>
    </dxf>
    <dxf>
      <font>
        <b val="0"/>
        <i val="0"/>
        <strike val="0"/>
        <condense val="0"/>
        <extend val="0"/>
        <outline val="0"/>
        <shadow val="0"/>
        <u val="none"/>
        <vertAlign val="baseline"/>
        <sz val="10"/>
        <color auto="1"/>
        <name val="Calibri"/>
        <scheme val="none"/>
      </font>
      <protection locked="0" hidden="0"/>
    </dxf>
    <dxf>
      <font>
        <strike val="0"/>
        <outline val="0"/>
        <shadow val="0"/>
        <u val="none"/>
        <vertAlign val="baseline"/>
        <sz val="11"/>
        <color theme="6" tint="-0.499984740745262"/>
        <name val="Calibri"/>
        <scheme val="minor"/>
      </font>
      <numFmt numFmtId="3" formatCode="#,##0"/>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indent="0" relativeIndent="0" justifyLastLine="0" shrinkToFit="0" mergeCell="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164" formatCode="0000"/>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relativeIndent="255" justifyLastLine="0" shrinkToFit="0" mergeCell="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relativeIndent="255"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indent="0" relativeIndent="0" justifyLastLine="0" shrinkToFit="0" mergeCell="0" readingOrder="0"/>
    </dxf>
    <dxf>
      <font>
        <b/>
        <i val="0"/>
        <strike val="0"/>
        <condense val="0"/>
        <extend val="0"/>
        <outline val="0"/>
        <shadow val="0"/>
        <u val="none"/>
        <vertAlign val="baseline"/>
        <sz val="11"/>
        <color theme="1"/>
        <name val="Calibri"/>
        <scheme val="minor"/>
      </font>
      <alignment horizontal="center" vertical="bottom"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indent="0" relativeIndent="0" justifyLastLine="0" shrinkToFit="0" mergeCell="0" readingOrder="0"/>
    </dxf>
    <dxf>
      <font>
        <b/>
        <i val="0"/>
        <strike val="0"/>
        <condense val="0"/>
        <extend val="0"/>
        <outline val="0"/>
        <shadow val="0"/>
        <u val="none"/>
        <vertAlign val="baseline"/>
        <sz val="11"/>
        <color theme="1"/>
        <name val="Calibri"/>
        <scheme val="minor"/>
      </font>
      <alignment horizontal="left" vertical="bottom" textRotation="0" wrapText="0" indent="0" relativeIndent="0" justifyLastLine="0" shrinkToFit="0" mergeCell="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font>
        <b/>
        <i val="0"/>
        <color rgb="FFFF000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1743075</xdr:colOff>
      <xdr:row>2</xdr:row>
      <xdr:rowOff>177329</xdr:rowOff>
    </xdr:to>
    <xdr:pic>
      <xdr:nvPicPr>
        <xdr:cNvPr id="2" name="Picture 1" descr="BOE_Log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743075" cy="558329"/>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5" name="GeneralInfo" displayName="GeneralInfo" ref="A9:B28" totalsRowShown="0" headerRowDxfId="165" dataDxfId="163" headerRowBorderDxfId="164" tableBorderDxfId="162" totalsRowBorderDxfId="161">
  <tableColumns count="2">
    <tableColumn id="1" name="Contest Audited" dataDxfId="160"/>
    <tableColumn id="2" name="Presidential Delegates-at-Large and Alternates-at-Large (REP)" dataDxfId="159"/>
  </tableColumns>
  <tableStyleInfo name="TableStyleLight16" showFirstColumn="0" showLastColumn="0" showRowStripes="1" showColumnStripes="0"/>
</table>
</file>

<file path=xl/tables/table2.xml><?xml version="1.0" encoding="utf-8"?>
<table xmlns="http://schemas.openxmlformats.org/spreadsheetml/2006/main" id="7" name="Table7" displayName="Table7" ref="A45:B46" totalsRowShown="0" headerRowBorderDxfId="158" tableBorderDxfId="157">
  <autoFilter ref="A45:B46"/>
  <tableColumns count="2">
    <tableColumn id="1" name="Precinct Name" dataDxfId="156"/>
    <tableColumn id="2" name="Explanation" dataDxfId="155"/>
  </tableColumns>
  <tableStyleInfo name="TableStyleLight16" showFirstColumn="0" showLastColumn="0" showRowStripes="1" showColumnStripes="0"/>
</table>
</file>

<file path=xl/tables/table3.xml><?xml version="1.0" encoding="utf-8"?>
<table xmlns="http://schemas.openxmlformats.org/spreadsheetml/2006/main" id="10" name="Table10" displayName="Table10" ref="A31:B36" headerRowCount="0" totalsRowShown="0" tableBorderDxfId="154">
  <tableColumns count="2">
    <tableColumn id="1" name="Column1" headerRowDxfId="153" dataDxfId="152"/>
    <tableColumn id="2" name="Column2" headerRowDxfId="151" dataDxfId="150"/>
  </tableColumns>
  <tableStyleInfo name="TableStyleLight16" showFirstColumn="0" showLastColumn="0" showRowStripes="1" showColumnStripes="0"/>
</table>
</file>

<file path=xl/tables/table4.xml><?xml version="1.0" encoding="utf-8"?>
<table xmlns="http://schemas.openxmlformats.org/spreadsheetml/2006/main" id="4" name="SelectedPrecincts" displayName="SelectedPrecincts" ref="A2:C16" totalsRowShown="0" headerRowDxfId="149" dataDxfId="147" headerRowBorderDxfId="148">
  <tableColumns count="3">
    <tableColumn id="1" name="Draw" dataDxfId="146">
      <calculatedColumnFormula>ROW() -2</calculatedColumnFormula>
    </tableColumn>
    <tableColumn id="2" name="Batch Number" dataDxfId="145"/>
    <tableColumn id="3" name="Batch Name" dataDxfId="144">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id="1" name="SamplingData" displayName="SamplingData" ref="A4:X2169" totalsRowCount="1" headerRowDxfId="143" totalsRowDxfId="141" headerRowBorderDxfId="142">
  <autoFilter ref="A4:X2168">
    <filterColumn colId="3"/>
    <filterColumn colId="4"/>
    <filterColumn colId="5"/>
    <filterColumn colId="6"/>
    <filterColumn colId="11"/>
    <filterColumn colId="12"/>
    <filterColumn colId="13"/>
    <filterColumn colId="14"/>
    <filterColumn colId="15"/>
    <filterColumn colId="18"/>
    <filterColumn colId="19"/>
    <filterColumn colId="20"/>
    <filterColumn colId="21"/>
    <filterColumn colId="22"/>
  </autoFilter>
  <sortState ref="A2:W2153">
    <sortCondition ref="A1:A2153"/>
  </sortState>
  <tableColumns count="24">
    <tableColumn id="2" name="Batch by Type (p)" totalsRowFunction="count" dataDxfId="140" totalsRowDxfId="139"/>
    <tableColumn id="5" name="Losing Candidate" totalsRowFunction="custom" dataDxfId="138" totalsRowDxfId="137">
      <totalsRowFormula>SUM([Losing Candidate])</totalsRowFormula>
    </tableColumn>
    <tableColumn id="6" name="Winning Candidate" totalsRowFunction="custom" dataDxfId="136" totalsRowDxfId="135">
      <totalsRowFormula>SUM([Winning Candidate])</totalsRowFormula>
    </tableColumn>
    <tableColumn id="18" name="Candidate 3" totalsRowFunction="custom" dataDxfId="134" totalsRowDxfId="133">
      <totalsRowFormula>SUM([Candidate 3])</totalsRowFormula>
    </tableColumn>
    <tableColumn id="17" name="Candidate 4" totalsRowFunction="custom" dataDxfId="132" totalsRowDxfId="131">
      <totalsRowFormula>SUM([Candidate 4])</totalsRowFormula>
    </tableColumn>
    <tableColumn id="16" name="Candidate 5" totalsRowFunction="custom" dataDxfId="130" totalsRowDxfId="129">
      <totalsRowFormula>SUM([Candidate 5])</totalsRowFormula>
    </tableColumn>
    <tableColumn id="3" name="Candidate 6" totalsRowFunction="custom" dataDxfId="128" totalsRowDxfId="127">
      <totalsRowFormula>SUM([Candidate 6])</totalsRowFormula>
    </tableColumn>
    <tableColumn id="7" name="Over Votes" totalsRowFunction="custom" dataDxfId="126" totalsRowDxfId="125">
      <totalsRowFormula>SUM([Over Votes])</totalsRowFormula>
    </tableColumn>
    <tableColumn id="8" name="Under Votes" totalsRowFunction="custom" dataDxfId="124" totalsRowDxfId="123">
      <totalsRowFormula>SUM([Under Votes])</totalsRowFormula>
    </tableColumn>
    <tableColumn id="9" name="Total" totalsRowFunction="custom" dataDxfId="122" totalsRowDxfId="121">
      <calculatedColumnFormula>SUM(SamplingData[[#This Row],[Losing Candidate]:[Under Votes]])</calculatedColumnFormula>
      <totalsRowFormula>SUM([Total])</totalsRowFormula>
    </tableColumn>
    <tableColumn id="10" name="Error Bound (up) - Max. possible relative overstatement - Losing Candidate" totalsRowFunction="custom" dataDxfId="120" totalsRowDxfId="119">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SUM([Error Bound (up) - Max. possible relative overstatement - Losing Candidate])</totalsRowFormula>
    </tableColumn>
    <tableColumn id="22" name="Error Bound (up) - Max. possible relative overstatement - Candidate 3" totalsRowFunction="custom" dataDxfId="118" totalsRowDxfId="117">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SUM([Error Bound (up) - Max. possible relative overstatement - Candidate 3])</totalsRowFormula>
    </tableColumn>
    <tableColumn id="21" name="Error Bound (up) - Max. possible relative overstatement - Candidate 4" totalsRowFunction="custom" dataDxfId="116" totalsRowDxfId="115">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SUM([Error Bound (up) - Max. possible relative overstatement - Candidate 4])</totalsRowFormula>
    </tableColumn>
    <tableColumn id="20" name="Error Bound (up) - Max. possible relative overstatement - Candidate 5" totalsRowFunction="custom" dataDxfId="114" totalsRowDxfId="113">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SUM([Error Bound (up) - Max. possible relative overstatement - Candidate 5])</totalsRowFormula>
    </tableColumn>
    <tableColumn id="19" name="Error Bound (up) - Max. possible relative overstatement - Candidate 6" totalsRowFunction="custom" dataDxfId="112" totalsRowDxfId="111">
      <calculatedColumnFormula>IF(AND(SamplingData[[#This Row],[Total]]&lt;&gt; 0, NOT(ISBLANK(SamplingData[[#This Row],[Candidate 6]]))),(SamplingData[[#This Row],[Total]]+SamplingData[[#This Row],[Winning Candidate]]-SamplingData[[#This Row],[Candidate 6]])/(SamplingData[[#Totals],[Winning Candidate]]-SamplingData[[#Totals],[Candidate 6]]), 0)</calculatedColumnFormula>
      <totalsRowFormula>SUM([Error Bound (up) - Max. possible relative overstatement - Candidate 6])</totalsRowFormula>
    </tableColumn>
    <tableColumn id="23" name="Max Error Bound (up)" totalsRowFunction="custom" dataDxfId="110" totalsRowDxfId="109">
      <calculatedColumnFormula>MAX(SamplingData[[#This Row],[Error Bound (up) - Max. possible relative overstatement - Losing Candidate]:[Error Bound (up) - Max. possible relative overstatement - Candidate 6]])</calculatedColumnFormula>
      <totalsRowFormula>SUM([Max Error Bound (up)])</totalsRowFormula>
    </tableColumn>
    <tableColumn id="11" name="up/U Selection Probability" totalsRowFunction="custom" dataDxfId="108" totalsRowDxfId="107">
      <calculatedColumnFormula>IF(SamplingData[[#This Row],[Max Error Bound (up)]] = 0,0,SamplingData[[#This Row],[Max Error Bound (up)]]/SamplingData[[#Totals],[Max Error Bound (up)]])</calculatedColumnFormula>
      <totalsRowFormula>SUM([up/U Selection Probability])</totalsRowFormula>
    </tableColumn>
    <tableColumn id="12" name="Running (cumulative) sum" totalsRowFunction="custom" dataDxfId="106" totalsRowDxfId="105">
      <calculatedColumnFormula>SUM($Q$5:Q5)</calculatedColumnFormula>
      <totalsRowFormula>SUM([Running (cumulative) sum])</totalsRowFormula>
    </tableColumn>
    <tableColumn id="24" name="Selection Range" totalsRowFunction="custom" dataDxfId="104" totalsRowDxfId="103">
      <calculatedColumnFormula array="1">IF(SamplingData[[#This Row],[up/U Selection Probability]] = 0, "Zero", TEXT(SamplingData[[#This Row],[Lower Range]], REPT("0",LEN('General Info'!$B$40))) &amp; " - " &amp; TEXT(SamplingData[[#This Row],[Upper Range]], REPT("0",LEN('General Info'!$B$40))))</calculatedColumnFormula>
      <totalsRowFormula>IF(OR(NOT(ISNUMBER('General Info'!$B$40)), NOT(ISNUMBER('General Info'!$B$41))), "UNDEFINED", TEXT(MIN([Lower Range]), REPT("0",LEN('General Info'!$B$40))) &amp; " - " &amp; TEXT(MAX([Upper Range]), REPT("0",LEN('General Info'!$B$40))))</totalsRowFormula>
    </tableColumn>
    <tableColumn id="14" name="Lower Range" totalsRowFunction="custom" dataDxfId="102" totalsRowDxfId="101">
      <calculatedColumnFormula>SamplingData[[#This Row],[Upper Range]]-SamplingData[[#This Row],[Span]]</calculatedColumnFormula>
      <totalsRowFormula>SUM([Lower Range])</totalsRowFormula>
    </tableColumn>
    <tableColumn id="15" name="Span" totalsRowFunction="custom" dataDxfId="100" totalsRowDxfId="99">
      <calculatedColumnFormula>IF(ISNUMBER('General Info'!$B$40), ((SamplingData[[#This Row],[up/U Selection Probability]]) * 'General Info'!$B$40) - 1, 0)</calculatedColumnFormula>
      <totalsRowFormula>SUM([Span])</totalsRowFormula>
    </tableColumn>
    <tableColumn id="4" name="Upper Range" totalsRowFunction="custom" dataDxfId="98" totalsRowDxfId="97">
      <calculatedColumnFormula>IF(ISNUMBER('General Info'!$B$40), (SamplingData[[#This Row],[Running (cumulative) sum]] * ('General Info'!$B$40 -'General Info'!$B$41 + 1)) + 'General Info'!$B$41 - 1, 0)</calculatedColumnFormula>
      <totalsRowFormula>SUM([Upper Range])</totalsRowFormula>
    </tableColumn>
    <tableColumn id="26" name="Selection - Batch picked for audit" totalsRowLabel="Total" dataDxfId="96" totalsRowDxfId="95">
      <calculatedColumnFormula>IF(ISERROR(MATCH(SamplingData[[#This Row],[Batch by Type (p)]],SelectedPrecincts[Batch Name], 0)), "", INDEX(SelectedPrecincts[Draw], MATCH(SamplingData[[#This Row],[Batch by Type (p)]],SelectedPrecincts[Batch Name], 0)))</calculatedColumnFormula>
    </tableColumn>
    <tableColumn id="13" name="Times p Drawn - With Replacement" totalsRowFunction="custom" dataDxfId="94" totalsRowDxfId="93">
      <calculatedColumnFormula>IF(COUNTIF(SelectedPrecincts[Batch Name],SamplingData[[#This Row],[Batch by Type (p)]]) &lt;&gt; 0, COUNTIF(SelectedPrecincts[Batch Name],SamplingData[[#This Row],[Batch by Type (p)]]), 0)</calculatedColumnFormula>
      <totalsRowFormula>COUNTIF([Times p Drawn - With Replacement], "&lt;&gt;0")</totalsRowFormula>
    </tableColumn>
  </tableColumns>
  <tableStyleInfo name="TableStyleLight16" showFirstColumn="0" showLastColumn="0" showRowStripes="1" showColumnStripes="0"/>
</table>
</file>

<file path=xl/tables/table6.xml><?xml version="1.0" encoding="utf-8"?>
<table xmlns="http://schemas.openxmlformats.org/spreadsheetml/2006/main" id="2" name="Audit" displayName="Audit" ref="A4:AP2169" totalsRowCount="1" headerRowDxfId="89" dataDxfId="87" totalsRowDxfId="85" headerRowBorderDxfId="88" tableBorderDxfId="86" totalsRowBorderDxfId="84">
  <autoFilter ref="A4:AP2168">
    <filterColumn colId="0">
      <customFilters>
        <customFilter operator="notEqual" val=" "/>
      </customFilters>
    </filterColumn>
    <filterColumn colId="4"/>
    <filterColumn colId="5"/>
    <filterColumn colId="6"/>
    <filterColumn colId="7"/>
    <filterColumn colId="14"/>
    <filterColumn colId="15"/>
    <filterColumn colId="16"/>
    <filterColumn colId="17"/>
    <filterColumn colId="18"/>
    <filterColumn colId="19"/>
    <filterColumn colId="20"/>
    <filterColumn colId="21"/>
    <filterColumn colId="22"/>
    <filterColumn colId="23"/>
    <filterColumn colId="24"/>
    <filterColumn colId="25"/>
    <filterColumn colId="26"/>
    <filterColumn colId="29"/>
    <filterColumn colId="30"/>
    <filterColumn colId="31"/>
    <filterColumn colId="32"/>
    <filterColumn colId="33"/>
    <filterColumn colId="38"/>
    <filterColumn colId="40"/>
    <filterColumn colId="41"/>
  </autoFilter>
  <sortState ref="A5:AP2168">
    <sortCondition ref="A4:A2168"/>
  </sortState>
  <tableColumns count="42">
    <tableColumn id="1" name="Selection - Batch picked for audit" totalsRowLabel="Total" dataDxfId="83" totalsRowDxfId="82">
      <calculatedColumnFormula>'Sampling Data'!W5</calculatedColumnFormula>
    </tableColumn>
    <tableColumn id="2" name="Precinct (p) - Batched by Type" totalsRowFunction="count" dataDxfId="81" totalsRowDxfId="80">
      <calculatedColumnFormula>'Sampling Data'!A5</calculatedColumnFormula>
    </tableColumn>
    <tableColumn id="3" name="Losing Candidate" totalsRowFunction="custom" dataDxfId="79" totalsRowDxfId="78">
      <calculatedColumnFormula>'Sampling Data'!B5</calculatedColumnFormula>
      <totalsRowFormula>SUM([Losing Candidate])</totalsRowFormula>
    </tableColumn>
    <tableColumn id="4" name="Winning Candidate" totalsRowFunction="custom" dataDxfId="77" totalsRowDxfId="76">
      <calculatedColumnFormula>'Sampling Data'!C5</calculatedColumnFormula>
      <totalsRowFormula>SUM([Winning Candidate])</totalsRowFormula>
    </tableColumn>
    <tableColumn id="12" name="Candidate 3" totalsRowFunction="custom" dataDxfId="75" totalsRowDxfId="74">
      <calculatedColumnFormula>'Sampling Data'!D5</calculatedColumnFormula>
      <totalsRowFormula>SUM([Candidate 3])</totalsRowFormula>
    </tableColumn>
    <tableColumn id="11" name="Candidate 4" totalsRowFunction="custom" dataDxfId="73" totalsRowDxfId="72">
      <calculatedColumnFormula>'Sampling Data'!E5</calculatedColumnFormula>
      <totalsRowFormula>SUM([Candidate 4])</totalsRowFormula>
    </tableColumn>
    <tableColumn id="10" name="Candidate 5" totalsRowFunction="custom" dataDxfId="71" totalsRowDxfId="70">
      <calculatedColumnFormula>'Sampling Data'!F5</calculatedColumnFormula>
      <totalsRowFormula>SUM([Candidate 5])</totalsRowFormula>
    </tableColumn>
    <tableColumn id="9" name="Candidate 6" totalsRowFunction="custom" dataDxfId="69" totalsRowDxfId="68">
      <calculatedColumnFormula>'Sampling Data'!G5</calculatedColumnFormula>
      <totalsRowFormula>SUM([Candidate 6])</totalsRowFormula>
    </tableColumn>
    <tableColumn id="5" name="Over Votes" totalsRowFunction="custom" dataDxfId="67" totalsRowDxfId="66">
      <calculatedColumnFormula>'Sampling Data'!H5</calculatedColumnFormula>
      <totalsRowFormula>SUM([Over Votes])</totalsRowFormula>
    </tableColumn>
    <tableColumn id="6" name="Under Votes" totalsRowFunction="custom" dataDxfId="65" totalsRowDxfId="64">
      <calculatedColumnFormula>'Sampling Data'!I5</calculatedColumnFormula>
      <totalsRowFormula>SUM([Under Votes])</totalsRowFormula>
    </tableColumn>
    <tableColumn id="7" name="Total" totalsRowFunction="custom" dataDxfId="63" totalsRowDxfId="62">
      <calculatedColumnFormula>'Sampling Data'!J5</calculatedColumnFormula>
      <totalsRowFormula>SUM([Total])</totalsRowFormula>
    </tableColumn>
    <tableColumn id="15" name="Times p Drawn - With Replacement" totalsRowFunction="custom" dataDxfId="61" totalsRowDxfId="60">
      <calculatedColumnFormula>'Sampling Data'!X5</calculatedColumnFormula>
      <totalsRowFormula>SUM([Times p Drawn - With Replacement])</totalsRowFormula>
    </tableColumn>
    <tableColumn id="16" name="Audit Losing Candidate" totalsRowFunction="custom" dataDxfId="59" totalsRowDxfId="58">
      <totalsRowFormula>SUM([Audit Losing Candidate])</totalsRowFormula>
    </tableColumn>
    <tableColumn id="17" name="Audit Winning Candidate" totalsRowFunction="custom" dataDxfId="57" totalsRowDxfId="56">
      <totalsRowFormula>SUM([Audit Winning Candidate])</totalsRowFormula>
    </tableColumn>
    <tableColumn id="33" name="Audit Candidate 3" totalsRowFunction="custom" dataDxfId="55" totalsRowDxfId="54">
      <totalsRowFormula>SUM([Audit Candidate 3])</totalsRowFormula>
    </tableColumn>
    <tableColumn id="32" name="Audit Candidate 4" totalsRowFunction="custom" dataDxfId="53" totalsRowDxfId="52">
      <totalsRowFormula>SUM([Audit Candidate 4])</totalsRowFormula>
    </tableColumn>
    <tableColumn id="14" name="Audit Candidate 5" totalsRowFunction="custom" dataDxfId="51" totalsRowDxfId="50">
      <totalsRowFormula>SUM([Audit Candidate 5])</totalsRowFormula>
    </tableColumn>
    <tableColumn id="13" name="Audit Candidate 6" totalsRowFunction="custom" dataDxfId="49" totalsRowDxfId="48">
      <totalsRowFormula>SUM([Audit Candidate 6])</totalsRowFormula>
    </tableColumn>
    <tableColumn id="18" name="Difference Loser" totalsRowFunction="custom" dataDxfId="47" totalsRowDxfId="46">
      <calculatedColumnFormula>Audit[[#This Row],[Audit Losing Candidate]]-Audit[[#This Row],[Losing Candidate]]</calculatedColumnFormula>
      <totalsRowFormula>SUM([Difference Loser])</totalsRowFormula>
    </tableColumn>
    <tableColumn id="19" name="Difference Winner" totalsRowFunction="custom" dataDxfId="45" totalsRowDxfId="44">
      <calculatedColumnFormula>Audit[[#This Row],[Audit Winning Candidate]]-Audit[[#This Row],[Winning Candidate]]</calculatedColumnFormula>
      <totalsRowFormula>SUM([Difference Winner])</totalsRowFormula>
    </tableColumn>
    <tableColumn id="41" name="Difference Candidate 3" totalsRowFunction="custom" dataDxfId="43" totalsRowDxfId="42">
      <calculatedColumnFormula>Audit[[#This Row],[Audit Candidate 3]]-Audit[[#This Row],[Candidate 3]]</calculatedColumnFormula>
      <totalsRowFormula>SUM([Difference Candidate 3])</totalsRowFormula>
    </tableColumn>
    <tableColumn id="40" name="Difference Candidate 4" totalsRowFunction="custom" dataDxfId="41" totalsRowDxfId="40">
      <calculatedColumnFormula>Audit[[#This Row],[Audit Candidate 4]]-Audit[[#This Row],[Candidate 4]]</calculatedColumnFormula>
      <totalsRowFormula>SUM([Difference Candidate 4])</totalsRowFormula>
    </tableColumn>
    <tableColumn id="39" name="Difference Candidate 5" totalsRowFunction="custom" dataDxfId="39" totalsRowDxfId="38">
      <calculatedColumnFormula>Audit[[#This Row],[Audit Candidate 5]]-Audit[[#This Row],[Candidate 5]]</calculatedColumnFormula>
      <totalsRowFormula>SUM([Difference Candidate 5])</totalsRowFormula>
    </tableColumn>
    <tableColumn id="38" name="Difference Candidate 6" totalsRowFunction="custom" dataDxfId="37" totalsRowDxfId="36">
      <calculatedColumnFormula>Audit[[#This Row],[Audit Candidate 6]]-Audit[[#This Row],[Candidate 6]]</calculatedColumnFormula>
      <totalsRowFormula>SUM([Difference Candidate 6])</totalsRowFormula>
    </tableColumn>
    <tableColumn id="20" name="Max Differences" totalsRowFunction="custom" dataDxfId="35" totalsRowDxfId="34">
      <calculatedColumnFormula>SUMIF(Audit[[#This Row],[Difference Loser]:[Difference Candidate 6]], "&gt;0")</calculatedColumnFormula>
      <totalsRowFormula>SUM([Max Differences])</totalsRowFormula>
    </tableColumn>
    <tableColumn id="21" name="Canceled Differences" totalsRowFunction="custom" dataDxfId="33" totalsRowDxfId="32">
      <calculatedColumnFormula>SUM(Audit[[#This Row],[Difference Loser]:[Difference Candidate 6]])</calculatedColumnFormula>
      <totalsRowFormula>SUM([Canceled Differences])</totalsRowFormula>
    </tableColumn>
    <tableColumn id="22" name="Total Differences" totalsRowFunction="custom" dataDxfId="31" totalsRowDxfId="30">
      <calculatedColumnFormula>IF(Audit[[#This Row],[Times p Drawn - With Replacement]]&gt;0, IF(Audit[[#This Row],[Canceled Differences]]&lt;0, Audit[[#This Row],[Max Differences]]+ABS(Audit[[#This Row],[Canceled Differences]]), Audit[[#This Row],[Max Differences]]), 0)</calculatedColumnFormula>
      <totalsRowFormula>SUM([Total Differences])</totalsRowFormula>
    </tableColumn>
    <tableColumn id="8" name="Error Bound (up) - Max. possible relative overstatement" totalsRowFunction="custom" dataDxfId="29" totalsRowDxfId="28">
      <calculatedColumnFormula>'Sampling Data'!P5</calculatedColumnFormula>
      <totalsRowFormula>SUM([Error Bound (up) - Max. possible relative overstatement])</totalsRowFormula>
    </tableColumn>
    <tableColumn id="23" name="Relative Error (ep) - Error Rate as a proportion of the margin of victory for Winning Candidate" totalsRowFunction="custom" dataDxfId="27" totalsRowDxfId="26">
      <calculatedColumnFormula>IF(
      SUM(Audit[[#This Row],[Audit Losing Candidate]:[Audit Candidate 6]])
      &lt;&gt;0,
      (Audit[[#This Row],[Winning Candidate]]-Audit[[#This Row],[Losing Candidate]]-(Audit[[#This Row],[Audit Winning Candidate]]-Audit[[#This Row],[Audit Losing Candidate]]))/(Audit[[#Totals],[Winning Candidate]]-Audit[[#Totals],[Losing Candidate]]),
      0
)</calculatedColumnFormula>
      <totalsRowFormula>SUM([Relative Error (ep) - Error Rate as a proportion of the margin of victory for Winning Candidate])</totalsRowFormula>
    </tableColumn>
    <tableColumn id="37" name="Relative Error (ep) - Error Rate as a proportion of the margin of victory for  Candidate 3" totalsRowFunction="custom" dataDxfId="25" totalsRowDxfId="24">
      <calculatedColumnFormula>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calculatedColumnFormula>
      <totalsRowFormula>SUM([Relative Error (ep) - Error Rate as a proportion of the margin of victory for  Candidate 3])</totalsRowFormula>
    </tableColumn>
    <tableColumn id="36" name="Relative Error (ep) - Error Rate as a proportion of the margin of victory for  Candidate 4" totalsRowFunction="custom" dataDxfId="23" totalsRowDxfId="22">
      <calculatedColumnFormula>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calculatedColumnFormula>
      <totalsRowFormula>SUM([Relative Error (ep) - Error Rate as a proportion of the margin of victory for  Candidate 4])</totalsRowFormula>
    </tableColumn>
    <tableColumn id="35" name="Relative Error (ep) - Error Rate as a proportion of the margin of victory for  Candidate 5" totalsRowFunction="custom" dataDxfId="21" totalsRowDxfId="20">
      <calculatedColumnFormula>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calculatedColumnFormula>
      <totalsRowFormula>SUM([Relative Error (ep) - Error Rate as a proportion of the margin of victory for  Candidate 5])</totalsRowFormula>
    </tableColumn>
    <tableColumn id="34" name="Relative Error (ep) - Error Rate as a proportion of the margin of victory for  Candidate 6" totalsRowFunction="custom" dataDxfId="19" totalsRowDxfId="18">
      <calculatedColumnFormula>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calculatedColumnFormula>
      <totalsRowFormula>SUM([Relative Error (ep) - Error Rate as a proportion of the margin of victory for  Candidate 6])</totalsRowFormula>
    </tableColumn>
    <tableColumn id="46" name="Max Relative Error (ep)" dataDxfId="17" totalsRowDxfId="16">
      <calculatedColumnFormula>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calculatedColumnFormula>
    </tableColumn>
    <tableColumn id="24" name="Taint (t) - Error rate as a proportion of the max possible relative overstatement" totalsRowFunction="custom" dataDxfId="15" totalsRowDxfId="14">
      <calculatedColumnFormula>IF(Audit[[#This Row],[Max Relative Error (ep)]] = 0, 0, Audit[[#This Row],[Max Relative Error (ep)]]/Audit[[#This Row],[Error Bound (up) - Max. possible relative overstatement]])</calculatedColumnFormula>
      <totalsRowFormula>SUM([Taint (t) - Error rate as a proportion of the max possible relative overstatement])</totalsRowFormula>
    </tableColumn>
    <tableColumn id="25" name="KM Factor" totalsRowFunction="custom" dataDxfId="13" totalsRowDxfId="12">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SUM([KM Factor])</totalsRowFormula>
    </tableColumn>
    <tableColumn id="26" name="Net KM Factor - KM Factor taking into account pcts audited multiple times" totalsRowFunction="custom" dataDxfId="11" totalsRowDxfId="10">
      <calculatedColumnFormula>IF(ISERR(POWER(AJ5,L5)), 0, POWER(AJ5,L5))</calculatedColumnFormula>
      <totalsRowFormula>SUM([Net KM Factor - KM Factor taking into account pcts audited multiple times])</totalsRowFormula>
    </tableColumn>
    <tableColumn id="27" name="K-M P Value" totalsRowFunction="custom" dataDxfId="9" totalsRowDxfId="8">
      <calculatedColumnFormula>PRODUCT($AK$5:AK5)</calculatedColumnFormula>
      <totalsRowFormula>SUM([K-M P Value])</totalsRowFormula>
    </tableColumn>
    <tableColumn id="30" name="Confidence Level" totalsRowFunction="max" dataDxfId="7" totalsRowDxfId="6">
      <calculatedColumnFormula>1 - [K-M P Value]</calculatedColumnFormula>
    </tableColumn>
    <tableColumn id="28" name="Status - Continue or stop audit" dataDxfId="5" totalsRowDxfId="4">
      <calculatedColumnFormula>IF(Audit[[#This Row],[K-M P Value]]&gt;1-'General Info'!$B$16,"Continue", "Stop")</calculatedColumnFormula>
    </tableColumn>
    <tableColumn id="29" name="Process Batch" totalsRowFunction="count" dataDxfId="3" totalsRowDxfId="2">
      <calculatedColumnFormula>IF(Audit[[#This Row],[Status - Continue or stop audit]] = "Continue", TRUE, IF(AN4 = "Continue", TRUE, FALSE))</calculatedColumnFormula>
    </tableColumn>
    <tableColumn id="31" name="Reason For Differences" dataDxfId="1" totalsRowDxfId="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pageSetUpPr fitToPage="1"/>
  </sheetPr>
  <dimension ref="A1:B46"/>
  <sheetViews>
    <sheetView tabSelected="1" workbookViewId="0">
      <selection activeCell="B3" sqref="B3"/>
    </sheetView>
  </sheetViews>
  <sheetFormatPr defaultRowHeight="15" customHeight="1"/>
  <cols>
    <col min="1" max="1" width="51.5703125" bestFit="1" customWidth="1"/>
    <col min="2" max="2" width="33.7109375" customWidth="1"/>
    <col min="4" max="4" width="9.140625" customWidth="1"/>
  </cols>
  <sheetData>
    <row r="1" spans="1:2" s="18" customFormat="1" ht="15" customHeight="1"/>
    <row r="2" spans="1:2" s="18" customFormat="1" ht="15" customHeight="1"/>
    <row r="3" spans="1:2" s="18" customFormat="1" ht="15" customHeight="1"/>
    <row r="4" spans="1:2" s="18" customFormat="1" ht="6" customHeight="1"/>
    <row r="5" spans="1:2" ht="23.25">
      <c r="A5" s="121" t="s">
        <v>10</v>
      </c>
      <c r="B5" s="121"/>
    </row>
    <row r="6" spans="1:2" ht="23.25">
      <c r="A6" s="122" t="s">
        <v>174</v>
      </c>
      <c r="B6" s="122"/>
    </row>
    <row r="7" spans="1:2">
      <c r="A7" s="88"/>
      <c r="B7" s="88"/>
    </row>
    <row r="8" spans="1:2">
      <c r="A8" s="123" t="s">
        <v>11</v>
      </c>
      <c r="B8" s="124"/>
    </row>
    <row r="9" spans="1:2" ht="30">
      <c r="A9" s="4" t="s">
        <v>12</v>
      </c>
      <c r="B9" s="98" t="s">
        <v>2345</v>
      </c>
    </row>
    <row r="10" spans="1:2">
      <c r="A10" s="4" t="s">
        <v>13</v>
      </c>
      <c r="B10" s="11">
        <f>IF(ISERR($B$11/$B$12), 0, $B$11/$B$12)</f>
        <v>1082</v>
      </c>
    </row>
    <row r="11" spans="1:2">
      <c r="A11" s="4" t="s">
        <v>14</v>
      </c>
      <c r="B11" s="11">
        <f>COUNTA(SamplingData[Batch by Type (p)])</f>
        <v>2164</v>
      </c>
    </row>
    <row r="12" spans="1:2" s="18" customFormat="1">
      <c r="A12" s="21" t="s">
        <v>102</v>
      </c>
      <c r="B12" s="15">
        <v>2</v>
      </c>
    </row>
    <row r="13" spans="1:2">
      <c r="A13" s="4" t="s">
        <v>29</v>
      </c>
      <c r="B13" s="15">
        <v>6</v>
      </c>
    </row>
    <row r="14" spans="1:2">
      <c r="A14" s="4" t="s">
        <v>15</v>
      </c>
      <c r="B14" s="12">
        <f>SamplingData[[#Totals],[Total]]</f>
        <v>86727</v>
      </c>
    </row>
    <row r="15" spans="1:2">
      <c r="A15" s="4" t="s">
        <v>16</v>
      </c>
      <c r="B15" s="15">
        <v>244713</v>
      </c>
    </row>
    <row r="16" spans="1:2">
      <c r="A16" s="4" t="s">
        <v>17</v>
      </c>
      <c r="B16" s="5">
        <v>0.9</v>
      </c>
    </row>
    <row r="17" spans="1:2">
      <c r="A17" s="21" t="s">
        <v>128</v>
      </c>
      <c r="B17" s="11">
        <f>IF(ISERR(LN(1-$B$16)/LN(1-1/SamplingData[[#Totals],[Max Error Bound (up)]])), 0, ROUNDUP(LN(1-$B$16)/LN(1-1/SamplingData[[#Totals],[Max Error Bound (up)]]), 0))</f>
        <v>14</v>
      </c>
    </row>
    <row r="18" spans="1:2">
      <c r="A18" s="21" t="s">
        <v>129</v>
      </c>
      <c r="B18" s="11">
        <f>COUNT(SelectedPrecincts[Batch Number])</f>
        <v>14</v>
      </c>
    </row>
    <row r="19" spans="1:2">
      <c r="A19" s="4" t="s">
        <v>18</v>
      </c>
      <c r="B19" s="11">
        <f>SUMIF(Audit[Process Batch],TRUE,Audit[Times p Drawn - With Replacement])</f>
        <v>14</v>
      </c>
    </row>
    <row r="20" spans="1:2">
      <c r="A20" s="4" t="s">
        <v>19</v>
      </c>
      <c r="B20" s="11">
        <f>COUNTIF(Audit[Process Batch], TRUE)</f>
        <v>14</v>
      </c>
    </row>
    <row r="21" spans="1:2">
      <c r="A21" s="4" t="s">
        <v>20</v>
      </c>
      <c r="B21" s="11">
        <f>SUMIF(Audit[Process Batch], TRUE, Audit[Total])</f>
        <v>1478</v>
      </c>
    </row>
    <row r="22" spans="1:2">
      <c r="A22" s="4" t="s">
        <v>21</v>
      </c>
      <c r="B22" s="11">
        <f>Audit[[#Totals],[Total Differences]]</f>
        <v>0</v>
      </c>
    </row>
    <row r="23" spans="1:2">
      <c r="A23" s="6" t="s">
        <v>22</v>
      </c>
      <c r="B23" s="13">
        <f>IF($B$21 = 0, 0, $B$22/$B$21)</f>
        <v>0</v>
      </c>
    </row>
    <row r="24" spans="1:2">
      <c r="A24" s="6" t="s">
        <v>23</v>
      </c>
      <c r="B24" s="11">
        <v>964</v>
      </c>
    </row>
    <row r="25" spans="1:2">
      <c r="A25" s="6" t="s">
        <v>24</v>
      </c>
      <c r="B25" s="15">
        <v>1029</v>
      </c>
    </row>
    <row r="26" spans="1:2">
      <c r="A26" s="4" t="s">
        <v>25</v>
      </c>
      <c r="B26" s="120">
        <v>483.23</v>
      </c>
    </row>
    <row r="27" spans="1:2">
      <c r="A27" s="6" t="s">
        <v>26</v>
      </c>
      <c r="B27" s="119">
        <f>IF($B$14 = 0,0, IF(ISNUMBER($B$26), ($B$26/$B$14), 0))</f>
        <v>5.5718519030982282E-3</v>
      </c>
    </row>
    <row r="28" spans="1:2">
      <c r="A28" s="6" t="s">
        <v>27</v>
      </c>
      <c r="B28" s="119">
        <f>IF(ISERR($B$26/$B$15), 0, $B$26/$B$15)</f>
        <v>1.9746805441476344E-3</v>
      </c>
    </row>
    <row r="29" spans="1:2" ht="15" customHeight="1">
      <c r="A29" s="89"/>
      <c r="B29" s="89"/>
    </row>
    <row r="30" spans="1:2">
      <c r="A30" s="123" t="s">
        <v>115</v>
      </c>
      <c r="B30" s="127"/>
    </row>
    <row r="31" spans="1:2">
      <c r="A31" s="35" t="s">
        <v>105</v>
      </c>
      <c r="B31" s="36" t="s">
        <v>175</v>
      </c>
    </row>
    <row r="32" spans="1:2">
      <c r="A32" s="35" t="s">
        <v>106</v>
      </c>
      <c r="B32" s="36" t="s">
        <v>176</v>
      </c>
    </row>
    <row r="33" spans="1:2">
      <c r="A33" s="35" t="s">
        <v>48</v>
      </c>
      <c r="B33" s="36" t="s">
        <v>177</v>
      </c>
    </row>
    <row r="34" spans="1:2">
      <c r="A34" s="35" t="s">
        <v>49</v>
      </c>
      <c r="B34" s="36" t="s">
        <v>178</v>
      </c>
    </row>
    <row r="35" spans="1:2" s="18" customFormat="1">
      <c r="A35" s="35" t="s">
        <v>50</v>
      </c>
      <c r="B35" s="36" t="s">
        <v>179</v>
      </c>
    </row>
    <row r="36" spans="1:2" s="18" customFormat="1">
      <c r="A36" s="35" t="s">
        <v>51</v>
      </c>
      <c r="B36" s="36" t="s">
        <v>180</v>
      </c>
    </row>
    <row r="37" spans="1:2" ht="15" customHeight="1">
      <c r="A37" s="88"/>
      <c r="B37" s="88"/>
    </row>
    <row r="38" spans="1:2" s="18" customFormat="1" ht="15" customHeight="1">
      <c r="A38" s="123" t="s">
        <v>44</v>
      </c>
      <c r="B38" s="124"/>
    </row>
    <row r="39" spans="1:2" s="18" customFormat="1" ht="15" customHeight="1">
      <c r="A39" s="7" t="s">
        <v>42</v>
      </c>
      <c r="B39" s="65">
        <f t="array" ref="B39">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0" spans="1:2" s="18" customFormat="1" ht="15" customHeight="1">
      <c r="A40" s="8" t="s">
        <v>40</v>
      </c>
      <c r="B40" s="64">
        <v>99999</v>
      </c>
    </row>
    <row r="41" spans="1:2" s="18" customFormat="1" ht="15" customHeight="1">
      <c r="A41" s="7" t="s">
        <v>41</v>
      </c>
      <c r="B41" s="64">
        <v>0</v>
      </c>
    </row>
    <row r="42" spans="1:2" s="18" customFormat="1" ht="15" customHeight="1">
      <c r="A42" s="8" t="s">
        <v>39</v>
      </c>
      <c r="B42" s="66">
        <f>IF(ISERR(B40-B41 + 1), 0, B40-B41 + 1)</f>
        <v>100000</v>
      </c>
    </row>
    <row r="43" spans="1:2" s="18" customFormat="1" ht="5.25" customHeight="1">
      <c r="A43" s="90"/>
      <c r="B43" s="90"/>
    </row>
    <row r="44" spans="1:2">
      <c r="A44" s="125" t="s">
        <v>170</v>
      </c>
      <c r="B44" s="126"/>
    </row>
    <row r="45" spans="1:2">
      <c r="A45" s="9" t="s">
        <v>45</v>
      </c>
      <c r="B45" s="10" t="s">
        <v>46</v>
      </c>
    </row>
    <row r="46" spans="1:2">
      <c r="A46" s="18" t="s">
        <v>2346</v>
      </c>
    </row>
  </sheetData>
  <mergeCells count="6">
    <mergeCell ref="A5:B5"/>
    <mergeCell ref="A6:B6"/>
    <mergeCell ref="A8:B8"/>
    <mergeCell ref="A38:B38"/>
    <mergeCell ref="A44:B44"/>
    <mergeCell ref="A30:B30"/>
  </mergeCells>
  <conditionalFormatting sqref="B42">
    <cfRule type="expression" dxfId="166" priority="3">
      <formula>$B$42 &lt; $B$39</formula>
    </cfRule>
  </conditionalFormatting>
  <printOptions horizontalCentered="1"/>
  <pageMargins left="0.7" right="0.7" top="0.75" bottom="0.75" header="0.3" footer="0.3"/>
  <pageSetup fitToHeight="0" orientation="portrait" horizontalDpi="1200" verticalDpi="1200" r:id="rId1"/>
  <headerFooter>
    <oddHeader>&amp;CPresidential Delegates-at-Large and Alternates-at-Large (REP)</oddHeader>
    <oddFooter>&amp;C&amp;P of &amp;N</oddFooter>
  </headerFooter>
  <drawing r:id="rId2"/>
  <tableParts count="3">
    <tablePart r:id="rId3"/>
    <tablePart r:id="rId4"/>
    <tablePart r:id="rId5"/>
  </tableParts>
</worksheet>
</file>

<file path=xl/worksheets/sheet2.xml><?xml version="1.0" encoding="utf-8"?>
<worksheet xmlns="http://schemas.openxmlformats.org/spreadsheetml/2006/main" xmlns:r="http://schemas.openxmlformats.org/officeDocument/2006/relationships">
  <sheetPr codeName="Sheet2">
    <pageSetUpPr fitToPage="1"/>
  </sheetPr>
  <dimension ref="A1:E16"/>
  <sheetViews>
    <sheetView workbookViewId="0">
      <selection activeCell="A7" sqref="A7"/>
    </sheetView>
  </sheetViews>
  <sheetFormatPr defaultRowHeight="15" customHeight="1"/>
  <cols>
    <col min="1" max="1" width="14.28515625" customWidth="1"/>
    <col min="2" max="2" width="18.7109375" customWidth="1"/>
    <col min="3" max="3" width="42.7109375" bestFit="1" customWidth="1"/>
  </cols>
  <sheetData>
    <row r="1" spans="1:5">
      <c r="A1" s="123" t="str">
        <f ca="1">MID(CELL("filename",$A$2), FIND("]", CELL("filename",$A$2)) + 1, 255)</f>
        <v>Selected Batches</v>
      </c>
      <c r="B1" s="128"/>
      <c r="C1" s="124"/>
    </row>
    <row r="2" spans="1:5">
      <c r="A2" s="3" t="s">
        <v>28</v>
      </c>
      <c r="B2" s="14" t="s">
        <v>8</v>
      </c>
      <c r="C2" s="2" t="s">
        <v>9</v>
      </c>
    </row>
    <row r="3" spans="1:5">
      <c r="A3" s="33">
        <f t="shared" ref="A3:A12" si="0">ROW() -2</f>
        <v>1</v>
      </c>
      <c r="B3" s="61">
        <v>80628</v>
      </c>
      <c r="C3" s="34"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SOLON -04-C</v>
      </c>
    </row>
    <row r="4" spans="1:5">
      <c r="A4" s="33">
        <f t="shared" si="0"/>
        <v>2</v>
      </c>
      <c r="B4" s="62">
        <v>25302</v>
      </c>
      <c r="C4" s="34"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CLEVELAND HEIGHTS -02-D</v>
      </c>
      <c r="E4" s="18"/>
    </row>
    <row r="5" spans="1:5">
      <c r="A5" s="33">
        <f t="shared" si="0"/>
        <v>3</v>
      </c>
      <c r="B5" s="63">
        <v>64115</v>
      </c>
      <c r="C5" s="34"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PARMA -07-C - ABS</v>
      </c>
      <c r="E5" s="18"/>
    </row>
    <row r="6" spans="1:5">
      <c r="A6" s="33">
        <f t="shared" si="0"/>
        <v>4</v>
      </c>
      <c r="B6" s="62">
        <v>72089</v>
      </c>
      <c r="C6" s="34"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ROCKY RIVER -02-D</v>
      </c>
      <c r="E6" s="18"/>
    </row>
    <row r="7" spans="1:5">
      <c r="A7" s="33">
        <f t="shared" si="0"/>
        <v>5</v>
      </c>
      <c r="B7" s="62">
        <v>4869</v>
      </c>
      <c r="C7" s="34"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BEDFORD -05-A</v>
      </c>
      <c r="E7" s="18"/>
    </row>
    <row r="8" spans="1:5">
      <c r="A8" s="33">
        <f t="shared" si="0"/>
        <v>6</v>
      </c>
      <c r="B8" s="62">
        <v>93909</v>
      </c>
      <c r="C8" s="34"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WALTON HILLS -00-A</v>
      </c>
      <c r="E8" s="18"/>
    </row>
    <row r="9" spans="1:5">
      <c r="A9" s="33">
        <f t="shared" si="0"/>
        <v>7</v>
      </c>
      <c r="B9" s="62">
        <v>57763</v>
      </c>
      <c r="C9" s="34"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OLMSTED TOWNSHIP -00-B</v>
      </c>
      <c r="E9" s="18"/>
    </row>
    <row r="10" spans="1:5">
      <c r="A10" s="33">
        <f t="shared" si="0"/>
        <v>8</v>
      </c>
      <c r="B10" s="62">
        <v>73917</v>
      </c>
      <c r="C10" s="34"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ROCKY RIVER -04-C</v>
      </c>
      <c r="E10" s="18"/>
    </row>
    <row r="11" spans="1:5">
      <c r="A11" s="33">
        <f t="shared" si="0"/>
        <v>9</v>
      </c>
      <c r="B11" s="62">
        <v>2065</v>
      </c>
      <c r="C11" s="34"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BAY VILLAGE -03-C - ABS</v>
      </c>
      <c r="E11" s="18"/>
    </row>
    <row r="12" spans="1:5">
      <c r="A12" s="33">
        <f t="shared" si="0"/>
        <v>10</v>
      </c>
      <c r="B12" s="62">
        <v>19849</v>
      </c>
      <c r="C12" s="34" t="str">
        <f t="array" ref="C1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CLEVELAND -13-E</v>
      </c>
      <c r="E12" s="18"/>
    </row>
    <row r="13" spans="1:5" ht="15" customHeight="1">
      <c r="A13" s="103">
        <f>ROW() -2</f>
        <v>11</v>
      </c>
      <c r="B13" s="104">
        <v>5095</v>
      </c>
      <c r="C13" s="105" t="str">
        <f t="array" ref="C1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BEDFORD -06-B</v>
      </c>
    </row>
    <row r="14" spans="1:5" ht="15" customHeight="1">
      <c r="A14" s="103">
        <f>ROW() -2</f>
        <v>12</v>
      </c>
      <c r="B14" s="104">
        <v>79322</v>
      </c>
      <c r="C14" s="105" t="str">
        <f t="array" ref="C1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SOLON -02-A</v>
      </c>
    </row>
    <row r="15" spans="1:5" ht="15" customHeight="1">
      <c r="A15" s="103">
        <f>ROW() -2</f>
        <v>13</v>
      </c>
      <c r="B15" s="104">
        <v>36756</v>
      </c>
      <c r="C15" s="105" t="str">
        <f t="array" ref="C1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INDEPENDENCE -00-E</v>
      </c>
    </row>
    <row r="16" spans="1:5" ht="15" customHeight="1">
      <c r="A16" s="106">
        <f>ROW() -2</f>
        <v>14</v>
      </c>
      <c r="B16" s="107">
        <v>2231</v>
      </c>
      <c r="C16" s="108" t="str">
        <f t="array" ref="C1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BAY VILLAGE -04-A</v>
      </c>
    </row>
  </sheetData>
  <mergeCells count="1">
    <mergeCell ref="A1:C1"/>
  </mergeCells>
  <printOptions horizontalCentered="1"/>
  <pageMargins left="0.7" right="0.7" top="0.75" bottom="0.75" header="0.3" footer="0.3"/>
  <pageSetup fitToHeight="0" orientation="portrait" r:id="rId1"/>
  <headerFooter>
    <oddHeader>&amp;CPresidential Delegates-at-Large and Alternates-at-Large (REP)</oddHead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sheetPr codeName="Sheet3">
    <pageSetUpPr fitToPage="1"/>
  </sheetPr>
  <dimension ref="A1:X2169"/>
  <sheetViews>
    <sheetView workbookViewId="0">
      <selection activeCell="G10" sqref="G10"/>
    </sheetView>
  </sheetViews>
  <sheetFormatPr defaultRowHeight="15" customHeight="1"/>
  <cols>
    <col min="1" max="1" width="32.7109375" bestFit="1" customWidth="1"/>
    <col min="2" max="2" width="11.5703125" bestFit="1" customWidth="1"/>
    <col min="3" max="3" width="13.42578125" bestFit="1" customWidth="1"/>
    <col min="4" max="7" width="13.42578125" customWidth="1"/>
    <col min="8" max="8" width="8.42578125" customWidth="1"/>
    <col min="9" max="9" width="7.5703125" customWidth="1"/>
    <col min="10" max="10" width="11.42578125" bestFit="1" customWidth="1"/>
    <col min="11" max="11" width="19.42578125" hidden="1" customWidth="1"/>
    <col min="12" max="15" width="19.85546875" hidden="1" customWidth="1"/>
    <col min="16" max="16" width="14" hidden="1" customWidth="1"/>
    <col min="17" max="17" width="13.5703125" hidden="1" customWidth="1"/>
    <col min="18" max="18" width="17.42578125" hidden="1" customWidth="1"/>
    <col min="19" max="19" width="17.42578125" customWidth="1"/>
    <col min="20" max="22" width="17.42578125" hidden="1" customWidth="1"/>
    <col min="23" max="23" width="11.7109375" customWidth="1"/>
    <col min="24" max="24" width="17.42578125" customWidth="1"/>
  </cols>
  <sheetData>
    <row r="1" spans="1:24" s="1" customFormat="1" ht="15" customHeight="1">
      <c r="A1" s="129" t="str">
        <f ca="1">MID(CELL("filename",$A$4), FIND("]", CELL("filename",$A$4)) + 1, 255)</f>
        <v>Sampling Data</v>
      </c>
      <c r="B1" s="130"/>
      <c r="C1" s="130"/>
      <c r="D1" s="130"/>
      <c r="E1" s="130"/>
      <c r="F1" s="130"/>
      <c r="G1" s="130"/>
      <c r="H1" s="130"/>
      <c r="I1" s="130"/>
      <c r="J1" s="130"/>
      <c r="K1" s="130"/>
      <c r="L1" s="130"/>
      <c r="M1" s="130"/>
      <c r="N1" s="130"/>
      <c r="O1" s="130"/>
      <c r="P1" s="130"/>
      <c r="Q1" s="130"/>
      <c r="R1" s="130"/>
      <c r="S1" s="130"/>
      <c r="T1" s="130"/>
      <c r="U1" s="130"/>
      <c r="V1" s="130"/>
      <c r="W1" s="130"/>
      <c r="X1" s="131"/>
    </row>
    <row r="2" spans="1:24" s="19" customFormat="1" ht="15" customHeight="1">
      <c r="A2" s="132" t="s">
        <v>100</v>
      </c>
      <c r="B2" s="132"/>
      <c r="C2" s="132"/>
      <c r="D2" s="132"/>
      <c r="E2" s="132"/>
      <c r="F2" s="132"/>
      <c r="G2" s="132"/>
      <c r="H2" s="132"/>
      <c r="I2" s="133"/>
      <c r="J2" s="134" t="s">
        <v>101</v>
      </c>
      <c r="K2" s="134"/>
      <c r="L2" s="134"/>
      <c r="M2" s="134"/>
      <c r="N2" s="134"/>
      <c r="O2" s="134"/>
      <c r="P2" s="134"/>
      <c r="Q2" s="134"/>
      <c r="R2" s="134"/>
      <c r="S2" s="134"/>
      <c r="T2" s="134"/>
      <c r="U2" s="134"/>
      <c r="V2" s="134"/>
      <c r="W2" s="134"/>
      <c r="X2" s="134"/>
    </row>
    <row r="3" spans="1:24" ht="90">
      <c r="A3" s="42" t="s">
        <v>95</v>
      </c>
      <c r="B3" s="42" t="str">
        <f>IF(ISBLANK('General Info'!$B$32),"UNDEFINED",'General Info'!$B$32&amp;"
(Declared Loser)")</f>
        <v>Rick Santorum
(Declared Loser)</v>
      </c>
      <c r="C3" s="42" t="str">
        <f>IF(ISBLANK('General Info'!$B$31), "UNDEFINED", 'General Info'!$B$31 &amp; "
(Declared Winner)")</f>
        <v>Mitt Romney
(Declared Winner)</v>
      </c>
      <c r="D3" s="42" t="str">
        <f>IF(ISBLANK('General Info'!$B$33), "UNDEFINED", 'General Info'!$B$33)</f>
        <v>Newt Gingrich</v>
      </c>
      <c r="E3" s="42" t="str">
        <f>IF(ISBLANK('General Info'!$B$34), "UNDEFINED",'General Info'!$B$34)</f>
        <v>Ron Paul</v>
      </c>
      <c r="F3" s="42" t="str">
        <f>IF(ISBLANK('General Info'!$B$35), "UNDEFINED",'General Info'!$B$35)</f>
        <v>Jon Huntsman</v>
      </c>
      <c r="G3" s="42" t="str">
        <f>IF(ISBLANK('General Info'!$B$36), "UNDEFINED",'General Info'!$B$36)</f>
        <v>Rick Perry</v>
      </c>
      <c r="H3" s="42" t="s">
        <v>6</v>
      </c>
      <c r="I3" s="44" t="s">
        <v>7</v>
      </c>
      <c r="J3" s="47" t="s">
        <v>0</v>
      </c>
      <c r="K3" s="47" t="str">
        <f>"Error Bound (up) - " &amp; IF(ISBLANK('General Info'!$B$32), "UNDEFINED","
Max. possible relative overstatement for
" &amp; 'General Info'!$B$32) &amp; " (Loser)"</f>
        <v>Error Bound (up) - 
Max. possible relative overstatement for
Rick Santorum (Loser)</v>
      </c>
      <c r="L3" s="47" t="str">
        <f>"Error Bound (up) - " &amp; IF(ISBLANK('General Info'!$B$33), "UNDEFINED","
Max. possible relative overstatement for
" &amp; 'General Info'!$B$33)</f>
        <v>Error Bound (up) - 
Max. possible relative overstatement for
Newt Gingrich</v>
      </c>
      <c r="M3" s="47" t="str">
        <f>"Error Bound (up) - " &amp; IF(ISBLANK('General Info'!$B$34), "UNDEFINED","
Max. possible relative overstatement for
" &amp; 'General Info'!$B$34)</f>
        <v>Error Bound (up) - 
Max. possible relative overstatement for
Ron Paul</v>
      </c>
      <c r="N3" s="47" t="str">
        <f>"Error Bound (up) - " &amp; IF(ISBLANK('General Info'!$B$35), "UNDEFINED","
Max. possible relative overstatement for
" &amp; 'General Info'!$B$35)</f>
        <v>Error Bound (up) - 
Max. possible relative overstatement for
Jon Huntsman</v>
      </c>
      <c r="O3" s="47" t="str">
        <f>"Error Bound (up) - " &amp; IF(ISBLANK('General Info'!$B$36), "UNDEFINED","
Max. possible relative overstatement for
" &amp; 'General Info'!$B$36)</f>
        <v>Error Bound (up) - 
Max. possible relative overstatement for
Rick Perry</v>
      </c>
      <c r="P3" s="47" t="s">
        <v>91</v>
      </c>
      <c r="Q3" s="47" t="s">
        <v>59</v>
      </c>
      <c r="R3" s="47" t="s">
        <v>5</v>
      </c>
      <c r="S3" s="47" t="s">
        <v>54</v>
      </c>
      <c r="T3" s="47" t="s">
        <v>31</v>
      </c>
      <c r="U3" s="47" t="s">
        <v>32</v>
      </c>
      <c r="V3" s="47" t="s">
        <v>30</v>
      </c>
      <c r="W3" s="47" t="s">
        <v>94</v>
      </c>
      <c r="X3" s="47" t="s">
        <v>60</v>
      </c>
    </row>
    <row r="4" spans="1:24" s="19" customFormat="1" ht="18" customHeight="1">
      <c r="A4" s="43" t="s">
        <v>96</v>
      </c>
      <c r="B4" s="43" t="s">
        <v>61</v>
      </c>
      <c r="C4" s="43" t="s">
        <v>47</v>
      </c>
      <c r="D4" s="43" t="s">
        <v>62</v>
      </c>
      <c r="E4" s="43" t="s">
        <v>63</v>
      </c>
      <c r="F4" s="43" t="s">
        <v>52</v>
      </c>
      <c r="G4" s="43" t="s">
        <v>53</v>
      </c>
      <c r="H4" s="43" t="s">
        <v>6</v>
      </c>
      <c r="I4" s="45" t="s">
        <v>7</v>
      </c>
      <c r="J4" s="48" t="s">
        <v>0</v>
      </c>
      <c r="K4" s="48" t="s">
        <v>86</v>
      </c>
      <c r="L4" s="48" t="s">
        <v>87</v>
      </c>
      <c r="M4" s="48" t="s">
        <v>88</v>
      </c>
      <c r="N4" s="48" t="s">
        <v>89</v>
      </c>
      <c r="O4" s="48" t="s">
        <v>90</v>
      </c>
      <c r="P4" s="48" t="s">
        <v>92</v>
      </c>
      <c r="Q4" s="48" t="s">
        <v>57</v>
      </c>
      <c r="R4" s="48" t="s">
        <v>5</v>
      </c>
      <c r="S4" s="48" t="s">
        <v>54</v>
      </c>
      <c r="T4" s="48" t="s">
        <v>31</v>
      </c>
      <c r="U4" s="48" t="s">
        <v>32</v>
      </c>
      <c r="V4" s="48" t="s">
        <v>30</v>
      </c>
      <c r="W4" s="48" t="s">
        <v>97</v>
      </c>
      <c r="X4" s="48" t="s">
        <v>58</v>
      </c>
    </row>
    <row r="5" spans="1:24">
      <c r="A5" s="18" t="s">
        <v>181</v>
      </c>
      <c r="B5" s="18">
        <v>21</v>
      </c>
      <c r="C5" s="18">
        <v>64</v>
      </c>
      <c r="D5" s="16">
        <v>17</v>
      </c>
      <c r="E5" s="16">
        <v>9</v>
      </c>
      <c r="F5" s="37">
        <v>0</v>
      </c>
      <c r="G5" s="37">
        <v>0</v>
      </c>
      <c r="H5" s="16">
        <v>0</v>
      </c>
      <c r="I5" s="16">
        <v>0</v>
      </c>
      <c r="J5" s="22">
        <f>SUM(SamplingData[[#This Row],[Losing Candidate]:[Under Votes]])</f>
        <v>111</v>
      </c>
      <c r="K5" s="23">
        <f>IF(AND(SamplingData[[#This Row],[Total]]&lt;&gt; 0, NOT(ISBLANK(SamplingData[[#This Row],[Losing Candidate]]))),(SamplingData[[#This Row],[Total]]+SamplingData[[#This Row],[Winning Candidate]]-SamplingData[[#This Row],[Losing Candidate]])/(SamplingData[[#Totals],[Winning Candidate]]-SamplingData[[#Totals],[Losing Candidate]]), 0)</f>
        <v>9.4316511513963738E-3</v>
      </c>
      <c r="L5" s="23">
        <f>IF(AND(SamplingData[[#This Row],[Total]]&lt;&gt; 0, NOT(ISBLANK(SamplingData[[#This Row],[Candidate 3]]))),(SamplingData[[#This Row],[Total]]+SamplingData[[#This Row],[Winning Candidate]]-SamplingData[[#This Row],[Candidate 3]])/(SamplingData[[#Totals],[Winning Candidate]]-SamplingData[[#Totals],[Candidate 3]]), 0)</f>
        <v>5.0972674774978225E-3</v>
      </c>
      <c r="M5" s="23">
        <f>IF(AND(SamplingData[[#This Row],[Total]]&lt;&gt; 0, NOT(ISBLANK(SamplingData[[#This Row],[Candidate 4]]))),(SamplingData[[#This Row],[Total]]+SamplingData[[#This Row],[Winning Candidate]]-SamplingData[[#This Row],[Candidate 4]])/(SamplingData[[#Totals],[Winning Candidate]]-SamplingData[[#Totals],[Candidate 4]]), 0)</f>
        <v>4.8525241895407637E-3</v>
      </c>
      <c r="N5" s="23">
        <f>IF(AND(SamplingData[[#This Row],[Total]]&lt;&gt; 0, NOT(ISBLANK(SamplingData[[#This Row],[Candidate 5]]))),(SamplingData[[#This Row],[Total]]+SamplingData[[#This Row],[Winning Candidate]]-SamplingData[[#This Row],[Candidate 5]])/(SamplingData[[#Totals],[Winning Candidate]]-SamplingData[[#Totals],[Candidate 5]]), 0)</f>
        <v>4.2568718073461445E-3</v>
      </c>
      <c r="O5" s="23">
        <f>IF(AND(SamplingData[[#This Row],[Total]]&lt;&gt; 0, NOT(ISBLANK(SamplingData[[#This Row],[Candidate 6]]))),(SamplingData[[#This Row],[Total]]+SamplingData[[#This Row],[Winning Candidate]]-SamplingData[[#This Row],[Candidate 6]])/(SamplingData[[#Totals],[Winning Candidate]]-SamplingData[[#Totals],[Candidate 6]]), 0)</f>
        <v>4.2556295900004863E-3</v>
      </c>
      <c r="P5" s="23">
        <f>MAX(SamplingData[[#This Row],[Error Bound (up) - Max. possible relative overstatement - Losing Candidate]:[Error Bound (up) - Max. possible relative overstatement - Candidate 6]])</f>
        <v>9.4316511513963738E-3</v>
      </c>
      <c r="Q5" s="23">
        <f>IF(SamplingData[[#This Row],[Max Error Bound (up)]] = 0,0,SamplingData[[#This Row],[Max Error Bound (up)]]/SamplingData[[#Totals],[Max Error Bound (up)]])</f>
        <v>1.4927140348806581E-3</v>
      </c>
      <c r="R5" s="24">
        <f>SUM($Q$5:Q5)</f>
        <v>1.4927140348806581E-3</v>
      </c>
      <c r="S5" s="23" t="str">
        <f t="array" ref="S5">IF(SamplingData[[#This Row],[up/U Selection Probability]] = 0, "Zero", TEXT(SamplingData[[#This Row],[Lower Range]], REPT("0",LEN('General Info'!$B$40))) &amp; " - " &amp; TEXT(SamplingData[[#This Row],[Upper Range]], REPT("0",LEN('General Info'!$B$40))))</f>
        <v>00000 - 00148</v>
      </c>
      <c r="T5" s="23">
        <f>SamplingData[[#This Row],[Upper Range]]-SamplingData[[#This Row],[Span]]</f>
        <v>1.4927140348675039E-3</v>
      </c>
      <c r="U5" s="23">
        <f>IF(ISNUMBER('General Info'!$B$40), ((SamplingData[[#This Row],[up/U Selection Probability]]) * 'General Info'!$B$40) - 1, 0)</f>
        <v>148.26991077403093</v>
      </c>
      <c r="V5" s="23">
        <f>IF(ISNUMBER('General Info'!$B$40), (SamplingData[[#This Row],[Running (cumulative) sum]] * ('General Info'!$B$40 -'General Info'!$B$41 + 1)) + 'General Info'!$B$41 - 1, 0)</f>
        <v>148.2714034880658</v>
      </c>
      <c r="W5" s="23" t="str">
        <f>IF(ISERROR(MATCH(SamplingData[[#This Row],[Batch by Type (p)]],SelectedPrecincts[Batch Name], 0)), "", INDEX(SelectedPrecincts[Draw], MATCH(SamplingData[[#This Row],[Batch by Type (p)]],SelectedPrecincts[Batch Name], 0)))</f>
        <v/>
      </c>
      <c r="X5" s="25">
        <f>IF(COUNTIF(SelectedPrecincts[Batch Name],SamplingData[[#This Row],[Batch by Type (p)]]) &lt;&gt; 0, COUNTIF(SelectedPrecincts[Batch Name],SamplingData[[#This Row],[Batch by Type (p)]]), 0)</f>
        <v>0</v>
      </c>
    </row>
    <row r="6" spans="1:24">
      <c r="A6" s="18" t="s">
        <v>182</v>
      </c>
      <c r="B6" s="18">
        <v>9</v>
      </c>
      <c r="C6" s="18">
        <v>27</v>
      </c>
      <c r="D6" s="18">
        <v>10</v>
      </c>
      <c r="E6" s="18">
        <v>7</v>
      </c>
      <c r="F6" s="18">
        <v>0</v>
      </c>
      <c r="G6" s="18">
        <v>0</v>
      </c>
      <c r="H6" s="18">
        <v>1</v>
      </c>
      <c r="I6" s="18">
        <v>0</v>
      </c>
      <c r="J6" s="22">
        <f>SUM(SamplingData[[#This Row],[Losing Candidate]:[Under Votes]])</f>
        <v>54</v>
      </c>
      <c r="K6" s="23">
        <f>IF(AND(SamplingData[[#This Row],[Total]]&lt;&gt; 0, NOT(ISBLANK(SamplingData[[#This Row],[Losing Candidate]]))),(SamplingData[[#This Row],[Total]]+SamplingData[[#This Row],[Winning Candidate]]-SamplingData[[#This Row],[Losing Candidate]])/(SamplingData[[#Totals],[Winning Candidate]]-SamplingData[[#Totals],[Losing Candidate]]), 0)</f>
        <v>4.4096031357177858E-3</v>
      </c>
      <c r="L6" s="23">
        <f>IF(AND(SamplingData[[#This Row],[Total]]&lt;&gt; 0, NOT(ISBLANK(SamplingData[[#This Row],[Candidate 3]]))),(SamplingData[[#This Row],[Total]]+SamplingData[[#This Row],[Winning Candidate]]-SamplingData[[#This Row],[Candidate 3]])/(SamplingData[[#Totals],[Winning Candidate]]-SamplingData[[#Totals],[Candidate 3]]), 0)</f>
        <v>2.2905442462173757E-3</v>
      </c>
      <c r="M6" s="23">
        <f>IF(AND(SamplingData[[#This Row],[Total]]&lt;&gt; 0, NOT(ISBLANK(SamplingData[[#This Row],[Candidate 4]]))),(SamplingData[[#This Row],[Total]]+SamplingData[[#This Row],[Winning Candidate]]-SamplingData[[#This Row],[Candidate 4]])/(SamplingData[[#Totals],[Winning Candidate]]-SamplingData[[#Totals],[Candidate 4]]), 0)</f>
        <v>2.1631734338916661E-3</v>
      </c>
      <c r="N6" s="23">
        <f>IF(AND(SamplingData[[#This Row],[Total]]&lt;&gt; 0, NOT(ISBLANK(SamplingData[[#This Row],[Candidate 5]]))),(SamplingData[[#This Row],[Total]]+SamplingData[[#This Row],[Winning Candidate]]-SamplingData[[#This Row],[Candidate 5]])/(SamplingData[[#Totals],[Winning Candidate]]-SamplingData[[#Totals],[Candidate 5]]), 0)</f>
        <v>1.9703235222573584E-3</v>
      </c>
      <c r="O6" s="23">
        <f>IF(AND(SamplingData[[#This Row],[Total]]&lt;&gt; 0, NOT(ISBLANK(SamplingData[[#This Row],[Candidate 6]]))),(SamplingData[[#This Row],[Total]]+SamplingData[[#This Row],[Winning Candidate]]-SamplingData[[#This Row],[Candidate 6]])/(SamplingData[[#Totals],[Winning Candidate]]-SamplingData[[#Totals],[Candidate 6]]), 0)</f>
        <v>1.9697485530859394E-3</v>
      </c>
      <c r="P6" s="23">
        <f>MAX(SamplingData[[#This Row],[Error Bound (up) - Max. possible relative overstatement - Losing Candidate]:[Error Bound (up) - Max. possible relative overstatement - Candidate 6]])</f>
        <v>4.4096031357177858E-3</v>
      </c>
      <c r="Q6" s="23">
        <f>IF(SamplingData[[#This Row],[Max Error Bound (up)]] = 0,0,SamplingData[[#This Row],[Max Error Bound (up)]]/SamplingData[[#Totals],[Max Error Bound (up)]])</f>
        <v>6.9789227604809994E-4</v>
      </c>
      <c r="R6" s="24">
        <f>SUM($Q$5:Q6)</f>
        <v>2.1906063109287579E-3</v>
      </c>
      <c r="S6" s="23" t="str">
        <f t="array" ref="S6">IF(SamplingData[[#This Row],[up/U Selection Probability]] = 0, "Zero", TEXT(SamplingData[[#This Row],[Lower Range]], REPT("0",LEN('General Info'!$B$40))) &amp; " - " &amp; TEXT(SamplingData[[#This Row],[Upper Range]], REPT("0",LEN('General Info'!$B$40))))</f>
        <v>00149 - 00218</v>
      </c>
      <c r="T6" s="23">
        <f>SamplingData[[#This Row],[Upper Range]]-SamplingData[[#This Row],[Span]]</f>
        <v>149.27210138034184</v>
      </c>
      <c r="U6" s="23">
        <f>IF(ISNUMBER('General Info'!$B$40), ((SamplingData[[#This Row],[up/U Selection Probability]]) * 'General Info'!$B$40) - 1, 0)</f>
        <v>68.788529712533943</v>
      </c>
      <c r="V6" s="23">
        <f>IF(ISNUMBER('General Info'!$B$40), (SamplingData[[#This Row],[Running (cumulative) sum]] * ('General Info'!$B$40 -'General Info'!$B$41 + 1)) + 'General Info'!$B$41 - 1, 0)</f>
        <v>218.06063109287578</v>
      </c>
      <c r="W6" s="23" t="str">
        <f>IF(ISERROR(MATCH(SamplingData[[#This Row],[Batch by Type (p)]],SelectedPrecincts[Batch Name], 0)), "", INDEX(SelectedPrecincts[Draw], MATCH(SamplingData[[#This Row],[Batch by Type (p)]],SelectedPrecincts[Batch Name], 0)))</f>
        <v/>
      </c>
      <c r="X6" s="25">
        <f>IF(COUNTIF(SelectedPrecincts[Batch Name],SamplingData[[#This Row],[Batch by Type (p)]]) &lt;&gt; 0, COUNTIF(SelectedPrecincts[Batch Name],SamplingData[[#This Row],[Batch by Type (p)]]), 0)</f>
        <v>0</v>
      </c>
    </row>
    <row r="7" spans="1:24">
      <c r="A7" s="18" t="s">
        <v>183</v>
      </c>
      <c r="B7" s="18">
        <v>40</v>
      </c>
      <c r="C7" s="18">
        <v>46</v>
      </c>
      <c r="D7" s="16">
        <v>9</v>
      </c>
      <c r="E7" s="16">
        <v>9</v>
      </c>
      <c r="F7" s="37">
        <v>1</v>
      </c>
      <c r="G7" s="37">
        <v>0</v>
      </c>
      <c r="H7" s="16">
        <v>1</v>
      </c>
      <c r="I7" s="16">
        <v>1</v>
      </c>
      <c r="J7" s="22">
        <f>SUM(SamplingData[[#This Row],[Losing Candidate]:[Under Votes]])</f>
        <v>107</v>
      </c>
      <c r="K7" s="23">
        <f>IF(AND(SamplingData[[#This Row],[Total]]&lt;&gt; 0, NOT(ISBLANK(SamplingData[[#This Row],[Losing Candidate]]))),(SamplingData[[#This Row],[Total]]+SamplingData[[#This Row],[Winning Candidate]]-SamplingData[[#This Row],[Losing Candidate]])/(SamplingData[[#Totals],[Winning Candidate]]-SamplingData[[#Totals],[Losing Candidate]]), 0)</f>
        <v>6.9206271435570798E-3</v>
      </c>
      <c r="L7" s="23">
        <f>IF(AND(SamplingData[[#This Row],[Total]]&lt;&gt; 0, NOT(ISBLANK(SamplingData[[#This Row],[Candidate 3]]))),(SamplingData[[#This Row],[Total]]+SamplingData[[#This Row],[Winning Candidate]]-SamplingData[[#This Row],[Candidate 3]])/(SamplingData[[#Totals],[Winning Candidate]]-SamplingData[[#Totals],[Candidate 3]]), 0)</f>
        <v>4.6456108655676355E-3</v>
      </c>
      <c r="M7" s="23">
        <f>IF(AND(SamplingData[[#This Row],[Total]]&lt;&gt; 0, NOT(ISBLANK(SamplingData[[#This Row],[Candidate 4]]))),(SamplingData[[#This Row],[Total]]+SamplingData[[#This Row],[Winning Candidate]]-SamplingData[[#This Row],[Candidate 4]])/(SamplingData[[#Totals],[Winning Candidate]]-SamplingData[[#Totals],[Candidate 4]]), 0)</f>
        <v>4.2094185740594583E-3</v>
      </c>
      <c r="N7" s="23">
        <f>IF(AND(SamplingData[[#This Row],[Total]]&lt;&gt; 0, NOT(ISBLANK(SamplingData[[#This Row],[Candidate 5]]))),(SamplingData[[#This Row],[Total]]+SamplingData[[#This Row],[Winning Candidate]]-SamplingData[[#This Row],[Candidate 5]])/(SamplingData[[#Totals],[Winning Candidate]]-SamplingData[[#Totals],[Candidate 5]]), 0)</f>
        <v>3.6973972269520798E-3</v>
      </c>
      <c r="O7" s="23">
        <f>IF(AND(SamplingData[[#This Row],[Total]]&lt;&gt; 0, NOT(ISBLANK(SamplingData[[#This Row],[Candidate 6]]))),(SamplingData[[#This Row],[Total]]+SamplingData[[#This Row],[Winning Candidate]]-SamplingData[[#This Row],[Candidate 6]])/(SamplingData[[#Totals],[Winning Candidate]]-SamplingData[[#Totals],[Candidate 6]]), 0)</f>
        <v>3.7206361558289967E-3</v>
      </c>
      <c r="P7" s="23">
        <f>MAX(SamplingData[[#This Row],[Error Bound (up) - Max. possible relative overstatement - Losing Candidate]:[Error Bound (up) - Max. possible relative overstatement - Candidate 6]])</f>
        <v>6.9206271435570798E-3</v>
      </c>
      <c r="Q7" s="23">
        <f>IF(SamplingData[[#This Row],[Max Error Bound (up)]] = 0,0,SamplingData[[#This Row],[Max Error Bound (up)]]/SamplingData[[#Totals],[Max Error Bound (up)]])</f>
        <v>1.0953031554643789E-3</v>
      </c>
      <c r="R7" s="24">
        <f>SUM($Q$5:Q7)</f>
        <v>3.2859094663931368E-3</v>
      </c>
      <c r="S7" s="23" t="str">
        <f t="array" ref="S7">IF(SamplingData[[#This Row],[up/U Selection Probability]] = 0, "Zero", TEXT(SamplingData[[#This Row],[Lower Range]], REPT("0",LEN('General Info'!$B$40))) &amp; " - " &amp; TEXT(SamplingData[[#This Row],[Upper Range]], REPT("0",LEN('General Info'!$B$40))))</f>
        <v>00219 - 00328</v>
      </c>
      <c r="T7" s="23">
        <f>SamplingData[[#This Row],[Upper Range]]-SamplingData[[#This Row],[Span]]</f>
        <v>219.06172639603128</v>
      </c>
      <c r="U7" s="23">
        <f>IF(ISNUMBER('General Info'!$B$40), ((SamplingData[[#This Row],[up/U Selection Probability]]) * 'General Info'!$B$40) - 1, 0)</f>
        <v>108.52922024328242</v>
      </c>
      <c r="V7" s="23">
        <f>IF(ISNUMBER('General Info'!$B$40), (SamplingData[[#This Row],[Running (cumulative) sum]] * ('General Info'!$B$40 -'General Info'!$B$41 + 1)) + 'General Info'!$B$41 - 1, 0)</f>
        <v>327.5909466393137</v>
      </c>
      <c r="W7" s="23" t="str">
        <f>IF(ISERROR(MATCH(SamplingData[[#This Row],[Batch by Type (p)]],SelectedPrecincts[Batch Name], 0)), "", INDEX(SelectedPrecincts[Draw], MATCH(SamplingData[[#This Row],[Batch by Type (p)]],SelectedPrecincts[Batch Name], 0)))</f>
        <v/>
      </c>
      <c r="X7" s="25">
        <f>IF(COUNTIF(SelectedPrecincts[Batch Name],SamplingData[[#This Row],[Batch by Type (p)]]) &lt;&gt; 0, COUNTIF(SelectedPrecincts[Batch Name],SamplingData[[#This Row],[Batch by Type (p)]]), 0)</f>
        <v>0</v>
      </c>
    </row>
    <row r="8" spans="1:24">
      <c r="A8" s="18" t="s">
        <v>184</v>
      </c>
      <c r="B8" s="18">
        <v>9</v>
      </c>
      <c r="C8" s="18">
        <v>10</v>
      </c>
      <c r="D8" s="18">
        <v>6</v>
      </c>
      <c r="E8" s="18">
        <v>0</v>
      </c>
      <c r="F8" s="18">
        <v>0</v>
      </c>
      <c r="G8" s="18">
        <v>1</v>
      </c>
      <c r="H8" s="18">
        <v>0</v>
      </c>
      <c r="I8" s="18">
        <v>0</v>
      </c>
      <c r="J8" s="22">
        <f>SUM(SamplingData[[#This Row],[Losing Candidate]:[Under Votes]])</f>
        <v>26</v>
      </c>
      <c r="K8" s="23">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8" s="23">
        <f>IF(AND(SamplingData[[#This Row],[Total]]&lt;&gt; 0, NOT(ISBLANK(SamplingData[[#This Row],[Candidate 3]]))),(SamplingData[[#This Row],[Total]]+SamplingData[[#This Row],[Winning Candidate]]-SamplingData[[#This Row],[Candidate 3]])/(SamplingData[[#Totals],[Winning Candidate]]-SamplingData[[#Totals],[Candidate 3]]), 0)</f>
        <v>9.6783559699325746E-4</v>
      </c>
      <c r="M8" s="23">
        <f>IF(AND(SamplingData[[#This Row],[Total]]&lt;&gt; 0, NOT(ISBLANK(SamplingData[[#This Row],[Candidate 4]]))),(SamplingData[[#This Row],[Total]]+SamplingData[[#This Row],[Winning Candidate]]-SamplingData[[#This Row],[Candidate 4]])/(SamplingData[[#Totals],[Winning Candidate]]-SamplingData[[#Totals],[Candidate 4]]), 0)</f>
        <v>1.0523546435148646E-3</v>
      </c>
      <c r="N8" s="23">
        <f>IF(AND(SamplingData[[#This Row],[Total]]&lt;&gt; 0, NOT(ISBLANK(SamplingData[[#This Row],[Candidate 5]]))),(SamplingData[[#This Row],[Total]]+SamplingData[[#This Row],[Winning Candidate]]-SamplingData[[#This Row],[Candidate 5]])/(SamplingData[[#Totals],[Winning Candidate]]-SamplingData[[#Totals],[Candidate 5]]), 0)</f>
        <v>8.7569934322549259E-4</v>
      </c>
      <c r="O8" s="23">
        <f>IF(AND(SamplingData[[#This Row],[Total]]&lt;&gt; 0, NOT(ISBLANK(SamplingData[[#This Row],[Candidate 6]]))),(SamplingData[[#This Row],[Total]]+SamplingData[[#This Row],[Winning Candidate]]-SamplingData[[#This Row],[Candidate 6]])/(SamplingData[[#Totals],[Winning Candidate]]-SamplingData[[#Totals],[Candidate 6]]), 0)</f>
        <v>8.5112591800009726E-4</v>
      </c>
      <c r="P8" s="23">
        <f>MAX(SamplingData[[#This Row],[Error Bound (up) - Max. possible relative overstatement - Losing Candidate]:[Error Bound (up) - Max. possible relative overstatement - Candidate 6]])</f>
        <v>1.6536011758941694E-3</v>
      </c>
      <c r="Q8" s="23">
        <f>IF(SamplingData[[#This Row],[Max Error Bound (up)]] = 0,0,SamplingData[[#This Row],[Max Error Bound (up)]]/SamplingData[[#Totals],[Max Error Bound (up)]])</f>
        <v>2.6170960351803746E-4</v>
      </c>
      <c r="R8" s="24">
        <f>SUM($Q$5:Q8)</f>
        <v>3.5476190699111742E-3</v>
      </c>
      <c r="S8" s="23" t="str">
        <f t="array" ref="S8">IF(SamplingData[[#This Row],[up/U Selection Probability]] = 0, "Zero", TEXT(SamplingData[[#This Row],[Lower Range]], REPT("0",LEN('General Info'!$B$40))) &amp; " - " &amp; TEXT(SamplingData[[#This Row],[Upper Range]], REPT("0",LEN('General Info'!$B$40))))</f>
        <v>00329 - 00354</v>
      </c>
      <c r="T8" s="23">
        <f>SamplingData[[#This Row],[Upper Range]]-SamplingData[[#This Row],[Span]]</f>
        <v>328.59120834891718</v>
      </c>
      <c r="U8" s="23">
        <f>IF(ISNUMBER('General Info'!$B$40), ((SamplingData[[#This Row],[up/U Selection Probability]]) * 'General Info'!$B$40) - 1, 0)</f>
        <v>25.170698642200229</v>
      </c>
      <c r="V8" s="23">
        <f>IF(ISNUMBER('General Info'!$B$40), (SamplingData[[#This Row],[Running (cumulative) sum]] * ('General Info'!$B$40 -'General Info'!$B$41 + 1)) + 'General Info'!$B$41 - 1, 0)</f>
        <v>353.76190699111743</v>
      </c>
      <c r="W8" s="23" t="str">
        <f>IF(ISERROR(MATCH(SamplingData[[#This Row],[Batch by Type (p)]],SelectedPrecincts[Batch Name], 0)), "", INDEX(SelectedPrecincts[Draw], MATCH(SamplingData[[#This Row],[Batch by Type (p)]],SelectedPrecincts[Batch Name], 0)))</f>
        <v/>
      </c>
      <c r="X8" s="25">
        <f>IF(COUNTIF(SelectedPrecincts[Batch Name],SamplingData[[#This Row],[Batch by Type (p)]]) &lt;&gt; 0, COUNTIF(SelectedPrecincts[Batch Name],SamplingData[[#This Row],[Batch by Type (p)]]), 0)</f>
        <v>0</v>
      </c>
    </row>
    <row r="9" spans="1:24">
      <c r="A9" s="18" t="s">
        <v>185</v>
      </c>
      <c r="B9" s="18">
        <v>47</v>
      </c>
      <c r="C9" s="18">
        <v>74</v>
      </c>
      <c r="D9" s="16">
        <v>14</v>
      </c>
      <c r="E9" s="16">
        <v>10</v>
      </c>
      <c r="F9" s="37">
        <v>1</v>
      </c>
      <c r="G9" s="37">
        <v>0</v>
      </c>
      <c r="H9" s="16">
        <v>0</v>
      </c>
      <c r="I9" s="16">
        <v>2</v>
      </c>
      <c r="J9" s="22">
        <f>SUM(SamplingData[[#This Row],[Losing Candidate]:[Under Votes]])</f>
        <v>148</v>
      </c>
      <c r="K9" s="23">
        <f>IF(AND(SamplingData[[#This Row],[Total]]&lt;&gt; 0, NOT(ISBLANK(SamplingData[[#This Row],[Losing Candidate]]))),(SamplingData[[#This Row],[Total]]+SamplingData[[#This Row],[Winning Candidate]]-SamplingData[[#This Row],[Losing Candidate]])/(SamplingData[[#Totals],[Winning Candidate]]-SamplingData[[#Totals],[Losing Candidate]]), 0)</f>
        <v>1.0717785399314061E-2</v>
      </c>
      <c r="L9" s="23">
        <f>IF(AND(SamplingData[[#This Row],[Total]]&lt;&gt; 0, NOT(ISBLANK(SamplingData[[#This Row],[Candidate 3]]))),(SamplingData[[#This Row],[Total]]+SamplingData[[#This Row],[Winning Candidate]]-SamplingData[[#This Row],[Candidate 3]])/(SamplingData[[#Totals],[Winning Candidate]]-SamplingData[[#Totals],[Candidate 3]]), 0)</f>
        <v>6.7103268058199177E-3</v>
      </c>
      <c r="M9" s="23">
        <f>IF(AND(SamplingData[[#This Row],[Total]]&lt;&gt; 0, NOT(ISBLANK(SamplingData[[#This Row],[Candidate 4]]))),(SamplingData[[#This Row],[Total]]+SamplingData[[#This Row],[Winning Candidate]]-SamplingData[[#This Row],[Candidate 4]])/(SamplingData[[#Totals],[Winning Candidate]]-SamplingData[[#Totals],[Candidate 4]]), 0)</f>
        <v>6.1971995673653132E-3</v>
      </c>
      <c r="N9" s="23">
        <f>IF(AND(SamplingData[[#This Row],[Total]]&lt;&gt; 0, NOT(ISBLANK(SamplingData[[#This Row],[Candidate 5]]))),(SamplingData[[#This Row],[Total]]+SamplingData[[#This Row],[Winning Candidate]]-SamplingData[[#This Row],[Candidate 5]])/(SamplingData[[#Totals],[Winning Candidate]]-SamplingData[[#Totals],[Candidate 5]]), 0)</f>
        <v>5.375820968134274E-3</v>
      </c>
      <c r="O9" s="23">
        <f>IF(AND(SamplingData[[#This Row],[Total]]&lt;&gt; 0, NOT(ISBLANK(SamplingData[[#This Row],[Candidate 6]]))),(SamplingData[[#This Row],[Total]]+SamplingData[[#This Row],[Winning Candidate]]-SamplingData[[#This Row],[Candidate 6]])/(SamplingData[[#Totals],[Winning Candidate]]-SamplingData[[#Totals],[Candidate 6]]), 0)</f>
        <v>5.3985701084577602E-3</v>
      </c>
      <c r="P9" s="23">
        <f>MAX(SamplingData[[#This Row],[Error Bound (up) - Max. possible relative overstatement - Losing Candidate]:[Error Bound (up) - Max. possible relative overstatement - Candidate 6]])</f>
        <v>1.0717785399314061E-2</v>
      </c>
      <c r="Q9" s="23">
        <f>IF(SamplingData[[#This Row],[Max Error Bound (up)]] = 0,0,SamplingData[[#This Row],[Max Error Bound (up)]]/SamplingData[[#Totals],[Max Error Bound (up)]])</f>
        <v>1.6962659487280206E-3</v>
      </c>
      <c r="R9" s="24">
        <f>SUM($Q$5:Q9)</f>
        <v>5.2438850186391946E-3</v>
      </c>
      <c r="S9" s="23" t="str">
        <f t="array" ref="S9">IF(SamplingData[[#This Row],[up/U Selection Probability]] = 0, "Zero", TEXT(SamplingData[[#This Row],[Lower Range]], REPT("0",LEN('General Info'!$B$40))) &amp; " - " &amp; TEXT(SamplingData[[#This Row],[Upper Range]], REPT("0",LEN('General Info'!$B$40))))</f>
        <v>00355 - 00523</v>
      </c>
      <c r="T9" s="23">
        <f>SamplingData[[#This Row],[Upper Range]]-SamplingData[[#This Row],[Span]]</f>
        <v>354.76360325706617</v>
      </c>
      <c r="U9" s="23">
        <f>IF(ISNUMBER('General Info'!$B$40), ((SamplingData[[#This Row],[up/U Selection Probability]]) * 'General Info'!$B$40) - 1, 0)</f>
        <v>168.62489860685332</v>
      </c>
      <c r="V9" s="23">
        <f>IF(ISNUMBER('General Info'!$B$40), (SamplingData[[#This Row],[Running (cumulative) sum]] * ('General Info'!$B$40 -'General Info'!$B$41 + 1)) + 'General Info'!$B$41 - 1, 0)</f>
        <v>523.38850186391949</v>
      </c>
      <c r="W9" s="23" t="str">
        <f>IF(ISERROR(MATCH(SamplingData[[#This Row],[Batch by Type (p)]],SelectedPrecincts[Batch Name], 0)), "", INDEX(SelectedPrecincts[Draw], MATCH(SamplingData[[#This Row],[Batch by Type (p)]],SelectedPrecincts[Batch Name], 0)))</f>
        <v/>
      </c>
      <c r="X9" s="25">
        <f>IF(COUNTIF(SelectedPrecincts[Batch Name],SamplingData[[#This Row],[Batch by Type (p)]]) &lt;&gt; 0, COUNTIF(SelectedPrecincts[Batch Name],SamplingData[[#This Row],[Batch by Type (p)]]), 0)</f>
        <v>0</v>
      </c>
    </row>
    <row r="10" spans="1:24">
      <c r="A10" s="18" t="s">
        <v>186</v>
      </c>
      <c r="B10" s="18">
        <v>19</v>
      </c>
      <c r="C10" s="18">
        <v>28</v>
      </c>
      <c r="D10" s="18">
        <v>8</v>
      </c>
      <c r="E10" s="18">
        <v>5</v>
      </c>
      <c r="F10" s="18">
        <v>0</v>
      </c>
      <c r="G10" s="18">
        <v>0</v>
      </c>
      <c r="H10" s="18">
        <v>0</v>
      </c>
      <c r="I10" s="18">
        <v>0</v>
      </c>
      <c r="J10" s="22">
        <f>SUM(SamplingData[[#This Row],[Losing Candidate]:[Under Votes]])</f>
        <v>60</v>
      </c>
      <c r="K10" s="23">
        <f>IF(AND(SamplingData[[#This Row],[Total]]&lt;&gt; 0, NOT(ISBLANK(SamplingData[[#This Row],[Losing Candidate]]))),(SamplingData[[#This Row],[Total]]+SamplingData[[#This Row],[Winning Candidate]]-SamplingData[[#This Row],[Losing Candidate]])/(SamplingData[[#Totals],[Winning Candidate]]-SamplingData[[#Totals],[Losing Candidate]]), 0)</f>
        <v>4.2258696717295445E-3</v>
      </c>
      <c r="L10" s="23">
        <f>IF(AND(SamplingData[[#This Row],[Total]]&lt;&gt; 0, NOT(ISBLANK(SamplingData[[#This Row],[Candidate 3]]))),(SamplingData[[#This Row],[Total]]+SamplingData[[#This Row],[Winning Candidate]]-SamplingData[[#This Row],[Candidate 3]])/(SamplingData[[#Totals],[Winning Candidate]]-SamplingData[[#Totals],[Candidate 3]]), 0)</f>
        <v>2.5808949253153532E-3</v>
      </c>
      <c r="M10" s="23">
        <f>IF(AND(SamplingData[[#This Row],[Total]]&lt;&gt; 0, NOT(ISBLANK(SamplingData[[#This Row],[Candidate 4]]))),(SamplingData[[#This Row],[Total]]+SamplingData[[#This Row],[Winning Candidate]]-SamplingData[[#This Row],[Candidate 4]])/(SamplingData[[#Totals],[Winning Candidate]]-SamplingData[[#Totals],[Candidate 4]]), 0)</f>
        <v>2.4262620947703819E-3</v>
      </c>
      <c r="N10" s="23">
        <f>IF(AND(SamplingData[[#This Row],[Total]]&lt;&gt; 0, NOT(ISBLANK(SamplingData[[#This Row],[Candidate 5]]))),(SamplingData[[#This Row],[Total]]+SamplingData[[#This Row],[Winning Candidate]]-SamplingData[[#This Row],[Candidate 5]])/(SamplingData[[#Totals],[Winning Candidate]]-SamplingData[[#Totals],[Candidate 5]]), 0)</f>
        <v>2.1405983945512043E-3</v>
      </c>
      <c r="O10" s="23">
        <f>IF(AND(SamplingData[[#This Row],[Total]]&lt;&gt; 0, NOT(ISBLANK(SamplingData[[#This Row],[Candidate 6]]))),(SamplingData[[#This Row],[Total]]+SamplingData[[#This Row],[Winning Candidate]]-SamplingData[[#This Row],[Candidate 6]])/(SamplingData[[#Totals],[Winning Candidate]]-SamplingData[[#Totals],[Candidate 6]]), 0)</f>
        <v>2.1399737366859586E-3</v>
      </c>
      <c r="P10" s="23">
        <f>MAX(SamplingData[[#This Row],[Error Bound (up) - Max. possible relative overstatement - Losing Candidate]:[Error Bound (up) - Max. possible relative overstatement - Candidate 6]])</f>
        <v>4.2258696717295445E-3</v>
      </c>
      <c r="Q10" s="23">
        <f>IF(SamplingData[[#This Row],[Max Error Bound (up)]] = 0,0,SamplingData[[#This Row],[Max Error Bound (up)]]/SamplingData[[#Totals],[Max Error Bound (up)]])</f>
        <v>6.6881343121276242E-4</v>
      </c>
      <c r="R10" s="24">
        <f>SUM($Q$5:Q10)</f>
        <v>5.912698449851957E-3</v>
      </c>
      <c r="S10" s="23" t="str">
        <f t="array" ref="S10">IF(SamplingData[[#This Row],[up/U Selection Probability]] = 0, "Zero", TEXT(SamplingData[[#This Row],[Lower Range]], REPT("0",LEN('General Info'!$B$40))) &amp; " - " &amp; TEXT(SamplingData[[#This Row],[Upper Range]], REPT("0",LEN('General Info'!$B$40))))</f>
        <v>00524 - 00590</v>
      </c>
      <c r="T10" s="23">
        <f>SamplingData[[#This Row],[Upper Range]]-SamplingData[[#This Row],[Span]]</f>
        <v>524.38917067735065</v>
      </c>
      <c r="U10" s="23">
        <f>IF(ISNUMBER('General Info'!$B$40), ((SamplingData[[#This Row],[up/U Selection Probability]]) * 'General Info'!$B$40) - 1, 0)</f>
        <v>65.880674307845027</v>
      </c>
      <c r="V10" s="23">
        <f>IF(ISNUMBER('General Info'!$B$40), (SamplingData[[#This Row],[Running (cumulative) sum]] * ('General Info'!$B$40 -'General Info'!$B$41 + 1)) + 'General Info'!$B$41 - 1, 0)</f>
        <v>590.26984498519573</v>
      </c>
      <c r="W10" s="23" t="str">
        <f>IF(ISERROR(MATCH(SamplingData[[#This Row],[Batch by Type (p)]],SelectedPrecincts[Batch Name], 0)), "", INDEX(SelectedPrecincts[Draw], MATCH(SamplingData[[#This Row],[Batch by Type (p)]],SelectedPrecincts[Batch Name], 0)))</f>
        <v/>
      </c>
      <c r="X10" s="25">
        <f>IF(COUNTIF(SelectedPrecincts[Batch Name],SamplingData[[#This Row],[Batch by Type (p)]]) &lt;&gt; 0, COUNTIF(SelectedPrecincts[Batch Name],SamplingData[[#This Row],[Batch by Type (p)]]), 0)</f>
        <v>0</v>
      </c>
    </row>
    <row r="11" spans="1:24">
      <c r="A11" s="18" t="s">
        <v>187</v>
      </c>
      <c r="B11" s="18">
        <v>41</v>
      </c>
      <c r="C11" s="18">
        <v>90</v>
      </c>
      <c r="D11" s="16">
        <v>12</v>
      </c>
      <c r="E11" s="16">
        <v>11</v>
      </c>
      <c r="F11" s="37">
        <v>0</v>
      </c>
      <c r="G11" s="37">
        <v>1</v>
      </c>
      <c r="H11" s="16">
        <v>0</v>
      </c>
      <c r="I11" s="16">
        <v>0</v>
      </c>
      <c r="J11" s="22">
        <f>SUM(SamplingData[[#This Row],[Losing Candidate]:[Under Votes]])</f>
        <v>155</v>
      </c>
      <c r="K11" s="23">
        <f>IF(AND(SamplingData[[#This Row],[Total]]&lt;&gt; 0, NOT(ISBLANK(SamplingData[[#This Row],[Losing Candidate]]))),(SamplingData[[#This Row],[Total]]+SamplingData[[#This Row],[Winning Candidate]]-SamplingData[[#This Row],[Losing Candidate]])/(SamplingData[[#Totals],[Winning Candidate]]-SamplingData[[#Totals],[Losing Candidate]]), 0)</f>
        <v>1.2493875551200392E-2</v>
      </c>
      <c r="L11" s="23">
        <f>IF(AND(SamplingData[[#This Row],[Total]]&lt;&gt; 0, NOT(ISBLANK(SamplingData[[#This Row],[Candidate 3]]))),(SamplingData[[#This Row],[Total]]+SamplingData[[#This Row],[Winning Candidate]]-SamplingData[[#This Row],[Candidate 3]])/(SamplingData[[#Totals],[Winning Candidate]]-SamplingData[[#Totals],[Candidate 3]]), 0)</f>
        <v>7.5168564699809662E-3</v>
      </c>
      <c r="M11" s="23">
        <f>IF(AND(SamplingData[[#This Row],[Total]]&lt;&gt; 0, NOT(ISBLANK(SamplingData[[#This Row],[Candidate 4]]))),(SamplingData[[#This Row],[Total]]+SamplingData[[#This Row],[Winning Candidate]]-SamplingData[[#This Row],[Candidate 4]])/(SamplingData[[#Totals],[Winning Candidate]]-SamplingData[[#Totals],[Candidate 4]]), 0)</f>
        <v>6.8403051828466194E-3</v>
      </c>
      <c r="N11" s="23">
        <f>IF(AND(SamplingData[[#This Row],[Total]]&lt;&gt; 0, NOT(ISBLANK(SamplingData[[#This Row],[Candidate 5]]))),(SamplingData[[#This Row],[Total]]+SamplingData[[#This Row],[Winning Candidate]]-SamplingData[[#This Row],[Candidate 5]])/(SamplingData[[#Totals],[Winning Candidate]]-SamplingData[[#Totals],[Candidate 5]]), 0)</f>
        <v>5.9596205302846024E-3</v>
      </c>
      <c r="O11" s="23">
        <f>IF(AND(SamplingData[[#This Row],[Total]]&lt;&gt; 0, NOT(ISBLANK(SamplingData[[#This Row],[Candidate 6]]))),(SamplingData[[#This Row],[Total]]+SamplingData[[#This Row],[Winning Candidate]]-SamplingData[[#This Row],[Candidate 6]])/(SamplingData[[#Totals],[Winning Candidate]]-SamplingData[[#Totals],[Candidate 6]]), 0)</f>
        <v>5.9335635426292499E-3</v>
      </c>
      <c r="P11" s="23">
        <f>MAX(SamplingData[[#This Row],[Error Bound (up) - Max. possible relative overstatement - Losing Candidate]:[Error Bound (up) - Max. possible relative overstatement - Candidate 6]])</f>
        <v>1.2493875551200392E-2</v>
      </c>
      <c r="Q11" s="23">
        <f>IF(SamplingData[[#This Row],[Max Error Bound (up)]] = 0,0,SamplingData[[#This Row],[Max Error Bound (up)]]/SamplingData[[#Totals],[Max Error Bound (up)]])</f>
        <v>1.9773614488029496E-3</v>
      </c>
      <c r="R11" s="24">
        <f>SUM($Q$5:Q11)</f>
        <v>7.890059898654907E-3</v>
      </c>
      <c r="S11" s="23" t="str">
        <f t="array" ref="S11">IF(SamplingData[[#This Row],[up/U Selection Probability]] = 0, "Zero", TEXT(SamplingData[[#This Row],[Lower Range]], REPT("0",LEN('General Info'!$B$40))) &amp; " - " &amp; TEXT(SamplingData[[#This Row],[Upper Range]], REPT("0",LEN('General Info'!$B$40))))</f>
        <v>00591 - 00788</v>
      </c>
      <c r="T11" s="23">
        <f>SamplingData[[#This Row],[Upper Range]]-SamplingData[[#This Row],[Span]]</f>
        <v>591.27182234664451</v>
      </c>
      <c r="U11" s="23">
        <f>IF(ISNUMBER('General Info'!$B$40), ((SamplingData[[#This Row],[up/U Selection Probability]]) * 'General Info'!$B$40) - 1, 0)</f>
        <v>196.73416751884616</v>
      </c>
      <c r="V11" s="23">
        <f>IF(ISNUMBER('General Info'!$B$40), (SamplingData[[#This Row],[Running (cumulative) sum]] * ('General Info'!$B$40 -'General Info'!$B$41 + 1)) + 'General Info'!$B$41 - 1, 0)</f>
        <v>788.00598986549073</v>
      </c>
      <c r="W11" s="23" t="str">
        <f>IF(ISERROR(MATCH(SamplingData[[#This Row],[Batch by Type (p)]],SelectedPrecincts[Batch Name], 0)), "", INDEX(SelectedPrecincts[Draw], MATCH(SamplingData[[#This Row],[Batch by Type (p)]],SelectedPrecincts[Batch Name], 0)))</f>
        <v/>
      </c>
      <c r="X11" s="25">
        <f>IF(COUNTIF(SelectedPrecincts[Batch Name],SamplingData[[#This Row],[Batch by Type (p)]]) &lt;&gt; 0, COUNTIF(SelectedPrecincts[Batch Name],SamplingData[[#This Row],[Batch by Type (p)]]), 0)</f>
        <v>0</v>
      </c>
    </row>
    <row r="12" spans="1:24">
      <c r="A12" s="18" t="s">
        <v>188</v>
      </c>
      <c r="B12" s="18">
        <v>10</v>
      </c>
      <c r="C12" s="18">
        <v>32</v>
      </c>
      <c r="D12" s="18">
        <v>9</v>
      </c>
      <c r="E12" s="18">
        <v>2</v>
      </c>
      <c r="F12" s="18">
        <v>1</v>
      </c>
      <c r="G12" s="18">
        <v>0</v>
      </c>
      <c r="H12" s="18">
        <v>0</v>
      </c>
      <c r="I12" s="18">
        <v>2</v>
      </c>
      <c r="J12" s="22">
        <f>SUM(SamplingData[[#This Row],[Losing Candidate]:[Under Votes]])</f>
        <v>56</v>
      </c>
      <c r="K12" s="23">
        <f>IF(AND(SamplingData[[#This Row],[Total]]&lt;&gt; 0, NOT(ISBLANK(SamplingData[[#This Row],[Losing Candidate]]))),(SamplingData[[#This Row],[Total]]+SamplingData[[#This Row],[Winning Candidate]]-SamplingData[[#This Row],[Losing Candidate]])/(SamplingData[[#Totals],[Winning Candidate]]-SamplingData[[#Totals],[Losing Candidate]]), 0)</f>
        <v>4.7770700636942673E-3</v>
      </c>
      <c r="L12" s="23">
        <f>IF(AND(SamplingData[[#This Row],[Total]]&lt;&gt; 0, NOT(ISBLANK(SamplingData[[#This Row],[Candidate 3]]))),(SamplingData[[#This Row],[Total]]+SamplingData[[#This Row],[Winning Candidate]]-SamplingData[[#This Row],[Candidate 3]])/(SamplingData[[#Totals],[Winning Candidate]]-SamplingData[[#Totals],[Candidate 3]]), 0)</f>
        <v>2.5486337387489112E-3</v>
      </c>
      <c r="M12" s="23">
        <f>IF(AND(SamplingData[[#This Row],[Total]]&lt;&gt; 0, NOT(ISBLANK(SamplingData[[#This Row],[Candidate 4]]))),(SamplingData[[#This Row],[Total]]+SamplingData[[#This Row],[Winning Candidate]]-SamplingData[[#This Row],[Candidate 4]])/(SamplingData[[#Totals],[Winning Candidate]]-SamplingData[[#Totals],[Candidate 4]]), 0)</f>
        <v>2.5139583150632873E-3</v>
      </c>
      <c r="N12" s="23">
        <f>IF(AND(SamplingData[[#This Row],[Total]]&lt;&gt; 0, NOT(ISBLANK(SamplingData[[#This Row],[Candidate 5]]))),(SamplingData[[#This Row],[Total]]+SamplingData[[#This Row],[Winning Candidate]]-SamplingData[[#This Row],[Candidate 5]])/(SamplingData[[#Totals],[Winning Candidate]]-SamplingData[[#Totals],[Candidate 5]]), 0)</f>
        <v>2.1162734127949403E-3</v>
      </c>
      <c r="O12" s="23">
        <f>IF(AND(SamplingData[[#This Row],[Total]]&lt;&gt; 0, NOT(ISBLANK(SamplingData[[#This Row],[Candidate 6]]))),(SamplingData[[#This Row],[Total]]+SamplingData[[#This Row],[Winning Candidate]]-SamplingData[[#This Row],[Candidate 6]])/(SamplingData[[#Totals],[Winning Candidate]]-SamplingData[[#Totals],[Candidate 6]]), 0)</f>
        <v>2.1399737366859586E-3</v>
      </c>
      <c r="P12" s="23">
        <f>MAX(SamplingData[[#This Row],[Error Bound (up) - Max. possible relative overstatement - Losing Candidate]:[Error Bound (up) - Max. possible relative overstatement - Candidate 6]])</f>
        <v>4.7770700636942673E-3</v>
      </c>
      <c r="Q12" s="23">
        <f>IF(SamplingData[[#This Row],[Max Error Bound (up)]] = 0,0,SamplingData[[#This Row],[Max Error Bound (up)]]/SamplingData[[#Totals],[Max Error Bound (up)]])</f>
        <v>7.5604996571877487E-4</v>
      </c>
      <c r="R12" s="24">
        <f>SUM($Q$5:Q12)</f>
        <v>8.6461098643736828E-3</v>
      </c>
      <c r="S12" s="23" t="str">
        <f t="array" ref="S12">IF(SamplingData[[#This Row],[up/U Selection Probability]] = 0, "Zero", TEXT(SamplingData[[#This Row],[Lower Range]], REPT("0",LEN('General Info'!$B$40))) &amp; " - " &amp; TEXT(SamplingData[[#This Row],[Upper Range]], REPT("0",LEN('General Info'!$B$40))))</f>
        <v>00789 - 00864</v>
      </c>
      <c r="T12" s="23">
        <f>SamplingData[[#This Row],[Upper Range]]-SamplingData[[#This Row],[Span]]</f>
        <v>789.00674591545658</v>
      </c>
      <c r="U12" s="23">
        <f>IF(ISNUMBER('General Info'!$B$40), ((SamplingData[[#This Row],[up/U Selection Probability]]) * 'General Info'!$B$40) - 1, 0)</f>
        <v>74.604240521911763</v>
      </c>
      <c r="V12" s="23">
        <f>IF(ISNUMBER('General Info'!$B$40), (SamplingData[[#This Row],[Running (cumulative) sum]] * ('General Info'!$B$40 -'General Info'!$B$41 + 1)) + 'General Info'!$B$41 - 1, 0)</f>
        <v>863.6109864373683</v>
      </c>
      <c r="W12" s="23" t="str">
        <f>IF(ISERROR(MATCH(SamplingData[[#This Row],[Batch by Type (p)]],SelectedPrecincts[Batch Name], 0)), "", INDEX(SelectedPrecincts[Draw], MATCH(SamplingData[[#This Row],[Batch by Type (p)]],SelectedPrecincts[Batch Name], 0)))</f>
        <v/>
      </c>
      <c r="X12" s="25">
        <f>IF(COUNTIF(SelectedPrecincts[Batch Name],SamplingData[[#This Row],[Batch by Type (p)]]) &lt;&gt; 0, COUNTIF(SelectedPrecincts[Batch Name],SamplingData[[#This Row],[Batch by Type (p)]]), 0)</f>
        <v>0</v>
      </c>
    </row>
    <row r="13" spans="1:24">
      <c r="A13" s="18" t="s">
        <v>189</v>
      </c>
      <c r="B13" s="18">
        <v>36</v>
      </c>
      <c r="C13" s="18">
        <v>54</v>
      </c>
      <c r="D13" s="16">
        <v>8</v>
      </c>
      <c r="E13" s="16">
        <v>10</v>
      </c>
      <c r="F13" s="37">
        <v>0</v>
      </c>
      <c r="G13" s="37">
        <v>2</v>
      </c>
      <c r="H13" s="16">
        <v>0</v>
      </c>
      <c r="I13" s="16">
        <v>1</v>
      </c>
      <c r="J13" s="22">
        <f>SUM(SamplingData[[#This Row],[Losing Candidate]:[Under Votes]])</f>
        <v>111</v>
      </c>
      <c r="K13" s="23">
        <f>IF(AND(SamplingData[[#This Row],[Total]]&lt;&gt; 0, NOT(ISBLANK(SamplingData[[#This Row],[Losing Candidate]]))),(SamplingData[[#This Row],[Total]]+SamplingData[[#This Row],[Winning Candidate]]-SamplingData[[#This Row],[Losing Candidate]])/(SamplingData[[#Totals],[Winning Candidate]]-SamplingData[[#Totals],[Losing Candidate]]), 0)</f>
        <v>7.9005389514943663E-3</v>
      </c>
      <c r="L13" s="23">
        <f>IF(AND(SamplingData[[#This Row],[Total]]&lt;&gt; 0, NOT(ISBLANK(SamplingData[[#This Row],[Candidate 3]]))),(SamplingData[[#This Row],[Total]]+SamplingData[[#This Row],[Winning Candidate]]-SamplingData[[#This Row],[Candidate 3]])/(SamplingData[[#Totals],[Winning Candidate]]-SamplingData[[#Totals],[Candidate 3]]), 0)</f>
        <v>5.0650062909313801E-3</v>
      </c>
      <c r="M13" s="23">
        <f>IF(AND(SamplingData[[#This Row],[Total]]&lt;&gt; 0, NOT(ISBLANK(SamplingData[[#This Row],[Candidate 4]]))),(SamplingData[[#This Row],[Total]]+SamplingData[[#This Row],[Winning Candidate]]-SamplingData[[#This Row],[Candidate 4]])/(SamplingData[[#Totals],[Winning Candidate]]-SamplingData[[#Totals],[Candidate 4]]), 0)</f>
        <v>4.5309713818001114E-3</v>
      </c>
      <c r="N13" s="23">
        <f>IF(AND(SamplingData[[#This Row],[Total]]&lt;&gt; 0, NOT(ISBLANK(SamplingData[[#This Row],[Candidate 5]]))),(SamplingData[[#This Row],[Total]]+SamplingData[[#This Row],[Winning Candidate]]-SamplingData[[#This Row],[Candidate 5]])/(SamplingData[[#Totals],[Winning Candidate]]-SamplingData[[#Totals],[Candidate 5]]), 0)</f>
        <v>4.013621989783508E-3</v>
      </c>
      <c r="O13" s="23">
        <f>IF(AND(SamplingData[[#This Row],[Total]]&lt;&gt; 0, NOT(ISBLANK(SamplingData[[#This Row],[Candidate 6]]))),(SamplingData[[#This Row],[Total]]+SamplingData[[#This Row],[Winning Candidate]]-SamplingData[[#This Row],[Candidate 6]])/(SamplingData[[#Totals],[Winning Candidate]]-SamplingData[[#Totals],[Candidate 6]]), 0)</f>
        <v>3.9638149895433105E-3</v>
      </c>
      <c r="P13" s="23">
        <f>MAX(SamplingData[[#This Row],[Error Bound (up) - Max. possible relative overstatement - Losing Candidate]:[Error Bound (up) - Max. possible relative overstatement - Candidate 6]])</f>
        <v>7.9005389514943663E-3</v>
      </c>
      <c r="Q13" s="23">
        <f>IF(SamplingData[[#This Row],[Max Error Bound (up)]] = 0,0,SamplingData[[#This Row],[Max Error Bound (up)]]/SamplingData[[#Totals],[Max Error Bound (up)]])</f>
        <v>1.2503903279195124E-3</v>
      </c>
      <c r="R13" s="24">
        <f>SUM($Q$5:Q13)</f>
        <v>9.8965001922931943E-3</v>
      </c>
      <c r="S13" s="23" t="str">
        <f t="array" ref="S13">IF(SamplingData[[#This Row],[up/U Selection Probability]] = 0, "Zero", TEXT(SamplingData[[#This Row],[Lower Range]], REPT("0",LEN('General Info'!$B$40))) &amp; " - " &amp; TEXT(SamplingData[[#This Row],[Upper Range]], REPT("0",LEN('General Info'!$B$40))))</f>
        <v>00865 - 00989</v>
      </c>
      <c r="T13" s="23">
        <f>SamplingData[[#This Row],[Upper Range]]-SamplingData[[#This Row],[Span]]</f>
        <v>864.61223682769617</v>
      </c>
      <c r="U13" s="23">
        <f>IF(ISNUMBER('General Info'!$B$40), ((SamplingData[[#This Row],[up/U Selection Probability]]) * 'General Info'!$B$40) - 1, 0)</f>
        <v>124.03778240162332</v>
      </c>
      <c r="V13" s="23">
        <f>IF(ISNUMBER('General Info'!$B$40), (SamplingData[[#This Row],[Running (cumulative) sum]] * ('General Info'!$B$40 -'General Info'!$B$41 + 1)) + 'General Info'!$B$41 - 1, 0)</f>
        <v>988.65001922931947</v>
      </c>
      <c r="W13" s="23" t="str">
        <f>IF(ISERROR(MATCH(SamplingData[[#This Row],[Batch by Type (p)]],SelectedPrecincts[Batch Name], 0)), "", INDEX(SelectedPrecincts[Draw], MATCH(SamplingData[[#This Row],[Batch by Type (p)]],SelectedPrecincts[Batch Name], 0)))</f>
        <v/>
      </c>
      <c r="X13" s="25">
        <f>IF(COUNTIF(SelectedPrecincts[Batch Name],SamplingData[[#This Row],[Batch by Type (p)]]) &lt;&gt; 0, COUNTIF(SelectedPrecincts[Batch Name],SamplingData[[#This Row],[Batch by Type (p)]]), 0)</f>
        <v>0</v>
      </c>
    </row>
    <row r="14" spans="1:24">
      <c r="A14" s="18" t="s">
        <v>190</v>
      </c>
      <c r="B14" s="18">
        <v>12</v>
      </c>
      <c r="C14" s="18">
        <v>14</v>
      </c>
      <c r="D14" s="18">
        <v>4</v>
      </c>
      <c r="E14" s="18">
        <v>0</v>
      </c>
      <c r="F14" s="18">
        <v>0</v>
      </c>
      <c r="G14" s="18">
        <v>0</v>
      </c>
      <c r="H14" s="18">
        <v>0</v>
      </c>
      <c r="I14" s="18">
        <v>0</v>
      </c>
      <c r="J14" s="22">
        <f>SUM(SamplingData[[#This Row],[Losing Candidate]:[Under Votes]])</f>
        <v>30</v>
      </c>
      <c r="K14" s="23">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4" s="23">
        <f>IF(AND(SamplingData[[#This Row],[Total]]&lt;&gt; 0, NOT(ISBLANK(SamplingData[[#This Row],[Candidate 3]]))),(SamplingData[[#This Row],[Total]]+SamplingData[[#This Row],[Winning Candidate]]-SamplingData[[#This Row],[Candidate 3]])/(SamplingData[[#Totals],[Winning Candidate]]-SamplingData[[#Totals],[Candidate 3]]), 0)</f>
        <v>1.2904474626576766E-3</v>
      </c>
      <c r="M14" s="23">
        <f>IF(AND(SamplingData[[#This Row],[Total]]&lt;&gt; 0, NOT(ISBLANK(SamplingData[[#This Row],[Candidate 4]]))),(SamplingData[[#This Row],[Total]]+SamplingData[[#This Row],[Winning Candidate]]-SamplingData[[#This Row],[Candidate 4]])/(SamplingData[[#Totals],[Winning Candidate]]-SamplingData[[#Totals],[Candidate 4]]), 0)</f>
        <v>1.2862112309626121E-3</v>
      </c>
      <c r="N14" s="23">
        <f>IF(AND(SamplingData[[#This Row],[Total]]&lt;&gt; 0, NOT(ISBLANK(SamplingData[[#This Row],[Candidate 5]]))),(SamplingData[[#This Row],[Total]]+SamplingData[[#This Row],[Winning Candidate]]-SamplingData[[#This Row],[Candidate 5]])/(SamplingData[[#Totals],[Winning Candidate]]-SamplingData[[#Totals],[Candidate 5]]), 0)</f>
        <v>1.0702991972756021E-3</v>
      </c>
      <c r="O14" s="23">
        <f>IF(AND(SamplingData[[#This Row],[Total]]&lt;&gt; 0, NOT(ISBLANK(SamplingData[[#This Row],[Candidate 6]]))),(SamplingData[[#This Row],[Total]]+SamplingData[[#This Row],[Winning Candidate]]-SamplingData[[#This Row],[Candidate 6]])/(SamplingData[[#Totals],[Winning Candidate]]-SamplingData[[#Totals],[Candidate 6]]), 0)</f>
        <v>1.0699868683429793E-3</v>
      </c>
      <c r="P14" s="23">
        <f>MAX(SamplingData[[#This Row],[Error Bound (up) - Max. possible relative overstatement - Losing Candidate]:[Error Bound (up) - Max. possible relative overstatement - Candidate 6]])</f>
        <v>1.9598236158745713E-3</v>
      </c>
      <c r="Q14" s="23">
        <f>IF(SamplingData[[#This Row],[Max Error Bound (up)]] = 0,0,SamplingData[[#This Row],[Max Error Bound (up)]]/SamplingData[[#Totals],[Max Error Bound (up)]])</f>
        <v>3.1017434491026661E-4</v>
      </c>
      <c r="R14" s="24">
        <f>SUM($Q$5:Q14)</f>
        <v>1.0206674537203461E-2</v>
      </c>
      <c r="S14" s="23" t="str">
        <f t="array" ref="S14">IF(SamplingData[[#This Row],[up/U Selection Probability]] = 0, "Zero", TEXT(SamplingData[[#This Row],[Lower Range]], REPT("0",LEN('General Info'!$B$40))) &amp; " - " &amp; TEXT(SamplingData[[#This Row],[Upper Range]], REPT("0",LEN('General Info'!$B$40))))</f>
        <v>00990 - 01020</v>
      </c>
      <c r="T14" s="23">
        <f>SamplingData[[#This Row],[Upper Range]]-SamplingData[[#This Row],[Span]]</f>
        <v>989.65032940366439</v>
      </c>
      <c r="U14" s="23">
        <f>IF(ISNUMBER('General Info'!$B$40), ((SamplingData[[#This Row],[up/U Selection Probability]]) * 'General Info'!$B$40) - 1, 0)</f>
        <v>30.017124316681752</v>
      </c>
      <c r="V14" s="23">
        <f>IF(ISNUMBER('General Info'!$B$40), (SamplingData[[#This Row],[Running (cumulative) sum]] * ('General Info'!$B$40 -'General Info'!$B$41 + 1)) + 'General Info'!$B$41 - 1, 0)</f>
        <v>1019.6674537203461</v>
      </c>
      <c r="W14" s="23" t="str">
        <f>IF(ISERROR(MATCH(SamplingData[[#This Row],[Batch by Type (p)]],SelectedPrecincts[Batch Name], 0)), "", INDEX(SelectedPrecincts[Draw], MATCH(SamplingData[[#This Row],[Batch by Type (p)]],SelectedPrecincts[Batch Name], 0)))</f>
        <v/>
      </c>
      <c r="X14" s="25">
        <f>IF(COUNTIF(SelectedPrecincts[Batch Name],SamplingData[[#This Row],[Batch by Type (p)]]) &lt;&gt; 0, COUNTIF(SelectedPrecincts[Batch Name],SamplingData[[#This Row],[Batch by Type (p)]]), 0)</f>
        <v>0</v>
      </c>
    </row>
    <row r="15" spans="1:24">
      <c r="A15" s="18" t="s">
        <v>191</v>
      </c>
      <c r="B15" s="18">
        <v>30</v>
      </c>
      <c r="C15" s="18">
        <v>75</v>
      </c>
      <c r="D15" s="16">
        <v>17</v>
      </c>
      <c r="E15" s="16">
        <v>10</v>
      </c>
      <c r="F15" s="37">
        <v>0</v>
      </c>
      <c r="G15" s="37">
        <v>0</v>
      </c>
      <c r="H15" s="16">
        <v>0</v>
      </c>
      <c r="I15" s="16">
        <v>1</v>
      </c>
      <c r="J15" s="22">
        <f>SUM(SamplingData[[#This Row],[Losing Candidate]:[Under Votes]])</f>
        <v>133</v>
      </c>
      <c r="K15" s="23">
        <f>IF(AND(SamplingData[[#This Row],[Total]]&lt;&gt; 0, NOT(ISBLANK(SamplingData[[#This Row],[Losing Candidate]]))),(SamplingData[[#This Row],[Total]]+SamplingData[[#This Row],[Winning Candidate]]-SamplingData[[#This Row],[Losing Candidate]])/(SamplingData[[#Totals],[Winning Candidate]]-SamplingData[[#Totals],[Losing Candidate]]), 0)</f>
        <v>1.0901518863302304E-2</v>
      </c>
      <c r="L15" s="23">
        <f>IF(AND(SamplingData[[#This Row],[Total]]&lt;&gt; 0, NOT(ISBLANK(SamplingData[[#This Row],[Candidate 3]]))),(SamplingData[[#This Row],[Total]]+SamplingData[[#This Row],[Winning Candidate]]-SamplingData[[#This Row],[Candidate 3]])/(SamplingData[[#Totals],[Winning Candidate]]-SamplingData[[#Totals],[Candidate 3]]), 0)</f>
        <v>6.1618866341904052E-3</v>
      </c>
      <c r="M15" s="23">
        <f>IF(AND(SamplingData[[#This Row],[Total]]&lt;&gt; 0, NOT(ISBLANK(SamplingData[[#This Row],[Candidate 4]]))),(SamplingData[[#This Row],[Total]]+SamplingData[[#This Row],[Winning Candidate]]-SamplingData[[#This Row],[Candidate 4]])/(SamplingData[[#Totals],[Winning Candidate]]-SamplingData[[#Totals],[Candidate 4]]), 0)</f>
        <v>5.7879505393317546E-3</v>
      </c>
      <c r="N15" s="23">
        <f>IF(AND(SamplingData[[#This Row],[Total]]&lt;&gt; 0, NOT(ISBLANK(SamplingData[[#This Row],[Candidate 5]]))),(SamplingData[[#This Row],[Total]]+SamplingData[[#This Row],[Winning Candidate]]-SamplingData[[#This Row],[Candidate 5]])/(SamplingData[[#Totals],[Winning Candidate]]-SamplingData[[#Totals],[Candidate 5]]), 0)</f>
        <v>5.0595962053028463E-3</v>
      </c>
      <c r="O15" s="23">
        <f>IF(AND(SamplingData[[#This Row],[Total]]&lt;&gt; 0, NOT(ISBLANK(SamplingData[[#This Row],[Candidate 6]]))),(SamplingData[[#This Row],[Total]]+SamplingData[[#This Row],[Winning Candidate]]-SamplingData[[#This Row],[Candidate 6]])/(SamplingData[[#Totals],[Winning Candidate]]-SamplingData[[#Totals],[Candidate 6]]), 0)</f>
        <v>5.0581197412577208E-3</v>
      </c>
      <c r="P15" s="23">
        <f>MAX(SamplingData[[#This Row],[Error Bound (up) - Max. possible relative overstatement - Losing Candidate]:[Error Bound (up) - Max. possible relative overstatement - Candidate 6]])</f>
        <v>1.0901518863302304E-2</v>
      </c>
      <c r="Q15" s="23">
        <f>IF(SamplingData[[#This Row],[Max Error Bound (up)]] = 0,0,SamplingData[[#This Row],[Max Error Bound (up)]]/SamplingData[[#Totals],[Max Error Bound (up)]])</f>
        <v>1.7253447935633582E-3</v>
      </c>
      <c r="R15" s="24">
        <f>SUM($Q$5:Q15)</f>
        <v>1.1932019330766819E-2</v>
      </c>
      <c r="S15" s="23" t="str">
        <f t="array" ref="S15">IF(SamplingData[[#This Row],[up/U Selection Probability]] = 0, "Zero", TEXT(SamplingData[[#This Row],[Lower Range]], REPT("0",LEN('General Info'!$B$40))) &amp; " - " &amp; TEXT(SamplingData[[#This Row],[Upper Range]], REPT("0",LEN('General Info'!$B$40))))</f>
        <v>01021 - 01192</v>
      </c>
      <c r="T15" s="23">
        <f>SamplingData[[#This Row],[Upper Range]]-SamplingData[[#This Row],[Span]]</f>
        <v>1020.6691790651396</v>
      </c>
      <c r="U15" s="23">
        <f>IF(ISNUMBER('General Info'!$B$40), ((SamplingData[[#This Row],[up/U Selection Probability]]) * 'General Info'!$B$40) - 1, 0)</f>
        <v>171.53275401154227</v>
      </c>
      <c r="V15" s="23">
        <f>IF(ISNUMBER('General Info'!$B$40), (SamplingData[[#This Row],[Running (cumulative) sum]] * ('General Info'!$B$40 -'General Info'!$B$41 + 1)) + 'General Info'!$B$41 - 1, 0)</f>
        <v>1192.2019330766818</v>
      </c>
      <c r="W15" s="23" t="str">
        <f>IF(ISERROR(MATCH(SamplingData[[#This Row],[Batch by Type (p)]],SelectedPrecincts[Batch Name], 0)), "", INDEX(SelectedPrecincts[Draw], MATCH(SamplingData[[#This Row],[Batch by Type (p)]],SelectedPrecincts[Batch Name], 0)))</f>
        <v/>
      </c>
      <c r="X15" s="25">
        <f>IF(COUNTIF(SelectedPrecincts[Batch Name],SamplingData[[#This Row],[Batch by Type (p)]]) &lt;&gt; 0, COUNTIF(SelectedPrecincts[Batch Name],SamplingData[[#This Row],[Batch by Type (p)]]), 0)</f>
        <v>0</v>
      </c>
    </row>
    <row r="16" spans="1:24">
      <c r="A16" s="18" t="s">
        <v>192</v>
      </c>
      <c r="B16" s="18">
        <v>16</v>
      </c>
      <c r="C16" s="18">
        <v>23</v>
      </c>
      <c r="D16" s="18">
        <v>3</v>
      </c>
      <c r="E16" s="18">
        <v>0</v>
      </c>
      <c r="F16" s="18">
        <v>0</v>
      </c>
      <c r="G16" s="18">
        <v>0</v>
      </c>
      <c r="H16" s="18">
        <v>0</v>
      </c>
      <c r="I16" s="18">
        <v>0</v>
      </c>
      <c r="J16" s="22">
        <f>SUM(SamplingData[[#This Row],[Losing Candidate]:[Under Votes]])</f>
        <v>42</v>
      </c>
      <c r="K16" s="23">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16" s="23">
        <f>IF(AND(SamplingData[[#This Row],[Total]]&lt;&gt; 0, NOT(ISBLANK(SamplingData[[#This Row],[Candidate 3]]))),(SamplingData[[#This Row],[Total]]+SamplingData[[#This Row],[Winning Candidate]]-SamplingData[[#This Row],[Candidate 3]])/(SamplingData[[#Totals],[Winning Candidate]]-SamplingData[[#Totals],[Candidate 3]]), 0)</f>
        <v>2.0001935671193987E-3</v>
      </c>
      <c r="M16" s="23">
        <f>IF(AND(SamplingData[[#This Row],[Total]]&lt;&gt; 0, NOT(ISBLANK(SamplingData[[#This Row],[Candidate 4]]))),(SamplingData[[#This Row],[Total]]+SamplingData[[#This Row],[Winning Candidate]]-SamplingData[[#This Row],[Candidate 4]])/(SamplingData[[#Totals],[Winning Candidate]]-SamplingData[[#Totals],[Candidate 4]]), 0)</f>
        <v>1.9000847730129499E-3</v>
      </c>
      <c r="N16" s="23">
        <f>IF(AND(SamplingData[[#This Row],[Total]]&lt;&gt; 0, NOT(ISBLANK(SamplingData[[#This Row],[Candidate 5]]))),(SamplingData[[#This Row],[Total]]+SamplingData[[#This Row],[Winning Candidate]]-SamplingData[[#This Row],[Candidate 5]])/(SamplingData[[#Totals],[Winning Candidate]]-SamplingData[[#Totals],[Candidate 5]]), 0)</f>
        <v>1.5811238141571393E-3</v>
      </c>
      <c r="O16" s="23">
        <f>IF(AND(SamplingData[[#This Row],[Total]]&lt;&gt; 0, NOT(ISBLANK(SamplingData[[#This Row],[Candidate 6]]))),(SamplingData[[#This Row],[Total]]+SamplingData[[#This Row],[Winning Candidate]]-SamplingData[[#This Row],[Candidate 6]])/(SamplingData[[#Totals],[Winning Candidate]]-SamplingData[[#Totals],[Candidate 6]]), 0)</f>
        <v>1.5806624191430378E-3</v>
      </c>
      <c r="P16" s="23">
        <f>MAX(SamplingData[[#This Row],[Error Bound (up) - Max. possible relative overstatement - Losing Candidate]:[Error Bound (up) - Max. possible relative overstatement - Candidate 6]])</f>
        <v>3.0009799118079373E-3</v>
      </c>
      <c r="Q16" s="23">
        <f>IF(SamplingData[[#This Row],[Max Error Bound (up)]] = 0,0,SamplingData[[#This Row],[Max Error Bound (up)]]/SamplingData[[#Totals],[Max Error Bound (up)]])</f>
        <v>4.7495446564384573E-4</v>
      </c>
      <c r="R16" s="24">
        <f>SUM($Q$5:Q16)</f>
        <v>1.2406973796410665E-2</v>
      </c>
      <c r="S16" s="23" t="str">
        <f t="array" ref="S16">IF(SamplingData[[#This Row],[up/U Selection Probability]] = 0, "Zero", TEXT(SamplingData[[#This Row],[Lower Range]], REPT("0",LEN('General Info'!$B$40))) &amp; " - " &amp; TEXT(SamplingData[[#This Row],[Upper Range]], REPT("0",LEN('General Info'!$B$40))))</f>
        <v>01193 - 01240</v>
      </c>
      <c r="T16" s="23">
        <f>SamplingData[[#This Row],[Upper Range]]-SamplingData[[#This Row],[Span]]</f>
        <v>1193.2024080311476</v>
      </c>
      <c r="U16" s="23">
        <f>IF(ISNUMBER('General Info'!$B$40), ((SamplingData[[#This Row],[up/U Selection Probability]]) * 'General Info'!$B$40) - 1, 0)</f>
        <v>46.494971609918927</v>
      </c>
      <c r="V16" s="23">
        <f>IF(ISNUMBER('General Info'!$B$40), (SamplingData[[#This Row],[Running (cumulative) sum]] * ('General Info'!$B$40 -'General Info'!$B$41 + 1)) + 'General Info'!$B$41 - 1, 0)</f>
        <v>1239.6973796410664</v>
      </c>
      <c r="W16" s="23" t="str">
        <f>IF(ISERROR(MATCH(SamplingData[[#This Row],[Batch by Type (p)]],SelectedPrecincts[Batch Name], 0)), "", INDEX(SelectedPrecincts[Draw], MATCH(SamplingData[[#This Row],[Batch by Type (p)]],SelectedPrecincts[Batch Name], 0)))</f>
        <v/>
      </c>
      <c r="X16" s="25">
        <f>IF(COUNTIF(SelectedPrecincts[Batch Name],SamplingData[[#This Row],[Batch by Type (p)]]) &lt;&gt; 0, COUNTIF(SelectedPrecincts[Batch Name],SamplingData[[#This Row],[Batch by Type (p)]]), 0)</f>
        <v>0</v>
      </c>
    </row>
    <row r="17" spans="1:24">
      <c r="A17" s="18" t="s">
        <v>193</v>
      </c>
      <c r="B17" s="18">
        <v>42</v>
      </c>
      <c r="C17" s="18">
        <v>89</v>
      </c>
      <c r="D17" s="16">
        <v>7</v>
      </c>
      <c r="E17" s="16">
        <v>15</v>
      </c>
      <c r="F17" s="37">
        <v>0</v>
      </c>
      <c r="G17" s="37">
        <v>0</v>
      </c>
      <c r="H17" s="16">
        <v>0</v>
      </c>
      <c r="I17" s="16">
        <v>4</v>
      </c>
      <c r="J17" s="22">
        <f>SUM(SamplingData[[#This Row],[Losing Candidate]:[Under Votes]])</f>
        <v>157</v>
      </c>
      <c r="K17" s="23">
        <f>IF(AND(SamplingData[[#This Row],[Total]]&lt;&gt; 0, NOT(ISBLANK(SamplingData[[#This Row],[Losing Candidate]]))),(SamplingData[[#This Row],[Total]]+SamplingData[[#This Row],[Winning Candidate]]-SamplingData[[#This Row],[Losing Candidate]])/(SamplingData[[#Totals],[Winning Candidate]]-SamplingData[[#Totals],[Losing Candidate]]), 0)</f>
        <v>1.2493875551200392E-2</v>
      </c>
      <c r="L17" s="23">
        <f>IF(AND(SamplingData[[#This Row],[Total]]&lt;&gt; 0, NOT(ISBLANK(SamplingData[[#This Row],[Candidate 3]]))),(SamplingData[[#This Row],[Total]]+SamplingData[[#This Row],[Winning Candidate]]-SamplingData[[#This Row],[Candidate 3]])/(SamplingData[[#Totals],[Winning Candidate]]-SamplingData[[#Totals],[Candidate 3]]), 0)</f>
        <v>7.7104235893796173E-3</v>
      </c>
      <c r="M17" s="23">
        <f>IF(AND(SamplingData[[#This Row],[Total]]&lt;&gt; 0, NOT(ISBLANK(SamplingData[[#This Row],[Candidate 4]]))),(SamplingData[[#This Row],[Total]]+SamplingData[[#This Row],[Winning Candidate]]-SamplingData[[#This Row],[Candidate 4]])/(SamplingData[[#Totals],[Winning Candidate]]-SamplingData[[#Totals],[Candidate 4]]), 0)</f>
        <v>6.752608962553714E-3</v>
      </c>
      <c r="N17" s="23">
        <f>IF(AND(SamplingData[[#This Row],[Total]]&lt;&gt; 0, NOT(ISBLANK(SamplingData[[#This Row],[Candidate 5]]))),(SamplingData[[#This Row],[Total]]+SamplingData[[#This Row],[Winning Candidate]]-SamplingData[[#This Row],[Candidate 5]])/(SamplingData[[#Totals],[Winning Candidate]]-SamplingData[[#Totals],[Candidate 5]]), 0)</f>
        <v>5.9839455120408664E-3</v>
      </c>
      <c r="O17" s="23">
        <f>IF(AND(SamplingData[[#This Row],[Total]]&lt;&gt; 0, NOT(ISBLANK(SamplingData[[#This Row],[Candidate 6]]))),(SamplingData[[#This Row],[Total]]+SamplingData[[#This Row],[Winning Candidate]]-SamplingData[[#This Row],[Candidate 6]])/(SamplingData[[#Totals],[Winning Candidate]]-SamplingData[[#Totals],[Candidate 6]]), 0)</f>
        <v>5.9821993093721127E-3</v>
      </c>
      <c r="P17" s="23">
        <f>MAX(SamplingData[[#This Row],[Error Bound (up) - Max. possible relative overstatement - Losing Candidate]:[Error Bound (up) - Max. possible relative overstatement - Candidate 6]])</f>
        <v>1.2493875551200392E-2</v>
      </c>
      <c r="Q17" s="23">
        <f>IF(SamplingData[[#This Row],[Max Error Bound (up)]] = 0,0,SamplingData[[#This Row],[Max Error Bound (up)]]/SamplingData[[#Totals],[Max Error Bound (up)]])</f>
        <v>1.9773614488029496E-3</v>
      </c>
      <c r="R17" s="24">
        <f>SUM($Q$5:Q17)</f>
        <v>1.4384335245213615E-2</v>
      </c>
      <c r="S17" s="23" t="str">
        <f t="array" ref="S17">IF(SamplingData[[#This Row],[up/U Selection Probability]] = 0, "Zero", TEXT(SamplingData[[#This Row],[Lower Range]], REPT("0",LEN('General Info'!$B$40))) &amp; " - " &amp; TEXT(SamplingData[[#This Row],[Upper Range]], REPT("0",LEN('General Info'!$B$40))))</f>
        <v>01241 - 01437</v>
      </c>
      <c r="T17" s="23">
        <f>SamplingData[[#This Row],[Upper Range]]-SamplingData[[#This Row],[Span]]</f>
        <v>1240.6993570025154</v>
      </c>
      <c r="U17" s="23">
        <f>IF(ISNUMBER('General Info'!$B$40), ((SamplingData[[#This Row],[up/U Selection Probability]]) * 'General Info'!$B$40) - 1, 0)</f>
        <v>196.73416751884616</v>
      </c>
      <c r="V17" s="23">
        <f>IF(ISNUMBER('General Info'!$B$40), (SamplingData[[#This Row],[Running (cumulative) sum]] * ('General Info'!$B$40 -'General Info'!$B$41 + 1)) + 'General Info'!$B$41 - 1, 0)</f>
        <v>1437.4335245213615</v>
      </c>
      <c r="W17" s="23" t="str">
        <f>IF(ISERROR(MATCH(SamplingData[[#This Row],[Batch by Type (p)]],SelectedPrecincts[Batch Name], 0)), "", INDEX(SelectedPrecincts[Draw], MATCH(SamplingData[[#This Row],[Batch by Type (p)]],SelectedPrecincts[Batch Name], 0)))</f>
        <v/>
      </c>
      <c r="X17" s="25">
        <f>IF(COUNTIF(SelectedPrecincts[Batch Name],SamplingData[[#This Row],[Batch by Type (p)]]) &lt;&gt; 0, COUNTIF(SelectedPrecincts[Batch Name],SamplingData[[#This Row],[Batch by Type (p)]]), 0)</f>
        <v>0</v>
      </c>
    </row>
    <row r="18" spans="1:24">
      <c r="A18" s="18" t="s">
        <v>194</v>
      </c>
      <c r="B18" s="18">
        <v>17</v>
      </c>
      <c r="C18" s="18">
        <v>28</v>
      </c>
      <c r="D18" s="18">
        <v>9</v>
      </c>
      <c r="E18" s="18">
        <v>1</v>
      </c>
      <c r="F18" s="18">
        <v>1</v>
      </c>
      <c r="G18" s="18">
        <v>0</v>
      </c>
      <c r="H18" s="18">
        <v>0</v>
      </c>
      <c r="I18" s="18">
        <v>4</v>
      </c>
      <c r="J18" s="22">
        <f>SUM(SamplingData[[#This Row],[Losing Candidate]:[Under Votes]])</f>
        <v>60</v>
      </c>
      <c r="K18" s="23">
        <f>IF(AND(SamplingData[[#This Row],[Total]]&lt;&gt; 0, NOT(ISBLANK(SamplingData[[#This Row],[Losing Candidate]]))),(SamplingData[[#This Row],[Total]]+SamplingData[[#This Row],[Winning Candidate]]-SamplingData[[#This Row],[Losing Candidate]])/(SamplingData[[#Totals],[Winning Candidate]]-SamplingData[[#Totals],[Losing Candidate]]), 0)</f>
        <v>4.3483586477217053E-3</v>
      </c>
      <c r="L18" s="23">
        <f>IF(AND(SamplingData[[#This Row],[Total]]&lt;&gt; 0, NOT(ISBLANK(SamplingData[[#This Row],[Candidate 3]]))),(SamplingData[[#This Row],[Total]]+SamplingData[[#This Row],[Winning Candidate]]-SamplingData[[#This Row],[Candidate 3]])/(SamplingData[[#Totals],[Winning Candidate]]-SamplingData[[#Totals],[Candidate 3]]), 0)</f>
        <v>2.5486337387489112E-3</v>
      </c>
      <c r="M18" s="23">
        <f>IF(AND(SamplingData[[#This Row],[Total]]&lt;&gt; 0, NOT(ISBLANK(SamplingData[[#This Row],[Candidate 4]]))),(SamplingData[[#This Row],[Total]]+SamplingData[[#This Row],[Winning Candidate]]-SamplingData[[#This Row],[Candidate 4]])/(SamplingData[[#Totals],[Winning Candidate]]-SamplingData[[#Totals],[Candidate 4]]), 0)</f>
        <v>2.5431903884942557E-3</v>
      </c>
      <c r="N18" s="23">
        <f>IF(AND(SamplingData[[#This Row],[Total]]&lt;&gt; 0, NOT(ISBLANK(SamplingData[[#This Row],[Candidate 5]]))),(SamplingData[[#This Row],[Total]]+SamplingData[[#This Row],[Winning Candidate]]-SamplingData[[#This Row],[Candidate 5]])/(SamplingData[[#Totals],[Winning Candidate]]-SamplingData[[#Totals],[Candidate 5]]), 0)</f>
        <v>2.1162734127949403E-3</v>
      </c>
      <c r="O18" s="23">
        <f>IF(AND(SamplingData[[#This Row],[Total]]&lt;&gt; 0, NOT(ISBLANK(SamplingData[[#This Row],[Candidate 6]]))),(SamplingData[[#This Row],[Total]]+SamplingData[[#This Row],[Winning Candidate]]-SamplingData[[#This Row],[Candidate 6]])/(SamplingData[[#Totals],[Winning Candidate]]-SamplingData[[#Totals],[Candidate 6]]), 0)</f>
        <v>2.1399737366859586E-3</v>
      </c>
      <c r="P18" s="23">
        <f>MAX(SamplingData[[#This Row],[Error Bound (up) - Max. possible relative overstatement - Losing Candidate]:[Error Bound (up) - Max. possible relative overstatement - Candidate 6]])</f>
        <v>4.3483586477217053E-3</v>
      </c>
      <c r="Q18" s="23">
        <f>IF(SamplingData[[#This Row],[Max Error Bound (up)]] = 0,0,SamplingData[[#This Row],[Max Error Bound (up)]]/SamplingData[[#Totals],[Max Error Bound (up)]])</f>
        <v>6.881993277696541E-4</v>
      </c>
      <c r="R18" s="24">
        <f>SUM($Q$5:Q18)</f>
        <v>1.5072534572983269E-2</v>
      </c>
      <c r="S18" s="23" t="str">
        <f t="array" ref="S18">IF(SamplingData[[#This Row],[up/U Selection Probability]] = 0, "Zero", TEXT(SamplingData[[#This Row],[Lower Range]], REPT("0",LEN('General Info'!$B$40))) &amp; " - " &amp; TEXT(SamplingData[[#This Row],[Upper Range]], REPT("0",LEN('General Info'!$B$40))))</f>
        <v>01438 - 01506</v>
      </c>
      <c r="T18" s="23">
        <f>SamplingData[[#This Row],[Upper Range]]-SamplingData[[#This Row],[Span]]</f>
        <v>1438.4342127206892</v>
      </c>
      <c r="U18" s="23">
        <f>IF(ISNUMBER('General Info'!$B$40), ((SamplingData[[#This Row],[up/U Selection Probability]]) * 'General Info'!$B$40) - 1, 0)</f>
        <v>67.819244577637633</v>
      </c>
      <c r="V18" s="23">
        <f>IF(ISNUMBER('General Info'!$B$40), (SamplingData[[#This Row],[Running (cumulative) sum]] * ('General Info'!$B$40 -'General Info'!$B$41 + 1)) + 'General Info'!$B$41 - 1, 0)</f>
        <v>1506.2534572983268</v>
      </c>
      <c r="W18" s="23" t="str">
        <f>IF(ISERROR(MATCH(SamplingData[[#This Row],[Batch by Type (p)]],SelectedPrecincts[Batch Name], 0)), "", INDEX(SelectedPrecincts[Draw], MATCH(SamplingData[[#This Row],[Batch by Type (p)]],SelectedPrecincts[Batch Name], 0)))</f>
        <v/>
      </c>
      <c r="X18" s="25">
        <f>IF(COUNTIF(SelectedPrecincts[Batch Name],SamplingData[[#This Row],[Batch by Type (p)]]) &lt;&gt; 0, COUNTIF(SelectedPrecincts[Batch Name],SamplingData[[#This Row],[Batch by Type (p)]]), 0)</f>
        <v>0</v>
      </c>
    </row>
    <row r="19" spans="1:24">
      <c r="A19" s="18" t="s">
        <v>195</v>
      </c>
      <c r="B19" s="18">
        <v>29</v>
      </c>
      <c r="C19" s="18">
        <v>106</v>
      </c>
      <c r="D19" s="16">
        <v>17</v>
      </c>
      <c r="E19" s="16">
        <v>9</v>
      </c>
      <c r="F19" s="37">
        <v>0</v>
      </c>
      <c r="G19" s="37">
        <v>0</v>
      </c>
      <c r="H19" s="16">
        <v>0</v>
      </c>
      <c r="I19" s="16">
        <v>3</v>
      </c>
      <c r="J19" s="22">
        <f>SUM(SamplingData[[#This Row],[Losing Candidate]:[Under Votes]])</f>
        <v>164</v>
      </c>
      <c r="K19" s="23">
        <f>IF(AND(SamplingData[[#This Row],[Total]]&lt;&gt; 0, NOT(ISBLANK(SamplingData[[#This Row],[Losing Candidate]]))),(SamplingData[[#This Row],[Total]]+SamplingData[[#This Row],[Winning Candidate]]-SamplingData[[#This Row],[Losing Candidate]])/(SamplingData[[#Totals],[Winning Candidate]]-SamplingData[[#Totals],[Losing Candidate]]), 0)</f>
        <v>1.4759921607055365E-2</v>
      </c>
      <c r="L19" s="23">
        <f>IF(AND(SamplingData[[#This Row],[Total]]&lt;&gt; 0, NOT(ISBLANK(SamplingData[[#This Row],[Candidate 3]]))),(SamplingData[[#This Row],[Total]]+SamplingData[[#This Row],[Winning Candidate]]-SamplingData[[#This Row],[Candidate 3]])/(SamplingData[[#Totals],[Winning Candidate]]-SamplingData[[#Totals],[Candidate 3]]), 0)</f>
        <v>8.1620802013098043E-3</v>
      </c>
      <c r="M19" s="23">
        <f>IF(AND(SamplingData[[#This Row],[Total]]&lt;&gt; 0, NOT(ISBLANK(SamplingData[[#This Row],[Candidate 4]]))),(SamplingData[[#This Row],[Total]]+SamplingData[[#This Row],[Winning Candidate]]-SamplingData[[#This Row],[Candidate 4]])/(SamplingData[[#Totals],[Winning Candidate]]-SamplingData[[#Totals],[Candidate 4]]), 0)</f>
        <v>7.629571165482768E-3</v>
      </c>
      <c r="N19" s="23">
        <f>IF(AND(SamplingData[[#This Row],[Total]]&lt;&gt; 0, NOT(ISBLANK(SamplingData[[#This Row],[Candidate 5]]))),(SamplingData[[#This Row],[Total]]+SamplingData[[#This Row],[Winning Candidate]]-SamplingData[[#This Row],[Candidate 5]])/(SamplingData[[#Totals],[Winning Candidate]]-SamplingData[[#Totals],[Candidate 5]]), 0)</f>
        <v>6.5677450741911947E-3</v>
      </c>
      <c r="O19" s="23">
        <f>IF(AND(SamplingData[[#This Row],[Total]]&lt;&gt; 0, NOT(ISBLANK(SamplingData[[#This Row],[Candidate 6]]))),(SamplingData[[#This Row],[Total]]+SamplingData[[#This Row],[Winning Candidate]]-SamplingData[[#This Row],[Candidate 6]])/(SamplingData[[#Totals],[Winning Candidate]]-SamplingData[[#Totals],[Candidate 6]]), 0)</f>
        <v>6.5658285102864642E-3</v>
      </c>
      <c r="P19" s="23">
        <f>MAX(SamplingData[[#This Row],[Error Bound (up) - Max. possible relative overstatement - Losing Candidate]:[Error Bound (up) - Max. possible relative overstatement - Candidate 6]])</f>
        <v>1.4759921607055365E-2</v>
      </c>
      <c r="Q19" s="23">
        <f>IF(SamplingData[[#This Row],[Max Error Bound (up)]] = 0,0,SamplingData[[#This Row],[Max Error Bound (up)]]/SamplingData[[#Totals],[Max Error Bound (up)]])</f>
        <v>2.3360005351054456E-3</v>
      </c>
      <c r="R19" s="24">
        <f>SUM($Q$5:Q19)</f>
        <v>1.7408535108088714E-2</v>
      </c>
      <c r="S19" s="23" t="str">
        <f t="array" ref="S19">IF(SamplingData[[#This Row],[up/U Selection Probability]] = 0, "Zero", TEXT(SamplingData[[#This Row],[Lower Range]], REPT("0",LEN('General Info'!$B$40))) &amp; " - " &amp; TEXT(SamplingData[[#This Row],[Upper Range]], REPT("0",LEN('General Info'!$B$40))))</f>
        <v>01507 - 01740</v>
      </c>
      <c r="T19" s="23">
        <f>SamplingData[[#This Row],[Upper Range]]-SamplingData[[#This Row],[Span]]</f>
        <v>1507.255793298862</v>
      </c>
      <c r="U19" s="23">
        <f>IF(ISNUMBER('General Info'!$B$40), ((SamplingData[[#This Row],[up/U Selection Probability]]) * 'General Info'!$B$40) - 1, 0)</f>
        <v>232.59771751000946</v>
      </c>
      <c r="V19" s="23">
        <f>IF(ISNUMBER('General Info'!$B$40), (SamplingData[[#This Row],[Running (cumulative) sum]] * ('General Info'!$B$40 -'General Info'!$B$41 + 1)) + 'General Info'!$B$41 - 1, 0)</f>
        <v>1739.8535108088715</v>
      </c>
      <c r="W19" s="23" t="str">
        <f>IF(ISERROR(MATCH(SamplingData[[#This Row],[Batch by Type (p)]],SelectedPrecincts[Batch Name], 0)), "", INDEX(SelectedPrecincts[Draw], MATCH(SamplingData[[#This Row],[Batch by Type (p)]],SelectedPrecincts[Batch Name], 0)))</f>
        <v/>
      </c>
      <c r="X19" s="25">
        <f>IF(COUNTIF(SelectedPrecincts[Batch Name],SamplingData[[#This Row],[Batch by Type (p)]]) &lt;&gt; 0, COUNTIF(SelectedPrecincts[Batch Name],SamplingData[[#This Row],[Batch by Type (p)]]), 0)</f>
        <v>0</v>
      </c>
    </row>
    <row r="20" spans="1:24">
      <c r="A20" s="18" t="s">
        <v>196</v>
      </c>
      <c r="B20" s="18">
        <v>13</v>
      </c>
      <c r="C20" s="18">
        <v>36</v>
      </c>
      <c r="D20" s="18">
        <v>9</v>
      </c>
      <c r="E20" s="18">
        <v>1</v>
      </c>
      <c r="F20" s="18">
        <v>0</v>
      </c>
      <c r="G20" s="18">
        <v>0</v>
      </c>
      <c r="H20" s="18">
        <v>0</v>
      </c>
      <c r="I20" s="18">
        <v>1</v>
      </c>
      <c r="J20" s="22">
        <f>SUM(SamplingData[[#This Row],[Losing Candidate]:[Under Votes]])</f>
        <v>60</v>
      </c>
      <c r="K20" s="23">
        <f>IF(AND(SamplingData[[#This Row],[Total]]&lt;&gt; 0, NOT(ISBLANK(SamplingData[[#This Row],[Losing Candidate]]))),(SamplingData[[#This Row],[Total]]+SamplingData[[#This Row],[Winning Candidate]]-SamplingData[[#This Row],[Losing Candidate]])/(SamplingData[[#Totals],[Winning Candidate]]-SamplingData[[#Totals],[Losing Candidate]]), 0)</f>
        <v>5.0832925036746694E-3</v>
      </c>
      <c r="L20" s="23">
        <f>IF(AND(SamplingData[[#This Row],[Total]]&lt;&gt; 0, NOT(ISBLANK(SamplingData[[#This Row],[Candidate 3]]))),(SamplingData[[#This Row],[Total]]+SamplingData[[#This Row],[Winning Candidate]]-SamplingData[[#This Row],[Candidate 3]])/(SamplingData[[#Totals],[Winning Candidate]]-SamplingData[[#Totals],[Candidate 3]]), 0)</f>
        <v>2.8067232312804463E-3</v>
      </c>
      <c r="M20" s="23">
        <f>IF(AND(SamplingData[[#This Row],[Total]]&lt;&gt; 0, NOT(ISBLANK(SamplingData[[#This Row],[Candidate 4]]))),(SamplingData[[#This Row],[Total]]+SamplingData[[#This Row],[Winning Candidate]]-SamplingData[[#This Row],[Candidate 4]])/(SamplingData[[#Totals],[Winning Candidate]]-SamplingData[[#Totals],[Candidate 4]]), 0)</f>
        <v>2.7770469759420035E-3</v>
      </c>
      <c r="N20" s="23">
        <f>IF(AND(SamplingData[[#This Row],[Total]]&lt;&gt; 0, NOT(ISBLANK(SamplingData[[#This Row],[Candidate 5]]))),(SamplingData[[#This Row],[Total]]+SamplingData[[#This Row],[Winning Candidate]]-SamplingData[[#This Row],[Candidate 5]])/(SamplingData[[#Totals],[Winning Candidate]]-SamplingData[[#Totals],[Candidate 5]]), 0)</f>
        <v>2.3351982486013137E-3</v>
      </c>
      <c r="O20" s="23">
        <f>IF(AND(SamplingData[[#This Row],[Total]]&lt;&gt; 0, NOT(ISBLANK(SamplingData[[#This Row],[Candidate 6]]))),(SamplingData[[#This Row],[Total]]+SamplingData[[#This Row],[Winning Candidate]]-SamplingData[[#This Row],[Candidate 6]])/(SamplingData[[#Totals],[Winning Candidate]]-SamplingData[[#Totals],[Candidate 6]]), 0)</f>
        <v>2.3345168036574097E-3</v>
      </c>
      <c r="P20" s="23">
        <f>MAX(SamplingData[[#This Row],[Error Bound (up) - Max. possible relative overstatement - Losing Candidate]:[Error Bound (up) - Max. possible relative overstatement - Candidate 6]])</f>
        <v>5.0832925036746694E-3</v>
      </c>
      <c r="Q20" s="23">
        <f>IF(SamplingData[[#This Row],[Max Error Bound (up)]] = 0,0,SamplingData[[#This Row],[Max Error Bound (up)]]/SamplingData[[#Totals],[Max Error Bound (up)]])</f>
        <v>8.0451470711100407E-4</v>
      </c>
      <c r="R20" s="24">
        <f>SUM($Q$5:Q20)</f>
        <v>1.8213049815199719E-2</v>
      </c>
      <c r="S20" s="23" t="str">
        <f t="array" ref="S20">IF(SamplingData[[#This Row],[up/U Selection Probability]] = 0, "Zero", TEXT(SamplingData[[#This Row],[Lower Range]], REPT("0",LEN('General Info'!$B$40))) &amp; " - " &amp; TEXT(SamplingData[[#This Row],[Upper Range]], REPT("0",LEN('General Info'!$B$40))))</f>
        <v>01741 - 01820</v>
      </c>
      <c r="T20" s="23">
        <f>SamplingData[[#This Row],[Upper Range]]-SamplingData[[#This Row],[Span]]</f>
        <v>1740.8543153235785</v>
      </c>
      <c r="U20" s="23">
        <f>IF(ISNUMBER('General Info'!$B$40), ((SamplingData[[#This Row],[up/U Selection Probability]]) * 'General Info'!$B$40) - 1, 0)</f>
        <v>79.4506661963933</v>
      </c>
      <c r="V20" s="23">
        <f>IF(ISNUMBER('General Info'!$B$40), (SamplingData[[#This Row],[Running (cumulative) sum]] * ('General Info'!$B$40 -'General Info'!$B$41 + 1)) + 'General Info'!$B$41 - 1, 0)</f>
        <v>1820.3049815199718</v>
      </c>
      <c r="W20" s="23" t="str">
        <f>IF(ISERROR(MATCH(SamplingData[[#This Row],[Batch by Type (p)]],SelectedPrecincts[Batch Name], 0)), "", INDEX(SelectedPrecincts[Draw], MATCH(SamplingData[[#This Row],[Batch by Type (p)]],SelectedPrecincts[Batch Name], 0)))</f>
        <v/>
      </c>
      <c r="X20" s="25">
        <f>IF(COUNTIF(SelectedPrecincts[Batch Name],SamplingData[[#This Row],[Batch by Type (p)]]) &lt;&gt; 0, COUNTIF(SelectedPrecincts[Batch Name],SamplingData[[#This Row],[Batch by Type (p)]]), 0)</f>
        <v>0</v>
      </c>
    </row>
    <row r="21" spans="1:24">
      <c r="A21" s="18" t="s">
        <v>197</v>
      </c>
      <c r="B21" s="18">
        <v>23</v>
      </c>
      <c r="C21" s="18">
        <v>78</v>
      </c>
      <c r="D21" s="16">
        <v>9</v>
      </c>
      <c r="E21" s="16">
        <v>12</v>
      </c>
      <c r="F21" s="37">
        <v>1</v>
      </c>
      <c r="G21" s="37">
        <v>0</v>
      </c>
      <c r="H21" s="16">
        <v>1</v>
      </c>
      <c r="I21" s="16">
        <v>2</v>
      </c>
      <c r="J21" s="22">
        <f>SUM(SamplingData[[#This Row],[Losing Candidate]:[Under Votes]])</f>
        <v>126</v>
      </c>
      <c r="K21" s="23">
        <f>IF(AND(SamplingData[[#This Row],[Total]]&lt;&gt; 0, NOT(ISBLANK(SamplingData[[#This Row],[Losing Candidate]]))),(SamplingData[[#This Row],[Total]]+SamplingData[[#This Row],[Winning Candidate]]-SamplingData[[#This Row],[Losing Candidate]])/(SamplingData[[#Totals],[Winning Candidate]]-SamplingData[[#Totals],[Losing Candidate]]), 0)</f>
        <v>1.1085252327290544E-2</v>
      </c>
      <c r="L21" s="23">
        <f>IF(AND(SamplingData[[#This Row],[Total]]&lt;&gt; 0, NOT(ISBLANK(SamplingData[[#This Row],[Candidate 3]]))),(SamplingData[[#This Row],[Total]]+SamplingData[[#This Row],[Winning Candidate]]-SamplingData[[#This Row],[Candidate 3]])/(SamplingData[[#Totals],[Winning Candidate]]-SamplingData[[#Totals],[Candidate 3]]), 0)</f>
        <v>6.2909313804561731E-3</v>
      </c>
      <c r="M21" s="23">
        <f>IF(AND(SamplingData[[#This Row],[Total]]&lt;&gt; 0, NOT(ISBLANK(SamplingData[[#This Row],[Candidate 4]]))),(SamplingData[[#This Row],[Total]]+SamplingData[[#This Row],[Winning Candidate]]-SamplingData[[#This Row],[Candidate 4]])/(SamplingData[[#Totals],[Winning Candidate]]-SamplingData[[#Totals],[Candidate 4]]), 0)</f>
        <v>5.6125580987459438E-3</v>
      </c>
      <c r="N21" s="23">
        <f>IF(AND(SamplingData[[#This Row],[Total]]&lt;&gt; 0, NOT(ISBLANK(SamplingData[[#This Row],[Candidate 5]]))),(SamplingData[[#This Row],[Total]]+SamplingData[[#This Row],[Winning Candidate]]-SamplingData[[#This Row],[Candidate 5]])/(SamplingData[[#Totals],[Winning Candidate]]-SamplingData[[#Totals],[Candidate 5]]), 0)</f>
        <v>4.937971296521528E-3</v>
      </c>
      <c r="O21" s="23">
        <f>IF(AND(SamplingData[[#This Row],[Total]]&lt;&gt; 0, NOT(ISBLANK(SamplingData[[#This Row],[Candidate 6]]))),(SamplingData[[#This Row],[Total]]+SamplingData[[#This Row],[Winning Candidate]]-SamplingData[[#This Row],[Candidate 6]])/(SamplingData[[#Totals],[Winning Candidate]]-SamplingData[[#Totals],[Candidate 6]]), 0)</f>
        <v>4.9608482077719953E-3</v>
      </c>
      <c r="P21" s="23">
        <f>MAX(SamplingData[[#This Row],[Error Bound (up) - Max. possible relative overstatement - Losing Candidate]:[Error Bound (up) - Max. possible relative overstatement - Candidate 6]])</f>
        <v>1.1085252327290544E-2</v>
      </c>
      <c r="Q21" s="23">
        <f>IF(SamplingData[[#This Row],[Max Error Bound (up)]] = 0,0,SamplingData[[#This Row],[Max Error Bound (up)]]/SamplingData[[#Totals],[Max Error Bound (up)]])</f>
        <v>1.7544236383986956E-3</v>
      </c>
      <c r="R21" s="24">
        <f>SUM($Q$5:Q21)</f>
        <v>1.9967473453598415E-2</v>
      </c>
      <c r="S21" s="23" t="str">
        <f t="array" ref="S21">IF(SamplingData[[#This Row],[up/U Selection Probability]] = 0, "Zero", TEXT(SamplingData[[#This Row],[Lower Range]], REPT("0",LEN('General Info'!$B$40))) &amp; " - " &amp; TEXT(SamplingData[[#This Row],[Upper Range]], REPT("0",LEN('General Info'!$B$40))))</f>
        <v>01821 - 01996</v>
      </c>
      <c r="T21" s="23">
        <f>SamplingData[[#This Row],[Upper Range]]-SamplingData[[#This Row],[Span]]</f>
        <v>1821.3067359436104</v>
      </c>
      <c r="U21" s="23">
        <f>IF(ISNUMBER('General Info'!$B$40), ((SamplingData[[#This Row],[up/U Selection Probability]]) * 'General Info'!$B$40) - 1, 0)</f>
        <v>174.44060941623115</v>
      </c>
      <c r="V21" s="23">
        <f>IF(ISNUMBER('General Info'!$B$40), (SamplingData[[#This Row],[Running (cumulative) sum]] * ('General Info'!$B$40 -'General Info'!$B$41 + 1)) + 'General Info'!$B$41 - 1, 0)</f>
        <v>1995.7473453598416</v>
      </c>
      <c r="W21" s="23" t="str">
        <f>IF(ISERROR(MATCH(SamplingData[[#This Row],[Batch by Type (p)]],SelectedPrecincts[Batch Name], 0)), "", INDEX(SelectedPrecincts[Draw], MATCH(SamplingData[[#This Row],[Batch by Type (p)]],SelectedPrecincts[Batch Name], 0)))</f>
        <v/>
      </c>
      <c r="X21" s="25">
        <f>IF(COUNTIF(SelectedPrecincts[Batch Name],SamplingData[[#This Row],[Batch by Type (p)]]) &lt;&gt; 0, COUNTIF(SelectedPrecincts[Batch Name],SamplingData[[#This Row],[Batch by Type (p)]]), 0)</f>
        <v>0</v>
      </c>
    </row>
    <row r="22" spans="1:24" ht="15" customHeight="1">
      <c r="A22" s="18" t="s">
        <v>198</v>
      </c>
      <c r="B22" s="18">
        <v>10</v>
      </c>
      <c r="C22" s="18">
        <v>41</v>
      </c>
      <c r="D22" s="18">
        <v>7</v>
      </c>
      <c r="E22" s="18">
        <v>3</v>
      </c>
      <c r="F22" s="18">
        <v>0</v>
      </c>
      <c r="G22" s="18">
        <v>0</v>
      </c>
      <c r="H22" s="18">
        <v>0</v>
      </c>
      <c r="I22" s="18">
        <v>0</v>
      </c>
      <c r="J22" s="22">
        <f>SUM(SamplingData[[#This Row],[Losing Candidate]:[Under Votes]])</f>
        <v>61</v>
      </c>
      <c r="K22" s="23">
        <f>IF(AND(SamplingData[[#This Row],[Total]]&lt;&gt; 0, NOT(ISBLANK(SamplingData[[#This Row],[Losing Candidate]]))),(SamplingData[[#This Row],[Total]]+SamplingData[[#This Row],[Winning Candidate]]-SamplingData[[#This Row],[Losing Candidate]])/(SamplingData[[#Totals],[Winning Candidate]]-SamplingData[[#Totals],[Losing Candidate]]), 0)</f>
        <v>5.6344928956393921E-3</v>
      </c>
      <c r="L22" s="23">
        <f>IF(AND(SamplingData[[#This Row],[Total]]&lt;&gt; 0, NOT(ISBLANK(SamplingData[[#This Row],[Candidate 3]]))),(SamplingData[[#This Row],[Total]]+SamplingData[[#This Row],[Winning Candidate]]-SamplingData[[#This Row],[Candidate 3]])/(SamplingData[[#Totals],[Winning Candidate]]-SamplingData[[#Totals],[Candidate 3]]), 0)</f>
        <v>3.0648127238119818E-3</v>
      </c>
      <c r="M22" s="23">
        <f>IF(AND(SamplingData[[#This Row],[Total]]&lt;&gt; 0, NOT(ISBLANK(SamplingData[[#This Row],[Candidate 4]]))),(SamplingData[[#This Row],[Total]]+SamplingData[[#This Row],[Winning Candidate]]-SamplingData[[#This Row],[Candidate 4]])/(SamplingData[[#Totals],[Winning Candidate]]-SamplingData[[#Totals],[Candidate 4]]), 0)</f>
        <v>2.8939752696658773E-3</v>
      </c>
      <c r="N22" s="23">
        <f>IF(AND(SamplingData[[#This Row],[Total]]&lt;&gt; 0, NOT(ISBLANK(SamplingData[[#This Row],[Candidate 5]]))),(SamplingData[[#This Row],[Total]]+SamplingData[[#This Row],[Winning Candidate]]-SamplingData[[#This Row],[Candidate 5]])/(SamplingData[[#Totals],[Winning Candidate]]-SamplingData[[#Totals],[Candidate 5]]), 0)</f>
        <v>2.4811481391388956E-3</v>
      </c>
      <c r="O22" s="23">
        <f>IF(AND(SamplingData[[#This Row],[Total]]&lt;&gt; 0, NOT(ISBLANK(SamplingData[[#This Row],[Candidate 6]]))),(SamplingData[[#This Row],[Total]]+SamplingData[[#This Row],[Winning Candidate]]-SamplingData[[#This Row],[Candidate 6]])/(SamplingData[[#Totals],[Winning Candidate]]-SamplingData[[#Totals],[Candidate 6]]), 0)</f>
        <v>2.4804241038859976E-3</v>
      </c>
      <c r="P22" s="23">
        <f>MAX(SamplingData[[#This Row],[Error Bound (up) - Max. possible relative overstatement - Losing Candidate]:[Error Bound (up) - Max. possible relative overstatement - Candidate 6]])</f>
        <v>5.6344928956393921E-3</v>
      </c>
      <c r="Q22" s="23">
        <f>IF(SamplingData[[#This Row],[Max Error Bound (up)]] = 0,0,SamplingData[[#This Row],[Max Error Bound (up)]]/SamplingData[[#Totals],[Max Error Bound (up)]])</f>
        <v>8.9175124161701641E-4</v>
      </c>
      <c r="R22" s="24">
        <f>SUM($Q$5:Q22)</f>
        <v>2.0859224695215433E-2</v>
      </c>
      <c r="S22" s="23" t="str">
        <f t="array" ref="S22">IF(SamplingData[[#This Row],[up/U Selection Probability]] = 0, "Zero", TEXT(SamplingData[[#This Row],[Lower Range]], REPT("0",LEN('General Info'!$B$40))) &amp; " - " &amp; TEXT(SamplingData[[#This Row],[Upper Range]], REPT("0",LEN('General Info'!$B$40))))</f>
        <v>01997 - 02085</v>
      </c>
      <c r="T22" s="23">
        <f>SamplingData[[#This Row],[Upper Range]]-SamplingData[[#This Row],[Span]]</f>
        <v>1996.7482371110834</v>
      </c>
      <c r="U22" s="23">
        <f>IF(ISNUMBER('General Info'!$B$40), ((SamplingData[[#This Row],[up/U Selection Probability]]) * 'General Info'!$B$40) - 1, 0)</f>
        <v>88.174232410460021</v>
      </c>
      <c r="V22" s="23">
        <f>IF(ISNUMBER('General Info'!$B$40), (SamplingData[[#This Row],[Running (cumulative) sum]] * ('General Info'!$B$40 -'General Info'!$B$41 + 1)) + 'General Info'!$B$41 - 1, 0)</f>
        <v>2084.9224695215435</v>
      </c>
      <c r="W22" s="23">
        <f>IF(ISERROR(MATCH(SamplingData[[#This Row],[Batch by Type (p)]],SelectedPrecincts[Batch Name], 0)), "", INDEX(SelectedPrecincts[Draw], MATCH(SamplingData[[#This Row],[Batch by Type (p)]],SelectedPrecincts[Batch Name], 0)))</f>
        <v>9</v>
      </c>
      <c r="X22" s="25">
        <f>IF(COUNTIF(SelectedPrecincts[Batch Name],SamplingData[[#This Row],[Batch by Type (p)]]) &lt;&gt; 0, COUNTIF(SelectedPrecincts[Batch Name],SamplingData[[#This Row],[Batch by Type (p)]]), 0)</f>
        <v>1</v>
      </c>
    </row>
    <row r="23" spans="1:24" ht="15" customHeight="1">
      <c r="A23" s="18" t="s">
        <v>199</v>
      </c>
      <c r="B23" s="18">
        <v>53</v>
      </c>
      <c r="C23" s="18">
        <v>125</v>
      </c>
      <c r="D23" s="16">
        <v>20</v>
      </c>
      <c r="E23" s="16">
        <v>13</v>
      </c>
      <c r="F23" s="37">
        <v>0</v>
      </c>
      <c r="G23" s="37">
        <v>0</v>
      </c>
      <c r="H23" s="16">
        <v>1</v>
      </c>
      <c r="I23" s="16">
        <v>1</v>
      </c>
      <c r="J23" s="22">
        <f>SUM(SamplingData[[#This Row],[Losing Candidate]:[Under Votes]])</f>
        <v>213</v>
      </c>
      <c r="K23" s="23">
        <f>IF(AND(SamplingData[[#This Row],[Total]]&lt;&gt; 0, NOT(ISBLANK(SamplingData[[#This Row],[Losing Candidate]]))),(SamplingData[[#This Row],[Total]]+SamplingData[[#This Row],[Winning Candidate]]-SamplingData[[#This Row],[Losing Candidate]])/(SamplingData[[#Totals],[Winning Candidate]]-SamplingData[[#Totals],[Losing Candidate]]), 0)</f>
        <v>1.7454679078882901E-2</v>
      </c>
      <c r="L23" s="23">
        <f>IF(AND(SamplingData[[#This Row],[Total]]&lt;&gt; 0, NOT(ISBLANK(SamplingData[[#This Row],[Candidate 3]]))),(SamplingData[[#This Row],[Total]]+SamplingData[[#This Row],[Winning Candidate]]-SamplingData[[#This Row],[Candidate 3]])/(SamplingData[[#Totals],[Winning Candidate]]-SamplingData[[#Totals],[Candidate 3]]), 0)</f>
        <v>1.0259057328128528E-2</v>
      </c>
      <c r="M23" s="23">
        <f>IF(AND(SamplingData[[#This Row],[Total]]&lt;&gt; 0, NOT(ISBLANK(SamplingData[[#This Row],[Candidate 4]]))),(SamplingData[[#This Row],[Total]]+SamplingData[[#This Row],[Winning Candidate]]-SamplingData[[#This Row],[Candidate 4]])/(SamplingData[[#Totals],[Winning Candidate]]-SamplingData[[#Totals],[Candidate 4]]), 0)</f>
        <v>9.5004238650647499E-3</v>
      </c>
      <c r="N23" s="23">
        <f>IF(AND(SamplingData[[#This Row],[Total]]&lt;&gt; 0, NOT(ISBLANK(SamplingData[[#This Row],[Candidate 5]]))),(SamplingData[[#This Row],[Total]]+SamplingData[[#This Row],[Winning Candidate]]-SamplingData[[#This Row],[Candidate 5]])/(SamplingData[[#Totals],[Winning Candidate]]-SamplingData[[#Totals],[Candidate 5]]), 0)</f>
        <v>8.2218438336171245E-3</v>
      </c>
      <c r="O23" s="23">
        <f>IF(AND(SamplingData[[#This Row],[Total]]&lt;&gt; 0, NOT(ISBLANK(SamplingData[[#This Row],[Candidate 6]]))),(SamplingData[[#This Row],[Total]]+SamplingData[[#This Row],[Winning Candidate]]-SamplingData[[#This Row],[Candidate 6]])/(SamplingData[[#Totals],[Winning Candidate]]-SamplingData[[#Totals],[Candidate 6]]), 0)</f>
        <v>8.219444579543796E-3</v>
      </c>
      <c r="P23" s="23">
        <f>MAX(SamplingData[[#This Row],[Error Bound (up) - Max. possible relative overstatement - Losing Candidate]:[Error Bound (up) - Max. possible relative overstatement - Candidate 6]])</f>
        <v>1.7454679078882901E-2</v>
      </c>
      <c r="Q23" s="23">
        <f>IF(SamplingData[[#This Row],[Max Error Bound (up)]] = 0,0,SamplingData[[#This Row],[Max Error Bound (up)]]/SamplingData[[#Totals],[Max Error Bound (up)]])</f>
        <v>2.7624902593570621E-3</v>
      </c>
      <c r="R23" s="24">
        <f>SUM($Q$5:Q23)</f>
        <v>2.3621714954572496E-2</v>
      </c>
      <c r="S23" s="23" t="str">
        <f t="array" ref="S23">IF(SamplingData[[#This Row],[up/U Selection Probability]] = 0, "Zero", TEXT(SamplingData[[#This Row],[Lower Range]], REPT("0",LEN('General Info'!$B$40))) &amp; " - " &amp; TEXT(SamplingData[[#This Row],[Upper Range]], REPT("0",LEN('General Info'!$B$40))))</f>
        <v>02086 - 02361</v>
      </c>
      <c r="T23" s="23">
        <f>SamplingData[[#This Row],[Upper Range]]-SamplingData[[#This Row],[Span]]</f>
        <v>2085.9252320118026</v>
      </c>
      <c r="U23" s="23">
        <f>IF(ISNUMBER('General Info'!$B$40), ((SamplingData[[#This Row],[up/U Selection Probability]]) * 'General Info'!$B$40) - 1, 0)</f>
        <v>275.24626344544686</v>
      </c>
      <c r="V23" s="23">
        <f>IF(ISNUMBER('General Info'!$B$40), (SamplingData[[#This Row],[Running (cumulative) sum]] * ('General Info'!$B$40 -'General Info'!$B$41 + 1)) + 'General Info'!$B$41 - 1, 0)</f>
        <v>2361.1714954572494</v>
      </c>
      <c r="W23" s="23">
        <f>IF(ISERROR(MATCH(SamplingData[[#This Row],[Batch by Type (p)]],SelectedPrecincts[Batch Name], 0)), "", INDEX(SelectedPrecincts[Draw], MATCH(SamplingData[[#This Row],[Batch by Type (p)]],SelectedPrecincts[Batch Name], 0)))</f>
        <v>14</v>
      </c>
      <c r="X23" s="25">
        <f>IF(COUNTIF(SelectedPrecincts[Batch Name],SamplingData[[#This Row],[Batch by Type (p)]]) &lt;&gt; 0, COUNTIF(SelectedPrecincts[Batch Name],SamplingData[[#This Row],[Batch by Type (p)]]), 0)</f>
        <v>1</v>
      </c>
    </row>
    <row r="24" spans="1:24" ht="15" customHeight="1">
      <c r="A24" s="18" t="s">
        <v>200</v>
      </c>
      <c r="B24" s="18">
        <v>16</v>
      </c>
      <c r="C24" s="18">
        <v>39</v>
      </c>
      <c r="D24" s="18">
        <v>9</v>
      </c>
      <c r="E24" s="18">
        <v>0</v>
      </c>
      <c r="F24" s="18">
        <v>0</v>
      </c>
      <c r="G24" s="18">
        <v>0</v>
      </c>
      <c r="H24" s="18">
        <v>0</v>
      </c>
      <c r="I24" s="18">
        <v>2</v>
      </c>
      <c r="J24" s="22">
        <f>SUM(SamplingData[[#This Row],[Losing Candidate]:[Under Votes]])</f>
        <v>66</v>
      </c>
      <c r="K24" s="23">
        <f>IF(AND(SamplingData[[#This Row],[Total]]&lt;&gt; 0, NOT(ISBLANK(SamplingData[[#This Row],[Losing Candidate]]))),(SamplingData[[#This Row],[Total]]+SamplingData[[#This Row],[Winning Candidate]]-SamplingData[[#This Row],[Losing Candidate]])/(SamplingData[[#Totals],[Winning Candidate]]-SamplingData[[#Totals],[Losing Candidate]]), 0)</f>
        <v>5.4507594316511518E-3</v>
      </c>
      <c r="L24" s="23">
        <f>IF(AND(SamplingData[[#This Row],[Total]]&lt;&gt; 0, NOT(ISBLANK(SamplingData[[#This Row],[Candidate 3]]))),(SamplingData[[#This Row],[Total]]+SamplingData[[#This Row],[Winning Candidate]]-SamplingData[[#This Row],[Candidate 3]])/(SamplingData[[#Totals],[Winning Candidate]]-SamplingData[[#Totals],[Candidate 3]]), 0)</f>
        <v>3.0970739103784238E-3</v>
      </c>
      <c r="M24" s="23">
        <f>IF(AND(SamplingData[[#This Row],[Total]]&lt;&gt; 0, NOT(ISBLANK(SamplingData[[#This Row],[Candidate 4]]))),(SamplingData[[#This Row],[Total]]+SamplingData[[#This Row],[Winning Candidate]]-SamplingData[[#This Row],[Candidate 4]])/(SamplingData[[#Totals],[Winning Candidate]]-SamplingData[[#Totals],[Candidate 4]]), 0)</f>
        <v>3.0693677102516881E-3</v>
      </c>
      <c r="N24" s="23">
        <f>IF(AND(SamplingData[[#This Row],[Total]]&lt;&gt; 0, NOT(ISBLANK(SamplingData[[#This Row],[Candidate 5]]))),(SamplingData[[#This Row],[Total]]+SamplingData[[#This Row],[Winning Candidate]]-SamplingData[[#This Row],[Candidate 5]])/(SamplingData[[#Totals],[Winning Candidate]]-SamplingData[[#Totals],[Candidate 5]]), 0)</f>
        <v>2.5541230844076867E-3</v>
      </c>
      <c r="O24" s="23">
        <f>IF(AND(SamplingData[[#This Row],[Total]]&lt;&gt; 0, NOT(ISBLANK(SamplingData[[#This Row],[Candidate 6]]))),(SamplingData[[#This Row],[Total]]+SamplingData[[#This Row],[Winning Candidate]]-SamplingData[[#This Row],[Candidate 6]])/(SamplingData[[#Totals],[Winning Candidate]]-SamplingData[[#Totals],[Candidate 6]]), 0)</f>
        <v>2.5533777540002918E-3</v>
      </c>
      <c r="P24" s="23">
        <f>MAX(SamplingData[[#This Row],[Error Bound (up) - Max. possible relative overstatement - Losing Candidate]:[Error Bound (up) - Max. possible relative overstatement - Candidate 6]])</f>
        <v>5.4507594316511518E-3</v>
      </c>
      <c r="Q24" s="23">
        <f>IF(SamplingData[[#This Row],[Max Error Bound (up)]] = 0,0,SamplingData[[#This Row],[Max Error Bound (up)]]/SamplingData[[#Totals],[Max Error Bound (up)]])</f>
        <v>8.6267239678167911E-4</v>
      </c>
      <c r="R24" s="24">
        <f>SUM($Q$5:Q24)</f>
        <v>2.4484387351354175E-2</v>
      </c>
      <c r="S24" s="23" t="str">
        <f t="array" ref="S24">IF(SamplingData[[#This Row],[up/U Selection Probability]] = 0, "Zero", TEXT(SamplingData[[#This Row],[Lower Range]], REPT("0",LEN('General Info'!$B$40))) &amp; " - " &amp; TEXT(SamplingData[[#This Row],[Upper Range]], REPT("0",LEN('General Info'!$B$40))))</f>
        <v>02362 - 02447</v>
      </c>
      <c r="T24" s="23">
        <f>SamplingData[[#This Row],[Upper Range]]-SamplingData[[#This Row],[Span]]</f>
        <v>2362.1723581296465</v>
      </c>
      <c r="U24" s="23">
        <f>IF(ISNUMBER('General Info'!$B$40), ((SamplingData[[#This Row],[up/U Selection Probability]]) * 'General Info'!$B$40) - 1, 0)</f>
        <v>85.266377005771133</v>
      </c>
      <c r="V24" s="23">
        <f>IF(ISNUMBER('General Info'!$B$40), (SamplingData[[#This Row],[Running (cumulative) sum]] * ('General Info'!$B$40 -'General Info'!$B$41 + 1)) + 'General Info'!$B$41 - 1, 0)</f>
        <v>2447.4387351354176</v>
      </c>
      <c r="W24" s="23" t="str">
        <f>IF(ISERROR(MATCH(SamplingData[[#This Row],[Batch by Type (p)]],SelectedPrecincts[Batch Name], 0)), "", INDEX(SelectedPrecincts[Draw], MATCH(SamplingData[[#This Row],[Batch by Type (p)]],SelectedPrecincts[Batch Name], 0)))</f>
        <v/>
      </c>
      <c r="X24" s="25">
        <f>IF(COUNTIF(SelectedPrecincts[Batch Name],SamplingData[[#This Row],[Batch by Type (p)]]) &lt;&gt; 0, COUNTIF(SelectedPrecincts[Batch Name],SamplingData[[#This Row],[Batch by Type (p)]]), 0)</f>
        <v>0</v>
      </c>
    </row>
    <row r="25" spans="1:24" ht="15" customHeight="1">
      <c r="A25" s="18" t="s">
        <v>201</v>
      </c>
      <c r="B25" s="18">
        <v>36</v>
      </c>
      <c r="C25" s="18">
        <v>130</v>
      </c>
      <c r="D25" s="16">
        <v>18</v>
      </c>
      <c r="E25" s="16">
        <v>8</v>
      </c>
      <c r="F25" s="37">
        <v>0</v>
      </c>
      <c r="G25" s="37">
        <v>0</v>
      </c>
      <c r="H25" s="16">
        <v>0</v>
      </c>
      <c r="I25" s="16">
        <v>1</v>
      </c>
      <c r="J25" s="22">
        <f>SUM(SamplingData[[#This Row],[Losing Candidate]:[Under Votes]])</f>
        <v>193</v>
      </c>
      <c r="K25" s="23">
        <f>IF(AND(SamplingData[[#This Row],[Total]]&lt;&gt; 0, NOT(ISBLANK(SamplingData[[#This Row],[Losing Candidate]]))),(SamplingData[[#This Row],[Total]]+SamplingData[[#This Row],[Winning Candidate]]-SamplingData[[#This Row],[Losing Candidate]])/(SamplingData[[#Totals],[Winning Candidate]]-SamplingData[[#Totals],[Losing Candidate]]), 0)</f>
        <v>1.757716805487506E-2</v>
      </c>
      <c r="L25" s="23">
        <f>IF(AND(SamplingData[[#This Row],[Total]]&lt;&gt; 0, NOT(ISBLANK(SamplingData[[#This Row],[Candidate 3]]))),(SamplingData[[#This Row],[Total]]+SamplingData[[#This Row],[Winning Candidate]]-SamplingData[[#This Row],[Candidate 3]])/(SamplingData[[#Totals],[Winning Candidate]]-SamplingData[[#Totals],[Candidate 3]]), 0)</f>
        <v>9.8396619027647843E-3</v>
      </c>
      <c r="M25" s="23">
        <f>IF(AND(SamplingData[[#This Row],[Total]]&lt;&gt; 0, NOT(ISBLANK(SamplingData[[#This Row],[Candidate 4]]))),(SamplingData[[#This Row],[Total]]+SamplingData[[#This Row],[Winning Candidate]]-SamplingData[[#This Row],[Candidate 4]])/(SamplingData[[#Totals],[Winning Candidate]]-SamplingData[[#Totals],[Candidate 4]]), 0)</f>
        <v>9.2081031307550652E-3</v>
      </c>
      <c r="N25" s="23">
        <f>IF(AND(SamplingData[[#This Row],[Total]]&lt;&gt; 0, NOT(ISBLANK(SamplingData[[#This Row],[Candidate 5]]))),(SamplingData[[#This Row],[Total]]+SamplingData[[#This Row],[Winning Candidate]]-SamplingData[[#This Row],[Candidate 5]])/(SamplingData[[#Totals],[Winning Candidate]]-SamplingData[[#Totals],[Candidate 5]]), 0)</f>
        <v>7.8569691072731696E-3</v>
      </c>
      <c r="O25" s="23">
        <f>IF(AND(SamplingData[[#This Row],[Total]]&lt;&gt; 0, NOT(ISBLANK(SamplingData[[#This Row],[Candidate 6]]))),(SamplingData[[#This Row],[Total]]+SamplingData[[#This Row],[Winning Candidate]]-SamplingData[[#This Row],[Candidate 6]])/(SamplingData[[#Totals],[Winning Candidate]]-SamplingData[[#Totals],[Candidate 6]]), 0)</f>
        <v>7.8546763289723265E-3</v>
      </c>
      <c r="P25" s="23">
        <f>MAX(SamplingData[[#This Row],[Error Bound (up) - Max. possible relative overstatement - Losing Candidate]:[Error Bound (up) - Max. possible relative overstatement - Candidate 6]])</f>
        <v>1.757716805487506E-2</v>
      </c>
      <c r="Q25" s="23">
        <f>IF(SamplingData[[#This Row],[Max Error Bound (up)]] = 0,0,SamplingData[[#This Row],[Max Error Bound (up)]]/SamplingData[[#Totals],[Max Error Bound (up)]])</f>
        <v>2.7818761559139536E-3</v>
      </c>
      <c r="R25" s="24">
        <f>SUM($Q$5:Q25)</f>
        <v>2.7266263507268129E-2</v>
      </c>
      <c r="S25" s="23" t="str">
        <f t="array" ref="S25">IF(SamplingData[[#This Row],[up/U Selection Probability]] = 0, "Zero", TEXT(SamplingData[[#This Row],[Lower Range]], REPT("0",LEN('General Info'!$B$40))) &amp; " - " &amp; TEXT(SamplingData[[#This Row],[Upper Range]], REPT("0",LEN('General Info'!$B$40))))</f>
        <v>02448 - 02726</v>
      </c>
      <c r="T25" s="23">
        <f>SamplingData[[#This Row],[Upper Range]]-SamplingData[[#This Row],[Span]]</f>
        <v>2448.4415170115735</v>
      </c>
      <c r="U25" s="23">
        <f>IF(ISNUMBER('General Info'!$B$40), ((SamplingData[[#This Row],[up/U Selection Probability]]) * 'General Info'!$B$40) - 1, 0)</f>
        <v>277.18483371523945</v>
      </c>
      <c r="V25" s="23">
        <f>IF(ISNUMBER('General Info'!$B$40), (SamplingData[[#This Row],[Running (cumulative) sum]] * ('General Info'!$B$40 -'General Info'!$B$41 + 1)) + 'General Info'!$B$41 - 1, 0)</f>
        <v>2725.6263507268131</v>
      </c>
      <c r="W25" s="23" t="str">
        <f>IF(ISERROR(MATCH(SamplingData[[#This Row],[Batch by Type (p)]],SelectedPrecincts[Batch Name], 0)), "", INDEX(SelectedPrecincts[Draw], MATCH(SamplingData[[#This Row],[Batch by Type (p)]],SelectedPrecincts[Batch Name], 0)))</f>
        <v/>
      </c>
      <c r="X25" s="25">
        <f>IF(COUNTIF(SelectedPrecincts[Batch Name],SamplingData[[#This Row],[Batch by Type (p)]]) &lt;&gt; 0, COUNTIF(SelectedPrecincts[Batch Name],SamplingData[[#This Row],[Batch by Type (p)]]), 0)</f>
        <v>0</v>
      </c>
    </row>
    <row r="26" spans="1:24" ht="15" customHeight="1">
      <c r="A26" s="18" t="s">
        <v>202</v>
      </c>
      <c r="B26" s="18">
        <v>17</v>
      </c>
      <c r="C26" s="18">
        <v>44</v>
      </c>
      <c r="D26" s="18">
        <v>5</v>
      </c>
      <c r="E26" s="18">
        <v>6</v>
      </c>
      <c r="F26" s="18">
        <v>0</v>
      </c>
      <c r="G26" s="18">
        <v>0</v>
      </c>
      <c r="H26" s="18">
        <v>0</v>
      </c>
      <c r="I26" s="18">
        <v>2</v>
      </c>
      <c r="J26" s="22">
        <f>SUM(SamplingData[[#This Row],[Losing Candidate]:[Under Votes]])</f>
        <v>74</v>
      </c>
      <c r="K26" s="23">
        <f>IF(AND(SamplingData[[#This Row],[Total]]&lt;&gt; 0, NOT(ISBLANK(SamplingData[[#This Row],[Losing Candidate]]))),(SamplingData[[#This Row],[Total]]+SamplingData[[#This Row],[Winning Candidate]]-SamplingData[[#This Row],[Losing Candidate]])/(SamplingData[[#Totals],[Winning Candidate]]-SamplingData[[#Totals],[Losing Candidate]]), 0)</f>
        <v>6.1856932876041158E-3</v>
      </c>
      <c r="L26" s="23">
        <f>IF(AND(SamplingData[[#This Row],[Total]]&lt;&gt; 0, NOT(ISBLANK(SamplingData[[#This Row],[Candidate 3]]))),(SamplingData[[#This Row],[Total]]+SamplingData[[#This Row],[Winning Candidate]]-SamplingData[[#This Row],[Candidate 3]])/(SamplingData[[#Totals],[Winning Candidate]]-SamplingData[[#Totals],[Candidate 3]]), 0)</f>
        <v>3.6455140820079363E-3</v>
      </c>
      <c r="M26" s="23">
        <f>IF(AND(SamplingData[[#This Row],[Total]]&lt;&gt; 0, NOT(ISBLANK(SamplingData[[#This Row],[Candidate 4]]))),(SamplingData[[#This Row],[Total]]+SamplingData[[#This Row],[Winning Candidate]]-SamplingData[[#This Row],[Candidate 4]])/(SamplingData[[#Totals],[Winning Candidate]]-SamplingData[[#Totals],[Candidate 4]]), 0)</f>
        <v>3.2739922242684674E-3</v>
      </c>
      <c r="N26" s="23">
        <f>IF(AND(SamplingData[[#This Row],[Total]]&lt;&gt; 0, NOT(ISBLANK(SamplingData[[#This Row],[Candidate 5]]))),(SamplingData[[#This Row],[Total]]+SamplingData[[#This Row],[Winning Candidate]]-SamplingData[[#This Row],[Candidate 5]])/(SamplingData[[#Totals],[Winning Candidate]]-SamplingData[[#Totals],[Candidate 5]]), 0)</f>
        <v>2.8703478472391145E-3</v>
      </c>
      <c r="O26" s="23">
        <f>IF(AND(SamplingData[[#This Row],[Total]]&lt;&gt; 0, NOT(ISBLANK(SamplingData[[#This Row],[Candidate 6]]))),(SamplingData[[#This Row],[Total]]+SamplingData[[#This Row],[Winning Candidate]]-SamplingData[[#This Row],[Candidate 6]])/(SamplingData[[#Totals],[Winning Candidate]]-SamplingData[[#Totals],[Candidate 6]]), 0)</f>
        <v>2.8695102378288994E-3</v>
      </c>
      <c r="P26" s="23">
        <f>MAX(SamplingData[[#This Row],[Error Bound (up) - Max. possible relative overstatement - Losing Candidate]:[Error Bound (up) - Max. possible relative overstatement - Candidate 6]])</f>
        <v>6.1856932876041158E-3</v>
      </c>
      <c r="Q26" s="23">
        <f>IF(SamplingData[[#This Row],[Max Error Bound (up)]] = 0,0,SamplingData[[#This Row],[Max Error Bound (up)]]/SamplingData[[#Totals],[Max Error Bound (up)]])</f>
        <v>9.7898777612302908E-4</v>
      </c>
      <c r="R26" s="24">
        <f>SUM($Q$5:Q26)</f>
        <v>2.8245251283391157E-2</v>
      </c>
      <c r="S26" s="23" t="str">
        <f t="array" ref="S26">IF(SamplingData[[#This Row],[up/U Selection Probability]] = 0, "Zero", TEXT(SamplingData[[#This Row],[Lower Range]], REPT("0",LEN('General Info'!$B$40))) &amp; " - " &amp; TEXT(SamplingData[[#This Row],[Upper Range]], REPT("0",LEN('General Info'!$B$40))))</f>
        <v>02727 - 02824</v>
      </c>
      <c r="T26" s="23">
        <f>SamplingData[[#This Row],[Upper Range]]-SamplingData[[#This Row],[Span]]</f>
        <v>2726.627329714589</v>
      </c>
      <c r="U26" s="23">
        <f>IF(ISNUMBER('General Info'!$B$40), ((SamplingData[[#This Row],[up/U Selection Probability]]) * 'General Info'!$B$40) - 1, 0)</f>
        <v>96.897798624526786</v>
      </c>
      <c r="V26" s="23">
        <f>IF(ISNUMBER('General Info'!$B$40), (SamplingData[[#This Row],[Running (cumulative) sum]] * ('General Info'!$B$40 -'General Info'!$B$41 + 1)) + 'General Info'!$B$41 - 1, 0)</f>
        <v>2823.5251283391158</v>
      </c>
      <c r="W26" s="23" t="str">
        <f>IF(ISERROR(MATCH(SamplingData[[#This Row],[Batch by Type (p)]],SelectedPrecincts[Batch Name], 0)), "", INDEX(SelectedPrecincts[Draw], MATCH(SamplingData[[#This Row],[Batch by Type (p)]],SelectedPrecincts[Batch Name], 0)))</f>
        <v/>
      </c>
      <c r="X26" s="25">
        <f>IF(COUNTIF(SelectedPrecincts[Batch Name],SamplingData[[#This Row],[Batch by Type (p)]]) &lt;&gt; 0, COUNTIF(SelectedPrecincts[Batch Name],SamplingData[[#This Row],[Batch by Type (p)]]), 0)</f>
        <v>0</v>
      </c>
    </row>
    <row r="27" spans="1:24" ht="15" customHeight="1">
      <c r="A27" s="18" t="s">
        <v>203</v>
      </c>
      <c r="B27" s="18">
        <v>53</v>
      </c>
      <c r="C27" s="18">
        <v>123</v>
      </c>
      <c r="D27" s="16">
        <v>28</v>
      </c>
      <c r="E27" s="16">
        <v>7</v>
      </c>
      <c r="F27" s="37">
        <v>0</v>
      </c>
      <c r="G27" s="37">
        <v>2</v>
      </c>
      <c r="H27" s="16">
        <v>1</v>
      </c>
      <c r="I27" s="16">
        <v>2</v>
      </c>
      <c r="J27" s="22">
        <f>SUM(SamplingData[[#This Row],[Losing Candidate]:[Under Votes]])</f>
        <v>216</v>
      </c>
      <c r="K27" s="23">
        <f>IF(AND(SamplingData[[#This Row],[Total]]&lt;&gt; 0, NOT(ISBLANK(SamplingData[[#This Row],[Losing Candidate]]))),(SamplingData[[#This Row],[Total]]+SamplingData[[#This Row],[Winning Candidate]]-SamplingData[[#This Row],[Losing Candidate]])/(SamplingData[[#Totals],[Winning Candidate]]-SamplingData[[#Totals],[Losing Candidate]]), 0)</f>
        <v>1.751592356687898E-2</v>
      </c>
      <c r="L27" s="23">
        <f>IF(AND(SamplingData[[#This Row],[Total]]&lt;&gt; 0, NOT(ISBLANK(SamplingData[[#This Row],[Candidate 3]]))),(SamplingData[[#This Row],[Total]]+SamplingData[[#This Row],[Winning Candidate]]-SamplingData[[#This Row],[Candidate 3]])/(SamplingData[[#Totals],[Winning Candidate]]-SamplingData[[#Totals],[Candidate 3]]), 0)</f>
        <v>1.0033229022163435E-2</v>
      </c>
      <c r="M27" s="23">
        <f>IF(AND(SamplingData[[#This Row],[Total]]&lt;&gt; 0, NOT(ISBLANK(SamplingData[[#This Row],[Candidate 4]]))),(SamplingData[[#This Row],[Total]]+SamplingData[[#This Row],[Winning Candidate]]-SamplingData[[#This Row],[Candidate 4]])/(SamplingData[[#Totals],[Winning Candidate]]-SamplingData[[#Totals],[Candidate 4]]), 0)</f>
        <v>9.7050483790815274E-3</v>
      </c>
      <c r="N27" s="23">
        <f>IF(AND(SamplingData[[#This Row],[Total]]&lt;&gt; 0, NOT(ISBLANK(SamplingData[[#This Row],[Candidate 5]]))),(SamplingData[[#This Row],[Total]]+SamplingData[[#This Row],[Winning Candidate]]-SamplingData[[#This Row],[Candidate 5]])/(SamplingData[[#Totals],[Winning Candidate]]-SamplingData[[#Totals],[Candidate 5]]), 0)</f>
        <v>8.2461688153733885E-3</v>
      </c>
      <c r="O27" s="23">
        <f>IF(AND(SamplingData[[#This Row],[Total]]&lt;&gt; 0, NOT(ISBLANK(SamplingData[[#This Row],[Candidate 6]]))),(SamplingData[[#This Row],[Total]]+SamplingData[[#This Row],[Winning Candidate]]-SamplingData[[#This Row],[Candidate 6]])/(SamplingData[[#Totals],[Winning Candidate]]-SamplingData[[#Totals],[Candidate 6]]), 0)</f>
        <v>8.195126696172365E-3</v>
      </c>
      <c r="P27" s="23">
        <f>MAX(SamplingData[[#This Row],[Error Bound (up) - Max. possible relative overstatement - Losing Candidate]:[Error Bound (up) - Max. possible relative overstatement - Candidate 6]])</f>
        <v>1.751592356687898E-2</v>
      </c>
      <c r="Q27" s="23">
        <f>IF(SamplingData[[#This Row],[Max Error Bound (up)]] = 0,0,SamplingData[[#This Row],[Max Error Bound (up)]]/SamplingData[[#Totals],[Max Error Bound (up)]])</f>
        <v>2.7721832076355079E-3</v>
      </c>
      <c r="R27" s="24">
        <f>SUM($Q$5:Q27)</f>
        <v>3.1017434491026664E-2</v>
      </c>
      <c r="S27" s="23" t="str">
        <f t="array" ref="S27">IF(SamplingData[[#This Row],[up/U Selection Probability]] = 0, "Zero", TEXT(SamplingData[[#This Row],[Lower Range]], REPT("0",LEN('General Info'!$B$40))) &amp; " - " &amp; TEXT(SamplingData[[#This Row],[Upper Range]], REPT("0",LEN('General Info'!$B$40))))</f>
        <v>02825 - 03101</v>
      </c>
      <c r="T27" s="23">
        <f>SamplingData[[#This Row],[Upper Range]]-SamplingData[[#This Row],[Span]]</f>
        <v>2824.5279005223233</v>
      </c>
      <c r="U27" s="23">
        <f>IF(ISNUMBER('General Info'!$B$40), ((SamplingData[[#This Row],[up/U Selection Probability]]) * 'General Info'!$B$40) - 1, 0)</f>
        <v>276.21554858034312</v>
      </c>
      <c r="V27" s="23">
        <f>IF(ISNUMBER('General Info'!$B$40), (SamplingData[[#This Row],[Running (cumulative) sum]] * ('General Info'!$B$40 -'General Info'!$B$41 + 1)) + 'General Info'!$B$41 - 1, 0)</f>
        <v>3100.7434491026665</v>
      </c>
      <c r="W27" s="23" t="str">
        <f>IF(ISERROR(MATCH(SamplingData[[#This Row],[Batch by Type (p)]],SelectedPrecincts[Batch Name], 0)), "", INDEX(SelectedPrecincts[Draw], MATCH(SamplingData[[#This Row],[Batch by Type (p)]],SelectedPrecincts[Batch Name], 0)))</f>
        <v/>
      </c>
      <c r="X27" s="25">
        <f>IF(COUNTIF(SelectedPrecincts[Batch Name],SamplingData[[#This Row],[Batch by Type (p)]]) &lt;&gt; 0, COUNTIF(SelectedPrecincts[Batch Name],SamplingData[[#This Row],[Batch by Type (p)]]), 0)</f>
        <v>0</v>
      </c>
    </row>
    <row r="28" spans="1:24" ht="15" customHeight="1">
      <c r="A28" s="18" t="s">
        <v>204</v>
      </c>
      <c r="B28" s="18">
        <v>16</v>
      </c>
      <c r="C28" s="18">
        <v>30</v>
      </c>
      <c r="D28" s="18">
        <v>5</v>
      </c>
      <c r="E28" s="18">
        <v>6</v>
      </c>
      <c r="F28" s="18">
        <v>0</v>
      </c>
      <c r="G28" s="18">
        <v>0</v>
      </c>
      <c r="H28" s="18">
        <v>0</v>
      </c>
      <c r="I28" s="18">
        <v>1</v>
      </c>
      <c r="J28" s="22">
        <f>SUM(SamplingData[[#This Row],[Losing Candidate]:[Under Votes]])</f>
        <v>58</v>
      </c>
      <c r="K28" s="23">
        <f>IF(AND(SamplingData[[#This Row],[Total]]&lt;&gt; 0, NOT(ISBLANK(SamplingData[[#This Row],[Losing Candidate]]))),(SamplingData[[#This Row],[Total]]+SamplingData[[#This Row],[Winning Candidate]]-SamplingData[[#This Row],[Losing Candidate]])/(SamplingData[[#Totals],[Winning Candidate]]-SamplingData[[#Totals],[Losing Candidate]]), 0)</f>
        <v>4.4096031357177858E-3</v>
      </c>
      <c r="L28" s="23">
        <f>IF(AND(SamplingData[[#This Row],[Total]]&lt;&gt; 0, NOT(ISBLANK(SamplingData[[#This Row],[Candidate 3]]))),(SamplingData[[#This Row],[Total]]+SamplingData[[#This Row],[Winning Candidate]]-SamplingData[[#This Row],[Candidate 3]])/(SamplingData[[#Totals],[Winning Candidate]]-SamplingData[[#Totals],[Candidate 3]]), 0)</f>
        <v>2.6776784850146788E-3</v>
      </c>
      <c r="M28" s="23">
        <f>IF(AND(SamplingData[[#This Row],[Total]]&lt;&gt; 0, NOT(ISBLANK(SamplingData[[#This Row],[Candidate 4]]))),(SamplingData[[#This Row],[Total]]+SamplingData[[#This Row],[Winning Candidate]]-SamplingData[[#This Row],[Candidate 4]])/(SamplingData[[#Totals],[Winning Candidate]]-SamplingData[[#Totals],[Candidate 4]]), 0)</f>
        <v>2.3970300213394134E-3</v>
      </c>
      <c r="N28" s="23">
        <f>IF(AND(SamplingData[[#This Row],[Total]]&lt;&gt; 0, NOT(ISBLANK(SamplingData[[#This Row],[Candidate 5]]))),(SamplingData[[#This Row],[Total]]+SamplingData[[#This Row],[Winning Candidate]]-SamplingData[[#This Row],[Candidate 5]])/(SamplingData[[#Totals],[Winning Candidate]]-SamplingData[[#Totals],[Candidate 5]]), 0)</f>
        <v>2.1405983945512043E-3</v>
      </c>
      <c r="O28" s="23">
        <f>IF(AND(SamplingData[[#This Row],[Total]]&lt;&gt; 0, NOT(ISBLANK(SamplingData[[#This Row],[Candidate 6]]))),(SamplingData[[#This Row],[Total]]+SamplingData[[#This Row],[Winning Candidate]]-SamplingData[[#This Row],[Candidate 6]])/(SamplingData[[#Totals],[Winning Candidate]]-SamplingData[[#Totals],[Candidate 6]]), 0)</f>
        <v>2.1399737366859586E-3</v>
      </c>
      <c r="P28" s="23">
        <f>MAX(SamplingData[[#This Row],[Error Bound (up) - Max. possible relative overstatement - Losing Candidate]:[Error Bound (up) - Max. possible relative overstatement - Candidate 6]])</f>
        <v>4.4096031357177858E-3</v>
      </c>
      <c r="Q28" s="23">
        <f>IF(SamplingData[[#This Row],[Max Error Bound (up)]] = 0,0,SamplingData[[#This Row],[Max Error Bound (up)]]/SamplingData[[#Totals],[Max Error Bound (up)]])</f>
        <v>6.9789227604809994E-4</v>
      </c>
      <c r="R28" s="24">
        <f>SUM($Q$5:Q28)</f>
        <v>3.1715326767074767E-2</v>
      </c>
      <c r="S28" s="23" t="str">
        <f t="array" ref="S28">IF(SamplingData[[#This Row],[up/U Selection Probability]] = 0, "Zero", TEXT(SamplingData[[#This Row],[Lower Range]], REPT("0",LEN('General Info'!$B$40))) &amp; " - " &amp; TEXT(SamplingData[[#This Row],[Upper Range]], REPT("0",LEN('General Info'!$B$40))))</f>
        <v>03102 - 03171</v>
      </c>
      <c r="T28" s="23">
        <f>SamplingData[[#This Row],[Upper Range]]-SamplingData[[#This Row],[Span]]</f>
        <v>3101.7441469949426</v>
      </c>
      <c r="U28" s="23">
        <f>IF(ISNUMBER('General Info'!$B$40), ((SamplingData[[#This Row],[up/U Selection Probability]]) * 'General Info'!$B$40) - 1, 0)</f>
        <v>68.788529712533943</v>
      </c>
      <c r="V28" s="23">
        <f>IF(ISNUMBER('General Info'!$B$40), (SamplingData[[#This Row],[Running (cumulative) sum]] * ('General Info'!$B$40 -'General Info'!$B$41 + 1)) + 'General Info'!$B$41 - 1, 0)</f>
        <v>3170.5326767074766</v>
      </c>
      <c r="W28" s="23" t="str">
        <f>IF(ISERROR(MATCH(SamplingData[[#This Row],[Batch by Type (p)]],SelectedPrecincts[Batch Name], 0)), "", INDEX(SelectedPrecincts[Draw], MATCH(SamplingData[[#This Row],[Batch by Type (p)]],SelectedPrecincts[Batch Name], 0)))</f>
        <v/>
      </c>
      <c r="X28" s="25">
        <f>IF(COUNTIF(SelectedPrecincts[Batch Name],SamplingData[[#This Row],[Batch by Type (p)]]) &lt;&gt; 0, COUNTIF(SelectedPrecincts[Batch Name],SamplingData[[#This Row],[Batch by Type (p)]]), 0)</f>
        <v>0</v>
      </c>
    </row>
    <row r="29" spans="1:24" ht="15" customHeight="1">
      <c r="A29" s="18" t="s">
        <v>205</v>
      </c>
      <c r="B29" s="18">
        <v>12</v>
      </c>
      <c r="C29" s="18">
        <v>60</v>
      </c>
      <c r="D29" s="16">
        <v>4</v>
      </c>
      <c r="E29" s="16">
        <v>6</v>
      </c>
      <c r="F29" s="37">
        <v>0</v>
      </c>
      <c r="G29" s="37">
        <v>0</v>
      </c>
      <c r="H29" s="16">
        <v>0</v>
      </c>
      <c r="I29" s="16">
        <v>3</v>
      </c>
      <c r="J29" s="22">
        <f>SUM(SamplingData[[#This Row],[Losing Candidate]:[Under Votes]])</f>
        <v>85</v>
      </c>
      <c r="K29" s="23">
        <f>IF(AND(SamplingData[[#This Row],[Total]]&lt;&gt; 0, NOT(ISBLANK(SamplingData[[#This Row],[Losing Candidate]]))),(SamplingData[[#This Row],[Total]]+SamplingData[[#This Row],[Winning Candidate]]-SamplingData[[#This Row],[Losing Candidate]])/(SamplingData[[#Totals],[Winning Candidate]]-SamplingData[[#Totals],[Losing Candidate]]), 0)</f>
        <v>8.1455169034786862E-3</v>
      </c>
      <c r="L29" s="23">
        <f>IF(AND(SamplingData[[#This Row],[Total]]&lt;&gt; 0, NOT(ISBLANK(SamplingData[[#This Row],[Candidate 3]]))),(SamplingData[[#This Row],[Total]]+SamplingData[[#This Row],[Winning Candidate]]-SamplingData[[#This Row],[Candidate 3]])/(SamplingData[[#Totals],[Winning Candidate]]-SamplingData[[#Totals],[Candidate 3]]), 0)</f>
        <v>4.5488273058683099E-3</v>
      </c>
      <c r="M29" s="23">
        <f>IF(AND(SamplingData[[#This Row],[Total]]&lt;&gt; 0, NOT(ISBLANK(SamplingData[[#This Row],[Candidate 4]]))),(SamplingData[[#This Row],[Total]]+SamplingData[[#This Row],[Winning Candidate]]-SamplingData[[#This Row],[Candidate 4]])/(SamplingData[[#Totals],[Winning Candidate]]-SamplingData[[#Totals],[Candidate 4]]), 0)</f>
        <v>4.063258206904616E-3</v>
      </c>
      <c r="N29" s="23">
        <f>IF(AND(SamplingData[[#This Row],[Total]]&lt;&gt; 0, NOT(ISBLANK(SamplingData[[#This Row],[Candidate 5]]))),(SamplingData[[#This Row],[Total]]+SamplingData[[#This Row],[Winning Candidate]]-SamplingData[[#This Row],[Candidate 5]])/(SamplingData[[#Totals],[Winning Candidate]]-SamplingData[[#Totals],[Candidate 5]]), 0)</f>
        <v>3.5271223546582339E-3</v>
      </c>
      <c r="O29" s="23">
        <f>IF(AND(SamplingData[[#This Row],[Total]]&lt;&gt; 0, NOT(ISBLANK(SamplingData[[#This Row],[Candidate 6]]))),(SamplingData[[#This Row],[Total]]+SamplingData[[#This Row],[Winning Candidate]]-SamplingData[[#This Row],[Candidate 6]])/(SamplingData[[#Totals],[Winning Candidate]]-SamplingData[[#Totals],[Candidate 6]]), 0)</f>
        <v>3.526093088857546E-3</v>
      </c>
      <c r="P29" s="23">
        <f>MAX(SamplingData[[#This Row],[Error Bound (up) - Max. possible relative overstatement - Losing Candidate]:[Error Bound (up) - Max. possible relative overstatement - Candidate 6]])</f>
        <v>8.1455169034786862E-3</v>
      </c>
      <c r="Q29" s="23">
        <f>IF(SamplingData[[#This Row],[Max Error Bound (up)]] = 0,0,SamplingData[[#This Row],[Max Error Bound (up)]]/SamplingData[[#Totals],[Max Error Bound (up)]])</f>
        <v>1.2891621210332955E-3</v>
      </c>
      <c r="R29" s="24">
        <f>SUM($Q$5:Q29)</f>
        <v>3.3004488888108065E-2</v>
      </c>
      <c r="S29" s="23" t="str">
        <f t="array" ref="S29">IF(SamplingData[[#This Row],[up/U Selection Probability]] = 0, "Zero", TEXT(SamplingData[[#This Row],[Lower Range]], REPT("0",LEN('General Info'!$B$40))) &amp; " - " &amp; TEXT(SamplingData[[#This Row],[Upper Range]], REPT("0",LEN('General Info'!$B$40))))</f>
        <v>03172 - 03299</v>
      </c>
      <c r="T29" s="23">
        <f>SamplingData[[#This Row],[Upper Range]]-SamplingData[[#This Row],[Span]]</f>
        <v>3171.533965869598</v>
      </c>
      <c r="U29" s="23">
        <f>IF(ISNUMBER('General Info'!$B$40), ((SamplingData[[#This Row],[up/U Selection Probability]]) * 'General Info'!$B$40) - 1, 0)</f>
        <v>127.91492294120852</v>
      </c>
      <c r="V29" s="23">
        <f>IF(ISNUMBER('General Info'!$B$40), (SamplingData[[#This Row],[Running (cumulative) sum]] * ('General Info'!$B$40 -'General Info'!$B$41 + 1)) + 'General Info'!$B$41 - 1, 0)</f>
        <v>3299.4488888108067</v>
      </c>
      <c r="W29" s="23" t="str">
        <f>IF(ISERROR(MATCH(SamplingData[[#This Row],[Batch by Type (p)]],SelectedPrecincts[Batch Name], 0)), "", INDEX(SelectedPrecincts[Draw], MATCH(SamplingData[[#This Row],[Batch by Type (p)]],SelectedPrecincts[Batch Name], 0)))</f>
        <v/>
      </c>
      <c r="X29" s="25">
        <f>IF(COUNTIF(SelectedPrecincts[Batch Name],SamplingData[[#This Row],[Batch by Type (p)]]) &lt;&gt; 0, COUNTIF(SelectedPrecincts[Batch Name],SamplingData[[#This Row],[Batch by Type (p)]]), 0)</f>
        <v>0</v>
      </c>
    </row>
    <row r="30" spans="1:24" ht="15" customHeight="1">
      <c r="A30" s="18" t="s">
        <v>206</v>
      </c>
      <c r="B30" s="18">
        <v>5</v>
      </c>
      <c r="C30" s="18">
        <v>14</v>
      </c>
      <c r="D30" s="18">
        <v>4</v>
      </c>
      <c r="E30" s="18">
        <v>0</v>
      </c>
      <c r="F30" s="18">
        <v>0</v>
      </c>
      <c r="G30" s="18">
        <v>0</v>
      </c>
      <c r="H30" s="18">
        <v>0</v>
      </c>
      <c r="I30" s="18">
        <v>0</v>
      </c>
      <c r="J30" s="22">
        <f>SUM(SamplingData[[#This Row],[Losing Candidate]:[Under Votes]])</f>
        <v>23</v>
      </c>
      <c r="K30" s="23">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30" s="23">
        <f>IF(AND(SamplingData[[#This Row],[Total]]&lt;&gt; 0, NOT(ISBLANK(SamplingData[[#This Row],[Candidate 3]]))),(SamplingData[[#This Row],[Total]]+SamplingData[[#This Row],[Winning Candidate]]-SamplingData[[#This Row],[Candidate 3]])/(SamplingData[[#Totals],[Winning Candidate]]-SamplingData[[#Totals],[Candidate 3]]), 0)</f>
        <v>1.0646191566925831E-3</v>
      </c>
      <c r="M30" s="23">
        <f>IF(AND(SamplingData[[#This Row],[Total]]&lt;&gt; 0, NOT(ISBLANK(SamplingData[[#This Row],[Candidate 4]]))),(SamplingData[[#This Row],[Total]]+SamplingData[[#This Row],[Winning Candidate]]-SamplingData[[#This Row],[Candidate 4]])/(SamplingData[[#Totals],[Winning Candidate]]-SamplingData[[#Totals],[Candidate 4]]), 0)</f>
        <v>1.081586716945833E-3</v>
      </c>
      <c r="N30" s="23">
        <f>IF(AND(SamplingData[[#This Row],[Total]]&lt;&gt; 0, NOT(ISBLANK(SamplingData[[#This Row],[Candidate 5]]))),(SamplingData[[#This Row],[Total]]+SamplingData[[#This Row],[Winning Candidate]]-SamplingData[[#This Row],[Candidate 5]])/(SamplingData[[#Totals],[Winning Candidate]]-SamplingData[[#Totals],[Candidate 5]]), 0)</f>
        <v>9.0002432498175627E-4</v>
      </c>
      <c r="O30" s="23">
        <f>IF(AND(SamplingData[[#This Row],[Total]]&lt;&gt; 0, NOT(ISBLANK(SamplingData[[#This Row],[Candidate 6]]))),(SamplingData[[#This Row],[Total]]+SamplingData[[#This Row],[Winning Candidate]]-SamplingData[[#This Row],[Candidate 6]])/(SamplingData[[#Totals],[Winning Candidate]]-SamplingData[[#Totals],[Candidate 6]]), 0)</f>
        <v>8.9976168474295993E-4</v>
      </c>
      <c r="P30" s="23">
        <f>MAX(SamplingData[[#This Row],[Error Bound (up) - Max. possible relative overstatement - Losing Candidate]:[Error Bound (up) - Max. possible relative overstatement - Candidate 6]])</f>
        <v>1.9598236158745713E-3</v>
      </c>
      <c r="Q30" s="23">
        <f>IF(SamplingData[[#This Row],[Max Error Bound (up)]] = 0,0,SamplingData[[#This Row],[Max Error Bound (up)]]/SamplingData[[#Totals],[Max Error Bound (up)]])</f>
        <v>3.1017434491026661E-4</v>
      </c>
      <c r="R30" s="24">
        <f>SUM($Q$5:Q30)</f>
        <v>3.3314663233018328E-2</v>
      </c>
      <c r="S30" s="23" t="str">
        <f t="array" ref="S30">IF(SamplingData[[#This Row],[up/U Selection Probability]] = 0, "Zero", TEXT(SamplingData[[#This Row],[Lower Range]], REPT("0",LEN('General Info'!$B$40))) &amp; " - " &amp; TEXT(SamplingData[[#This Row],[Upper Range]], REPT("0",LEN('General Info'!$B$40))))</f>
        <v>03300 - 03330</v>
      </c>
      <c r="T30" s="23">
        <f>SamplingData[[#This Row],[Upper Range]]-SamplingData[[#This Row],[Span]]</f>
        <v>3300.4491989851508</v>
      </c>
      <c r="U30" s="23">
        <f>IF(ISNUMBER('General Info'!$B$40), ((SamplingData[[#This Row],[up/U Selection Probability]]) * 'General Info'!$B$40) - 1, 0)</f>
        <v>30.017124316681752</v>
      </c>
      <c r="V30" s="23">
        <f>IF(ISNUMBER('General Info'!$B$40), (SamplingData[[#This Row],[Running (cumulative) sum]] * ('General Info'!$B$40 -'General Info'!$B$41 + 1)) + 'General Info'!$B$41 - 1, 0)</f>
        <v>3330.4663233018327</v>
      </c>
      <c r="W30" s="23" t="str">
        <f>IF(ISERROR(MATCH(SamplingData[[#This Row],[Batch by Type (p)]],SelectedPrecincts[Batch Name], 0)), "", INDEX(SelectedPrecincts[Draw], MATCH(SamplingData[[#This Row],[Batch by Type (p)]],SelectedPrecincts[Batch Name], 0)))</f>
        <v/>
      </c>
      <c r="X30" s="25">
        <f>IF(COUNTIF(SelectedPrecincts[Batch Name],SamplingData[[#This Row],[Batch by Type (p)]]) &lt;&gt; 0, COUNTIF(SelectedPrecincts[Batch Name],SamplingData[[#This Row],[Batch by Type (p)]]), 0)</f>
        <v>0</v>
      </c>
    </row>
    <row r="31" spans="1:24" ht="15" customHeight="1">
      <c r="A31" s="18" t="s">
        <v>207</v>
      </c>
      <c r="B31" s="18">
        <v>13</v>
      </c>
      <c r="C31" s="18">
        <v>70</v>
      </c>
      <c r="D31" s="16">
        <v>10</v>
      </c>
      <c r="E31" s="16">
        <v>3</v>
      </c>
      <c r="F31" s="37">
        <v>0</v>
      </c>
      <c r="G31" s="37">
        <v>0</v>
      </c>
      <c r="H31" s="16">
        <v>0</v>
      </c>
      <c r="I31" s="16">
        <v>1</v>
      </c>
      <c r="J31" s="22">
        <f>SUM(SamplingData[[#This Row],[Losing Candidate]:[Under Votes]])</f>
        <v>97</v>
      </c>
      <c r="K31" s="23">
        <f>IF(AND(SamplingData[[#This Row],[Total]]&lt;&gt; 0, NOT(ISBLANK(SamplingData[[#This Row],[Losing Candidate]]))),(SamplingData[[#This Row],[Total]]+SamplingData[[#This Row],[Winning Candidate]]-SamplingData[[#This Row],[Losing Candidate]])/(SamplingData[[#Totals],[Winning Candidate]]-SamplingData[[#Totals],[Losing Candidate]]), 0)</f>
        <v>9.4316511513963738E-3</v>
      </c>
      <c r="L31" s="23">
        <f>IF(AND(SamplingData[[#This Row],[Total]]&lt;&gt; 0, NOT(ISBLANK(SamplingData[[#This Row],[Candidate 3]]))),(SamplingData[[#This Row],[Total]]+SamplingData[[#This Row],[Winning Candidate]]-SamplingData[[#This Row],[Candidate 3]])/(SamplingData[[#Totals],[Winning Candidate]]-SamplingData[[#Totals],[Candidate 3]]), 0)</f>
        <v>5.0650062909313801E-3</v>
      </c>
      <c r="M31" s="23">
        <f>IF(AND(SamplingData[[#This Row],[Total]]&lt;&gt; 0, NOT(ISBLANK(SamplingData[[#This Row],[Candidate 4]]))),(SamplingData[[#This Row],[Total]]+SamplingData[[#This Row],[Winning Candidate]]-SamplingData[[#This Row],[Candidate 4]])/(SamplingData[[#Totals],[Winning Candidate]]-SamplingData[[#Totals],[Candidate 4]]), 0)</f>
        <v>4.7940600426788268E-3</v>
      </c>
      <c r="N31" s="23">
        <f>IF(AND(SamplingData[[#This Row],[Total]]&lt;&gt; 0, NOT(ISBLANK(SamplingData[[#This Row],[Candidate 5]]))),(SamplingData[[#This Row],[Total]]+SamplingData[[#This Row],[Winning Candidate]]-SamplingData[[#This Row],[Candidate 5]])/(SamplingData[[#Totals],[Winning Candidate]]-SamplingData[[#Totals],[Candidate 5]]), 0)</f>
        <v>4.0622719532960351E-3</v>
      </c>
      <c r="O31" s="23">
        <f>IF(AND(SamplingData[[#This Row],[Total]]&lt;&gt; 0, NOT(ISBLANK(SamplingData[[#This Row],[Candidate 6]]))),(SamplingData[[#This Row],[Total]]+SamplingData[[#This Row],[Winning Candidate]]-SamplingData[[#This Row],[Candidate 6]])/(SamplingData[[#Totals],[Winning Candidate]]-SamplingData[[#Totals],[Candidate 6]]), 0)</f>
        <v>4.0610865230290352E-3</v>
      </c>
      <c r="P31" s="23">
        <f>MAX(SamplingData[[#This Row],[Error Bound (up) - Max. possible relative overstatement - Losing Candidate]:[Error Bound (up) - Max. possible relative overstatement - Candidate 6]])</f>
        <v>9.4316511513963738E-3</v>
      </c>
      <c r="Q31" s="23">
        <f>IF(SamplingData[[#This Row],[Max Error Bound (up)]] = 0,0,SamplingData[[#This Row],[Max Error Bound (up)]]/SamplingData[[#Totals],[Max Error Bound (up)]])</f>
        <v>1.4927140348806581E-3</v>
      </c>
      <c r="R31" s="24">
        <f>SUM($Q$5:Q31)</f>
        <v>3.4807377267898988E-2</v>
      </c>
      <c r="S31" s="23" t="str">
        <f t="array" ref="S31">IF(SamplingData[[#This Row],[up/U Selection Probability]] = 0, "Zero", TEXT(SamplingData[[#This Row],[Lower Range]], REPT("0",LEN('General Info'!$B$40))) &amp; " - " &amp; TEXT(SamplingData[[#This Row],[Upper Range]], REPT("0",LEN('General Info'!$B$40))))</f>
        <v>03331 - 03480</v>
      </c>
      <c r="T31" s="23">
        <f>SamplingData[[#This Row],[Upper Range]]-SamplingData[[#This Row],[Span]]</f>
        <v>3331.4678160158678</v>
      </c>
      <c r="U31" s="23">
        <f>IF(ISNUMBER('General Info'!$B$40), ((SamplingData[[#This Row],[up/U Selection Probability]]) * 'General Info'!$B$40) - 1, 0)</f>
        <v>148.26991077403093</v>
      </c>
      <c r="V31" s="23">
        <f>IF(ISNUMBER('General Info'!$B$40), (SamplingData[[#This Row],[Running (cumulative) sum]] * ('General Info'!$B$40 -'General Info'!$B$41 + 1)) + 'General Info'!$B$41 - 1, 0)</f>
        <v>3479.7377267898987</v>
      </c>
      <c r="W31" s="23" t="str">
        <f>IF(ISERROR(MATCH(SamplingData[[#This Row],[Batch by Type (p)]],SelectedPrecincts[Batch Name], 0)), "", INDEX(SelectedPrecincts[Draw], MATCH(SamplingData[[#This Row],[Batch by Type (p)]],SelectedPrecincts[Batch Name], 0)))</f>
        <v/>
      </c>
      <c r="X31" s="25">
        <f>IF(COUNTIF(SelectedPrecincts[Batch Name],SamplingData[[#This Row],[Batch by Type (p)]]) &lt;&gt; 0, COUNTIF(SelectedPrecincts[Batch Name],SamplingData[[#This Row],[Batch by Type (p)]]), 0)</f>
        <v>0</v>
      </c>
    </row>
    <row r="32" spans="1:24" ht="15" customHeight="1">
      <c r="A32" s="18" t="s">
        <v>208</v>
      </c>
      <c r="B32" s="18">
        <v>6</v>
      </c>
      <c r="C32" s="18">
        <v>11</v>
      </c>
      <c r="D32" s="18">
        <v>8</v>
      </c>
      <c r="E32" s="18">
        <v>1</v>
      </c>
      <c r="F32" s="18">
        <v>0</v>
      </c>
      <c r="G32" s="18">
        <v>0</v>
      </c>
      <c r="H32" s="18">
        <v>0</v>
      </c>
      <c r="I32" s="18">
        <v>0</v>
      </c>
      <c r="J32" s="22">
        <f>SUM(SamplingData[[#This Row],[Losing Candidate]:[Under Votes]])</f>
        <v>26</v>
      </c>
      <c r="K32" s="23">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32" s="23">
        <f>IF(AND(SamplingData[[#This Row],[Total]]&lt;&gt; 0, NOT(ISBLANK(SamplingData[[#This Row],[Candidate 3]]))),(SamplingData[[#This Row],[Total]]+SamplingData[[#This Row],[Winning Candidate]]-SamplingData[[#This Row],[Candidate 3]])/(SamplingData[[#Totals],[Winning Candidate]]-SamplingData[[#Totals],[Candidate 3]]), 0)</f>
        <v>9.3557441042681547E-4</v>
      </c>
      <c r="M32" s="23">
        <f>IF(AND(SamplingData[[#This Row],[Total]]&lt;&gt; 0, NOT(ISBLANK(SamplingData[[#This Row],[Candidate 4]]))),(SamplingData[[#This Row],[Total]]+SamplingData[[#This Row],[Winning Candidate]]-SamplingData[[#This Row],[Candidate 4]])/(SamplingData[[#Totals],[Winning Candidate]]-SamplingData[[#Totals],[Candidate 4]]), 0)</f>
        <v>1.0523546435148646E-3</v>
      </c>
      <c r="N32" s="23">
        <f>IF(AND(SamplingData[[#This Row],[Total]]&lt;&gt; 0, NOT(ISBLANK(SamplingData[[#This Row],[Candidate 5]]))),(SamplingData[[#This Row],[Total]]+SamplingData[[#This Row],[Winning Candidate]]-SamplingData[[#This Row],[Candidate 5]])/(SamplingData[[#Totals],[Winning Candidate]]-SamplingData[[#Totals],[Candidate 5]]), 0)</f>
        <v>9.0002432498175627E-4</v>
      </c>
      <c r="O32" s="23">
        <f>IF(AND(SamplingData[[#This Row],[Total]]&lt;&gt; 0, NOT(ISBLANK(SamplingData[[#This Row],[Candidate 6]]))),(SamplingData[[#This Row],[Total]]+SamplingData[[#This Row],[Winning Candidate]]-SamplingData[[#This Row],[Candidate 6]])/(SamplingData[[#Totals],[Winning Candidate]]-SamplingData[[#Totals],[Candidate 6]]), 0)</f>
        <v>8.9976168474295993E-4</v>
      </c>
      <c r="P32" s="23">
        <f>MAX(SamplingData[[#This Row],[Error Bound (up) - Max. possible relative overstatement - Losing Candidate]:[Error Bound (up) - Max. possible relative overstatement - Candidate 6]])</f>
        <v>1.8985791278784908E-3</v>
      </c>
      <c r="Q32" s="23">
        <f>IF(SamplingData[[#This Row],[Max Error Bound (up)]] = 0,0,SamplingData[[#This Row],[Max Error Bound (up)]]/SamplingData[[#Totals],[Max Error Bound (up)]])</f>
        <v>3.0048139663182077E-4</v>
      </c>
      <c r="R32" s="24">
        <f>SUM($Q$5:Q32)</f>
        <v>3.5107858664530811E-2</v>
      </c>
      <c r="S32" s="23" t="str">
        <f t="array" ref="S32">IF(SamplingData[[#This Row],[up/U Selection Probability]] = 0, "Zero", TEXT(SamplingData[[#This Row],[Lower Range]], REPT("0",LEN('General Info'!$B$40))) &amp; " - " &amp; TEXT(SamplingData[[#This Row],[Upper Range]], REPT("0",LEN('General Info'!$B$40))))</f>
        <v>03481 - 03510</v>
      </c>
      <c r="T32" s="23">
        <f>SamplingData[[#This Row],[Upper Range]]-SamplingData[[#This Row],[Span]]</f>
        <v>3480.7380272712958</v>
      </c>
      <c r="U32" s="23">
        <f>IF(ISNUMBER('General Info'!$B$40), ((SamplingData[[#This Row],[up/U Selection Probability]]) * 'General Info'!$B$40) - 1, 0)</f>
        <v>29.047839181785445</v>
      </c>
      <c r="V32" s="23">
        <f>IF(ISNUMBER('General Info'!$B$40), (SamplingData[[#This Row],[Running (cumulative) sum]] * ('General Info'!$B$40 -'General Info'!$B$41 + 1)) + 'General Info'!$B$41 - 1, 0)</f>
        <v>3509.7858664530813</v>
      </c>
      <c r="W32" s="23" t="str">
        <f>IF(ISERROR(MATCH(SamplingData[[#This Row],[Batch by Type (p)]],SelectedPrecincts[Batch Name], 0)), "", INDEX(SelectedPrecincts[Draw], MATCH(SamplingData[[#This Row],[Batch by Type (p)]],SelectedPrecincts[Batch Name], 0)))</f>
        <v/>
      </c>
      <c r="X32" s="25">
        <f>IF(COUNTIF(SelectedPrecincts[Batch Name],SamplingData[[#This Row],[Batch by Type (p)]]) &lt;&gt; 0, COUNTIF(SelectedPrecincts[Batch Name],SamplingData[[#This Row],[Batch by Type (p)]]), 0)</f>
        <v>0</v>
      </c>
    </row>
    <row r="33" spans="1:24" ht="15" customHeight="1">
      <c r="A33" s="18" t="s">
        <v>209</v>
      </c>
      <c r="B33" s="18">
        <v>7</v>
      </c>
      <c r="C33" s="18">
        <v>60</v>
      </c>
      <c r="D33" s="16">
        <v>8</v>
      </c>
      <c r="E33" s="16">
        <v>2</v>
      </c>
      <c r="F33" s="37">
        <v>0</v>
      </c>
      <c r="G33" s="37">
        <v>0</v>
      </c>
      <c r="H33" s="16">
        <v>0</v>
      </c>
      <c r="I33" s="16">
        <v>0</v>
      </c>
      <c r="J33" s="22">
        <f>SUM(SamplingData[[#This Row],[Losing Candidate]:[Under Votes]])</f>
        <v>77</v>
      </c>
      <c r="K33" s="23">
        <f>IF(AND(SamplingData[[#This Row],[Total]]&lt;&gt; 0, NOT(ISBLANK(SamplingData[[#This Row],[Losing Candidate]]))),(SamplingData[[#This Row],[Total]]+SamplingData[[#This Row],[Winning Candidate]]-SamplingData[[#This Row],[Losing Candidate]])/(SamplingData[[#Totals],[Winning Candidate]]-SamplingData[[#Totals],[Losing Candidate]]), 0)</f>
        <v>7.9617834394904458E-3</v>
      </c>
      <c r="L33" s="23">
        <f>IF(AND(SamplingData[[#This Row],[Total]]&lt;&gt; 0, NOT(ISBLANK(SamplingData[[#This Row],[Candidate 3]]))),(SamplingData[[#This Row],[Total]]+SamplingData[[#This Row],[Winning Candidate]]-SamplingData[[#This Row],[Candidate 3]])/(SamplingData[[#Totals],[Winning Candidate]]-SamplingData[[#Totals],[Candidate 3]]), 0)</f>
        <v>4.1616930670710069E-3</v>
      </c>
      <c r="M33" s="23">
        <f>IF(AND(SamplingData[[#This Row],[Total]]&lt;&gt; 0, NOT(ISBLANK(SamplingData[[#This Row],[Candidate 4]]))),(SamplingData[[#This Row],[Total]]+SamplingData[[#This Row],[Winning Candidate]]-SamplingData[[#This Row],[Candidate 4]])/(SamplingData[[#Totals],[Winning Candidate]]-SamplingData[[#Totals],[Candidate 4]]), 0)</f>
        <v>3.9463299131807421E-3</v>
      </c>
      <c r="N33" s="23">
        <f>IF(AND(SamplingData[[#This Row],[Total]]&lt;&gt; 0, NOT(ISBLANK(SamplingData[[#This Row],[Candidate 5]]))),(SamplingData[[#This Row],[Total]]+SamplingData[[#This Row],[Winning Candidate]]-SamplingData[[#This Row],[Candidate 5]])/(SamplingData[[#Totals],[Winning Candidate]]-SamplingData[[#Totals],[Candidate 5]]), 0)</f>
        <v>3.3325225006081245E-3</v>
      </c>
      <c r="O33" s="23">
        <f>IF(AND(SamplingData[[#This Row],[Total]]&lt;&gt; 0, NOT(ISBLANK(SamplingData[[#This Row],[Candidate 6]]))),(SamplingData[[#This Row],[Total]]+SamplingData[[#This Row],[Winning Candidate]]-SamplingData[[#This Row],[Candidate 6]])/(SamplingData[[#Totals],[Winning Candidate]]-SamplingData[[#Totals],[Candidate 6]]), 0)</f>
        <v>3.3315500218860949E-3</v>
      </c>
      <c r="P33" s="23">
        <f>MAX(SamplingData[[#This Row],[Error Bound (up) - Max. possible relative overstatement - Losing Candidate]:[Error Bound (up) - Max. possible relative overstatement - Candidate 6]])</f>
        <v>7.9617834394904458E-3</v>
      </c>
      <c r="Q33" s="23">
        <f>IF(SamplingData[[#This Row],[Max Error Bound (up)]] = 0,0,SamplingData[[#This Row],[Max Error Bound (up)]]/SamplingData[[#Totals],[Max Error Bound (up)]])</f>
        <v>1.2600832761979581E-3</v>
      </c>
      <c r="R33" s="24">
        <f>SUM($Q$5:Q33)</f>
        <v>3.6367941940728767E-2</v>
      </c>
      <c r="S33" s="23" t="str">
        <f t="array" ref="S33">IF(SamplingData[[#This Row],[up/U Selection Probability]] = 0, "Zero", TEXT(SamplingData[[#This Row],[Lower Range]], REPT("0",LEN('General Info'!$B$40))) &amp; " - " &amp; TEXT(SamplingData[[#This Row],[Upper Range]], REPT("0",LEN('General Info'!$B$40))))</f>
        <v>03511 - 03636</v>
      </c>
      <c r="T33" s="23">
        <f>SamplingData[[#This Row],[Upper Range]]-SamplingData[[#This Row],[Span]]</f>
        <v>3510.7871265363569</v>
      </c>
      <c r="U33" s="23">
        <f>IF(ISNUMBER('General Info'!$B$40), ((SamplingData[[#This Row],[up/U Selection Probability]]) * 'General Info'!$B$40) - 1, 0)</f>
        <v>125.00706753651961</v>
      </c>
      <c r="V33" s="23">
        <f>IF(ISNUMBER('General Info'!$B$40), (SamplingData[[#This Row],[Running (cumulative) sum]] * ('General Info'!$B$40 -'General Info'!$B$41 + 1)) + 'General Info'!$B$41 - 1, 0)</f>
        <v>3635.7941940728765</v>
      </c>
      <c r="W33" s="23" t="str">
        <f>IF(ISERROR(MATCH(SamplingData[[#This Row],[Batch by Type (p)]],SelectedPrecincts[Batch Name], 0)), "", INDEX(SelectedPrecincts[Draw], MATCH(SamplingData[[#This Row],[Batch by Type (p)]],SelectedPrecincts[Batch Name], 0)))</f>
        <v/>
      </c>
      <c r="X33" s="25">
        <f>IF(COUNTIF(SelectedPrecincts[Batch Name],SamplingData[[#This Row],[Batch by Type (p)]]) &lt;&gt; 0, COUNTIF(SelectedPrecincts[Batch Name],SamplingData[[#This Row],[Batch by Type (p)]]), 0)</f>
        <v>0</v>
      </c>
    </row>
    <row r="34" spans="1:24" ht="15" customHeight="1">
      <c r="A34" s="18" t="s">
        <v>210</v>
      </c>
      <c r="B34" s="18">
        <v>6</v>
      </c>
      <c r="C34" s="18">
        <v>19</v>
      </c>
      <c r="D34" s="18">
        <v>10</v>
      </c>
      <c r="E34" s="18">
        <v>0</v>
      </c>
      <c r="F34" s="18">
        <v>0</v>
      </c>
      <c r="G34" s="18">
        <v>0</v>
      </c>
      <c r="H34" s="18">
        <v>0</v>
      </c>
      <c r="I34" s="18">
        <v>1</v>
      </c>
      <c r="J34" s="22">
        <f>SUM(SamplingData[[#This Row],[Losing Candidate]:[Under Votes]])</f>
        <v>36</v>
      </c>
      <c r="K34" s="23">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34" s="23">
        <f>IF(AND(SamplingData[[#This Row],[Total]]&lt;&gt; 0, NOT(ISBLANK(SamplingData[[#This Row],[Candidate 3]]))),(SamplingData[[#This Row],[Total]]+SamplingData[[#This Row],[Winning Candidate]]-SamplingData[[#This Row],[Candidate 3]])/(SamplingData[[#Totals],[Winning Candidate]]-SamplingData[[#Totals],[Candidate 3]]), 0)</f>
        <v>1.4517533954898861E-3</v>
      </c>
      <c r="M34" s="23">
        <f>IF(AND(SamplingData[[#This Row],[Total]]&lt;&gt; 0, NOT(ISBLANK(SamplingData[[#This Row],[Candidate 4]]))),(SamplingData[[#This Row],[Total]]+SamplingData[[#This Row],[Winning Candidate]]-SamplingData[[#This Row],[Candidate 4]])/(SamplingData[[#Totals],[Winning Candidate]]-SamplingData[[#Totals],[Candidate 4]]), 0)</f>
        <v>1.6077640387032652E-3</v>
      </c>
      <c r="N34" s="23">
        <f>IF(AND(SamplingData[[#This Row],[Total]]&lt;&gt; 0, NOT(ISBLANK(SamplingData[[#This Row],[Candidate 5]]))),(SamplingData[[#This Row],[Total]]+SamplingData[[#This Row],[Winning Candidate]]-SamplingData[[#This Row],[Candidate 5]])/(SamplingData[[#Totals],[Winning Candidate]]-SamplingData[[#Totals],[Candidate 5]]), 0)</f>
        <v>1.3378739965945025E-3</v>
      </c>
      <c r="O34" s="23">
        <f>IF(AND(SamplingData[[#This Row],[Total]]&lt;&gt; 0, NOT(ISBLANK(SamplingData[[#This Row],[Candidate 6]]))),(SamplingData[[#This Row],[Total]]+SamplingData[[#This Row],[Winning Candidate]]-SamplingData[[#This Row],[Candidate 6]])/(SamplingData[[#Totals],[Winning Candidate]]-SamplingData[[#Totals],[Candidate 6]]), 0)</f>
        <v>1.3374835854287244E-3</v>
      </c>
      <c r="P34" s="23">
        <f>MAX(SamplingData[[#This Row],[Error Bound (up) - Max. possible relative overstatement - Losing Candidate]:[Error Bound (up) - Max. possible relative overstatement - Candidate 6]])</f>
        <v>3.0009799118079373E-3</v>
      </c>
      <c r="Q34" s="23">
        <f>IF(SamplingData[[#This Row],[Max Error Bound (up)]] = 0,0,SamplingData[[#This Row],[Max Error Bound (up)]]/SamplingData[[#Totals],[Max Error Bound (up)]])</f>
        <v>4.7495446564384573E-4</v>
      </c>
      <c r="R34" s="24">
        <f>SUM($Q$5:Q34)</f>
        <v>3.6842896406372609E-2</v>
      </c>
      <c r="S34" s="23" t="str">
        <f t="array" ref="S34">IF(SamplingData[[#This Row],[up/U Selection Probability]] = 0, "Zero", TEXT(SamplingData[[#This Row],[Lower Range]], REPT("0",LEN('General Info'!$B$40))) &amp; " - " &amp; TEXT(SamplingData[[#This Row],[Upper Range]], REPT("0",LEN('General Info'!$B$40))))</f>
        <v>03637 - 03683</v>
      </c>
      <c r="T34" s="23">
        <f>SamplingData[[#This Row],[Upper Range]]-SamplingData[[#This Row],[Span]]</f>
        <v>3636.794669027342</v>
      </c>
      <c r="U34" s="23">
        <f>IF(ISNUMBER('General Info'!$B$40), ((SamplingData[[#This Row],[up/U Selection Probability]]) * 'General Info'!$B$40) - 1, 0)</f>
        <v>46.494971609918927</v>
      </c>
      <c r="V34" s="23">
        <f>IF(ISNUMBER('General Info'!$B$40), (SamplingData[[#This Row],[Running (cumulative) sum]] * ('General Info'!$B$40 -'General Info'!$B$41 + 1)) + 'General Info'!$B$41 - 1, 0)</f>
        <v>3683.2896406372611</v>
      </c>
      <c r="W34" s="23" t="str">
        <f>IF(ISERROR(MATCH(SamplingData[[#This Row],[Batch by Type (p)]],SelectedPrecincts[Batch Name], 0)), "", INDEX(SelectedPrecincts[Draw], MATCH(SamplingData[[#This Row],[Batch by Type (p)]],SelectedPrecincts[Batch Name], 0)))</f>
        <v/>
      </c>
      <c r="X34" s="25">
        <f>IF(COUNTIF(SelectedPrecincts[Batch Name],SamplingData[[#This Row],[Batch by Type (p)]]) &lt;&gt; 0, COUNTIF(SelectedPrecincts[Batch Name],SamplingData[[#This Row],[Batch by Type (p)]]), 0)</f>
        <v>0</v>
      </c>
    </row>
    <row r="35" spans="1:24" ht="15" customHeight="1">
      <c r="A35" s="18" t="s">
        <v>211</v>
      </c>
      <c r="B35" s="18">
        <v>8</v>
      </c>
      <c r="C35" s="18">
        <v>51</v>
      </c>
      <c r="D35" s="16">
        <v>6</v>
      </c>
      <c r="E35" s="16">
        <v>3</v>
      </c>
      <c r="F35" s="37">
        <v>0</v>
      </c>
      <c r="G35" s="37">
        <v>0</v>
      </c>
      <c r="H35" s="16">
        <v>0</v>
      </c>
      <c r="I35" s="16">
        <v>0</v>
      </c>
      <c r="J35" s="99">
        <f>SUM(SamplingData[[#This Row],[Losing Candidate]:[Under Votes]])</f>
        <v>68</v>
      </c>
      <c r="K35" s="100">
        <f>IF(AND(SamplingData[[#This Row],[Total]]&lt;&gt; 0, NOT(ISBLANK(SamplingData[[#This Row],[Losing Candidate]]))),(SamplingData[[#This Row],[Total]]+SamplingData[[#This Row],[Winning Candidate]]-SamplingData[[#This Row],[Losing Candidate]])/(SamplingData[[#Totals],[Winning Candidate]]-SamplingData[[#Totals],[Losing Candidate]]), 0)</f>
        <v>6.798138167564919E-3</v>
      </c>
      <c r="L35" s="100">
        <f>IF(AND(SamplingData[[#This Row],[Total]]&lt;&gt; 0, NOT(ISBLANK(SamplingData[[#This Row],[Candidate 3]]))),(SamplingData[[#This Row],[Total]]+SamplingData[[#This Row],[Winning Candidate]]-SamplingData[[#This Row],[Candidate 3]])/(SamplingData[[#Totals],[Winning Candidate]]-SamplingData[[#Totals],[Candidate 3]]), 0)</f>
        <v>3.6455140820079363E-3</v>
      </c>
      <c r="M35" s="100">
        <f>IF(AND(SamplingData[[#This Row],[Total]]&lt;&gt; 0, NOT(ISBLANK(SamplingData[[#This Row],[Candidate 4]]))),(SamplingData[[#This Row],[Total]]+SamplingData[[#This Row],[Winning Candidate]]-SamplingData[[#This Row],[Candidate 4]])/(SamplingData[[#Totals],[Winning Candidate]]-SamplingData[[#Totals],[Candidate 4]]), 0)</f>
        <v>3.3909205179923413E-3</v>
      </c>
      <c r="N35" s="100">
        <f>IF(AND(SamplingData[[#This Row],[Total]]&lt;&gt; 0, NOT(ISBLANK(SamplingData[[#This Row],[Candidate 5]]))),(SamplingData[[#This Row],[Total]]+SamplingData[[#This Row],[Winning Candidate]]-SamplingData[[#This Row],[Candidate 5]])/(SamplingData[[#Totals],[Winning Candidate]]-SamplingData[[#Totals],[Candidate 5]]), 0)</f>
        <v>2.8946728289953785E-3</v>
      </c>
      <c r="O35" s="100">
        <f>IF(AND(SamplingData[[#This Row],[Total]]&lt;&gt; 0, NOT(ISBLANK(SamplingData[[#This Row],[Candidate 6]]))),(SamplingData[[#This Row],[Total]]+SamplingData[[#This Row],[Winning Candidate]]-SamplingData[[#This Row],[Candidate 6]])/(SamplingData[[#Totals],[Winning Candidate]]-SamplingData[[#Totals],[Candidate 6]]), 0)</f>
        <v>2.8938281212003308E-3</v>
      </c>
      <c r="P35" s="100">
        <f>MAX(SamplingData[[#This Row],[Error Bound (up) - Max. possible relative overstatement - Losing Candidate]:[Error Bound (up) - Max. possible relative overstatement - Candidate 6]])</f>
        <v>6.798138167564919E-3</v>
      </c>
      <c r="Q35" s="100">
        <f>IF(SamplingData[[#This Row],[Max Error Bound (up)]] = 0,0,SamplingData[[#This Row],[Max Error Bound (up)]]/SamplingData[[#Totals],[Max Error Bound (up)]])</f>
        <v>1.0759172589074873E-3</v>
      </c>
      <c r="R35" s="101">
        <f>SUM($Q$5:Q35)</f>
        <v>3.7918813665280098E-2</v>
      </c>
      <c r="S35" s="100" t="str">
        <f t="array" ref="S35">IF(SamplingData[[#This Row],[up/U Selection Probability]] = 0, "Zero", TEXT(SamplingData[[#This Row],[Lower Range]], REPT("0",LEN('General Info'!$B$40))) &amp; " - " &amp; TEXT(SamplingData[[#This Row],[Upper Range]], REPT("0",LEN('General Info'!$B$40))))</f>
        <v>03684 - 03791</v>
      </c>
      <c r="T35" s="100">
        <f>SamplingData[[#This Row],[Upper Range]]-SamplingData[[#This Row],[Span]]</f>
        <v>3684.2907165545203</v>
      </c>
      <c r="U35" s="100">
        <f>IF(ISNUMBER('General Info'!$B$40), ((SamplingData[[#This Row],[up/U Selection Probability]]) * 'General Info'!$B$40) - 1, 0)</f>
        <v>106.59064997348982</v>
      </c>
      <c r="V35" s="100">
        <f>IF(ISNUMBER('General Info'!$B$40), (SamplingData[[#This Row],[Running (cumulative) sum]] * ('General Info'!$B$40 -'General Info'!$B$41 + 1)) + 'General Info'!$B$41 - 1, 0)</f>
        <v>3790.8813665280099</v>
      </c>
      <c r="W35" s="100" t="str">
        <f>IF(ISERROR(MATCH(SamplingData[[#This Row],[Batch by Type (p)]],SelectedPrecincts[Batch Name], 0)), "", INDEX(SelectedPrecincts[Draw], MATCH(SamplingData[[#This Row],[Batch by Type (p)]],SelectedPrecincts[Batch Name], 0)))</f>
        <v/>
      </c>
      <c r="X35" s="102">
        <f>IF(COUNTIF(SelectedPrecincts[Batch Name],SamplingData[[#This Row],[Batch by Type (p)]]) &lt;&gt; 0, COUNTIF(SelectedPrecincts[Batch Name],SamplingData[[#This Row],[Batch by Type (p)]]), 0)</f>
        <v>0</v>
      </c>
    </row>
    <row r="36" spans="1:24" ht="15" customHeight="1">
      <c r="A36" s="18" t="s">
        <v>212</v>
      </c>
      <c r="B36" s="18">
        <v>0</v>
      </c>
      <c r="C36" s="18">
        <v>21</v>
      </c>
      <c r="D36" s="18">
        <v>5</v>
      </c>
      <c r="E36" s="18">
        <v>3</v>
      </c>
      <c r="F36" s="18">
        <v>0</v>
      </c>
      <c r="G36" s="18">
        <v>1</v>
      </c>
      <c r="H36" s="18">
        <v>0</v>
      </c>
      <c r="I36" s="18">
        <v>0</v>
      </c>
      <c r="J36" s="99">
        <f>SUM(SamplingData[[#This Row],[Losing Candidate]:[Under Votes]])</f>
        <v>30</v>
      </c>
      <c r="K36" s="100">
        <f>IF(AND(SamplingData[[#This Row],[Total]]&lt;&gt; 0, NOT(ISBLANK(SamplingData[[#This Row],[Losing Candidate]]))),(SamplingData[[#This Row],[Total]]+SamplingData[[#This Row],[Winning Candidate]]-SamplingData[[#This Row],[Losing Candidate]])/(SamplingData[[#Totals],[Winning Candidate]]-SamplingData[[#Totals],[Losing Candidate]]), 0)</f>
        <v>3.1234688878000981E-3</v>
      </c>
      <c r="L36" s="100">
        <f>IF(AND(SamplingData[[#This Row],[Total]]&lt;&gt; 0, NOT(ISBLANK(SamplingData[[#This Row],[Candidate 3]]))),(SamplingData[[#This Row],[Total]]+SamplingData[[#This Row],[Winning Candidate]]-SamplingData[[#This Row],[Candidate 3]])/(SamplingData[[#Totals],[Winning Candidate]]-SamplingData[[#Totals],[Candidate 3]]), 0)</f>
        <v>1.4840145820563281E-3</v>
      </c>
      <c r="M36" s="100">
        <f>IF(AND(SamplingData[[#This Row],[Total]]&lt;&gt; 0, NOT(ISBLANK(SamplingData[[#This Row],[Candidate 4]]))),(SamplingData[[#This Row],[Total]]+SamplingData[[#This Row],[Winning Candidate]]-SamplingData[[#This Row],[Candidate 4]])/(SamplingData[[#Totals],[Winning Candidate]]-SamplingData[[#Totals],[Candidate 4]]), 0)</f>
        <v>1.403139524686486E-3</v>
      </c>
      <c r="N36" s="100">
        <f>IF(AND(SamplingData[[#This Row],[Total]]&lt;&gt; 0, NOT(ISBLANK(SamplingData[[#This Row],[Candidate 5]]))),(SamplingData[[#This Row],[Total]]+SamplingData[[#This Row],[Winning Candidate]]-SamplingData[[#This Row],[Candidate 5]])/(SamplingData[[#Totals],[Winning Candidate]]-SamplingData[[#Totals],[Candidate 5]]), 0)</f>
        <v>1.2405740695694478E-3</v>
      </c>
      <c r="O36" s="100">
        <f>IF(AND(SamplingData[[#This Row],[Total]]&lt;&gt; 0, NOT(ISBLANK(SamplingData[[#This Row],[Candidate 6]]))),(SamplingData[[#This Row],[Total]]+SamplingData[[#This Row],[Winning Candidate]]-SamplingData[[#This Row],[Candidate 6]])/(SamplingData[[#Totals],[Winning Candidate]]-SamplingData[[#Totals],[Candidate 6]]), 0)</f>
        <v>1.2158941685715674E-3</v>
      </c>
      <c r="P36" s="100">
        <f>MAX(SamplingData[[#This Row],[Error Bound (up) - Max. possible relative overstatement - Losing Candidate]:[Error Bound (up) - Max. possible relative overstatement - Candidate 6]])</f>
        <v>3.1234688878000981E-3</v>
      </c>
      <c r="Q36" s="100">
        <f>IF(SamplingData[[#This Row],[Max Error Bound (up)]] = 0,0,SamplingData[[#This Row],[Max Error Bound (up)]]/SamplingData[[#Totals],[Max Error Bound (up)]])</f>
        <v>4.9434036220073741E-4</v>
      </c>
      <c r="R36" s="101">
        <f>SUM($Q$5:Q36)</f>
        <v>3.8413154027480835E-2</v>
      </c>
      <c r="S36" s="100" t="str">
        <f t="array" ref="S36">IF(SamplingData[[#This Row],[up/U Selection Probability]] = 0, "Zero", TEXT(SamplingData[[#This Row],[Lower Range]], REPT("0",LEN('General Info'!$B$40))) &amp; " - " &amp; TEXT(SamplingData[[#This Row],[Upper Range]], REPT("0",LEN('General Info'!$B$40))))</f>
        <v>03792 - 03840</v>
      </c>
      <c r="T36" s="100">
        <f>SamplingData[[#This Row],[Upper Range]]-SamplingData[[#This Row],[Span]]</f>
        <v>3791.8818608683723</v>
      </c>
      <c r="U36" s="100">
        <f>IF(ISNUMBER('General Info'!$B$40), ((SamplingData[[#This Row],[up/U Selection Probability]]) * 'General Info'!$B$40) - 1, 0)</f>
        <v>48.433541879711541</v>
      </c>
      <c r="V36" s="100">
        <f>IF(ISNUMBER('General Info'!$B$40), (SamplingData[[#This Row],[Running (cumulative) sum]] * ('General Info'!$B$40 -'General Info'!$B$41 + 1)) + 'General Info'!$B$41 - 1, 0)</f>
        <v>3840.3154027480837</v>
      </c>
      <c r="W36" s="100" t="str">
        <f>IF(ISERROR(MATCH(SamplingData[[#This Row],[Batch by Type (p)]],SelectedPrecincts[Batch Name], 0)), "", INDEX(SelectedPrecincts[Draw], MATCH(SamplingData[[#This Row],[Batch by Type (p)]],SelectedPrecincts[Batch Name], 0)))</f>
        <v/>
      </c>
      <c r="X36" s="102">
        <f>IF(COUNTIF(SelectedPrecincts[Batch Name],SamplingData[[#This Row],[Batch by Type (p)]]) &lt;&gt; 0, COUNTIF(SelectedPrecincts[Batch Name],SamplingData[[#This Row],[Batch by Type (p)]]), 0)</f>
        <v>0</v>
      </c>
    </row>
    <row r="37" spans="1:24" ht="15" customHeight="1">
      <c r="A37" s="18" t="s">
        <v>213</v>
      </c>
      <c r="B37" s="18">
        <v>5</v>
      </c>
      <c r="C37" s="18">
        <v>23</v>
      </c>
      <c r="D37" s="16">
        <v>5</v>
      </c>
      <c r="E37" s="16">
        <v>1</v>
      </c>
      <c r="F37" s="37">
        <v>1</v>
      </c>
      <c r="G37" s="37">
        <v>1</v>
      </c>
      <c r="H37" s="16">
        <v>0</v>
      </c>
      <c r="I37" s="16">
        <v>0</v>
      </c>
      <c r="J37" s="99">
        <f>SUM(SamplingData[[#This Row],[Losing Candidate]:[Under Votes]])</f>
        <v>36</v>
      </c>
      <c r="K37"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37" s="100">
        <f>IF(AND(SamplingData[[#This Row],[Total]]&lt;&gt; 0, NOT(ISBLANK(SamplingData[[#This Row],[Candidate 3]]))),(SamplingData[[#This Row],[Total]]+SamplingData[[#This Row],[Winning Candidate]]-SamplingData[[#This Row],[Candidate 3]])/(SamplingData[[#Totals],[Winning Candidate]]-SamplingData[[#Totals],[Candidate 3]]), 0)</f>
        <v>1.7421040745878634E-3</v>
      </c>
      <c r="M37" s="100">
        <f>IF(AND(SamplingData[[#This Row],[Total]]&lt;&gt; 0, NOT(ISBLANK(SamplingData[[#This Row],[Candidate 4]]))),(SamplingData[[#This Row],[Total]]+SamplingData[[#This Row],[Winning Candidate]]-SamplingData[[#This Row],[Candidate 4]])/(SamplingData[[#Totals],[Winning Candidate]]-SamplingData[[#Totals],[Candidate 4]]), 0)</f>
        <v>1.6954602589961706E-3</v>
      </c>
      <c r="N37" s="100">
        <f>IF(AND(SamplingData[[#This Row],[Total]]&lt;&gt; 0, NOT(ISBLANK(SamplingData[[#This Row],[Candidate 5]]))),(SamplingData[[#This Row],[Total]]+SamplingData[[#This Row],[Winning Candidate]]-SamplingData[[#This Row],[Candidate 5]])/(SamplingData[[#Totals],[Winning Candidate]]-SamplingData[[#Totals],[Candidate 5]]), 0)</f>
        <v>1.4108489418632937E-3</v>
      </c>
      <c r="O37" s="100">
        <f>IF(AND(SamplingData[[#This Row],[Total]]&lt;&gt; 0, NOT(ISBLANK(SamplingData[[#This Row],[Candidate 6]]))),(SamplingData[[#This Row],[Total]]+SamplingData[[#This Row],[Winning Candidate]]-SamplingData[[#This Row],[Candidate 6]])/(SamplingData[[#Totals],[Winning Candidate]]-SamplingData[[#Totals],[Candidate 6]]), 0)</f>
        <v>1.4104372355430183E-3</v>
      </c>
      <c r="P37" s="100">
        <f>MAX(SamplingData[[#This Row],[Error Bound (up) - Max. possible relative overstatement - Losing Candidate]:[Error Bound (up) - Max. possible relative overstatement - Candidate 6]])</f>
        <v>3.3072023517883389E-3</v>
      </c>
      <c r="Q37" s="100">
        <f>IF(SamplingData[[#This Row],[Max Error Bound (up)]] = 0,0,SamplingData[[#This Row],[Max Error Bound (up)]]/SamplingData[[#Totals],[Max Error Bound (up)]])</f>
        <v>5.2341920703607493E-4</v>
      </c>
      <c r="R37" s="101">
        <f>SUM($Q$5:Q37)</f>
        <v>3.8936573234516908E-2</v>
      </c>
      <c r="S37" s="100" t="str">
        <f t="array" ref="S37">IF(SamplingData[[#This Row],[up/U Selection Probability]] = 0, "Zero", TEXT(SamplingData[[#This Row],[Lower Range]], REPT("0",LEN('General Info'!$B$40))) &amp; " - " &amp; TEXT(SamplingData[[#This Row],[Upper Range]], REPT("0",LEN('General Info'!$B$40))))</f>
        <v>03841 - 03893</v>
      </c>
      <c r="T37" s="100">
        <f>SamplingData[[#This Row],[Upper Range]]-SamplingData[[#This Row],[Span]]</f>
        <v>3841.3159261672904</v>
      </c>
      <c r="U37" s="100">
        <f>IF(ISNUMBER('General Info'!$B$40), ((SamplingData[[#This Row],[up/U Selection Probability]]) * 'General Info'!$B$40) - 1, 0)</f>
        <v>51.341397284400458</v>
      </c>
      <c r="V37" s="100">
        <f>IF(ISNUMBER('General Info'!$B$40), (SamplingData[[#This Row],[Running (cumulative) sum]] * ('General Info'!$B$40 -'General Info'!$B$41 + 1)) + 'General Info'!$B$41 - 1, 0)</f>
        <v>3892.6573234516909</v>
      </c>
      <c r="W37" s="100" t="str">
        <f>IF(ISERROR(MATCH(SamplingData[[#This Row],[Batch by Type (p)]],SelectedPrecincts[Batch Name], 0)), "", INDEX(SelectedPrecincts[Draw], MATCH(SamplingData[[#This Row],[Batch by Type (p)]],SelectedPrecincts[Batch Name], 0)))</f>
        <v/>
      </c>
      <c r="X37" s="102">
        <f>IF(COUNTIF(SelectedPrecincts[Batch Name],SamplingData[[#This Row],[Batch by Type (p)]]) &lt;&gt; 0, COUNTIF(SelectedPrecincts[Batch Name],SamplingData[[#This Row],[Batch by Type (p)]]), 0)</f>
        <v>0</v>
      </c>
    </row>
    <row r="38" spans="1:24" ht="15" customHeight="1">
      <c r="A38" s="18" t="s">
        <v>214</v>
      </c>
      <c r="B38" s="18">
        <v>4</v>
      </c>
      <c r="C38" s="18">
        <v>11</v>
      </c>
      <c r="D38" s="18">
        <v>2</v>
      </c>
      <c r="E38" s="18">
        <v>1</v>
      </c>
      <c r="F38" s="18">
        <v>0</v>
      </c>
      <c r="G38" s="18">
        <v>0</v>
      </c>
      <c r="H38" s="18">
        <v>0</v>
      </c>
      <c r="I38" s="18">
        <v>0</v>
      </c>
      <c r="J38" s="99">
        <f>SUM(SamplingData[[#This Row],[Losing Candidate]:[Under Votes]])</f>
        <v>18</v>
      </c>
      <c r="K38"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38" s="100">
        <f>IF(AND(SamplingData[[#This Row],[Total]]&lt;&gt; 0, NOT(ISBLANK(SamplingData[[#This Row],[Candidate 3]]))),(SamplingData[[#This Row],[Total]]+SamplingData[[#This Row],[Winning Candidate]]-SamplingData[[#This Row],[Candidate 3]])/(SamplingData[[#Totals],[Winning Candidate]]-SamplingData[[#Totals],[Candidate 3]]), 0)</f>
        <v>8.710520372939317E-4</v>
      </c>
      <c r="M38" s="100">
        <f>IF(AND(SamplingData[[#This Row],[Total]]&lt;&gt; 0, NOT(ISBLANK(SamplingData[[#This Row],[Candidate 4]]))),(SamplingData[[#This Row],[Total]]+SamplingData[[#This Row],[Winning Candidate]]-SamplingData[[#This Row],[Candidate 4]])/(SamplingData[[#Totals],[Winning Candidate]]-SamplingData[[#Totals],[Candidate 4]]), 0)</f>
        <v>8.1849805606711685E-4</v>
      </c>
      <c r="N38" s="100">
        <f>IF(AND(SamplingData[[#This Row],[Total]]&lt;&gt; 0, NOT(ISBLANK(SamplingData[[#This Row],[Candidate 5]]))),(SamplingData[[#This Row],[Total]]+SamplingData[[#This Row],[Winning Candidate]]-SamplingData[[#This Row],[Candidate 5]])/(SamplingData[[#Totals],[Winning Candidate]]-SamplingData[[#Totals],[Candidate 5]]), 0)</f>
        <v>7.0542447093164683E-4</v>
      </c>
      <c r="O38" s="100">
        <f>IF(AND(SamplingData[[#This Row],[Total]]&lt;&gt; 0, NOT(ISBLANK(SamplingData[[#This Row],[Candidate 6]]))),(SamplingData[[#This Row],[Total]]+SamplingData[[#This Row],[Winning Candidate]]-SamplingData[[#This Row],[Candidate 6]])/(SamplingData[[#Totals],[Winning Candidate]]-SamplingData[[#Totals],[Candidate 6]]), 0)</f>
        <v>7.0521861777150916E-4</v>
      </c>
      <c r="P38" s="100">
        <f>MAX(SamplingData[[#This Row],[Error Bound (up) - Max. possible relative overstatement - Losing Candidate]:[Error Bound (up) - Max. possible relative overstatement - Candidate 6]])</f>
        <v>1.5311121999020088E-3</v>
      </c>
      <c r="Q38" s="100">
        <f>IF(SamplingData[[#This Row],[Max Error Bound (up)]] = 0,0,SamplingData[[#This Row],[Max Error Bound (up)]]/SamplingData[[#Totals],[Max Error Bound (up)]])</f>
        <v>2.4232370696114578E-4</v>
      </c>
      <c r="R38" s="101">
        <f>SUM($Q$5:Q38)</f>
        <v>3.9178896941478053E-2</v>
      </c>
      <c r="S38" s="100" t="str">
        <f t="array" ref="S38">IF(SamplingData[[#This Row],[up/U Selection Probability]] = 0, "Zero", TEXT(SamplingData[[#This Row],[Lower Range]], REPT("0",LEN('General Info'!$B$40))) &amp; " - " &amp; TEXT(SamplingData[[#This Row],[Upper Range]], REPT("0",LEN('General Info'!$B$40))))</f>
        <v>03894 - 03917</v>
      </c>
      <c r="T38" s="100">
        <f>SamplingData[[#This Row],[Upper Range]]-SamplingData[[#This Row],[Span]]</f>
        <v>3893.6575657753974</v>
      </c>
      <c r="U38" s="100">
        <f>IF(ISNUMBER('General Info'!$B$40), ((SamplingData[[#This Row],[up/U Selection Probability]]) * 'General Info'!$B$40) - 1, 0)</f>
        <v>23.232128372407619</v>
      </c>
      <c r="V38" s="100">
        <f>IF(ISNUMBER('General Info'!$B$40), (SamplingData[[#This Row],[Running (cumulative) sum]] * ('General Info'!$B$40 -'General Info'!$B$41 + 1)) + 'General Info'!$B$41 - 1, 0)</f>
        <v>3916.8896941478051</v>
      </c>
      <c r="W38" s="100" t="str">
        <f>IF(ISERROR(MATCH(SamplingData[[#This Row],[Batch by Type (p)]],SelectedPrecincts[Batch Name], 0)), "", INDEX(SelectedPrecincts[Draw], MATCH(SamplingData[[#This Row],[Batch by Type (p)]],SelectedPrecincts[Batch Name], 0)))</f>
        <v/>
      </c>
      <c r="X38" s="102">
        <f>IF(COUNTIF(SelectedPrecincts[Batch Name],SamplingData[[#This Row],[Batch by Type (p)]]) &lt;&gt; 0, COUNTIF(SelectedPrecincts[Batch Name],SamplingData[[#This Row],[Batch by Type (p)]]), 0)</f>
        <v>0</v>
      </c>
    </row>
    <row r="39" spans="1:24" ht="15" customHeight="1">
      <c r="A39" s="18" t="s">
        <v>215</v>
      </c>
      <c r="B39" s="18">
        <v>5</v>
      </c>
      <c r="C39" s="18">
        <v>39</v>
      </c>
      <c r="D39" s="16">
        <v>2</v>
      </c>
      <c r="E39" s="16">
        <v>2</v>
      </c>
      <c r="F39" s="37">
        <v>0</v>
      </c>
      <c r="G39" s="37">
        <v>0</v>
      </c>
      <c r="H39" s="16">
        <v>0</v>
      </c>
      <c r="I39" s="16">
        <v>0</v>
      </c>
      <c r="J39" s="99">
        <f>SUM(SamplingData[[#This Row],[Losing Candidate]:[Under Votes]])</f>
        <v>48</v>
      </c>
      <c r="K39"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39" s="100">
        <f>IF(AND(SamplingData[[#This Row],[Total]]&lt;&gt; 0, NOT(ISBLANK(SamplingData[[#This Row],[Candidate 3]]))),(SamplingData[[#This Row],[Total]]+SamplingData[[#This Row],[Winning Candidate]]-SamplingData[[#This Row],[Candidate 3]])/(SamplingData[[#Totals],[Winning Candidate]]-SamplingData[[#Totals],[Candidate 3]]), 0)</f>
        <v>2.7422008581475628E-3</v>
      </c>
      <c r="M39" s="100">
        <f>IF(AND(SamplingData[[#This Row],[Total]]&lt;&gt; 0, NOT(ISBLANK(SamplingData[[#This Row],[Candidate 4]]))),(SamplingData[[#This Row],[Total]]+SamplingData[[#This Row],[Winning Candidate]]-SamplingData[[#This Row],[Candidate 4]])/(SamplingData[[#Totals],[Winning Candidate]]-SamplingData[[#Totals],[Candidate 4]]), 0)</f>
        <v>2.4847262416323188E-3</v>
      </c>
      <c r="N39" s="100">
        <f>IF(AND(SamplingData[[#This Row],[Total]]&lt;&gt; 0, NOT(ISBLANK(SamplingData[[#This Row],[Candidate 5]]))),(SamplingData[[#This Row],[Total]]+SamplingData[[#This Row],[Winning Candidate]]-SamplingData[[#This Row],[Candidate 5]])/(SamplingData[[#Totals],[Winning Candidate]]-SamplingData[[#Totals],[Candidate 5]]), 0)</f>
        <v>2.1162734127949403E-3</v>
      </c>
      <c r="O39" s="100">
        <f>IF(AND(SamplingData[[#This Row],[Total]]&lt;&gt; 0, NOT(ISBLANK(SamplingData[[#This Row],[Candidate 6]]))),(SamplingData[[#This Row],[Total]]+SamplingData[[#This Row],[Winning Candidate]]-SamplingData[[#This Row],[Candidate 6]])/(SamplingData[[#Totals],[Winning Candidate]]-SamplingData[[#Totals],[Candidate 6]]), 0)</f>
        <v>2.1156558533145277E-3</v>
      </c>
      <c r="P39" s="100">
        <f>MAX(SamplingData[[#This Row],[Error Bound (up) - Max. possible relative overstatement - Losing Candidate]:[Error Bound (up) - Max. possible relative overstatement - Candidate 6]])</f>
        <v>5.0220480156785889E-3</v>
      </c>
      <c r="Q39" s="100">
        <f>IF(SamplingData[[#This Row],[Max Error Bound (up)]] = 0,0,SamplingData[[#This Row],[Max Error Bound (up)]]/SamplingData[[#Totals],[Max Error Bound (up)]])</f>
        <v>7.9482175883255823E-4</v>
      </c>
      <c r="R39" s="101">
        <f>SUM($Q$5:Q39)</f>
        <v>3.9973718700310613E-2</v>
      </c>
      <c r="S39" s="100" t="str">
        <f t="array" ref="S39">IF(SamplingData[[#This Row],[up/U Selection Probability]] = 0, "Zero", TEXT(SamplingData[[#This Row],[Lower Range]], REPT("0",LEN('General Info'!$B$40))) &amp; " - " &amp; TEXT(SamplingData[[#This Row],[Upper Range]], REPT("0",LEN('General Info'!$B$40))))</f>
        <v>03918 - 03996</v>
      </c>
      <c r="T39" s="100">
        <f>SamplingData[[#This Row],[Upper Range]]-SamplingData[[#This Row],[Span]]</f>
        <v>3917.8904889695646</v>
      </c>
      <c r="U39" s="100">
        <f>IF(ISNUMBER('General Info'!$B$40), ((SamplingData[[#This Row],[up/U Selection Probability]]) * 'General Info'!$B$40) - 1, 0)</f>
        <v>78.48138106149699</v>
      </c>
      <c r="V39" s="100">
        <f>IF(ISNUMBER('General Info'!$B$40), (SamplingData[[#This Row],[Running (cumulative) sum]] * ('General Info'!$B$40 -'General Info'!$B$41 + 1)) + 'General Info'!$B$41 - 1, 0)</f>
        <v>3996.3718700310615</v>
      </c>
      <c r="W39" s="100" t="str">
        <f>IF(ISERROR(MATCH(SamplingData[[#This Row],[Batch by Type (p)]],SelectedPrecincts[Batch Name], 0)), "", INDEX(SelectedPrecincts[Draw], MATCH(SamplingData[[#This Row],[Batch by Type (p)]],SelectedPrecincts[Batch Name], 0)))</f>
        <v/>
      </c>
      <c r="X39" s="102">
        <f>IF(COUNTIF(SelectedPrecincts[Batch Name],SamplingData[[#This Row],[Batch by Type (p)]]) &lt;&gt; 0, COUNTIF(SelectedPrecincts[Batch Name],SamplingData[[#This Row],[Batch by Type (p)]]), 0)</f>
        <v>0</v>
      </c>
    </row>
    <row r="40" spans="1:24" ht="15" customHeight="1">
      <c r="A40" s="18" t="s">
        <v>216</v>
      </c>
      <c r="B40" s="18">
        <v>2</v>
      </c>
      <c r="C40" s="18">
        <v>28</v>
      </c>
      <c r="D40" s="18">
        <v>3</v>
      </c>
      <c r="E40" s="18">
        <v>0</v>
      </c>
      <c r="F40" s="18">
        <v>1</v>
      </c>
      <c r="G40" s="18">
        <v>1</v>
      </c>
      <c r="H40" s="18">
        <v>0</v>
      </c>
      <c r="I40" s="18">
        <v>1</v>
      </c>
      <c r="J40" s="99">
        <f>SUM(SamplingData[[#This Row],[Losing Candidate]:[Under Votes]])</f>
        <v>36</v>
      </c>
      <c r="K40" s="100">
        <f>IF(AND(SamplingData[[#This Row],[Total]]&lt;&gt; 0, NOT(ISBLANK(SamplingData[[#This Row],[Losing Candidate]]))),(SamplingData[[#This Row],[Total]]+SamplingData[[#This Row],[Winning Candidate]]-SamplingData[[#This Row],[Losing Candidate]])/(SamplingData[[#Totals],[Winning Candidate]]-SamplingData[[#Totals],[Losing Candidate]]), 0)</f>
        <v>3.7971582557569817E-3</v>
      </c>
      <c r="L40" s="100">
        <f>IF(AND(SamplingData[[#This Row],[Total]]&lt;&gt; 0, NOT(ISBLANK(SamplingData[[#This Row],[Candidate 3]]))),(SamplingData[[#This Row],[Total]]+SamplingData[[#This Row],[Winning Candidate]]-SamplingData[[#This Row],[Candidate 3]])/(SamplingData[[#Totals],[Winning Candidate]]-SamplingData[[#Totals],[Candidate 3]]), 0)</f>
        <v>1.9679323805529567E-3</v>
      </c>
      <c r="M40" s="100">
        <f>IF(AND(SamplingData[[#This Row],[Total]]&lt;&gt; 0, NOT(ISBLANK(SamplingData[[#This Row],[Candidate 4]]))),(SamplingData[[#This Row],[Total]]+SamplingData[[#This Row],[Winning Candidate]]-SamplingData[[#This Row],[Candidate 4]])/(SamplingData[[#Totals],[Winning Candidate]]-SamplingData[[#Totals],[Candidate 4]]), 0)</f>
        <v>1.8708526995819814E-3</v>
      </c>
      <c r="N40" s="100">
        <f>IF(AND(SamplingData[[#This Row],[Total]]&lt;&gt; 0, NOT(ISBLANK(SamplingData[[#This Row],[Candidate 5]]))),(SamplingData[[#This Row],[Total]]+SamplingData[[#This Row],[Winning Candidate]]-SamplingData[[#This Row],[Candidate 5]])/(SamplingData[[#Totals],[Winning Candidate]]-SamplingData[[#Totals],[Candidate 5]]), 0)</f>
        <v>1.5324738506446119E-3</v>
      </c>
      <c r="O40" s="100">
        <f>IF(AND(SamplingData[[#This Row],[Total]]&lt;&gt; 0, NOT(ISBLANK(SamplingData[[#This Row],[Candidate 6]]))),(SamplingData[[#This Row],[Total]]+SamplingData[[#This Row],[Winning Candidate]]-SamplingData[[#This Row],[Candidate 6]])/(SamplingData[[#Totals],[Winning Candidate]]-SamplingData[[#Totals],[Candidate 6]]), 0)</f>
        <v>1.532026652400175E-3</v>
      </c>
      <c r="P40" s="100">
        <f>MAX(SamplingData[[#This Row],[Error Bound (up) - Max. possible relative overstatement - Losing Candidate]:[Error Bound (up) - Max. possible relative overstatement - Candidate 6]])</f>
        <v>3.7971582557569817E-3</v>
      </c>
      <c r="Q40" s="100">
        <f>IF(SamplingData[[#This Row],[Max Error Bound (up)]] = 0,0,SamplingData[[#This Row],[Max Error Bound (up)]]/SamplingData[[#Totals],[Max Error Bound (up)]])</f>
        <v>6.0096279326364154E-4</v>
      </c>
      <c r="R40" s="101">
        <f>SUM($Q$5:Q40)</f>
        <v>4.0574681493574252E-2</v>
      </c>
      <c r="S40" s="100" t="str">
        <f t="array" ref="S40">IF(SamplingData[[#This Row],[up/U Selection Probability]] = 0, "Zero", TEXT(SamplingData[[#This Row],[Lower Range]], REPT("0",LEN('General Info'!$B$40))) &amp; " - " &amp; TEXT(SamplingData[[#This Row],[Upper Range]], REPT("0",LEN('General Info'!$B$40))))</f>
        <v>03997 - 04056</v>
      </c>
      <c r="T40" s="100">
        <f>SamplingData[[#This Row],[Upper Range]]-SamplingData[[#This Row],[Span]]</f>
        <v>3997.3724709938542</v>
      </c>
      <c r="U40" s="100">
        <f>IF(ISNUMBER('General Info'!$B$40), ((SamplingData[[#This Row],[up/U Selection Probability]]) * 'General Info'!$B$40) - 1, 0)</f>
        <v>59.09567836357089</v>
      </c>
      <c r="V40" s="100">
        <f>IF(ISNUMBER('General Info'!$B$40), (SamplingData[[#This Row],[Running (cumulative) sum]] * ('General Info'!$B$40 -'General Info'!$B$41 + 1)) + 'General Info'!$B$41 - 1, 0)</f>
        <v>4056.4681493574253</v>
      </c>
      <c r="W40" s="100" t="str">
        <f>IF(ISERROR(MATCH(SamplingData[[#This Row],[Batch by Type (p)]],SelectedPrecincts[Batch Name], 0)), "", INDEX(SelectedPrecincts[Draw], MATCH(SamplingData[[#This Row],[Batch by Type (p)]],SelectedPrecincts[Batch Name], 0)))</f>
        <v/>
      </c>
      <c r="X40" s="102">
        <f>IF(COUNTIF(SelectedPrecincts[Batch Name],SamplingData[[#This Row],[Batch by Type (p)]]) &lt;&gt; 0, COUNTIF(SelectedPrecincts[Batch Name],SamplingData[[#This Row],[Batch by Type (p)]]), 0)</f>
        <v>0</v>
      </c>
    </row>
    <row r="41" spans="1:24" ht="15" customHeight="1">
      <c r="A41" s="18" t="s">
        <v>217</v>
      </c>
      <c r="B41" s="18">
        <v>8</v>
      </c>
      <c r="C41" s="18">
        <v>50</v>
      </c>
      <c r="D41" s="16">
        <v>9</v>
      </c>
      <c r="E41" s="16">
        <v>3</v>
      </c>
      <c r="F41" s="37">
        <v>0</v>
      </c>
      <c r="G41" s="37">
        <v>1</v>
      </c>
      <c r="H41" s="16">
        <v>0</v>
      </c>
      <c r="I41" s="16">
        <v>1</v>
      </c>
      <c r="J41" s="99">
        <f>SUM(SamplingData[[#This Row],[Losing Candidate]:[Under Votes]])</f>
        <v>72</v>
      </c>
      <c r="K41" s="100">
        <f>IF(AND(SamplingData[[#This Row],[Total]]&lt;&gt; 0, NOT(ISBLANK(SamplingData[[#This Row],[Losing Candidate]]))),(SamplingData[[#This Row],[Total]]+SamplingData[[#This Row],[Winning Candidate]]-SamplingData[[#This Row],[Losing Candidate]])/(SamplingData[[#Totals],[Winning Candidate]]-SamplingData[[#Totals],[Losing Candidate]]), 0)</f>
        <v>6.9818716315531602E-3</v>
      </c>
      <c r="L41" s="100">
        <f>IF(AND(SamplingData[[#This Row],[Total]]&lt;&gt; 0, NOT(ISBLANK(SamplingData[[#This Row],[Candidate 3]]))),(SamplingData[[#This Row],[Total]]+SamplingData[[#This Row],[Winning Candidate]]-SamplingData[[#This Row],[Candidate 3]])/(SamplingData[[#Totals],[Winning Candidate]]-SamplingData[[#Totals],[Candidate 3]]), 0)</f>
        <v>3.6455140820079363E-3</v>
      </c>
      <c r="M41" s="100">
        <f>IF(AND(SamplingData[[#This Row],[Total]]&lt;&gt; 0, NOT(ISBLANK(SamplingData[[#This Row],[Candidate 4]]))),(SamplingData[[#This Row],[Total]]+SamplingData[[#This Row],[Winning Candidate]]-SamplingData[[#This Row],[Candidate 4]])/(SamplingData[[#Totals],[Winning Candidate]]-SamplingData[[#Totals],[Candidate 4]]), 0)</f>
        <v>3.4786167382852467E-3</v>
      </c>
      <c r="N41" s="100">
        <f>IF(AND(SamplingData[[#This Row],[Total]]&lt;&gt; 0, NOT(ISBLANK(SamplingData[[#This Row],[Candidate 5]]))),(SamplingData[[#This Row],[Total]]+SamplingData[[#This Row],[Winning Candidate]]-SamplingData[[#This Row],[Candidate 5]])/(SamplingData[[#Totals],[Winning Candidate]]-SamplingData[[#Totals],[Candidate 5]]), 0)</f>
        <v>2.9676477742641692E-3</v>
      </c>
      <c r="O41" s="100">
        <f>IF(AND(SamplingData[[#This Row],[Total]]&lt;&gt; 0, NOT(ISBLANK(SamplingData[[#This Row],[Candidate 6]]))),(SamplingData[[#This Row],[Total]]+SamplingData[[#This Row],[Winning Candidate]]-SamplingData[[#This Row],[Candidate 6]])/(SamplingData[[#Totals],[Winning Candidate]]-SamplingData[[#Totals],[Candidate 6]]), 0)</f>
        <v>2.9424638879431936E-3</v>
      </c>
      <c r="P41" s="100">
        <f>MAX(SamplingData[[#This Row],[Error Bound (up) - Max. possible relative overstatement - Losing Candidate]:[Error Bound (up) - Max. possible relative overstatement - Candidate 6]])</f>
        <v>6.9818716315531602E-3</v>
      </c>
      <c r="Q41" s="100">
        <f>IF(SamplingData[[#This Row],[Max Error Bound (up)]] = 0,0,SamplingData[[#This Row],[Max Error Bound (up)]]/SamplingData[[#Totals],[Max Error Bound (up)]])</f>
        <v>1.1049961037428249E-3</v>
      </c>
      <c r="R41" s="101">
        <f>SUM($Q$5:Q41)</f>
        <v>4.1679677597317076E-2</v>
      </c>
      <c r="S41" s="100" t="str">
        <f t="array" ref="S41">IF(SamplingData[[#This Row],[up/U Selection Probability]] = 0, "Zero", TEXT(SamplingData[[#This Row],[Lower Range]], REPT("0",LEN('General Info'!$B$40))) &amp; " - " &amp; TEXT(SamplingData[[#This Row],[Upper Range]], REPT("0",LEN('General Info'!$B$40))))</f>
        <v>04057 - 04167</v>
      </c>
      <c r="T41" s="100">
        <f>SamplingData[[#This Row],[Upper Range]]-SamplingData[[#This Row],[Span]]</f>
        <v>4057.4692543535289</v>
      </c>
      <c r="U41" s="100">
        <f>IF(ISNUMBER('General Info'!$B$40), ((SamplingData[[#This Row],[up/U Selection Probability]]) * 'General Info'!$B$40) - 1, 0)</f>
        <v>109.49850537817875</v>
      </c>
      <c r="V41" s="100">
        <f>IF(ISNUMBER('General Info'!$B$40), (SamplingData[[#This Row],[Running (cumulative) sum]] * ('General Info'!$B$40 -'General Info'!$B$41 + 1)) + 'General Info'!$B$41 - 1, 0)</f>
        <v>4166.9677597317077</v>
      </c>
      <c r="W41" s="100" t="str">
        <f>IF(ISERROR(MATCH(SamplingData[[#This Row],[Batch by Type (p)]],SelectedPrecincts[Batch Name], 0)), "", INDEX(SelectedPrecincts[Draw], MATCH(SamplingData[[#This Row],[Batch by Type (p)]],SelectedPrecincts[Batch Name], 0)))</f>
        <v/>
      </c>
      <c r="X41" s="102">
        <f>IF(COUNTIF(SelectedPrecincts[Batch Name],SamplingData[[#This Row],[Batch by Type (p)]]) &lt;&gt; 0, COUNTIF(SelectedPrecincts[Batch Name],SamplingData[[#This Row],[Batch by Type (p)]]), 0)</f>
        <v>0</v>
      </c>
    </row>
    <row r="42" spans="1:24" ht="15" customHeight="1">
      <c r="A42" s="18" t="s">
        <v>218</v>
      </c>
      <c r="B42" s="18">
        <v>5</v>
      </c>
      <c r="C42" s="18">
        <v>32</v>
      </c>
      <c r="D42" s="18">
        <v>8</v>
      </c>
      <c r="E42" s="18">
        <v>0</v>
      </c>
      <c r="F42" s="18">
        <v>0</v>
      </c>
      <c r="G42" s="18">
        <v>0</v>
      </c>
      <c r="H42" s="18">
        <v>0</v>
      </c>
      <c r="I42" s="18">
        <v>0</v>
      </c>
      <c r="J42" s="99">
        <f>SUM(SamplingData[[#This Row],[Losing Candidate]:[Under Votes]])</f>
        <v>45</v>
      </c>
      <c r="K42" s="100">
        <f>IF(AND(SamplingData[[#This Row],[Total]]&lt;&gt; 0, NOT(ISBLANK(SamplingData[[#This Row],[Losing Candidate]]))),(SamplingData[[#This Row],[Total]]+SamplingData[[#This Row],[Winning Candidate]]-SamplingData[[#This Row],[Losing Candidate]])/(SamplingData[[#Totals],[Winning Candidate]]-SamplingData[[#Totals],[Losing Candidate]]), 0)</f>
        <v>4.4096031357177858E-3</v>
      </c>
      <c r="L42" s="100">
        <f>IF(AND(SamplingData[[#This Row],[Total]]&lt;&gt; 0, NOT(ISBLANK(SamplingData[[#This Row],[Candidate 3]]))),(SamplingData[[#This Row],[Total]]+SamplingData[[#This Row],[Winning Candidate]]-SamplingData[[#This Row],[Candidate 3]])/(SamplingData[[#Totals],[Winning Candidate]]-SamplingData[[#Totals],[Candidate 3]]), 0)</f>
        <v>2.2260218730844922E-3</v>
      </c>
      <c r="M42" s="100">
        <f>IF(AND(SamplingData[[#This Row],[Total]]&lt;&gt; 0, NOT(ISBLANK(SamplingData[[#This Row],[Candidate 4]]))),(SamplingData[[#This Row],[Total]]+SamplingData[[#This Row],[Winning Candidate]]-SamplingData[[#This Row],[Candidate 4]])/(SamplingData[[#Totals],[Winning Candidate]]-SamplingData[[#Totals],[Candidate 4]]), 0)</f>
        <v>2.2508696541845715E-3</v>
      </c>
      <c r="N42" s="100">
        <f>IF(AND(SamplingData[[#This Row],[Total]]&lt;&gt; 0, NOT(ISBLANK(SamplingData[[#This Row],[Candidate 5]]))),(SamplingData[[#This Row],[Total]]+SamplingData[[#This Row],[Winning Candidate]]-SamplingData[[#This Row],[Candidate 5]])/(SamplingData[[#Totals],[Winning Candidate]]-SamplingData[[#Totals],[Candidate 5]]), 0)</f>
        <v>1.8730235952323035E-3</v>
      </c>
      <c r="O42" s="100">
        <f>IF(AND(SamplingData[[#This Row],[Total]]&lt;&gt; 0, NOT(ISBLANK(SamplingData[[#This Row],[Candidate 6]]))),(SamplingData[[#This Row],[Total]]+SamplingData[[#This Row],[Winning Candidate]]-SamplingData[[#This Row],[Candidate 6]])/(SamplingData[[#Totals],[Winning Candidate]]-SamplingData[[#Totals],[Candidate 6]]), 0)</f>
        <v>1.872477019600214E-3</v>
      </c>
      <c r="P42" s="100">
        <f>MAX(SamplingData[[#This Row],[Error Bound (up) - Max. possible relative overstatement - Losing Candidate]:[Error Bound (up) - Max. possible relative overstatement - Candidate 6]])</f>
        <v>4.4096031357177858E-3</v>
      </c>
      <c r="Q42" s="100">
        <f>IF(SamplingData[[#This Row],[Max Error Bound (up)]] = 0,0,SamplingData[[#This Row],[Max Error Bound (up)]]/SamplingData[[#Totals],[Max Error Bound (up)]])</f>
        <v>6.9789227604809994E-4</v>
      </c>
      <c r="R42" s="101">
        <f>SUM($Q$5:Q42)</f>
        <v>4.2377569873365176E-2</v>
      </c>
      <c r="S42" s="100" t="str">
        <f t="array" ref="S42">IF(SamplingData[[#This Row],[up/U Selection Probability]] = 0, "Zero", TEXT(SamplingData[[#This Row],[Lower Range]], REPT("0",LEN('General Info'!$B$40))) &amp; " - " &amp; TEXT(SamplingData[[#This Row],[Upper Range]], REPT("0",LEN('General Info'!$B$40))))</f>
        <v>04168 - 04237</v>
      </c>
      <c r="T42" s="100">
        <f>SamplingData[[#This Row],[Upper Range]]-SamplingData[[#This Row],[Span]]</f>
        <v>4167.9684576239833</v>
      </c>
      <c r="U42" s="100">
        <f>IF(ISNUMBER('General Info'!$B$40), ((SamplingData[[#This Row],[up/U Selection Probability]]) * 'General Info'!$B$40) - 1, 0)</f>
        <v>68.788529712533943</v>
      </c>
      <c r="V42" s="100">
        <f>IF(ISNUMBER('General Info'!$B$40), (SamplingData[[#This Row],[Running (cumulative) sum]] * ('General Info'!$B$40 -'General Info'!$B$41 + 1)) + 'General Info'!$B$41 - 1, 0)</f>
        <v>4236.7569873365173</v>
      </c>
      <c r="W42" s="100" t="str">
        <f>IF(ISERROR(MATCH(SamplingData[[#This Row],[Batch by Type (p)]],SelectedPrecincts[Batch Name], 0)), "", INDEX(SelectedPrecincts[Draw], MATCH(SamplingData[[#This Row],[Batch by Type (p)]],SelectedPrecincts[Batch Name], 0)))</f>
        <v/>
      </c>
      <c r="X42" s="102">
        <f>IF(COUNTIF(SelectedPrecincts[Batch Name],SamplingData[[#This Row],[Batch by Type (p)]]) &lt;&gt; 0, COUNTIF(SelectedPrecincts[Batch Name],SamplingData[[#This Row],[Batch by Type (p)]]), 0)</f>
        <v>0</v>
      </c>
    </row>
    <row r="43" spans="1:24" ht="15" customHeight="1">
      <c r="A43" s="18" t="s">
        <v>219</v>
      </c>
      <c r="B43" s="18">
        <v>4</v>
      </c>
      <c r="C43" s="18">
        <v>40</v>
      </c>
      <c r="D43" s="16">
        <v>2</v>
      </c>
      <c r="E43" s="16">
        <v>3</v>
      </c>
      <c r="F43" s="37">
        <v>0</v>
      </c>
      <c r="G43" s="37">
        <v>0</v>
      </c>
      <c r="H43" s="16">
        <v>0</v>
      </c>
      <c r="I43" s="16">
        <v>0</v>
      </c>
      <c r="J43" s="99">
        <f>SUM(SamplingData[[#This Row],[Losing Candidate]:[Under Votes]])</f>
        <v>49</v>
      </c>
      <c r="K43" s="100">
        <f>IF(AND(SamplingData[[#This Row],[Total]]&lt;&gt; 0, NOT(ISBLANK(SamplingData[[#This Row],[Losing Candidate]]))),(SamplingData[[#This Row],[Total]]+SamplingData[[#This Row],[Winning Candidate]]-SamplingData[[#This Row],[Losing Candidate]])/(SamplingData[[#Totals],[Winning Candidate]]-SamplingData[[#Totals],[Losing Candidate]]), 0)</f>
        <v>5.2057814796668302E-3</v>
      </c>
      <c r="L43" s="100">
        <f>IF(AND(SamplingData[[#This Row],[Total]]&lt;&gt; 0, NOT(ISBLANK(SamplingData[[#This Row],[Candidate 3]]))),(SamplingData[[#This Row],[Total]]+SamplingData[[#This Row],[Winning Candidate]]-SamplingData[[#This Row],[Candidate 3]])/(SamplingData[[#Totals],[Winning Candidate]]-SamplingData[[#Totals],[Candidate 3]]), 0)</f>
        <v>2.8067232312804463E-3</v>
      </c>
      <c r="M43" s="100">
        <f>IF(AND(SamplingData[[#This Row],[Total]]&lt;&gt; 0, NOT(ISBLANK(SamplingData[[#This Row],[Candidate 4]]))),(SamplingData[[#This Row],[Total]]+SamplingData[[#This Row],[Winning Candidate]]-SamplingData[[#This Row],[Candidate 4]])/(SamplingData[[#Totals],[Winning Candidate]]-SamplingData[[#Totals],[Candidate 4]]), 0)</f>
        <v>2.5139583150632873E-3</v>
      </c>
      <c r="N43" s="100">
        <f>IF(AND(SamplingData[[#This Row],[Total]]&lt;&gt; 0, NOT(ISBLANK(SamplingData[[#This Row],[Candidate 5]]))),(SamplingData[[#This Row],[Total]]+SamplingData[[#This Row],[Winning Candidate]]-SamplingData[[#This Row],[Candidate 5]])/(SamplingData[[#Totals],[Winning Candidate]]-SamplingData[[#Totals],[Candidate 5]]), 0)</f>
        <v>2.1649233763074678E-3</v>
      </c>
      <c r="O43" s="100">
        <f>IF(AND(SamplingData[[#This Row],[Total]]&lt;&gt; 0, NOT(ISBLANK(SamplingData[[#This Row],[Candidate 6]]))),(SamplingData[[#This Row],[Total]]+SamplingData[[#This Row],[Winning Candidate]]-SamplingData[[#This Row],[Candidate 6]])/(SamplingData[[#Totals],[Winning Candidate]]-SamplingData[[#Totals],[Candidate 6]]), 0)</f>
        <v>2.16429162005739E-3</v>
      </c>
      <c r="P43" s="100">
        <f>MAX(SamplingData[[#This Row],[Error Bound (up) - Max. possible relative overstatement - Losing Candidate]:[Error Bound (up) - Max. possible relative overstatement - Candidate 6]])</f>
        <v>5.2057814796668302E-3</v>
      </c>
      <c r="Q43" s="100">
        <f>IF(SamplingData[[#This Row],[Max Error Bound (up)]] = 0,0,SamplingData[[#This Row],[Max Error Bound (up)]]/SamplingData[[#Totals],[Max Error Bound (up)]])</f>
        <v>8.2390060366789575E-4</v>
      </c>
      <c r="R43" s="101">
        <f>SUM($Q$5:Q43)</f>
        <v>4.3201470477033072E-2</v>
      </c>
      <c r="S43" s="100" t="str">
        <f t="array" ref="S43">IF(SamplingData[[#This Row],[up/U Selection Probability]] = 0, "Zero", TEXT(SamplingData[[#This Row],[Lower Range]], REPT("0",LEN('General Info'!$B$40))) &amp; " - " &amp; TEXT(SamplingData[[#This Row],[Upper Range]], REPT("0",LEN('General Info'!$B$40))))</f>
        <v>04238 - 04319</v>
      </c>
      <c r="T43" s="100">
        <f>SamplingData[[#This Row],[Upper Range]]-SamplingData[[#This Row],[Span]]</f>
        <v>4237.7578112371211</v>
      </c>
      <c r="U43" s="100">
        <f>IF(ISNUMBER('General Info'!$B$40), ((SamplingData[[#This Row],[up/U Selection Probability]]) * 'General Info'!$B$40) - 1, 0)</f>
        <v>81.389236466185906</v>
      </c>
      <c r="V43" s="100">
        <f>IF(ISNUMBER('General Info'!$B$40), (SamplingData[[#This Row],[Running (cumulative) sum]] * ('General Info'!$B$40 -'General Info'!$B$41 + 1)) + 'General Info'!$B$41 - 1, 0)</f>
        <v>4319.1470477033072</v>
      </c>
      <c r="W43" s="100" t="str">
        <f>IF(ISERROR(MATCH(SamplingData[[#This Row],[Batch by Type (p)]],SelectedPrecincts[Batch Name], 0)), "", INDEX(SelectedPrecincts[Draw], MATCH(SamplingData[[#This Row],[Batch by Type (p)]],SelectedPrecincts[Batch Name], 0)))</f>
        <v/>
      </c>
      <c r="X43" s="102">
        <f>IF(COUNTIF(SelectedPrecincts[Batch Name],SamplingData[[#This Row],[Batch by Type (p)]]) &lt;&gt; 0, COUNTIF(SelectedPrecincts[Batch Name],SamplingData[[#This Row],[Batch by Type (p)]]), 0)</f>
        <v>0</v>
      </c>
    </row>
    <row r="44" spans="1:24" ht="15" customHeight="1">
      <c r="A44" s="18" t="s">
        <v>220</v>
      </c>
      <c r="B44" s="18">
        <v>3</v>
      </c>
      <c r="C44" s="18">
        <v>24</v>
      </c>
      <c r="D44" s="18">
        <v>1</v>
      </c>
      <c r="E44" s="18">
        <v>0</v>
      </c>
      <c r="F44" s="18">
        <v>1</v>
      </c>
      <c r="G44" s="18">
        <v>0</v>
      </c>
      <c r="H44" s="18">
        <v>0</v>
      </c>
      <c r="I44" s="18">
        <v>1</v>
      </c>
      <c r="J44" s="99">
        <f>SUM(SamplingData[[#This Row],[Losing Candidate]:[Under Votes]])</f>
        <v>30</v>
      </c>
      <c r="K44" s="100">
        <f>IF(AND(SamplingData[[#This Row],[Total]]&lt;&gt; 0, NOT(ISBLANK(SamplingData[[#This Row],[Losing Candidate]]))),(SamplingData[[#This Row],[Total]]+SamplingData[[#This Row],[Winning Candidate]]-SamplingData[[#This Row],[Losing Candidate]])/(SamplingData[[#Totals],[Winning Candidate]]-SamplingData[[#Totals],[Losing Candidate]]), 0)</f>
        <v>3.1234688878000981E-3</v>
      </c>
      <c r="L44" s="100">
        <f>IF(AND(SamplingData[[#This Row],[Total]]&lt;&gt; 0, NOT(ISBLANK(SamplingData[[#This Row],[Candidate 3]]))),(SamplingData[[#This Row],[Total]]+SamplingData[[#This Row],[Winning Candidate]]-SamplingData[[#This Row],[Candidate 3]])/(SamplingData[[#Totals],[Winning Candidate]]-SamplingData[[#Totals],[Candidate 3]]), 0)</f>
        <v>1.7098428880214214E-3</v>
      </c>
      <c r="M44" s="100">
        <f>IF(AND(SamplingData[[#This Row],[Total]]&lt;&gt; 0, NOT(ISBLANK(SamplingData[[#This Row],[Candidate 4]]))),(SamplingData[[#This Row],[Total]]+SamplingData[[#This Row],[Winning Candidate]]-SamplingData[[#This Row],[Candidate 4]])/(SamplingData[[#Totals],[Winning Candidate]]-SamplingData[[#Totals],[Candidate 4]]), 0)</f>
        <v>1.5785319652722968E-3</v>
      </c>
      <c r="N44" s="100">
        <f>IF(AND(SamplingData[[#This Row],[Total]]&lt;&gt; 0, NOT(ISBLANK(SamplingData[[#This Row],[Candidate 5]]))),(SamplingData[[#This Row],[Total]]+SamplingData[[#This Row],[Winning Candidate]]-SamplingData[[#This Row],[Candidate 5]])/(SamplingData[[#Totals],[Winning Candidate]]-SamplingData[[#Totals],[Candidate 5]]), 0)</f>
        <v>1.2892240330819751E-3</v>
      </c>
      <c r="O44" s="100">
        <f>IF(AND(SamplingData[[#This Row],[Total]]&lt;&gt; 0, NOT(ISBLANK(SamplingData[[#This Row],[Candidate 6]]))),(SamplingData[[#This Row],[Total]]+SamplingData[[#This Row],[Winning Candidate]]-SamplingData[[#This Row],[Candidate 6]])/(SamplingData[[#Totals],[Winning Candidate]]-SamplingData[[#Totals],[Candidate 6]]), 0)</f>
        <v>1.313165702057293E-3</v>
      </c>
      <c r="P44" s="100">
        <f>MAX(SamplingData[[#This Row],[Error Bound (up) - Max. possible relative overstatement - Losing Candidate]:[Error Bound (up) - Max. possible relative overstatement - Candidate 6]])</f>
        <v>3.1234688878000981E-3</v>
      </c>
      <c r="Q44" s="100">
        <f>IF(SamplingData[[#This Row],[Max Error Bound (up)]] = 0,0,SamplingData[[#This Row],[Max Error Bound (up)]]/SamplingData[[#Totals],[Max Error Bound (up)]])</f>
        <v>4.9434036220073741E-4</v>
      </c>
      <c r="R44" s="101">
        <f>SUM($Q$5:Q44)</f>
        <v>4.3695810839233809E-2</v>
      </c>
      <c r="S44" s="100" t="str">
        <f t="array" ref="S44">IF(SamplingData[[#This Row],[up/U Selection Probability]] = 0, "Zero", TEXT(SamplingData[[#This Row],[Lower Range]], REPT("0",LEN('General Info'!$B$40))) &amp; " - " &amp; TEXT(SamplingData[[#This Row],[Upper Range]], REPT("0",LEN('General Info'!$B$40))))</f>
        <v>04320 - 04369</v>
      </c>
      <c r="T44" s="100">
        <f>SamplingData[[#This Row],[Upper Range]]-SamplingData[[#This Row],[Span]]</f>
        <v>4320.1475420436691</v>
      </c>
      <c r="U44" s="100">
        <f>IF(ISNUMBER('General Info'!$B$40), ((SamplingData[[#This Row],[up/U Selection Probability]]) * 'General Info'!$B$40) - 1, 0)</f>
        <v>48.433541879711541</v>
      </c>
      <c r="V44" s="100">
        <f>IF(ISNUMBER('General Info'!$B$40), (SamplingData[[#This Row],[Running (cumulative) sum]] * ('General Info'!$B$40 -'General Info'!$B$41 + 1)) + 'General Info'!$B$41 - 1, 0)</f>
        <v>4368.5810839233809</v>
      </c>
      <c r="W44" s="100" t="str">
        <f>IF(ISERROR(MATCH(SamplingData[[#This Row],[Batch by Type (p)]],SelectedPrecincts[Batch Name], 0)), "", INDEX(SelectedPrecincts[Draw], MATCH(SamplingData[[#This Row],[Batch by Type (p)]],SelectedPrecincts[Batch Name], 0)))</f>
        <v/>
      </c>
      <c r="X44" s="102">
        <f>IF(COUNTIF(SelectedPrecincts[Batch Name],SamplingData[[#This Row],[Batch by Type (p)]]) &lt;&gt; 0, COUNTIF(SelectedPrecincts[Batch Name],SamplingData[[#This Row],[Batch by Type (p)]]), 0)</f>
        <v>0</v>
      </c>
    </row>
    <row r="45" spans="1:24" ht="15" customHeight="1">
      <c r="A45" s="18" t="s">
        <v>221</v>
      </c>
      <c r="B45" s="18">
        <v>4</v>
      </c>
      <c r="C45" s="18">
        <v>17</v>
      </c>
      <c r="D45" s="16">
        <v>4</v>
      </c>
      <c r="E45" s="16">
        <v>2</v>
      </c>
      <c r="F45" s="37">
        <v>0</v>
      </c>
      <c r="G45" s="37">
        <v>0</v>
      </c>
      <c r="H45" s="16">
        <v>1</v>
      </c>
      <c r="I45" s="16">
        <v>1</v>
      </c>
      <c r="J45" s="99">
        <f>SUM(SamplingData[[#This Row],[Losing Candidate]:[Under Votes]])</f>
        <v>29</v>
      </c>
      <c r="K45"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45" s="100">
        <f>IF(AND(SamplingData[[#This Row],[Total]]&lt;&gt; 0, NOT(ISBLANK(SamplingData[[#This Row],[Candidate 3]]))),(SamplingData[[#This Row],[Total]]+SamplingData[[#This Row],[Winning Candidate]]-SamplingData[[#This Row],[Candidate 3]])/(SamplingData[[#Totals],[Winning Candidate]]-SamplingData[[#Totals],[Candidate 3]]), 0)</f>
        <v>1.3549698357905604E-3</v>
      </c>
      <c r="M45" s="100">
        <f>IF(AND(SamplingData[[#This Row],[Total]]&lt;&gt; 0, NOT(ISBLANK(SamplingData[[#This Row],[Candidate 4]]))),(SamplingData[[#This Row],[Total]]+SamplingData[[#This Row],[Winning Candidate]]-SamplingData[[#This Row],[Candidate 4]])/(SamplingData[[#Totals],[Winning Candidate]]-SamplingData[[#Totals],[Candidate 4]]), 0)</f>
        <v>1.2862112309626121E-3</v>
      </c>
      <c r="N45" s="100">
        <f>IF(AND(SamplingData[[#This Row],[Total]]&lt;&gt; 0, NOT(ISBLANK(SamplingData[[#This Row],[Candidate 5]]))),(SamplingData[[#This Row],[Total]]+SamplingData[[#This Row],[Winning Candidate]]-SamplingData[[#This Row],[Candidate 5]])/(SamplingData[[#Totals],[Winning Candidate]]-SamplingData[[#Totals],[Candidate 5]]), 0)</f>
        <v>1.1189491607881295E-3</v>
      </c>
      <c r="O45" s="100">
        <f>IF(AND(SamplingData[[#This Row],[Total]]&lt;&gt; 0, NOT(ISBLANK(SamplingData[[#This Row],[Candidate 6]]))),(SamplingData[[#This Row],[Total]]+SamplingData[[#This Row],[Winning Candidate]]-SamplingData[[#This Row],[Candidate 6]])/(SamplingData[[#Totals],[Winning Candidate]]-SamplingData[[#Totals],[Candidate 6]]), 0)</f>
        <v>1.1186226350858421E-3</v>
      </c>
      <c r="P45" s="100">
        <f>MAX(SamplingData[[#This Row],[Error Bound (up) - Max. possible relative overstatement - Losing Candidate]:[Error Bound (up) - Max. possible relative overstatement - Candidate 6]])</f>
        <v>2.5722684958353749E-3</v>
      </c>
      <c r="Q45" s="100">
        <f>IF(SamplingData[[#This Row],[Max Error Bound (up)]] = 0,0,SamplingData[[#This Row],[Max Error Bound (up)]]/SamplingData[[#Totals],[Max Error Bound (up)]])</f>
        <v>4.0710382769472496E-4</v>
      </c>
      <c r="R45" s="101">
        <f>SUM($Q$5:Q45)</f>
        <v>4.4102914666928533E-2</v>
      </c>
      <c r="S45" s="100" t="str">
        <f t="array" ref="S45">IF(SamplingData[[#This Row],[up/U Selection Probability]] = 0, "Zero", TEXT(SamplingData[[#This Row],[Lower Range]], REPT("0",LEN('General Info'!$B$40))) &amp; " - " &amp; TEXT(SamplingData[[#This Row],[Upper Range]], REPT("0",LEN('General Info'!$B$40))))</f>
        <v>04370 - 04409</v>
      </c>
      <c r="T45" s="100">
        <f>SamplingData[[#This Row],[Upper Range]]-SamplingData[[#This Row],[Span]]</f>
        <v>4369.5814910272093</v>
      </c>
      <c r="U45" s="100">
        <f>IF(ISNUMBER('General Info'!$B$40), ((SamplingData[[#This Row],[up/U Selection Probability]]) * 'General Info'!$B$40) - 1, 0)</f>
        <v>39.709975665644798</v>
      </c>
      <c r="V45" s="100">
        <f>IF(ISNUMBER('General Info'!$B$40), (SamplingData[[#This Row],[Running (cumulative) sum]] * ('General Info'!$B$40 -'General Info'!$B$41 + 1)) + 'General Info'!$B$41 - 1, 0)</f>
        <v>4409.2914666928536</v>
      </c>
      <c r="W45" s="100" t="str">
        <f>IF(ISERROR(MATCH(SamplingData[[#This Row],[Batch by Type (p)]],SelectedPrecincts[Batch Name], 0)), "", INDEX(SelectedPrecincts[Draw], MATCH(SamplingData[[#This Row],[Batch by Type (p)]],SelectedPrecincts[Batch Name], 0)))</f>
        <v/>
      </c>
      <c r="X45" s="102">
        <f>IF(COUNTIF(SelectedPrecincts[Batch Name],SamplingData[[#This Row],[Batch by Type (p)]]) &lt;&gt; 0, COUNTIF(SelectedPrecincts[Batch Name],SamplingData[[#This Row],[Batch by Type (p)]]), 0)</f>
        <v>0</v>
      </c>
    </row>
    <row r="46" spans="1:24" ht="15" customHeight="1">
      <c r="A46" s="18" t="s">
        <v>222</v>
      </c>
      <c r="B46" s="18">
        <v>2</v>
      </c>
      <c r="C46" s="18">
        <v>12</v>
      </c>
      <c r="D46" s="18">
        <v>1</v>
      </c>
      <c r="E46" s="18">
        <v>0</v>
      </c>
      <c r="F46" s="18">
        <v>0</v>
      </c>
      <c r="G46" s="18">
        <v>0</v>
      </c>
      <c r="H46" s="18">
        <v>0</v>
      </c>
      <c r="I46" s="18">
        <v>1</v>
      </c>
      <c r="J46" s="99">
        <f>SUM(SamplingData[[#This Row],[Losing Candidate]:[Under Votes]])</f>
        <v>16</v>
      </c>
      <c r="K46"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46" s="100">
        <f>IF(AND(SamplingData[[#This Row],[Total]]&lt;&gt; 0, NOT(ISBLANK(SamplingData[[#This Row],[Candidate 3]]))),(SamplingData[[#This Row],[Total]]+SamplingData[[#This Row],[Winning Candidate]]-SamplingData[[#This Row],[Candidate 3]])/(SamplingData[[#Totals],[Winning Candidate]]-SamplingData[[#Totals],[Candidate 3]]), 0)</f>
        <v>8.710520372939317E-4</v>
      </c>
      <c r="M46" s="100">
        <f>IF(AND(SamplingData[[#This Row],[Total]]&lt;&gt; 0, NOT(ISBLANK(SamplingData[[#This Row],[Candidate 4]]))),(SamplingData[[#This Row],[Total]]+SamplingData[[#This Row],[Winning Candidate]]-SamplingData[[#This Row],[Candidate 4]])/(SamplingData[[#Totals],[Winning Candidate]]-SamplingData[[#Totals],[Candidate 4]]), 0)</f>
        <v>8.1849805606711685E-4</v>
      </c>
      <c r="N46" s="100">
        <f>IF(AND(SamplingData[[#This Row],[Total]]&lt;&gt; 0, NOT(ISBLANK(SamplingData[[#This Row],[Candidate 5]]))),(SamplingData[[#This Row],[Total]]+SamplingData[[#This Row],[Winning Candidate]]-SamplingData[[#This Row],[Candidate 5]])/(SamplingData[[#Totals],[Winning Candidate]]-SamplingData[[#Totals],[Candidate 5]]), 0)</f>
        <v>6.8109948917538315E-4</v>
      </c>
      <c r="O46" s="100">
        <f>IF(AND(SamplingData[[#This Row],[Total]]&lt;&gt; 0, NOT(ISBLANK(SamplingData[[#This Row],[Candidate 6]]))),(SamplingData[[#This Row],[Total]]+SamplingData[[#This Row],[Winning Candidate]]-SamplingData[[#This Row],[Candidate 6]])/(SamplingData[[#Totals],[Winning Candidate]]-SamplingData[[#Totals],[Candidate 6]]), 0)</f>
        <v>6.8090073440007777E-4</v>
      </c>
      <c r="P46" s="100">
        <f>MAX(SamplingData[[#This Row],[Error Bound (up) - Max. possible relative overstatement - Losing Candidate]:[Error Bound (up) - Max. possible relative overstatement - Candidate 6]])</f>
        <v>1.5923566878980893E-3</v>
      </c>
      <c r="Q46" s="100">
        <f>IF(SamplingData[[#This Row],[Max Error Bound (up)]] = 0,0,SamplingData[[#This Row],[Max Error Bound (up)]]/SamplingData[[#Totals],[Max Error Bound (up)]])</f>
        <v>2.5201665523959162E-4</v>
      </c>
      <c r="R46" s="101">
        <f>SUM($Q$5:Q46)</f>
        <v>4.4354931322168126E-2</v>
      </c>
      <c r="S46" s="100" t="str">
        <f t="array" ref="S46">IF(SamplingData[[#This Row],[up/U Selection Probability]] = 0, "Zero", TEXT(SamplingData[[#This Row],[Lower Range]], REPT("0",LEN('General Info'!$B$40))) &amp; " - " &amp; TEXT(SamplingData[[#This Row],[Upper Range]], REPT("0",LEN('General Info'!$B$40))))</f>
        <v>04410 - 04434</v>
      </c>
      <c r="T46" s="100">
        <f>SamplingData[[#This Row],[Upper Range]]-SamplingData[[#This Row],[Span]]</f>
        <v>4410.2917187095081</v>
      </c>
      <c r="U46" s="100">
        <f>IF(ISNUMBER('General Info'!$B$40), ((SamplingData[[#This Row],[up/U Selection Probability]]) * 'General Info'!$B$40) - 1, 0)</f>
        <v>24.201413507303922</v>
      </c>
      <c r="V46" s="100">
        <f>IF(ISNUMBER('General Info'!$B$40), (SamplingData[[#This Row],[Running (cumulative) sum]] * ('General Info'!$B$40 -'General Info'!$B$41 + 1)) + 'General Info'!$B$41 - 1, 0)</f>
        <v>4434.4931322168122</v>
      </c>
      <c r="W46" s="100" t="str">
        <f>IF(ISERROR(MATCH(SamplingData[[#This Row],[Batch by Type (p)]],SelectedPrecincts[Batch Name], 0)), "", INDEX(SelectedPrecincts[Draw], MATCH(SamplingData[[#This Row],[Batch by Type (p)]],SelectedPrecincts[Batch Name], 0)))</f>
        <v/>
      </c>
      <c r="X46" s="102">
        <f>IF(COUNTIF(SelectedPrecincts[Batch Name],SamplingData[[#This Row],[Batch by Type (p)]]) &lt;&gt; 0, COUNTIF(SelectedPrecincts[Batch Name],SamplingData[[#This Row],[Batch by Type (p)]]), 0)</f>
        <v>0</v>
      </c>
    </row>
    <row r="47" spans="1:24" ht="15" customHeight="1">
      <c r="A47" s="18" t="s">
        <v>223</v>
      </c>
      <c r="B47" s="18">
        <v>2</v>
      </c>
      <c r="C47" s="18">
        <v>11</v>
      </c>
      <c r="D47" s="16">
        <v>2</v>
      </c>
      <c r="E47" s="16">
        <v>0</v>
      </c>
      <c r="F47" s="37">
        <v>0</v>
      </c>
      <c r="G47" s="37">
        <v>1</v>
      </c>
      <c r="H47" s="16">
        <v>0</v>
      </c>
      <c r="I47" s="16">
        <v>0</v>
      </c>
      <c r="J47" s="99">
        <f>SUM(SamplingData[[#This Row],[Losing Candidate]:[Under Votes]])</f>
        <v>16</v>
      </c>
      <c r="K47"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47" s="100">
        <f>IF(AND(SamplingData[[#This Row],[Total]]&lt;&gt; 0, NOT(ISBLANK(SamplingData[[#This Row],[Candidate 3]]))),(SamplingData[[#This Row],[Total]]+SamplingData[[#This Row],[Winning Candidate]]-SamplingData[[#This Row],[Candidate 3]])/(SamplingData[[#Totals],[Winning Candidate]]-SamplingData[[#Totals],[Candidate 3]]), 0)</f>
        <v>8.0652966416104783E-4</v>
      </c>
      <c r="M47" s="100">
        <f>IF(AND(SamplingData[[#This Row],[Total]]&lt;&gt; 0, NOT(ISBLANK(SamplingData[[#This Row],[Candidate 4]]))),(SamplingData[[#This Row],[Total]]+SamplingData[[#This Row],[Winning Candidate]]-SamplingData[[#This Row],[Candidate 4]])/(SamplingData[[#Totals],[Winning Candidate]]-SamplingData[[#Totals],[Candidate 4]]), 0)</f>
        <v>7.8926598263614838E-4</v>
      </c>
      <c r="N47" s="100">
        <f>IF(AND(SamplingData[[#This Row],[Total]]&lt;&gt; 0, NOT(ISBLANK(SamplingData[[#This Row],[Candidate 5]]))),(SamplingData[[#This Row],[Total]]+SamplingData[[#This Row],[Winning Candidate]]-SamplingData[[#This Row],[Candidate 5]])/(SamplingData[[#Totals],[Winning Candidate]]-SamplingData[[#Totals],[Candidate 5]]), 0)</f>
        <v>6.5677450741911947E-4</v>
      </c>
      <c r="O47" s="100">
        <f>IF(AND(SamplingData[[#This Row],[Total]]&lt;&gt; 0, NOT(ISBLANK(SamplingData[[#This Row],[Candidate 6]]))),(SamplingData[[#This Row],[Total]]+SamplingData[[#This Row],[Winning Candidate]]-SamplingData[[#This Row],[Candidate 6]])/(SamplingData[[#Totals],[Winning Candidate]]-SamplingData[[#Totals],[Candidate 6]]), 0)</f>
        <v>6.322649676572151E-4</v>
      </c>
      <c r="P47" s="100">
        <f>MAX(SamplingData[[#This Row],[Error Bound (up) - Max. possible relative overstatement - Losing Candidate]:[Error Bound (up) - Max. possible relative overstatement - Candidate 6]])</f>
        <v>1.5311121999020088E-3</v>
      </c>
      <c r="Q47" s="100">
        <f>IF(SamplingData[[#This Row],[Max Error Bound (up)]] = 0,0,SamplingData[[#This Row],[Max Error Bound (up)]]/SamplingData[[#Totals],[Max Error Bound (up)]])</f>
        <v>2.4232370696114578E-4</v>
      </c>
      <c r="R47" s="101">
        <f>SUM($Q$5:Q47)</f>
        <v>4.4597255029129271E-2</v>
      </c>
      <c r="S47" s="100" t="str">
        <f t="array" ref="S47">IF(SamplingData[[#This Row],[up/U Selection Probability]] = 0, "Zero", TEXT(SamplingData[[#This Row],[Lower Range]], REPT("0",LEN('General Info'!$B$40))) &amp; " - " &amp; TEXT(SamplingData[[#This Row],[Upper Range]], REPT("0",LEN('General Info'!$B$40))))</f>
        <v>04435 - 04459</v>
      </c>
      <c r="T47" s="100">
        <f>SamplingData[[#This Row],[Upper Range]]-SamplingData[[#This Row],[Span]]</f>
        <v>4435.4933745405197</v>
      </c>
      <c r="U47" s="100">
        <f>IF(ISNUMBER('General Info'!$B$40), ((SamplingData[[#This Row],[up/U Selection Probability]]) * 'General Info'!$B$40) - 1, 0)</f>
        <v>23.232128372407619</v>
      </c>
      <c r="V47" s="100">
        <f>IF(ISNUMBER('General Info'!$B$40), (SamplingData[[#This Row],[Running (cumulative) sum]] * ('General Info'!$B$40 -'General Info'!$B$41 + 1)) + 'General Info'!$B$41 - 1, 0)</f>
        <v>4458.7255029129274</v>
      </c>
      <c r="W47" s="100" t="str">
        <f>IF(ISERROR(MATCH(SamplingData[[#This Row],[Batch by Type (p)]],SelectedPrecincts[Batch Name], 0)), "", INDEX(SelectedPrecincts[Draw], MATCH(SamplingData[[#This Row],[Batch by Type (p)]],SelectedPrecincts[Batch Name], 0)))</f>
        <v/>
      </c>
      <c r="X47" s="102">
        <f>IF(COUNTIF(SelectedPrecincts[Batch Name],SamplingData[[#This Row],[Batch by Type (p)]]) &lt;&gt; 0, COUNTIF(SelectedPrecincts[Batch Name],SamplingData[[#This Row],[Batch by Type (p)]]), 0)</f>
        <v>0</v>
      </c>
    </row>
    <row r="48" spans="1:24" ht="15" customHeight="1">
      <c r="A48" s="18" t="s">
        <v>224</v>
      </c>
      <c r="B48" s="18">
        <v>1</v>
      </c>
      <c r="C48" s="18">
        <v>8</v>
      </c>
      <c r="D48" s="18">
        <v>2</v>
      </c>
      <c r="E48" s="18">
        <v>1</v>
      </c>
      <c r="F48" s="18">
        <v>0</v>
      </c>
      <c r="G48" s="18">
        <v>0</v>
      </c>
      <c r="H48" s="18">
        <v>0</v>
      </c>
      <c r="I48" s="18">
        <v>1</v>
      </c>
      <c r="J48" s="99">
        <f>SUM(SamplingData[[#This Row],[Losing Candidate]:[Under Votes]])</f>
        <v>13</v>
      </c>
      <c r="K4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48" s="100">
        <f>IF(AND(SamplingData[[#This Row],[Total]]&lt;&gt; 0, NOT(ISBLANK(SamplingData[[#This Row],[Candidate 3]]))),(SamplingData[[#This Row],[Total]]+SamplingData[[#This Row],[Winning Candidate]]-SamplingData[[#This Row],[Candidate 3]])/(SamplingData[[#Totals],[Winning Candidate]]-SamplingData[[#Totals],[Candidate 3]]), 0)</f>
        <v>6.1296254476239632E-4</v>
      </c>
      <c r="M48" s="100">
        <f>IF(AND(SamplingData[[#This Row],[Total]]&lt;&gt; 0, NOT(ISBLANK(SamplingData[[#This Row],[Candidate 4]]))),(SamplingData[[#This Row],[Total]]+SamplingData[[#This Row],[Winning Candidate]]-SamplingData[[#This Row],[Candidate 4]])/(SamplingData[[#Totals],[Winning Candidate]]-SamplingData[[#Totals],[Candidate 4]]), 0)</f>
        <v>5.8464146861936922E-4</v>
      </c>
      <c r="N48" s="100">
        <f>IF(AND(SamplingData[[#This Row],[Total]]&lt;&gt; 0, NOT(ISBLANK(SamplingData[[#This Row],[Candidate 5]]))),(SamplingData[[#This Row],[Total]]+SamplingData[[#This Row],[Winning Candidate]]-SamplingData[[#This Row],[Candidate 5]])/(SamplingData[[#Totals],[Winning Candidate]]-SamplingData[[#Totals],[Candidate 5]]), 0)</f>
        <v>5.1082461688153739E-4</v>
      </c>
      <c r="O48" s="100">
        <f>IF(AND(SamplingData[[#This Row],[Total]]&lt;&gt; 0, NOT(ISBLANK(SamplingData[[#This Row],[Candidate 6]]))),(SamplingData[[#This Row],[Total]]+SamplingData[[#This Row],[Winning Candidate]]-SamplingData[[#This Row],[Candidate 6]])/(SamplingData[[#Totals],[Winning Candidate]]-SamplingData[[#Totals],[Candidate 6]]), 0)</f>
        <v>5.1067555080005838E-4</v>
      </c>
      <c r="P48" s="100">
        <f>MAX(SamplingData[[#This Row],[Error Bound (up) - Max. possible relative overstatement - Losing Candidate]:[Error Bound (up) - Max. possible relative overstatement - Candidate 6]])</f>
        <v>1.224889759921607E-3</v>
      </c>
      <c r="Q48" s="100">
        <f>IF(SamplingData[[#This Row],[Max Error Bound (up)]] = 0,0,SamplingData[[#This Row],[Max Error Bound (up)]]/SamplingData[[#Totals],[Max Error Bound (up)]])</f>
        <v>1.9385896556891664E-4</v>
      </c>
      <c r="R48" s="101">
        <f>SUM($Q$5:Q48)</f>
        <v>4.4791113994698185E-2</v>
      </c>
      <c r="S48" s="100" t="str">
        <f t="array" ref="S48">IF(SamplingData[[#This Row],[up/U Selection Probability]] = 0, "Zero", TEXT(SamplingData[[#This Row],[Lower Range]], REPT("0",LEN('General Info'!$B$40))) &amp; " - " &amp; TEXT(SamplingData[[#This Row],[Upper Range]], REPT("0",LEN('General Info'!$B$40))))</f>
        <v>04460 - 04478</v>
      </c>
      <c r="T48" s="100">
        <f>SamplingData[[#This Row],[Upper Range]]-SamplingData[[#This Row],[Span]]</f>
        <v>4459.7256967718931</v>
      </c>
      <c r="U48" s="100">
        <f>IF(ISNUMBER('General Info'!$B$40), ((SamplingData[[#This Row],[up/U Selection Probability]]) * 'General Info'!$B$40) - 1, 0)</f>
        <v>18.385702697926096</v>
      </c>
      <c r="V48" s="100">
        <f>IF(ISNUMBER('General Info'!$B$40), (SamplingData[[#This Row],[Running (cumulative) sum]] * ('General Info'!$B$40 -'General Info'!$B$41 + 1)) + 'General Info'!$B$41 - 1, 0)</f>
        <v>4478.1113994698189</v>
      </c>
      <c r="W48" s="100" t="str">
        <f>IF(ISERROR(MATCH(SamplingData[[#This Row],[Batch by Type (p)]],SelectedPrecincts[Batch Name], 0)), "", INDEX(SelectedPrecincts[Draw], MATCH(SamplingData[[#This Row],[Batch by Type (p)]],SelectedPrecincts[Batch Name], 0)))</f>
        <v/>
      </c>
      <c r="X48" s="102">
        <f>IF(COUNTIF(SelectedPrecincts[Batch Name],SamplingData[[#This Row],[Batch by Type (p)]]) &lt;&gt; 0, COUNTIF(SelectedPrecincts[Batch Name],SamplingData[[#This Row],[Batch by Type (p)]]), 0)</f>
        <v>0</v>
      </c>
    </row>
    <row r="49" spans="1:24" ht="15" customHeight="1">
      <c r="A49" s="18" t="s">
        <v>225</v>
      </c>
      <c r="B49" s="18">
        <v>16</v>
      </c>
      <c r="C49" s="18">
        <v>9</v>
      </c>
      <c r="D49" s="16">
        <v>4</v>
      </c>
      <c r="E49" s="16">
        <v>2</v>
      </c>
      <c r="F49" s="37">
        <v>0</v>
      </c>
      <c r="G49" s="37">
        <v>0</v>
      </c>
      <c r="H49" s="16">
        <v>0</v>
      </c>
      <c r="I49" s="16">
        <v>0</v>
      </c>
      <c r="J49" s="99">
        <f>SUM(SamplingData[[#This Row],[Losing Candidate]:[Under Votes]])</f>
        <v>31</v>
      </c>
      <c r="K49"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49" s="100">
        <f>IF(AND(SamplingData[[#This Row],[Total]]&lt;&gt; 0, NOT(ISBLANK(SamplingData[[#This Row],[Candidate 3]]))),(SamplingData[[#This Row],[Total]]+SamplingData[[#This Row],[Winning Candidate]]-SamplingData[[#This Row],[Candidate 3]])/(SamplingData[[#Totals],[Winning Candidate]]-SamplingData[[#Totals],[Candidate 3]]), 0)</f>
        <v>1.1614027163919089E-3</v>
      </c>
      <c r="M49" s="100">
        <f>IF(AND(SamplingData[[#This Row],[Total]]&lt;&gt; 0, NOT(ISBLANK(SamplingData[[#This Row],[Candidate 4]]))),(SamplingData[[#This Row],[Total]]+SamplingData[[#This Row],[Winning Candidate]]-SamplingData[[#This Row],[Candidate 4]])/(SamplingData[[#Totals],[Winning Candidate]]-SamplingData[[#Totals],[Candidate 4]]), 0)</f>
        <v>1.1108187903768015E-3</v>
      </c>
      <c r="N49" s="100">
        <f>IF(AND(SamplingData[[#This Row],[Total]]&lt;&gt; 0, NOT(ISBLANK(SamplingData[[#This Row],[Candidate 5]]))),(SamplingData[[#This Row],[Total]]+SamplingData[[#This Row],[Winning Candidate]]-SamplingData[[#This Row],[Candidate 5]])/(SamplingData[[#Totals],[Winning Candidate]]-SamplingData[[#Totals],[Candidate 5]]), 0)</f>
        <v>9.7299927025054731E-4</v>
      </c>
      <c r="O49" s="100">
        <f>IF(AND(SamplingData[[#This Row],[Total]]&lt;&gt; 0, NOT(ISBLANK(SamplingData[[#This Row],[Candidate 6]]))),(SamplingData[[#This Row],[Total]]+SamplingData[[#This Row],[Winning Candidate]]-SamplingData[[#This Row],[Candidate 6]])/(SamplingData[[#Totals],[Winning Candidate]]-SamplingData[[#Totals],[Candidate 6]]), 0)</f>
        <v>9.7271533485725399E-4</v>
      </c>
      <c r="P49" s="100">
        <f>MAX(SamplingData[[#This Row],[Error Bound (up) - Max. possible relative overstatement - Losing Candidate]:[Error Bound (up) - Max. possible relative overstatement - Candidate 6]])</f>
        <v>1.4698677119059284E-3</v>
      </c>
      <c r="Q49" s="100">
        <f>IF(SamplingData[[#This Row],[Max Error Bound (up)]] = 0,0,SamplingData[[#This Row],[Max Error Bound (up)]]/SamplingData[[#Totals],[Max Error Bound (up)]])</f>
        <v>2.3263075868269994E-4</v>
      </c>
      <c r="R49" s="101">
        <f>SUM($Q$5:Q49)</f>
        <v>4.5023744753380883E-2</v>
      </c>
      <c r="S49" s="100" t="str">
        <f t="array" ref="S49">IF(SamplingData[[#This Row],[up/U Selection Probability]] = 0, "Zero", TEXT(SamplingData[[#This Row],[Lower Range]], REPT("0",LEN('General Info'!$B$40))) &amp; " - " &amp; TEXT(SamplingData[[#This Row],[Upper Range]], REPT("0",LEN('General Info'!$B$40))))</f>
        <v>04479 - 04501</v>
      </c>
      <c r="T49" s="100">
        <f>SamplingData[[#This Row],[Upper Range]]-SamplingData[[#This Row],[Span]]</f>
        <v>4479.1116321005766</v>
      </c>
      <c r="U49" s="100">
        <f>IF(ISNUMBER('General Info'!$B$40), ((SamplingData[[#This Row],[up/U Selection Probability]]) * 'General Info'!$B$40) - 1, 0)</f>
        <v>22.262843237511312</v>
      </c>
      <c r="V49" s="100">
        <f>IF(ISNUMBER('General Info'!$B$40), (SamplingData[[#This Row],[Running (cumulative) sum]] * ('General Info'!$B$40 -'General Info'!$B$41 + 1)) + 'General Info'!$B$41 - 1, 0)</f>
        <v>4501.3744753380879</v>
      </c>
      <c r="W49" s="100" t="str">
        <f>IF(ISERROR(MATCH(SamplingData[[#This Row],[Batch by Type (p)]],SelectedPrecincts[Batch Name], 0)), "", INDEX(SelectedPrecincts[Draw], MATCH(SamplingData[[#This Row],[Batch by Type (p)]],SelectedPrecincts[Batch Name], 0)))</f>
        <v/>
      </c>
      <c r="X49" s="102">
        <f>IF(COUNTIF(SelectedPrecincts[Batch Name],SamplingData[[#This Row],[Batch by Type (p)]]) &lt;&gt; 0, COUNTIF(SelectedPrecincts[Batch Name],SamplingData[[#This Row],[Batch by Type (p)]]), 0)</f>
        <v>0</v>
      </c>
    </row>
    <row r="50" spans="1:24" ht="15" customHeight="1">
      <c r="A50" s="18" t="s">
        <v>226</v>
      </c>
      <c r="B50" s="18">
        <v>6</v>
      </c>
      <c r="C50" s="18">
        <v>11</v>
      </c>
      <c r="D50" s="18">
        <v>0</v>
      </c>
      <c r="E50" s="18">
        <v>0</v>
      </c>
      <c r="F50" s="18">
        <v>0</v>
      </c>
      <c r="G50" s="18">
        <v>0</v>
      </c>
      <c r="H50" s="18">
        <v>0</v>
      </c>
      <c r="I50" s="18">
        <v>0</v>
      </c>
      <c r="J50" s="99">
        <f>SUM(SamplingData[[#This Row],[Losing Candidate]:[Under Votes]])</f>
        <v>17</v>
      </c>
      <c r="K50"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50" s="100">
        <f>IF(AND(SamplingData[[#This Row],[Total]]&lt;&gt; 0, NOT(ISBLANK(SamplingData[[#This Row],[Candidate 3]]))),(SamplingData[[#This Row],[Total]]+SamplingData[[#This Row],[Winning Candidate]]-SamplingData[[#This Row],[Candidate 3]])/(SamplingData[[#Totals],[Winning Candidate]]-SamplingData[[#Totals],[Candidate 3]]), 0)</f>
        <v>9.0331322386037359E-4</v>
      </c>
      <c r="M50" s="100">
        <f>IF(AND(SamplingData[[#This Row],[Total]]&lt;&gt; 0, NOT(ISBLANK(SamplingData[[#This Row],[Candidate 4]]))),(SamplingData[[#This Row],[Total]]+SamplingData[[#This Row],[Winning Candidate]]-SamplingData[[#This Row],[Candidate 4]])/(SamplingData[[#Totals],[Winning Candidate]]-SamplingData[[#Totals],[Candidate 4]]), 0)</f>
        <v>8.1849805606711685E-4</v>
      </c>
      <c r="N50" s="100">
        <f>IF(AND(SamplingData[[#This Row],[Total]]&lt;&gt; 0, NOT(ISBLANK(SamplingData[[#This Row],[Candidate 5]]))),(SamplingData[[#This Row],[Total]]+SamplingData[[#This Row],[Winning Candidate]]-SamplingData[[#This Row],[Candidate 5]])/(SamplingData[[#Totals],[Winning Candidate]]-SamplingData[[#Totals],[Candidate 5]]), 0)</f>
        <v>6.8109948917538315E-4</v>
      </c>
      <c r="O50" s="100">
        <f>IF(AND(SamplingData[[#This Row],[Total]]&lt;&gt; 0, NOT(ISBLANK(SamplingData[[#This Row],[Candidate 6]]))),(SamplingData[[#This Row],[Total]]+SamplingData[[#This Row],[Winning Candidate]]-SamplingData[[#This Row],[Candidate 6]])/(SamplingData[[#Totals],[Winning Candidate]]-SamplingData[[#Totals],[Candidate 6]]), 0)</f>
        <v>6.8090073440007777E-4</v>
      </c>
      <c r="P50" s="100">
        <f>MAX(SamplingData[[#This Row],[Error Bound (up) - Max. possible relative overstatement - Losing Candidate]:[Error Bound (up) - Max. possible relative overstatement - Candidate 6]])</f>
        <v>1.3473787359137678E-3</v>
      </c>
      <c r="Q50" s="100">
        <f>IF(SamplingData[[#This Row],[Max Error Bound (up)]] = 0,0,SamplingData[[#This Row],[Max Error Bound (up)]]/SamplingData[[#Totals],[Max Error Bound (up)]])</f>
        <v>2.1324486212580832E-4</v>
      </c>
      <c r="R50" s="101">
        <f>SUM($Q$5:Q50)</f>
        <v>4.5236989615506693E-2</v>
      </c>
      <c r="S50" s="100" t="str">
        <f t="array" ref="S50">IF(SamplingData[[#This Row],[up/U Selection Probability]] = 0, "Zero", TEXT(SamplingData[[#This Row],[Lower Range]], REPT("0",LEN('General Info'!$B$40))) &amp; " - " &amp; TEXT(SamplingData[[#This Row],[Upper Range]], REPT("0",LEN('General Info'!$B$40))))</f>
        <v>04502 - 04523</v>
      </c>
      <c r="T50" s="100">
        <f>SamplingData[[#This Row],[Upper Range]]-SamplingData[[#This Row],[Span]]</f>
        <v>4502.3746885829505</v>
      </c>
      <c r="U50" s="100">
        <f>IF(ISNUMBER('General Info'!$B$40), ((SamplingData[[#This Row],[up/U Selection Probability]]) * 'General Info'!$B$40) - 1, 0)</f>
        <v>20.324272967718706</v>
      </c>
      <c r="V50" s="100">
        <f>IF(ISNUMBER('General Info'!$B$40), (SamplingData[[#This Row],[Running (cumulative) sum]] * ('General Info'!$B$40 -'General Info'!$B$41 + 1)) + 'General Info'!$B$41 - 1, 0)</f>
        <v>4522.6989615506691</v>
      </c>
      <c r="W50" s="100" t="str">
        <f>IF(ISERROR(MATCH(SamplingData[[#This Row],[Batch by Type (p)]],SelectedPrecincts[Batch Name], 0)), "", INDEX(SelectedPrecincts[Draw], MATCH(SamplingData[[#This Row],[Batch by Type (p)]],SelectedPrecincts[Batch Name], 0)))</f>
        <v/>
      </c>
      <c r="X50" s="102">
        <f>IF(COUNTIF(SelectedPrecincts[Batch Name],SamplingData[[#This Row],[Batch by Type (p)]]) &lt;&gt; 0, COUNTIF(SelectedPrecincts[Batch Name],SamplingData[[#This Row],[Batch by Type (p)]]), 0)</f>
        <v>0</v>
      </c>
    </row>
    <row r="51" spans="1:24" ht="15" customHeight="1">
      <c r="A51" s="18" t="s">
        <v>227</v>
      </c>
      <c r="B51" s="18">
        <v>6</v>
      </c>
      <c r="C51" s="18">
        <v>7</v>
      </c>
      <c r="D51" s="16">
        <v>6</v>
      </c>
      <c r="E51" s="16">
        <v>1</v>
      </c>
      <c r="F51" s="37">
        <v>0</v>
      </c>
      <c r="G51" s="37">
        <v>0</v>
      </c>
      <c r="H51" s="16">
        <v>0</v>
      </c>
      <c r="I51" s="16">
        <v>0</v>
      </c>
      <c r="J51" s="99">
        <f>SUM(SamplingData[[#This Row],[Losing Candidate]:[Under Votes]])</f>
        <v>20</v>
      </c>
      <c r="K51"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51" s="100">
        <f>IF(AND(SamplingData[[#This Row],[Total]]&lt;&gt; 0, NOT(ISBLANK(SamplingData[[#This Row],[Candidate 3]]))),(SamplingData[[#This Row],[Total]]+SamplingData[[#This Row],[Winning Candidate]]-SamplingData[[#This Row],[Candidate 3]])/(SamplingData[[#Totals],[Winning Candidate]]-SamplingData[[#Totals],[Candidate 3]]), 0)</f>
        <v>6.7748491789528019E-4</v>
      </c>
      <c r="M51" s="100">
        <f>IF(AND(SamplingData[[#This Row],[Total]]&lt;&gt; 0, NOT(ISBLANK(SamplingData[[#This Row],[Candidate 4]]))),(SamplingData[[#This Row],[Total]]+SamplingData[[#This Row],[Winning Candidate]]-SamplingData[[#This Row],[Candidate 4]])/(SamplingData[[#Totals],[Winning Candidate]]-SamplingData[[#Totals],[Candidate 4]]), 0)</f>
        <v>7.6003390920517991E-4</v>
      </c>
      <c r="N51" s="100">
        <f>IF(AND(SamplingData[[#This Row],[Total]]&lt;&gt; 0, NOT(ISBLANK(SamplingData[[#This Row],[Candidate 5]]))),(SamplingData[[#This Row],[Total]]+SamplingData[[#This Row],[Winning Candidate]]-SamplingData[[#This Row],[Candidate 5]])/(SamplingData[[#Totals],[Winning Candidate]]-SamplingData[[#Totals],[Candidate 5]]), 0)</f>
        <v>6.5677450741911947E-4</v>
      </c>
      <c r="O51" s="100">
        <f>IF(AND(SamplingData[[#This Row],[Total]]&lt;&gt; 0, NOT(ISBLANK(SamplingData[[#This Row],[Candidate 6]]))),(SamplingData[[#This Row],[Total]]+SamplingData[[#This Row],[Winning Candidate]]-SamplingData[[#This Row],[Candidate 6]])/(SamplingData[[#Totals],[Winning Candidate]]-SamplingData[[#Totals],[Candidate 6]]), 0)</f>
        <v>6.5658285102864649E-4</v>
      </c>
      <c r="P51" s="100">
        <f>MAX(SamplingData[[#This Row],[Error Bound (up) - Max. possible relative overstatement - Losing Candidate]:[Error Bound (up) - Max. possible relative overstatement - Candidate 6]])</f>
        <v>1.2861342479176874E-3</v>
      </c>
      <c r="Q51" s="100">
        <f>IF(SamplingData[[#This Row],[Max Error Bound (up)]] = 0,0,SamplingData[[#This Row],[Max Error Bound (up)]]/SamplingData[[#Totals],[Max Error Bound (up)]])</f>
        <v>2.0355191384736248E-4</v>
      </c>
      <c r="R51" s="101">
        <f>SUM($Q$5:Q51)</f>
        <v>4.5440541529354055E-2</v>
      </c>
      <c r="S51" s="100" t="str">
        <f t="array" ref="S51">IF(SamplingData[[#This Row],[up/U Selection Probability]] = 0, "Zero", TEXT(SamplingData[[#This Row],[Lower Range]], REPT("0",LEN('General Info'!$B$40))) &amp; " - " &amp; TEXT(SamplingData[[#This Row],[Upper Range]], REPT("0",LEN('General Info'!$B$40))))</f>
        <v>04524 - 04543</v>
      </c>
      <c r="T51" s="100">
        <f>SamplingData[[#This Row],[Upper Range]]-SamplingData[[#This Row],[Span]]</f>
        <v>4523.6991651025837</v>
      </c>
      <c r="U51" s="100">
        <f>IF(ISNUMBER('General Info'!$B$40), ((SamplingData[[#This Row],[up/U Selection Probability]]) * 'General Info'!$B$40) - 1, 0)</f>
        <v>19.354987832822399</v>
      </c>
      <c r="V51" s="100">
        <f>IF(ISNUMBER('General Info'!$B$40), (SamplingData[[#This Row],[Running (cumulative) sum]] * ('General Info'!$B$40 -'General Info'!$B$41 + 1)) + 'General Info'!$B$41 - 1, 0)</f>
        <v>4543.0541529354059</v>
      </c>
      <c r="W51" s="100" t="str">
        <f>IF(ISERROR(MATCH(SamplingData[[#This Row],[Batch by Type (p)]],SelectedPrecincts[Batch Name], 0)), "", INDEX(SelectedPrecincts[Draw], MATCH(SamplingData[[#This Row],[Batch by Type (p)]],SelectedPrecincts[Batch Name], 0)))</f>
        <v/>
      </c>
      <c r="X51" s="102">
        <f>IF(COUNTIF(SelectedPrecincts[Batch Name],SamplingData[[#This Row],[Batch by Type (p)]]) &lt;&gt; 0, COUNTIF(SelectedPrecincts[Batch Name],SamplingData[[#This Row],[Batch by Type (p)]]), 0)</f>
        <v>0</v>
      </c>
    </row>
    <row r="52" spans="1:24" ht="15" customHeight="1">
      <c r="A52" s="18" t="s">
        <v>228</v>
      </c>
      <c r="B52" s="18">
        <v>5</v>
      </c>
      <c r="C52" s="18">
        <v>2</v>
      </c>
      <c r="D52" s="18">
        <v>3</v>
      </c>
      <c r="E52" s="18">
        <v>2</v>
      </c>
      <c r="F52" s="18">
        <v>0</v>
      </c>
      <c r="G52" s="18">
        <v>0</v>
      </c>
      <c r="H52" s="18">
        <v>0</v>
      </c>
      <c r="I52" s="18">
        <v>0</v>
      </c>
      <c r="J52" s="99">
        <f>SUM(SamplingData[[#This Row],[Losing Candidate]:[Under Votes]])</f>
        <v>12</v>
      </c>
      <c r="K52"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52" s="100">
        <f>IF(AND(SamplingData[[#This Row],[Total]]&lt;&gt; 0, NOT(ISBLANK(SamplingData[[#This Row],[Candidate 3]]))),(SamplingData[[#This Row],[Total]]+SamplingData[[#This Row],[Winning Candidate]]-SamplingData[[#This Row],[Candidate 3]])/(SamplingData[[#Totals],[Winning Candidate]]-SamplingData[[#Totals],[Candidate 3]]), 0)</f>
        <v>3.5487305223086104E-4</v>
      </c>
      <c r="M52" s="100">
        <f>IF(AND(SamplingData[[#This Row],[Total]]&lt;&gt; 0, NOT(ISBLANK(SamplingData[[#This Row],[Candidate 4]]))),(SamplingData[[#This Row],[Total]]+SamplingData[[#This Row],[Winning Candidate]]-SamplingData[[#This Row],[Candidate 4]])/(SamplingData[[#Totals],[Winning Candidate]]-SamplingData[[#Totals],[Candidate 4]]), 0)</f>
        <v>3.5078488117162149E-4</v>
      </c>
      <c r="N52" s="100">
        <f>IF(AND(SamplingData[[#This Row],[Total]]&lt;&gt; 0, NOT(ISBLANK(SamplingData[[#This Row],[Candidate 5]]))),(SamplingData[[#This Row],[Total]]+SamplingData[[#This Row],[Winning Candidate]]-SamplingData[[#This Row],[Candidate 5]])/(SamplingData[[#Totals],[Winning Candidate]]-SamplingData[[#Totals],[Candidate 5]]), 0)</f>
        <v>3.4054974458769157E-4</v>
      </c>
      <c r="O52" s="100">
        <f>IF(AND(SamplingData[[#This Row],[Total]]&lt;&gt; 0, NOT(ISBLANK(SamplingData[[#This Row],[Candidate 6]]))),(SamplingData[[#This Row],[Total]]+SamplingData[[#This Row],[Winning Candidate]]-SamplingData[[#This Row],[Candidate 6]])/(SamplingData[[#Totals],[Winning Candidate]]-SamplingData[[#Totals],[Candidate 6]]), 0)</f>
        <v>3.4045036720003888E-4</v>
      </c>
      <c r="P52" s="100">
        <f>MAX(SamplingData[[#This Row],[Error Bound (up) - Max. possible relative overstatement - Losing Candidate]:[Error Bound (up) - Max. possible relative overstatement - Candidate 6]])</f>
        <v>5.5120039196472322E-4</v>
      </c>
      <c r="Q52" s="100">
        <f>IF(SamplingData[[#This Row],[Max Error Bound (up)]] = 0,0,SamplingData[[#This Row],[Max Error Bound (up)]]/SamplingData[[#Totals],[Max Error Bound (up)]])</f>
        <v>8.7236534506012492E-5</v>
      </c>
      <c r="R52" s="101">
        <f>SUM($Q$5:Q52)</f>
        <v>4.5527778063860068E-2</v>
      </c>
      <c r="S52" s="100" t="str">
        <f t="array" ref="S52">IF(SamplingData[[#This Row],[up/U Selection Probability]] = 0, "Zero", TEXT(SamplingData[[#This Row],[Lower Range]], REPT("0",LEN('General Info'!$B$40))) &amp; " - " &amp; TEXT(SamplingData[[#This Row],[Upper Range]], REPT("0",LEN('General Info'!$B$40))))</f>
        <v>04544 - 04552</v>
      </c>
      <c r="T52" s="100">
        <f>SamplingData[[#This Row],[Upper Range]]-SamplingData[[#This Row],[Span]]</f>
        <v>4544.0542401719404</v>
      </c>
      <c r="U52" s="100">
        <f>IF(ISNUMBER('General Info'!$B$40), ((SamplingData[[#This Row],[up/U Selection Probability]]) * 'General Info'!$B$40) - 1, 0)</f>
        <v>7.7235662140667429</v>
      </c>
      <c r="V52" s="100">
        <f>IF(ISNUMBER('General Info'!$B$40), (SamplingData[[#This Row],[Running (cumulative) sum]] * ('General Info'!$B$40 -'General Info'!$B$41 + 1)) + 'General Info'!$B$41 - 1, 0)</f>
        <v>4551.7778063860069</v>
      </c>
      <c r="W52" s="100" t="str">
        <f>IF(ISERROR(MATCH(SamplingData[[#This Row],[Batch by Type (p)]],SelectedPrecincts[Batch Name], 0)), "", INDEX(SelectedPrecincts[Draw], MATCH(SamplingData[[#This Row],[Batch by Type (p)]],SelectedPrecincts[Batch Name], 0)))</f>
        <v/>
      </c>
      <c r="X52" s="102">
        <f>IF(COUNTIF(SelectedPrecincts[Batch Name],SamplingData[[#This Row],[Batch by Type (p)]]) &lt;&gt; 0, COUNTIF(SelectedPrecincts[Batch Name],SamplingData[[#This Row],[Batch by Type (p)]]), 0)</f>
        <v>0</v>
      </c>
    </row>
    <row r="53" spans="1:24" ht="15" customHeight="1">
      <c r="A53" s="18" t="s">
        <v>229</v>
      </c>
      <c r="B53" s="18">
        <v>11</v>
      </c>
      <c r="C53" s="18">
        <v>15</v>
      </c>
      <c r="D53" s="16">
        <v>2</v>
      </c>
      <c r="E53" s="16">
        <v>2</v>
      </c>
      <c r="F53" s="37">
        <v>0</v>
      </c>
      <c r="G53" s="37">
        <v>0</v>
      </c>
      <c r="H53" s="16">
        <v>0</v>
      </c>
      <c r="I53" s="16">
        <v>0</v>
      </c>
      <c r="J53" s="99">
        <f>SUM(SamplingData[[#This Row],[Losing Candidate]:[Under Votes]])</f>
        <v>30</v>
      </c>
      <c r="K53"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53" s="100">
        <f>IF(AND(SamplingData[[#This Row],[Total]]&lt;&gt; 0, NOT(ISBLANK(SamplingData[[#This Row],[Candidate 3]]))),(SamplingData[[#This Row],[Total]]+SamplingData[[#This Row],[Winning Candidate]]-SamplingData[[#This Row],[Candidate 3]])/(SamplingData[[#Totals],[Winning Candidate]]-SamplingData[[#Totals],[Candidate 3]]), 0)</f>
        <v>1.3872310223570024E-3</v>
      </c>
      <c r="M53" s="100">
        <f>IF(AND(SamplingData[[#This Row],[Total]]&lt;&gt; 0, NOT(ISBLANK(SamplingData[[#This Row],[Candidate 4]]))),(SamplingData[[#This Row],[Total]]+SamplingData[[#This Row],[Winning Candidate]]-SamplingData[[#This Row],[Candidate 4]])/(SamplingData[[#Totals],[Winning Candidate]]-SamplingData[[#Totals],[Candidate 4]]), 0)</f>
        <v>1.2569791575316436E-3</v>
      </c>
      <c r="N53" s="100">
        <f>IF(AND(SamplingData[[#This Row],[Total]]&lt;&gt; 0, NOT(ISBLANK(SamplingData[[#This Row],[Candidate 5]]))),(SamplingData[[#This Row],[Total]]+SamplingData[[#This Row],[Winning Candidate]]-SamplingData[[#This Row],[Candidate 5]])/(SamplingData[[#Totals],[Winning Candidate]]-SamplingData[[#Totals],[Candidate 5]]), 0)</f>
        <v>1.0946241790318657E-3</v>
      </c>
      <c r="O53" s="100">
        <f>IF(AND(SamplingData[[#This Row],[Total]]&lt;&gt; 0, NOT(ISBLANK(SamplingData[[#This Row],[Candidate 6]]))),(SamplingData[[#This Row],[Total]]+SamplingData[[#This Row],[Winning Candidate]]-SamplingData[[#This Row],[Candidate 6]])/(SamplingData[[#Totals],[Winning Candidate]]-SamplingData[[#Totals],[Candidate 6]]), 0)</f>
        <v>1.0943047517144107E-3</v>
      </c>
      <c r="P53" s="100">
        <f>MAX(SamplingData[[#This Row],[Error Bound (up) - Max. possible relative overstatement - Losing Candidate]:[Error Bound (up) - Max. possible relative overstatement - Candidate 6]])</f>
        <v>2.0823125918667321E-3</v>
      </c>
      <c r="Q53" s="100">
        <f>IF(SamplingData[[#This Row],[Max Error Bound (up)]] = 0,0,SamplingData[[#This Row],[Max Error Bound (up)]]/SamplingData[[#Totals],[Max Error Bound (up)]])</f>
        <v>3.2956024146715829E-4</v>
      </c>
      <c r="R53" s="101">
        <f>SUM($Q$5:Q53)</f>
        <v>4.5857338305327226E-2</v>
      </c>
      <c r="S53" s="100" t="str">
        <f t="array" ref="S53">IF(SamplingData[[#This Row],[up/U Selection Probability]] = 0, "Zero", TEXT(SamplingData[[#This Row],[Lower Range]], REPT("0",LEN('General Info'!$B$40))) &amp; " - " &amp; TEXT(SamplingData[[#This Row],[Upper Range]], REPT("0",LEN('General Info'!$B$40))))</f>
        <v>04553 - 04585</v>
      </c>
      <c r="T53" s="100">
        <f>SamplingData[[#This Row],[Upper Range]]-SamplingData[[#This Row],[Span]]</f>
        <v>4552.7781359462488</v>
      </c>
      <c r="U53" s="100">
        <f>IF(ISNUMBER('General Info'!$B$40), ((SamplingData[[#This Row],[up/U Selection Probability]]) * 'General Info'!$B$40) - 1, 0)</f>
        <v>31.955694586474358</v>
      </c>
      <c r="V53" s="100">
        <f>IF(ISNUMBER('General Info'!$B$40), (SamplingData[[#This Row],[Running (cumulative) sum]] * ('General Info'!$B$40 -'General Info'!$B$41 + 1)) + 'General Info'!$B$41 - 1, 0)</f>
        <v>4584.733830532723</v>
      </c>
      <c r="W53" s="100" t="str">
        <f>IF(ISERROR(MATCH(SamplingData[[#This Row],[Batch by Type (p)]],SelectedPrecincts[Batch Name], 0)), "", INDEX(SelectedPrecincts[Draw], MATCH(SamplingData[[#This Row],[Batch by Type (p)]],SelectedPrecincts[Batch Name], 0)))</f>
        <v/>
      </c>
      <c r="X53" s="102">
        <f>IF(COUNTIF(SelectedPrecincts[Batch Name],SamplingData[[#This Row],[Batch by Type (p)]]) &lt;&gt; 0, COUNTIF(SelectedPrecincts[Batch Name],SamplingData[[#This Row],[Batch by Type (p)]]), 0)</f>
        <v>0</v>
      </c>
    </row>
    <row r="54" spans="1:24" ht="15" customHeight="1">
      <c r="A54" s="18" t="s">
        <v>230</v>
      </c>
      <c r="B54" s="18">
        <v>10</v>
      </c>
      <c r="C54" s="18">
        <v>3</v>
      </c>
      <c r="D54" s="18">
        <v>3</v>
      </c>
      <c r="E54" s="18">
        <v>3</v>
      </c>
      <c r="F54" s="18">
        <v>0</v>
      </c>
      <c r="G54" s="18">
        <v>0</v>
      </c>
      <c r="H54" s="18">
        <v>0</v>
      </c>
      <c r="I54" s="18">
        <v>1</v>
      </c>
      <c r="J54" s="99">
        <f>SUM(SamplingData[[#This Row],[Losing Candidate]:[Under Votes]])</f>
        <v>20</v>
      </c>
      <c r="K54"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54" s="100">
        <f>IF(AND(SamplingData[[#This Row],[Total]]&lt;&gt; 0, NOT(ISBLANK(SamplingData[[#This Row],[Candidate 3]]))),(SamplingData[[#This Row],[Total]]+SamplingData[[#This Row],[Winning Candidate]]-SamplingData[[#This Row],[Candidate 3]])/(SamplingData[[#Totals],[Winning Candidate]]-SamplingData[[#Totals],[Candidate 3]]), 0)</f>
        <v>6.4522373132883831E-4</v>
      </c>
      <c r="M54" s="100">
        <f>IF(AND(SamplingData[[#This Row],[Total]]&lt;&gt; 0, NOT(ISBLANK(SamplingData[[#This Row],[Candidate 4]]))),(SamplingData[[#This Row],[Total]]+SamplingData[[#This Row],[Winning Candidate]]-SamplingData[[#This Row],[Candidate 4]])/(SamplingData[[#Totals],[Winning Candidate]]-SamplingData[[#Totals],[Candidate 4]]), 0)</f>
        <v>5.8464146861936922E-4</v>
      </c>
      <c r="N54" s="100">
        <f>IF(AND(SamplingData[[#This Row],[Total]]&lt;&gt; 0, NOT(ISBLANK(SamplingData[[#This Row],[Candidate 5]]))),(SamplingData[[#This Row],[Total]]+SamplingData[[#This Row],[Winning Candidate]]-SamplingData[[#This Row],[Candidate 5]])/(SamplingData[[#Totals],[Winning Candidate]]-SamplingData[[#Totals],[Candidate 5]]), 0)</f>
        <v>5.5947458039406475E-4</v>
      </c>
      <c r="O54" s="100">
        <f>IF(AND(SamplingData[[#This Row],[Total]]&lt;&gt; 0, NOT(ISBLANK(SamplingData[[#This Row],[Candidate 6]]))),(SamplingData[[#This Row],[Total]]+SamplingData[[#This Row],[Winning Candidate]]-SamplingData[[#This Row],[Candidate 6]])/(SamplingData[[#Totals],[Winning Candidate]]-SamplingData[[#Totals],[Candidate 6]]), 0)</f>
        <v>5.5931131754292105E-4</v>
      </c>
      <c r="P54" s="100">
        <f>MAX(SamplingData[[#This Row],[Error Bound (up) - Max. possible relative overstatement - Losing Candidate]:[Error Bound (up) - Max. possible relative overstatement - Candidate 6]])</f>
        <v>7.9617834394904463E-4</v>
      </c>
      <c r="Q54" s="100">
        <f>IF(SamplingData[[#This Row],[Max Error Bound (up)]] = 0,0,SamplingData[[#This Row],[Max Error Bound (up)]]/SamplingData[[#Totals],[Max Error Bound (up)]])</f>
        <v>1.2600832761979581E-4</v>
      </c>
      <c r="R54" s="101">
        <f>SUM($Q$5:Q54)</f>
        <v>4.5983346632947023E-2</v>
      </c>
      <c r="S54" s="100" t="str">
        <f t="array" ref="S54">IF(SamplingData[[#This Row],[up/U Selection Probability]] = 0, "Zero", TEXT(SamplingData[[#This Row],[Lower Range]], REPT("0",LEN('General Info'!$B$40))) &amp; " - " &amp; TEXT(SamplingData[[#This Row],[Upper Range]], REPT("0",LEN('General Info'!$B$40))))</f>
        <v>04586 - 04597</v>
      </c>
      <c r="T54" s="100">
        <f>SamplingData[[#This Row],[Upper Range]]-SamplingData[[#This Row],[Span]]</f>
        <v>4585.7339565410502</v>
      </c>
      <c r="U54" s="100">
        <f>IF(ISNUMBER('General Info'!$B$40), ((SamplingData[[#This Row],[up/U Selection Probability]]) * 'General Info'!$B$40) - 1, 0)</f>
        <v>11.600706753651961</v>
      </c>
      <c r="V54" s="100">
        <f>IF(ISNUMBER('General Info'!$B$40), (SamplingData[[#This Row],[Running (cumulative) sum]] * ('General Info'!$B$40 -'General Info'!$B$41 + 1)) + 'General Info'!$B$41 - 1, 0)</f>
        <v>4597.3346632947023</v>
      </c>
      <c r="W54" s="100" t="str">
        <f>IF(ISERROR(MATCH(SamplingData[[#This Row],[Batch by Type (p)]],SelectedPrecincts[Batch Name], 0)), "", INDEX(SelectedPrecincts[Draw], MATCH(SamplingData[[#This Row],[Batch by Type (p)]],SelectedPrecincts[Batch Name], 0)))</f>
        <v/>
      </c>
      <c r="X54" s="102">
        <f>IF(COUNTIF(SelectedPrecincts[Batch Name],SamplingData[[#This Row],[Batch by Type (p)]]) &lt;&gt; 0, COUNTIF(SelectedPrecincts[Batch Name],SamplingData[[#This Row],[Batch by Type (p)]]), 0)</f>
        <v>0</v>
      </c>
    </row>
    <row r="55" spans="1:24" ht="15" customHeight="1">
      <c r="A55" s="18" t="s">
        <v>231</v>
      </c>
      <c r="B55" s="18">
        <v>14</v>
      </c>
      <c r="C55" s="18">
        <v>14</v>
      </c>
      <c r="D55" s="16">
        <v>6</v>
      </c>
      <c r="E55" s="16">
        <v>5</v>
      </c>
      <c r="F55" s="37">
        <v>1</v>
      </c>
      <c r="G55" s="37">
        <v>0</v>
      </c>
      <c r="H55" s="16">
        <v>0</v>
      </c>
      <c r="I55" s="16">
        <v>0</v>
      </c>
      <c r="J55" s="99">
        <f>SUM(SamplingData[[#This Row],[Losing Candidate]:[Under Votes]])</f>
        <v>40</v>
      </c>
      <c r="K55"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55" s="100">
        <f>IF(AND(SamplingData[[#This Row],[Total]]&lt;&gt; 0, NOT(ISBLANK(SamplingData[[#This Row],[Candidate 3]]))),(SamplingData[[#This Row],[Total]]+SamplingData[[#This Row],[Winning Candidate]]-SamplingData[[#This Row],[Candidate 3]])/(SamplingData[[#Totals],[Winning Candidate]]-SamplingData[[#Totals],[Candidate 3]]), 0)</f>
        <v>1.5485369551892119E-3</v>
      </c>
      <c r="M55" s="100">
        <f>IF(AND(SamplingData[[#This Row],[Total]]&lt;&gt; 0, NOT(ISBLANK(SamplingData[[#This Row],[Candidate 4]]))),(SamplingData[[#This Row],[Total]]+SamplingData[[#This Row],[Winning Candidate]]-SamplingData[[#This Row],[Candidate 4]])/(SamplingData[[#Totals],[Winning Candidate]]-SamplingData[[#Totals],[Candidate 4]]), 0)</f>
        <v>1.4323715981174544E-3</v>
      </c>
      <c r="N55" s="100">
        <f>IF(AND(SamplingData[[#This Row],[Total]]&lt;&gt; 0, NOT(ISBLANK(SamplingData[[#This Row],[Candidate 5]]))),(SamplingData[[#This Row],[Total]]+SamplingData[[#This Row],[Winning Candidate]]-SamplingData[[#This Row],[Candidate 5]])/(SamplingData[[#Totals],[Winning Candidate]]-SamplingData[[#Totals],[Candidate 5]]), 0)</f>
        <v>1.2892240330819751E-3</v>
      </c>
      <c r="O55" s="100">
        <f>IF(AND(SamplingData[[#This Row],[Total]]&lt;&gt; 0, NOT(ISBLANK(SamplingData[[#This Row],[Candidate 6]]))),(SamplingData[[#This Row],[Total]]+SamplingData[[#This Row],[Winning Candidate]]-SamplingData[[#This Row],[Candidate 6]])/(SamplingData[[#Totals],[Winning Candidate]]-SamplingData[[#Totals],[Candidate 6]]), 0)</f>
        <v>1.313165702057293E-3</v>
      </c>
      <c r="P55" s="100">
        <f>MAX(SamplingData[[#This Row],[Error Bound (up) - Max. possible relative overstatement - Losing Candidate]:[Error Bound (up) - Max. possible relative overstatement - Candidate 6]])</f>
        <v>2.4497795198432141E-3</v>
      </c>
      <c r="Q55" s="100">
        <f>IF(SamplingData[[#This Row],[Max Error Bound (up)]] = 0,0,SamplingData[[#This Row],[Max Error Bound (up)]]/SamplingData[[#Totals],[Max Error Bound (up)]])</f>
        <v>3.8771793113783328E-4</v>
      </c>
      <c r="R55" s="101">
        <f>SUM($Q$5:Q55)</f>
        <v>4.6371064564084859E-2</v>
      </c>
      <c r="S55" s="100" t="str">
        <f t="array" ref="S55">IF(SamplingData[[#This Row],[up/U Selection Probability]] = 0, "Zero", TEXT(SamplingData[[#This Row],[Lower Range]], REPT("0",LEN('General Info'!$B$40))) &amp; " - " &amp; TEXT(SamplingData[[#This Row],[Upper Range]], REPT("0",LEN('General Info'!$B$40))))</f>
        <v>04598 - 04636</v>
      </c>
      <c r="T55" s="100">
        <f>SamplingData[[#This Row],[Upper Range]]-SamplingData[[#This Row],[Span]]</f>
        <v>4598.3350510126329</v>
      </c>
      <c r="U55" s="100">
        <f>IF(ISNUMBER('General Info'!$B$40), ((SamplingData[[#This Row],[up/U Selection Probability]]) * 'General Info'!$B$40) - 1, 0)</f>
        <v>37.771405395852192</v>
      </c>
      <c r="V55" s="100">
        <f>IF(ISNUMBER('General Info'!$B$40), (SamplingData[[#This Row],[Running (cumulative) sum]] * ('General Info'!$B$40 -'General Info'!$B$41 + 1)) + 'General Info'!$B$41 - 1, 0)</f>
        <v>4636.1064564084854</v>
      </c>
      <c r="W55" s="100" t="str">
        <f>IF(ISERROR(MATCH(SamplingData[[#This Row],[Batch by Type (p)]],SelectedPrecincts[Batch Name], 0)), "", INDEX(SelectedPrecincts[Draw], MATCH(SamplingData[[#This Row],[Batch by Type (p)]],SelectedPrecincts[Batch Name], 0)))</f>
        <v/>
      </c>
      <c r="X55" s="102">
        <f>IF(COUNTIF(SelectedPrecincts[Batch Name],SamplingData[[#This Row],[Batch by Type (p)]]) &lt;&gt; 0, COUNTIF(SelectedPrecincts[Batch Name],SamplingData[[#This Row],[Batch by Type (p)]]), 0)</f>
        <v>0</v>
      </c>
    </row>
    <row r="56" spans="1:24" ht="15" customHeight="1">
      <c r="A56" s="18" t="s">
        <v>232</v>
      </c>
      <c r="B56" s="18">
        <v>8</v>
      </c>
      <c r="C56" s="18">
        <v>9</v>
      </c>
      <c r="D56" s="18">
        <v>2</v>
      </c>
      <c r="E56" s="18">
        <v>1</v>
      </c>
      <c r="F56" s="18">
        <v>0</v>
      </c>
      <c r="G56" s="18">
        <v>0</v>
      </c>
      <c r="H56" s="18">
        <v>0</v>
      </c>
      <c r="I56" s="18">
        <v>0</v>
      </c>
      <c r="J56" s="99">
        <f>SUM(SamplingData[[#This Row],[Losing Candidate]:[Under Votes]])</f>
        <v>20</v>
      </c>
      <c r="K56"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56" s="100">
        <f>IF(AND(SamplingData[[#This Row],[Total]]&lt;&gt; 0, NOT(ISBLANK(SamplingData[[#This Row],[Candidate 3]]))),(SamplingData[[#This Row],[Total]]+SamplingData[[#This Row],[Winning Candidate]]-SamplingData[[#This Row],[Candidate 3]])/(SamplingData[[#Totals],[Winning Candidate]]-SamplingData[[#Totals],[Candidate 3]]), 0)</f>
        <v>8.710520372939317E-4</v>
      </c>
      <c r="M56" s="100">
        <f>IF(AND(SamplingData[[#This Row],[Total]]&lt;&gt; 0, NOT(ISBLANK(SamplingData[[#This Row],[Candidate 4]]))),(SamplingData[[#This Row],[Total]]+SamplingData[[#This Row],[Winning Candidate]]-SamplingData[[#This Row],[Candidate 4]])/(SamplingData[[#Totals],[Winning Candidate]]-SamplingData[[#Totals],[Candidate 4]]), 0)</f>
        <v>8.1849805606711685E-4</v>
      </c>
      <c r="N56" s="100">
        <f>IF(AND(SamplingData[[#This Row],[Total]]&lt;&gt; 0, NOT(ISBLANK(SamplingData[[#This Row],[Candidate 5]]))),(SamplingData[[#This Row],[Total]]+SamplingData[[#This Row],[Winning Candidate]]-SamplingData[[#This Row],[Candidate 5]])/(SamplingData[[#Totals],[Winning Candidate]]-SamplingData[[#Totals],[Candidate 5]]), 0)</f>
        <v>7.0542447093164683E-4</v>
      </c>
      <c r="O56" s="100">
        <f>IF(AND(SamplingData[[#This Row],[Total]]&lt;&gt; 0, NOT(ISBLANK(SamplingData[[#This Row],[Candidate 6]]))),(SamplingData[[#This Row],[Total]]+SamplingData[[#This Row],[Winning Candidate]]-SamplingData[[#This Row],[Candidate 6]])/(SamplingData[[#Totals],[Winning Candidate]]-SamplingData[[#Totals],[Candidate 6]]), 0)</f>
        <v>7.0521861777150916E-4</v>
      </c>
      <c r="P56" s="100">
        <f>MAX(SamplingData[[#This Row],[Error Bound (up) - Max. possible relative overstatement - Losing Candidate]:[Error Bound (up) - Max. possible relative overstatement - Candidate 6]])</f>
        <v>1.2861342479176874E-3</v>
      </c>
      <c r="Q56" s="100">
        <f>IF(SamplingData[[#This Row],[Max Error Bound (up)]] = 0,0,SamplingData[[#This Row],[Max Error Bound (up)]]/SamplingData[[#Totals],[Max Error Bound (up)]])</f>
        <v>2.0355191384736248E-4</v>
      </c>
      <c r="R56" s="101">
        <f>SUM($Q$5:Q56)</f>
        <v>4.6574616477932221E-2</v>
      </c>
      <c r="S56" s="100" t="str">
        <f t="array" ref="S56">IF(SamplingData[[#This Row],[up/U Selection Probability]] = 0, "Zero", TEXT(SamplingData[[#This Row],[Lower Range]], REPT("0",LEN('General Info'!$B$40))) &amp; " - " &amp; TEXT(SamplingData[[#This Row],[Upper Range]], REPT("0",LEN('General Info'!$B$40))))</f>
        <v>04637 - 04656</v>
      </c>
      <c r="T56" s="100">
        <f>SamplingData[[#This Row],[Upper Range]]-SamplingData[[#This Row],[Span]]</f>
        <v>4637.1066599604001</v>
      </c>
      <c r="U56" s="100">
        <f>IF(ISNUMBER('General Info'!$B$40), ((SamplingData[[#This Row],[up/U Selection Probability]]) * 'General Info'!$B$40) - 1, 0)</f>
        <v>19.354987832822399</v>
      </c>
      <c r="V56" s="100">
        <f>IF(ISNUMBER('General Info'!$B$40), (SamplingData[[#This Row],[Running (cumulative) sum]] * ('General Info'!$B$40 -'General Info'!$B$41 + 1)) + 'General Info'!$B$41 - 1, 0)</f>
        <v>4656.4616477932223</v>
      </c>
      <c r="W56" s="100" t="str">
        <f>IF(ISERROR(MATCH(SamplingData[[#This Row],[Batch by Type (p)]],SelectedPrecincts[Batch Name], 0)), "", INDEX(SelectedPrecincts[Draw], MATCH(SamplingData[[#This Row],[Batch by Type (p)]],SelectedPrecincts[Batch Name], 0)))</f>
        <v/>
      </c>
      <c r="X56" s="102">
        <f>IF(COUNTIF(SelectedPrecincts[Batch Name],SamplingData[[#This Row],[Batch by Type (p)]]) &lt;&gt; 0, COUNTIF(SelectedPrecincts[Batch Name],SamplingData[[#This Row],[Batch by Type (p)]]), 0)</f>
        <v>0</v>
      </c>
    </row>
    <row r="57" spans="1:24" ht="15" customHeight="1">
      <c r="A57" s="18" t="s">
        <v>233</v>
      </c>
      <c r="B57" s="18">
        <v>12</v>
      </c>
      <c r="C57" s="18">
        <v>12</v>
      </c>
      <c r="D57" s="16">
        <v>6</v>
      </c>
      <c r="E57" s="16">
        <v>3</v>
      </c>
      <c r="F57" s="37">
        <v>0</v>
      </c>
      <c r="G57" s="37">
        <v>0</v>
      </c>
      <c r="H57" s="16">
        <v>0</v>
      </c>
      <c r="I57" s="16">
        <v>0</v>
      </c>
      <c r="J57" s="99">
        <f>SUM(SamplingData[[#This Row],[Losing Candidate]:[Under Votes]])</f>
        <v>33</v>
      </c>
      <c r="K57" s="100">
        <f>IF(AND(SamplingData[[#This Row],[Total]]&lt;&gt; 0, NOT(ISBLANK(SamplingData[[#This Row],[Losing Candidate]]))),(SamplingData[[#This Row],[Total]]+SamplingData[[#This Row],[Winning Candidate]]-SamplingData[[#This Row],[Losing Candidate]])/(SamplingData[[#Totals],[Winning Candidate]]-SamplingData[[#Totals],[Losing Candidate]]), 0)</f>
        <v>2.0210681038706517E-3</v>
      </c>
      <c r="L57" s="100">
        <f>IF(AND(SamplingData[[#This Row],[Total]]&lt;&gt; 0, NOT(ISBLANK(SamplingData[[#This Row],[Candidate 3]]))),(SamplingData[[#This Row],[Total]]+SamplingData[[#This Row],[Winning Candidate]]-SamplingData[[#This Row],[Candidate 3]])/(SamplingData[[#Totals],[Winning Candidate]]-SamplingData[[#Totals],[Candidate 3]]), 0)</f>
        <v>1.2581862760912346E-3</v>
      </c>
      <c r="M57" s="100">
        <f>IF(AND(SamplingData[[#This Row],[Total]]&lt;&gt; 0, NOT(ISBLANK(SamplingData[[#This Row],[Candidate 4]]))),(SamplingData[[#This Row],[Total]]+SamplingData[[#This Row],[Winning Candidate]]-SamplingData[[#This Row],[Candidate 4]])/(SamplingData[[#Totals],[Winning Candidate]]-SamplingData[[#Totals],[Candidate 4]]), 0)</f>
        <v>1.2277470841006752E-3</v>
      </c>
      <c r="N57" s="100">
        <f>IF(AND(SamplingData[[#This Row],[Total]]&lt;&gt; 0, NOT(ISBLANK(SamplingData[[#This Row],[Candidate 5]]))),(SamplingData[[#This Row],[Total]]+SamplingData[[#This Row],[Winning Candidate]]-SamplingData[[#This Row],[Candidate 5]])/(SamplingData[[#Totals],[Winning Candidate]]-SamplingData[[#Totals],[Candidate 5]]), 0)</f>
        <v>1.0946241790318657E-3</v>
      </c>
      <c r="O57" s="100">
        <f>IF(AND(SamplingData[[#This Row],[Total]]&lt;&gt; 0, NOT(ISBLANK(SamplingData[[#This Row],[Candidate 6]]))),(SamplingData[[#This Row],[Total]]+SamplingData[[#This Row],[Winning Candidate]]-SamplingData[[#This Row],[Candidate 6]])/(SamplingData[[#Totals],[Winning Candidate]]-SamplingData[[#Totals],[Candidate 6]]), 0)</f>
        <v>1.0943047517144107E-3</v>
      </c>
      <c r="P57" s="100">
        <f>MAX(SamplingData[[#This Row],[Error Bound (up) - Max. possible relative overstatement - Losing Candidate]:[Error Bound (up) - Max. possible relative overstatement - Candidate 6]])</f>
        <v>2.0210681038706517E-3</v>
      </c>
      <c r="Q57" s="100">
        <f>IF(SamplingData[[#This Row],[Max Error Bound (up)]] = 0,0,SamplingData[[#This Row],[Max Error Bound (up)]]/SamplingData[[#Totals],[Max Error Bound (up)]])</f>
        <v>3.1986729318871245E-4</v>
      </c>
      <c r="R57" s="101">
        <f>SUM($Q$5:Q57)</f>
        <v>4.6894483771120932E-2</v>
      </c>
      <c r="S57" s="100" t="str">
        <f t="array" ref="S57">IF(SamplingData[[#This Row],[up/U Selection Probability]] = 0, "Zero", TEXT(SamplingData[[#This Row],[Lower Range]], REPT("0",LEN('General Info'!$B$40))) &amp; " - " &amp; TEXT(SamplingData[[#This Row],[Upper Range]], REPT("0",LEN('General Info'!$B$40))))</f>
        <v>04657 - 04688</v>
      </c>
      <c r="T57" s="100">
        <f>SamplingData[[#This Row],[Upper Range]]-SamplingData[[#This Row],[Span]]</f>
        <v>4657.4619676605153</v>
      </c>
      <c r="U57" s="100">
        <f>IF(ISNUMBER('General Info'!$B$40), ((SamplingData[[#This Row],[up/U Selection Probability]]) * 'General Info'!$B$40) - 1, 0)</f>
        <v>30.986409451578055</v>
      </c>
      <c r="V57" s="100">
        <f>IF(ISNUMBER('General Info'!$B$40), (SamplingData[[#This Row],[Running (cumulative) sum]] * ('General Info'!$B$40 -'General Info'!$B$41 + 1)) + 'General Info'!$B$41 - 1, 0)</f>
        <v>4688.4483771120931</v>
      </c>
      <c r="W57" s="100" t="str">
        <f>IF(ISERROR(MATCH(SamplingData[[#This Row],[Batch by Type (p)]],SelectedPrecincts[Batch Name], 0)), "", INDEX(SelectedPrecincts[Draw], MATCH(SamplingData[[#This Row],[Batch by Type (p)]],SelectedPrecincts[Batch Name], 0)))</f>
        <v/>
      </c>
      <c r="X57" s="102">
        <f>IF(COUNTIF(SelectedPrecincts[Batch Name],SamplingData[[#This Row],[Batch by Type (p)]]) &lt;&gt; 0, COUNTIF(SelectedPrecincts[Batch Name],SamplingData[[#This Row],[Batch by Type (p)]]), 0)</f>
        <v>0</v>
      </c>
    </row>
    <row r="58" spans="1:24" ht="15" customHeight="1">
      <c r="A58" s="18" t="s">
        <v>234</v>
      </c>
      <c r="B58" s="18">
        <v>5</v>
      </c>
      <c r="C58" s="18">
        <v>3</v>
      </c>
      <c r="D58" s="18">
        <v>1</v>
      </c>
      <c r="E58" s="18">
        <v>0</v>
      </c>
      <c r="F58" s="18">
        <v>0</v>
      </c>
      <c r="G58" s="18">
        <v>1</v>
      </c>
      <c r="H58" s="18">
        <v>0</v>
      </c>
      <c r="I58" s="18">
        <v>0</v>
      </c>
      <c r="J58" s="99">
        <f>SUM(SamplingData[[#This Row],[Losing Candidate]:[Under Votes]])</f>
        <v>10</v>
      </c>
      <c r="K58"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58" s="100">
        <f>IF(AND(SamplingData[[#This Row],[Total]]&lt;&gt; 0, NOT(ISBLANK(SamplingData[[#This Row],[Candidate 3]]))),(SamplingData[[#This Row],[Total]]+SamplingData[[#This Row],[Winning Candidate]]-SamplingData[[#This Row],[Candidate 3]])/(SamplingData[[#Totals],[Winning Candidate]]-SamplingData[[#Totals],[Candidate 3]]), 0)</f>
        <v>3.8713423879730297E-4</v>
      </c>
      <c r="M58" s="100">
        <f>IF(AND(SamplingData[[#This Row],[Total]]&lt;&gt; 0, NOT(ISBLANK(SamplingData[[#This Row],[Candidate 4]]))),(SamplingData[[#This Row],[Total]]+SamplingData[[#This Row],[Winning Candidate]]-SamplingData[[#This Row],[Candidate 4]])/(SamplingData[[#Totals],[Winning Candidate]]-SamplingData[[#Totals],[Candidate 4]]), 0)</f>
        <v>3.8001695460258996E-4</v>
      </c>
      <c r="N58" s="100">
        <f>IF(AND(SamplingData[[#This Row],[Total]]&lt;&gt; 0, NOT(ISBLANK(SamplingData[[#This Row],[Candidate 5]]))),(SamplingData[[#This Row],[Total]]+SamplingData[[#This Row],[Winning Candidate]]-SamplingData[[#This Row],[Candidate 5]])/(SamplingData[[#Totals],[Winning Candidate]]-SamplingData[[#Totals],[Candidate 5]]), 0)</f>
        <v>3.1622476283142789E-4</v>
      </c>
      <c r="O58" s="100">
        <f>IF(AND(SamplingData[[#This Row],[Total]]&lt;&gt; 0, NOT(ISBLANK(SamplingData[[#This Row],[Candidate 6]]))),(SamplingData[[#This Row],[Total]]+SamplingData[[#This Row],[Winning Candidate]]-SamplingData[[#This Row],[Candidate 6]])/(SamplingData[[#Totals],[Winning Candidate]]-SamplingData[[#Totals],[Candidate 6]]), 0)</f>
        <v>2.9181460045717622E-4</v>
      </c>
      <c r="P58" s="100">
        <f>MAX(SamplingData[[#This Row],[Error Bound (up) - Max. possible relative overstatement - Losing Candidate]:[Error Bound (up) - Max. possible relative overstatement - Candidate 6]])</f>
        <v>4.8995590396864281E-4</v>
      </c>
      <c r="Q58" s="100">
        <f>IF(SamplingData[[#This Row],[Max Error Bound (up)]] = 0,0,SamplingData[[#This Row],[Max Error Bound (up)]]/SamplingData[[#Totals],[Max Error Bound (up)]])</f>
        <v>7.7543586227566652E-5</v>
      </c>
      <c r="R58" s="101">
        <f>SUM($Q$5:Q58)</f>
        <v>4.6972027357348498E-2</v>
      </c>
      <c r="S58" s="100" t="str">
        <f t="array" ref="S58">IF(SamplingData[[#This Row],[up/U Selection Probability]] = 0, "Zero", TEXT(SamplingData[[#This Row],[Lower Range]], REPT("0",LEN('General Info'!$B$40))) &amp; " - " &amp; TEXT(SamplingData[[#This Row],[Upper Range]], REPT("0",LEN('General Info'!$B$40))))</f>
        <v>04689 - 04696</v>
      </c>
      <c r="T58" s="100">
        <f>SamplingData[[#This Row],[Upper Range]]-SamplingData[[#This Row],[Span]]</f>
        <v>4689.4484546556796</v>
      </c>
      <c r="U58" s="100">
        <f>IF(ISNUMBER('General Info'!$B$40), ((SamplingData[[#This Row],[up/U Selection Probability]]) * 'General Info'!$B$40) - 1, 0)</f>
        <v>6.754281079170438</v>
      </c>
      <c r="V58" s="100">
        <f>IF(ISNUMBER('General Info'!$B$40), (SamplingData[[#This Row],[Running (cumulative) sum]] * ('General Info'!$B$40 -'General Info'!$B$41 + 1)) + 'General Info'!$B$41 - 1, 0)</f>
        <v>4696.2027357348497</v>
      </c>
      <c r="W58" s="100" t="str">
        <f>IF(ISERROR(MATCH(SamplingData[[#This Row],[Batch by Type (p)]],SelectedPrecincts[Batch Name], 0)), "", INDEX(SelectedPrecincts[Draw], MATCH(SamplingData[[#This Row],[Batch by Type (p)]],SelectedPrecincts[Batch Name], 0)))</f>
        <v/>
      </c>
      <c r="X58" s="102">
        <f>IF(COUNTIF(SelectedPrecincts[Batch Name],SamplingData[[#This Row],[Batch by Type (p)]]) &lt;&gt; 0, COUNTIF(SelectedPrecincts[Batch Name],SamplingData[[#This Row],[Batch by Type (p)]]), 0)</f>
        <v>0</v>
      </c>
    </row>
    <row r="59" spans="1:24" ht="15" customHeight="1">
      <c r="A59" s="18" t="s">
        <v>235</v>
      </c>
      <c r="B59" s="18">
        <v>14</v>
      </c>
      <c r="C59" s="18">
        <v>24</v>
      </c>
      <c r="D59" s="16">
        <v>5</v>
      </c>
      <c r="E59" s="16">
        <v>2</v>
      </c>
      <c r="F59" s="37">
        <v>1</v>
      </c>
      <c r="G59" s="37">
        <v>2</v>
      </c>
      <c r="H59" s="16">
        <v>0</v>
      </c>
      <c r="I59" s="16">
        <v>0</v>
      </c>
      <c r="J59" s="99">
        <f>SUM(SamplingData[[#This Row],[Losing Candidate]:[Under Votes]])</f>
        <v>48</v>
      </c>
      <c r="K59" s="100">
        <f>IF(AND(SamplingData[[#This Row],[Total]]&lt;&gt; 0, NOT(ISBLANK(SamplingData[[#This Row],[Losing Candidate]]))),(SamplingData[[#This Row],[Total]]+SamplingData[[#This Row],[Winning Candidate]]-SamplingData[[#This Row],[Losing Candidate]])/(SamplingData[[#Totals],[Winning Candidate]]-SamplingData[[#Totals],[Losing Candidate]]), 0)</f>
        <v>3.5521803037726605E-3</v>
      </c>
      <c r="L59" s="100">
        <f>IF(AND(SamplingData[[#This Row],[Total]]&lt;&gt; 0, NOT(ISBLANK(SamplingData[[#This Row],[Candidate 3]]))),(SamplingData[[#This Row],[Total]]+SamplingData[[#This Row],[Winning Candidate]]-SamplingData[[#This Row],[Candidate 3]])/(SamplingData[[#Totals],[Winning Candidate]]-SamplingData[[#Totals],[Candidate 3]]), 0)</f>
        <v>2.1614994999516082E-3</v>
      </c>
      <c r="M59" s="100">
        <f>IF(AND(SamplingData[[#This Row],[Total]]&lt;&gt; 0, NOT(ISBLANK(SamplingData[[#This Row],[Candidate 4]]))),(SamplingData[[#This Row],[Total]]+SamplingData[[#This Row],[Winning Candidate]]-SamplingData[[#This Row],[Candidate 4]])/(SamplingData[[#Totals],[Winning Candidate]]-SamplingData[[#Totals],[Candidate 4]]), 0)</f>
        <v>2.0462451401677922E-3</v>
      </c>
      <c r="N59" s="100">
        <f>IF(AND(SamplingData[[#This Row],[Total]]&lt;&gt; 0, NOT(ISBLANK(SamplingData[[#This Row],[Candidate 5]]))),(SamplingData[[#This Row],[Total]]+SamplingData[[#This Row],[Winning Candidate]]-SamplingData[[#This Row],[Candidate 5]])/(SamplingData[[#Totals],[Winning Candidate]]-SamplingData[[#Totals],[Candidate 5]]), 0)</f>
        <v>1.7270737046947214E-3</v>
      </c>
      <c r="O59" s="100">
        <f>IF(AND(SamplingData[[#This Row],[Total]]&lt;&gt; 0, NOT(ISBLANK(SamplingData[[#This Row],[Candidate 6]]))),(SamplingData[[#This Row],[Total]]+SamplingData[[#This Row],[Winning Candidate]]-SamplingData[[#This Row],[Candidate 6]])/(SamplingData[[#Totals],[Winning Candidate]]-SamplingData[[#Totals],[Candidate 6]]), 0)</f>
        <v>1.7022518360001945E-3</v>
      </c>
      <c r="P59" s="100">
        <f>MAX(SamplingData[[#This Row],[Error Bound (up) - Max. possible relative overstatement - Losing Candidate]:[Error Bound (up) - Max. possible relative overstatement - Candidate 6]])</f>
        <v>3.5521803037726605E-3</v>
      </c>
      <c r="Q59" s="100">
        <f>IF(SamplingData[[#This Row],[Max Error Bound (up)]] = 0,0,SamplingData[[#This Row],[Max Error Bound (up)]]/SamplingData[[#Totals],[Max Error Bound (up)]])</f>
        <v>5.6219100014985829E-4</v>
      </c>
      <c r="R59" s="101">
        <f>SUM($Q$5:Q59)</f>
        <v>4.7534218357498353E-2</v>
      </c>
      <c r="S59" s="100" t="str">
        <f t="array" ref="S59">IF(SamplingData[[#This Row],[up/U Selection Probability]] = 0, "Zero", TEXT(SamplingData[[#This Row],[Lower Range]], REPT("0",LEN('General Info'!$B$40))) &amp; " - " &amp; TEXT(SamplingData[[#This Row],[Upper Range]], REPT("0",LEN('General Info'!$B$40))))</f>
        <v>04697 - 04752</v>
      </c>
      <c r="T59" s="100">
        <f>SamplingData[[#This Row],[Upper Range]]-SamplingData[[#This Row],[Span]]</f>
        <v>4697.2032979258502</v>
      </c>
      <c r="U59" s="100">
        <f>IF(ISNUMBER('General Info'!$B$40), ((SamplingData[[#This Row],[up/U Selection Probability]]) * 'General Info'!$B$40) - 1, 0)</f>
        <v>55.218537823985677</v>
      </c>
      <c r="V59" s="100">
        <f>IF(ISNUMBER('General Info'!$B$40), (SamplingData[[#This Row],[Running (cumulative) sum]] * ('General Info'!$B$40 -'General Info'!$B$41 + 1)) + 'General Info'!$B$41 - 1, 0)</f>
        <v>4752.4218357498357</v>
      </c>
      <c r="W59" s="100" t="str">
        <f>IF(ISERROR(MATCH(SamplingData[[#This Row],[Batch by Type (p)]],SelectedPrecincts[Batch Name], 0)), "", INDEX(SelectedPrecincts[Draw], MATCH(SamplingData[[#This Row],[Batch by Type (p)]],SelectedPrecincts[Batch Name], 0)))</f>
        <v/>
      </c>
      <c r="X59" s="102">
        <f>IF(COUNTIF(SelectedPrecincts[Batch Name],SamplingData[[#This Row],[Batch by Type (p)]]) &lt;&gt; 0, COUNTIF(SelectedPrecincts[Batch Name],SamplingData[[#This Row],[Batch by Type (p)]]), 0)</f>
        <v>0</v>
      </c>
    </row>
    <row r="60" spans="1:24" ht="15" customHeight="1">
      <c r="A60" s="18" t="s">
        <v>236</v>
      </c>
      <c r="B60" s="18">
        <v>3</v>
      </c>
      <c r="C60" s="18">
        <v>6</v>
      </c>
      <c r="D60" s="18">
        <v>1</v>
      </c>
      <c r="E60" s="18">
        <v>0</v>
      </c>
      <c r="F60" s="18">
        <v>0</v>
      </c>
      <c r="G60" s="18">
        <v>0</v>
      </c>
      <c r="H60" s="18">
        <v>0</v>
      </c>
      <c r="I60" s="18">
        <v>0</v>
      </c>
      <c r="J60" s="99">
        <f>SUM(SamplingData[[#This Row],[Losing Candidate]:[Under Votes]])</f>
        <v>10</v>
      </c>
      <c r="K60"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60" s="100">
        <f>IF(AND(SamplingData[[#This Row],[Total]]&lt;&gt; 0, NOT(ISBLANK(SamplingData[[#This Row],[Candidate 3]]))),(SamplingData[[#This Row],[Total]]+SamplingData[[#This Row],[Winning Candidate]]-SamplingData[[#This Row],[Candidate 3]])/(SamplingData[[#Totals],[Winning Candidate]]-SamplingData[[#Totals],[Candidate 3]]), 0)</f>
        <v>4.8391779849662873E-4</v>
      </c>
      <c r="M60" s="100">
        <f>IF(AND(SamplingData[[#This Row],[Total]]&lt;&gt; 0, NOT(ISBLANK(SamplingData[[#This Row],[Candidate 4]]))),(SamplingData[[#This Row],[Total]]+SamplingData[[#This Row],[Winning Candidate]]-SamplingData[[#This Row],[Candidate 4]])/(SamplingData[[#Totals],[Winning Candidate]]-SamplingData[[#Totals],[Candidate 4]]), 0)</f>
        <v>4.6771317489549536E-4</v>
      </c>
      <c r="N60" s="100">
        <f>IF(AND(SamplingData[[#This Row],[Total]]&lt;&gt; 0, NOT(ISBLANK(SamplingData[[#This Row],[Candidate 5]]))),(SamplingData[[#This Row],[Total]]+SamplingData[[#This Row],[Winning Candidate]]-SamplingData[[#This Row],[Candidate 5]])/(SamplingData[[#Totals],[Winning Candidate]]-SamplingData[[#Totals],[Candidate 5]]), 0)</f>
        <v>3.8919970810021893E-4</v>
      </c>
      <c r="O60" s="100">
        <f>IF(AND(SamplingData[[#This Row],[Total]]&lt;&gt; 0, NOT(ISBLANK(SamplingData[[#This Row],[Candidate 6]]))),(SamplingData[[#This Row],[Total]]+SamplingData[[#This Row],[Winning Candidate]]-SamplingData[[#This Row],[Candidate 6]])/(SamplingData[[#Totals],[Winning Candidate]]-SamplingData[[#Totals],[Candidate 6]]), 0)</f>
        <v>3.8908613394290161E-4</v>
      </c>
      <c r="P60" s="100">
        <f>MAX(SamplingData[[#This Row],[Error Bound (up) - Max. possible relative overstatement - Losing Candidate]:[Error Bound (up) - Max. possible relative overstatement - Candidate 6]])</f>
        <v>7.9617834394904463E-4</v>
      </c>
      <c r="Q60" s="100">
        <f>IF(SamplingData[[#This Row],[Max Error Bound (up)]] = 0,0,SamplingData[[#This Row],[Max Error Bound (up)]]/SamplingData[[#Totals],[Max Error Bound (up)]])</f>
        <v>1.2600832761979581E-4</v>
      </c>
      <c r="R60" s="101">
        <f>SUM($Q$5:Q60)</f>
        <v>4.766022668511815E-2</v>
      </c>
      <c r="S60" s="100" t="str">
        <f t="array" ref="S60">IF(SamplingData[[#This Row],[up/U Selection Probability]] = 0, "Zero", TEXT(SamplingData[[#This Row],[Lower Range]], REPT("0",LEN('General Info'!$B$40))) &amp; " - " &amp; TEXT(SamplingData[[#This Row],[Upper Range]], REPT("0",LEN('General Info'!$B$40))))</f>
        <v>04753 - 04765</v>
      </c>
      <c r="T60" s="100">
        <f>SamplingData[[#This Row],[Upper Range]]-SamplingData[[#This Row],[Span]]</f>
        <v>4753.421961758163</v>
      </c>
      <c r="U60" s="100">
        <f>IF(ISNUMBER('General Info'!$B$40), ((SamplingData[[#This Row],[up/U Selection Probability]]) * 'General Info'!$B$40) - 1, 0)</f>
        <v>11.600706753651961</v>
      </c>
      <c r="V60" s="100">
        <f>IF(ISNUMBER('General Info'!$B$40), (SamplingData[[#This Row],[Running (cumulative) sum]] * ('General Info'!$B$40 -'General Info'!$B$41 + 1)) + 'General Info'!$B$41 - 1, 0)</f>
        <v>4765.022668511815</v>
      </c>
      <c r="W60" s="100" t="str">
        <f>IF(ISERROR(MATCH(SamplingData[[#This Row],[Batch by Type (p)]],SelectedPrecincts[Batch Name], 0)), "", INDEX(SelectedPrecincts[Draw], MATCH(SamplingData[[#This Row],[Batch by Type (p)]],SelectedPrecincts[Batch Name], 0)))</f>
        <v/>
      </c>
      <c r="X60" s="102">
        <f>IF(COUNTIF(SelectedPrecincts[Batch Name],SamplingData[[#This Row],[Batch by Type (p)]]) &lt;&gt; 0, COUNTIF(SelectedPrecincts[Batch Name],SamplingData[[#This Row],[Batch by Type (p)]]), 0)</f>
        <v>0</v>
      </c>
    </row>
    <row r="61" spans="1:24" ht="15" customHeight="1">
      <c r="A61" s="18" t="s">
        <v>237</v>
      </c>
      <c r="B61" s="18">
        <v>12</v>
      </c>
      <c r="C61" s="18">
        <v>4</v>
      </c>
      <c r="D61" s="16">
        <v>2</v>
      </c>
      <c r="E61" s="16">
        <v>2</v>
      </c>
      <c r="F61" s="37">
        <v>0</v>
      </c>
      <c r="G61" s="37">
        <v>0</v>
      </c>
      <c r="H61" s="16">
        <v>0</v>
      </c>
      <c r="I61" s="16">
        <v>0</v>
      </c>
      <c r="J61" s="99">
        <f>SUM(SamplingData[[#This Row],[Losing Candidate]:[Under Votes]])</f>
        <v>20</v>
      </c>
      <c r="K61"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61" s="100">
        <f>IF(AND(SamplingData[[#This Row],[Total]]&lt;&gt; 0, NOT(ISBLANK(SamplingData[[#This Row],[Candidate 3]]))),(SamplingData[[#This Row],[Total]]+SamplingData[[#This Row],[Winning Candidate]]-SamplingData[[#This Row],[Candidate 3]])/(SamplingData[[#Totals],[Winning Candidate]]-SamplingData[[#Totals],[Candidate 3]]), 0)</f>
        <v>7.0974610446172207E-4</v>
      </c>
      <c r="M61" s="100">
        <f>IF(AND(SamplingData[[#This Row],[Total]]&lt;&gt; 0, NOT(ISBLANK(SamplingData[[#This Row],[Candidate 4]]))),(SamplingData[[#This Row],[Total]]+SamplingData[[#This Row],[Winning Candidate]]-SamplingData[[#This Row],[Candidate 4]])/(SamplingData[[#Totals],[Winning Candidate]]-SamplingData[[#Totals],[Candidate 4]]), 0)</f>
        <v>6.4310561548130605E-4</v>
      </c>
      <c r="N61" s="100">
        <f>IF(AND(SamplingData[[#This Row],[Total]]&lt;&gt; 0, NOT(ISBLANK(SamplingData[[#This Row],[Candidate 5]]))),(SamplingData[[#This Row],[Total]]+SamplingData[[#This Row],[Winning Candidate]]-SamplingData[[#This Row],[Candidate 5]])/(SamplingData[[#Totals],[Winning Candidate]]-SamplingData[[#Totals],[Candidate 5]]), 0)</f>
        <v>5.8379956215032843E-4</v>
      </c>
      <c r="O61" s="100">
        <f>IF(AND(SamplingData[[#This Row],[Total]]&lt;&gt; 0, NOT(ISBLANK(SamplingData[[#This Row],[Candidate 6]]))),(SamplingData[[#This Row],[Total]]+SamplingData[[#This Row],[Winning Candidate]]-SamplingData[[#This Row],[Candidate 6]])/(SamplingData[[#Totals],[Winning Candidate]]-SamplingData[[#Totals],[Candidate 6]]), 0)</f>
        <v>5.8362920091435243E-4</v>
      </c>
      <c r="P61" s="100">
        <f>MAX(SamplingData[[#This Row],[Error Bound (up) - Max. possible relative overstatement - Losing Candidate]:[Error Bound (up) - Max. possible relative overstatement - Candidate 6]])</f>
        <v>7.3493385595296422E-4</v>
      </c>
      <c r="Q61" s="100">
        <f>IF(SamplingData[[#This Row],[Max Error Bound (up)]] = 0,0,SamplingData[[#This Row],[Max Error Bound (up)]]/SamplingData[[#Totals],[Max Error Bound (up)]])</f>
        <v>1.1631537934134997E-4</v>
      </c>
      <c r="R61" s="101">
        <f>SUM($Q$5:Q61)</f>
        <v>4.7776542064459498E-2</v>
      </c>
      <c r="S61" s="100" t="str">
        <f t="array" ref="S61">IF(SamplingData[[#This Row],[up/U Selection Probability]] = 0, "Zero", TEXT(SamplingData[[#This Row],[Lower Range]], REPT("0",LEN('General Info'!$B$40))) &amp; " - " &amp; TEXT(SamplingData[[#This Row],[Upper Range]], REPT("0",LEN('General Info'!$B$40))))</f>
        <v>04766 - 04777</v>
      </c>
      <c r="T61" s="100">
        <f>SamplingData[[#This Row],[Upper Range]]-SamplingData[[#This Row],[Span]]</f>
        <v>4766.0227848271943</v>
      </c>
      <c r="U61" s="100">
        <f>IF(ISNUMBER('General Info'!$B$40), ((SamplingData[[#This Row],[up/U Selection Probability]]) * 'General Info'!$B$40) - 1, 0)</f>
        <v>10.631421618755656</v>
      </c>
      <c r="V61" s="100">
        <f>IF(ISNUMBER('General Info'!$B$40), (SamplingData[[#This Row],[Running (cumulative) sum]] * ('General Info'!$B$40 -'General Info'!$B$41 + 1)) + 'General Info'!$B$41 - 1, 0)</f>
        <v>4776.65420644595</v>
      </c>
      <c r="W61" s="100" t="str">
        <f>IF(ISERROR(MATCH(SamplingData[[#This Row],[Batch by Type (p)]],SelectedPrecincts[Batch Name], 0)), "", INDEX(SelectedPrecincts[Draw], MATCH(SamplingData[[#This Row],[Batch by Type (p)]],SelectedPrecincts[Batch Name], 0)))</f>
        <v/>
      </c>
      <c r="X61" s="102">
        <f>IF(COUNTIF(SelectedPrecincts[Batch Name],SamplingData[[#This Row],[Batch by Type (p)]]) &lt;&gt; 0, COUNTIF(SelectedPrecincts[Batch Name],SamplingData[[#This Row],[Batch by Type (p)]]), 0)</f>
        <v>0</v>
      </c>
    </row>
    <row r="62" spans="1:24" ht="15" customHeight="1">
      <c r="A62" s="18" t="s">
        <v>238</v>
      </c>
      <c r="B62" s="18">
        <v>1</v>
      </c>
      <c r="C62" s="18">
        <v>2</v>
      </c>
      <c r="D62" s="18">
        <v>1</v>
      </c>
      <c r="E62" s="18">
        <v>0</v>
      </c>
      <c r="F62" s="18">
        <v>0</v>
      </c>
      <c r="G62" s="18">
        <v>1</v>
      </c>
      <c r="H62" s="18">
        <v>0</v>
      </c>
      <c r="I62" s="18">
        <v>0</v>
      </c>
      <c r="J62" s="99">
        <f>SUM(SamplingData[[#This Row],[Losing Candidate]:[Under Votes]])</f>
        <v>5</v>
      </c>
      <c r="K62"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62" s="100">
        <f>IF(AND(SamplingData[[#This Row],[Total]]&lt;&gt; 0, NOT(ISBLANK(SamplingData[[#This Row],[Candidate 3]]))),(SamplingData[[#This Row],[Total]]+SamplingData[[#This Row],[Winning Candidate]]-SamplingData[[#This Row],[Candidate 3]])/(SamplingData[[#Totals],[Winning Candidate]]-SamplingData[[#Totals],[Candidate 3]]), 0)</f>
        <v>1.9356711939865149E-4</v>
      </c>
      <c r="M62" s="100">
        <f>IF(AND(SamplingData[[#This Row],[Total]]&lt;&gt; 0, NOT(ISBLANK(SamplingData[[#This Row],[Candidate 4]]))),(SamplingData[[#This Row],[Total]]+SamplingData[[#This Row],[Winning Candidate]]-SamplingData[[#This Row],[Candidate 4]])/(SamplingData[[#Totals],[Winning Candidate]]-SamplingData[[#Totals],[Candidate 4]]), 0)</f>
        <v>2.0462451401677921E-4</v>
      </c>
      <c r="N62" s="100">
        <f>IF(AND(SamplingData[[#This Row],[Total]]&lt;&gt; 0, NOT(ISBLANK(SamplingData[[#This Row],[Candidate 5]]))),(SamplingData[[#This Row],[Total]]+SamplingData[[#This Row],[Winning Candidate]]-SamplingData[[#This Row],[Candidate 5]])/(SamplingData[[#Totals],[Winning Candidate]]-SamplingData[[#Totals],[Candidate 5]]), 0)</f>
        <v>1.7027487229384579E-4</v>
      </c>
      <c r="O62" s="100">
        <f>IF(AND(SamplingData[[#This Row],[Total]]&lt;&gt; 0, NOT(ISBLANK(SamplingData[[#This Row],[Candidate 6]]))),(SamplingData[[#This Row],[Total]]+SamplingData[[#This Row],[Winning Candidate]]-SamplingData[[#This Row],[Candidate 6]])/(SamplingData[[#Totals],[Winning Candidate]]-SamplingData[[#Totals],[Candidate 6]]), 0)</f>
        <v>1.4590730022858811E-4</v>
      </c>
      <c r="P62" s="100">
        <f>MAX(SamplingData[[#This Row],[Error Bound (up) - Max. possible relative overstatement - Losing Candidate]:[Error Bound (up) - Max. possible relative overstatement - Candidate 6]])</f>
        <v>3.6746692797648211E-4</v>
      </c>
      <c r="Q62" s="100">
        <f>IF(SamplingData[[#This Row],[Max Error Bound (up)]] = 0,0,SamplingData[[#This Row],[Max Error Bound (up)]]/SamplingData[[#Totals],[Max Error Bound (up)]])</f>
        <v>5.8157689670674986E-5</v>
      </c>
      <c r="R62" s="101">
        <f>SUM($Q$5:Q62)</f>
        <v>4.7834699754130176E-2</v>
      </c>
      <c r="S62" s="100" t="str">
        <f t="array" ref="S62">IF(SamplingData[[#This Row],[up/U Selection Probability]] = 0, "Zero", TEXT(SamplingData[[#This Row],[Lower Range]], REPT("0",LEN('General Info'!$B$40))) &amp; " - " &amp; TEXT(SamplingData[[#This Row],[Upper Range]], REPT("0",LEN('General Info'!$B$40))))</f>
        <v>04778 - 04782</v>
      </c>
      <c r="T62" s="100">
        <f>SamplingData[[#This Row],[Upper Range]]-SamplingData[[#This Row],[Span]]</f>
        <v>4777.6542646036405</v>
      </c>
      <c r="U62" s="100">
        <f>IF(ISNUMBER('General Info'!$B$40), ((SamplingData[[#This Row],[up/U Selection Probability]]) * 'General Info'!$B$40) - 1, 0)</f>
        <v>4.815710809377828</v>
      </c>
      <c r="V62" s="100">
        <f>IF(ISNUMBER('General Info'!$B$40), (SamplingData[[#This Row],[Running (cumulative) sum]] * ('General Info'!$B$40 -'General Info'!$B$41 + 1)) + 'General Info'!$B$41 - 1, 0)</f>
        <v>4782.4699754130179</v>
      </c>
      <c r="W62" s="100" t="str">
        <f>IF(ISERROR(MATCH(SamplingData[[#This Row],[Batch by Type (p)]],SelectedPrecincts[Batch Name], 0)), "", INDEX(SelectedPrecincts[Draw], MATCH(SamplingData[[#This Row],[Batch by Type (p)]],SelectedPrecincts[Batch Name], 0)))</f>
        <v/>
      </c>
      <c r="X62" s="102">
        <f>IF(COUNTIF(SelectedPrecincts[Batch Name],SamplingData[[#This Row],[Batch by Type (p)]]) &lt;&gt; 0, COUNTIF(SelectedPrecincts[Batch Name],SamplingData[[#This Row],[Batch by Type (p)]]), 0)</f>
        <v>0</v>
      </c>
    </row>
    <row r="63" spans="1:24" ht="15" customHeight="1">
      <c r="A63" s="18" t="s">
        <v>239</v>
      </c>
      <c r="B63" s="18">
        <v>19</v>
      </c>
      <c r="C63" s="18">
        <v>21</v>
      </c>
      <c r="D63" s="16">
        <v>7</v>
      </c>
      <c r="E63" s="16">
        <v>6</v>
      </c>
      <c r="F63" s="37">
        <v>1</v>
      </c>
      <c r="G63" s="37">
        <v>0</v>
      </c>
      <c r="H63" s="16">
        <v>0</v>
      </c>
      <c r="I63" s="16">
        <v>2</v>
      </c>
      <c r="J63" s="99">
        <f>SUM(SamplingData[[#This Row],[Losing Candidate]:[Under Votes]])</f>
        <v>56</v>
      </c>
      <c r="K63" s="100">
        <f>IF(AND(SamplingData[[#This Row],[Total]]&lt;&gt; 0, NOT(ISBLANK(SamplingData[[#This Row],[Losing Candidate]]))),(SamplingData[[#This Row],[Total]]+SamplingData[[#This Row],[Winning Candidate]]-SamplingData[[#This Row],[Losing Candidate]])/(SamplingData[[#Totals],[Winning Candidate]]-SamplingData[[#Totals],[Losing Candidate]]), 0)</f>
        <v>3.5521803037726605E-3</v>
      </c>
      <c r="L63" s="100">
        <f>IF(AND(SamplingData[[#This Row],[Total]]&lt;&gt; 0, NOT(ISBLANK(SamplingData[[#This Row],[Candidate 3]]))),(SamplingData[[#This Row],[Total]]+SamplingData[[#This Row],[Winning Candidate]]-SamplingData[[#This Row],[Candidate 3]])/(SamplingData[[#Totals],[Winning Candidate]]-SamplingData[[#Totals],[Candidate 3]]), 0)</f>
        <v>2.2582830596509338E-3</v>
      </c>
      <c r="M63" s="100">
        <f>IF(AND(SamplingData[[#This Row],[Total]]&lt;&gt; 0, NOT(ISBLANK(SamplingData[[#This Row],[Candidate 4]]))),(SamplingData[[#This Row],[Total]]+SamplingData[[#This Row],[Winning Candidate]]-SamplingData[[#This Row],[Candidate 4]])/(SamplingData[[#Totals],[Winning Candidate]]-SamplingData[[#Totals],[Candidate 4]]), 0)</f>
        <v>2.0754772135987607E-3</v>
      </c>
      <c r="N63" s="100">
        <f>IF(AND(SamplingData[[#This Row],[Total]]&lt;&gt; 0, NOT(ISBLANK(SamplingData[[#This Row],[Candidate 5]]))),(SamplingData[[#This Row],[Total]]+SamplingData[[#This Row],[Winning Candidate]]-SamplingData[[#This Row],[Candidate 5]])/(SamplingData[[#Totals],[Winning Candidate]]-SamplingData[[#Totals],[Candidate 5]]), 0)</f>
        <v>1.8486986134760399E-3</v>
      </c>
      <c r="O63" s="100">
        <f>IF(AND(SamplingData[[#This Row],[Total]]&lt;&gt; 0, NOT(ISBLANK(SamplingData[[#This Row],[Candidate 6]]))),(SamplingData[[#This Row],[Total]]+SamplingData[[#This Row],[Winning Candidate]]-SamplingData[[#This Row],[Candidate 6]])/(SamplingData[[#Totals],[Winning Candidate]]-SamplingData[[#Totals],[Candidate 6]]), 0)</f>
        <v>1.872477019600214E-3</v>
      </c>
      <c r="P63" s="100">
        <f>MAX(SamplingData[[#This Row],[Error Bound (up) - Max. possible relative overstatement - Losing Candidate]:[Error Bound (up) - Max. possible relative overstatement - Candidate 6]])</f>
        <v>3.5521803037726605E-3</v>
      </c>
      <c r="Q63" s="100">
        <f>IF(SamplingData[[#This Row],[Max Error Bound (up)]] = 0,0,SamplingData[[#This Row],[Max Error Bound (up)]]/SamplingData[[#Totals],[Max Error Bound (up)]])</f>
        <v>5.6219100014985829E-4</v>
      </c>
      <c r="R63" s="101">
        <f>SUM($Q$5:Q63)</f>
        <v>4.8396890754280032E-2</v>
      </c>
      <c r="S63" s="100" t="str">
        <f t="array" ref="S63">IF(SamplingData[[#This Row],[up/U Selection Probability]] = 0, "Zero", TEXT(SamplingData[[#This Row],[Lower Range]], REPT("0",LEN('General Info'!$B$40))) &amp; " - " &amp; TEXT(SamplingData[[#This Row],[Upper Range]], REPT("0",LEN('General Info'!$B$40))))</f>
        <v>04783 - 04839</v>
      </c>
      <c r="T63" s="100">
        <f>SamplingData[[#This Row],[Upper Range]]-SamplingData[[#This Row],[Span]]</f>
        <v>4783.4705376040174</v>
      </c>
      <c r="U63" s="100">
        <f>IF(ISNUMBER('General Info'!$B$40), ((SamplingData[[#This Row],[up/U Selection Probability]]) * 'General Info'!$B$40) - 1, 0)</f>
        <v>55.218537823985677</v>
      </c>
      <c r="V63" s="100">
        <f>IF(ISNUMBER('General Info'!$B$40), (SamplingData[[#This Row],[Running (cumulative) sum]] * ('General Info'!$B$40 -'General Info'!$B$41 + 1)) + 'General Info'!$B$41 - 1, 0)</f>
        <v>4838.689075428003</v>
      </c>
      <c r="W63" s="100" t="str">
        <f>IF(ISERROR(MATCH(SamplingData[[#This Row],[Batch by Type (p)]],SelectedPrecincts[Batch Name], 0)), "", INDEX(SelectedPrecincts[Draw], MATCH(SamplingData[[#This Row],[Batch by Type (p)]],SelectedPrecincts[Batch Name], 0)))</f>
        <v/>
      </c>
      <c r="X63" s="102">
        <f>IF(COUNTIF(SelectedPrecincts[Batch Name],SamplingData[[#This Row],[Batch by Type (p)]]) &lt;&gt; 0, COUNTIF(SelectedPrecincts[Batch Name],SamplingData[[#This Row],[Batch by Type (p)]]), 0)</f>
        <v>0</v>
      </c>
    </row>
    <row r="64" spans="1:24" ht="15" customHeight="1">
      <c r="A64" s="18" t="s">
        <v>240</v>
      </c>
      <c r="B64" s="18">
        <v>7</v>
      </c>
      <c r="C64" s="18">
        <v>4</v>
      </c>
      <c r="D64" s="18">
        <v>1</v>
      </c>
      <c r="E64" s="18">
        <v>0</v>
      </c>
      <c r="F64" s="18">
        <v>0</v>
      </c>
      <c r="G64" s="18">
        <v>1</v>
      </c>
      <c r="H64" s="18">
        <v>0</v>
      </c>
      <c r="I64" s="18">
        <v>0</v>
      </c>
      <c r="J64" s="99">
        <f>SUM(SamplingData[[#This Row],[Losing Candidate]:[Under Votes]])</f>
        <v>13</v>
      </c>
      <c r="K6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64" s="100">
        <f>IF(AND(SamplingData[[#This Row],[Total]]&lt;&gt; 0, NOT(ISBLANK(SamplingData[[#This Row],[Candidate 3]]))),(SamplingData[[#This Row],[Total]]+SamplingData[[#This Row],[Winning Candidate]]-SamplingData[[#This Row],[Candidate 3]])/(SamplingData[[#Totals],[Winning Candidate]]-SamplingData[[#Totals],[Candidate 3]]), 0)</f>
        <v>5.1617898506307067E-4</v>
      </c>
      <c r="M64" s="100">
        <f>IF(AND(SamplingData[[#This Row],[Total]]&lt;&gt; 0, NOT(ISBLANK(SamplingData[[#This Row],[Candidate 4]]))),(SamplingData[[#This Row],[Total]]+SamplingData[[#This Row],[Winning Candidate]]-SamplingData[[#This Row],[Candidate 4]])/(SamplingData[[#Totals],[Winning Candidate]]-SamplingData[[#Totals],[Candidate 4]]), 0)</f>
        <v>4.9694524832646382E-4</v>
      </c>
      <c r="N64" s="100">
        <f>IF(AND(SamplingData[[#This Row],[Total]]&lt;&gt; 0, NOT(ISBLANK(SamplingData[[#This Row],[Candidate 5]]))),(SamplingData[[#This Row],[Total]]+SamplingData[[#This Row],[Winning Candidate]]-SamplingData[[#This Row],[Candidate 5]])/(SamplingData[[#Totals],[Winning Candidate]]-SamplingData[[#Totals],[Candidate 5]]), 0)</f>
        <v>4.1352468985648261E-4</v>
      </c>
      <c r="O64" s="100">
        <f>IF(AND(SamplingData[[#This Row],[Total]]&lt;&gt; 0, NOT(ISBLANK(SamplingData[[#This Row],[Candidate 6]]))),(SamplingData[[#This Row],[Total]]+SamplingData[[#This Row],[Winning Candidate]]-SamplingData[[#This Row],[Candidate 6]])/(SamplingData[[#Totals],[Winning Candidate]]-SamplingData[[#Totals],[Candidate 6]]), 0)</f>
        <v>3.8908613394290161E-4</v>
      </c>
      <c r="P64" s="100">
        <f>MAX(SamplingData[[#This Row],[Error Bound (up) - Max. possible relative overstatement - Losing Candidate]:[Error Bound (up) - Max. possible relative overstatement - Candidate 6]])</f>
        <v>6.1244487996080352E-4</v>
      </c>
      <c r="Q64" s="100">
        <f>IF(SamplingData[[#This Row],[Max Error Bound (up)]] = 0,0,SamplingData[[#This Row],[Max Error Bound (up)]]/SamplingData[[#Totals],[Max Error Bound (up)]])</f>
        <v>9.6929482784458319E-5</v>
      </c>
      <c r="R64" s="101">
        <f>SUM($Q$5:Q64)</f>
        <v>4.8493820237064493E-2</v>
      </c>
      <c r="S64" s="100" t="str">
        <f t="array" ref="S64">IF(SamplingData[[#This Row],[up/U Selection Probability]] = 0, "Zero", TEXT(SamplingData[[#This Row],[Lower Range]], REPT("0",LEN('General Info'!$B$40))) &amp; " - " &amp; TEXT(SamplingData[[#This Row],[Upper Range]], REPT("0",LEN('General Info'!$B$40))))</f>
        <v>04840 - 04848</v>
      </c>
      <c r="T64" s="100">
        <f>SamplingData[[#This Row],[Upper Range]]-SamplingData[[#This Row],[Span]]</f>
        <v>4839.6891723574863</v>
      </c>
      <c r="U64" s="100">
        <f>IF(ISNUMBER('General Info'!$B$40), ((SamplingData[[#This Row],[up/U Selection Probability]]) * 'General Info'!$B$40) - 1, 0)</f>
        <v>8.6928513489630479</v>
      </c>
      <c r="V64" s="100">
        <f>IF(ISNUMBER('General Info'!$B$40), (SamplingData[[#This Row],[Running (cumulative) sum]] * ('General Info'!$B$40 -'General Info'!$B$41 + 1)) + 'General Info'!$B$41 - 1, 0)</f>
        <v>4848.3820237064492</v>
      </c>
      <c r="W64" s="100" t="str">
        <f>IF(ISERROR(MATCH(SamplingData[[#This Row],[Batch by Type (p)]],SelectedPrecincts[Batch Name], 0)), "", INDEX(SelectedPrecincts[Draw], MATCH(SamplingData[[#This Row],[Batch by Type (p)]],SelectedPrecincts[Batch Name], 0)))</f>
        <v/>
      </c>
      <c r="X64" s="102">
        <f>IF(COUNTIF(SelectedPrecincts[Batch Name],SamplingData[[#This Row],[Batch by Type (p)]]) &lt;&gt; 0, COUNTIF(SelectedPrecincts[Batch Name],SamplingData[[#This Row],[Batch by Type (p)]]), 0)</f>
        <v>0</v>
      </c>
    </row>
    <row r="65" spans="1:24" ht="15" customHeight="1">
      <c r="A65" s="18" t="s">
        <v>241</v>
      </c>
      <c r="B65" s="18">
        <v>24</v>
      </c>
      <c r="C65" s="18">
        <v>18</v>
      </c>
      <c r="D65" s="16">
        <v>8</v>
      </c>
      <c r="E65" s="16">
        <v>5</v>
      </c>
      <c r="F65" s="37">
        <v>1</v>
      </c>
      <c r="G65" s="37">
        <v>0</v>
      </c>
      <c r="H65" s="17">
        <v>0</v>
      </c>
      <c r="I65" s="17">
        <v>0</v>
      </c>
      <c r="J65" s="99">
        <f>SUM(SamplingData[[#This Row],[Losing Candidate]:[Under Votes]])</f>
        <v>56</v>
      </c>
      <c r="K65" s="100">
        <f>IF(AND(SamplingData[[#This Row],[Total]]&lt;&gt; 0, NOT(ISBLANK(SamplingData[[#This Row],[Losing Candidate]]))),(SamplingData[[#This Row],[Total]]+SamplingData[[#This Row],[Winning Candidate]]-SamplingData[[#This Row],[Losing Candidate]])/(SamplingData[[#Totals],[Winning Candidate]]-SamplingData[[#Totals],[Losing Candidate]]), 0)</f>
        <v>3.0622243998040177E-3</v>
      </c>
      <c r="L65" s="100">
        <f>IF(AND(SamplingData[[#This Row],[Total]]&lt;&gt; 0, NOT(ISBLANK(SamplingData[[#This Row],[Candidate 3]]))),(SamplingData[[#This Row],[Total]]+SamplingData[[#This Row],[Winning Candidate]]-SamplingData[[#This Row],[Candidate 3]])/(SamplingData[[#Totals],[Winning Candidate]]-SamplingData[[#Totals],[Candidate 3]]), 0)</f>
        <v>2.1292383133851662E-3</v>
      </c>
      <c r="M65" s="100">
        <f>IF(AND(SamplingData[[#This Row],[Total]]&lt;&gt; 0, NOT(ISBLANK(SamplingData[[#This Row],[Candidate 4]]))),(SamplingData[[#This Row],[Total]]+SamplingData[[#This Row],[Winning Candidate]]-SamplingData[[#This Row],[Candidate 4]])/(SamplingData[[#Totals],[Winning Candidate]]-SamplingData[[#Totals],[Candidate 4]]), 0)</f>
        <v>2.0170130667368238E-3</v>
      </c>
      <c r="N65" s="100">
        <f>IF(AND(SamplingData[[#This Row],[Total]]&lt;&gt; 0, NOT(ISBLANK(SamplingData[[#This Row],[Candidate 5]]))),(SamplingData[[#This Row],[Total]]+SamplingData[[#This Row],[Winning Candidate]]-SamplingData[[#This Row],[Candidate 5]])/(SamplingData[[#Totals],[Winning Candidate]]-SamplingData[[#Totals],[Candidate 5]]), 0)</f>
        <v>1.7757236682072487E-3</v>
      </c>
      <c r="O65" s="100">
        <f>IF(AND(SamplingData[[#This Row],[Total]]&lt;&gt; 0, NOT(ISBLANK(SamplingData[[#This Row],[Candidate 6]]))),(SamplingData[[#This Row],[Total]]+SamplingData[[#This Row],[Winning Candidate]]-SamplingData[[#This Row],[Candidate 6]])/(SamplingData[[#Totals],[Winning Candidate]]-SamplingData[[#Totals],[Candidate 6]]), 0)</f>
        <v>1.7995233694859199E-3</v>
      </c>
      <c r="P65" s="100">
        <f>MAX(SamplingData[[#This Row],[Error Bound (up) - Max. possible relative overstatement - Losing Candidate]:[Error Bound (up) - Max. possible relative overstatement - Candidate 6]])</f>
        <v>3.0622243998040177E-3</v>
      </c>
      <c r="Q65" s="100">
        <f>IF(SamplingData[[#This Row],[Max Error Bound (up)]] = 0,0,SamplingData[[#This Row],[Max Error Bound (up)]]/SamplingData[[#Totals],[Max Error Bound (up)]])</f>
        <v>4.8464741392229157E-4</v>
      </c>
      <c r="R65" s="101">
        <f>SUM($Q$5:Q65)</f>
        <v>4.8978467650986783E-2</v>
      </c>
      <c r="S65" s="100" t="str">
        <f t="array" ref="S65">IF(SamplingData[[#This Row],[up/U Selection Probability]] = 0, "Zero", TEXT(SamplingData[[#This Row],[Lower Range]], REPT("0",LEN('General Info'!$B$40))) &amp; " - " &amp; TEXT(SamplingData[[#This Row],[Upper Range]], REPT("0",LEN('General Info'!$B$40))))</f>
        <v>04849 - 04897</v>
      </c>
      <c r="T65" s="100">
        <f>SamplingData[[#This Row],[Upper Range]]-SamplingData[[#This Row],[Span]]</f>
        <v>4849.3825083538632</v>
      </c>
      <c r="U65" s="100">
        <f>IF(ISNUMBER('General Info'!$B$40), ((SamplingData[[#This Row],[up/U Selection Probability]]) * 'General Info'!$B$40) - 1, 0)</f>
        <v>47.464256744815238</v>
      </c>
      <c r="V65" s="100">
        <f>IF(ISNUMBER('General Info'!$B$40), (SamplingData[[#This Row],[Running (cumulative) sum]] * ('General Info'!$B$40 -'General Info'!$B$41 + 1)) + 'General Info'!$B$41 - 1, 0)</f>
        <v>4896.8467650986786</v>
      </c>
      <c r="W65" s="100">
        <f>IF(ISERROR(MATCH(SamplingData[[#This Row],[Batch by Type (p)]],SelectedPrecincts[Batch Name], 0)), "", INDEX(SelectedPrecincts[Draw], MATCH(SamplingData[[#This Row],[Batch by Type (p)]],SelectedPrecincts[Batch Name], 0)))</f>
        <v>5</v>
      </c>
      <c r="X65" s="102">
        <f>IF(COUNTIF(SelectedPrecincts[Batch Name],SamplingData[[#This Row],[Batch by Type (p)]]) &lt;&gt; 0, COUNTIF(SelectedPrecincts[Batch Name],SamplingData[[#This Row],[Batch by Type (p)]]), 0)</f>
        <v>1</v>
      </c>
    </row>
    <row r="66" spans="1:24" ht="15" customHeight="1">
      <c r="A66" s="18" t="s">
        <v>242</v>
      </c>
      <c r="B66" s="18">
        <v>7</v>
      </c>
      <c r="C66" s="18">
        <v>6</v>
      </c>
      <c r="D66" s="18">
        <v>5</v>
      </c>
      <c r="E66" s="18">
        <v>0</v>
      </c>
      <c r="F66" s="18">
        <v>1</v>
      </c>
      <c r="G66" s="18">
        <v>0</v>
      </c>
      <c r="H66" s="18">
        <v>0</v>
      </c>
      <c r="I66" s="18">
        <v>1</v>
      </c>
      <c r="J66" s="99">
        <f>SUM(SamplingData[[#This Row],[Losing Candidate]:[Under Votes]])</f>
        <v>20</v>
      </c>
      <c r="K66"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66" s="100">
        <f>IF(AND(SamplingData[[#This Row],[Total]]&lt;&gt; 0, NOT(ISBLANK(SamplingData[[#This Row],[Candidate 3]]))),(SamplingData[[#This Row],[Total]]+SamplingData[[#This Row],[Winning Candidate]]-SamplingData[[#This Row],[Candidate 3]])/(SamplingData[[#Totals],[Winning Candidate]]-SamplingData[[#Totals],[Candidate 3]]), 0)</f>
        <v>6.7748491789528019E-4</v>
      </c>
      <c r="M66" s="100">
        <f>IF(AND(SamplingData[[#This Row],[Total]]&lt;&gt; 0, NOT(ISBLANK(SamplingData[[#This Row],[Candidate 4]]))),(SamplingData[[#This Row],[Total]]+SamplingData[[#This Row],[Winning Candidate]]-SamplingData[[#This Row],[Candidate 4]])/(SamplingData[[#Totals],[Winning Candidate]]-SamplingData[[#Totals],[Candidate 4]]), 0)</f>
        <v>7.6003390920517991E-4</v>
      </c>
      <c r="N66" s="100">
        <f>IF(AND(SamplingData[[#This Row],[Total]]&lt;&gt; 0, NOT(ISBLANK(SamplingData[[#This Row],[Candidate 5]]))),(SamplingData[[#This Row],[Total]]+SamplingData[[#This Row],[Winning Candidate]]-SamplingData[[#This Row],[Candidate 5]])/(SamplingData[[#Totals],[Winning Candidate]]-SamplingData[[#Totals],[Candidate 5]]), 0)</f>
        <v>6.0812454390659211E-4</v>
      </c>
      <c r="O66" s="100">
        <f>IF(AND(SamplingData[[#This Row],[Total]]&lt;&gt; 0, NOT(ISBLANK(SamplingData[[#This Row],[Candidate 6]]))),(SamplingData[[#This Row],[Total]]+SamplingData[[#This Row],[Winning Candidate]]-SamplingData[[#This Row],[Candidate 6]])/(SamplingData[[#Totals],[Winning Candidate]]-SamplingData[[#Totals],[Candidate 6]]), 0)</f>
        <v>6.322649676572151E-4</v>
      </c>
      <c r="P66" s="100">
        <f>MAX(SamplingData[[#This Row],[Error Bound (up) - Max. possible relative overstatement - Losing Candidate]:[Error Bound (up) - Max. possible relative overstatement - Candidate 6]])</f>
        <v>1.1636452719255266E-3</v>
      </c>
      <c r="Q66" s="100">
        <f>IF(SamplingData[[#This Row],[Max Error Bound (up)]] = 0,0,SamplingData[[#This Row],[Max Error Bound (up)]]/SamplingData[[#Totals],[Max Error Bound (up)]])</f>
        <v>1.841660172904708E-4</v>
      </c>
      <c r="R66" s="101">
        <f>SUM($Q$5:Q66)</f>
        <v>4.9162633668277257E-2</v>
      </c>
      <c r="S66" s="100" t="str">
        <f t="array" ref="S66">IF(SamplingData[[#This Row],[up/U Selection Probability]] = 0, "Zero", TEXT(SamplingData[[#This Row],[Lower Range]], REPT("0",LEN('General Info'!$B$40))) &amp; " - " &amp; TEXT(SamplingData[[#This Row],[Upper Range]], REPT("0",LEN('General Info'!$B$40))))</f>
        <v>04898 - 04915</v>
      </c>
      <c r="T66" s="100">
        <f>SamplingData[[#This Row],[Upper Range]]-SamplingData[[#This Row],[Span]]</f>
        <v>4897.8469492646964</v>
      </c>
      <c r="U66" s="100">
        <f>IF(ISNUMBER('General Info'!$B$40), ((SamplingData[[#This Row],[up/U Selection Probability]]) * 'General Info'!$B$40) - 1, 0)</f>
        <v>17.416417563029789</v>
      </c>
      <c r="V66" s="100">
        <f>IF(ISNUMBER('General Info'!$B$40), (SamplingData[[#This Row],[Running (cumulative) sum]] * ('General Info'!$B$40 -'General Info'!$B$41 + 1)) + 'General Info'!$B$41 - 1, 0)</f>
        <v>4915.2633668277258</v>
      </c>
      <c r="W66" s="100" t="str">
        <f>IF(ISERROR(MATCH(SamplingData[[#This Row],[Batch by Type (p)]],SelectedPrecincts[Batch Name], 0)), "", INDEX(SelectedPrecincts[Draw], MATCH(SamplingData[[#This Row],[Batch by Type (p)]],SelectedPrecincts[Batch Name], 0)))</f>
        <v/>
      </c>
      <c r="X66" s="102">
        <f>IF(COUNTIF(SelectedPrecincts[Batch Name],SamplingData[[#This Row],[Batch by Type (p)]]) &lt;&gt; 0, COUNTIF(SelectedPrecincts[Batch Name],SamplingData[[#This Row],[Batch by Type (p)]]), 0)</f>
        <v>0</v>
      </c>
    </row>
    <row r="67" spans="1:24" ht="15" customHeight="1">
      <c r="A67" s="18" t="s">
        <v>243</v>
      </c>
      <c r="B67" s="18">
        <v>13</v>
      </c>
      <c r="C67" s="18">
        <v>21</v>
      </c>
      <c r="D67" s="16">
        <v>4</v>
      </c>
      <c r="E67" s="16">
        <v>3</v>
      </c>
      <c r="F67" s="37">
        <v>0</v>
      </c>
      <c r="G67" s="37">
        <v>0</v>
      </c>
      <c r="H67" s="17">
        <v>0</v>
      </c>
      <c r="I67" s="17">
        <v>1</v>
      </c>
      <c r="J67" s="99">
        <f>SUM(SamplingData[[#This Row],[Losing Candidate]:[Under Votes]])</f>
        <v>42</v>
      </c>
      <c r="K67" s="100">
        <f>IF(AND(SamplingData[[#This Row],[Total]]&lt;&gt; 0, NOT(ISBLANK(SamplingData[[#This Row],[Losing Candidate]]))),(SamplingData[[#This Row],[Total]]+SamplingData[[#This Row],[Winning Candidate]]-SamplingData[[#This Row],[Losing Candidate]])/(SamplingData[[#Totals],[Winning Candidate]]-SamplingData[[#Totals],[Losing Candidate]]), 0)</f>
        <v>3.0622243998040177E-3</v>
      </c>
      <c r="L67" s="100">
        <f>IF(AND(SamplingData[[#This Row],[Total]]&lt;&gt; 0, NOT(ISBLANK(SamplingData[[#This Row],[Candidate 3]]))),(SamplingData[[#This Row],[Total]]+SamplingData[[#This Row],[Winning Candidate]]-SamplingData[[#This Row],[Candidate 3]])/(SamplingData[[#Totals],[Winning Candidate]]-SamplingData[[#Totals],[Candidate 3]]), 0)</f>
        <v>1.9034100074200729E-3</v>
      </c>
      <c r="M67" s="100">
        <f>IF(AND(SamplingData[[#This Row],[Total]]&lt;&gt; 0, NOT(ISBLANK(SamplingData[[#This Row],[Candidate 4]]))),(SamplingData[[#This Row],[Total]]+SamplingData[[#This Row],[Winning Candidate]]-SamplingData[[#This Row],[Candidate 4]])/(SamplingData[[#Totals],[Winning Candidate]]-SamplingData[[#Totals],[Candidate 4]]), 0)</f>
        <v>1.7539244058581076E-3</v>
      </c>
      <c r="N67" s="100">
        <f>IF(AND(SamplingData[[#This Row],[Total]]&lt;&gt; 0, NOT(ISBLANK(SamplingData[[#This Row],[Candidate 5]]))),(SamplingData[[#This Row],[Total]]+SamplingData[[#This Row],[Winning Candidate]]-SamplingData[[#This Row],[Candidate 5]])/(SamplingData[[#Totals],[Winning Candidate]]-SamplingData[[#Totals],[Candidate 5]]), 0)</f>
        <v>1.5324738506446119E-3</v>
      </c>
      <c r="O67" s="100">
        <f>IF(AND(SamplingData[[#This Row],[Total]]&lt;&gt; 0, NOT(ISBLANK(SamplingData[[#This Row],[Candidate 6]]))),(SamplingData[[#This Row],[Total]]+SamplingData[[#This Row],[Winning Candidate]]-SamplingData[[#This Row],[Candidate 6]])/(SamplingData[[#Totals],[Winning Candidate]]-SamplingData[[#Totals],[Candidate 6]]), 0)</f>
        <v>1.532026652400175E-3</v>
      </c>
      <c r="P67" s="100">
        <f>MAX(SamplingData[[#This Row],[Error Bound (up) - Max. possible relative overstatement - Losing Candidate]:[Error Bound (up) - Max. possible relative overstatement - Candidate 6]])</f>
        <v>3.0622243998040177E-3</v>
      </c>
      <c r="Q67" s="100">
        <f>IF(SamplingData[[#This Row],[Max Error Bound (up)]] = 0,0,SamplingData[[#This Row],[Max Error Bound (up)]]/SamplingData[[#Totals],[Max Error Bound (up)]])</f>
        <v>4.8464741392229157E-4</v>
      </c>
      <c r="R67" s="101">
        <f>SUM($Q$5:Q67)</f>
        <v>4.9647281082199547E-2</v>
      </c>
      <c r="S67" s="100" t="str">
        <f t="array" ref="S67">IF(SamplingData[[#This Row],[up/U Selection Probability]] = 0, "Zero", TEXT(SamplingData[[#This Row],[Lower Range]], REPT("0",LEN('General Info'!$B$40))) &amp; " - " &amp; TEXT(SamplingData[[#This Row],[Upper Range]], REPT("0",LEN('General Info'!$B$40))))</f>
        <v>04916 - 04964</v>
      </c>
      <c r="T67" s="100">
        <f>SamplingData[[#This Row],[Upper Range]]-SamplingData[[#This Row],[Span]]</f>
        <v>4916.2638514751397</v>
      </c>
      <c r="U67" s="100">
        <f>IF(ISNUMBER('General Info'!$B$40), ((SamplingData[[#This Row],[up/U Selection Probability]]) * 'General Info'!$B$40) - 1, 0)</f>
        <v>47.464256744815238</v>
      </c>
      <c r="V67" s="100">
        <f>IF(ISNUMBER('General Info'!$B$40), (SamplingData[[#This Row],[Running (cumulative) sum]] * ('General Info'!$B$40 -'General Info'!$B$41 + 1)) + 'General Info'!$B$41 - 1, 0)</f>
        <v>4963.7281082199552</v>
      </c>
      <c r="W67" s="100" t="str">
        <f>IF(ISERROR(MATCH(SamplingData[[#This Row],[Batch by Type (p)]],SelectedPrecincts[Batch Name], 0)), "", INDEX(SelectedPrecincts[Draw], MATCH(SamplingData[[#This Row],[Batch by Type (p)]],SelectedPrecincts[Batch Name], 0)))</f>
        <v/>
      </c>
      <c r="X67" s="102">
        <f>IF(COUNTIF(SelectedPrecincts[Batch Name],SamplingData[[#This Row],[Batch by Type (p)]]) &lt;&gt; 0, COUNTIF(SelectedPrecincts[Batch Name],SamplingData[[#This Row],[Batch by Type (p)]]), 0)</f>
        <v>0</v>
      </c>
    </row>
    <row r="68" spans="1:24" ht="15" customHeight="1">
      <c r="A68" s="18" t="s">
        <v>244</v>
      </c>
      <c r="B68" s="18">
        <v>3</v>
      </c>
      <c r="C68" s="18">
        <v>6</v>
      </c>
      <c r="D68" s="18">
        <v>2</v>
      </c>
      <c r="E68" s="18">
        <v>0</v>
      </c>
      <c r="F68" s="18">
        <v>0</v>
      </c>
      <c r="G68" s="18">
        <v>0</v>
      </c>
      <c r="H68" s="18">
        <v>0</v>
      </c>
      <c r="I68" s="18">
        <v>0</v>
      </c>
      <c r="J68" s="99">
        <f>SUM(SamplingData[[#This Row],[Losing Candidate]:[Under Votes]])</f>
        <v>11</v>
      </c>
      <c r="K68"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68" s="100">
        <f>IF(AND(SamplingData[[#This Row],[Total]]&lt;&gt; 0, NOT(ISBLANK(SamplingData[[#This Row],[Candidate 3]]))),(SamplingData[[#This Row],[Total]]+SamplingData[[#This Row],[Winning Candidate]]-SamplingData[[#This Row],[Candidate 3]])/(SamplingData[[#Totals],[Winning Candidate]]-SamplingData[[#Totals],[Candidate 3]]), 0)</f>
        <v>4.8391779849662873E-4</v>
      </c>
      <c r="M68" s="100">
        <f>IF(AND(SamplingData[[#This Row],[Total]]&lt;&gt; 0, NOT(ISBLANK(SamplingData[[#This Row],[Candidate 4]]))),(SamplingData[[#This Row],[Total]]+SamplingData[[#This Row],[Winning Candidate]]-SamplingData[[#This Row],[Candidate 4]])/(SamplingData[[#Totals],[Winning Candidate]]-SamplingData[[#Totals],[Candidate 4]]), 0)</f>
        <v>4.9694524832646382E-4</v>
      </c>
      <c r="N68" s="100">
        <f>IF(AND(SamplingData[[#This Row],[Total]]&lt;&gt; 0, NOT(ISBLANK(SamplingData[[#This Row],[Candidate 5]]))),(SamplingData[[#This Row],[Total]]+SamplingData[[#This Row],[Winning Candidate]]-SamplingData[[#This Row],[Candidate 5]])/(SamplingData[[#Totals],[Winning Candidate]]-SamplingData[[#Totals],[Candidate 5]]), 0)</f>
        <v>4.1352468985648261E-4</v>
      </c>
      <c r="O68" s="100">
        <f>IF(AND(SamplingData[[#This Row],[Total]]&lt;&gt; 0, NOT(ISBLANK(SamplingData[[#This Row],[Candidate 6]]))),(SamplingData[[#This Row],[Total]]+SamplingData[[#This Row],[Winning Candidate]]-SamplingData[[#This Row],[Candidate 6]])/(SamplingData[[#Totals],[Winning Candidate]]-SamplingData[[#Totals],[Candidate 6]]), 0)</f>
        <v>4.1340401731433294E-4</v>
      </c>
      <c r="P68" s="100">
        <f>MAX(SamplingData[[#This Row],[Error Bound (up) - Max. possible relative overstatement - Losing Candidate]:[Error Bound (up) - Max. possible relative overstatement - Candidate 6]])</f>
        <v>8.5742283194512492E-4</v>
      </c>
      <c r="Q68" s="100">
        <f>IF(SamplingData[[#This Row],[Max Error Bound (up)]] = 0,0,SamplingData[[#This Row],[Max Error Bound (up)]]/SamplingData[[#Totals],[Max Error Bound (up)]])</f>
        <v>1.3570127589824165E-4</v>
      </c>
      <c r="R68" s="101">
        <f>SUM($Q$5:Q68)</f>
        <v>4.9782982358097791E-2</v>
      </c>
      <c r="S68" s="100" t="str">
        <f t="array" ref="S68">IF(SamplingData[[#This Row],[up/U Selection Probability]] = 0, "Zero", TEXT(SamplingData[[#This Row],[Lower Range]], REPT("0",LEN('General Info'!$B$40))) &amp; " - " &amp; TEXT(SamplingData[[#This Row],[Upper Range]], REPT("0",LEN('General Info'!$B$40))))</f>
        <v>04965 - 04977</v>
      </c>
      <c r="T68" s="100">
        <f>SamplingData[[#This Row],[Upper Range]]-SamplingData[[#This Row],[Span]]</f>
        <v>4964.7282439212304</v>
      </c>
      <c r="U68" s="100">
        <f>IF(ISNUMBER('General Info'!$B$40), ((SamplingData[[#This Row],[up/U Selection Probability]]) * 'General Info'!$B$40) - 1, 0)</f>
        <v>12.569991888548268</v>
      </c>
      <c r="V68" s="100">
        <f>IF(ISNUMBER('General Info'!$B$40), (SamplingData[[#This Row],[Running (cumulative) sum]] * ('General Info'!$B$40 -'General Info'!$B$41 + 1)) + 'General Info'!$B$41 - 1, 0)</f>
        <v>4977.2982358097788</v>
      </c>
      <c r="W68" s="100" t="str">
        <f>IF(ISERROR(MATCH(SamplingData[[#This Row],[Batch by Type (p)]],SelectedPrecincts[Batch Name], 0)), "", INDEX(SelectedPrecincts[Draw], MATCH(SamplingData[[#This Row],[Batch by Type (p)]],SelectedPrecincts[Batch Name], 0)))</f>
        <v/>
      </c>
      <c r="X68" s="102">
        <f>IF(COUNTIF(SelectedPrecincts[Batch Name],SamplingData[[#This Row],[Batch by Type (p)]]) &lt;&gt; 0, COUNTIF(SelectedPrecincts[Batch Name],SamplingData[[#This Row],[Batch by Type (p)]]), 0)</f>
        <v>0</v>
      </c>
    </row>
    <row r="69" spans="1:24" ht="15" customHeight="1">
      <c r="A69" s="18" t="s">
        <v>245</v>
      </c>
      <c r="B69" s="18">
        <v>16</v>
      </c>
      <c r="C69" s="18">
        <v>26</v>
      </c>
      <c r="D69" s="16">
        <v>6</v>
      </c>
      <c r="E69" s="16">
        <v>2</v>
      </c>
      <c r="F69" s="37">
        <v>0</v>
      </c>
      <c r="G69" s="37">
        <v>0</v>
      </c>
      <c r="H69" s="17">
        <v>0</v>
      </c>
      <c r="I69" s="17">
        <v>0</v>
      </c>
      <c r="J69" s="99">
        <f>SUM(SamplingData[[#This Row],[Losing Candidate]:[Under Votes]])</f>
        <v>50</v>
      </c>
      <c r="K69"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69" s="100">
        <f>IF(AND(SamplingData[[#This Row],[Total]]&lt;&gt; 0, NOT(ISBLANK(SamplingData[[#This Row],[Candidate 3]]))),(SamplingData[[#This Row],[Total]]+SamplingData[[#This Row],[Winning Candidate]]-SamplingData[[#This Row],[Candidate 3]])/(SamplingData[[#Totals],[Winning Candidate]]-SamplingData[[#Totals],[Candidate 3]]), 0)</f>
        <v>2.2582830596509338E-3</v>
      </c>
      <c r="M69" s="100">
        <f>IF(AND(SamplingData[[#This Row],[Total]]&lt;&gt; 0, NOT(ISBLANK(SamplingData[[#This Row],[Candidate 4]]))),(SamplingData[[#This Row],[Total]]+SamplingData[[#This Row],[Winning Candidate]]-SamplingData[[#This Row],[Candidate 4]])/(SamplingData[[#Totals],[Winning Candidate]]-SamplingData[[#Totals],[Candidate 4]]), 0)</f>
        <v>2.1631734338916661E-3</v>
      </c>
      <c r="N69" s="100">
        <f>IF(AND(SamplingData[[#This Row],[Total]]&lt;&gt; 0, NOT(ISBLANK(SamplingData[[#This Row],[Candidate 5]]))),(SamplingData[[#This Row],[Total]]+SamplingData[[#This Row],[Winning Candidate]]-SamplingData[[#This Row],[Candidate 5]])/(SamplingData[[#Totals],[Winning Candidate]]-SamplingData[[#Totals],[Candidate 5]]), 0)</f>
        <v>1.8486986134760399E-3</v>
      </c>
      <c r="O69" s="100">
        <f>IF(AND(SamplingData[[#This Row],[Total]]&lt;&gt; 0, NOT(ISBLANK(SamplingData[[#This Row],[Candidate 6]]))),(SamplingData[[#This Row],[Total]]+SamplingData[[#This Row],[Winning Candidate]]-SamplingData[[#This Row],[Candidate 6]])/(SamplingData[[#Totals],[Winning Candidate]]-SamplingData[[#Totals],[Candidate 6]]), 0)</f>
        <v>1.8481591362287826E-3</v>
      </c>
      <c r="P69" s="100">
        <f>MAX(SamplingData[[#This Row],[Error Bound (up) - Max. possible relative overstatement - Losing Candidate]:[Error Bound (up) - Max. possible relative overstatement - Candidate 6]])</f>
        <v>3.6746692797648213E-3</v>
      </c>
      <c r="Q69" s="100">
        <f>IF(SamplingData[[#This Row],[Max Error Bound (up)]] = 0,0,SamplingData[[#This Row],[Max Error Bound (up)]]/SamplingData[[#Totals],[Max Error Bound (up)]])</f>
        <v>5.8157689670674997E-4</v>
      </c>
      <c r="R69" s="101">
        <f>SUM($Q$5:Q69)</f>
        <v>5.0364559254804542E-2</v>
      </c>
      <c r="S69" s="100" t="str">
        <f t="array" ref="S69">IF(SamplingData[[#This Row],[up/U Selection Probability]] = 0, "Zero", TEXT(SamplingData[[#This Row],[Lower Range]], REPT("0",LEN('General Info'!$B$40))) &amp; " - " &amp; TEXT(SamplingData[[#This Row],[Upper Range]], REPT("0",LEN('General Info'!$B$40))))</f>
        <v>04978 - 05035</v>
      </c>
      <c r="T69" s="100">
        <f>SamplingData[[#This Row],[Upper Range]]-SamplingData[[#This Row],[Span]]</f>
        <v>4978.2988173866761</v>
      </c>
      <c r="U69" s="100">
        <f>IF(ISNUMBER('General Info'!$B$40), ((SamplingData[[#This Row],[up/U Selection Probability]]) * 'General Info'!$B$40) - 1, 0)</f>
        <v>57.157108093778291</v>
      </c>
      <c r="V69" s="100">
        <f>IF(ISNUMBER('General Info'!$B$40), (SamplingData[[#This Row],[Running (cumulative) sum]] * ('General Info'!$B$40 -'General Info'!$B$41 + 1)) + 'General Info'!$B$41 - 1, 0)</f>
        <v>5035.4559254804544</v>
      </c>
      <c r="W69" s="100" t="str">
        <f>IF(ISERROR(MATCH(SamplingData[[#This Row],[Batch by Type (p)]],SelectedPrecincts[Batch Name], 0)), "", INDEX(SelectedPrecincts[Draw], MATCH(SamplingData[[#This Row],[Batch by Type (p)]],SelectedPrecincts[Batch Name], 0)))</f>
        <v/>
      </c>
      <c r="X69" s="102">
        <f>IF(COUNTIF(SelectedPrecincts[Batch Name],SamplingData[[#This Row],[Batch by Type (p)]]) &lt;&gt; 0, COUNTIF(SelectedPrecincts[Batch Name],SamplingData[[#This Row],[Batch by Type (p)]]), 0)</f>
        <v>0</v>
      </c>
    </row>
    <row r="70" spans="1:24" ht="15" customHeight="1">
      <c r="A70" s="18" t="s">
        <v>246</v>
      </c>
      <c r="B70" s="18">
        <v>3</v>
      </c>
      <c r="C70" s="18">
        <v>5</v>
      </c>
      <c r="D70" s="18">
        <v>2</v>
      </c>
      <c r="E70" s="18">
        <v>2</v>
      </c>
      <c r="F70" s="18">
        <v>0</v>
      </c>
      <c r="G70" s="18">
        <v>0</v>
      </c>
      <c r="H70" s="18">
        <v>0</v>
      </c>
      <c r="I70" s="18">
        <v>0</v>
      </c>
      <c r="J70" s="99">
        <f>SUM(SamplingData[[#This Row],[Losing Candidate]:[Under Votes]])</f>
        <v>12</v>
      </c>
      <c r="K70"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70" s="100">
        <f>IF(AND(SamplingData[[#This Row],[Total]]&lt;&gt; 0, NOT(ISBLANK(SamplingData[[#This Row],[Candidate 3]]))),(SamplingData[[#This Row],[Total]]+SamplingData[[#This Row],[Winning Candidate]]-SamplingData[[#This Row],[Candidate 3]])/(SamplingData[[#Totals],[Winning Candidate]]-SamplingData[[#Totals],[Candidate 3]]), 0)</f>
        <v>4.8391779849662873E-4</v>
      </c>
      <c r="M70" s="100">
        <f>IF(AND(SamplingData[[#This Row],[Total]]&lt;&gt; 0, NOT(ISBLANK(SamplingData[[#This Row],[Candidate 4]]))),(SamplingData[[#This Row],[Total]]+SamplingData[[#This Row],[Winning Candidate]]-SamplingData[[#This Row],[Candidate 4]])/(SamplingData[[#Totals],[Winning Candidate]]-SamplingData[[#Totals],[Candidate 4]]), 0)</f>
        <v>4.3848110146452689E-4</v>
      </c>
      <c r="N70" s="100">
        <f>IF(AND(SamplingData[[#This Row],[Total]]&lt;&gt; 0, NOT(ISBLANK(SamplingData[[#This Row],[Candidate 5]]))),(SamplingData[[#This Row],[Total]]+SamplingData[[#This Row],[Winning Candidate]]-SamplingData[[#This Row],[Candidate 5]])/(SamplingData[[#Totals],[Winning Candidate]]-SamplingData[[#Totals],[Candidate 5]]), 0)</f>
        <v>4.1352468985648261E-4</v>
      </c>
      <c r="O70" s="100">
        <f>IF(AND(SamplingData[[#This Row],[Total]]&lt;&gt; 0, NOT(ISBLANK(SamplingData[[#This Row],[Candidate 6]]))),(SamplingData[[#This Row],[Total]]+SamplingData[[#This Row],[Winning Candidate]]-SamplingData[[#This Row],[Candidate 6]])/(SamplingData[[#Totals],[Winning Candidate]]-SamplingData[[#Totals],[Candidate 6]]), 0)</f>
        <v>4.1340401731433294E-4</v>
      </c>
      <c r="P70" s="100">
        <f>MAX(SamplingData[[#This Row],[Error Bound (up) - Max. possible relative overstatement - Losing Candidate]:[Error Bound (up) - Max. possible relative overstatement - Candidate 6]])</f>
        <v>8.5742283194512492E-4</v>
      </c>
      <c r="Q70" s="100">
        <f>IF(SamplingData[[#This Row],[Max Error Bound (up)]] = 0,0,SamplingData[[#This Row],[Max Error Bound (up)]]/SamplingData[[#Totals],[Max Error Bound (up)]])</f>
        <v>1.3570127589824165E-4</v>
      </c>
      <c r="R70" s="101">
        <f>SUM($Q$5:Q70)</f>
        <v>5.0500260530702785E-2</v>
      </c>
      <c r="S70" s="100" t="str">
        <f t="array" ref="S70">IF(SamplingData[[#This Row],[up/U Selection Probability]] = 0, "Zero", TEXT(SamplingData[[#This Row],[Lower Range]], REPT("0",LEN('General Info'!$B$40))) &amp; " - " &amp; TEXT(SamplingData[[#This Row],[Upper Range]], REPT("0",LEN('General Info'!$B$40))))</f>
        <v>05036 - 05049</v>
      </c>
      <c r="T70" s="100">
        <f>SamplingData[[#This Row],[Upper Range]]-SamplingData[[#This Row],[Span]]</f>
        <v>5036.4560611817305</v>
      </c>
      <c r="U70" s="100">
        <f>IF(ISNUMBER('General Info'!$B$40), ((SamplingData[[#This Row],[up/U Selection Probability]]) * 'General Info'!$B$40) - 1, 0)</f>
        <v>12.569991888548268</v>
      </c>
      <c r="V70" s="100">
        <f>IF(ISNUMBER('General Info'!$B$40), (SamplingData[[#This Row],[Running (cumulative) sum]] * ('General Info'!$B$40 -'General Info'!$B$41 + 1)) + 'General Info'!$B$41 - 1, 0)</f>
        <v>5049.026053070279</v>
      </c>
      <c r="W70" s="100" t="str">
        <f>IF(ISERROR(MATCH(SamplingData[[#This Row],[Batch by Type (p)]],SelectedPrecincts[Batch Name], 0)), "", INDEX(SelectedPrecincts[Draw], MATCH(SamplingData[[#This Row],[Batch by Type (p)]],SelectedPrecincts[Batch Name], 0)))</f>
        <v/>
      </c>
      <c r="X70" s="102">
        <f>IF(COUNTIF(SelectedPrecincts[Batch Name],SamplingData[[#This Row],[Batch by Type (p)]]) &lt;&gt; 0, COUNTIF(SelectedPrecincts[Batch Name],SamplingData[[#This Row],[Batch by Type (p)]]), 0)</f>
        <v>0</v>
      </c>
    </row>
    <row r="71" spans="1:24" ht="15" customHeight="1">
      <c r="A71" s="18" t="s">
        <v>247</v>
      </c>
      <c r="B71" s="18">
        <v>18</v>
      </c>
      <c r="C71" s="18">
        <v>21</v>
      </c>
      <c r="D71" s="16">
        <v>10</v>
      </c>
      <c r="E71" s="16">
        <v>9</v>
      </c>
      <c r="F71" s="37">
        <v>2</v>
      </c>
      <c r="G71" s="37">
        <v>0</v>
      </c>
      <c r="H71" s="17">
        <v>0</v>
      </c>
      <c r="I71" s="17">
        <v>0</v>
      </c>
      <c r="J71" s="99">
        <f>SUM(SamplingData[[#This Row],[Losing Candidate]:[Under Votes]])</f>
        <v>60</v>
      </c>
      <c r="K71" s="100">
        <f>IF(AND(SamplingData[[#This Row],[Total]]&lt;&gt; 0, NOT(ISBLANK(SamplingData[[#This Row],[Losing Candidate]]))),(SamplingData[[#This Row],[Total]]+SamplingData[[#This Row],[Winning Candidate]]-SamplingData[[#This Row],[Losing Candidate]])/(SamplingData[[#Totals],[Winning Candidate]]-SamplingData[[#Totals],[Losing Candidate]]), 0)</f>
        <v>3.8584027437530621E-3</v>
      </c>
      <c r="L71" s="100">
        <f>IF(AND(SamplingData[[#This Row],[Total]]&lt;&gt; 0, NOT(ISBLANK(SamplingData[[#This Row],[Candidate 3]]))),(SamplingData[[#This Row],[Total]]+SamplingData[[#This Row],[Winning Candidate]]-SamplingData[[#This Row],[Candidate 3]])/(SamplingData[[#Totals],[Winning Candidate]]-SamplingData[[#Totals],[Candidate 3]]), 0)</f>
        <v>2.2905442462173757E-3</v>
      </c>
      <c r="M71" s="100">
        <f>IF(AND(SamplingData[[#This Row],[Total]]&lt;&gt; 0, NOT(ISBLANK(SamplingData[[#This Row],[Candidate 4]]))),(SamplingData[[#This Row],[Total]]+SamplingData[[#This Row],[Winning Candidate]]-SamplingData[[#This Row],[Candidate 4]])/(SamplingData[[#Totals],[Winning Candidate]]-SamplingData[[#Totals],[Candidate 4]]), 0)</f>
        <v>2.1047092870297292E-3</v>
      </c>
      <c r="N71" s="100">
        <f>IF(AND(SamplingData[[#This Row],[Total]]&lt;&gt; 0, NOT(ISBLANK(SamplingData[[#This Row],[Candidate 5]]))),(SamplingData[[#This Row],[Total]]+SamplingData[[#This Row],[Winning Candidate]]-SamplingData[[#This Row],[Candidate 5]])/(SamplingData[[#Totals],[Winning Candidate]]-SamplingData[[#Totals],[Candidate 5]]), 0)</f>
        <v>1.921673558744831E-3</v>
      </c>
      <c r="O71" s="100">
        <f>IF(AND(SamplingData[[#This Row],[Total]]&lt;&gt; 0, NOT(ISBLANK(SamplingData[[#This Row],[Candidate 6]]))),(SamplingData[[#This Row],[Total]]+SamplingData[[#This Row],[Winning Candidate]]-SamplingData[[#This Row],[Candidate 6]])/(SamplingData[[#Totals],[Winning Candidate]]-SamplingData[[#Totals],[Candidate 6]]), 0)</f>
        <v>1.9697485530859394E-3</v>
      </c>
      <c r="P71" s="100">
        <f>MAX(SamplingData[[#This Row],[Error Bound (up) - Max. possible relative overstatement - Losing Candidate]:[Error Bound (up) - Max. possible relative overstatement - Candidate 6]])</f>
        <v>3.8584027437530621E-3</v>
      </c>
      <c r="Q71" s="100">
        <f>IF(SamplingData[[#This Row],[Max Error Bound (up)]] = 0,0,SamplingData[[#This Row],[Max Error Bound (up)]]/SamplingData[[#Totals],[Max Error Bound (up)]])</f>
        <v>6.1065574154208738E-4</v>
      </c>
      <c r="R71" s="101">
        <f>SUM($Q$5:Q71)</f>
        <v>5.1110916272244872E-2</v>
      </c>
      <c r="S71" s="100" t="str">
        <f t="array" ref="S71">IF(SamplingData[[#This Row],[up/U Selection Probability]] = 0, "Zero", TEXT(SamplingData[[#This Row],[Lower Range]], REPT("0",LEN('General Info'!$B$40))) &amp; " - " &amp; TEXT(SamplingData[[#This Row],[Upper Range]], REPT("0",LEN('General Info'!$B$40))))</f>
        <v>05050 - 05110</v>
      </c>
      <c r="T71" s="100">
        <f>SamplingData[[#This Row],[Upper Range]]-SamplingData[[#This Row],[Span]]</f>
        <v>5050.0266637260193</v>
      </c>
      <c r="U71" s="100">
        <f>IF(ISNUMBER('General Info'!$B$40), ((SamplingData[[#This Row],[up/U Selection Probability]]) * 'General Info'!$B$40) - 1, 0)</f>
        <v>60.064963498467193</v>
      </c>
      <c r="V71" s="100">
        <f>IF(ISNUMBER('General Info'!$B$40), (SamplingData[[#This Row],[Running (cumulative) sum]] * ('General Info'!$B$40 -'General Info'!$B$41 + 1)) + 'General Info'!$B$41 - 1, 0)</f>
        <v>5110.0916272244867</v>
      </c>
      <c r="W71" s="100">
        <f>IF(ISERROR(MATCH(SamplingData[[#This Row],[Batch by Type (p)]],SelectedPrecincts[Batch Name], 0)), "", INDEX(SelectedPrecincts[Draw], MATCH(SamplingData[[#This Row],[Batch by Type (p)]],SelectedPrecincts[Batch Name], 0)))</f>
        <v>11</v>
      </c>
      <c r="X71" s="102">
        <f>IF(COUNTIF(SelectedPrecincts[Batch Name],SamplingData[[#This Row],[Batch by Type (p)]]) &lt;&gt; 0, COUNTIF(SelectedPrecincts[Batch Name],SamplingData[[#This Row],[Batch by Type (p)]]), 0)</f>
        <v>1</v>
      </c>
    </row>
    <row r="72" spans="1:24" ht="15" customHeight="1">
      <c r="A72" s="18" t="s">
        <v>248</v>
      </c>
      <c r="B72" s="18">
        <v>3</v>
      </c>
      <c r="C72" s="18">
        <v>5</v>
      </c>
      <c r="D72" s="18">
        <v>0</v>
      </c>
      <c r="E72" s="18">
        <v>3</v>
      </c>
      <c r="F72" s="18">
        <v>0</v>
      </c>
      <c r="G72" s="18">
        <v>0</v>
      </c>
      <c r="H72" s="18">
        <v>0</v>
      </c>
      <c r="I72" s="18">
        <v>0</v>
      </c>
      <c r="J72" s="99">
        <f>SUM(SamplingData[[#This Row],[Losing Candidate]:[Under Votes]])</f>
        <v>11</v>
      </c>
      <c r="K72"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72" s="100">
        <f>IF(AND(SamplingData[[#This Row],[Total]]&lt;&gt; 0, NOT(ISBLANK(SamplingData[[#This Row],[Candidate 3]]))),(SamplingData[[#This Row],[Total]]+SamplingData[[#This Row],[Winning Candidate]]-SamplingData[[#This Row],[Candidate 3]])/(SamplingData[[#Totals],[Winning Candidate]]-SamplingData[[#Totals],[Candidate 3]]), 0)</f>
        <v>5.1617898506307067E-4</v>
      </c>
      <c r="M72" s="100">
        <f>IF(AND(SamplingData[[#This Row],[Total]]&lt;&gt; 0, NOT(ISBLANK(SamplingData[[#This Row],[Candidate 4]]))),(SamplingData[[#This Row],[Total]]+SamplingData[[#This Row],[Winning Candidate]]-SamplingData[[#This Row],[Candidate 4]])/(SamplingData[[#Totals],[Winning Candidate]]-SamplingData[[#Totals],[Candidate 4]]), 0)</f>
        <v>3.8001695460258996E-4</v>
      </c>
      <c r="N72" s="100">
        <f>IF(AND(SamplingData[[#This Row],[Total]]&lt;&gt; 0, NOT(ISBLANK(SamplingData[[#This Row],[Candidate 5]]))),(SamplingData[[#This Row],[Total]]+SamplingData[[#This Row],[Winning Candidate]]-SamplingData[[#This Row],[Candidate 5]])/(SamplingData[[#Totals],[Winning Candidate]]-SamplingData[[#Totals],[Candidate 5]]), 0)</f>
        <v>3.8919970810021893E-4</v>
      </c>
      <c r="O72" s="100">
        <f>IF(AND(SamplingData[[#This Row],[Total]]&lt;&gt; 0, NOT(ISBLANK(SamplingData[[#This Row],[Candidate 6]]))),(SamplingData[[#This Row],[Total]]+SamplingData[[#This Row],[Winning Candidate]]-SamplingData[[#This Row],[Candidate 6]])/(SamplingData[[#Totals],[Winning Candidate]]-SamplingData[[#Totals],[Candidate 6]]), 0)</f>
        <v>3.8908613394290161E-4</v>
      </c>
      <c r="P72" s="100">
        <f>MAX(SamplingData[[#This Row],[Error Bound (up) - Max. possible relative overstatement - Losing Candidate]:[Error Bound (up) - Max. possible relative overstatement - Candidate 6]])</f>
        <v>7.9617834394904463E-4</v>
      </c>
      <c r="Q72" s="100">
        <f>IF(SamplingData[[#This Row],[Max Error Bound (up)]] = 0,0,SamplingData[[#This Row],[Max Error Bound (up)]]/SamplingData[[#Totals],[Max Error Bound (up)]])</f>
        <v>1.2600832761979581E-4</v>
      </c>
      <c r="R72" s="101">
        <f>SUM($Q$5:Q72)</f>
        <v>5.1236924599864668E-2</v>
      </c>
      <c r="S72" s="100" t="str">
        <f t="array" ref="S72">IF(SamplingData[[#This Row],[up/U Selection Probability]] = 0, "Zero", TEXT(SamplingData[[#This Row],[Lower Range]], REPT("0",LEN('General Info'!$B$40))) &amp; " - " &amp; TEXT(SamplingData[[#This Row],[Upper Range]], REPT("0",LEN('General Info'!$B$40))))</f>
        <v>05111 - 05123</v>
      </c>
      <c r="T72" s="100">
        <f>SamplingData[[#This Row],[Upper Range]]-SamplingData[[#This Row],[Span]]</f>
        <v>5111.0917532328149</v>
      </c>
      <c r="U72" s="100">
        <f>IF(ISNUMBER('General Info'!$B$40), ((SamplingData[[#This Row],[up/U Selection Probability]]) * 'General Info'!$B$40) - 1, 0)</f>
        <v>11.600706753651961</v>
      </c>
      <c r="V72" s="100">
        <f>IF(ISNUMBER('General Info'!$B$40), (SamplingData[[#This Row],[Running (cumulative) sum]] * ('General Info'!$B$40 -'General Info'!$B$41 + 1)) + 'General Info'!$B$41 - 1, 0)</f>
        <v>5122.6924599864669</v>
      </c>
      <c r="W72" s="100" t="str">
        <f>IF(ISERROR(MATCH(SamplingData[[#This Row],[Batch by Type (p)]],SelectedPrecincts[Batch Name], 0)), "", INDEX(SelectedPrecincts[Draw], MATCH(SamplingData[[#This Row],[Batch by Type (p)]],SelectedPrecincts[Batch Name], 0)))</f>
        <v/>
      </c>
      <c r="X72" s="102">
        <f>IF(COUNTIF(SelectedPrecincts[Batch Name],SamplingData[[#This Row],[Batch by Type (p)]]) &lt;&gt; 0, COUNTIF(SelectedPrecincts[Batch Name],SamplingData[[#This Row],[Batch by Type (p)]]), 0)</f>
        <v>0</v>
      </c>
    </row>
    <row r="73" spans="1:24" ht="15" customHeight="1">
      <c r="A73" s="18" t="s">
        <v>249</v>
      </c>
      <c r="B73" s="18">
        <v>3</v>
      </c>
      <c r="C73" s="18">
        <v>6</v>
      </c>
      <c r="D73" s="16">
        <v>4</v>
      </c>
      <c r="E73" s="16">
        <v>2</v>
      </c>
      <c r="F73" s="37">
        <v>0</v>
      </c>
      <c r="G73" s="37">
        <v>0</v>
      </c>
      <c r="H73" s="17">
        <v>0</v>
      </c>
      <c r="I73" s="17">
        <v>0</v>
      </c>
      <c r="J73" s="99">
        <f>SUM(SamplingData[[#This Row],[Losing Candidate]:[Under Votes]])</f>
        <v>15</v>
      </c>
      <c r="K73"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73" s="100">
        <f>IF(AND(SamplingData[[#This Row],[Total]]&lt;&gt; 0, NOT(ISBLANK(SamplingData[[#This Row],[Candidate 3]]))),(SamplingData[[#This Row],[Total]]+SamplingData[[#This Row],[Winning Candidate]]-SamplingData[[#This Row],[Candidate 3]])/(SamplingData[[#Totals],[Winning Candidate]]-SamplingData[[#Totals],[Candidate 3]]), 0)</f>
        <v>5.4844017162951255E-4</v>
      </c>
      <c r="M73" s="100">
        <f>IF(AND(SamplingData[[#This Row],[Total]]&lt;&gt; 0, NOT(ISBLANK(SamplingData[[#This Row],[Candidate 4]]))),(SamplingData[[#This Row],[Total]]+SamplingData[[#This Row],[Winning Candidate]]-SamplingData[[#This Row],[Candidate 4]])/(SamplingData[[#Totals],[Winning Candidate]]-SamplingData[[#Totals],[Candidate 4]]), 0)</f>
        <v>5.5540939518840076E-4</v>
      </c>
      <c r="N73" s="100">
        <f>IF(AND(SamplingData[[#This Row],[Total]]&lt;&gt; 0, NOT(ISBLANK(SamplingData[[#This Row],[Candidate 5]]))),(SamplingData[[#This Row],[Total]]+SamplingData[[#This Row],[Winning Candidate]]-SamplingData[[#This Row],[Candidate 5]])/(SamplingData[[#Totals],[Winning Candidate]]-SamplingData[[#Totals],[Candidate 5]]), 0)</f>
        <v>5.1082461688153739E-4</v>
      </c>
      <c r="O73" s="100">
        <f>IF(AND(SamplingData[[#This Row],[Total]]&lt;&gt; 0, NOT(ISBLANK(SamplingData[[#This Row],[Candidate 6]]))),(SamplingData[[#This Row],[Total]]+SamplingData[[#This Row],[Winning Candidate]]-SamplingData[[#This Row],[Candidate 6]])/(SamplingData[[#Totals],[Winning Candidate]]-SamplingData[[#Totals],[Candidate 6]]), 0)</f>
        <v>5.1067555080005838E-4</v>
      </c>
      <c r="P73" s="100">
        <f>MAX(SamplingData[[#This Row],[Error Bound (up) - Max. possible relative overstatement - Losing Candidate]:[Error Bound (up) - Max. possible relative overstatement - Candidate 6]])</f>
        <v>1.1024007839294464E-3</v>
      </c>
      <c r="Q73" s="100">
        <f>IF(SamplingData[[#This Row],[Max Error Bound (up)]] = 0,0,SamplingData[[#This Row],[Max Error Bound (up)]]/SamplingData[[#Totals],[Max Error Bound (up)]])</f>
        <v>1.7447306901202498E-4</v>
      </c>
      <c r="R73" s="101">
        <f>SUM($Q$5:Q73)</f>
        <v>5.1411397668876695E-2</v>
      </c>
      <c r="S73" s="100" t="str">
        <f t="array" ref="S73">IF(SamplingData[[#This Row],[up/U Selection Probability]] = 0, "Zero", TEXT(SamplingData[[#This Row],[Lower Range]], REPT("0",LEN('General Info'!$B$40))) &amp; " - " &amp; TEXT(SamplingData[[#This Row],[Upper Range]], REPT("0",LEN('General Info'!$B$40))))</f>
        <v>05124 - 05140</v>
      </c>
      <c r="T73" s="100">
        <f>SamplingData[[#This Row],[Upper Range]]-SamplingData[[#This Row],[Span]]</f>
        <v>5123.6926344595367</v>
      </c>
      <c r="U73" s="100">
        <f>IF(ISNUMBER('General Info'!$B$40), ((SamplingData[[#This Row],[up/U Selection Probability]]) * 'General Info'!$B$40) - 1, 0)</f>
        <v>16.447132428133486</v>
      </c>
      <c r="V73" s="100">
        <f>IF(ISNUMBER('General Info'!$B$40), (SamplingData[[#This Row],[Running (cumulative) sum]] * ('General Info'!$B$40 -'General Info'!$B$41 + 1)) + 'General Info'!$B$41 - 1, 0)</f>
        <v>5140.1397668876698</v>
      </c>
      <c r="W73" s="100" t="str">
        <f>IF(ISERROR(MATCH(SamplingData[[#This Row],[Batch by Type (p)]],SelectedPrecincts[Batch Name], 0)), "", INDEX(SelectedPrecincts[Draw], MATCH(SamplingData[[#This Row],[Batch by Type (p)]],SelectedPrecincts[Batch Name], 0)))</f>
        <v/>
      </c>
      <c r="X73" s="102">
        <f>IF(COUNTIF(SelectedPrecincts[Batch Name],SamplingData[[#This Row],[Batch by Type (p)]]) &lt;&gt; 0, COUNTIF(SelectedPrecincts[Batch Name],SamplingData[[#This Row],[Batch by Type (p)]]), 0)</f>
        <v>0</v>
      </c>
    </row>
    <row r="74" spans="1:24" ht="15" customHeight="1">
      <c r="A74" s="18" t="s">
        <v>250</v>
      </c>
      <c r="B74" s="18">
        <v>2</v>
      </c>
      <c r="C74" s="18">
        <v>2</v>
      </c>
      <c r="D74" s="18">
        <v>0</v>
      </c>
      <c r="E74" s="18">
        <v>0</v>
      </c>
      <c r="F74" s="18">
        <v>0</v>
      </c>
      <c r="G74" s="18">
        <v>0</v>
      </c>
      <c r="H74" s="18">
        <v>0</v>
      </c>
      <c r="I74" s="18">
        <v>0</v>
      </c>
      <c r="J74" s="99">
        <f>SUM(SamplingData[[#This Row],[Losing Candidate]:[Under Votes]])</f>
        <v>4</v>
      </c>
      <c r="K74"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74" s="100">
        <f>IF(AND(SamplingData[[#This Row],[Total]]&lt;&gt; 0, NOT(ISBLANK(SamplingData[[#This Row],[Candidate 3]]))),(SamplingData[[#This Row],[Total]]+SamplingData[[#This Row],[Winning Candidate]]-SamplingData[[#This Row],[Candidate 3]])/(SamplingData[[#Totals],[Winning Candidate]]-SamplingData[[#Totals],[Candidate 3]]), 0)</f>
        <v>1.9356711939865149E-4</v>
      </c>
      <c r="M74" s="100">
        <f>IF(AND(SamplingData[[#This Row],[Total]]&lt;&gt; 0, NOT(ISBLANK(SamplingData[[#This Row],[Candidate 4]]))),(SamplingData[[#This Row],[Total]]+SamplingData[[#This Row],[Winning Candidate]]-SamplingData[[#This Row],[Candidate 4]])/(SamplingData[[#Totals],[Winning Candidate]]-SamplingData[[#Totals],[Candidate 4]]), 0)</f>
        <v>1.7539244058581075E-4</v>
      </c>
      <c r="N74" s="100">
        <f>IF(AND(SamplingData[[#This Row],[Total]]&lt;&gt; 0, NOT(ISBLANK(SamplingData[[#This Row],[Candidate 5]]))),(SamplingData[[#This Row],[Total]]+SamplingData[[#This Row],[Winning Candidate]]-SamplingData[[#This Row],[Candidate 5]])/(SamplingData[[#Totals],[Winning Candidate]]-SamplingData[[#Totals],[Candidate 5]]), 0)</f>
        <v>1.4594989053758211E-4</v>
      </c>
      <c r="O74" s="100">
        <f>IF(AND(SamplingData[[#This Row],[Total]]&lt;&gt; 0, NOT(ISBLANK(SamplingData[[#This Row],[Candidate 6]]))),(SamplingData[[#This Row],[Total]]+SamplingData[[#This Row],[Winning Candidate]]-SamplingData[[#This Row],[Candidate 6]])/(SamplingData[[#Totals],[Winning Candidate]]-SamplingData[[#Totals],[Candidate 6]]), 0)</f>
        <v>1.4590730022858811E-4</v>
      </c>
      <c r="P74" s="100">
        <f>MAX(SamplingData[[#This Row],[Error Bound (up) - Max. possible relative overstatement - Losing Candidate]:[Error Bound (up) - Max. possible relative overstatement - Candidate 6]])</f>
        <v>2.4497795198432141E-4</v>
      </c>
      <c r="Q74" s="100">
        <f>IF(SamplingData[[#This Row],[Max Error Bound (up)]] = 0,0,SamplingData[[#This Row],[Max Error Bound (up)]]/SamplingData[[#Totals],[Max Error Bound (up)]])</f>
        <v>3.8771793113783326E-5</v>
      </c>
      <c r="R74" s="101">
        <f>SUM($Q$5:Q74)</f>
        <v>5.1450169461990478E-2</v>
      </c>
      <c r="S74" s="100" t="str">
        <f t="array" ref="S74">IF(SamplingData[[#This Row],[up/U Selection Probability]] = 0, "Zero", TEXT(SamplingData[[#This Row],[Lower Range]], REPT("0",LEN('General Info'!$B$40))) &amp; " - " &amp; TEXT(SamplingData[[#This Row],[Upper Range]], REPT("0",LEN('General Info'!$B$40))))</f>
        <v>05141 - 05144</v>
      </c>
      <c r="T74" s="100">
        <f>SamplingData[[#This Row],[Upper Range]]-SamplingData[[#This Row],[Span]]</f>
        <v>5141.1398056594626</v>
      </c>
      <c r="U74" s="100">
        <f>IF(ISNUMBER('General Info'!$B$40), ((SamplingData[[#This Row],[up/U Selection Probability]]) * 'General Info'!$B$40) - 1, 0)</f>
        <v>2.877140539585219</v>
      </c>
      <c r="V74" s="100">
        <f>IF(ISNUMBER('General Info'!$B$40), (SamplingData[[#This Row],[Running (cumulative) sum]] * ('General Info'!$B$40 -'General Info'!$B$41 + 1)) + 'General Info'!$B$41 - 1, 0)</f>
        <v>5144.0169461990481</v>
      </c>
      <c r="W74" s="100" t="str">
        <f>IF(ISERROR(MATCH(SamplingData[[#This Row],[Batch by Type (p)]],SelectedPrecincts[Batch Name], 0)), "", INDEX(SelectedPrecincts[Draw], MATCH(SamplingData[[#This Row],[Batch by Type (p)]],SelectedPrecincts[Batch Name], 0)))</f>
        <v/>
      </c>
      <c r="X74" s="102">
        <f>IF(COUNTIF(SelectedPrecincts[Batch Name],SamplingData[[#This Row],[Batch by Type (p)]]) &lt;&gt; 0, COUNTIF(SelectedPrecincts[Batch Name],SamplingData[[#This Row],[Batch by Type (p)]]), 0)</f>
        <v>0</v>
      </c>
    </row>
    <row r="75" spans="1:24" ht="15" customHeight="1">
      <c r="A75" s="18" t="s">
        <v>251</v>
      </c>
      <c r="B75" s="18">
        <v>7</v>
      </c>
      <c r="C75" s="18">
        <v>5</v>
      </c>
      <c r="D75" s="16">
        <v>2</v>
      </c>
      <c r="E75" s="16">
        <v>2</v>
      </c>
      <c r="F75" s="37">
        <v>0</v>
      </c>
      <c r="G75" s="37">
        <v>0</v>
      </c>
      <c r="H75" s="17">
        <v>0</v>
      </c>
      <c r="I75" s="17">
        <v>0</v>
      </c>
      <c r="J75" s="99">
        <f>SUM(SamplingData[[#This Row],[Losing Candidate]:[Under Votes]])</f>
        <v>16</v>
      </c>
      <c r="K75"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75" s="100">
        <f>IF(AND(SamplingData[[#This Row],[Total]]&lt;&gt; 0, NOT(ISBLANK(SamplingData[[#This Row],[Candidate 3]]))),(SamplingData[[#This Row],[Total]]+SamplingData[[#This Row],[Winning Candidate]]-SamplingData[[#This Row],[Candidate 3]])/(SamplingData[[#Totals],[Winning Candidate]]-SamplingData[[#Totals],[Candidate 3]]), 0)</f>
        <v>6.1296254476239632E-4</v>
      </c>
      <c r="M75" s="100">
        <f>IF(AND(SamplingData[[#This Row],[Total]]&lt;&gt; 0, NOT(ISBLANK(SamplingData[[#This Row],[Candidate 4]]))),(SamplingData[[#This Row],[Total]]+SamplingData[[#This Row],[Winning Candidate]]-SamplingData[[#This Row],[Candidate 4]])/(SamplingData[[#Totals],[Winning Candidate]]-SamplingData[[#Totals],[Candidate 4]]), 0)</f>
        <v>5.5540939518840076E-4</v>
      </c>
      <c r="N75" s="100">
        <f>IF(AND(SamplingData[[#This Row],[Total]]&lt;&gt; 0, NOT(ISBLANK(SamplingData[[#This Row],[Candidate 5]]))),(SamplingData[[#This Row],[Total]]+SamplingData[[#This Row],[Winning Candidate]]-SamplingData[[#This Row],[Candidate 5]])/(SamplingData[[#Totals],[Winning Candidate]]-SamplingData[[#Totals],[Candidate 5]]), 0)</f>
        <v>5.1082461688153739E-4</v>
      </c>
      <c r="O75" s="100">
        <f>IF(AND(SamplingData[[#This Row],[Total]]&lt;&gt; 0, NOT(ISBLANK(SamplingData[[#This Row],[Candidate 6]]))),(SamplingData[[#This Row],[Total]]+SamplingData[[#This Row],[Winning Candidate]]-SamplingData[[#This Row],[Candidate 6]])/(SamplingData[[#Totals],[Winning Candidate]]-SamplingData[[#Totals],[Candidate 6]]), 0)</f>
        <v>5.1067555080005838E-4</v>
      </c>
      <c r="P75" s="100">
        <f>MAX(SamplingData[[#This Row],[Error Bound (up) - Max. possible relative overstatement - Losing Candidate]:[Error Bound (up) - Max. possible relative overstatement - Candidate 6]])</f>
        <v>8.5742283194512492E-4</v>
      </c>
      <c r="Q75" s="100">
        <f>IF(SamplingData[[#This Row],[Max Error Bound (up)]] = 0,0,SamplingData[[#This Row],[Max Error Bound (up)]]/SamplingData[[#Totals],[Max Error Bound (up)]])</f>
        <v>1.3570127589824165E-4</v>
      </c>
      <c r="R75" s="101">
        <f>SUM($Q$5:Q75)</f>
        <v>5.1585870737888721E-2</v>
      </c>
      <c r="S75" s="100" t="str">
        <f t="array" ref="S75">IF(SamplingData[[#This Row],[up/U Selection Probability]] = 0, "Zero", TEXT(SamplingData[[#This Row],[Lower Range]], REPT("0",LEN('General Info'!$B$40))) &amp; " - " &amp; TEXT(SamplingData[[#This Row],[Upper Range]], REPT("0",LEN('General Info'!$B$40))))</f>
        <v>05145 - 05158</v>
      </c>
      <c r="T75" s="100">
        <f>SamplingData[[#This Row],[Upper Range]]-SamplingData[[#This Row],[Span]]</f>
        <v>5145.0170819003233</v>
      </c>
      <c r="U75" s="100">
        <f>IF(ISNUMBER('General Info'!$B$40), ((SamplingData[[#This Row],[up/U Selection Probability]]) * 'General Info'!$B$40) - 1, 0)</f>
        <v>12.569991888548268</v>
      </c>
      <c r="V75" s="100">
        <f>IF(ISNUMBER('General Info'!$B$40), (SamplingData[[#This Row],[Running (cumulative) sum]] * ('General Info'!$B$40 -'General Info'!$B$41 + 1)) + 'General Info'!$B$41 - 1, 0)</f>
        <v>5157.5870737888717</v>
      </c>
      <c r="W75" s="100" t="str">
        <f>IF(ISERROR(MATCH(SamplingData[[#This Row],[Batch by Type (p)]],SelectedPrecincts[Batch Name], 0)), "", INDEX(SelectedPrecincts[Draw], MATCH(SamplingData[[#This Row],[Batch by Type (p)]],SelectedPrecincts[Batch Name], 0)))</f>
        <v/>
      </c>
      <c r="X75" s="102">
        <f>IF(COUNTIF(SelectedPrecincts[Batch Name],SamplingData[[#This Row],[Batch by Type (p)]]) &lt;&gt; 0, COUNTIF(SelectedPrecincts[Batch Name],SamplingData[[#This Row],[Batch by Type (p)]]), 0)</f>
        <v>0</v>
      </c>
    </row>
    <row r="76" spans="1:24" ht="15" customHeight="1">
      <c r="A76" s="18" t="s">
        <v>252</v>
      </c>
      <c r="B76" s="18">
        <v>7</v>
      </c>
      <c r="C76" s="18">
        <v>2</v>
      </c>
      <c r="D76" s="18">
        <v>0</v>
      </c>
      <c r="E76" s="18">
        <v>0</v>
      </c>
      <c r="F76" s="18">
        <v>0</v>
      </c>
      <c r="G76" s="18">
        <v>0</v>
      </c>
      <c r="H76" s="18">
        <v>0</v>
      </c>
      <c r="I76" s="18">
        <v>0</v>
      </c>
      <c r="J76" s="99">
        <f>SUM(SamplingData[[#This Row],[Losing Candidate]:[Under Votes]])</f>
        <v>9</v>
      </c>
      <c r="K76"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76" s="100">
        <f>IF(AND(SamplingData[[#This Row],[Total]]&lt;&gt; 0, NOT(ISBLANK(SamplingData[[#This Row],[Candidate 3]]))),(SamplingData[[#This Row],[Total]]+SamplingData[[#This Row],[Winning Candidate]]-SamplingData[[#This Row],[Candidate 3]])/(SamplingData[[#Totals],[Winning Candidate]]-SamplingData[[#Totals],[Candidate 3]]), 0)</f>
        <v>3.5487305223086104E-4</v>
      </c>
      <c r="M76" s="100">
        <f>IF(AND(SamplingData[[#This Row],[Total]]&lt;&gt; 0, NOT(ISBLANK(SamplingData[[#This Row],[Candidate 4]]))),(SamplingData[[#This Row],[Total]]+SamplingData[[#This Row],[Winning Candidate]]-SamplingData[[#This Row],[Candidate 4]])/(SamplingData[[#Totals],[Winning Candidate]]-SamplingData[[#Totals],[Candidate 4]]), 0)</f>
        <v>3.2155280774065302E-4</v>
      </c>
      <c r="N76" s="100">
        <f>IF(AND(SamplingData[[#This Row],[Total]]&lt;&gt; 0, NOT(ISBLANK(SamplingData[[#This Row],[Candidate 5]]))),(SamplingData[[#This Row],[Total]]+SamplingData[[#This Row],[Winning Candidate]]-SamplingData[[#This Row],[Candidate 5]])/(SamplingData[[#Totals],[Winning Candidate]]-SamplingData[[#Totals],[Candidate 5]]), 0)</f>
        <v>2.6757479931890053E-4</v>
      </c>
      <c r="O76" s="100">
        <f>IF(AND(SamplingData[[#This Row],[Total]]&lt;&gt; 0, NOT(ISBLANK(SamplingData[[#This Row],[Candidate 6]]))),(SamplingData[[#This Row],[Total]]+SamplingData[[#This Row],[Winning Candidate]]-SamplingData[[#This Row],[Candidate 6]])/(SamplingData[[#Totals],[Winning Candidate]]-SamplingData[[#Totals],[Candidate 6]]), 0)</f>
        <v>2.6749671708574483E-4</v>
      </c>
      <c r="P76" s="100">
        <f>MAX(SamplingData[[#This Row],[Error Bound (up) - Max. possible relative overstatement - Losing Candidate]:[Error Bound (up) - Max. possible relative overstatement - Candidate 6]])</f>
        <v>3.5487305223086104E-4</v>
      </c>
      <c r="Q76" s="100">
        <f>IF(SamplingData[[#This Row],[Max Error Bound (up)]] = 0,0,SamplingData[[#This Row],[Max Error Bound (up)]]/SamplingData[[#Totals],[Max Error Bound (up)]])</f>
        <v>5.6164501545152719E-5</v>
      </c>
      <c r="R76" s="101">
        <f>SUM($Q$5:Q76)</f>
        <v>5.1642035239433871E-2</v>
      </c>
      <c r="S76" s="100" t="str">
        <f t="array" ref="S76">IF(SamplingData[[#This Row],[up/U Selection Probability]] = 0, "Zero", TEXT(SamplingData[[#This Row],[Lower Range]], REPT("0",LEN('General Info'!$B$40))) &amp; " - " &amp; TEXT(SamplingData[[#This Row],[Upper Range]], REPT("0",LEN('General Info'!$B$40))))</f>
        <v>05159 - 05163</v>
      </c>
      <c r="T76" s="100">
        <f>SamplingData[[#This Row],[Upper Range]]-SamplingData[[#This Row],[Span]]</f>
        <v>5158.5871299533737</v>
      </c>
      <c r="U76" s="100">
        <f>IF(ISNUMBER('General Info'!$B$40), ((SamplingData[[#This Row],[up/U Selection Probability]]) * 'General Info'!$B$40) - 1, 0)</f>
        <v>4.6163939900137265</v>
      </c>
      <c r="V76" s="100">
        <f>IF(ISNUMBER('General Info'!$B$40), (SamplingData[[#This Row],[Running (cumulative) sum]] * ('General Info'!$B$40 -'General Info'!$B$41 + 1)) + 'General Info'!$B$41 - 1, 0)</f>
        <v>5163.2035239433872</v>
      </c>
      <c r="W76" s="100" t="str">
        <f>IF(ISERROR(MATCH(SamplingData[[#This Row],[Batch by Type (p)]],SelectedPrecincts[Batch Name], 0)), "", INDEX(SelectedPrecincts[Draw], MATCH(SamplingData[[#This Row],[Batch by Type (p)]],SelectedPrecincts[Batch Name], 0)))</f>
        <v/>
      </c>
      <c r="X76" s="102">
        <f>IF(COUNTIF(SelectedPrecincts[Batch Name],SamplingData[[#This Row],[Batch by Type (p)]]) &lt;&gt; 0, COUNTIF(SelectedPrecincts[Batch Name],SamplingData[[#This Row],[Batch by Type (p)]]), 0)</f>
        <v>0</v>
      </c>
    </row>
    <row r="77" spans="1:24" ht="15" customHeight="1">
      <c r="A77" s="18" t="s">
        <v>253</v>
      </c>
      <c r="B77" s="18">
        <v>1</v>
      </c>
      <c r="C77" s="18">
        <v>0</v>
      </c>
      <c r="D77" s="16">
        <v>0</v>
      </c>
      <c r="E77" s="16">
        <v>1</v>
      </c>
      <c r="F77" s="37">
        <v>0</v>
      </c>
      <c r="G77" s="37">
        <v>0</v>
      </c>
      <c r="H77" s="17">
        <v>0</v>
      </c>
      <c r="I77" s="17">
        <v>0</v>
      </c>
      <c r="J77" s="99">
        <f>SUM(SamplingData[[#This Row],[Losing Candidate]:[Under Votes]])</f>
        <v>2</v>
      </c>
      <c r="K77"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77" s="100">
        <f>IF(AND(SamplingData[[#This Row],[Total]]&lt;&gt; 0, NOT(ISBLANK(SamplingData[[#This Row],[Candidate 3]]))),(SamplingData[[#This Row],[Total]]+SamplingData[[#This Row],[Winning Candidate]]-SamplingData[[#This Row],[Candidate 3]])/(SamplingData[[#Totals],[Winning Candidate]]-SamplingData[[#Totals],[Candidate 3]]), 0)</f>
        <v>6.4522373132883833E-5</v>
      </c>
      <c r="M77" s="100">
        <f>IF(AND(SamplingData[[#This Row],[Total]]&lt;&gt; 0, NOT(ISBLANK(SamplingData[[#This Row],[Candidate 4]]))),(SamplingData[[#This Row],[Total]]+SamplingData[[#This Row],[Winning Candidate]]-SamplingData[[#This Row],[Candidate 4]])/(SamplingData[[#Totals],[Winning Candidate]]-SamplingData[[#Totals],[Candidate 4]]), 0)</f>
        <v>2.923207343096846E-5</v>
      </c>
      <c r="N77" s="100">
        <f>IF(AND(SamplingData[[#This Row],[Total]]&lt;&gt; 0, NOT(ISBLANK(SamplingData[[#This Row],[Candidate 5]]))),(SamplingData[[#This Row],[Total]]+SamplingData[[#This Row],[Winning Candidate]]-SamplingData[[#This Row],[Candidate 5]])/(SamplingData[[#Totals],[Winning Candidate]]-SamplingData[[#Totals],[Candidate 5]]), 0)</f>
        <v>4.8649963512527367E-5</v>
      </c>
      <c r="O77" s="100">
        <f>IF(AND(SamplingData[[#This Row],[Total]]&lt;&gt; 0, NOT(ISBLANK(SamplingData[[#This Row],[Candidate 6]]))),(SamplingData[[#This Row],[Total]]+SamplingData[[#This Row],[Winning Candidate]]-SamplingData[[#This Row],[Candidate 6]])/(SamplingData[[#Totals],[Winning Candidate]]-SamplingData[[#Totals],[Candidate 6]]), 0)</f>
        <v>4.8635766742862701E-5</v>
      </c>
      <c r="P77" s="100">
        <f>MAX(SamplingData[[#This Row],[Error Bound (up) - Max. possible relative overstatement - Losing Candidate]:[Error Bound (up) - Max. possible relative overstatement - Candidate 6]])</f>
        <v>6.4522373132883833E-5</v>
      </c>
      <c r="Q77" s="100">
        <f>IF(SamplingData[[#This Row],[Max Error Bound (up)]] = 0,0,SamplingData[[#This Row],[Max Error Bound (up)]]/SamplingData[[#Totals],[Max Error Bound (up)]])</f>
        <v>1.0211727553664133E-5</v>
      </c>
      <c r="R77" s="101">
        <f>SUM($Q$5:Q77)</f>
        <v>5.1652246966987538E-2</v>
      </c>
      <c r="S77" s="100" t="str">
        <f t="array" ref="S77">IF(SamplingData[[#This Row],[up/U Selection Probability]] = 0, "Zero", TEXT(SamplingData[[#This Row],[Lower Range]], REPT("0",LEN('General Info'!$B$40))) &amp; " - " &amp; TEXT(SamplingData[[#This Row],[Upper Range]], REPT("0",LEN('General Info'!$B$40))))</f>
        <v>05164 - 05164</v>
      </c>
      <c r="T77" s="100">
        <f>SamplingData[[#This Row],[Upper Range]]-SamplingData[[#This Row],[Span]]</f>
        <v>5164.2035341551154</v>
      </c>
      <c r="U77" s="100">
        <f>IF(ISNUMBER('General Info'!$B$40), ((SamplingData[[#This Row],[up/U Selection Probability]]) * 'General Info'!$B$40) - 1, 0)</f>
        <v>2.116254363885961E-2</v>
      </c>
      <c r="V77" s="100">
        <f>IF(ISNUMBER('General Info'!$B$40), (SamplingData[[#This Row],[Running (cumulative) sum]] * ('General Info'!$B$40 -'General Info'!$B$41 + 1)) + 'General Info'!$B$41 - 1, 0)</f>
        <v>5164.2246966987541</v>
      </c>
      <c r="W77" s="100" t="str">
        <f>IF(ISERROR(MATCH(SamplingData[[#This Row],[Batch by Type (p)]],SelectedPrecincts[Batch Name], 0)), "", INDEX(SelectedPrecincts[Draw], MATCH(SamplingData[[#This Row],[Batch by Type (p)]],SelectedPrecincts[Batch Name], 0)))</f>
        <v/>
      </c>
      <c r="X77" s="102">
        <f>IF(COUNTIF(SelectedPrecincts[Batch Name],SamplingData[[#This Row],[Batch by Type (p)]]) &lt;&gt; 0, COUNTIF(SelectedPrecincts[Batch Name],SamplingData[[#This Row],[Batch by Type (p)]]), 0)</f>
        <v>0</v>
      </c>
    </row>
    <row r="78" spans="1:24" ht="15" customHeight="1">
      <c r="A78" s="18" t="s">
        <v>254</v>
      </c>
      <c r="B78" s="18">
        <v>0</v>
      </c>
      <c r="C78" s="18">
        <v>0</v>
      </c>
      <c r="D78" s="18">
        <v>0</v>
      </c>
      <c r="E78" s="18">
        <v>1</v>
      </c>
      <c r="F78" s="18">
        <v>0</v>
      </c>
      <c r="G78" s="18">
        <v>0</v>
      </c>
      <c r="H78" s="18">
        <v>0</v>
      </c>
      <c r="I78" s="18">
        <v>0</v>
      </c>
      <c r="J78" s="99">
        <f>SUM(SamplingData[[#This Row],[Losing Candidate]:[Under Votes]])</f>
        <v>1</v>
      </c>
      <c r="K7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78" s="100">
        <f>IF(AND(SamplingData[[#This Row],[Total]]&lt;&gt; 0, NOT(ISBLANK(SamplingData[[#This Row],[Candidate 3]]))),(SamplingData[[#This Row],[Total]]+SamplingData[[#This Row],[Winning Candidate]]-SamplingData[[#This Row],[Candidate 3]])/(SamplingData[[#Totals],[Winning Candidate]]-SamplingData[[#Totals],[Candidate 3]]), 0)</f>
        <v>3.2261186566441917E-5</v>
      </c>
      <c r="M78" s="100">
        <f>IF(AND(SamplingData[[#This Row],[Total]]&lt;&gt; 0, NOT(ISBLANK(SamplingData[[#This Row],[Candidate 4]]))),(SamplingData[[#This Row],[Total]]+SamplingData[[#This Row],[Winning Candidate]]-SamplingData[[#This Row],[Candidate 4]])/(SamplingData[[#Totals],[Winning Candidate]]-SamplingData[[#Totals],[Candidate 4]]), 0)</f>
        <v>0</v>
      </c>
      <c r="N78" s="100">
        <f>IF(AND(SamplingData[[#This Row],[Total]]&lt;&gt; 0, NOT(ISBLANK(SamplingData[[#This Row],[Candidate 5]]))),(SamplingData[[#This Row],[Total]]+SamplingData[[#This Row],[Winning Candidate]]-SamplingData[[#This Row],[Candidate 5]])/(SamplingData[[#Totals],[Winning Candidate]]-SamplingData[[#Totals],[Candidate 5]]), 0)</f>
        <v>2.4324981756263683E-5</v>
      </c>
      <c r="O78" s="100">
        <f>IF(AND(SamplingData[[#This Row],[Total]]&lt;&gt; 0, NOT(ISBLANK(SamplingData[[#This Row],[Candidate 6]]))),(SamplingData[[#This Row],[Total]]+SamplingData[[#This Row],[Winning Candidate]]-SamplingData[[#This Row],[Candidate 6]])/(SamplingData[[#Totals],[Winning Candidate]]-SamplingData[[#Totals],[Candidate 6]]), 0)</f>
        <v>2.431788337143135E-5</v>
      </c>
      <c r="P78" s="100">
        <f>MAX(SamplingData[[#This Row],[Error Bound (up) - Max. possible relative overstatement - Losing Candidate]:[Error Bound (up) - Max. possible relative overstatement - Candidate 6]])</f>
        <v>6.1244487996080352E-5</v>
      </c>
      <c r="Q78" s="100">
        <f>IF(SamplingData[[#This Row],[Max Error Bound (up)]] = 0,0,SamplingData[[#This Row],[Max Error Bound (up)]]/SamplingData[[#Totals],[Max Error Bound (up)]])</f>
        <v>9.6929482784458315E-6</v>
      </c>
      <c r="R78" s="101">
        <f>SUM($Q$5:Q78)</f>
        <v>5.1661939915265985E-2</v>
      </c>
      <c r="S78" s="100" t="str">
        <f t="array" ref="S78">IF(SamplingData[[#This Row],[up/U Selection Probability]] = 0, "Zero", TEXT(SamplingData[[#This Row],[Lower Range]], REPT("0",LEN('General Info'!$B$40))) &amp; " - " &amp; TEXT(SamplingData[[#This Row],[Upper Range]], REPT("0",LEN('General Info'!$B$40))))</f>
        <v>05165 - 05165</v>
      </c>
      <c r="T78" s="100">
        <f>SamplingData[[#This Row],[Upper Range]]-SamplingData[[#This Row],[Span]]</f>
        <v>5165.2247063917021</v>
      </c>
      <c r="U78" s="100">
        <f>IF(ISNUMBER('General Info'!$B$40), ((SamplingData[[#This Row],[up/U Selection Probability]]) * 'General Info'!$B$40) - 1, 0)</f>
        <v>-3.0714865103695255E-2</v>
      </c>
      <c r="V78" s="100">
        <f>IF(ISNUMBER('General Info'!$B$40), (SamplingData[[#This Row],[Running (cumulative) sum]] * ('General Info'!$B$40 -'General Info'!$B$41 + 1)) + 'General Info'!$B$41 - 1, 0)</f>
        <v>5165.1939915265984</v>
      </c>
      <c r="W78" s="100" t="str">
        <f>IF(ISERROR(MATCH(SamplingData[[#This Row],[Batch by Type (p)]],SelectedPrecincts[Batch Name], 0)), "", INDEX(SelectedPrecincts[Draw], MATCH(SamplingData[[#This Row],[Batch by Type (p)]],SelectedPrecincts[Batch Name], 0)))</f>
        <v/>
      </c>
      <c r="X78" s="102">
        <f>IF(COUNTIF(SelectedPrecincts[Batch Name],SamplingData[[#This Row],[Batch by Type (p)]]) &lt;&gt; 0, COUNTIF(SelectedPrecincts[Batch Name],SamplingData[[#This Row],[Batch by Type (p)]]), 0)</f>
        <v>0</v>
      </c>
    </row>
    <row r="79" spans="1:24" ht="15" customHeight="1">
      <c r="A79" s="18" t="s">
        <v>255</v>
      </c>
      <c r="B79" s="18">
        <v>0</v>
      </c>
      <c r="C79" s="18">
        <v>1</v>
      </c>
      <c r="D79" s="16">
        <v>0</v>
      </c>
      <c r="E79" s="16">
        <v>0</v>
      </c>
      <c r="F79" s="37">
        <v>0</v>
      </c>
      <c r="G79" s="37">
        <v>0</v>
      </c>
      <c r="H79" s="17">
        <v>0</v>
      </c>
      <c r="I79" s="17">
        <v>0</v>
      </c>
      <c r="J79" s="99">
        <f>SUM(SamplingData[[#This Row],[Losing Candidate]:[Under Votes]])</f>
        <v>1</v>
      </c>
      <c r="K79"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79" s="100">
        <f>IF(AND(SamplingData[[#This Row],[Total]]&lt;&gt; 0, NOT(ISBLANK(SamplingData[[#This Row],[Candidate 3]]))),(SamplingData[[#This Row],[Total]]+SamplingData[[#This Row],[Winning Candidate]]-SamplingData[[#This Row],[Candidate 3]])/(SamplingData[[#Totals],[Winning Candidate]]-SamplingData[[#Totals],[Candidate 3]]), 0)</f>
        <v>6.4522373132883833E-5</v>
      </c>
      <c r="M79" s="100">
        <f>IF(AND(SamplingData[[#This Row],[Total]]&lt;&gt; 0, NOT(ISBLANK(SamplingData[[#This Row],[Candidate 4]]))),(SamplingData[[#This Row],[Total]]+SamplingData[[#This Row],[Winning Candidate]]-SamplingData[[#This Row],[Candidate 4]])/(SamplingData[[#Totals],[Winning Candidate]]-SamplingData[[#Totals],[Candidate 4]]), 0)</f>
        <v>5.846414686193692E-5</v>
      </c>
      <c r="N79" s="100">
        <f>IF(AND(SamplingData[[#This Row],[Total]]&lt;&gt; 0, NOT(ISBLANK(SamplingData[[#This Row],[Candidate 5]]))),(SamplingData[[#This Row],[Total]]+SamplingData[[#This Row],[Winning Candidate]]-SamplingData[[#This Row],[Candidate 5]])/(SamplingData[[#Totals],[Winning Candidate]]-SamplingData[[#Totals],[Candidate 5]]), 0)</f>
        <v>4.8649963512527367E-5</v>
      </c>
      <c r="O79" s="100">
        <f>IF(AND(SamplingData[[#This Row],[Total]]&lt;&gt; 0, NOT(ISBLANK(SamplingData[[#This Row],[Candidate 6]]))),(SamplingData[[#This Row],[Total]]+SamplingData[[#This Row],[Winning Candidate]]-SamplingData[[#This Row],[Candidate 6]])/(SamplingData[[#Totals],[Winning Candidate]]-SamplingData[[#Totals],[Candidate 6]]), 0)</f>
        <v>4.8635766742862701E-5</v>
      </c>
      <c r="P79" s="100">
        <f>MAX(SamplingData[[#This Row],[Error Bound (up) - Max. possible relative overstatement - Losing Candidate]:[Error Bound (up) - Max. possible relative overstatement - Candidate 6]])</f>
        <v>1.224889759921607E-4</v>
      </c>
      <c r="Q79" s="100">
        <f>IF(SamplingData[[#This Row],[Max Error Bound (up)]] = 0,0,SamplingData[[#This Row],[Max Error Bound (up)]]/SamplingData[[#Totals],[Max Error Bound (up)]])</f>
        <v>1.9385896556891663E-5</v>
      </c>
      <c r="R79" s="101">
        <f>SUM($Q$5:Q79)</f>
        <v>5.168132581182288E-2</v>
      </c>
      <c r="S79" s="100" t="str">
        <f t="array" ref="S79">IF(SamplingData[[#This Row],[up/U Selection Probability]] = 0, "Zero", TEXT(SamplingData[[#This Row],[Lower Range]], REPT("0",LEN('General Info'!$B$40))) &amp; " - " &amp; TEXT(SamplingData[[#This Row],[Upper Range]], REPT("0",LEN('General Info'!$B$40))))</f>
        <v>05166 - 05167</v>
      </c>
      <c r="T79" s="100">
        <f>SamplingData[[#This Row],[Upper Range]]-SamplingData[[#This Row],[Span]]</f>
        <v>5166.1940109124953</v>
      </c>
      <c r="U79" s="100">
        <f>IF(ISNUMBER('General Info'!$B$40), ((SamplingData[[#This Row],[up/U Selection Probability]]) * 'General Info'!$B$40) - 1, 0)</f>
        <v>0.93857026979260949</v>
      </c>
      <c r="V79" s="100">
        <f>IF(ISNUMBER('General Info'!$B$40), (SamplingData[[#This Row],[Running (cumulative) sum]] * ('General Info'!$B$40 -'General Info'!$B$41 + 1)) + 'General Info'!$B$41 - 1, 0)</f>
        <v>5167.132581182288</v>
      </c>
      <c r="W79" s="100" t="str">
        <f>IF(ISERROR(MATCH(SamplingData[[#This Row],[Batch by Type (p)]],SelectedPrecincts[Batch Name], 0)), "", INDEX(SelectedPrecincts[Draw], MATCH(SamplingData[[#This Row],[Batch by Type (p)]],SelectedPrecincts[Batch Name], 0)))</f>
        <v/>
      </c>
      <c r="X79" s="102">
        <f>IF(COUNTIF(SelectedPrecincts[Batch Name],SamplingData[[#This Row],[Batch by Type (p)]]) &lt;&gt; 0, COUNTIF(SelectedPrecincts[Batch Name],SamplingData[[#This Row],[Batch by Type (p)]]), 0)</f>
        <v>0</v>
      </c>
    </row>
    <row r="80" spans="1:24" ht="15" customHeight="1">
      <c r="A80" s="18" t="s">
        <v>256</v>
      </c>
      <c r="B80" s="18">
        <v>0</v>
      </c>
      <c r="C80" s="18">
        <v>3</v>
      </c>
      <c r="D80" s="18">
        <v>0</v>
      </c>
      <c r="E80" s="18">
        <v>0</v>
      </c>
      <c r="F80" s="18">
        <v>0</v>
      </c>
      <c r="G80" s="18">
        <v>0</v>
      </c>
      <c r="H80" s="18">
        <v>0</v>
      </c>
      <c r="I80" s="18">
        <v>0</v>
      </c>
      <c r="J80" s="99">
        <f>SUM(SamplingData[[#This Row],[Losing Candidate]:[Under Votes]])</f>
        <v>3</v>
      </c>
      <c r="K80"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80" s="100">
        <f>IF(AND(SamplingData[[#This Row],[Total]]&lt;&gt; 0, NOT(ISBLANK(SamplingData[[#This Row],[Candidate 3]]))),(SamplingData[[#This Row],[Total]]+SamplingData[[#This Row],[Winning Candidate]]-SamplingData[[#This Row],[Candidate 3]])/(SamplingData[[#Totals],[Winning Candidate]]-SamplingData[[#Totals],[Candidate 3]]), 0)</f>
        <v>1.9356711939865149E-4</v>
      </c>
      <c r="M80" s="100">
        <f>IF(AND(SamplingData[[#This Row],[Total]]&lt;&gt; 0, NOT(ISBLANK(SamplingData[[#This Row],[Candidate 4]]))),(SamplingData[[#This Row],[Total]]+SamplingData[[#This Row],[Winning Candidate]]-SamplingData[[#This Row],[Candidate 4]])/(SamplingData[[#Totals],[Winning Candidate]]-SamplingData[[#Totals],[Candidate 4]]), 0)</f>
        <v>1.7539244058581075E-4</v>
      </c>
      <c r="N80" s="100">
        <f>IF(AND(SamplingData[[#This Row],[Total]]&lt;&gt; 0, NOT(ISBLANK(SamplingData[[#This Row],[Candidate 5]]))),(SamplingData[[#This Row],[Total]]+SamplingData[[#This Row],[Winning Candidate]]-SamplingData[[#This Row],[Candidate 5]])/(SamplingData[[#Totals],[Winning Candidate]]-SamplingData[[#Totals],[Candidate 5]]), 0)</f>
        <v>1.4594989053758211E-4</v>
      </c>
      <c r="O80" s="100">
        <f>IF(AND(SamplingData[[#This Row],[Total]]&lt;&gt; 0, NOT(ISBLANK(SamplingData[[#This Row],[Candidate 6]]))),(SamplingData[[#This Row],[Total]]+SamplingData[[#This Row],[Winning Candidate]]-SamplingData[[#This Row],[Candidate 6]])/(SamplingData[[#Totals],[Winning Candidate]]-SamplingData[[#Totals],[Candidate 6]]), 0)</f>
        <v>1.4590730022858811E-4</v>
      </c>
      <c r="P80" s="100">
        <f>MAX(SamplingData[[#This Row],[Error Bound (up) - Max. possible relative overstatement - Losing Candidate]:[Error Bound (up) - Max. possible relative overstatement - Candidate 6]])</f>
        <v>3.6746692797648211E-4</v>
      </c>
      <c r="Q80" s="100">
        <f>IF(SamplingData[[#This Row],[Max Error Bound (up)]] = 0,0,SamplingData[[#This Row],[Max Error Bound (up)]]/SamplingData[[#Totals],[Max Error Bound (up)]])</f>
        <v>5.8157689670674986E-5</v>
      </c>
      <c r="R80" s="101">
        <f>SUM($Q$5:Q80)</f>
        <v>5.1739483501493558E-2</v>
      </c>
      <c r="S80" s="100" t="str">
        <f t="array" ref="S80">IF(SamplingData[[#This Row],[up/U Selection Probability]] = 0, "Zero", TEXT(SamplingData[[#This Row],[Lower Range]], REPT("0",LEN('General Info'!$B$40))) &amp; " - " &amp; TEXT(SamplingData[[#This Row],[Upper Range]], REPT("0",LEN('General Info'!$B$40))))</f>
        <v>05168 - 05173</v>
      </c>
      <c r="T80" s="100">
        <f>SamplingData[[#This Row],[Upper Range]]-SamplingData[[#This Row],[Span]]</f>
        <v>5168.1326393399786</v>
      </c>
      <c r="U80" s="100">
        <f>IF(ISNUMBER('General Info'!$B$40), ((SamplingData[[#This Row],[up/U Selection Probability]]) * 'General Info'!$B$40) - 1, 0)</f>
        <v>4.815710809377828</v>
      </c>
      <c r="V80" s="100">
        <f>IF(ISNUMBER('General Info'!$B$40), (SamplingData[[#This Row],[Running (cumulative) sum]] * ('General Info'!$B$40 -'General Info'!$B$41 + 1)) + 'General Info'!$B$41 - 1, 0)</f>
        <v>5172.948350149356</v>
      </c>
      <c r="W80" s="100" t="str">
        <f>IF(ISERROR(MATCH(SamplingData[[#This Row],[Batch by Type (p)]],SelectedPrecincts[Batch Name], 0)), "", INDEX(SelectedPrecincts[Draw], MATCH(SamplingData[[#This Row],[Batch by Type (p)]],SelectedPrecincts[Batch Name], 0)))</f>
        <v/>
      </c>
      <c r="X80" s="102">
        <f>IF(COUNTIF(SelectedPrecincts[Batch Name],SamplingData[[#This Row],[Batch by Type (p)]]) &lt;&gt; 0, COUNTIF(SelectedPrecincts[Batch Name],SamplingData[[#This Row],[Batch by Type (p)]]), 0)</f>
        <v>0</v>
      </c>
    </row>
    <row r="81" spans="1:24" ht="15" customHeight="1">
      <c r="A81" s="18" t="s">
        <v>257</v>
      </c>
      <c r="B81" s="18">
        <v>7</v>
      </c>
      <c r="C81" s="18">
        <v>5</v>
      </c>
      <c r="D81" s="16">
        <v>1</v>
      </c>
      <c r="E81" s="16">
        <v>1</v>
      </c>
      <c r="F81" s="37">
        <v>1</v>
      </c>
      <c r="G81" s="37">
        <v>0</v>
      </c>
      <c r="H81" s="17">
        <v>0</v>
      </c>
      <c r="I81" s="17">
        <v>0</v>
      </c>
      <c r="J81" s="99">
        <f>SUM(SamplingData[[#This Row],[Losing Candidate]:[Under Votes]])</f>
        <v>15</v>
      </c>
      <c r="K81"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81" s="100">
        <f>IF(AND(SamplingData[[#This Row],[Total]]&lt;&gt; 0, NOT(ISBLANK(SamplingData[[#This Row],[Candidate 3]]))),(SamplingData[[#This Row],[Total]]+SamplingData[[#This Row],[Winning Candidate]]-SamplingData[[#This Row],[Candidate 3]])/(SamplingData[[#Totals],[Winning Candidate]]-SamplingData[[#Totals],[Candidate 3]]), 0)</f>
        <v>6.1296254476239632E-4</v>
      </c>
      <c r="M81" s="100">
        <f>IF(AND(SamplingData[[#This Row],[Total]]&lt;&gt; 0, NOT(ISBLANK(SamplingData[[#This Row],[Candidate 4]]))),(SamplingData[[#This Row],[Total]]+SamplingData[[#This Row],[Winning Candidate]]-SamplingData[[#This Row],[Candidate 4]])/(SamplingData[[#Totals],[Winning Candidate]]-SamplingData[[#Totals],[Candidate 4]]), 0)</f>
        <v>5.5540939518840076E-4</v>
      </c>
      <c r="N81" s="100">
        <f>IF(AND(SamplingData[[#This Row],[Total]]&lt;&gt; 0, NOT(ISBLANK(SamplingData[[#This Row],[Candidate 5]]))),(SamplingData[[#This Row],[Total]]+SamplingData[[#This Row],[Winning Candidate]]-SamplingData[[#This Row],[Candidate 5]])/(SamplingData[[#Totals],[Winning Candidate]]-SamplingData[[#Totals],[Candidate 5]]), 0)</f>
        <v>4.6217465336900997E-4</v>
      </c>
      <c r="O81" s="100">
        <f>IF(AND(SamplingData[[#This Row],[Total]]&lt;&gt; 0, NOT(ISBLANK(SamplingData[[#This Row],[Candidate 6]]))),(SamplingData[[#This Row],[Total]]+SamplingData[[#This Row],[Winning Candidate]]-SamplingData[[#This Row],[Candidate 6]])/(SamplingData[[#Totals],[Winning Candidate]]-SamplingData[[#Totals],[Candidate 6]]), 0)</f>
        <v>4.8635766742862699E-4</v>
      </c>
      <c r="P81" s="100">
        <f>MAX(SamplingData[[#This Row],[Error Bound (up) - Max. possible relative overstatement - Losing Candidate]:[Error Bound (up) - Max. possible relative overstatement - Candidate 6]])</f>
        <v>7.9617834394904463E-4</v>
      </c>
      <c r="Q81" s="100">
        <f>IF(SamplingData[[#This Row],[Max Error Bound (up)]] = 0,0,SamplingData[[#This Row],[Max Error Bound (up)]]/SamplingData[[#Totals],[Max Error Bound (up)]])</f>
        <v>1.2600832761979581E-4</v>
      </c>
      <c r="R81" s="101">
        <f>SUM($Q$5:Q81)</f>
        <v>5.1865491829113354E-2</v>
      </c>
      <c r="S81" s="100" t="str">
        <f t="array" ref="S81">IF(SamplingData[[#This Row],[up/U Selection Probability]] = 0, "Zero", TEXT(SamplingData[[#This Row],[Lower Range]], REPT("0",LEN('General Info'!$B$40))) &amp; " - " &amp; TEXT(SamplingData[[#This Row],[Upper Range]], REPT("0",LEN('General Info'!$B$40))))</f>
        <v>05174 - 05186</v>
      </c>
      <c r="T81" s="100">
        <f>SamplingData[[#This Row],[Upper Range]]-SamplingData[[#This Row],[Span]]</f>
        <v>5173.9484761576832</v>
      </c>
      <c r="U81" s="100">
        <f>IF(ISNUMBER('General Info'!$B$40), ((SamplingData[[#This Row],[up/U Selection Probability]]) * 'General Info'!$B$40) - 1, 0)</f>
        <v>11.600706753651961</v>
      </c>
      <c r="V81" s="100">
        <f>IF(ISNUMBER('General Info'!$B$40), (SamplingData[[#This Row],[Running (cumulative) sum]] * ('General Info'!$B$40 -'General Info'!$B$41 + 1)) + 'General Info'!$B$41 - 1, 0)</f>
        <v>5185.5491829113353</v>
      </c>
      <c r="W81" s="100" t="str">
        <f>IF(ISERROR(MATCH(SamplingData[[#This Row],[Batch by Type (p)]],SelectedPrecincts[Batch Name], 0)), "", INDEX(SelectedPrecincts[Draw], MATCH(SamplingData[[#This Row],[Batch by Type (p)]],SelectedPrecincts[Batch Name], 0)))</f>
        <v/>
      </c>
      <c r="X81" s="102">
        <f>IF(COUNTIF(SelectedPrecincts[Batch Name],SamplingData[[#This Row],[Batch by Type (p)]]) &lt;&gt; 0, COUNTIF(SelectedPrecincts[Batch Name],SamplingData[[#This Row],[Batch by Type (p)]]), 0)</f>
        <v>0</v>
      </c>
    </row>
    <row r="82" spans="1:24" ht="15" customHeight="1">
      <c r="A82" s="18" t="s">
        <v>258</v>
      </c>
      <c r="B82" s="18">
        <v>6</v>
      </c>
      <c r="C82" s="18">
        <v>0</v>
      </c>
      <c r="D82" s="18">
        <v>0</v>
      </c>
      <c r="E82" s="18">
        <v>0</v>
      </c>
      <c r="F82" s="18">
        <v>0</v>
      </c>
      <c r="G82" s="18">
        <v>0</v>
      </c>
      <c r="H82" s="18">
        <v>0</v>
      </c>
      <c r="I82" s="18">
        <v>0</v>
      </c>
      <c r="J82" s="99">
        <f>SUM(SamplingData[[#This Row],[Losing Candidate]:[Under Votes]])</f>
        <v>6</v>
      </c>
      <c r="K82" s="100">
        <f>IF(AND(SamplingData[[#This Row],[Total]]&lt;&gt; 0, NOT(ISBLANK(SamplingData[[#This Row],[Losing Candidate]]))),(SamplingData[[#This Row],[Total]]+SamplingData[[#This Row],[Winning Candidate]]-SamplingData[[#This Row],[Losing Candidate]])/(SamplingData[[#Totals],[Winning Candidate]]-SamplingData[[#Totals],[Losing Candidate]]), 0)</f>
        <v>0</v>
      </c>
      <c r="L82" s="100">
        <f>IF(AND(SamplingData[[#This Row],[Total]]&lt;&gt; 0, NOT(ISBLANK(SamplingData[[#This Row],[Candidate 3]]))),(SamplingData[[#This Row],[Total]]+SamplingData[[#This Row],[Winning Candidate]]-SamplingData[[#This Row],[Candidate 3]])/(SamplingData[[#Totals],[Winning Candidate]]-SamplingData[[#Totals],[Candidate 3]]), 0)</f>
        <v>1.9356711939865149E-4</v>
      </c>
      <c r="M82" s="100">
        <f>IF(AND(SamplingData[[#This Row],[Total]]&lt;&gt; 0, NOT(ISBLANK(SamplingData[[#This Row],[Candidate 4]]))),(SamplingData[[#This Row],[Total]]+SamplingData[[#This Row],[Winning Candidate]]-SamplingData[[#This Row],[Candidate 4]])/(SamplingData[[#Totals],[Winning Candidate]]-SamplingData[[#Totals],[Candidate 4]]), 0)</f>
        <v>1.7539244058581075E-4</v>
      </c>
      <c r="N82" s="100">
        <f>IF(AND(SamplingData[[#This Row],[Total]]&lt;&gt; 0, NOT(ISBLANK(SamplingData[[#This Row],[Candidate 5]]))),(SamplingData[[#This Row],[Total]]+SamplingData[[#This Row],[Winning Candidate]]-SamplingData[[#This Row],[Candidate 5]])/(SamplingData[[#Totals],[Winning Candidate]]-SamplingData[[#Totals],[Candidate 5]]), 0)</f>
        <v>1.4594989053758211E-4</v>
      </c>
      <c r="O82" s="100">
        <f>IF(AND(SamplingData[[#This Row],[Total]]&lt;&gt; 0, NOT(ISBLANK(SamplingData[[#This Row],[Candidate 6]]))),(SamplingData[[#This Row],[Total]]+SamplingData[[#This Row],[Winning Candidate]]-SamplingData[[#This Row],[Candidate 6]])/(SamplingData[[#Totals],[Winning Candidate]]-SamplingData[[#Totals],[Candidate 6]]), 0)</f>
        <v>1.4590730022858811E-4</v>
      </c>
      <c r="P82" s="100">
        <f>MAX(SamplingData[[#This Row],[Error Bound (up) - Max. possible relative overstatement - Losing Candidate]:[Error Bound (up) - Max. possible relative overstatement - Candidate 6]])</f>
        <v>1.9356711939865149E-4</v>
      </c>
      <c r="Q82" s="100">
        <f>IF(SamplingData[[#This Row],[Max Error Bound (up)]] = 0,0,SamplingData[[#This Row],[Max Error Bound (up)]]/SamplingData[[#Totals],[Max Error Bound (up)]])</f>
        <v>3.0635182660992398E-5</v>
      </c>
      <c r="R82" s="101">
        <f>SUM($Q$5:Q82)</f>
        <v>5.1896127011774346E-2</v>
      </c>
      <c r="S82" s="100" t="str">
        <f t="array" ref="S82">IF(SamplingData[[#This Row],[up/U Selection Probability]] = 0, "Zero", TEXT(SamplingData[[#This Row],[Lower Range]], REPT("0",LEN('General Info'!$B$40))) &amp; " - " &amp; TEXT(SamplingData[[#This Row],[Upper Range]], REPT("0",LEN('General Info'!$B$40))))</f>
        <v>05187 - 05189</v>
      </c>
      <c r="T82" s="100">
        <f>SamplingData[[#This Row],[Upper Range]]-SamplingData[[#This Row],[Span]]</f>
        <v>5186.5492135465174</v>
      </c>
      <c r="U82" s="100">
        <f>IF(ISNUMBER('General Info'!$B$40), ((SamplingData[[#This Row],[up/U Selection Probability]]) * 'General Info'!$B$40) - 1, 0)</f>
        <v>2.0634876309165788</v>
      </c>
      <c r="V82" s="100">
        <f>IF(ISNUMBER('General Info'!$B$40), (SamplingData[[#This Row],[Running (cumulative) sum]] * ('General Info'!$B$40 -'General Info'!$B$41 + 1)) + 'General Info'!$B$41 - 1, 0)</f>
        <v>5188.6127011774342</v>
      </c>
      <c r="W82" s="100" t="str">
        <f>IF(ISERROR(MATCH(SamplingData[[#This Row],[Batch by Type (p)]],SelectedPrecincts[Batch Name], 0)), "", INDEX(SelectedPrecincts[Draw], MATCH(SamplingData[[#This Row],[Batch by Type (p)]],SelectedPrecincts[Batch Name], 0)))</f>
        <v/>
      </c>
      <c r="X82" s="102">
        <f>IF(COUNTIF(SelectedPrecincts[Batch Name],SamplingData[[#This Row],[Batch by Type (p)]]) &lt;&gt; 0, COUNTIF(SelectedPrecincts[Batch Name],SamplingData[[#This Row],[Batch by Type (p)]]), 0)</f>
        <v>0</v>
      </c>
    </row>
    <row r="83" spans="1:24" ht="15" customHeight="1">
      <c r="A83" s="18" t="s">
        <v>259</v>
      </c>
      <c r="B83" s="18">
        <v>1</v>
      </c>
      <c r="C83" s="18">
        <v>0</v>
      </c>
      <c r="D83" s="16">
        <v>0</v>
      </c>
      <c r="E83" s="16">
        <v>1</v>
      </c>
      <c r="F83" s="37">
        <v>0</v>
      </c>
      <c r="G83" s="37">
        <v>0</v>
      </c>
      <c r="H83" s="17">
        <v>0</v>
      </c>
      <c r="I83" s="17">
        <v>0</v>
      </c>
      <c r="J83" s="99">
        <f>SUM(SamplingData[[#This Row],[Losing Candidate]:[Under Votes]])</f>
        <v>2</v>
      </c>
      <c r="K83"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83" s="100">
        <f>IF(AND(SamplingData[[#This Row],[Total]]&lt;&gt; 0, NOT(ISBLANK(SamplingData[[#This Row],[Candidate 3]]))),(SamplingData[[#This Row],[Total]]+SamplingData[[#This Row],[Winning Candidate]]-SamplingData[[#This Row],[Candidate 3]])/(SamplingData[[#Totals],[Winning Candidate]]-SamplingData[[#Totals],[Candidate 3]]), 0)</f>
        <v>6.4522373132883833E-5</v>
      </c>
      <c r="M83" s="100">
        <f>IF(AND(SamplingData[[#This Row],[Total]]&lt;&gt; 0, NOT(ISBLANK(SamplingData[[#This Row],[Candidate 4]]))),(SamplingData[[#This Row],[Total]]+SamplingData[[#This Row],[Winning Candidate]]-SamplingData[[#This Row],[Candidate 4]])/(SamplingData[[#Totals],[Winning Candidate]]-SamplingData[[#Totals],[Candidate 4]]), 0)</f>
        <v>2.923207343096846E-5</v>
      </c>
      <c r="N83" s="100">
        <f>IF(AND(SamplingData[[#This Row],[Total]]&lt;&gt; 0, NOT(ISBLANK(SamplingData[[#This Row],[Candidate 5]]))),(SamplingData[[#This Row],[Total]]+SamplingData[[#This Row],[Winning Candidate]]-SamplingData[[#This Row],[Candidate 5]])/(SamplingData[[#Totals],[Winning Candidate]]-SamplingData[[#Totals],[Candidate 5]]), 0)</f>
        <v>4.8649963512527367E-5</v>
      </c>
      <c r="O83" s="100">
        <f>IF(AND(SamplingData[[#This Row],[Total]]&lt;&gt; 0, NOT(ISBLANK(SamplingData[[#This Row],[Candidate 6]]))),(SamplingData[[#This Row],[Total]]+SamplingData[[#This Row],[Winning Candidate]]-SamplingData[[#This Row],[Candidate 6]])/(SamplingData[[#Totals],[Winning Candidate]]-SamplingData[[#Totals],[Candidate 6]]), 0)</f>
        <v>4.8635766742862701E-5</v>
      </c>
      <c r="P83" s="100">
        <f>MAX(SamplingData[[#This Row],[Error Bound (up) - Max. possible relative overstatement - Losing Candidate]:[Error Bound (up) - Max. possible relative overstatement - Candidate 6]])</f>
        <v>6.4522373132883833E-5</v>
      </c>
      <c r="Q83" s="100">
        <f>IF(SamplingData[[#This Row],[Max Error Bound (up)]] = 0,0,SamplingData[[#This Row],[Max Error Bound (up)]]/SamplingData[[#Totals],[Max Error Bound (up)]])</f>
        <v>1.0211727553664133E-5</v>
      </c>
      <c r="R83" s="101">
        <f>SUM($Q$5:Q83)</f>
        <v>5.1906338739328012E-2</v>
      </c>
      <c r="S83" s="100" t="str">
        <f t="array" ref="S83">IF(SamplingData[[#This Row],[up/U Selection Probability]] = 0, "Zero", TEXT(SamplingData[[#This Row],[Lower Range]], REPT("0",LEN('General Info'!$B$40))) &amp; " - " &amp; TEXT(SamplingData[[#This Row],[Upper Range]], REPT("0",LEN('General Info'!$B$40))))</f>
        <v>05190 - 05190</v>
      </c>
      <c r="T83" s="100">
        <f>SamplingData[[#This Row],[Upper Range]]-SamplingData[[#This Row],[Span]]</f>
        <v>5189.6127113891625</v>
      </c>
      <c r="U83" s="100">
        <f>IF(ISNUMBER('General Info'!$B$40), ((SamplingData[[#This Row],[up/U Selection Probability]]) * 'General Info'!$B$40) - 1, 0)</f>
        <v>2.116254363885961E-2</v>
      </c>
      <c r="V83" s="100">
        <f>IF(ISNUMBER('General Info'!$B$40), (SamplingData[[#This Row],[Running (cumulative) sum]] * ('General Info'!$B$40 -'General Info'!$B$41 + 1)) + 'General Info'!$B$41 - 1, 0)</f>
        <v>5189.6338739328012</v>
      </c>
      <c r="W83" s="100" t="str">
        <f>IF(ISERROR(MATCH(SamplingData[[#This Row],[Batch by Type (p)]],SelectedPrecincts[Batch Name], 0)), "", INDEX(SelectedPrecincts[Draw], MATCH(SamplingData[[#This Row],[Batch by Type (p)]],SelectedPrecincts[Batch Name], 0)))</f>
        <v/>
      </c>
      <c r="X83" s="102">
        <f>IF(COUNTIF(SelectedPrecincts[Batch Name],SamplingData[[#This Row],[Batch by Type (p)]]) &lt;&gt; 0, COUNTIF(SelectedPrecincts[Batch Name],SamplingData[[#This Row],[Batch by Type (p)]]), 0)</f>
        <v>0</v>
      </c>
    </row>
    <row r="84" spans="1:24" ht="15" customHeight="1">
      <c r="A84" s="18" t="s">
        <v>260</v>
      </c>
      <c r="B84" s="18">
        <v>0</v>
      </c>
      <c r="C84" s="18">
        <v>1</v>
      </c>
      <c r="D84" s="18">
        <v>1</v>
      </c>
      <c r="E84" s="18">
        <v>0</v>
      </c>
      <c r="F84" s="18">
        <v>0</v>
      </c>
      <c r="G84" s="18">
        <v>0</v>
      </c>
      <c r="H84" s="18">
        <v>0</v>
      </c>
      <c r="I84" s="18">
        <v>0</v>
      </c>
      <c r="J84" s="99">
        <f>SUM(SamplingData[[#This Row],[Losing Candidate]:[Under Votes]])</f>
        <v>2</v>
      </c>
      <c r="K84"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84" s="100">
        <f>IF(AND(SamplingData[[#This Row],[Total]]&lt;&gt; 0, NOT(ISBLANK(SamplingData[[#This Row],[Candidate 3]]))),(SamplingData[[#This Row],[Total]]+SamplingData[[#This Row],[Winning Candidate]]-SamplingData[[#This Row],[Candidate 3]])/(SamplingData[[#Totals],[Winning Candidate]]-SamplingData[[#Totals],[Candidate 3]]), 0)</f>
        <v>6.4522373132883833E-5</v>
      </c>
      <c r="M84" s="100">
        <f>IF(AND(SamplingData[[#This Row],[Total]]&lt;&gt; 0, NOT(ISBLANK(SamplingData[[#This Row],[Candidate 4]]))),(SamplingData[[#This Row],[Total]]+SamplingData[[#This Row],[Winning Candidate]]-SamplingData[[#This Row],[Candidate 4]])/(SamplingData[[#Totals],[Winning Candidate]]-SamplingData[[#Totals],[Candidate 4]]), 0)</f>
        <v>8.7696220292905373E-5</v>
      </c>
      <c r="N84" s="100">
        <f>IF(AND(SamplingData[[#This Row],[Total]]&lt;&gt; 0, NOT(ISBLANK(SamplingData[[#This Row],[Candidate 5]]))),(SamplingData[[#This Row],[Total]]+SamplingData[[#This Row],[Winning Candidate]]-SamplingData[[#This Row],[Candidate 5]])/(SamplingData[[#Totals],[Winning Candidate]]-SamplingData[[#Totals],[Candidate 5]]), 0)</f>
        <v>7.2974945268791054E-5</v>
      </c>
      <c r="O84" s="100">
        <f>IF(AND(SamplingData[[#This Row],[Total]]&lt;&gt; 0, NOT(ISBLANK(SamplingData[[#This Row],[Candidate 6]]))),(SamplingData[[#This Row],[Total]]+SamplingData[[#This Row],[Winning Candidate]]-SamplingData[[#This Row],[Candidate 6]])/(SamplingData[[#Totals],[Winning Candidate]]-SamplingData[[#Totals],[Candidate 6]]), 0)</f>
        <v>7.2953650114294054E-5</v>
      </c>
      <c r="P84" s="100">
        <f>MAX(SamplingData[[#This Row],[Error Bound (up) - Max. possible relative overstatement - Losing Candidate]:[Error Bound (up) - Max. possible relative overstatement - Candidate 6]])</f>
        <v>1.8373346398824106E-4</v>
      </c>
      <c r="Q84" s="100">
        <f>IF(SamplingData[[#This Row],[Max Error Bound (up)]] = 0,0,SamplingData[[#This Row],[Max Error Bound (up)]]/SamplingData[[#Totals],[Max Error Bound (up)]])</f>
        <v>2.9078844835337493E-5</v>
      </c>
      <c r="R84" s="101">
        <f>SUM($Q$5:Q84)</f>
        <v>5.1935417584163347E-2</v>
      </c>
      <c r="S84" s="100" t="str">
        <f t="array" ref="S84">IF(SamplingData[[#This Row],[up/U Selection Probability]] = 0, "Zero", TEXT(SamplingData[[#This Row],[Lower Range]], REPT("0",LEN('General Info'!$B$40))) &amp; " - " &amp; TEXT(SamplingData[[#This Row],[Upper Range]], REPT("0",LEN('General Info'!$B$40))))</f>
        <v>05191 - 05193</v>
      </c>
      <c r="T84" s="100">
        <f>SamplingData[[#This Row],[Upper Range]]-SamplingData[[#This Row],[Span]]</f>
        <v>5190.633903011646</v>
      </c>
      <c r="U84" s="100">
        <f>IF(ISNUMBER('General Info'!$B$40), ((SamplingData[[#This Row],[up/U Selection Probability]]) * 'General Info'!$B$40) - 1, 0)</f>
        <v>1.907855404688914</v>
      </c>
      <c r="V84" s="100">
        <f>IF(ISNUMBER('General Info'!$B$40), (SamplingData[[#This Row],[Running (cumulative) sum]] * ('General Info'!$B$40 -'General Info'!$B$41 + 1)) + 'General Info'!$B$41 - 1, 0)</f>
        <v>5192.5417584163351</v>
      </c>
      <c r="W84" s="100" t="str">
        <f>IF(ISERROR(MATCH(SamplingData[[#This Row],[Batch by Type (p)]],SelectedPrecincts[Batch Name], 0)), "", INDEX(SelectedPrecincts[Draw], MATCH(SamplingData[[#This Row],[Batch by Type (p)]],SelectedPrecincts[Batch Name], 0)))</f>
        <v/>
      </c>
      <c r="X84" s="102">
        <f>IF(COUNTIF(SelectedPrecincts[Batch Name],SamplingData[[#This Row],[Batch by Type (p)]]) &lt;&gt; 0, COUNTIF(SelectedPrecincts[Batch Name],SamplingData[[#This Row],[Batch by Type (p)]]), 0)</f>
        <v>0</v>
      </c>
    </row>
    <row r="85" spans="1:24" ht="15" customHeight="1">
      <c r="A85" s="18" t="s">
        <v>261</v>
      </c>
      <c r="B85" s="18">
        <v>3</v>
      </c>
      <c r="C85" s="18">
        <v>4</v>
      </c>
      <c r="D85" s="16">
        <v>0</v>
      </c>
      <c r="E85" s="16">
        <v>0</v>
      </c>
      <c r="F85" s="37">
        <v>0</v>
      </c>
      <c r="G85" s="37">
        <v>0</v>
      </c>
      <c r="H85" s="17">
        <v>0</v>
      </c>
      <c r="I85" s="17">
        <v>1</v>
      </c>
      <c r="J85" s="99">
        <f>SUM(SamplingData[[#This Row],[Losing Candidate]:[Under Votes]])</f>
        <v>8</v>
      </c>
      <c r="K85"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85" s="100">
        <f>IF(AND(SamplingData[[#This Row],[Total]]&lt;&gt; 0, NOT(ISBLANK(SamplingData[[#This Row],[Candidate 3]]))),(SamplingData[[#This Row],[Total]]+SamplingData[[#This Row],[Winning Candidate]]-SamplingData[[#This Row],[Candidate 3]])/(SamplingData[[#Totals],[Winning Candidate]]-SamplingData[[#Totals],[Candidate 3]]), 0)</f>
        <v>3.8713423879730297E-4</v>
      </c>
      <c r="M85" s="100">
        <f>IF(AND(SamplingData[[#This Row],[Total]]&lt;&gt; 0, NOT(ISBLANK(SamplingData[[#This Row],[Candidate 4]]))),(SamplingData[[#This Row],[Total]]+SamplingData[[#This Row],[Winning Candidate]]-SamplingData[[#This Row],[Candidate 4]])/(SamplingData[[#Totals],[Winning Candidate]]-SamplingData[[#Totals],[Candidate 4]]), 0)</f>
        <v>3.5078488117162149E-4</v>
      </c>
      <c r="N85" s="100">
        <f>IF(AND(SamplingData[[#This Row],[Total]]&lt;&gt; 0, NOT(ISBLANK(SamplingData[[#This Row],[Candidate 5]]))),(SamplingData[[#This Row],[Total]]+SamplingData[[#This Row],[Winning Candidate]]-SamplingData[[#This Row],[Candidate 5]])/(SamplingData[[#Totals],[Winning Candidate]]-SamplingData[[#Totals],[Candidate 5]]), 0)</f>
        <v>2.9189978107516421E-4</v>
      </c>
      <c r="O85" s="100">
        <f>IF(AND(SamplingData[[#This Row],[Total]]&lt;&gt; 0, NOT(ISBLANK(SamplingData[[#This Row],[Candidate 6]]))),(SamplingData[[#This Row],[Total]]+SamplingData[[#This Row],[Winning Candidate]]-SamplingData[[#This Row],[Candidate 6]])/(SamplingData[[#Totals],[Winning Candidate]]-SamplingData[[#Totals],[Candidate 6]]), 0)</f>
        <v>2.9181460045717622E-4</v>
      </c>
      <c r="P85" s="100">
        <f>MAX(SamplingData[[#This Row],[Error Bound (up) - Max. possible relative overstatement - Losing Candidate]:[Error Bound (up) - Max. possible relative overstatement - Candidate 6]])</f>
        <v>5.5120039196472322E-4</v>
      </c>
      <c r="Q85" s="100">
        <f>IF(SamplingData[[#This Row],[Max Error Bound (up)]] = 0,0,SamplingData[[#This Row],[Max Error Bound (up)]]/SamplingData[[#Totals],[Max Error Bound (up)]])</f>
        <v>8.7236534506012492E-5</v>
      </c>
      <c r="R85" s="101">
        <f>SUM($Q$5:Q85)</f>
        <v>5.2022654118669361E-2</v>
      </c>
      <c r="S85" s="100" t="str">
        <f t="array" ref="S85">IF(SamplingData[[#This Row],[up/U Selection Probability]] = 0, "Zero", TEXT(SamplingData[[#This Row],[Lower Range]], REPT("0",LEN('General Info'!$B$40))) &amp; " - " &amp; TEXT(SamplingData[[#This Row],[Upper Range]], REPT("0",LEN('General Info'!$B$40))))</f>
        <v>05194 - 05201</v>
      </c>
      <c r="T85" s="100">
        <f>SamplingData[[#This Row],[Upper Range]]-SamplingData[[#This Row],[Span]]</f>
        <v>5193.5418456528696</v>
      </c>
      <c r="U85" s="100">
        <f>IF(ISNUMBER('General Info'!$B$40), ((SamplingData[[#This Row],[up/U Selection Probability]]) * 'General Info'!$B$40) - 1, 0)</f>
        <v>7.7235662140667429</v>
      </c>
      <c r="V85" s="100">
        <f>IF(ISNUMBER('General Info'!$B$40), (SamplingData[[#This Row],[Running (cumulative) sum]] * ('General Info'!$B$40 -'General Info'!$B$41 + 1)) + 'General Info'!$B$41 - 1, 0)</f>
        <v>5201.2654118669361</v>
      </c>
      <c r="W85" s="100" t="str">
        <f>IF(ISERROR(MATCH(SamplingData[[#This Row],[Batch by Type (p)]],SelectedPrecincts[Batch Name], 0)), "", INDEX(SelectedPrecincts[Draw], MATCH(SamplingData[[#This Row],[Batch by Type (p)]],SelectedPrecincts[Batch Name], 0)))</f>
        <v/>
      </c>
      <c r="X85" s="102">
        <f>IF(COUNTIF(SelectedPrecincts[Batch Name],SamplingData[[#This Row],[Batch by Type (p)]]) &lt;&gt; 0, COUNTIF(SelectedPrecincts[Batch Name],SamplingData[[#This Row],[Batch by Type (p)]]), 0)</f>
        <v>0</v>
      </c>
    </row>
    <row r="86" spans="1:24" ht="15" customHeight="1">
      <c r="A86" s="18" t="s">
        <v>262</v>
      </c>
      <c r="B86" s="18">
        <v>0</v>
      </c>
      <c r="C86" s="18">
        <v>0</v>
      </c>
      <c r="D86" s="18">
        <v>1</v>
      </c>
      <c r="E86" s="18">
        <v>0</v>
      </c>
      <c r="F86" s="18">
        <v>0</v>
      </c>
      <c r="G86" s="18">
        <v>0</v>
      </c>
      <c r="H86" s="18">
        <v>0</v>
      </c>
      <c r="I86" s="18">
        <v>0</v>
      </c>
      <c r="J86" s="99">
        <f>SUM(SamplingData[[#This Row],[Losing Candidate]:[Under Votes]])</f>
        <v>1</v>
      </c>
      <c r="K8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86" s="100">
        <f>IF(AND(SamplingData[[#This Row],[Total]]&lt;&gt; 0, NOT(ISBLANK(SamplingData[[#This Row],[Candidate 3]]))),(SamplingData[[#This Row],[Total]]+SamplingData[[#This Row],[Winning Candidate]]-SamplingData[[#This Row],[Candidate 3]])/(SamplingData[[#Totals],[Winning Candidate]]-SamplingData[[#Totals],[Candidate 3]]), 0)</f>
        <v>0</v>
      </c>
      <c r="M86" s="100">
        <f>IF(AND(SamplingData[[#This Row],[Total]]&lt;&gt; 0, NOT(ISBLANK(SamplingData[[#This Row],[Candidate 4]]))),(SamplingData[[#This Row],[Total]]+SamplingData[[#This Row],[Winning Candidate]]-SamplingData[[#This Row],[Candidate 4]])/(SamplingData[[#Totals],[Winning Candidate]]-SamplingData[[#Totals],[Candidate 4]]), 0)</f>
        <v>2.923207343096846E-5</v>
      </c>
      <c r="N86" s="100">
        <f>IF(AND(SamplingData[[#This Row],[Total]]&lt;&gt; 0, NOT(ISBLANK(SamplingData[[#This Row],[Candidate 5]]))),(SamplingData[[#This Row],[Total]]+SamplingData[[#This Row],[Winning Candidate]]-SamplingData[[#This Row],[Candidate 5]])/(SamplingData[[#Totals],[Winning Candidate]]-SamplingData[[#Totals],[Candidate 5]]), 0)</f>
        <v>2.4324981756263683E-5</v>
      </c>
      <c r="O86" s="100">
        <f>IF(AND(SamplingData[[#This Row],[Total]]&lt;&gt; 0, NOT(ISBLANK(SamplingData[[#This Row],[Candidate 6]]))),(SamplingData[[#This Row],[Total]]+SamplingData[[#This Row],[Winning Candidate]]-SamplingData[[#This Row],[Candidate 6]])/(SamplingData[[#Totals],[Winning Candidate]]-SamplingData[[#Totals],[Candidate 6]]), 0)</f>
        <v>2.431788337143135E-5</v>
      </c>
      <c r="P86" s="100">
        <f>MAX(SamplingData[[#This Row],[Error Bound (up) - Max. possible relative overstatement - Losing Candidate]:[Error Bound (up) - Max. possible relative overstatement - Candidate 6]])</f>
        <v>6.1244487996080352E-5</v>
      </c>
      <c r="Q86" s="100">
        <f>IF(SamplingData[[#This Row],[Max Error Bound (up)]] = 0,0,SamplingData[[#This Row],[Max Error Bound (up)]]/SamplingData[[#Totals],[Max Error Bound (up)]])</f>
        <v>9.6929482784458315E-6</v>
      </c>
      <c r="R86" s="101">
        <f>SUM($Q$5:Q86)</f>
        <v>5.2032347066947808E-2</v>
      </c>
      <c r="S86" s="100" t="str">
        <f t="array" ref="S86">IF(SamplingData[[#This Row],[up/U Selection Probability]] = 0, "Zero", TEXT(SamplingData[[#This Row],[Lower Range]], REPT("0",LEN('General Info'!$B$40))) &amp; " - " &amp; TEXT(SamplingData[[#This Row],[Upper Range]], REPT("0",LEN('General Info'!$B$40))))</f>
        <v>05202 - 05202</v>
      </c>
      <c r="T86" s="100">
        <f>SamplingData[[#This Row],[Upper Range]]-SamplingData[[#This Row],[Span]]</f>
        <v>5202.2654215598841</v>
      </c>
      <c r="U86" s="100">
        <f>IF(ISNUMBER('General Info'!$B$40), ((SamplingData[[#This Row],[up/U Selection Probability]]) * 'General Info'!$B$40) - 1, 0)</f>
        <v>-3.0714865103695255E-2</v>
      </c>
      <c r="V86" s="100">
        <f>IF(ISNUMBER('General Info'!$B$40), (SamplingData[[#This Row],[Running (cumulative) sum]] * ('General Info'!$B$40 -'General Info'!$B$41 + 1)) + 'General Info'!$B$41 - 1, 0)</f>
        <v>5202.2347066947805</v>
      </c>
      <c r="W86" s="100" t="str">
        <f>IF(ISERROR(MATCH(SamplingData[[#This Row],[Batch by Type (p)]],SelectedPrecincts[Batch Name], 0)), "", INDEX(SelectedPrecincts[Draw], MATCH(SamplingData[[#This Row],[Batch by Type (p)]],SelectedPrecincts[Batch Name], 0)))</f>
        <v/>
      </c>
      <c r="X86" s="102">
        <f>IF(COUNTIF(SelectedPrecincts[Batch Name],SamplingData[[#This Row],[Batch by Type (p)]]) &lt;&gt; 0, COUNTIF(SelectedPrecincts[Batch Name],SamplingData[[#This Row],[Batch by Type (p)]]), 0)</f>
        <v>0</v>
      </c>
    </row>
    <row r="87" spans="1:24" ht="15" customHeight="1">
      <c r="A87" s="18" t="s">
        <v>263</v>
      </c>
      <c r="B87" s="18">
        <v>5</v>
      </c>
      <c r="C87" s="18">
        <v>13</v>
      </c>
      <c r="D87" s="16">
        <v>4</v>
      </c>
      <c r="E87" s="16">
        <v>1</v>
      </c>
      <c r="F87" s="37">
        <v>1</v>
      </c>
      <c r="G87" s="37">
        <v>0</v>
      </c>
      <c r="H87" s="17">
        <v>0</v>
      </c>
      <c r="I87" s="17">
        <v>0</v>
      </c>
      <c r="J87" s="99">
        <f>SUM(SamplingData[[#This Row],[Losing Candidate]:[Under Votes]])</f>
        <v>24</v>
      </c>
      <c r="K87"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87" s="100">
        <f>IF(AND(SamplingData[[#This Row],[Total]]&lt;&gt; 0, NOT(ISBLANK(SamplingData[[#This Row],[Candidate 3]]))),(SamplingData[[#This Row],[Total]]+SamplingData[[#This Row],[Winning Candidate]]-SamplingData[[#This Row],[Candidate 3]])/(SamplingData[[#Totals],[Winning Candidate]]-SamplingData[[#Totals],[Candidate 3]]), 0)</f>
        <v>1.0646191566925831E-3</v>
      </c>
      <c r="M87" s="100">
        <f>IF(AND(SamplingData[[#This Row],[Total]]&lt;&gt; 0, NOT(ISBLANK(SamplingData[[#This Row],[Candidate 4]]))),(SamplingData[[#This Row],[Total]]+SamplingData[[#This Row],[Winning Candidate]]-SamplingData[[#This Row],[Candidate 4]])/(SamplingData[[#Totals],[Winning Candidate]]-SamplingData[[#Totals],[Candidate 4]]), 0)</f>
        <v>1.0523546435148646E-3</v>
      </c>
      <c r="N87" s="100">
        <f>IF(AND(SamplingData[[#This Row],[Total]]&lt;&gt; 0, NOT(ISBLANK(SamplingData[[#This Row],[Candidate 5]]))),(SamplingData[[#This Row],[Total]]+SamplingData[[#This Row],[Winning Candidate]]-SamplingData[[#This Row],[Candidate 5]])/(SamplingData[[#Totals],[Winning Candidate]]-SamplingData[[#Totals],[Candidate 5]]), 0)</f>
        <v>8.7569934322549259E-4</v>
      </c>
      <c r="O87" s="100">
        <f>IF(AND(SamplingData[[#This Row],[Total]]&lt;&gt; 0, NOT(ISBLANK(SamplingData[[#This Row],[Candidate 6]]))),(SamplingData[[#This Row],[Total]]+SamplingData[[#This Row],[Winning Candidate]]-SamplingData[[#This Row],[Candidate 6]])/(SamplingData[[#Totals],[Winning Candidate]]-SamplingData[[#Totals],[Candidate 6]]), 0)</f>
        <v>8.9976168474295993E-4</v>
      </c>
      <c r="P87" s="100">
        <f>MAX(SamplingData[[#This Row],[Error Bound (up) - Max. possible relative overstatement - Losing Candidate]:[Error Bound (up) - Max. possible relative overstatement - Candidate 6]])</f>
        <v>1.9598236158745713E-3</v>
      </c>
      <c r="Q87" s="100">
        <f>IF(SamplingData[[#This Row],[Max Error Bound (up)]] = 0,0,SamplingData[[#This Row],[Max Error Bound (up)]]/SamplingData[[#Totals],[Max Error Bound (up)]])</f>
        <v>3.1017434491026661E-4</v>
      </c>
      <c r="R87" s="101">
        <f>SUM($Q$5:Q87)</f>
        <v>5.2342521411858071E-2</v>
      </c>
      <c r="S87" s="100" t="str">
        <f t="array" ref="S87">IF(SamplingData[[#This Row],[up/U Selection Probability]] = 0, "Zero", TEXT(SamplingData[[#This Row],[Lower Range]], REPT("0",LEN('General Info'!$B$40))) &amp; " - " &amp; TEXT(SamplingData[[#This Row],[Upper Range]], REPT("0",LEN('General Info'!$B$40))))</f>
        <v>05203 - 05233</v>
      </c>
      <c r="T87" s="100">
        <f>SamplingData[[#This Row],[Upper Range]]-SamplingData[[#This Row],[Span]]</f>
        <v>5203.2350168691255</v>
      </c>
      <c r="U87" s="100">
        <f>IF(ISNUMBER('General Info'!$B$40), ((SamplingData[[#This Row],[up/U Selection Probability]]) * 'General Info'!$B$40) - 1, 0)</f>
        <v>30.017124316681752</v>
      </c>
      <c r="V87" s="100">
        <f>IF(ISNUMBER('General Info'!$B$40), (SamplingData[[#This Row],[Running (cumulative) sum]] * ('General Info'!$B$40 -'General Info'!$B$41 + 1)) + 'General Info'!$B$41 - 1, 0)</f>
        <v>5233.252141185807</v>
      </c>
      <c r="W87" s="100" t="str">
        <f>IF(ISERROR(MATCH(SamplingData[[#This Row],[Batch by Type (p)]],SelectedPrecincts[Batch Name], 0)), "", INDEX(SelectedPrecincts[Draw], MATCH(SamplingData[[#This Row],[Batch by Type (p)]],SelectedPrecincts[Batch Name], 0)))</f>
        <v/>
      </c>
      <c r="X87" s="102">
        <f>IF(COUNTIF(SelectedPrecincts[Batch Name],SamplingData[[#This Row],[Batch by Type (p)]]) &lt;&gt; 0, COUNTIF(SelectedPrecincts[Batch Name],SamplingData[[#This Row],[Batch by Type (p)]]), 0)</f>
        <v>0</v>
      </c>
    </row>
    <row r="88" spans="1:24" ht="15" customHeight="1">
      <c r="A88" s="18" t="s">
        <v>264</v>
      </c>
      <c r="B88" s="18">
        <v>5</v>
      </c>
      <c r="C88" s="18">
        <v>8</v>
      </c>
      <c r="D88" s="18">
        <v>3</v>
      </c>
      <c r="E88" s="18">
        <v>1</v>
      </c>
      <c r="F88" s="18">
        <v>0</v>
      </c>
      <c r="G88" s="18">
        <v>0</v>
      </c>
      <c r="H88" s="18">
        <v>0</v>
      </c>
      <c r="I88" s="18">
        <v>0</v>
      </c>
      <c r="J88" s="99">
        <f>SUM(SamplingData[[#This Row],[Losing Candidate]:[Under Votes]])</f>
        <v>17</v>
      </c>
      <c r="K8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88" s="100">
        <f>IF(AND(SamplingData[[#This Row],[Total]]&lt;&gt; 0, NOT(ISBLANK(SamplingData[[#This Row],[Candidate 3]]))),(SamplingData[[#This Row],[Total]]+SamplingData[[#This Row],[Winning Candidate]]-SamplingData[[#This Row],[Candidate 3]])/(SamplingData[[#Totals],[Winning Candidate]]-SamplingData[[#Totals],[Candidate 3]]), 0)</f>
        <v>7.0974610446172207E-4</v>
      </c>
      <c r="M88" s="100">
        <f>IF(AND(SamplingData[[#This Row],[Total]]&lt;&gt; 0, NOT(ISBLANK(SamplingData[[#This Row],[Candidate 4]]))),(SamplingData[[#This Row],[Total]]+SamplingData[[#This Row],[Winning Candidate]]-SamplingData[[#This Row],[Candidate 4]])/(SamplingData[[#Totals],[Winning Candidate]]-SamplingData[[#Totals],[Candidate 4]]), 0)</f>
        <v>7.0156976234324298E-4</v>
      </c>
      <c r="N88" s="100">
        <f>IF(AND(SamplingData[[#This Row],[Total]]&lt;&gt; 0, NOT(ISBLANK(SamplingData[[#This Row],[Candidate 5]]))),(SamplingData[[#This Row],[Total]]+SamplingData[[#This Row],[Winning Candidate]]-SamplingData[[#This Row],[Candidate 5]])/(SamplingData[[#Totals],[Winning Candidate]]-SamplingData[[#Totals],[Candidate 5]]), 0)</f>
        <v>6.0812454390659211E-4</v>
      </c>
      <c r="O88" s="100">
        <f>IF(AND(SamplingData[[#This Row],[Total]]&lt;&gt; 0, NOT(ISBLANK(SamplingData[[#This Row],[Candidate 6]]))),(SamplingData[[#This Row],[Total]]+SamplingData[[#This Row],[Winning Candidate]]-SamplingData[[#This Row],[Candidate 6]])/(SamplingData[[#Totals],[Winning Candidate]]-SamplingData[[#Totals],[Candidate 6]]), 0)</f>
        <v>6.0794708428578371E-4</v>
      </c>
      <c r="P88" s="100">
        <f>MAX(SamplingData[[#This Row],[Error Bound (up) - Max. possible relative overstatement - Losing Candidate]:[Error Bound (up) - Max. possible relative overstatement - Candidate 6]])</f>
        <v>1.224889759921607E-3</v>
      </c>
      <c r="Q88" s="100">
        <f>IF(SamplingData[[#This Row],[Max Error Bound (up)]] = 0,0,SamplingData[[#This Row],[Max Error Bound (up)]]/SamplingData[[#Totals],[Max Error Bound (up)]])</f>
        <v>1.9385896556891664E-4</v>
      </c>
      <c r="R88" s="101">
        <f>SUM($Q$5:Q88)</f>
        <v>5.2536380377426986E-2</v>
      </c>
      <c r="S88" s="100" t="str">
        <f t="array" ref="S88">IF(SamplingData[[#This Row],[up/U Selection Probability]] = 0, "Zero", TEXT(SamplingData[[#This Row],[Lower Range]], REPT("0",LEN('General Info'!$B$40))) &amp; " - " &amp; TEXT(SamplingData[[#This Row],[Upper Range]], REPT("0",LEN('General Info'!$B$40))))</f>
        <v>05234 - 05253</v>
      </c>
      <c r="T88" s="100">
        <f>SamplingData[[#This Row],[Upper Range]]-SamplingData[[#This Row],[Span]]</f>
        <v>5234.2523350447727</v>
      </c>
      <c r="U88" s="100">
        <f>IF(ISNUMBER('General Info'!$B$40), ((SamplingData[[#This Row],[up/U Selection Probability]]) * 'General Info'!$B$40) - 1, 0)</f>
        <v>18.385702697926096</v>
      </c>
      <c r="V88" s="100">
        <f>IF(ISNUMBER('General Info'!$B$40), (SamplingData[[#This Row],[Running (cumulative) sum]] * ('General Info'!$B$40 -'General Info'!$B$41 + 1)) + 'General Info'!$B$41 - 1, 0)</f>
        <v>5252.6380377426985</v>
      </c>
      <c r="W88" s="100" t="str">
        <f>IF(ISERROR(MATCH(SamplingData[[#This Row],[Batch by Type (p)]],SelectedPrecincts[Batch Name], 0)), "", INDEX(SelectedPrecincts[Draw], MATCH(SamplingData[[#This Row],[Batch by Type (p)]],SelectedPrecincts[Batch Name], 0)))</f>
        <v/>
      </c>
      <c r="X88" s="102">
        <f>IF(COUNTIF(SelectedPrecincts[Batch Name],SamplingData[[#This Row],[Batch by Type (p)]]) &lt;&gt; 0, COUNTIF(SelectedPrecincts[Batch Name],SamplingData[[#This Row],[Batch by Type (p)]]), 0)</f>
        <v>0</v>
      </c>
    </row>
    <row r="89" spans="1:24" ht="15" customHeight="1">
      <c r="A89" s="18" t="s">
        <v>265</v>
      </c>
      <c r="B89" s="18">
        <v>2</v>
      </c>
      <c r="C89" s="18">
        <v>1</v>
      </c>
      <c r="D89" s="16">
        <v>2</v>
      </c>
      <c r="E89" s="16">
        <v>1</v>
      </c>
      <c r="F89" s="37">
        <v>0</v>
      </c>
      <c r="G89" s="37">
        <v>0</v>
      </c>
      <c r="H89" s="17">
        <v>0</v>
      </c>
      <c r="I89" s="17">
        <v>0</v>
      </c>
      <c r="J89" s="99">
        <f>SUM(SamplingData[[#This Row],[Losing Candidate]:[Under Votes]])</f>
        <v>6</v>
      </c>
      <c r="K89"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89" s="100">
        <f>IF(AND(SamplingData[[#This Row],[Total]]&lt;&gt; 0, NOT(ISBLANK(SamplingData[[#This Row],[Candidate 3]]))),(SamplingData[[#This Row],[Total]]+SamplingData[[#This Row],[Winning Candidate]]-SamplingData[[#This Row],[Candidate 3]])/(SamplingData[[#Totals],[Winning Candidate]]-SamplingData[[#Totals],[Candidate 3]]), 0)</f>
        <v>1.6130593283220958E-4</v>
      </c>
      <c r="M89" s="100">
        <f>IF(AND(SamplingData[[#This Row],[Total]]&lt;&gt; 0, NOT(ISBLANK(SamplingData[[#This Row],[Candidate 4]]))),(SamplingData[[#This Row],[Total]]+SamplingData[[#This Row],[Winning Candidate]]-SamplingData[[#This Row],[Candidate 4]])/(SamplingData[[#Totals],[Winning Candidate]]-SamplingData[[#Totals],[Candidate 4]]), 0)</f>
        <v>1.7539244058581075E-4</v>
      </c>
      <c r="N89" s="100">
        <f>IF(AND(SamplingData[[#This Row],[Total]]&lt;&gt; 0, NOT(ISBLANK(SamplingData[[#This Row],[Candidate 5]]))),(SamplingData[[#This Row],[Total]]+SamplingData[[#This Row],[Winning Candidate]]-SamplingData[[#This Row],[Candidate 5]])/(SamplingData[[#Totals],[Winning Candidate]]-SamplingData[[#Totals],[Candidate 5]]), 0)</f>
        <v>1.7027487229384579E-4</v>
      </c>
      <c r="O89" s="100">
        <f>IF(AND(SamplingData[[#This Row],[Total]]&lt;&gt; 0, NOT(ISBLANK(SamplingData[[#This Row],[Candidate 6]]))),(SamplingData[[#This Row],[Total]]+SamplingData[[#This Row],[Winning Candidate]]-SamplingData[[#This Row],[Candidate 6]])/(SamplingData[[#Totals],[Winning Candidate]]-SamplingData[[#Totals],[Candidate 6]]), 0)</f>
        <v>1.7022518360001944E-4</v>
      </c>
      <c r="P89" s="100">
        <f>MAX(SamplingData[[#This Row],[Error Bound (up) - Max. possible relative overstatement - Losing Candidate]:[Error Bound (up) - Max. possible relative overstatement - Candidate 6]])</f>
        <v>3.0622243998040176E-4</v>
      </c>
      <c r="Q89" s="100">
        <f>IF(SamplingData[[#This Row],[Max Error Bound (up)]] = 0,0,SamplingData[[#This Row],[Max Error Bound (up)]]/SamplingData[[#Totals],[Max Error Bound (up)]])</f>
        <v>4.8464741392229159E-5</v>
      </c>
      <c r="R89" s="101">
        <f>SUM($Q$5:Q89)</f>
        <v>5.2584845118819216E-2</v>
      </c>
      <c r="S89" s="100" t="str">
        <f t="array" ref="S89">IF(SamplingData[[#This Row],[up/U Selection Probability]] = 0, "Zero", TEXT(SamplingData[[#This Row],[Lower Range]], REPT("0",LEN('General Info'!$B$40))) &amp; " - " &amp; TEXT(SamplingData[[#This Row],[Upper Range]], REPT("0",LEN('General Info'!$B$40))))</f>
        <v>05254 - 05257</v>
      </c>
      <c r="T89" s="100">
        <f>SamplingData[[#This Row],[Upper Range]]-SamplingData[[#This Row],[Span]]</f>
        <v>5253.6380862074393</v>
      </c>
      <c r="U89" s="100">
        <f>IF(ISNUMBER('General Info'!$B$40), ((SamplingData[[#This Row],[up/U Selection Probability]]) * 'General Info'!$B$40) - 1, 0)</f>
        <v>3.8464256744815239</v>
      </c>
      <c r="V89" s="100">
        <f>IF(ISNUMBER('General Info'!$B$40), (SamplingData[[#This Row],[Running (cumulative) sum]] * ('General Info'!$B$40 -'General Info'!$B$41 + 1)) + 'General Info'!$B$41 - 1, 0)</f>
        <v>5257.4845118819212</v>
      </c>
      <c r="W89" s="100" t="str">
        <f>IF(ISERROR(MATCH(SamplingData[[#This Row],[Batch by Type (p)]],SelectedPrecincts[Batch Name], 0)), "", INDEX(SelectedPrecincts[Draw], MATCH(SamplingData[[#This Row],[Batch by Type (p)]],SelectedPrecincts[Batch Name], 0)))</f>
        <v/>
      </c>
      <c r="X89" s="102">
        <f>IF(COUNTIF(SelectedPrecincts[Batch Name],SamplingData[[#This Row],[Batch by Type (p)]]) &lt;&gt; 0, COUNTIF(SelectedPrecincts[Batch Name],SamplingData[[#This Row],[Batch by Type (p)]]), 0)</f>
        <v>0</v>
      </c>
    </row>
    <row r="90" spans="1:24" ht="15" customHeight="1">
      <c r="A90" s="18" t="s">
        <v>266</v>
      </c>
      <c r="B90" s="18">
        <v>1</v>
      </c>
      <c r="C90" s="18">
        <v>2</v>
      </c>
      <c r="D90" s="18">
        <v>3</v>
      </c>
      <c r="E90" s="18">
        <v>0</v>
      </c>
      <c r="F90" s="18">
        <v>0</v>
      </c>
      <c r="G90" s="18">
        <v>0</v>
      </c>
      <c r="H90" s="18">
        <v>0</v>
      </c>
      <c r="I90" s="18">
        <v>0</v>
      </c>
      <c r="J90" s="99">
        <f>SUM(SamplingData[[#This Row],[Losing Candidate]:[Under Votes]])</f>
        <v>6</v>
      </c>
      <c r="K90"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90" s="100">
        <f>IF(AND(SamplingData[[#This Row],[Total]]&lt;&gt; 0, NOT(ISBLANK(SamplingData[[#This Row],[Candidate 3]]))),(SamplingData[[#This Row],[Total]]+SamplingData[[#This Row],[Winning Candidate]]-SamplingData[[#This Row],[Candidate 3]])/(SamplingData[[#Totals],[Winning Candidate]]-SamplingData[[#Totals],[Candidate 3]]), 0)</f>
        <v>1.6130593283220958E-4</v>
      </c>
      <c r="M90" s="100">
        <f>IF(AND(SamplingData[[#This Row],[Total]]&lt;&gt; 0, NOT(ISBLANK(SamplingData[[#This Row],[Candidate 4]]))),(SamplingData[[#This Row],[Total]]+SamplingData[[#This Row],[Winning Candidate]]-SamplingData[[#This Row],[Candidate 4]])/(SamplingData[[#Totals],[Winning Candidate]]-SamplingData[[#Totals],[Candidate 4]]), 0)</f>
        <v>2.3385658744774768E-4</v>
      </c>
      <c r="N90" s="100">
        <f>IF(AND(SamplingData[[#This Row],[Total]]&lt;&gt; 0, NOT(ISBLANK(SamplingData[[#This Row],[Candidate 5]]))),(SamplingData[[#This Row],[Total]]+SamplingData[[#This Row],[Winning Candidate]]-SamplingData[[#This Row],[Candidate 5]])/(SamplingData[[#Totals],[Winning Candidate]]-SamplingData[[#Totals],[Candidate 5]]), 0)</f>
        <v>1.9459985405010947E-4</v>
      </c>
      <c r="O90" s="100">
        <f>IF(AND(SamplingData[[#This Row],[Total]]&lt;&gt; 0, NOT(ISBLANK(SamplingData[[#This Row],[Candidate 6]]))),(SamplingData[[#This Row],[Total]]+SamplingData[[#This Row],[Winning Candidate]]-SamplingData[[#This Row],[Candidate 6]])/(SamplingData[[#Totals],[Winning Candidate]]-SamplingData[[#Totals],[Candidate 6]]), 0)</f>
        <v>1.945430669714508E-4</v>
      </c>
      <c r="P90" s="100">
        <f>MAX(SamplingData[[#This Row],[Error Bound (up) - Max. possible relative overstatement - Losing Candidate]:[Error Bound (up) - Max. possible relative overstatement - Candidate 6]])</f>
        <v>4.2871141597256246E-4</v>
      </c>
      <c r="Q90" s="100">
        <f>IF(SamplingData[[#This Row],[Max Error Bound (up)]] = 0,0,SamplingData[[#This Row],[Max Error Bound (up)]]/SamplingData[[#Totals],[Max Error Bound (up)]])</f>
        <v>6.7850637949120826E-5</v>
      </c>
      <c r="R90" s="101">
        <f>SUM($Q$5:Q90)</f>
        <v>5.2652695756768335E-2</v>
      </c>
      <c r="S90" s="100" t="str">
        <f t="array" ref="S90">IF(SamplingData[[#This Row],[up/U Selection Probability]] = 0, "Zero", TEXT(SamplingData[[#This Row],[Lower Range]], REPT("0",LEN('General Info'!$B$40))) &amp; " - " &amp; TEXT(SamplingData[[#This Row],[Upper Range]], REPT("0",LEN('General Info'!$B$40))))</f>
        <v>05258 - 05264</v>
      </c>
      <c r="T90" s="100">
        <f>SamplingData[[#This Row],[Upper Range]]-SamplingData[[#This Row],[Span]]</f>
        <v>5258.4845797325597</v>
      </c>
      <c r="U90" s="100">
        <f>IF(ISNUMBER('General Info'!$B$40), ((SamplingData[[#This Row],[up/U Selection Probability]]) * 'General Info'!$B$40) - 1, 0)</f>
        <v>5.7849959442741339</v>
      </c>
      <c r="V90" s="100">
        <f>IF(ISNUMBER('General Info'!$B$40), (SamplingData[[#This Row],[Running (cumulative) sum]] * ('General Info'!$B$40 -'General Info'!$B$41 + 1)) + 'General Info'!$B$41 - 1, 0)</f>
        <v>5264.2695756768335</v>
      </c>
      <c r="W90" s="100" t="str">
        <f>IF(ISERROR(MATCH(SamplingData[[#This Row],[Batch by Type (p)]],SelectedPrecincts[Batch Name], 0)), "", INDEX(SelectedPrecincts[Draw], MATCH(SamplingData[[#This Row],[Batch by Type (p)]],SelectedPrecincts[Batch Name], 0)))</f>
        <v/>
      </c>
      <c r="X90" s="102">
        <f>IF(COUNTIF(SelectedPrecincts[Batch Name],SamplingData[[#This Row],[Batch by Type (p)]]) &lt;&gt; 0, COUNTIF(SelectedPrecincts[Batch Name],SamplingData[[#This Row],[Batch by Type (p)]]), 0)</f>
        <v>0</v>
      </c>
    </row>
    <row r="91" spans="1:24" ht="15" customHeight="1">
      <c r="A91" s="18" t="s">
        <v>267</v>
      </c>
      <c r="B91" s="18">
        <v>6</v>
      </c>
      <c r="C91" s="18">
        <v>9</v>
      </c>
      <c r="D91" s="16">
        <v>6</v>
      </c>
      <c r="E91" s="16">
        <v>1</v>
      </c>
      <c r="F91" s="37">
        <v>0</v>
      </c>
      <c r="G91" s="37">
        <v>0</v>
      </c>
      <c r="H91" s="17">
        <v>0</v>
      </c>
      <c r="I91" s="17">
        <v>0</v>
      </c>
      <c r="J91" s="99">
        <f>SUM(SamplingData[[#This Row],[Losing Candidate]:[Under Votes]])</f>
        <v>22</v>
      </c>
      <c r="K91"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91" s="100">
        <f>IF(AND(SamplingData[[#This Row],[Total]]&lt;&gt; 0, NOT(ISBLANK(SamplingData[[#This Row],[Candidate 3]]))),(SamplingData[[#This Row],[Total]]+SamplingData[[#This Row],[Winning Candidate]]-SamplingData[[#This Row],[Candidate 3]])/(SamplingData[[#Totals],[Winning Candidate]]-SamplingData[[#Totals],[Candidate 3]]), 0)</f>
        <v>8.0652966416104783E-4</v>
      </c>
      <c r="M91" s="100">
        <f>IF(AND(SamplingData[[#This Row],[Total]]&lt;&gt; 0, NOT(ISBLANK(SamplingData[[#This Row],[Candidate 4]]))),(SamplingData[[#This Row],[Total]]+SamplingData[[#This Row],[Winning Candidate]]-SamplingData[[#This Row],[Candidate 4]])/(SamplingData[[#Totals],[Winning Candidate]]-SamplingData[[#Totals],[Candidate 4]]), 0)</f>
        <v>8.7696220292905378E-4</v>
      </c>
      <c r="N91" s="100">
        <f>IF(AND(SamplingData[[#This Row],[Total]]&lt;&gt; 0, NOT(ISBLANK(SamplingData[[#This Row],[Candidate 5]]))),(SamplingData[[#This Row],[Total]]+SamplingData[[#This Row],[Winning Candidate]]-SamplingData[[#This Row],[Candidate 5]])/(SamplingData[[#Totals],[Winning Candidate]]-SamplingData[[#Totals],[Candidate 5]]), 0)</f>
        <v>7.5407443444417419E-4</v>
      </c>
      <c r="O91" s="100">
        <f>IF(AND(SamplingData[[#This Row],[Total]]&lt;&gt; 0, NOT(ISBLANK(SamplingData[[#This Row],[Candidate 6]]))),(SamplingData[[#This Row],[Total]]+SamplingData[[#This Row],[Winning Candidate]]-SamplingData[[#This Row],[Candidate 6]])/(SamplingData[[#Totals],[Winning Candidate]]-SamplingData[[#Totals],[Candidate 6]]), 0)</f>
        <v>7.5385438451437182E-4</v>
      </c>
      <c r="P91" s="100">
        <f>MAX(SamplingData[[#This Row],[Error Bound (up) - Max. possible relative overstatement - Losing Candidate]:[Error Bound (up) - Max. possible relative overstatement - Candidate 6]])</f>
        <v>1.5311121999020088E-3</v>
      </c>
      <c r="Q91" s="100">
        <f>IF(SamplingData[[#This Row],[Max Error Bound (up)]] = 0,0,SamplingData[[#This Row],[Max Error Bound (up)]]/SamplingData[[#Totals],[Max Error Bound (up)]])</f>
        <v>2.4232370696114578E-4</v>
      </c>
      <c r="R91" s="101">
        <f>SUM($Q$5:Q91)</f>
        <v>5.289501946372948E-2</v>
      </c>
      <c r="S91" s="100" t="str">
        <f t="array" ref="S91">IF(SamplingData[[#This Row],[up/U Selection Probability]] = 0, "Zero", TEXT(SamplingData[[#This Row],[Lower Range]], REPT("0",LEN('General Info'!$B$40))) &amp; " - " &amp; TEXT(SamplingData[[#This Row],[Upper Range]], REPT("0",LEN('General Info'!$B$40))))</f>
        <v>05265 - 05289</v>
      </c>
      <c r="T91" s="100">
        <f>SamplingData[[#This Row],[Upper Range]]-SamplingData[[#This Row],[Span]]</f>
        <v>5265.26981800054</v>
      </c>
      <c r="U91" s="100">
        <f>IF(ISNUMBER('General Info'!$B$40), ((SamplingData[[#This Row],[up/U Selection Probability]]) * 'General Info'!$B$40) - 1, 0)</f>
        <v>23.232128372407619</v>
      </c>
      <c r="V91" s="100">
        <f>IF(ISNUMBER('General Info'!$B$40), (SamplingData[[#This Row],[Running (cumulative) sum]] * ('General Info'!$B$40 -'General Info'!$B$41 + 1)) + 'General Info'!$B$41 - 1, 0)</f>
        <v>5288.5019463729477</v>
      </c>
      <c r="W91" s="100" t="str">
        <f>IF(ISERROR(MATCH(SamplingData[[#This Row],[Batch by Type (p)]],SelectedPrecincts[Batch Name], 0)), "", INDEX(SelectedPrecincts[Draw], MATCH(SamplingData[[#This Row],[Batch by Type (p)]],SelectedPrecincts[Batch Name], 0)))</f>
        <v/>
      </c>
      <c r="X91" s="102">
        <f>IF(COUNTIF(SelectedPrecincts[Batch Name],SamplingData[[#This Row],[Batch by Type (p)]]) &lt;&gt; 0, COUNTIF(SelectedPrecincts[Batch Name],SamplingData[[#This Row],[Batch by Type (p)]]), 0)</f>
        <v>0</v>
      </c>
    </row>
    <row r="92" spans="1:24" ht="15" customHeight="1">
      <c r="A92" s="18" t="s">
        <v>268</v>
      </c>
      <c r="B92" s="18">
        <v>4</v>
      </c>
      <c r="C92" s="18">
        <v>4</v>
      </c>
      <c r="D92" s="18">
        <v>2</v>
      </c>
      <c r="E92" s="18">
        <v>0</v>
      </c>
      <c r="F92" s="18">
        <v>0</v>
      </c>
      <c r="G92" s="18">
        <v>0</v>
      </c>
      <c r="H92" s="18">
        <v>0</v>
      </c>
      <c r="I92" s="18">
        <v>0</v>
      </c>
      <c r="J92" s="99">
        <f>SUM(SamplingData[[#This Row],[Losing Candidate]:[Under Votes]])</f>
        <v>10</v>
      </c>
      <c r="K9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92" s="100">
        <f>IF(AND(SamplingData[[#This Row],[Total]]&lt;&gt; 0, NOT(ISBLANK(SamplingData[[#This Row],[Candidate 3]]))),(SamplingData[[#This Row],[Total]]+SamplingData[[#This Row],[Winning Candidate]]-SamplingData[[#This Row],[Candidate 3]])/(SamplingData[[#Totals],[Winning Candidate]]-SamplingData[[#Totals],[Candidate 3]]), 0)</f>
        <v>3.8713423879730297E-4</v>
      </c>
      <c r="M92" s="100">
        <f>IF(AND(SamplingData[[#This Row],[Total]]&lt;&gt; 0, NOT(ISBLANK(SamplingData[[#This Row],[Candidate 4]]))),(SamplingData[[#This Row],[Total]]+SamplingData[[#This Row],[Winning Candidate]]-SamplingData[[#This Row],[Candidate 4]])/(SamplingData[[#Totals],[Winning Candidate]]-SamplingData[[#Totals],[Candidate 4]]), 0)</f>
        <v>4.0924902803355842E-4</v>
      </c>
      <c r="N92" s="100">
        <f>IF(AND(SamplingData[[#This Row],[Total]]&lt;&gt; 0, NOT(ISBLANK(SamplingData[[#This Row],[Candidate 5]]))),(SamplingData[[#This Row],[Total]]+SamplingData[[#This Row],[Winning Candidate]]-SamplingData[[#This Row],[Candidate 5]])/(SamplingData[[#Totals],[Winning Candidate]]-SamplingData[[#Totals],[Candidate 5]]), 0)</f>
        <v>3.4054974458769157E-4</v>
      </c>
      <c r="O92" s="100">
        <f>IF(AND(SamplingData[[#This Row],[Total]]&lt;&gt; 0, NOT(ISBLANK(SamplingData[[#This Row],[Candidate 6]]))),(SamplingData[[#This Row],[Total]]+SamplingData[[#This Row],[Winning Candidate]]-SamplingData[[#This Row],[Candidate 6]])/(SamplingData[[#Totals],[Winning Candidate]]-SamplingData[[#Totals],[Candidate 6]]), 0)</f>
        <v>3.4045036720003888E-4</v>
      </c>
      <c r="P92" s="100">
        <f>MAX(SamplingData[[#This Row],[Error Bound (up) - Max. possible relative overstatement - Losing Candidate]:[Error Bound (up) - Max. possible relative overstatement - Candidate 6]])</f>
        <v>6.1244487996080352E-4</v>
      </c>
      <c r="Q92" s="100">
        <f>IF(SamplingData[[#This Row],[Max Error Bound (up)]] = 0,0,SamplingData[[#This Row],[Max Error Bound (up)]]/SamplingData[[#Totals],[Max Error Bound (up)]])</f>
        <v>9.6929482784458319E-5</v>
      </c>
      <c r="R92" s="101">
        <f>SUM($Q$5:Q92)</f>
        <v>5.2991948946513941E-2</v>
      </c>
      <c r="S92" s="100" t="str">
        <f t="array" ref="S92">IF(SamplingData[[#This Row],[up/U Selection Probability]] = 0, "Zero", TEXT(SamplingData[[#This Row],[Lower Range]], REPT("0",LEN('General Info'!$B$40))) &amp; " - " &amp; TEXT(SamplingData[[#This Row],[Upper Range]], REPT("0",LEN('General Info'!$B$40))))</f>
        <v>05290 - 05298</v>
      </c>
      <c r="T92" s="100">
        <f>SamplingData[[#This Row],[Upper Range]]-SamplingData[[#This Row],[Span]]</f>
        <v>5289.502043302431</v>
      </c>
      <c r="U92" s="100">
        <f>IF(ISNUMBER('General Info'!$B$40), ((SamplingData[[#This Row],[up/U Selection Probability]]) * 'General Info'!$B$40) - 1, 0)</f>
        <v>8.6928513489630479</v>
      </c>
      <c r="V92" s="100">
        <f>IF(ISNUMBER('General Info'!$B$40), (SamplingData[[#This Row],[Running (cumulative) sum]] * ('General Info'!$B$40 -'General Info'!$B$41 + 1)) + 'General Info'!$B$41 - 1, 0)</f>
        <v>5298.194894651394</v>
      </c>
      <c r="W92" s="100" t="str">
        <f>IF(ISERROR(MATCH(SamplingData[[#This Row],[Batch by Type (p)]],SelectedPrecincts[Batch Name], 0)), "", INDEX(SelectedPrecincts[Draw], MATCH(SamplingData[[#This Row],[Batch by Type (p)]],SelectedPrecincts[Batch Name], 0)))</f>
        <v/>
      </c>
      <c r="X92" s="102">
        <f>IF(COUNTIF(SelectedPrecincts[Batch Name],SamplingData[[#This Row],[Batch by Type (p)]]) &lt;&gt; 0, COUNTIF(SelectedPrecincts[Batch Name],SamplingData[[#This Row],[Batch by Type (p)]]), 0)</f>
        <v>0</v>
      </c>
    </row>
    <row r="93" spans="1:24" ht="15" customHeight="1">
      <c r="A93" s="18" t="s">
        <v>269</v>
      </c>
      <c r="B93" s="18">
        <v>29</v>
      </c>
      <c r="C93" s="18">
        <v>142</v>
      </c>
      <c r="D93" s="16">
        <v>15</v>
      </c>
      <c r="E93" s="16">
        <v>6</v>
      </c>
      <c r="F93" s="37">
        <v>1</v>
      </c>
      <c r="G93" s="37">
        <v>0</v>
      </c>
      <c r="H93" s="17">
        <v>0</v>
      </c>
      <c r="I93" s="17">
        <v>3</v>
      </c>
      <c r="J93" s="99">
        <f>SUM(SamplingData[[#This Row],[Losing Candidate]:[Under Votes]])</f>
        <v>196</v>
      </c>
      <c r="K93" s="100">
        <f>IF(AND(SamplingData[[#This Row],[Total]]&lt;&gt; 0, NOT(ISBLANK(SamplingData[[#This Row],[Losing Candidate]]))),(SamplingData[[#This Row],[Total]]+SamplingData[[#This Row],[Winning Candidate]]-SamplingData[[#This Row],[Losing Candidate]])/(SamplingData[[#Totals],[Winning Candidate]]-SamplingData[[#Totals],[Losing Candidate]]), 0)</f>
        <v>1.8924546790788831E-2</v>
      </c>
      <c r="L93" s="100">
        <f>IF(AND(SamplingData[[#This Row],[Total]]&lt;&gt; 0, NOT(ISBLANK(SamplingData[[#This Row],[Candidate 3]]))),(SamplingData[[#This Row],[Total]]+SamplingData[[#This Row],[Winning Candidate]]-SamplingData[[#This Row],[Candidate 3]])/(SamplingData[[#Totals],[Winning Candidate]]-SamplingData[[#Totals],[Candidate 3]]), 0)</f>
        <v>1.0420363260960738E-2</v>
      </c>
      <c r="M93" s="100">
        <f>IF(AND(SamplingData[[#This Row],[Total]]&lt;&gt; 0, NOT(ISBLANK(SamplingData[[#This Row],[Candidate 4]]))),(SamplingData[[#This Row],[Total]]+SamplingData[[#This Row],[Winning Candidate]]-SamplingData[[#This Row],[Candidate 4]])/(SamplingData[[#Totals],[Winning Candidate]]-SamplingData[[#Totals],[Candidate 4]]), 0)</f>
        <v>9.7050483790815274E-3</v>
      </c>
      <c r="N93" s="100">
        <f>IF(AND(SamplingData[[#This Row],[Total]]&lt;&gt; 0, NOT(ISBLANK(SamplingData[[#This Row],[Candidate 5]]))),(SamplingData[[#This Row],[Total]]+SamplingData[[#This Row],[Winning Candidate]]-SamplingData[[#This Row],[Candidate 5]])/(SamplingData[[#Totals],[Winning Candidate]]-SamplingData[[#Totals],[Candidate 5]]), 0)</f>
        <v>8.1975188518608605E-3</v>
      </c>
      <c r="O93" s="100">
        <f>IF(AND(SamplingData[[#This Row],[Total]]&lt;&gt; 0, NOT(ISBLANK(SamplingData[[#This Row],[Candidate 6]]))),(SamplingData[[#This Row],[Total]]+SamplingData[[#This Row],[Winning Candidate]]-SamplingData[[#This Row],[Candidate 6]])/(SamplingData[[#Totals],[Winning Candidate]]-SamplingData[[#Totals],[Candidate 6]]), 0)</f>
        <v>8.219444579543796E-3</v>
      </c>
      <c r="P93" s="100">
        <f>MAX(SamplingData[[#This Row],[Error Bound (up) - Max. possible relative overstatement - Losing Candidate]:[Error Bound (up) - Max. possible relative overstatement - Candidate 6]])</f>
        <v>1.8924546790788831E-2</v>
      </c>
      <c r="Q93" s="100">
        <f>IF(SamplingData[[#This Row],[Max Error Bound (up)]] = 0,0,SamplingData[[#This Row],[Max Error Bound (up)]]/SamplingData[[#Totals],[Max Error Bound (up)]])</f>
        <v>2.9951210180397623E-3</v>
      </c>
      <c r="R93" s="101">
        <f>SUM($Q$5:Q93)</f>
        <v>5.5987069964553701E-2</v>
      </c>
      <c r="S93" s="100" t="str">
        <f t="array" ref="S93">IF(SamplingData[[#This Row],[up/U Selection Probability]] = 0, "Zero", TEXT(SamplingData[[#This Row],[Lower Range]], REPT("0",LEN('General Info'!$B$40))) &amp; " - " &amp; TEXT(SamplingData[[#This Row],[Upper Range]], REPT("0",LEN('General Info'!$B$40))))</f>
        <v>05299 - 05598</v>
      </c>
      <c r="T93" s="100">
        <f>SamplingData[[#This Row],[Upper Range]]-SamplingData[[#This Row],[Span]]</f>
        <v>5299.1978897724121</v>
      </c>
      <c r="U93" s="100">
        <f>IF(ISNUMBER('General Info'!$B$40), ((SamplingData[[#This Row],[up/U Selection Probability]]) * 'General Info'!$B$40) - 1, 0)</f>
        <v>298.50910668295819</v>
      </c>
      <c r="V93" s="100">
        <f>IF(ISNUMBER('General Info'!$B$40), (SamplingData[[#This Row],[Running (cumulative) sum]] * ('General Info'!$B$40 -'General Info'!$B$41 + 1)) + 'General Info'!$B$41 - 1, 0)</f>
        <v>5597.7069964553702</v>
      </c>
      <c r="W93" s="100" t="str">
        <f>IF(ISERROR(MATCH(SamplingData[[#This Row],[Batch by Type (p)]],SelectedPrecincts[Batch Name], 0)), "", INDEX(SelectedPrecincts[Draw], MATCH(SamplingData[[#This Row],[Batch by Type (p)]],SelectedPrecincts[Batch Name], 0)))</f>
        <v/>
      </c>
      <c r="X93" s="102">
        <f>IF(COUNTIF(SelectedPrecincts[Batch Name],SamplingData[[#This Row],[Batch by Type (p)]]) &lt;&gt; 0, COUNTIF(SelectedPrecincts[Batch Name],SamplingData[[#This Row],[Batch by Type (p)]]), 0)</f>
        <v>0</v>
      </c>
    </row>
    <row r="94" spans="1:24" ht="15" customHeight="1">
      <c r="A94" s="18" t="s">
        <v>270</v>
      </c>
      <c r="B94" s="18">
        <v>3</v>
      </c>
      <c r="C94" s="18">
        <v>44</v>
      </c>
      <c r="D94" s="18">
        <v>5</v>
      </c>
      <c r="E94" s="18">
        <v>3</v>
      </c>
      <c r="F94" s="18">
        <v>0</v>
      </c>
      <c r="G94" s="18">
        <v>0</v>
      </c>
      <c r="H94" s="18">
        <v>0</v>
      </c>
      <c r="I94" s="18">
        <v>1</v>
      </c>
      <c r="J94" s="99">
        <f>SUM(SamplingData[[#This Row],[Losing Candidate]:[Under Votes]])</f>
        <v>56</v>
      </c>
      <c r="K94" s="100">
        <f>IF(AND(SamplingData[[#This Row],[Total]]&lt;&gt; 0, NOT(ISBLANK(SamplingData[[#This Row],[Losing Candidate]]))),(SamplingData[[#This Row],[Total]]+SamplingData[[#This Row],[Winning Candidate]]-SamplingData[[#This Row],[Losing Candidate]])/(SamplingData[[#Totals],[Winning Candidate]]-SamplingData[[#Totals],[Losing Candidate]]), 0)</f>
        <v>5.9407153356197942E-3</v>
      </c>
      <c r="L94" s="100">
        <f>IF(AND(SamplingData[[#This Row],[Total]]&lt;&gt; 0, NOT(ISBLANK(SamplingData[[#This Row],[Candidate 3]]))),(SamplingData[[#This Row],[Total]]+SamplingData[[#This Row],[Winning Candidate]]-SamplingData[[#This Row],[Candidate 3]])/(SamplingData[[#Totals],[Winning Candidate]]-SamplingData[[#Totals],[Candidate 3]]), 0)</f>
        <v>3.0648127238119818E-3</v>
      </c>
      <c r="M94" s="100">
        <f>IF(AND(SamplingData[[#This Row],[Total]]&lt;&gt; 0, NOT(ISBLANK(SamplingData[[#This Row],[Candidate 4]]))),(SamplingData[[#This Row],[Total]]+SamplingData[[#This Row],[Winning Candidate]]-SamplingData[[#This Row],[Candidate 4]])/(SamplingData[[#Totals],[Winning Candidate]]-SamplingData[[#Totals],[Candidate 4]]), 0)</f>
        <v>2.8355111228039404E-3</v>
      </c>
      <c r="N94" s="100">
        <f>IF(AND(SamplingData[[#This Row],[Total]]&lt;&gt; 0, NOT(ISBLANK(SamplingData[[#This Row],[Candidate 5]]))),(SamplingData[[#This Row],[Total]]+SamplingData[[#This Row],[Winning Candidate]]-SamplingData[[#This Row],[Candidate 5]])/(SamplingData[[#Totals],[Winning Candidate]]-SamplingData[[#Totals],[Candidate 5]]), 0)</f>
        <v>2.4324981756263684E-3</v>
      </c>
      <c r="O94" s="100">
        <f>IF(AND(SamplingData[[#This Row],[Total]]&lt;&gt; 0, NOT(ISBLANK(SamplingData[[#This Row],[Candidate 6]]))),(SamplingData[[#This Row],[Total]]+SamplingData[[#This Row],[Winning Candidate]]-SamplingData[[#This Row],[Candidate 6]])/(SamplingData[[#Totals],[Winning Candidate]]-SamplingData[[#Totals],[Candidate 6]]), 0)</f>
        <v>2.4317883371431349E-3</v>
      </c>
      <c r="P94" s="100">
        <f>MAX(SamplingData[[#This Row],[Error Bound (up) - Max. possible relative overstatement - Losing Candidate]:[Error Bound (up) - Max. possible relative overstatement - Candidate 6]])</f>
        <v>5.9407153356197942E-3</v>
      </c>
      <c r="Q94" s="100">
        <f>IF(SamplingData[[#This Row],[Max Error Bound (up)]] = 0,0,SamplingData[[#This Row],[Max Error Bound (up)]]/SamplingData[[#Totals],[Max Error Bound (up)]])</f>
        <v>9.4021598300924561E-4</v>
      </c>
      <c r="R94" s="101">
        <f>SUM($Q$5:Q94)</f>
        <v>5.6927285947562946E-2</v>
      </c>
      <c r="S94" s="100" t="str">
        <f t="array" ref="S94">IF(SamplingData[[#This Row],[up/U Selection Probability]] = 0, "Zero", TEXT(SamplingData[[#This Row],[Lower Range]], REPT("0",LEN('General Info'!$B$40))) &amp; " - " &amp; TEXT(SamplingData[[#This Row],[Upper Range]], REPT("0",LEN('General Info'!$B$40))))</f>
        <v>05599 - 05692</v>
      </c>
      <c r="T94" s="100">
        <f>SamplingData[[#This Row],[Upper Range]]-SamplingData[[#This Row],[Span]]</f>
        <v>5598.7079366713533</v>
      </c>
      <c r="U94" s="100">
        <f>IF(ISNUMBER('General Info'!$B$40), ((SamplingData[[#This Row],[up/U Selection Probability]]) * 'General Info'!$B$40) - 1, 0)</f>
        <v>93.020658084941559</v>
      </c>
      <c r="V94" s="100">
        <f>IF(ISNUMBER('General Info'!$B$40), (SamplingData[[#This Row],[Running (cumulative) sum]] * ('General Info'!$B$40 -'General Info'!$B$41 + 1)) + 'General Info'!$B$41 - 1, 0)</f>
        <v>5691.728594756295</v>
      </c>
      <c r="W94" s="100" t="str">
        <f>IF(ISERROR(MATCH(SamplingData[[#This Row],[Batch by Type (p)]],SelectedPrecincts[Batch Name], 0)), "", INDEX(SelectedPrecincts[Draw], MATCH(SamplingData[[#This Row],[Batch by Type (p)]],SelectedPrecincts[Batch Name], 0)))</f>
        <v/>
      </c>
      <c r="X94" s="102">
        <f>IF(COUNTIF(SelectedPrecincts[Batch Name],SamplingData[[#This Row],[Batch by Type (p)]]) &lt;&gt; 0, COUNTIF(SelectedPrecincts[Batch Name],SamplingData[[#This Row],[Batch by Type (p)]]), 0)</f>
        <v>0</v>
      </c>
    </row>
    <row r="95" spans="1:24" ht="15" customHeight="1">
      <c r="A95" s="18" t="s">
        <v>271</v>
      </c>
      <c r="B95" s="18">
        <v>13</v>
      </c>
      <c r="C95" s="18">
        <v>9</v>
      </c>
      <c r="D95" s="16">
        <v>4</v>
      </c>
      <c r="E95" s="16">
        <v>5</v>
      </c>
      <c r="F95" s="37">
        <v>0</v>
      </c>
      <c r="G95" s="37">
        <v>1</v>
      </c>
      <c r="H95" s="17">
        <v>0</v>
      </c>
      <c r="I95" s="17">
        <v>2</v>
      </c>
      <c r="J95" s="99">
        <f>SUM(SamplingData[[#This Row],[Losing Candidate]:[Under Votes]])</f>
        <v>34</v>
      </c>
      <c r="K95"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95" s="100">
        <f>IF(AND(SamplingData[[#This Row],[Total]]&lt;&gt; 0, NOT(ISBLANK(SamplingData[[#This Row],[Candidate 3]]))),(SamplingData[[#This Row],[Total]]+SamplingData[[#This Row],[Winning Candidate]]-SamplingData[[#This Row],[Candidate 3]])/(SamplingData[[#Totals],[Winning Candidate]]-SamplingData[[#Totals],[Candidate 3]]), 0)</f>
        <v>1.2581862760912346E-3</v>
      </c>
      <c r="M95" s="100">
        <f>IF(AND(SamplingData[[#This Row],[Total]]&lt;&gt; 0, NOT(ISBLANK(SamplingData[[#This Row],[Candidate 4]]))),(SamplingData[[#This Row],[Total]]+SamplingData[[#This Row],[Winning Candidate]]-SamplingData[[#This Row],[Candidate 4]])/(SamplingData[[#Totals],[Winning Candidate]]-SamplingData[[#Totals],[Candidate 4]]), 0)</f>
        <v>1.1108187903768015E-3</v>
      </c>
      <c r="N95" s="100">
        <f>IF(AND(SamplingData[[#This Row],[Total]]&lt;&gt; 0, NOT(ISBLANK(SamplingData[[#This Row],[Candidate 5]]))),(SamplingData[[#This Row],[Total]]+SamplingData[[#This Row],[Winning Candidate]]-SamplingData[[#This Row],[Candidate 5]])/(SamplingData[[#Totals],[Winning Candidate]]-SamplingData[[#Totals],[Candidate 5]]), 0)</f>
        <v>1.0459742155193383E-3</v>
      </c>
      <c r="O95" s="100">
        <f>IF(AND(SamplingData[[#This Row],[Total]]&lt;&gt; 0, NOT(ISBLANK(SamplingData[[#This Row],[Candidate 6]]))),(SamplingData[[#This Row],[Total]]+SamplingData[[#This Row],[Winning Candidate]]-SamplingData[[#This Row],[Candidate 6]])/(SamplingData[[#Totals],[Winning Candidate]]-SamplingData[[#Totals],[Candidate 6]]), 0)</f>
        <v>1.0213511016001168E-3</v>
      </c>
      <c r="P95" s="100">
        <f>MAX(SamplingData[[#This Row],[Error Bound (up) - Max. possible relative overstatement - Losing Candidate]:[Error Bound (up) - Max. possible relative overstatement - Candidate 6]])</f>
        <v>1.8373346398824107E-3</v>
      </c>
      <c r="Q95" s="100">
        <f>IF(SamplingData[[#This Row],[Max Error Bound (up)]] = 0,0,SamplingData[[#This Row],[Max Error Bound (up)]]/SamplingData[[#Totals],[Max Error Bound (up)]])</f>
        <v>2.9078844835337498E-4</v>
      </c>
      <c r="R95" s="101">
        <f>SUM($Q$5:Q95)</f>
        <v>5.7218074395916321E-2</v>
      </c>
      <c r="S95" s="100" t="str">
        <f t="array" ref="S95">IF(SamplingData[[#This Row],[up/U Selection Probability]] = 0, "Zero", TEXT(SamplingData[[#This Row],[Lower Range]], REPT("0",LEN('General Info'!$B$40))) &amp; " - " &amp; TEXT(SamplingData[[#This Row],[Upper Range]], REPT("0",LEN('General Info'!$B$40))))</f>
        <v>05693 - 05721</v>
      </c>
      <c r="T95" s="100">
        <f>SamplingData[[#This Row],[Upper Range]]-SamplingData[[#This Row],[Span]]</f>
        <v>5692.7288855447432</v>
      </c>
      <c r="U95" s="100">
        <f>IF(ISNUMBER('General Info'!$B$40), ((SamplingData[[#This Row],[up/U Selection Probability]]) * 'General Info'!$B$40) - 1, 0)</f>
        <v>28.078554046889145</v>
      </c>
      <c r="V95" s="100">
        <f>IF(ISNUMBER('General Info'!$B$40), (SamplingData[[#This Row],[Running (cumulative) sum]] * ('General Info'!$B$40 -'General Info'!$B$41 + 1)) + 'General Info'!$B$41 - 1, 0)</f>
        <v>5720.8074395916319</v>
      </c>
      <c r="W95" s="100" t="str">
        <f>IF(ISERROR(MATCH(SamplingData[[#This Row],[Batch by Type (p)]],SelectedPrecincts[Batch Name], 0)), "", INDEX(SelectedPrecincts[Draw], MATCH(SamplingData[[#This Row],[Batch by Type (p)]],SelectedPrecincts[Batch Name], 0)))</f>
        <v/>
      </c>
      <c r="X95" s="102">
        <f>IF(COUNTIF(SelectedPrecincts[Batch Name],SamplingData[[#This Row],[Batch by Type (p)]]) &lt;&gt; 0, COUNTIF(SelectedPrecincts[Batch Name],SamplingData[[#This Row],[Batch by Type (p)]]), 0)</f>
        <v>0</v>
      </c>
    </row>
    <row r="96" spans="1:24" ht="15" customHeight="1">
      <c r="A96" s="18" t="s">
        <v>272</v>
      </c>
      <c r="B96" s="18">
        <v>1</v>
      </c>
      <c r="C96" s="18">
        <v>3</v>
      </c>
      <c r="D96" s="18">
        <v>2</v>
      </c>
      <c r="E96" s="18">
        <v>0</v>
      </c>
      <c r="F96" s="18">
        <v>1</v>
      </c>
      <c r="G96" s="18">
        <v>0</v>
      </c>
      <c r="H96" s="18">
        <v>0</v>
      </c>
      <c r="I96" s="18">
        <v>0</v>
      </c>
      <c r="J96" s="99">
        <f>SUM(SamplingData[[#This Row],[Losing Candidate]:[Under Votes]])</f>
        <v>7</v>
      </c>
      <c r="K96"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96" s="100">
        <f>IF(AND(SamplingData[[#This Row],[Total]]&lt;&gt; 0, NOT(ISBLANK(SamplingData[[#This Row],[Candidate 3]]))),(SamplingData[[#This Row],[Total]]+SamplingData[[#This Row],[Winning Candidate]]-SamplingData[[#This Row],[Candidate 3]])/(SamplingData[[#Totals],[Winning Candidate]]-SamplingData[[#Totals],[Candidate 3]]), 0)</f>
        <v>2.5808949253153533E-4</v>
      </c>
      <c r="M96" s="100">
        <f>IF(AND(SamplingData[[#This Row],[Total]]&lt;&gt; 0, NOT(ISBLANK(SamplingData[[#This Row],[Candidate 4]]))),(SamplingData[[#This Row],[Total]]+SamplingData[[#This Row],[Winning Candidate]]-SamplingData[[#This Row],[Candidate 4]])/(SamplingData[[#Totals],[Winning Candidate]]-SamplingData[[#Totals],[Candidate 4]]), 0)</f>
        <v>2.9232073430968461E-4</v>
      </c>
      <c r="N96" s="100">
        <f>IF(AND(SamplingData[[#This Row],[Total]]&lt;&gt; 0, NOT(ISBLANK(SamplingData[[#This Row],[Candidate 5]]))),(SamplingData[[#This Row],[Total]]+SamplingData[[#This Row],[Winning Candidate]]-SamplingData[[#This Row],[Candidate 5]])/(SamplingData[[#Totals],[Winning Candidate]]-SamplingData[[#Totals],[Candidate 5]]), 0)</f>
        <v>2.1892483580637315E-4</v>
      </c>
      <c r="O96" s="100">
        <f>IF(AND(SamplingData[[#This Row],[Total]]&lt;&gt; 0, NOT(ISBLANK(SamplingData[[#This Row],[Candidate 6]]))),(SamplingData[[#This Row],[Total]]+SamplingData[[#This Row],[Winning Candidate]]-SamplingData[[#This Row],[Candidate 6]])/(SamplingData[[#Totals],[Winning Candidate]]-SamplingData[[#Totals],[Candidate 6]]), 0)</f>
        <v>2.431788337143135E-4</v>
      </c>
      <c r="P96" s="100">
        <f>MAX(SamplingData[[#This Row],[Error Bound (up) - Max. possible relative overstatement - Losing Candidate]:[Error Bound (up) - Max. possible relative overstatement - Candidate 6]])</f>
        <v>5.5120039196472322E-4</v>
      </c>
      <c r="Q96" s="100">
        <f>IF(SamplingData[[#This Row],[Max Error Bound (up)]] = 0,0,SamplingData[[#This Row],[Max Error Bound (up)]]/SamplingData[[#Totals],[Max Error Bound (up)]])</f>
        <v>8.7236534506012492E-5</v>
      </c>
      <c r="R96" s="101">
        <f>SUM($Q$5:Q96)</f>
        <v>5.7305310930422335E-2</v>
      </c>
      <c r="S96" s="100" t="str">
        <f t="array" ref="S96">IF(SamplingData[[#This Row],[up/U Selection Probability]] = 0, "Zero", TEXT(SamplingData[[#This Row],[Lower Range]], REPT("0",LEN('General Info'!$B$40))) &amp; " - " &amp; TEXT(SamplingData[[#This Row],[Upper Range]], REPT("0",LEN('General Info'!$B$40))))</f>
        <v>05722 - 05730</v>
      </c>
      <c r="T96" s="100">
        <f>SamplingData[[#This Row],[Upper Range]]-SamplingData[[#This Row],[Span]]</f>
        <v>5721.8075268281673</v>
      </c>
      <c r="U96" s="100">
        <f>IF(ISNUMBER('General Info'!$B$40), ((SamplingData[[#This Row],[up/U Selection Probability]]) * 'General Info'!$B$40) - 1, 0)</f>
        <v>7.7235662140667429</v>
      </c>
      <c r="V96" s="100">
        <f>IF(ISNUMBER('General Info'!$B$40), (SamplingData[[#This Row],[Running (cumulative) sum]] * ('General Info'!$B$40 -'General Info'!$B$41 + 1)) + 'General Info'!$B$41 - 1, 0)</f>
        <v>5729.5310930422338</v>
      </c>
      <c r="W96" s="100" t="str">
        <f>IF(ISERROR(MATCH(SamplingData[[#This Row],[Batch by Type (p)]],SelectedPrecincts[Batch Name], 0)), "", INDEX(SelectedPrecincts[Draw], MATCH(SamplingData[[#This Row],[Batch by Type (p)]],SelectedPrecincts[Batch Name], 0)))</f>
        <v/>
      </c>
      <c r="X96" s="102">
        <f>IF(COUNTIF(SelectedPrecincts[Batch Name],SamplingData[[#This Row],[Batch by Type (p)]]) &lt;&gt; 0, COUNTIF(SelectedPrecincts[Batch Name],SamplingData[[#This Row],[Batch by Type (p)]]), 0)</f>
        <v>0</v>
      </c>
    </row>
    <row r="97" spans="1:24" ht="15" customHeight="1">
      <c r="A97" s="18" t="s">
        <v>273</v>
      </c>
      <c r="B97" s="18">
        <v>14</v>
      </c>
      <c r="C97" s="18">
        <v>17</v>
      </c>
      <c r="D97" s="16">
        <v>9</v>
      </c>
      <c r="E97" s="16">
        <v>7</v>
      </c>
      <c r="F97" s="37">
        <v>1</v>
      </c>
      <c r="G97" s="37">
        <v>0</v>
      </c>
      <c r="H97" s="17">
        <v>0</v>
      </c>
      <c r="I97" s="17">
        <v>1</v>
      </c>
      <c r="J97" s="99">
        <f>SUM(SamplingData[[#This Row],[Losing Candidate]:[Under Votes]])</f>
        <v>49</v>
      </c>
      <c r="K97"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97" s="100">
        <f>IF(AND(SamplingData[[#This Row],[Total]]&lt;&gt; 0, NOT(ISBLANK(SamplingData[[#This Row],[Candidate 3]]))),(SamplingData[[#This Row],[Total]]+SamplingData[[#This Row],[Winning Candidate]]-SamplingData[[#This Row],[Candidate 3]])/(SamplingData[[#Totals],[Winning Candidate]]-SamplingData[[#Totals],[Candidate 3]]), 0)</f>
        <v>1.8388876342871892E-3</v>
      </c>
      <c r="M97" s="100">
        <f>IF(AND(SamplingData[[#This Row],[Total]]&lt;&gt; 0, NOT(ISBLANK(SamplingData[[#This Row],[Candidate 4]]))),(SamplingData[[#This Row],[Total]]+SamplingData[[#This Row],[Winning Candidate]]-SamplingData[[#This Row],[Candidate 4]])/(SamplingData[[#Totals],[Winning Candidate]]-SamplingData[[#Totals],[Candidate 4]]), 0)</f>
        <v>1.7246923324271391E-3</v>
      </c>
      <c r="N97" s="100">
        <f>IF(AND(SamplingData[[#This Row],[Total]]&lt;&gt; 0, NOT(ISBLANK(SamplingData[[#This Row],[Candidate 5]]))),(SamplingData[[#This Row],[Total]]+SamplingData[[#This Row],[Winning Candidate]]-SamplingData[[#This Row],[Candidate 5]])/(SamplingData[[#Totals],[Winning Candidate]]-SamplingData[[#Totals],[Candidate 5]]), 0)</f>
        <v>1.5811238141571393E-3</v>
      </c>
      <c r="O97" s="100">
        <f>IF(AND(SamplingData[[#This Row],[Total]]&lt;&gt; 0, NOT(ISBLANK(SamplingData[[#This Row],[Candidate 6]]))),(SamplingData[[#This Row],[Total]]+SamplingData[[#This Row],[Winning Candidate]]-SamplingData[[#This Row],[Candidate 6]])/(SamplingData[[#Totals],[Winning Candidate]]-SamplingData[[#Totals],[Candidate 6]]), 0)</f>
        <v>1.6049803025144692E-3</v>
      </c>
      <c r="P97" s="100">
        <f>MAX(SamplingData[[#This Row],[Error Bound (up) - Max. possible relative overstatement - Losing Candidate]:[Error Bound (up) - Max. possible relative overstatement - Candidate 6]])</f>
        <v>3.1847133757961785E-3</v>
      </c>
      <c r="Q97" s="100">
        <f>IF(SamplingData[[#This Row],[Max Error Bound (up)]] = 0,0,SamplingData[[#This Row],[Max Error Bound (up)]]/SamplingData[[#Totals],[Max Error Bound (up)]])</f>
        <v>5.0403331047918325E-4</v>
      </c>
      <c r="R97" s="101">
        <f>SUM($Q$5:Q97)</f>
        <v>5.780934424090152E-2</v>
      </c>
      <c r="S97" s="100" t="str">
        <f t="array" ref="S97">IF(SamplingData[[#This Row],[up/U Selection Probability]] = 0, "Zero", TEXT(SamplingData[[#This Row],[Lower Range]], REPT("0",LEN('General Info'!$B$40))) &amp; " - " &amp; TEXT(SamplingData[[#This Row],[Upper Range]], REPT("0",LEN('General Info'!$B$40))))</f>
        <v>05731 - 05780</v>
      </c>
      <c r="T97" s="100">
        <f>SamplingData[[#This Row],[Upper Range]]-SamplingData[[#This Row],[Span]]</f>
        <v>5730.5315970755437</v>
      </c>
      <c r="U97" s="100">
        <f>IF(ISNUMBER('General Info'!$B$40), ((SamplingData[[#This Row],[up/U Selection Probability]]) * 'General Info'!$B$40) - 1, 0)</f>
        <v>49.402827014607844</v>
      </c>
      <c r="V97" s="100">
        <f>IF(ISNUMBER('General Info'!$B$40), (SamplingData[[#This Row],[Running (cumulative) sum]] * ('General Info'!$B$40 -'General Info'!$B$41 + 1)) + 'General Info'!$B$41 - 1, 0)</f>
        <v>5779.9344240901519</v>
      </c>
      <c r="W97" s="100" t="str">
        <f>IF(ISERROR(MATCH(SamplingData[[#This Row],[Batch by Type (p)]],SelectedPrecincts[Batch Name], 0)), "", INDEX(SelectedPrecincts[Draw], MATCH(SamplingData[[#This Row],[Batch by Type (p)]],SelectedPrecincts[Batch Name], 0)))</f>
        <v/>
      </c>
      <c r="X97" s="102">
        <f>IF(COUNTIF(SelectedPrecincts[Batch Name],SamplingData[[#This Row],[Batch by Type (p)]]) &lt;&gt; 0, COUNTIF(SelectedPrecincts[Batch Name],SamplingData[[#This Row],[Batch by Type (p)]]), 0)</f>
        <v>0</v>
      </c>
    </row>
    <row r="98" spans="1:24" ht="15" customHeight="1">
      <c r="A98" s="18" t="s">
        <v>274</v>
      </c>
      <c r="B98" s="18">
        <v>5</v>
      </c>
      <c r="C98" s="18">
        <v>9</v>
      </c>
      <c r="D98" s="18">
        <v>5</v>
      </c>
      <c r="E98" s="18">
        <v>1</v>
      </c>
      <c r="F98" s="18">
        <v>2</v>
      </c>
      <c r="G98" s="18">
        <v>0</v>
      </c>
      <c r="H98" s="18">
        <v>0</v>
      </c>
      <c r="I98" s="18">
        <v>0</v>
      </c>
      <c r="J98" s="99">
        <f>SUM(SamplingData[[#This Row],[Losing Candidate]:[Under Votes]])</f>
        <v>22</v>
      </c>
      <c r="K98"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98" s="100">
        <f>IF(AND(SamplingData[[#This Row],[Total]]&lt;&gt; 0, NOT(ISBLANK(SamplingData[[#This Row],[Candidate 3]]))),(SamplingData[[#This Row],[Total]]+SamplingData[[#This Row],[Winning Candidate]]-SamplingData[[#This Row],[Candidate 3]])/(SamplingData[[#Totals],[Winning Candidate]]-SamplingData[[#Totals],[Candidate 3]]), 0)</f>
        <v>8.3879085072748971E-4</v>
      </c>
      <c r="M98" s="100">
        <f>IF(AND(SamplingData[[#This Row],[Total]]&lt;&gt; 0, NOT(ISBLANK(SamplingData[[#This Row],[Candidate 4]]))),(SamplingData[[#This Row],[Total]]+SamplingData[[#This Row],[Winning Candidate]]-SamplingData[[#This Row],[Candidate 4]])/(SamplingData[[#Totals],[Winning Candidate]]-SamplingData[[#Totals],[Candidate 4]]), 0)</f>
        <v>8.7696220292905378E-4</v>
      </c>
      <c r="N98" s="100">
        <f>IF(AND(SamplingData[[#This Row],[Total]]&lt;&gt; 0, NOT(ISBLANK(SamplingData[[#This Row],[Candidate 5]]))),(SamplingData[[#This Row],[Total]]+SamplingData[[#This Row],[Winning Candidate]]-SamplingData[[#This Row],[Candidate 5]])/(SamplingData[[#Totals],[Winning Candidate]]-SamplingData[[#Totals],[Candidate 5]]), 0)</f>
        <v>7.0542447093164683E-4</v>
      </c>
      <c r="O98" s="100">
        <f>IF(AND(SamplingData[[#This Row],[Total]]&lt;&gt; 0, NOT(ISBLANK(SamplingData[[#This Row],[Candidate 6]]))),(SamplingData[[#This Row],[Total]]+SamplingData[[#This Row],[Winning Candidate]]-SamplingData[[#This Row],[Candidate 6]])/(SamplingData[[#Totals],[Winning Candidate]]-SamplingData[[#Totals],[Candidate 6]]), 0)</f>
        <v>7.5385438451437182E-4</v>
      </c>
      <c r="P98" s="100">
        <f>MAX(SamplingData[[#This Row],[Error Bound (up) - Max. possible relative overstatement - Losing Candidate]:[Error Bound (up) - Max. possible relative overstatement - Candidate 6]])</f>
        <v>1.5923566878980893E-3</v>
      </c>
      <c r="Q98" s="100">
        <f>IF(SamplingData[[#This Row],[Max Error Bound (up)]] = 0,0,SamplingData[[#This Row],[Max Error Bound (up)]]/SamplingData[[#Totals],[Max Error Bound (up)]])</f>
        <v>2.5201665523959162E-4</v>
      </c>
      <c r="R98" s="101">
        <f>SUM($Q$5:Q98)</f>
        <v>5.8061360896141112E-2</v>
      </c>
      <c r="S98" s="100" t="str">
        <f t="array" ref="S98">IF(SamplingData[[#This Row],[up/U Selection Probability]] = 0, "Zero", TEXT(SamplingData[[#This Row],[Lower Range]], REPT("0",LEN('General Info'!$B$40))) &amp; " - " &amp; TEXT(SamplingData[[#This Row],[Upper Range]], REPT("0",LEN('General Info'!$B$40))))</f>
        <v>05781 - 05805</v>
      </c>
      <c r="T98" s="100">
        <f>SamplingData[[#This Row],[Upper Range]]-SamplingData[[#This Row],[Span]]</f>
        <v>5780.9346761068073</v>
      </c>
      <c r="U98" s="100">
        <f>IF(ISNUMBER('General Info'!$B$40), ((SamplingData[[#This Row],[up/U Selection Probability]]) * 'General Info'!$B$40) - 1, 0)</f>
        <v>24.201413507303922</v>
      </c>
      <c r="V98" s="100">
        <f>IF(ISNUMBER('General Info'!$B$40), (SamplingData[[#This Row],[Running (cumulative) sum]] * ('General Info'!$B$40 -'General Info'!$B$41 + 1)) + 'General Info'!$B$41 - 1, 0)</f>
        <v>5805.1360896141114</v>
      </c>
      <c r="W98" s="100" t="str">
        <f>IF(ISERROR(MATCH(SamplingData[[#This Row],[Batch by Type (p)]],SelectedPrecincts[Batch Name], 0)), "", INDEX(SelectedPrecincts[Draw], MATCH(SamplingData[[#This Row],[Batch by Type (p)]],SelectedPrecincts[Batch Name], 0)))</f>
        <v/>
      </c>
      <c r="X98" s="102">
        <f>IF(COUNTIF(SelectedPrecincts[Batch Name],SamplingData[[#This Row],[Batch by Type (p)]]) &lt;&gt; 0, COUNTIF(SelectedPrecincts[Batch Name],SamplingData[[#This Row],[Batch by Type (p)]]), 0)</f>
        <v>0</v>
      </c>
    </row>
    <row r="99" spans="1:24" ht="15" customHeight="1">
      <c r="A99" s="18" t="s">
        <v>275</v>
      </c>
      <c r="B99" s="18">
        <v>25</v>
      </c>
      <c r="C99" s="18">
        <v>22</v>
      </c>
      <c r="D99" s="16">
        <v>6</v>
      </c>
      <c r="E99" s="16">
        <v>9</v>
      </c>
      <c r="F99" s="37">
        <v>0</v>
      </c>
      <c r="G99" s="37">
        <v>0</v>
      </c>
      <c r="H99" s="17">
        <v>0</v>
      </c>
      <c r="I99" s="17">
        <v>2</v>
      </c>
      <c r="J99" s="99">
        <f>SUM(SamplingData[[#This Row],[Losing Candidate]:[Under Votes]])</f>
        <v>64</v>
      </c>
      <c r="K99"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99" s="100">
        <f>IF(AND(SamplingData[[#This Row],[Total]]&lt;&gt; 0, NOT(ISBLANK(SamplingData[[#This Row],[Candidate 3]]))),(SamplingData[[#This Row],[Total]]+SamplingData[[#This Row],[Winning Candidate]]-SamplingData[[#This Row],[Candidate 3]])/(SamplingData[[#Totals],[Winning Candidate]]-SamplingData[[#Totals],[Candidate 3]]), 0)</f>
        <v>2.5808949253153532E-3</v>
      </c>
      <c r="M99" s="100">
        <f>IF(AND(SamplingData[[#This Row],[Total]]&lt;&gt; 0, NOT(ISBLANK(SamplingData[[#This Row],[Candidate 4]]))),(SamplingData[[#This Row],[Total]]+SamplingData[[#This Row],[Winning Candidate]]-SamplingData[[#This Row],[Candidate 4]])/(SamplingData[[#Totals],[Winning Candidate]]-SamplingData[[#Totals],[Candidate 4]]), 0)</f>
        <v>2.2508696541845715E-3</v>
      </c>
      <c r="N99" s="100">
        <f>IF(AND(SamplingData[[#This Row],[Total]]&lt;&gt; 0, NOT(ISBLANK(SamplingData[[#This Row],[Candidate 5]]))),(SamplingData[[#This Row],[Total]]+SamplingData[[#This Row],[Winning Candidate]]-SamplingData[[#This Row],[Candidate 5]])/(SamplingData[[#Totals],[Winning Candidate]]-SamplingData[[#Totals],[Candidate 5]]), 0)</f>
        <v>2.0919484310386767E-3</v>
      </c>
      <c r="O99" s="100">
        <f>IF(AND(SamplingData[[#This Row],[Total]]&lt;&gt; 0, NOT(ISBLANK(SamplingData[[#This Row],[Candidate 6]]))),(SamplingData[[#This Row],[Total]]+SamplingData[[#This Row],[Winning Candidate]]-SamplingData[[#This Row],[Candidate 6]])/(SamplingData[[#Totals],[Winning Candidate]]-SamplingData[[#Totals],[Candidate 6]]), 0)</f>
        <v>2.0913379699430963E-3</v>
      </c>
      <c r="P99" s="100">
        <f>MAX(SamplingData[[#This Row],[Error Bound (up) - Max. possible relative overstatement - Losing Candidate]:[Error Bound (up) - Max. possible relative overstatement - Candidate 6]])</f>
        <v>3.7359137677609017E-3</v>
      </c>
      <c r="Q99" s="100">
        <f>IF(SamplingData[[#This Row],[Max Error Bound (up)]] = 0,0,SamplingData[[#This Row],[Max Error Bound (up)]]/SamplingData[[#Totals],[Max Error Bound (up)]])</f>
        <v>5.9126984498519581E-4</v>
      </c>
      <c r="R99" s="101">
        <f>SUM($Q$5:Q99)</f>
        <v>5.865263074112631E-2</v>
      </c>
      <c r="S99" s="100" t="str">
        <f t="array" ref="S99">IF(SamplingData[[#This Row],[up/U Selection Probability]] = 0, "Zero", TEXT(SamplingData[[#This Row],[Lower Range]], REPT("0",LEN('General Info'!$B$40))) &amp; " - " &amp; TEXT(SamplingData[[#This Row],[Upper Range]], REPT("0",LEN('General Info'!$B$40))))</f>
        <v>05806 - 05864</v>
      </c>
      <c r="T99" s="100">
        <f>SamplingData[[#This Row],[Upper Range]]-SamplingData[[#This Row],[Span]]</f>
        <v>5806.1366808839566</v>
      </c>
      <c r="U99" s="100">
        <f>IF(ISNUMBER('General Info'!$B$40), ((SamplingData[[#This Row],[up/U Selection Probability]]) * 'General Info'!$B$40) - 1, 0)</f>
        <v>58.126393228674594</v>
      </c>
      <c r="V99" s="100">
        <f>IF(ISNUMBER('General Info'!$B$40), (SamplingData[[#This Row],[Running (cumulative) sum]] * ('General Info'!$B$40 -'General Info'!$B$41 + 1)) + 'General Info'!$B$41 - 1, 0)</f>
        <v>5864.2630741126313</v>
      </c>
      <c r="W99" s="100" t="str">
        <f>IF(ISERROR(MATCH(SamplingData[[#This Row],[Batch by Type (p)]],SelectedPrecincts[Batch Name], 0)), "", INDEX(SelectedPrecincts[Draw], MATCH(SamplingData[[#This Row],[Batch by Type (p)]],SelectedPrecincts[Batch Name], 0)))</f>
        <v/>
      </c>
      <c r="X99" s="102">
        <f>IF(COUNTIF(SelectedPrecincts[Batch Name],SamplingData[[#This Row],[Batch by Type (p)]]) &lt;&gt; 0, COUNTIF(SelectedPrecincts[Batch Name],SamplingData[[#This Row],[Batch by Type (p)]]), 0)</f>
        <v>0</v>
      </c>
    </row>
    <row r="100" spans="1:24" ht="15" customHeight="1">
      <c r="A100" s="18" t="s">
        <v>276</v>
      </c>
      <c r="B100" s="18">
        <v>11</v>
      </c>
      <c r="C100" s="18">
        <v>5</v>
      </c>
      <c r="D100" s="18">
        <v>2</v>
      </c>
      <c r="E100" s="18">
        <v>0</v>
      </c>
      <c r="F100" s="18">
        <v>0</v>
      </c>
      <c r="G100" s="18">
        <v>0</v>
      </c>
      <c r="H100" s="18">
        <v>0</v>
      </c>
      <c r="I100" s="18">
        <v>0</v>
      </c>
      <c r="J100" s="99">
        <f>SUM(SamplingData[[#This Row],[Losing Candidate]:[Under Votes]])</f>
        <v>18</v>
      </c>
      <c r="K100"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100" s="100">
        <f>IF(AND(SamplingData[[#This Row],[Total]]&lt;&gt; 0, NOT(ISBLANK(SamplingData[[#This Row],[Candidate 3]]))),(SamplingData[[#This Row],[Total]]+SamplingData[[#This Row],[Winning Candidate]]-SamplingData[[#This Row],[Candidate 3]])/(SamplingData[[#Totals],[Winning Candidate]]-SamplingData[[#Totals],[Candidate 3]]), 0)</f>
        <v>6.7748491789528019E-4</v>
      </c>
      <c r="M100" s="100">
        <f>IF(AND(SamplingData[[#This Row],[Total]]&lt;&gt; 0, NOT(ISBLANK(SamplingData[[#This Row],[Candidate 4]]))),(SamplingData[[#This Row],[Total]]+SamplingData[[#This Row],[Winning Candidate]]-SamplingData[[#This Row],[Candidate 4]])/(SamplingData[[#Totals],[Winning Candidate]]-SamplingData[[#Totals],[Candidate 4]]), 0)</f>
        <v>6.7233768891227451E-4</v>
      </c>
      <c r="N100" s="100">
        <f>IF(AND(SamplingData[[#This Row],[Total]]&lt;&gt; 0, NOT(ISBLANK(SamplingData[[#This Row],[Candidate 5]]))),(SamplingData[[#This Row],[Total]]+SamplingData[[#This Row],[Winning Candidate]]-SamplingData[[#This Row],[Candidate 5]])/(SamplingData[[#Totals],[Winning Candidate]]-SamplingData[[#Totals],[Candidate 5]]), 0)</f>
        <v>5.5947458039406475E-4</v>
      </c>
      <c r="O100" s="100">
        <f>IF(AND(SamplingData[[#This Row],[Total]]&lt;&gt; 0, NOT(ISBLANK(SamplingData[[#This Row],[Candidate 6]]))),(SamplingData[[#This Row],[Total]]+SamplingData[[#This Row],[Winning Candidate]]-SamplingData[[#This Row],[Candidate 6]])/(SamplingData[[#Totals],[Winning Candidate]]-SamplingData[[#Totals],[Candidate 6]]), 0)</f>
        <v>5.5931131754292105E-4</v>
      </c>
      <c r="P100" s="100">
        <f>MAX(SamplingData[[#This Row],[Error Bound (up) - Max. possible relative overstatement - Losing Candidate]:[Error Bound (up) - Max. possible relative overstatement - Candidate 6]])</f>
        <v>7.3493385595296422E-4</v>
      </c>
      <c r="Q100" s="100">
        <f>IF(SamplingData[[#This Row],[Max Error Bound (up)]] = 0,0,SamplingData[[#This Row],[Max Error Bound (up)]]/SamplingData[[#Totals],[Max Error Bound (up)]])</f>
        <v>1.1631537934134997E-4</v>
      </c>
      <c r="R100" s="101">
        <f>SUM($Q$5:Q100)</f>
        <v>5.8768946120467659E-2</v>
      </c>
      <c r="S100" s="100" t="str">
        <f t="array" ref="S100">IF(SamplingData[[#This Row],[up/U Selection Probability]] = 0, "Zero", TEXT(SamplingData[[#This Row],[Lower Range]], REPT("0",LEN('General Info'!$B$40))) &amp; " - " &amp; TEXT(SamplingData[[#This Row],[Upper Range]], REPT("0",LEN('General Info'!$B$40))))</f>
        <v>05865 - 05876</v>
      </c>
      <c r="T100" s="100">
        <f>SamplingData[[#This Row],[Upper Range]]-SamplingData[[#This Row],[Span]]</f>
        <v>5865.2631904280106</v>
      </c>
      <c r="U100" s="100">
        <f>IF(ISNUMBER('General Info'!$B$40), ((SamplingData[[#This Row],[up/U Selection Probability]]) * 'General Info'!$B$40) - 1, 0)</f>
        <v>10.631421618755656</v>
      </c>
      <c r="V100" s="100">
        <f>IF(ISNUMBER('General Info'!$B$40), (SamplingData[[#This Row],[Running (cumulative) sum]] * ('General Info'!$B$40 -'General Info'!$B$41 + 1)) + 'General Info'!$B$41 - 1, 0)</f>
        <v>5875.8946120467663</v>
      </c>
      <c r="W100" s="100" t="str">
        <f>IF(ISERROR(MATCH(SamplingData[[#This Row],[Batch by Type (p)]],SelectedPrecincts[Batch Name], 0)), "", INDEX(SelectedPrecincts[Draw], MATCH(SamplingData[[#This Row],[Batch by Type (p)]],SelectedPrecincts[Batch Name], 0)))</f>
        <v/>
      </c>
      <c r="X100" s="102">
        <f>IF(COUNTIF(SelectedPrecincts[Batch Name],SamplingData[[#This Row],[Batch by Type (p)]]) &lt;&gt; 0, COUNTIF(SelectedPrecincts[Batch Name],SamplingData[[#This Row],[Batch by Type (p)]]), 0)</f>
        <v>0</v>
      </c>
    </row>
    <row r="101" spans="1:24" ht="15" customHeight="1">
      <c r="A101" s="18" t="s">
        <v>277</v>
      </c>
      <c r="B101" s="18">
        <v>40</v>
      </c>
      <c r="C101" s="18">
        <v>51</v>
      </c>
      <c r="D101" s="16">
        <v>13</v>
      </c>
      <c r="E101" s="16">
        <v>14</v>
      </c>
      <c r="F101" s="37">
        <v>0</v>
      </c>
      <c r="G101" s="37">
        <v>0</v>
      </c>
      <c r="H101" s="17">
        <v>0</v>
      </c>
      <c r="I101" s="17">
        <v>0</v>
      </c>
      <c r="J101" s="99">
        <f>SUM(SamplingData[[#This Row],[Losing Candidate]:[Under Votes]])</f>
        <v>118</v>
      </c>
      <c r="K101" s="100">
        <f>IF(AND(SamplingData[[#This Row],[Total]]&lt;&gt; 0, NOT(ISBLANK(SamplingData[[#This Row],[Losing Candidate]]))),(SamplingData[[#This Row],[Total]]+SamplingData[[#This Row],[Winning Candidate]]-SamplingData[[#This Row],[Losing Candidate]])/(SamplingData[[#Totals],[Winning Candidate]]-SamplingData[[#Totals],[Losing Candidate]]), 0)</f>
        <v>7.9005389514943663E-3</v>
      </c>
      <c r="L101" s="100">
        <f>IF(AND(SamplingData[[#This Row],[Total]]&lt;&gt; 0, NOT(ISBLANK(SamplingData[[#This Row],[Candidate 3]]))),(SamplingData[[#This Row],[Total]]+SamplingData[[#This Row],[Winning Candidate]]-SamplingData[[#This Row],[Candidate 3]])/(SamplingData[[#Totals],[Winning Candidate]]-SamplingData[[#Totals],[Candidate 3]]), 0)</f>
        <v>5.0327451043649385E-3</v>
      </c>
      <c r="M101" s="100">
        <f>IF(AND(SamplingData[[#This Row],[Total]]&lt;&gt; 0, NOT(ISBLANK(SamplingData[[#This Row],[Candidate 4]]))),(SamplingData[[#This Row],[Total]]+SamplingData[[#This Row],[Winning Candidate]]-SamplingData[[#This Row],[Candidate 4]])/(SamplingData[[#Totals],[Winning Candidate]]-SamplingData[[#Totals],[Candidate 4]]), 0)</f>
        <v>4.5309713818001114E-3</v>
      </c>
      <c r="N101" s="100">
        <f>IF(AND(SamplingData[[#This Row],[Total]]&lt;&gt; 0, NOT(ISBLANK(SamplingData[[#This Row],[Candidate 5]]))),(SamplingData[[#This Row],[Total]]+SamplingData[[#This Row],[Winning Candidate]]-SamplingData[[#This Row],[Candidate 5]])/(SamplingData[[#Totals],[Winning Candidate]]-SamplingData[[#Totals],[Candidate 5]]), 0)</f>
        <v>4.1109219168085622E-3</v>
      </c>
      <c r="O101" s="100">
        <f>IF(AND(SamplingData[[#This Row],[Total]]&lt;&gt; 0, NOT(ISBLANK(SamplingData[[#This Row],[Candidate 6]]))),(SamplingData[[#This Row],[Total]]+SamplingData[[#This Row],[Winning Candidate]]-SamplingData[[#This Row],[Candidate 6]])/(SamplingData[[#Totals],[Winning Candidate]]-SamplingData[[#Totals],[Candidate 6]]), 0)</f>
        <v>4.109722289771898E-3</v>
      </c>
      <c r="P101" s="100">
        <f>MAX(SamplingData[[#This Row],[Error Bound (up) - Max. possible relative overstatement - Losing Candidate]:[Error Bound (up) - Max. possible relative overstatement - Candidate 6]])</f>
        <v>7.9005389514943663E-3</v>
      </c>
      <c r="Q101" s="100">
        <f>IF(SamplingData[[#This Row],[Max Error Bound (up)]] = 0,0,SamplingData[[#This Row],[Max Error Bound (up)]]/SamplingData[[#Totals],[Max Error Bound (up)]])</f>
        <v>1.2503903279195124E-3</v>
      </c>
      <c r="R101" s="101">
        <f>SUM($Q$5:Q101)</f>
        <v>6.0019336448387174E-2</v>
      </c>
      <c r="S101" s="100" t="str">
        <f t="array" ref="S101">IF(SamplingData[[#This Row],[up/U Selection Probability]] = 0, "Zero", TEXT(SamplingData[[#This Row],[Lower Range]], REPT("0",LEN('General Info'!$B$40))) &amp; " - " &amp; TEXT(SamplingData[[#This Row],[Upper Range]], REPT("0",LEN('General Info'!$B$40))))</f>
        <v>05877 - 06001</v>
      </c>
      <c r="T101" s="100">
        <f>SamplingData[[#This Row],[Upper Range]]-SamplingData[[#This Row],[Span]]</f>
        <v>5876.8958624370944</v>
      </c>
      <c r="U101" s="100">
        <f>IF(ISNUMBER('General Info'!$B$40), ((SamplingData[[#This Row],[up/U Selection Probability]]) * 'General Info'!$B$40) - 1, 0)</f>
        <v>124.03778240162332</v>
      </c>
      <c r="V101" s="100">
        <f>IF(ISNUMBER('General Info'!$B$40), (SamplingData[[#This Row],[Running (cumulative) sum]] * ('General Info'!$B$40 -'General Info'!$B$41 + 1)) + 'General Info'!$B$41 - 1, 0)</f>
        <v>6000.9336448387176</v>
      </c>
      <c r="W101" s="100" t="str">
        <f>IF(ISERROR(MATCH(SamplingData[[#This Row],[Batch by Type (p)]],SelectedPrecincts[Batch Name], 0)), "", INDEX(SelectedPrecincts[Draw], MATCH(SamplingData[[#This Row],[Batch by Type (p)]],SelectedPrecincts[Batch Name], 0)))</f>
        <v/>
      </c>
      <c r="X101" s="102">
        <f>IF(COUNTIF(SelectedPrecincts[Batch Name],SamplingData[[#This Row],[Batch by Type (p)]]) &lt;&gt; 0, COUNTIF(SelectedPrecincts[Batch Name],SamplingData[[#This Row],[Batch by Type (p)]]), 0)</f>
        <v>0</v>
      </c>
    </row>
    <row r="102" spans="1:24" ht="15" customHeight="1">
      <c r="A102" s="18" t="s">
        <v>278</v>
      </c>
      <c r="B102" s="18">
        <v>14</v>
      </c>
      <c r="C102" s="18">
        <v>11</v>
      </c>
      <c r="D102" s="18">
        <v>5</v>
      </c>
      <c r="E102" s="18">
        <v>4</v>
      </c>
      <c r="F102" s="18">
        <v>1</v>
      </c>
      <c r="G102" s="18">
        <v>0</v>
      </c>
      <c r="H102" s="18">
        <v>0</v>
      </c>
      <c r="I102" s="18">
        <v>0</v>
      </c>
      <c r="J102" s="99">
        <f>SUM(SamplingData[[#This Row],[Losing Candidate]:[Under Votes]])</f>
        <v>35</v>
      </c>
      <c r="K102"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02" s="100">
        <f>IF(AND(SamplingData[[#This Row],[Total]]&lt;&gt; 0, NOT(ISBLANK(SamplingData[[#This Row],[Candidate 3]]))),(SamplingData[[#This Row],[Total]]+SamplingData[[#This Row],[Winning Candidate]]-SamplingData[[#This Row],[Candidate 3]])/(SamplingData[[#Totals],[Winning Candidate]]-SamplingData[[#Totals],[Candidate 3]]), 0)</f>
        <v>1.3227086492241184E-3</v>
      </c>
      <c r="M102" s="100">
        <f>IF(AND(SamplingData[[#This Row],[Total]]&lt;&gt; 0, NOT(ISBLANK(SamplingData[[#This Row],[Candidate 4]]))),(SamplingData[[#This Row],[Total]]+SamplingData[[#This Row],[Winning Candidate]]-SamplingData[[#This Row],[Candidate 4]])/(SamplingData[[#Totals],[Winning Candidate]]-SamplingData[[#Totals],[Candidate 4]]), 0)</f>
        <v>1.2277470841006752E-3</v>
      </c>
      <c r="N102" s="100">
        <f>IF(AND(SamplingData[[#This Row],[Total]]&lt;&gt; 0, NOT(ISBLANK(SamplingData[[#This Row],[Candidate 5]]))),(SamplingData[[#This Row],[Total]]+SamplingData[[#This Row],[Winning Candidate]]-SamplingData[[#This Row],[Candidate 5]])/(SamplingData[[#Totals],[Winning Candidate]]-SamplingData[[#Totals],[Candidate 5]]), 0)</f>
        <v>1.0946241790318657E-3</v>
      </c>
      <c r="O102" s="100">
        <f>IF(AND(SamplingData[[#This Row],[Total]]&lt;&gt; 0, NOT(ISBLANK(SamplingData[[#This Row],[Candidate 6]]))),(SamplingData[[#This Row],[Total]]+SamplingData[[#This Row],[Winning Candidate]]-SamplingData[[#This Row],[Candidate 6]])/(SamplingData[[#Totals],[Winning Candidate]]-SamplingData[[#Totals],[Candidate 6]]), 0)</f>
        <v>1.1186226350858421E-3</v>
      </c>
      <c r="P102" s="100">
        <f>MAX(SamplingData[[#This Row],[Error Bound (up) - Max. possible relative overstatement - Losing Candidate]:[Error Bound (up) - Max. possible relative overstatement - Candidate 6]])</f>
        <v>1.9598236158745713E-3</v>
      </c>
      <c r="Q102" s="100">
        <f>IF(SamplingData[[#This Row],[Max Error Bound (up)]] = 0,0,SamplingData[[#This Row],[Max Error Bound (up)]]/SamplingData[[#Totals],[Max Error Bound (up)]])</f>
        <v>3.1017434491026661E-4</v>
      </c>
      <c r="R102" s="101">
        <f>SUM($Q$5:Q102)</f>
        <v>6.0329510793297438E-2</v>
      </c>
      <c r="S102" s="100" t="str">
        <f t="array" ref="S102">IF(SamplingData[[#This Row],[up/U Selection Probability]] = 0, "Zero", TEXT(SamplingData[[#This Row],[Lower Range]], REPT("0",LEN('General Info'!$B$40))) &amp; " - " &amp; TEXT(SamplingData[[#This Row],[Upper Range]], REPT("0",LEN('General Info'!$B$40))))</f>
        <v>06002 - 06032</v>
      </c>
      <c r="T102" s="100">
        <f>SamplingData[[#This Row],[Upper Range]]-SamplingData[[#This Row],[Span]]</f>
        <v>6001.9339550130626</v>
      </c>
      <c r="U102" s="100">
        <f>IF(ISNUMBER('General Info'!$B$40), ((SamplingData[[#This Row],[up/U Selection Probability]]) * 'General Info'!$B$40) - 1, 0)</f>
        <v>30.017124316681752</v>
      </c>
      <c r="V102" s="100">
        <f>IF(ISNUMBER('General Info'!$B$40), (SamplingData[[#This Row],[Running (cumulative) sum]] * ('General Info'!$B$40 -'General Info'!$B$41 + 1)) + 'General Info'!$B$41 - 1, 0)</f>
        <v>6031.9510793297441</v>
      </c>
      <c r="W102" s="100" t="str">
        <f>IF(ISERROR(MATCH(SamplingData[[#This Row],[Batch by Type (p)]],SelectedPrecincts[Batch Name], 0)), "", INDEX(SelectedPrecincts[Draw], MATCH(SamplingData[[#This Row],[Batch by Type (p)]],SelectedPrecincts[Batch Name], 0)))</f>
        <v/>
      </c>
      <c r="X102" s="102">
        <f>IF(COUNTIF(SelectedPrecincts[Batch Name],SamplingData[[#This Row],[Batch by Type (p)]]) &lt;&gt; 0, COUNTIF(SelectedPrecincts[Batch Name],SamplingData[[#This Row],[Batch by Type (p)]]), 0)</f>
        <v>0</v>
      </c>
    </row>
    <row r="103" spans="1:24" ht="15" customHeight="1">
      <c r="A103" s="18" t="s">
        <v>279</v>
      </c>
      <c r="B103" s="18">
        <v>53</v>
      </c>
      <c r="C103" s="18">
        <v>49</v>
      </c>
      <c r="D103" s="16">
        <v>17</v>
      </c>
      <c r="E103" s="16">
        <v>11</v>
      </c>
      <c r="F103" s="37">
        <v>2</v>
      </c>
      <c r="G103" s="37">
        <v>1</v>
      </c>
      <c r="H103" s="17">
        <v>0</v>
      </c>
      <c r="I103" s="17">
        <v>2</v>
      </c>
      <c r="J103" s="99">
        <f>SUM(SamplingData[[#This Row],[Losing Candidate]:[Under Votes]])</f>
        <v>135</v>
      </c>
      <c r="K103" s="100">
        <f>IF(AND(SamplingData[[#This Row],[Total]]&lt;&gt; 0, NOT(ISBLANK(SamplingData[[#This Row],[Losing Candidate]]))),(SamplingData[[#This Row],[Total]]+SamplingData[[#This Row],[Winning Candidate]]-SamplingData[[#This Row],[Losing Candidate]])/(SamplingData[[#Totals],[Winning Candidate]]-SamplingData[[#Totals],[Losing Candidate]]), 0)</f>
        <v>8.0230279274865254E-3</v>
      </c>
      <c r="L103" s="100">
        <f>IF(AND(SamplingData[[#This Row],[Total]]&lt;&gt; 0, NOT(ISBLANK(SamplingData[[#This Row],[Candidate 3]]))),(SamplingData[[#This Row],[Total]]+SamplingData[[#This Row],[Winning Candidate]]-SamplingData[[#This Row],[Candidate 3]])/(SamplingData[[#Totals],[Winning Candidate]]-SamplingData[[#Totals],[Candidate 3]]), 0)</f>
        <v>5.3876181565958E-3</v>
      </c>
      <c r="M103" s="100">
        <f>IF(AND(SamplingData[[#This Row],[Total]]&lt;&gt; 0, NOT(ISBLANK(SamplingData[[#This Row],[Candidate 4]]))),(SamplingData[[#This Row],[Total]]+SamplingData[[#This Row],[Winning Candidate]]-SamplingData[[#This Row],[Candidate 4]])/(SamplingData[[#Totals],[Winning Candidate]]-SamplingData[[#Totals],[Candidate 4]]), 0)</f>
        <v>5.057148703557543E-3</v>
      </c>
      <c r="N103" s="100">
        <f>IF(AND(SamplingData[[#This Row],[Total]]&lt;&gt; 0, NOT(ISBLANK(SamplingData[[#This Row],[Candidate 5]]))),(SamplingData[[#This Row],[Total]]+SamplingData[[#This Row],[Winning Candidate]]-SamplingData[[#This Row],[Candidate 5]])/(SamplingData[[#Totals],[Winning Candidate]]-SamplingData[[#Totals],[Candidate 5]]), 0)</f>
        <v>4.42714667963999E-3</v>
      </c>
      <c r="O103" s="100">
        <f>IF(AND(SamplingData[[#This Row],[Total]]&lt;&gt; 0, NOT(ISBLANK(SamplingData[[#This Row],[Candidate 6]]))),(SamplingData[[#This Row],[Total]]+SamplingData[[#This Row],[Winning Candidate]]-SamplingData[[#This Row],[Candidate 6]])/(SamplingData[[#Totals],[Winning Candidate]]-SamplingData[[#Totals],[Candidate 6]]), 0)</f>
        <v>4.4501726569719374E-3</v>
      </c>
      <c r="P103" s="100">
        <f>MAX(SamplingData[[#This Row],[Error Bound (up) - Max. possible relative overstatement - Losing Candidate]:[Error Bound (up) - Max. possible relative overstatement - Candidate 6]])</f>
        <v>8.0230279274865254E-3</v>
      </c>
      <c r="Q103" s="100">
        <f>IF(SamplingData[[#This Row],[Max Error Bound (up)]] = 0,0,SamplingData[[#This Row],[Max Error Bound (up)]]/SamplingData[[#Totals],[Max Error Bound (up)]])</f>
        <v>1.2697762244764038E-3</v>
      </c>
      <c r="R103" s="101">
        <f>SUM($Q$5:Q103)</f>
        <v>6.1599287017773841E-2</v>
      </c>
      <c r="S103" s="100" t="str">
        <f t="array" ref="S103">IF(SamplingData[[#This Row],[up/U Selection Probability]] = 0, "Zero", TEXT(SamplingData[[#This Row],[Lower Range]], REPT("0",LEN('General Info'!$B$40))) &amp; " - " &amp; TEXT(SamplingData[[#This Row],[Upper Range]], REPT("0",LEN('General Info'!$B$40))))</f>
        <v>06033 - 06159</v>
      </c>
      <c r="T103" s="100">
        <f>SamplingData[[#This Row],[Upper Range]]-SamplingData[[#This Row],[Span]]</f>
        <v>6032.9523491059681</v>
      </c>
      <c r="U103" s="100">
        <f>IF(ISNUMBER('General Info'!$B$40), ((SamplingData[[#This Row],[up/U Selection Probability]]) * 'General Info'!$B$40) - 1, 0)</f>
        <v>125.97635267141591</v>
      </c>
      <c r="V103" s="100">
        <f>IF(ISNUMBER('General Info'!$B$40), (SamplingData[[#This Row],[Running (cumulative) sum]] * ('General Info'!$B$40 -'General Info'!$B$41 + 1)) + 'General Info'!$B$41 - 1, 0)</f>
        <v>6158.928701777384</v>
      </c>
      <c r="W103" s="100" t="str">
        <f>IF(ISERROR(MATCH(SamplingData[[#This Row],[Batch by Type (p)]],SelectedPrecincts[Batch Name], 0)), "", INDEX(SelectedPrecincts[Draw], MATCH(SamplingData[[#This Row],[Batch by Type (p)]],SelectedPrecincts[Batch Name], 0)))</f>
        <v/>
      </c>
      <c r="X103" s="102">
        <f>IF(COUNTIF(SelectedPrecincts[Batch Name],SamplingData[[#This Row],[Batch by Type (p)]]) &lt;&gt; 0, COUNTIF(SelectedPrecincts[Batch Name],SamplingData[[#This Row],[Batch by Type (p)]]), 0)</f>
        <v>0</v>
      </c>
    </row>
    <row r="104" spans="1:24" ht="15" customHeight="1">
      <c r="A104" s="18" t="s">
        <v>280</v>
      </c>
      <c r="B104" s="18">
        <v>17</v>
      </c>
      <c r="C104" s="18">
        <v>16</v>
      </c>
      <c r="D104" s="18">
        <v>6</v>
      </c>
      <c r="E104" s="18">
        <v>4</v>
      </c>
      <c r="F104" s="18">
        <v>0</v>
      </c>
      <c r="G104" s="18">
        <v>0</v>
      </c>
      <c r="H104" s="18">
        <v>0</v>
      </c>
      <c r="I104" s="18">
        <v>0</v>
      </c>
      <c r="J104" s="99">
        <f>SUM(SamplingData[[#This Row],[Losing Candidate]:[Under Votes]])</f>
        <v>43</v>
      </c>
      <c r="K104"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04" s="100">
        <f>IF(AND(SamplingData[[#This Row],[Total]]&lt;&gt; 0, NOT(ISBLANK(SamplingData[[#This Row],[Candidate 3]]))),(SamplingData[[#This Row],[Total]]+SamplingData[[#This Row],[Winning Candidate]]-SamplingData[[#This Row],[Candidate 3]])/(SamplingData[[#Totals],[Winning Candidate]]-SamplingData[[#Totals],[Candidate 3]]), 0)</f>
        <v>1.7098428880214214E-3</v>
      </c>
      <c r="M104" s="100">
        <f>IF(AND(SamplingData[[#This Row],[Total]]&lt;&gt; 0, NOT(ISBLANK(SamplingData[[#This Row],[Candidate 4]]))),(SamplingData[[#This Row],[Total]]+SamplingData[[#This Row],[Winning Candidate]]-SamplingData[[#This Row],[Candidate 4]])/(SamplingData[[#Totals],[Winning Candidate]]-SamplingData[[#Totals],[Candidate 4]]), 0)</f>
        <v>1.6077640387032652E-3</v>
      </c>
      <c r="N104" s="100">
        <f>IF(AND(SamplingData[[#This Row],[Total]]&lt;&gt; 0, NOT(ISBLANK(SamplingData[[#This Row],[Candidate 5]]))),(SamplingData[[#This Row],[Total]]+SamplingData[[#This Row],[Winning Candidate]]-SamplingData[[#This Row],[Candidate 5]])/(SamplingData[[#Totals],[Winning Candidate]]-SamplingData[[#Totals],[Candidate 5]]), 0)</f>
        <v>1.4351739236195572E-3</v>
      </c>
      <c r="O104" s="100">
        <f>IF(AND(SamplingData[[#This Row],[Total]]&lt;&gt; 0, NOT(ISBLANK(SamplingData[[#This Row],[Candidate 6]]))),(SamplingData[[#This Row],[Total]]+SamplingData[[#This Row],[Winning Candidate]]-SamplingData[[#This Row],[Candidate 6]])/(SamplingData[[#Totals],[Winning Candidate]]-SamplingData[[#Totals],[Candidate 6]]), 0)</f>
        <v>1.4347551189144497E-3</v>
      </c>
      <c r="P104" s="100">
        <f>MAX(SamplingData[[#This Row],[Error Bound (up) - Max. possible relative overstatement - Losing Candidate]:[Error Bound (up) - Max. possible relative overstatement - Candidate 6]])</f>
        <v>2.5722684958353749E-3</v>
      </c>
      <c r="Q104" s="100">
        <f>IF(SamplingData[[#This Row],[Max Error Bound (up)]] = 0,0,SamplingData[[#This Row],[Max Error Bound (up)]]/SamplingData[[#Totals],[Max Error Bound (up)]])</f>
        <v>4.0710382769472496E-4</v>
      </c>
      <c r="R104" s="101">
        <f>SUM($Q$5:Q104)</f>
        <v>6.2006390845468565E-2</v>
      </c>
      <c r="S104" s="100" t="str">
        <f t="array" ref="S104">IF(SamplingData[[#This Row],[up/U Selection Probability]] = 0, "Zero", TEXT(SamplingData[[#This Row],[Lower Range]], REPT("0",LEN('General Info'!$B$40))) &amp; " - " &amp; TEXT(SamplingData[[#This Row],[Upper Range]], REPT("0",LEN('General Info'!$B$40))))</f>
        <v>06160 - 06200</v>
      </c>
      <c r="T104" s="100">
        <f>SamplingData[[#This Row],[Upper Range]]-SamplingData[[#This Row],[Span]]</f>
        <v>6159.9291088812124</v>
      </c>
      <c r="U104" s="100">
        <f>IF(ISNUMBER('General Info'!$B$40), ((SamplingData[[#This Row],[up/U Selection Probability]]) * 'General Info'!$B$40) - 1, 0)</f>
        <v>39.709975665644798</v>
      </c>
      <c r="V104" s="100">
        <f>IF(ISNUMBER('General Info'!$B$40), (SamplingData[[#This Row],[Running (cumulative) sum]] * ('General Info'!$B$40 -'General Info'!$B$41 + 1)) + 'General Info'!$B$41 - 1, 0)</f>
        <v>6199.6390845468568</v>
      </c>
      <c r="W104" s="100" t="str">
        <f>IF(ISERROR(MATCH(SamplingData[[#This Row],[Batch by Type (p)]],SelectedPrecincts[Batch Name], 0)), "", INDEX(SelectedPrecincts[Draw], MATCH(SamplingData[[#This Row],[Batch by Type (p)]],SelectedPrecincts[Batch Name], 0)))</f>
        <v/>
      </c>
      <c r="X104" s="102">
        <f>IF(COUNTIF(SelectedPrecincts[Batch Name],SamplingData[[#This Row],[Batch by Type (p)]]) &lt;&gt; 0, COUNTIF(SelectedPrecincts[Batch Name],SamplingData[[#This Row],[Batch by Type (p)]]), 0)</f>
        <v>0</v>
      </c>
    </row>
    <row r="105" spans="1:24" ht="15" customHeight="1">
      <c r="A105" s="18" t="s">
        <v>281</v>
      </c>
      <c r="B105" s="18">
        <v>21</v>
      </c>
      <c r="C105" s="18">
        <v>44</v>
      </c>
      <c r="D105" s="16">
        <v>12</v>
      </c>
      <c r="E105" s="16">
        <v>8</v>
      </c>
      <c r="F105" s="37">
        <v>0</v>
      </c>
      <c r="G105" s="37">
        <v>0</v>
      </c>
      <c r="H105" s="17">
        <v>0</v>
      </c>
      <c r="I105" s="17">
        <v>2</v>
      </c>
      <c r="J105" s="99">
        <f>SUM(SamplingData[[#This Row],[Losing Candidate]:[Under Votes]])</f>
        <v>87</v>
      </c>
      <c r="K105" s="100">
        <f>IF(AND(SamplingData[[#This Row],[Total]]&lt;&gt; 0, NOT(ISBLANK(SamplingData[[#This Row],[Losing Candidate]]))),(SamplingData[[#This Row],[Total]]+SamplingData[[#This Row],[Winning Candidate]]-SamplingData[[#This Row],[Losing Candidate]])/(SamplingData[[#Totals],[Winning Candidate]]-SamplingData[[#Totals],[Losing Candidate]]), 0)</f>
        <v>6.7368936795688386E-3</v>
      </c>
      <c r="L105" s="100">
        <f>IF(AND(SamplingData[[#This Row],[Total]]&lt;&gt; 0, NOT(ISBLANK(SamplingData[[#This Row],[Candidate 3]]))),(SamplingData[[#This Row],[Total]]+SamplingData[[#This Row],[Winning Candidate]]-SamplingData[[#This Row],[Candidate 3]])/(SamplingData[[#Totals],[Winning Candidate]]-SamplingData[[#Totals],[Candidate 3]]), 0)</f>
        <v>3.8390812014065879E-3</v>
      </c>
      <c r="M105" s="100">
        <f>IF(AND(SamplingData[[#This Row],[Total]]&lt;&gt; 0, NOT(ISBLANK(SamplingData[[#This Row],[Candidate 4]]))),(SamplingData[[#This Row],[Total]]+SamplingData[[#This Row],[Winning Candidate]]-SamplingData[[#This Row],[Candidate 4]])/(SamplingData[[#Totals],[Winning Candidate]]-SamplingData[[#Totals],[Candidate 4]]), 0)</f>
        <v>3.5955450320091205E-3</v>
      </c>
      <c r="N105" s="100">
        <f>IF(AND(SamplingData[[#This Row],[Total]]&lt;&gt; 0, NOT(ISBLANK(SamplingData[[#This Row],[Candidate 5]]))),(SamplingData[[#This Row],[Total]]+SamplingData[[#This Row],[Winning Candidate]]-SamplingData[[#This Row],[Candidate 5]])/(SamplingData[[#Totals],[Winning Candidate]]-SamplingData[[#Totals],[Candidate 5]]), 0)</f>
        <v>3.1865726100705426E-3</v>
      </c>
      <c r="O105" s="100">
        <f>IF(AND(SamplingData[[#This Row],[Total]]&lt;&gt; 0, NOT(ISBLANK(SamplingData[[#This Row],[Candidate 6]]))),(SamplingData[[#This Row],[Total]]+SamplingData[[#This Row],[Winning Candidate]]-SamplingData[[#This Row],[Candidate 6]])/(SamplingData[[#Totals],[Winning Candidate]]-SamplingData[[#Totals],[Candidate 6]]), 0)</f>
        <v>3.185642721657507E-3</v>
      </c>
      <c r="P105" s="100">
        <f>MAX(SamplingData[[#This Row],[Error Bound (up) - Max. possible relative overstatement - Losing Candidate]:[Error Bound (up) - Max. possible relative overstatement - Candidate 6]])</f>
        <v>6.7368936795688386E-3</v>
      </c>
      <c r="Q105" s="100">
        <f>IF(SamplingData[[#This Row],[Max Error Bound (up)]] = 0,0,SamplingData[[#This Row],[Max Error Bound (up)]]/SamplingData[[#Totals],[Max Error Bound (up)]])</f>
        <v>1.0662243106290415E-3</v>
      </c>
      <c r="R105" s="101">
        <f>SUM($Q$5:Q105)</f>
        <v>6.3072615156097606E-2</v>
      </c>
      <c r="S105" s="100" t="str">
        <f t="array" ref="S105">IF(SamplingData[[#This Row],[up/U Selection Probability]] = 0, "Zero", TEXT(SamplingData[[#This Row],[Lower Range]], REPT("0",LEN('General Info'!$B$40))) &amp; " - " &amp; TEXT(SamplingData[[#This Row],[Upper Range]], REPT("0",LEN('General Info'!$B$40))))</f>
        <v>06201 - 06306</v>
      </c>
      <c r="T105" s="100">
        <f>SamplingData[[#This Row],[Upper Range]]-SamplingData[[#This Row],[Span]]</f>
        <v>6200.6401507711671</v>
      </c>
      <c r="U105" s="100">
        <f>IF(ISNUMBER('General Info'!$B$40), ((SamplingData[[#This Row],[up/U Selection Probability]]) * 'General Info'!$B$40) - 1, 0)</f>
        <v>105.62136483859352</v>
      </c>
      <c r="V105" s="100">
        <f>IF(ISNUMBER('General Info'!$B$40), (SamplingData[[#This Row],[Running (cumulative) sum]] * ('General Info'!$B$40 -'General Info'!$B$41 + 1)) + 'General Info'!$B$41 - 1, 0)</f>
        <v>6306.2615156097609</v>
      </c>
      <c r="W105" s="100" t="str">
        <f>IF(ISERROR(MATCH(SamplingData[[#This Row],[Batch by Type (p)]],SelectedPrecincts[Batch Name], 0)), "", INDEX(SelectedPrecincts[Draw], MATCH(SamplingData[[#This Row],[Batch by Type (p)]],SelectedPrecincts[Batch Name], 0)))</f>
        <v/>
      </c>
      <c r="X105" s="102">
        <f>IF(COUNTIF(SelectedPrecincts[Batch Name],SamplingData[[#This Row],[Batch by Type (p)]]) &lt;&gt; 0, COUNTIF(SelectedPrecincts[Batch Name],SamplingData[[#This Row],[Batch by Type (p)]]), 0)</f>
        <v>0</v>
      </c>
    </row>
    <row r="106" spans="1:24" ht="15" customHeight="1">
      <c r="A106" s="18" t="s">
        <v>282</v>
      </c>
      <c r="B106" s="18">
        <v>10</v>
      </c>
      <c r="C106" s="18">
        <v>11</v>
      </c>
      <c r="D106" s="18">
        <v>6</v>
      </c>
      <c r="E106" s="18">
        <v>2</v>
      </c>
      <c r="F106" s="18">
        <v>0</v>
      </c>
      <c r="G106" s="18">
        <v>1</v>
      </c>
      <c r="H106" s="18">
        <v>0</v>
      </c>
      <c r="I106" s="18">
        <v>1</v>
      </c>
      <c r="J106" s="99">
        <f>SUM(SamplingData[[#This Row],[Losing Candidate]:[Under Votes]])</f>
        <v>31</v>
      </c>
      <c r="K106"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06" s="100">
        <f>IF(AND(SamplingData[[#This Row],[Total]]&lt;&gt; 0, NOT(ISBLANK(SamplingData[[#This Row],[Candidate 3]]))),(SamplingData[[#This Row],[Total]]+SamplingData[[#This Row],[Winning Candidate]]-SamplingData[[#This Row],[Candidate 3]])/(SamplingData[[#Totals],[Winning Candidate]]-SamplingData[[#Totals],[Candidate 3]]), 0)</f>
        <v>1.1614027163919089E-3</v>
      </c>
      <c r="M106" s="100">
        <f>IF(AND(SamplingData[[#This Row],[Total]]&lt;&gt; 0, NOT(ISBLANK(SamplingData[[#This Row],[Candidate 4]]))),(SamplingData[[#This Row],[Total]]+SamplingData[[#This Row],[Winning Candidate]]-SamplingData[[#This Row],[Candidate 4]])/(SamplingData[[#Totals],[Winning Candidate]]-SamplingData[[#Totals],[Candidate 4]]), 0)</f>
        <v>1.1692829372387384E-3</v>
      </c>
      <c r="N106" s="100">
        <f>IF(AND(SamplingData[[#This Row],[Total]]&lt;&gt; 0, NOT(ISBLANK(SamplingData[[#This Row],[Candidate 5]]))),(SamplingData[[#This Row],[Total]]+SamplingData[[#This Row],[Winning Candidate]]-SamplingData[[#This Row],[Candidate 5]])/(SamplingData[[#Totals],[Winning Candidate]]-SamplingData[[#Totals],[Candidate 5]]), 0)</f>
        <v>1.0216492337630748E-3</v>
      </c>
      <c r="O106" s="100">
        <f>IF(AND(SamplingData[[#This Row],[Total]]&lt;&gt; 0, NOT(ISBLANK(SamplingData[[#This Row],[Candidate 6]]))),(SamplingData[[#This Row],[Total]]+SamplingData[[#This Row],[Winning Candidate]]-SamplingData[[#This Row],[Candidate 6]])/(SamplingData[[#Totals],[Winning Candidate]]-SamplingData[[#Totals],[Candidate 6]]), 0)</f>
        <v>9.9703321822868537E-4</v>
      </c>
      <c r="P106" s="100">
        <f>MAX(SamplingData[[#This Row],[Error Bound (up) - Max. possible relative overstatement - Losing Candidate]:[Error Bound (up) - Max. possible relative overstatement - Candidate 6]])</f>
        <v>1.9598236158745713E-3</v>
      </c>
      <c r="Q106" s="100">
        <f>IF(SamplingData[[#This Row],[Max Error Bound (up)]] = 0,0,SamplingData[[#This Row],[Max Error Bound (up)]]/SamplingData[[#Totals],[Max Error Bound (up)]])</f>
        <v>3.1017434491026661E-4</v>
      </c>
      <c r="R106" s="101">
        <f>SUM($Q$5:Q106)</f>
        <v>6.3382789501007869E-2</v>
      </c>
      <c r="S106" s="100" t="str">
        <f t="array" ref="S106">IF(SamplingData[[#This Row],[up/U Selection Probability]] = 0, "Zero", TEXT(SamplingData[[#This Row],[Lower Range]], REPT("0",LEN('General Info'!$B$40))) &amp; " - " &amp; TEXT(SamplingData[[#This Row],[Upper Range]], REPT("0",LEN('General Info'!$B$40))))</f>
        <v>06307 - 06337</v>
      </c>
      <c r="T106" s="100">
        <f>SamplingData[[#This Row],[Upper Range]]-SamplingData[[#This Row],[Span]]</f>
        <v>6307.261825784105</v>
      </c>
      <c r="U106" s="100">
        <f>IF(ISNUMBER('General Info'!$B$40), ((SamplingData[[#This Row],[up/U Selection Probability]]) * 'General Info'!$B$40) - 1, 0)</f>
        <v>30.017124316681752</v>
      </c>
      <c r="V106" s="100">
        <f>IF(ISNUMBER('General Info'!$B$40), (SamplingData[[#This Row],[Running (cumulative) sum]] * ('General Info'!$B$40 -'General Info'!$B$41 + 1)) + 'General Info'!$B$41 - 1, 0)</f>
        <v>6337.2789501007865</v>
      </c>
      <c r="W106" s="100" t="str">
        <f>IF(ISERROR(MATCH(SamplingData[[#This Row],[Batch by Type (p)]],SelectedPrecincts[Batch Name], 0)), "", INDEX(SelectedPrecincts[Draw], MATCH(SamplingData[[#This Row],[Batch by Type (p)]],SelectedPrecincts[Batch Name], 0)))</f>
        <v/>
      </c>
      <c r="X106" s="102">
        <f>IF(COUNTIF(SelectedPrecincts[Batch Name],SamplingData[[#This Row],[Batch by Type (p)]]) &lt;&gt; 0, COUNTIF(SelectedPrecincts[Batch Name],SamplingData[[#This Row],[Batch by Type (p)]]), 0)</f>
        <v>0</v>
      </c>
    </row>
    <row r="107" spans="1:24" ht="15" customHeight="1">
      <c r="A107" s="18" t="s">
        <v>283</v>
      </c>
      <c r="B107" s="18">
        <v>36</v>
      </c>
      <c r="C107" s="18">
        <v>49</v>
      </c>
      <c r="D107" s="16">
        <v>7</v>
      </c>
      <c r="E107" s="16">
        <v>9</v>
      </c>
      <c r="F107" s="37">
        <v>1</v>
      </c>
      <c r="G107" s="37">
        <v>2</v>
      </c>
      <c r="H107" s="17">
        <v>0</v>
      </c>
      <c r="I107" s="17">
        <v>1</v>
      </c>
      <c r="J107" s="99">
        <f>SUM(SamplingData[[#This Row],[Losing Candidate]:[Under Votes]])</f>
        <v>105</v>
      </c>
      <c r="K107" s="100">
        <f>IF(AND(SamplingData[[#This Row],[Total]]&lt;&gt; 0, NOT(ISBLANK(SamplingData[[#This Row],[Losing Candidate]]))),(SamplingData[[#This Row],[Total]]+SamplingData[[#This Row],[Winning Candidate]]-SamplingData[[#This Row],[Losing Candidate]])/(SamplingData[[#Totals],[Winning Candidate]]-SamplingData[[#Totals],[Losing Candidate]]), 0)</f>
        <v>7.2268495835374818E-3</v>
      </c>
      <c r="L107" s="100">
        <f>IF(AND(SamplingData[[#This Row],[Total]]&lt;&gt; 0, NOT(ISBLANK(SamplingData[[#This Row],[Candidate 3]]))),(SamplingData[[#This Row],[Total]]+SamplingData[[#This Row],[Winning Candidate]]-SamplingData[[#This Row],[Candidate 3]])/(SamplingData[[#Totals],[Winning Candidate]]-SamplingData[[#Totals],[Candidate 3]]), 0)</f>
        <v>4.742394425266961E-3</v>
      </c>
      <c r="M107" s="100">
        <f>IF(AND(SamplingData[[#This Row],[Total]]&lt;&gt; 0, NOT(ISBLANK(SamplingData[[#This Row],[Candidate 4]]))),(SamplingData[[#This Row],[Total]]+SamplingData[[#This Row],[Winning Candidate]]-SamplingData[[#This Row],[Candidate 4]])/(SamplingData[[#Totals],[Winning Candidate]]-SamplingData[[#Totals],[Candidate 4]]), 0)</f>
        <v>4.2386506474904268E-3</v>
      </c>
      <c r="N107" s="100">
        <f>IF(AND(SamplingData[[#This Row],[Total]]&lt;&gt; 0, NOT(ISBLANK(SamplingData[[#This Row],[Candidate 5]]))),(SamplingData[[#This Row],[Total]]+SamplingData[[#This Row],[Winning Candidate]]-SamplingData[[#This Row],[Candidate 5]])/(SamplingData[[#Totals],[Winning Candidate]]-SamplingData[[#Totals],[Candidate 5]]), 0)</f>
        <v>3.7217222087083434E-3</v>
      </c>
      <c r="O107" s="100">
        <f>IF(AND(SamplingData[[#This Row],[Total]]&lt;&gt; 0, NOT(ISBLANK(SamplingData[[#This Row],[Candidate 6]]))),(SamplingData[[#This Row],[Total]]+SamplingData[[#This Row],[Winning Candidate]]-SamplingData[[#This Row],[Candidate 6]])/(SamplingData[[#Totals],[Winning Candidate]]-SamplingData[[#Totals],[Candidate 6]]), 0)</f>
        <v>3.6963182724575653E-3</v>
      </c>
      <c r="P107" s="100">
        <f>MAX(SamplingData[[#This Row],[Error Bound (up) - Max. possible relative overstatement - Losing Candidate]:[Error Bound (up) - Max. possible relative overstatement - Candidate 6]])</f>
        <v>7.2268495835374818E-3</v>
      </c>
      <c r="Q107" s="100">
        <f>IF(SamplingData[[#This Row],[Max Error Bound (up)]] = 0,0,SamplingData[[#This Row],[Max Error Bound (up)]]/SamplingData[[#Totals],[Max Error Bound (up)]])</f>
        <v>1.1437678968566083E-3</v>
      </c>
      <c r="R107" s="101">
        <f>SUM($Q$5:Q107)</f>
        <v>6.4526557397864476E-2</v>
      </c>
      <c r="S107" s="100" t="str">
        <f t="array" ref="S107">IF(SamplingData[[#This Row],[up/U Selection Probability]] = 0, "Zero", TEXT(SamplingData[[#This Row],[Lower Range]], REPT("0",LEN('General Info'!$B$40))) &amp; " - " &amp; TEXT(SamplingData[[#This Row],[Upper Range]], REPT("0",LEN('General Info'!$B$40))))</f>
        <v>06338 - 06452</v>
      </c>
      <c r="T107" s="100">
        <f>SamplingData[[#This Row],[Upper Range]]-SamplingData[[#This Row],[Span]]</f>
        <v>6338.2800938686833</v>
      </c>
      <c r="U107" s="100">
        <f>IF(ISNUMBER('General Info'!$B$40), ((SamplingData[[#This Row],[up/U Selection Probability]]) * 'General Info'!$B$40) - 1, 0)</f>
        <v>113.37564591776398</v>
      </c>
      <c r="V107" s="100">
        <f>IF(ISNUMBER('General Info'!$B$40), (SamplingData[[#This Row],[Running (cumulative) sum]] * ('General Info'!$B$40 -'General Info'!$B$41 + 1)) + 'General Info'!$B$41 - 1, 0)</f>
        <v>6451.6557397864472</v>
      </c>
      <c r="W107" s="100" t="str">
        <f>IF(ISERROR(MATCH(SamplingData[[#This Row],[Batch by Type (p)]],SelectedPrecincts[Batch Name], 0)), "", INDEX(SelectedPrecincts[Draw], MATCH(SamplingData[[#This Row],[Batch by Type (p)]],SelectedPrecincts[Batch Name], 0)))</f>
        <v/>
      </c>
      <c r="X107" s="102">
        <f>IF(COUNTIF(SelectedPrecincts[Batch Name],SamplingData[[#This Row],[Batch by Type (p)]]) &lt;&gt; 0, COUNTIF(SelectedPrecincts[Batch Name],SamplingData[[#This Row],[Batch by Type (p)]]), 0)</f>
        <v>0</v>
      </c>
    </row>
    <row r="108" spans="1:24" ht="15" customHeight="1">
      <c r="A108" s="18" t="s">
        <v>284</v>
      </c>
      <c r="B108" s="18">
        <v>10</v>
      </c>
      <c r="C108" s="18">
        <v>13</v>
      </c>
      <c r="D108" s="18">
        <v>8</v>
      </c>
      <c r="E108" s="18">
        <v>3</v>
      </c>
      <c r="F108" s="18">
        <v>0</v>
      </c>
      <c r="G108" s="18">
        <v>0</v>
      </c>
      <c r="H108" s="18">
        <v>0</v>
      </c>
      <c r="I108" s="18">
        <v>1</v>
      </c>
      <c r="J108" s="99">
        <f>SUM(SamplingData[[#This Row],[Losing Candidate]:[Under Votes]])</f>
        <v>35</v>
      </c>
      <c r="K108"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108" s="100">
        <f>IF(AND(SamplingData[[#This Row],[Total]]&lt;&gt; 0, NOT(ISBLANK(SamplingData[[#This Row],[Candidate 3]]))),(SamplingData[[#This Row],[Total]]+SamplingData[[#This Row],[Winning Candidate]]-SamplingData[[#This Row],[Candidate 3]])/(SamplingData[[#Totals],[Winning Candidate]]-SamplingData[[#Totals],[Candidate 3]]), 0)</f>
        <v>1.2904474626576766E-3</v>
      </c>
      <c r="M108" s="100">
        <f>IF(AND(SamplingData[[#This Row],[Total]]&lt;&gt; 0, NOT(ISBLANK(SamplingData[[#This Row],[Candidate 4]]))),(SamplingData[[#This Row],[Total]]+SamplingData[[#This Row],[Winning Candidate]]-SamplingData[[#This Row],[Candidate 4]])/(SamplingData[[#Totals],[Winning Candidate]]-SamplingData[[#Totals],[Candidate 4]]), 0)</f>
        <v>1.3154433043935806E-3</v>
      </c>
      <c r="N108" s="100">
        <f>IF(AND(SamplingData[[#This Row],[Total]]&lt;&gt; 0, NOT(ISBLANK(SamplingData[[#This Row],[Candidate 5]]))),(SamplingData[[#This Row],[Total]]+SamplingData[[#This Row],[Winning Candidate]]-SamplingData[[#This Row],[Candidate 5]])/(SamplingData[[#Totals],[Winning Candidate]]-SamplingData[[#Totals],[Candidate 5]]), 0)</f>
        <v>1.1675991243006569E-3</v>
      </c>
      <c r="O108" s="100">
        <f>IF(AND(SamplingData[[#This Row],[Total]]&lt;&gt; 0, NOT(ISBLANK(SamplingData[[#This Row],[Candidate 6]]))),(SamplingData[[#This Row],[Total]]+SamplingData[[#This Row],[Winning Candidate]]-SamplingData[[#This Row],[Candidate 6]])/(SamplingData[[#Totals],[Winning Candidate]]-SamplingData[[#Totals],[Candidate 6]]), 0)</f>
        <v>1.1672584018287049E-3</v>
      </c>
      <c r="P108" s="100">
        <f>MAX(SamplingData[[#This Row],[Error Bound (up) - Max. possible relative overstatement - Losing Candidate]:[Error Bound (up) - Max. possible relative overstatement - Candidate 6]])</f>
        <v>2.3272905438510533E-3</v>
      </c>
      <c r="Q108" s="100">
        <f>IF(SamplingData[[#This Row],[Max Error Bound (up)]] = 0,0,SamplingData[[#This Row],[Max Error Bound (up)]]/SamplingData[[#Totals],[Max Error Bound (up)]])</f>
        <v>3.683320345809416E-4</v>
      </c>
      <c r="R108" s="101">
        <f>SUM($Q$5:Q108)</f>
        <v>6.4894889432445424E-2</v>
      </c>
      <c r="S108" s="100" t="str">
        <f t="array" ref="S108">IF(SamplingData[[#This Row],[up/U Selection Probability]] = 0, "Zero", TEXT(SamplingData[[#This Row],[Lower Range]], REPT("0",LEN('General Info'!$B$40))) &amp; " - " &amp; TEXT(SamplingData[[#This Row],[Upper Range]], REPT("0",LEN('General Info'!$B$40))))</f>
        <v>06453 - 06488</v>
      </c>
      <c r="T108" s="100">
        <f>SamplingData[[#This Row],[Upper Range]]-SamplingData[[#This Row],[Span]]</f>
        <v>6452.6561081184827</v>
      </c>
      <c r="U108" s="100">
        <f>IF(ISNUMBER('General Info'!$B$40), ((SamplingData[[#This Row],[up/U Selection Probability]]) * 'General Info'!$B$40) - 1, 0)</f>
        <v>35.832835126059578</v>
      </c>
      <c r="V108" s="100">
        <f>IF(ISNUMBER('General Info'!$B$40), (SamplingData[[#This Row],[Running (cumulative) sum]] * ('General Info'!$B$40 -'General Info'!$B$41 + 1)) + 'General Info'!$B$41 - 1, 0)</f>
        <v>6488.4889432445425</v>
      </c>
      <c r="W108" s="100" t="str">
        <f>IF(ISERROR(MATCH(SamplingData[[#This Row],[Batch by Type (p)]],SelectedPrecincts[Batch Name], 0)), "", INDEX(SelectedPrecincts[Draw], MATCH(SamplingData[[#This Row],[Batch by Type (p)]],SelectedPrecincts[Batch Name], 0)))</f>
        <v/>
      </c>
      <c r="X108" s="102">
        <f>IF(COUNTIF(SelectedPrecincts[Batch Name],SamplingData[[#This Row],[Batch by Type (p)]]) &lt;&gt; 0, COUNTIF(SelectedPrecincts[Batch Name],SamplingData[[#This Row],[Batch by Type (p)]]), 0)</f>
        <v>0</v>
      </c>
    </row>
    <row r="109" spans="1:24" ht="15" customHeight="1">
      <c r="A109" s="18" t="s">
        <v>285</v>
      </c>
      <c r="B109" s="18">
        <v>38</v>
      </c>
      <c r="C109" s="18">
        <v>47</v>
      </c>
      <c r="D109" s="16">
        <v>13</v>
      </c>
      <c r="E109" s="16">
        <v>20</v>
      </c>
      <c r="F109" s="37">
        <v>3</v>
      </c>
      <c r="G109" s="37">
        <v>0</v>
      </c>
      <c r="H109" s="17">
        <v>0</v>
      </c>
      <c r="I109" s="17">
        <v>3</v>
      </c>
      <c r="J109" s="99">
        <f>SUM(SamplingData[[#This Row],[Losing Candidate]:[Under Votes]])</f>
        <v>124</v>
      </c>
      <c r="K109" s="100">
        <f>IF(AND(SamplingData[[#This Row],[Total]]&lt;&gt; 0, NOT(ISBLANK(SamplingData[[#This Row],[Losing Candidate]]))),(SamplingData[[#This Row],[Total]]+SamplingData[[#This Row],[Winning Candidate]]-SamplingData[[#This Row],[Losing Candidate]])/(SamplingData[[#Totals],[Winning Candidate]]-SamplingData[[#Totals],[Losing Candidate]]), 0)</f>
        <v>8.1455169034786862E-3</v>
      </c>
      <c r="L109" s="100">
        <f>IF(AND(SamplingData[[#This Row],[Total]]&lt;&gt; 0, NOT(ISBLANK(SamplingData[[#This Row],[Candidate 3]]))),(SamplingData[[#This Row],[Total]]+SamplingData[[#This Row],[Winning Candidate]]-SamplingData[[#This Row],[Candidate 3]])/(SamplingData[[#Totals],[Winning Candidate]]-SamplingData[[#Totals],[Candidate 3]]), 0)</f>
        <v>5.0972674774978225E-3</v>
      </c>
      <c r="M109" s="100">
        <f>IF(AND(SamplingData[[#This Row],[Total]]&lt;&gt; 0, NOT(ISBLANK(SamplingData[[#This Row],[Candidate 4]]))),(SamplingData[[#This Row],[Total]]+SamplingData[[#This Row],[Winning Candidate]]-SamplingData[[#This Row],[Candidate 4]])/(SamplingData[[#Totals],[Winning Candidate]]-SamplingData[[#Totals],[Candidate 4]]), 0)</f>
        <v>4.4140430880762376E-3</v>
      </c>
      <c r="N109" s="100">
        <f>IF(AND(SamplingData[[#This Row],[Total]]&lt;&gt; 0, NOT(ISBLANK(SamplingData[[#This Row],[Candidate 5]]))),(SamplingData[[#This Row],[Total]]+SamplingData[[#This Row],[Winning Candidate]]-SamplingData[[#This Row],[Candidate 5]])/(SamplingData[[#Totals],[Winning Candidate]]-SamplingData[[#Totals],[Candidate 5]]), 0)</f>
        <v>4.0865969350522991E-3</v>
      </c>
      <c r="O109" s="100">
        <f>IF(AND(SamplingData[[#This Row],[Total]]&lt;&gt; 0, NOT(ISBLANK(SamplingData[[#This Row],[Candidate 6]]))),(SamplingData[[#This Row],[Total]]+SamplingData[[#This Row],[Winning Candidate]]-SamplingData[[#This Row],[Candidate 6]])/(SamplingData[[#Totals],[Winning Candidate]]-SamplingData[[#Totals],[Candidate 6]]), 0)</f>
        <v>4.1583580565147608E-3</v>
      </c>
      <c r="P109" s="100">
        <f>MAX(SamplingData[[#This Row],[Error Bound (up) - Max. possible relative overstatement - Losing Candidate]:[Error Bound (up) - Max. possible relative overstatement - Candidate 6]])</f>
        <v>8.1455169034786862E-3</v>
      </c>
      <c r="Q109" s="100">
        <f>IF(SamplingData[[#This Row],[Max Error Bound (up)]] = 0,0,SamplingData[[#This Row],[Max Error Bound (up)]]/SamplingData[[#Totals],[Max Error Bound (up)]])</f>
        <v>1.2891621210332955E-3</v>
      </c>
      <c r="R109" s="101">
        <f>SUM($Q$5:Q109)</f>
        <v>6.6184051553478715E-2</v>
      </c>
      <c r="S109" s="100" t="str">
        <f t="array" ref="S109">IF(SamplingData[[#This Row],[up/U Selection Probability]] = 0, "Zero", TEXT(SamplingData[[#This Row],[Lower Range]], REPT("0",LEN('General Info'!$B$40))) &amp; " - " &amp; TEXT(SamplingData[[#This Row],[Upper Range]], REPT("0",LEN('General Info'!$B$40))))</f>
        <v>06489 - 06617</v>
      </c>
      <c r="T109" s="100">
        <f>SamplingData[[#This Row],[Upper Range]]-SamplingData[[#This Row],[Span]]</f>
        <v>6489.4902324066625</v>
      </c>
      <c r="U109" s="100">
        <f>IF(ISNUMBER('General Info'!$B$40), ((SamplingData[[#This Row],[up/U Selection Probability]]) * 'General Info'!$B$40) - 1, 0)</f>
        <v>127.91492294120852</v>
      </c>
      <c r="V109" s="100">
        <f>IF(ISNUMBER('General Info'!$B$40), (SamplingData[[#This Row],[Running (cumulative) sum]] * ('General Info'!$B$40 -'General Info'!$B$41 + 1)) + 'General Info'!$B$41 - 1, 0)</f>
        <v>6617.4051553478712</v>
      </c>
      <c r="W109" s="100" t="str">
        <f>IF(ISERROR(MATCH(SamplingData[[#This Row],[Batch by Type (p)]],SelectedPrecincts[Batch Name], 0)), "", INDEX(SelectedPrecincts[Draw], MATCH(SamplingData[[#This Row],[Batch by Type (p)]],SelectedPrecincts[Batch Name], 0)))</f>
        <v/>
      </c>
      <c r="X109" s="102">
        <f>IF(COUNTIF(SelectedPrecincts[Batch Name],SamplingData[[#This Row],[Batch by Type (p)]]) &lt;&gt; 0, COUNTIF(SelectedPrecincts[Batch Name],SamplingData[[#This Row],[Batch by Type (p)]]), 0)</f>
        <v>0</v>
      </c>
    </row>
    <row r="110" spans="1:24" ht="15" customHeight="1">
      <c r="A110" s="18" t="s">
        <v>286</v>
      </c>
      <c r="B110" s="18">
        <v>15</v>
      </c>
      <c r="C110" s="18">
        <v>8</v>
      </c>
      <c r="D110" s="18">
        <v>8</v>
      </c>
      <c r="E110" s="18">
        <v>4</v>
      </c>
      <c r="F110" s="18">
        <v>0</v>
      </c>
      <c r="G110" s="18">
        <v>0</v>
      </c>
      <c r="H110" s="18">
        <v>0</v>
      </c>
      <c r="I110" s="18">
        <v>3</v>
      </c>
      <c r="J110" s="99">
        <f>SUM(SamplingData[[#This Row],[Losing Candidate]:[Under Votes]])</f>
        <v>38</v>
      </c>
      <c r="K110"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10" s="100">
        <f>IF(AND(SamplingData[[#This Row],[Total]]&lt;&gt; 0, NOT(ISBLANK(SamplingData[[#This Row],[Candidate 3]]))),(SamplingData[[#This Row],[Total]]+SamplingData[[#This Row],[Winning Candidate]]-SamplingData[[#This Row],[Candidate 3]])/(SamplingData[[#Totals],[Winning Candidate]]-SamplingData[[#Totals],[Candidate 3]]), 0)</f>
        <v>1.2259250895247926E-3</v>
      </c>
      <c r="M110" s="100">
        <f>IF(AND(SamplingData[[#This Row],[Total]]&lt;&gt; 0, NOT(ISBLANK(SamplingData[[#This Row],[Candidate 4]]))),(SamplingData[[#This Row],[Total]]+SamplingData[[#This Row],[Winning Candidate]]-SamplingData[[#This Row],[Candidate 4]])/(SamplingData[[#Totals],[Winning Candidate]]-SamplingData[[#Totals],[Candidate 4]]), 0)</f>
        <v>1.2277470841006752E-3</v>
      </c>
      <c r="N110" s="100">
        <f>IF(AND(SamplingData[[#This Row],[Total]]&lt;&gt; 0, NOT(ISBLANK(SamplingData[[#This Row],[Candidate 5]]))),(SamplingData[[#This Row],[Total]]+SamplingData[[#This Row],[Winning Candidate]]-SamplingData[[#This Row],[Candidate 5]])/(SamplingData[[#Totals],[Winning Candidate]]-SamplingData[[#Totals],[Candidate 5]]), 0)</f>
        <v>1.1189491607881295E-3</v>
      </c>
      <c r="O110" s="100">
        <f>IF(AND(SamplingData[[#This Row],[Total]]&lt;&gt; 0, NOT(ISBLANK(SamplingData[[#This Row],[Candidate 6]]))),(SamplingData[[#This Row],[Total]]+SamplingData[[#This Row],[Winning Candidate]]-SamplingData[[#This Row],[Candidate 6]])/(SamplingData[[#Totals],[Winning Candidate]]-SamplingData[[#Totals],[Candidate 6]]), 0)</f>
        <v>1.1186226350858421E-3</v>
      </c>
      <c r="P110" s="100">
        <f>MAX(SamplingData[[#This Row],[Error Bound (up) - Max. possible relative overstatement - Losing Candidate]:[Error Bound (up) - Max. possible relative overstatement - Candidate 6]])</f>
        <v>1.8985791278784908E-3</v>
      </c>
      <c r="Q110" s="100">
        <f>IF(SamplingData[[#This Row],[Max Error Bound (up)]] = 0,0,SamplingData[[#This Row],[Max Error Bound (up)]]/SamplingData[[#Totals],[Max Error Bound (up)]])</f>
        <v>3.0048139663182077E-4</v>
      </c>
      <c r="R110" s="101">
        <f>SUM($Q$5:Q110)</f>
        <v>6.6484532950110531E-2</v>
      </c>
      <c r="S110" s="100" t="str">
        <f t="array" ref="S110">IF(SamplingData[[#This Row],[up/U Selection Probability]] = 0, "Zero", TEXT(SamplingData[[#This Row],[Lower Range]], REPT("0",LEN('General Info'!$B$40))) &amp; " - " &amp; TEXT(SamplingData[[#This Row],[Upper Range]], REPT("0",LEN('General Info'!$B$40))))</f>
        <v>06618 - 06647</v>
      </c>
      <c r="T110" s="100">
        <f>SamplingData[[#This Row],[Upper Range]]-SamplingData[[#This Row],[Span]]</f>
        <v>6618.4054558292682</v>
      </c>
      <c r="U110" s="100">
        <f>IF(ISNUMBER('General Info'!$B$40), ((SamplingData[[#This Row],[up/U Selection Probability]]) * 'General Info'!$B$40) - 1, 0)</f>
        <v>29.047839181785445</v>
      </c>
      <c r="V110" s="100">
        <f>IF(ISNUMBER('General Info'!$B$40), (SamplingData[[#This Row],[Running (cumulative) sum]] * ('General Info'!$B$40 -'General Info'!$B$41 + 1)) + 'General Info'!$B$41 - 1, 0)</f>
        <v>6647.4532950110533</v>
      </c>
      <c r="W110" s="100" t="str">
        <f>IF(ISERROR(MATCH(SamplingData[[#This Row],[Batch by Type (p)]],SelectedPrecincts[Batch Name], 0)), "", INDEX(SelectedPrecincts[Draw], MATCH(SamplingData[[#This Row],[Batch by Type (p)]],SelectedPrecincts[Batch Name], 0)))</f>
        <v/>
      </c>
      <c r="X110" s="102">
        <f>IF(COUNTIF(SelectedPrecincts[Batch Name],SamplingData[[#This Row],[Batch by Type (p)]]) &lt;&gt; 0, COUNTIF(SelectedPrecincts[Batch Name],SamplingData[[#This Row],[Batch by Type (p)]]), 0)</f>
        <v>0</v>
      </c>
    </row>
    <row r="111" spans="1:24" ht="15" customHeight="1">
      <c r="A111" s="18" t="s">
        <v>287</v>
      </c>
      <c r="B111" s="18">
        <v>7</v>
      </c>
      <c r="C111" s="18">
        <v>13</v>
      </c>
      <c r="D111" s="16">
        <v>4</v>
      </c>
      <c r="E111" s="16">
        <v>2</v>
      </c>
      <c r="F111" s="37">
        <v>0</v>
      </c>
      <c r="G111" s="37">
        <v>0</v>
      </c>
      <c r="H111" s="17">
        <v>0</v>
      </c>
      <c r="I111" s="17">
        <v>0</v>
      </c>
      <c r="J111" s="99">
        <f>SUM(SamplingData[[#This Row],[Losing Candidate]:[Under Votes]])</f>
        <v>26</v>
      </c>
      <c r="K111"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11" s="100">
        <f>IF(AND(SamplingData[[#This Row],[Total]]&lt;&gt; 0, NOT(ISBLANK(SamplingData[[#This Row],[Candidate 3]]))),(SamplingData[[#This Row],[Total]]+SamplingData[[#This Row],[Winning Candidate]]-SamplingData[[#This Row],[Candidate 3]])/(SamplingData[[#Totals],[Winning Candidate]]-SamplingData[[#Totals],[Candidate 3]]), 0)</f>
        <v>1.1291415298254669E-3</v>
      </c>
      <c r="M111" s="100">
        <f>IF(AND(SamplingData[[#This Row],[Total]]&lt;&gt; 0, NOT(ISBLANK(SamplingData[[#This Row],[Candidate 4]]))),(SamplingData[[#This Row],[Total]]+SamplingData[[#This Row],[Winning Candidate]]-SamplingData[[#This Row],[Candidate 4]])/(SamplingData[[#Totals],[Winning Candidate]]-SamplingData[[#Totals],[Candidate 4]]), 0)</f>
        <v>1.081586716945833E-3</v>
      </c>
      <c r="N111" s="100">
        <f>IF(AND(SamplingData[[#This Row],[Total]]&lt;&gt; 0, NOT(ISBLANK(SamplingData[[#This Row],[Candidate 5]]))),(SamplingData[[#This Row],[Total]]+SamplingData[[#This Row],[Winning Candidate]]-SamplingData[[#This Row],[Candidate 5]])/(SamplingData[[#Totals],[Winning Candidate]]-SamplingData[[#Totals],[Candidate 5]]), 0)</f>
        <v>9.4867428849428363E-4</v>
      </c>
      <c r="O111" s="100">
        <f>IF(AND(SamplingData[[#This Row],[Total]]&lt;&gt; 0, NOT(ISBLANK(SamplingData[[#This Row],[Candidate 6]]))),(SamplingData[[#This Row],[Total]]+SamplingData[[#This Row],[Winning Candidate]]-SamplingData[[#This Row],[Candidate 6]])/(SamplingData[[#Totals],[Winning Candidate]]-SamplingData[[#Totals],[Candidate 6]]), 0)</f>
        <v>9.4839745148582271E-4</v>
      </c>
      <c r="P111" s="100">
        <f>MAX(SamplingData[[#This Row],[Error Bound (up) - Max. possible relative overstatement - Losing Candidate]:[Error Bound (up) - Max. possible relative overstatement - Candidate 6]])</f>
        <v>1.9598236158745713E-3</v>
      </c>
      <c r="Q111" s="100">
        <f>IF(SamplingData[[#This Row],[Max Error Bound (up)]] = 0,0,SamplingData[[#This Row],[Max Error Bound (up)]]/SamplingData[[#Totals],[Max Error Bound (up)]])</f>
        <v>3.1017434491026661E-4</v>
      </c>
      <c r="R111" s="101">
        <f>SUM($Q$5:Q111)</f>
        <v>6.6794707295020794E-2</v>
      </c>
      <c r="S111" s="100" t="str">
        <f t="array" ref="S111">IF(SamplingData[[#This Row],[up/U Selection Probability]] = 0, "Zero", TEXT(SamplingData[[#This Row],[Lower Range]], REPT("0",LEN('General Info'!$B$40))) &amp; " - " &amp; TEXT(SamplingData[[#This Row],[Upper Range]], REPT("0",LEN('General Info'!$B$40))))</f>
        <v>06648 - 06678</v>
      </c>
      <c r="T111" s="100">
        <f>SamplingData[[#This Row],[Upper Range]]-SamplingData[[#This Row],[Span]]</f>
        <v>6648.4536051853984</v>
      </c>
      <c r="U111" s="100">
        <f>IF(ISNUMBER('General Info'!$B$40), ((SamplingData[[#This Row],[up/U Selection Probability]]) * 'General Info'!$B$40) - 1, 0)</f>
        <v>30.017124316681752</v>
      </c>
      <c r="V111" s="100">
        <f>IF(ISNUMBER('General Info'!$B$40), (SamplingData[[#This Row],[Running (cumulative) sum]] * ('General Info'!$B$40 -'General Info'!$B$41 + 1)) + 'General Info'!$B$41 - 1, 0)</f>
        <v>6678.4707295020798</v>
      </c>
      <c r="W111" s="100" t="str">
        <f>IF(ISERROR(MATCH(SamplingData[[#This Row],[Batch by Type (p)]],SelectedPrecincts[Batch Name], 0)), "", INDEX(SelectedPrecincts[Draw], MATCH(SamplingData[[#This Row],[Batch by Type (p)]],SelectedPrecincts[Batch Name], 0)))</f>
        <v/>
      </c>
      <c r="X111" s="102">
        <f>IF(COUNTIF(SelectedPrecincts[Batch Name],SamplingData[[#This Row],[Batch by Type (p)]]) &lt;&gt; 0, COUNTIF(SelectedPrecincts[Batch Name],SamplingData[[#This Row],[Batch by Type (p)]]), 0)</f>
        <v>0</v>
      </c>
    </row>
    <row r="112" spans="1:24" ht="15" customHeight="1">
      <c r="A112" s="18" t="s">
        <v>288</v>
      </c>
      <c r="B112" s="18">
        <v>1</v>
      </c>
      <c r="C112" s="18">
        <v>9</v>
      </c>
      <c r="D112" s="18">
        <v>0</v>
      </c>
      <c r="E112" s="18">
        <v>2</v>
      </c>
      <c r="F112" s="18">
        <v>0</v>
      </c>
      <c r="G112" s="18">
        <v>0</v>
      </c>
      <c r="H112" s="18">
        <v>0</v>
      </c>
      <c r="I112" s="18">
        <v>1</v>
      </c>
      <c r="J112" s="99">
        <f>SUM(SamplingData[[#This Row],[Losing Candidate]:[Under Votes]])</f>
        <v>13</v>
      </c>
      <c r="K112"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12" s="100">
        <f>IF(AND(SamplingData[[#This Row],[Total]]&lt;&gt; 0, NOT(ISBLANK(SamplingData[[#This Row],[Candidate 3]]))),(SamplingData[[#This Row],[Total]]+SamplingData[[#This Row],[Winning Candidate]]-SamplingData[[#This Row],[Candidate 3]])/(SamplingData[[#Totals],[Winning Candidate]]-SamplingData[[#Totals],[Candidate 3]]), 0)</f>
        <v>7.0974610446172207E-4</v>
      </c>
      <c r="M112" s="100">
        <f>IF(AND(SamplingData[[#This Row],[Total]]&lt;&gt; 0, NOT(ISBLANK(SamplingData[[#This Row],[Candidate 4]]))),(SamplingData[[#This Row],[Total]]+SamplingData[[#This Row],[Winning Candidate]]-SamplingData[[#This Row],[Candidate 4]])/(SamplingData[[#Totals],[Winning Candidate]]-SamplingData[[#Totals],[Candidate 4]]), 0)</f>
        <v>5.8464146861936922E-4</v>
      </c>
      <c r="N112" s="100">
        <f>IF(AND(SamplingData[[#This Row],[Total]]&lt;&gt; 0, NOT(ISBLANK(SamplingData[[#This Row],[Candidate 5]]))),(SamplingData[[#This Row],[Total]]+SamplingData[[#This Row],[Winning Candidate]]-SamplingData[[#This Row],[Candidate 5]])/(SamplingData[[#Totals],[Winning Candidate]]-SamplingData[[#Totals],[Candidate 5]]), 0)</f>
        <v>5.3514959863780107E-4</v>
      </c>
      <c r="O112" s="100">
        <f>IF(AND(SamplingData[[#This Row],[Total]]&lt;&gt; 0, NOT(ISBLANK(SamplingData[[#This Row],[Candidate 6]]))),(SamplingData[[#This Row],[Total]]+SamplingData[[#This Row],[Winning Candidate]]-SamplingData[[#This Row],[Candidate 6]])/(SamplingData[[#Totals],[Winning Candidate]]-SamplingData[[#Totals],[Candidate 6]]), 0)</f>
        <v>5.3499343417148966E-4</v>
      </c>
      <c r="P112" s="100">
        <f>MAX(SamplingData[[#This Row],[Error Bound (up) - Max. possible relative overstatement - Losing Candidate]:[Error Bound (up) - Max. possible relative overstatement - Candidate 6]])</f>
        <v>1.2861342479176874E-3</v>
      </c>
      <c r="Q112" s="100">
        <f>IF(SamplingData[[#This Row],[Max Error Bound (up)]] = 0,0,SamplingData[[#This Row],[Max Error Bound (up)]]/SamplingData[[#Totals],[Max Error Bound (up)]])</f>
        <v>2.0355191384736248E-4</v>
      </c>
      <c r="R112" s="101">
        <f>SUM($Q$5:Q112)</f>
        <v>6.6998259208868163E-2</v>
      </c>
      <c r="S112" s="100" t="str">
        <f t="array" ref="S112">IF(SamplingData[[#This Row],[up/U Selection Probability]] = 0, "Zero", TEXT(SamplingData[[#This Row],[Lower Range]], REPT("0",LEN('General Info'!$B$40))) &amp; " - " &amp; TEXT(SamplingData[[#This Row],[Upper Range]], REPT("0",LEN('General Info'!$B$40))))</f>
        <v>06679 - 06699</v>
      </c>
      <c r="T112" s="100">
        <f>SamplingData[[#This Row],[Upper Range]]-SamplingData[[#This Row],[Span]]</f>
        <v>6679.4709330539945</v>
      </c>
      <c r="U112" s="100">
        <f>IF(ISNUMBER('General Info'!$B$40), ((SamplingData[[#This Row],[up/U Selection Probability]]) * 'General Info'!$B$40) - 1, 0)</f>
        <v>19.354987832822399</v>
      </c>
      <c r="V112" s="100">
        <f>IF(ISNUMBER('General Info'!$B$40), (SamplingData[[#This Row],[Running (cumulative) sum]] * ('General Info'!$B$40 -'General Info'!$B$41 + 1)) + 'General Info'!$B$41 - 1, 0)</f>
        <v>6698.8259208868167</v>
      </c>
      <c r="W112" s="100" t="str">
        <f>IF(ISERROR(MATCH(SamplingData[[#This Row],[Batch by Type (p)]],SelectedPrecincts[Batch Name], 0)), "", INDEX(SelectedPrecincts[Draw], MATCH(SamplingData[[#This Row],[Batch by Type (p)]],SelectedPrecincts[Batch Name], 0)))</f>
        <v/>
      </c>
      <c r="X112" s="102">
        <f>IF(COUNTIF(SelectedPrecincts[Batch Name],SamplingData[[#This Row],[Batch by Type (p)]]) &lt;&gt; 0, COUNTIF(SelectedPrecincts[Batch Name],SamplingData[[#This Row],[Batch by Type (p)]]), 0)</f>
        <v>0</v>
      </c>
    </row>
    <row r="113" spans="1:24" ht="15" customHeight="1">
      <c r="A113" s="18" t="s">
        <v>289</v>
      </c>
      <c r="B113" s="18">
        <v>21</v>
      </c>
      <c r="C113" s="18">
        <v>45</v>
      </c>
      <c r="D113" s="16">
        <v>15</v>
      </c>
      <c r="E113" s="16">
        <v>7</v>
      </c>
      <c r="F113" s="37">
        <v>1</v>
      </c>
      <c r="G113" s="37">
        <v>0</v>
      </c>
      <c r="H113" s="17">
        <v>0</v>
      </c>
      <c r="I113" s="17">
        <v>1</v>
      </c>
      <c r="J113" s="99">
        <f>SUM(SamplingData[[#This Row],[Losing Candidate]:[Under Votes]])</f>
        <v>90</v>
      </c>
      <c r="K113" s="100">
        <f>IF(AND(SamplingData[[#This Row],[Total]]&lt;&gt; 0, NOT(ISBLANK(SamplingData[[#This Row],[Losing Candidate]]))),(SamplingData[[#This Row],[Total]]+SamplingData[[#This Row],[Winning Candidate]]-SamplingData[[#This Row],[Losing Candidate]])/(SamplingData[[#Totals],[Winning Candidate]]-SamplingData[[#Totals],[Losing Candidate]]), 0)</f>
        <v>6.9818716315531602E-3</v>
      </c>
      <c r="L113" s="100">
        <f>IF(AND(SamplingData[[#This Row],[Total]]&lt;&gt; 0, NOT(ISBLANK(SamplingData[[#This Row],[Candidate 3]]))),(SamplingData[[#This Row],[Total]]+SamplingData[[#This Row],[Winning Candidate]]-SamplingData[[#This Row],[Candidate 3]])/(SamplingData[[#Totals],[Winning Candidate]]-SamplingData[[#Totals],[Candidate 3]]), 0)</f>
        <v>3.8713423879730298E-3</v>
      </c>
      <c r="M113" s="100">
        <f>IF(AND(SamplingData[[#This Row],[Total]]&lt;&gt; 0, NOT(ISBLANK(SamplingData[[#This Row],[Candidate 4]]))),(SamplingData[[#This Row],[Total]]+SamplingData[[#This Row],[Winning Candidate]]-SamplingData[[#This Row],[Candidate 4]])/(SamplingData[[#Totals],[Winning Candidate]]-SamplingData[[#Totals],[Candidate 4]]), 0)</f>
        <v>3.7417053991639629E-3</v>
      </c>
      <c r="N113" s="100">
        <f>IF(AND(SamplingData[[#This Row],[Total]]&lt;&gt; 0, NOT(ISBLANK(SamplingData[[#This Row],[Candidate 5]]))),(SamplingData[[#This Row],[Total]]+SamplingData[[#This Row],[Winning Candidate]]-SamplingData[[#This Row],[Candidate 5]])/(SamplingData[[#Totals],[Winning Candidate]]-SamplingData[[#Totals],[Candidate 5]]), 0)</f>
        <v>3.2595475553393333E-3</v>
      </c>
      <c r="O113" s="100">
        <f>IF(AND(SamplingData[[#This Row],[Total]]&lt;&gt; 0, NOT(ISBLANK(SamplingData[[#This Row],[Candidate 6]]))),(SamplingData[[#This Row],[Total]]+SamplingData[[#This Row],[Winning Candidate]]-SamplingData[[#This Row],[Candidate 6]])/(SamplingData[[#Totals],[Winning Candidate]]-SamplingData[[#Totals],[Candidate 6]]), 0)</f>
        <v>3.2829142551432321E-3</v>
      </c>
      <c r="P113" s="100">
        <f>MAX(SamplingData[[#This Row],[Error Bound (up) - Max. possible relative overstatement - Losing Candidate]:[Error Bound (up) - Max. possible relative overstatement - Candidate 6]])</f>
        <v>6.9818716315531602E-3</v>
      </c>
      <c r="Q113" s="100">
        <f>IF(SamplingData[[#This Row],[Max Error Bound (up)]] = 0,0,SamplingData[[#This Row],[Max Error Bound (up)]]/SamplingData[[#Totals],[Max Error Bound (up)]])</f>
        <v>1.1049961037428249E-3</v>
      </c>
      <c r="R113" s="101">
        <f>SUM($Q$5:Q113)</f>
        <v>6.8103255312610994E-2</v>
      </c>
      <c r="S113" s="100" t="str">
        <f t="array" ref="S113">IF(SamplingData[[#This Row],[up/U Selection Probability]] = 0, "Zero", TEXT(SamplingData[[#This Row],[Lower Range]], REPT("0",LEN('General Info'!$B$40))) &amp; " - " &amp; TEXT(SamplingData[[#This Row],[Upper Range]], REPT("0",LEN('General Info'!$B$40))))</f>
        <v>06700 - 06809</v>
      </c>
      <c r="T113" s="100">
        <f>SamplingData[[#This Row],[Upper Range]]-SamplingData[[#This Row],[Span]]</f>
        <v>6699.8270258829207</v>
      </c>
      <c r="U113" s="100">
        <f>IF(ISNUMBER('General Info'!$B$40), ((SamplingData[[#This Row],[up/U Selection Probability]]) * 'General Info'!$B$40) - 1, 0)</f>
        <v>109.49850537817875</v>
      </c>
      <c r="V113" s="100">
        <f>IF(ISNUMBER('General Info'!$B$40), (SamplingData[[#This Row],[Running (cumulative) sum]] * ('General Info'!$B$40 -'General Info'!$B$41 + 1)) + 'General Info'!$B$41 - 1, 0)</f>
        <v>6809.3255312610991</v>
      </c>
      <c r="W113" s="100" t="str">
        <f>IF(ISERROR(MATCH(SamplingData[[#This Row],[Batch by Type (p)]],SelectedPrecincts[Batch Name], 0)), "", INDEX(SelectedPrecincts[Draw], MATCH(SamplingData[[#This Row],[Batch by Type (p)]],SelectedPrecincts[Batch Name], 0)))</f>
        <v/>
      </c>
      <c r="X113" s="102">
        <f>IF(COUNTIF(SelectedPrecincts[Batch Name],SamplingData[[#This Row],[Batch by Type (p)]]) &lt;&gt; 0, COUNTIF(SelectedPrecincts[Batch Name],SamplingData[[#This Row],[Batch by Type (p)]]), 0)</f>
        <v>0</v>
      </c>
    </row>
    <row r="114" spans="1:24" ht="15" customHeight="1">
      <c r="A114" s="18" t="s">
        <v>290</v>
      </c>
      <c r="B114" s="18">
        <v>21</v>
      </c>
      <c r="C114" s="18">
        <v>26</v>
      </c>
      <c r="D114" s="18">
        <v>2</v>
      </c>
      <c r="E114" s="18">
        <v>2</v>
      </c>
      <c r="F114" s="18">
        <v>0</v>
      </c>
      <c r="G114" s="18">
        <v>0</v>
      </c>
      <c r="H114" s="18">
        <v>0</v>
      </c>
      <c r="I114" s="18">
        <v>5</v>
      </c>
      <c r="J114" s="99">
        <f>SUM(SamplingData[[#This Row],[Losing Candidate]:[Under Votes]])</f>
        <v>56</v>
      </c>
      <c r="K114"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14" s="100">
        <f>IF(AND(SamplingData[[#This Row],[Total]]&lt;&gt; 0, NOT(ISBLANK(SamplingData[[#This Row],[Candidate 3]]))),(SamplingData[[#This Row],[Total]]+SamplingData[[#This Row],[Winning Candidate]]-SamplingData[[#This Row],[Candidate 3]])/(SamplingData[[#Totals],[Winning Candidate]]-SamplingData[[#Totals],[Candidate 3]]), 0)</f>
        <v>2.5808949253153532E-3</v>
      </c>
      <c r="M114" s="100">
        <f>IF(AND(SamplingData[[#This Row],[Total]]&lt;&gt; 0, NOT(ISBLANK(SamplingData[[#This Row],[Candidate 4]]))),(SamplingData[[#This Row],[Total]]+SamplingData[[#This Row],[Winning Candidate]]-SamplingData[[#This Row],[Candidate 4]])/(SamplingData[[#Totals],[Winning Candidate]]-SamplingData[[#Totals],[Candidate 4]]), 0)</f>
        <v>2.3385658744774769E-3</v>
      </c>
      <c r="N114" s="100">
        <f>IF(AND(SamplingData[[#This Row],[Total]]&lt;&gt; 0, NOT(ISBLANK(SamplingData[[#This Row],[Candidate 5]]))),(SamplingData[[#This Row],[Total]]+SamplingData[[#This Row],[Winning Candidate]]-SamplingData[[#This Row],[Candidate 5]])/(SamplingData[[#Totals],[Winning Candidate]]-SamplingData[[#Totals],[Candidate 5]]), 0)</f>
        <v>1.994648504013622E-3</v>
      </c>
      <c r="O114" s="100">
        <f>IF(AND(SamplingData[[#This Row],[Total]]&lt;&gt; 0, NOT(ISBLANK(SamplingData[[#This Row],[Candidate 6]]))),(SamplingData[[#This Row],[Total]]+SamplingData[[#This Row],[Winning Candidate]]-SamplingData[[#This Row],[Candidate 6]])/(SamplingData[[#Totals],[Winning Candidate]]-SamplingData[[#Totals],[Candidate 6]]), 0)</f>
        <v>1.9940664364573707E-3</v>
      </c>
      <c r="P114" s="100">
        <f>MAX(SamplingData[[#This Row],[Error Bound (up) - Max. possible relative overstatement - Losing Candidate]:[Error Bound (up) - Max. possible relative overstatement - Candidate 6]])</f>
        <v>3.7359137677609017E-3</v>
      </c>
      <c r="Q114" s="100">
        <f>IF(SamplingData[[#This Row],[Max Error Bound (up)]] = 0,0,SamplingData[[#This Row],[Max Error Bound (up)]]/SamplingData[[#Totals],[Max Error Bound (up)]])</f>
        <v>5.9126984498519581E-4</v>
      </c>
      <c r="R114" s="101">
        <f>SUM($Q$5:Q114)</f>
        <v>6.8694525157596192E-2</v>
      </c>
      <c r="S114" s="100" t="str">
        <f t="array" ref="S114">IF(SamplingData[[#This Row],[up/U Selection Probability]] = 0, "Zero", TEXT(SamplingData[[#This Row],[Lower Range]], REPT("0",LEN('General Info'!$B$40))) &amp; " - " &amp; TEXT(SamplingData[[#This Row],[Upper Range]], REPT("0",LEN('General Info'!$B$40))))</f>
        <v>06810 - 06868</v>
      </c>
      <c r="T114" s="100">
        <f>SamplingData[[#This Row],[Upper Range]]-SamplingData[[#This Row],[Span]]</f>
        <v>6810.3261225309443</v>
      </c>
      <c r="U114" s="100">
        <f>IF(ISNUMBER('General Info'!$B$40), ((SamplingData[[#This Row],[up/U Selection Probability]]) * 'General Info'!$B$40) - 1, 0)</f>
        <v>58.126393228674594</v>
      </c>
      <c r="V114" s="100">
        <f>IF(ISNUMBER('General Info'!$B$40), (SamplingData[[#This Row],[Running (cumulative) sum]] * ('General Info'!$B$40 -'General Info'!$B$41 + 1)) + 'General Info'!$B$41 - 1, 0)</f>
        <v>6868.452515759619</v>
      </c>
      <c r="W114" s="100" t="str">
        <f>IF(ISERROR(MATCH(SamplingData[[#This Row],[Batch by Type (p)]],SelectedPrecincts[Batch Name], 0)), "", INDEX(SelectedPrecincts[Draw], MATCH(SamplingData[[#This Row],[Batch by Type (p)]],SelectedPrecincts[Batch Name], 0)))</f>
        <v/>
      </c>
      <c r="X114" s="102">
        <f>IF(COUNTIF(SelectedPrecincts[Batch Name],SamplingData[[#This Row],[Batch by Type (p)]]) &lt;&gt; 0, COUNTIF(SelectedPrecincts[Batch Name],SamplingData[[#This Row],[Batch by Type (p)]]), 0)</f>
        <v>0</v>
      </c>
    </row>
    <row r="115" spans="1:24" ht="15" customHeight="1">
      <c r="A115" s="18" t="s">
        <v>291</v>
      </c>
      <c r="B115" s="18">
        <v>8</v>
      </c>
      <c r="C115" s="18">
        <v>16</v>
      </c>
      <c r="D115" s="16">
        <v>10</v>
      </c>
      <c r="E115" s="16">
        <v>6</v>
      </c>
      <c r="F115" s="37">
        <v>0</v>
      </c>
      <c r="G115" s="37">
        <v>0</v>
      </c>
      <c r="H115" s="17">
        <v>0</v>
      </c>
      <c r="I115" s="17">
        <v>0</v>
      </c>
      <c r="J115" s="99">
        <f>SUM(SamplingData[[#This Row],[Losing Candidate]:[Under Votes]])</f>
        <v>40</v>
      </c>
      <c r="K115" s="100">
        <f>IF(AND(SamplingData[[#This Row],[Total]]&lt;&gt; 0, NOT(ISBLANK(SamplingData[[#This Row],[Losing Candidate]]))),(SamplingData[[#This Row],[Total]]+SamplingData[[#This Row],[Winning Candidate]]-SamplingData[[#This Row],[Losing Candidate]])/(SamplingData[[#Totals],[Winning Candidate]]-SamplingData[[#Totals],[Losing Candidate]]), 0)</f>
        <v>2.9397354238118569E-3</v>
      </c>
      <c r="L115" s="100">
        <f>IF(AND(SamplingData[[#This Row],[Total]]&lt;&gt; 0, NOT(ISBLANK(SamplingData[[#This Row],[Candidate 3]]))),(SamplingData[[#This Row],[Total]]+SamplingData[[#This Row],[Winning Candidate]]-SamplingData[[#This Row],[Candidate 3]])/(SamplingData[[#Totals],[Winning Candidate]]-SamplingData[[#Totals],[Candidate 3]]), 0)</f>
        <v>1.4840145820563281E-3</v>
      </c>
      <c r="M115" s="100">
        <f>IF(AND(SamplingData[[#This Row],[Total]]&lt;&gt; 0, NOT(ISBLANK(SamplingData[[#This Row],[Candidate 4]]))),(SamplingData[[#This Row],[Total]]+SamplingData[[#This Row],[Winning Candidate]]-SamplingData[[#This Row],[Candidate 4]])/(SamplingData[[#Totals],[Winning Candidate]]-SamplingData[[#Totals],[Candidate 4]]), 0)</f>
        <v>1.4616036715484229E-3</v>
      </c>
      <c r="N115" s="100">
        <f>IF(AND(SamplingData[[#This Row],[Total]]&lt;&gt; 0, NOT(ISBLANK(SamplingData[[#This Row],[Candidate 5]]))),(SamplingData[[#This Row],[Total]]+SamplingData[[#This Row],[Winning Candidate]]-SamplingData[[#This Row],[Candidate 5]])/(SamplingData[[#Totals],[Winning Candidate]]-SamplingData[[#Totals],[Candidate 5]]), 0)</f>
        <v>1.3621989783507663E-3</v>
      </c>
      <c r="O115" s="100">
        <f>IF(AND(SamplingData[[#This Row],[Total]]&lt;&gt; 0, NOT(ISBLANK(SamplingData[[#This Row],[Candidate 6]]))),(SamplingData[[#This Row],[Total]]+SamplingData[[#This Row],[Winning Candidate]]-SamplingData[[#This Row],[Candidate 6]])/(SamplingData[[#Totals],[Winning Candidate]]-SamplingData[[#Totals],[Candidate 6]]), 0)</f>
        <v>1.3618014688001555E-3</v>
      </c>
      <c r="P115" s="100">
        <f>MAX(SamplingData[[#This Row],[Error Bound (up) - Max. possible relative overstatement - Losing Candidate]:[Error Bound (up) - Max. possible relative overstatement - Candidate 6]])</f>
        <v>2.9397354238118569E-3</v>
      </c>
      <c r="Q115" s="100">
        <f>IF(SamplingData[[#This Row],[Max Error Bound (up)]] = 0,0,SamplingData[[#This Row],[Max Error Bound (up)]]/SamplingData[[#Totals],[Max Error Bound (up)]])</f>
        <v>4.6526151736539989E-4</v>
      </c>
      <c r="R115" s="101">
        <f>SUM($Q$5:Q115)</f>
        <v>6.9159786674961587E-2</v>
      </c>
      <c r="S115" s="100" t="str">
        <f t="array" ref="S115">IF(SamplingData[[#This Row],[up/U Selection Probability]] = 0, "Zero", TEXT(SamplingData[[#This Row],[Lower Range]], REPT("0",LEN('General Info'!$B$40))) &amp; " - " &amp; TEXT(SamplingData[[#This Row],[Upper Range]], REPT("0",LEN('General Info'!$B$40))))</f>
        <v>06869 - 06915</v>
      </c>
      <c r="T115" s="100">
        <f>SamplingData[[#This Row],[Upper Range]]-SamplingData[[#This Row],[Span]]</f>
        <v>6869.4529810211361</v>
      </c>
      <c r="U115" s="100">
        <f>IF(ISNUMBER('General Info'!$B$40), ((SamplingData[[#This Row],[up/U Selection Probability]]) * 'General Info'!$B$40) - 1, 0)</f>
        <v>45.525686475022624</v>
      </c>
      <c r="V115" s="100">
        <f>IF(ISNUMBER('General Info'!$B$40), (SamplingData[[#This Row],[Running (cumulative) sum]] * ('General Info'!$B$40 -'General Info'!$B$41 + 1)) + 'General Info'!$B$41 - 1, 0)</f>
        <v>6914.9786674961588</v>
      </c>
      <c r="W115" s="100" t="str">
        <f>IF(ISERROR(MATCH(SamplingData[[#This Row],[Batch by Type (p)]],SelectedPrecincts[Batch Name], 0)), "", INDEX(SelectedPrecincts[Draw], MATCH(SamplingData[[#This Row],[Batch by Type (p)]],SelectedPrecincts[Batch Name], 0)))</f>
        <v/>
      </c>
      <c r="X115" s="102">
        <f>IF(COUNTIF(SelectedPrecincts[Batch Name],SamplingData[[#This Row],[Batch by Type (p)]]) &lt;&gt; 0, COUNTIF(SelectedPrecincts[Batch Name],SamplingData[[#This Row],[Batch by Type (p)]]), 0)</f>
        <v>0</v>
      </c>
    </row>
    <row r="116" spans="1:24" ht="15" customHeight="1">
      <c r="A116" s="18" t="s">
        <v>292</v>
      </c>
      <c r="B116" s="18">
        <v>1</v>
      </c>
      <c r="C116" s="18">
        <v>3</v>
      </c>
      <c r="D116" s="18">
        <v>1</v>
      </c>
      <c r="E116" s="18">
        <v>1</v>
      </c>
      <c r="F116" s="18">
        <v>0</v>
      </c>
      <c r="G116" s="18">
        <v>0</v>
      </c>
      <c r="H116" s="18">
        <v>0</v>
      </c>
      <c r="I116" s="18">
        <v>1</v>
      </c>
      <c r="J116" s="99">
        <f>SUM(SamplingData[[#This Row],[Losing Candidate]:[Under Votes]])</f>
        <v>7</v>
      </c>
      <c r="K116"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16" s="100">
        <f>IF(AND(SamplingData[[#This Row],[Total]]&lt;&gt; 0, NOT(ISBLANK(SamplingData[[#This Row],[Candidate 3]]))),(SamplingData[[#This Row],[Total]]+SamplingData[[#This Row],[Winning Candidate]]-SamplingData[[#This Row],[Candidate 3]])/(SamplingData[[#Totals],[Winning Candidate]]-SamplingData[[#Totals],[Candidate 3]]), 0)</f>
        <v>2.9035067909797722E-4</v>
      </c>
      <c r="M116" s="100">
        <f>IF(AND(SamplingData[[#This Row],[Total]]&lt;&gt; 0, NOT(ISBLANK(SamplingData[[#This Row],[Candidate 4]]))),(SamplingData[[#This Row],[Total]]+SamplingData[[#This Row],[Winning Candidate]]-SamplingData[[#This Row],[Candidate 4]])/(SamplingData[[#Totals],[Winning Candidate]]-SamplingData[[#Totals],[Candidate 4]]), 0)</f>
        <v>2.6308866087871614E-4</v>
      </c>
      <c r="N116" s="100">
        <f>IF(AND(SamplingData[[#This Row],[Total]]&lt;&gt; 0, NOT(ISBLANK(SamplingData[[#This Row],[Candidate 5]]))),(SamplingData[[#This Row],[Total]]+SamplingData[[#This Row],[Winning Candidate]]-SamplingData[[#This Row],[Candidate 5]])/(SamplingData[[#Totals],[Winning Candidate]]-SamplingData[[#Totals],[Candidate 5]]), 0)</f>
        <v>2.4324981756263683E-4</v>
      </c>
      <c r="O116" s="100">
        <f>IF(AND(SamplingData[[#This Row],[Total]]&lt;&gt; 0, NOT(ISBLANK(SamplingData[[#This Row],[Candidate 6]]))),(SamplingData[[#This Row],[Total]]+SamplingData[[#This Row],[Winning Candidate]]-SamplingData[[#This Row],[Candidate 6]])/(SamplingData[[#Totals],[Winning Candidate]]-SamplingData[[#Totals],[Candidate 6]]), 0)</f>
        <v>2.431788337143135E-4</v>
      </c>
      <c r="P116" s="100">
        <f>MAX(SamplingData[[#This Row],[Error Bound (up) - Max. possible relative overstatement - Losing Candidate]:[Error Bound (up) - Max. possible relative overstatement - Candidate 6]])</f>
        <v>5.5120039196472322E-4</v>
      </c>
      <c r="Q116" s="100">
        <f>IF(SamplingData[[#This Row],[Max Error Bound (up)]] = 0,0,SamplingData[[#This Row],[Max Error Bound (up)]]/SamplingData[[#Totals],[Max Error Bound (up)]])</f>
        <v>8.7236534506012492E-5</v>
      </c>
      <c r="R116" s="101">
        <f>SUM($Q$5:Q116)</f>
        <v>6.9247023209467601E-2</v>
      </c>
      <c r="S116" s="100" t="str">
        <f t="array" ref="S116">IF(SamplingData[[#This Row],[up/U Selection Probability]] = 0, "Zero", TEXT(SamplingData[[#This Row],[Lower Range]], REPT("0",LEN('General Info'!$B$40))) &amp; " - " &amp; TEXT(SamplingData[[#This Row],[Upper Range]], REPT("0",LEN('General Info'!$B$40))))</f>
        <v>06916 - 06924</v>
      </c>
      <c r="T116" s="100">
        <f>SamplingData[[#This Row],[Upper Range]]-SamplingData[[#This Row],[Span]]</f>
        <v>6915.9787547326932</v>
      </c>
      <c r="U116" s="100">
        <f>IF(ISNUMBER('General Info'!$B$40), ((SamplingData[[#This Row],[up/U Selection Probability]]) * 'General Info'!$B$40) - 1, 0)</f>
        <v>7.7235662140667429</v>
      </c>
      <c r="V116" s="100">
        <f>IF(ISNUMBER('General Info'!$B$40), (SamplingData[[#This Row],[Running (cumulative) sum]] * ('General Info'!$B$40 -'General Info'!$B$41 + 1)) + 'General Info'!$B$41 - 1, 0)</f>
        <v>6923.7023209467598</v>
      </c>
      <c r="W116" s="100" t="str">
        <f>IF(ISERROR(MATCH(SamplingData[[#This Row],[Batch by Type (p)]],SelectedPrecincts[Batch Name], 0)), "", INDEX(SelectedPrecincts[Draw], MATCH(SamplingData[[#This Row],[Batch by Type (p)]],SelectedPrecincts[Batch Name], 0)))</f>
        <v/>
      </c>
      <c r="X116" s="102">
        <f>IF(COUNTIF(SelectedPrecincts[Batch Name],SamplingData[[#This Row],[Batch by Type (p)]]) &lt;&gt; 0, COUNTIF(SelectedPrecincts[Batch Name],SamplingData[[#This Row],[Batch by Type (p)]]), 0)</f>
        <v>0</v>
      </c>
    </row>
    <row r="117" spans="1:24" ht="15" customHeight="1">
      <c r="A117" s="18" t="s">
        <v>293</v>
      </c>
      <c r="B117" s="18">
        <v>32</v>
      </c>
      <c r="C117" s="18">
        <v>31</v>
      </c>
      <c r="D117" s="16">
        <v>5</v>
      </c>
      <c r="E117" s="16">
        <v>9</v>
      </c>
      <c r="F117" s="37">
        <v>0</v>
      </c>
      <c r="G117" s="37">
        <v>0</v>
      </c>
      <c r="H117" s="17">
        <v>0</v>
      </c>
      <c r="I117" s="17">
        <v>3</v>
      </c>
      <c r="J117" s="99">
        <f>SUM(SamplingData[[#This Row],[Losing Candidate]:[Under Votes]])</f>
        <v>80</v>
      </c>
      <c r="K117" s="100">
        <f>IF(AND(SamplingData[[#This Row],[Total]]&lt;&gt; 0, NOT(ISBLANK(SamplingData[[#This Row],[Losing Candidate]]))),(SamplingData[[#This Row],[Total]]+SamplingData[[#This Row],[Winning Candidate]]-SamplingData[[#This Row],[Losing Candidate]])/(SamplingData[[#Totals],[Winning Candidate]]-SamplingData[[#Totals],[Losing Candidate]]), 0)</f>
        <v>4.8383145516903477E-3</v>
      </c>
      <c r="L117" s="100">
        <f>IF(AND(SamplingData[[#This Row],[Total]]&lt;&gt; 0, NOT(ISBLANK(SamplingData[[#This Row],[Candidate 3]]))),(SamplingData[[#This Row],[Total]]+SamplingData[[#This Row],[Winning Candidate]]-SamplingData[[#This Row],[Candidate 3]])/(SamplingData[[#Totals],[Winning Candidate]]-SamplingData[[#Totals],[Candidate 3]]), 0)</f>
        <v>3.4196857760428428E-3</v>
      </c>
      <c r="M117" s="100">
        <f>IF(AND(SamplingData[[#This Row],[Total]]&lt;&gt; 0, NOT(ISBLANK(SamplingData[[#This Row],[Candidate 4]]))),(SamplingData[[#This Row],[Total]]+SamplingData[[#This Row],[Winning Candidate]]-SamplingData[[#This Row],[Candidate 4]])/(SamplingData[[#Totals],[Winning Candidate]]-SamplingData[[#Totals],[Candidate 4]]), 0)</f>
        <v>2.9816714899587827E-3</v>
      </c>
      <c r="N117" s="100">
        <f>IF(AND(SamplingData[[#This Row],[Total]]&lt;&gt; 0, NOT(ISBLANK(SamplingData[[#This Row],[Candidate 5]]))),(SamplingData[[#This Row],[Total]]+SamplingData[[#This Row],[Winning Candidate]]-SamplingData[[#This Row],[Candidate 5]])/(SamplingData[[#Totals],[Winning Candidate]]-SamplingData[[#Totals],[Candidate 5]]), 0)</f>
        <v>2.7000729749452686E-3</v>
      </c>
      <c r="O117" s="100">
        <f>IF(AND(SamplingData[[#This Row],[Total]]&lt;&gt; 0, NOT(ISBLANK(SamplingData[[#This Row],[Candidate 6]]))),(SamplingData[[#This Row],[Total]]+SamplingData[[#This Row],[Winning Candidate]]-SamplingData[[#This Row],[Candidate 6]])/(SamplingData[[#Totals],[Winning Candidate]]-SamplingData[[#Totals],[Candidate 6]]), 0)</f>
        <v>2.6992850542288801E-3</v>
      </c>
      <c r="P117" s="100">
        <f>MAX(SamplingData[[#This Row],[Error Bound (up) - Max. possible relative overstatement - Losing Candidate]:[Error Bound (up) - Max. possible relative overstatement - Candidate 6]])</f>
        <v>4.8383145516903477E-3</v>
      </c>
      <c r="Q117" s="100">
        <f>IF(SamplingData[[#This Row],[Max Error Bound (up)]] = 0,0,SamplingData[[#This Row],[Max Error Bound (up)]]/SamplingData[[#Totals],[Max Error Bound (up)]])</f>
        <v>7.6574291399722071E-4</v>
      </c>
      <c r="R117" s="101">
        <f>SUM($Q$5:Q117)</f>
        <v>7.0012766123464826E-2</v>
      </c>
      <c r="S117" s="100" t="str">
        <f t="array" ref="S117">IF(SamplingData[[#This Row],[up/U Selection Probability]] = 0, "Zero", TEXT(SamplingData[[#This Row],[Lower Range]], REPT("0",LEN('General Info'!$B$40))) &amp; " - " &amp; TEXT(SamplingData[[#This Row],[Upper Range]], REPT("0",LEN('General Info'!$B$40))))</f>
        <v>06925 - 07000</v>
      </c>
      <c r="T117" s="100">
        <f>SamplingData[[#This Row],[Upper Range]]-SamplingData[[#This Row],[Span]]</f>
        <v>6924.7030866896748</v>
      </c>
      <c r="U117" s="100">
        <f>IF(ISNUMBER('General Info'!$B$40), ((SamplingData[[#This Row],[up/U Selection Probability]]) * 'General Info'!$B$40) - 1, 0)</f>
        <v>75.573525656808073</v>
      </c>
      <c r="V117" s="100">
        <f>IF(ISNUMBER('General Info'!$B$40), (SamplingData[[#This Row],[Running (cumulative) sum]] * ('General Info'!$B$40 -'General Info'!$B$41 + 1)) + 'General Info'!$B$41 - 1, 0)</f>
        <v>7000.2766123464826</v>
      </c>
      <c r="W117" s="100" t="str">
        <f>IF(ISERROR(MATCH(SamplingData[[#This Row],[Batch by Type (p)]],SelectedPrecincts[Batch Name], 0)), "", INDEX(SelectedPrecincts[Draw], MATCH(SamplingData[[#This Row],[Batch by Type (p)]],SelectedPrecincts[Batch Name], 0)))</f>
        <v/>
      </c>
      <c r="X117" s="102">
        <f>IF(COUNTIF(SelectedPrecincts[Batch Name],SamplingData[[#This Row],[Batch by Type (p)]]) &lt;&gt; 0, COUNTIF(SelectedPrecincts[Batch Name],SamplingData[[#This Row],[Batch by Type (p)]]), 0)</f>
        <v>0</v>
      </c>
    </row>
    <row r="118" spans="1:24" ht="15" customHeight="1">
      <c r="A118" s="18" t="s">
        <v>294</v>
      </c>
      <c r="B118" s="18">
        <v>11</v>
      </c>
      <c r="C118" s="18">
        <v>17</v>
      </c>
      <c r="D118" s="18">
        <v>5</v>
      </c>
      <c r="E118" s="18">
        <v>1</v>
      </c>
      <c r="F118" s="18">
        <v>0</v>
      </c>
      <c r="G118" s="18">
        <v>0</v>
      </c>
      <c r="H118" s="18">
        <v>0</v>
      </c>
      <c r="I118" s="18">
        <v>0</v>
      </c>
      <c r="J118" s="99">
        <f>SUM(SamplingData[[#This Row],[Losing Candidate]:[Under Votes]])</f>
        <v>34</v>
      </c>
      <c r="K118"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18" s="100">
        <f>IF(AND(SamplingData[[#This Row],[Total]]&lt;&gt; 0, NOT(ISBLANK(SamplingData[[#This Row],[Candidate 3]]))),(SamplingData[[#This Row],[Total]]+SamplingData[[#This Row],[Winning Candidate]]-SamplingData[[#This Row],[Candidate 3]])/(SamplingData[[#Totals],[Winning Candidate]]-SamplingData[[#Totals],[Candidate 3]]), 0)</f>
        <v>1.4840145820563281E-3</v>
      </c>
      <c r="M118" s="100">
        <f>IF(AND(SamplingData[[#This Row],[Total]]&lt;&gt; 0, NOT(ISBLANK(SamplingData[[#This Row],[Candidate 4]]))),(SamplingData[[#This Row],[Total]]+SamplingData[[#This Row],[Winning Candidate]]-SamplingData[[#This Row],[Candidate 4]])/(SamplingData[[#Totals],[Winning Candidate]]-SamplingData[[#Totals],[Candidate 4]]), 0)</f>
        <v>1.4616036715484229E-3</v>
      </c>
      <c r="N118" s="100">
        <f>IF(AND(SamplingData[[#This Row],[Total]]&lt;&gt; 0, NOT(ISBLANK(SamplingData[[#This Row],[Candidate 5]]))),(SamplingData[[#This Row],[Total]]+SamplingData[[#This Row],[Winning Candidate]]-SamplingData[[#This Row],[Candidate 5]])/(SamplingData[[#Totals],[Winning Candidate]]-SamplingData[[#Totals],[Candidate 5]]), 0)</f>
        <v>1.2405740695694478E-3</v>
      </c>
      <c r="O118" s="100">
        <f>IF(AND(SamplingData[[#This Row],[Total]]&lt;&gt; 0, NOT(ISBLANK(SamplingData[[#This Row],[Candidate 6]]))),(SamplingData[[#This Row],[Total]]+SamplingData[[#This Row],[Winning Candidate]]-SamplingData[[#This Row],[Candidate 6]])/(SamplingData[[#Totals],[Winning Candidate]]-SamplingData[[#Totals],[Candidate 6]]), 0)</f>
        <v>1.2402120519429988E-3</v>
      </c>
      <c r="P118" s="100">
        <f>MAX(SamplingData[[#This Row],[Error Bound (up) - Max. possible relative overstatement - Losing Candidate]:[Error Bound (up) - Max. possible relative overstatement - Candidate 6]])</f>
        <v>2.4497795198432141E-3</v>
      </c>
      <c r="Q118" s="100">
        <f>IF(SamplingData[[#This Row],[Max Error Bound (up)]] = 0,0,SamplingData[[#This Row],[Max Error Bound (up)]]/SamplingData[[#Totals],[Max Error Bound (up)]])</f>
        <v>3.8771793113783328E-4</v>
      </c>
      <c r="R118" s="101">
        <f>SUM($Q$5:Q118)</f>
        <v>7.0400484054602655E-2</v>
      </c>
      <c r="S118" s="100" t="str">
        <f t="array" ref="S118">IF(SamplingData[[#This Row],[up/U Selection Probability]] = 0, "Zero", TEXT(SamplingData[[#This Row],[Lower Range]], REPT("0",LEN('General Info'!$B$40))) &amp; " - " &amp; TEXT(SamplingData[[#This Row],[Upper Range]], REPT("0",LEN('General Info'!$B$40))))</f>
        <v>07001 - 07039</v>
      </c>
      <c r="T118" s="100">
        <f>SamplingData[[#This Row],[Upper Range]]-SamplingData[[#This Row],[Span]]</f>
        <v>7001.2770000644132</v>
      </c>
      <c r="U118" s="100">
        <f>IF(ISNUMBER('General Info'!$B$40), ((SamplingData[[#This Row],[up/U Selection Probability]]) * 'General Info'!$B$40) - 1, 0)</f>
        <v>37.771405395852192</v>
      </c>
      <c r="V118" s="100">
        <f>IF(ISNUMBER('General Info'!$B$40), (SamplingData[[#This Row],[Running (cumulative) sum]] * ('General Info'!$B$40 -'General Info'!$B$41 + 1)) + 'General Info'!$B$41 - 1, 0)</f>
        <v>7039.0484054602657</v>
      </c>
      <c r="W118" s="100" t="str">
        <f>IF(ISERROR(MATCH(SamplingData[[#This Row],[Batch by Type (p)]],SelectedPrecincts[Batch Name], 0)), "", INDEX(SelectedPrecincts[Draw], MATCH(SamplingData[[#This Row],[Batch by Type (p)]],SelectedPrecincts[Batch Name], 0)))</f>
        <v/>
      </c>
      <c r="X118" s="102">
        <f>IF(COUNTIF(SelectedPrecincts[Batch Name],SamplingData[[#This Row],[Batch by Type (p)]]) &lt;&gt; 0, COUNTIF(SelectedPrecincts[Batch Name],SamplingData[[#This Row],[Batch by Type (p)]]), 0)</f>
        <v>0</v>
      </c>
    </row>
    <row r="119" spans="1:24" ht="15" customHeight="1">
      <c r="A119" s="18" t="s">
        <v>295</v>
      </c>
      <c r="B119" s="18">
        <v>19</v>
      </c>
      <c r="C119" s="18">
        <v>38</v>
      </c>
      <c r="D119" s="16">
        <v>16</v>
      </c>
      <c r="E119" s="16">
        <v>9</v>
      </c>
      <c r="F119" s="37">
        <v>0</v>
      </c>
      <c r="G119" s="37">
        <v>0</v>
      </c>
      <c r="H119" s="17">
        <v>0</v>
      </c>
      <c r="I119" s="17">
        <v>4</v>
      </c>
      <c r="J119" s="99">
        <f>SUM(SamplingData[[#This Row],[Losing Candidate]:[Under Votes]])</f>
        <v>86</v>
      </c>
      <c r="K119" s="100">
        <f>IF(AND(SamplingData[[#This Row],[Total]]&lt;&gt; 0, NOT(ISBLANK(SamplingData[[#This Row],[Losing Candidate]]))),(SamplingData[[#This Row],[Total]]+SamplingData[[#This Row],[Winning Candidate]]-SamplingData[[#This Row],[Losing Candidate]])/(SamplingData[[#Totals],[Winning Candidate]]-SamplingData[[#Totals],[Losing Candidate]]), 0)</f>
        <v>6.4306712395884374E-3</v>
      </c>
      <c r="L119" s="100">
        <f>IF(AND(SamplingData[[#This Row],[Total]]&lt;&gt; 0, NOT(ISBLANK(SamplingData[[#This Row],[Candidate 3]]))),(SamplingData[[#This Row],[Total]]+SamplingData[[#This Row],[Winning Candidate]]-SamplingData[[#This Row],[Candidate 3]])/(SamplingData[[#Totals],[Winning Candidate]]-SamplingData[[#Totals],[Candidate 3]]), 0)</f>
        <v>3.4842081491757268E-3</v>
      </c>
      <c r="M119" s="100">
        <f>IF(AND(SamplingData[[#This Row],[Total]]&lt;&gt; 0, NOT(ISBLANK(SamplingData[[#This Row],[Candidate 4]]))),(SamplingData[[#This Row],[Total]]+SamplingData[[#This Row],[Winning Candidate]]-SamplingData[[#This Row],[Candidate 4]])/(SamplingData[[#Totals],[Winning Candidate]]-SamplingData[[#Totals],[Candidate 4]]), 0)</f>
        <v>3.3616884445613728E-3</v>
      </c>
      <c r="N119" s="100">
        <f>IF(AND(SamplingData[[#This Row],[Total]]&lt;&gt; 0, NOT(ISBLANK(SamplingData[[#This Row],[Candidate 5]]))),(SamplingData[[#This Row],[Total]]+SamplingData[[#This Row],[Winning Candidate]]-SamplingData[[#This Row],[Candidate 5]])/(SamplingData[[#Totals],[Winning Candidate]]-SamplingData[[#Totals],[Candidate 5]]), 0)</f>
        <v>3.0162977377766968E-3</v>
      </c>
      <c r="O119" s="100">
        <f>IF(AND(SamplingData[[#This Row],[Total]]&lt;&gt; 0, NOT(ISBLANK(SamplingData[[#This Row],[Candidate 6]]))),(SamplingData[[#This Row],[Total]]+SamplingData[[#This Row],[Winning Candidate]]-SamplingData[[#This Row],[Candidate 6]])/(SamplingData[[#Totals],[Winning Candidate]]-SamplingData[[#Totals],[Candidate 6]]), 0)</f>
        <v>3.0154175380574873E-3</v>
      </c>
      <c r="P119" s="100">
        <f>MAX(SamplingData[[#This Row],[Error Bound (up) - Max. possible relative overstatement - Losing Candidate]:[Error Bound (up) - Max. possible relative overstatement - Candidate 6]])</f>
        <v>6.4306712395884374E-3</v>
      </c>
      <c r="Q119" s="100">
        <f>IF(SamplingData[[#This Row],[Max Error Bound (up)]] = 0,0,SamplingData[[#This Row],[Max Error Bound (up)]]/SamplingData[[#Totals],[Max Error Bound (up)]])</f>
        <v>1.0177595692368124E-3</v>
      </c>
      <c r="R119" s="101">
        <f>SUM($Q$5:Q119)</f>
        <v>7.1418243623839472E-2</v>
      </c>
      <c r="S119" s="100" t="str">
        <f t="array" ref="S119">IF(SamplingData[[#This Row],[up/U Selection Probability]] = 0, "Zero", TEXT(SamplingData[[#This Row],[Lower Range]], REPT("0",LEN('General Info'!$B$40))) &amp; " - " &amp; TEXT(SamplingData[[#This Row],[Upper Range]], REPT("0",LEN('General Info'!$B$40))))</f>
        <v>07040 - 07141</v>
      </c>
      <c r="T119" s="100">
        <f>SamplingData[[#This Row],[Upper Range]]-SamplingData[[#This Row],[Span]]</f>
        <v>7040.0494232198353</v>
      </c>
      <c r="U119" s="100">
        <f>IF(ISNUMBER('General Info'!$B$40), ((SamplingData[[#This Row],[up/U Selection Probability]]) * 'General Info'!$B$40) - 1, 0)</f>
        <v>100.77493916411201</v>
      </c>
      <c r="V119" s="100">
        <f>IF(ISNUMBER('General Info'!$B$40), (SamplingData[[#This Row],[Running (cumulative) sum]] * ('General Info'!$B$40 -'General Info'!$B$41 + 1)) + 'General Info'!$B$41 - 1, 0)</f>
        <v>7140.8243623839471</v>
      </c>
      <c r="W119" s="100" t="str">
        <f>IF(ISERROR(MATCH(SamplingData[[#This Row],[Batch by Type (p)]],SelectedPrecincts[Batch Name], 0)), "", INDEX(SelectedPrecincts[Draw], MATCH(SamplingData[[#This Row],[Batch by Type (p)]],SelectedPrecincts[Batch Name], 0)))</f>
        <v/>
      </c>
      <c r="X119" s="102">
        <f>IF(COUNTIF(SelectedPrecincts[Batch Name],SamplingData[[#This Row],[Batch by Type (p)]]) &lt;&gt; 0, COUNTIF(SelectedPrecincts[Batch Name],SamplingData[[#This Row],[Batch by Type (p)]]), 0)</f>
        <v>0</v>
      </c>
    </row>
    <row r="120" spans="1:24" ht="15" customHeight="1">
      <c r="A120" s="18" t="s">
        <v>296</v>
      </c>
      <c r="B120" s="18">
        <v>10</v>
      </c>
      <c r="C120" s="18">
        <v>7</v>
      </c>
      <c r="D120" s="18">
        <v>3</v>
      </c>
      <c r="E120" s="18">
        <v>2</v>
      </c>
      <c r="F120" s="18">
        <v>0</v>
      </c>
      <c r="G120" s="18">
        <v>1</v>
      </c>
      <c r="H120" s="18">
        <v>0</v>
      </c>
      <c r="I120" s="18">
        <v>1</v>
      </c>
      <c r="J120" s="99">
        <f>SUM(SamplingData[[#This Row],[Losing Candidate]:[Under Votes]])</f>
        <v>24</v>
      </c>
      <c r="K120"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20" s="100">
        <f>IF(AND(SamplingData[[#This Row],[Total]]&lt;&gt; 0, NOT(ISBLANK(SamplingData[[#This Row],[Candidate 3]]))),(SamplingData[[#This Row],[Total]]+SamplingData[[#This Row],[Winning Candidate]]-SamplingData[[#This Row],[Candidate 3]])/(SamplingData[[#Totals],[Winning Candidate]]-SamplingData[[#Totals],[Candidate 3]]), 0)</f>
        <v>9.0331322386037359E-4</v>
      </c>
      <c r="M120" s="100">
        <f>IF(AND(SamplingData[[#This Row],[Total]]&lt;&gt; 0, NOT(ISBLANK(SamplingData[[#This Row],[Candidate 4]]))),(SamplingData[[#This Row],[Total]]+SamplingData[[#This Row],[Winning Candidate]]-SamplingData[[#This Row],[Candidate 4]])/(SamplingData[[#Totals],[Winning Candidate]]-SamplingData[[#Totals],[Candidate 4]]), 0)</f>
        <v>8.4773012949808531E-4</v>
      </c>
      <c r="N120" s="100">
        <f>IF(AND(SamplingData[[#This Row],[Total]]&lt;&gt; 0, NOT(ISBLANK(SamplingData[[#This Row],[Candidate 5]]))),(SamplingData[[#This Row],[Total]]+SamplingData[[#This Row],[Winning Candidate]]-SamplingData[[#This Row],[Candidate 5]])/(SamplingData[[#Totals],[Winning Candidate]]-SamplingData[[#Totals],[Candidate 5]]), 0)</f>
        <v>7.5407443444417419E-4</v>
      </c>
      <c r="O120" s="100">
        <f>IF(AND(SamplingData[[#This Row],[Total]]&lt;&gt; 0, NOT(ISBLANK(SamplingData[[#This Row],[Candidate 6]]))),(SamplingData[[#This Row],[Total]]+SamplingData[[#This Row],[Winning Candidate]]-SamplingData[[#This Row],[Candidate 6]])/(SamplingData[[#Totals],[Winning Candidate]]-SamplingData[[#Totals],[Candidate 6]]), 0)</f>
        <v>7.2953650114294054E-4</v>
      </c>
      <c r="P120" s="100">
        <f>MAX(SamplingData[[#This Row],[Error Bound (up) - Max. possible relative overstatement - Losing Candidate]:[Error Bound (up) - Max. possible relative overstatement - Candidate 6]])</f>
        <v>1.2861342479176874E-3</v>
      </c>
      <c r="Q120" s="100">
        <f>IF(SamplingData[[#This Row],[Max Error Bound (up)]] = 0,0,SamplingData[[#This Row],[Max Error Bound (up)]]/SamplingData[[#Totals],[Max Error Bound (up)]])</f>
        <v>2.0355191384736248E-4</v>
      </c>
      <c r="R120" s="101">
        <f>SUM($Q$5:Q120)</f>
        <v>7.1621795537686841E-2</v>
      </c>
      <c r="S120" s="100" t="str">
        <f t="array" ref="S120">IF(SamplingData[[#This Row],[up/U Selection Probability]] = 0, "Zero", TEXT(SamplingData[[#This Row],[Lower Range]], REPT("0",LEN('General Info'!$B$40))) &amp; " - " &amp; TEXT(SamplingData[[#This Row],[Upper Range]], REPT("0",LEN('General Info'!$B$40))))</f>
        <v>07142 - 07161</v>
      </c>
      <c r="T120" s="100">
        <f>SamplingData[[#This Row],[Upper Range]]-SamplingData[[#This Row],[Span]]</f>
        <v>7141.8245659358618</v>
      </c>
      <c r="U120" s="100">
        <f>IF(ISNUMBER('General Info'!$B$40), ((SamplingData[[#This Row],[up/U Selection Probability]]) * 'General Info'!$B$40) - 1, 0)</f>
        <v>19.354987832822399</v>
      </c>
      <c r="V120" s="100">
        <f>IF(ISNUMBER('General Info'!$B$40), (SamplingData[[#This Row],[Running (cumulative) sum]] * ('General Info'!$B$40 -'General Info'!$B$41 + 1)) + 'General Info'!$B$41 - 1, 0)</f>
        <v>7161.1795537686839</v>
      </c>
      <c r="W120" s="100" t="str">
        <f>IF(ISERROR(MATCH(SamplingData[[#This Row],[Batch by Type (p)]],SelectedPrecincts[Batch Name], 0)), "", INDEX(SelectedPrecincts[Draw], MATCH(SamplingData[[#This Row],[Batch by Type (p)]],SelectedPrecincts[Batch Name], 0)))</f>
        <v/>
      </c>
      <c r="X120" s="102">
        <f>IF(COUNTIF(SelectedPrecincts[Batch Name],SamplingData[[#This Row],[Batch by Type (p)]]) &lt;&gt; 0, COUNTIF(SelectedPrecincts[Batch Name],SamplingData[[#This Row],[Batch by Type (p)]]), 0)</f>
        <v>0</v>
      </c>
    </row>
    <row r="121" spans="1:24" ht="15" customHeight="1">
      <c r="A121" s="18" t="s">
        <v>297</v>
      </c>
      <c r="B121" s="18">
        <v>33</v>
      </c>
      <c r="C121" s="18">
        <v>48</v>
      </c>
      <c r="D121" s="16">
        <v>14</v>
      </c>
      <c r="E121" s="16">
        <v>5</v>
      </c>
      <c r="F121" s="37">
        <v>0</v>
      </c>
      <c r="G121" s="37">
        <v>0</v>
      </c>
      <c r="H121" s="17">
        <v>0</v>
      </c>
      <c r="I121" s="17">
        <v>3</v>
      </c>
      <c r="J121" s="99">
        <f>SUM(SamplingData[[#This Row],[Losing Candidate]:[Under Votes]])</f>
        <v>103</v>
      </c>
      <c r="K121" s="100">
        <f>IF(AND(SamplingData[[#This Row],[Total]]&lt;&gt; 0, NOT(ISBLANK(SamplingData[[#This Row],[Losing Candidate]]))),(SamplingData[[#This Row],[Total]]+SamplingData[[#This Row],[Winning Candidate]]-SamplingData[[#This Row],[Losing Candidate]])/(SamplingData[[#Totals],[Winning Candidate]]-SamplingData[[#Totals],[Losing Candidate]]), 0)</f>
        <v>7.2268495835374818E-3</v>
      </c>
      <c r="L121" s="100">
        <f>IF(AND(SamplingData[[#This Row],[Total]]&lt;&gt; 0, NOT(ISBLANK(SamplingData[[#This Row],[Candidate 3]]))),(SamplingData[[#This Row],[Total]]+SamplingData[[#This Row],[Winning Candidate]]-SamplingData[[#This Row],[Candidate 3]])/(SamplingData[[#Totals],[Winning Candidate]]-SamplingData[[#Totals],[Candidate 3]]), 0)</f>
        <v>4.419782559602542E-3</v>
      </c>
      <c r="M121" s="100">
        <f>IF(AND(SamplingData[[#This Row],[Total]]&lt;&gt; 0, NOT(ISBLANK(SamplingData[[#This Row],[Candidate 4]]))),(SamplingData[[#This Row],[Total]]+SamplingData[[#This Row],[Winning Candidate]]-SamplingData[[#This Row],[Candidate 4]])/(SamplingData[[#Totals],[Winning Candidate]]-SamplingData[[#Totals],[Candidate 4]]), 0)</f>
        <v>4.2678827209213952E-3</v>
      </c>
      <c r="N121" s="100">
        <f>IF(AND(SamplingData[[#This Row],[Total]]&lt;&gt; 0, NOT(ISBLANK(SamplingData[[#This Row],[Candidate 5]]))),(SamplingData[[#This Row],[Total]]+SamplingData[[#This Row],[Winning Candidate]]-SamplingData[[#This Row],[Candidate 5]])/(SamplingData[[#Totals],[Winning Candidate]]-SamplingData[[#Totals],[Candidate 5]]), 0)</f>
        <v>3.6730722451958162E-3</v>
      </c>
      <c r="O121" s="100">
        <f>IF(AND(SamplingData[[#This Row],[Total]]&lt;&gt; 0, NOT(ISBLANK(SamplingData[[#This Row],[Candidate 6]]))),(SamplingData[[#This Row],[Total]]+SamplingData[[#This Row],[Winning Candidate]]-SamplingData[[#This Row],[Candidate 6]])/(SamplingData[[#Totals],[Winning Candidate]]-SamplingData[[#Totals],[Candidate 6]]), 0)</f>
        <v>3.6720003890861339E-3</v>
      </c>
      <c r="P121" s="100">
        <f>MAX(SamplingData[[#This Row],[Error Bound (up) - Max. possible relative overstatement - Losing Candidate]:[Error Bound (up) - Max. possible relative overstatement - Candidate 6]])</f>
        <v>7.2268495835374818E-3</v>
      </c>
      <c r="Q121" s="100">
        <f>IF(SamplingData[[#This Row],[Max Error Bound (up)]] = 0,0,SamplingData[[#This Row],[Max Error Bound (up)]]/SamplingData[[#Totals],[Max Error Bound (up)]])</f>
        <v>1.1437678968566083E-3</v>
      </c>
      <c r="R121" s="101">
        <f>SUM($Q$5:Q121)</f>
        <v>7.2765563434543448E-2</v>
      </c>
      <c r="S121" s="100" t="str">
        <f t="array" ref="S121">IF(SamplingData[[#This Row],[up/U Selection Probability]] = 0, "Zero", TEXT(SamplingData[[#This Row],[Lower Range]], REPT("0",LEN('General Info'!$B$40))) &amp; " - " &amp; TEXT(SamplingData[[#This Row],[Upper Range]], REPT("0",LEN('General Info'!$B$40))))</f>
        <v>07162 - 07276</v>
      </c>
      <c r="T121" s="100">
        <f>SamplingData[[#This Row],[Upper Range]]-SamplingData[[#This Row],[Span]]</f>
        <v>7162.1806975365807</v>
      </c>
      <c r="U121" s="100">
        <f>IF(ISNUMBER('General Info'!$B$40), ((SamplingData[[#This Row],[up/U Selection Probability]]) * 'General Info'!$B$40) - 1, 0)</f>
        <v>113.37564591776398</v>
      </c>
      <c r="V121" s="100">
        <f>IF(ISNUMBER('General Info'!$B$40), (SamplingData[[#This Row],[Running (cumulative) sum]] * ('General Info'!$B$40 -'General Info'!$B$41 + 1)) + 'General Info'!$B$41 - 1, 0)</f>
        <v>7275.5563434543446</v>
      </c>
      <c r="W121" s="100" t="str">
        <f>IF(ISERROR(MATCH(SamplingData[[#This Row],[Batch by Type (p)]],SelectedPrecincts[Batch Name], 0)), "", INDEX(SelectedPrecincts[Draw], MATCH(SamplingData[[#This Row],[Batch by Type (p)]],SelectedPrecincts[Batch Name], 0)))</f>
        <v/>
      </c>
      <c r="X121" s="102">
        <f>IF(COUNTIF(SelectedPrecincts[Batch Name],SamplingData[[#This Row],[Batch by Type (p)]]) &lt;&gt; 0, COUNTIF(SelectedPrecincts[Batch Name],SamplingData[[#This Row],[Batch by Type (p)]]), 0)</f>
        <v>0</v>
      </c>
    </row>
    <row r="122" spans="1:24" ht="15" customHeight="1">
      <c r="A122" s="18" t="s">
        <v>298</v>
      </c>
      <c r="B122" s="18">
        <v>9</v>
      </c>
      <c r="C122" s="18">
        <v>10</v>
      </c>
      <c r="D122" s="18">
        <v>6</v>
      </c>
      <c r="E122" s="18">
        <v>1</v>
      </c>
      <c r="F122" s="18">
        <v>0</v>
      </c>
      <c r="G122" s="18">
        <v>0</v>
      </c>
      <c r="H122" s="18">
        <v>0</v>
      </c>
      <c r="I122" s="18">
        <v>1</v>
      </c>
      <c r="J122" s="99">
        <f>SUM(SamplingData[[#This Row],[Losing Candidate]:[Under Votes]])</f>
        <v>27</v>
      </c>
      <c r="K122"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22" s="100">
        <f>IF(AND(SamplingData[[#This Row],[Total]]&lt;&gt; 0, NOT(ISBLANK(SamplingData[[#This Row],[Candidate 3]]))),(SamplingData[[#This Row],[Total]]+SamplingData[[#This Row],[Winning Candidate]]-SamplingData[[#This Row],[Candidate 3]])/(SamplingData[[#Totals],[Winning Candidate]]-SamplingData[[#Totals],[Candidate 3]]), 0)</f>
        <v>1.0000967835596993E-3</v>
      </c>
      <c r="M122" s="100">
        <f>IF(AND(SamplingData[[#This Row],[Total]]&lt;&gt; 0, NOT(ISBLANK(SamplingData[[#This Row],[Candidate 4]]))),(SamplingData[[#This Row],[Total]]+SamplingData[[#This Row],[Winning Candidate]]-SamplingData[[#This Row],[Candidate 4]])/(SamplingData[[#Totals],[Winning Candidate]]-SamplingData[[#Totals],[Candidate 4]]), 0)</f>
        <v>1.0523546435148646E-3</v>
      </c>
      <c r="N122" s="100">
        <f>IF(AND(SamplingData[[#This Row],[Total]]&lt;&gt; 0, NOT(ISBLANK(SamplingData[[#This Row],[Candidate 5]]))),(SamplingData[[#This Row],[Total]]+SamplingData[[#This Row],[Winning Candidate]]-SamplingData[[#This Row],[Candidate 5]])/(SamplingData[[#Totals],[Winning Candidate]]-SamplingData[[#Totals],[Candidate 5]]), 0)</f>
        <v>9.0002432498175627E-4</v>
      </c>
      <c r="O122" s="100">
        <f>IF(AND(SamplingData[[#This Row],[Total]]&lt;&gt; 0, NOT(ISBLANK(SamplingData[[#This Row],[Candidate 6]]))),(SamplingData[[#This Row],[Total]]+SamplingData[[#This Row],[Winning Candidate]]-SamplingData[[#This Row],[Candidate 6]])/(SamplingData[[#Totals],[Winning Candidate]]-SamplingData[[#Totals],[Candidate 6]]), 0)</f>
        <v>8.9976168474295993E-4</v>
      </c>
      <c r="P122" s="100">
        <f>MAX(SamplingData[[#This Row],[Error Bound (up) - Max. possible relative overstatement - Losing Candidate]:[Error Bound (up) - Max. possible relative overstatement - Candidate 6]])</f>
        <v>1.7148456638902498E-3</v>
      </c>
      <c r="Q122" s="100">
        <f>IF(SamplingData[[#This Row],[Max Error Bound (up)]] = 0,0,SamplingData[[#This Row],[Max Error Bound (up)]]/SamplingData[[#Totals],[Max Error Bound (up)]])</f>
        <v>2.714025517964833E-4</v>
      </c>
      <c r="R122" s="101">
        <f>SUM($Q$5:Q122)</f>
        <v>7.3036965986339936E-2</v>
      </c>
      <c r="S122" s="100" t="str">
        <f t="array" ref="S122">IF(SamplingData[[#This Row],[up/U Selection Probability]] = 0, "Zero", TEXT(SamplingData[[#This Row],[Lower Range]], REPT("0",LEN('General Info'!$B$40))) &amp; " - " &amp; TEXT(SamplingData[[#This Row],[Upper Range]], REPT("0",LEN('General Info'!$B$40))))</f>
        <v>07277 - 07303</v>
      </c>
      <c r="T122" s="100">
        <f>SamplingData[[#This Row],[Upper Range]]-SamplingData[[#This Row],[Span]]</f>
        <v>7276.5566148568969</v>
      </c>
      <c r="U122" s="100">
        <f>IF(ISNUMBER('General Info'!$B$40), ((SamplingData[[#This Row],[up/U Selection Probability]]) * 'General Info'!$B$40) - 1, 0)</f>
        <v>26.139983777096536</v>
      </c>
      <c r="V122" s="100">
        <f>IF(ISNUMBER('General Info'!$B$40), (SamplingData[[#This Row],[Running (cumulative) sum]] * ('General Info'!$B$40 -'General Info'!$B$41 + 1)) + 'General Info'!$B$41 - 1, 0)</f>
        <v>7302.6965986339937</v>
      </c>
      <c r="W122" s="100" t="str">
        <f>IF(ISERROR(MATCH(SamplingData[[#This Row],[Batch by Type (p)]],SelectedPrecincts[Batch Name], 0)), "", INDEX(SelectedPrecincts[Draw], MATCH(SamplingData[[#This Row],[Batch by Type (p)]],SelectedPrecincts[Batch Name], 0)))</f>
        <v/>
      </c>
      <c r="X122" s="102">
        <f>IF(COUNTIF(SelectedPrecincts[Batch Name],SamplingData[[#This Row],[Batch by Type (p)]]) &lt;&gt; 0, COUNTIF(SelectedPrecincts[Batch Name],SamplingData[[#This Row],[Batch by Type (p)]]), 0)</f>
        <v>0</v>
      </c>
    </row>
    <row r="123" spans="1:24" ht="15" customHeight="1">
      <c r="A123" s="18" t="s">
        <v>299</v>
      </c>
      <c r="B123" s="18">
        <v>16</v>
      </c>
      <c r="C123" s="18">
        <v>8</v>
      </c>
      <c r="D123" s="16">
        <v>7</v>
      </c>
      <c r="E123" s="16">
        <v>3</v>
      </c>
      <c r="F123" s="37">
        <v>0</v>
      </c>
      <c r="G123" s="37">
        <v>0</v>
      </c>
      <c r="H123" s="17">
        <v>0</v>
      </c>
      <c r="I123" s="17">
        <v>0</v>
      </c>
      <c r="J123" s="99">
        <f>SUM(SamplingData[[#This Row],[Losing Candidate]:[Under Votes]])</f>
        <v>34</v>
      </c>
      <c r="K123"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23" s="100">
        <f>IF(AND(SamplingData[[#This Row],[Total]]&lt;&gt; 0, NOT(ISBLANK(SamplingData[[#This Row],[Candidate 3]]))),(SamplingData[[#This Row],[Total]]+SamplingData[[#This Row],[Winning Candidate]]-SamplingData[[#This Row],[Candidate 3]])/(SamplingData[[#Totals],[Winning Candidate]]-SamplingData[[#Totals],[Candidate 3]]), 0)</f>
        <v>1.1291415298254669E-3</v>
      </c>
      <c r="M123" s="100">
        <f>IF(AND(SamplingData[[#This Row],[Total]]&lt;&gt; 0, NOT(ISBLANK(SamplingData[[#This Row],[Candidate 4]]))),(SamplingData[[#This Row],[Total]]+SamplingData[[#This Row],[Winning Candidate]]-SamplingData[[#This Row],[Candidate 4]])/(SamplingData[[#Totals],[Winning Candidate]]-SamplingData[[#Totals],[Candidate 4]]), 0)</f>
        <v>1.14005086380777E-3</v>
      </c>
      <c r="N123" s="100">
        <f>IF(AND(SamplingData[[#This Row],[Total]]&lt;&gt; 0, NOT(ISBLANK(SamplingData[[#This Row],[Candidate 5]]))),(SamplingData[[#This Row],[Total]]+SamplingData[[#This Row],[Winning Candidate]]-SamplingData[[#This Row],[Candidate 5]])/(SamplingData[[#Totals],[Winning Candidate]]-SamplingData[[#Totals],[Candidate 5]]), 0)</f>
        <v>1.0216492337630748E-3</v>
      </c>
      <c r="O123" s="100">
        <f>IF(AND(SamplingData[[#This Row],[Total]]&lt;&gt; 0, NOT(ISBLANK(SamplingData[[#This Row],[Candidate 6]]))),(SamplingData[[#This Row],[Total]]+SamplingData[[#This Row],[Winning Candidate]]-SamplingData[[#This Row],[Candidate 6]])/(SamplingData[[#Totals],[Winning Candidate]]-SamplingData[[#Totals],[Candidate 6]]), 0)</f>
        <v>1.0213511016001168E-3</v>
      </c>
      <c r="P123" s="100">
        <f>MAX(SamplingData[[#This Row],[Error Bound (up) - Max. possible relative overstatement - Losing Candidate]:[Error Bound (up) - Max. possible relative overstatement - Candidate 6]])</f>
        <v>1.5923566878980893E-3</v>
      </c>
      <c r="Q123" s="100">
        <f>IF(SamplingData[[#This Row],[Max Error Bound (up)]] = 0,0,SamplingData[[#This Row],[Max Error Bound (up)]]/SamplingData[[#Totals],[Max Error Bound (up)]])</f>
        <v>2.5201665523959162E-4</v>
      </c>
      <c r="R123" s="101">
        <f>SUM($Q$5:Q123)</f>
        <v>7.3288982641579528E-2</v>
      </c>
      <c r="S123" s="100" t="str">
        <f t="array" ref="S123">IF(SamplingData[[#This Row],[up/U Selection Probability]] = 0, "Zero", TEXT(SamplingData[[#This Row],[Lower Range]], REPT("0",LEN('General Info'!$B$40))) &amp; " - " &amp; TEXT(SamplingData[[#This Row],[Upper Range]], REPT("0",LEN('General Info'!$B$40))))</f>
        <v>07304 - 07328</v>
      </c>
      <c r="T123" s="100">
        <f>SamplingData[[#This Row],[Upper Range]]-SamplingData[[#This Row],[Span]]</f>
        <v>7303.6968506506491</v>
      </c>
      <c r="U123" s="100">
        <f>IF(ISNUMBER('General Info'!$B$40), ((SamplingData[[#This Row],[up/U Selection Probability]]) * 'General Info'!$B$40) - 1, 0)</f>
        <v>24.201413507303922</v>
      </c>
      <c r="V123" s="100">
        <f>IF(ISNUMBER('General Info'!$B$40), (SamplingData[[#This Row],[Running (cumulative) sum]] * ('General Info'!$B$40 -'General Info'!$B$41 + 1)) + 'General Info'!$B$41 - 1, 0)</f>
        <v>7327.8982641579532</v>
      </c>
      <c r="W123" s="100" t="str">
        <f>IF(ISERROR(MATCH(SamplingData[[#This Row],[Batch by Type (p)]],SelectedPrecincts[Batch Name], 0)), "", INDEX(SelectedPrecincts[Draw], MATCH(SamplingData[[#This Row],[Batch by Type (p)]],SelectedPrecincts[Batch Name], 0)))</f>
        <v/>
      </c>
      <c r="X123" s="102">
        <f>IF(COUNTIF(SelectedPrecincts[Batch Name],SamplingData[[#This Row],[Batch by Type (p)]]) &lt;&gt; 0, COUNTIF(SelectedPrecincts[Batch Name],SamplingData[[#This Row],[Batch by Type (p)]]), 0)</f>
        <v>0</v>
      </c>
    </row>
    <row r="124" spans="1:24" ht="15" customHeight="1">
      <c r="A124" s="18" t="s">
        <v>300</v>
      </c>
      <c r="B124" s="18">
        <v>6</v>
      </c>
      <c r="C124" s="18">
        <v>0</v>
      </c>
      <c r="D124" s="18">
        <v>0</v>
      </c>
      <c r="E124" s="18">
        <v>4</v>
      </c>
      <c r="F124" s="18">
        <v>0</v>
      </c>
      <c r="G124" s="18">
        <v>0</v>
      </c>
      <c r="H124" s="18">
        <v>0</v>
      </c>
      <c r="I124" s="18">
        <v>0</v>
      </c>
      <c r="J124" s="99">
        <f>SUM(SamplingData[[#This Row],[Losing Candidate]:[Under Votes]])</f>
        <v>10</v>
      </c>
      <c r="K124"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24" s="100">
        <f>IF(AND(SamplingData[[#This Row],[Total]]&lt;&gt; 0, NOT(ISBLANK(SamplingData[[#This Row],[Candidate 3]]))),(SamplingData[[#This Row],[Total]]+SamplingData[[#This Row],[Winning Candidate]]-SamplingData[[#This Row],[Candidate 3]])/(SamplingData[[#Totals],[Winning Candidate]]-SamplingData[[#Totals],[Candidate 3]]), 0)</f>
        <v>3.2261186566441915E-4</v>
      </c>
      <c r="M124" s="100">
        <f>IF(AND(SamplingData[[#This Row],[Total]]&lt;&gt; 0, NOT(ISBLANK(SamplingData[[#This Row],[Candidate 4]]))),(SamplingData[[#This Row],[Total]]+SamplingData[[#This Row],[Winning Candidate]]-SamplingData[[#This Row],[Candidate 4]])/(SamplingData[[#Totals],[Winning Candidate]]-SamplingData[[#Totals],[Candidate 4]]), 0)</f>
        <v>1.7539244058581075E-4</v>
      </c>
      <c r="N124" s="100">
        <f>IF(AND(SamplingData[[#This Row],[Total]]&lt;&gt; 0, NOT(ISBLANK(SamplingData[[#This Row],[Candidate 5]]))),(SamplingData[[#This Row],[Total]]+SamplingData[[#This Row],[Winning Candidate]]-SamplingData[[#This Row],[Candidate 5]])/(SamplingData[[#Totals],[Winning Candidate]]-SamplingData[[#Totals],[Candidate 5]]), 0)</f>
        <v>2.4324981756263683E-4</v>
      </c>
      <c r="O124" s="100">
        <f>IF(AND(SamplingData[[#This Row],[Total]]&lt;&gt; 0, NOT(ISBLANK(SamplingData[[#This Row],[Candidate 6]]))),(SamplingData[[#This Row],[Total]]+SamplingData[[#This Row],[Winning Candidate]]-SamplingData[[#This Row],[Candidate 6]])/(SamplingData[[#Totals],[Winning Candidate]]-SamplingData[[#Totals],[Candidate 6]]), 0)</f>
        <v>2.431788337143135E-4</v>
      </c>
      <c r="P124" s="100">
        <f>MAX(SamplingData[[#This Row],[Error Bound (up) - Max. possible relative overstatement - Losing Candidate]:[Error Bound (up) - Max. possible relative overstatement - Candidate 6]])</f>
        <v>3.2261186566441915E-4</v>
      </c>
      <c r="Q124" s="100">
        <f>IF(SamplingData[[#This Row],[Max Error Bound (up)]] = 0,0,SamplingData[[#This Row],[Max Error Bound (up)]]/SamplingData[[#Totals],[Max Error Bound (up)]])</f>
        <v>5.1058637768320656E-5</v>
      </c>
      <c r="R124" s="101">
        <f>SUM($Q$5:Q124)</f>
        <v>7.3340041279347845E-2</v>
      </c>
      <c r="S124" s="100" t="str">
        <f t="array" ref="S124">IF(SamplingData[[#This Row],[up/U Selection Probability]] = 0, "Zero", TEXT(SamplingData[[#This Row],[Lower Range]], REPT("0",LEN('General Info'!$B$40))) &amp; " - " &amp; TEXT(SamplingData[[#This Row],[Upper Range]], REPT("0",LEN('General Info'!$B$40))))</f>
        <v>07329 - 07333</v>
      </c>
      <c r="T124" s="100">
        <f>SamplingData[[#This Row],[Upper Range]]-SamplingData[[#This Row],[Span]]</f>
        <v>7328.8983152165902</v>
      </c>
      <c r="U124" s="100">
        <f>IF(ISNUMBER('General Info'!$B$40), ((SamplingData[[#This Row],[up/U Selection Probability]]) * 'General Info'!$B$40) - 1, 0)</f>
        <v>4.1058127181942972</v>
      </c>
      <c r="V124" s="100">
        <f>IF(ISNUMBER('General Info'!$B$40), (SamplingData[[#This Row],[Running (cumulative) sum]] * ('General Info'!$B$40 -'General Info'!$B$41 + 1)) + 'General Info'!$B$41 - 1, 0)</f>
        <v>7333.0041279347843</v>
      </c>
      <c r="W124" s="100" t="str">
        <f>IF(ISERROR(MATCH(SamplingData[[#This Row],[Batch by Type (p)]],SelectedPrecincts[Batch Name], 0)), "", INDEX(SelectedPrecincts[Draw], MATCH(SamplingData[[#This Row],[Batch by Type (p)]],SelectedPrecincts[Batch Name], 0)))</f>
        <v/>
      </c>
      <c r="X124" s="102">
        <f>IF(COUNTIF(SelectedPrecincts[Batch Name],SamplingData[[#This Row],[Batch by Type (p)]]) &lt;&gt; 0, COUNTIF(SelectedPrecincts[Batch Name],SamplingData[[#This Row],[Batch by Type (p)]]), 0)</f>
        <v>0</v>
      </c>
    </row>
    <row r="125" spans="1:24" ht="15" customHeight="1">
      <c r="A125" s="18" t="s">
        <v>301</v>
      </c>
      <c r="B125" s="18">
        <v>11</v>
      </c>
      <c r="C125" s="18">
        <v>12</v>
      </c>
      <c r="D125" s="16">
        <v>4</v>
      </c>
      <c r="E125" s="16">
        <v>11</v>
      </c>
      <c r="F125" s="37">
        <v>0</v>
      </c>
      <c r="G125" s="37">
        <v>0</v>
      </c>
      <c r="H125" s="17">
        <v>0</v>
      </c>
      <c r="I125" s="17">
        <v>0</v>
      </c>
      <c r="J125" s="99">
        <f>SUM(SamplingData[[#This Row],[Losing Candidate]:[Under Votes]])</f>
        <v>38</v>
      </c>
      <c r="K125"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125" s="100">
        <f>IF(AND(SamplingData[[#This Row],[Total]]&lt;&gt; 0, NOT(ISBLANK(SamplingData[[#This Row],[Candidate 3]]))),(SamplingData[[#This Row],[Total]]+SamplingData[[#This Row],[Winning Candidate]]-SamplingData[[#This Row],[Candidate 3]])/(SamplingData[[#Totals],[Winning Candidate]]-SamplingData[[#Totals],[Candidate 3]]), 0)</f>
        <v>1.4840145820563281E-3</v>
      </c>
      <c r="M125" s="100">
        <f>IF(AND(SamplingData[[#This Row],[Total]]&lt;&gt; 0, NOT(ISBLANK(SamplingData[[#This Row],[Candidate 4]]))),(SamplingData[[#This Row],[Total]]+SamplingData[[#This Row],[Winning Candidate]]-SamplingData[[#This Row],[Candidate 4]])/(SamplingData[[#Totals],[Winning Candidate]]-SamplingData[[#Totals],[Candidate 4]]), 0)</f>
        <v>1.14005086380777E-3</v>
      </c>
      <c r="N125" s="100">
        <f>IF(AND(SamplingData[[#This Row],[Total]]&lt;&gt; 0, NOT(ISBLANK(SamplingData[[#This Row],[Candidate 5]]))),(SamplingData[[#This Row],[Total]]+SamplingData[[#This Row],[Winning Candidate]]-SamplingData[[#This Row],[Candidate 5]])/(SamplingData[[#Totals],[Winning Candidate]]-SamplingData[[#Totals],[Candidate 5]]), 0)</f>
        <v>1.2162490878131842E-3</v>
      </c>
      <c r="O125" s="100">
        <f>IF(AND(SamplingData[[#This Row],[Total]]&lt;&gt; 0, NOT(ISBLANK(SamplingData[[#This Row],[Candidate 6]]))),(SamplingData[[#This Row],[Total]]+SamplingData[[#This Row],[Winning Candidate]]-SamplingData[[#This Row],[Candidate 6]])/(SamplingData[[#Totals],[Winning Candidate]]-SamplingData[[#Totals],[Candidate 6]]), 0)</f>
        <v>1.2158941685715674E-3</v>
      </c>
      <c r="P125" s="100">
        <f>MAX(SamplingData[[#This Row],[Error Bound (up) - Max. possible relative overstatement - Losing Candidate]:[Error Bound (up) - Max. possible relative overstatement - Candidate 6]])</f>
        <v>2.3885350318471337E-3</v>
      </c>
      <c r="Q125" s="100">
        <f>IF(SamplingData[[#This Row],[Max Error Bound (up)]] = 0,0,SamplingData[[#This Row],[Max Error Bound (up)]]/SamplingData[[#Totals],[Max Error Bound (up)]])</f>
        <v>3.7802498285938744E-4</v>
      </c>
      <c r="R125" s="101">
        <f>SUM($Q$5:Q125)</f>
        <v>7.3718066262207227E-2</v>
      </c>
      <c r="S125" s="100" t="str">
        <f t="array" ref="S125">IF(SamplingData[[#This Row],[up/U Selection Probability]] = 0, "Zero", TEXT(SamplingData[[#This Row],[Lower Range]], REPT("0",LEN('General Info'!$B$40))) &amp; " - " &amp; TEXT(SamplingData[[#This Row],[Upper Range]], REPT("0",LEN('General Info'!$B$40))))</f>
        <v>07334 - 07371</v>
      </c>
      <c r="T125" s="100">
        <f>SamplingData[[#This Row],[Upper Range]]-SamplingData[[#This Row],[Span]]</f>
        <v>7334.0045059597669</v>
      </c>
      <c r="U125" s="100">
        <f>IF(ISNUMBER('General Info'!$B$40), ((SamplingData[[#This Row],[up/U Selection Probability]]) * 'General Info'!$B$40) - 1, 0)</f>
        <v>36.802120260955881</v>
      </c>
      <c r="V125" s="100">
        <f>IF(ISNUMBER('General Info'!$B$40), (SamplingData[[#This Row],[Running (cumulative) sum]] * ('General Info'!$B$40 -'General Info'!$B$41 + 1)) + 'General Info'!$B$41 - 1, 0)</f>
        <v>7370.806626220723</v>
      </c>
      <c r="W125" s="100" t="str">
        <f>IF(ISERROR(MATCH(SamplingData[[#This Row],[Batch by Type (p)]],SelectedPrecincts[Batch Name], 0)), "", INDEX(SelectedPrecincts[Draw], MATCH(SamplingData[[#This Row],[Batch by Type (p)]],SelectedPrecincts[Batch Name], 0)))</f>
        <v/>
      </c>
      <c r="X125" s="102">
        <f>IF(COUNTIF(SelectedPrecincts[Batch Name],SamplingData[[#This Row],[Batch by Type (p)]]) &lt;&gt; 0, COUNTIF(SelectedPrecincts[Batch Name],SamplingData[[#This Row],[Batch by Type (p)]]), 0)</f>
        <v>0</v>
      </c>
    </row>
    <row r="126" spans="1:24" ht="15" customHeight="1">
      <c r="A126" s="18" t="s">
        <v>302</v>
      </c>
      <c r="B126" s="18">
        <v>1</v>
      </c>
      <c r="C126" s="18">
        <v>4</v>
      </c>
      <c r="D126" s="18">
        <v>1</v>
      </c>
      <c r="E126" s="18">
        <v>0</v>
      </c>
      <c r="F126" s="18">
        <v>0</v>
      </c>
      <c r="G126" s="18">
        <v>0</v>
      </c>
      <c r="H126" s="18">
        <v>0</v>
      </c>
      <c r="I126" s="18">
        <v>0</v>
      </c>
      <c r="J126" s="99">
        <f>SUM(SamplingData[[#This Row],[Losing Candidate]:[Under Votes]])</f>
        <v>6</v>
      </c>
      <c r="K126"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26" s="100">
        <f>IF(AND(SamplingData[[#This Row],[Total]]&lt;&gt; 0, NOT(ISBLANK(SamplingData[[#This Row],[Candidate 3]]))),(SamplingData[[#This Row],[Total]]+SamplingData[[#This Row],[Winning Candidate]]-SamplingData[[#This Row],[Candidate 3]])/(SamplingData[[#Totals],[Winning Candidate]]-SamplingData[[#Totals],[Candidate 3]]), 0)</f>
        <v>2.9035067909797722E-4</v>
      </c>
      <c r="M126" s="100">
        <f>IF(AND(SamplingData[[#This Row],[Total]]&lt;&gt; 0, NOT(ISBLANK(SamplingData[[#This Row],[Candidate 4]]))),(SamplingData[[#This Row],[Total]]+SamplingData[[#This Row],[Winning Candidate]]-SamplingData[[#This Row],[Candidate 4]])/(SamplingData[[#Totals],[Winning Candidate]]-SamplingData[[#Totals],[Candidate 4]]), 0)</f>
        <v>2.9232073430968461E-4</v>
      </c>
      <c r="N126" s="100">
        <f>IF(AND(SamplingData[[#This Row],[Total]]&lt;&gt; 0, NOT(ISBLANK(SamplingData[[#This Row],[Candidate 5]]))),(SamplingData[[#This Row],[Total]]+SamplingData[[#This Row],[Winning Candidate]]-SamplingData[[#This Row],[Candidate 5]])/(SamplingData[[#Totals],[Winning Candidate]]-SamplingData[[#Totals],[Candidate 5]]), 0)</f>
        <v>2.4324981756263683E-4</v>
      </c>
      <c r="O126" s="100">
        <f>IF(AND(SamplingData[[#This Row],[Total]]&lt;&gt; 0, NOT(ISBLANK(SamplingData[[#This Row],[Candidate 6]]))),(SamplingData[[#This Row],[Total]]+SamplingData[[#This Row],[Winning Candidate]]-SamplingData[[#This Row],[Candidate 6]])/(SamplingData[[#Totals],[Winning Candidate]]-SamplingData[[#Totals],[Candidate 6]]), 0)</f>
        <v>2.431788337143135E-4</v>
      </c>
      <c r="P126" s="100">
        <f>MAX(SamplingData[[#This Row],[Error Bound (up) - Max. possible relative overstatement - Losing Candidate]:[Error Bound (up) - Max. possible relative overstatement - Candidate 6]])</f>
        <v>5.5120039196472322E-4</v>
      </c>
      <c r="Q126" s="100">
        <f>IF(SamplingData[[#This Row],[Max Error Bound (up)]] = 0,0,SamplingData[[#This Row],[Max Error Bound (up)]]/SamplingData[[#Totals],[Max Error Bound (up)]])</f>
        <v>8.7236534506012492E-5</v>
      </c>
      <c r="R126" s="101">
        <f>SUM($Q$5:Q126)</f>
        <v>7.380530279671324E-2</v>
      </c>
      <c r="S126" s="100" t="str">
        <f t="array" ref="S126">IF(SamplingData[[#This Row],[up/U Selection Probability]] = 0, "Zero", TEXT(SamplingData[[#This Row],[Lower Range]], REPT("0",LEN('General Info'!$B$40))) &amp; " - " &amp; TEXT(SamplingData[[#This Row],[Upper Range]], REPT("0",LEN('General Info'!$B$40))))</f>
        <v>07372 - 07380</v>
      </c>
      <c r="T126" s="100">
        <f>SamplingData[[#This Row],[Upper Range]]-SamplingData[[#This Row],[Span]]</f>
        <v>7371.8067134572575</v>
      </c>
      <c r="U126" s="100">
        <f>IF(ISNUMBER('General Info'!$B$40), ((SamplingData[[#This Row],[up/U Selection Probability]]) * 'General Info'!$B$40) - 1, 0)</f>
        <v>7.7235662140667429</v>
      </c>
      <c r="V126" s="100">
        <f>IF(ISNUMBER('General Info'!$B$40), (SamplingData[[#This Row],[Running (cumulative) sum]] * ('General Info'!$B$40 -'General Info'!$B$41 + 1)) + 'General Info'!$B$41 - 1, 0)</f>
        <v>7379.530279671324</v>
      </c>
      <c r="W126" s="100" t="str">
        <f>IF(ISERROR(MATCH(SamplingData[[#This Row],[Batch by Type (p)]],SelectedPrecincts[Batch Name], 0)), "", INDEX(SelectedPrecincts[Draw], MATCH(SamplingData[[#This Row],[Batch by Type (p)]],SelectedPrecincts[Batch Name], 0)))</f>
        <v/>
      </c>
      <c r="X126" s="102">
        <f>IF(COUNTIF(SelectedPrecincts[Batch Name],SamplingData[[#This Row],[Batch by Type (p)]]) &lt;&gt; 0, COUNTIF(SelectedPrecincts[Batch Name],SamplingData[[#This Row],[Batch by Type (p)]]), 0)</f>
        <v>0</v>
      </c>
    </row>
    <row r="127" spans="1:24" ht="15" customHeight="1">
      <c r="A127" s="18" t="s">
        <v>303</v>
      </c>
      <c r="B127" s="18">
        <v>16</v>
      </c>
      <c r="C127" s="18">
        <v>12</v>
      </c>
      <c r="D127" s="16">
        <v>6</v>
      </c>
      <c r="E127" s="16">
        <v>6</v>
      </c>
      <c r="F127" s="37">
        <v>0</v>
      </c>
      <c r="G127" s="37">
        <v>1</v>
      </c>
      <c r="H127" s="17">
        <v>0</v>
      </c>
      <c r="I127" s="17">
        <v>2</v>
      </c>
      <c r="J127" s="99">
        <f>SUM(SamplingData[[#This Row],[Losing Candidate]:[Under Votes]])</f>
        <v>43</v>
      </c>
      <c r="K127"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127" s="100">
        <f>IF(AND(SamplingData[[#This Row],[Total]]&lt;&gt; 0, NOT(ISBLANK(SamplingData[[#This Row],[Candidate 3]]))),(SamplingData[[#This Row],[Total]]+SamplingData[[#This Row],[Winning Candidate]]-SamplingData[[#This Row],[Candidate 3]])/(SamplingData[[#Totals],[Winning Candidate]]-SamplingData[[#Totals],[Candidate 3]]), 0)</f>
        <v>1.5807981417556537E-3</v>
      </c>
      <c r="M127" s="100">
        <f>IF(AND(SamplingData[[#This Row],[Total]]&lt;&gt; 0, NOT(ISBLANK(SamplingData[[#This Row],[Candidate 4]]))),(SamplingData[[#This Row],[Total]]+SamplingData[[#This Row],[Winning Candidate]]-SamplingData[[#This Row],[Candidate 4]])/(SamplingData[[#Totals],[Winning Candidate]]-SamplingData[[#Totals],[Candidate 4]]), 0)</f>
        <v>1.4323715981174544E-3</v>
      </c>
      <c r="N127" s="100">
        <f>IF(AND(SamplingData[[#This Row],[Total]]&lt;&gt; 0, NOT(ISBLANK(SamplingData[[#This Row],[Candidate 5]]))),(SamplingData[[#This Row],[Total]]+SamplingData[[#This Row],[Winning Candidate]]-SamplingData[[#This Row],[Candidate 5]])/(SamplingData[[#Totals],[Winning Candidate]]-SamplingData[[#Totals],[Candidate 5]]), 0)</f>
        <v>1.3378739965945025E-3</v>
      </c>
      <c r="O127" s="100">
        <f>IF(AND(SamplingData[[#This Row],[Total]]&lt;&gt; 0, NOT(ISBLANK(SamplingData[[#This Row],[Candidate 6]]))),(SamplingData[[#This Row],[Total]]+SamplingData[[#This Row],[Winning Candidate]]-SamplingData[[#This Row],[Candidate 6]])/(SamplingData[[#Totals],[Winning Candidate]]-SamplingData[[#Totals],[Candidate 6]]), 0)</f>
        <v>1.313165702057293E-3</v>
      </c>
      <c r="P127" s="100">
        <f>MAX(SamplingData[[#This Row],[Error Bound (up) - Max. possible relative overstatement - Losing Candidate]:[Error Bound (up) - Max. possible relative overstatement - Candidate 6]])</f>
        <v>2.3885350318471337E-3</v>
      </c>
      <c r="Q127" s="100">
        <f>IF(SamplingData[[#This Row],[Max Error Bound (up)]] = 0,0,SamplingData[[#This Row],[Max Error Bound (up)]]/SamplingData[[#Totals],[Max Error Bound (up)]])</f>
        <v>3.7802498285938744E-4</v>
      </c>
      <c r="R127" s="101">
        <f>SUM($Q$5:Q127)</f>
        <v>7.4183327779572622E-2</v>
      </c>
      <c r="S127" s="100" t="str">
        <f t="array" ref="S127">IF(SamplingData[[#This Row],[up/U Selection Probability]] = 0, "Zero", TEXT(SamplingData[[#This Row],[Lower Range]], REPT("0",LEN('General Info'!$B$40))) &amp; " - " &amp; TEXT(SamplingData[[#This Row],[Upper Range]], REPT("0",LEN('General Info'!$B$40))))</f>
        <v>07381 - 07417</v>
      </c>
      <c r="T127" s="100">
        <f>SamplingData[[#This Row],[Upper Range]]-SamplingData[[#This Row],[Span]]</f>
        <v>7380.5306576963058</v>
      </c>
      <c r="U127" s="100">
        <f>IF(ISNUMBER('General Info'!$B$40), ((SamplingData[[#This Row],[up/U Selection Probability]]) * 'General Info'!$B$40) - 1, 0)</f>
        <v>36.802120260955881</v>
      </c>
      <c r="V127" s="100">
        <f>IF(ISNUMBER('General Info'!$B$40), (SamplingData[[#This Row],[Running (cumulative) sum]] * ('General Info'!$B$40 -'General Info'!$B$41 + 1)) + 'General Info'!$B$41 - 1, 0)</f>
        <v>7417.3327779572619</v>
      </c>
      <c r="W127" s="100" t="str">
        <f>IF(ISERROR(MATCH(SamplingData[[#This Row],[Batch by Type (p)]],SelectedPrecincts[Batch Name], 0)), "", INDEX(SelectedPrecincts[Draw], MATCH(SamplingData[[#This Row],[Batch by Type (p)]],SelectedPrecincts[Batch Name], 0)))</f>
        <v/>
      </c>
      <c r="X127" s="102">
        <f>IF(COUNTIF(SelectedPrecincts[Batch Name],SamplingData[[#This Row],[Batch by Type (p)]]) &lt;&gt; 0, COUNTIF(SelectedPrecincts[Batch Name],SamplingData[[#This Row],[Batch by Type (p)]]), 0)</f>
        <v>0</v>
      </c>
    </row>
    <row r="128" spans="1:24" ht="15" customHeight="1">
      <c r="A128" s="18" t="s">
        <v>304</v>
      </c>
      <c r="B128" s="18">
        <v>4</v>
      </c>
      <c r="C128" s="18">
        <v>4</v>
      </c>
      <c r="D128" s="18">
        <v>0</v>
      </c>
      <c r="E128" s="18">
        <v>2</v>
      </c>
      <c r="F128" s="18">
        <v>0</v>
      </c>
      <c r="G128" s="18">
        <v>0</v>
      </c>
      <c r="H128" s="18">
        <v>0</v>
      </c>
      <c r="I128" s="18">
        <v>0</v>
      </c>
      <c r="J128" s="99">
        <f>SUM(SamplingData[[#This Row],[Losing Candidate]:[Under Votes]])</f>
        <v>10</v>
      </c>
      <c r="K12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128" s="100">
        <f>IF(AND(SamplingData[[#This Row],[Total]]&lt;&gt; 0, NOT(ISBLANK(SamplingData[[#This Row],[Candidate 3]]))),(SamplingData[[#This Row],[Total]]+SamplingData[[#This Row],[Winning Candidate]]-SamplingData[[#This Row],[Candidate 3]])/(SamplingData[[#Totals],[Winning Candidate]]-SamplingData[[#Totals],[Candidate 3]]), 0)</f>
        <v>4.5165661193018679E-4</v>
      </c>
      <c r="M128" s="100">
        <f>IF(AND(SamplingData[[#This Row],[Total]]&lt;&gt; 0, NOT(ISBLANK(SamplingData[[#This Row],[Candidate 4]]))),(SamplingData[[#This Row],[Total]]+SamplingData[[#This Row],[Winning Candidate]]-SamplingData[[#This Row],[Candidate 4]])/(SamplingData[[#Totals],[Winning Candidate]]-SamplingData[[#Totals],[Candidate 4]]), 0)</f>
        <v>3.5078488117162149E-4</v>
      </c>
      <c r="N128" s="100">
        <f>IF(AND(SamplingData[[#This Row],[Total]]&lt;&gt; 0, NOT(ISBLANK(SamplingData[[#This Row],[Candidate 5]]))),(SamplingData[[#This Row],[Total]]+SamplingData[[#This Row],[Winning Candidate]]-SamplingData[[#This Row],[Candidate 5]])/(SamplingData[[#Totals],[Winning Candidate]]-SamplingData[[#Totals],[Candidate 5]]), 0)</f>
        <v>3.4054974458769157E-4</v>
      </c>
      <c r="O128" s="100">
        <f>IF(AND(SamplingData[[#This Row],[Total]]&lt;&gt; 0, NOT(ISBLANK(SamplingData[[#This Row],[Candidate 6]]))),(SamplingData[[#This Row],[Total]]+SamplingData[[#This Row],[Winning Candidate]]-SamplingData[[#This Row],[Candidate 6]])/(SamplingData[[#Totals],[Winning Candidate]]-SamplingData[[#Totals],[Candidate 6]]), 0)</f>
        <v>3.4045036720003888E-4</v>
      </c>
      <c r="P128" s="100">
        <f>MAX(SamplingData[[#This Row],[Error Bound (up) - Max. possible relative overstatement - Losing Candidate]:[Error Bound (up) - Max. possible relative overstatement - Candidate 6]])</f>
        <v>6.1244487996080352E-4</v>
      </c>
      <c r="Q128" s="100">
        <f>IF(SamplingData[[#This Row],[Max Error Bound (up)]] = 0,0,SamplingData[[#This Row],[Max Error Bound (up)]]/SamplingData[[#Totals],[Max Error Bound (up)]])</f>
        <v>9.6929482784458319E-5</v>
      </c>
      <c r="R128" s="101">
        <f>SUM($Q$5:Q128)</f>
        <v>7.4280257262357083E-2</v>
      </c>
      <c r="S128" s="100" t="str">
        <f t="array" ref="S128">IF(SamplingData[[#This Row],[up/U Selection Probability]] = 0, "Zero", TEXT(SamplingData[[#This Row],[Lower Range]], REPT("0",LEN('General Info'!$B$40))) &amp; " - " &amp; TEXT(SamplingData[[#This Row],[Upper Range]], REPT("0",LEN('General Info'!$B$40))))</f>
        <v>07418 - 07427</v>
      </c>
      <c r="T128" s="100">
        <f>SamplingData[[#This Row],[Upper Range]]-SamplingData[[#This Row],[Span]]</f>
        <v>7418.3328748867452</v>
      </c>
      <c r="U128" s="100">
        <f>IF(ISNUMBER('General Info'!$B$40), ((SamplingData[[#This Row],[up/U Selection Probability]]) * 'General Info'!$B$40) - 1, 0)</f>
        <v>8.6928513489630479</v>
      </c>
      <c r="V128" s="100">
        <f>IF(ISNUMBER('General Info'!$B$40), (SamplingData[[#This Row],[Running (cumulative) sum]] * ('General Info'!$B$40 -'General Info'!$B$41 + 1)) + 'General Info'!$B$41 - 1, 0)</f>
        <v>7427.0257262357081</v>
      </c>
      <c r="W128" s="100" t="str">
        <f>IF(ISERROR(MATCH(SamplingData[[#This Row],[Batch by Type (p)]],SelectedPrecincts[Batch Name], 0)), "", INDEX(SelectedPrecincts[Draw], MATCH(SamplingData[[#This Row],[Batch by Type (p)]],SelectedPrecincts[Batch Name], 0)))</f>
        <v/>
      </c>
      <c r="X128" s="102">
        <f>IF(COUNTIF(SelectedPrecincts[Batch Name],SamplingData[[#This Row],[Batch by Type (p)]]) &lt;&gt; 0, COUNTIF(SelectedPrecincts[Batch Name],SamplingData[[#This Row],[Batch by Type (p)]]), 0)</f>
        <v>0</v>
      </c>
    </row>
    <row r="129" spans="1:24" ht="15" customHeight="1">
      <c r="A129" s="18" t="s">
        <v>305</v>
      </c>
      <c r="B129" s="18">
        <v>19</v>
      </c>
      <c r="C129" s="18">
        <v>32</v>
      </c>
      <c r="D129" s="16">
        <v>17</v>
      </c>
      <c r="E129" s="16">
        <v>7</v>
      </c>
      <c r="F129" s="37">
        <v>1</v>
      </c>
      <c r="G129" s="37">
        <v>3</v>
      </c>
      <c r="H129" s="17">
        <v>0</v>
      </c>
      <c r="I129" s="17">
        <v>3</v>
      </c>
      <c r="J129" s="99">
        <f>SUM(SamplingData[[#This Row],[Losing Candidate]:[Under Votes]])</f>
        <v>82</v>
      </c>
      <c r="K129" s="100">
        <f>IF(AND(SamplingData[[#This Row],[Total]]&lt;&gt; 0, NOT(ISBLANK(SamplingData[[#This Row],[Losing Candidate]]))),(SamplingData[[#This Row],[Total]]+SamplingData[[#This Row],[Winning Candidate]]-SamplingData[[#This Row],[Losing Candidate]])/(SamplingData[[#Totals],[Winning Candidate]]-SamplingData[[#Totals],[Losing Candidate]]), 0)</f>
        <v>5.8182263596276334E-3</v>
      </c>
      <c r="L129" s="100">
        <f>IF(AND(SamplingData[[#This Row],[Total]]&lt;&gt; 0, NOT(ISBLANK(SamplingData[[#This Row],[Candidate 3]]))),(SamplingData[[#This Row],[Total]]+SamplingData[[#This Row],[Winning Candidate]]-SamplingData[[#This Row],[Candidate 3]])/(SamplingData[[#Totals],[Winning Candidate]]-SamplingData[[#Totals],[Candidate 3]]), 0)</f>
        <v>3.1293350969448658E-3</v>
      </c>
      <c r="M129" s="100">
        <f>IF(AND(SamplingData[[#This Row],[Total]]&lt;&gt; 0, NOT(ISBLANK(SamplingData[[#This Row],[Candidate 4]]))),(SamplingData[[#This Row],[Total]]+SamplingData[[#This Row],[Winning Candidate]]-SamplingData[[#This Row],[Candidate 4]])/(SamplingData[[#Totals],[Winning Candidate]]-SamplingData[[#Totals],[Candidate 4]]), 0)</f>
        <v>3.1278318571136251E-3</v>
      </c>
      <c r="N129" s="100">
        <f>IF(AND(SamplingData[[#This Row],[Total]]&lt;&gt; 0, NOT(ISBLANK(SamplingData[[#This Row],[Candidate 5]]))),(SamplingData[[#This Row],[Total]]+SamplingData[[#This Row],[Winning Candidate]]-SamplingData[[#This Row],[Candidate 5]])/(SamplingData[[#Totals],[Winning Candidate]]-SamplingData[[#Totals],[Candidate 5]]), 0)</f>
        <v>2.7487229384577962E-3</v>
      </c>
      <c r="O129" s="100">
        <f>IF(AND(SamplingData[[#This Row],[Total]]&lt;&gt; 0, NOT(ISBLANK(SamplingData[[#This Row],[Candidate 6]]))),(SamplingData[[#This Row],[Total]]+SamplingData[[#This Row],[Winning Candidate]]-SamplingData[[#This Row],[Candidate 6]])/(SamplingData[[#Totals],[Winning Candidate]]-SamplingData[[#Totals],[Candidate 6]]), 0)</f>
        <v>2.6992850542288801E-3</v>
      </c>
      <c r="P129" s="100">
        <f>MAX(SamplingData[[#This Row],[Error Bound (up) - Max. possible relative overstatement - Losing Candidate]:[Error Bound (up) - Max. possible relative overstatement - Candidate 6]])</f>
        <v>5.8182263596276334E-3</v>
      </c>
      <c r="Q129" s="100">
        <f>IF(SamplingData[[#This Row],[Max Error Bound (up)]] = 0,0,SamplingData[[#This Row],[Max Error Bound (up)]]/SamplingData[[#Totals],[Max Error Bound (up)]])</f>
        <v>9.2083008645235393E-4</v>
      </c>
      <c r="R129" s="101">
        <f>SUM($Q$5:Q129)</f>
        <v>7.5201087348809439E-2</v>
      </c>
      <c r="S129" s="100" t="str">
        <f t="array" ref="S129">IF(SamplingData[[#This Row],[up/U Selection Probability]] = 0, "Zero", TEXT(SamplingData[[#This Row],[Lower Range]], REPT("0",LEN('General Info'!$B$40))) &amp; " - " &amp; TEXT(SamplingData[[#This Row],[Upper Range]], REPT("0",LEN('General Info'!$B$40))))</f>
        <v>07428 - 07519</v>
      </c>
      <c r="T129" s="100">
        <f>SamplingData[[#This Row],[Upper Range]]-SamplingData[[#This Row],[Span]]</f>
        <v>7428.0266470657953</v>
      </c>
      <c r="U129" s="100">
        <f>IF(ISNUMBER('General Info'!$B$40), ((SamplingData[[#This Row],[up/U Selection Probability]]) * 'General Info'!$B$40) - 1, 0)</f>
        <v>91.082087815148938</v>
      </c>
      <c r="V129" s="100">
        <f>IF(ISNUMBER('General Info'!$B$40), (SamplingData[[#This Row],[Running (cumulative) sum]] * ('General Info'!$B$40 -'General Info'!$B$41 + 1)) + 'General Info'!$B$41 - 1, 0)</f>
        <v>7519.1087348809442</v>
      </c>
      <c r="W129" s="100" t="str">
        <f>IF(ISERROR(MATCH(SamplingData[[#This Row],[Batch by Type (p)]],SelectedPrecincts[Batch Name], 0)), "", INDEX(SelectedPrecincts[Draw], MATCH(SamplingData[[#This Row],[Batch by Type (p)]],SelectedPrecincts[Batch Name], 0)))</f>
        <v/>
      </c>
      <c r="X129" s="102">
        <f>IF(COUNTIF(SelectedPrecincts[Batch Name],SamplingData[[#This Row],[Batch by Type (p)]]) &lt;&gt; 0, COUNTIF(SelectedPrecincts[Batch Name],SamplingData[[#This Row],[Batch by Type (p)]]), 0)</f>
        <v>0</v>
      </c>
    </row>
    <row r="130" spans="1:24" ht="15" customHeight="1">
      <c r="A130" s="18" t="s">
        <v>306</v>
      </c>
      <c r="B130" s="18">
        <v>7</v>
      </c>
      <c r="C130" s="18">
        <v>9</v>
      </c>
      <c r="D130" s="18">
        <v>1</v>
      </c>
      <c r="E130" s="18">
        <v>4</v>
      </c>
      <c r="F130" s="18">
        <v>1</v>
      </c>
      <c r="G130" s="18">
        <v>0</v>
      </c>
      <c r="H130" s="18">
        <v>0</v>
      </c>
      <c r="I130" s="18">
        <v>0</v>
      </c>
      <c r="J130" s="99">
        <f>SUM(SamplingData[[#This Row],[Losing Candidate]:[Under Votes]])</f>
        <v>22</v>
      </c>
      <c r="K130"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130" s="100">
        <f>IF(AND(SamplingData[[#This Row],[Total]]&lt;&gt; 0, NOT(ISBLANK(SamplingData[[#This Row],[Candidate 3]]))),(SamplingData[[#This Row],[Total]]+SamplingData[[#This Row],[Winning Candidate]]-SamplingData[[#This Row],[Candidate 3]])/(SamplingData[[#Totals],[Winning Candidate]]-SamplingData[[#Totals],[Candidate 3]]), 0)</f>
        <v>9.6783559699325746E-4</v>
      </c>
      <c r="M130" s="100">
        <f>IF(AND(SamplingData[[#This Row],[Total]]&lt;&gt; 0, NOT(ISBLANK(SamplingData[[#This Row],[Candidate 4]]))),(SamplingData[[#This Row],[Total]]+SamplingData[[#This Row],[Winning Candidate]]-SamplingData[[#This Row],[Candidate 4]])/(SamplingData[[#Totals],[Winning Candidate]]-SamplingData[[#Totals],[Candidate 4]]), 0)</f>
        <v>7.8926598263614838E-4</v>
      </c>
      <c r="N130" s="100">
        <f>IF(AND(SamplingData[[#This Row],[Total]]&lt;&gt; 0, NOT(ISBLANK(SamplingData[[#This Row],[Candidate 5]]))),(SamplingData[[#This Row],[Total]]+SamplingData[[#This Row],[Winning Candidate]]-SamplingData[[#This Row],[Candidate 5]])/(SamplingData[[#Totals],[Winning Candidate]]-SamplingData[[#Totals],[Candidate 5]]), 0)</f>
        <v>7.2974945268791051E-4</v>
      </c>
      <c r="O130" s="100">
        <f>IF(AND(SamplingData[[#This Row],[Total]]&lt;&gt; 0, NOT(ISBLANK(SamplingData[[#This Row],[Candidate 6]]))),(SamplingData[[#This Row],[Total]]+SamplingData[[#This Row],[Winning Candidate]]-SamplingData[[#This Row],[Candidate 6]])/(SamplingData[[#Totals],[Winning Candidate]]-SamplingData[[#Totals],[Candidate 6]]), 0)</f>
        <v>7.5385438451437182E-4</v>
      </c>
      <c r="P130" s="100">
        <f>MAX(SamplingData[[#This Row],[Error Bound (up) - Max. possible relative overstatement - Losing Candidate]:[Error Bound (up) - Max. possible relative overstatement - Candidate 6]])</f>
        <v>1.4698677119059284E-3</v>
      </c>
      <c r="Q130" s="100">
        <f>IF(SamplingData[[#This Row],[Max Error Bound (up)]] = 0,0,SamplingData[[#This Row],[Max Error Bound (up)]]/SamplingData[[#Totals],[Max Error Bound (up)]])</f>
        <v>2.3263075868269994E-4</v>
      </c>
      <c r="R130" s="101">
        <f>SUM($Q$5:Q130)</f>
        <v>7.5433718107492137E-2</v>
      </c>
      <c r="S130" s="100" t="str">
        <f t="array" ref="S130">IF(SamplingData[[#This Row],[up/U Selection Probability]] = 0, "Zero", TEXT(SamplingData[[#This Row],[Lower Range]], REPT("0",LEN('General Info'!$B$40))) &amp; " - " &amp; TEXT(SamplingData[[#This Row],[Upper Range]], REPT("0",LEN('General Info'!$B$40))))</f>
        <v>07520 - 07542</v>
      </c>
      <c r="T130" s="100">
        <f>SamplingData[[#This Row],[Upper Range]]-SamplingData[[#This Row],[Span]]</f>
        <v>7520.1089675117028</v>
      </c>
      <c r="U130" s="100">
        <f>IF(ISNUMBER('General Info'!$B$40), ((SamplingData[[#This Row],[up/U Selection Probability]]) * 'General Info'!$B$40) - 1, 0)</f>
        <v>22.262843237511312</v>
      </c>
      <c r="V130" s="100">
        <f>IF(ISNUMBER('General Info'!$B$40), (SamplingData[[#This Row],[Running (cumulative) sum]] * ('General Info'!$B$40 -'General Info'!$B$41 + 1)) + 'General Info'!$B$41 - 1, 0)</f>
        <v>7542.3718107492141</v>
      </c>
      <c r="W130" s="100" t="str">
        <f>IF(ISERROR(MATCH(SamplingData[[#This Row],[Batch by Type (p)]],SelectedPrecincts[Batch Name], 0)), "", INDEX(SelectedPrecincts[Draw], MATCH(SamplingData[[#This Row],[Batch by Type (p)]],SelectedPrecincts[Batch Name], 0)))</f>
        <v/>
      </c>
      <c r="X130" s="102">
        <f>IF(COUNTIF(SelectedPrecincts[Batch Name],SamplingData[[#This Row],[Batch by Type (p)]]) &lt;&gt; 0, COUNTIF(SelectedPrecincts[Batch Name],SamplingData[[#This Row],[Batch by Type (p)]]), 0)</f>
        <v>0</v>
      </c>
    </row>
    <row r="131" spans="1:24" ht="15" customHeight="1">
      <c r="A131" s="18" t="s">
        <v>307</v>
      </c>
      <c r="B131" s="18">
        <v>18</v>
      </c>
      <c r="C131" s="18">
        <v>90</v>
      </c>
      <c r="D131" s="16">
        <v>15</v>
      </c>
      <c r="E131" s="16">
        <v>11</v>
      </c>
      <c r="F131" s="37">
        <v>0</v>
      </c>
      <c r="G131" s="37">
        <v>1</v>
      </c>
      <c r="H131" s="17">
        <v>0</v>
      </c>
      <c r="I131" s="17">
        <v>0</v>
      </c>
      <c r="J131" s="99">
        <f>SUM(SamplingData[[#This Row],[Losing Candidate]:[Under Votes]])</f>
        <v>135</v>
      </c>
      <c r="K131" s="100">
        <f>IF(AND(SamplingData[[#This Row],[Total]]&lt;&gt; 0, NOT(ISBLANK(SamplingData[[#This Row],[Losing Candidate]]))),(SamplingData[[#This Row],[Total]]+SamplingData[[#This Row],[Winning Candidate]]-SamplingData[[#This Row],[Losing Candidate]])/(SamplingData[[#Totals],[Winning Candidate]]-SamplingData[[#Totals],[Losing Candidate]]), 0)</f>
        <v>1.2677609015188633E-2</v>
      </c>
      <c r="L131" s="100">
        <f>IF(AND(SamplingData[[#This Row],[Total]]&lt;&gt; 0, NOT(ISBLANK(SamplingData[[#This Row],[Candidate 3]]))),(SamplingData[[#This Row],[Total]]+SamplingData[[#This Row],[Winning Candidate]]-SamplingData[[#This Row],[Candidate 3]])/(SamplingData[[#Totals],[Winning Candidate]]-SamplingData[[#Totals],[Candidate 3]]), 0)</f>
        <v>6.7748491789528017E-3</v>
      </c>
      <c r="M131" s="100">
        <f>IF(AND(SamplingData[[#This Row],[Total]]&lt;&gt; 0, NOT(ISBLANK(SamplingData[[#This Row],[Candidate 4]]))),(SamplingData[[#This Row],[Total]]+SamplingData[[#This Row],[Winning Candidate]]-SamplingData[[#This Row],[Candidate 4]])/(SamplingData[[#Totals],[Winning Candidate]]-SamplingData[[#Totals],[Candidate 4]]), 0)</f>
        <v>6.2556637142272501E-3</v>
      </c>
      <c r="N131" s="100">
        <f>IF(AND(SamplingData[[#This Row],[Total]]&lt;&gt; 0, NOT(ISBLANK(SamplingData[[#This Row],[Candidate 5]]))),(SamplingData[[#This Row],[Total]]+SamplingData[[#This Row],[Winning Candidate]]-SamplingData[[#This Row],[Candidate 5]])/(SamplingData[[#Totals],[Winning Candidate]]-SamplingData[[#Totals],[Candidate 5]]), 0)</f>
        <v>5.4731208951593283E-3</v>
      </c>
      <c r="O131" s="100">
        <f>IF(AND(SamplingData[[#This Row],[Total]]&lt;&gt; 0, NOT(ISBLANK(SamplingData[[#This Row],[Candidate 6]]))),(SamplingData[[#This Row],[Total]]+SamplingData[[#This Row],[Winning Candidate]]-SamplingData[[#This Row],[Candidate 6]])/(SamplingData[[#Totals],[Winning Candidate]]-SamplingData[[#Totals],[Candidate 6]]), 0)</f>
        <v>5.4472058752006221E-3</v>
      </c>
      <c r="P131" s="100">
        <f>MAX(SamplingData[[#This Row],[Error Bound (up) - Max. possible relative overstatement - Losing Candidate]:[Error Bound (up) - Max. possible relative overstatement - Candidate 6]])</f>
        <v>1.2677609015188633E-2</v>
      </c>
      <c r="Q131" s="100">
        <f>IF(SamplingData[[#This Row],[Max Error Bound (up)]] = 0,0,SamplingData[[#This Row],[Max Error Bound (up)]]/SamplingData[[#Totals],[Max Error Bound (up)]])</f>
        <v>2.0064402936382873E-3</v>
      </c>
      <c r="R131" s="101">
        <f>SUM($Q$5:Q131)</f>
        <v>7.7440158401130429E-2</v>
      </c>
      <c r="S131" s="100" t="str">
        <f t="array" ref="S131">IF(SamplingData[[#This Row],[up/U Selection Probability]] = 0, "Zero", TEXT(SamplingData[[#This Row],[Lower Range]], REPT("0",LEN('General Info'!$B$40))) &amp; " - " &amp; TEXT(SamplingData[[#This Row],[Upper Range]], REPT("0",LEN('General Info'!$B$40))))</f>
        <v>07543 - 07743</v>
      </c>
      <c r="T131" s="100">
        <f>SamplingData[[#This Row],[Upper Range]]-SamplingData[[#This Row],[Span]]</f>
        <v>7543.3738171895075</v>
      </c>
      <c r="U131" s="100">
        <f>IF(ISNUMBER('General Info'!$B$40), ((SamplingData[[#This Row],[up/U Selection Probability]]) * 'General Info'!$B$40) - 1, 0)</f>
        <v>199.64202292353508</v>
      </c>
      <c r="V131" s="100">
        <f>IF(ISNUMBER('General Info'!$B$40), (SamplingData[[#This Row],[Running (cumulative) sum]] * ('General Info'!$B$40 -'General Info'!$B$41 + 1)) + 'General Info'!$B$41 - 1, 0)</f>
        <v>7743.0158401130429</v>
      </c>
      <c r="W131" s="100" t="str">
        <f>IF(ISERROR(MATCH(SamplingData[[#This Row],[Batch by Type (p)]],SelectedPrecincts[Batch Name], 0)), "", INDEX(SelectedPrecincts[Draw], MATCH(SamplingData[[#This Row],[Batch by Type (p)]],SelectedPrecincts[Batch Name], 0)))</f>
        <v/>
      </c>
      <c r="X131" s="102">
        <f>IF(COUNTIF(SelectedPrecincts[Batch Name],SamplingData[[#This Row],[Batch by Type (p)]]) &lt;&gt; 0, COUNTIF(SelectedPrecincts[Batch Name],SamplingData[[#This Row],[Batch by Type (p)]]), 0)</f>
        <v>0</v>
      </c>
    </row>
    <row r="132" spans="1:24" ht="15" customHeight="1">
      <c r="A132" s="18" t="s">
        <v>308</v>
      </c>
      <c r="B132" s="18">
        <v>20</v>
      </c>
      <c r="C132" s="18">
        <v>28</v>
      </c>
      <c r="D132" s="18">
        <v>8</v>
      </c>
      <c r="E132" s="18">
        <v>4</v>
      </c>
      <c r="F132" s="18">
        <v>0</v>
      </c>
      <c r="G132" s="18">
        <v>0</v>
      </c>
      <c r="H132" s="18">
        <v>0</v>
      </c>
      <c r="I132" s="18">
        <v>2</v>
      </c>
      <c r="J132" s="99">
        <f>SUM(SamplingData[[#This Row],[Losing Candidate]:[Under Votes]])</f>
        <v>62</v>
      </c>
      <c r="K132" s="100">
        <f>IF(AND(SamplingData[[#This Row],[Total]]&lt;&gt; 0, NOT(ISBLANK(SamplingData[[#This Row],[Losing Candidate]]))),(SamplingData[[#This Row],[Total]]+SamplingData[[#This Row],[Winning Candidate]]-SamplingData[[#This Row],[Losing Candidate]])/(SamplingData[[#Totals],[Winning Candidate]]-SamplingData[[#Totals],[Losing Candidate]]), 0)</f>
        <v>4.2871141597256249E-3</v>
      </c>
      <c r="L132" s="100">
        <f>IF(AND(SamplingData[[#This Row],[Total]]&lt;&gt; 0, NOT(ISBLANK(SamplingData[[#This Row],[Candidate 3]]))),(SamplingData[[#This Row],[Total]]+SamplingData[[#This Row],[Winning Candidate]]-SamplingData[[#This Row],[Candidate 3]])/(SamplingData[[#Totals],[Winning Candidate]]-SamplingData[[#Totals],[Candidate 3]]), 0)</f>
        <v>2.6454172984482368E-3</v>
      </c>
      <c r="M132" s="100">
        <f>IF(AND(SamplingData[[#This Row],[Total]]&lt;&gt; 0, NOT(ISBLANK(SamplingData[[#This Row],[Candidate 4]]))),(SamplingData[[#This Row],[Total]]+SamplingData[[#This Row],[Winning Candidate]]-SamplingData[[#This Row],[Candidate 4]])/(SamplingData[[#Totals],[Winning Candidate]]-SamplingData[[#Totals],[Candidate 4]]), 0)</f>
        <v>2.5139583150632873E-3</v>
      </c>
      <c r="N132" s="100">
        <f>IF(AND(SamplingData[[#This Row],[Total]]&lt;&gt; 0, NOT(ISBLANK(SamplingData[[#This Row],[Candidate 5]]))),(SamplingData[[#This Row],[Total]]+SamplingData[[#This Row],[Winning Candidate]]-SamplingData[[#This Row],[Candidate 5]])/(SamplingData[[#Totals],[Winning Candidate]]-SamplingData[[#Totals],[Candidate 5]]), 0)</f>
        <v>2.1892483580637314E-3</v>
      </c>
      <c r="O132" s="100">
        <f>IF(AND(SamplingData[[#This Row],[Total]]&lt;&gt; 0, NOT(ISBLANK(SamplingData[[#This Row],[Candidate 6]]))),(SamplingData[[#This Row],[Total]]+SamplingData[[#This Row],[Winning Candidate]]-SamplingData[[#This Row],[Candidate 6]])/(SamplingData[[#Totals],[Winning Candidate]]-SamplingData[[#Totals],[Candidate 6]]), 0)</f>
        <v>2.1886095034288214E-3</v>
      </c>
      <c r="P132" s="100">
        <f>MAX(SamplingData[[#This Row],[Error Bound (up) - Max. possible relative overstatement - Losing Candidate]:[Error Bound (up) - Max. possible relative overstatement - Candidate 6]])</f>
        <v>4.2871141597256249E-3</v>
      </c>
      <c r="Q132" s="100">
        <f>IF(SamplingData[[#This Row],[Max Error Bound (up)]] = 0,0,SamplingData[[#This Row],[Max Error Bound (up)]]/SamplingData[[#Totals],[Max Error Bound (up)]])</f>
        <v>6.7850637949120826E-4</v>
      </c>
      <c r="R132" s="101">
        <f>SUM($Q$5:Q132)</f>
        <v>7.8118664780621641E-2</v>
      </c>
      <c r="S132" s="100" t="str">
        <f t="array" ref="S132">IF(SamplingData[[#This Row],[up/U Selection Probability]] = 0, "Zero", TEXT(SamplingData[[#This Row],[Lower Range]], REPT("0",LEN('General Info'!$B$40))) &amp; " - " &amp; TEXT(SamplingData[[#This Row],[Upper Range]], REPT("0",LEN('General Info'!$B$40))))</f>
        <v>07744 - 07811</v>
      </c>
      <c r="T132" s="100">
        <f>SamplingData[[#This Row],[Upper Range]]-SamplingData[[#This Row],[Span]]</f>
        <v>7744.0165186194226</v>
      </c>
      <c r="U132" s="100">
        <f>IF(ISNUMBER('General Info'!$B$40), ((SamplingData[[#This Row],[up/U Selection Probability]]) * 'General Info'!$B$40) - 1, 0)</f>
        <v>66.849959442741337</v>
      </c>
      <c r="V132" s="100">
        <f>IF(ISNUMBER('General Info'!$B$40), (SamplingData[[#This Row],[Running (cumulative) sum]] * ('General Info'!$B$40 -'General Info'!$B$41 + 1)) + 'General Info'!$B$41 - 1, 0)</f>
        <v>7810.8664780621639</v>
      </c>
      <c r="W132" s="100" t="str">
        <f>IF(ISERROR(MATCH(SamplingData[[#This Row],[Batch by Type (p)]],SelectedPrecincts[Batch Name], 0)), "", INDEX(SelectedPrecincts[Draw], MATCH(SamplingData[[#This Row],[Batch by Type (p)]],SelectedPrecincts[Batch Name], 0)))</f>
        <v/>
      </c>
      <c r="X132" s="102">
        <f>IF(COUNTIF(SelectedPrecincts[Batch Name],SamplingData[[#This Row],[Batch by Type (p)]]) &lt;&gt; 0, COUNTIF(SelectedPrecincts[Batch Name],SamplingData[[#This Row],[Batch by Type (p)]]), 0)</f>
        <v>0</v>
      </c>
    </row>
    <row r="133" spans="1:24" ht="15" customHeight="1">
      <c r="A133" s="18" t="s">
        <v>309</v>
      </c>
      <c r="B133" s="18">
        <v>39</v>
      </c>
      <c r="C133" s="18">
        <v>67</v>
      </c>
      <c r="D133" s="16">
        <v>18</v>
      </c>
      <c r="E133" s="16">
        <v>13</v>
      </c>
      <c r="F133" s="37">
        <v>2</v>
      </c>
      <c r="G133" s="37">
        <v>1</v>
      </c>
      <c r="H133" s="17">
        <v>0</v>
      </c>
      <c r="I133" s="17">
        <v>0</v>
      </c>
      <c r="J133" s="99">
        <f>SUM(SamplingData[[#This Row],[Losing Candidate]:[Under Votes]])</f>
        <v>140</v>
      </c>
      <c r="K133" s="100">
        <f>IF(AND(SamplingData[[#This Row],[Total]]&lt;&gt; 0, NOT(ISBLANK(SamplingData[[#This Row],[Losing Candidate]]))),(SamplingData[[#This Row],[Total]]+SamplingData[[#This Row],[Winning Candidate]]-SamplingData[[#This Row],[Losing Candidate]])/(SamplingData[[#Totals],[Winning Candidate]]-SamplingData[[#Totals],[Losing Candidate]]), 0)</f>
        <v>1.02890739833415E-2</v>
      </c>
      <c r="L133" s="100">
        <f>IF(AND(SamplingData[[#This Row],[Total]]&lt;&gt; 0, NOT(ISBLANK(SamplingData[[#This Row],[Candidate 3]]))),(SamplingData[[#This Row],[Total]]+SamplingData[[#This Row],[Winning Candidate]]-SamplingData[[#This Row],[Candidate 3]])/(SamplingData[[#Totals],[Winning Candidate]]-SamplingData[[#Totals],[Candidate 3]]), 0)</f>
        <v>6.097364261057522E-3</v>
      </c>
      <c r="M133" s="100">
        <f>IF(AND(SamplingData[[#This Row],[Total]]&lt;&gt; 0, NOT(ISBLANK(SamplingData[[#This Row],[Candidate 4]]))),(SamplingData[[#This Row],[Total]]+SamplingData[[#This Row],[Winning Candidate]]-SamplingData[[#This Row],[Candidate 4]])/(SamplingData[[#Totals],[Winning Candidate]]-SamplingData[[#Totals],[Candidate 4]]), 0)</f>
        <v>5.6710222456078808E-3</v>
      </c>
      <c r="N133" s="100">
        <f>IF(AND(SamplingData[[#This Row],[Total]]&lt;&gt; 0, NOT(ISBLANK(SamplingData[[#This Row],[Candidate 5]]))),(SamplingData[[#This Row],[Total]]+SamplingData[[#This Row],[Winning Candidate]]-SamplingData[[#This Row],[Candidate 5]])/(SamplingData[[#Totals],[Winning Candidate]]-SamplingData[[#Totals],[Candidate 5]]), 0)</f>
        <v>4.9866212600340552E-3</v>
      </c>
      <c r="O133" s="100">
        <f>IF(AND(SamplingData[[#This Row],[Total]]&lt;&gt; 0, NOT(ISBLANK(SamplingData[[#This Row],[Candidate 6]]))),(SamplingData[[#This Row],[Total]]+SamplingData[[#This Row],[Winning Candidate]]-SamplingData[[#This Row],[Candidate 6]])/(SamplingData[[#Totals],[Winning Candidate]]-SamplingData[[#Totals],[Candidate 6]]), 0)</f>
        <v>5.009483974514858E-3</v>
      </c>
      <c r="P133" s="100">
        <f>MAX(SamplingData[[#This Row],[Error Bound (up) - Max. possible relative overstatement - Losing Candidate]:[Error Bound (up) - Max. possible relative overstatement - Candidate 6]])</f>
        <v>1.02890739833415E-2</v>
      </c>
      <c r="Q133" s="100">
        <f>IF(SamplingData[[#This Row],[Max Error Bound (up)]] = 0,0,SamplingData[[#This Row],[Max Error Bound (up)]]/SamplingData[[#Totals],[Max Error Bound (up)]])</f>
        <v>1.6284153107788998E-3</v>
      </c>
      <c r="R133" s="101">
        <f>SUM($Q$5:Q133)</f>
        <v>7.9747080091400538E-2</v>
      </c>
      <c r="S133" s="100" t="str">
        <f t="array" ref="S133">IF(SamplingData[[#This Row],[up/U Selection Probability]] = 0, "Zero", TEXT(SamplingData[[#This Row],[Lower Range]], REPT("0",LEN('General Info'!$B$40))) &amp; " - " &amp; TEXT(SamplingData[[#This Row],[Upper Range]], REPT("0",LEN('General Info'!$B$40))))</f>
        <v>07812 - 07974</v>
      </c>
      <c r="T133" s="100">
        <f>SamplingData[[#This Row],[Upper Range]]-SamplingData[[#This Row],[Span]]</f>
        <v>7811.8681064774746</v>
      </c>
      <c r="U133" s="100">
        <f>IF(ISNUMBER('General Info'!$B$40), ((SamplingData[[#This Row],[up/U Selection Probability]]) * 'General Info'!$B$40) - 1, 0)</f>
        <v>161.83990266257919</v>
      </c>
      <c r="V133" s="100">
        <f>IF(ISNUMBER('General Info'!$B$40), (SamplingData[[#This Row],[Running (cumulative) sum]] * ('General Info'!$B$40 -'General Info'!$B$41 + 1)) + 'General Info'!$B$41 - 1, 0)</f>
        <v>7973.7080091400539</v>
      </c>
      <c r="W133" s="100" t="str">
        <f>IF(ISERROR(MATCH(SamplingData[[#This Row],[Batch by Type (p)]],SelectedPrecincts[Batch Name], 0)), "", INDEX(SelectedPrecincts[Draw], MATCH(SamplingData[[#This Row],[Batch by Type (p)]],SelectedPrecincts[Batch Name], 0)))</f>
        <v/>
      </c>
      <c r="X133" s="102">
        <f>IF(COUNTIF(SelectedPrecincts[Batch Name],SamplingData[[#This Row],[Batch by Type (p)]]) &lt;&gt; 0, COUNTIF(SelectedPrecincts[Batch Name],SamplingData[[#This Row],[Batch by Type (p)]]), 0)</f>
        <v>0</v>
      </c>
    </row>
    <row r="134" spans="1:24" ht="15" customHeight="1">
      <c r="A134" s="18" t="s">
        <v>310</v>
      </c>
      <c r="B134" s="18">
        <v>28</v>
      </c>
      <c r="C134" s="18">
        <v>45</v>
      </c>
      <c r="D134" s="18">
        <v>9</v>
      </c>
      <c r="E134" s="18">
        <v>4</v>
      </c>
      <c r="F134" s="18">
        <v>0</v>
      </c>
      <c r="G134" s="18">
        <v>0</v>
      </c>
      <c r="H134" s="18">
        <v>0</v>
      </c>
      <c r="I134" s="18">
        <v>2</v>
      </c>
      <c r="J134" s="99">
        <f>SUM(SamplingData[[#This Row],[Losing Candidate]:[Under Votes]])</f>
        <v>88</v>
      </c>
      <c r="K134" s="100">
        <f>IF(AND(SamplingData[[#This Row],[Total]]&lt;&gt; 0, NOT(ISBLANK(SamplingData[[#This Row],[Losing Candidate]]))),(SamplingData[[#This Row],[Total]]+SamplingData[[#This Row],[Winning Candidate]]-SamplingData[[#This Row],[Losing Candidate]])/(SamplingData[[#Totals],[Winning Candidate]]-SamplingData[[#Totals],[Losing Candidate]]), 0)</f>
        <v>6.4306712395884374E-3</v>
      </c>
      <c r="L134" s="100">
        <f>IF(AND(SamplingData[[#This Row],[Total]]&lt;&gt; 0, NOT(ISBLANK(SamplingData[[#This Row],[Candidate 3]]))),(SamplingData[[#This Row],[Total]]+SamplingData[[#This Row],[Winning Candidate]]-SamplingData[[#This Row],[Candidate 3]])/(SamplingData[[#Totals],[Winning Candidate]]-SamplingData[[#Totals],[Candidate 3]]), 0)</f>
        <v>4.0003871342387974E-3</v>
      </c>
      <c r="M134" s="100">
        <f>IF(AND(SamplingData[[#This Row],[Total]]&lt;&gt; 0, NOT(ISBLANK(SamplingData[[#This Row],[Candidate 4]]))),(SamplingData[[#This Row],[Total]]+SamplingData[[#This Row],[Winning Candidate]]-SamplingData[[#This Row],[Candidate 4]])/(SamplingData[[#Totals],[Winning Candidate]]-SamplingData[[#Totals],[Candidate 4]]), 0)</f>
        <v>3.7709374725949313E-3</v>
      </c>
      <c r="N134" s="100">
        <f>IF(AND(SamplingData[[#This Row],[Total]]&lt;&gt; 0, NOT(ISBLANK(SamplingData[[#This Row],[Candidate 5]]))),(SamplingData[[#This Row],[Total]]+SamplingData[[#This Row],[Winning Candidate]]-SamplingData[[#This Row],[Candidate 5]])/(SamplingData[[#Totals],[Winning Candidate]]-SamplingData[[#Totals],[Candidate 5]]), 0)</f>
        <v>3.2352225735830698E-3</v>
      </c>
      <c r="O134" s="100">
        <f>IF(AND(SamplingData[[#This Row],[Total]]&lt;&gt; 0, NOT(ISBLANK(SamplingData[[#This Row],[Candidate 6]]))),(SamplingData[[#This Row],[Total]]+SamplingData[[#This Row],[Winning Candidate]]-SamplingData[[#This Row],[Candidate 6]])/(SamplingData[[#Totals],[Winning Candidate]]-SamplingData[[#Totals],[Candidate 6]]), 0)</f>
        <v>3.2342784884003698E-3</v>
      </c>
      <c r="P134" s="100">
        <f>MAX(SamplingData[[#This Row],[Error Bound (up) - Max. possible relative overstatement - Losing Candidate]:[Error Bound (up) - Max. possible relative overstatement - Candidate 6]])</f>
        <v>6.4306712395884374E-3</v>
      </c>
      <c r="Q134" s="100">
        <f>IF(SamplingData[[#This Row],[Max Error Bound (up)]] = 0,0,SamplingData[[#This Row],[Max Error Bound (up)]]/SamplingData[[#Totals],[Max Error Bound (up)]])</f>
        <v>1.0177595692368124E-3</v>
      </c>
      <c r="R134" s="101">
        <f>SUM($Q$5:Q134)</f>
        <v>8.0764839660637355E-2</v>
      </c>
      <c r="S134" s="100" t="str">
        <f t="array" ref="S134">IF(SamplingData[[#This Row],[up/U Selection Probability]] = 0, "Zero", TEXT(SamplingData[[#This Row],[Lower Range]], REPT("0",LEN('General Info'!$B$40))) &amp; " - " &amp; TEXT(SamplingData[[#This Row],[Upper Range]], REPT("0",LEN('General Info'!$B$40))))</f>
        <v>07975 - 08075</v>
      </c>
      <c r="T134" s="100">
        <f>SamplingData[[#This Row],[Upper Range]]-SamplingData[[#This Row],[Span]]</f>
        <v>7974.7090268996235</v>
      </c>
      <c r="U134" s="100">
        <f>IF(ISNUMBER('General Info'!$B$40), ((SamplingData[[#This Row],[up/U Selection Probability]]) * 'General Info'!$B$40) - 1, 0)</f>
        <v>100.77493916411201</v>
      </c>
      <c r="V134" s="100">
        <f>IF(ISNUMBER('General Info'!$B$40), (SamplingData[[#This Row],[Running (cumulative) sum]] * ('General Info'!$B$40 -'General Info'!$B$41 + 1)) + 'General Info'!$B$41 - 1, 0)</f>
        <v>8075.4839660637354</v>
      </c>
      <c r="W134" s="100" t="str">
        <f>IF(ISERROR(MATCH(SamplingData[[#This Row],[Batch by Type (p)]],SelectedPrecincts[Batch Name], 0)), "", INDEX(SelectedPrecincts[Draw], MATCH(SamplingData[[#This Row],[Batch by Type (p)]],SelectedPrecincts[Batch Name], 0)))</f>
        <v/>
      </c>
      <c r="X134" s="102">
        <f>IF(COUNTIF(SelectedPrecincts[Batch Name],SamplingData[[#This Row],[Batch by Type (p)]]) &lt;&gt; 0, COUNTIF(SelectedPrecincts[Batch Name],SamplingData[[#This Row],[Batch by Type (p)]]), 0)</f>
        <v>0</v>
      </c>
    </row>
    <row r="135" spans="1:24" ht="15" customHeight="1">
      <c r="A135" s="18" t="s">
        <v>311</v>
      </c>
      <c r="B135" s="18">
        <v>36</v>
      </c>
      <c r="C135" s="18">
        <v>68</v>
      </c>
      <c r="D135" s="16">
        <v>18</v>
      </c>
      <c r="E135" s="16">
        <v>12</v>
      </c>
      <c r="F135" s="37">
        <v>0</v>
      </c>
      <c r="G135" s="37">
        <v>1</v>
      </c>
      <c r="H135" s="17">
        <v>0</v>
      </c>
      <c r="I135" s="17">
        <v>0</v>
      </c>
      <c r="J135" s="99">
        <f>SUM(SamplingData[[#This Row],[Losing Candidate]:[Under Votes]])</f>
        <v>135</v>
      </c>
      <c r="K135" s="100">
        <f>IF(AND(SamplingData[[#This Row],[Total]]&lt;&gt; 0, NOT(ISBLANK(SamplingData[[#This Row],[Losing Candidate]]))),(SamplingData[[#This Row],[Total]]+SamplingData[[#This Row],[Winning Candidate]]-SamplingData[[#This Row],[Losing Candidate]])/(SamplingData[[#Totals],[Winning Candidate]]-SamplingData[[#Totals],[Losing Candidate]]), 0)</f>
        <v>1.0227829495345418E-2</v>
      </c>
      <c r="L135" s="100">
        <f>IF(AND(SamplingData[[#This Row],[Total]]&lt;&gt; 0, NOT(ISBLANK(SamplingData[[#This Row],[Candidate 3]]))),(SamplingData[[#This Row],[Total]]+SamplingData[[#This Row],[Winning Candidate]]-SamplingData[[#This Row],[Candidate 3]])/(SamplingData[[#Totals],[Winning Candidate]]-SamplingData[[#Totals],[Candidate 3]]), 0)</f>
        <v>5.9683195147917541E-3</v>
      </c>
      <c r="M135" s="100">
        <f>IF(AND(SamplingData[[#This Row],[Total]]&lt;&gt; 0, NOT(ISBLANK(SamplingData[[#This Row],[Candidate 4]]))),(SamplingData[[#This Row],[Total]]+SamplingData[[#This Row],[Winning Candidate]]-SamplingData[[#This Row],[Candidate 4]])/(SamplingData[[#Totals],[Winning Candidate]]-SamplingData[[#Totals],[Candidate 4]]), 0)</f>
        <v>5.5833260253149754E-3</v>
      </c>
      <c r="N135" s="100">
        <f>IF(AND(SamplingData[[#This Row],[Total]]&lt;&gt; 0, NOT(ISBLANK(SamplingData[[#This Row],[Candidate 5]]))),(SamplingData[[#This Row],[Total]]+SamplingData[[#This Row],[Winning Candidate]]-SamplingData[[#This Row],[Candidate 5]])/(SamplingData[[#Totals],[Winning Candidate]]-SamplingData[[#Totals],[Candidate 5]]), 0)</f>
        <v>4.937971296521528E-3</v>
      </c>
      <c r="O135" s="100">
        <f>IF(AND(SamplingData[[#This Row],[Total]]&lt;&gt; 0, NOT(ISBLANK(SamplingData[[#This Row],[Candidate 6]]))),(SamplingData[[#This Row],[Total]]+SamplingData[[#This Row],[Winning Candidate]]-SamplingData[[#This Row],[Candidate 6]])/(SamplingData[[#Totals],[Winning Candidate]]-SamplingData[[#Totals],[Candidate 6]]), 0)</f>
        <v>4.9122124410291325E-3</v>
      </c>
      <c r="P135" s="100">
        <f>MAX(SamplingData[[#This Row],[Error Bound (up) - Max. possible relative overstatement - Losing Candidate]:[Error Bound (up) - Max. possible relative overstatement - Candidate 6]])</f>
        <v>1.0227829495345418E-2</v>
      </c>
      <c r="Q135" s="100">
        <f>IF(SamplingData[[#This Row],[Max Error Bound (up)]] = 0,0,SamplingData[[#This Row],[Max Error Bound (up)]]/SamplingData[[#Totals],[Max Error Bound (up)]])</f>
        <v>1.6187223625004539E-3</v>
      </c>
      <c r="R135" s="101">
        <f>SUM($Q$5:Q135)</f>
        <v>8.2383562023137805E-2</v>
      </c>
      <c r="S135" s="100" t="str">
        <f t="array" ref="S135">IF(SamplingData[[#This Row],[up/U Selection Probability]] = 0, "Zero", TEXT(SamplingData[[#This Row],[Lower Range]], REPT("0",LEN('General Info'!$B$40))) &amp; " - " &amp; TEXT(SamplingData[[#This Row],[Upper Range]], REPT("0",LEN('General Info'!$B$40))))</f>
        <v>08076 - 08237</v>
      </c>
      <c r="T135" s="100">
        <f>SamplingData[[#This Row],[Upper Range]]-SamplingData[[#This Row],[Span]]</f>
        <v>8076.4855847860972</v>
      </c>
      <c r="U135" s="100">
        <f>IF(ISNUMBER('General Info'!$B$40), ((SamplingData[[#This Row],[up/U Selection Probability]]) * 'General Info'!$B$40) - 1, 0)</f>
        <v>160.8706175276829</v>
      </c>
      <c r="V135" s="100">
        <f>IF(ISNUMBER('General Info'!$B$40), (SamplingData[[#This Row],[Running (cumulative) sum]] * ('General Info'!$B$40 -'General Info'!$B$41 + 1)) + 'General Info'!$B$41 - 1, 0)</f>
        <v>8237.3562023137802</v>
      </c>
      <c r="W135" s="100" t="str">
        <f>IF(ISERROR(MATCH(SamplingData[[#This Row],[Batch by Type (p)]],SelectedPrecincts[Batch Name], 0)), "", INDEX(SelectedPrecincts[Draw], MATCH(SamplingData[[#This Row],[Batch by Type (p)]],SelectedPrecincts[Batch Name], 0)))</f>
        <v/>
      </c>
      <c r="X135" s="102">
        <f>IF(COUNTIF(SelectedPrecincts[Batch Name],SamplingData[[#This Row],[Batch by Type (p)]]) &lt;&gt; 0, COUNTIF(SelectedPrecincts[Batch Name],SamplingData[[#This Row],[Batch by Type (p)]]), 0)</f>
        <v>0</v>
      </c>
    </row>
    <row r="136" spans="1:24" ht="15" customHeight="1">
      <c r="A136" s="18" t="s">
        <v>312</v>
      </c>
      <c r="B136" s="18">
        <v>10</v>
      </c>
      <c r="C136" s="18">
        <v>37</v>
      </c>
      <c r="D136" s="18">
        <v>3</v>
      </c>
      <c r="E136" s="18">
        <v>1</v>
      </c>
      <c r="F136" s="18">
        <v>1</v>
      </c>
      <c r="G136" s="18">
        <v>0</v>
      </c>
      <c r="H136" s="18">
        <v>0</v>
      </c>
      <c r="I136" s="18">
        <v>0</v>
      </c>
      <c r="J136" s="99">
        <f>SUM(SamplingData[[#This Row],[Losing Candidate]:[Under Votes]])</f>
        <v>52</v>
      </c>
      <c r="K136" s="100">
        <f>IF(AND(SamplingData[[#This Row],[Total]]&lt;&gt; 0, NOT(ISBLANK(SamplingData[[#This Row],[Losing Candidate]]))),(SamplingData[[#This Row],[Total]]+SamplingData[[#This Row],[Winning Candidate]]-SamplingData[[#This Row],[Losing Candidate]])/(SamplingData[[#Totals],[Winning Candidate]]-SamplingData[[#Totals],[Losing Candidate]]), 0)</f>
        <v>4.8383145516903477E-3</v>
      </c>
      <c r="L136" s="100">
        <f>IF(AND(SamplingData[[#This Row],[Total]]&lt;&gt; 0, NOT(ISBLANK(SamplingData[[#This Row],[Candidate 3]]))),(SamplingData[[#This Row],[Total]]+SamplingData[[#This Row],[Winning Candidate]]-SamplingData[[#This Row],[Candidate 3]])/(SamplingData[[#Totals],[Winning Candidate]]-SamplingData[[#Totals],[Candidate 3]]), 0)</f>
        <v>2.7744620447140047E-3</v>
      </c>
      <c r="M136" s="100">
        <f>IF(AND(SamplingData[[#This Row],[Total]]&lt;&gt; 0, NOT(ISBLANK(SamplingData[[#This Row],[Candidate 4]]))),(SamplingData[[#This Row],[Total]]+SamplingData[[#This Row],[Winning Candidate]]-SamplingData[[#This Row],[Candidate 4]])/(SamplingData[[#Totals],[Winning Candidate]]-SamplingData[[#Totals],[Candidate 4]]), 0)</f>
        <v>2.5724224619252242E-3</v>
      </c>
      <c r="N136" s="100">
        <f>IF(AND(SamplingData[[#This Row],[Total]]&lt;&gt; 0, NOT(ISBLANK(SamplingData[[#This Row],[Candidate 5]]))),(SamplingData[[#This Row],[Total]]+SamplingData[[#This Row],[Winning Candidate]]-SamplingData[[#This Row],[Candidate 5]])/(SamplingData[[#Totals],[Winning Candidate]]-SamplingData[[#Totals],[Candidate 5]]), 0)</f>
        <v>2.1405983945512043E-3</v>
      </c>
      <c r="O136" s="100">
        <f>IF(AND(SamplingData[[#This Row],[Total]]&lt;&gt; 0, NOT(ISBLANK(SamplingData[[#This Row],[Candidate 6]]))),(SamplingData[[#This Row],[Total]]+SamplingData[[#This Row],[Winning Candidate]]-SamplingData[[#This Row],[Candidate 6]])/(SamplingData[[#Totals],[Winning Candidate]]-SamplingData[[#Totals],[Candidate 6]]), 0)</f>
        <v>2.16429162005739E-3</v>
      </c>
      <c r="P136" s="100">
        <f>MAX(SamplingData[[#This Row],[Error Bound (up) - Max. possible relative overstatement - Losing Candidate]:[Error Bound (up) - Max. possible relative overstatement - Candidate 6]])</f>
        <v>4.8383145516903477E-3</v>
      </c>
      <c r="Q136" s="100">
        <f>IF(SamplingData[[#This Row],[Max Error Bound (up)]] = 0,0,SamplingData[[#This Row],[Max Error Bound (up)]]/SamplingData[[#Totals],[Max Error Bound (up)]])</f>
        <v>7.6574291399722071E-4</v>
      </c>
      <c r="R136" s="101">
        <f>SUM($Q$5:Q136)</f>
        <v>8.314930493713503E-2</v>
      </c>
      <c r="S136" s="100" t="str">
        <f t="array" ref="S136">IF(SamplingData[[#This Row],[up/U Selection Probability]] = 0, "Zero", TEXT(SamplingData[[#This Row],[Lower Range]], REPT("0",LEN('General Info'!$B$40))) &amp; " - " &amp; TEXT(SamplingData[[#This Row],[Upper Range]], REPT("0",LEN('General Info'!$B$40))))</f>
        <v>08238 - 08314</v>
      </c>
      <c r="T136" s="100">
        <f>SamplingData[[#This Row],[Upper Range]]-SamplingData[[#This Row],[Span]]</f>
        <v>8238.3569680566943</v>
      </c>
      <c r="U136" s="100">
        <f>IF(ISNUMBER('General Info'!$B$40), ((SamplingData[[#This Row],[up/U Selection Probability]]) * 'General Info'!$B$40) - 1, 0)</f>
        <v>75.573525656808073</v>
      </c>
      <c r="V136" s="100">
        <f>IF(ISNUMBER('General Info'!$B$40), (SamplingData[[#This Row],[Running (cumulative) sum]] * ('General Info'!$B$40 -'General Info'!$B$41 + 1)) + 'General Info'!$B$41 - 1, 0)</f>
        <v>8313.9304937135021</v>
      </c>
      <c r="W136" s="100" t="str">
        <f>IF(ISERROR(MATCH(SamplingData[[#This Row],[Batch by Type (p)]],SelectedPrecincts[Batch Name], 0)), "", INDEX(SelectedPrecincts[Draw], MATCH(SamplingData[[#This Row],[Batch by Type (p)]],SelectedPrecincts[Batch Name], 0)))</f>
        <v/>
      </c>
      <c r="X136" s="102">
        <f>IF(COUNTIF(SelectedPrecincts[Batch Name],SamplingData[[#This Row],[Batch by Type (p)]]) &lt;&gt; 0, COUNTIF(SelectedPrecincts[Batch Name],SamplingData[[#This Row],[Batch by Type (p)]]), 0)</f>
        <v>0</v>
      </c>
    </row>
    <row r="137" spans="1:24" ht="15" customHeight="1">
      <c r="A137" s="18" t="s">
        <v>313</v>
      </c>
      <c r="B137" s="18">
        <v>22</v>
      </c>
      <c r="C137" s="18">
        <v>65</v>
      </c>
      <c r="D137" s="16">
        <v>18</v>
      </c>
      <c r="E137" s="16">
        <v>10</v>
      </c>
      <c r="F137" s="37">
        <v>1</v>
      </c>
      <c r="G137" s="37">
        <v>0</v>
      </c>
      <c r="H137" s="17">
        <v>0</v>
      </c>
      <c r="I137" s="17">
        <v>1</v>
      </c>
      <c r="J137" s="99">
        <f>SUM(SamplingData[[#This Row],[Losing Candidate]:[Under Votes]])</f>
        <v>117</v>
      </c>
      <c r="K137"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9.7991180793728563E-3</v>
      </c>
      <c r="L137" s="100">
        <f>IF(AND(SamplingData[[#This Row],[Total]]&lt;&gt; 0, NOT(ISBLANK(SamplingData[[#This Row],[Candidate 3]]))),(SamplingData[[#This Row],[Total]]+SamplingData[[#This Row],[Winning Candidate]]-SamplingData[[#This Row],[Candidate 3]])/(SamplingData[[#Totals],[Winning Candidate]]-SamplingData[[#Totals],[Candidate 3]]), 0)</f>
        <v>5.2908345968964736E-3</v>
      </c>
      <c r="M137" s="100">
        <f>IF(AND(SamplingData[[#This Row],[Total]]&lt;&gt; 0, NOT(ISBLANK(SamplingData[[#This Row],[Candidate 4]]))),(SamplingData[[#This Row],[Total]]+SamplingData[[#This Row],[Winning Candidate]]-SamplingData[[#This Row],[Candidate 4]])/(SamplingData[[#Totals],[Winning Candidate]]-SamplingData[[#Totals],[Candidate 4]]), 0)</f>
        <v>5.0279166301265745E-3</v>
      </c>
      <c r="N137" s="100">
        <f>IF(AND(SamplingData[[#This Row],[Total]]&lt;&gt; 0, NOT(ISBLANK(SamplingData[[#This Row],[Candidate 5]]))),(SamplingData[[#This Row],[Total]]+SamplingData[[#This Row],[Winning Candidate]]-SamplingData[[#This Row],[Candidate 5]])/(SamplingData[[#Totals],[Winning Candidate]]-SamplingData[[#Totals],[Candidate 5]]), 0)</f>
        <v>4.4028216978837268E-3</v>
      </c>
      <c r="O137" s="100">
        <f>IF(AND(SamplingData[[#This Row],[Total]]&lt;&gt; 0, NOT(ISBLANK(SamplingData[[#This Row],[Candidate 6]]))),(SamplingData[[#This Row],[Total]]+SamplingData[[#This Row],[Winning Candidate]]-SamplingData[[#This Row],[Candidate 6]])/(SamplingData[[#Totals],[Winning Candidate]]-SamplingData[[#Totals],[Candidate 6]]), 0)</f>
        <v>4.4258547736005056E-3</v>
      </c>
      <c r="P137" s="100">
        <f>MAX(SamplingData[[#This Row],[Error Bound (up) - Max. possible relative overstatement - Losing Candidate]:[Error Bound (up) - Max. possible relative overstatement - Candidate 6]])</f>
        <v>9.7991180793728563E-3</v>
      </c>
      <c r="Q137" s="100">
        <f>IF(SamplingData[[#This Row],[Max Error Bound (up)]] = 0,0,SamplingData[[#This Row],[Max Error Bound (up)]]/SamplingData[[#Totals],[Max Error Bound (up)]])</f>
        <v>1.5508717245513331E-3</v>
      </c>
      <c r="R137" s="101">
        <f>SUM($Q$5:Q137)</f>
        <v>8.4700176661686361E-2</v>
      </c>
      <c r="S137" s="100" t="str">
        <f t="array" ref="S137">IF(SamplingData[[#This Row],[up/U Selection Probability]] = 0, "Zero", TEXT(SamplingData[[#This Row],[Lower Range]], REPT("0",LEN('General Info'!$B$40))) &amp; " - " &amp; TEXT(SamplingData[[#This Row],[Upper Range]], REPT("0",LEN('General Info'!$B$40))))</f>
        <v>08315 - 08469</v>
      </c>
      <c r="T137" s="100">
        <f>SamplingData[[#This Row],[Upper Range]]-SamplingData[[#This Row],[Span]]</f>
        <v>8314.9320445852281</v>
      </c>
      <c r="U137" s="100">
        <f>IF(ISNUMBER('General Info'!$B$40), ((SamplingData[[#This Row],[up/U Selection Probability]]) * 'General Info'!$B$40) - 1, 0)</f>
        <v>154.08562158340877</v>
      </c>
      <c r="V137" s="100">
        <f>IF(ISNUMBER('General Info'!$B$40), (SamplingData[[#This Row],[Running (cumulative) sum]] * ('General Info'!$B$40 -'General Info'!$B$41 + 1)) + 'General Info'!$B$41 - 1, 0)</f>
        <v>8469.0176661686364</v>
      </c>
      <c r="W137" s="100" t="str">
        <f>IF(ISERROR(MATCH(SamplingData[[#This Row],[Batch by Type (p)]],SelectedPrecincts[Batch Name], 0)), "", INDEX(SelectedPrecincts[Draw], MATCH(SamplingData[[#This Row],[Batch by Type (p)]],SelectedPrecincts[Batch Name], 0)))</f>
        <v/>
      </c>
      <c r="X137" s="102">
        <f>IF(COUNTIF(SelectedPrecincts[Batch Name],SamplingData[[#This Row],[Batch by Type (p)]]) &lt;&gt; 0, COUNTIF(SelectedPrecincts[Batch Name],SamplingData[[#This Row],[Batch by Type (p)]]), 0)</f>
        <v>0</v>
      </c>
    </row>
    <row r="138" spans="1:24" ht="15" customHeight="1">
      <c r="A138" s="18" t="s">
        <v>314</v>
      </c>
      <c r="B138" s="18">
        <v>23</v>
      </c>
      <c r="C138" s="18">
        <v>23</v>
      </c>
      <c r="D138" s="18">
        <v>7</v>
      </c>
      <c r="E138" s="18">
        <v>8</v>
      </c>
      <c r="F138" s="18">
        <v>1</v>
      </c>
      <c r="G138" s="18">
        <v>1</v>
      </c>
      <c r="H138" s="18">
        <v>0</v>
      </c>
      <c r="I138" s="18">
        <v>0</v>
      </c>
      <c r="J138" s="99">
        <f>SUM(SamplingData[[#This Row],[Losing Candidate]:[Under Votes]])</f>
        <v>63</v>
      </c>
      <c r="K138" s="100">
        <f>IF(AND(SamplingData[[#This Row],[Total]]&lt;&gt; 0, NOT(ISBLANK(SamplingData[[#This Row],[Losing Candidate]]))),(SamplingData[[#This Row],[Total]]+SamplingData[[#This Row],[Winning Candidate]]-SamplingData[[#This Row],[Losing Candidate]])/(SamplingData[[#Totals],[Winning Candidate]]-SamplingData[[#Totals],[Losing Candidate]]), 0)</f>
        <v>3.8584027437530621E-3</v>
      </c>
      <c r="L138" s="100">
        <f>IF(AND(SamplingData[[#This Row],[Total]]&lt;&gt; 0, NOT(ISBLANK(SamplingData[[#This Row],[Candidate 3]]))),(SamplingData[[#This Row],[Total]]+SamplingData[[#This Row],[Winning Candidate]]-SamplingData[[#This Row],[Candidate 3]])/(SamplingData[[#Totals],[Winning Candidate]]-SamplingData[[#Totals],[Candidate 3]]), 0)</f>
        <v>2.5486337387489112E-3</v>
      </c>
      <c r="M138" s="100">
        <f>IF(AND(SamplingData[[#This Row],[Total]]&lt;&gt; 0, NOT(ISBLANK(SamplingData[[#This Row],[Candidate 4]]))),(SamplingData[[#This Row],[Total]]+SamplingData[[#This Row],[Winning Candidate]]-SamplingData[[#This Row],[Candidate 4]])/(SamplingData[[#Totals],[Winning Candidate]]-SamplingData[[#Totals],[Candidate 4]]), 0)</f>
        <v>2.28010172761554E-3</v>
      </c>
      <c r="N138" s="100">
        <f>IF(AND(SamplingData[[#This Row],[Total]]&lt;&gt; 0, NOT(ISBLANK(SamplingData[[#This Row],[Candidate 5]]))),(SamplingData[[#This Row],[Total]]+SamplingData[[#This Row],[Winning Candidate]]-SamplingData[[#This Row],[Candidate 5]])/(SamplingData[[#Totals],[Winning Candidate]]-SamplingData[[#Totals],[Candidate 5]]), 0)</f>
        <v>2.0676234492824131E-3</v>
      </c>
      <c r="O138" s="100">
        <f>IF(AND(SamplingData[[#This Row],[Total]]&lt;&gt; 0, NOT(ISBLANK(SamplingData[[#This Row],[Candidate 6]]))),(SamplingData[[#This Row],[Total]]+SamplingData[[#This Row],[Winning Candidate]]-SamplingData[[#This Row],[Candidate 6]])/(SamplingData[[#Totals],[Winning Candidate]]-SamplingData[[#Totals],[Candidate 6]]), 0)</f>
        <v>2.0670200865716649E-3</v>
      </c>
      <c r="P138" s="100">
        <f>MAX(SamplingData[[#This Row],[Error Bound (up) - Max. possible relative overstatement - Losing Candidate]:[Error Bound (up) - Max. possible relative overstatement - Candidate 6]])</f>
        <v>3.8584027437530621E-3</v>
      </c>
      <c r="Q138" s="100">
        <f>IF(SamplingData[[#This Row],[Max Error Bound (up)]] = 0,0,SamplingData[[#This Row],[Max Error Bound (up)]]/SamplingData[[#Totals],[Max Error Bound (up)]])</f>
        <v>6.1065574154208738E-4</v>
      </c>
      <c r="R138" s="101">
        <f>SUM($Q$5:Q138)</f>
        <v>8.5310832403228454E-2</v>
      </c>
      <c r="S138" s="100" t="str">
        <f t="array" ref="S138">IF(SamplingData[[#This Row],[up/U Selection Probability]] = 0, "Zero", TEXT(SamplingData[[#This Row],[Lower Range]], REPT("0",LEN('General Info'!$B$40))) &amp; " - " &amp; TEXT(SamplingData[[#This Row],[Upper Range]], REPT("0",LEN('General Info'!$B$40))))</f>
        <v>08470 - 08530</v>
      </c>
      <c r="T138" s="100">
        <f>SamplingData[[#This Row],[Upper Range]]-SamplingData[[#This Row],[Span]]</f>
        <v>8470.0182768243776</v>
      </c>
      <c r="U138" s="100">
        <f>IF(ISNUMBER('General Info'!$B$40), ((SamplingData[[#This Row],[up/U Selection Probability]]) * 'General Info'!$B$40) - 1, 0)</f>
        <v>60.064963498467193</v>
      </c>
      <c r="V138" s="100">
        <f>IF(ISNUMBER('General Info'!$B$40), (SamplingData[[#This Row],[Running (cumulative) sum]] * ('General Info'!$B$40 -'General Info'!$B$41 + 1)) + 'General Info'!$B$41 - 1, 0)</f>
        <v>8530.0832403228451</v>
      </c>
      <c r="W138" s="100" t="str">
        <f>IF(ISERROR(MATCH(SamplingData[[#This Row],[Batch by Type (p)]],SelectedPrecincts[Batch Name], 0)), "", INDEX(SelectedPrecincts[Draw], MATCH(SamplingData[[#This Row],[Batch by Type (p)]],SelectedPrecincts[Batch Name], 0)))</f>
        <v/>
      </c>
      <c r="X138" s="102">
        <f>IF(COUNTIF(SelectedPrecincts[Batch Name],SamplingData[[#This Row],[Batch by Type (p)]]) &lt;&gt; 0, COUNTIF(SelectedPrecincts[Batch Name],SamplingData[[#This Row],[Batch by Type (p)]]), 0)</f>
        <v>0</v>
      </c>
    </row>
    <row r="139" spans="1:24" ht="15" customHeight="1">
      <c r="A139" s="18" t="s">
        <v>315</v>
      </c>
      <c r="B139" s="18">
        <v>24</v>
      </c>
      <c r="C139" s="18">
        <v>58</v>
      </c>
      <c r="D139" s="16">
        <v>15</v>
      </c>
      <c r="E139" s="16">
        <v>10</v>
      </c>
      <c r="F139" s="37">
        <v>0</v>
      </c>
      <c r="G139" s="37">
        <v>1</v>
      </c>
      <c r="H139" s="17">
        <v>0</v>
      </c>
      <c r="I139" s="17">
        <v>2</v>
      </c>
      <c r="J139" s="99">
        <f>SUM(SamplingData[[#This Row],[Losing Candidate]:[Under Votes]])</f>
        <v>110</v>
      </c>
      <c r="K139" s="100">
        <f>IF(AND(SamplingData[[#This Row],[Total]]&lt;&gt; 0, NOT(ISBLANK(SamplingData[[#This Row],[Losing Candidate]]))),(SamplingData[[#This Row],[Total]]+SamplingData[[#This Row],[Winning Candidate]]-SamplingData[[#This Row],[Losing Candidate]])/(SamplingData[[#Totals],[Winning Candidate]]-SamplingData[[#Totals],[Losing Candidate]]), 0)</f>
        <v>8.8192062714355715E-3</v>
      </c>
      <c r="L139" s="100">
        <f>IF(AND(SamplingData[[#This Row],[Total]]&lt;&gt; 0, NOT(ISBLANK(SamplingData[[#This Row],[Candidate 3]]))),(SamplingData[[#This Row],[Total]]+SamplingData[[#This Row],[Winning Candidate]]-SamplingData[[#This Row],[Candidate 3]])/(SamplingData[[#Totals],[Winning Candidate]]-SamplingData[[#Totals],[Candidate 3]]), 0)</f>
        <v>4.935961544665613E-3</v>
      </c>
      <c r="M139" s="100">
        <f>IF(AND(SamplingData[[#This Row],[Total]]&lt;&gt; 0, NOT(ISBLANK(SamplingData[[#This Row],[Candidate 4]]))),(SamplingData[[#This Row],[Total]]+SamplingData[[#This Row],[Winning Candidate]]-SamplingData[[#This Row],[Candidate 4]])/(SamplingData[[#Totals],[Winning Candidate]]-SamplingData[[#Totals],[Candidate 4]]), 0)</f>
        <v>4.6186676020930168E-3</v>
      </c>
      <c r="N139" s="100">
        <f>IF(AND(SamplingData[[#This Row],[Total]]&lt;&gt; 0, NOT(ISBLANK(SamplingData[[#This Row],[Candidate 5]]))),(SamplingData[[#This Row],[Total]]+SamplingData[[#This Row],[Winning Candidate]]-SamplingData[[#This Row],[Candidate 5]])/(SamplingData[[#Totals],[Winning Candidate]]-SamplingData[[#Totals],[Candidate 5]]), 0)</f>
        <v>4.0865969350522991E-3</v>
      </c>
      <c r="O139" s="100">
        <f>IF(AND(SamplingData[[#This Row],[Total]]&lt;&gt; 0, NOT(ISBLANK(SamplingData[[#This Row],[Candidate 6]]))),(SamplingData[[#This Row],[Total]]+SamplingData[[#This Row],[Winning Candidate]]-SamplingData[[#This Row],[Candidate 6]])/(SamplingData[[#Totals],[Winning Candidate]]-SamplingData[[#Totals],[Candidate 6]]), 0)</f>
        <v>4.0610865230290352E-3</v>
      </c>
      <c r="P139" s="100">
        <f>MAX(SamplingData[[#This Row],[Error Bound (up) - Max. possible relative overstatement - Losing Candidate]:[Error Bound (up) - Max. possible relative overstatement - Candidate 6]])</f>
        <v>8.8192062714355715E-3</v>
      </c>
      <c r="Q139" s="100">
        <f>IF(SamplingData[[#This Row],[Max Error Bound (up)]] = 0,0,SamplingData[[#This Row],[Max Error Bound (up)]]/SamplingData[[#Totals],[Max Error Bound (up)]])</f>
        <v>1.3957845520961999E-3</v>
      </c>
      <c r="R139" s="101">
        <f>SUM($Q$5:Q139)</f>
        <v>8.6706616955324653E-2</v>
      </c>
      <c r="S139" s="100" t="str">
        <f t="array" ref="S139">IF(SamplingData[[#This Row],[up/U Selection Probability]] = 0, "Zero", TEXT(SamplingData[[#This Row],[Lower Range]], REPT("0",LEN('General Info'!$B$40))) &amp; " - " &amp; TEXT(SamplingData[[#This Row],[Upper Range]], REPT("0",LEN('General Info'!$B$40))))</f>
        <v>08531 - 08670</v>
      </c>
      <c r="T139" s="100">
        <f>SamplingData[[#This Row],[Upper Range]]-SamplingData[[#This Row],[Span]]</f>
        <v>8531.0846361073982</v>
      </c>
      <c r="U139" s="100">
        <f>IF(ISNUMBER('General Info'!$B$40), ((SamplingData[[#This Row],[up/U Selection Probability]]) * 'General Info'!$B$40) - 1, 0)</f>
        <v>138.57705942506789</v>
      </c>
      <c r="V139" s="100">
        <f>IF(ISNUMBER('General Info'!$B$40), (SamplingData[[#This Row],[Running (cumulative) sum]] * ('General Info'!$B$40 -'General Info'!$B$41 + 1)) + 'General Info'!$B$41 - 1, 0)</f>
        <v>8669.6616955324662</v>
      </c>
      <c r="W139" s="100" t="str">
        <f>IF(ISERROR(MATCH(SamplingData[[#This Row],[Batch by Type (p)]],SelectedPrecincts[Batch Name], 0)), "", INDEX(SelectedPrecincts[Draw], MATCH(SamplingData[[#This Row],[Batch by Type (p)]],SelectedPrecincts[Batch Name], 0)))</f>
        <v/>
      </c>
      <c r="X139" s="102">
        <f>IF(COUNTIF(SelectedPrecincts[Batch Name],SamplingData[[#This Row],[Batch by Type (p)]]) &lt;&gt; 0, COUNTIF(SelectedPrecincts[Batch Name],SamplingData[[#This Row],[Batch by Type (p)]]), 0)</f>
        <v>0</v>
      </c>
    </row>
    <row r="140" spans="1:24" ht="15" customHeight="1">
      <c r="A140" s="18" t="s">
        <v>316</v>
      </c>
      <c r="B140" s="18">
        <v>16</v>
      </c>
      <c r="C140" s="18">
        <v>29</v>
      </c>
      <c r="D140" s="18">
        <v>9</v>
      </c>
      <c r="E140" s="18">
        <v>1</v>
      </c>
      <c r="F140" s="18">
        <v>1</v>
      </c>
      <c r="G140" s="18">
        <v>1</v>
      </c>
      <c r="H140" s="18">
        <v>0</v>
      </c>
      <c r="I140" s="18">
        <v>1</v>
      </c>
      <c r="J140" s="99">
        <f>SUM(SamplingData[[#This Row],[Losing Candidate]:[Under Votes]])</f>
        <v>58</v>
      </c>
      <c r="K140" s="100">
        <f>IF(AND(SamplingData[[#This Row],[Total]]&lt;&gt; 0, NOT(ISBLANK(SamplingData[[#This Row],[Losing Candidate]]))),(SamplingData[[#This Row],[Total]]+SamplingData[[#This Row],[Winning Candidate]]-SamplingData[[#This Row],[Losing Candidate]])/(SamplingData[[#Totals],[Winning Candidate]]-SamplingData[[#Totals],[Losing Candidate]]), 0)</f>
        <v>4.3483586477217053E-3</v>
      </c>
      <c r="L140" s="100">
        <f>IF(AND(SamplingData[[#This Row],[Total]]&lt;&gt; 0, NOT(ISBLANK(SamplingData[[#This Row],[Candidate 3]]))),(SamplingData[[#This Row],[Total]]+SamplingData[[#This Row],[Winning Candidate]]-SamplingData[[#This Row],[Candidate 3]])/(SamplingData[[#Totals],[Winning Candidate]]-SamplingData[[#Totals],[Candidate 3]]), 0)</f>
        <v>2.5163725521824692E-3</v>
      </c>
      <c r="M140" s="100">
        <f>IF(AND(SamplingData[[#This Row],[Total]]&lt;&gt; 0, NOT(ISBLANK(SamplingData[[#This Row],[Candidate 4]]))),(SamplingData[[#This Row],[Total]]+SamplingData[[#This Row],[Winning Candidate]]-SamplingData[[#This Row],[Candidate 4]])/(SamplingData[[#Totals],[Winning Candidate]]-SamplingData[[#Totals],[Candidate 4]]), 0)</f>
        <v>2.5139583150632873E-3</v>
      </c>
      <c r="N140" s="100">
        <f>IF(AND(SamplingData[[#This Row],[Total]]&lt;&gt; 0, NOT(ISBLANK(SamplingData[[#This Row],[Candidate 5]]))),(SamplingData[[#This Row],[Total]]+SamplingData[[#This Row],[Winning Candidate]]-SamplingData[[#This Row],[Candidate 5]])/(SamplingData[[#Totals],[Winning Candidate]]-SamplingData[[#Totals],[Candidate 5]]), 0)</f>
        <v>2.0919484310386767E-3</v>
      </c>
      <c r="O140" s="100">
        <f>IF(AND(SamplingData[[#This Row],[Total]]&lt;&gt; 0, NOT(ISBLANK(SamplingData[[#This Row],[Candidate 6]]))),(SamplingData[[#This Row],[Total]]+SamplingData[[#This Row],[Winning Candidate]]-SamplingData[[#This Row],[Candidate 6]])/(SamplingData[[#Totals],[Winning Candidate]]-SamplingData[[#Totals],[Candidate 6]]), 0)</f>
        <v>2.0913379699430963E-3</v>
      </c>
      <c r="P140" s="100">
        <f>MAX(SamplingData[[#This Row],[Error Bound (up) - Max. possible relative overstatement - Losing Candidate]:[Error Bound (up) - Max. possible relative overstatement - Candidate 6]])</f>
        <v>4.3483586477217053E-3</v>
      </c>
      <c r="Q140" s="100">
        <f>IF(SamplingData[[#This Row],[Max Error Bound (up)]] = 0,0,SamplingData[[#This Row],[Max Error Bound (up)]]/SamplingData[[#Totals],[Max Error Bound (up)]])</f>
        <v>6.881993277696541E-4</v>
      </c>
      <c r="R140" s="101">
        <f>SUM($Q$5:Q140)</f>
        <v>8.7394816283094312E-2</v>
      </c>
      <c r="S140" s="100" t="str">
        <f t="array" ref="S140">IF(SamplingData[[#This Row],[up/U Selection Probability]] = 0, "Zero", TEXT(SamplingData[[#This Row],[Lower Range]], REPT("0",LEN('General Info'!$B$40))) &amp; " - " &amp; TEXT(SamplingData[[#This Row],[Upper Range]], REPT("0",LEN('General Info'!$B$40))))</f>
        <v>08671 - 08738</v>
      </c>
      <c r="T140" s="100">
        <f>SamplingData[[#This Row],[Upper Range]]-SamplingData[[#This Row],[Span]]</f>
        <v>8670.6623837317929</v>
      </c>
      <c r="U140" s="100">
        <f>IF(ISNUMBER('General Info'!$B$40), ((SamplingData[[#This Row],[up/U Selection Probability]]) * 'General Info'!$B$40) - 1, 0)</f>
        <v>67.819244577637633</v>
      </c>
      <c r="V140" s="100">
        <f>IF(ISNUMBER('General Info'!$B$40), (SamplingData[[#This Row],[Running (cumulative) sum]] * ('General Info'!$B$40 -'General Info'!$B$41 + 1)) + 'General Info'!$B$41 - 1, 0)</f>
        <v>8738.4816283094315</v>
      </c>
      <c r="W140" s="100" t="str">
        <f>IF(ISERROR(MATCH(SamplingData[[#This Row],[Batch by Type (p)]],SelectedPrecincts[Batch Name], 0)), "", INDEX(SelectedPrecincts[Draw], MATCH(SamplingData[[#This Row],[Batch by Type (p)]],SelectedPrecincts[Batch Name], 0)))</f>
        <v/>
      </c>
      <c r="X140" s="102">
        <f>IF(COUNTIF(SelectedPrecincts[Batch Name],SamplingData[[#This Row],[Batch by Type (p)]]) &lt;&gt; 0, COUNTIF(SelectedPrecincts[Batch Name],SamplingData[[#This Row],[Batch by Type (p)]]), 0)</f>
        <v>0</v>
      </c>
    </row>
    <row r="141" spans="1:24" ht="15" customHeight="1">
      <c r="A141" s="18" t="s">
        <v>317</v>
      </c>
      <c r="B141" s="18">
        <v>39</v>
      </c>
      <c r="C141" s="18">
        <v>134</v>
      </c>
      <c r="D141" s="16">
        <v>22</v>
      </c>
      <c r="E141" s="16">
        <v>9</v>
      </c>
      <c r="F141" s="37">
        <v>0</v>
      </c>
      <c r="G141" s="37">
        <v>0</v>
      </c>
      <c r="H141" s="17">
        <v>1</v>
      </c>
      <c r="I141" s="17">
        <v>1</v>
      </c>
      <c r="J141" s="99">
        <f>SUM(SamplingData[[#This Row],[Losing Candidate]:[Under Votes]])</f>
        <v>206</v>
      </c>
      <c r="K141" s="100">
        <f>IF(AND(SamplingData[[#This Row],[Total]]&lt;&gt; 0, NOT(ISBLANK(SamplingData[[#This Row],[Losing Candidate]]))),(SamplingData[[#This Row],[Total]]+SamplingData[[#This Row],[Winning Candidate]]-SamplingData[[#This Row],[Losing Candidate]])/(SamplingData[[#Totals],[Winning Candidate]]-SamplingData[[#Totals],[Losing Candidate]]), 0)</f>
        <v>1.8434590886820187E-2</v>
      </c>
      <c r="L141" s="100">
        <f>IF(AND(SamplingData[[#This Row],[Total]]&lt;&gt; 0, NOT(ISBLANK(SamplingData[[#This Row],[Candidate 3]]))),(SamplingData[[#This Row],[Total]]+SamplingData[[#This Row],[Winning Candidate]]-SamplingData[[#This Row],[Candidate 3]])/(SamplingData[[#Totals],[Winning Candidate]]-SamplingData[[#Totals],[Candidate 3]]), 0)</f>
        <v>1.0259057328128528E-2</v>
      </c>
      <c r="M141" s="100">
        <f>IF(AND(SamplingData[[#This Row],[Total]]&lt;&gt; 0, NOT(ISBLANK(SamplingData[[#This Row],[Candidate 4]]))),(SamplingData[[#This Row],[Total]]+SamplingData[[#This Row],[Winning Candidate]]-SamplingData[[#This Row],[Candidate 4]])/(SamplingData[[#Totals],[Winning Candidate]]-SamplingData[[#Totals],[Candidate 4]]), 0)</f>
        <v>9.675816305650559E-3</v>
      </c>
      <c r="N141" s="100">
        <f>IF(AND(SamplingData[[#This Row],[Total]]&lt;&gt; 0, NOT(ISBLANK(SamplingData[[#This Row],[Candidate 5]]))),(SamplingData[[#This Row],[Total]]+SamplingData[[#This Row],[Winning Candidate]]-SamplingData[[#This Row],[Candidate 5]])/(SamplingData[[#Totals],[Winning Candidate]]-SamplingData[[#Totals],[Candidate 5]]), 0)</f>
        <v>8.2704937971296525E-3</v>
      </c>
      <c r="O141" s="100">
        <f>IF(AND(SamplingData[[#This Row],[Total]]&lt;&gt; 0, NOT(ISBLANK(SamplingData[[#This Row],[Candidate 6]]))),(SamplingData[[#This Row],[Total]]+SamplingData[[#This Row],[Winning Candidate]]-SamplingData[[#This Row],[Candidate 6]])/(SamplingData[[#Totals],[Winning Candidate]]-SamplingData[[#Totals],[Candidate 6]]), 0)</f>
        <v>8.2680803462866596E-3</v>
      </c>
      <c r="P141" s="100">
        <f>MAX(SamplingData[[#This Row],[Error Bound (up) - Max. possible relative overstatement - Losing Candidate]:[Error Bound (up) - Max. possible relative overstatement - Candidate 6]])</f>
        <v>1.8434590886820187E-2</v>
      </c>
      <c r="Q141" s="100">
        <f>IF(SamplingData[[#This Row],[Max Error Bound (up)]] = 0,0,SamplingData[[#This Row],[Max Error Bound (up)]]/SamplingData[[#Totals],[Max Error Bound (up)]])</f>
        <v>2.9175774318121956E-3</v>
      </c>
      <c r="R141" s="101">
        <f>SUM($Q$5:Q141)</f>
        <v>9.0312393714906514E-2</v>
      </c>
      <c r="S141" s="100" t="str">
        <f t="array" ref="S141">IF(SamplingData[[#This Row],[up/U Selection Probability]] = 0, "Zero", TEXT(SamplingData[[#This Row],[Lower Range]], REPT("0",LEN('General Info'!$B$40))) &amp; " - " &amp; TEXT(SamplingData[[#This Row],[Upper Range]], REPT("0",LEN('General Info'!$B$40))))</f>
        <v>08739 - 09030</v>
      </c>
      <c r="T141" s="100">
        <f>SamplingData[[#This Row],[Upper Range]]-SamplingData[[#This Row],[Span]]</f>
        <v>8739.484545886864</v>
      </c>
      <c r="U141" s="100">
        <f>IF(ISNUMBER('General Info'!$B$40), ((SamplingData[[#This Row],[up/U Selection Probability]]) * 'General Info'!$B$40) - 1, 0)</f>
        <v>290.75482560378776</v>
      </c>
      <c r="V141" s="100">
        <f>IF(ISNUMBER('General Info'!$B$40), (SamplingData[[#This Row],[Running (cumulative) sum]] * ('General Info'!$B$40 -'General Info'!$B$41 + 1)) + 'General Info'!$B$41 - 1, 0)</f>
        <v>9030.239371490652</v>
      </c>
      <c r="W141" s="100" t="str">
        <f>IF(ISERROR(MATCH(SamplingData[[#This Row],[Batch by Type (p)]],SelectedPrecincts[Batch Name], 0)), "", INDEX(SelectedPrecincts[Draw], MATCH(SamplingData[[#This Row],[Batch by Type (p)]],SelectedPrecincts[Batch Name], 0)))</f>
        <v/>
      </c>
      <c r="X141" s="102">
        <f>IF(COUNTIF(SelectedPrecincts[Batch Name],SamplingData[[#This Row],[Batch by Type (p)]]) &lt;&gt; 0, COUNTIF(SelectedPrecincts[Batch Name],SamplingData[[#This Row],[Batch by Type (p)]]), 0)</f>
        <v>0</v>
      </c>
    </row>
    <row r="142" spans="1:24" ht="15" customHeight="1">
      <c r="A142" s="18" t="s">
        <v>318</v>
      </c>
      <c r="B142" s="18">
        <v>27</v>
      </c>
      <c r="C142" s="18">
        <v>51</v>
      </c>
      <c r="D142" s="18">
        <v>12</v>
      </c>
      <c r="E142" s="18">
        <v>4</v>
      </c>
      <c r="F142" s="18">
        <v>0</v>
      </c>
      <c r="G142" s="18">
        <v>0</v>
      </c>
      <c r="H142" s="18">
        <v>0</v>
      </c>
      <c r="I142" s="18">
        <v>0</v>
      </c>
      <c r="J142" s="99">
        <f>SUM(SamplingData[[#This Row],[Losing Candidate]:[Under Votes]])</f>
        <v>94</v>
      </c>
      <c r="K142" s="100">
        <f>IF(AND(SamplingData[[#This Row],[Total]]&lt;&gt; 0, NOT(ISBLANK(SamplingData[[#This Row],[Losing Candidate]]))),(SamplingData[[#This Row],[Total]]+SamplingData[[#This Row],[Winning Candidate]]-SamplingData[[#This Row],[Losing Candidate]])/(SamplingData[[#Totals],[Winning Candidate]]-SamplingData[[#Totals],[Losing Candidate]]), 0)</f>
        <v>7.2268495835374818E-3</v>
      </c>
      <c r="L142" s="100">
        <f>IF(AND(SamplingData[[#This Row],[Total]]&lt;&gt; 0, NOT(ISBLANK(SamplingData[[#This Row],[Candidate 3]]))),(SamplingData[[#This Row],[Total]]+SamplingData[[#This Row],[Winning Candidate]]-SamplingData[[#This Row],[Candidate 3]])/(SamplingData[[#Totals],[Winning Candidate]]-SamplingData[[#Totals],[Candidate 3]]), 0)</f>
        <v>4.2907378133367749E-3</v>
      </c>
      <c r="M142" s="100">
        <f>IF(AND(SamplingData[[#This Row],[Total]]&lt;&gt; 0, NOT(ISBLANK(SamplingData[[#This Row],[Candidate 4]]))),(SamplingData[[#This Row],[Total]]+SamplingData[[#This Row],[Winning Candidate]]-SamplingData[[#This Row],[Candidate 4]])/(SamplingData[[#Totals],[Winning Candidate]]-SamplingData[[#Totals],[Candidate 4]]), 0)</f>
        <v>4.1217223537665529E-3</v>
      </c>
      <c r="N142" s="100">
        <f>IF(AND(SamplingData[[#This Row],[Total]]&lt;&gt; 0, NOT(ISBLANK(SamplingData[[#This Row],[Candidate 5]]))),(SamplingData[[#This Row],[Total]]+SamplingData[[#This Row],[Winning Candidate]]-SamplingData[[#This Row],[Candidate 5]])/(SamplingData[[#Totals],[Winning Candidate]]-SamplingData[[#Totals],[Candidate 5]]), 0)</f>
        <v>3.5271223546582339E-3</v>
      </c>
      <c r="O142" s="100">
        <f>IF(AND(SamplingData[[#This Row],[Total]]&lt;&gt; 0, NOT(ISBLANK(SamplingData[[#This Row],[Candidate 6]]))),(SamplingData[[#This Row],[Total]]+SamplingData[[#This Row],[Winning Candidate]]-SamplingData[[#This Row],[Candidate 6]])/(SamplingData[[#Totals],[Winning Candidate]]-SamplingData[[#Totals],[Candidate 6]]), 0)</f>
        <v>3.526093088857546E-3</v>
      </c>
      <c r="P142" s="100">
        <f>MAX(SamplingData[[#This Row],[Error Bound (up) - Max. possible relative overstatement - Losing Candidate]:[Error Bound (up) - Max. possible relative overstatement - Candidate 6]])</f>
        <v>7.2268495835374818E-3</v>
      </c>
      <c r="Q142" s="100">
        <f>IF(SamplingData[[#This Row],[Max Error Bound (up)]] = 0,0,SamplingData[[#This Row],[Max Error Bound (up)]]/SamplingData[[#Totals],[Max Error Bound (up)]])</f>
        <v>1.1437678968566083E-3</v>
      </c>
      <c r="R142" s="101">
        <f>SUM($Q$5:Q142)</f>
        <v>9.145616161176312E-2</v>
      </c>
      <c r="S142" s="100" t="str">
        <f t="array" ref="S142">IF(SamplingData[[#This Row],[up/U Selection Probability]] = 0, "Zero", TEXT(SamplingData[[#This Row],[Lower Range]], REPT("0",LEN('General Info'!$B$40))) &amp; " - " &amp; TEXT(SamplingData[[#This Row],[Upper Range]], REPT("0",LEN('General Info'!$B$40))))</f>
        <v>09031 - 09145</v>
      </c>
      <c r="T142" s="100">
        <f>SamplingData[[#This Row],[Upper Range]]-SamplingData[[#This Row],[Span]]</f>
        <v>9031.2405152585488</v>
      </c>
      <c r="U142" s="100">
        <f>IF(ISNUMBER('General Info'!$B$40), ((SamplingData[[#This Row],[up/U Selection Probability]]) * 'General Info'!$B$40) - 1, 0)</f>
        <v>113.37564591776398</v>
      </c>
      <c r="V142" s="100">
        <f>IF(ISNUMBER('General Info'!$B$40), (SamplingData[[#This Row],[Running (cumulative) sum]] * ('General Info'!$B$40 -'General Info'!$B$41 + 1)) + 'General Info'!$B$41 - 1, 0)</f>
        <v>9144.6161611763127</v>
      </c>
      <c r="W142" s="100" t="str">
        <f>IF(ISERROR(MATCH(SamplingData[[#This Row],[Batch by Type (p)]],SelectedPrecincts[Batch Name], 0)), "", INDEX(SelectedPrecincts[Draw], MATCH(SamplingData[[#This Row],[Batch by Type (p)]],SelectedPrecincts[Batch Name], 0)))</f>
        <v/>
      </c>
      <c r="X142" s="102">
        <f>IF(COUNTIF(SelectedPrecincts[Batch Name],SamplingData[[#This Row],[Batch by Type (p)]]) &lt;&gt; 0, COUNTIF(SelectedPrecincts[Batch Name],SamplingData[[#This Row],[Batch by Type (p)]]), 0)</f>
        <v>0</v>
      </c>
    </row>
    <row r="143" spans="1:24" ht="15" customHeight="1">
      <c r="A143" s="18" t="s">
        <v>319</v>
      </c>
      <c r="B143" s="18">
        <v>35</v>
      </c>
      <c r="C143" s="18">
        <v>92</v>
      </c>
      <c r="D143" s="16">
        <v>25</v>
      </c>
      <c r="E143" s="16">
        <v>7</v>
      </c>
      <c r="F143" s="37">
        <v>0</v>
      </c>
      <c r="G143" s="37">
        <v>0</v>
      </c>
      <c r="H143" s="17">
        <v>0</v>
      </c>
      <c r="I143" s="17">
        <v>1</v>
      </c>
      <c r="J143" s="99">
        <f>SUM(SamplingData[[#This Row],[Losing Candidate]:[Under Votes]])</f>
        <v>160</v>
      </c>
      <c r="K143" s="100">
        <f>IF(AND(SamplingData[[#This Row],[Total]]&lt;&gt; 0, NOT(ISBLANK(SamplingData[[#This Row],[Losing Candidate]]))),(SamplingData[[#This Row],[Total]]+SamplingData[[#This Row],[Winning Candidate]]-SamplingData[[#This Row],[Losing Candidate]])/(SamplingData[[#Totals],[Winning Candidate]]-SamplingData[[#Totals],[Losing Candidate]]), 0)</f>
        <v>1.3290053895149437E-2</v>
      </c>
      <c r="L143" s="100">
        <f>IF(AND(SamplingData[[#This Row],[Total]]&lt;&gt; 0, NOT(ISBLANK(SamplingData[[#This Row],[Candidate 3]]))),(SamplingData[[#This Row],[Total]]+SamplingData[[#This Row],[Winning Candidate]]-SamplingData[[#This Row],[Candidate 3]])/(SamplingData[[#Totals],[Winning Candidate]]-SamplingData[[#Totals],[Candidate 3]]), 0)</f>
        <v>7.3232893505823142E-3</v>
      </c>
      <c r="M143" s="100">
        <f>IF(AND(SamplingData[[#This Row],[Total]]&lt;&gt; 0, NOT(ISBLANK(SamplingData[[#This Row],[Candidate 4]]))),(SamplingData[[#This Row],[Total]]+SamplingData[[#This Row],[Winning Candidate]]-SamplingData[[#This Row],[Candidate 4]])/(SamplingData[[#Totals],[Winning Candidate]]-SamplingData[[#Totals],[Candidate 4]]), 0)</f>
        <v>7.1618579905872726E-3</v>
      </c>
      <c r="N143" s="100">
        <f>IF(AND(SamplingData[[#This Row],[Total]]&lt;&gt; 0, NOT(ISBLANK(SamplingData[[#This Row],[Candidate 5]]))),(SamplingData[[#This Row],[Total]]+SamplingData[[#This Row],[Winning Candidate]]-SamplingData[[#This Row],[Candidate 5]])/(SamplingData[[#Totals],[Winning Candidate]]-SamplingData[[#Totals],[Candidate 5]]), 0)</f>
        <v>6.1298954025784478E-3</v>
      </c>
      <c r="O143" s="100">
        <f>IF(AND(SamplingData[[#This Row],[Total]]&lt;&gt; 0, NOT(ISBLANK(SamplingData[[#This Row],[Candidate 6]]))),(SamplingData[[#This Row],[Total]]+SamplingData[[#This Row],[Winning Candidate]]-SamplingData[[#This Row],[Candidate 6]])/(SamplingData[[#Totals],[Winning Candidate]]-SamplingData[[#Totals],[Candidate 6]]), 0)</f>
        <v>6.1281066096007001E-3</v>
      </c>
      <c r="P143" s="100">
        <f>MAX(SamplingData[[#This Row],[Error Bound (up) - Max. possible relative overstatement - Losing Candidate]:[Error Bound (up) - Max. possible relative overstatement - Candidate 6]])</f>
        <v>1.3290053895149437E-2</v>
      </c>
      <c r="Q143" s="100">
        <f>IF(SamplingData[[#This Row],[Max Error Bound (up)]] = 0,0,SamplingData[[#This Row],[Max Error Bound (up)]]/SamplingData[[#Totals],[Max Error Bound (up)]])</f>
        <v>2.1033697764227454E-3</v>
      </c>
      <c r="R143" s="101">
        <f>SUM($Q$5:Q143)</f>
        <v>9.355953138818586E-2</v>
      </c>
      <c r="S143" s="100" t="str">
        <f t="array" ref="S143">IF(SamplingData[[#This Row],[up/U Selection Probability]] = 0, "Zero", TEXT(SamplingData[[#This Row],[Lower Range]], REPT("0",LEN('General Info'!$B$40))) &amp; " - " &amp; TEXT(SamplingData[[#This Row],[Upper Range]], REPT("0",LEN('General Info'!$B$40))))</f>
        <v>09146 - 09355</v>
      </c>
      <c r="T143" s="100">
        <f>SamplingData[[#This Row],[Upper Range]]-SamplingData[[#This Row],[Span]]</f>
        <v>9145.6182645460885</v>
      </c>
      <c r="U143" s="100">
        <f>IF(ISNUMBER('General Info'!$B$40), ((SamplingData[[#This Row],[up/U Selection Probability]]) * 'General Info'!$B$40) - 1, 0)</f>
        <v>209.33487427249813</v>
      </c>
      <c r="V143" s="100">
        <f>IF(ISNUMBER('General Info'!$B$40), (SamplingData[[#This Row],[Running (cumulative) sum]] * ('General Info'!$B$40 -'General Info'!$B$41 + 1)) + 'General Info'!$B$41 - 1, 0)</f>
        <v>9354.953138818586</v>
      </c>
      <c r="W143" s="100" t="str">
        <f>IF(ISERROR(MATCH(SamplingData[[#This Row],[Batch by Type (p)]],SelectedPrecincts[Batch Name], 0)), "", INDEX(SelectedPrecincts[Draw], MATCH(SamplingData[[#This Row],[Batch by Type (p)]],SelectedPrecincts[Batch Name], 0)))</f>
        <v/>
      </c>
      <c r="X143" s="102">
        <f>IF(COUNTIF(SelectedPrecincts[Batch Name],SamplingData[[#This Row],[Batch by Type (p)]]) &lt;&gt; 0, COUNTIF(SelectedPrecincts[Batch Name],SamplingData[[#This Row],[Batch by Type (p)]]), 0)</f>
        <v>0</v>
      </c>
    </row>
    <row r="144" spans="1:24" ht="15" customHeight="1">
      <c r="A144" s="18" t="s">
        <v>320</v>
      </c>
      <c r="B144" s="18">
        <v>23</v>
      </c>
      <c r="C144" s="18">
        <v>28</v>
      </c>
      <c r="D144" s="18">
        <v>3</v>
      </c>
      <c r="E144" s="18">
        <v>11</v>
      </c>
      <c r="F144" s="18">
        <v>1</v>
      </c>
      <c r="G144" s="18">
        <v>1</v>
      </c>
      <c r="H144" s="18">
        <v>0</v>
      </c>
      <c r="I144" s="18">
        <v>2</v>
      </c>
      <c r="J144" s="99">
        <f>SUM(SamplingData[[#This Row],[Losing Candidate]:[Under Votes]])</f>
        <v>69</v>
      </c>
      <c r="K144" s="100">
        <f>IF(AND(SamplingData[[#This Row],[Total]]&lt;&gt; 0, NOT(ISBLANK(SamplingData[[#This Row],[Losing Candidate]]))),(SamplingData[[#This Row],[Total]]+SamplingData[[#This Row],[Winning Candidate]]-SamplingData[[#This Row],[Losing Candidate]])/(SamplingData[[#Totals],[Winning Candidate]]-SamplingData[[#Totals],[Losing Candidate]]), 0)</f>
        <v>4.5320921117099457E-3</v>
      </c>
      <c r="L144" s="100">
        <f>IF(AND(SamplingData[[#This Row],[Total]]&lt;&gt; 0, NOT(ISBLANK(SamplingData[[#This Row],[Candidate 3]]))),(SamplingData[[#This Row],[Total]]+SamplingData[[#This Row],[Winning Candidate]]-SamplingData[[#This Row],[Candidate 3]])/(SamplingData[[#Totals],[Winning Candidate]]-SamplingData[[#Totals],[Candidate 3]]), 0)</f>
        <v>3.0325515372455398E-3</v>
      </c>
      <c r="M144" s="100">
        <f>IF(AND(SamplingData[[#This Row],[Total]]&lt;&gt; 0, NOT(ISBLANK(SamplingData[[#This Row],[Candidate 4]]))),(SamplingData[[#This Row],[Total]]+SamplingData[[#This Row],[Winning Candidate]]-SamplingData[[#This Row],[Candidate 4]])/(SamplingData[[#Totals],[Winning Candidate]]-SamplingData[[#Totals],[Candidate 4]]), 0)</f>
        <v>2.5139583150632873E-3</v>
      </c>
      <c r="N144" s="100">
        <f>IF(AND(SamplingData[[#This Row],[Total]]&lt;&gt; 0, NOT(ISBLANK(SamplingData[[#This Row],[Candidate 5]]))),(SamplingData[[#This Row],[Total]]+SamplingData[[#This Row],[Winning Candidate]]-SamplingData[[#This Row],[Candidate 5]])/(SamplingData[[#Totals],[Winning Candidate]]-SamplingData[[#Totals],[Candidate 5]]), 0)</f>
        <v>2.3351982486013137E-3</v>
      </c>
      <c r="O144" s="100">
        <f>IF(AND(SamplingData[[#This Row],[Total]]&lt;&gt; 0, NOT(ISBLANK(SamplingData[[#This Row],[Candidate 6]]))),(SamplingData[[#This Row],[Total]]+SamplingData[[#This Row],[Winning Candidate]]-SamplingData[[#This Row],[Candidate 6]])/(SamplingData[[#Totals],[Winning Candidate]]-SamplingData[[#Totals],[Candidate 6]]), 0)</f>
        <v>2.3345168036574097E-3</v>
      </c>
      <c r="P144" s="100">
        <f>MAX(SamplingData[[#This Row],[Error Bound (up) - Max. possible relative overstatement - Losing Candidate]:[Error Bound (up) - Max. possible relative overstatement - Candidate 6]])</f>
        <v>4.5320921117099457E-3</v>
      </c>
      <c r="Q144" s="100">
        <f>IF(SamplingData[[#This Row],[Max Error Bound (up)]] = 0,0,SamplingData[[#This Row],[Max Error Bound (up)]]/SamplingData[[#Totals],[Max Error Bound (up)]])</f>
        <v>7.1727817260499151E-4</v>
      </c>
      <c r="R144" s="101">
        <f>SUM($Q$5:Q144)</f>
        <v>9.4276809560790847E-2</v>
      </c>
      <c r="S144" s="100" t="str">
        <f t="array" ref="S144">IF(SamplingData[[#This Row],[up/U Selection Probability]] = 0, "Zero", TEXT(SamplingData[[#This Row],[Lower Range]], REPT("0",LEN('General Info'!$B$40))) &amp; " - " &amp; TEXT(SamplingData[[#This Row],[Upper Range]], REPT("0",LEN('General Info'!$B$40))))</f>
        <v>09356 - 09427</v>
      </c>
      <c r="T144" s="100">
        <f>SamplingData[[#This Row],[Upper Range]]-SamplingData[[#This Row],[Span]]</f>
        <v>9355.9538560967576</v>
      </c>
      <c r="U144" s="100">
        <f>IF(ISNUMBER('General Info'!$B$40), ((SamplingData[[#This Row],[up/U Selection Probability]]) * 'General Info'!$B$40) - 1, 0)</f>
        <v>70.72709998232655</v>
      </c>
      <c r="V144" s="100">
        <f>IF(ISNUMBER('General Info'!$B$40), (SamplingData[[#This Row],[Running (cumulative) sum]] * ('General Info'!$B$40 -'General Info'!$B$41 + 1)) + 'General Info'!$B$41 - 1, 0)</f>
        <v>9426.6809560790844</v>
      </c>
      <c r="W144" s="100" t="str">
        <f>IF(ISERROR(MATCH(SamplingData[[#This Row],[Batch by Type (p)]],SelectedPrecincts[Batch Name], 0)), "", INDEX(SelectedPrecincts[Draw], MATCH(SamplingData[[#This Row],[Batch by Type (p)]],SelectedPrecincts[Batch Name], 0)))</f>
        <v/>
      </c>
      <c r="X144" s="102">
        <f>IF(COUNTIF(SelectedPrecincts[Batch Name],SamplingData[[#This Row],[Batch by Type (p)]]) &lt;&gt; 0, COUNTIF(SelectedPrecincts[Batch Name],SamplingData[[#This Row],[Batch by Type (p)]]), 0)</f>
        <v>0</v>
      </c>
    </row>
    <row r="145" spans="1:24" ht="15" customHeight="1">
      <c r="A145" s="18" t="s">
        <v>321</v>
      </c>
      <c r="B145" s="18">
        <v>37</v>
      </c>
      <c r="C145" s="18">
        <v>84</v>
      </c>
      <c r="D145" s="16">
        <v>18</v>
      </c>
      <c r="E145" s="16">
        <v>8</v>
      </c>
      <c r="F145" s="37">
        <v>1</v>
      </c>
      <c r="G145" s="37">
        <v>1</v>
      </c>
      <c r="H145" s="17">
        <v>0</v>
      </c>
      <c r="I145" s="17">
        <v>4</v>
      </c>
      <c r="J145" s="99">
        <f>SUM(SamplingData[[#This Row],[Losing Candidate]:[Under Votes]])</f>
        <v>153</v>
      </c>
      <c r="K145" s="100">
        <f>IF(AND(SamplingData[[#This Row],[Total]]&lt;&gt; 0, NOT(ISBLANK(SamplingData[[#This Row],[Losing Candidate]]))),(SamplingData[[#This Row],[Total]]+SamplingData[[#This Row],[Winning Candidate]]-SamplingData[[#This Row],[Losing Candidate]])/(SamplingData[[#Totals],[Winning Candidate]]-SamplingData[[#Totals],[Losing Candidate]]), 0)</f>
        <v>1.2248897599216071E-2</v>
      </c>
      <c r="L145" s="100">
        <f>IF(AND(SamplingData[[#This Row],[Total]]&lt;&gt; 0, NOT(ISBLANK(SamplingData[[#This Row],[Candidate 3]]))),(SamplingData[[#This Row],[Total]]+SamplingData[[#This Row],[Winning Candidate]]-SamplingData[[#This Row],[Candidate 3]])/(SamplingData[[#Totals],[Winning Candidate]]-SamplingData[[#Totals],[Candidate 3]]), 0)</f>
        <v>7.0651998580507792E-3</v>
      </c>
      <c r="M145" s="100">
        <f>IF(AND(SamplingData[[#This Row],[Total]]&lt;&gt; 0, NOT(ISBLANK(SamplingData[[#This Row],[Candidate 4]]))),(SamplingData[[#This Row],[Total]]+SamplingData[[#This Row],[Winning Candidate]]-SamplingData[[#This Row],[Candidate 4]])/(SamplingData[[#Totals],[Winning Candidate]]-SamplingData[[#Totals],[Candidate 4]]), 0)</f>
        <v>6.6941448156917771E-3</v>
      </c>
      <c r="N145" s="100">
        <f>IF(AND(SamplingData[[#This Row],[Total]]&lt;&gt; 0, NOT(ISBLANK(SamplingData[[#This Row],[Candidate 5]]))),(SamplingData[[#This Row],[Total]]+SamplingData[[#This Row],[Winning Candidate]]-SamplingData[[#This Row],[Candidate 5]])/(SamplingData[[#Totals],[Winning Candidate]]-SamplingData[[#Totals],[Candidate 5]]), 0)</f>
        <v>5.7406956944782289E-3</v>
      </c>
      <c r="O145" s="100">
        <f>IF(AND(SamplingData[[#This Row],[Total]]&lt;&gt; 0, NOT(ISBLANK(SamplingData[[#This Row],[Candidate 6]]))),(SamplingData[[#This Row],[Total]]+SamplingData[[#This Row],[Winning Candidate]]-SamplingData[[#This Row],[Candidate 6]])/(SamplingData[[#Totals],[Winning Candidate]]-SamplingData[[#Totals],[Candidate 6]]), 0)</f>
        <v>5.7390204756577988E-3</v>
      </c>
      <c r="P145" s="100">
        <f>MAX(SamplingData[[#This Row],[Error Bound (up) - Max. possible relative overstatement - Losing Candidate]:[Error Bound (up) - Max. possible relative overstatement - Candidate 6]])</f>
        <v>1.2248897599216071E-2</v>
      </c>
      <c r="Q145" s="100">
        <f>IF(SamplingData[[#This Row],[Max Error Bound (up)]] = 0,0,SamplingData[[#This Row],[Max Error Bound (up)]]/SamplingData[[#Totals],[Max Error Bound (up)]])</f>
        <v>1.9385896556891663E-3</v>
      </c>
      <c r="R145" s="101">
        <f>SUM($Q$5:Q145)</f>
        <v>9.6215399216480008E-2</v>
      </c>
      <c r="S145" s="100" t="str">
        <f t="array" ref="S145">IF(SamplingData[[#This Row],[up/U Selection Probability]] = 0, "Zero", TEXT(SamplingData[[#This Row],[Lower Range]], REPT("0",LEN('General Info'!$B$40))) &amp; " - " &amp; TEXT(SamplingData[[#This Row],[Upper Range]], REPT("0",LEN('General Info'!$B$40))))</f>
        <v>09428 - 09621</v>
      </c>
      <c r="T145" s="100">
        <f>SamplingData[[#This Row],[Upper Range]]-SamplingData[[#This Row],[Span]]</f>
        <v>9427.6828946687383</v>
      </c>
      <c r="U145" s="100">
        <f>IF(ISNUMBER('General Info'!$B$40), ((SamplingData[[#This Row],[up/U Selection Probability]]) * 'General Info'!$B$40) - 1, 0)</f>
        <v>192.85702697926095</v>
      </c>
      <c r="V145" s="100">
        <f>IF(ISNUMBER('General Info'!$B$40), (SamplingData[[#This Row],[Running (cumulative) sum]] * ('General Info'!$B$40 -'General Info'!$B$41 + 1)) + 'General Info'!$B$41 - 1, 0)</f>
        <v>9620.539921648</v>
      </c>
      <c r="W145" s="100" t="str">
        <f>IF(ISERROR(MATCH(SamplingData[[#This Row],[Batch by Type (p)]],SelectedPrecincts[Batch Name], 0)), "", INDEX(SelectedPrecincts[Draw], MATCH(SamplingData[[#This Row],[Batch by Type (p)]],SelectedPrecincts[Batch Name], 0)))</f>
        <v/>
      </c>
      <c r="X145" s="102">
        <f>IF(COUNTIF(SelectedPrecincts[Batch Name],SamplingData[[#This Row],[Batch by Type (p)]]) &lt;&gt; 0, COUNTIF(SelectedPrecincts[Batch Name],SamplingData[[#This Row],[Batch by Type (p)]]), 0)</f>
        <v>0</v>
      </c>
    </row>
    <row r="146" spans="1:24" ht="15" customHeight="1">
      <c r="A146" s="18" t="s">
        <v>322</v>
      </c>
      <c r="B146" s="18">
        <v>13</v>
      </c>
      <c r="C146" s="18">
        <v>27</v>
      </c>
      <c r="D146" s="18">
        <v>3</v>
      </c>
      <c r="E146" s="18">
        <v>1</v>
      </c>
      <c r="F146" s="18">
        <v>1</v>
      </c>
      <c r="G146" s="18">
        <v>0</v>
      </c>
      <c r="H146" s="18">
        <v>0</v>
      </c>
      <c r="I146" s="18">
        <v>1</v>
      </c>
      <c r="J146" s="99">
        <f>SUM(SamplingData[[#This Row],[Losing Candidate]:[Under Votes]])</f>
        <v>46</v>
      </c>
      <c r="K146"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46" s="100">
        <f>IF(AND(SamplingData[[#This Row],[Total]]&lt;&gt; 0, NOT(ISBLANK(SamplingData[[#This Row],[Candidate 3]]))),(SamplingData[[#This Row],[Total]]+SamplingData[[#This Row],[Winning Candidate]]-SamplingData[[#This Row],[Candidate 3]])/(SamplingData[[#Totals],[Winning Candidate]]-SamplingData[[#Totals],[Candidate 3]]), 0)</f>
        <v>2.2582830596509338E-3</v>
      </c>
      <c r="M146" s="100">
        <f>IF(AND(SamplingData[[#This Row],[Total]]&lt;&gt; 0, NOT(ISBLANK(SamplingData[[#This Row],[Candidate 4]]))),(SamplingData[[#This Row],[Total]]+SamplingData[[#This Row],[Winning Candidate]]-SamplingData[[#This Row],[Candidate 4]])/(SamplingData[[#Totals],[Winning Candidate]]-SamplingData[[#Totals],[Candidate 4]]), 0)</f>
        <v>2.1047092870297292E-3</v>
      </c>
      <c r="N146" s="100">
        <f>IF(AND(SamplingData[[#This Row],[Total]]&lt;&gt; 0, NOT(ISBLANK(SamplingData[[#This Row],[Candidate 5]]))),(SamplingData[[#This Row],[Total]]+SamplingData[[#This Row],[Winning Candidate]]-SamplingData[[#This Row],[Candidate 5]])/(SamplingData[[#Totals],[Winning Candidate]]-SamplingData[[#Totals],[Candidate 5]]), 0)</f>
        <v>1.7513986864509852E-3</v>
      </c>
      <c r="O146" s="100">
        <f>IF(AND(SamplingData[[#This Row],[Total]]&lt;&gt; 0, NOT(ISBLANK(SamplingData[[#This Row],[Candidate 6]]))),(SamplingData[[#This Row],[Total]]+SamplingData[[#This Row],[Winning Candidate]]-SamplingData[[#This Row],[Candidate 6]])/(SamplingData[[#Totals],[Winning Candidate]]-SamplingData[[#Totals],[Candidate 6]]), 0)</f>
        <v>1.7752054861144887E-3</v>
      </c>
      <c r="P146" s="100">
        <f>MAX(SamplingData[[#This Row],[Error Bound (up) - Max. possible relative overstatement - Losing Candidate]:[Error Bound (up) - Max. possible relative overstatement - Candidate 6]])</f>
        <v>3.6746692797648213E-3</v>
      </c>
      <c r="Q146" s="100">
        <f>IF(SamplingData[[#This Row],[Max Error Bound (up)]] = 0,0,SamplingData[[#This Row],[Max Error Bound (up)]]/SamplingData[[#Totals],[Max Error Bound (up)]])</f>
        <v>5.8157689670674997E-4</v>
      </c>
      <c r="R146" s="101">
        <f>SUM($Q$5:Q146)</f>
        <v>9.6796976113186758E-2</v>
      </c>
      <c r="S146" s="100" t="str">
        <f t="array" ref="S146">IF(SamplingData[[#This Row],[up/U Selection Probability]] = 0, "Zero", TEXT(SamplingData[[#This Row],[Lower Range]], REPT("0",LEN('General Info'!$B$40))) &amp; " - " &amp; TEXT(SamplingData[[#This Row],[Upper Range]], REPT("0",LEN('General Info'!$B$40))))</f>
        <v>09622 - 09679</v>
      </c>
      <c r="T146" s="100">
        <f>SamplingData[[#This Row],[Upper Range]]-SamplingData[[#This Row],[Span]]</f>
        <v>9621.5405032248982</v>
      </c>
      <c r="U146" s="100">
        <f>IF(ISNUMBER('General Info'!$B$40), ((SamplingData[[#This Row],[up/U Selection Probability]]) * 'General Info'!$B$40) - 1, 0)</f>
        <v>57.157108093778291</v>
      </c>
      <c r="V146" s="100">
        <f>IF(ISNUMBER('General Info'!$B$40), (SamplingData[[#This Row],[Running (cumulative) sum]] * ('General Info'!$B$40 -'General Info'!$B$41 + 1)) + 'General Info'!$B$41 - 1, 0)</f>
        <v>9678.6976113186756</v>
      </c>
      <c r="W146" s="100" t="str">
        <f>IF(ISERROR(MATCH(SamplingData[[#This Row],[Batch by Type (p)]],SelectedPrecincts[Batch Name], 0)), "", INDEX(SelectedPrecincts[Draw], MATCH(SamplingData[[#This Row],[Batch by Type (p)]],SelectedPrecincts[Batch Name], 0)))</f>
        <v/>
      </c>
      <c r="X146" s="102">
        <f>IF(COUNTIF(SelectedPrecincts[Batch Name],SamplingData[[#This Row],[Batch by Type (p)]]) &lt;&gt; 0, COUNTIF(SelectedPrecincts[Batch Name],SamplingData[[#This Row],[Batch by Type (p)]]), 0)</f>
        <v>0</v>
      </c>
    </row>
    <row r="147" spans="1:24" ht="15" customHeight="1">
      <c r="A147" s="18" t="s">
        <v>323</v>
      </c>
      <c r="B147" s="18">
        <v>43</v>
      </c>
      <c r="C147" s="18">
        <v>73</v>
      </c>
      <c r="D147" s="16">
        <v>13</v>
      </c>
      <c r="E147" s="16">
        <v>6</v>
      </c>
      <c r="F147" s="37">
        <v>1</v>
      </c>
      <c r="G147" s="37">
        <v>0</v>
      </c>
      <c r="H147" s="17">
        <v>0</v>
      </c>
      <c r="I147" s="17">
        <v>1</v>
      </c>
      <c r="J147" s="99">
        <f>SUM(SamplingData[[#This Row],[Losing Candidate]:[Under Votes]])</f>
        <v>137</v>
      </c>
      <c r="K147" s="100">
        <f>IF(AND(SamplingData[[#This Row],[Total]]&lt;&gt; 0, NOT(ISBLANK(SamplingData[[#This Row],[Losing Candidate]]))),(SamplingData[[#This Row],[Total]]+SamplingData[[#This Row],[Winning Candidate]]-SamplingData[[#This Row],[Losing Candidate]])/(SamplingData[[#Totals],[Winning Candidate]]-SamplingData[[#Totals],[Losing Candidate]]), 0)</f>
        <v>1.0227829495345418E-2</v>
      </c>
      <c r="L147" s="100">
        <f>IF(AND(SamplingData[[#This Row],[Total]]&lt;&gt; 0, NOT(ISBLANK(SamplingData[[#This Row],[Candidate 3]]))),(SamplingData[[#This Row],[Total]]+SamplingData[[#This Row],[Winning Candidate]]-SamplingData[[#This Row],[Candidate 3]])/(SamplingData[[#Totals],[Winning Candidate]]-SamplingData[[#Totals],[Candidate 3]]), 0)</f>
        <v>6.3554537535890571E-3</v>
      </c>
      <c r="M147" s="100">
        <f>IF(AND(SamplingData[[#This Row],[Total]]&lt;&gt; 0, NOT(ISBLANK(SamplingData[[#This Row],[Candidate 4]]))),(SamplingData[[#This Row],[Total]]+SamplingData[[#This Row],[Winning Candidate]]-SamplingData[[#This Row],[Candidate 4]])/(SamplingData[[#Totals],[Winning Candidate]]-SamplingData[[#Totals],[Candidate 4]]), 0)</f>
        <v>5.9633429799175654E-3</v>
      </c>
      <c r="N147" s="100">
        <f>IF(AND(SamplingData[[#This Row],[Total]]&lt;&gt; 0, NOT(ISBLANK(SamplingData[[#This Row],[Candidate 5]]))),(SamplingData[[#This Row],[Total]]+SamplingData[[#This Row],[Winning Candidate]]-SamplingData[[#This Row],[Candidate 5]])/(SamplingData[[#Totals],[Winning Candidate]]-SamplingData[[#Totals],[Candidate 5]]), 0)</f>
        <v>5.0839211870591094E-3</v>
      </c>
      <c r="O147" s="100">
        <f>IF(AND(SamplingData[[#This Row],[Total]]&lt;&gt; 0, NOT(ISBLANK(SamplingData[[#This Row],[Candidate 6]]))),(SamplingData[[#This Row],[Total]]+SamplingData[[#This Row],[Winning Candidate]]-SamplingData[[#This Row],[Candidate 6]])/(SamplingData[[#Totals],[Winning Candidate]]-SamplingData[[#Totals],[Candidate 6]]), 0)</f>
        <v>5.1067555080005836E-3</v>
      </c>
      <c r="P147" s="100">
        <f>MAX(SamplingData[[#This Row],[Error Bound (up) - Max. possible relative overstatement - Losing Candidate]:[Error Bound (up) - Max. possible relative overstatement - Candidate 6]])</f>
        <v>1.0227829495345418E-2</v>
      </c>
      <c r="Q147" s="100">
        <f>IF(SamplingData[[#This Row],[Max Error Bound (up)]] = 0,0,SamplingData[[#This Row],[Max Error Bound (up)]]/SamplingData[[#Totals],[Max Error Bound (up)]])</f>
        <v>1.6187223625004539E-3</v>
      </c>
      <c r="R147" s="101">
        <f>SUM($Q$5:Q147)</f>
        <v>9.8415698475687208E-2</v>
      </c>
      <c r="S147" s="100" t="str">
        <f t="array" ref="S147">IF(SamplingData[[#This Row],[up/U Selection Probability]] = 0, "Zero", TEXT(SamplingData[[#This Row],[Lower Range]], REPT("0",LEN('General Info'!$B$40))) &amp; " - " &amp; TEXT(SamplingData[[#This Row],[Upper Range]], REPT("0",LEN('General Info'!$B$40))))</f>
        <v>09680 - 09841</v>
      </c>
      <c r="T147" s="100">
        <f>SamplingData[[#This Row],[Upper Range]]-SamplingData[[#This Row],[Span]]</f>
        <v>9679.6992300410384</v>
      </c>
      <c r="U147" s="100">
        <f>IF(ISNUMBER('General Info'!$B$40), ((SamplingData[[#This Row],[up/U Selection Probability]]) * 'General Info'!$B$40) - 1, 0)</f>
        <v>160.8706175276829</v>
      </c>
      <c r="V147" s="100">
        <f>IF(ISNUMBER('General Info'!$B$40), (SamplingData[[#This Row],[Running (cumulative) sum]] * ('General Info'!$B$40 -'General Info'!$B$41 + 1)) + 'General Info'!$B$41 - 1, 0)</f>
        <v>9840.5698475687204</v>
      </c>
      <c r="W147" s="100" t="str">
        <f>IF(ISERROR(MATCH(SamplingData[[#This Row],[Batch by Type (p)]],SelectedPrecincts[Batch Name], 0)), "", INDEX(SelectedPrecincts[Draw], MATCH(SamplingData[[#This Row],[Batch by Type (p)]],SelectedPrecincts[Batch Name], 0)))</f>
        <v/>
      </c>
      <c r="X147" s="102">
        <f>IF(COUNTIF(SelectedPrecincts[Batch Name],SamplingData[[#This Row],[Batch by Type (p)]]) &lt;&gt; 0, COUNTIF(SelectedPrecincts[Batch Name],SamplingData[[#This Row],[Batch by Type (p)]]), 0)</f>
        <v>0</v>
      </c>
    </row>
    <row r="148" spans="1:24" ht="15" customHeight="1">
      <c r="A148" s="18" t="s">
        <v>324</v>
      </c>
      <c r="B148" s="18">
        <v>19</v>
      </c>
      <c r="C148" s="18">
        <v>38</v>
      </c>
      <c r="D148" s="18">
        <v>5</v>
      </c>
      <c r="E148" s="18">
        <v>1</v>
      </c>
      <c r="F148" s="18">
        <v>0</v>
      </c>
      <c r="G148" s="18">
        <v>0</v>
      </c>
      <c r="H148" s="18">
        <v>0</v>
      </c>
      <c r="I148" s="18">
        <v>1</v>
      </c>
      <c r="J148" s="99">
        <f>SUM(SamplingData[[#This Row],[Losing Candidate]:[Under Votes]])</f>
        <v>64</v>
      </c>
      <c r="K148" s="100">
        <f>IF(AND(SamplingData[[#This Row],[Total]]&lt;&gt; 0, NOT(ISBLANK(SamplingData[[#This Row],[Losing Candidate]]))),(SamplingData[[#This Row],[Total]]+SamplingData[[#This Row],[Winning Candidate]]-SamplingData[[#This Row],[Losing Candidate]])/(SamplingData[[#Totals],[Winning Candidate]]-SamplingData[[#Totals],[Losing Candidate]]), 0)</f>
        <v>5.0832925036746694E-3</v>
      </c>
      <c r="L148" s="100">
        <f>IF(AND(SamplingData[[#This Row],[Total]]&lt;&gt; 0, NOT(ISBLANK(SamplingData[[#This Row],[Candidate 3]]))),(SamplingData[[#This Row],[Total]]+SamplingData[[#This Row],[Winning Candidate]]-SamplingData[[#This Row],[Candidate 3]])/(SamplingData[[#Totals],[Winning Candidate]]-SamplingData[[#Totals],[Candidate 3]]), 0)</f>
        <v>3.1293350969448658E-3</v>
      </c>
      <c r="M148" s="100">
        <f>IF(AND(SamplingData[[#This Row],[Total]]&lt;&gt; 0, NOT(ISBLANK(SamplingData[[#This Row],[Candidate 4]]))),(SamplingData[[#This Row],[Total]]+SamplingData[[#This Row],[Winning Candidate]]-SamplingData[[#This Row],[Candidate 4]])/(SamplingData[[#Totals],[Winning Candidate]]-SamplingData[[#Totals],[Candidate 4]]), 0)</f>
        <v>2.9524394165278143E-3</v>
      </c>
      <c r="N148" s="100">
        <f>IF(AND(SamplingData[[#This Row],[Total]]&lt;&gt; 0, NOT(ISBLANK(SamplingData[[#This Row],[Candidate 5]]))),(SamplingData[[#This Row],[Total]]+SamplingData[[#This Row],[Winning Candidate]]-SamplingData[[#This Row],[Candidate 5]])/(SamplingData[[#Totals],[Winning Candidate]]-SamplingData[[#Totals],[Candidate 5]]), 0)</f>
        <v>2.4811481391388956E-3</v>
      </c>
      <c r="O148" s="100">
        <f>IF(AND(SamplingData[[#This Row],[Total]]&lt;&gt; 0, NOT(ISBLANK(SamplingData[[#This Row],[Candidate 6]]))),(SamplingData[[#This Row],[Total]]+SamplingData[[#This Row],[Winning Candidate]]-SamplingData[[#This Row],[Candidate 6]])/(SamplingData[[#Totals],[Winning Candidate]]-SamplingData[[#Totals],[Candidate 6]]), 0)</f>
        <v>2.4804241038859976E-3</v>
      </c>
      <c r="P148" s="100">
        <f>MAX(SamplingData[[#This Row],[Error Bound (up) - Max. possible relative overstatement - Losing Candidate]:[Error Bound (up) - Max. possible relative overstatement - Candidate 6]])</f>
        <v>5.0832925036746694E-3</v>
      </c>
      <c r="Q148" s="100">
        <f>IF(SamplingData[[#This Row],[Max Error Bound (up)]] = 0,0,SamplingData[[#This Row],[Max Error Bound (up)]]/SamplingData[[#Totals],[Max Error Bound (up)]])</f>
        <v>8.0451470711100407E-4</v>
      </c>
      <c r="R148" s="101">
        <f>SUM($Q$5:Q148)</f>
        <v>9.9220213182798209E-2</v>
      </c>
      <c r="S148" s="100" t="str">
        <f t="array" ref="S148">IF(SamplingData[[#This Row],[up/U Selection Probability]] = 0, "Zero", TEXT(SamplingData[[#This Row],[Lower Range]], REPT("0",LEN('General Info'!$B$40))) &amp; " - " &amp; TEXT(SamplingData[[#This Row],[Upper Range]], REPT("0",LEN('General Info'!$B$40))))</f>
        <v>09842 - 09921</v>
      </c>
      <c r="T148" s="100">
        <f>SamplingData[[#This Row],[Upper Range]]-SamplingData[[#This Row],[Span]]</f>
        <v>9841.5706520834283</v>
      </c>
      <c r="U148" s="100">
        <f>IF(ISNUMBER('General Info'!$B$40), ((SamplingData[[#This Row],[up/U Selection Probability]]) * 'General Info'!$B$40) - 1, 0)</f>
        <v>79.4506661963933</v>
      </c>
      <c r="V148" s="100">
        <f>IF(ISNUMBER('General Info'!$B$40), (SamplingData[[#This Row],[Running (cumulative) sum]] * ('General Info'!$B$40 -'General Info'!$B$41 + 1)) + 'General Info'!$B$41 - 1, 0)</f>
        <v>9921.0213182798216</v>
      </c>
      <c r="W148" s="100" t="str">
        <f>IF(ISERROR(MATCH(SamplingData[[#This Row],[Batch by Type (p)]],SelectedPrecincts[Batch Name], 0)), "", INDEX(SelectedPrecincts[Draw], MATCH(SamplingData[[#This Row],[Batch by Type (p)]],SelectedPrecincts[Batch Name], 0)))</f>
        <v/>
      </c>
      <c r="X148" s="102">
        <f>IF(COUNTIF(SelectedPrecincts[Batch Name],SamplingData[[#This Row],[Batch by Type (p)]]) &lt;&gt; 0, COUNTIF(SelectedPrecincts[Batch Name],SamplingData[[#This Row],[Batch by Type (p)]]), 0)</f>
        <v>0</v>
      </c>
    </row>
    <row r="149" spans="1:24" ht="15" customHeight="1">
      <c r="A149" s="18" t="s">
        <v>325</v>
      </c>
      <c r="B149" s="18">
        <v>39</v>
      </c>
      <c r="C149" s="18">
        <v>123</v>
      </c>
      <c r="D149" s="16">
        <v>24</v>
      </c>
      <c r="E149" s="16">
        <v>17</v>
      </c>
      <c r="F149" s="37">
        <v>0</v>
      </c>
      <c r="G149" s="37">
        <v>0</v>
      </c>
      <c r="H149" s="17">
        <v>0</v>
      </c>
      <c r="I149" s="17">
        <v>2</v>
      </c>
      <c r="J149" s="99">
        <f>SUM(SamplingData[[#This Row],[Losing Candidate]:[Under Votes]])</f>
        <v>205</v>
      </c>
      <c r="K149" s="100">
        <f>IF(AND(SamplingData[[#This Row],[Total]]&lt;&gt; 0, NOT(ISBLANK(SamplingData[[#This Row],[Losing Candidate]]))),(SamplingData[[#This Row],[Total]]+SamplingData[[#This Row],[Winning Candidate]]-SamplingData[[#This Row],[Losing Candidate]])/(SamplingData[[#Totals],[Winning Candidate]]-SamplingData[[#Totals],[Losing Candidate]]), 0)</f>
        <v>1.7699657030867223E-2</v>
      </c>
      <c r="L149" s="100">
        <f>IF(AND(SamplingData[[#This Row],[Total]]&lt;&gt; 0, NOT(ISBLANK(SamplingData[[#This Row],[Candidate 3]]))),(SamplingData[[#This Row],[Total]]+SamplingData[[#This Row],[Winning Candidate]]-SamplingData[[#This Row],[Candidate 3]])/(SamplingData[[#Totals],[Winning Candidate]]-SamplingData[[#Totals],[Candidate 3]]), 0)</f>
        <v>9.8074007161983411E-3</v>
      </c>
      <c r="M149" s="100">
        <f>IF(AND(SamplingData[[#This Row],[Total]]&lt;&gt; 0, NOT(ISBLANK(SamplingData[[#This Row],[Candidate 4]]))),(SamplingData[[#This Row],[Total]]+SamplingData[[#This Row],[Winning Candidate]]-SamplingData[[#This Row],[Candidate 4]])/(SamplingData[[#Totals],[Winning Candidate]]-SamplingData[[#Totals],[Candidate 4]]), 0)</f>
        <v>9.0911748370311914E-3</v>
      </c>
      <c r="N149" s="100">
        <f>IF(AND(SamplingData[[#This Row],[Total]]&lt;&gt; 0, NOT(ISBLANK(SamplingData[[#This Row],[Candidate 5]]))),(SamplingData[[#This Row],[Total]]+SamplingData[[#This Row],[Winning Candidate]]-SamplingData[[#This Row],[Candidate 5]])/(SamplingData[[#Totals],[Winning Candidate]]-SamplingData[[#Totals],[Candidate 5]]), 0)</f>
        <v>7.9785940160544879E-3</v>
      </c>
      <c r="O149" s="100">
        <f>IF(AND(SamplingData[[#This Row],[Total]]&lt;&gt; 0, NOT(ISBLANK(SamplingData[[#This Row],[Candidate 6]]))),(SamplingData[[#This Row],[Total]]+SamplingData[[#This Row],[Winning Candidate]]-SamplingData[[#This Row],[Candidate 6]])/(SamplingData[[#Totals],[Winning Candidate]]-SamplingData[[#Totals],[Candidate 6]]), 0)</f>
        <v>7.976265745829483E-3</v>
      </c>
      <c r="P149" s="100">
        <f>MAX(SamplingData[[#This Row],[Error Bound (up) - Max. possible relative overstatement - Losing Candidate]:[Error Bound (up) - Max. possible relative overstatement - Candidate 6]])</f>
        <v>1.7699657030867223E-2</v>
      </c>
      <c r="Q149" s="100">
        <f>IF(SamplingData[[#This Row],[Max Error Bound (up)]] = 0,0,SamplingData[[#This Row],[Max Error Bound (up)]]/SamplingData[[#Totals],[Max Error Bound (up)]])</f>
        <v>2.8012620524708455E-3</v>
      </c>
      <c r="R149" s="101">
        <f>SUM($Q$5:Q149)</f>
        <v>0.10202147523526905</v>
      </c>
      <c r="S149" s="100" t="str">
        <f t="array" ref="S149">IF(SamplingData[[#This Row],[up/U Selection Probability]] = 0, "Zero", TEXT(SamplingData[[#This Row],[Lower Range]], REPT("0",LEN('General Info'!$B$40))) &amp; " - " &amp; TEXT(SamplingData[[#This Row],[Upper Range]], REPT("0",LEN('General Info'!$B$40))))</f>
        <v>09922 - 10201</v>
      </c>
      <c r="T149" s="100">
        <f>SamplingData[[#This Row],[Upper Range]]-SamplingData[[#This Row],[Span]]</f>
        <v>9922.0241195418748</v>
      </c>
      <c r="U149" s="100">
        <f>IF(ISNUMBER('General Info'!$B$40), ((SamplingData[[#This Row],[up/U Selection Probability]]) * 'General Info'!$B$40) - 1, 0)</f>
        <v>279.1234039850321</v>
      </c>
      <c r="V149" s="100">
        <f>IF(ISNUMBER('General Info'!$B$40), (SamplingData[[#This Row],[Running (cumulative) sum]] * ('General Info'!$B$40 -'General Info'!$B$41 + 1)) + 'General Info'!$B$41 - 1, 0)</f>
        <v>10201.147523526906</v>
      </c>
      <c r="W149" s="100" t="str">
        <f>IF(ISERROR(MATCH(SamplingData[[#This Row],[Batch by Type (p)]],SelectedPrecincts[Batch Name], 0)), "", INDEX(SelectedPrecincts[Draw], MATCH(SamplingData[[#This Row],[Batch by Type (p)]],SelectedPrecincts[Batch Name], 0)))</f>
        <v/>
      </c>
      <c r="X149" s="102">
        <f>IF(COUNTIF(SelectedPrecincts[Batch Name],SamplingData[[#This Row],[Batch by Type (p)]]) &lt;&gt; 0, COUNTIF(SelectedPrecincts[Batch Name],SamplingData[[#This Row],[Batch by Type (p)]]), 0)</f>
        <v>0</v>
      </c>
    </row>
    <row r="150" spans="1:24" ht="15" customHeight="1">
      <c r="A150" s="18" t="s">
        <v>326</v>
      </c>
      <c r="B150" s="18">
        <v>33</v>
      </c>
      <c r="C150" s="18">
        <v>40</v>
      </c>
      <c r="D150" s="18">
        <v>8</v>
      </c>
      <c r="E150" s="18">
        <v>6</v>
      </c>
      <c r="F150" s="18">
        <v>0</v>
      </c>
      <c r="G150" s="18">
        <v>0</v>
      </c>
      <c r="H150" s="18">
        <v>0</v>
      </c>
      <c r="I150" s="18">
        <v>1</v>
      </c>
      <c r="J150" s="99">
        <f>SUM(SamplingData[[#This Row],[Losing Candidate]:[Under Votes]])</f>
        <v>88</v>
      </c>
      <c r="K150" s="100">
        <f>IF(AND(SamplingData[[#This Row],[Total]]&lt;&gt; 0, NOT(ISBLANK(SamplingData[[#This Row],[Losing Candidate]]))),(SamplingData[[#This Row],[Total]]+SamplingData[[#This Row],[Winning Candidate]]-SamplingData[[#This Row],[Losing Candidate]])/(SamplingData[[#Totals],[Winning Candidate]]-SamplingData[[#Totals],[Losing Candidate]]), 0)</f>
        <v>5.8182263596276334E-3</v>
      </c>
      <c r="L150" s="100">
        <f>IF(AND(SamplingData[[#This Row],[Total]]&lt;&gt; 0, NOT(ISBLANK(SamplingData[[#This Row],[Candidate 3]]))),(SamplingData[[#This Row],[Total]]+SamplingData[[#This Row],[Winning Candidate]]-SamplingData[[#This Row],[Candidate 3]])/(SamplingData[[#Totals],[Winning Candidate]]-SamplingData[[#Totals],[Candidate 3]]), 0)</f>
        <v>3.8713423879730298E-3</v>
      </c>
      <c r="M150" s="100">
        <f>IF(AND(SamplingData[[#This Row],[Total]]&lt;&gt; 0, NOT(ISBLANK(SamplingData[[#This Row],[Candidate 4]]))),(SamplingData[[#This Row],[Total]]+SamplingData[[#This Row],[Winning Candidate]]-SamplingData[[#This Row],[Candidate 4]])/(SamplingData[[#Totals],[Winning Candidate]]-SamplingData[[#Totals],[Candidate 4]]), 0)</f>
        <v>3.5663129585781521E-3</v>
      </c>
      <c r="N150" s="100">
        <f>IF(AND(SamplingData[[#This Row],[Total]]&lt;&gt; 0, NOT(ISBLANK(SamplingData[[#This Row],[Candidate 5]]))),(SamplingData[[#This Row],[Total]]+SamplingData[[#This Row],[Winning Candidate]]-SamplingData[[#This Row],[Candidate 5]])/(SamplingData[[#Totals],[Winning Candidate]]-SamplingData[[#Totals],[Candidate 5]]), 0)</f>
        <v>3.1135976648017515E-3</v>
      </c>
      <c r="O150" s="100">
        <f>IF(AND(SamplingData[[#This Row],[Total]]&lt;&gt; 0, NOT(ISBLANK(SamplingData[[#This Row],[Candidate 6]]))),(SamplingData[[#This Row],[Total]]+SamplingData[[#This Row],[Winning Candidate]]-SamplingData[[#This Row],[Candidate 6]])/(SamplingData[[#Totals],[Winning Candidate]]-SamplingData[[#Totals],[Candidate 6]]), 0)</f>
        <v>3.1126890715432128E-3</v>
      </c>
      <c r="P150" s="100">
        <f>MAX(SamplingData[[#This Row],[Error Bound (up) - Max. possible relative overstatement - Losing Candidate]:[Error Bound (up) - Max. possible relative overstatement - Candidate 6]])</f>
        <v>5.8182263596276334E-3</v>
      </c>
      <c r="Q150" s="100">
        <f>IF(SamplingData[[#This Row],[Max Error Bound (up)]] = 0,0,SamplingData[[#This Row],[Max Error Bound (up)]]/SamplingData[[#Totals],[Max Error Bound (up)]])</f>
        <v>9.2083008645235393E-4</v>
      </c>
      <c r="R150" s="101">
        <f>SUM($Q$5:Q150)</f>
        <v>0.10294230532172141</v>
      </c>
      <c r="S150" s="100" t="str">
        <f t="array" ref="S150">IF(SamplingData[[#This Row],[up/U Selection Probability]] = 0, "Zero", TEXT(SamplingData[[#This Row],[Lower Range]], REPT("0",LEN('General Info'!$B$40))) &amp; " - " &amp; TEXT(SamplingData[[#This Row],[Upper Range]], REPT("0",LEN('General Info'!$B$40))))</f>
        <v>10202 - 10293</v>
      </c>
      <c r="T150" s="100">
        <f>SamplingData[[#This Row],[Upper Range]]-SamplingData[[#This Row],[Span]]</f>
        <v>10202.148444356993</v>
      </c>
      <c r="U150" s="100">
        <f>IF(ISNUMBER('General Info'!$B$40), ((SamplingData[[#This Row],[up/U Selection Probability]]) * 'General Info'!$B$40) - 1, 0)</f>
        <v>91.082087815148938</v>
      </c>
      <c r="V150" s="100">
        <f>IF(ISNUMBER('General Info'!$B$40), (SamplingData[[#This Row],[Running (cumulative) sum]] * ('General Info'!$B$40 -'General Info'!$B$41 + 1)) + 'General Info'!$B$41 - 1, 0)</f>
        <v>10293.230532172141</v>
      </c>
      <c r="W150" s="100" t="str">
        <f>IF(ISERROR(MATCH(SamplingData[[#This Row],[Batch by Type (p)]],SelectedPrecincts[Batch Name], 0)), "", INDEX(SelectedPrecincts[Draw], MATCH(SamplingData[[#This Row],[Batch by Type (p)]],SelectedPrecincts[Batch Name], 0)))</f>
        <v/>
      </c>
      <c r="X150" s="102">
        <f>IF(COUNTIF(SelectedPrecincts[Batch Name],SamplingData[[#This Row],[Batch by Type (p)]]) &lt;&gt; 0, COUNTIF(SelectedPrecincts[Batch Name],SamplingData[[#This Row],[Batch by Type (p)]]), 0)</f>
        <v>0</v>
      </c>
    </row>
    <row r="151" spans="1:24" ht="15" customHeight="1">
      <c r="A151" s="18" t="s">
        <v>327</v>
      </c>
      <c r="B151" s="18">
        <v>33</v>
      </c>
      <c r="C151" s="18">
        <v>68</v>
      </c>
      <c r="D151" s="16">
        <v>9</v>
      </c>
      <c r="E151" s="16">
        <v>9</v>
      </c>
      <c r="F151" s="37">
        <v>1</v>
      </c>
      <c r="G151" s="37">
        <v>0</v>
      </c>
      <c r="H151" s="17">
        <v>0</v>
      </c>
      <c r="I151" s="17">
        <v>1</v>
      </c>
      <c r="J151" s="99">
        <f>SUM(SamplingData[[#This Row],[Losing Candidate]:[Under Votes]])</f>
        <v>121</v>
      </c>
      <c r="K151" s="100">
        <f>IF(AND(SamplingData[[#This Row],[Total]]&lt;&gt; 0, NOT(ISBLANK(SamplingData[[#This Row],[Losing Candidate]]))),(SamplingData[[#This Row],[Total]]+SamplingData[[#This Row],[Winning Candidate]]-SamplingData[[#This Row],[Losing Candidate]])/(SamplingData[[#Totals],[Winning Candidate]]-SamplingData[[#Totals],[Losing Candidate]]), 0)</f>
        <v>9.5541401273885346E-3</v>
      </c>
      <c r="L151" s="100">
        <f>IF(AND(SamplingData[[#This Row],[Total]]&lt;&gt; 0, NOT(ISBLANK(SamplingData[[#This Row],[Candidate 3]]))),(SamplingData[[#This Row],[Total]]+SamplingData[[#This Row],[Winning Candidate]]-SamplingData[[#This Row],[Candidate 3]])/(SamplingData[[#Totals],[Winning Candidate]]-SamplingData[[#Totals],[Candidate 3]]), 0)</f>
        <v>5.8070135819595445E-3</v>
      </c>
      <c r="M151" s="100">
        <f>IF(AND(SamplingData[[#This Row],[Total]]&lt;&gt; 0, NOT(ISBLANK(SamplingData[[#This Row],[Candidate 4]]))),(SamplingData[[#This Row],[Total]]+SamplingData[[#This Row],[Winning Candidate]]-SamplingData[[#This Row],[Candidate 4]])/(SamplingData[[#Totals],[Winning Candidate]]-SamplingData[[#Totals],[Candidate 4]]), 0)</f>
        <v>5.2617732175743222E-3</v>
      </c>
      <c r="N151" s="100">
        <f>IF(AND(SamplingData[[#This Row],[Total]]&lt;&gt; 0, NOT(ISBLANK(SamplingData[[#This Row],[Candidate 5]]))),(SamplingData[[#This Row],[Total]]+SamplingData[[#This Row],[Winning Candidate]]-SamplingData[[#This Row],[Candidate 5]])/(SamplingData[[#Totals],[Winning Candidate]]-SamplingData[[#Totals],[Candidate 5]]), 0)</f>
        <v>4.5730965701775723E-3</v>
      </c>
      <c r="O151" s="100">
        <f>IF(AND(SamplingData[[#This Row],[Total]]&lt;&gt; 0, NOT(ISBLANK(SamplingData[[#This Row],[Candidate 6]]))),(SamplingData[[#This Row],[Total]]+SamplingData[[#This Row],[Winning Candidate]]-SamplingData[[#This Row],[Candidate 6]])/(SamplingData[[#Totals],[Winning Candidate]]-SamplingData[[#Totals],[Candidate 6]]), 0)</f>
        <v>4.5960799572005249E-3</v>
      </c>
      <c r="P151" s="100">
        <f>MAX(SamplingData[[#This Row],[Error Bound (up) - Max. possible relative overstatement - Losing Candidate]:[Error Bound (up) - Max. possible relative overstatement - Candidate 6]])</f>
        <v>9.5541401273885346E-3</v>
      </c>
      <c r="Q151" s="100">
        <f>IF(SamplingData[[#This Row],[Max Error Bound (up)]] = 0,0,SamplingData[[#This Row],[Max Error Bound (up)]]/SamplingData[[#Totals],[Max Error Bound (up)]])</f>
        <v>1.5120999314375497E-3</v>
      </c>
      <c r="R151" s="101">
        <f>SUM($Q$5:Q151)</f>
        <v>0.10445440525315897</v>
      </c>
      <c r="S151" s="100" t="str">
        <f t="array" ref="S151">IF(SamplingData[[#This Row],[up/U Selection Probability]] = 0, "Zero", TEXT(SamplingData[[#This Row],[Lower Range]], REPT("0",LEN('General Info'!$B$40))) &amp; " - " &amp; TEXT(SamplingData[[#This Row],[Upper Range]], REPT("0",LEN('General Info'!$B$40))))</f>
        <v>10294 - 10444</v>
      </c>
      <c r="T151" s="100">
        <f>SamplingData[[#This Row],[Upper Range]]-SamplingData[[#This Row],[Span]]</f>
        <v>10294.232044272074</v>
      </c>
      <c r="U151" s="100">
        <f>IF(ISNUMBER('General Info'!$B$40), ((SamplingData[[#This Row],[up/U Selection Probability]]) * 'General Info'!$B$40) - 1, 0)</f>
        <v>150.20848104382353</v>
      </c>
      <c r="V151" s="100">
        <f>IF(ISNUMBER('General Info'!$B$40), (SamplingData[[#This Row],[Running (cumulative) sum]] * ('General Info'!$B$40 -'General Info'!$B$41 + 1)) + 'General Info'!$B$41 - 1, 0)</f>
        <v>10444.440525315897</v>
      </c>
      <c r="W151" s="100" t="str">
        <f>IF(ISERROR(MATCH(SamplingData[[#This Row],[Batch by Type (p)]],SelectedPrecincts[Batch Name], 0)), "", INDEX(SelectedPrecincts[Draw], MATCH(SamplingData[[#This Row],[Batch by Type (p)]],SelectedPrecincts[Batch Name], 0)))</f>
        <v/>
      </c>
      <c r="X151" s="102">
        <f>IF(COUNTIF(SelectedPrecincts[Batch Name],SamplingData[[#This Row],[Batch by Type (p)]]) &lt;&gt; 0, COUNTIF(SelectedPrecincts[Batch Name],SamplingData[[#This Row],[Batch by Type (p)]]), 0)</f>
        <v>0</v>
      </c>
    </row>
    <row r="152" spans="1:24" ht="15" customHeight="1">
      <c r="A152" s="18" t="s">
        <v>328</v>
      </c>
      <c r="B152" s="18">
        <v>26</v>
      </c>
      <c r="C152" s="18">
        <v>35</v>
      </c>
      <c r="D152" s="18">
        <v>4</v>
      </c>
      <c r="E152" s="18">
        <v>5</v>
      </c>
      <c r="F152" s="18">
        <v>1</v>
      </c>
      <c r="G152" s="18">
        <v>0</v>
      </c>
      <c r="H152" s="18">
        <v>0</v>
      </c>
      <c r="I152" s="18">
        <v>1</v>
      </c>
      <c r="J152" s="99">
        <f>SUM(SamplingData[[#This Row],[Losing Candidate]:[Under Votes]])</f>
        <v>72</v>
      </c>
      <c r="K152"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152" s="100">
        <f>IF(AND(SamplingData[[#This Row],[Total]]&lt;&gt; 0, NOT(ISBLANK(SamplingData[[#This Row],[Candidate 3]]))),(SamplingData[[#This Row],[Total]]+SamplingData[[#This Row],[Winning Candidate]]-SamplingData[[#This Row],[Candidate 3]])/(SamplingData[[#Totals],[Winning Candidate]]-SamplingData[[#Totals],[Candidate 3]]), 0)</f>
        <v>3.3229022163435173E-3</v>
      </c>
      <c r="M152" s="100">
        <f>IF(AND(SamplingData[[#This Row],[Total]]&lt;&gt; 0, NOT(ISBLANK(SamplingData[[#This Row],[Candidate 4]]))),(SamplingData[[#This Row],[Total]]+SamplingData[[#This Row],[Winning Candidate]]-SamplingData[[#This Row],[Candidate 4]])/(SamplingData[[#Totals],[Winning Candidate]]-SamplingData[[#Totals],[Candidate 4]]), 0)</f>
        <v>2.9816714899587827E-3</v>
      </c>
      <c r="N152" s="100">
        <f>IF(AND(SamplingData[[#This Row],[Total]]&lt;&gt; 0, NOT(ISBLANK(SamplingData[[#This Row],[Candidate 5]]))),(SamplingData[[#This Row],[Total]]+SamplingData[[#This Row],[Winning Candidate]]-SamplingData[[#This Row],[Candidate 5]])/(SamplingData[[#Totals],[Winning Candidate]]-SamplingData[[#Totals],[Candidate 5]]), 0)</f>
        <v>2.5784480661639503E-3</v>
      </c>
      <c r="O152" s="100">
        <f>IF(AND(SamplingData[[#This Row],[Total]]&lt;&gt; 0, NOT(ISBLANK(SamplingData[[#This Row],[Candidate 6]]))),(SamplingData[[#This Row],[Total]]+SamplingData[[#This Row],[Winning Candidate]]-SamplingData[[#This Row],[Candidate 6]])/(SamplingData[[#Totals],[Winning Candidate]]-SamplingData[[#Totals],[Candidate 6]]), 0)</f>
        <v>2.6020135207431546E-3</v>
      </c>
      <c r="P152" s="100">
        <f>MAX(SamplingData[[#This Row],[Error Bound (up) - Max. possible relative overstatement - Losing Candidate]:[Error Bound (up) - Max. possible relative overstatement - Candidate 6]])</f>
        <v>4.9608035276825085E-3</v>
      </c>
      <c r="Q152" s="100">
        <f>IF(SamplingData[[#This Row],[Max Error Bound (up)]] = 0,0,SamplingData[[#This Row],[Max Error Bound (up)]]/SamplingData[[#Totals],[Max Error Bound (up)]])</f>
        <v>7.8512881055411239E-4</v>
      </c>
      <c r="R152" s="101">
        <f>SUM($Q$5:Q152)</f>
        <v>0.10523953406371307</v>
      </c>
      <c r="S152" s="100" t="str">
        <f t="array" ref="S152">IF(SamplingData[[#This Row],[up/U Selection Probability]] = 0, "Zero", TEXT(SamplingData[[#This Row],[Lower Range]], REPT("0",LEN('General Info'!$B$40))) &amp; " - " &amp; TEXT(SamplingData[[#This Row],[Upper Range]], REPT("0",LEN('General Info'!$B$40))))</f>
        <v>10445 - 10523</v>
      </c>
      <c r="T152" s="100">
        <f>SamplingData[[#This Row],[Upper Range]]-SamplingData[[#This Row],[Span]]</f>
        <v>10445.441310444707</v>
      </c>
      <c r="U152" s="100">
        <f>IF(ISNUMBER('General Info'!$B$40), ((SamplingData[[#This Row],[up/U Selection Probability]]) * 'General Info'!$B$40) - 1, 0)</f>
        <v>77.512095926600679</v>
      </c>
      <c r="V152" s="100">
        <f>IF(ISNUMBER('General Info'!$B$40), (SamplingData[[#This Row],[Running (cumulative) sum]] * ('General Info'!$B$40 -'General Info'!$B$41 + 1)) + 'General Info'!$B$41 - 1, 0)</f>
        <v>10522.953406371307</v>
      </c>
      <c r="W152" s="100" t="str">
        <f>IF(ISERROR(MATCH(SamplingData[[#This Row],[Batch by Type (p)]],SelectedPrecincts[Batch Name], 0)), "", INDEX(SelectedPrecincts[Draw], MATCH(SamplingData[[#This Row],[Batch by Type (p)]],SelectedPrecincts[Batch Name], 0)))</f>
        <v/>
      </c>
      <c r="X152" s="102">
        <f>IF(COUNTIF(SelectedPrecincts[Batch Name],SamplingData[[#This Row],[Batch by Type (p)]]) &lt;&gt; 0, COUNTIF(SelectedPrecincts[Batch Name],SamplingData[[#This Row],[Batch by Type (p)]]), 0)</f>
        <v>0</v>
      </c>
    </row>
    <row r="153" spans="1:24" ht="15" customHeight="1">
      <c r="A153" s="18" t="s">
        <v>329</v>
      </c>
      <c r="B153" s="18">
        <v>57</v>
      </c>
      <c r="C153" s="18">
        <v>87</v>
      </c>
      <c r="D153" s="16">
        <v>22</v>
      </c>
      <c r="E153" s="16">
        <v>12</v>
      </c>
      <c r="F153" s="37">
        <v>0</v>
      </c>
      <c r="G153" s="37">
        <v>0</v>
      </c>
      <c r="H153" s="17">
        <v>0</v>
      </c>
      <c r="I153" s="17">
        <v>0</v>
      </c>
      <c r="J153" s="99">
        <f>SUM(SamplingData[[#This Row],[Losing Candidate]:[Under Votes]])</f>
        <v>178</v>
      </c>
      <c r="K153" s="100">
        <f>IF(AND(SamplingData[[#This Row],[Total]]&lt;&gt; 0, NOT(ISBLANK(SamplingData[[#This Row],[Losing Candidate]]))),(SamplingData[[#This Row],[Total]]+SamplingData[[#This Row],[Winning Candidate]]-SamplingData[[#This Row],[Losing Candidate]])/(SamplingData[[#Totals],[Winning Candidate]]-SamplingData[[#Totals],[Losing Candidate]]), 0)</f>
        <v>1.2738853503184714E-2</v>
      </c>
      <c r="L153" s="100">
        <f>IF(AND(SamplingData[[#This Row],[Total]]&lt;&gt; 0, NOT(ISBLANK(SamplingData[[#This Row],[Candidate 3]]))),(SamplingData[[#This Row],[Total]]+SamplingData[[#This Row],[Winning Candidate]]-SamplingData[[#This Row],[Candidate 3]])/(SamplingData[[#Totals],[Winning Candidate]]-SamplingData[[#Totals],[Candidate 3]]), 0)</f>
        <v>7.8394683356453852E-3</v>
      </c>
      <c r="M153" s="100">
        <f>IF(AND(SamplingData[[#This Row],[Total]]&lt;&gt; 0, NOT(ISBLANK(SamplingData[[#This Row],[Candidate 4]]))),(SamplingData[[#This Row],[Total]]+SamplingData[[#This Row],[Winning Candidate]]-SamplingData[[#This Row],[Candidate 4]])/(SamplingData[[#Totals],[Winning Candidate]]-SamplingData[[#Totals],[Candidate 4]]), 0)</f>
        <v>7.3957145780350203E-3</v>
      </c>
      <c r="N153" s="100">
        <f>IF(AND(SamplingData[[#This Row],[Total]]&lt;&gt; 0, NOT(ISBLANK(SamplingData[[#This Row],[Candidate 5]]))),(SamplingData[[#This Row],[Total]]+SamplingData[[#This Row],[Winning Candidate]]-SamplingData[[#This Row],[Candidate 5]])/(SamplingData[[#Totals],[Winning Candidate]]-SamplingData[[#Totals],[Candidate 5]]), 0)</f>
        <v>6.4461201654098755E-3</v>
      </c>
      <c r="O153" s="100">
        <f>IF(AND(SamplingData[[#This Row],[Total]]&lt;&gt; 0, NOT(ISBLANK(SamplingData[[#This Row],[Candidate 6]]))),(SamplingData[[#This Row],[Total]]+SamplingData[[#This Row],[Winning Candidate]]-SamplingData[[#This Row],[Candidate 6]])/(SamplingData[[#Totals],[Winning Candidate]]-SamplingData[[#Totals],[Candidate 6]]), 0)</f>
        <v>6.4442390934293077E-3</v>
      </c>
      <c r="P153" s="100">
        <f>MAX(SamplingData[[#This Row],[Error Bound (up) - Max. possible relative overstatement - Losing Candidate]:[Error Bound (up) - Max. possible relative overstatement - Candidate 6]])</f>
        <v>1.2738853503184714E-2</v>
      </c>
      <c r="Q153" s="100">
        <f>IF(SamplingData[[#This Row],[Max Error Bound (up)]] = 0,0,SamplingData[[#This Row],[Max Error Bound (up)]]/SamplingData[[#Totals],[Max Error Bound (up)]])</f>
        <v>2.016133241916733E-3</v>
      </c>
      <c r="R153" s="101">
        <f>SUM($Q$5:Q153)</f>
        <v>0.1072556673056298</v>
      </c>
      <c r="S153" s="100" t="str">
        <f t="array" ref="S153">IF(SamplingData[[#This Row],[up/U Selection Probability]] = 0, "Zero", TEXT(SamplingData[[#This Row],[Lower Range]], REPT("0",LEN('General Info'!$B$40))) &amp; " - " &amp; TEXT(SamplingData[[#This Row],[Upper Range]], REPT("0",LEN('General Info'!$B$40))))</f>
        <v>10524 - 10725</v>
      </c>
      <c r="T153" s="100">
        <f>SamplingData[[#This Row],[Upper Range]]-SamplingData[[#This Row],[Span]]</f>
        <v>10523.955422504549</v>
      </c>
      <c r="U153" s="100">
        <f>IF(ISNUMBER('General Info'!$B$40), ((SamplingData[[#This Row],[up/U Selection Probability]]) * 'General Info'!$B$40) - 1, 0)</f>
        <v>200.61130805843138</v>
      </c>
      <c r="V153" s="100">
        <f>IF(ISNUMBER('General Info'!$B$40), (SamplingData[[#This Row],[Running (cumulative) sum]] * ('General Info'!$B$40 -'General Info'!$B$41 + 1)) + 'General Info'!$B$41 - 1, 0)</f>
        <v>10724.56673056298</v>
      </c>
      <c r="W153" s="100" t="str">
        <f>IF(ISERROR(MATCH(SamplingData[[#This Row],[Batch by Type (p)]],SelectedPrecincts[Batch Name], 0)), "", INDEX(SelectedPrecincts[Draw], MATCH(SamplingData[[#This Row],[Batch by Type (p)]],SelectedPrecincts[Batch Name], 0)))</f>
        <v/>
      </c>
      <c r="X153" s="102">
        <f>IF(COUNTIF(SelectedPrecincts[Batch Name],SamplingData[[#This Row],[Batch by Type (p)]]) &lt;&gt; 0, COUNTIF(SelectedPrecincts[Batch Name],SamplingData[[#This Row],[Batch by Type (p)]]), 0)</f>
        <v>0</v>
      </c>
    </row>
    <row r="154" spans="1:24" ht="15" customHeight="1">
      <c r="A154" s="18" t="s">
        <v>330</v>
      </c>
      <c r="B154" s="18">
        <v>25</v>
      </c>
      <c r="C154" s="18">
        <v>30</v>
      </c>
      <c r="D154" s="18">
        <v>12</v>
      </c>
      <c r="E154" s="18">
        <v>2</v>
      </c>
      <c r="F154" s="18">
        <v>0</v>
      </c>
      <c r="G154" s="18">
        <v>1</v>
      </c>
      <c r="H154" s="18">
        <v>0</v>
      </c>
      <c r="I154" s="18">
        <v>0</v>
      </c>
      <c r="J154" s="99">
        <f>SUM(SamplingData[[#This Row],[Losing Candidate]:[Under Votes]])</f>
        <v>70</v>
      </c>
      <c r="K154" s="100">
        <f>IF(AND(SamplingData[[#This Row],[Total]]&lt;&gt; 0, NOT(ISBLANK(SamplingData[[#This Row],[Losing Candidate]]))),(SamplingData[[#This Row],[Total]]+SamplingData[[#This Row],[Winning Candidate]]-SamplingData[[#This Row],[Losing Candidate]])/(SamplingData[[#Totals],[Winning Candidate]]-SamplingData[[#Totals],[Losing Candidate]]), 0)</f>
        <v>4.5933365997060261E-3</v>
      </c>
      <c r="L154" s="100">
        <f>IF(AND(SamplingData[[#This Row],[Total]]&lt;&gt; 0, NOT(ISBLANK(SamplingData[[#This Row],[Candidate 3]]))),(SamplingData[[#This Row],[Total]]+SamplingData[[#This Row],[Winning Candidate]]-SamplingData[[#This Row],[Candidate 3]])/(SamplingData[[#Totals],[Winning Candidate]]-SamplingData[[#Totals],[Candidate 3]]), 0)</f>
        <v>2.8389844178468883E-3</v>
      </c>
      <c r="M154" s="100">
        <f>IF(AND(SamplingData[[#This Row],[Total]]&lt;&gt; 0, NOT(ISBLANK(SamplingData[[#This Row],[Candidate 4]]))),(SamplingData[[#This Row],[Total]]+SamplingData[[#This Row],[Winning Candidate]]-SamplingData[[#This Row],[Candidate 4]])/(SamplingData[[#Totals],[Winning Candidate]]-SamplingData[[#Totals],[Candidate 4]]), 0)</f>
        <v>2.8647431962349089E-3</v>
      </c>
      <c r="N154" s="100">
        <f>IF(AND(SamplingData[[#This Row],[Total]]&lt;&gt; 0, NOT(ISBLANK(SamplingData[[#This Row],[Candidate 5]]))),(SamplingData[[#This Row],[Total]]+SamplingData[[#This Row],[Winning Candidate]]-SamplingData[[#This Row],[Candidate 5]])/(SamplingData[[#Totals],[Winning Candidate]]-SamplingData[[#Totals],[Candidate 5]]), 0)</f>
        <v>2.4324981756263684E-3</v>
      </c>
      <c r="O154" s="100">
        <f>IF(AND(SamplingData[[#This Row],[Total]]&lt;&gt; 0, NOT(ISBLANK(SamplingData[[#This Row],[Candidate 6]]))),(SamplingData[[#This Row],[Total]]+SamplingData[[#This Row],[Winning Candidate]]-SamplingData[[#This Row],[Candidate 6]])/(SamplingData[[#Totals],[Winning Candidate]]-SamplingData[[#Totals],[Candidate 6]]), 0)</f>
        <v>2.4074704537717039E-3</v>
      </c>
      <c r="P154" s="100">
        <f>MAX(SamplingData[[#This Row],[Error Bound (up) - Max. possible relative overstatement - Losing Candidate]:[Error Bound (up) - Max. possible relative overstatement - Candidate 6]])</f>
        <v>4.5933365997060261E-3</v>
      </c>
      <c r="Q154" s="100">
        <f>IF(SamplingData[[#This Row],[Max Error Bound (up)]] = 0,0,SamplingData[[#This Row],[Max Error Bound (up)]]/SamplingData[[#Totals],[Max Error Bound (up)]])</f>
        <v>7.2697112088343735E-4</v>
      </c>
      <c r="R154" s="101">
        <f>SUM($Q$5:Q154)</f>
        <v>0.10798263842651323</v>
      </c>
      <c r="S154" s="100" t="str">
        <f t="array" ref="S154">IF(SamplingData[[#This Row],[up/U Selection Probability]] = 0, "Zero", TEXT(SamplingData[[#This Row],[Lower Range]], REPT("0",LEN('General Info'!$B$40))) &amp; " - " &amp; TEXT(SamplingData[[#This Row],[Upper Range]], REPT("0",LEN('General Info'!$B$40))))</f>
        <v>10726 - 10797</v>
      </c>
      <c r="T154" s="100">
        <f>SamplingData[[#This Row],[Upper Range]]-SamplingData[[#This Row],[Span]]</f>
        <v>10725.567457534102</v>
      </c>
      <c r="U154" s="100">
        <f>IF(ISNUMBER('General Info'!$B$40), ((SamplingData[[#This Row],[up/U Selection Probability]]) * 'General Info'!$B$40) - 1, 0)</f>
        <v>71.696385117222846</v>
      </c>
      <c r="V154" s="100">
        <f>IF(ISNUMBER('General Info'!$B$40), (SamplingData[[#This Row],[Running (cumulative) sum]] * ('General Info'!$B$40 -'General Info'!$B$41 + 1)) + 'General Info'!$B$41 - 1, 0)</f>
        <v>10797.263842651324</v>
      </c>
      <c r="W154" s="100" t="str">
        <f>IF(ISERROR(MATCH(SamplingData[[#This Row],[Batch by Type (p)]],SelectedPrecincts[Batch Name], 0)), "", INDEX(SelectedPrecincts[Draw], MATCH(SamplingData[[#This Row],[Batch by Type (p)]],SelectedPrecincts[Batch Name], 0)))</f>
        <v/>
      </c>
      <c r="X154" s="102">
        <f>IF(COUNTIF(SelectedPrecincts[Batch Name],SamplingData[[#This Row],[Batch by Type (p)]]) &lt;&gt; 0, COUNTIF(SelectedPrecincts[Batch Name],SamplingData[[#This Row],[Batch by Type (p)]]), 0)</f>
        <v>0</v>
      </c>
    </row>
    <row r="155" spans="1:24" ht="15" customHeight="1">
      <c r="A155" s="18" t="s">
        <v>331</v>
      </c>
      <c r="B155" s="18">
        <v>39</v>
      </c>
      <c r="C155" s="18">
        <v>61</v>
      </c>
      <c r="D155" s="16">
        <v>26</v>
      </c>
      <c r="E155" s="16">
        <v>18</v>
      </c>
      <c r="F155" s="37">
        <v>0</v>
      </c>
      <c r="G155" s="37">
        <v>0</v>
      </c>
      <c r="H155" s="17">
        <v>0</v>
      </c>
      <c r="I155" s="17">
        <v>5</v>
      </c>
      <c r="J155" s="99">
        <f>SUM(SamplingData[[#This Row],[Losing Candidate]:[Under Votes]])</f>
        <v>149</v>
      </c>
      <c r="K155" s="100">
        <f>IF(AND(SamplingData[[#This Row],[Total]]&lt;&gt; 0, NOT(ISBLANK(SamplingData[[#This Row],[Losing Candidate]]))),(SamplingData[[#This Row],[Total]]+SamplingData[[#This Row],[Winning Candidate]]-SamplingData[[#This Row],[Losing Candidate]])/(SamplingData[[#Totals],[Winning Candidate]]-SamplingData[[#Totals],[Losing Candidate]]), 0)</f>
        <v>1.047280744732974E-2</v>
      </c>
      <c r="L155" s="100">
        <f>IF(AND(SamplingData[[#This Row],[Total]]&lt;&gt; 0, NOT(ISBLANK(SamplingData[[#This Row],[Candidate 3]]))),(SamplingData[[#This Row],[Total]]+SamplingData[[#This Row],[Winning Candidate]]-SamplingData[[#This Row],[Candidate 3]])/(SamplingData[[#Totals],[Winning Candidate]]-SamplingData[[#Totals],[Candidate 3]]), 0)</f>
        <v>5.9360583282253125E-3</v>
      </c>
      <c r="M155" s="100">
        <f>IF(AND(SamplingData[[#This Row],[Total]]&lt;&gt; 0, NOT(ISBLANK(SamplingData[[#This Row],[Candidate 4]]))),(SamplingData[[#This Row],[Total]]+SamplingData[[#This Row],[Winning Candidate]]-SamplingData[[#This Row],[Candidate 4]])/(SamplingData[[#Totals],[Winning Candidate]]-SamplingData[[#Totals],[Candidate 4]]), 0)</f>
        <v>5.6125580987459438E-3</v>
      </c>
      <c r="N155" s="100">
        <f>IF(AND(SamplingData[[#This Row],[Total]]&lt;&gt; 0, NOT(ISBLANK(SamplingData[[#This Row],[Candidate 5]]))),(SamplingData[[#This Row],[Total]]+SamplingData[[#This Row],[Winning Candidate]]-SamplingData[[#This Row],[Candidate 5]])/(SamplingData[[#Totals],[Winning Candidate]]-SamplingData[[#Totals],[Candidate 5]]), 0)</f>
        <v>5.1082461688153735E-3</v>
      </c>
      <c r="O155" s="100">
        <f>IF(AND(SamplingData[[#This Row],[Total]]&lt;&gt; 0, NOT(ISBLANK(SamplingData[[#This Row],[Candidate 6]]))),(SamplingData[[#This Row],[Total]]+SamplingData[[#This Row],[Winning Candidate]]-SamplingData[[#This Row],[Candidate 6]])/(SamplingData[[#Totals],[Winning Candidate]]-SamplingData[[#Totals],[Candidate 6]]), 0)</f>
        <v>5.1067555080005836E-3</v>
      </c>
      <c r="P155" s="100">
        <f>MAX(SamplingData[[#This Row],[Error Bound (up) - Max. possible relative overstatement - Losing Candidate]:[Error Bound (up) - Max. possible relative overstatement - Candidate 6]])</f>
        <v>1.047280744732974E-2</v>
      </c>
      <c r="Q155" s="100">
        <f>IF(SamplingData[[#This Row],[Max Error Bound (up)]] = 0,0,SamplingData[[#This Row],[Max Error Bound (up)]]/SamplingData[[#Totals],[Max Error Bound (up)]])</f>
        <v>1.6574941556142372E-3</v>
      </c>
      <c r="R155" s="101">
        <f>SUM($Q$5:Q155)</f>
        <v>0.10964013258212747</v>
      </c>
      <c r="S155" s="100" t="str">
        <f t="array" ref="S155">IF(SamplingData[[#This Row],[up/U Selection Probability]] = 0, "Zero", TEXT(SamplingData[[#This Row],[Lower Range]], REPT("0",LEN('General Info'!$B$40))) &amp; " - " &amp; TEXT(SamplingData[[#This Row],[Upper Range]], REPT("0",LEN('General Info'!$B$40))))</f>
        <v>10798 - 10963</v>
      </c>
      <c r="T155" s="100">
        <f>SamplingData[[#This Row],[Upper Range]]-SamplingData[[#This Row],[Span]]</f>
        <v>10798.26550014548</v>
      </c>
      <c r="U155" s="100">
        <f>IF(ISNUMBER('General Info'!$B$40), ((SamplingData[[#This Row],[up/U Selection Probability]]) * 'General Info'!$B$40) - 1, 0)</f>
        <v>164.74775806726811</v>
      </c>
      <c r="V155" s="100">
        <f>IF(ISNUMBER('General Info'!$B$40), (SamplingData[[#This Row],[Running (cumulative) sum]] * ('General Info'!$B$40 -'General Info'!$B$41 + 1)) + 'General Info'!$B$41 - 1, 0)</f>
        <v>10963.013258212748</v>
      </c>
      <c r="W155" s="100" t="str">
        <f>IF(ISERROR(MATCH(SamplingData[[#This Row],[Batch by Type (p)]],SelectedPrecincts[Batch Name], 0)), "", INDEX(SelectedPrecincts[Draw], MATCH(SamplingData[[#This Row],[Batch by Type (p)]],SelectedPrecincts[Batch Name], 0)))</f>
        <v/>
      </c>
      <c r="X155" s="102">
        <f>IF(COUNTIF(SelectedPrecincts[Batch Name],SamplingData[[#This Row],[Batch by Type (p)]]) &lt;&gt; 0, COUNTIF(SelectedPrecincts[Batch Name],SamplingData[[#This Row],[Batch by Type (p)]]), 0)</f>
        <v>0</v>
      </c>
    </row>
    <row r="156" spans="1:24" ht="15" customHeight="1">
      <c r="A156" s="18" t="s">
        <v>332</v>
      </c>
      <c r="B156" s="18">
        <v>34</v>
      </c>
      <c r="C156" s="18">
        <v>27</v>
      </c>
      <c r="D156" s="18">
        <v>18</v>
      </c>
      <c r="E156" s="18">
        <v>8</v>
      </c>
      <c r="F156" s="18">
        <v>0</v>
      </c>
      <c r="G156" s="18">
        <v>0</v>
      </c>
      <c r="H156" s="18">
        <v>0</v>
      </c>
      <c r="I156" s="18">
        <v>3</v>
      </c>
      <c r="J156" s="99">
        <f>SUM(SamplingData[[#This Row],[Losing Candidate]:[Under Votes]])</f>
        <v>90</v>
      </c>
      <c r="K156" s="100">
        <f>IF(AND(SamplingData[[#This Row],[Total]]&lt;&gt; 0, NOT(ISBLANK(SamplingData[[#This Row],[Losing Candidate]]))),(SamplingData[[#This Row],[Total]]+SamplingData[[#This Row],[Winning Candidate]]-SamplingData[[#This Row],[Losing Candidate]])/(SamplingData[[#Totals],[Winning Candidate]]-SamplingData[[#Totals],[Losing Candidate]]), 0)</f>
        <v>5.0832925036746694E-3</v>
      </c>
      <c r="L156" s="100">
        <f>IF(AND(SamplingData[[#This Row],[Total]]&lt;&gt; 0, NOT(ISBLANK(SamplingData[[#This Row],[Candidate 3]]))),(SamplingData[[#This Row],[Total]]+SamplingData[[#This Row],[Winning Candidate]]-SamplingData[[#This Row],[Candidate 3]])/(SamplingData[[#Totals],[Winning Candidate]]-SamplingData[[#Totals],[Candidate 3]]), 0)</f>
        <v>3.1938574700777493E-3</v>
      </c>
      <c r="M156" s="100">
        <f>IF(AND(SamplingData[[#This Row],[Total]]&lt;&gt; 0, NOT(ISBLANK(SamplingData[[#This Row],[Candidate 4]]))),(SamplingData[[#This Row],[Total]]+SamplingData[[#This Row],[Winning Candidate]]-SamplingData[[#This Row],[Candidate 4]])/(SamplingData[[#Totals],[Winning Candidate]]-SamplingData[[#Totals],[Candidate 4]]), 0)</f>
        <v>3.186296003975562E-3</v>
      </c>
      <c r="N156" s="100">
        <f>IF(AND(SamplingData[[#This Row],[Total]]&lt;&gt; 0, NOT(ISBLANK(SamplingData[[#This Row],[Candidate 5]]))),(SamplingData[[#This Row],[Total]]+SamplingData[[#This Row],[Winning Candidate]]-SamplingData[[#This Row],[Candidate 5]])/(SamplingData[[#Totals],[Winning Candidate]]-SamplingData[[#Totals],[Candidate 5]]), 0)</f>
        <v>2.8460228654828509E-3</v>
      </c>
      <c r="O156" s="100">
        <f>IF(AND(SamplingData[[#This Row],[Total]]&lt;&gt; 0, NOT(ISBLANK(SamplingData[[#This Row],[Candidate 6]]))),(SamplingData[[#This Row],[Total]]+SamplingData[[#This Row],[Winning Candidate]]-SamplingData[[#This Row],[Candidate 6]])/(SamplingData[[#Totals],[Winning Candidate]]-SamplingData[[#Totals],[Candidate 6]]), 0)</f>
        <v>2.845192354457468E-3</v>
      </c>
      <c r="P156" s="100">
        <f>MAX(SamplingData[[#This Row],[Error Bound (up) - Max. possible relative overstatement - Losing Candidate]:[Error Bound (up) - Max. possible relative overstatement - Candidate 6]])</f>
        <v>5.0832925036746694E-3</v>
      </c>
      <c r="Q156" s="100">
        <f>IF(SamplingData[[#This Row],[Max Error Bound (up)]] = 0,0,SamplingData[[#This Row],[Max Error Bound (up)]]/SamplingData[[#Totals],[Max Error Bound (up)]])</f>
        <v>8.0451470711100407E-4</v>
      </c>
      <c r="R156" s="101">
        <f>SUM($Q$5:Q156)</f>
        <v>0.11044464728923847</v>
      </c>
      <c r="S156" s="100" t="str">
        <f t="array" ref="S156">IF(SamplingData[[#This Row],[up/U Selection Probability]] = 0, "Zero", TEXT(SamplingData[[#This Row],[Lower Range]], REPT("0",LEN('General Info'!$B$40))) &amp; " - " &amp; TEXT(SamplingData[[#This Row],[Upper Range]], REPT("0",LEN('General Info'!$B$40))))</f>
        <v>10964 - 11043</v>
      </c>
      <c r="T156" s="100">
        <f>SamplingData[[#This Row],[Upper Range]]-SamplingData[[#This Row],[Span]]</f>
        <v>10964.014062727454</v>
      </c>
      <c r="U156" s="100">
        <f>IF(ISNUMBER('General Info'!$B$40), ((SamplingData[[#This Row],[up/U Selection Probability]]) * 'General Info'!$B$40) - 1, 0)</f>
        <v>79.4506661963933</v>
      </c>
      <c r="V156" s="100">
        <f>IF(ISNUMBER('General Info'!$B$40), (SamplingData[[#This Row],[Running (cumulative) sum]] * ('General Info'!$B$40 -'General Info'!$B$41 + 1)) + 'General Info'!$B$41 - 1, 0)</f>
        <v>11043.464728923847</v>
      </c>
      <c r="W156" s="100" t="str">
        <f>IF(ISERROR(MATCH(SamplingData[[#This Row],[Batch by Type (p)]],SelectedPrecincts[Batch Name], 0)), "", INDEX(SelectedPrecincts[Draw], MATCH(SamplingData[[#This Row],[Batch by Type (p)]],SelectedPrecincts[Batch Name], 0)))</f>
        <v/>
      </c>
      <c r="X156" s="102">
        <f>IF(COUNTIF(SelectedPrecincts[Batch Name],SamplingData[[#This Row],[Batch by Type (p)]]) &lt;&gt; 0, COUNTIF(SelectedPrecincts[Batch Name],SamplingData[[#This Row],[Batch by Type (p)]]), 0)</f>
        <v>0</v>
      </c>
    </row>
    <row r="157" spans="1:24" ht="15" customHeight="1">
      <c r="A157" s="18" t="s">
        <v>333</v>
      </c>
      <c r="B157" s="18">
        <v>21</v>
      </c>
      <c r="C157" s="18">
        <v>41</v>
      </c>
      <c r="D157" s="16">
        <v>16</v>
      </c>
      <c r="E157" s="16">
        <v>3</v>
      </c>
      <c r="F157" s="37">
        <v>0</v>
      </c>
      <c r="G157" s="37">
        <v>1</v>
      </c>
      <c r="H157" s="17">
        <v>0</v>
      </c>
      <c r="I157" s="17">
        <v>1</v>
      </c>
      <c r="J157" s="99">
        <f>SUM(SamplingData[[#This Row],[Losing Candidate]:[Under Votes]])</f>
        <v>83</v>
      </c>
      <c r="K157" s="100">
        <f>IF(AND(SamplingData[[#This Row],[Total]]&lt;&gt; 0, NOT(ISBLANK(SamplingData[[#This Row],[Losing Candidate]]))),(SamplingData[[#This Row],[Total]]+SamplingData[[#This Row],[Winning Candidate]]-SamplingData[[#This Row],[Losing Candidate]])/(SamplingData[[#Totals],[Winning Candidate]]-SamplingData[[#Totals],[Losing Candidate]]), 0)</f>
        <v>6.3081822635962766E-3</v>
      </c>
      <c r="L157" s="100">
        <f>IF(AND(SamplingData[[#This Row],[Total]]&lt;&gt; 0, NOT(ISBLANK(SamplingData[[#This Row],[Candidate 3]]))),(SamplingData[[#This Row],[Total]]+SamplingData[[#This Row],[Winning Candidate]]-SamplingData[[#This Row],[Candidate 3]])/(SamplingData[[#Totals],[Winning Candidate]]-SamplingData[[#Totals],[Candidate 3]]), 0)</f>
        <v>3.4842081491757268E-3</v>
      </c>
      <c r="M157" s="100">
        <f>IF(AND(SamplingData[[#This Row],[Total]]&lt;&gt; 0, NOT(ISBLANK(SamplingData[[#This Row],[Candidate 4]]))),(SamplingData[[#This Row],[Total]]+SamplingData[[#This Row],[Winning Candidate]]-SamplingData[[#This Row],[Candidate 4]])/(SamplingData[[#Totals],[Winning Candidate]]-SamplingData[[#Totals],[Candidate 4]]), 0)</f>
        <v>3.5370808851471836E-3</v>
      </c>
      <c r="N157" s="100">
        <f>IF(AND(SamplingData[[#This Row],[Total]]&lt;&gt; 0, NOT(ISBLANK(SamplingData[[#This Row],[Candidate 5]]))),(SamplingData[[#This Row],[Total]]+SamplingData[[#This Row],[Winning Candidate]]-SamplingData[[#This Row],[Candidate 5]])/(SamplingData[[#Totals],[Winning Candidate]]-SamplingData[[#Totals],[Candidate 5]]), 0)</f>
        <v>3.0162977377766968E-3</v>
      </c>
      <c r="O157" s="100">
        <f>IF(AND(SamplingData[[#This Row],[Total]]&lt;&gt; 0, NOT(ISBLANK(SamplingData[[#This Row],[Candidate 6]]))),(SamplingData[[#This Row],[Total]]+SamplingData[[#This Row],[Winning Candidate]]-SamplingData[[#This Row],[Candidate 6]])/(SamplingData[[#Totals],[Winning Candidate]]-SamplingData[[#Totals],[Candidate 6]]), 0)</f>
        <v>2.9910996546860563E-3</v>
      </c>
      <c r="P157" s="100">
        <f>MAX(SamplingData[[#This Row],[Error Bound (up) - Max. possible relative overstatement - Losing Candidate]:[Error Bound (up) - Max. possible relative overstatement - Candidate 6]])</f>
        <v>6.3081822635962766E-3</v>
      </c>
      <c r="Q157" s="100">
        <f>IF(SamplingData[[#This Row],[Max Error Bound (up)]] = 0,0,SamplingData[[#This Row],[Max Error Bound (up)]]/SamplingData[[#Totals],[Max Error Bound (up)]])</f>
        <v>9.9837367267992076E-4</v>
      </c>
      <c r="R157" s="101">
        <f>SUM($Q$5:Q157)</f>
        <v>0.1114430209619184</v>
      </c>
      <c r="S157" s="100" t="str">
        <f t="array" ref="S157">IF(SamplingData[[#This Row],[up/U Selection Probability]] = 0, "Zero", TEXT(SamplingData[[#This Row],[Lower Range]], REPT("0",LEN('General Info'!$B$40))) &amp; " - " &amp; TEXT(SamplingData[[#This Row],[Upper Range]], REPT("0",LEN('General Info'!$B$40))))</f>
        <v>11044 - 11143</v>
      </c>
      <c r="T157" s="100">
        <f>SamplingData[[#This Row],[Upper Range]]-SamplingData[[#This Row],[Span]]</f>
        <v>11044.46572729752</v>
      </c>
      <c r="U157" s="100">
        <f>IF(ISNUMBER('General Info'!$B$40), ((SamplingData[[#This Row],[up/U Selection Probability]]) * 'General Info'!$B$40) - 1, 0)</f>
        <v>98.836368894319392</v>
      </c>
      <c r="V157" s="100">
        <f>IF(ISNUMBER('General Info'!$B$40), (SamplingData[[#This Row],[Running (cumulative) sum]] * ('General Info'!$B$40 -'General Info'!$B$41 + 1)) + 'General Info'!$B$41 - 1, 0)</f>
        <v>11143.302096191839</v>
      </c>
      <c r="W157" s="100" t="str">
        <f>IF(ISERROR(MATCH(SamplingData[[#This Row],[Batch by Type (p)]],SelectedPrecincts[Batch Name], 0)), "", INDEX(SelectedPrecincts[Draw], MATCH(SamplingData[[#This Row],[Batch by Type (p)]],SelectedPrecincts[Batch Name], 0)))</f>
        <v/>
      </c>
      <c r="X157" s="102">
        <f>IF(COUNTIF(SelectedPrecincts[Batch Name],SamplingData[[#This Row],[Batch by Type (p)]]) &lt;&gt; 0, COUNTIF(SelectedPrecincts[Batch Name],SamplingData[[#This Row],[Batch by Type (p)]]), 0)</f>
        <v>0</v>
      </c>
    </row>
    <row r="158" spans="1:24" ht="15" customHeight="1">
      <c r="A158" s="18" t="s">
        <v>334</v>
      </c>
      <c r="B158" s="18">
        <v>20</v>
      </c>
      <c r="C158" s="18">
        <v>23</v>
      </c>
      <c r="D158" s="18">
        <v>7</v>
      </c>
      <c r="E158" s="18">
        <v>5</v>
      </c>
      <c r="F158" s="18">
        <v>0</v>
      </c>
      <c r="G158" s="18">
        <v>0</v>
      </c>
      <c r="H158" s="18">
        <v>0</v>
      </c>
      <c r="I158" s="18">
        <v>3</v>
      </c>
      <c r="J158" s="99">
        <f>SUM(SamplingData[[#This Row],[Losing Candidate]:[Under Votes]])</f>
        <v>58</v>
      </c>
      <c r="K158"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58" s="100">
        <f>IF(AND(SamplingData[[#This Row],[Total]]&lt;&gt; 0, NOT(ISBLANK(SamplingData[[#This Row],[Candidate 3]]))),(SamplingData[[#This Row],[Total]]+SamplingData[[#This Row],[Winning Candidate]]-SamplingData[[#This Row],[Candidate 3]])/(SamplingData[[#Totals],[Winning Candidate]]-SamplingData[[#Totals],[Candidate 3]]), 0)</f>
        <v>2.3873278059167017E-3</v>
      </c>
      <c r="M158" s="100">
        <f>IF(AND(SamplingData[[#This Row],[Total]]&lt;&gt; 0, NOT(ISBLANK(SamplingData[[#This Row],[Candidate 4]]))),(SamplingData[[#This Row],[Total]]+SamplingData[[#This Row],[Winning Candidate]]-SamplingData[[#This Row],[Candidate 4]])/(SamplingData[[#Totals],[Winning Candidate]]-SamplingData[[#Totals],[Candidate 4]]), 0)</f>
        <v>2.221637580753603E-3</v>
      </c>
      <c r="N158" s="100">
        <f>IF(AND(SamplingData[[#This Row],[Total]]&lt;&gt; 0, NOT(ISBLANK(SamplingData[[#This Row],[Candidate 5]]))),(SamplingData[[#This Row],[Total]]+SamplingData[[#This Row],[Winning Candidate]]-SamplingData[[#This Row],[Candidate 5]])/(SamplingData[[#Totals],[Winning Candidate]]-SamplingData[[#Totals],[Candidate 5]]), 0)</f>
        <v>1.9703235222573584E-3</v>
      </c>
      <c r="O158" s="100">
        <f>IF(AND(SamplingData[[#This Row],[Total]]&lt;&gt; 0, NOT(ISBLANK(SamplingData[[#This Row],[Candidate 6]]))),(SamplingData[[#This Row],[Total]]+SamplingData[[#This Row],[Winning Candidate]]-SamplingData[[#This Row],[Candidate 6]])/(SamplingData[[#Totals],[Winning Candidate]]-SamplingData[[#Totals],[Candidate 6]]), 0)</f>
        <v>1.9697485530859394E-3</v>
      </c>
      <c r="P158" s="100">
        <f>MAX(SamplingData[[#This Row],[Error Bound (up) - Max. possible relative overstatement - Losing Candidate]:[Error Bound (up) - Max. possible relative overstatement - Candidate 6]])</f>
        <v>3.7359137677609017E-3</v>
      </c>
      <c r="Q158" s="100">
        <f>IF(SamplingData[[#This Row],[Max Error Bound (up)]] = 0,0,SamplingData[[#This Row],[Max Error Bound (up)]]/SamplingData[[#Totals],[Max Error Bound (up)]])</f>
        <v>5.9126984498519581E-4</v>
      </c>
      <c r="R158" s="101">
        <f>SUM($Q$5:Q158)</f>
        <v>0.11203429080690359</v>
      </c>
      <c r="S158" s="100" t="str">
        <f t="array" ref="S158">IF(SamplingData[[#This Row],[up/U Selection Probability]] = 0, "Zero", TEXT(SamplingData[[#This Row],[Lower Range]], REPT("0",LEN('General Info'!$B$40))) &amp; " - " &amp; TEXT(SamplingData[[#This Row],[Upper Range]], REPT("0",LEN('General Info'!$B$40))))</f>
        <v>11144 - 11202</v>
      </c>
      <c r="T158" s="100">
        <f>SamplingData[[#This Row],[Upper Range]]-SamplingData[[#This Row],[Span]]</f>
        <v>11144.302687461684</v>
      </c>
      <c r="U158" s="100">
        <f>IF(ISNUMBER('General Info'!$B$40), ((SamplingData[[#This Row],[up/U Selection Probability]]) * 'General Info'!$B$40) - 1, 0)</f>
        <v>58.126393228674594</v>
      </c>
      <c r="V158" s="100">
        <f>IF(ISNUMBER('General Info'!$B$40), (SamplingData[[#This Row],[Running (cumulative) sum]] * ('General Info'!$B$40 -'General Info'!$B$41 + 1)) + 'General Info'!$B$41 - 1, 0)</f>
        <v>11202.429080690359</v>
      </c>
      <c r="W158" s="100" t="str">
        <f>IF(ISERROR(MATCH(SamplingData[[#This Row],[Batch by Type (p)]],SelectedPrecincts[Batch Name], 0)), "", INDEX(SelectedPrecincts[Draw], MATCH(SamplingData[[#This Row],[Batch by Type (p)]],SelectedPrecincts[Batch Name], 0)))</f>
        <v/>
      </c>
      <c r="X158" s="102">
        <f>IF(COUNTIF(SelectedPrecincts[Batch Name],SamplingData[[#This Row],[Batch by Type (p)]]) &lt;&gt; 0, COUNTIF(SelectedPrecincts[Batch Name],SamplingData[[#This Row],[Batch by Type (p)]]), 0)</f>
        <v>0</v>
      </c>
    </row>
    <row r="159" spans="1:24" ht="15" customHeight="1">
      <c r="A159" s="18" t="s">
        <v>335</v>
      </c>
      <c r="B159" s="18">
        <v>51</v>
      </c>
      <c r="C159" s="18">
        <v>54</v>
      </c>
      <c r="D159" s="16">
        <v>15</v>
      </c>
      <c r="E159" s="16">
        <v>9</v>
      </c>
      <c r="F159" s="37">
        <v>0</v>
      </c>
      <c r="G159" s="37">
        <v>0</v>
      </c>
      <c r="H159" s="17">
        <v>1</v>
      </c>
      <c r="I159" s="17">
        <v>1</v>
      </c>
      <c r="J159" s="99">
        <f>SUM(SamplingData[[#This Row],[Losing Candidate]:[Under Votes]])</f>
        <v>131</v>
      </c>
      <c r="K159" s="100">
        <f>IF(AND(SamplingData[[#This Row],[Total]]&lt;&gt; 0, NOT(ISBLANK(SamplingData[[#This Row],[Losing Candidate]]))),(SamplingData[[#This Row],[Total]]+SamplingData[[#This Row],[Winning Candidate]]-SamplingData[[#This Row],[Losing Candidate]])/(SamplingData[[#Totals],[Winning Candidate]]-SamplingData[[#Totals],[Losing Candidate]]), 0)</f>
        <v>8.2067613914747675E-3</v>
      </c>
      <c r="L159" s="100">
        <f>IF(AND(SamplingData[[#This Row],[Total]]&lt;&gt; 0, NOT(ISBLANK(SamplingData[[#This Row],[Candidate 3]]))),(SamplingData[[#This Row],[Total]]+SamplingData[[#This Row],[Winning Candidate]]-SamplingData[[#This Row],[Candidate 3]])/(SamplingData[[#Totals],[Winning Candidate]]-SamplingData[[#Totals],[Candidate 3]]), 0)</f>
        <v>5.4844017162951255E-3</v>
      </c>
      <c r="M159" s="100">
        <f>IF(AND(SamplingData[[#This Row],[Total]]&lt;&gt; 0, NOT(ISBLANK(SamplingData[[#This Row],[Candidate 4]]))),(SamplingData[[#This Row],[Total]]+SamplingData[[#This Row],[Winning Candidate]]-SamplingData[[#This Row],[Candidate 4]])/(SamplingData[[#Totals],[Winning Candidate]]-SamplingData[[#Totals],[Candidate 4]]), 0)</f>
        <v>5.1448449238504484E-3</v>
      </c>
      <c r="N159" s="100">
        <f>IF(AND(SamplingData[[#This Row],[Total]]&lt;&gt; 0, NOT(ISBLANK(SamplingData[[#This Row],[Candidate 5]]))),(SamplingData[[#This Row],[Total]]+SamplingData[[#This Row],[Winning Candidate]]-SamplingData[[#This Row],[Candidate 5]])/(SamplingData[[#Totals],[Winning Candidate]]-SamplingData[[#Totals],[Candidate 5]]), 0)</f>
        <v>4.5001216249087811E-3</v>
      </c>
      <c r="O159" s="100">
        <f>IF(AND(SamplingData[[#This Row],[Total]]&lt;&gt; 0, NOT(ISBLANK(SamplingData[[#This Row],[Candidate 6]]))),(SamplingData[[#This Row],[Total]]+SamplingData[[#This Row],[Winning Candidate]]-SamplingData[[#This Row],[Candidate 6]])/(SamplingData[[#Totals],[Winning Candidate]]-SamplingData[[#Totals],[Candidate 6]]), 0)</f>
        <v>4.4988084237148002E-3</v>
      </c>
      <c r="P159" s="100">
        <f>MAX(SamplingData[[#This Row],[Error Bound (up) - Max. possible relative overstatement - Losing Candidate]:[Error Bound (up) - Max. possible relative overstatement - Candidate 6]])</f>
        <v>8.2067613914747675E-3</v>
      </c>
      <c r="Q159" s="100">
        <f>IF(SamplingData[[#This Row],[Max Error Bound (up)]] = 0,0,SamplingData[[#This Row],[Max Error Bound (up)]]/SamplingData[[#Totals],[Max Error Bound (up)]])</f>
        <v>1.2988550693117415E-3</v>
      </c>
      <c r="R159" s="101">
        <f>SUM($Q$5:Q159)</f>
        <v>0.11333314587621533</v>
      </c>
      <c r="S159" s="100" t="str">
        <f t="array" ref="S159">IF(SamplingData[[#This Row],[up/U Selection Probability]] = 0, "Zero", TEXT(SamplingData[[#This Row],[Lower Range]], REPT("0",LEN('General Info'!$B$40))) &amp; " - " &amp; TEXT(SamplingData[[#This Row],[Upper Range]], REPT("0",LEN('General Info'!$B$40))))</f>
        <v>11203 - 11332</v>
      </c>
      <c r="T159" s="100">
        <f>SamplingData[[#This Row],[Upper Range]]-SamplingData[[#This Row],[Span]]</f>
        <v>11203.430379545429</v>
      </c>
      <c r="U159" s="100">
        <f>IF(ISNUMBER('General Info'!$B$40), ((SamplingData[[#This Row],[up/U Selection Probability]]) * 'General Info'!$B$40) - 1, 0)</f>
        <v>128.88420807610484</v>
      </c>
      <c r="V159" s="100">
        <f>IF(ISNUMBER('General Info'!$B$40), (SamplingData[[#This Row],[Running (cumulative) sum]] * ('General Info'!$B$40 -'General Info'!$B$41 + 1)) + 'General Info'!$B$41 - 1, 0)</f>
        <v>11332.314587621533</v>
      </c>
      <c r="W159" s="100" t="str">
        <f>IF(ISERROR(MATCH(SamplingData[[#This Row],[Batch by Type (p)]],SelectedPrecincts[Batch Name], 0)), "", INDEX(SelectedPrecincts[Draw], MATCH(SamplingData[[#This Row],[Batch by Type (p)]],SelectedPrecincts[Batch Name], 0)))</f>
        <v/>
      </c>
      <c r="X159" s="102">
        <f>IF(COUNTIF(SelectedPrecincts[Batch Name],SamplingData[[#This Row],[Batch by Type (p)]]) &lt;&gt; 0, COUNTIF(SelectedPrecincts[Batch Name],SamplingData[[#This Row],[Batch by Type (p)]]), 0)</f>
        <v>0</v>
      </c>
    </row>
    <row r="160" spans="1:24" ht="15" customHeight="1">
      <c r="A160" s="18" t="s">
        <v>336</v>
      </c>
      <c r="B160" s="18">
        <v>22</v>
      </c>
      <c r="C160" s="18">
        <v>32</v>
      </c>
      <c r="D160" s="18">
        <v>11</v>
      </c>
      <c r="E160" s="18">
        <v>5</v>
      </c>
      <c r="F160" s="18">
        <v>1</v>
      </c>
      <c r="G160" s="18">
        <v>0</v>
      </c>
      <c r="H160" s="18">
        <v>0</v>
      </c>
      <c r="I160" s="18">
        <v>1</v>
      </c>
      <c r="J160" s="99">
        <f>SUM(SamplingData[[#This Row],[Losing Candidate]:[Under Votes]])</f>
        <v>72</v>
      </c>
      <c r="K160"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160" s="100">
        <f>IF(AND(SamplingData[[#This Row],[Total]]&lt;&gt; 0, NOT(ISBLANK(SamplingData[[#This Row],[Candidate 3]]))),(SamplingData[[#This Row],[Total]]+SamplingData[[#This Row],[Winning Candidate]]-SamplingData[[#This Row],[Candidate 3]])/(SamplingData[[#Totals],[Winning Candidate]]-SamplingData[[#Totals],[Candidate 3]]), 0)</f>
        <v>3.0002903506790978E-3</v>
      </c>
      <c r="M160" s="100">
        <f>IF(AND(SamplingData[[#This Row],[Total]]&lt;&gt; 0, NOT(ISBLANK(SamplingData[[#This Row],[Candidate 4]]))),(SamplingData[[#This Row],[Total]]+SamplingData[[#This Row],[Winning Candidate]]-SamplingData[[#This Row],[Candidate 4]])/(SamplingData[[#Totals],[Winning Candidate]]-SamplingData[[#Totals],[Candidate 4]]), 0)</f>
        <v>2.8939752696658773E-3</v>
      </c>
      <c r="N160" s="100">
        <f>IF(AND(SamplingData[[#This Row],[Total]]&lt;&gt; 0, NOT(ISBLANK(SamplingData[[#This Row],[Candidate 5]]))),(SamplingData[[#This Row],[Total]]+SamplingData[[#This Row],[Winning Candidate]]-SamplingData[[#This Row],[Candidate 5]])/(SamplingData[[#Totals],[Winning Candidate]]-SamplingData[[#Totals],[Candidate 5]]), 0)</f>
        <v>2.5054731208951591E-3</v>
      </c>
      <c r="O160" s="100">
        <f>IF(AND(SamplingData[[#This Row],[Total]]&lt;&gt; 0, NOT(ISBLANK(SamplingData[[#This Row],[Candidate 6]]))),(SamplingData[[#This Row],[Total]]+SamplingData[[#This Row],[Winning Candidate]]-SamplingData[[#This Row],[Candidate 6]])/(SamplingData[[#Totals],[Winning Candidate]]-SamplingData[[#Totals],[Candidate 6]]), 0)</f>
        <v>2.5290598706288604E-3</v>
      </c>
      <c r="P160" s="100">
        <f>MAX(SamplingData[[#This Row],[Error Bound (up) - Max. possible relative overstatement - Losing Candidate]:[Error Bound (up) - Max. possible relative overstatement - Candidate 6]])</f>
        <v>5.0220480156785889E-3</v>
      </c>
      <c r="Q160" s="100">
        <f>IF(SamplingData[[#This Row],[Max Error Bound (up)]] = 0,0,SamplingData[[#This Row],[Max Error Bound (up)]]/SamplingData[[#Totals],[Max Error Bound (up)]])</f>
        <v>7.9482175883255823E-4</v>
      </c>
      <c r="R160" s="101">
        <f>SUM($Q$5:Q160)</f>
        <v>0.11412796763504789</v>
      </c>
      <c r="S160" s="100" t="str">
        <f t="array" ref="S160">IF(SamplingData[[#This Row],[up/U Selection Probability]] = 0, "Zero", TEXT(SamplingData[[#This Row],[Lower Range]], REPT("0",LEN('General Info'!$B$40))) &amp; " - " &amp; TEXT(SamplingData[[#This Row],[Upper Range]], REPT("0",LEN('General Info'!$B$40))))</f>
        <v>11333 - 11412</v>
      </c>
      <c r="T160" s="100">
        <f>SamplingData[[#This Row],[Upper Range]]-SamplingData[[#This Row],[Span]]</f>
        <v>11333.31538244329</v>
      </c>
      <c r="U160" s="100">
        <f>IF(ISNUMBER('General Info'!$B$40), ((SamplingData[[#This Row],[up/U Selection Probability]]) * 'General Info'!$B$40) - 1, 0)</f>
        <v>78.48138106149699</v>
      </c>
      <c r="V160" s="100">
        <f>IF(ISNUMBER('General Info'!$B$40), (SamplingData[[#This Row],[Running (cumulative) sum]] * ('General Info'!$B$40 -'General Info'!$B$41 + 1)) + 'General Info'!$B$41 - 1, 0)</f>
        <v>11411.796763504788</v>
      </c>
      <c r="W160" s="100" t="str">
        <f>IF(ISERROR(MATCH(SamplingData[[#This Row],[Batch by Type (p)]],SelectedPrecincts[Batch Name], 0)), "", INDEX(SelectedPrecincts[Draw], MATCH(SamplingData[[#This Row],[Batch by Type (p)]],SelectedPrecincts[Batch Name], 0)))</f>
        <v/>
      </c>
      <c r="X160" s="102">
        <f>IF(COUNTIF(SelectedPrecincts[Batch Name],SamplingData[[#This Row],[Batch by Type (p)]]) &lt;&gt; 0, COUNTIF(SelectedPrecincts[Batch Name],SamplingData[[#This Row],[Batch by Type (p)]]), 0)</f>
        <v>0</v>
      </c>
    </row>
    <row r="161" spans="1:24" ht="15" customHeight="1">
      <c r="A161" s="18" t="s">
        <v>337</v>
      </c>
      <c r="B161" s="18">
        <v>45</v>
      </c>
      <c r="C161" s="18">
        <v>48</v>
      </c>
      <c r="D161" s="16">
        <v>18</v>
      </c>
      <c r="E161" s="16">
        <v>25</v>
      </c>
      <c r="F161" s="37">
        <v>2</v>
      </c>
      <c r="G161" s="37">
        <v>0</v>
      </c>
      <c r="H161" s="17">
        <v>0</v>
      </c>
      <c r="I161" s="17">
        <v>1</v>
      </c>
      <c r="J161" s="99">
        <f>SUM(SamplingData[[#This Row],[Losing Candidate]:[Under Votes]])</f>
        <v>139</v>
      </c>
      <c r="K161" s="100">
        <f>IF(AND(SamplingData[[#This Row],[Total]]&lt;&gt; 0, NOT(ISBLANK(SamplingData[[#This Row],[Losing Candidate]]))),(SamplingData[[#This Row],[Total]]+SamplingData[[#This Row],[Winning Candidate]]-SamplingData[[#This Row],[Losing Candidate]])/(SamplingData[[#Totals],[Winning Candidate]]-SamplingData[[#Totals],[Losing Candidate]]), 0)</f>
        <v>8.6967172954434107E-3</v>
      </c>
      <c r="L161" s="100">
        <f>IF(AND(SamplingData[[#This Row],[Total]]&lt;&gt; 0, NOT(ISBLANK(SamplingData[[#This Row],[Candidate 3]]))),(SamplingData[[#This Row],[Total]]+SamplingData[[#This Row],[Winning Candidate]]-SamplingData[[#This Row],[Candidate 3]])/(SamplingData[[#Totals],[Winning Candidate]]-SamplingData[[#Totals],[Candidate 3]]), 0)</f>
        <v>5.4521405297286831E-3</v>
      </c>
      <c r="M161" s="100">
        <f>IF(AND(SamplingData[[#This Row],[Total]]&lt;&gt; 0, NOT(ISBLANK(SamplingData[[#This Row],[Candidate 4]]))),(SamplingData[[#This Row],[Total]]+SamplingData[[#This Row],[Winning Candidate]]-SamplingData[[#This Row],[Candidate 4]])/(SamplingData[[#Totals],[Winning Candidate]]-SamplingData[[#Totals],[Candidate 4]]), 0)</f>
        <v>4.7355958958168907E-3</v>
      </c>
      <c r="N161" s="100">
        <f>IF(AND(SamplingData[[#This Row],[Total]]&lt;&gt; 0, NOT(ISBLANK(SamplingData[[#This Row],[Candidate 5]]))),(SamplingData[[#This Row],[Total]]+SamplingData[[#This Row],[Winning Candidate]]-SamplingData[[#This Row],[Candidate 5]])/(SamplingData[[#Totals],[Winning Candidate]]-SamplingData[[#Totals],[Candidate 5]]), 0)</f>
        <v>4.5001216249087811E-3</v>
      </c>
      <c r="O161" s="100">
        <f>IF(AND(SamplingData[[#This Row],[Total]]&lt;&gt; 0, NOT(ISBLANK(SamplingData[[#This Row],[Candidate 6]]))),(SamplingData[[#This Row],[Total]]+SamplingData[[#This Row],[Winning Candidate]]-SamplingData[[#This Row],[Candidate 6]])/(SamplingData[[#Totals],[Winning Candidate]]-SamplingData[[#Totals],[Candidate 6]]), 0)</f>
        <v>4.547444190457663E-3</v>
      </c>
      <c r="P161" s="100">
        <f>MAX(SamplingData[[#This Row],[Error Bound (up) - Max. possible relative overstatement - Losing Candidate]:[Error Bound (up) - Max. possible relative overstatement - Candidate 6]])</f>
        <v>8.6967172954434107E-3</v>
      </c>
      <c r="Q161" s="100">
        <f>IF(SamplingData[[#This Row],[Max Error Bound (up)]] = 0,0,SamplingData[[#This Row],[Max Error Bound (up)]]/SamplingData[[#Totals],[Max Error Bound (up)]])</f>
        <v>1.3763986555393082E-3</v>
      </c>
      <c r="R161" s="101">
        <f>SUM($Q$5:Q161)</f>
        <v>0.11550436629058719</v>
      </c>
      <c r="S161" s="100" t="str">
        <f t="array" ref="S161">IF(SamplingData[[#This Row],[up/U Selection Probability]] = 0, "Zero", TEXT(SamplingData[[#This Row],[Lower Range]], REPT("0",LEN('General Info'!$B$40))) &amp; " - " &amp; TEXT(SamplingData[[#This Row],[Upper Range]], REPT("0",LEN('General Info'!$B$40))))</f>
        <v>11413 - 11549</v>
      </c>
      <c r="T161" s="100">
        <f>SamplingData[[#This Row],[Upper Range]]-SamplingData[[#This Row],[Span]]</f>
        <v>11412.798139903443</v>
      </c>
      <c r="U161" s="100">
        <f>IF(ISNUMBER('General Info'!$B$40), ((SamplingData[[#This Row],[up/U Selection Probability]]) * 'General Info'!$B$40) - 1, 0)</f>
        <v>136.63848915527527</v>
      </c>
      <c r="V161" s="100">
        <f>IF(ISNUMBER('General Info'!$B$40), (SamplingData[[#This Row],[Running (cumulative) sum]] * ('General Info'!$B$40 -'General Info'!$B$41 + 1)) + 'General Info'!$B$41 - 1, 0)</f>
        <v>11549.436629058719</v>
      </c>
      <c r="W161" s="100" t="str">
        <f>IF(ISERROR(MATCH(SamplingData[[#This Row],[Batch by Type (p)]],SelectedPrecincts[Batch Name], 0)), "", INDEX(SelectedPrecincts[Draw], MATCH(SamplingData[[#This Row],[Batch by Type (p)]],SelectedPrecincts[Batch Name], 0)))</f>
        <v/>
      </c>
      <c r="X161" s="102">
        <f>IF(COUNTIF(SelectedPrecincts[Batch Name],SamplingData[[#This Row],[Batch by Type (p)]]) &lt;&gt; 0, COUNTIF(SelectedPrecincts[Batch Name],SamplingData[[#This Row],[Batch by Type (p)]]), 0)</f>
        <v>0</v>
      </c>
    </row>
    <row r="162" spans="1:24" ht="15" customHeight="1">
      <c r="A162" s="18" t="s">
        <v>338</v>
      </c>
      <c r="B162" s="18">
        <v>31</v>
      </c>
      <c r="C162" s="18">
        <v>27</v>
      </c>
      <c r="D162" s="18">
        <v>9</v>
      </c>
      <c r="E162" s="18">
        <v>1</v>
      </c>
      <c r="F162" s="18">
        <v>0</v>
      </c>
      <c r="G162" s="18">
        <v>0</v>
      </c>
      <c r="H162" s="18">
        <v>0</v>
      </c>
      <c r="I162" s="18">
        <v>2</v>
      </c>
      <c r="J162" s="99">
        <f>SUM(SamplingData[[#This Row],[Losing Candidate]:[Under Votes]])</f>
        <v>70</v>
      </c>
      <c r="K162" s="100">
        <f>IF(AND(SamplingData[[#This Row],[Total]]&lt;&gt; 0, NOT(ISBLANK(SamplingData[[#This Row],[Losing Candidate]]))),(SamplingData[[#This Row],[Total]]+SamplingData[[#This Row],[Winning Candidate]]-SamplingData[[#This Row],[Losing Candidate]])/(SamplingData[[#Totals],[Winning Candidate]]-SamplingData[[#Totals],[Losing Candidate]]), 0)</f>
        <v>4.0421362077413033E-3</v>
      </c>
      <c r="L162" s="100">
        <f>IF(AND(SamplingData[[#This Row],[Total]]&lt;&gt; 0, NOT(ISBLANK(SamplingData[[#This Row],[Candidate 3]]))),(SamplingData[[#This Row],[Total]]+SamplingData[[#This Row],[Winning Candidate]]-SamplingData[[#This Row],[Candidate 3]])/(SamplingData[[#Totals],[Winning Candidate]]-SamplingData[[#Totals],[Candidate 3]]), 0)</f>
        <v>2.8389844178468883E-3</v>
      </c>
      <c r="M162" s="100">
        <f>IF(AND(SamplingData[[#This Row],[Total]]&lt;&gt; 0, NOT(ISBLANK(SamplingData[[#This Row],[Candidate 4]]))),(SamplingData[[#This Row],[Total]]+SamplingData[[#This Row],[Winning Candidate]]-SamplingData[[#This Row],[Candidate 4]])/(SamplingData[[#Totals],[Winning Candidate]]-SamplingData[[#Totals],[Candidate 4]]), 0)</f>
        <v>2.8062790493729719E-3</v>
      </c>
      <c r="N162" s="100">
        <f>IF(AND(SamplingData[[#This Row],[Total]]&lt;&gt; 0, NOT(ISBLANK(SamplingData[[#This Row],[Candidate 5]]))),(SamplingData[[#This Row],[Total]]+SamplingData[[#This Row],[Winning Candidate]]-SamplingData[[#This Row],[Candidate 5]])/(SamplingData[[#Totals],[Winning Candidate]]-SamplingData[[#Totals],[Candidate 5]]), 0)</f>
        <v>2.3595232303575773E-3</v>
      </c>
      <c r="O162" s="100">
        <f>IF(AND(SamplingData[[#This Row],[Total]]&lt;&gt; 0, NOT(ISBLANK(SamplingData[[#This Row],[Candidate 6]]))),(SamplingData[[#This Row],[Total]]+SamplingData[[#This Row],[Winning Candidate]]-SamplingData[[#This Row],[Candidate 6]])/(SamplingData[[#Totals],[Winning Candidate]]-SamplingData[[#Totals],[Candidate 6]]), 0)</f>
        <v>2.3588346870288411E-3</v>
      </c>
      <c r="P162" s="100">
        <f>MAX(SamplingData[[#This Row],[Error Bound (up) - Max. possible relative overstatement - Losing Candidate]:[Error Bound (up) - Max. possible relative overstatement - Candidate 6]])</f>
        <v>4.0421362077413033E-3</v>
      </c>
      <c r="Q162" s="100">
        <f>IF(SamplingData[[#This Row],[Max Error Bound (up)]] = 0,0,SamplingData[[#This Row],[Max Error Bound (up)]]/SamplingData[[#Totals],[Max Error Bound (up)]])</f>
        <v>6.397345863774249E-4</v>
      </c>
      <c r="R162" s="101">
        <f>SUM($Q$5:Q162)</f>
        <v>0.11614410087696461</v>
      </c>
      <c r="S162" s="100" t="str">
        <f t="array" ref="S162">IF(SamplingData[[#This Row],[up/U Selection Probability]] = 0, "Zero", TEXT(SamplingData[[#This Row],[Lower Range]], REPT("0",LEN('General Info'!$B$40))) &amp; " - " &amp; TEXT(SamplingData[[#This Row],[Upper Range]], REPT("0",LEN('General Info'!$B$40))))</f>
        <v>11550 - 11613</v>
      </c>
      <c r="T162" s="100">
        <f>SamplingData[[#This Row],[Upper Range]]-SamplingData[[#This Row],[Span]]</f>
        <v>11550.437268793305</v>
      </c>
      <c r="U162" s="100">
        <f>IF(ISNUMBER('General Info'!$B$40), ((SamplingData[[#This Row],[up/U Selection Probability]]) * 'General Info'!$B$40) - 1, 0)</f>
        <v>62.97281890315611</v>
      </c>
      <c r="V162" s="100">
        <f>IF(ISNUMBER('General Info'!$B$40), (SamplingData[[#This Row],[Running (cumulative) sum]] * ('General Info'!$B$40 -'General Info'!$B$41 + 1)) + 'General Info'!$B$41 - 1, 0)</f>
        <v>11613.41008769646</v>
      </c>
      <c r="W162" s="100" t="str">
        <f>IF(ISERROR(MATCH(SamplingData[[#This Row],[Batch by Type (p)]],SelectedPrecincts[Batch Name], 0)), "", INDEX(SelectedPrecincts[Draw], MATCH(SamplingData[[#This Row],[Batch by Type (p)]],SelectedPrecincts[Batch Name], 0)))</f>
        <v/>
      </c>
      <c r="X162" s="102">
        <f>IF(COUNTIF(SelectedPrecincts[Batch Name],SamplingData[[#This Row],[Batch by Type (p)]]) &lt;&gt; 0, COUNTIF(SelectedPrecincts[Batch Name],SamplingData[[#This Row],[Batch by Type (p)]]), 0)</f>
        <v>0</v>
      </c>
    </row>
    <row r="163" spans="1:24" ht="15" customHeight="1">
      <c r="A163" s="18" t="s">
        <v>339</v>
      </c>
      <c r="B163" s="18">
        <v>31</v>
      </c>
      <c r="C163" s="18">
        <v>30</v>
      </c>
      <c r="D163" s="16">
        <v>3</v>
      </c>
      <c r="E163" s="16">
        <v>10</v>
      </c>
      <c r="F163" s="37">
        <v>1</v>
      </c>
      <c r="G163" s="37">
        <v>1</v>
      </c>
      <c r="H163" s="17">
        <v>0</v>
      </c>
      <c r="I163" s="17">
        <v>0</v>
      </c>
      <c r="J163" s="99">
        <f>SUM(SamplingData[[#This Row],[Losing Candidate]:[Under Votes]])</f>
        <v>76</v>
      </c>
      <c r="K163" s="100">
        <f>IF(AND(SamplingData[[#This Row],[Total]]&lt;&gt; 0, NOT(ISBLANK(SamplingData[[#This Row],[Losing Candidate]]))),(SamplingData[[#This Row],[Total]]+SamplingData[[#This Row],[Winning Candidate]]-SamplingData[[#This Row],[Losing Candidate]])/(SamplingData[[#Totals],[Winning Candidate]]-SamplingData[[#Totals],[Losing Candidate]]), 0)</f>
        <v>4.5933365997060261E-3</v>
      </c>
      <c r="L163" s="100">
        <f>IF(AND(SamplingData[[#This Row],[Total]]&lt;&gt; 0, NOT(ISBLANK(SamplingData[[#This Row],[Candidate 3]]))),(SamplingData[[#This Row],[Total]]+SamplingData[[#This Row],[Winning Candidate]]-SamplingData[[#This Row],[Candidate 3]])/(SamplingData[[#Totals],[Winning Candidate]]-SamplingData[[#Totals],[Candidate 3]]), 0)</f>
        <v>3.3229022163435173E-3</v>
      </c>
      <c r="M163" s="100">
        <f>IF(AND(SamplingData[[#This Row],[Total]]&lt;&gt; 0, NOT(ISBLANK(SamplingData[[#This Row],[Candidate 4]]))),(SamplingData[[#This Row],[Total]]+SamplingData[[#This Row],[Winning Candidate]]-SamplingData[[#This Row],[Candidate 4]])/(SamplingData[[#Totals],[Winning Candidate]]-SamplingData[[#Totals],[Candidate 4]]), 0)</f>
        <v>2.8062790493729719E-3</v>
      </c>
      <c r="N163" s="100">
        <f>IF(AND(SamplingData[[#This Row],[Total]]&lt;&gt; 0, NOT(ISBLANK(SamplingData[[#This Row],[Candidate 5]]))),(SamplingData[[#This Row],[Total]]+SamplingData[[#This Row],[Winning Candidate]]-SamplingData[[#This Row],[Candidate 5]])/(SamplingData[[#Totals],[Winning Candidate]]-SamplingData[[#Totals],[Candidate 5]]), 0)</f>
        <v>2.5541230844076867E-3</v>
      </c>
      <c r="O163" s="100">
        <f>IF(AND(SamplingData[[#This Row],[Total]]&lt;&gt; 0, NOT(ISBLANK(SamplingData[[#This Row],[Candidate 6]]))),(SamplingData[[#This Row],[Total]]+SamplingData[[#This Row],[Winning Candidate]]-SamplingData[[#This Row],[Candidate 6]])/(SamplingData[[#Totals],[Winning Candidate]]-SamplingData[[#Totals],[Candidate 6]]), 0)</f>
        <v>2.5533777540002918E-3</v>
      </c>
      <c r="P163" s="100">
        <f>MAX(SamplingData[[#This Row],[Error Bound (up) - Max. possible relative overstatement - Losing Candidate]:[Error Bound (up) - Max. possible relative overstatement - Candidate 6]])</f>
        <v>4.5933365997060261E-3</v>
      </c>
      <c r="Q163" s="100">
        <f>IF(SamplingData[[#This Row],[Max Error Bound (up)]] = 0,0,SamplingData[[#This Row],[Max Error Bound (up)]]/SamplingData[[#Totals],[Max Error Bound (up)]])</f>
        <v>7.2697112088343735E-4</v>
      </c>
      <c r="R163" s="101">
        <f>SUM($Q$5:Q163)</f>
        <v>0.11687107199784805</v>
      </c>
      <c r="S163" s="100" t="str">
        <f t="array" ref="S163">IF(SamplingData[[#This Row],[up/U Selection Probability]] = 0, "Zero", TEXT(SamplingData[[#This Row],[Lower Range]], REPT("0",LEN('General Info'!$B$40))) &amp; " - " &amp; TEXT(SamplingData[[#This Row],[Upper Range]], REPT("0",LEN('General Info'!$B$40))))</f>
        <v>11614 - 11686</v>
      </c>
      <c r="T163" s="100">
        <f>SamplingData[[#This Row],[Upper Range]]-SamplingData[[#This Row],[Span]]</f>
        <v>11614.410814667583</v>
      </c>
      <c r="U163" s="100">
        <f>IF(ISNUMBER('General Info'!$B$40), ((SamplingData[[#This Row],[up/U Selection Probability]]) * 'General Info'!$B$40) - 1, 0)</f>
        <v>71.696385117222846</v>
      </c>
      <c r="V163" s="100">
        <f>IF(ISNUMBER('General Info'!$B$40), (SamplingData[[#This Row],[Running (cumulative) sum]] * ('General Info'!$B$40 -'General Info'!$B$41 + 1)) + 'General Info'!$B$41 - 1, 0)</f>
        <v>11686.107199784805</v>
      </c>
      <c r="W163" s="100" t="str">
        <f>IF(ISERROR(MATCH(SamplingData[[#This Row],[Batch by Type (p)]],SelectedPrecincts[Batch Name], 0)), "", INDEX(SelectedPrecincts[Draw], MATCH(SamplingData[[#This Row],[Batch by Type (p)]],SelectedPrecincts[Batch Name], 0)))</f>
        <v/>
      </c>
      <c r="X163" s="102">
        <f>IF(COUNTIF(SelectedPrecincts[Batch Name],SamplingData[[#This Row],[Batch by Type (p)]]) &lt;&gt; 0, COUNTIF(SelectedPrecincts[Batch Name],SamplingData[[#This Row],[Batch by Type (p)]]), 0)</f>
        <v>0</v>
      </c>
    </row>
    <row r="164" spans="1:24" ht="15" customHeight="1">
      <c r="A164" s="18" t="s">
        <v>340</v>
      </c>
      <c r="B164" s="18">
        <v>18</v>
      </c>
      <c r="C164" s="18">
        <v>13</v>
      </c>
      <c r="D164" s="18">
        <v>7</v>
      </c>
      <c r="E164" s="18">
        <v>9</v>
      </c>
      <c r="F164" s="18">
        <v>1</v>
      </c>
      <c r="G164" s="18">
        <v>0</v>
      </c>
      <c r="H164" s="18">
        <v>0</v>
      </c>
      <c r="I164" s="18">
        <v>1</v>
      </c>
      <c r="J164" s="99">
        <f>SUM(SamplingData[[#This Row],[Losing Candidate]:[Under Votes]])</f>
        <v>49</v>
      </c>
      <c r="K164" s="100">
        <f>IF(AND(SamplingData[[#This Row],[Total]]&lt;&gt; 0, NOT(ISBLANK(SamplingData[[#This Row],[Losing Candidate]]))),(SamplingData[[#This Row],[Total]]+SamplingData[[#This Row],[Winning Candidate]]-SamplingData[[#This Row],[Losing Candidate]])/(SamplingData[[#Totals],[Winning Candidate]]-SamplingData[[#Totals],[Losing Candidate]]), 0)</f>
        <v>2.6947574718275357E-3</v>
      </c>
      <c r="L164" s="100">
        <f>IF(AND(SamplingData[[#This Row],[Total]]&lt;&gt; 0, NOT(ISBLANK(SamplingData[[#This Row],[Candidate 3]]))),(SamplingData[[#This Row],[Total]]+SamplingData[[#This Row],[Winning Candidate]]-SamplingData[[#This Row],[Candidate 3]])/(SamplingData[[#Totals],[Winning Candidate]]-SamplingData[[#Totals],[Candidate 3]]), 0)</f>
        <v>1.7743652611543052E-3</v>
      </c>
      <c r="M164" s="100">
        <f>IF(AND(SamplingData[[#This Row],[Total]]&lt;&gt; 0, NOT(ISBLANK(SamplingData[[#This Row],[Candidate 4]]))),(SamplingData[[#This Row],[Total]]+SamplingData[[#This Row],[Winning Candidate]]-SamplingData[[#This Row],[Candidate 4]])/(SamplingData[[#Totals],[Winning Candidate]]-SamplingData[[#Totals],[Candidate 4]]), 0)</f>
        <v>1.5492998918413283E-3</v>
      </c>
      <c r="N164" s="100">
        <f>IF(AND(SamplingData[[#This Row],[Total]]&lt;&gt; 0, NOT(ISBLANK(SamplingData[[#This Row],[Candidate 5]]))),(SamplingData[[#This Row],[Total]]+SamplingData[[#This Row],[Winning Candidate]]-SamplingData[[#This Row],[Candidate 5]])/(SamplingData[[#Totals],[Winning Candidate]]-SamplingData[[#Totals],[Candidate 5]]), 0)</f>
        <v>1.4838238871320846E-3</v>
      </c>
      <c r="O164" s="100">
        <f>IF(AND(SamplingData[[#This Row],[Total]]&lt;&gt; 0, NOT(ISBLANK(SamplingData[[#This Row],[Candidate 6]]))),(SamplingData[[#This Row],[Total]]+SamplingData[[#This Row],[Winning Candidate]]-SamplingData[[#This Row],[Candidate 6]])/(SamplingData[[#Totals],[Winning Candidate]]-SamplingData[[#Totals],[Candidate 6]]), 0)</f>
        <v>1.5077087690287436E-3</v>
      </c>
      <c r="P164" s="100">
        <f>MAX(SamplingData[[#This Row],[Error Bound (up) - Max. possible relative overstatement - Losing Candidate]:[Error Bound (up) - Max. possible relative overstatement - Candidate 6]])</f>
        <v>2.6947574718275357E-3</v>
      </c>
      <c r="Q164" s="100">
        <f>IF(SamplingData[[#This Row],[Max Error Bound (up)]] = 0,0,SamplingData[[#This Row],[Max Error Bound (up)]]/SamplingData[[#Totals],[Max Error Bound (up)]])</f>
        <v>4.2648972425161664E-4</v>
      </c>
      <c r="R164" s="101">
        <f>SUM($Q$5:Q164)</f>
        <v>0.11729756172209967</v>
      </c>
      <c r="S164" s="100" t="str">
        <f t="array" ref="S164">IF(SamplingData[[#This Row],[up/U Selection Probability]] = 0, "Zero", TEXT(SamplingData[[#This Row],[Lower Range]], REPT("0",LEN('General Info'!$B$40))) &amp; " - " &amp; TEXT(SamplingData[[#This Row],[Upper Range]], REPT("0",LEN('General Info'!$B$40))))</f>
        <v>11687 - 11729</v>
      </c>
      <c r="T164" s="100">
        <f>SamplingData[[#This Row],[Upper Range]]-SamplingData[[#This Row],[Span]]</f>
        <v>11687.10762627453</v>
      </c>
      <c r="U164" s="100">
        <f>IF(ISNUMBER('General Info'!$B$40), ((SamplingData[[#This Row],[up/U Selection Probability]]) * 'General Info'!$B$40) - 1, 0)</f>
        <v>41.648545935437411</v>
      </c>
      <c r="V164" s="100">
        <f>IF(ISNUMBER('General Info'!$B$40), (SamplingData[[#This Row],[Running (cumulative) sum]] * ('General Info'!$B$40 -'General Info'!$B$41 + 1)) + 'General Info'!$B$41 - 1, 0)</f>
        <v>11728.756172209967</v>
      </c>
      <c r="W164" s="100" t="str">
        <f>IF(ISERROR(MATCH(SamplingData[[#This Row],[Batch by Type (p)]],SelectedPrecincts[Batch Name], 0)), "", INDEX(SelectedPrecincts[Draw], MATCH(SamplingData[[#This Row],[Batch by Type (p)]],SelectedPrecincts[Batch Name], 0)))</f>
        <v/>
      </c>
      <c r="X164" s="102">
        <f>IF(COUNTIF(SelectedPrecincts[Batch Name],SamplingData[[#This Row],[Batch by Type (p)]]) &lt;&gt; 0, COUNTIF(SelectedPrecincts[Batch Name],SamplingData[[#This Row],[Batch by Type (p)]]), 0)</f>
        <v>0</v>
      </c>
    </row>
    <row r="165" spans="1:24" ht="15" customHeight="1">
      <c r="A165" s="18" t="s">
        <v>341</v>
      </c>
      <c r="B165" s="18">
        <v>35</v>
      </c>
      <c r="C165" s="18">
        <v>77</v>
      </c>
      <c r="D165" s="16">
        <v>17</v>
      </c>
      <c r="E165" s="16">
        <v>11</v>
      </c>
      <c r="F165" s="37">
        <v>0</v>
      </c>
      <c r="G165" s="37">
        <v>0</v>
      </c>
      <c r="H165" s="17">
        <v>0</v>
      </c>
      <c r="I165" s="17">
        <v>2</v>
      </c>
      <c r="J165" s="99">
        <f>SUM(SamplingData[[#This Row],[Losing Candidate]:[Under Votes]])</f>
        <v>142</v>
      </c>
      <c r="K165" s="100">
        <f>IF(AND(SamplingData[[#This Row],[Total]]&lt;&gt; 0, NOT(ISBLANK(SamplingData[[#This Row],[Losing Candidate]]))),(SamplingData[[#This Row],[Total]]+SamplingData[[#This Row],[Winning Candidate]]-SamplingData[[#This Row],[Losing Candidate]])/(SamplingData[[#Totals],[Winning Candidate]]-SamplingData[[#Totals],[Losing Candidate]]), 0)</f>
        <v>1.1268985791278784E-2</v>
      </c>
      <c r="L165" s="100">
        <f>IF(AND(SamplingData[[#This Row],[Total]]&lt;&gt; 0, NOT(ISBLANK(SamplingData[[#This Row],[Candidate 3]]))),(SamplingData[[#This Row],[Total]]+SamplingData[[#This Row],[Winning Candidate]]-SamplingData[[#This Row],[Candidate 3]])/(SamplingData[[#Totals],[Winning Candidate]]-SamplingData[[#Totals],[Candidate 3]]), 0)</f>
        <v>6.5167596864212666E-3</v>
      </c>
      <c r="M165" s="100">
        <f>IF(AND(SamplingData[[#This Row],[Total]]&lt;&gt; 0, NOT(ISBLANK(SamplingData[[#This Row],[Candidate 4]]))),(SamplingData[[#This Row],[Total]]+SamplingData[[#This Row],[Winning Candidate]]-SamplingData[[#This Row],[Candidate 4]])/(SamplingData[[#Totals],[Winning Candidate]]-SamplingData[[#Totals],[Candidate 4]]), 0)</f>
        <v>6.0802712736414393E-3</v>
      </c>
      <c r="N165" s="100">
        <f>IF(AND(SamplingData[[#This Row],[Total]]&lt;&gt; 0, NOT(ISBLANK(SamplingData[[#This Row],[Candidate 5]]))),(SamplingData[[#This Row],[Total]]+SamplingData[[#This Row],[Winning Candidate]]-SamplingData[[#This Row],[Candidate 5]])/(SamplingData[[#Totals],[Winning Candidate]]-SamplingData[[#Totals],[Candidate 5]]), 0)</f>
        <v>5.3271710046217469E-3</v>
      </c>
      <c r="O165" s="100">
        <f>IF(AND(SamplingData[[#This Row],[Total]]&lt;&gt; 0, NOT(ISBLANK(SamplingData[[#This Row],[Candidate 6]]))),(SamplingData[[#This Row],[Total]]+SamplingData[[#This Row],[Winning Candidate]]-SamplingData[[#This Row],[Candidate 6]])/(SamplingData[[#Totals],[Winning Candidate]]-SamplingData[[#Totals],[Candidate 6]]), 0)</f>
        <v>5.3256164583434656E-3</v>
      </c>
      <c r="P165" s="100">
        <f>MAX(SamplingData[[#This Row],[Error Bound (up) - Max. possible relative overstatement - Losing Candidate]:[Error Bound (up) - Max. possible relative overstatement - Candidate 6]])</f>
        <v>1.1268985791278784E-2</v>
      </c>
      <c r="Q165" s="100">
        <f>IF(SamplingData[[#This Row],[Max Error Bound (up)]] = 0,0,SamplingData[[#This Row],[Max Error Bound (up)]]/SamplingData[[#Totals],[Max Error Bound (up)]])</f>
        <v>1.7835024832340328E-3</v>
      </c>
      <c r="R165" s="101">
        <f>SUM($Q$5:Q165)</f>
        <v>0.11908106420533369</v>
      </c>
      <c r="S165" s="100" t="str">
        <f t="array" ref="S165">IF(SamplingData[[#This Row],[up/U Selection Probability]] = 0, "Zero", TEXT(SamplingData[[#This Row],[Lower Range]], REPT("0",LEN('General Info'!$B$40))) &amp; " - " &amp; TEXT(SamplingData[[#This Row],[Upper Range]], REPT("0",LEN('General Info'!$B$40))))</f>
        <v>11730 - 11907</v>
      </c>
      <c r="T165" s="100">
        <f>SamplingData[[#This Row],[Upper Range]]-SamplingData[[#This Row],[Span]]</f>
        <v>11729.75795571245</v>
      </c>
      <c r="U165" s="100">
        <f>IF(ISNUMBER('General Info'!$B$40), ((SamplingData[[#This Row],[up/U Selection Probability]]) * 'General Info'!$B$40) - 1, 0)</f>
        <v>177.34846482092004</v>
      </c>
      <c r="V165" s="100">
        <f>IF(ISNUMBER('General Info'!$B$40), (SamplingData[[#This Row],[Running (cumulative) sum]] * ('General Info'!$B$40 -'General Info'!$B$41 + 1)) + 'General Info'!$B$41 - 1, 0)</f>
        <v>11907.10642053337</v>
      </c>
      <c r="W165" s="100" t="str">
        <f>IF(ISERROR(MATCH(SamplingData[[#This Row],[Batch by Type (p)]],SelectedPrecincts[Batch Name], 0)), "", INDEX(SelectedPrecincts[Draw], MATCH(SamplingData[[#This Row],[Batch by Type (p)]],SelectedPrecincts[Batch Name], 0)))</f>
        <v/>
      </c>
      <c r="X165" s="102">
        <f>IF(COUNTIF(SelectedPrecincts[Batch Name],SamplingData[[#This Row],[Batch by Type (p)]]) &lt;&gt; 0, COUNTIF(SelectedPrecincts[Batch Name],SamplingData[[#This Row],[Batch by Type (p)]]), 0)</f>
        <v>0</v>
      </c>
    </row>
    <row r="166" spans="1:24" ht="15" customHeight="1">
      <c r="A166" s="18" t="s">
        <v>342</v>
      </c>
      <c r="B166" s="18">
        <v>43</v>
      </c>
      <c r="C166" s="18">
        <v>60</v>
      </c>
      <c r="D166" s="18">
        <v>16</v>
      </c>
      <c r="E166" s="18">
        <v>4</v>
      </c>
      <c r="F166" s="18">
        <v>2</v>
      </c>
      <c r="G166" s="18">
        <v>0</v>
      </c>
      <c r="H166" s="18">
        <v>0</v>
      </c>
      <c r="I166" s="18">
        <v>4</v>
      </c>
      <c r="J166" s="99">
        <f>SUM(SamplingData[[#This Row],[Losing Candidate]:[Under Votes]])</f>
        <v>129</v>
      </c>
      <c r="K166" s="100">
        <f>IF(AND(SamplingData[[#This Row],[Total]]&lt;&gt; 0, NOT(ISBLANK(SamplingData[[#This Row],[Losing Candidate]]))),(SamplingData[[#This Row],[Total]]+SamplingData[[#This Row],[Winning Candidate]]-SamplingData[[#This Row],[Losing Candidate]])/(SamplingData[[#Totals],[Winning Candidate]]-SamplingData[[#Totals],[Losing Candidate]]), 0)</f>
        <v>8.9416952474277323E-3</v>
      </c>
      <c r="L166" s="100">
        <f>IF(AND(SamplingData[[#This Row],[Total]]&lt;&gt; 0, NOT(ISBLANK(SamplingData[[#This Row],[Candidate 3]]))),(SamplingData[[#This Row],[Total]]+SamplingData[[#This Row],[Winning Candidate]]-SamplingData[[#This Row],[Candidate 3]])/(SamplingData[[#Totals],[Winning Candidate]]-SamplingData[[#Totals],[Candidate 3]]), 0)</f>
        <v>5.581185275994451E-3</v>
      </c>
      <c r="M166" s="100">
        <f>IF(AND(SamplingData[[#This Row],[Total]]&lt;&gt; 0, NOT(ISBLANK(SamplingData[[#This Row],[Candidate 4]]))),(SamplingData[[#This Row],[Total]]+SamplingData[[#This Row],[Winning Candidate]]-SamplingData[[#This Row],[Candidate 4]])/(SamplingData[[#Totals],[Winning Candidate]]-SamplingData[[#Totals],[Candidate 4]]), 0)</f>
        <v>5.4079335847291646E-3</v>
      </c>
      <c r="N166" s="100">
        <f>IF(AND(SamplingData[[#This Row],[Total]]&lt;&gt; 0, NOT(ISBLANK(SamplingData[[#This Row],[Candidate 5]]))),(SamplingData[[#This Row],[Total]]+SamplingData[[#This Row],[Winning Candidate]]-SamplingData[[#This Row],[Candidate 5]])/(SamplingData[[#Totals],[Winning Candidate]]-SamplingData[[#Totals],[Candidate 5]]), 0)</f>
        <v>4.5487715884213083E-3</v>
      </c>
      <c r="O166" s="100">
        <f>IF(AND(SamplingData[[#This Row],[Total]]&lt;&gt; 0, NOT(ISBLANK(SamplingData[[#This Row],[Candidate 6]]))),(SamplingData[[#This Row],[Total]]+SamplingData[[#This Row],[Winning Candidate]]-SamplingData[[#This Row],[Candidate 6]])/(SamplingData[[#Totals],[Winning Candidate]]-SamplingData[[#Totals],[Candidate 6]]), 0)</f>
        <v>4.5960799572005249E-3</v>
      </c>
      <c r="P166" s="100">
        <f>MAX(SamplingData[[#This Row],[Error Bound (up) - Max. possible relative overstatement - Losing Candidate]:[Error Bound (up) - Max. possible relative overstatement - Candidate 6]])</f>
        <v>8.9416952474277323E-3</v>
      </c>
      <c r="Q166" s="100">
        <f>IF(SamplingData[[#This Row],[Max Error Bound (up)]] = 0,0,SamplingData[[#This Row],[Max Error Bound (up)]]/SamplingData[[#Totals],[Max Error Bound (up)]])</f>
        <v>1.4151704486530916E-3</v>
      </c>
      <c r="R166" s="101">
        <f>SUM($Q$5:Q166)</f>
        <v>0.12049623465398679</v>
      </c>
      <c r="S166" s="100" t="str">
        <f t="array" ref="S166">IF(SamplingData[[#This Row],[up/U Selection Probability]] = 0, "Zero", TEXT(SamplingData[[#This Row],[Lower Range]], REPT("0",LEN('General Info'!$B$40))) &amp; " - " &amp; TEXT(SamplingData[[#This Row],[Upper Range]], REPT("0",LEN('General Info'!$B$40))))</f>
        <v>11908 - 12049</v>
      </c>
      <c r="T166" s="100">
        <f>SamplingData[[#This Row],[Upper Range]]-SamplingData[[#This Row],[Span]]</f>
        <v>11908.107835703819</v>
      </c>
      <c r="U166" s="100">
        <f>IF(ISNUMBER('General Info'!$B$40), ((SamplingData[[#This Row],[up/U Selection Probability]]) * 'General Info'!$B$40) - 1, 0)</f>
        <v>140.51562969486051</v>
      </c>
      <c r="V166" s="100">
        <f>IF(ISNUMBER('General Info'!$B$40), (SamplingData[[#This Row],[Running (cumulative) sum]] * ('General Info'!$B$40 -'General Info'!$B$41 + 1)) + 'General Info'!$B$41 - 1, 0)</f>
        <v>12048.623465398679</v>
      </c>
      <c r="W166" s="100" t="str">
        <f>IF(ISERROR(MATCH(SamplingData[[#This Row],[Batch by Type (p)]],SelectedPrecincts[Batch Name], 0)), "", INDEX(SelectedPrecincts[Draw], MATCH(SamplingData[[#This Row],[Batch by Type (p)]],SelectedPrecincts[Batch Name], 0)))</f>
        <v/>
      </c>
      <c r="X166" s="102">
        <f>IF(COUNTIF(SelectedPrecincts[Batch Name],SamplingData[[#This Row],[Batch by Type (p)]]) &lt;&gt; 0, COUNTIF(SelectedPrecincts[Batch Name],SamplingData[[#This Row],[Batch by Type (p)]]), 0)</f>
        <v>0</v>
      </c>
    </row>
    <row r="167" spans="1:24" ht="15" customHeight="1">
      <c r="A167" s="18" t="s">
        <v>343</v>
      </c>
      <c r="B167" s="18">
        <v>26</v>
      </c>
      <c r="C167" s="18">
        <v>51</v>
      </c>
      <c r="D167" s="16">
        <v>12</v>
      </c>
      <c r="E167" s="16">
        <v>10</v>
      </c>
      <c r="F167" s="37">
        <v>0</v>
      </c>
      <c r="G167" s="37">
        <v>1</v>
      </c>
      <c r="H167" s="17">
        <v>0</v>
      </c>
      <c r="I167" s="17">
        <v>4</v>
      </c>
      <c r="J167" s="99">
        <f>SUM(SamplingData[[#This Row],[Losing Candidate]:[Under Votes]])</f>
        <v>104</v>
      </c>
      <c r="K167" s="100">
        <f>IF(AND(SamplingData[[#This Row],[Total]]&lt;&gt; 0, NOT(ISBLANK(SamplingData[[#This Row],[Losing Candidate]]))),(SamplingData[[#This Row],[Total]]+SamplingData[[#This Row],[Winning Candidate]]-SamplingData[[#This Row],[Losing Candidate]])/(SamplingData[[#Totals],[Winning Candidate]]-SamplingData[[#Totals],[Losing Candidate]]), 0)</f>
        <v>7.9005389514943663E-3</v>
      </c>
      <c r="L167" s="100">
        <f>IF(AND(SamplingData[[#This Row],[Total]]&lt;&gt; 0, NOT(ISBLANK(SamplingData[[#This Row],[Candidate 3]]))),(SamplingData[[#This Row],[Total]]+SamplingData[[#This Row],[Winning Candidate]]-SamplingData[[#This Row],[Candidate 3]])/(SamplingData[[#Totals],[Winning Candidate]]-SamplingData[[#Totals],[Candidate 3]]), 0)</f>
        <v>4.6133496790011939E-3</v>
      </c>
      <c r="M167" s="100">
        <f>IF(AND(SamplingData[[#This Row],[Total]]&lt;&gt; 0, NOT(ISBLANK(SamplingData[[#This Row],[Candidate 4]]))),(SamplingData[[#This Row],[Total]]+SamplingData[[#This Row],[Winning Candidate]]-SamplingData[[#This Row],[Candidate 4]])/(SamplingData[[#Totals],[Winning Candidate]]-SamplingData[[#Totals],[Candidate 4]]), 0)</f>
        <v>4.2386506474904268E-3</v>
      </c>
      <c r="N167" s="100">
        <f>IF(AND(SamplingData[[#This Row],[Total]]&lt;&gt; 0, NOT(ISBLANK(SamplingData[[#This Row],[Candidate 5]]))),(SamplingData[[#This Row],[Total]]+SamplingData[[#This Row],[Winning Candidate]]-SamplingData[[#This Row],[Candidate 5]])/(SamplingData[[#Totals],[Winning Candidate]]-SamplingData[[#Totals],[Candidate 5]]), 0)</f>
        <v>3.7703721722208709E-3</v>
      </c>
      <c r="O167" s="100">
        <f>IF(AND(SamplingData[[#This Row],[Total]]&lt;&gt; 0, NOT(ISBLANK(SamplingData[[#This Row],[Candidate 6]]))),(SamplingData[[#This Row],[Total]]+SamplingData[[#This Row],[Winning Candidate]]-SamplingData[[#This Row],[Candidate 6]])/(SamplingData[[#Totals],[Winning Candidate]]-SamplingData[[#Totals],[Candidate 6]]), 0)</f>
        <v>3.7449540392004281E-3</v>
      </c>
      <c r="P167" s="100">
        <f>MAX(SamplingData[[#This Row],[Error Bound (up) - Max. possible relative overstatement - Losing Candidate]:[Error Bound (up) - Max. possible relative overstatement - Candidate 6]])</f>
        <v>7.9005389514943663E-3</v>
      </c>
      <c r="Q167" s="100">
        <f>IF(SamplingData[[#This Row],[Max Error Bound (up)]] = 0,0,SamplingData[[#This Row],[Max Error Bound (up)]]/SamplingData[[#Totals],[Max Error Bound (up)]])</f>
        <v>1.2503903279195124E-3</v>
      </c>
      <c r="R167" s="101">
        <f>SUM($Q$5:Q167)</f>
        <v>0.1217466249819063</v>
      </c>
      <c r="S167" s="100" t="str">
        <f t="array" ref="S167">IF(SamplingData[[#This Row],[up/U Selection Probability]] = 0, "Zero", TEXT(SamplingData[[#This Row],[Lower Range]], REPT("0",LEN('General Info'!$B$40))) &amp; " - " &amp; TEXT(SamplingData[[#This Row],[Upper Range]], REPT("0",LEN('General Info'!$B$40))))</f>
        <v>12050 - 12174</v>
      </c>
      <c r="T167" s="100">
        <f>SamplingData[[#This Row],[Upper Range]]-SamplingData[[#This Row],[Span]]</f>
        <v>12049.624715789007</v>
      </c>
      <c r="U167" s="100">
        <f>IF(ISNUMBER('General Info'!$B$40), ((SamplingData[[#This Row],[up/U Selection Probability]]) * 'General Info'!$B$40) - 1, 0)</f>
        <v>124.03778240162332</v>
      </c>
      <c r="V167" s="100">
        <f>IF(ISNUMBER('General Info'!$B$40), (SamplingData[[#This Row],[Running (cumulative) sum]] * ('General Info'!$B$40 -'General Info'!$B$41 + 1)) + 'General Info'!$B$41 - 1, 0)</f>
        <v>12173.66249819063</v>
      </c>
      <c r="W167" s="100" t="str">
        <f>IF(ISERROR(MATCH(SamplingData[[#This Row],[Batch by Type (p)]],SelectedPrecincts[Batch Name], 0)), "", INDEX(SelectedPrecincts[Draw], MATCH(SamplingData[[#This Row],[Batch by Type (p)]],SelectedPrecincts[Batch Name], 0)))</f>
        <v/>
      </c>
      <c r="X167" s="102">
        <f>IF(COUNTIF(SelectedPrecincts[Batch Name],SamplingData[[#This Row],[Batch by Type (p)]]) &lt;&gt; 0, COUNTIF(SelectedPrecincts[Batch Name],SamplingData[[#This Row],[Batch by Type (p)]]), 0)</f>
        <v>0</v>
      </c>
    </row>
    <row r="168" spans="1:24" ht="15" customHeight="1">
      <c r="A168" s="18" t="s">
        <v>344</v>
      </c>
      <c r="B168" s="18">
        <v>6</v>
      </c>
      <c r="C168" s="18">
        <v>19</v>
      </c>
      <c r="D168" s="18">
        <v>11</v>
      </c>
      <c r="E168" s="18">
        <v>12</v>
      </c>
      <c r="F168" s="18">
        <v>0</v>
      </c>
      <c r="G168" s="18">
        <v>0</v>
      </c>
      <c r="H168" s="18">
        <v>0</v>
      </c>
      <c r="I168" s="18">
        <v>0</v>
      </c>
      <c r="J168" s="99">
        <f>SUM(SamplingData[[#This Row],[Losing Candidate]:[Under Votes]])</f>
        <v>48</v>
      </c>
      <c r="K168"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68" s="100">
        <f>IF(AND(SamplingData[[#This Row],[Total]]&lt;&gt; 0, NOT(ISBLANK(SamplingData[[#This Row],[Candidate 3]]))),(SamplingData[[#This Row],[Total]]+SamplingData[[#This Row],[Winning Candidate]]-SamplingData[[#This Row],[Candidate 3]])/(SamplingData[[#Totals],[Winning Candidate]]-SamplingData[[#Totals],[Candidate 3]]), 0)</f>
        <v>1.8066264477207472E-3</v>
      </c>
      <c r="M168" s="100">
        <f>IF(AND(SamplingData[[#This Row],[Total]]&lt;&gt; 0, NOT(ISBLANK(SamplingData[[#This Row],[Candidate 4]]))),(SamplingData[[#This Row],[Total]]+SamplingData[[#This Row],[Winning Candidate]]-SamplingData[[#This Row],[Candidate 4]])/(SamplingData[[#Totals],[Winning Candidate]]-SamplingData[[#Totals],[Candidate 4]]), 0)</f>
        <v>1.6077640387032652E-3</v>
      </c>
      <c r="N168" s="100">
        <f>IF(AND(SamplingData[[#This Row],[Total]]&lt;&gt; 0, NOT(ISBLANK(SamplingData[[#This Row],[Candidate 5]]))),(SamplingData[[#This Row],[Total]]+SamplingData[[#This Row],[Winning Candidate]]-SamplingData[[#This Row],[Candidate 5]])/(SamplingData[[#Totals],[Winning Candidate]]-SamplingData[[#Totals],[Candidate 5]]), 0)</f>
        <v>1.6297737776696667E-3</v>
      </c>
      <c r="O168" s="100">
        <f>IF(AND(SamplingData[[#This Row],[Total]]&lt;&gt; 0, NOT(ISBLANK(SamplingData[[#This Row],[Candidate 6]]))),(SamplingData[[#This Row],[Total]]+SamplingData[[#This Row],[Winning Candidate]]-SamplingData[[#This Row],[Candidate 6]])/(SamplingData[[#Totals],[Winning Candidate]]-SamplingData[[#Totals],[Candidate 6]]), 0)</f>
        <v>1.6292981858859006E-3</v>
      </c>
      <c r="P168" s="100">
        <f>MAX(SamplingData[[#This Row],[Error Bound (up) - Max. possible relative overstatement - Losing Candidate]:[Error Bound (up) - Max. possible relative overstatement - Candidate 6]])</f>
        <v>3.7359137677609017E-3</v>
      </c>
      <c r="Q168" s="100">
        <f>IF(SamplingData[[#This Row],[Max Error Bound (up)]] = 0,0,SamplingData[[#This Row],[Max Error Bound (up)]]/SamplingData[[#Totals],[Max Error Bound (up)]])</f>
        <v>5.9126984498519581E-4</v>
      </c>
      <c r="R168" s="101">
        <f>SUM($Q$5:Q168)</f>
        <v>0.1223378948268915</v>
      </c>
      <c r="S168" s="100" t="str">
        <f t="array" ref="S168">IF(SamplingData[[#This Row],[up/U Selection Probability]] = 0, "Zero", TEXT(SamplingData[[#This Row],[Lower Range]], REPT("0",LEN('General Info'!$B$40))) &amp; " - " &amp; TEXT(SamplingData[[#This Row],[Upper Range]], REPT("0",LEN('General Info'!$B$40))))</f>
        <v>12175 - 12233</v>
      </c>
      <c r="T168" s="100">
        <f>SamplingData[[#This Row],[Upper Range]]-SamplingData[[#This Row],[Span]]</f>
        <v>12174.663089460475</v>
      </c>
      <c r="U168" s="100">
        <f>IF(ISNUMBER('General Info'!$B$40), ((SamplingData[[#This Row],[up/U Selection Probability]]) * 'General Info'!$B$40) - 1, 0)</f>
        <v>58.126393228674594</v>
      </c>
      <c r="V168" s="100">
        <f>IF(ISNUMBER('General Info'!$B$40), (SamplingData[[#This Row],[Running (cumulative) sum]] * ('General Info'!$B$40 -'General Info'!$B$41 + 1)) + 'General Info'!$B$41 - 1, 0)</f>
        <v>12232.78948268915</v>
      </c>
      <c r="W168" s="100" t="str">
        <f>IF(ISERROR(MATCH(SamplingData[[#This Row],[Batch by Type (p)]],SelectedPrecincts[Batch Name], 0)), "", INDEX(SelectedPrecincts[Draw], MATCH(SamplingData[[#This Row],[Batch by Type (p)]],SelectedPrecincts[Batch Name], 0)))</f>
        <v/>
      </c>
      <c r="X168" s="102">
        <f>IF(COUNTIF(SelectedPrecincts[Batch Name],SamplingData[[#This Row],[Batch by Type (p)]]) &lt;&gt; 0, COUNTIF(SelectedPrecincts[Batch Name],SamplingData[[#This Row],[Batch by Type (p)]]), 0)</f>
        <v>0</v>
      </c>
    </row>
    <row r="169" spans="1:24" ht="15" customHeight="1">
      <c r="A169" s="18" t="s">
        <v>345</v>
      </c>
      <c r="B169" s="18">
        <v>14</v>
      </c>
      <c r="C169" s="18">
        <v>37</v>
      </c>
      <c r="D169" s="16">
        <v>11</v>
      </c>
      <c r="E169" s="16">
        <v>3</v>
      </c>
      <c r="F169" s="37">
        <v>0</v>
      </c>
      <c r="G169" s="37">
        <v>0</v>
      </c>
      <c r="H169" s="17">
        <v>0</v>
      </c>
      <c r="I169" s="17">
        <v>0</v>
      </c>
      <c r="J169" s="99">
        <f>SUM(SamplingData[[#This Row],[Losing Candidate]:[Under Votes]])</f>
        <v>65</v>
      </c>
      <c r="K169" s="100">
        <f>IF(AND(SamplingData[[#This Row],[Total]]&lt;&gt; 0, NOT(ISBLANK(SamplingData[[#This Row],[Losing Candidate]]))),(SamplingData[[#This Row],[Total]]+SamplingData[[#This Row],[Winning Candidate]]-SamplingData[[#This Row],[Losing Candidate]])/(SamplingData[[#Totals],[Winning Candidate]]-SamplingData[[#Totals],[Losing Candidate]]), 0)</f>
        <v>5.3895149436550714E-3</v>
      </c>
      <c r="L169" s="100">
        <f>IF(AND(SamplingData[[#This Row],[Total]]&lt;&gt; 0, NOT(ISBLANK(SamplingData[[#This Row],[Candidate 3]]))),(SamplingData[[#This Row],[Total]]+SamplingData[[#This Row],[Winning Candidate]]-SamplingData[[#This Row],[Candidate 3]])/(SamplingData[[#Totals],[Winning Candidate]]-SamplingData[[#Totals],[Candidate 3]]), 0)</f>
        <v>2.9357679775462143E-3</v>
      </c>
      <c r="M169" s="100">
        <f>IF(AND(SamplingData[[#This Row],[Total]]&lt;&gt; 0, NOT(ISBLANK(SamplingData[[#This Row],[Candidate 4]]))),(SamplingData[[#This Row],[Total]]+SamplingData[[#This Row],[Winning Candidate]]-SamplingData[[#This Row],[Candidate 4]])/(SamplingData[[#Totals],[Winning Candidate]]-SamplingData[[#Totals],[Candidate 4]]), 0)</f>
        <v>2.8939752696658773E-3</v>
      </c>
      <c r="N169" s="100">
        <f>IF(AND(SamplingData[[#This Row],[Total]]&lt;&gt; 0, NOT(ISBLANK(SamplingData[[#This Row],[Candidate 5]]))),(SamplingData[[#This Row],[Total]]+SamplingData[[#This Row],[Winning Candidate]]-SamplingData[[#This Row],[Candidate 5]])/(SamplingData[[#Totals],[Winning Candidate]]-SamplingData[[#Totals],[Candidate 5]]), 0)</f>
        <v>2.4811481391388956E-3</v>
      </c>
      <c r="O169" s="100">
        <f>IF(AND(SamplingData[[#This Row],[Total]]&lt;&gt; 0, NOT(ISBLANK(SamplingData[[#This Row],[Candidate 6]]))),(SamplingData[[#This Row],[Total]]+SamplingData[[#This Row],[Winning Candidate]]-SamplingData[[#This Row],[Candidate 6]])/(SamplingData[[#Totals],[Winning Candidate]]-SamplingData[[#Totals],[Candidate 6]]), 0)</f>
        <v>2.4804241038859976E-3</v>
      </c>
      <c r="P169" s="100">
        <f>MAX(SamplingData[[#This Row],[Error Bound (up) - Max. possible relative overstatement - Losing Candidate]:[Error Bound (up) - Max. possible relative overstatement - Candidate 6]])</f>
        <v>5.3895149436550714E-3</v>
      </c>
      <c r="Q169" s="100">
        <f>IF(SamplingData[[#This Row],[Max Error Bound (up)]] = 0,0,SamplingData[[#This Row],[Max Error Bound (up)]]/SamplingData[[#Totals],[Max Error Bound (up)]])</f>
        <v>8.5297944850323327E-4</v>
      </c>
      <c r="R169" s="101">
        <f>SUM($Q$5:Q169)</f>
        <v>0.12319087427539474</v>
      </c>
      <c r="S169" s="100" t="str">
        <f t="array" ref="S169">IF(SamplingData[[#This Row],[up/U Selection Probability]] = 0, "Zero", TEXT(SamplingData[[#This Row],[Lower Range]], REPT("0",LEN('General Info'!$B$40))) &amp; " - " &amp; TEXT(SamplingData[[#This Row],[Upper Range]], REPT("0",LEN('General Info'!$B$40))))</f>
        <v>12234 - 12318</v>
      </c>
      <c r="T169" s="100">
        <f>SamplingData[[#This Row],[Upper Range]]-SamplingData[[#This Row],[Span]]</f>
        <v>12233.7903356686</v>
      </c>
      <c r="U169" s="100">
        <f>IF(ISNUMBER('General Info'!$B$40), ((SamplingData[[#This Row],[up/U Selection Probability]]) * 'General Info'!$B$40) - 1, 0)</f>
        <v>84.297091870874823</v>
      </c>
      <c r="V169" s="100">
        <f>IF(ISNUMBER('General Info'!$B$40), (SamplingData[[#This Row],[Running (cumulative) sum]] * ('General Info'!$B$40 -'General Info'!$B$41 + 1)) + 'General Info'!$B$41 - 1, 0)</f>
        <v>12318.087427539474</v>
      </c>
      <c r="W169" s="100" t="str">
        <f>IF(ISERROR(MATCH(SamplingData[[#This Row],[Batch by Type (p)]],SelectedPrecincts[Batch Name], 0)), "", INDEX(SelectedPrecincts[Draw], MATCH(SamplingData[[#This Row],[Batch by Type (p)]],SelectedPrecincts[Batch Name], 0)))</f>
        <v/>
      </c>
      <c r="X169" s="102">
        <f>IF(COUNTIF(SelectedPrecincts[Batch Name],SamplingData[[#This Row],[Batch by Type (p)]]) &lt;&gt; 0, COUNTIF(SelectedPrecincts[Batch Name],SamplingData[[#This Row],[Batch by Type (p)]]), 0)</f>
        <v>0</v>
      </c>
    </row>
    <row r="170" spans="1:24" ht="15" customHeight="1">
      <c r="A170" s="18" t="s">
        <v>346</v>
      </c>
      <c r="B170" s="18">
        <v>13</v>
      </c>
      <c r="C170" s="18">
        <v>9</v>
      </c>
      <c r="D170" s="18">
        <v>0</v>
      </c>
      <c r="E170" s="18">
        <v>2</v>
      </c>
      <c r="F170" s="18">
        <v>0</v>
      </c>
      <c r="G170" s="18">
        <v>0</v>
      </c>
      <c r="H170" s="18">
        <v>0</v>
      </c>
      <c r="I170" s="18">
        <v>0</v>
      </c>
      <c r="J170" s="99">
        <f>SUM(SamplingData[[#This Row],[Losing Candidate]:[Under Votes]])</f>
        <v>24</v>
      </c>
      <c r="K17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70" s="100">
        <f>IF(AND(SamplingData[[#This Row],[Total]]&lt;&gt; 0, NOT(ISBLANK(SamplingData[[#This Row],[Candidate 3]]))),(SamplingData[[#This Row],[Total]]+SamplingData[[#This Row],[Winning Candidate]]-SamplingData[[#This Row],[Candidate 3]])/(SamplingData[[#Totals],[Winning Candidate]]-SamplingData[[#Totals],[Candidate 3]]), 0)</f>
        <v>1.0646191566925831E-3</v>
      </c>
      <c r="M170" s="100">
        <f>IF(AND(SamplingData[[#This Row],[Total]]&lt;&gt; 0, NOT(ISBLANK(SamplingData[[#This Row],[Candidate 4]]))),(SamplingData[[#This Row],[Total]]+SamplingData[[#This Row],[Winning Candidate]]-SamplingData[[#This Row],[Candidate 4]])/(SamplingData[[#Totals],[Winning Candidate]]-SamplingData[[#Totals],[Candidate 4]]), 0)</f>
        <v>9.0619427636002225E-4</v>
      </c>
      <c r="N170" s="100">
        <f>IF(AND(SamplingData[[#This Row],[Total]]&lt;&gt; 0, NOT(ISBLANK(SamplingData[[#This Row],[Candidate 5]]))),(SamplingData[[#This Row],[Total]]+SamplingData[[#This Row],[Winning Candidate]]-SamplingData[[#This Row],[Candidate 5]])/(SamplingData[[#Totals],[Winning Candidate]]-SamplingData[[#Totals],[Candidate 5]]), 0)</f>
        <v>8.0272439795670155E-4</v>
      </c>
      <c r="O170" s="100">
        <f>IF(AND(SamplingData[[#This Row],[Total]]&lt;&gt; 0, NOT(ISBLANK(SamplingData[[#This Row],[Candidate 6]]))),(SamplingData[[#This Row],[Total]]+SamplingData[[#This Row],[Winning Candidate]]-SamplingData[[#This Row],[Candidate 6]])/(SamplingData[[#Totals],[Winning Candidate]]-SamplingData[[#Totals],[Candidate 6]]), 0)</f>
        <v>8.024901512572346E-4</v>
      </c>
      <c r="P170" s="100">
        <f>MAX(SamplingData[[#This Row],[Error Bound (up) - Max. possible relative overstatement - Losing Candidate]:[Error Bound (up) - Max. possible relative overstatement - Candidate 6]])</f>
        <v>1.224889759921607E-3</v>
      </c>
      <c r="Q170" s="100">
        <f>IF(SamplingData[[#This Row],[Max Error Bound (up)]] = 0,0,SamplingData[[#This Row],[Max Error Bound (up)]]/SamplingData[[#Totals],[Max Error Bound (up)]])</f>
        <v>1.9385896556891664E-4</v>
      </c>
      <c r="R170" s="101">
        <f>SUM($Q$5:Q170)</f>
        <v>0.12338473324096366</v>
      </c>
      <c r="S170" s="100" t="str">
        <f t="array" ref="S170">IF(SamplingData[[#This Row],[up/U Selection Probability]] = 0, "Zero", TEXT(SamplingData[[#This Row],[Lower Range]], REPT("0",LEN('General Info'!$B$40))) &amp; " - " &amp; TEXT(SamplingData[[#This Row],[Upper Range]], REPT("0",LEN('General Info'!$B$40))))</f>
        <v>12319 - 12337</v>
      </c>
      <c r="T170" s="100">
        <f>SamplingData[[#This Row],[Upper Range]]-SamplingData[[#This Row],[Span]]</f>
        <v>12319.087621398441</v>
      </c>
      <c r="U170" s="100">
        <f>IF(ISNUMBER('General Info'!$B$40), ((SamplingData[[#This Row],[up/U Selection Probability]]) * 'General Info'!$B$40) - 1, 0)</f>
        <v>18.385702697926096</v>
      </c>
      <c r="V170" s="100">
        <f>IF(ISNUMBER('General Info'!$B$40), (SamplingData[[#This Row],[Running (cumulative) sum]] * ('General Info'!$B$40 -'General Info'!$B$41 + 1)) + 'General Info'!$B$41 - 1, 0)</f>
        <v>12337.473324096367</v>
      </c>
      <c r="W170" s="100" t="str">
        <f>IF(ISERROR(MATCH(SamplingData[[#This Row],[Batch by Type (p)]],SelectedPrecincts[Batch Name], 0)), "", INDEX(SelectedPrecincts[Draw], MATCH(SamplingData[[#This Row],[Batch by Type (p)]],SelectedPrecincts[Batch Name], 0)))</f>
        <v/>
      </c>
      <c r="X170" s="102">
        <f>IF(COUNTIF(SelectedPrecincts[Batch Name],SamplingData[[#This Row],[Batch by Type (p)]]) &lt;&gt; 0, COUNTIF(SelectedPrecincts[Batch Name],SamplingData[[#This Row],[Batch by Type (p)]]), 0)</f>
        <v>0</v>
      </c>
    </row>
    <row r="171" spans="1:24" ht="15" customHeight="1">
      <c r="A171" s="18" t="s">
        <v>347</v>
      </c>
      <c r="B171" s="18">
        <v>19</v>
      </c>
      <c r="C171" s="18">
        <v>38</v>
      </c>
      <c r="D171" s="16">
        <v>14</v>
      </c>
      <c r="E171" s="16">
        <v>2</v>
      </c>
      <c r="F171" s="37">
        <v>0</v>
      </c>
      <c r="G171" s="37">
        <v>0</v>
      </c>
      <c r="H171" s="17">
        <v>0</v>
      </c>
      <c r="I171" s="17">
        <v>1</v>
      </c>
      <c r="J171" s="99">
        <f>SUM(SamplingData[[#This Row],[Losing Candidate]:[Under Votes]])</f>
        <v>74</v>
      </c>
      <c r="K171" s="100">
        <f>IF(AND(SamplingData[[#This Row],[Total]]&lt;&gt; 0, NOT(ISBLANK(SamplingData[[#This Row],[Losing Candidate]]))),(SamplingData[[#This Row],[Total]]+SamplingData[[#This Row],[Winning Candidate]]-SamplingData[[#This Row],[Losing Candidate]])/(SamplingData[[#Totals],[Winning Candidate]]-SamplingData[[#Totals],[Losing Candidate]]), 0)</f>
        <v>5.6957373836354725E-3</v>
      </c>
      <c r="L171" s="100">
        <f>IF(AND(SamplingData[[#This Row],[Total]]&lt;&gt; 0, NOT(ISBLANK(SamplingData[[#This Row],[Candidate 3]]))),(SamplingData[[#This Row],[Total]]+SamplingData[[#This Row],[Winning Candidate]]-SamplingData[[#This Row],[Candidate 3]])/(SamplingData[[#Totals],[Winning Candidate]]-SamplingData[[#Totals],[Candidate 3]]), 0)</f>
        <v>3.1615962835113073E-3</v>
      </c>
      <c r="M171" s="100">
        <f>IF(AND(SamplingData[[#This Row],[Total]]&lt;&gt; 0, NOT(ISBLANK(SamplingData[[#This Row],[Candidate 4]]))),(SamplingData[[#This Row],[Total]]+SamplingData[[#This Row],[Winning Candidate]]-SamplingData[[#This Row],[Candidate 4]])/(SamplingData[[#Totals],[Winning Candidate]]-SamplingData[[#Totals],[Candidate 4]]), 0)</f>
        <v>3.2155280774065305E-3</v>
      </c>
      <c r="N171" s="100">
        <f>IF(AND(SamplingData[[#This Row],[Total]]&lt;&gt; 0, NOT(ISBLANK(SamplingData[[#This Row],[Candidate 5]]))),(SamplingData[[#This Row],[Total]]+SamplingData[[#This Row],[Winning Candidate]]-SamplingData[[#This Row],[Candidate 5]])/(SamplingData[[#Totals],[Winning Candidate]]-SamplingData[[#Totals],[Candidate 5]]), 0)</f>
        <v>2.7243979567015326E-3</v>
      </c>
      <c r="O171" s="100">
        <f>IF(AND(SamplingData[[#This Row],[Total]]&lt;&gt; 0, NOT(ISBLANK(SamplingData[[#This Row],[Candidate 6]]))),(SamplingData[[#This Row],[Total]]+SamplingData[[#This Row],[Winning Candidate]]-SamplingData[[#This Row],[Candidate 6]])/(SamplingData[[#Totals],[Winning Candidate]]-SamplingData[[#Totals],[Candidate 6]]), 0)</f>
        <v>2.7236029376003111E-3</v>
      </c>
      <c r="P171" s="100">
        <f>MAX(SamplingData[[#This Row],[Error Bound (up) - Max. possible relative overstatement - Losing Candidate]:[Error Bound (up) - Max. possible relative overstatement - Candidate 6]])</f>
        <v>5.6957373836354725E-3</v>
      </c>
      <c r="Q171" s="100">
        <f>IF(SamplingData[[#This Row],[Max Error Bound (up)]] = 0,0,SamplingData[[#This Row],[Max Error Bound (up)]]/SamplingData[[#Totals],[Max Error Bound (up)]])</f>
        <v>9.0144418989546225E-4</v>
      </c>
      <c r="R171" s="101">
        <f>SUM($Q$5:Q171)</f>
        <v>0.12428617743085912</v>
      </c>
      <c r="S171" s="100" t="str">
        <f t="array" ref="S171">IF(SamplingData[[#This Row],[up/U Selection Probability]] = 0, "Zero", TEXT(SamplingData[[#This Row],[Lower Range]], REPT("0",LEN('General Info'!$B$40))) &amp; " - " &amp; TEXT(SamplingData[[#This Row],[Upper Range]], REPT("0",LEN('General Info'!$B$40))))</f>
        <v>12338 - 12428</v>
      </c>
      <c r="T171" s="100">
        <f>SamplingData[[#This Row],[Upper Range]]-SamplingData[[#This Row],[Span]]</f>
        <v>12338.474225540554</v>
      </c>
      <c r="U171" s="100">
        <f>IF(ISNUMBER('General Info'!$B$40), ((SamplingData[[#This Row],[up/U Selection Probability]]) * 'General Info'!$B$40) - 1, 0)</f>
        <v>89.143517545356332</v>
      </c>
      <c r="V171" s="100">
        <f>IF(ISNUMBER('General Info'!$B$40), (SamplingData[[#This Row],[Running (cumulative) sum]] * ('General Info'!$B$40 -'General Info'!$B$41 + 1)) + 'General Info'!$B$41 - 1, 0)</f>
        <v>12427.617743085912</v>
      </c>
      <c r="W171" s="100" t="str">
        <f>IF(ISERROR(MATCH(SamplingData[[#This Row],[Batch by Type (p)]],SelectedPrecincts[Batch Name], 0)), "", INDEX(SelectedPrecincts[Draw], MATCH(SamplingData[[#This Row],[Batch by Type (p)]],SelectedPrecincts[Batch Name], 0)))</f>
        <v/>
      </c>
      <c r="X171" s="102">
        <f>IF(COUNTIF(SelectedPrecincts[Batch Name],SamplingData[[#This Row],[Batch by Type (p)]]) &lt;&gt; 0, COUNTIF(SelectedPrecincts[Batch Name],SamplingData[[#This Row],[Batch by Type (p)]]), 0)</f>
        <v>0</v>
      </c>
    </row>
    <row r="172" spans="1:24" ht="15" customHeight="1">
      <c r="A172" s="18" t="s">
        <v>348</v>
      </c>
      <c r="B172" s="18">
        <v>17</v>
      </c>
      <c r="C172" s="18">
        <v>28</v>
      </c>
      <c r="D172" s="18">
        <v>2</v>
      </c>
      <c r="E172" s="18">
        <v>1</v>
      </c>
      <c r="F172" s="18">
        <v>0</v>
      </c>
      <c r="G172" s="18">
        <v>0</v>
      </c>
      <c r="H172" s="18">
        <v>0</v>
      </c>
      <c r="I172" s="18">
        <v>0</v>
      </c>
      <c r="J172" s="99">
        <f>SUM(SamplingData[[#This Row],[Losing Candidate]:[Under Votes]])</f>
        <v>48</v>
      </c>
      <c r="K172" s="100">
        <f>IF(AND(SamplingData[[#This Row],[Total]]&lt;&gt; 0, NOT(ISBLANK(SamplingData[[#This Row],[Losing Candidate]]))),(SamplingData[[#This Row],[Total]]+SamplingData[[#This Row],[Winning Candidate]]-SamplingData[[#This Row],[Losing Candidate]])/(SamplingData[[#Totals],[Winning Candidate]]-SamplingData[[#Totals],[Losing Candidate]]), 0)</f>
        <v>3.6134247917687409E-3</v>
      </c>
      <c r="L172" s="100">
        <f>IF(AND(SamplingData[[#This Row],[Total]]&lt;&gt; 0, NOT(ISBLANK(SamplingData[[#This Row],[Candidate 3]]))),(SamplingData[[#This Row],[Total]]+SamplingData[[#This Row],[Winning Candidate]]-SamplingData[[#This Row],[Candidate 3]])/(SamplingData[[#Totals],[Winning Candidate]]-SamplingData[[#Totals],[Candidate 3]]), 0)</f>
        <v>2.3873278059167017E-3</v>
      </c>
      <c r="M172" s="100">
        <f>IF(AND(SamplingData[[#This Row],[Total]]&lt;&gt; 0, NOT(ISBLANK(SamplingData[[#This Row],[Candidate 4]]))),(SamplingData[[#This Row],[Total]]+SamplingData[[#This Row],[Winning Candidate]]-SamplingData[[#This Row],[Candidate 4]])/(SamplingData[[#Totals],[Winning Candidate]]-SamplingData[[#Totals],[Candidate 4]]), 0)</f>
        <v>2.1924055073226346E-3</v>
      </c>
      <c r="N172" s="100">
        <f>IF(AND(SamplingData[[#This Row],[Total]]&lt;&gt; 0, NOT(ISBLANK(SamplingData[[#This Row],[Candidate 5]]))),(SamplingData[[#This Row],[Total]]+SamplingData[[#This Row],[Winning Candidate]]-SamplingData[[#This Row],[Candidate 5]])/(SamplingData[[#Totals],[Winning Candidate]]-SamplingData[[#Totals],[Candidate 5]]), 0)</f>
        <v>1.8486986134760399E-3</v>
      </c>
      <c r="O172" s="100">
        <f>IF(AND(SamplingData[[#This Row],[Total]]&lt;&gt; 0, NOT(ISBLANK(SamplingData[[#This Row],[Candidate 6]]))),(SamplingData[[#This Row],[Total]]+SamplingData[[#This Row],[Winning Candidate]]-SamplingData[[#This Row],[Candidate 6]])/(SamplingData[[#Totals],[Winning Candidate]]-SamplingData[[#Totals],[Candidate 6]]), 0)</f>
        <v>1.8481591362287826E-3</v>
      </c>
      <c r="P172" s="100">
        <f>MAX(SamplingData[[#This Row],[Error Bound (up) - Max. possible relative overstatement - Losing Candidate]:[Error Bound (up) - Max. possible relative overstatement - Candidate 6]])</f>
        <v>3.6134247917687409E-3</v>
      </c>
      <c r="Q172" s="100">
        <f>IF(SamplingData[[#This Row],[Max Error Bound (up)]] = 0,0,SamplingData[[#This Row],[Max Error Bound (up)]]/SamplingData[[#Totals],[Max Error Bound (up)]])</f>
        <v>5.7188394842830413E-4</v>
      </c>
      <c r="R172" s="101">
        <f>SUM($Q$5:Q172)</f>
        <v>0.12485806137928743</v>
      </c>
      <c r="S172" s="100" t="str">
        <f t="array" ref="S172">IF(SamplingData[[#This Row],[up/U Selection Probability]] = 0, "Zero", TEXT(SamplingData[[#This Row],[Lower Range]], REPT("0",LEN('General Info'!$B$40))) &amp; " - " &amp; TEXT(SamplingData[[#This Row],[Upper Range]], REPT("0",LEN('General Info'!$B$40))))</f>
        <v>12429 - 12485</v>
      </c>
      <c r="T172" s="100">
        <f>SamplingData[[#This Row],[Upper Range]]-SamplingData[[#This Row],[Span]]</f>
        <v>12428.618314969861</v>
      </c>
      <c r="U172" s="100">
        <f>IF(ISNUMBER('General Info'!$B$40), ((SamplingData[[#This Row],[up/U Selection Probability]]) * 'General Info'!$B$40) - 1, 0)</f>
        <v>56.187822958881988</v>
      </c>
      <c r="V172" s="100">
        <f>IF(ISNUMBER('General Info'!$B$40), (SamplingData[[#This Row],[Running (cumulative) sum]] * ('General Info'!$B$40 -'General Info'!$B$41 + 1)) + 'General Info'!$B$41 - 1, 0)</f>
        <v>12484.806137928743</v>
      </c>
      <c r="W172" s="100" t="str">
        <f>IF(ISERROR(MATCH(SamplingData[[#This Row],[Batch by Type (p)]],SelectedPrecincts[Batch Name], 0)), "", INDEX(SelectedPrecincts[Draw], MATCH(SamplingData[[#This Row],[Batch by Type (p)]],SelectedPrecincts[Batch Name], 0)))</f>
        <v/>
      </c>
      <c r="X172" s="102">
        <f>IF(COUNTIF(SelectedPrecincts[Batch Name],SamplingData[[#This Row],[Batch by Type (p)]]) &lt;&gt; 0, COUNTIF(SelectedPrecincts[Batch Name],SamplingData[[#This Row],[Batch by Type (p)]]), 0)</f>
        <v>0</v>
      </c>
    </row>
    <row r="173" spans="1:24" ht="15" customHeight="1">
      <c r="A173" s="18" t="s">
        <v>349</v>
      </c>
      <c r="B173" s="18">
        <v>68</v>
      </c>
      <c r="C173" s="18">
        <v>79</v>
      </c>
      <c r="D173" s="16">
        <v>21</v>
      </c>
      <c r="E173" s="16">
        <v>13</v>
      </c>
      <c r="F173" s="37">
        <v>0</v>
      </c>
      <c r="G173" s="37">
        <v>1</v>
      </c>
      <c r="H173" s="17">
        <v>0</v>
      </c>
      <c r="I173" s="17">
        <v>1</v>
      </c>
      <c r="J173" s="99">
        <f>SUM(SamplingData[[#This Row],[Losing Candidate]:[Under Votes]])</f>
        <v>183</v>
      </c>
      <c r="K173" s="100">
        <f>IF(AND(SamplingData[[#This Row],[Total]]&lt;&gt; 0, NOT(ISBLANK(SamplingData[[#This Row],[Losing Candidate]]))),(SamplingData[[#This Row],[Total]]+SamplingData[[#This Row],[Winning Candidate]]-SamplingData[[#This Row],[Losing Candidate]])/(SamplingData[[#Totals],[Winning Candidate]]-SamplingData[[#Totals],[Losing Candidate]]), 0)</f>
        <v>1.1881430671239588E-2</v>
      </c>
      <c r="L173" s="100">
        <f>IF(AND(SamplingData[[#This Row],[Total]]&lt;&gt; 0, NOT(ISBLANK(SamplingData[[#This Row],[Candidate 3]]))),(SamplingData[[#This Row],[Total]]+SamplingData[[#This Row],[Winning Candidate]]-SamplingData[[#This Row],[Candidate 3]])/(SamplingData[[#Totals],[Winning Candidate]]-SamplingData[[#Totals],[Candidate 3]]), 0)</f>
        <v>7.7749459625125012E-3</v>
      </c>
      <c r="M173" s="100">
        <f>IF(AND(SamplingData[[#This Row],[Total]]&lt;&gt; 0, NOT(ISBLANK(SamplingData[[#This Row],[Candidate 4]]))),(SamplingData[[#This Row],[Total]]+SamplingData[[#This Row],[Winning Candidate]]-SamplingData[[#This Row],[Candidate 4]])/(SamplingData[[#Totals],[Winning Candidate]]-SamplingData[[#Totals],[Candidate 4]]), 0)</f>
        <v>7.2787862843111464E-3</v>
      </c>
      <c r="N173" s="100">
        <f>IF(AND(SamplingData[[#This Row],[Total]]&lt;&gt; 0, NOT(ISBLANK(SamplingData[[#This Row],[Candidate 5]]))),(SamplingData[[#This Row],[Total]]+SamplingData[[#This Row],[Winning Candidate]]-SamplingData[[#This Row],[Candidate 5]])/(SamplingData[[#Totals],[Winning Candidate]]-SamplingData[[#Totals],[Candidate 5]]), 0)</f>
        <v>6.3731452201410852E-3</v>
      </c>
      <c r="O173" s="100">
        <f>IF(AND(SamplingData[[#This Row],[Total]]&lt;&gt; 0, NOT(ISBLANK(SamplingData[[#This Row],[Candidate 6]]))),(SamplingData[[#This Row],[Total]]+SamplingData[[#This Row],[Winning Candidate]]-SamplingData[[#This Row],[Candidate 6]])/(SamplingData[[#Totals],[Winning Candidate]]-SamplingData[[#Totals],[Candidate 6]]), 0)</f>
        <v>6.3469675599435822E-3</v>
      </c>
      <c r="P173" s="100">
        <f>MAX(SamplingData[[#This Row],[Error Bound (up) - Max. possible relative overstatement - Losing Candidate]:[Error Bound (up) - Max. possible relative overstatement - Candidate 6]])</f>
        <v>1.1881430671239588E-2</v>
      </c>
      <c r="Q173" s="100">
        <f>IF(SamplingData[[#This Row],[Max Error Bound (up)]] = 0,0,SamplingData[[#This Row],[Max Error Bound (up)]]/SamplingData[[#Totals],[Max Error Bound (up)]])</f>
        <v>1.8804319660184912E-3</v>
      </c>
      <c r="R173" s="101">
        <f>SUM($Q$5:Q173)</f>
        <v>0.12673849334530593</v>
      </c>
      <c r="S173" s="100" t="str">
        <f t="array" ref="S173">IF(SamplingData[[#This Row],[up/U Selection Probability]] = 0, "Zero", TEXT(SamplingData[[#This Row],[Lower Range]], REPT("0",LEN('General Info'!$B$40))) &amp; " - " &amp; TEXT(SamplingData[[#This Row],[Upper Range]], REPT("0",LEN('General Info'!$B$40))))</f>
        <v>12486 - 12673</v>
      </c>
      <c r="T173" s="100">
        <f>SamplingData[[#This Row],[Upper Range]]-SamplingData[[#This Row],[Span]]</f>
        <v>12485.808018360709</v>
      </c>
      <c r="U173" s="100">
        <f>IF(ISNUMBER('General Info'!$B$40), ((SamplingData[[#This Row],[up/U Selection Probability]]) * 'General Info'!$B$40) - 1, 0)</f>
        <v>187.04131616988312</v>
      </c>
      <c r="V173" s="100">
        <f>IF(ISNUMBER('General Info'!$B$40), (SamplingData[[#This Row],[Running (cumulative) sum]] * ('General Info'!$B$40 -'General Info'!$B$41 + 1)) + 'General Info'!$B$41 - 1, 0)</f>
        <v>12672.849334530592</v>
      </c>
      <c r="W173" s="100" t="str">
        <f>IF(ISERROR(MATCH(SamplingData[[#This Row],[Batch by Type (p)]],SelectedPrecincts[Batch Name], 0)), "", INDEX(SelectedPrecincts[Draw], MATCH(SamplingData[[#This Row],[Batch by Type (p)]],SelectedPrecincts[Batch Name], 0)))</f>
        <v/>
      </c>
      <c r="X173" s="102">
        <f>IF(COUNTIF(SelectedPrecincts[Batch Name],SamplingData[[#This Row],[Batch by Type (p)]]) &lt;&gt; 0, COUNTIF(SelectedPrecincts[Batch Name],SamplingData[[#This Row],[Batch by Type (p)]]), 0)</f>
        <v>0</v>
      </c>
    </row>
    <row r="174" spans="1:24" ht="15" customHeight="1">
      <c r="A174" s="18" t="s">
        <v>350</v>
      </c>
      <c r="B174" s="18">
        <v>33</v>
      </c>
      <c r="C174" s="18">
        <v>34</v>
      </c>
      <c r="D174" s="18">
        <v>8</v>
      </c>
      <c r="E174" s="18">
        <v>9</v>
      </c>
      <c r="F174" s="18">
        <v>0</v>
      </c>
      <c r="G174" s="18">
        <v>0</v>
      </c>
      <c r="H174" s="18">
        <v>0</v>
      </c>
      <c r="I174" s="18">
        <v>1</v>
      </c>
      <c r="J174" s="99">
        <f>SUM(SamplingData[[#This Row],[Losing Candidate]:[Under Votes]])</f>
        <v>85</v>
      </c>
      <c r="K174"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174" s="100">
        <f>IF(AND(SamplingData[[#This Row],[Total]]&lt;&gt; 0, NOT(ISBLANK(SamplingData[[#This Row],[Candidate 3]]))),(SamplingData[[#This Row],[Total]]+SamplingData[[#This Row],[Winning Candidate]]-SamplingData[[#This Row],[Candidate 3]])/(SamplingData[[#Totals],[Winning Candidate]]-SamplingData[[#Totals],[Candidate 3]]), 0)</f>
        <v>3.5809917088750524E-3</v>
      </c>
      <c r="M174" s="100">
        <f>IF(AND(SamplingData[[#This Row],[Total]]&lt;&gt; 0, NOT(ISBLANK(SamplingData[[#This Row],[Candidate 4]]))),(SamplingData[[#This Row],[Total]]+SamplingData[[#This Row],[Winning Candidate]]-SamplingData[[#This Row],[Candidate 4]])/(SamplingData[[#Totals],[Winning Candidate]]-SamplingData[[#Totals],[Candidate 4]]), 0)</f>
        <v>3.2155280774065305E-3</v>
      </c>
      <c r="N174" s="100">
        <f>IF(AND(SamplingData[[#This Row],[Total]]&lt;&gt; 0, NOT(ISBLANK(SamplingData[[#This Row],[Candidate 5]]))),(SamplingData[[#This Row],[Total]]+SamplingData[[#This Row],[Winning Candidate]]-SamplingData[[#This Row],[Candidate 5]])/(SamplingData[[#Totals],[Winning Candidate]]-SamplingData[[#Totals],[Candidate 5]]), 0)</f>
        <v>2.8946728289953785E-3</v>
      </c>
      <c r="O174" s="100">
        <f>IF(AND(SamplingData[[#This Row],[Total]]&lt;&gt; 0, NOT(ISBLANK(SamplingData[[#This Row],[Candidate 6]]))),(SamplingData[[#This Row],[Total]]+SamplingData[[#This Row],[Winning Candidate]]-SamplingData[[#This Row],[Candidate 6]])/(SamplingData[[#Totals],[Winning Candidate]]-SamplingData[[#Totals],[Candidate 6]]), 0)</f>
        <v>2.8938281212003308E-3</v>
      </c>
      <c r="P174" s="100">
        <f>MAX(SamplingData[[#This Row],[Error Bound (up) - Max. possible relative overstatement - Losing Candidate]:[Error Bound (up) - Max. possible relative overstatement - Candidate 6]])</f>
        <v>5.2670259676629106E-3</v>
      </c>
      <c r="Q174" s="100">
        <f>IF(SamplingData[[#This Row],[Max Error Bound (up)]] = 0,0,SamplingData[[#This Row],[Max Error Bound (up)]]/SamplingData[[#Totals],[Max Error Bound (up)]])</f>
        <v>8.3359355194634159E-4</v>
      </c>
      <c r="R174" s="101">
        <f>SUM($Q$5:Q174)</f>
        <v>0.12757208689725227</v>
      </c>
      <c r="S174" s="100" t="str">
        <f t="array" ref="S174">IF(SamplingData[[#This Row],[up/U Selection Probability]] = 0, "Zero", TEXT(SamplingData[[#This Row],[Lower Range]], REPT("0",LEN('General Info'!$B$40))) &amp; " - " &amp; TEXT(SamplingData[[#This Row],[Upper Range]], REPT("0",LEN('General Info'!$B$40))))</f>
        <v>12674 - 12756</v>
      </c>
      <c r="T174" s="100">
        <f>SamplingData[[#This Row],[Upper Range]]-SamplingData[[#This Row],[Span]]</f>
        <v>12673.850168124145</v>
      </c>
      <c r="U174" s="100">
        <f>IF(ISNUMBER('General Info'!$B$40), ((SamplingData[[#This Row],[up/U Selection Probability]]) * 'General Info'!$B$40) - 1, 0)</f>
        <v>82.358521601082217</v>
      </c>
      <c r="V174" s="100">
        <f>IF(ISNUMBER('General Info'!$B$40), (SamplingData[[#This Row],[Running (cumulative) sum]] * ('General Info'!$B$40 -'General Info'!$B$41 + 1)) + 'General Info'!$B$41 - 1, 0)</f>
        <v>12756.208689725227</v>
      </c>
      <c r="W174" s="100" t="str">
        <f>IF(ISERROR(MATCH(SamplingData[[#This Row],[Batch by Type (p)]],SelectedPrecincts[Batch Name], 0)), "", INDEX(SelectedPrecincts[Draw], MATCH(SamplingData[[#This Row],[Batch by Type (p)]],SelectedPrecincts[Batch Name], 0)))</f>
        <v/>
      </c>
      <c r="X174" s="102">
        <f>IF(COUNTIF(SelectedPrecincts[Batch Name],SamplingData[[#This Row],[Batch by Type (p)]]) &lt;&gt; 0, COUNTIF(SelectedPrecincts[Batch Name],SamplingData[[#This Row],[Batch by Type (p)]]), 0)</f>
        <v>0</v>
      </c>
    </row>
    <row r="175" spans="1:24" ht="15" customHeight="1">
      <c r="A175" s="18" t="s">
        <v>351</v>
      </c>
      <c r="B175" s="18">
        <v>16</v>
      </c>
      <c r="C175" s="18">
        <v>14</v>
      </c>
      <c r="D175" s="16">
        <v>5</v>
      </c>
      <c r="E175" s="16">
        <v>5</v>
      </c>
      <c r="F175" s="37">
        <v>1</v>
      </c>
      <c r="G175" s="37">
        <v>0</v>
      </c>
      <c r="H175" s="17">
        <v>0</v>
      </c>
      <c r="I175" s="17">
        <v>0</v>
      </c>
      <c r="J175" s="99">
        <f>SUM(SamplingData[[#This Row],[Losing Candidate]:[Under Votes]])</f>
        <v>41</v>
      </c>
      <c r="K175"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175" s="100">
        <f>IF(AND(SamplingData[[#This Row],[Total]]&lt;&gt; 0, NOT(ISBLANK(SamplingData[[#This Row],[Candidate 3]]))),(SamplingData[[#This Row],[Total]]+SamplingData[[#This Row],[Winning Candidate]]-SamplingData[[#This Row],[Candidate 3]])/(SamplingData[[#Totals],[Winning Candidate]]-SamplingData[[#Totals],[Candidate 3]]), 0)</f>
        <v>1.6130593283220957E-3</v>
      </c>
      <c r="M175" s="100">
        <f>IF(AND(SamplingData[[#This Row],[Total]]&lt;&gt; 0, NOT(ISBLANK(SamplingData[[#This Row],[Candidate 4]]))),(SamplingData[[#This Row],[Total]]+SamplingData[[#This Row],[Winning Candidate]]-SamplingData[[#This Row],[Candidate 4]])/(SamplingData[[#Totals],[Winning Candidate]]-SamplingData[[#Totals],[Candidate 4]]), 0)</f>
        <v>1.4616036715484229E-3</v>
      </c>
      <c r="N175" s="100">
        <f>IF(AND(SamplingData[[#This Row],[Total]]&lt;&gt; 0, NOT(ISBLANK(SamplingData[[#This Row],[Candidate 5]]))),(SamplingData[[#This Row],[Total]]+SamplingData[[#This Row],[Winning Candidate]]-SamplingData[[#This Row],[Candidate 5]])/(SamplingData[[#Totals],[Winning Candidate]]-SamplingData[[#Totals],[Candidate 5]]), 0)</f>
        <v>1.3135490148382389E-3</v>
      </c>
      <c r="O175" s="100">
        <f>IF(AND(SamplingData[[#This Row],[Total]]&lt;&gt; 0, NOT(ISBLANK(SamplingData[[#This Row],[Candidate 6]]))),(SamplingData[[#This Row],[Total]]+SamplingData[[#This Row],[Winning Candidate]]-SamplingData[[#This Row],[Candidate 6]])/(SamplingData[[#Totals],[Winning Candidate]]-SamplingData[[#Totals],[Candidate 6]]), 0)</f>
        <v>1.3374835854287244E-3</v>
      </c>
      <c r="P175" s="100">
        <f>MAX(SamplingData[[#This Row],[Error Bound (up) - Max. possible relative overstatement - Losing Candidate]:[Error Bound (up) - Max. possible relative overstatement - Candidate 6]])</f>
        <v>2.3885350318471337E-3</v>
      </c>
      <c r="Q175" s="100">
        <f>IF(SamplingData[[#This Row],[Max Error Bound (up)]] = 0,0,SamplingData[[#This Row],[Max Error Bound (up)]]/SamplingData[[#Totals],[Max Error Bound (up)]])</f>
        <v>3.7802498285938744E-4</v>
      </c>
      <c r="R175" s="101">
        <f>SUM($Q$5:Q175)</f>
        <v>0.12795011188011166</v>
      </c>
      <c r="S175" s="100" t="str">
        <f t="array" ref="S175">IF(SamplingData[[#This Row],[up/U Selection Probability]] = 0, "Zero", TEXT(SamplingData[[#This Row],[Lower Range]], REPT("0",LEN('General Info'!$B$40))) &amp; " - " &amp; TEXT(SamplingData[[#This Row],[Upper Range]], REPT("0",LEN('General Info'!$B$40))))</f>
        <v>12757 - 12794</v>
      </c>
      <c r="T175" s="100">
        <f>SamplingData[[#This Row],[Upper Range]]-SamplingData[[#This Row],[Span]]</f>
        <v>12757.209067750209</v>
      </c>
      <c r="U175" s="100">
        <f>IF(ISNUMBER('General Info'!$B$40), ((SamplingData[[#This Row],[up/U Selection Probability]]) * 'General Info'!$B$40) - 1, 0)</f>
        <v>36.802120260955881</v>
      </c>
      <c r="V175" s="100">
        <f>IF(ISNUMBER('General Info'!$B$40), (SamplingData[[#This Row],[Running (cumulative) sum]] * ('General Info'!$B$40 -'General Info'!$B$41 + 1)) + 'General Info'!$B$41 - 1, 0)</f>
        <v>12794.011188011165</v>
      </c>
      <c r="W175" s="100" t="str">
        <f>IF(ISERROR(MATCH(SamplingData[[#This Row],[Batch by Type (p)]],SelectedPrecincts[Batch Name], 0)), "", INDEX(SelectedPrecincts[Draw], MATCH(SamplingData[[#This Row],[Batch by Type (p)]],SelectedPrecincts[Batch Name], 0)))</f>
        <v/>
      </c>
      <c r="X175" s="102">
        <f>IF(COUNTIF(SelectedPrecincts[Batch Name],SamplingData[[#This Row],[Batch by Type (p)]]) &lt;&gt; 0, COUNTIF(SelectedPrecincts[Batch Name],SamplingData[[#This Row],[Batch by Type (p)]]), 0)</f>
        <v>0</v>
      </c>
    </row>
    <row r="176" spans="1:24" ht="15" customHeight="1">
      <c r="A176" s="18" t="s">
        <v>352</v>
      </c>
      <c r="B176" s="18">
        <v>15</v>
      </c>
      <c r="C176" s="18">
        <v>5</v>
      </c>
      <c r="D176" s="18">
        <v>2</v>
      </c>
      <c r="E176" s="18">
        <v>1</v>
      </c>
      <c r="F176" s="18">
        <v>0</v>
      </c>
      <c r="G176" s="18">
        <v>0</v>
      </c>
      <c r="H176" s="18">
        <v>0</v>
      </c>
      <c r="I176" s="18">
        <v>1</v>
      </c>
      <c r="J176" s="99">
        <f>SUM(SamplingData[[#This Row],[Losing Candidate]:[Under Votes]])</f>
        <v>24</v>
      </c>
      <c r="K176"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76" s="100">
        <f>IF(AND(SamplingData[[#This Row],[Total]]&lt;&gt; 0, NOT(ISBLANK(SamplingData[[#This Row],[Candidate 3]]))),(SamplingData[[#This Row],[Total]]+SamplingData[[#This Row],[Winning Candidate]]-SamplingData[[#This Row],[Candidate 3]])/(SamplingData[[#Totals],[Winning Candidate]]-SamplingData[[#Totals],[Candidate 3]]), 0)</f>
        <v>8.710520372939317E-4</v>
      </c>
      <c r="M176" s="100">
        <f>IF(AND(SamplingData[[#This Row],[Total]]&lt;&gt; 0, NOT(ISBLANK(SamplingData[[#This Row],[Candidate 4]]))),(SamplingData[[#This Row],[Total]]+SamplingData[[#This Row],[Winning Candidate]]-SamplingData[[#This Row],[Candidate 4]])/(SamplingData[[#Totals],[Winning Candidate]]-SamplingData[[#Totals],[Candidate 4]]), 0)</f>
        <v>8.1849805606711685E-4</v>
      </c>
      <c r="N176" s="100">
        <f>IF(AND(SamplingData[[#This Row],[Total]]&lt;&gt; 0, NOT(ISBLANK(SamplingData[[#This Row],[Candidate 5]]))),(SamplingData[[#This Row],[Total]]+SamplingData[[#This Row],[Winning Candidate]]-SamplingData[[#This Row],[Candidate 5]])/(SamplingData[[#Totals],[Winning Candidate]]-SamplingData[[#Totals],[Candidate 5]]), 0)</f>
        <v>7.0542447093164683E-4</v>
      </c>
      <c r="O176" s="100">
        <f>IF(AND(SamplingData[[#This Row],[Total]]&lt;&gt; 0, NOT(ISBLANK(SamplingData[[#This Row],[Candidate 6]]))),(SamplingData[[#This Row],[Total]]+SamplingData[[#This Row],[Winning Candidate]]-SamplingData[[#This Row],[Candidate 6]])/(SamplingData[[#Totals],[Winning Candidate]]-SamplingData[[#Totals],[Candidate 6]]), 0)</f>
        <v>7.0521861777150916E-4</v>
      </c>
      <c r="P176" s="100">
        <f>MAX(SamplingData[[#This Row],[Error Bound (up) - Max. possible relative overstatement - Losing Candidate]:[Error Bound (up) - Max. possible relative overstatement - Candidate 6]])</f>
        <v>8.710520372939317E-4</v>
      </c>
      <c r="Q176" s="100">
        <f>IF(SamplingData[[#This Row],[Max Error Bound (up)]] = 0,0,SamplingData[[#This Row],[Max Error Bound (up)]]/SamplingData[[#Totals],[Max Error Bound (up)]])</f>
        <v>1.3785832197446579E-4</v>
      </c>
      <c r="R176" s="101">
        <f>SUM($Q$5:Q176)</f>
        <v>0.12808797020208612</v>
      </c>
      <c r="S176" s="100" t="str">
        <f t="array" ref="S176">IF(SamplingData[[#This Row],[up/U Selection Probability]] = 0, "Zero", TEXT(SamplingData[[#This Row],[Lower Range]], REPT("0",LEN('General Info'!$B$40))) &amp; " - " &amp; TEXT(SamplingData[[#This Row],[Upper Range]], REPT("0",LEN('General Info'!$B$40))))</f>
        <v>12795 - 12808</v>
      </c>
      <c r="T176" s="100">
        <f>SamplingData[[#This Row],[Upper Range]]-SamplingData[[#This Row],[Span]]</f>
        <v>12795.011325869487</v>
      </c>
      <c r="U176" s="100">
        <f>IF(ISNUMBER('General Info'!$B$40), ((SamplingData[[#This Row],[up/U Selection Probability]]) * 'General Info'!$B$40) - 1, 0)</f>
        <v>12.785694339124603</v>
      </c>
      <c r="V176" s="100">
        <f>IF(ISNUMBER('General Info'!$B$40), (SamplingData[[#This Row],[Running (cumulative) sum]] * ('General Info'!$B$40 -'General Info'!$B$41 + 1)) + 'General Info'!$B$41 - 1, 0)</f>
        <v>12807.797020208613</v>
      </c>
      <c r="W176" s="100" t="str">
        <f>IF(ISERROR(MATCH(SamplingData[[#This Row],[Batch by Type (p)]],SelectedPrecincts[Batch Name], 0)), "", INDEX(SelectedPrecincts[Draw], MATCH(SamplingData[[#This Row],[Batch by Type (p)]],SelectedPrecincts[Batch Name], 0)))</f>
        <v/>
      </c>
      <c r="X176" s="102">
        <f>IF(COUNTIF(SelectedPrecincts[Batch Name],SamplingData[[#This Row],[Batch by Type (p)]]) &lt;&gt; 0, COUNTIF(SelectedPrecincts[Batch Name],SamplingData[[#This Row],[Batch by Type (p)]]), 0)</f>
        <v>0</v>
      </c>
    </row>
    <row r="177" spans="1:24" ht="15" customHeight="1">
      <c r="A177" s="18" t="s">
        <v>353</v>
      </c>
      <c r="B177" s="18">
        <v>50</v>
      </c>
      <c r="C177" s="18">
        <v>98</v>
      </c>
      <c r="D177" s="16">
        <v>21</v>
      </c>
      <c r="E177" s="16">
        <v>6</v>
      </c>
      <c r="F177" s="37">
        <v>0</v>
      </c>
      <c r="G177" s="37">
        <v>0</v>
      </c>
      <c r="H177" s="17">
        <v>0</v>
      </c>
      <c r="I177" s="17">
        <v>3</v>
      </c>
      <c r="J177" s="99">
        <f>SUM(SamplingData[[#This Row],[Losing Candidate]:[Under Votes]])</f>
        <v>178</v>
      </c>
      <c r="K177" s="100">
        <f>IF(AND(SamplingData[[#This Row],[Total]]&lt;&gt; 0, NOT(ISBLANK(SamplingData[[#This Row],[Losing Candidate]]))),(SamplingData[[#This Row],[Total]]+SamplingData[[#This Row],[Winning Candidate]]-SamplingData[[#This Row],[Losing Candidate]])/(SamplingData[[#Totals],[Winning Candidate]]-SamplingData[[#Totals],[Losing Candidate]]), 0)</f>
        <v>1.384125428711416E-2</v>
      </c>
      <c r="L177" s="100">
        <f>IF(AND(SamplingData[[#This Row],[Total]]&lt;&gt; 0, NOT(ISBLANK(SamplingData[[#This Row],[Candidate 3]]))),(SamplingData[[#This Row],[Total]]+SamplingData[[#This Row],[Winning Candidate]]-SamplingData[[#This Row],[Candidate 3]])/(SamplingData[[#Totals],[Winning Candidate]]-SamplingData[[#Totals],[Candidate 3]]), 0)</f>
        <v>8.2266025744426874E-3</v>
      </c>
      <c r="M177" s="100">
        <f>IF(AND(SamplingData[[#This Row],[Total]]&lt;&gt; 0, NOT(ISBLANK(SamplingData[[#This Row],[Candidate 4]]))),(SamplingData[[#This Row],[Total]]+SamplingData[[#This Row],[Winning Candidate]]-SamplingData[[#This Row],[Candidate 4]])/(SamplingData[[#Totals],[Winning Candidate]]-SamplingData[[#Totals],[Candidate 4]]), 0)</f>
        <v>7.8926598263614842E-3</v>
      </c>
      <c r="N177" s="100">
        <f>IF(AND(SamplingData[[#This Row],[Total]]&lt;&gt; 0, NOT(ISBLANK(SamplingData[[#This Row],[Candidate 5]]))),(SamplingData[[#This Row],[Total]]+SamplingData[[#This Row],[Winning Candidate]]-SamplingData[[#This Row],[Candidate 5]])/(SamplingData[[#Totals],[Winning Candidate]]-SamplingData[[#Totals],[Candidate 5]]), 0)</f>
        <v>6.7136949647287761E-3</v>
      </c>
      <c r="O177" s="100">
        <f>IF(AND(SamplingData[[#This Row],[Total]]&lt;&gt; 0, NOT(ISBLANK(SamplingData[[#This Row],[Candidate 6]]))),(SamplingData[[#This Row],[Total]]+SamplingData[[#This Row],[Winning Candidate]]-SamplingData[[#This Row],[Candidate 6]])/(SamplingData[[#Totals],[Winning Candidate]]-SamplingData[[#Totals],[Candidate 6]]), 0)</f>
        <v>6.7117358105150526E-3</v>
      </c>
      <c r="P177" s="100">
        <f>MAX(SamplingData[[#This Row],[Error Bound (up) - Max. possible relative overstatement - Losing Candidate]:[Error Bound (up) - Max. possible relative overstatement - Candidate 6]])</f>
        <v>1.384125428711416E-2</v>
      </c>
      <c r="Q177" s="100">
        <f>IF(SamplingData[[#This Row],[Max Error Bound (up)]] = 0,0,SamplingData[[#This Row],[Max Error Bound (up)]]/SamplingData[[#Totals],[Max Error Bound (up)]])</f>
        <v>2.1906063109287579E-3</v>
      </c>
      <c r="R177" s="101">
        <f>SUM($Q$5:Q177)</f>
        <v>0.13027857651301489</v>
      </c>
      <c r="S177" s="100" t="str">
        <f t="array" ref="S177">IF(SamplingData[[#This Row],[up/U Selection Probability]] = 0, "Zero", TEXT(SamplingData[[#This Row],[Lower Range]], REPT("0",LEN('General Info'!$B$40))) &amp; " - " &amp; TEXT(SamplingData[[#This Row],[Upper Range]], REPT("0",LEN('General Info'!$B$40))))</f>
        <v>12809 - 13027</v>
      </c>
      <c r="T177" s="100">
        <f>SamplingData[[#This Row],[Upper Range]]-SamplingData[[#This Row],[Span]]</f>
        <v>12808.799210814925</v>
      </c>
      <c r="U177" s="100">
        <f>IF(ISNUMBER('General Info'!$B$40), ((SamplingData[[#This Row],[up/U Selection Probability]]) * 'General Info'!$B$40) - 1, 0)</f>
        <v>218.05844048656485</v>
      </c>
      <c r="V177" s="100">
        <f>IF(ISNUMBER('General Info'!$B$40), (SamplingData[[#This Row],[Running (cumulative) sum]] * ('General Info'!$B$40 -'General Info'!$B$41 + 1)) + 'General Info'!$B$41 - 1, 0)</f>
        <v>13026.857651301489</v>
      </c>
      <c r="W177" s="100" t="str">
        <f>IF(ISERROR(MATCH(SamplingData[[#This Row],[Batch by Type (p)]],SelectedPrecincts[Batch Name], 0)), "", INDEX(SelectedPrecincts[Draw], MATCH(SamplingData[[#This Row],[Batch by Type (p)]],SelectedPrecincts[Batch Name], 0)))</f>
        <v/>
      </c>
      <c r="X177" s="102">
        <f>IF(COUNTIF(SelectedPrecincts[Batch Name],SamplingData[[#This Row],[Batch by Type (p)]]) &lt;&gt; 0, COUNTIF(SelectedPrecincts[Batch Name],SamplingData[[#This Row],[Batch by Type (p)]]), 0)</f>
        <v>0</v>
      </c>
    </row>
    <row r="178" spans="1:24" ht="15" customHeight="1">
      <c r="A178" s="18" t="s">
        <v>354</v>
      </c>
      <c r="B178" s="18">
        <v>48</v>
      </c>
      <c r="C178" s="18">
        <v>60</v>
      </c>
      <c r="D178" s="18">
        <v>12</v>
      </c>
      <c r="E178" s="18">
        <v>5</v>
      </c>
      <c r="F178" s="18">
        <v>0</v>
      </c>
      <c r="G178" s="18">
        <v>0</v>
      </c>
      <c r="H178" s="18">
        <v>0</v>
      </c>
      <c r="I178" s="18">
        <v>0</v>
      </c>
      <c r="J178" s="99">
        <f>SUM(SamplingData[[#This Row],[Losing Candidate]:[Under Votes]])</f>
        <v>125</v>
      </c>
      <c r="K178" s="100">
        <f>IF(AND(SamplingData[[#This Row],[Total]]&lt;&gt; 0, NOT(ISBLANK(SamplingData[[#This Row],[Losing Candidate]]))),(SamplingData[[#This Row],[Total]]+SamplingData[[#This Row],[Winning Candidate]]-SamplingData[[#This Row],[Losing Candidate]])/(SamplingData[[#Totals],[Winning Candidate]]-SamplingData[[#Totals],[Losing Candidate]]), 0)</f>
        <v>8.3904948554630078E-3</v>
      </c>
      <c r="L178" s="100">
        <f>IF(AND(SamplingData[[#This Row],[Total]]&lt;&gt; 0, NOT(ISBLANK(SamplingData[[#This Row],[Candidate 3]]))),(SamplingData[[#This Row],[Total]]+SamplingData[[#This Row],[Winning Candidate]]-SamplingData[[#This Row],[Candidate 3]])/(SamplingData[[#Totals],[Winning Candidate]]-SamplingData[[#Totals],[Candidate 3]]), 0)</f>
        <v>5.581185275994451E-3</v>
      </c>
      <c r="M178" s="100">
        <f>IF(AND(SamplingData[[#This Row],[Total]]&lt;&gt; 0, NOT(ISBLANK(SamplingData[[#This Row],[Candidate 4]]))),(SamplingData[[#This Row],[Total]]+SamplingData[[#This Row],[Winning Candidate]]-SamplingData[[#This Row],[Candidate 4]])/(SamplingData[[#Totals],[Winning Candidate]]-SamplingData[[#Totals],[Candidate 4]]), 0)</f>
        <v>5.2617732175743222E-3</v>
      </c>
      <c r="N178" s="100">
        <f>IF(AND(SamplingData[[#This Row],[Total]]&lt;&gt; 0, NOT(ISBLANK(SamplingData[[#This Row],[Candidate 5]]))),(SamplingData[[#This Row],[Total]]+SamplingData[[#This Row],[Winning Candidate]]-SamplingData[[#This Row],[Candidate 5]])/(SamplingData[[#Totals],[Winning Candidate]]-SamplingData[[#Totals],[Candidate 5]]), 0)</f>
        <v>4.5001216249087811E-3</v>
      </c>
      <c r="O178" s="100">
        <f>IF(AND(SamplingData[[#This Row],[Total]]&lt;&gt; 0, NOT(ISBLANK(SamplingData[[#This Row],[Candidate 6]]))),(SamplingData[[#This Row],[Total]]+SamplingData[[#This Row],[Winning Candidate]]-SamplingData[[#This Row],[Candidate 6]])/(SamplingData[[#Totals],[Winning Candidate]]-SamplingData[[#Totals],[Candidate 6]]), 0)</f>
        <v>4.4988084237148002E-3</v>
      </c>
      <c r="P178" s="100">
        <f>MAX(SamplingData[[#This Row],[Error Bound (up) - Max. possible relative overstatement - Losing Candidate]:[Error Bound (up) - Max. possible relative overstatement - Candidate 6]])</f>
        <v>8.3904948554630078E-3</v>
      </c>
      <c r="Q178" s="100">
        <f>IF(SamplingData[[#This Row],[Max Error Bound (up)]] = 0,0,SamplingData[[#This Row],[Max Error Bound (up)]]/SamplingData[[#Totals],[Max Error Bound (up)]])</f>
        <v>1.3279339141470789E-3</v>
      </c>
      <c r="R178" s="101">
        <f>SUM($Q$5:Q178)</f>
        <v>0.13160651042716195</v>
      </c>
      <c r="S178" s="100" t="str">
        <f t="array" ref="S178">IF(SamplingData[[#This Row],[up/U Selection Probability]] = 0, "Zero", TEXT(SamplingData[[#This Row],[Lower Range]], REPT("0",LEN('General Info'!$B$40))) &amp; " - " &amp; TEXT(SamplingData[[#This Row],[Upper Range]], REPT("0",LEN('General Info'!$B$40))))</f>
        <v>13028 - 13160</v>
      </c>
      <c r="T178" s="100">
        <f>SamplingData[[#This Row],[Upper Range]]-SamplingData[[#This Row],[Span]]</f>
        <v>13027.858979235401</v>
      </c>
      <c r="U178" s="100">
        <f>IF(ISNUMBER('General Info'!$B$40), ((SamplingData[[#This Row],[up/U Selection Probability]]) * 'General Info'!$B$40) - 1, 0)</f>
        <v>131.79206348079373</v>
      </c>
      <c r="V178" s="100">
        <f>IF(ISNUMBER('General Info'!$B$40), (SamplingData[[#This Row],[Running (cumulative) sum]] * ('General Info'!$B$40 -'General Info'!$B$41 + 1)) + 'General Info'!$B$41 - 1, 0)</f>
        <v>13159.651042716196</v>
      </c>
      <c r="W178" s="100" t="str">
        <f>IF(ISERROR(MATCH(SamplingData[[#This Row],[Batch by Type (p)]],SelectedPrecincts[Batch Name], 0)), "", INDEX(SelectedPrecincts[Draw], MATCH(SamplingData[[#This Row],[Batch by Type (p)]],SelectedPrecincts[Batch Name], 0)))</f>
        <v/>
      </c>
      <c r="X178" s="102">
        <f>IF(COUNTIF(SelectedPrecincts[Batch Name],SamplingData[[#This Row],[Batch by Type (p)]]) &lt;&gt; 0, COUNTIF(SelectedPrecincts[Batch Name],SamplingData[[#This Row],[Batch by Type (p)]]), 0)</f>
        <v>0</v>
      </c>
    </row>
    <row r="179" spans="1:24" ht="15" customHeight="1">
      <c r="A179" s="18" t="s">
        <v>355</v>
      </c>
      <c r="B179" s="18">
        <v>7</v>
      </c>
      <c r="C179" s="18">
        <v>9</v>
      </c>
      <c r="D179" s="16">
        <v>0</v>
      </c>
      <c r="E179" s="16">
        <v>8</v>
      </c>
      <c r="F179" s="37">
        <v>0</v>
      </c>
      <c r="G179" s="37">
        <v>0</v>
      </c>
      <c r="H179" s="17">
        <v>0</v>
      </c>
      <c r="I179" s="17">
        <v>0</v>
      </c>
      <c r="J179" s="99">
        <f>SUM(SamplingData[[#This Row],[Losing Candidate]:[Under Votes]])</f>
        <v>24</v>
      </c>
      <c r="K179"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79" s="100">
        <f>IF(AND(SamplingData[[#This Row],[Total]]&lt;&gt; 0, NOT(ISBLANK(SamplingData[[#This Row],[Candidate 3]]))),(SamplingData[[#This Row],[Total]]+SamplingData[[#This Row],[Winning Candidate]]-SamplingData[[#This Row],[Candidate 3]])/(SamplingData[[#Totals],[Winning Candidate]]-SamplingData[[#Totals],[Candidate 3]]), 0)</f>
        <v>1.0646191566925831E-3</v>
      </c>
      <c r="M179" s="100">
        <f>IF(AND(SamplingData[[#This Row],[Total]]&lt;&gt; 0, NOT(ISBLANK(SamplingData[[#This Row],[Candidate 4]]))),(SamplingData[[#This Row],[Total]]+SamplingData[[#This Row],[Winning Candidate]]-SamplingData[[#This Row],[Candidate 4]])/(SamplingData[[#Totals],[Winning Candidate]]-SamplingData[[#Totals],[Candidate 4]]), 0)</f>
        <v>7.3080183577421145E-4</v>
      </c>
      <c r="N179" s="100">
        <f>IF(AND(SamplingData[[#This Row],[Total]]&lt;&gt; 0, NOT(ISBLANK(SamplingData[[#This Row],[Candidate 5]]))),(SamplingData[[#This Row],[Total]]+SamplingData[[#This Row],[Winning Candidate]]-SamplingData[[#This Row],[Candidate 5]])/(SamplingData[[#Totals],[Winning Candidate]]-SamplingData[[#Totals],[Candidate 5]]), 0)</f>
        <v>8.0272439795670155E-4</v>
      </c>
      <c r="O179" s="100">
        <f>IF(AND(SamplingData[[#This Row],[Total]]&lt;&gt; 0, NOT(ISBLANK(SamplingData[[#This Row],[Candidate 6]]))),(SamplingData[[#This Row],[Total]]+SamplingData[[#This Row],[Winning Candidate]]-SamplingData[[#This Row],[Candidate 6]])/(SamplingData[[#Totals],[Winning Candidate]]-SamplingData[[#Totals],[Candidate 6]]), 0)</f>
        <v>8.024901512572346E-4</v>
      </c>
      <c r="P179" s="100">
        <f>MAX(SamplingData[[#This Row],[Error Bound (up) - Max. possible relative overstatement - Losing Candidate]:[Error Bound (up) - Max. possible relative overstatement - Candidate 6]])</f>
        <v>1.5923566878980893E-3</v>
      </c>
      <c r="Q179" s="100">
        <f>IF(SamplingData[[#This Row],[Max Error Bound (up)]] = 0,0,SamplingData[[#This Row],[Max Error Bound (up)]]/SamplingData[[#Totals],[Max Error Bound (up)]])</f>
        <v>2.5201665523959162E-4</v>
      </c>
      <c r="R179" s="101">
        <f>SUM($Q$5:Q179)</f>
        <v>0.13185852708240153</v>
      </c>
      <c r="S179" s="100" t="str">
        <f t="array" ref="S179">IF(SamplingData[[#This Row],[up/U Selection Probability]] = 0, "Zero", TEXT(SamplingData[[#This Row],[Lower Range]], REPT("0",LEN('General Info'!$B$40))) &amp; " - " &amp; TEXT(SamplingData[[#This Row],[Upper Range]], REPT("0",LEN('General Info'!$B$40))))</f>
        <v>13161 - 13185</v>
      </c>
      <c r="T179" s="100">
        <f>SamplingData[[#This Row],[Upper Range]]-SamplingData[[#This Row],[Span]]</f>
        <v>13160.651294732848</v>
      </c>
      <c r="U179" s="100">
        <f>IF(ISNUMBER('General Info'!$B$40), ((SamplingData[[#This Row],[up/U Selection Probability]]) * 'General Info'!$B$40) - 1, 0)</f>
        <v>24.201413507303922</v>
      </c>
      <c r="V179" s="100">
        <f>IF(ISNUMBER('General Info'!$B$40), (SamplingData[[#This Row],[Running (cumulative) sum]] * ('General Info'!$B$40 -'General Info'!$B$41 + 1)) + 'General Info'!$B$41 - 1, 0)</f>
        <v>13184.852708240152</v>
      </c>
      <c r="W179" s="100" t="str">
        <f>IF(ISERROR(MATCH(SamplingData[[#This Row],[Batch by Type (p)]],SelectedPrecincts[Batch Name], 0)), "", INDEX(SelectedPrecincts[Draw], MATCH(SamplingData[[#This Row],[Batch by Type (p)]],SelectedPrecincts[Batch Name], 0)))</f>
        <v/>
      </c>
      <c r="X179" s="102">
        <f>IF(COUNTIF(SelectedPrecincts[Batch Name],SamplingData[[#This Row],[Batch by Type (p)]]) &lt;&gt; 0, COUNTIF(SelectedPrecincts[Batch Name],SamplingData[[#This Row],[Batch by Type (p)]]), 0)</f>
        <v>0</v>
      </c>
    </row>
    <row r="180" spans="1:24" ht="15" customHeight="1">
      <c r="A180" s="18" t="s">
        <v>356</v>
      </c>
      <c r="B180" s="18">
        <v>2</v>
      </c>
      <c r="C180" s="18">
        <v>2</v>
      </c>
      <c r="D180" s="18">
        <v>1</v>
      </c>
      <c r="E180" s="18">
        <v>0</v>
      </c>
      <c r="F180" s="18">
        <v>0</v>
      </c>
      <c r="G180" s="18">
        <v>0</v>
      </c>
      <c r="H180" s="18">
        <v>0</v>
      </c>
      <c r="I180" s="18">
        <v>0</v>
      </c>
      <c r="J180" s="99">
        <f>SUM(SamplingData[[#This Row],[Losing Candidate]:[Under Votes]])</f>
        <v>5</v>
      </c>
      <c r="K180"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180" s="100">
        <f>IF(AND(SamplingData[[#This Row],[Total]]&lt;&gt; 0, NOT(ISBLANK(SamplingData[[#This Row],[Candidate 3]]))),(SamplingData[[#This Row],[Total]]+SamplingData[[#This Row],[Winning Candidate]]-SamplingData[[#This Row],[Candidate 3]])/(SamplingData[[#Totals],[Winning Candidate]]-SamplingData[[#Totals],[Candidate 3]]), 0)</f>
        <v>1.9356711939865149E-4</v>
      </c>
      <c r="M180" s="100">
        <f>IF(AND(SamplingData[[#This Row],[Total]]&lt;&gt; 0, NOT(ISBLANK(SamplingData[[#This Row],[Candidate 4]]))),(SamplingData[[#This Row],[Total]]+SamplingData[[#This Row],[Winning Candidate]]-SamplingData[[#This Row],[Candidate 4]])/(SamplingData[[#Totals],[Winning Candidate]]-SamplingData[[#Totals],[Candidate 4]]), 0)</f>
        <v>2.0462451401677921E-4</v>
      </c>
      <c r="N180" s="100">
        <f>IF(AND(SamplingData[[#This Row],[Total]]&lt;&gt; 0, NOT(ISBLANK(SamplingData[[#This Row],[Candidate 5]]))),(SamplingData[[#This Row],[Total]]+SamplingData[[#This Row],[Winning Candidate]]-SamplingData[[#This Row],[Candidate 5]])/(SamplingData[[#Totals],[Winning Candidate]]-SamplingData[[#Totals],[Candidate 5]]), 0)</f>
        <v>1.7027487229384579E-4</v>
      </c>
      <c r="O180" s="100">
        <f>IF(AND(SamplingData[[#This Row],[Total]]&lt;&gt; 0, NOT(ISBLANK(SamplingData[[#This Row],[Candidate 6]]))),(SamplingData[[#This Row],[Total]]+SamplingData[[#This Row],[Winning Candidate]]-SamplingData[[#This Row],[Candidate 6]])/(SamplingData[[#Totals],[Winning Candidate]]-SamplingData[[#Totals],[Candidate 6]]), 0)</f>
        <v>1.7022518360001944E-4</v>
      </c>
      <c r="P180" s="100">
        <f>MAX(SamplingData[[#This Row],[Error Bound (up) - Max. possible relative overstatement - Losing Candidate]:[Error Bound (up) - Max. possible relative overstatement - Candidate 6]])</f>
        <v>3.0622243998040176E-4</v>
      </c>
      <c r="Q180" s="100">
        <f>IF(SamplingData[[#This Row],[Max Error Bound (up)]] = 0,0,SamplingData[[#This Row],[Max Error Bound (up)]]/SamplingData[[#Totals],[Max Error Bound (up)]])</f>
        <v>4.8464741392229159E-5</v>
      </c>
      <c r="R180" s="101">
        <f>SUM($Q$5:Q180)</f>
        <v>0.13190699182379376</v>
      </c>
      <c r="S180" s="100" t="str">
        <f t="array" ref="S180">IF(SamplingData[[#This Row],[up/U Selection Probability]] = 0, "Zero", TEXT(SamplingData[[#This Row],[Lower Range]], REPT("0",LEN('General Info'!$B$40))) &amp; " - " &amp; TEXT(SamplingData[[#This Row],[Upper Range]], REPT("0",LEN('General Info'!$B$40))))</f>
        <v>13186 - 13190</v>
      </c>
      <c r="T180" s="100">
        <f>SamplingData[[#This Row],[Upper Range]]-SamplingData[[#This Row],[Span]]</f>
        <v>13185.852756704895</v>
      </c>
      <c r="U180" s="100">
        <f>IF(ISNUMBER('General Info'!$B$40), ((SamplingData[[#This Row],[up/U Selection Probability]]) * 'General Info'!$B$40) - 1, 0)</f>
        <v>3.8464256744815239</v>
      </c>
      <c r="V180" s="100">
        <f>IF(ISNUMBER('General Info'!$B$40), (SamplingData[[#This Row],[Running (cumulative) sum]] * ('General Info'!$B$40 -'General Info'!$B$41 + 1)) + 'General Info'!$B$41 - 1, 0)</f>
        <v>13189.699182379376</v>
      </c>
      <c r="W180" s="100" t="str">
        <f>IF(ISERROR(MATCH(SamplingData[[#This Row],[Batch by Type (p)]],SelectedPrecincts[Batch Name], 0)), "", INDEX(SelectedPrecincts[Draw], MATCH(SamplingData[[#This Row],[Batch by Type (p)]],SelectedPrecincts[Batch Name], 0)))</f>
        <v/>
      </c>
      <c r="X180" s="102">
        <f>IF(COUNTIF(SelectedPrecincts[Batch Name],SamplingData[[#This Row],[Batch by Type (p)]]) &lt;&gt; 0, COUNTIF(SelectedPrecincts[Batch Name],SamplingData[[#This Row],[Batch by Type (p)]]), 0)</f>
        <v>0</v>
      </c>
    </row>
    <row r="181" spans="1:24" ht="15" customHeight="1">
      <c r="A181" s="18" t="s">
        <v>357</v>
      </c>
      <c r="B181" s="18">
        <v>26</v>
      </c>
      <c r="C181" s="18">
        <v>38</v>
      </c>
      <c r="D181" s="16">
        <v>2</v>
      </c>
      <c r="E181" s="16">
        <v>14</v>
      </c>
      <c r="F181" s="37">
        <v>0</v>
      </c>
      <c r="G181" s="37">
        <v>0</v>
      </c>
      <c r="H181" s="17">
        <v>0</v>
      </c>
      <c r="I181" s="17">
        <v>1</v>
      </c>
      <c r="J181" s="99">
        <f>SUM(SamplingData[[#This Row],[Losing Candidate]:[Under Votes]])</f>
        <v>81</v>
      </c>
      <c r="K181" s="100">
        <f>IF(AND(SamplingData[[#This Row],[Total]]&lt;&gt; 0, NOT(ISBLANK(SamplingData[[#This Row],[Losing Candidate]]))),(SamplingData[[#This Row],[Total]]+SamplingData[[#This Row],[Winning Candidate]]-SamplingData[[#This Row],[Losing Candidate]])/(SamplingData[[#Totals],[Winning Candidate]]-SamplingData[[#Totals],[Losing Candidate]]), 0)</f>
        <v>5.6957373836354725E-3</v>
      </c>
      <c r="L181" s="100">
        <f>IF(AND(SamplingData[[#This Row],[Total]]&lt;&gt; 0, NOT(ISBLANK(SamplingData[[#This Row],[Candidate 3]]))),(SamplingData[[#This Row],[Total]]+SamplingData[[#This Row],[Winning Candidate]]-SamplingData[[#This Row],[Candidate 3]])/(SamplingData[[#Totals],[Winning Candidate]]-SamplingData[[#Totals],[Candidate 3]]), 0)</f>
        <v>3.7745588282737039E-3</v>
      </c>
      <c r="M181" s="100">
        <f>IF(AND(SamplingData[[#This Row],[Total]]&lt;&gt; 0, NOT(ISBLANK(SamplingData[[#This Row],[Candidate 4]]))),(SamplingData[[#This Row],[Total]]+SamplingData[[#This Row],[Winning Candidate]]-SamplingData[[#This Row],[Candidate 4]])/(SamplingData[[#Totals],[Winning Candidate]]-SamplingData[[#Totals],[Candidate 4]]), 0)</f>
        <v>3.0693677102516881E-3</v>
      </c>
      <c r="N181" s="100">
        <f>IF(AND(SamplingData[[#This Row],[Total]]&lt;&gt; 0, NOT(ISBLANK(SamplingData[[#This Row],[Candidate 5]]))),(SamplingData[[#This Row],[Total]]+SamplingData[[#This Row],[Winning Candidate]]-SamplingData[[#This Row],[Candidate 5]])/(SamplingData[[#Totals],[Winning Candidate]]-SamplingData[[#Totals],[Candidate 5]]), 0)</f>
        <v>2.8946728289953785E-3</v>
      </c>
      <c r="O181" s="100">
        <f>IF(AND(SamplingData[[#This Row],[Total]]&lt;&gt; 0, NOT(ISBLANK(SamplingData[[#This Row],[Candidate 6]]))),(SamplingData[[#This Row],[Total]]+SamplingData[[#This Row],[Winning Candidate]]-SamplingData[[#This Row],[Candidate 6]])/(SamplingData[[#Totals],[Winning Candidate]]-SamplingData[[#Totals],[Candidate 6]]), 0)</f>
        <v>2.8938281212003308E-3</v>
      </c>
      <c r="P181" s="100">
        <f>MAX(SamplingData[[#This Row],[Error Bound (up) - Max. possible relative overstatement - Losing Candidate]:[Error Bound (up) - Max. possible relative overstatement - Candidate 6]])</f>
        <v>5.6957373836354725E-3</v>
      </c>
      <c r="Q181" s="100">
        <f>IF(SamplingData[[#This Row],[Max Error Bound (up)]] = 0,0,SamplingData[[#This Row],[Max Error Bound (up)]]/SamplingData[[#Totals],[Max Error Bound (up)]])</f>
        <v>9.0144418989546225E-4</v>
      </c>
      <c r="R181" s="101">
        <f>SUM($Q$5:Q181)</f>
        <v>0.13280843601368922</v>
      </c>
      <c r="S181" s="100" t="str">
        <f t="array" ref="S181">IF(SamplingData[[#This Row],[up/U Selection Probability]] = 0, "Zero", TEXT(SamplingData[[#This Row],[Lower Range]], REPT("0",LEN('General Info'!$B$40))) &amp; " - " &amp; TEXT(SamplingData[[#This Row],[Upper Range]], REPT("0",LEN('General Info'!$B$40))))</f>
        <v>13191 - 13280</v>
      </c>
      <c r="T181" s="100">
        <f>SamplingData[[#This Row],[Upper Range]]-SamplingData[[#This Row],[Span]]</f>
        <v>13190.700083823565</v>
      </c>
      <c r="U181" s="100">
        <f>IF(ISNUMBER('General Info'!$B$40), ((SamplingData[[#This Row],[up/U Selection Probability]]) * 'General Info'!$B$40) - 1, 0)</f>
        <v>89.143517545356332</v>
      </c>
      <c r="V181" s="100">
        <f>IF(ISNUMBER('General Info'!$B$40), (SamplingData[[#This Row],[Running (cumulative) sum]] * ('General Info'!$B$40 -'General Info'!$B$41 + 1)) + 'General Info'!$B$41 - 1, 0)</f>
        <v>13279.843601368922</v>
      </c>
      <c r="W181" s="100" t="str">
        <f>IF(ISERROR(MATCH(SamplingData[[#This Row],[Batch by Type (p)]],SelectedPrecincts[Batch Name], 0)), "", INDEX(SelectedPrecincts[Draw], MATCH(SamplingData[[#This Row],[Batch by Type (p)]],SelectedPrecincts[Batch Name], 0)))</f>
        <v/>
      </c>
      <c r="X181" s="102">
        <f>IF(COUNTIF(SelectedPrecincts[Batch Name],SamplingData[[#This Row],[Batch by Type (p)]]) &lt;&gt; 0, COUNTIF(SelectedPrecincts[Batch Name],SamplingData[[#This Row],[Batch by Type (p)]]), 0)</f>
        <v>0</v>
      </c>
    </row>
    <row r="182" spans="1:24" ht="15" customHeight="1">
      <c r="A182" s="18" t="s">
        <v>358</v>
      </c>
      <c r="B182" s="18">
        <v>9</v>
      </c>
      <c r="C182" s="18">
        <v>31</v>
      </c>
      <c r="D182" s="18">
        <v>8</v>
      </c>
      <c r="E182" s="18">
        <v>6</v>
      </c>
      <c r="F182" s="18">
        <v>0</v>
      </c>
      <c r="G182" s="18">
        <v>0</v>
      </c>
      <c r="H182" s="18">
        <v>0</v>
      </c>
      <c r="I182" s="18">
        <v>0</v>
      </c>
      <c r="J182" s="99">
        <f>SUM(SamplingData[[#This Row],[Losing Candidate]:[Under Votes]])</f>
        <v>54</v>
      </c>
      <c r="K182" s="100">
        <f>IF(AND(SamplingData[[#This Row],[Total]]&lt;&gt; 0, NOT(ISBLANK(SamplingData[[#This Row],[Losing Candidate]]))),(SamplingData[[#This Row],[Total]]+SamplingData[[#This Row],[Winning Candidate]]-SamplingData[[#This Row],[Losing Candidate]])/(SamplingData[[#Totals],[Winning Candidate]]-SamplingData[[#Totals],[Losing Candidate]]), 0)</f>
        <v>4.6545810877021065E-3</v>
      </c>
      <c r="L182" s="100">
        <f>IF(AND(SamplingData[[#This Row],[Total]]&lt;&gt; 0, NOT(ISBLANK(SamplingData[[#This Row],[Candidate 3]]))),(SamplingData[[#This Row],[Total]]+SamplingData[[#This Row],[Winning Candidate]]-SamplingData[[#This Row],[Candidate 3]])/(SamplingData[[#Totals],[Winning Candidate]]-SamplingData[[#Totals],[Candidate 3]]), 0)</f>
        <v>2.4841113656160273E-3</v>
      </c>
      <c r="M182" s="100">
        <f>IF(AND(SamplingData[[#This Row],[Total]]&lt;&gt; 0, NOT(ISBLANK(SamplingData[[#This Row],[Candidate 4]]))),(SamplingData[[#This Row],[Total]]+SamplingData[[#This Row],[Winning Candidate]]-SamplingData[[#This Row],[Candidate 4]])/(SamplingData[[#Totals],[Winning Candidate]]-SamplingData[[#Totals],[Candidate 4]]), 0)</f>
        <v>2.3093338010465084E-3</v>
      </c>
      <c r="N182" s="100">
        <f>IF(AND(SamplingData[[#This Row],[Total]]&lt;&gt; 0, NOT(ISBLANK(SamplingData[[#This Row],[Candidate 5]]))),(SamplingData[[#This Row],[Total]]+SamplingData[[#This Row],[Winning Candidate]]-SamplingData[[#This Row],[Candidate 5]])/(SamplingData[[#Totals],[Winning Candidate]]-SamplingData[[#Totals],[Candidate 5]]), 0)</f>
        <v>2.0676234492824131E-3</v>
      </c>
      <c r="O182" s="100">
        <f>IF(AND(SamplingData[[#This Row],[Total]]&lt;&gt; 0, NOT(ISBLANK(SamplingData[[#This Row],[Candidate 6]]))),(SamplingData[[#This Row],[Total]]+SamplingData[[#This Row],[Winning Candidate]]-SamplingData[[#This Row],[Candidate 6]])/(SamplingData[[#Totals],[Winning Candidate]]-SamplingData[[#Totals],[Candidate 6]]), 0)</f>
        <v>2.0670200865716649E-3</v>
      </c>
      <c r="P182" s="100">
        <f>MAX(SamplingData[[#This Row],[Error Bound (up) - Max. possible relative overstatement - Losing Candidate]:[Error Bound (up) - Max. possible relative overstatement - Candidate 6]])</f>
        <v>4.6545810877021065E-3</v>
      </c>
      <c r="Q182" s="100">
        <f>IF(SamplingData[[#This Row],[Max Error Bound (up)]] = 0,0,SamplingData[[#This Row],[Max Error Bound (up)]]/SamplingData[[#Totals],[Max Error Bound (up)]])</f>
        <v>7.3666406916188319E-4</v>
      </c>
      <c r="R182" s="101">
        <f>SUM($Q$5:Q182)</f>
        <v>0.13354510008285111</v>
      </c>
      <c r="S182" s="100" t="str">
        <f t="array" ref="S182">IF(SamplingData[[#This Row],[up/U Selection Probability]] = 0, "Zero", TEXT(SamplingData[[#This Row],[Lower Range]], REPT("0",LEN('General Info'!$B$40))) &amp; " - " &amp; TEXT(SamplingData[[#This Row],[Upper Range]], REPT("0",LEN('General Info'!$B$40))))</f>
        <v>13281 - 13354</v>
      </c>
      <c r="T182" s="100">
        <f>SamplingData[[#This Row],[Upper Range]]-SamplingData[[#This Row],[Span]]</f>
        <v>13280.844338032992</v>
      </c>
      <c r="U182" s="100">
        <f>IF(ISNUMBER('General Info'!$B$40), ((SamplingData[[#This Row],[up/U Selection Probability]]) * 'General Info'!$B$40) - 1, 0)</f>
        <v>72.665670252119156</v>
      </c>
      <c r="V182" s="100">
        <f>IF(ISNUMBER('General Info'!$B$40), (SamplingData[[#This Row],[Running (cumulative) sum]] * ('General Info'!$B$40 -'General Info'!$B$41 + 1)) + 'General Info'!$B$41 - 1, 0)</f>
        <v>13353.510008285111</v>
      </c>
      <c r="W182" s="100" t="str">
        <f>IF(ISERROR(MATCH(SamplingData[[#This Row],[Batch by Type (p)]],SelectedPrecincts[Batch Name], 0)), "", INDEX(SelectedPrecincts[Draw], MATCH(SamplingData[[#This Row],[Batch by Type (p)]],SelectedPrecincts[Batch Name], 0)))</f>
        <v/>
      </c>
      <c r="X182" s="102">
        <f>IF(COUNTIF(SelectedPrecincts[Batch Name],SamplingData[[#This Row],[Batch by Type (p)]]) &lt;&gt; 0, COUNTIF(SelectedPrecincts[Batch Name],SamplingData[[#This Row],[Batch by Type (p)]]), 0)</f>
        <v>0</v>
      </c>
    </row>
    <row r="183" spans="1:24" ht="15" customHeight="1">
      <c r="A183" s="18" t="s">
        <v>359</v>
      </c>
      <c r="B183" s="18">
        <v>46</v>
      </c>
      <c r="C183" s="18">
        <v>63</v>
      </c>
      <c r="D183" s="16">
        <v>21</v>
      </c>
      <c r="E183" s="16">
        <v>6</v>
      </c>
      <c r="F183" s="37">
        <v>1</v>
      </c>
      <c r="G183" s="37">
        <v>0</v>
      </c>
      <c r="H183" s="17">
        <v>0</v>
      </c>
      <c r="I183" s="17">
        <v>0</v>
      </c>
      <c r="J183" s="99">
        <f>SUM(SamplingData[[#This Row],[Losing Candidate]:[Under Votes]])</f>
        <v>137</v>
      </c>
      <c r="K183" s="100">
        <f>IF(AND(SamplingData[[#This Row],[Total]]&lt;&gt; 0, NOT(ISBLANK(SamplingData[[#This Row],[Losing Candidate]]))),(SamplingData[[#This Row],[Total]]+SamplingData[[#This Row],[Winning Candidate]]-SamplingData[[#This Row],[Losing Candidate]])/(SamplingData[[#Totals],[Winning Candidate]]-SamplingData[[#Totals],[Losing Candidate]]), 0)</f>
        <v>9.4316511513963738E-3</v>
      </c>
      <c r="L183" s="100">
        <f>IF(AND(SamplingData[[#This Row],[Total]]&lt;&gt; 0, NOT(ISBLANK(SamplingData[[#This Row],[Candidate 3]]))),(SamplingData[[#This Row],[Total]]+SamplingData[[#This Row],[Winning Candidate]]-SamplingData[[#This Row],[Candidate 3]])/(SamplingData[[#Totals],[Winning Candidate]]-SamplingData[[#Totals],[Candidate 3]]), 0)</f>
        <v>5.774752395393103E-3</v>
      </c>
      <c r="M183" s="100">
        <f>IF(AND(SamplingData[[#This Row],[Total]]&lt;&gt; 0, NOT(ISBLANK(SamplingData[[#This Row],[Candidate 4]]))),(SamplingData[[#This Row],[Total]]+SamplingData[[#This Row],[Winning Candidate]]-SamplingData[[#This Row],[Candidate 4]])/(SamplingData[[#Totals],[Winning Candidate]]-SamplingData[[#Totals],[Candidate 4]]), 0)</f>
        <v>5.6710222456078808E-3</v>
      </c>
      <c r="N183" s="100">
        <f>IF(AND(SamplingData[[#This Row],[Total]]&lt;&gt; 0, NOT(ISBLANK(SamplingData[[#This Row],[Candidate 5]]))),(SamplingData[[#This Row],[Total]]+SamplingData[[#This Row],[Winning Candidate]]-SamplingData[[#This Row],[Candidate 5]])/(SamplingData[[#Totals],[Winning Candidate]]-SamplingData[[#Totals],[Candidate 5]]), 0)</f>
        <v>4.8406713694964729E-3</v>
      </c>
      <c r="O183" s="100">
        <f>IF(AND(SamplingData[[#This Row],[Total]]&lt;&gt; 0, NOT(ISBLANK(SamplingData[[#This Row],[Candidate 6]]))),(SamplingData[[#This Row],[Total]]+SamplingData[[#This Row],[Winning Candidate]]-SamplingData[[#This Row],[Candidate 6]])/(SamplingData[[#Totals],[Winning Candidate]]-SamplingData[[#Totals],[Candidate 6]]), 0)</f>
        <v>4.8635766742862697E-3</v>
      </c>
      <c r="P183" s="100">
        <f>MAX(SamplingData[[#This Row],[Error Bound (up) - Max. possible relative overstatement - Losing Candidate]:[Error Bound (up) - Max. possible relative overstatement - Candidate 6]])</f>
        <v>9.4316511513963738E-3</v>
      </c>
      <c r="Q183" s="100">
        <f>IF(SamplingData[[#This Row],[Max Error Bound (up)]] = 0,0,SamplingData[[#This Row],[Max Error Bound (up)]]/SamplingData[[#Totals],[Max Error Bound (up)]])</f>
        <v>1.4927140348806581E-3</v>
      </c>
      <c r="R183" s="101">
        <f>SUM($Q$5:Q183)</f>
        <v>0.13503781411773177</v>
      </c>
      <c r="S183" s="100" t="str">
        <f t="array" ref="S183">IF(SamplingData[[#This Row],[up/U Selection Probability]] = 0, "Zero", TEXT(SamplingData[[#This Row],[Lower Range]], REPT("0",LEN('General Info'!$B$40))) &amp; " - " &amp; TEXT(SamplingData[[#This Row],[Upper Range]], REPT("0",LEN('General Info'!$B$40))))</f>
        <v>13355 - 13503</v>
      </c>
      <c r="T183" s="100">
        <f>SamplingData[[#This Row],[Upper Range]]-SamplingData[[#This Row],[Span]]</f>
        <v>13354.511500999146</v>
      </c>
      <c r="U183" s="100">
        <f>IF(ISNUMBER('General Info'!$B$40), ((SamplingData[[#This Row],[up/U Selection Probability]]) * 'General Info'!$B$40) - 1, 0)</f>
        <v>148.26991077403093</v>
      </c>
      <c r="V183" s="100">
        <f>IF(ISNUMBER('General Info'!$B$40), (SamplingData[[#This Row],[Running (cumulative) sum]] * ('General Info'!$B$40 -'General Info'!$B$41 + 1)) + 'General Info'!$B$41 - 1, 0)</f>
        <v>13502.781411773178</v>
      </c>
      <c r="W183" s="100" t="str">
        <f>IF(ISERROR(MATCH(SamplingData[[#This Row],[Batch by Type (p)]],SelectedPrecincts[Batch Name], 0)), "", INDEX(SelectedPrecincts[Draw], MATCH(SamplingData[[#This Row],[Batch by Type (p)]],SelectedPrecincts[Batch Name], 0)))</f>
        <v/>
      </c>
      <c r="X183" s="102">
        <f>IF(COUNTIF(SelectedPrecincts[Batch Name],SamplingData[[#This Row],[Batch by Type (p)]]) &lt;&gt; 0, COUNTIF(SelectedPrecincts[Batch Name],SamplingData[[#This Row],[Batch by Type (p)]]), 0)</f>
        <v>0</v>
      </c>
    </row>
    <row r="184" spans="1:24" ht="15" customHeight="1">
      <c r="A184" s="18" t="s">
        <v>360</v>
      </c>
      <c r="B184" s="18">
        <v>22</v>
      </c>
      <c r="C184" s="18">
        <v>39</v>
      </c>
      <c r="D184" s="18">
        <v>20</v>
      </c>
      <c r="E184" s="18">
        <v>2</v>
      </c>
      <c r="F184" s="18">
        <v>0</v>
      </c>
      <c r="G184" s="18">
        <v>0</v>
      </c>
      <c r="H184" s="18">
        <v>0</v>
      </c>
      <c r="I184" s="18">
        <v>0</v>
      </c>
      <c r="J184" s="99">
        <f>SUM(SamplingData[[#This Row],[Losing Candidate]:[Under Votes]])</f>
        <v>83</v>
      </c>
      <c r="K184" s="100">
        <f>IF(AND(SamplingData[[#This Row],[Total]]&lt;&gt; 0, NOT(ISBLANK(SamplingData[[#This Row],[Losing Candidate]]))),(SamplingData[[#This Row],[Total]]+SamplingData[[#This Row],[Winning Candidate]]-SamplingData[[#This Row],[Losing Candidate]])/(SamplingData[[#Totals],[Winning Candidate]]-SamplingData[[#Totals],[Losing Candidate]]), 0)</f>
        <v>6.1244487996080354E-3</v>
      </c>
      <c r="L184" s="100">
        <f>IF(AND(SamplingData[[#This Row],[Total]]&lt;&gt; 0, NOT(ISBLANK(SamplingData[[#This Row],[Candidate 3]]))),(SamplingData[[#This Row],[Total]]+SamplingData[[#This Row],[Winning Candidate]]-SamplingData[[#This Row],[Candidate 3]])/(SamplingData[[#Totals],[Winning Candidate]]-SamplingData[[#Totals],[Candidate 3]]), 0)</f>
        <v>3.2906410297770753E-3</v>
      </c>
      <c r="M184" s="100">
        <f>IF(AND(SamplingData[[#This Row],[Total]]&lt;&gt; 0, NOT(ISBLANK(SamplingData[[#This Row],[Candidate 4]]))),(SamplingData[[#This Row],[Total]]+SamplingData[[#This Row],[Winning Candidate]]-SamplingData[[#This Row],[Candidate 4]])/(SamplingData[[#Totals],[Winning Candidate]]-SamplingData[[#Totals],[Candidate 4]]), 0)</f>
        <v>3.5078488117162151E-3</v>
      </c>
      <c r="N184" s="100">
        <f>IF(AND(SamplingData[[#This Row],[Total]]&lt;&gt; 0, NOT(ISBLANK(SamplingData[[#This Row],[Candidate 5]]))),(SamplingData[[#This Row],[Total]]+SamplingData[[#This Row],[Winning Candidate]]-SamplingData[[#This Row],[Candidate 5]])/(SamplingData[[#Totals],[Winning Candidate]]-SamplingData[[#Totals],[Candidate 5]]), 0)</f>
        <v>2.9676477742641692E-3</v>
      </c>
      <c r="O184" s="100">
        <f>IF(AND(SamplingData[[#This Row],[Total]]&lt;&gt; 0, NOT(ISBLANK(SamplingData[[#This Row],[Candidate 6]]))),(SamplingData[[#This Row],[Total]]+SamplingData[[#This Row],[Winning Candidate]]-SamplingData[[#This Row],[Candidate 6]])/(SamplingData[[#Totals],[Winning Candidate]]-SamplingData[[#Totals],[Candidate 6]]), 0)</f>
        <v>2.9667817713146249E-3</v>
      </c>
      <c r="P184" s="100">
        <f>MAX(SamplingData[[#This Row],[Error Bound (up) - Max. possible relative overstatement - Losing Candidate]:[Error Bound (up) - Max. possible relative overstatement - Candidate 6]])</f>
        <v>6.1244487996080354E-3</v>
      </c>
      <c r="Q184" s="100">
        <f>IF(SamplingData[[#This Row],[Max Error Bound (up)]] = 0,0,SamplingData[[#This Row],[Max Error Bound (up)]]/SamplingData[[#Totals],[Max Error Bound (up)]])</f>
        <v>9.6929482784458313E-4</v>
      </c>
      <c r="R184" s="101">
        <f>SUM($Q$5:Q184)</f>
        <v>0.13600710894557635</v>
      </c>
      <c r="S184" s="100" t="str">
        <f t="array" ref="S184">IF(SamplingData[[#This Row],[up/U Selection Probability]] = 0, "Zero", TEXT(SamplingData[[#This Row],[Lower Range]], REPT("0",LEN('General Info'!$B$40))) &amp; " - " &amp; TEXT(SamplingData[[#This Row],[Upper Range]], REPT("0",LEN('General Info'!$B$40))))</f>
        <v>13504 - 13600</v>
      </c>
      <c r="T184" s="100">
        <f>SamplingData[[#This Row],[Upper Range]]-SamplingData[[#This Row],[Span]]</f>
        <v>13503.782381068004</v>
      </c>
      <c r="U184" s="100">
        <f>IF(ISNUMBER('General Info'!$B$40), ((SamplingData[[#This Row],[up/U Selection Probability]]) * 'General Info'!$B$40) - 1, 0)</f>
        <v>95.928513489630475</v>
      </c>
      <c r="V184" s="100">
        <f>IF(ISNUMBER('General Info'!$B$40), (SamplingData[[#This Row],[Running (cumulative) sum]] * ('General Info'!$B$40 -'General Info'!$B$41 + 1)) + 'General Info'!$B$41 - 1, 0)</f>
        <v>13599.710894557635</v>
      </c>
      <c r="W184" s="100" t="str">
        <f>IF(ISERROR(MATCH(SamplingData[[#This Row],[Batch by Type (p)]],SelectedPrecincts[Batch Name], 0)), "", INDEX(SelectedPrecincts[Draw], MATCH(SamplingData[[#This Row],[Batch by Type (p)]],SelectedPrecincts[Batch Name], 0)))</f>
        <v/>
      </c>
      <c r="X184" s="102">
        <f>IF(COUNTIF(SelectedPrecincts[Batch Name],SamplingData[[#This Row],[Batch by Type (p)]]) &lt;&gt; 0, COUNTIF(SelectedPrecincts[Batch Name],SamplingData[[#This Row],[Batch by Type (p)]]), 0)</f>
        <v>0</v>
      </c>
    </row>
    <row r="185" spans="1:24" ht="15" customHeight="1">
      <c r="A185" s="18" t="s">
        <v>361</v>
      </c>
      <c r="B185" s="18">
        <v>17</v>
      </c>
      <c r="C185" s="18">
        <v>41</v>
      </c>
      <c r="D185" s="16">
        <v>6</v>
      </c>
      <c r="E185" s="16">
        <v>7</v>
      </c>
      <c r="F185" s="37">
        <v>0</v>
      </c>
      <c r="G185" s="37">
        <v>1</v>
      </c>
      <c r="H185" s="17">
        <v>0</v>
      </c>
      <c r="I185" s="17">
        <v>0</v>
      </c>
      <c r="J185" s="99">
        <f>SUM(SamplingData[[#This Row],[Losing Candidate]:[Under Votes]])</f>
        <v>72</v>
      </c>
      <c r="K185" s="100">
        <f>IF(AND(SamplingData[[#This Row],[Total]]&lt;&gt; 0, NOT(ISBLANK(SamplingData[[#This Row],[Losing Candidate]]))),(SamplingData[[#This Row],[Total]]+SamplingData[[#This Row],[Winning Candidate]]-SamplingData[[#This Row],[Losing Candidate]])/(SamplingData[[#Totals],[Winning Candidate]]-SamplingData[[#Totals],[Losing Candidate]]), 0)</f>
        <v>5.8794708476237138E-3</v>
      </c>
      <c r="L185" s="100">
        <f>IF(AND(SamplingData[[#This Row],[Total]]&lt;&gt; 0, NOT(ISBLANK(SamplingData[[#This Row],[Candidate 3]]))),(SamplingData[[#This Row],[Total]]+SamplingData[[#This Row],[Winning Candidate]]-SamplingData[[#This Row],[Candidate 3]])/(SamplingData[[#Totals],[Winning Candidate]]-SamplingData[[#Totals],[Candidate 3]]), 0)</f>
        <v>3.4519469626092848E-3</v>
      </c>
      <c r="M185" s="100">
        <f>IF(AND(SamplingData[[#This Row],[Total]]&lt;&gt; 0, NOT(ISBLANK(SamplingData[[#This Row],[Candidate 4]]))),(SamplingData[[#This Row],[Total]]+SamplingData[[#This Row],[Winning Candidate]]-SamplingData[[#This Row],[Candidate 4]])/(SamplingData[[#Totals],[Winning Candidate]]-SamplingData[[#Totals],[Candidate 4]]), 0)</f>
        <v>3.0985997836826566E-3</v>
      </c>
      <c r="N185" s="100">
        <f>IF(AND(SamplingData[[#This Row],[Total]]&lt;&gt; 0, NOT(ISBLANK(SamplingData[[#This Row],[Candidate 5]]))),(SamplingData[[#This Row],[Total]]+SamplingData[[#This Row],[Winning Candidate]]-SamplingData[[#This Row],[Candidate 5]])/(SamplingData[[#Totals],[Winning Candidate]]-SamplingData[[#Totals],[Candidate 5]]), 0)</f>
        <v>2.7487229384577962E-3</v>
      </c>
      <c r="O185" s="100">
        <f>IF(AND(SamplingData[[#This Row],[Total]]&lt;&gt; 0, NOT(ISBLANK(SamplingData[[#This Row],[Candidate 6]]))),(SamplingData[[#This Row],[Total]]+SamplingData[[#This Row],[Winning Candidate]]-SamplingData[[#This Row],[Candidate 6]])/(SamplingData[[#Totals],[Winning Candidate]]-SamplingData[[#Totals],[Candidate 6]]), 0)</f>
        <v>2.7236029376003111E-3</v>
      </c>
      <c r="P185" s="100">
        <f>MAX(SamplingData[[#This Row],[Error Bound (up) - Max. possible relative overstatement - Losing Candidate]:[Error Bound (up) - Max. possible relative overstatement - Candidate 6]])</f>
        <v>5.8794708476237138E-3</v>
      </c>
      <c r="Q185" s="100">
        <f>IF(SamplingData[[#This Row],[Max Error Bound (up)]] = 0,0,SamplingData[[#This Row],[Max Error Bound (up)]]/SamplingData[[#Totals],[Max Error Bound (up)]])</f>
        <v>9.3052303473079977E-4</v>
      </c>
      <c r="R185" s="101">
        <f>SUM($Q$5:Q185)</f>
        <v>0.13693763198030715</v>
      </c>
      <c r="S185" s="100" t="str">
        <f t="array" ref="S185">IF(SamplingData[[#This Row],[up/U Selection Probability]] = 0, "Zero", TEXT(SamplingData[[#This Row],[Lower Range]], REPT("0",LEN('General Info'!$B$40))) &amp; " - " &amp; TEXT(SamplingData[[#This Row],[Upper Range]], REPT("0",LEN('General Info'!$B$40))))</f>
        <v>13601 - 13693</v>
      </c>
      <c r="T185" s="100">
        <f>SamplingData[[#This Row],[Upper Range]]-SamplingData[[#This Row],[Span]]</f>
        <v>13600.711825080669</v>
      </c>
      <c r="U185" s="100">
        <f>IF(ISNUMBER('General Info'!$B$40), ((SamplingData[[#This Row],[up/U Selection Probability]]) * 'General Info'!$B$40) - 1, 0)</f>
        <v>92.051372950045248</v>
      </c>
      <c r="V185" s="100">
        <f>IF(ISNUMBER('General Info'!$B$40), (SamplingData[[#This Row],[Running (cumulative) sum]] * ('General Info'!$B$40 -'General Info'!$B$41 + 1)) + 'General Info'!$B$41 - 1, 0)</f>
        <v>13692.763198030714</v>
      </c>
      <c r="W185" s="100" t="str">
        <f>IF(ISERROR(MATCH(SamplingData[[#This Row],[Batch by Type (p)]],SelectedPrecincts[Batch Name], 0)), "", INDEX(SelectedPrecincts[Draw], MATCH(SamplingData[[#This Row],[Batch by Type (p)]],SelectedPrecincts[Batch Name], 0)))</f>
        <v/>
      </c>
      <c r="X185" s="102">
        <f>IF(COUNTIF(SelectedPrecincts[Batch Name],SamplingData[[#This Row],[Batch by Type (p)]]) &lt;&gt; 0, COUNTIF(SelectedPrecincts[Batch Name],SamplingData[[#This Row],[Batch by Type (p)]]), 0)</f>
        <v>0</v>
      </c>
    </row>
    <row r="186" spans="1:24" ht="15" customHeight="1">
      <c r="A186" s="18" t="s">
        <v>362</v>
      </c>
      <c r="B186" s="18">
        <v>8</v>
      </c>
      <c r="C186" s="18">
        <v>10</v>
      </c>
      <c r="D186" s="18">
        <v>3</v>
      </c>
      <c r="E186" s="18">
        <v>0</v>
      </c>
      <c r="F186" s="18">
        <v>0</v>
      </c>
      <c r="G186" s="18">
        <v>0</v>
      </c>
      <c r="H186" s="18">
        <v>0</v>
      </c>
      <c r="I186" s="18">
        <v>0</v>
      </c>
      <c r="J186" s="99">
        <f>SUM(SamplingData[[#This Row],[Losing Candidate]:[Under Votes]])</f>
        <v>21</v>
      </c>
      <c r="K186"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86" s="100">
        <f>IF(AND(SamplingData[[#This Row],[Total]]&lt;&gt; 0, NOT(ISBLANK(SamplingData[[#This Row],[Candidate 3]]))),(SamplingData[[#This Row],[Total]]+SamplingData[[#This Row],[Winning Candidate]]-SamplingData[[#This Row],[Candidate 3]])/(SamplingData[[#Totals],[Winning Candidate]]-SamplingData[[#Totals],[Candidate 3]]), 0)</f>
        <v>9.0331322386037359E-4</v>
      </c>
      <c r="M186" s="100">
        <f>IF(AND(SamplingData[[#This Row],[Total]]&lt;&gt; 0, NOT(ISBLANK(SamplingData[[#This Row],[Candidate 4]]))),(SamplingData[[#This Row],[Total]]+SamplingData[[#This Row],[Winning Candidate]]-SamplingData[[#This Row],[Candidate 4]])/(SamplingData[[#Totals],[Winning Candidate]]-SamplingData[[#Totals],[Candidate 4]]), 0)</f>
        <v>9.0619427636002225E-4</v>
      </c>
      <c r="N186" s="100">
        <f>IF(AND(SamplingData[[#This Row],[Total]]&lt;&gt; 0, NOT(ISBLANK(SamplingData[[#This Row],[Candidate 5]]))),(SamplingData[[#This Row],[Total]]+SamplingData[[#This Row],[Winning Candidate]]-SamplingData[[#This Row],[Candidate 5]])/(SamplingData[[#Totals],[Winning Candidate]]-SamplingData[[#Totals],[Candidate 5]]), 0)</f>
        <v>7.5407443444417419E-4</v>
      </c>
      <c r="O186" s="100">
        <f>IF(AND(SamplingData[[#This Row],[Total]]&lt;&gt; 0, NOT(ISBLANK(SamplingData[[#This Row],[Candidate 6]]))),(SamplingData[[#This Row],[Total]]+SamplingData[[#This Row],[Winning Candidate]]-SamplingData[[#This Row],[Candidate 6]])/(SamplingData[[#Totals],[Winning Candidate]]-SamplingData[[#Totals],[Candidate 6]]), 0)</f>
        <v>7.5385438451437182E-4</v>
      </c>
      <c r="P186" s="100">
        <f>MAX(SamplingData[[#This Row],[Error Bound (up) - Max. possible relative overstatement - Losing Candidate]:[Error Bound (up) - Max. possible relative overstatement - Candidate 6]])</f>
        <v>1.408623223909848E-3</v>
      </c>
      <c r="Q186" s="100">
        <f>IF(SamplingData[[#This Row],[Max Error Bound (up)]] = 0,0,SamplingData[[#This Row],[Max Error Bound (up)]]/SamplingData[[#Totals],[Max Error Bound (up)]])</f>
        <v>2.229378104042541E-4</v>
      </c>
      <c r="R186" s="101">
        <f>SUM($Q$5:Q186)</f>
        <v>0.1371605697907114</v>
      </c>
      <c r="S186" s="100" t="str">
        <f t="array" ref="S186">IF(SamplingData[[#This Row],[up/U Selection Probability]] = 0, "Zero", TEXT(SamplingData[[#This Row],[Lower Range]], REPT("0",LEN('General Info'!$B$40))) &amp; " - " &amp; TEXT(SamplingData[[#This Row],[Upper Range]], REPT("0",LEN('General Info'!$B$40))))</f>
        <v>13694 - 13715</v>
      </c>
      <c r="T186" s="100">
        <f>SamplingData[[#This Row],[Upper Range]]-SamplingData[[#This Row],[Span]]</f>
        <v>13693.763420968524</v>
      </c>
      <c r="U186" s="100">
        <f>IF(ISNUMBER('General Info'!$B$40), ((SamplingData[[#This Row],[up/U Selection Probability]]) * 'General Info'!$B$40) - 1, 0)</f>
        <v>21.293558102615005</v>
      </c>
      <c r="V186" s="100">
        <f>IF(ISNUMBER('General Info'!$B$40), (SamplingData[[#This Row],[Running (cumulative) sum]] * ('General Info'!$B$40 -'General Info'!$B$41 + 1)) + 'General Info'!$B$41 - 1, 0)</f>
        <v>13715.05697907114</v>
      </c>
      <c r="W186" s="100" t="str">
        <f>IF(ISERROR(MATCH(SamplingData[[#This Row],[Batch by Type (p)]],SelectedPrecincts[Batch Name], 0)), "", INDEX(SelectedPrecincts[Draw], MATCH(SamplingData[[#This Row],[Batch by Type (p)]],SelectedPrecincts[Batch Name], 0)))</f>
        <v/>
      </c>
      <c r="X186" s="102">
        <f>IF(COUNTIF(SelectedPrecincts[Batch Name],SamplingData[[#This Row],[Batch by Type (p)]]) &lt;&gt; 0, COUNTIF(SelectedPrecincts[Batch Name],SamplingData[[#This Row],[Batch by Type (p)]]), 0)</f>
        <v>0</v>
      </c>
    </row>
    <row r="187" spans="1:24" ht="15" customHeight="1">
      <c r="A187" s="18" t="s">
        <v>363</v>
      </c>
      <c r="B187" s="18">
        <v>25</v>
      </c>
      <c r="C187" s="18">
        <v>31</v>
      </c>
      <c r="D187" s="16">
        <v>19</v>
      </c>
      <c r="E187" s="16">
        <v>9</v>
      </c>
      <c r="F187" s="37">
        <v>0</v>
      </c>
      <c r="G187" s="37">
        <v>0</v>
      </c>
      <c r="H187" s="17">
        <v>0</v>
      </c>
      <c r="I187" s="17">
        <v>2</v>
      </c>
      <c r="J187" s="99">
        <f>SUM(SamplingData[[#This Row],[Losing Candidate]:[Under Votes]])</f>
        <v>86</v>
      </c>
      <c r="K187" s="100">
        <f>IF(AND(SamplingData[[#This Row],[Total]]&lt;&gt; 0, NOT(ISBLANK(SamplingData[[#This Row],[Losing Candidate]]))),(SamplingData[[#This Row],[Total]]+SamplingData[[#This Row],[Winning Candidate]]-SamplingData[[#This Row],[Losing Candidate]])/(SamplingData[[#Totals],[Winning Candidate]]-SamplingData[[#Totals],[Losing Candidate]]), 0)</f>
        <v>5.6344928956393921E-3</v>
      </c>
      <c r="L187" s="100">
        <f>IF(AND(SamplingData[[#This Row],[Total]]&lt;&gt; 0, NOT(ISBLANK(SamplingData[[#This Row],[Candidate 3]]))),(SamplingData[[#This Row],[Total]]+SamplingData[[#This Row],[Winning Candidate]]-SamplingData[[#This Row],[Candidate 3]])/(SamplingData[[#Totals],[Winning Candidate]]-SamplingData[[#Totals],[Candidate 3]]), 0)</f>
        <v>3.1615962835113073E-3</v>
      </c>
      <c r="M187" s="100">
        <f>IF(AND(SamplingData[[#This Row],[Total]]&lt;&gt; 0, NOT(ISBLANK(SamplingData[[#This Row],[Candidate 4]]))),(SamplingData[[#This Row],[Total]]+SamplingData[[#This Row],[Winning Candidate]]-SamplingData[[#This Row],[Candidate 4]])/(SamplingData[[#Totals],[Winning Candidate]]-SamplingData[[#Totals],[Candidate 4]]), 0)</f>
        <v>3.1570639305445935E-3</v>
      </c>
      <c r="N187" s="100">
        <f>IF(AND(SamplingData[[#This Row],[Total]]&lt;&gt; 0, NOT(ISBLANK(SamplingData[[#This Row],[Candidate 5]]))),(SamplingData[[#This Row],[Total]]+SamplingData[[#This Row],[Winning Candidate]]-SamplingData[[#This Row],[Candidate 5]])/(SamplingData[[#Totals],[Winning Candidate]]-SamplingData[[#Totals],[Candidate 5]]), 0)</f>
        <v>2.8460228654828509E-3</v>
      </c>
      <c r="O187" s="100">
        <f>IF(AND(SamplingData[[#This Row],[Total]]&lt;&gt; 0, NOT(ISBLANK(SamplingData[[#This Row],[Candidate 6]]))),(SamplingData[[#This Row],[Total]]+SamplingData[[#This Row],[Winning Candidate]]-SamplingData[[#This Row],[Candidate 6]])/(SamplingData[[#Totals],[Winning Candidate]]-SamplingData[[#Totals],[Candidate 6]]), 0)</f>
        <v>2.845192354457468E-3</v>
      </c>
      <c r="P187" s="100">
        <f>MAX(SamplingData[[#This Row],[Error Bound (up) - Max. possible relative overstatement - Losing Candidate]:[Error Bound (up) - Max. possible relative overstatement - Candidate 6]])</f>
        <v>5.6344928956393921E-3</v>
      </c>
      <c r="Q187" s="100">
        <f>IF(SamplingData[[#This Row],[Max Error Bound (up)]] = 0,0,SamplingData[[#This Row],[Max Error Bound (up)]]/SamplingData[[#Totals],[Max Error Bound (up)]])</f>
        <v>8.9175124161701641E-4</v>
      </c>
      <c r="R187" s="101">
        <f>SUM($Q$5:Q187)</f>
        <v>0.13805232103232842</v>
      </c>
      <c r="S187" s="100" t="str">
        <f t="array" ref="S187">IF(SamplingData[[#This Row],[up/U Selection Probability]] = 0, "Zero", TEXT(SamplingData[[#This Row],[Lower Range]], REPT("0",LEN('General Info'!$B$40))) &amp; " - " &amp; TEXT(SamplingData[[#This Row],[Upper Range]], REPT("0",LEN('General Info'!$B$40))))</f>
        <v>13716 - 13804</v>
      </c>
      <c r="T187" s="100">
        <f>SamplingData[[#This Row],[Upper Range]]-SamplingData[[#This Row],[Span]]</f>
        <v>13716.057870822382</v>
      </c>
      <c r="U187" s="100">
        <f>IF(ISNUMBER('General Info'!$B$40), ((SamplingData[[#This Row],[up/U Selection Probability]]) * 'General Info'!$B$40) - 1, 0)</f>
        <v>88.174232410460021</v>
      </c>
      <c r="V187" s="100">
        <f>IF(ISNUMBER('General Info'!$B$40), (SamplingData[[#This Row],[Running (cumulative) sum]] * ('General Info'!$B$40 -'General Info'!$B$41 + 1)) + 'General Info'!$B$41 - 1, 0)</f>
        <v>13804.232103232842</v>
      </c>
      <c r="W187" s="100" t="str">
        <f>IF(ISERROR(MATCH(SamplingData[[#This Row],[Batch by Type (p)]],SelectedPrecincts[Batch Name], 0)), "", INDEX(SelectedPrecincts[Draw], MATCH(SamplingData[[#This Row],[Batch by Type (p)]],SelectedPrecincts[Batch Name], 0)))</f>
        <v/>
      </c>
      <c r="X187" s="102">
        <f>IF(COUNTIF(SelectedPrecincts[Batch Name],SamplingData[[#This Row],[Batch by Type (p)]]) &lt;&gt; 0, COUNTIF(SelectedPrecincts[Batch Name],SamplingData[[#This Row],[Batch by Type (p)]]), 0)</f>
        <v>0</v>
      </c>
    </row>
    <row r="188" spans="1:24" ht="15" customHeight="1">
      <c r="A188" s="18" t="s">
        <v>364</v>
      </c>
      <c r="B188" s="18">
        <v>8</v>
      </c>
      <c r="C188" s="18">
        <v>4</v>
      </c>
      <c r="D188" s="18">
        <v>2</v>
      </c>
      <c r="E188" s="18">
        <v>1</v>
      </c>
      <c r="F188" s="18">
        <v>0</v>
      </c>
      <c r="G188" s="18">
        <v>0</v>
      </c>
      <c r="H188" s="18">
        <v>0</v>
      </c>
      <c r="I188" s="18">
        <v>0</v>
      </c>
      <c r="J188" s="99">
        <f>SUM(SamplingData[[#This Row],[Losing Candidate]:[Under Votes]])</f>
        <v>15</v>
      </c>
      <c r="K188"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88" s="100">
        <f>IF(AND(SamplingData[[#This Row],[Total]]&lt;&gt; 0, NOT(ISBLANK(SamplingData[[#This Row],[Candidate 3]]))),(SamplingData[[#This Row],[Total]]+SamplingData[[#This Row],[Winning Candidate]]-SamplingData[[#This Row],[Candidate 3]])/(SamplingData[[#Totals],[Winning Candidate]]-SamplingData[[#Totals],[Candidate 3]]), 0)</f>
        <v>5.4844017162951255E-4</v>
      </c>
      <c r="M188" s="100">
        <f>IF(AND(SamplingData[[#This Row],[Total]]&lt;&gt; 0, NOT(ISBLANK(SamplingData[[#This Row],[Candidate 4]]))),(SamplingData[[#This Row],[Total]]+SamplingData[[#This Row],[Winning Candidate]]-SamplingData[[#This Row],[Candidate 4]])/(SamplingData[[#Totals],[Winning Candidate]]-SamplingData[[#Totals],[Candidate 4]]), 0)</f>
        <v>5.2617732175743229E-4</v>
      </c>
      <c r="N188" s="100">
        <f>IF(AND(SamplingData[[#This Row],[Total]]&lt;&gt; 0, NOT(ISBLANK(SamplingData[[#This Row],[Candidate 5]]))),(SamplingData[[#This Row],[Total]]+SamplingData[[#This Row],[Winning Candidate]]-SamplingData[[#This Row],[Candidate 5]])/(SamplingData[[#Totals],[Winning Candidate]]-SamplingData[[#Totals],[Candidate 5]]), 0)</f>
        <v>4.6217465336900997E-4</v>
      </c>
      <c r="O188" s="100">
        <f>IF(AND(SamplingData[[#This Row],[Total]]&lt;&gt; 0, NOT(ISBLANK(SamplingData[[#This Row],[Candidate 6]]))),(SamplingData[[#This Row],[Total]]+SamplingData[[#This Row],[Winning Candidate]]-SamplingData[[#This Row],[Candidate 6]])/(SamplingData[[#Totals],[Winning Candidate]]-SamplingData[[#Totals],[Candidate 6]]), 0)</f>
        <v>4.6203978405719566E-4</v>
      </c>
      <c r="P188" s="100">
        <f>MAX(SamplingData[[#This Row],[Error Bound (up) - Max. possible relative overstatement - Losing Candidate]:[Error Bound (up) - Max. possible relative overstatement - Candidate 6]])</f>
        <v>6.7368936795688392E-4</v>
      </c>
      <c r="Q188" s="100">
        <f>IF(SamplingData[[#This Row],[Max Error Bound (up)]] = 0,0,SamplingData[[#This Row],[Max Error Bound (up)]]/SamplingData[[#Totals],[Max Error Bound (up)]])</f>
        <v>1.0662243106290416E-4</v>
      </c>
      <c r="R188" s="101">
        <f>SUM($Q$5:Q188)</f>
        <v>0.13815894346339133</v>
      </c>
      <c r="S188" s="100" t="str">
        <f t="array" ref="S188">IF(SamplingData[[#This Row],[up/U Selection Probability]] = 0, "Zero", TEXT(SamplingData[[#This Row],[Lower Range]], REPT("0",LEN('General Info'!$B$40))) &amp; " - " &amp; TEXT(SamplingData[[#This Row],[Upper Range]], REPT("0",LEN('General Info'!$B$40))))</f>
        <v>13805 - 13815</v>
      </c>
      <c r="T188" s="100">
        <f>SamplingData[[#This Row],[Upper Range]]-SamplingData[[#This Row],[Span]]</f>
        <v>13805.232209855274</v>
      </c>
      <c r="U188" s="100">
        <f>IF(ISNUMBER('General Info'!$B$40), ((SamplingData[[#This Row],[up/U Selection Probability]]) * 'General Info'!$B$40) - 1, 0)</f>
        <v>9.6621364838593529</v>
      </c>
      <c r="V188" s="100">
        <f>IF(ISNUMBER('General Info'!$B$40), (SamplingData[[#This Row],[Running (cumulative) sum]] * ('General Info'!$B$40 -'General Info'!$B$41 + 1)) + 'General Info'!$B$41 - 1, 0)</f>
        <v>13814.894346339133</v>
      </c>
      <c r="W188" s="100" t="str">
        <f>IF(ISERROR(MATCH(SamplingData[[#This Row],[Batch by Type (p)]],SelectedPrecincts[Batch Name], 0)), "", INDEX(SelectedPrecincts[Draw], MATCH(SamplingData[[#This Row],[Batch by Type (p)]],SelectedPrecincts[Batch Name], 0)))</f>
        <v/>
      </c>
      <c r="X188" s="102">
        <f>IF(COUNTIF(SelectedPrecincts[Batch Name],SamplingData[[#This Row],[Batch by Type (p)]]) &lt;&gt; 0, COUNTIF(SelectedPrecincts[Batch Name],SamplingData[[#This Row],[Batch by Type (p)]]), 0)</f>
        <v>0</v>
      </c>
    </row>
    <row r="189" spans="1:24" ht="15" customHeight="1">
      <c r="A189" s="18" t="s">
        <v>365</v>
      </c>
      <c r="B189" s="18">
        <v>36</v>
      </c>
      <c r="C189" s="18">
        <v>31</v>
      </c>
      <c r="D189" s="16">
        <v>15</v>
      </c>
      <c r="E189" s="16">
        <v>7</v>
      </c>
      <c r="F189" s="37">
        <v>0</v>
      </c>
      <c r="G189" s="37">
        <v>0</v>
      </c>
      <c r="H189" s="17">
        <v>0</v>
      </c>
      <c r="I189" s="17">
        <v>2</v>
      </c>
      <c r="J189" s="99">
        <f>SUM(SamplingData[[#This Row],[Losing Candidate]:[Under Votes]])</f>
        <v>91</v>
      </c>
      <c r="K189"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189" s="100">
        <f>IF(AND(SamplingData[[#This Row],[Total]]&lt;&gt; 0, NOT(ISBLANK(SamplingData[[#This Row],[Candidate 3]]))),(SamplingData[[#This Row],[Total]]+SamplingData[[#This Row],[Winning Candidate]]-SamplingData[[#This Row],[Candidate 3]])/(SamplingData[[#Totals],[Winning Candidate]]-SamplingData[[#Totals],[Candidate 3]]), 0)</f>
        <v>3.4519469626092848E-3</v>
      </c>
      <c r="M189" s="100">
        <f>IF(AND(SamplingData[[#This Row],[Total]]&lt;&gt; 0, NOT(ISBLANK(SamplingData[[#This Row],[Candidate 4]]))),(SamplingData[[#This Row],[Total]]+SamplingData[[#This Row],[Winning Candidate]]-SamplingData[[#This Row],[Candidate 4]])/(SamplingData[[#Totals],[Winning Candidate]]-SamplingData[[#Totals],[Candidate 4]]), 0)</f>
        <v>3.3616884445613728E-3</v>
      </c>
      <c r="N189" s="100">
        <f>IF(AND(SamplingData[[#This Row],[Total]]&lt;&gt; 0, NOT(ISBLANK(SamplingData[[#This Row],[Candidate 5]]))),(SamplingData[[#This Row],[Total]]+SamplingData[[#This Row],[Winning Candidate]]-SamplingData[[#This Row],[Candidate 5]])/(SamplingData[[#Totals],[Winning Candidate]]-SamplingData[[#Totals],[Candidate 5]]), 0)</f>
        <v>2.9676477742641692E-3</v>
      </c>
      <c r="O189" s="100">
        <f>IF(AND(SamplingData[[#This Row],[Total]]&lt;&gt; 0, NOT(ISBLANK(SamplingData[[#This Row],[Candidate 6]]))),(SamplingData[[#This Row],[Total]]+SamplingData[[#This Row],[Winning Candidate]]-SamplingData[[#This Row],[Candidate 6]])/(SamplingData[[#Totals],[Winning Candidate]]-SamplingData[[#Totals],[Candidate 6]]), 0)</f>
        <v>2.9667817713146249E-3</v>
      </c>
      <c r="P189" s="100">
        <f>MAX(SamplingData[[#This Row],[Error Bound (up) - Max. possible relative overstatement - Losing Candidate]:[Error Bound (up) - Max. possible relative overstatement - Candidate 6]])</f>
        <v>5.2670259676629106E-3</v>
      </c>
      <c r="Q189" s="100">
        <f>IF(SamplingData[[#This Row],[Max Error Bound (up)]] = 0,0,SamplingData[[#This Row],[Max Error Bound (up)]]/SamplingData[[#Totals],[Max Error Bound (up)]])</f>
        <v>8.3359355194634159E-4</v>
      </c>
      <c r="R189" s="101">
        <f>SUM($Q$5:Q189)</f>
        <v>0.13899253701533767</v>
      </c>
      <c r="S189" s="100" t="str">
        <f t="array" ref="S189">IF(SamplingData[[#This Row],[up/U Selection Probability]] = 0, "Zero", TEXT(SamplingData[[#This Row],[Lower Range]], REPT("0",LEN('General Info'!$B$40))) &amp; " - " &amp; TEXT(SamplingData[[#This Row],[Upper Range]], REPT("0",LEN('General Info'!$B$40))))</f>
        <v>13816 - 13898</v>
      </c>
      <c r="T189" s="100">
        <f>SamplingData[[#This Row],[Upper Range]]-SamplingData[[#This Row],[Span]]</f>
        <v>13815.895179932686</v>
      </c>
      <c r="U189" s="100">
        <f>IF(ISNUMBER('General Info'!$B$40), ((SamplingData[[#This Row],[up/U Selection Probability]]) * 'General Info'!$B$40) - 1, 0)</f>
        <v>82.358521601082217</v>
      </c>
      <c r="V189" s="100">
        <f>IF(ISNUMBER('General Info'!$B$40), (SamplingData[[#This Row],[Running (cumulative) sum]] * ('General Info'!$B$40 -'General Info'!$B$41 + 1)) + 'General Info'!$B$41 - 1, 0)</f>
        <v>13898.253701533768</v>
      </c>
      <c r="W189" s="100" t="str">
        <f>IF(ISERROR(MATCH(SamplingData[[#This Row],[Batch by Type (p)]],SelectedPrecincts[Batch Name], 0)), "", INDEX(SelectedPrecincts[Draw], MATCH(SamplingData[[#This Row],[Batch by Type (p)]],SelectedPrecincts[Batch Name], 0)))</f>
        <v/>
      </c>
      <c r="X189" s="102">
        <f>IF(COUNTIF(SelectedPrecincts[Batch Name],SamplingData[[#This Row],[Batch by Type (p)]]) &lt;&gt; 0, COUNTIF(SelectedPrecincts[Batch Name],SamplingData[[#This Row],[Batch by Type (p)]]), 0)</f>
        <v>0</v>
      </c>
    </row>
    <row r="190" spans="1:24" ht="15" customHeight="1">
      <c r="A190" s="18" t="s">
        <v>366</v>
      </c>
      <c r="B190" s="18">
        <v>5</v>
      </c>
      <c r="C190" s="18">
        <v>8</v>
      </c>
      <c r="D190" s="18">
        <v>3</v>
      </c>
      <c r="E190" s="18">
        <v>5</v>
      </c>
      <c r="F190" s="18">
        <v>1</v>
      </c>
      <c r="G190" s="18">
        <v>0</v>
      </c>
      <c r="H190" s="18">
        <v>0</v>
      </c>
      <c r="I190" s="18">
        <v>0</v>
      </c>
      <c r="J190" s="99">
        <f>SUM(SamplingData[[#This Row],[Losing Candidate]:[Under Votes]])</f>
        <v>22</v>
      </c>
      <c r="K190"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190" s="100">
        <f>IF(AND(SamplingData[[#This Row],[Total]]&lt;&gt; 0, NOT(ISBLANK(SamplingData[[#This Row],[Candidate 3]]))),(SamplingData[[#This Row],[Total]]+SamplingData[[#This Row],[Winning Candidate]]-SamplingData[[#This Row],[Candidate 3]])/(SamplingData[[#Totals],[Winning Candidate]]-SamplingData[[#Totals],[Candidate 3]]), 0)</f>
        <v>8.710520372939317E-4</v>
      </c>
      <c r="M190" s="100">
        <f>IF(AND(SamplingData[[#This Row],[Total]]&lt;&gt; 0, NOT(ISBLANK(SamplingData[[#This Row],[Candidate 4]]))),(SamplingData[[#This Row],[Total]]+SamplingData[[#This Row],[Winning Candidate]]-SamplingData[[#This Row],[Candidate 4]])/(SamplingData[[#Totals],[Winning Candidate]]-SamplingData[[#Totals],[Candidate 4]]), 0)</f>
        <v>7.3080183577421145E-4</v>
      </c>
      <c r="N190" s="100">
        <f>IF(AND(SamplingData[[#This Row],[Total]]&lt;&gt; 0, NOT(ISBLANK(SamplingData[[#This Row],[Candidate 5]]))),(SamplingData[[#This Row],[Total]]+SamplingData[[#This Row],[Winning Candidate]]-SamplingData[[#This Row],[Candidate 5]])/(SamplingData[[#Totals],[Winning Candidate]]-SamplingData[[#Totals],[Candidate 5]]), 0)</f>
        <v>7.0542447093164683E-4</v>
      </c>
      <c r="O190" s="100">
        <f>IF(AND(SamplingData[[#This Row],[Total]]&lt;&gt; 0, NOT(ISBLANK(SamplingData[[#This Row],[Candidate 6]]))),(SamplingData[[#This Row],[Total]]+SamplingData[[#This Row],[Winning Candidate]]-SamplingData[[#This Row],[Candidate 6]])/(SamplingData[[#Totals],[Winning Candidate]]-SamplingData[[#Totals],[Candidate 6]]), 0)</f>
        <v>7.2953650114294054E-4</v>
      </c>
      <c r="P190" s="100">
        <f>MAX(SamplingData[[#This Row],[Error Bound (up) - Max. possible relative overstatement - Losing Candidate]:[Error Bound (up) - Max. possible relative overstatement - Candidate 6]])</f>
        <v>1.5311121999020088E-3</v>
      </c>
      <c r="Q190" s="100">
        <f>IF(SamplingData[[#This Row],[Max Error Bound (up)]] = 0,0,SamplingData[[#This Row],[Max Error Bound (up)]]/SamplingData[[#Totals],[Max Error Bound (up)]])</f>
        <v>2.4232370696114578E-4</v>
      </c>
      <c r="R190" s="101">
        <f>SUM($Q$5:Q190)</f>
        <v>0.13923486072229882</v>
      </c>
      <c r="S190" s="100" t="str">
        <f t="array" ref="S190">IF(SamplingData[[#This Row],[up/U Selection Probability]] = 0, "Zero", TEXT(SamplingData[[#This Row],[Lower Range]], REPT("0",LEN('General Info'!$B$40))) &amp; " - " &amp; TEXT(SamplingData[[#This Row],[Upper Range]], REPT("0",LEN('General Info'!$B$40))))</f>
        <v>13899 - 13922</v>
      </c>
      <c r="T190" s="100">
        <f>SamplingData[[#This Row],[Upper Range]]-SamplingData[[#This Row],[Span]]</f>
        <v>13899.253943857475</v>
      </c>
      <c r="U190" s="100">
        <f>IF(ISNUMBER('General Info'!$B$40), ((SamplingData[[#This Row],[up/U Selection Probability]]) * 'General Info'!$B$40) - 1, 0)</f>
        <v>23.232128372407619</v>
      </c>
      <c r="V190" s="100">
        <f>IF(ISNUMBER('General Info'!$B$40), (SamplingData[[#This Row],[Running (cumulative) sum]] * ('General Info'!$B$40 -'General Info'!$B$41 + 1)) + 'General Info'!$B$41 - 1, 0)</f>
        <v>13922.486072229882</v>
      </c>
      <c r="W190" s="100" t="str">
        <f>IF(ISERROR(MATCH(SamplingData[[#This Row],[Batch by Type (p)]],SelectedPrecincts[Batch Name], 0)), "", INDEX(SelectedPrecincts[Draw], MATCH(SamplingData[[#This Row],[Batch by Type (p)]],SelectedPrecincts[Batch Name], 0)))</f>
        <v/>
      </c>
      <c r="X190" s="102">
        <f>IF(COUNTIF(SelectedPrecincts[Batch Name],SamplingData[[#This Row],[Batch by Type (p)]]) &lt;&gt; 0, COUNTIF(SelectedPrecincts[Batch Name],SamplingData[[#This Row],[Batch by Type (p)]]), 0)</f>
        <v>0</v>
      </c>
    </row>
    <row r="191" spans="1:24" ht="15" customHeight="1">
      <c r="A191" s="18" t="s">
        <v>367</v>
      </c>
      <c r="B191" s="18">
        <v>8</v>
      </c>
      <c r="C191" s="18">
        <v>20</v>
      </c>
      <c r="D191" s="16">
        <v>15</v>
      </c>
      <c r="E191" s="16">
        <v>7</v>
      </c>
      <c r="F191" s="37">
        <v>0</v>
      </c>
      <c r="G191" s="37">
        <v>0</v>
      </c>
      <c r="H191" s="17">
        <v>0</v>
      </c>
      <c r="I191" s="17">
        <v>1</v>
      </c>
      <c r="J191" s="99">
        <f>SUM(SamplingData[[#This Row],[Losing Candidate]:[Under Votes]])</f>
        <v>51</v>
      </c>
      <c r="K191" s="100">
        <f>IF(AND(SamplingData[[#This Row],[Total]]&lt;&gt; 0, NOT(ISBLANK(SamplingData[[#This Row],[Losing Candidate]]))),(SamplingData[[#This Row],[Total]]+SamplingData[[#This Row],[Winning Candidate]]-SamplingData[[#This Row],[Losing Candidate]])/(SamplingData[[#Totals],[Winning Candidate]]-SamplingData[[#Totals],[Losing Candidate]]), 0)</f>
        <v>3.8584027437530621E-3</v>
      </c>
      <c r="L191" s="100">
        <f>IF(AND(SamplingData[[#This Row],[Total]]&lt;&gt; 0, NOT(ISBLANK(SamplingData[[#This Row],[Candidate 3]]))),(SamplingData[[#This Row],[Total]]+SamplingData[[#This Row],[Winning Candidate]]-SamplingData[[#This Row],[Candidate 3]])/(SamplingData[[#Totals],[Winning Candidate]]-SamplingData[[#Totals],[Candidate 3]]), 0)</f>
        <v>1.8066264477207472E-3</v>
      </c>
      <c r="M191" s="100">
        <f>IF(AND(SamplingData[[#This Row],[Total]]&lt;&gt; 0, NOT(ISBLANK(SamplingData[[#This Row],[Candidate 4]]))),(SamplingData[[#This Row],[Total]]+SamplingData[[#This Row],[Winning Candidate]]-SamplingData[[#This Row],[Candidate 4]])/(SamplingData[[#Totals],[Winning Candidate]]-SamplingData[[#Totals],[Candidate 4]]), 0)</f>
        <v>1.8708526995819814E-3</v>
      </c>
      <c r="N191" s="100">
        <f>IF(AND(SamplingData[[#This Row],[Total]]&lt;&gt; 0, NOT(ISBLANK(SamplingData[[#This Row],[Candidate 5]]))),(SamplingData[[#This Row],[Total]]+SamplingData[[#This Row],[Winning Candidate]]-SamplingData[[#This Row],[Candidate 5]])/(SamplingData[[#Totals],[Winning Candidate]]-SamplingData[[#Totals],[Candidate 5]]), 0)</f>
        <v>1.7270737046947214E-3</v>
      </c>
      <c r="O191" s="100">
        <f>IF(AND(SamplingData[[#This Row],[Total]]&lt;&gt; 0, NOT(ISBLANK(SamplingData[[#This Row],[Candidate 6]]))),(SamplingData[[#This Row],[Total]]+SamplingData[[#This Row],[Winning Candidate]]-SamplingData[[#This Row],[Candidate 6]])/(SamplingData[[#Totals],[Winning Candidate]]-SamplingData[[#Totals],[Candidate 6]]), 0)</f>
        <v>1.7265697193716259E-3</v>
      </c>
      <c r="P191" s="100">
        <f>MAX(SamplingData[[#This Row],[Error Bound (up) - Max. possible relative overstatement - Losing Candidate]:[Error Bound (up) - Max. possible relative overstatement - Candidate 6]])</f>
        <v>3.8584027437530621E-3</v>
      </c>
      <c r="Q191" s="100">
        <f>IF(SamplingData[[#This Row],[Max Error Bound (up)]] = 0,0,SamplingData[[#This Row],[Max Error Bound (up)]]/SamplingData[[#Totals],[Max Error Bound (up)]])</f>
        <v>6.1065574154208738E-4</v>
      </c>
      <c r="R191" s="101">
        <f>SUM($Q$5:Q191)</f>
        <v>0.13984551646384091</v>
      </c>
      <c r="S191" s="100" t="str">
        <f t="array" ref="S191">IF(SamplingData[[#This Row],[up/U Selection Probability]] = 0, "Zero", TEXT(SamplingData[[#This Row],[Lower Range]], REPT("0",LEN('General Info'!$B$40))) &amp; " - " &amp; TEXT(SamplingData[[#This Row],[Upper Range]], REPT("0",LEN('General Info'!$B$40))))</f>
        <v>13923 - 13984</v>
      </c>
      <c r="T191" s="100">
        <f>SamplingData[[#This Row],[Upper Range]]-SamplingData[[#This Row],[Span]]</f>
        <v>13923.486682885623</v>
      </c>
      <c r="U191" s="100">
        <f>IF(ISNUMBER('General Info'!$B$40), ((SamplingData[[#This Row],[up/U Selection Probability]]) * 'General Info'!$B$40) - 1, 0)</f>
        <v>60.064963498467193</v>
      </c>
      <c r="V191" s="100">
        <f>IF(ISNUMBER('General Info'!$B$40), (SamplingData[[#This Row],[Running (cumulative) sum]] * ('General Info'!$B$40 -'General Info'!$B$41 + 1)) + 'General Info'!$B$41 - 1, 0)</f>
        <v>13983.55164638409</v>
      </c>
      <c r="W191" s="100" t="str">
        <f>IF(ISERROR(MATCH(SamplingData[[#This Row],[Batch by Type (p)]],SelectedPrecincts[Batch Name], 0)), "", INDEX(SelectedPrecincts[Draw], MATCH(SamplingData[[#This Row],[Batch by Type (p)]],SelectedPrecincts[Batch Name], 0)))</f>
        <v/>
      </c>
      <c r="X191" s="102">
        <f>IF(COUNTIF(SelectedPrecincts[Batch Name],SamplingData[[#This Row],[Batch by Type (p)]]) &lt;&gt; 0, COUNTIF(SelectedPrecincts[Batch Name],SamplingData[[#This Row],[Batch by Type (p)]]), 0)</f>
        <v>0</v>
      </c>
    </row>
    <row r="192" spans="1:24" ht="15" customHeight="1">
      <c r="A192" s="18" t="s">
        <v>368</v>
      </c>
      <c r="B192" s="18">
        <v>7</v>
      </c>
      <c r="C192" s="18">
        <v>11</v>
      </c>
      <c r="D192" s="18">
        <v>3</v>
      </c>
      <c r="E192" s="18">
        <v>4</v>
      </c>
      <c r="F192" s="18">
        <v>0</v>
      </c>
      <c r="G192" s="18">
        <v>0</v>
      </c>
      <c r="H192" s="18">
        <v>0</v>
      </c>
      <c r="I192" s="18">
        <v>0</v>
      </c>
      <c r="J192" s="99">
        <f>SUM(SamplingData[[#This Row],[Losing Candidate]:[Under Votes]])</f>
        <v>25</v>
      </c>
      <c r="K192"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192" s="100">
        <f>IF(AND(SamplingData[[#This Row],[Total]]&lt;&gt; 0, NOT(ISBLANK(SamplingData[[#This Row],[Candidate 3]]))),(SamplingData[[#This Row],[Total]]+SamplingData[[#This Row],[Winning Candidate]]-SamplingData[[#This Row],[Candidate 3]])/(SamplingData[[#Totals],[Winning Candidate]]-SamplingData[[#Totals],[Candidate 3]]), 0)</f>
        <v>1.0646191566925831E-3</v>
      </c>
      <c r="M192" s="100">
        <f>IF(AND(SamplingData[[#This Row],[Total]]&lt;&gt; 0, NOT(ISBLANK(SamplingData[[#This Row],[Candidate 4]]))),(SamplingData[[#This Row],[Total]]+SamplingData[[#This Row],[Winning Candidate]]-SamplingData[[#This Row],[Candidate 4]])/(SamplingData[[#Totals],[Winning Candidate]]-SamplingData[[#Totals],[Candidate 4]]), 0)</f>
        <v>9.3542634979099071E-4</v>
      </c>
      <c r="N192" s="100">
        <f>IF(AND(SamplingData[[#This Row],[Total]]&lt;&gt; 0, NOT(ISBLANK(SamplingData[[#This Row],[Candidate 5]]))),(SamplingData[[#This Row],[Total]]+SamplingData[[#This Row],[Winning Candidate]]-SamplingData[[#This Row],[Candidate 5]])/(SamplingData[[#Totals],[Winning Candidate]]-SamplingData[[#Totals],[Candidate 5]]), 0)</f>
        <v>8.7569934322549259E-4</v>
      </c>
      <c r="O192" s="100">
        <f>IF(AND(SamplingData[[#This Row],[Total]]&lt;&gt; 0, NOT(ISBLANK(SamplingData[[#This Row],[Candidate 6]]))),(SamplingData[[#This Row],[Total]]+SamplingData[[#This Row],[Winning Candidate]]-SamplingData[[#This Row],[Candidate 6]])/(SamplingData[[#Totals],[Winning Candidate]]-SamplingData[[#Totals],[Candidate 6]]), 0)</f>
        <v>8.7544380137152865E-4</v>
      </c>
      <c r="P192" s="100">
        <f>MAX(SamplingData[[#This Row],[Error Bound (up) - Max. possible relative overstatement - Losing Candidate]:[Error Bound (up) - Max. possible relative overstatement - Candidate 6]])</f>
        <v>1.7760901518863303E-3</v>
      </c>
      <c r="Q192" s="100">
        <f>IF(SamplingData[[#This Row],[Max Error Bound (up)]] = 0,0,SamplingData[[#This Row],[Max Error Bound (up)]]/SamplingData[[#Totals],[Max Error Bound (up)]])</f>
        <v>2.8109550007492914E-4</v>
      </c>
      <c r="R192" s="101">
        <f>SUM($Q$5:Q192)</f>
        <v>0.14012661196391585</v>
      </c>
      <c r="S192" s="100" t="str">
        <f t="array" ref="S192">IF(SamplingData[[#This Row],[up/U Selection Probability]] = 0, "Zero", TEXT(SamplingData[[#This Row],[Lower Range]], REPT("0",LEN('General Info'!$B$40))) &amp; " - " &amp; TEXT(SamplingData[[#This Row],[Upper Range]], REPT("0",LEN('General Info'!$B$40))))</f>
        <v>13985 - 14012</v>
      </c>
      <c r="T192" s="100">
        <f>SamplingData[[#This Row],[Upper Range]]-SamplingData[[#This Row],[Span]]</f>
        <v>13984.551927479593</v>
      </c>
      <c r="U192" s="100">
        <f>IF(ISNUMBER('General Info'!$B$40), ((SamplingData[[#This Row],[up/U Selection Probability]]) * 'General Info'!$B$40) - 1, 0)</f>
        <v>27.109268911992839</v>
      </c>
      <c r="V192" s="100">
        <f>IF(ISNUMBER('General Info'!$B$40), (SamplingData[[#This Row],[Running (cumulative) sum]] * ('General Info'!$B$40 -'General Info'!$B$41 + 1)) + 'General Info'!$B$41 - 1, 0)</f>
        <v>14011.661196391586</v>
      </c>
      <c r="W192" s="100" t="str">
        <f>IF(ISERROR(MATCH(SamplingData[[#This Row],[Batch by Type (p)]],SelectedPrecincts[Batch Name], 0)), "", INDEX(SelectedPrecincts[Draw], MATCH(SamplingData[[#This Row],[Batch by Type (p)]],SelectedPrecincts[Batch Name], 0)))</f>
        <v/>
      </c>
      <c r="X192" s="102">
        <f>IF(COUNTIF(SelectedPrecincts[Batch Name],SamplingData[[#This Row],[Batch by Type (p)]]) &lt;&gt; 0, COUNTIF(SelectedPrecincts[Batch Name],SamplingData[[#This Row],[Batch by Type (p)]]), 0)</f>
        <v>0</v>
      </c>
    </row>
    <row r="193" spans="1:24" ht="15" customHeight="1">
      <c r="A193" s="18" t="s">
        <v>369</v>
      </c>
      <c r="B193" s="18">
        <v>32</v>
      </c>
      <c r="C193" s="18">
        <v>36</v>
      </c>
      <c r="D193" s="16">
        <v>7</v>
      </c>
      <c r="E193" s="16">
        <v>4</v>
      </c>
      <c r="F193" s="37">
        <v>0</v>
      </c>
      <c r="G193" s="37">
        <v>0</v>
      </c>
      <c r="H193" s="17">
        <v>0</v>
      </c>
      <c r="I193" s="17">
        <v>4</v>
      </c>
      <c r="J193" s="99">
        <f>SUM(SamplingData[[#This Row],[Losing Candidate]:[Under Votes]])</f>
        <v>83</v>
      </c>
      <c r="K193" s="100">
        <f>IF(AND(SamplingData[[#This Row],[Total]]&lt;&gt; 0, NOT(ISBLANK(SamplingData[[#This Row],[Losing Candidate]]))),(SamplingData[[#This Row],[Total]]+SamplingData[[#This Row],[Winning Candidate]]-SamplingData[[#This Row],[Losing Candidate]])/(SamplingData[[#Totals],[Winning Candidate]]-SamplingData[[#Totals],[Losing Candidate]]), 0)</f>
        <v>5.328270455658991E-3</v>
      </c>
      <c r="L193" s="100">
        <f>IF(AND(SamplingData[[#This Row],[Total]]&lt;&gt; 0, NOT(ISBLANK(SamplingData[[#This Row],[Candidate 3]]))),(SamplingData[[#This Row],[Total]]+SamplingData[[#This Row],[Winning Candidate]]-SamplingData[[#This Row],[Candidate 3]])/(SamplingData[[#Totals],[Winning Candidate]]-SamplingData[[#Totals],[Candidate 3]]), 0)</f>
        <v>3.6132528954414943E-3</v>
      </c>
      <c r="M193" s="100">
        <f>IF(AND(SamplingData[[#This Row],[Total]]&lt;&gt; 0, NOT(ISBLANK(SamplingData[[#This Row],[Candidate 4]]))),(SamplingData[[#This Row],[Total]]+SamplingData[[#This Row],[Winning Candidate]]-SamplingData[[#This Row],[Candidate 4]])/(SamplingData[[#Totals],[Winning Candidate]]-SamplingData[[#Totals],[Candidate 4]]), 0)</f>
        <v>3.3616884445613728E-3</v>
      </c>
      <c r="N193" s="100">
        <f>IF(AND(SamplingData[[#This Row],[Total]]&lt;&gt; 0, NOT(ISBLANK(SamplingData[[#This Row],[Candidate 5]]))),(SamplingData[[#This Row],[Total]]+SamplingData[[#This Row],[Winning Candidate]]-SamplingData[[#This Row],[Candidate 5]])/(SamplingData[[#Totals],[Winning Candidate]]-SamplingData[[#Totals],[Candidate 5]]), 0)</f>
        <v>2.8946728289953785E-3</v>
      </c>
      <c r="O193" s="100">
        <f>IF(AND(SamplingData[[#This Row],[Total]]&lt;&gt; 0, NOT(ISBLANK(SamplingData[[#This Row],[Candidate 6]]))),(SamplingData[[#This Row],[Total]]+SamplingData[[#This Row],[Winning Candidate]]-SamplingData[[#This Row],[Candidate 6]])/(SamplingData[[#Totals],[Winning Candidate]]-SamplingData[[#Totals],[Candidate 6]]), 0)</f>
        <v>2.8938281212003308E-3</v>
      </c>
      <c r="P193" s="100">
        <f>MAX(SamplingData[[#This Row],[Error Bound (up) - Max. possible relative overstatement - Losing Candidate]:[Error Bound (up) - Max. possible relative overstatement - Candidate 6]])</f>
        <v>5.328270455658991E-3</v>
      </c>
      <c r="Q193" s="100">
        <f>IF(SamplingData[[#This Row],[Max Error Bound (up)]] = 0,0,SamplingData[[#This Row],[Max Error Bound (up)]]/SamplingData[[#Totals],[Max Error Bound (up)]])</f>
        <v>8.4328650022478743E-4</v>
      </c>
      <c r="R193" s="101">
        <f>SUM($Q$5:Q193)</f>
        <v>0.14096989846414062</v>
      </c>
      <c r="S193" s="100" t="str">
        <f t="array" ref="S193">IF(SamplingData[[#This Row],[up/U Selection Probability]] = 0, "Zero", TEXT(SamplingData[[#This Row],[Lower Range]], REPT("0",LEN('General Info'!$B$40))) &amp; " - " &amp; TEXT(SamplingData[[#This Row],[Upper Range]], REPT("0",LEN('General Info'!$B$40))))</f>
        <v>14013 - 14096</v>
      </c>
      <c r="T193" s="100">
        <f>SamplingData[[#This Row],[Upper Range]]-SamplingData[[#This Row],[Span]]</f>
        <v>14012.662039678084</v>
      </c>
      <c r="U193" s="100">
        <f>IF(ISNUMBER('General Info'!$B$40), ((SamplingData[[#This Row],[up/U Selection Probability]]) * 'General Info'!$B$40) - 1, 0)</f>
        <v>83.327806735978513</v>
      </c>
      <c r="V193" s="100">
        <f>IF(ISNUMBER('General Info'!$B$40), (SamplingData[[#This Row],[Running (cumulative) sum]] * ('General Info'!$B$40 -'General Info'!$B$41 + 1)) + 'General Info'!$B$41 - 1, 0)</f>
        <v>14095.989846414062</v>
      </c>
      <c r="W193" s="100" t="str">
        <f>IF(ISERROR(MATCH(SamplingData[[#This Row],[Batch by Type (p)]],SelectedPrecincts[Batch Name], 0)), "", INDEX(SelectedPrecincts[Draw], MATCH(SamplingData[[#This Row],[Batch by Type (p)]],SelectedPrecincts[Batch Name], 0)))</f>
        <v/>
      </c>
      <c r="X193" s="102">
        <f>IF(COUNTIF(SelectedPrecincts[Batch Name],SamplingData[[#This Row],[Batch by Type (p)]]) &lt;&gt; 0, COUNTIF(SelectedPrecincts[Batch Name],SamplingData[[#This Row],[Batch by Type (p)]]), 0)</f>
        <v>0</v>
      </c>
    </row>
    <row r="194" spans="1:24" ht="15" customHeight="1">
      <c r="A194" s="18" t="s">
        <v>370</v>
      </c>
      <c r="B194" s="18">
        <v>10</v>
      </c>
      <c r="C194" s="18">
        <v>12</v>
      </c>
      <c r="D194" s="18">
        <v>2</v>
      </c>
      <c r="E194" s="18">
        <v>0</v>
      </c>
      <c r="F194" s="18">
        <v>0</v>
      </c>
      <c r="G194" s="18">
        <v>0</v>
      </c>
      <c r="H194" s="18">
        <v>0</v>
      </c>
      <c r="I194" s="18">
        <v>0</v>
      </c>
      <c r="J194" s="99">
        <f>SUM(SamplingData[[#This Row],[Losing Candidate]:[Under Votes]])</f>
        <v>24</v>
      </c>
      <c r="K194"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94" s="100">
        <f>IF(AND(SamplingData[[#This Row],[Total]]&lt;&gt; 0, NOT(ISBLANK(SamplingData[[#This Row],[Candidate 3]]))),(SamplingData[[#This Row],[Total]]+SamplingData[[#This Row],[Winning Candidate]]-SamplingData[[#This Row],[Candidate 3]])/(SamplingData[[#Totals],[Winning Candidate]]-SamplingData[[#Totals],[Candidate 3]]), 0)</f>
        <v>1.0968803432590251E-3</v>
      </c>
      <c r="M194" s="100">
        <f>IF(AND(SamplingData[[#This Row],[Total]]&lt;&gt; 0, NOT(ISBLANK(SamplingData[[#This Row],[Candidate 4]]))),(SamplingData[[#This Row],[Total]]+SamplingData[[#This Row],[Winning Candidate]]-SamplingData[[#This Row],[Candidate 4]])/(SamplingData[[#Totals],[Winning Candidate]]-SamplingData[[#Totals],[Candidate 4]]), 0)</f>
        <v>1.0523546435148646E-3</v>
      </c>
      <c r="N194" s="100">
        <f>IF(AND(SamplingData[[#This Row],[Total]]&lt;&gt; 0, NOT(ISBLANK(SamplingData[[#This Row],[Candidate 5]]))),(SamplingData[[#This Row],[Total]]+SamplingData[[#This Row],[Winning Candidate]]-SamplingData[[#This Row],[Candidate 5]])/(SamplingData[[#Totals],[Winning Candidate]]-SamplingData[[#Totals],[Candidate 5]]), 0)</f>
        <v>8.7569934322549259E-4</v>
      </c>
      <c r="O194" s="100">
        <f>IF(AND(SamplingData[[#This Row],[Total]]&lt;&gt; 0, NOT(ISBLANK(SamplingData[[#This Row],[Candidate 6]]))),(SamplingData[[#This Row],[Total]]+SamplingData[[#This Row],[Winning Candidate]]-SamplingData[[#This Row],[Candidate 6]])/(SamplingData[[#Totals],[Winning Candidate]]-SamplingData[[#Totals],[Candidate 6]]), 0)</f>
        <v>8.7544380137152865E-4</v>
      </c>
      <c r="P194" s="100">
        <f>MAX(SamplingData[[#This Row],[Error Bound (up) - Max. possible relative overstatement - Losing Candidate]:[Error Bound (up) - Max. possible relative overstatement - Candidate 6]])</f>
        <v>1.5923566878980893E-3</v>
      </c>
      <c r="Q194" s="100">
        <f>IF(SamplingData[[#This Row],[Max Error Bound (up)]] = 0,0,SamplingData[[#This Row],[Max Error Bound (up)]]/SamplingData[[#Totals],[Max Error Bound (up)]])</f>
        <v>2.5201665523959162E-4</v>
      </c>
      <c r="R194" s="101">
        <f>SUM($Q$5:Q194)</f>
        <v>0.1412219151193802</v>
      </c>
      <c r="S194" s="100" t="str">
        <f t="array" ref="S194">IF(SamplingData[[#This Row],[up/U Selection Probability]] = 0, "Zero", TEXT(SamplingData[[#This Row],[Lower Range]], REPT("0",LEN('General Info'!$B$40))) &amp; " - " &amp; TEXT(SamplingData[[#This Row],[Upper Range]], REPT("0",LEN('General Info'!$B$40))))</f>
        <v>14097 - 14121</v>
      </c>
      <c r="T194" s="100">
        <f>SamplingData[[#This Row],[Upper Range]]-SamplingData[[#This Row],[Span]]</f>
        <v>14096.990098430717</v>
      </c>
      <c r="U194" s="100">
        <f>IF(ISNUMBER('General Info'!$B$40), ((SamplingData[[#This Row],[up/U Selection Probability]]) * 'General Info'!$B$40) - 1, 0)</f>
        <v>24.201413507303922</v>
      </c>
      <c r="V194" s="100">
        <f>IF(ISNUMBER('General Info'!$B$40), (SamplingData[[#This Row],[Running (cumulative) sum]] * ('General Info'!$B$40 -'General Info'!$B$41 + 1)) + 'General Info'!$B$41 - 1, 0)</f>
        <v>14121.191511938021</v>
      </c>
      <c r="W194" s="100" t="str">
        <f>IF(ISERROR(MATCH(SamplingData[[#This Row],[Batch by Type (p)]],SelectedPrecincts[Batch Name], 0)), "", INDEX(SelectedPrecincts[Draw], MATCH(SamplingData[[#This Row],[Batch by Type (p)]],SelectedPrecincts[Batch Name], 0)))</f>
        <v/>
      </c>
      <c r="X194" s="102">
        <f>IF(COUNTIF(SelectedPrecincts[Batch Name],SamplingData[[#This Row],[Batch by Type (p)]]) &lt;&gt; 0, COUNTIF(SelectedPrecincts[Batch Name],SamplingData[[#This Row],[Batch by Type (p)]]), 0)</f>
        <v>0</v>
      </c>
    </row>
    <row r="195" spans="1:24" ht="15" customHeight="1">
      <c r="A195" s="18" t="s">
        <v>371</v>
      </c>
      <c r="B195" s="18">
        <v>19</v>
      </c>
      <c r="C195" s="18">
        <v>19</v>
      </c>
      <c r="D195" s="16">
        <v>10</v>
      </c>
      <c r="E195" s="16">
        <v>7</v>
      </c>
      <c r="F195" s="37">
        <v>0</v>
      </c>
      <c r="G195" s="37">
        <v>0</v>
      </c>
      <c r="H195" s="17">
        <v>0</v>
      </c>
      <c r="I195" s="17">
        <v>2</v>
      </c>
      <c r="J195" s="99">
        <f>SUM(SamplingData[[#This Row],[Losing Candidate]:[Under Votes]])</f>
        <v>57</v>
      </c>
      <c r="K195" s="100">
        <f>IF(AND(SamplingData[[#This Row],[Total]]&lt;&gt; 0, NOT(ISBLANK(SamplingData[[#This Row],[Losing Candidate]]))),(SamplingData[[#This Row],[Total]]+SamplingData[[#This Row],[Winning Candidate]]-SamplingData[[#This Row],[Losing Candidate]])/(SamplingData[[#Totals],[Winning Candidate]]-SamplingData[[#Totals],[Losing Candidate]]), 0)</f>
        <v>3.4909358157765801E-3</v>
      </c>
      <c r="L195" s="100">
        <f>IF(AND(SamplingData[[#This Row],[Total]]&lt;&gt; 0, NOT(ISBLANK(SamplingData[[#This Row],[Candidate 3]]))),(SamplingData[[#This Row],[Total]]+SamplingData[[#This Row],[Winning Candidate]]-SamplingData[[#This Row],[Candidate 3]])/(SamplingData[[#Totals],[Winning Candidate]]-SamplingData[[#Totals],[Candidate 3]]), 0)</f>
        <v>2.1292383133851662E-3</v>
      </c>
      <c r="M195" s="100">
        <f>IF(AND(SamplingData[[#This Row],[Total]]&lt;&gt; 0, NOT(ISBLANK(SamplingData[[#This Row],[Candidate 4]]))),(SamplingData[[#This Row],[Total]]+SamplingData[[#This Row],[Winning Candidate]]-SamplingData[[#This Row],[Candidate 4]])/(SamplingData[[#Totals],[Winning Candidate]]-SamplingData[[#Totals],[Candidate 4]]), 0)</f>
        <v>2.0170130667368238E-3</v>
      </c>
      <c r="N195" s="100">
        <f>IF(AND(SamplingData[[#This Row],[Total]]&lt;&gt; 0, NOT(ISBLANK(SamplingData[[#This Row],[Candidate 5]]))),(SamplingData[[#This Row],[Total]]+SamplingData[[#This Row],[Winning Candidate]]-SamplingData[[#This Row],[Candidate 5]])/(SamplingData[[#Totals],[Winning Candidate]]-SamplingData[[#Totals],[Candidate 5]]), 0)</f>
        <v>1.8486986134760399E-3</v>
      </c>
      <c r="O195" s="100">
        <f>IF(AND(SamplingData[[#This Row],[Total]]&lt;&gt; 0, NOT(ISBLANK(SamplingData[[#This Row],[Candidate 6]]))),(SamplingData[[#This Row],[Total]]+SamplingData[[#This Row],[Winning Candidate]]-SamplingData[[#This Row],[Candidate 6]])/(SamplingData[[#Totals],[Winning Candidate]]-SamplingData[[#Totals],[Candidate 6]]), 0)</f>
        <v>1.8481591362287826E-3</v>
      </c>
      <c r="P195" s="100">
        <f>MAX(SamplingData[[#This Row],[Error Bound (up) - Max. possible relative overstatement - Losing Candidate]:[Error Bound (up) - Max. possible relative overstatement - Candidate 6]])</f>
        <v>3.4909358157765801E-3</v>
      </c>
      <c r="Q195" s="100">
        <f>IF(SamplingData[[#This Row],[Max Error Bound (up)]] = 0,0,SamplingData[[#This Row],[Max Error Bound (up)]]/SamplingData[[#Totals],[Max Error Bound (up)]])</f>
        <v>5.5249805187141245E-4</v>
      </c>
      <c r="R195" s="101">
        <f>SUM($Q$5:Q195)</f>
        <v>0.14177441317125161</v>
      </c>
      <c r="S195" s="100" t="str">
        <f t="array" ref="S195">IF(SamplingData[[#This Row],[up/U Selection Probability]] = 0, "Zero", TEXT(SamplingData[[#This Row],[Lower Range]], REPT("0",LEN('General Info'!$B$40))) &amp; " - " &amp; TEXT(SamplingData[[#This Row],[Upper Range]], REPT("0",LEN('General Info'!$B$40))))</f>
        <v>14122 - 14176</v>
      </c>
      <c r="T195" s="100">
        <f>SamplingData[[#This Row],[Upper Range]]-SamplingData[[#This Row],[Span]]</f>
        <v>14122.192064436073</v>
      </c>
      <c r="U195" s="100">
        <f>IF(ISNUMBER('General Info'!$B$40), ((SamplingData[[#This Row],[up/U Selection Probability]]) * 'General Info'!$B$40) - 1, 0)</f>
        <v>54.249252689089374</v>
      </c>
      <c r="V195" s="100">
        <f>IF(ISNUMBER('General Info'!$B$40), (SamplingData[[#This Row],[Running (cumulative) sum]] * ('General Info'!$B$40 -'General Info'!$B$41 + 1)) + 'General Info'!$B$41 - 1, 0)</f>
        <v>14176.441317125162</v>
      </c>
      <c r="W195" s="100" t="str">
        <f>IF(ISERROR(MATCH(SamplingData[[#This Row],[Batch by Type (p)]],SelectedPrecincts[Batch Name], 0)), "", INDEX(SelectedPrecincts[Draw], MATCH(SamplingData[[#This Row],[Batch by Type (p)]],SelectedPrecincts[Batch Name], 0)))</f>
        <v/>
      </c>
      <c r="X195" s="102">
        <f>IF(COUNTIF(SelectedPrecincts[Batch Name],SamplingData[[#This Row],[Batch by Type (p)]]) &lt;&gt; 0, COUNTIF(SelectedPrecincts[Batch Name],SamplingData[[#This Row],[Batch by Type (p)]]), 0)</f>
        <v>0</v>
      </c>
    </row>
    <row r="196" spans="1:24" ht="15" customHeight="1">
      <c r="A196" s="18" t="s">
        <v>372</v>
      </c>
      <c r="B196" s="18">
        <v>18</v>
      </c>
      <c r="C196" s="18">
        <v>13</v>
      </c>
      <c r="D196" s="18">
        <v>7</v>
      </c>
      <c r="E196" s="18">
        <v>0</v>
      </c>
      <c r="F196" s="18">
        <v>1</v>
      </c>
      <c r="G196" s="18">
        <v>0</v>
      </c>
      <c r="H196" s="18">
        <v>0</v>
      </c>
      <c r="I196" s="18">
        <v>0</v>
      </c>
      <c r="J196" s="99">
        <f>SUM(SamplingData[[#This Row],[Losing Candidate]:[Under Votes]])</f>
        <v>39</v>
      </c>
      <c r="K196"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196" s="100">
        <f>IF(AND(SamplingData[[#This Row],[Total]]&lt;&gt; 0, NOT(ISBLANK(SamplingData[[#This Row],[Candidate 3]]))),(SamplingData[[#This Row],[Total]]+SamplingData[[#This Row],[Winning Candidate]]-SamplingData[[#This Row],[Candidate 3]])/(SamplingData[[#Totals],[Winning Candidate]]-SamplingData[[#Totals],[Candidate 3]]), 0)</f>
        <v>1.4517533954898861E-3</v>
      </c>
      <c r="M196" s="100">
        <f>IF(AND(SamplingData[[#This Row],[Total]]&lt;&gt; 0, NOT(ISBLANK(SamplingData[[#This Row],[Candidate 4]]))),(SamplingData[[#This Row],[Total]]+SamplingData[[#This Row],[Winning Candidate]]-SamplingData[[#This Row],[Candidate 4]])/(SamplingData[[#Totals],[Winning Candidate]]-SamplingData[[#Totals],[Candidate 4]]), 0)</f>
        <v>1.5200678184103598E-3</v>
      </c>
      <c r="N196" s="100">
        <f>IF(AND(SamplingData[[#This Row],[Total]]&lt;&gt; 0, NOT(ISBLANK(SamplingData[[#This Row],[Candidate 5]]))),(SamplingData[[#This Row],[Total]]+SamplingData[[#This Row],[Winning Candidate]]-SamplingData[[#This Row],[Candidate 5]])/(SamplingData[[#Totals],[Winning Candidate]]-SamplingData[[#Totals],[Candidate 5]]), 0)</f>
        <v>1.2405740695694478E-3</v>
      </c>
      <c r="O196" s="100">
        <f>IF(AND(SamplingData[[#This Row],[Total]]&lt;&gt; 0, NOT(ISBLANK(SamplingData[[#This Row],[Candidate 6]]))),(SamplingData[[#This Row],[Total]]+SamplingData[[#This Row],[Winning Candidate]]-SamplingData[[#This Row],[Candidate 6]])/(SamplingData[[#Totals],[Winning Candidate]]-SamplingData[[#Totals],[Candidate 6]]), 0)</f>
        <v>1.2645299353144302E-3</v>
      </c>
      <c r="P196" s="100">
        <f>MAX(SamplingData[[#This Row],[Error Bound (up) - Max. possible relative overstatement - Losing Candidate]:[Error Bound (up) - Max. possible relative overstatement - Candidate 6]])</f>
        <v>2.0823125918667321E-3</v>
      </c>
      <c r="Q196" s="100">
        <f>IF(SamplingData[[#This Row],[Max Error Bound (up)]] = 0,0,SamplingData[[#This Row],[Max Error Bound (up)]]/SamplingData[[#Totals],[Max Error Bound (up)]])</f>
        <v>3.2956024146715829E-4</v>
      </c>
      <c r="R196" s="101">
        <f>SUM($Q$5:Q196)</f>
        <v>0.14210397341271877</v>
      </c>
      <c r="S196" s="100" t="str">
        <f t="array" ref="S196">IF(SamplingData[[#This Row],[up/U Selection Probability]] = 0, "Zero", TEXT(SamplingData[[#This Row],[Lower Range]], REPT("0",LEN('General Info'!$B$40))) &amp; " - " &amp; TEXT(SamplingData[[#This Row],[Upper Range]], REPT("0",LEN('General Info'!$B$40))))</f>
        <v>14177 - 14209</v>
      </c>
      <c r="T196" s="100">
        <f>SamplingData[[#This Row],[Upper Range]]-SamplingData[[#This Row],[Span]]</f>
        <v>14177.441646685402</v>
      </c>
      <c r="U196" s="100">
        <f>IF(ISNUMBER('General Info'!$B$40), ((SamplingData[[#This Row],[up/U Selection Probability]]) * 'General Info'!$B$40) - 1, 0)</f>
        <v>31.955694586474358</v>
      </c>
      <c r="V196" s="100">
        <f>IF(ISNUMBER('General Info'!$B$40), (SamplingData[[#This Row],[Running (cumulative) sum]] * ('General Info'!$B$40 -'General Info'!$B$41 + 1)) + 'General Info'!$B$41 - 1, 0)</f>
        <v>14209.397341271877</v>
      </c>
      <c r="W196" s="100" t="str">
        <f>IF(ISERROR(MATCH(SamplingData[[#This Row],[Batch by Type (p)]],SelectedPrecincts[Batch Name], 0)), "", INDEX(SelectedPrecincts[Draw], MATCH(SamplingData[[#This Row],[Batch by Type (p)]],SelectedPrecincts[Batch Name], 0)))</f>
        <v/>
      </c>
      <c r="X196" s="102">
        <f>IF(COUNTIF(SelectedPrecincts[Batch Name],SamplingData[[#This Row],[Batch by Type (p)]]) &lt;&gt; 0, COUNTIF(SelectedPrecincts[Batch Name],SamplingData[[#This Row],[Batch by Type (p)]]), 0)</f>
        <v>0</v>
      </c>
    </row>
    <row r="197" spans="1:24" ht="15" customHeight="1">
      <c r="A197" s="18" t="s">
        <v>373</v>
      </c>
      <c r="B197" s="18">
        <v>10</v>
      </c>
      <c r="C197" s="18">
        <v>6</v>
      </c>
      <c r="D197" s="16">
        <v>6</v>
      </c>
      <c r="E197" s="16">
        <v>4</v>
      </c>
      <c r="F197" s="37">
        <v>0</v>
      </c>
      <c r="G197" s="37">
        <v>0</v>
      </c>
      <c r="H197" s="17">
        <v>0</v>
      </c>
      <c r="I197" s="17">
        <v>1</v>
      </c>
      <c r="J197" s="99">
        <f>SUM(SamplingData[[#This Row],[Losing Candidate]:[Under Votes]])</f>
        <v>27</v>
      </c>
      <c r="K197"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97" s="100">
        <f>IF(AND(SamplingData[[#This Row],[Total]]&lt;&gt; 0, NOT(ISBLANK(SamplingData[[#This Row],[Candidate 3]]))),(SamplingData[[#This Row],[Total]]+SamplingData[[#This Row],[Winning Candidate]]-SamplingData[[#This Row],[Candidate 3]])/(SamplingData[[#Totals],[Winning Candidate]]-SamplingData[[#Totals],[Candidate 3]]), 0)</f>
        <v>8.710520372939317E-4</v>
      </c>
      <c r="M197" s="100">
        <f>IF(AND(SamplingData[[#This Row],[Total]]&lt;&gt; 0, NOT(ISBLANK(SamplingData[[#This Row],[Candidate 4]]))),(SamplingData[[#This Row],[Total]]+SamplingData[[#This Row],[Winning Candidate]]-SamplingData[[#This Row],[Candidate 4]])/(SamplingData[[#Totals],[Winning Candidate]]-SamplingData[[#Totals],[Candidate 4]]), 0)</f>
        <v>8.4773012949808531E-4</v>
      </c>
      <c r="N197" s="100">
        <f>IF(AND(SamplingData[[#This Row],[Total]]&lt;&gt; 0, NOT(ISBLANK(SamplingData[[#This Row],[Candidate 5]]))),(SamplingData[[#This Row],[Total]]+SamplingData[[#This Row],[Winning Candidate]]-SamplingData[[#This Row],[Candidate 5]])/(SamplingData[[#Totals],[Winning Candidate]]-SamplingData[[#Totals],[Candidate 5]]), 0)</f>
        <v>8.0272439795670155E-4</v>
      </c>
      <c r="O197" s="100">
        <f>IF(AND(SamplingData[[#This Row],[Total]]&lt;&gt; 0, NOT(ISBLANK(SamplingData[[#This Row],[Candidate 6]]))),(SamplingData[[#This Row],[Total]]+SamplingData[[#This Row],[Winning Candidate]]-SamplingData[[#This Row],[Candidate 6]])/(SamplingData[[#Totals],[Winning Candidate]]-SamplingData[[#Totals],[Candidate 6]]), 0)</f>
        <v>8.024901512572346E-4</v>
      </c>
      <c r="P197" s="100">
        <f>MAX(SamplingData[[#This Row],[Error Bound (up) - Max. possible relative overstatement - Losing Candidate]:[Error Bound (up) - Max. possible relative overstatement - Candidate 6]])</f>
        <v>1.408623223909848E-3</v>
      </c>
      <c r="Q197" s="100">
        <f>IF(SamplingData[[#This Row],[Max Error Bound (up)]] = 0,0,SamplingData[[#This Row],[Max Error Bound (up)]]/SamplingData[[#Totals],[Max Error Bound (up)]])</f>
        <v>2.229378104042541E-4</v>
      </c>
      <c r="R197" s="101">
        <f>SUM($Q$5:Q197)</f>
        <v>0.14232691122312302</v>
      </c>
      <c r="S197" s="100" t="str">
        <f t="array" ref="S197">IF(SamplingData[[#This Row],[up/U Selection Probability]] = 0, "Zero", TEXT(SamplingData[[#This Row],[Lower Range]], REPT("0",LEN('General Info'!$B$40))) &amp; " - " &amp; TEXT(SamplingData[[#This Row],[Upper Range]], REPT("0",LEN('General Info'!$B$40))))</f>
        <v>14210 - 14232</v>
      </c>
      <c r="T197" s="100">
        <f>SamplingData[[#This Row],[Upper Range]]-SamplingData[[#This Row],[Span]]</f>
        <v>14210.397564209687</v>
      </c>
      <c r="U197" s="100">
        <f>IF(ISNUMBER('General Info'!$B$40), ((SamplingData[[#This Row],[up/U Selection Probability]]) * 'General Info'!$B$40) - 1, 0)</f>
        <v>21.293558102615005</v>
      </c>
      <c r="V197" s="100">
        <f>IF(ISNUMBER('General Info'!$B$40), (SamplingData[[#This Row],[Running (cumulative) sum]] * ('General Info'!$B$40 -'General Info'!$B$41 + 1)) + 'General Info'!$B$41 - 1, 0)</f>
        <v>14231.691122312302</v>
      </c>
      <c r="W197" s="100" t="str">
        <f>IF(ISERROR(MATCH(SamplingData[[#This Row],[Batch by Type (p)]],SelectedPrecincts[Batch Name], 0)), "", INDEX(SelectedPrecincts[Draw], MATCH(SamplingData[[#This Row],[Batch by Type (p)]],SelectedPrecincts[Batch Name], 0)))</f>
        <v/>
      </c>
      <c r="X197" s="102">
        <f>IF(COUNTIF(SelectedPrecincts[Batch Name],SamplingData[[#This Row],[Batch by Type (p)]]) &lt;&gt; 0, COUNTIF(SelectedPrecincts[Batch Name],SamplingData[[#This Row],[Batch by Type (p)]]), 0)</f>
        <v>0</v>
      </c>
    </row>
    <row r="198" spans="1:24" ht="15" customHeight="1">
      <c r="A198" s="18" t="s">
        <v>374</v>
      </c>
      <c r="B198" s="18">
        <v>3</v>
      </c>
      <c r="C198" s="18">
        <v>2</v>
      </c>
      <c r="D198" s="18">
        <v>1</v>
      </c>
      <c r="E198" s="18">
        <v>2</v>
      </c>
      <c r="F198" s="18">
        <v>0</v>
      </c>
      <c r="G198" s="18">
        <v>0</v>
      </c>
      <c r="H198" s="18">
        <v>0</v>
      </c>
      <c r="I198" s="18">
        <v>0</v>
      </c>
      <c r="J198" s="99">
        <f>SUM(SamplingData[[#This Row],[Losing Candidate]:[Under Votes]])</f>
        <v>8</v>
      </c>
      <c r="K198"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98" s="100">
        <f>IF(AND(SamplingData[[#This Row],[Total]]&lt;&gt; 0, NOT(ISBLANK(SamplingData[[#This Row],[Candidate 3]]))),(SamplingData[[#This Row],[Total]]+SamplingData[[#This Row],[Winning Candidate]]-SamplingData[[#This Row],[Candidate 3]])/(SamplingData[[#Totals],[Winning Candidate]]-SamplingData[[#Totals],[Candidate 3]]), 0)</f>
        <v>2.9035067909797722E-4</v>
      </c>
      <c r="M198" s="100">
        <f>IF(AND(SamplingData[[#This Row],[Total]]&lt;&gt; 0, NOT(ISBLANK(SamplingData[[#This Row],[Candidate 4]]))),(SamplingData[[#This Row],[Total]]+SamplingData[[#This Row],[Winning Candidate]]-SamplingData[[#This Row],[Candidate 4]])/(SamplingData[[#Totals],[Winning Candidate]]-SamplingData[[#Totals],[Candidate 4]]), 0)</f>
        <v>2.3385658744774768E-4</v>
      </c>
      <c r="N198" s="100">
        <f>IF(AND(SamplingData[[#This Row],[Total]]&lt;&gt; 0, NOT(ISBLANK(SamplingData[[#This Row],[Candidate 5]]))),(SamplingData[[#This Row],[Total]]+SamplingData[[#This Row],[Winning Candidate]]-SamplingData[[#This Row],[Candidate 5]])/(SamplingData[[#Totals],[Winning Candidate]]-SamplingData[[#Totals],[Candidate 5]]), 0)</f>
        <v>2.4324981756263683E-4</v>
      </c>
      <c r="O198" s="100">
        <f>IF(AND(SamplingData[[#This Row],[Total]]&lt;&gt; 0, NOT(ISBLANK(SamplingData[[#This Row],[Candidate 6]]))),(SamplingData[[#This Row],[Total]]+SamplingData[[#This Row],[Winning Candidate]]-SamplingData[[#This Row],[Candidate 6]])/(SamplingData[[#Totals],[Winning Candidate]]-SamplingData[[#Totals],[Candidate 6]]), 0)</f>
        <v>2.431788337143135E-4</v>
      </c>
      <c r="P198" s="100">
        <f>MAX(SamplingData[[#This Row],[Error Bound (up) - Max. possible relative overstatement - Losing Candidate]:[Error Bound (up) - Max. possible relative overstatement - Candidate 6]])</f>
        <v>4.2871141597256246E-4</v>
      </c>
      <c r="Q198" s="100">
        <f>IF(SamplingData[[#This Row],[Max Error Bound (up)]] = 0,0,SamplingData[[#This Row],[Max Error Bound (up)]]/SamplingData[[#Totals],[Max Error Bound (up)]])</f>
        <v>6.7850637949120826E-5</v>
      </c>
      <c r="R198" s="101">
        <f>SUM($Q$5:Q198)</f>
        <v>0.14239476186107214</v>
      </c>
      <c r="S198" s="100" t="str">
        <f t="array" ref="S198">IF(SamplingData[[#This Row],[up/U Selection Probability]] = 0, "Zero", TEXT(SamplingData[[#This Row],[Lower Range]], REPT("0",LEN('General Info'!$B$40))) &amp; " - " &amp; TEXT(SamplingData[[#This Row],[Upper Range]], REPT("0",LEN('General Info'!$B$40))))</f>
        <v>14233 - 14238</v>
      </c>
      <c r="T198" s="100">
        <f>SamplingData[[#This Row],[Upper Range]]-SamplingData[[#This Row],[Span]]</f>
        <v>14232.691190162941</v>
      </c>
      <c r="U198" s="100">
        <f>IF(ISNUMBER('General Info'!$B$40), ((SamplingData[[#This Row],[up/U Selection Probability]]) * 'General Info'!$B$40) - 1, 0)</f>
        <v>5.7849959442741339</v>
      </c>
      <c r="V198" s="100">
        <f>IF(ISNUMBER('General Info'!$B$40), (SamplingData[[#This Row],[Running (cumulative) sum]] * ('General Info'!$B$40 -'General Info'!$B$41 + 1)) + 'General Info'!$B$41 - 1, 0)</f>
        <v>14238.476186107215</v>
      </c>
      <c r="W198" s="100" t="str">
        <f>IF(ISERROR(MATCH(SamplingData[[#This Row],[Batch by Type (p)]],SelectedPrecincts[Batch Name], 0)), "", INDEX(SelectedPrecincts[Draw], MATCH(SamplingData[[#This Row],[Batch by Type (p)]],SelectedPrecincts[Batch Name], 0)))</f>
        <v/>
      </c>
      <c r="X198" s="102">
        <f>IF(COUNTIF(SelectedPrecincts[Batch Name],SamplingData[[#This Row],[Batch by Type (p)]]) &lt;&gt; 0, COUNTIF(SelectedPrecincts[Batch Name],SamplingData[[#This Row],[Batch by Type (p)]]), 0)</f>
        <v>0</v>
      </c>
    </row>
    <row r="199" spans="1:24" ht="15" customHeight="1">
      <c r="A199" s="18" t="s">
        <v>375</v>
      </c>
      <c r="B199" s="18">
        <v>28</v>
      </c>
      <c r="C199" s="18">
        <v>30</v>
      </c>
      <c r="D199" s="16">
        <v>12</v>
      </c>
      <c r="E199" s="16">
        <v>10</v>
      </c>
      <c r="F199" s="37">
        <v>0</v>
      </c>
      <c r="G199" s="37">
        <v>0</v>
      </c>
      <c r="H199" s="17">
        <v>0</v>
      </c>
      <c r="I199" s="17">
        <v>0</v>
      </c>
      <c r="J199" s="99">
        <f>SUM(SamplingData[[#This Row],[Losing Candidate]:[Under Votes]])</f>
        <v>80</v>
      </c>
      <c r="K199"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199" s="100">
        <f>IF(AND(SamplingData[[#This Row],[Total]]&lt;&gt; 0, NOT(ISBLANK(SamplingData[[#This Row],[Candidate 3]]))),(SamplingData[[#This Row],[Total]]+SamplingData[[#This Row],[Winning Candidate]]-SamplingData[[#This Row],[Candidate 3]])/(SamplingData[[#Totals],[Winning Candidate]]-SamplingData[[#Totals],[Candidate 3]]), 0)</f>
        <v>3.1615962835113073E-3</v>
      </c>
      <c r="M199" s="100">
        <f>IF(AND(SamplingData[[#This Row],[Total]]&lt;&gt; 0, NOT(ISBLANK(SamplingData[[#This Row],[Candidate 4]]))),(SamplingData[[#This Row],[Total]]+SamplingData[[#This Row],[Winning Candidate]]-SamplingData[[#This Row],[Candidate 4]])/(SamplingData[[#Totals],[Winning Candidate]]-SamplingData[[#Totals],[Candidate 4]]), 0)</f>
        <v>2.9232073430968458E-3</v>
      </c>
      <c r="N199" s="100">
        <f>IF(AND(SamplingData[[#This Row],[Total]]&lt;&gt; 0, NOT(ISBLANK(SamplingData[[#This Row],[Candidate 5]]))),(SamplingData[[#This Row],[Total]]+SamplingData[[#This Row],[Winning Candidate]]-SamplingData[[#This Row],[Candidate 5]])/(SamplingData[[#Totals],[Winning Candidate]]-SamplingData[[#Totals],[Candidate 5]]), 0)</f>
        <v>2.675747993189005E-3</v>
      </c>
      <c r="O199" s="100">
        <f>IF(AND(SamplingData[[#This Row],[Total]]&lt;&gt; 0, NOT(ISBLANK(SamplingData[[#This Row],[Candidate 6]]))),(SamplingData[[#This Row],[Total]]+SamplingData[[#This Row],[Winning Candidate]]-SamplingData[[#This Row],[Candidate 6]])/(SamplingData[[#Totals],[Winning Candidate]]-SamplingData[[#Totals],[Candidate 6]]), 0)</f>
        <v>2.6749671708574487E-3</v>
      </c>
      <c r="P199" s="100">
        <f>MAX(SamplingData[[#This Row],[Error Bound (up) - Max. possible relative overstatement - Losing Candidate]:[Error Bound (up) - Max. possible relative overstatement - Candidate 6]])</f>
        <v>5.0220480156785889E-3</v>
      </c>
      <c r="Q199" s="100">
        <f>IF(SamplingData[[#This Row],[Max Error Bound (up)]] = 0,0,SamplingData[[#This Row],[Max Error Bound (up)]]/SamplingData[[#Totals],[Max Error Bound (up)]])</f>
        <v>7.9482175883255823E-4</v>
      </c>
      <c r="R199" s="101">
        <f>SUM($Q$5:Q199)</f>
        <v>0.14318958361990469</v>
      </c>
      <c r="S199" s="100" t="str">
        <f t="array" ref="S199">IF(SamplingData[[#This Row],[up/U Selection Probability]] = 0, "Zero", TEXT(SamplingData[[#This Row],[Lower Range]], REPT("0",LEN('General Info'!$B$40))) &amp; " - " &amp; TEXT(SamplingData[[#This Row],[Upper Range]], REPT("0",LEN('General Info'!$B$40))))</f>
        <v>14239 - 14318</v>
      </c>
      <c r="T199" s="100">
        <f>SamplingData[[#This Row],[Upper Range]]-SamplingData[[#This Row],[Span]]</f>
        <v>14239.476980928972</v>
      </c>
      <c r="U199" s="100">
        <f>IF(ISNUMBER('General Info'!$B$40), ((SamplingData[[#This Row],[up/U Selection Probability]]) * 'General Info'!$B$40) - 1, 0)</f>
        <v>78.48138106149699</v>
      </c>
      <c r="V199" s="100">
        <f>IF(ISNUMBER('General Info'!$B$40), (SamplingData[[#This Row],[Running (cumulative) sum]] * ('General Info'!$B$40 -'General Info'!$B$41 + 1)) + 'General Info'!$B$41 - 1, 0)</f>
        <v>14317.95836199047</v>
      </c>
      <c r="W199" s="100" t="str">
        <f>IF(ISERROR(MATCH(SamplingData[[#This Row],[Batch by Type (p)]],SelectedPrecincts[Batch Name], 0)), "", INDEX(SelectedPrecincts[Draw], MATCH(SamplingData[[#This Row],[Batch by Type (p)]],SelectedPrecincts[Batch Name], 0)))</f>
        <v/>
      </c>
      <c r="X199" s="102">
        <f>IF(COUNTIF(SelectedPrecincts[Batch Name],SamplingData[[#This Row],[Batch by Type (p)]]) &lt;&gt; 0, COUNTIF(SelectedPrecincts[Batch Name],SamplingData[[#This Row],[Batch by Type (p)]]), 0)</f>
        <v>0</v>
      </c>
    </row>
    <row r="200" spans="1:24" ht="15" customHeight="1">
      <c r="A200" s="18" t="s">
        <v>376</v>
      </c>
      <c r="B200" s="18">
        <v>13</v>
      </c>
      <c r="C200" s="18">
        <v>19</v>
      </c>
      <c r="D200" s="18">
        <v>5</v>
      </c>
      <c r="E200" s="18">
        <v>1</v>
      </c>
      <c r="F200" s="18">
        <v>0</v>
      </c>
      <c r="G200" s="18">
        <v>1</v>
      </c>
      <c r="H200" s="18">
        <v>0</v>
      </c>
      <c r="I200" s="18">
        <v>0</v>
      </c>
      <c r="J200" s="99">
        <f>SUM(SamplingData[[#This Row],[Losing Candidate]:[Under Votes]])</f>
        <v>39</v>
      </c>
      <c r="K200"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200" s="100">
        <f>IF(AND(SamplingData[[#This Row],[Total]]&lt;&gt; 0, NOT(ISBLANK(SamplingData[[#This Row],[Candidate 3]]))),(SamplingData[[#This Row],[Total]]+SamplingData[[#This Row],[Winning Candidate]]-SamplingData[[#This Row],[Candidate 3]])/(SamplingData[[#Totals],[Winning Candidate]]-SamplingData[[#Totals],[Candidate 3]]), 0)</f>
        <v>1.7098428880214214E-3</v>
      </c>
      <c r="M200" s="100">
        <f>IF(AND(SamplingData[[#This Row],[Total]]&lt;&gt; 0, NOT(ISBLANK(SamplingData[[#This Row],[Candidate 4]]))),(SamplingData[[#This Row],[Total]]+SamplingData[[#This Row],[Winning Candidate]]-SamplingData[[#This Row],[Candidate 4]])/(SamplingData[[#Totals],[Winning Candidate]]-SamplingData[[#Totals],[Candidate 4]]), 0)</f>
        <v>1.6662281855652022E-3</v>
      </c>
      <c r="N200" s="100">
        <f>IF(AND(SamplingData[[#This Row],[Total]]&lt;&gt; 0, NOT(ISBLANK(SamplingData[[#This Row],[Candidate 5]]))),(SamplingData[[#This Row],[Total]]+SamplingData[[#This Row],[Winning Candidate]]-SamplingData[[#This Row],[Candidate 5]])/(SamplingData[[#Totals],[Winning Candidate]]-SamplingData[[#Totals],[Candidate 5]]), 0)</f>
        <v>1.4108489418632937E-3</v>
      </c>
      <c r="O200" s="100">
        <f>IF(AND(SamplingData[[#This Row],[Total]]&lt;&gt; 0, NOT(ISBLANK(SamplingData[[#This Row],[Candidate 6]]))),(SamplingData[[#This Row],[Total]]+SamplingData[[#This Row],[Winning Candidate]]-SamplingData[[#This Row],[Candidate 6]])/(SamplingData[[#Totals],[Winning Candidate]]-SamplingData[[#Totals],[Candidate 6]]), 0)</f>
        <v>1.3861193521715869E-3</v>
      </c>
      <c r="P200" s="100">
        <f>MAX(SamplingData[[#This Row],[Error Bound (up) - Max. possible relative overstatement - Losing Candidate]:[Error Bound (up) - Max. possible relative overstatement - Candidate 6]])</f>
        <v>2.7560019598236157E-3</v>
      </c>
      <c r="Q200" s="100">
        <f>IF(SamplingData[[#This Row],[Max Error Bound (up)]] = 0,0,SamplingData[[#This Row],[Max Error Bound (up)]]/SamplingData[[#Totals],[Max Error Bound (up)]])</f>
        <v>4.3618267253006237E-4</v>
      </c>
      <c r="R200" s="101">
        <f>SUM($Q$5:Q200)</f>
        <v>0.14362576629243476</v>
      </c>
      <c r="S200" s="100" t="str">
        <f t="array" ref="S200">IF(SamplingData[[#This Row],[up/U Selection Probability]] = 0, "Zero", TEXT(SamplingData[[#This Row],[Lower Range]], REPT("0",LEN('General Info'!$B$40))) &amp; " - " &amp; TEXT(SamplingData[[#This Row],[Upper Range]], REPT("0",LEN('General Info'!$B$40))))</f>
        <v>14319 - 14362</v>
      </c>
      <c r="T200" s="100">
        <f>SamplingData[[#This Row],[Upper Range]]-SamplingData[[#This Row],[Span]]</f>
        <v>14318.958798173142</v>
      </c>
      <c r="U200" s="100">
        <f>IF(ISNUMBER('General Info'!$B$40), ((SamplingData[[#This Row],[up/U Selection Probability]]) * 'General Info'!$B$40) - 1, 0)</f>
        <v>42.617831070333708</v>
      </c>
      <c r="V200" s="100">
        <f>IF(ISNUMBER('General Info'!$B$40), (SamplingData[[#This Row],[Running (cumulative) sum]] * ('General Info'!$B$40 -'General Info'!$B$41 + 1)) + 'General Info'!$B$41 - 1, 0)</f>
        <v>14361.576629243476</v>
      </c>
      <c r="W200" s="100" t="str">
        <f>IF(ISERROR(MATCH(SamplingData[[#This Row],[Batch by Type (p)]],SelectedPrecincts[Batch Name], 0)), "", INDEX(SelectedPrecincts[Draw], MATCH(SamplingData[[#This Row],[Batch by Type (p)]],SelectedPrecincts[Batch Name], 0)))</f>
        <v/>
      </c>
      <c r="X200" s="102">
        <f>IF(COUNTIF(SelectedPrecincts[Batch Name],SamplingData[[#This Row],[Batch by Type (p)]]) &lt;&gt; 0, COUNTIF(SelectedPrecincts[Batch Name],SamplingData[[#This Row],[Batch by Type (p)]]), 0)</f>
        <v>0</v>
      </c>
    </row>
    <row r="201" spans="1:24" ht="15" customHeight="1">
      <c r="A201" s="18" t="s">
        <v>377</v>
      </c>
      <c r="B201" s="18">
        <v>43</v>
      </c>
      <c r="C201" s="18">
        <v>29</v>
      </c>
      <c r="D201" s="16">
        <v>22</v>
      </c>
      <c r="E201" s="16">
        <v>8</v>
      </c>
      <c r="F201" s="37">
        <v>2</v>
      </c>
      <c r="G201" s="37">
        <v>0</v>
      </c>
      <c r="H201" s="17">
        <v>0</v>
      </c>
      <c r="I201" s="17">
        <v>1</v>
      </c>
      <c r="J201" s="99">
        <f>SUM(SamplingData[[#This Row],[Losing Candidate]:[Under Votes]])</f>
        <v>105</v>
      </c>
      <c r="K201" s="100">
        <f>IF(AND(SamplingData[[#This Row],[Total]]&lt;&gt; 0, NOT(ISBLANK(SamplingData[[#This Row],[Losing Candidate]]))),(SamplingData[[#This Row],[Total]]+SamplingData[[#This Row],[Winning Candidate]]-SamplingData[[#This Row],[Losing Candidate]])/(SamplingData[[#Totals],[Winning Candidate]]-SamplingData[[#Totals],[Losing Candidate]]), 0)</f>
        <v>5.5732484076433117E-3</v>
      </c>
      <c r="L201" s="100">
        <f>IF(AND(SamplingData[[#This Row],[Total]]&lt;&gt; 0, NOT(ISBLANK(SamplingData[[#This Row],[Candidate 3]]))),(SamplingData[[#This Row],[Total]]+SamplingData[[#This Row],[Winning Candidate]]-SamplingData[[#This Row],[Candidate 3]])/(SamplingData[[#Totals],[Winning Candidate]]-SamplingData[[#Totals],[Candidate 3]]), 0)</f>
        <v>3.6132528954414943E-3</v>
      </c>
      <c r="M201" s="100">
        <f>IF(AND(SamplingData[[#This Row],[Total]]&lt;&gt; 0, NOT(ISBLANK(SamplingData[[#This Row],[Candidate 4]]))),(SamplingData[[#This Row],[Total]]+SamplingData[[#This Row],[Winning Candidate]]-SamplingData[[#This Row],[Candidate 4]])/(SamplingData[[#Totals],[Winning Candidate]]-SamplingData[[#Totals],[Candidate 4]]), 0)</f>
        <v>3.6832412523020259E-3</v>
      </c>
      <c r="N201" s="100">
        <f>IF(AND(SamplingData[[#This Row],[Total]]&lt;&gt; 0, NOT(ISBLANK(SamplingData[[#This Row],[Candidate 5]]))),(SamplingData[[#This Row],[Total]]+SamplingData[[#This Row],[Winning Candidate]]-SamplingData[[#This Row],[Candidate 5]])/(SamplingData[[#Totals],[Winning Candidate]]-SamplingData[[#Totals],[Candidate 5]]), 0)</f>
        <v>3.2108975918268062E-3</v>
      </c>
      <c r="O201" s="100">
        <f>IF(AND(SamplingData[[#This Row],[Total]]&lt;&gt; 0, NOT(ISBLANK(SamplingData[[#This Row],[Candidate 6]]))),(SamplingData[[#This Row],[Total]]+SamplingData[[#This Row],[Winning Candidate]]-SamplingData[[#This Row],[Candidate 6]])/(SamplingData[[#Totals],[Winning Candidate]]-SamplingData[[#Totals],[Candidate 6]]), 0)</f>
        <v>3.2585963717718012E-3</v>
      </c>
      <c r="P201" s="100">
        <f>MAX(SamplingData[[#This Row],[Error Bound (up) - Max. possible relative overstatement - Losing Candidate]:[Error Bound (up) - Max. possible relative overstatement - Candidate 6]])</f>
        <v>5.5732484076433117E-3</v>
      </c>
      <c r="Q201" s="100">
        <f>IF(SamplingData[[#This Row],[Max Error Bound (up)]] = 0,0,SamplingData[[#This Row],[Max Error Bound (up)]]/SamplingData[[#Totals],[Max Error Bound (up)]])</f>
        <v>8.8205829333857057E-4</v>
      </c>
      <c r="R201" s="101">
        <f>SUM($Q$5:Q201)</f>
        <v>0.14450782458577333</v>
      </c>
      <c r="S201" s="100" t="str">
        <f t="array" ref="S201">IF(SamplingData[[#This Row],[up/U Selection Probability]] = 0, "Zero", TEXT(SamplingData[[#This Row],[Lower Range]], REPT("0",LEN('General Info'!$B$40))) &amp; " - " &amp; TEXT(SamplingData[[#This Row],[Upper Range]], REPT("0",LEN('General Info'!$B$40))))</f>
        <v>14363 - 14450</v>
      </c>
      <c r="T201" s="100">
        <f>SamplingData[[#This Row],[Upper Range]]-SamplingData[[#This Row],[Span]]</f>
        <v>14362.577511301768</v>
      </c>
      <c r="U201" s="100">
        <f>IF(ISNUMBER('General Info'!$B$40), ((SamplingData[[#This Row],[up/U Selection Probability]]) * 'General Info'!$B$40) - 1, 0)</f>
        <v>87.204947275563725</v>
      </c>
      <c r="V201" s="100">
        <f>IF(ISNUMBER('General Info'!$B$40), (SamplingData[[#This Row],[Running (cumulative) sum]] * ('General Info'!$B$40 -'General Info'!$B$41 + 1)) + 'General Info'!$B$41 - 1, 0)</f>
        <v>14449.782458577332</v>
      </c>
      <c r="W201" s="100" t="str">
        <f>IF(ISERROR(MATCH(SamplingData[[#This Row],[Batch by Type (p)]],SelectedPrecincts[Batch Name], 0)), "", INDEX(SelectedPrecincts[Draw], MATCH(SamplingData[[#This Row],[Batch by Type (p)]],SelectedPrecincts[Batch Name], 0)))</f>
        <v/>
      </c>
      <c r="X201" s="102">
        <f>IF(COUNTIF(SelectedPrecincts[Batch Name],SamplingData[[#This Row],[Batch by Type (p)]]) &lt;&gt; 0, COUNTIF(SelectedPrecincts[Batch Name],SamplingData[[#This Row],[Batch by Type (p)]]), 0)</f>
        <v>0</v>
      </c>
    </row>
    <row r="202" spans="1:24" ht="15" customHeight="1">
      <c r="A202" s="18" t="s">
        <v>378</v>
      </c>
      <c r="B202" s="18">
        <v>15</v>
      </c>
      <c r="C202" s="18">
        <v>8</v>
      </c>
      <c r="D202" s="18">
        <v>6</v>
      </c>
      <c r="E202" s="18">
        <v>1</v>
      </c>
      <c r="F202" s="18">
        <v>0</v>
      </c>
      <c r="G202" s="18">
        <v>0</v>
      </c>
      <c r="H202" s="18">
        <v>0</v>
      </c>
      <c r="I202" s="18">
        <v>1</v>
      </c>
      <c r="J202" s="99">
        <f>SUM(SamplingData[[#This Row],[Losing Candidate]:[Under Votes]])</f>
        <v>31</v>
      </c>
      <c r="K202"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202" s="100">
        <f>IF(AND(SamplingData[[#This Row],[Total]]&lt;&gt; 0, NOT(ISBLANK(SamplingData[[#This Row],[Candidate 3]]))),(SamplingData[[#This Row],[Total]]+SamplingData[[#This Row],[Winning Candidate]]-SamplingData[[#This Row],[Candidate 3]])/(SamplingData[[#Totals],[Winning Candidate]]-SamplingData[[#Totals],[Candidate 3]]), 0)</f>
        <v>1.0646191566925831E-3</v>
      </c>
      <c r="M202" s="100">
        <f>IF(AND(SamplingData[[#This Row],[Total]]&lt;&gt; 0, NOT(ISBLANK(SamplingData[[#This Row],[Candidate 4]]))),(SamplingData[[#This Row],[Total]]+SamplingData[[#This Row],[Winning Candidate]]-SamplingData[[#This Row],[Candidate 4]])/(SamplingData[[#Totals],[Winning Candidate]]-SamplingData[[#Totals],[Candidate 4]]), 0)</f>
        <v>1.1108187903768015E-3</v>
      </c>
      <c r="N202" s="100">
        <f>IF(AND(SamplingData[[#This Row],[Total]]&lt;&gt; 0, NOT(ISBLANK(SamplingData[[#This Row],[Candidate 5]]))),(SamplingData[[#This Row],[Total]]+SamplingData[[#This Row],[Winning Candidate]]-SamplingData[[#This Row],[Candidate 5]])/(SamplingData[[#Totals],[Winning Candidate]]-SamplingData[[#Totals],[Candidate 5]]), 0)</f>
        <v>9.4867428849428363E-4</v>
      </c>
      <c r="O202" s="100">
        <f>IF(AND(SamplingData[[#This Row],[Total]]&lt;&gt; 0, NOT(ISBLANK(SamplingData[[#This Row],[Candidate 6]]))),(SamplingData[[#This Row],[Total]]+SamplingData[[#This Row],[Winning Candidate]]-SamplingData[[#This Row],[Candidate 6]])/(SamplingData[[#Totals],[Winning Candidate]]-SamplingData[[#Totals],[Candidate 6]]), 0)</f>
        <v>9.4839745148582271E-4</v>
      </c>
      <c r="P202" s="100">
        <f>MAX(SamplingData[[#This Row],[Error Bound (up) - Max. possible relative overstatement - Losing Candidate]:[Error Bound (up) - Max. possible relative overstatement - Candidate 6]])</f>
        <v>1.4698677119059284E-3</v>
      </c>
      <c r="Q202" s="100">
        <f>IF(SamplingData[[#This Row],[Max Error Bound (up)]] = 0,0,SamplingData[[#This Row],[Max Error Bound (up)]]/SamplingData[[#Totals],[Max Error Bound (up)]])</f>
        <v>2.3263075868269994E-4</v>
      </c>
      <c r="R202" s="101">
        <f>SUM($Q$5:Q202)</f>
        <v>0.14474045534445604</v>
      </c>
      <c r="S202" s="100" t="str">
        <f t="array" ref="S202">IF(SamplingData[[#This Row],[up/U Selection Probability]] = 0, "Zero", TEXT(SamplingData[[#This Row],[Lower Range]], REPT("0",LEN('General Info'!$B$40))) &amp; " - " &amp; TEXT(SamplingData[[#This Row],[Upper Range]], REPT("0",LEN('General Info'!$B$40))))</f>
        <v>14451 - 14473</v>
      </c>
      <c r="T202" s="100">
        <f>SamplingData[[#This Row],[Upper Range]]-SamplingData[[#This Row],[Span]]</f>
        <v>14450.782691208093</v>
      </c>
      <c r="U202" s="100">
        <f>IF(ISNUMBER('General Info'!$B$40), ((SamplingData[[#This Row],[up/U Selection Probability]]) * 'General Info'!$B$40) - 1, 0)</f>
        <v>22.262843237511312</v>
      </c>
      <c r="V202" s="100">
        <f>IF(ISNUMBER('General Info'!$B$40), (SamplingData[[#This Row],[Running (cumulative) sum]] * ('General Info'!$B$40 -'General Info'!$B$41 + 1)) + 'General Info'!$B$41 - 1, 0)</f>
        <v>14473.045534445604</v>
      </c>
      <c r="W202" s="100" t="str">
        <f>IF(ISERROR(MATCH(SamplingData[[#This Row],[Batch by Type (p)]],SelectedPrecincts[Batch Name], 0)), "", INDEX(SelectedPrecincts[Draw], MATCH(SamplingData[[#This Row],[Batch by Type (p)]],SelectedPrecincts[Batch Name], 0)))</f>
        <v/>
      </c>
      <c r="X202" s="102">
        <f>IF(COUNTIF(SelectedPrecincts[Batch Name],SamplingData[[#This Row],[Batch by Type (p)]]) &lt;&gt; 0, COUNTIF(SelectedPrecincts[Batch Name],SamplingData[[#This Row],[Batch by Type (p)]]), 0)</f>
        <v>0</v>
      </c>
    </row>
    <row r="203" spans="1:24" ht="15" customHeight="1">
      <c r="A203" s="18" t="s">
        <v>379</v>
      </c>
      <c r="B203" s="18">
        <v>30</v>
      </c>
      <c r="C203" s="18">
        <v>31</v>
      </c>
      <c r="D203" s="16">
        <v>15</v>
      </c>
      <c r="E203" s="16">
        <v>16</v>
      </c>
      <c r="F203" s="37">
        <v>0</v>
      </c>
      <c r="G203" s="37">
        <v>2</v>
      </c>
      <c r="H203" s="17">
        <v>2</v>
      </c>
      <c r="I203" s="17">
        <v>2</v>
      </c>
      <c r="J203" s="99">
        <f>SUM(SamplingData[[#This Row],[Losing Candidate]:[Under Votes]])</f>
        <v>98</v>
      </c>
      <c r="K203" s="100">
        <f>IF(AND(SamplingData[[#This Row],[Total]]&lt;&gt; 0, NOT(ISBLANK(SamplingData[[#This Row],[Losing Candidate]]))),(SamplingData[[#This Row],[Total]]+SamplingData[[#This Row],[Winning Candidate]]-SamplingData[[#This Row],[Losing Candidate]])/(SamplingData[[#Totals],[Winning Candidate]]-SamplingData[[#Totals],[Losing Candidate]]), 0)</f>
        <v>6.063204311611955E-3</v>
      </c>
      <c r="L203" s="100">
        <f>IF(AND(SamplingData[[#This Row],[Total]]&lt;&gt; 0, NOT(ISBLANK(SamplingData[[#This Row],[Candidate 3]]))),(SamplingData[[#This Row],[Total]]+SamplingData[[#This Row],[Winning Candidate]]-SamplingData[[#This Row],[Candidate 3]])/(SamplingData[[#Totals],[Winning Candidate]]-SamplingData[[#Totals],[Candidate 3]]), 0)</f>
        <v>3.6777752685743783E-3</v>
      </c>
      <c r="M203" s="100">
        <f>IF(AND(SamplingData[[#This Row],[Total]]&lt;&gt; 0, NOT(ISBLANK(SamplingData[[#This Row],[Candidate 4]]))),(SamplingData[[#This Row],[Total]]+SamplingData[[#This Row],[Winning Candidate]]-SamplingData[[#This Row],[Candidate 4]])/(SamplingData[[#Totals],[Winning Candidate]]-SamplingData[[#Totals],[Candidate 4]]), 0)</f>
        <v>3.3032242976994359E-3</v>
      </c>
      <c r="N203" s="100">
        <f>IF(AND(SamplingData[[#This Row],[Total]]&lt;&gt; 0, NOT(ISBLANK(SamplingData[[#This Row],[Candidate 5]]))),(SamplingData[[#This Row],[Total]]+SamplingData[[#This Row],[Winning Candidate]]-SamplingData[[#This Row],[Candidate 5]])/(SamplingData[[#Totals],[Winning Candidate]]-SamplingData[[#Totals],[Candidate 5]]), 0)</f>
        <v>3.137922646558015E-3</v>
      </c>
      <c r="O203" s="100">
        <f>IF(AND(SamplingData[[#This Row],[Total]]&lt;&gt; 0, NOT(ISBLANK(SamplingData[[#This Row],[Candidate 6]]))),(SamplingData[[#This Row],[Total]]+SamplingData[[#This Row],[Winning Candidate]]-SamplingData[[#This Row],[Candidate 6]])/(SamplingData[[#Totals],[Winning Candidate]]-SamplingData[[#Totals],[Candidate 6]]), 0)</f>
        <v>3.0883711881717815E-3</v>
      </c>
      <c r="P203" s="100">
        <f>MAX(SamplingData[[#This Row],[Error Bound (up) - Max. possible relative overstatement - Losing Candidate]:[Error Bound (up) - Max. possible relative overstatement - Candidate 6]])</f>
        <v>6.063204311611955E-3</v>
      </c>
      <c r="Q203" s="100">
        <f>IF(SamplingData[[#This Row],[Max Error Bound (up)]] = 0,0,SamplingData[[#This Row],[Max Error Bound (up)]]/SamplingData[[#Totals],[Max Error Bound (up)]])</f>
        <v>9.5960187956613729E-4</v>
      </c>
      <c r="R203" s="101">
        <f>SUM($Q$5:Q203)</f>
        <v>0.14570005722402218</v>
      </c>
      <c r="S203" s="100" t="str">
        <f t="array" ref="S203">IF(SamplingData[[#This Row],[up/U Selection Probability]] = 0, "Zero", TEXT(SamplingData[[#This Row],[Lower Range]], REPT("0",LEN('General Info'!$B$40))) &amp; " - " &amp; TEXT(SamplingData[[#This Row],[Upper Range]], REPT("0",LEN('General Info'!$B$40))))</f>
        <v>14474 - 14569</v>
      </c>
      <c r="T203" s="100">
        <f>SamplingData[[#This Row],[Upper Range]]-SamplingData[[#This Row],[Span]]</f>
        <v>14474.046494047485</v>
      </c>
      <c r="U203" s="100">
        <f>IF(ISNUMBER('General Info'!$B$40), ((SamplingData[[#This Row],[up/U Selection Probability]]) * 'General Info'!$B$40) - 1, 0)</f>
        <v>94.959228354734165</v>
      </c>
      <c r="V203" s="100">
        <f>IF(ISNUMBER('General Info'!$B$40), (SamplingData[[#This Row],[Running (cumulative) sum]] * ('General Info'!$B$40 -'General Info'!$B$41 + 1)) + 'General Info'!$B$41 - 1, 0)</f>
        <v>14569.005722402218</v>
      </c>
      <c r="W203" s="100" t="str">
        <f>IF(ISERROR(MATCH(SamplingData[[#This Row],[Batch by Type (p)]],SelectedPrecincts[Batch Name], 0)), "", INDEX(SelectedPrecincts[Draw], MATCH(SamplingData[[#This Row],[Batch by Type (p)]],SelectedPrecincts[Batch Name], 0)))</f>
        <v/>
      </c>
      <c r="X203" s="102">
        <f>IF(COUNTIF(SelectedPrecincts[Batch Name],SamplingData[[#This Row],[Batch by Type (p)]]) &lt;&gt; 0, COUNTIF(SelectedPrecincts[Batch Name],SamplingData[[#This Row],[Batch by Type (p)]]), 0)</f>
        <v>0</v>
      </c>
    </row>
    <row r="204" spans="1:24" ht="15" customHeight="1">
      <c r="A204" s="18" t="s">
        <v>380</v>
      </c>
      <c r="B204" s="18">
        <v>6</v>
      </c>
      <c r="C204" s="18">
        <v>4</v>
      </c>
      <c r="D204" s="18">
        <v>1</v>
      </c>
      <c r="E204" s="18">
        <v>1</v>
      </c>
      <c r="F204" s="18">
        <v>0</v>
      </c>
      <c r="G204" s="18">
        <v>0</v>
      </c>
      <c r="H204" s="18">
        <v>0</v>
      </c>
      <c r="I204" s="18">
        <v>0</v>
      </c>
      <c r="J204" s="99">
        <f>SUM(SamplingData[[#This Row],[Losing Candidate]:[Under Votes]])</f>
        <v>12</v>
      </c>
      <c r="K20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204" s="100">
        <f>IF(AND(SamplingData[[#This Row],[Total]]&lt;&gt; 0, NOT(ISBLANK(SamplingData[[#This Row],[Candidate 3]]))),(SamplingData[[#This Row],[Total]]+SamplingData[[#This Row],[Winning Candidate]]-SamplingData[[#This Row],[Candidate 3]])/(SamplingData[[#Totals],[Winning Candidate]]-SamplingData[[#Totals],[Candidate 3]]), 0)</f>
        <v>4.8391779849662873E-4</v>
      </c>
      <c r="M204" s="100">
        <f>IF(AND(SamplingData[[#This Row],[Total]]&lt;&gt; 0, NOT(ISBLANK(SamplingData[[#This Row],[Candidate 4]]))),(SamplingData[[#This Row],[Total]]+SamplingData[[#This Row],[Winning Candidate]]-SamplingData[[#This Row],[Candidate 4]])/(SamplingData[[#Totals],[Winning Candidate]]-SamplingData[[#Totals],[Candidate 4]]), 0)</f>
        <v>4.3848110146452689E-4</v>
      </c>
      <c r="N204" s="100">
        <f>IF(AND(SamplingData[[#This Row],[Total]]&lt;&gt; 0, NOT(ISBLANK(SamplingData[[#This Row],[Candidate 5]]))),(SamplingData[[#This Row],[Total]]+SamplingData[[#This Row],[Winning Candidate]]-SamplingData[[#This Row],[Candidate 5]])/(SamplingData[[#Totals],[Winning Candidate]]-SamplingData[[#Totals],[Candidate 5]]), 0)</f>
        <v>3.8919970810021893E-4</v>
      </c>
      <c r="O204" s="100">
        <f>IF(AND(SamplingData[[#This Row],[Total]]&lt;&gt; 0, NOT(ISBLANK(SamplingData[[#This Row],[Candidate 6]]))),(SamplingData[[#This Row],[Total]]+SamplingData[[#This Row],[Winning Candidate]]-SamplingData[[#This Row],[Candidate 6]])/(SamplingData[[#Totals],[Winning Candidate]]-SamplingData[[#Totals],[Candidate 6]]), 0)</f>
        <v>3.8908613394290161E-4</v>
      </c>
      <c r="P204" s="100">
        <f>MAX(SamplingData[[#This Row],[Error Bound (up) - Max. possible relative overstatement - Losing Candidate]:[Error Bound (up) - Max. possible relative overstatement - Candidate 6]])</f>
        <v>6.1244487996080352E-4</v>
      </c>
      <c r="Q204" s="100">
        <f>IF(SamplingData[[#This Row],[Max Error Bound (up)]] = 0,0,SamplingData[[#This Row],[Max Error Bound (up)]]/SamplingData[[#Totals],[Max Error Bound (up)]])</f>
        <v>9.6929482784458319E-5</v>
      </c>
      <c r="R204" s="101">
        <f>SUM($Q$5:Q204)</f>
        <v>0.14579698670680663</v>
      </c>
      <c r="S204" s="100" t="str">
        <f t="array" ref="S204">IF(SamplingData[[#This Row],[up/U Selection Probability]] = 0, "Zero", TEXT(SamplingData[[#This Row],[Lower Range]], REPT("0",LEN('General Info'!$B$40))) &amp; " - " &amp; TEXT(SamplingData[[#This Row],[Upper Range]], REPT("0",LEN('General Info'!$B$40))))</f>
        <v>14570 - 14579</v>
      </c>
      <c r="T204" s="100">
        <f>SamplingData[[#This Row],[Upper Range]]-SamplingData[[#This Row],[Span]]</f>
        <v>14570.0058193317</v>
      </c>
      <c r="U204" s="100">
        <f>IF(ISNUMBER('General Info'!$B$40), ((SamplingData[[#This Row],[up/U Selection Probability]]) * 'General Info'!$B$40) - 1, 0)</f>
        <v>8.6928513489630479</v>
      </c>
      <c r="V204" s="100">
        <f>IF(ISNUMBER('General Info'!$B$40), (SamplingData[[#This Row],[Running (cumulative) sum]] * ('General Info'!$B$40 -'General Info'!$B$41 + 1)) + 'General Info'!$B$41 - 1, 0)</f>
        <v>14578.698670680664</v>
      </c>
      <c r="W204" s="100" t="str">
        <f>IF(ISERROR(MATCH(SamplingData[[#This Row],[Batch by Type (p)]],SelectedPrecincts[Batch Name], 0)), "", INDEX(SelectedPrecincts[Draw], MATCH(SamplingData[[#This Row],[Batch by Type (p)]],SelectedPrecincts[Batch Name], 0)))</f>
        <v/>
      </c>
      <c r="X204" s="102">
        <f>IF(COUNTIF(SelectedPrecincts[Batch Name],SamplingData[[#This Row],[Batch by Type (p)]]) &lt;&gt; 0, COUNTIF(SelectedPrecincts[Batch Name],SamplingData[[#This Row],[Batch by Type (p)]]), 0)</f>
        <v>0</v>
      </c>
    </row>
    <row r="205" spans="1:24" ht="15" customHeight="1">
      <c r="A205" s="18" t="s">
        <v>381</v>
      </c>
      <c r="B205" s="18">
        <v>36</v>
      </c>
      <c r="C205" s="18">
        <v>41</v>
      </c>
      <c r="D205" s="16">
        <v>13</v>
      </c>
      <c r="E205" s="16">
        <v>5</v>
      </c>
      <c r="F205" s="37">
        <v>1</v>
      </c>
      <c r="G205" s="37">
        <v>0</v>
      </c>
      <c r="H205" s="17">
        <v>0</v>
      </c>
      <c r="I205" s="17">
        <v>1</v>
      </c>
      <c r="J205" s="99">
        <f>SUM(SamplingData[[#This Row],[Losing Candidate]:[Under Votes]])</f>
        <v>97</v>
      </c>
      <c r="K205" s="100">
        <f>IF(AND(SamplingData[[#This Row],[Total]]&lt;&gt; 0, NOT(ISBLANK(SamplingData[[#This Row],[Losing Candidate]]))),(SamplingData[[#This Row],[Total]]+SamplingData[[#This Row],[Winning Candidate]]-SamplingData[[#This Row],[Losing Candidate]])/(SamplingData[[#Totals],[Winning Candidate]]-SamplingData[[#Totals],[Losing Candidate]]), 0)</f>
        <v>6.2469377756001962E-3</v>
      </c>
      <c r="L205" s="100">
        <f>IF(AND(SamplingData[[#This Row],[Total]]&lt;&gt; 0, NOT(ISBLANK(SamplingData[[#This Row],[Candidate 3]]))),(SamplingData[[#This Row],[Total]]+SamplingData[[#This Row],[Winning Candidate]]-SamplingData[[#This Row],[Candidate 3]])/(SamplingData[[#Totals],[Winning Candidate]]-SamplingData[[#Totals],[Candidate 3]]), 0)</f>
        <v>4.0326483208052389E-3</v>
      </c>
      <c r="M205" s="100">
        <f>IF(AND(SamplingData[[#This Row],[Total]]&lt;&gt; 0, NOT(ISBLANK(SamplingData[[#This Row],[Candidate 4]]))),(SamplingData[[#This Row],[Total]]+SamplingData[[#This Row],[Winning Candidate]]-SamplingData[[#This Row],[Candidate 4]])/(SamplingData[[#Totals],[Winning Candidate]]-SamplingData[[#Totals],[Candidate 4]]), 0)</f>
        <v>3.8878657663188052E-3</v>
      </c>
      <c r="N205" s="100">
        <f>IF(AND(SamplingData[[#This Row],[Total]]&lt;&gt; 0, NOT(ISBLANK(SamplingData[[#This Row],[Candidate 5]]))),(SamplingData[[#This Row],[Total]]+SamplingData[[#This Row],[Winning Candidate]]-SamplingData[[#This Row],[Candidate 5]])/(SamplingData[[#Totals],[Winning Candidate]]-SamplingData[[#Totals],[Candidate 5]]), 0)</f>
        <v>3.3325225006081245E-3</v>
      </c>
      <c r="O205" s="100">
        <f>IF(AND(SamplingData[[#This Row],[Total]]&lt;&gt; 0, NOT(ISBLANK(SamplingData[[#This Row],[Candidate 6]]))),(SamplingData[[#This Row],[Total]]+SamplingData[[#This Row],[Winning Candidate]]-SamplingData[[#This Row],[Candidate 6]])/(SamplingData[[#Totals],[Winning Candidate]]-SamplingData[[#Totals],[Candidate 6]]), 0)</f>
        <v>3.3558679052575263E-3</v>
      </c>
      <c r="P205" s="100">
        <f>MAX(SamplingData[[#This Row],[Error Bound (up) - Max. possible relative overstatement - Losing Candidate]:[Error Bound (up) - Max. possible relative overstatement - Candidate 6]])</f>
        <v>6.2469377756001962E-3</v>
      </c>
      <c r="Q205" s="100">
        <f>IF(SamplingData[[#This Row],[Max Error Bound (up)]] = 0,0,SamplingData[[#This Row],[Max Error Bound (up)]]/SamplingData[[#Totals],[Max Error Bound (up)]])</f>
        <v>9.8868072440147481E-4</v>
      </c>
      <c r="R205" s="101">
        <f>SUM($Q$5:Q205)</f>
        <v>0.14678566743120811</v>
      </c>
      <c r="S205" s="100" t="str">
        <f t="array" ref="S205">IF(SamplingData[[#This Row],[up/U Selection Probability]] = 0, "Zero", TEXT(SamplingData[[#This Row],[Lower Range]], REPT("0",LEN('General Info'!$B$40))) &amp; " - " &amp; TEXT(SamplingData[[#This Row],[Upper Range]], REPT("0",LEN('General Info'!$B$40))))</f>
        <v>14580 - 14678</v>
      </c>
      <c r="T205" s="100">
        <f>SamplingData[[#This Row],[Upper Range]]-SamplingData[[#This Row],[Span]]</f>
        <v>14579.699659361388</v>
      </c>
      <c r="U205" s="100">
        <f>IF(ISNUMBER('General Info'!$B$40), ((SamplingData[[#This Row],[up/U Selection Probability]]) * 'General Info'!$B$40) - 1, 0)</f>
        <v>97.867083759423082</v>
      </c>
      <c r="V205" s="100">
        <f>IF(ISNUMBER('General Info'!$B$40), (SamplingData[[#This Row],[Running (cumulative) sum]] * ('General Info'!$B$40 -'General Info'!$B$41 + 1)) + 'General Info'!$B$41 - 1, 0)</f>
        <v>14677.566743120811</v>
      </c>
      <c r="W205" s="100" t="str">
        <f>IF(ISERROR(MATCH(SamplingData[[#This Row],[Batch by Type (p)]],SelectedPrecincts[Batch Name], 0)), "", INDEX(SelectedPrecincts[Draw], MATCH(SamplingData[[#This Row],[Batch by Type (p)]],SelectedPrecincts[Batch Name], 0)))</f>
        <v/>
      </c>
      <c r="X205" s="102">
        <f>IF(COUNTIF(SelectedPrecincts[Batch Name],SamplingData[[#This Row],[Batch by Type (p)]]) &lt;&gt; 0, COUNTIF(SelectedPrecincts[Batch Name],SamplingData[[#This Row],[Batch by Type (p)]]), 0)</f>
        <v>0</v>
      </c>
    </row>
    <row r="206" spans="1:24" ht="15" customHeight="1">
      <c r="A206" s="18" t="s">
        <v>382</v>
      </c>
      <c r="B206" s="18">
        <v>16</v>
      </c>
      <c r="C206" s="18">
        <v>14</v>
      </c>
      <c r="D206" s="18">
        <v>6</v>
      </c>
      <c r="E206" s="18">
        <v>4</v>
      </c>
      <c r="F206" s="18">
        <v>1</v>
      </c>
      <c r="G206" s="18">
        <v>0</v>
      </c>
      <c r="H206" s="18">
        <v>0</v>
      </c>
      <c r="I206" s="18">
        <v>0</v>
      </c>
      <c r="J206" s="99">
        <f>SUM(SamplingData[[#This Row],[Losing Candidate]:[Under Votes]])</f>
        <v>41</v>
      </c>
      <c r="K206"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206" s="100">
        <f>IF(AND(SamplingData[[#This Row],[Total]]&lt;&gt; 0, NOT(ISBLANK(SamplingData[[#This Row],[Candidate 3]]))),(SamplingData[[#This Row],[Total]]+SamplingData[[#This Row],[Winning Candidate]]-SamplingData[[#This Row],[Candidate 3]])/(SamplingData[[#Totals],[Winning Candidate]]-SamplingData[[#Totals],[Candidate 3]]), 0)</f>
        <v>1.5807981417556537E-3</v>
      </c>
      <c r="M206" s="100">
        <f>IF(AND(SamplingData[[#This Row],[Total]]&lt;&gt; 0, NOT(ISBLANK(SamplingData[[#This Row],[Candidate 4]]))),(SamplingData[[#This Row],[Total]]+SamplingData[[#This Row],[Winning Candidate]]-SamplingData[[#This Row],[Candidate 4]])/(SamplingData[[#Totals],[Winning Candidate]]-SamplingData[[#Totals],[Candidate 4]]), 0)</f>
        <v>1.4908357449793914E-3</v>
      </c>
      <c r="N206" s="100">
        <f>IF(AND(SamplingData[[#This Row],[Total]]&lt;&gt; 0, NOT(ISBLANK(SamplingData[[#This Row],[Candidate 5]]))),(SamplingData[[#This Row],[Total]]+SamplingData[[#This Row],[Winning Candidate]]-SamplingData[[#This Row],[Candidate 5]])/(SamplingData[[#Totals],[Winning Candidate]]-SamplingData[[#Totals],[Candidate 5]]), 0)</f>
        <v>1.3135490148382389E-3</v>
      </c>
      <c r="O206" s="100">
        <f>IF(AND(SamplingData[[#This Row],[Total]]&lt;&gt; 0, NOT(ISBLANK(SamplingData[[#This Row],[Candidate 6]]))),(SamplingData[[#This Row],[Total]]+SamplingData[[#This Row],[Winning Candidate]]-SamplingData[[#This Row],[Candidate 6]])/(SamplingData[[#Totals],[Winning Candidate]]-SamplingData[[#Totals],[Candidate 6]]), 0)</f>
        <v>1.3374835854287244E-3</v>
      </c>
      <c r="P206" s="100">
        <f>MAX(SamplingData[[#This Row],[Error Bound (up) - Max. possible relative overstatement - Losing Candidate]:[Error Bound (up) - Max. possible relative overstatement - Candidate 6]])</f>
        <v>2.3885350318471337E-3</v>
      </c>
      <c r="Q206" s="100">
        <f>IF(SamplingData[[#This Row],[Max Error Bound (up)]] = 0,0,SamplingData[[#This Row],[Max Error Bound (up)]]/SamplingData[[#Totals],[Max Error Bound (up)]])</f>
        <v>3.7802498285938744E-4</v>
      </c>
      <c r="R206" s="101">
        <f>SUM($Q$5:Q206)</f>
        <v>0.14716369241406749</v>
      </c>
      <c r="S206" s="100" t="str">
        <f t="array" ref="S206">IF(SamplingData[[#This Row],[up/U Selection Probability]] = 0, "Zero", TEXT(SamplingData[[#This Row],[Lower Range]], REPT("0",LEN('General Info'!$B$40))) &amp; " - " &amp; TEXT(SamplingData[[#This Row],[Upper Range]], REPT("0",LEN('General Info'!$B$40))))</f>
        <v>14679 - 14715</v>
      </c>
      <c r="T206" s="100">
        <f>SamplingData[[#This Row],[Upper Range]]-SamplingData[[#This Row],[Span]]</f>
        <v>14678.567121145792</v>
      </c>
      <c r="U206" s="100">
        <f>IF(ISNUMBER('General Info'!$B$40), ((SamplingData[[#This Row],[up/U Selection Probability]]) * 'General Info'!$B$40) - 1, 0)</f>
        <v>36.802120260955881</v>
      </c>
      <c r="V206" s="100">
        <f>IF(ISNUMBER('General Info'!$B$40), (SamplingData[[#This Row],[Running (cumulative) sum]] * ('General Info'!$B$40 -'General Info'!$B$41 + 1)) + 'General Info'!$B$41 - 1, 0)</f>
        <v>14715.369241406748</v>
      </c>
      <c r="W206" s="100" t="str">
        <f>IF(ISERROR(MATCH(SamplingData[[#This Row],[Batch by Type (p)]],SelectedPrecincts[Batch Name], 0)), "", INDEX(SelectedPrecincts[Draw], MATCH(SamplingData[[#This Row],[Batch by Type (p)]],SelectedPrecincts[Batch Name], 0)))</f>
        <v/>
      </c>
      <c r="X206" s="102">
        <f>IF(COUNTIF(SelectedPrecincts[Batch Name],SamplingData[[#This Row],[Batch by Type (p)]]) &lt;&gt; 0, COUNTIF(SelectedPrecincts[Batch Name],SamplingData[[#This Row],[Batch by Type (p)]]), 0)</f>
        <v>0</v>
      </c>
    </row>
    <row r="207" spans="1:24" ht="15" customHeight="1">
      <c r="A207" s="18" t="s">
        <v>383</v>
      </c>
      <c r="B207" s="18">
        <v>26</v>
      </c>
      <c r="C207" s="18">
        <v>39</v>
      </c>
      <c r="D207" s="16">
        <v>6</v>
      </c>
      <c r="E207" s="16">
        <v>15</v>
      </c>
      <c r="F207" s="37">
        <v>0</v>
      </c>
      <c r="G207" s="37">
        <v>1</v>
      </c>
      <c r="H207" s="17">
        <v>1</v>
      </c>
      <c r="I207" s="17">
        <v>8</v>
      </c>
      <c r="J207" s="99">
        <f>SUM(SamplingData[[#This Row],[Losing Candidate]:[Under Votes]])</f>
        <v>96</v>
      </c>
      <c r="K207" s="100">
        <f>IF(AND(SamplingData[[#This Row],[Total]]&lt;&gt; 0, NOT(ISBLANK(SamplingData[[#This Row],[Losing Candidate]]))),(SamplingData[[#This Row],[Total]]+SamplingData[[#This Row],[Winning Candidate]]-SamplingData[[#This Row],[Losing Candidate]])/(SamplingData[[#Totals],[Winning Candidate]]-SamplingData[[#Totals],[Losing Candidate]]), 0)</f>
        <v>6.6756491915727582E-3</v>
      </c>
      <c r="L207" s="100">
        <f>IF(AND(SamplingData[[#This Row],[Total]]&lt;&gt; 0, NOT(ISBLANK(SamplingData[[#This Row],[Candidate 3]]))),(SamplingData[[#This Row],[Total]]+SamplingData[[#This Row],[Winning Candidate]]-SamplingData[[#This Row],[Candidate 3]])/(SamplingData[[#Totals],[Winning Candidate]]-SamplingData[[#Totals],[Candidate 3]]), 0)</f>
        <v>4.1616930670710069E-3</v>
      </c>
      <c r="M207" s="100">
        <f>IF(AND(SamplingData[[#This Row],[Total]]&lt;&gt; 0, NOT(ISBLANK(SamplingData[[#This Row],[Candidate 4]]))),(SamplingData[[#This Row],[Total]]+SamplingData[[#This Row],[Winning Candidate]]-SamplingData[[#This Row],[Candidate 4]])/(SamplingData[[#Totals],[Winning Candidate]]-SamplingData[[#Totals],[Candidate 4]]), 0)</f>
        <v>3.5078488117162151E-3</v>
      </c>
      <c r="N207" s="100">
        <f>IF(AND(SamplingData[[#This Row],[Total]]&lt;&gt; 0, NOT(ISBLANK(SamplingData[[#This Row],[Candidate 5]]))),(SamplingData[[#This Row],[Total]]+SamplingData[[#This Row],[Winning Candidate]]-SamplingData[[#This Row],[Candidate 5]])/(SamplingData[[#Totals],[Winning Candidate]]-SamplingData[[#Totals],[Candidate 5]]), 0)</f>
        <v>3.2838725370955973E-3</v>
      </c>
      <c r="O207" s="100">
        <f>IF(AND(SamplingData[[#This Row],[Total]]&lt;&gt; 0, NOT(ISBLANK(SamplingData[[#This Row],[Candidate 6]]))),(SamplingData[[#This Row],[Total]]+SamplingData[[#This Row],[Winning Candidate]]-SamplingData[[#This Row],[Candidate 6]])/(SamplingData[[#Totals],[Winning Candidate]]-SamplingData[[#Totals],[Candidate 6]]), 0)</f>
        <v>3.2585963717718012E-3</v>
      </c>
      <c r="P207" s="100">
        <f>MAX(SamplingData[[#This Row],[Error Bound (up) - Max. possible relative overstatement - Losing Candidate]:[Error Bound (up) - Max. possible relative overstatement - Candidate 6]])</f>
        <v>6.6756491915727582E-3</v>
      </c>
      <c r="Q207" s="100">
        <f>IF(SamplingData[[#This Row],[Max Error Bound (up)]] = 0,0,SamplingData[[#This Row],[Max Error Bound (up)]]/SamplingData[[#Totals],[Max Error Bound (up)]])</f>
        <v>1.0565313623505956E-3</v>
      </c>
      <c r="R207" s="101">
        <f>SUM($Q$5:Q207)</f>
        <v>0.14822022377641808</v>
      </c>
      <c r="S207" s="100" t="str">
        <f t="array" ref="S207">IF(SamplingData[[#This Row],[up/U Selection Probability]] = 0, "Zero", TEXT(SamplingData[[#This Row],[Lower Range]], REPT("0",LEN('General Info'!$B$40))) &amp; " - " &amp; TEXT(SamplingData[[#This Row],[Upper Range]], REPT("0",LEN('General Info'!$B$40))))</f>
        <v>14716 - 14821</v>
      </c>
      <c r="T207" s="100">
        <f>SamplingData[[#This Row],[Upper Range]]-SamplingData[[#This Row],[Span]]</f>
        <v>14716.370297938111</v>
      </c>
      <c r="U207" s="100">
        <f>IF(ISNUMBER('General Info'!$B$40), ((SamplingData[[#This Row],[up/U Selection Probability]]) * 'General Info'!$B$40) - 1, 0)</f>
        <v>104.65207970369721</v>
      </c>
      <c r="V207" s="100">
        <f>IF(ISNUMBER('General Info'!$B$40), (SamplingData[[#This Row],[Running (cumulative) sum]] * ('General Info'!$B$40 -'General Info'!$B$41 + 1)) + 'General Info'!$B$41 - 1, 0)</f>
        <v>14821.022377641808</v>
      </c>
      <c r="W207" s="100" t="str">
        <f>IF(ISERROR(MATCH(SamplingData[[#This Row],[Batch by Type (p)]],SelectedPrecincts[Batch Name], 0)), "", INDEX(SelectedPrecincts[Draw], MATCH(SamplingData[[#This Row],[Batch by Type (p)]],SelectedPrecincts[Batch Name], 0)))</f>
        <v/>
      </c>
      <c r="X207" s="102">
        <f>IF(COUNTIF(SelectedPrecincts[Batch Name],SamplingData[[#This Row],[Batch by Type (p)]]) &lt;&gt; 0, COUNTIF(SelectedPrecincts[Batch Name],SamplingData[[#This Row],[Batch by Type (p)]]), 0)</f>
        <v>0</v>
      </c>
    </row>
    <row r="208" spans="1:24" ht="15" customHeight="1">
      <c r="A208" s="18" t="s">
        <v>384</v>
      </c>
      <c r="B208" s="18">
        <v>11</v>
      </c>
      <c r="C208" s="18">
        <v>7</v>
      </c>
      <c r="D208" s="18">
        <v>2</v>
      </c>
      <c r="E208" s="18">
        <v>4</v>
      </c>
      <c r="F208" s="18">
        <v>0</v>
      </c>
      <c r="G208" s="18">
        <v>0</v>
      </c>
      <c r="H208" s="18">
        <v>0</v>
      </c>
      <c r="I208" s="18">
        <v>1</v>
      </c>
      <c r="J208" s="99">
        <f>SUM(SamplingData[[#This Row],[Losing Candidate]:[Under Votes]])</f>
        <v>25</v>
      </c>
      <c r="K208"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208" s="100">
        <f>IF(AND(SamplingData[[#This Row],[Total]]&lt;&gt; 0, NOT(ISBLANK(SamplingData[[#This Row],[Candidate 3]]))),(SamplingData[[#This Row],[Total]]+SamplingData[[#This Row],[Winning Candidate]]-SamplingData[[#This Row],[Candidate 3]])/(SamplingData[[#Totals],[Winning Candidate]]-SamplingData[[#Totals],[Candidate 3]]), 0)</f>
        <v>9.6783559699325746E-4</v>
      </c>
      <c r="M208" s="100">
        <f>IF(AND(SamplingData[[#This Row],[Total]]&lt;&gt; 0, NOT(ISBLANK(SamplingData[[#This Row],[Candidate 4]]))),(SamplingData[[#This Row],[Total]]+SamplingData[[#This Row],[Winning Candidate]]-SamplingData[[#This Row],[Candidate 4]])/(SamplingData[[#Totals],[Winning Candidate]]-SamplingData[[#Totals],[Candidate 4]]), 0)</f>
        <v>8.1849805606711685E-4</v>
      </c>
      <c r="N208" s="100">
        <f>IF(AND(SamplingData[[#This Row],[Total]]&lt;&gt; 0, NOT(ISBLANK(SamplingData[[#This Row],[Candidate 5]]))),(SamplingData[[#This Row],[Total]]+SamplingData[[#This Row],[Winning Candidate]]-SamplingData[[#This Row],[Candidate 5]])/(SamplingData[[#Totals],[Winning Candidate]]-SamplingData[[#Totals],[Candidate 5]]), 0)</f>
        <v>7.7839941620043787E-4</v>
      </c>
      <c r="O208" s="100">
        <f>IF(AND(SamplingData[[#This Row],[Total]]&lt;&gt; 0, NOT(ISBLANK(SamplingData[[#This Row],[Candidate 6]]))),(SamplingData[[#This Row],[Total]]+SamplingData[[#This Row],[Winning Candidate]]-SamplingData[[#This Row],[Candidate 6]])/(SamplingData[[#Totals],[Winning Candidate]]-SamplingData[[#Totals],[Candidate 6]]), 0)</f>
        <v>7.7817226788580321E-4</v>
      </c>
      <c r="P208" s="100">
        <f>MAX(SamplingData[[#This Row],[Error Bound (up) - Max. possible relative overstatement - Losing Candidate]:[Error Bound (up) - Max. possible relative overstatement - Candidate 6]])</f>
        <v>1.2861342479176874E-3</v>
      </c>
      <c r="Q208" s="100">
        <f>IF(SamplingData[[#This Row],[Max Error Bound (up)]] = 0,0,SamplingData[[#This Row],[Max Error Bound (up)]]/SamplingData[[#Totals],[Max Error Bound (up)]])</f>
        <v>2.0355191384736248E-4</v>
      </c>
      <c r="R208" s="101">
        <f>SUM($Q$5:Q208)</f>
        <v>0.14842377569026544</v>
      </c>
      <c r="S208" s="100" t="str">
        <f t="array" ref="S208">IF(SamplingData[[#This Row],[up/U Selection Probability]] = 0, "Zero", TEXT(SamplingData[[#This Row],[Lower Range]], REPT("0",LEN('General Info'!$B$40))) &amp; " - " &amp; TEXT(SamplingData[[#This Row],[Upper Range]], REPT("0",LEN('General Info'!$B$40))))</f>
        <v>14822 - 14841</v>
      </c>
      <c r="T208" s="100">
        <f>SamplingData[[#This Row],[Upper Range]]-SamplingData[[#This Row],[Span]]</f>
        <v>14822.02258119372</v>
      </c>
      <c r="U208" s="100">
        <f>IF(ISNUMBER('General Info'!$B$40), ((SamplingData[[#This Row],[up/U Selection Probability]]) * 'General Info'!$B$40) - 1, 0)</f>
        <v>19.354987832822399</v>
      </c>
      <c r="V208" s="100">
        <f>IF(ISNUMBER('General Info'!$B$40), (SamplingData[[#This Row],[Running (cumulative) sum]] * ('General Info'!$B$40 -'General Info'!$B$41 + 1)) + 'General Info'!$B$41 - 1, 0)</f>
        <v>14841.377569026543</v>
      </c>
      <c r="W208" s="100" t="str">
        <f>IF(ISERROR(MATCH(SamplingData[[#This Row],[Batch by Type (p)]],SelectedPrecincts[Batch Name], 0)), "", INDEX(SelectedPrecincts[Draw], MATCH(SamplingData[[#This Row],[Batch by Type (p)]],SelectedPrecincts[Batch Name], 0)))</f>
        <v/>
      </c>
      <c r="X208" s="102">
        <f>IF(COUNTIF(SelectedPrecincts[Batch Name],SamplingData[[#This Row],[Batch by Type (p)]]) &lt;&gt; 0, COUNTIF(SelectedPrecincts[Batch Name],SamplingData[[#This Row],[Batch by Type (p)]]), 0)</f>
        <v>0</v>
      </c>
    </row>
    <row r="209" spans="1:24" ht="15" customHeight="1">
      <c r="A209" s="18" t="s">
        <v>385</v>
      </c>
      <c r="B209" s="18">
        <v>31</v>
      </c>
      <c r="C209" s="18">
        <v>39</v>
      </c>
      <c r="D209" s="16">
        <v>12</v>
      </c>
      <c r="E209" s="16">
        <v>7</v>
      </c>
      <c r="F209" s="37">
        <v>0</v>
      </c>
      <c r="G209" s="37">
        <v>0</v>
      </c>
      <c r="H209" s="17">
        <v>0</v>
      </c>
      <c r="I209" s="17">
        <v>0</v>
      </c>
      <c r="J209" s="99">
        <f>SUM(SamplingData[[#This Row],[Losing Candidate]:[Under Votes]])</f>
        <v>89</v>
      </c>
      <c r="K209" s="100">
        <f>IF(AND(SamplingData[[#This Row],[Total]]&lt;&gt; 0, NOT(ISBLANK(SamplingData[[#This Row],[Losing Candidate]]))),(SamplingData[[#This Row],[Total]]+SamplingData[[#This Row],[Winning Candidate]]-SamplingData[[#This Row],[Losing Candidate]])/(SamplingData[[#Totals],[Winning Candidate]]-SamplingData[[#Totals],[Losing Candidate]]), 0)</f>
        <v>5.9407153356197942E-3</v>
      </c>
      <c r="L209" s="100">
        <f>IF(AND(SamplingData[[#This Row],[Total]]&lt;&gt; 0, NOT(ISBLANK(SamplingData[[#This Row],[Candidate 3]]))),(SamplingData[[#This Row],[Total]]+SamplingData[[#This Row],[Winning Candidate]]-SamplingData[[#This Row],[Candidate 3]])/(SamplingData[[#Totals],[Winning Candidate]]-SamplingData[[#Totals],[Candidate 3]]), 0)</f>
        <v>3.7422976417072619E-3</v>
      </c>
      <c r="M209" s="100">
        <f>IF(AND(SamplingData[[#This Row],[Total]]&lt;&gt; 0, NOT(ISBLANK(SamplingData[[#This Row],[Candidate 4]]))),(SamplingData[[#This Row],[Total]]+SamplingData[[#This Row],[Winning Candidate]]-SamplingData[[#This Row],[Candidate 4]])/(SamplingData[[#Totals],[Winning Candidate]]-SamplingData[[#Totals],[Candidate 4]]), 0)</f>
        <v>3.5370808851471836E-3</v>
      </c>
      <c r="N209" s="100">
        <f>IF(AND(SamplingData[[#This Row],[Total]]&lt;&gt; 0, NOT(ISBLANK(SamplingData[[#This Row],[Candidate 5]]))),(SamplingData[[#This Row],[Total]]+SamplingData[[#This Row],[Winning Candidate]]-SamplingData[[#This Row],[Candidate 5]])/(SamplingData[[#Totals],[Winning Candidate]]-SamplingData[[#Totals],[Candidate 5]]), 0)</f>
        <v>3.1135976648017515E-3</v>
      </c>
      <c r="O209" s="100">
        <f>IF(AND(SamplingData[[#This Row],[Total]]&lt;&gt; 0, NOT(ISBLANK(SamplingData[[#This Row],[Candidate 6]]))),(SamplingData[[#This Row],[Total]]+SamplingData[[#This Row],[Winning Candidate]]-SamplingData[[#This Row],[Candidate 6]])/(SamplingData[[#Totals],[Winning Candidate]]-SamplingData[[#Totals],[Candidate 6]]), 0)</f>
        <v>3.1126890715432128E-3</v>
      </c>
      <c r="P209" s="100">
        <f>MAX(SamplingData[[#This Row],[Error Bound (up) - Max. possible relative overstatement - Losing Candidate]:[Error Bound (up) - Max. possible relative overstatement - Candidate 6]])</f>
        <v>5.9407153356197942E-3</v>
      </c>
      <c r="Q209" s="100">
        <f>IF(SamplingData[[#This Row],[Max Error Bound (up)]] = 0,0,SamplingData[[#This Row],[Max Error Bound (up)]]/SamplingData[[#Totals],[Max Error Bound (up)]])</f>
        <v>9.4021598300924561E-4</v>
      </c>
      <c r="R209" s="101">
        <f>SUM($Q$5:Q209)</f>
        <v>0.14936399167327469</v>
      </c>
      <c r="S209" s="100" t="str">
        <f t="array" ref="S209">IF(SamplingData[[#This Row],[up/U Selection Probability]] = 0, "Zero", TEXT(SamplingData[[#This Row],[Lower Range]], REPT("0",LEN('General Info'!$B$40))) &amp; " - " &amp; TEXT(SamplingData[[#This Row],[Upper Range]], REPT("0",LEN('General Info'!$B$40))))</f>
        <v>14842 - 14935</v>
      </c>
      <c r="T209" s="100">
        <f>SamplingData[[#This Row],[Upper Range]]-SamplingData[[#This Row],[Span]]</f>
        <v>14842.378509242528</v>
      </c>
      <c r="U209" s="100">
        <f>IF(ISNUMBER('General Info'!$B$40), ((SamplingData[[#This Row],[up/U Selection Probability]]) * 'General Info'!$B$40) - 1, 0)</f>
        <v>93.020658084941559</v>
      </c>
      <c r="V209" s="100">
        <f>IF(ISNUMBER('General Info'!$B$40), (SamplingData[[#This Row],[Running (cumulative) sum]] * ('General Info'!$B$40 -'General Info'!$B$41 + 1)) + 'General Info'!$B$41 - 1, 0)</f>
        <v>14935.399167327469</v>
      </c>
      <c r="W209" s="100" t="str">
        <f>IF(ISERROR(MATCH(SamplingData[[#This Row],[Batch by Type (p)]],SelectedPrecincts[Batch Name], 0)), "", INDEX(SelectedPrecincts[Draw], MATCH(SamplingData[[#This Row],[Batch by Type (p)]],SelectedPrecincts[Batch Name], 0)))</f>
        <v/>
      </c>
      <c r="X209" s="102">
        <f>IF(COUNTIF(SelectedPrecincts[Batch Name],SamplingData[[#This Row],[Batch by Type (p)]]) &lt;&gt; 0, COUNTIF(SelectedPrecincts[Batch Name],SamplingData[[#This Row],[Batch by Type (p)]]), 0)</f>
        <v>0</v>
      </c>
    </row>
    <row r="210" spans="1:24" ht="15" customHeight="1">
      <c r="A210" s="18" t="s">
        <v>386</v>
      </c>
      <c r="B210" s="18">
        <v>8</v>
      </c>
      <c r="C210" s="18">
        <v>10</v>
      </c>
      <c r="D210" s="18">
        <v>1</v>
      </c>
      <c r="E210" s="18">
        <v>1</v>
      </c>
      <c r="F210" s="18">
        <v>0</v>
      </c>
      <c r="G210" s="18">
        <v>2</v>
      </c>
      <c r="H210" s="18">
        <v>0</v>
      </c>
      <c r="I210" s="18">
        <v>1</v>
      </c>
      <c r="J210" s="99">
        <f>SUM(SamplingData[[#This Row],[Losing Candidate]:[Under Votes]])</f>
        <v>23</v>
      </c>
      <c r="K210"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210" s="100">
        <f>IF(AND(SamplingData[[#This Row],[Total]]&lt;&gt; 0, NOT(ISBLANK(SamplingData[[#This Row],[Candidate 3]]))),(SamplingData[[#This Row],[Total]]+SamplingData[[#This Row],[Winning Candidate]]-SamplingData[[#This Row],[Candidate 3]])/(SamplingData[[#Totals],[Winning Candidate]]-SamplingData[[#Totals],[Candidate 3]]), 0)</f>
        <v>1.0323579701261413E-3</v>
      </c>
      <c r="M210" s="100">
        <f>IF(AND(SamplingData[[#This Row],[Total]]&lt;&gt; 0, NOT(ISBLANK(SamplingData[[#This Row],[Candidate 4]]))),(SamplingData[[#This Row],[Total]]+SamplingData[[#This Row],[Winning Candidate]]-SamplingData[[#This Row],[Candidate 4]])/(SamplingData[[#Totals],[Winning Candidate]]-SamplingData[[#Totals],[Candidate 4]]), 0)</f>
        <v>9.3542634979099071E-4</v>
      </c>
      <c r="N210" s="100">
        <f>IF(AND(SamplingData[[#This Row],[Total]]&lt;&gt; 0, NOT(ISBLANK(SamplingData[[#This Row],[Candidate 5]]))),(SamplingData[[#This Row],[Total]]+SamplingData[[#This Row],[Winning Candidate]]-SamplingData[[#This Row],[Candidate 5]])/(SamplingData[[#Totals],[Winning Candidate]]-SamplingData[[#Totals],[Candidate 5]]), 0)</f>
        <v>8.0272439795670155E-4</v>
      </c>
      <c r="O210" s="100">
        <f>IF(AND(SamplingData[[#This Row],[Total]]&lt;&gt; 0, NOT(ISBLANK(SamplingData[[#This Row],[Candidate 6]]))),(SamplingData[[#This Row],[Total]]+SamplingData[[#This Row],[Winning Candidate]]-SamplingData[[#This Row],[Candidate 6]])/(SamplingData[[#Totals],[Winning Candidate]]-SamplingData[[#Totals],[Candidate 6]]), 0)</f>
        <v>7.5385438451437182E-4</v>
      </c>
      <c r="P210" s="100">
        <f>MAX(SamplingData[[#This Row],[Error Bound (up) - Max. possible relative overstatement - Losing Candidate]:[Error Bound (up) - Max. possible relative overstatement - Candidate 6]])</f>
        <v>1.5311121999020088E-3</v>
      </c>
      <c r="Q210" s="100">
        <f>IF(SamplingData[[#This Row],[Max Error Bound (up)]] = 0,0,SamplingData[[#This Row],[Max Error Bound (up)]]/SamplingData[[#Totals],[Max Error Bound (up)]])</f>
        <v>2.4232370696114578E-4</v>
      </c>
      <c r="R210" s="101">
        <f>SUM($Q$5:Q210)</f>
        <v>0.14960631538023583</v>
      </c>
      <c r="S210" s="100" t="str">
        <f t="array" ref="S210">IF(SamplingData[[#This Row],[up/U Selection Probability]] = 0, "Zero", TEXT(SamplingData[[#This Row],[Lower Range]], REPT("0",LEN('General Info'!$B$40))) &amp; " - " &amp; TEXT(SamplingData[[#This Row],[Upper Range]], REPT("0",LEN('General Info'!$B$40))))</f>
        <v>14936 - 14960</v>
      </c>
      <c r="T210" s="100">
        <f>SamplingData[[#This Row],[Upper Range]]-SamplingData[[#This Row],[Span]]</f>
        <v>14936.399409651176</v>
      </c>
      <c r="U210" s="100">
        <f>IF(ISNUMBER('General Info'!$B$40), ((SamplingData[[#This Row],[up/U Selection Probability]]) * 'General Info'!$B$40) - 1, 0)</f>
        <v>23.232128372407619</v>
      </c>
      <c r="V210" s="100">
        <f>IF(ISNUMBER('General Info'!$B$40), (SamplingData[[#This Row],[Running (cumulative) sum]] * ('General Info'!$B$40 -'General Info'!$B$41 + 1)) + 'General Info'!$B$41 - 1, 0)</f>
        <v>14959.631538023583</v>
      </c>
      <c r="W210" s="100" t="str">
        <f>IF(ISERROR(MATCH(SamplingData[[#This Row],[Batch by Type (p)]],SelectedPrecincts[Batch Name], 0)), "", INDEX(SelectedPrecincts[Draw], MATCH(SamplingData[[#This Row],[Batch by Type (p)]],SelectedPrecincts[Batch Name], 0)))</f>
        <v/>
      </c>
      <c r="X210" s="102">
        <f>IF(COUNTIF(SelectedPrecincts[Batch Name],SamplingData[[#This Row],[Batch by Type (p)]]) &lt;&gt; 0, COUNTIF(SelectedPrecincts[Batch Name],SamplingData[[#This Row],[Batch by Type (p)]]), 0)</f>
        <v>0</v>
      </c>
    </row>
    <row r="211" spans="1:24" ht="15" customHeight="1">
      <c r="A211" s="18" t="s">
        <v>387</v>
      </c>
      <c r="B211" s="18">
        <v>15</v>
      </c>
      <c r="C211" s="18">
        <v>12</v>
      </c>
      <c r="D211" s="16">
        <v>5</v>
      </c>
      <c r="E211" s="16">
        <v>6</v>
      </c>
      <c r="F211" s="37">
        <v>0</v>
      </c>
      <c r="G211" s="37">
        <v>0</v>
      </c>
      <c r="H211" s="17">
        <v>0</v>
      </c>
      <c r="I211" s="17">
        <v>0</v>
      </c>
      <c r="J211" s="99">
        <f>SUM(SamplingData[[#This Row],[Losing Candidate]:[Under Votes]])</f>
        <v>38</v>
      </c>
      <c r="K211" s="100">
        <f>IF(AND(SamplingData[[#This Row],[Total]]&lt;&gt; 0, NOT(ISBLANK(SamplingData[[#This Row],[Losing Candidate]]))),(SamplingData[[#This Row],[Total]]+SamplingData[[#This Row],[Winning Candidate]]-SamplingData[[#This Row],[Losing Candidate]])/(SamplingData[[#Totals],[Winning Candidate]]-SamplingData[[#Totals],[Losing Candidate]]), 0)</f>
        <v>2.1435570798628125E-3</v>
      </c>
      <c r="L211" s="100">
        <f>IF(AND(SamplingData[[#This Row],[Total]]&lt;&gt; 0, NOT(ISBLANK(SamplingData[[#This Row],[Candidate 3]]))),(SamplingData[[#This Row],[Total]]+SamplingData[[#This Row],[Winning Candidate]]-SamplingData[[#This Row],[Candidate 3]])/(SamplingData[[#Totals],[Winning Candidate]]-SamplingData[[#Totals],[Candidate 3]]), 0)</f>
        <v>1.4517533954898861E-3</v>
      </c>
      <c r="M211" s="100">
        <f>IF(AND(SamplingData[[#This Row],[Total]]&lt;&gt; 0, NOT(ISBLANK(SamplingData[[#This Row],[Candidate 4]]))),(SamplingData[[#This Row],[Total]]+SamplingData[[#This Row],[Winning Candidate]]-SamplingData[[#This Row],[Candidate 4]])/(SamplingData[[#Totals],[Winning Candidate]]-SamplingData[[#Totals],[Candidate 4]]), 0)</f>
        <v>1.2862112309626121E-3</v>
      </c>
      <c r="N211" s="100">
        <f>IF(AND(SamplingData[[#This Row],[Total]]&lt;&gt; 0, NOT(ISBLANK(SamplingData[[#This Row],[Candidate 5]]))),(SamplingData[[#This Row],[Total]]+SamplingData[[#This Row],[Winning Candidate]]-SamplingData[[#This Row],[Candidate 5]])/(SamplingData[[#Totals],[Winning Candidate]]-SamplingData[[#Totals],[Candidate 5]]), 0)</f>
        <v>1.2162490878131842E-3</v>
      </c>
      <c r="O211" s="100">
        <f>IF(AND(SamplingData[[#This Row],[Total]]&lt;&gt; 0, NOT(ISBLANK(SamplingData[[#This Row],[Candidate 6]]))),(SamplingData[[#This Row],[Total]]+SamplingData[[#This Row],[Winning Candidate]]-SamplingData[[#This Row],[Candidate 6]])/(SamplingData[[#Totals],[Winning Candidate]]-SamplingData[[#Totals],[Candidate 6]]), 0)</f>
        <v>1.2158941685715674E-3</v>
      </c>
      <c r="P211" s="100">
        <f>MAX(SamplingData[[#This Row],[Error Bound (up) - Max. possible relative overstatement - Losing Candidate]:[Error Bound (up) - Max. possible relative overstatement - Candidate 6]])</f>
        <v>2.1435570798628125E-3</v>
      </c>
      <c r="Q211" s="100">
        <f>IF(SamplingData[[#This Row],[Max Error Bound (up)]] = 0,0,SamplingData[[#This Row],[Max Error Bound (up)]]/SamplingData[[#Totals],[Max Error Bound (up)]])</f>
        <v>3.3925318974560413E-4</v>
      </c>
      <c r="R211" s="101">
        <f>SUM($Q$5:Q211)</f>
        <v>0.14994556856998142</v>
      </c>
      <c r="S211" s="100" t="str">
        <f t="array" ref="S211">IF(SamplingData[[#This Row],[up/U Selection Probability]] = 0, "Zero", TEXT(SamplingData[[#This Row],[Lower Range]], REPT("0",LEN('General Info'!$B$40))) &amp; " - " &amp; TEXT(SamplingData[[#This Row],[Upper Range]], REPT("0",LEN('General Info'!$B$40))))</f>
        <v>14961 - 14994</v>
      </c>
      <c r="T211" s="100">
        <f>SamplingData[[#This Row],[Upper Range]]-SamplingData[[#This Row],[Span]]</f>
        <v>14960.631877276772</v>
      </c>
      <c r="U211" s="100">
        <f>IF(ISNUMBER('General Info'!$B$40), ((SamplingData[[#This Row],[up/U Selection Probability]]) * 'General Info'!$B$40) - 1, 0)</f>
        <v>32.924979721370669</v>
      </c>
      <c r="V211" s="100">
        <f>IF(ISNUMBER('General Info'!$B$40), (SamplingData[[#This Row],[Running (cumulative) sum]] * ('General Info'!$B$40 -'General Info'!$B$41 + 1)) + 'General Info'!$B$41 - 1, 0)</f>
        <v>14993.556856998142</v>
      </c>
      <c r="W211" s="100" t="str">
        <f>IF(ISERROR(MATCH(SamplingData[[#This Row],[Batch by Type (p)]],SelectedPrecincts[Batch Name], 0)), "", INDEX(SelectedPrecincts[Draw], MATCH(SamplingData[[#This Row],[Batch by Type (p)]],SelectedPrecincts[Batch Name], 0)))</f>
        <v/>
      </c>
      <c r="X211" s="102">
        <f>IF(COUNTIF(SelectedPrecincts[Batch Name],SamplingData[[#This Row],[Batch by Type (p)]]) &lt;&gt; 0, COUNTIF(SelectedPrecincts[Batch Name],SamplingData[[#This Row],[Batch by Type (p)]]), 0)</f>
        <v>0</v>
      </c>
    </row>
    <row r="212" spans="1:24" ht="15" customHeight="1">
      <c r="A212" s="18" t="s">
        <v>388</v>
      </c>
      <c r="B212" s="18">
        <v>4</v>
      </c>
      <c r="C212" s="18">
        <v>2</v>
      </c>
      <c r="D212" s="18">
        <v>2</v>
      </c>
      <c r="E212" s="18">
        <v>1</v>
      </c>
      <c r="F212" s="18">
        <v>0</v>
      </c>
      <c r="G212" s="18">
        <v>0</v>
      </c>
      <c r="H212" s="18">
        <v>0</v>
      </c>
      <c r="I212" s="18">
        <v>0</v>
      </c>
      <c r="J212" s="99">
        <f>SUM(SamplingData[[#This Row],[Losing Candidate]:[Under Votes]])</f>
        <v>9</v>
      </c>
      <c r="K212"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212" s="100">
        <f>IF(AND(SamplingData[[#This Row],[Total]]&lt;&gt; 0, NOT(ISBLANK(SamplingData[[#This Row],[Candidate 3]]))),(SamplingData[[#This Row],[Total]]+SamplingData[[#This Row],[Winning Candidate]]-SamplingData[[#This Row],[Candidate 3]])/(SamplingData[[#Totals],[Winning Candidate]]-SamplingData[[#Totals],[Candidate 3]]), 0)</f>
        <v>2.9035067909797722E-4</v>
      </c>
      <c r="M212" s="100">
        <f>IF(AND(SamplingData[[#This Row],[Total]]&lt;&gt; 0, NOT(ISBLANK(SamplingData[[#This Row],[Candidate 4]]))),(SamplingData[[#This Row],[Total]]+SamplingData[[#This Row],[Winning Candidate]]-SamplingData[[#This Row],[Candidate 4]])/(SamplingData[[#Totals],[Winning Candidate]]-SamplingData[[#Totals],[Candidate 4]]), 0)</f>
        <v>2.9232073430968461E-4</v>
      </c>
      <c r="N212" s="100">
        <f>IF(AND(SamplingData[[#This Row],[Total]]&lt;&gt; 0, NOT(ISBLANK(SamplingData[[#This Row],[Candidate 5]]))),(SamplingData[[#This Row],[Total]]+SamplingData[[#This Row],[Winning Candidate]]-SamplingData[[#This Row],[Candidate 5]])/(SamplingData[[#Totals],[Winning Candidate]]-SamplingData[[#Totals],[Candidate 5]]), 0)</f>
        <v>2.6757479931890053E-4</v>
      </c>
      <c r="O212" s="100">
        <f>IF(AND(SamplingData[[#This Row],[Total]]&lt;&gt; 0, NOT(ISBLANK(SamplingData[[#This Row],[Candidate 6]]))),(SamplingData[[#This Row],[Total]]+SamplingData[[#This Row],[Winning Candidate]]-SamplingData[[#This Row],[Candidate 6]])/(SamplingData[[#Totals],[Winning Candidate]]-SamplingData[[#Totals],[Candidate 6]]), 0)</f>
        <v>2.6749671708574483E-4</v>
      </c>
      <c r="P212" s="100">
        <f>MAX(SamplingData[[#This Row],[Error Bound (up) - Max. possible relative overstatement - Losing Candidate]:[Error Bound (up) - Max. possible relative overstatement - Candidate 6]])</f>
        <v>4.2871141597256246E-4</v>
      </c>
      <c r="Q212" s="100">
        <f>IF(SamplingData[[#This Row],[Max Error Bound (up)]] = 0,0,SamplingData[[#This Row],[Max Error Bound (up)]]/SamplingData[[#Totals],[Max Error Bound (up)]])</f>
        <v>6.7850637949120826E-5</v>
      </c>
      <c r="R212" s="101">
        <f>SUM($Q$5:Q212)</f>
        <v>0.15001341920793054</v>
      </c>
      <c r="S212" s="100" t="str">
        <f t="array" ref="S212">IF(SamplingData[[#This Row],[up/U Selection Probability]] = 0, "Zero", TEXT(SamplingData[[#This Row],[Lower Range]], REPT("0",LEN('General Info'!$B$40))) &amp; " - " &amp; TEXT(SamplingData[[#This Row],[Upper Range]], REPT("0",LEN('General Info'!$B$40))))</f>
        <v>14995 - 15000</v>
      </c>
      <c r="T212" s="100">
        <f>SamplingData[[#This Row],[Upper Range]]-SamplingData[[#This Row],[Span]]</f>
        <v>14994.556924848781</v>
      </c>
      <c r="U212" s="100">
        <f>IF(ISNUMBER('General Info'!$B$40), ((SamplingData[[#This Row],[up/U Selection Probability]]) * 'General Info'!$B$40) - 1, 0)</f>
        <v>5.7849959442741339</v>
      </c>
      <c r="V212" s="100">
        <f>IF(ISNUMBER('General Info'!$B$40), (SamplingData[[#This Row],[Running (cumulative) sum]] * ('General Info'!$B$40 -'General Info'!$B$41 + 1)) + 'General Info'!$B$41 - 1, 0)</f>
        <v>15000.341920793055</v>
      </c>
      <c r="W212" s="100" t="str">
        <f>IF(ISERROR(MATCH(SamplingData[[#This Row],[Batch by Type (p)]],SelectedPrecincts[Batch Name], 0)), "", INDEX(SelectedPrecincts[Draw], MATCH(SamplingData[[#This Row],[Batch by Type (p)]],SelectedPrecincts[Batch Name], 0)))</f>
        <v/>
      </c>
      <c r="X212" s="102">
        <f>IF(COUNTIF(SelectedPrecincts[Batch Name],SamplingData[[#This Row],[Batch by Type (p)]]) &lt;&gt; 0, COUNTIF(SelectedPrecincts[Batch Name],SamplingData[[#This Row],[Batch by Type (p)]]), 0)</f>
        <v>0</v>
      </c>
    </row>
    <row r="213" spans="1:24" ht="15" customHeight="1">
      <c r="A213" s="18" t="s">
        <v>389</v>
      </c>
      <c r="B213" s="18">
        <v>27</v>
      </c>
      <c r="C213" s="18">
        <v>34</v>
      </c>
      <c r="D213" s="16">
        <v>11</v>
      </c>
      <c r="E213" s="16">
        <v>6</v>
      </c>
      <c r="F213" s="37">
        <v>0</v>
      </c>
      <c r="G213" s="37">
        <v>0</v>
      </c>
      <c r="H213" s="17">
        <v>0</v>
      </c>
      <c r="I213" s="17">
        <v>0</v>
      </c>
      <c r="J213" s="99">
        <f>SUM(SamplingData[[#This Row],[Losing Candidate]:[Under Votes]])</f>
        <v>78</v>
      </c>
      <c r="K213" s="100">
        <f>IF(AND(SamplingData[[#This Row],[Total]]&lt;&gt; 0, NOT(ISBLANK(SamplingData[[#This Row],[Losing Candidate]]))),(SamplingData[[#This Row],[Total]]+SamplingData[[#This Row],[Winning Candidate]]-SamplingData[[#This Row],[Losing Candidate]])/(SamplingData[[#Totals],[Winning Candidate]]-SamplingData[[#Totals],[Losing Candidate]]), 0)</f>
        <v>5.2057814796668302E-3</v>
      </c>
      <c r="L213" s="100">
        <f>IF(AND(SamplingData[[#This Row],[Total]]&lt;&gt; 0, NOT(ISBLANK(SamplingData[[#This Row],[Candidate 3]]))),(SamplingData[[#This Row],[Total]]+SamplingData[[#This Row],[Winning Candidate]]-SamplingData[[#This Row],[Candidate 3]])/(SamplingData[[#Totals],[Winning Candidate]]-SamplingData[[#Totals],[Candidate 3]]), 0)</f>
        <v>3.2583798432106333E-3</v>
      </c>
      <c r="M213" s="100">
        <f>IF(AND(SamplingData[[#This Row],[Total]]&lt;&gt; 0, NOT(ISBLANK(SamplingData[[#This Row],[Candidate 4]]))),(SamplingData[[#This Row],[Total]]+SamplingData[[#This Row],[Winning Candidate]]-SamplingData[[#This Row],[Candidate 4]])/(SamplingData[[#Totals],[Winning Candidate]]-SamplingData[[#Totals],[Candidate 4]]), 0)</f>
        <v>3.0985997836826566E-3</v>
      </c>
      <c r="N213" s="100">
        <f>IF(AND(SamplingData[[#This Row],[Total]]&lt;&gt; 0, NOT(ISBLANK(SamplingData[[#This Row],[Candidate 5]]))),(SamplingData[[#This Row],[Total]]+SamplingData[[#This Row],[Winning Candidate]]-SamplingData[[#This Row],[Candidate 5]])/(SamplingData[[#Totals],[Winning Candidate]]-SamplingData[[#Totals],[Candidate 5]]), 0)</f>
        <v>2.7243979567015326E-3</v>
      </c>
      <c r="O213" s="100">
        <f>IF(AND(SamplingData[[#This Row],[Total]]&lt;&gt; 0, NOT(ISBLANK(SamplingData[[#This Row],[Candidate 6]]))),(SamplingData[[#This Row],[Total]]+SamplingData[[#This Row],[Winning Candidate]]-SamplingData[[#This Row],[Candidate 6]])/(SamplingData[[#Totals],[Winning Candidate]]-SamplingData[[#Totals],[Candidate 6]]), 0)</f>
        <v>2.7236029376003111E-3</v>
      </c>
      <c r="P213" s="100">
        <f>MAX(SamplingData[[#This Row],[Error Bound (up) - Max. possible relative overstatement - Losing Candidate]:[Error Bound (up) - Max. possible relative overstatement - Candidate 6]])</f>
        <v>5.2057814796668302E-3</v>
      </c>
      <c r="Q213" s="100">
        <f>IF(SamplingData[[#This Row],[Max Error Bound (up)]] = 0,0,SamplingData[[#This Row],[Max Error Bound (up)]]/SamplingData[[#Totals],[Max Error Bound (up)]])</f>
        <v>8.2390060366789575E-4</v>
      </c>
      <c r="R213" s="101">
        <f>SUM($Q$5:Q213)</f>
        <v>0.15083731981159842</v>
      </c>
      <c r="S213" s="100" t="str">
        <f t="array" ref="S213">IF(SamplingData[[#This Row],[up/U Selection Probability]] = 0, "Zero", TEXT(SamplingData[[#This Row],[Lower Range]], REPT("0",LEN('General Info'!$B$40))) &amp; " - " &amp; TEXT(SamplingData[[#This Row],[Upper Range]], REPT("0",LEN('General Info'!$B$40))))</f>
        <v>15001 - 15083</v>
      </c>
      <c r="T213" s="100">
        <f>SamplingData[[#This Row],[Upper Range]]-SamplingData[[#This Row],[Span]]</f>
        <v>15001.342744693657</v>
      </c>
      <c r="U213" s="100">
        <f>IF(ISNUMBER('General Info'!$B$40), ((SamplingData[[#This Row],[up/U Selection Probability]]) * 'General Info'!$B$40) - 1, 0)</f>
        <v>81.389236466185906</v>
      </c>
      <c r="V213" s="100">
        <f>IF(ISNUMBER('General Info'!$B$40), (SamplingData[[#This Row],[Running (cumulative) sum]] * ('General Info'!$B$40 -'General Info'!$B$41 + 1)) + 'General Info'!$B$41 - 1, 0)</f>
        <v>15082.731981159843</v>
      </c>
      <c r="W213" s="100" t="str">
        <f>IF(ISERROR(MATCH(SamplingData[[#This Row],[Batch by Type (p)]],SelectedPrecincts[Batch Name], 0)), "", INDEX(SelectedPrecincts[Draw], MATCH(SamplingData[[#This Row],[Batch by Type (p)]],SelectedPrecincts[Batch Name], 0)))</f>
        <v/>
      </c>
      <c r="X213" s="102">
        <f>IF(COUNTIF(SelectedPrecincts[Batch Name],SamplingData[[#This Row],[Batch by Type (p)]]) &lt;&gt; 0, COUNTIF(SelectedPrecincts[Batch Name],SamplingData[[#This Row],[Batch by Type (p)]]), 0)</f>
        <v>0</v>
      </c>
    </row>
    <row r="214" spans="1:24" ht="15" customHeight="1">
      <c r="A214" s="18" t="s">
        <v>390</v>
      </c>
      <c r="B214" s="18">
        <v>17</v>
      </c>
      <c r="C214" s="18">
        <v>13</v>
      </c>
      <c r="D214" s="18">
        <v>6</v>
      </c>
      <c r="E214" s="18">
        <v>1</v>
      </c>
      <c r="F214" s="18">
        <v>0</v>
      </c>
      <c r="G214" s="18">
        <v>0</v>
      </c>
      <c r="H214" s="18">
        <v>0</v>
      </c>
      <c r="I214" s="18">
        <v>1</v>
      </c>
      <c r="J214" s="99">
        <f>SUM(SamplingData[[#This Row],[Losing Candidate]:[Under Votes]])</f>
        <v>38</v>
      </c>
      <c r="K214"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214" s="100">
        <f>IF(AND(SamplingData[[#This Row],[Total]]&lt;&gt; 0, NOT(ISBLANK(SamplingData[[#This Row],[Candidate 3]]))),(SamplingData[[#This Row],[Total]]+SamplingData[[#This Row],[Winning Candidate]]-SamplingData[[#This Row],[Candidate 3]])/(SamplingData[[#Totals],[Winning Candidate]]-SamplingData[[#Totals],[Candidate 3]]), 0)</f>
        <v>1.4517533954898861E-3</v>
      </c>
      <c r="M214" s="100">
        <f>IF(AND(SamplingData[[#This Row],[Total]]&lt;&gt; 0, NOT(ISBLANK(SamplingData[[#This Row],[Candidate 4]]))),(SamplingData[[#This Row],[Total]]+SamplingData[[#This Row],[Winning Candidate]]-SamplingData[[#This Row],[Candidate 4]])/(SamplingData[[#Totals],[Winning Candidate]]-SamplingData[[#Totals],[Candidate 4]]), 0)</f>
        <v>1.4616036715484229E-3</v>
      </c>
      <c r="N214" s="100">
        <f>IF(AND(SamplingData[[#This Row],[Total]]&lt;&gt; 0, NOT(ISBLANK(SamplingData[[#This Row],[Candidate 5]]))),(SamplingData[[#This Row],[Total]]+SamplingData[[#This Row],[Winning Candidate]]-SamplingData[[#This Row],[Candidate 5]])/(SamplingData[[#Totals],[Winning Candidate]]-SamplingData[[#Totals],[Candidate 5]]), 0)</f>
        <v>1.2405740695694478E-3</v>
      </c>
      <c r="O214" s="100">
        <f>IF(AND(SamplingData[[#This Row],[Total]]&lt;&gt; 0, NOT(ISBLANK(SamplingData[[#This Row],[Candidate 6]]))),(SamplingData[[#This Row],[Total]]+SamplingData[[#This Row],[Winning Candidate]]-SamplingData[[#This Row],[Candidate 6]])/(SamplingData[[#Totals],[Winning Candidate]]-SamplingData[[#Totals],[Candidate 6]]), 0)</f>
        <v>1.2402120519429988E-3</v>
      </c>
      <c r="P214" s="100">
        <f>MAX(SamplingData[[#This Row],[Error Bound (up) - Max. possible relative overstatement - Losing Candidate]:[Error Bound (up) - Max. possible relative overstatement - Candidate 6]])</f>
        <v>2.0823125918667321E-3</v>
      </c>
      <c r="Q214" s="100">
        <f>IF(SamplingData[[#This Row],[Max Error Bound (up)]] = 0,0,SamplingData[[#This Row],[Max Error Bound (up)]]/SamplingData[[#Totals],[Max Error Bound (up)]])</f>
        <v>3.2956024146715829E-4</v>
      </c>
      <c r="R214" s="101">
        <f>SUM($Q$5:Q214)</f>
        <v>0.15116688005306558</v>
      </c>
      <c r="S214" s="100" t="str">
        <f t="array" ref="S214">IF(SamplingData[[#This Row],[up/U Selection Probability]] = 0, "Zero", TEXT(SamplingData[[#This Row],[Lower Range]], REPT("0",LEN('General Info'!$B$40))) &amp; " - " &amp; TEXT(SamplingData[[#This Row],[Upper Range]], REPT("0",LEN('General Info'!$B$40))))</f>
        <v>15084 - 15116</v>
      </c>
      <c r="T214" s="100">
        <f>SamplingData[[#This Row],[Upper Range]]-SamplingData[[#This Row],[Span]]</f>
        <v>15083.732310720083</v>
      </c>
      <c r="U214" s="100">
        <f>IF(ISNUMBER('General Info'!$B$40), ((SamplingData[[#This Row],[up/U Selection Probability]]) * 'General Info'!$B$40) - 1, 0)</f>
        <v>31.955694586474358</v>
      </c>
      <c r="V214" s="100">
        <f>IF(ISNUMBER('General Info'!$B$40), (SamplingData[[#This Row],[Running (cumulative) sum]] * ('General Info'!$B$40 -'General Info'!$B$41 + 1)) + 'General Info'!$B$41 - 1, 0)</f>
        <v>15115.688005306558</v>
      </c>
      <c r="W214" s="100" t="str">
        <f>IF(ISERROR(MATCH(SamplingData[[#This Row],[Batch by Type (p)]],SelectedPrecincts[Batch Name], 0)), "", INDEX(SelectedPrecincts[Draw], MATCH(SamplingData[[#This Row],[Batch by Type (p)]],SelectedPrecincts[Batch Name], 0)))</f>
        <v/>
      </c>
      <c r="X214" s="102">
        <f>IF(COUNTIF(SelectedPrecincts[Batch Name],SamplingData[[#This Row],[Batch by Type (p)]]) &lt;&gt; 0, COUNTIF(SelectedPrecincts[Batch Name],SamplingData[[#This Row],[Batch by Type (p)]]), 0)</f>
        <v>0</v>
      </c>
    </row>
    <row r="215" spans="1:24" ht="15" customHeight="1">
      <c r="A215" s="18" t="s">
        <v>391</v>
      </c>
      <c r="B215" s="18">
        <v>23</v>
      </c>
      <c r="C215" s="18">
        <v>37</v>
      </c>
      <c r="D215" s="16">
        <v>11</v>
      </c>
      <c r="E215" s="16">
        <v>5</v>
      </c>
      <c r="F215" s="37">
        <v>0</v>
      </c>
      <c r="G215" s="37">
        <v>0</v>
      </c>
      <c r="H215" s="17">
        <v>0</v>
      </c>
      <c r="I215" s="17">
        <v>0</v>
      </c>
      <c r="J215" s="99">
        <f>SUM(SamplingData[[#This Row],[Losing Candidate]:[Under Votes]])</f>
        <v>76</v>
      </c>
      <c r="K215" s="100">
        <f>IF(AND(SamplingData[[#This Row],[Total]]&lt;&gt; 0, NOT(ISBLANK(SamplingData[[#This Row],[Losing Candidate]]))),(SamplingData[[#This Row],[Total]]+SamplingData[[#This Row],[Winning Candidate]]-SamplingData[[#This Row],[Losing Candidate]])/(SamplingData[[#Totals],[Winning Candidate]]-SamplingData[[#Totals],[Losing Candidate]]), 0)</f>
        <v>5.5120039196472313E-3</v>
      </c>
      <c r="L215" s="100">
        <f>IF(AND(SamplingData[[#This Row],[Total]]&lt;&gt; 0, NOT(ISBLANK(SamplingData[[#This Row],[Candidate 3]]))),(SamplingData[[#This Row],[Total]]+SamplingData[[#This Row],[Winning Candidate]]-SamplingData[[#This Row],[Candidate 3]])/(SamplingData[[#Totals],[Winning Candidate]]-SamplingData[[#Totals],[Candidate 3]]), 0)</f>
        <v>3.2906410297770753E-3</v>
      </c>
      <c r="M215" s="100">
        <f>IF(AND(SamplingData[[#This Row],[Total]]&lt;&gt; 0, NOT(ISBLANK(SamplingData[[#This Row],[Candidate 4]]))),(SamplingData[[#This Row],[Total]]+SamplingData[[#This Row],[Winning Candidate]]-SamplingData[[#This Row],[Candidate 4]])/(SamplingData[[#Totals],[Winning Candidate]]-SamplingData[[#Totals],[Candidate 4]]), 0)</f>
        <v>3.1570639305445935E-3</v>
      </c>
      <c r="N215" s="100">
        <f>IF(AND(SamplingData[[#This Row],[Total]]&lt;&gt; 0, NOT(ISBLANK(SamplingData[[#This Row],[Candidate 5]]))),(SamplingData[[#This Row],[Total]]+SamplingData[[#This Row],[Winning Candidate]]-SamplingData[[#This Row],[Candidate 5]])/(SamplingData[[#Totals],[Winning Candidate]]-SamplingData[[#Totals],[Candidate 5]]), 0)</f>
        <v>2.7487229384577962E-3</v>
      </c>
      <c r="O215" s="100">
        <f>IF(AND(SamplingData[[#This Row],[Total]]&lt;&gt; 0, NOT(ISBLANK(SamplingData[[#This Row],[Candidate 6]]))),(SamplingData[[#This Row],[Total]]+SamplingData[[#This Row],[Winning Candidate]]-SamplingData[[#This Row],[Candidate 6]])/(SamplingData[[#Totals],[Winning Candidate]]-SamplingData[[#Totals],[Candidate 6]]), 0)</f>
        <v>2.7479208209717425E-3</v>
      </c>
      <c r="P215" s="100">
        <f>MAX(SamplingData[[#This Row],[Error Bound (up) - Max. possible relative overstatement - Losing Candidate]:[Error Bound (up) - Max. possible relative overstatement - Candidate 6]])</f>
        <v>5.5120039196472313E-3</v>
      </c>
      <c r="Q215" s="100">
        <f>IF(SamplingData[[#This Row],[Max Error Bound (up)]] = 0,0,SamplingData[[#This Row],[Max Error Bound (up)]]/SamplingData[[#Totals],[Max Error Bound (up)]])</f>
        <v>8.7236534506012473E-4</v>
      </c>
      <c r="R215" s="101">
        <f>SUM($Q$5:Q215)</f>
        <v>0.15203924539812572</v>
      </c>
      <c r="S215" s="100" t="str">
        <f t="array" ref="S215">IF(SamplingData[[#This Row],[up/U Selection Probability]] = 0, "Zero", TEXT(SamplingData[[#This Row],[Lower Range]], REPT("0",LEN('General Info'!$B$40))) &amp; " - " &amp; TEXT(SamplingData[[#This Row],[Upper Range]], REPT("0",LEN('General Info'!$B$40))))</f>
        <v>15117 - 15203</v>
      </c>
      <c r="T215" s="100">
        <f>SamplingData[[#This Row],[Upper Range]]-SamplingData[[#This Row],[Span]]</f>
        <v>15116.688877671904</v>
      </c>
      <c r="U215" s="100">
        <f>IF(ISNUMBER('General Info'!$B$40), ((SamplingData[[#This Row],[up/U Selection Probability]]) * 'General Info'!$B$40) - 1, 0)</f>
        <v>86.235662140667415</v>
      </c>
      <c r="V215" s="100">
        <f>IF(ISNUMBER('General Info'!$B$40), (SamplingData[[#This Row],[Running (cumulative) sum]] * ('General Info'!$B$40 -'General Info'!$B$41 + 1)) + 'General Info'!$B$41 - 1, 0)</f>
        <v>15202.924539812571</v>
      </c>
      <c r="W215" s="100" t="str">
        <f>IF(ISERROR(MATCH(SamplingData[[#This Row],[Batch by Type (p)]],SelectedPrecincts[Batch Name], 0)), "", INDEX(SelectedPrecincts[Draw], MATCH(SamplingData[[#This Row],[Batch by Type (p)]],SelectedPrecincts[Batch Name], 0)))</f>
        <v/>
      </c>
      <c r="X215" s="102">
        <f>IF(COUNTIF(SelectedPrecincts[Batch Name],SamplingData[[#This Row],[Batch by Type (p)]]) &lt;&gt; 0, COUNTIF(SelectedPrecincts[Batch Name],SamplingData[[#This Row],[Batch by Type (p)]]), 0)</f>
        <v>0</v>
      </c>
    </row>
    <row r="216" spans="1:24" ht="15" customHeight="1">
      <c r="A216" s="18" t="s">
        <v>392</v>
      </c>
      <c r="B216" s="18">
        <v>12</v>
      </c>
      <c r="C216" s="18">
        <v>17</v>
      </c>
      <c r="D216" s="18">
        <v>8</v>
      </c>
      <c r="E216" s="18">
        <v>0</v>
      </c>
      <c r="F216" s="18">
        <v>0</v>
      </c>
      <c r="G216" s="18">
        <v>0</v>
      </c>
      <c r="H216" s="18">
        <v>0</v>
      </c>
      <c r="I216" s="18">
        <v>1</v>
      </c>
      <c r="J216" s="99">
        <f>SUM(SamplingData[[#This Row],[Losing Candidate]:[Under Votes]])</f>
        <v>38</v>
      </c>
      <c r="K216"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216" s="100">
        <f>IF(AND(SamplingData[[#This Row],[Total]]&lt;&gt; 0, NOT(ISBLANK(SamplingData[[#This Row],[Candidate 3]]))),(SamplingData[[#This Row],[Total]]+SamplingData[[#This Row],[Winning Candidate]]-SamplingData[[#This Row],[Candidate 3]])/(SamplingData[[#Totals],[Winning Candidate]]-SamplingData[[#Totals],[Candidate 3]]), 0)</f>
        <v>1.5162757686227699E-3</v>
      </c>
      <c r="M216" s="100">
        <f>IF(AND(SamplingData[[#This Row],[Total]]&lt;&gt; 0, NOT(ISBLANK(SamplingData[[#This Row],[Candidate 4]]))),(SamplingData[[#This Row],[Total]]+SamplingData[[#This Row],[Winning Candidate]]-SamplingData[[#This Row],[Candidate 4]])/(SamplingData[[#Totals],[Winning Candidate]]-SamplingData[[#Totals],[Candidate 4]]), 0)</f>
        <v>1.6077640387032652E-3</v>
      </c>
      <c r="N216" s="100">
        <f>IF(AND(SamplingData[[#This Row],[Total]]&lt;&gt; 0, NOT(ISBLANK(SamplingData[[#This Row],[Candidate 5]]))),(SamplingData[[#This Row],[Total]]+SamplingData[[#This Row],[Winning Candidate]]-SamplingData[[#This Row],[Candidate 5]])/(SamplingData[[#Totals],[Winning Candidate]]-SamplingData[[#Totals],[Candidate 5]]), 0)</f>
        <v>1.3378739965945025E-3</v>
      </c>
      <c r="O216" s="100">
        <f>IF(AND(SamplingData[[#This Row],[Total]]&lt;&gt; 0, NOT(ISBLANK(SamplingData[[#This Row],[Candidate 6]]))),(SamplingData[[#This Row],[Total]]+SamplingData[[#This Row],[Winning Candidate]]-SamplingData[[#This Row],[Candidate 6]])/(SamplingData[[#Totals],[Winning Candidate]]-SamplingData[[#Totals],[Candidate 6]]), 0)</f>
        <v>1.3374835854287244E-3</v>
      </c>
      <c r="P216" s="100">
        <f>MAX(SamplingData[[#This Row],[Error Bound (up) - Max. possible relative overstatement - Losing Candidate]:[Error Bound (up) - Max. possible relative overstatement - Candidate 6]])</f>
        <v>2.6335129838314553E-3</v>
      </c>
      <c r="Q216" s="100">
        <f>IF(SamplingData[[#This Row],[Max Error Bound (up)]] = 0,0,SamplingData[[#This Row],[Max Error Bound (up)]]/SamplingData[[#Totals],[Max Error Bound (up)]])</f>
        <v>4.167967759731708E-4</v>
      </c>
      <c r="R216" s="101">
        <f>SUM($Q$5:Q216)</f>
        <v>0.15245604217409889</v>
      </c>
      <c r="S216" s="100" t="str">
        <f t="array" ref="S216">IF(SamplingData[[#This Row],[up/U Selection Probability]] = 0, "Zero", TEXT(SamplingData[[#This Row],[Lower Range]], REPT("0",LEN('General Info'!$B$40))) &amp; " - " &amp; TEXT(SamplingData[[#This Row],[Upper Range]], REPT("0",LEN('General Info'!$B$40))))</f>
        <v>15204 - 15245</v>
      </c>
      <c r="T216" s="100">
        <f>SamplingData[[#This Row],[Upper Range]]-SamplingData[[#This Row],[Span]]</f>
        <v>15203.924956609348</v>
      </c>
      <c r="U216" s="100">
        <f>IF(ISNUMBER('General Info'!$B$40), ((SamplingData[[#This Row],[up/U Selection Probability]]) * 'General Info'!$B$40) - 1, 0)</f>
        <v>40.679260800541108</v>
      </c>
      <c r="V216" s="100">
        <f>IF(ISNUMBER('General Info'!$B$40), (SamplingData[[#This Row],[Running (cumulative) sum]] * ('General Info'!$B$40 -'General Info'!$B$41 + 1)) + 'General Info'!$B$41 - 1, 0)</f>
        <v>15244.604217409889</v>
      </c>
      <c r="W216" s="100" t="str">
        <f>IF(ISERROR(MATCH(SamplingData[[#This Row],[Batch by Type (p)]],SelectedPrecincts[Batch Name], 0)), "", INDEX(SelectedPrecincts[Draw], MATCH(SamplingData[[#This Row],[Batch by Type (p)]],SelectedPrecincts[Batch Name], 0)))</f>
        <v/>
      </c>
      <c r="X216" s="102">
        <f>IF(COUNTIF(SelectedPrecincts[Batch Name],SamplingData[[#This Row],[Batch by Type (p)]]) &lt;&gt; 0, COUNTIF(SelectedPrecincts[Batch Name],SamplingData[[#This Row],[Batch by Type (p)]]), 0)</f>
        <v>0</v>
      </c>
    </row>
    <row r="217" spans="1:24" ht="15" customHeight="1">
      <c r="A217" s="18" t="s">
        <v>393</v>
      </c>
      <c r="B217" s="18">
        <v>22</v>
      </c>
      <c r="C217" s="18">
        <v>11</v>
      </c>
      <c r="D217" s="16">
        <v>10</v>
      </c>
      <c r="E217" s="16">
        <v>7</v>
      </c>
      <c r="F217" s="37">
        <v>0</v>
      </c>
      <c r="G217" s="37">
        <v>1</v>
      </c>
      <c r="H217" s="17">
        <v>0</v>
      </c>
      <c r="I217" s="17">
        <v>0</v>
      </c>
      <c r="J217" s="99">
        <f>SUM(SamplingData[[#This Row],[Losing Candidate]:[Under Votes]])</f>
        <v>51</v>
      </c>
      <c r="K217"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217" s="100">
        <f>IF(AND(SamplingData[[#This Row],[Total]]&lt;&gt; 0, NOT(ISBLANK(SamplingData[[#This Row],[Candidate 3]]))),(SamplingData[[#This Row],[Total]]+SamplingData[[#This Row],[Winning Candidate]]-SamplingData[[#This Row],[Candidate 3]])/(SamplingData[[#Totals],[Winning Candidate]]-SamplingData[[#Totals],[Candidate 3]]), 0)</f>
        <v>1.6775817014549794E-3</v>
      </c>
      <c r="M217" s="100">
        <f>IF(AND(SamplingData[[#This Row],[Total]]&lt;&gt; 0, NOT(ISBLANK(SamplingData[[#This Row],[Candidate 4]]))),(SamplingData[[#This Row],[Total]]+SamplingData[[#This Row],[Winning Candidate]]-SamplingData[[#This Row],[Candidate 4]])/(SamplingData[[#Totals],[Winning Candidate]]-SamplingData[[#Totals],[Candidate 4]]), 0)</f>
        <v>1.6077640387032652E-3</v>
      </c>
      <c r="N217" s="100">
        <f>IF(AND(SamplingData[[#This Row],[Total]]&lt;&gt; 0, NOT(ISBLANK(SamplingData[[#This Row],[Candidate 5]]))),(SamplingData[[#This Row],[Total]]+SamplingData[[#This Row],[Winning Candidate]]-SamplingData[[#This Row],[Candidate 5]])/(SamplingData[[#Totals],[Winning Candidate]]-SamplingData[[#Totals],[Candidate 5]]), 0)</f>
        <v>1.5081488688883484E-3</v>
      </c>
      <c r="O217" s="100">
        <f>IF(AND(SamplingData[[#This Row],[Total]]&lt;&gt; 0, NOT(ISBLANK(SamplingData[[#This Row],[Candidate 6]]))),(SamplingData[[#This Row],[Total]]+SamplingData[[#This Row],[Winning Candidate]]-SamplingData[[#This Row],[Candidate 6]])/(SamplingData[[#Totals],[Winning Candidate]]-SamplingData[[#Totals],[Candidate 6]]), 0)</f>
        <v>1.4833908856573125E-3</v>
      </c>
      <c r="P217" s="100">
        <f>MAX(SamplingData[[#This Row],[Error Bound (up) - Max. possible relative overstatement - Losing Candidate]:[Error Bound (up) - Max. possible relative overstatement - Candidate 6]])</f>
        <v>2.4497795198432141E-3</v>
      </c>
      <c r="Q217" s="100">
        <f>IF(SamplingData[[#This Row],[Max Error Bound (up)]] = 0,0,SamplingData[[#This Row],[Max Error Bound (up)]]/SamplingData[[#Totals],[Max Error Bound (up)]])</f>
        <v>3.8771793113783328E-4</v>
      </c>
      <c r="R217" s="101">
        <f>SUM($Q$5:Q217)</f>
        <v>0.15284376010523673</v>
      </c>
      <c r="S217" s="100" t="str">
        <f t="array" ref="S217">IF(SamplingData[[#This Row],[up/U Selection Probability]] = 0, "Zero", TEXT(SamplingData[[#This Row],[Lower Range]], REPT("0",LEN('General Info'!$B$40))) &amp; " - " &amp; TEXT(SamplingData[[#This Row],[Upper Range]], REPT("0",LEN('General Info'!$B$40))))</f>
        <v>15246 - 15283</v>
      </c>
      <c r="T217" s="100">
        <f>SamplingData[[#This Row],[Upper Range]]-SamplingData[[#This Row],[Span]]</f>
        <v>15245.604605127821</v>
      </c>
      <c r="U217" s="100">
        <f>IF(ISNUMBER('General Info'!$B$40), ((SamplingData[[#This Row],[up/U Selection Probability]]) * 'General Info'!$B$40) - 1, 0)</f>
        <v>37.771405395852192</v>
      </c>
      <c r="V217" s="100">
        <f>IF(ISNUMBER('General Info'!$B$40), (SamplingData[[#This Row],[Running (cumulative) sum]] * ('General Info'!$B$40 -'General Info'!$B$41 + 1)) + 'General Info'!$B$41 - 1, 0)</f>
        <v>15283.376010523672</v>
      </c>
      <c r="W217" s="100" t="str">
        <f>IF(ISERROR(MATCH(SamplingData[[#This Row],[Batch by Type (p)]],SelectedPrecincts[Batch Name], 0)), "", INDEX(SelectedPrecincts[Draw], MATCH(SamplingData[[#This Row],[Batch by Type (p)]],SelectedPrecincts[Batch Name], 0)))</f>
        <v/>
      </c>
      <c r="X217" s="102">
        <f>IF(COUNTIF(SelectedPrecincts[Batch Name],SamplingData[[#This Row],[Batch by Type (p)]]) &lt;&gt; 0, COUNTIF(SelectedPrecincts[Batch Name],SamplingData[[#This Row],[Batch by Type (p)]]), 0)</f>
        <v>0</v>
      </c>
    </row>
    <row r="218" spans="1:24" ht="15" customHeight="1">
      <c r="A218" s="18" t="s">
        <v>394</v>
      </c>
      <c r="B218" s="18">
        <v>14</v>
      </c>
      <c r="C218" s="18">
        <v>9</v>
      </c>
      <c r="D218" s="18">
        <v>4</v>
      </c>
      <c r="E218" s="18">
        <v>2</v>
      </c>
      <c r="F218" s="18">
        <v>0</v>
      </c>
      <c r="G218" s="18">
        <v>0</v>
      </c>
      <c r="H218" s="18">
        <v>0</v>
      </c>
      <c r="I218" s="18">
        <v>0</v>
      </c>
      <c r="J218" s="99">
        <f>SUM(SamplingData[[#This Row],[Losing Candidate]:[Under Votes]])</f>
        <v>29</v>
      </c>
      <c r="K218"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218" s="100">
        <f>IF(AND(SamplingData[[#This Row],[Total]]&lt;&gt; 0, NOT(ISBLANK(SamplingData[[#This Row],[Candidate 3]]))),(SamplingData[[#This Row],[Total]]+SamplingData[[#This Row],[Winning Candidate]]-SamplingData[[#This Row],[Candidate 3]])/(SamplingData[[#Totals],[Winning Candidate]]-SamplingData[[#Totals],[Candidate 3]]), 0)</f>
        <v>1.0968803432590251E-3</v>
      </c>
      <c r="M218" s="100">
        <f>IF(AND(SamplingData[[#This Row],[Total]]&lt;&gt; 0, NOT(ISBLANK(SamplingData[[#This Row],[Candidate 4]]))),(SamplingData[[#This Row],[Total]]+SamplingData[[#This Row],[Winning Candidate]]-SamplingData[[#This Row],[Candidate 4]])/(SamplingData[[#Totals],[Winning Candidate]]-SamplingData[[#Totals],[Candidate 4]]), 0)</f>
        <v>1.0523546435148646E-3</v>
      </c>
      <c r="N218" s="100">
        <f>IF(AND(SamplingData[[#This Row],[Total]]&lt;&gt; 0, NOT(ISBLANK(SamplingData[[#This Row],[Candidate 5]]))),(SamplingData[[#This Row],[Total]]+SamplingData[[#This Row],[Winning Candidate]]-SamplingData[[#This Row],[Candidate 5]])/(SamplingData[[#Totals],[Winning Candidate]]-SamplingData[[#Totals],[Candidate 5]]), 0)</f>
        <v>9.2434930673801995E-4</v>
      </c>
      <c r="O218" s="100">
        <f>IF(AND(SamplingData[[#This Row],[Total]]&lt;&gt; 0, NOT(ISBLANK(SamplingData[[#This Row],[Candidate 6]]))),(SamplingData[[#This Row],[Total]]+SamplingData[[#This Row],[Winning Candidate]]-SamplingData[[#This Row],[Candidate 6]])/(SamplingData[[#Totals],[Winning Candidate]]-SamplingData[[#Totals],[Candidate 6]]), 0)</f>
        <v>9.2407956811439132E-4</v>
      </c>
      <c r="P218" s="100">
        <f>MAX(SamplingData[[#This Row],[Error Bound (up) - Max. possible relative overstatement - Losing Candidate]:[Error Bound (up) - Max. possible relative overstatement - Candidate 6]])</f>
        <v>1.4698677119059284E-3</v>
      </c>
      <c r="Q218" s="100">
        <f>IF(SamplingData[[#This Row],[Max Error Bound (up)]] = 0,0,SamplingData[[#This Row],[Max Error Bound (up)]]/SamplingData[[#Totals],[Max Error Bound (up)]])</f>
        <v>2.3263075868269994E-4</v>
      </c>
      <c r="R218" s="101">
        <f>SUM($Q$5:Q218)</f>
        <v>0.15307639086391944</v>
      </c>
      <c r="S218" s="100" t="str">
        <f t="array" ref="S218">IF(SamplingData[[#This Row],[up/U Selection Probability]] = 0, "Zero", TEXT(SamplingData[[#This Row],[Lower Range]], REPT("0",LEN('General Info'!$B$40))) &amp; " - " &amp; TEXT(SamplingData[[#This Row],[Upper Range]], REPT("0",LEN('General Info'!$B$40))))</f>
        <v>15284 - 15307</v>
      </c>
      <c r="T218" s="100">
        <f>SamplingData[[#This Row],[Upper Range]]-SamplingData[[#This Row],[Span]]</f>
        <v>15284.376243154433</v>
      </c>
      <c r="U218" s="100">
        <f>IF(ISNUMBER('General Info'!$B$40), ((SamplingData[[#This Row],[up/U Selection Probability]]) * 'General Info'!$B$40) - 1, 0)</f>
        <v>22.262843237511312</v>
      </c>
      <c r="V218" s="100">
        <f>IF(ISNUMBER('General Info'!$B$40), (SamplingData[[#This Row],[Running (cumulative) sum]] * ('General Info'!$B$40 -'General Info'!$B$41 + 1)) + 'General Info'!$B$41 - 1, 0)</f>
        <v>15306.639086391944</v>
      </c>
      <c r="W218" s="100" t="str">
        <f>IF(ISERROR(MATCH(SamplingData[[#This Row],[Batch by Type (p)]],SelectedPrecincts[Batch Name], 0)), "", INDEX(SelectedPrecincts[Draw], MATCH(SamplingData[[#This Row],[Batch by Type (p)]],SelectedPrecincts[Batch Name], 0)))</f>
        <v/>
      </c>
      <c r="X218" s="102">
        <f>IF(COUNTIF(SelectedPrecincts[Batch Name],SamplingData[[#This Row],[Batch by Type (p)]]) &lt;&gt; 0, COUNTIF(SelectedPrecincts[Batch Name],SamplingData[[#This Row],[Batch by Type (p)]]), 0)</f>
        <v>0</v>
      </c>
    </row>
    <row r="219" spans="1:24" ht="15" customHeight="1">
      <c r="A219" s="18" t="s">
        <v>395</v>
      </c>
      <c r="B219" s="18">
        <v>21</v>
      </c>
      <c r="C219" s="18">
        <v>30</v>
      </c>
      <c r="D219" s="16">
        <v>5</v>
      </c>
      <c r="E219" s="16">
        <v>4</v>
      </c>
      <c r="F219" s="37">
        <v>1</v>
      </c>
      <c r="G219" s="37">
        <v>1</v>
      </c>
      <c r="H219" s="17">
        <v>0</v>
      </c>
      <c r="I219" s="17">
        <v>0</v>
      </c>
      <c r="J219" s="99">
        <f>SUM(SamplingData[[#This Row],[Losing Candidate]:[Under Votes]])</f>
        <v>62</v>
      </c>
      <c r="K219" s="100">
        <f>IF(AND(SamplingData[[#This Row],[Total]]&lt;&gt; 0, NOT(ISBLANK(SamplingData[[#This Row],[Losing Candidate]]))),(SamplingData[[#This Row],[Total]]+SamplingData[[#This Row],[Winning Candidate]]-SamplingData[[#This Row],[Losing Candidate]])/(SamplingData[[#Totals],[Winning Candidate]]-SamplingData[[#Totals],[Losing Candidate]]), 0)</f>
        <v>4.3483586477217053E-3</v>
      </c>
      <c r="L219" s="100">
        <f>IF(AND(SamplingData[[#This Row],[Total]]&lt;&gt; 0, NOT(ISBLANK(SamplingData[[#This Row],[Candidate 3]]))),(SamplingData[[#This Row],[Total]]+SamplingData[[#This Row],[Winning Candidate]]-SamplingData[[#This Row],[Candidate 3]])/(SamplingData[[#Totals],[Winning Candidate]]-SamplingData[[#Totals],[Candidate 3]]), 0)</f>
        <v>2.8067232312804463E-3</v>
      </c>
      <c r="M219" s="100">
        <f>IF(AND(SamplingData[[#This Row],[Total]]&lt;&gt; 0, NOT(ISBLANK(SamplingData[[#This Row],[Candidate 4]]))),(SamplingData[[#This Row],[Total]]+SamplingData[[#This Row],[Winning Candidate]]-SamplingData[[#This Row],[Candidate 4]])/(SamplingData[[#Totals],[Winning Candidate]]-SamplingData[[#Totals],[Candidate 4]]), 0)</f>
        <v>2.5724224619252242E-3</v>
      </c>
      <c r="N219" s="100">
        <f>IF(AND(SamplingData[[#This Row],[Total]]&lt;&gt; 0, NOT(ISBLANK(SamplingData[[#This Row],[Candidate 5]]))),(SamplingData[[#This Row],[Total]]+SamplingData[[#This Row],[Winning Candidate]]-SamplingData[[#This Row],[Candidate 5]])/(SamplingData[[#Totals],[Winning Candidate]]-SamplingData[[#Totals],[Candidate 5]]), 0)</f>
        <v>2.213573339819995E-3</v>
      </c>
      <c r="O219" s="100">
        <f>IF(AND(SamplingData[[#This Row],[Total]]&lt;&gt; 0, NOT(ISBLANK(SamplingData[[#This Row],[Candidate 6]]))),(SamplingData[[#This Row],[Total]]+SamplingData[[#This Row],[Winning Candidate]]-SamplingData[[#This Row],[Candidate 6]])/(SamplingData[[#Totals],[Winning Candidate]]-SamplingData[[#Totals],[Candidate 6]]), 0)</f>
        <v>2.2129273868002528E-3</v>
      </c>
      <c r="P219" s="100">
        <f>MAX(SamplingData[[#This Row],[Error Bound (up) - Max. possible relative overstatement - Losing Candidate]:[Error Bound (up) - Max. possible relative overstatement - Candidate 6]])</f>
        <v>4.3483586477217053E-3</v>
      </c>
      <c r="Q219" s="100">
        <f>IF(SamplingData[[#This Row],[Max Error Bound (up)]] = 0,0,SamplingData[[#This Row],[Max Error Bound (up)]]/SamplingData[[#Totals],[Max Error Bound (up)]])</f>
        <v>6.881993277696541E-4</v>
      </c>
      <c r="R219" s="101">
        <f>SUM($Q$5:Q219)</f>
        <v>0.15376459019168909</v>
      </c>
      <c r="S219" s="100" t="str">
        <f t="array" ref="S219">IF(SamplingData[[#This Row],[up/U Selection Probability]] = 0, "Zero", TEXT(SamplingData[[#This Row],[Lower Range]], REPT("0",LEN('General Info'!$B$40))) &amp; " - " &amp; TEXT(SamplingData[[#This Row],[Upper Range]], REPT("0",LEN('General Info'!$B$40))))</f>
        <v>15308 - 15375</v>
      </c>
      <c r="T219" s="100">
        <f>SamplingData[[#This Row],[Upper Range]]-SamplingData[[#This Row],[Span]]</f>
        <v>15307.639774591271</v>
      </c>
      <c r="U219" s="100">
        <f>IF(ISNUMBER('General Info'!$B$40), ((SamplingData[[#This Row],[up/U Selection Probability]]) * 'General Info'!$B$40) - 1, 0)</f>
        <v>67.819244577637633</v>
      </c>
      <c r="V219" s="100">
        <f>IF(ISNUMBER('General Info'!$B$40), (SamplingData[[#This Row],[Running (cumulative) sum]] * ('General Info'!$B$40 -'General Info'!$B$41 + 1)) + 'General Info'!$B$41 - 1, 0)</f>
        <v>15375.459019168909</v>
      </c>
      <c r="W219" s="100" t="str">
        <f>IF(ISERROR(MATCH(SamplingData[[#This Row],[Batch by Type (p)]],SelectedPrecincts[Batch Name], 0)), "", INDEX(SelectedPrecincts[Draw], MATCH(SamplingData[[#This Row],[Batch by Type (p)]],SelectedPrecincts[Batch Name], 0)))</f>
        <v/>
      </c>
      <c r="X219" s="102">
        <f>IF(COUNTIF(SelectedPrecincts[Batch Name],SamplingData[[#This Row],[Batch by Type (p)]]) &lt;&gt; 0, COUNTIF(SelectedPrecincts[Batch Name],SamplingData[[#This Row],[Batch by Type (p)]]), 0)</f>
        <v>0</v>
      </c>
    </row>
    <row r="220" spans="1:24" ht="15" customHeight="1">
      <c r="A220" s="18" t="s">
        <v>396</v>
      </c>
      <c r="B220" s="18">
        <v>6</v>
      </c>
      <c r="C220" s="18">
        <v>3</v>
      </c>
      <c r="D220" s="18">
        <v>3</v>
      </c>
      <c r="E220" s="18">
        <v>1</v>
      </c>
      <c r="F220" s="18">
        <v>0</v>
      </c>
      <c r="G220" s="18">
        <v>0</v>
      </c>
      <c r="H220" s="18">
        <v>0</v>
      </c>
      <c r="I220" s="18">
        <v>0</v>
      </c>
      <c r="J220" s="99">
        <f>SUM(SamplingData[[#This Row],[Losing Candidate]:[Under Votes]])</f>
        <v>13</v>
      </c>
      <c r="K220"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220" s="100">
        <f>IF(AND(SamplingData[[#This Row],[Total]]&lt;&gt; 0, NOT(ISBLANK(SamplingData[[#This Row],[Candidate 3]]))),(SamplingData[[#This Row],[Total]]+SamplingData[[#This Row],[Winning Candidate]]-SamplingData[[#This Row],[Candidate 3]])/(SamplingData[[#Totals],[Winning Candidate]]-SamplingData[[#Totals],[Candidate 3]]), 0)</f>
        <v>4.1939542536374486E-4</v>
      </c>
      <c r="M220" s="100">
        <f>IF(AND(SamplingData[[#This Row],[Total]]&lt;&gt; 0, NOT(ISBLANK(SamplingData[[#This Row],[Candidate 4]]))),(SamplingData[[#This Row],[Total]]+SamplingData[[#This Row],[Winning Candidate]]-SamplingData[[#This Row],[Candidate 4]])/(SamplingData[[#Totals],[Winning Candidate]]-SamplingData[[#Totals],[Candidate 4]]), 0)</f>
        <v>4.3848110146452689E-4</v>
      </c>
      <c r="N220" s="100">
        <f>IF(AND(SamplingData[[#This Row],[Total]]&lt;&gt; 0, NOT(ISBLANK(SamplingData[[#This Row],[Candidate 5]]))),(SamplingData[[#This Row],[Total]]+SamplingData[[#This Row],[Winning Candidate]]-SamplingData[[#This Row],[Candidate 5]])/(SamplingData[[#Totals],[Winning Candidate]]-SamplingData[[#Totals],[Candidate 5]]), 0)</f>
        <v>3.8919970810021893E-4</v>
      </c>
      <c r="O220" s="100">
        <f>IF(AND(SamplingData[[#This Row],[Total]]&lt;&gt; 0, NOT(ISBLANK(SamplingData[[#This Row],[Candidate 6]]))),(SamplingData[[#This Row],[Total]]+SamplingData[[#This Row],[Winning Candidate]]-SamplingData[[#This Row],[Candidate 6]])/(SamplingData[[#Totals],[Winning Candidate]]-SamplingData[[#Totals],[Candidate 6]]), 0)</f>
        <v>3.8908613394290161E-4</v>
      </c>
      <c r="P220" s="100">
        <f>MAX(SamplingData[[#This Row],[Error Bound (up) - Max. possible relative overstatement - Losing Candidate]:[Error Bound (up) - Max. possible relative overstatement - Candidate 6]])</f>
        <v>6.1244487996080352E-4</v>
      </c>
      <c r="Q220" s="100">
        <f>IF(SamplingData[[#This Row],[Max Error Bound (up)]] = 0,0,SamplingData[[#This Row],[Max Error Bound (up)]]/SamplingData[[#Totals],[Max Error Bound (up)]])</f>
        <v>9.6929482784458319E-5</v>
      </c>
      <c r="R220" s="101">
        <f>SUM($Q$5:Q220)</f>
        <v>0.15386151967447353</v>
      </c>
      <c r="S220" s="100" t="str">
        <f t="array" ref="S220">IF(SamplingData[[#This Row],[up/U Selection Probability]] = 0, "Zero", TEXT(SamplingData[[#This Row],[Lower Range]], REPT("0",LEN('General Info'!$B$40))) &amp; " - " &amp; TEXT(SamplingData[[#This Row],[Upper Range]], REPT("0",LEN('General Info'!$B$40))))</f>
        <v>15376 - 15385</v>
      </c>
      <c r="T220" s="100">
        <f>SamplingData[[#This Row],[Upper Range]]-SamplingData[[#This Row],[Span]]</f>
        <v>15376.459116098389</v>
      </c>
      <c r="U220" s="100">
        <f>IF(ISNUMBER('General Info'!$B$40), ((SamplingData[[#This Row],[up/U Selection Probability]]) * 'General Info'!$B$40) - 1, 0)</f>
        <v>8.6928513489630479</v>
      </c>
      <c r="V220" s="100">
        <f>IF(ISNUMBER('General Info'!$B$40), (SamplingData[[#This Row],[Running (cumulative) sum]] * ('General Info'!$B$40 -'General Info'!$B$41 + 1)) + 'General Info'!$B$41 - 1, 0)</f>
        <v>15385.151967447353</v>
      </c>
      <c r="W220" s="100" t="str">
        <f>IF(ISERROR(MATCH(SamplingData[[#This Row],[Batch by Type (p)]],SelectedPrecincts[Batch Name], 0)), "", INDEX(SelectedPrecincts[Draw], MATCH(SamplingData[[#This Row],[Batch by Type (p)]],SelectedPrecincts[Batch Name], 0)))</f>
        <v/>
      </c>
      <c r="X220" s="102">
        <f>IF(COUNTIF(SelectedPrecincts[Batch Name],SamplingData[[#This Row],[Batch by Type (p)]]) &lt;&gt; 0, COUNTIF(SelectedPrecincts[Batch Name],SamplingData[[#This Row],[Batch by Type (p)]]), 0)</f>
        <v>0</v>
      </c>
    </row>
    <row r="221" spans="1:24" ht="15" customHeight="1">
      <c r="A221" s="18" t="s">
        <v>397</v>
      </c>
      <c r="B221" s="18">
        <v>26</v>
      </c>
      <c r="C221" s="18">
        <v>24</v>
      </c>
      <c r="D221" s="16">
        <v>6</v>
      </c>
      <c r="E221" s="16">
        <v>8</v>
      </c>
      <c r="F221" s="37">
        <v>0</v>
      </c>
      <c r="G221" s="37">
        <v>0</v>
      </c>
      <c r="H221" s="17">
        <v>0</v>
      </c>
      <c r="I221" s="17">
        <v>0</v>
      </c>
      <c r="J221" s="99">
        <f>SUM(SamplingData[[#This Row],[Losing Candidate]:[Under Votes]])</f>
        <v>64</v>
      </c>
      <c r="K221" s="100">
        <f>IF(AND(SamplingData[[#This Row],[Total]]&lt;&gt; 0, NOT(ISBLANK(SamplingData[[#This Row],[Losing Candidate]]))),(SamplingData[[#This Row],[Total]]+SamplingData[[#This Row],[Winning Candidate]]-SamplingData[[#This Row],[Losing Candidate]])/(SamplingData[[#Totals],[Winning Candidate]]-SamplingData[[#Totals],[Losing Candidate]]), 0)</f>
        <v>3.7971582557569817E-3</v>
      </c>
      <c r="L221" s="100">
        <f>IF(AND(SamplingData[[#This Row],[Total]]&lt;&gt; 0, NOT(ISBLANK(SamplingData[[#This Row],[Candidate 3]]))),(SamplingData[[#This Row],[Total]]+SamplingData[[#This Row],[Winning Candidate]]-SamplingData[[#This Row],[Candidate 3]])/(SamplingData[[#Totals],[Winning Candidate]]-SamplingData[[#Totals],[Candidate 3]]), 0)</f>
        <v>2.6454172984482368E-3</v>
      </c>
      <c r="M221" s="100">
        <f>IF(AND(SamplingData[[#This Row],[Total]]&lt;&gt; 0, NOT(ISBLANK(SamplingData[[#This Row],[Candidate 4]]))),(SamplingData[[#This Row],[Total]]+SamplingData[[#This Row],[Winning Candidate]]-SamplingData[[#This Row],[Candidate 4]])/(SamplingData[[#Totals],[Winning Candidate]]-SamplingData[[#Totals],[Candidate 4]]), 0)</f>
        <v>2.3385658744774769E-3</v>
      </c>
      <c r="N221" s="100">
        <f>IF(AND(SamplingData[[#This Row],[Total]]&lt;&gt; 0, NOT(ISBLANK(SamplingData[[#This Row],[Candidate 5]]))),(SamplingData[[#This Row],[Total]]+SamplingData[[#This Row],[Winning Candidate]]-SamplingData[[#This Row],[Candidate 5]])/(SamplingData[[#Totals],[Winning Candidate]]-SamplingData[[#Totals],[Candidate 5]]), 0)</f>
        <v>2.1405983945512043E-3</v>
      </c>
      <c r="O221" s="100">
        <f>IF(AND(SamplingData[[#This Row],[Total]]&lt;&gt; 0, NOT(ISBLANK(SamplingData[[#This Row],[Candidate 6]]))),(SamplingData[[#This Row],[Total]]+SamplingData[[#This Row],[Winning Candidate]]-SamplingData[[#This Row],[Candidate 6]])/(SamplingData[[#Totals],[Winning Candidate]]-SamplingData[[#Totals],[Candidate 6]]), 0)</f>
        <v>2.1399737366859586E-3</v>
      </c>
      <c r="P221" s="100">
        <f>MAX(SamplingData[[#This Row],[Error Bound (up) - Max. possible relative overstatement - Losing Candidate]:[Error Bound (up) - Max. possible relative overstatement - Candidate 6]])</f>
        <v>3.7971582557569817E-3</v>
      </c>
      <c r="Q221" s="100">
        <f>IF(SamplingData[[#This Row],[Max Error Bound (up)]] = 0,0,SamplingData[[#This Row],[Max Error Bound (up)]]/SamplingData[[#Totals],[Max Error Bound (up)]])</f>
        <v>6.0096279326364154E-4</v>
      </c>
      <c r="R221" s="101">
        <f>SUM($Q$5:Q221)</f>
        <v>0.15446248246773717</v>
      </c>
      <c r="S221" s="100" t="str">
        <f t="array" ref="S221">IF(SamplingData[[#This Row],[up/U Selection Probability]] = 0, "Zero", TEXT(SamplingData[[#This Row],[Lower Range]], REPT("0",LEN('General Info'!$B$40))) &amp; " - " &amp; TEXT(SamplingData[[#This Row],[Upper Range]], REPT("0",LEN('General Info'!$B$40))))</f>
        <v>15386 - 15445</v>
      </c>
      <c r="T221" s="100">
        <f>SamplingData[[#This Row],[Upper Range]]-SamplingData[[#This Row],[Span]]</f>
        <v>15386.152568410147</v>
      </c>
      <c r="U221" s="100">
        <f>IF(ISNUMBER('General Info'!$B$40), ((SamplingData[[#This Row],[up/U Selection Probability]]) * 'General Info'!$B$40) - 1, 0)</f>
        <v>59.09567836357089</v>
      </c>
      <c r="V221" s="100">
        <f>IF(ISNUMBER('General Info'!$B$40), (SamplingData[[#This Row],[Running (cumulative) sum]] * ('General Info'!$B$40 -'General Info'!$B$41 + 1)) + 'General Info'!$B$41 - 1, 0)</f>
        <v>15445.248246773717</v>
      </c>
      <c r="W221" s="100" t="str">
        <f>IF(ISERROR(MATCH(SamplingData[[#This Row],[Batch by Type (p)]],SelectedPrecincts[Batch Name], 0)), "", INDEX(SelectedPrecincts[Draw], MATCH(SamplingData[[#This Row],[Batch by Type (p)]],SelectedPrecincts[Batch Name], 0)))</f>
        <v/>
      </c>
      <c r="X221" s="102">
        <f>IF(COUNTIF(SelectedPrecincts[Batch Name],SamplingData[[#This Row],[Batch by Type (p)]]) &lt;&gt; 0, COUNTIF(SelectedPrecincts[Batch Name],SamplingData[[#This Row],[Batch by Type (p)]]), 0)</f>
        <v>0</v>
      </c>
    </row>
    <row r="222" spans="1:24" ht="15" customHeight="1">
      <c r="A222" s="18" t="s">
        <v>398</v>
      </c>
      <c r="B222" s="18">
        <v>8</v>
      </c>
      <c r="C222" s="18">
        <v>2</v>
      </c>
      <c r="D222" s="18">
        <v>3</v>
      </c>
      <c r="E222" s="18">
        <v>0</v>
      </c>
      <c r="F222" s="18">
        <v>0</v>
      </c>
      <c r="G222" s="18">
        <v>0</v>
      </c>
      <c r="H222" s="18">
        <v>0</v>
      </c>
      <c r="I222" s="18">
        <v>0</v>
      </c>
      <c r="J222" s="99">
        <f>SUM(SamplingData[[#This Row],[Losing Candidate]:[Under Votes]])</f>
        <v>13</v>
      </c>
      <c r="K222"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222" s="100">
        <f>IF(AND(SamplingData[[#This Row],[Total]]&lt;&gt; 0, NOT(ISBLANK(SamplingData[[#This Row],[Candidate 3]]))),(SamplingData[[#This Row],[Total]]+SamplingData[[#This Row],[Winning Candidate]]-SamplingData[[#This Row],[Candidate 3]])/(SamplingData[[#Totals],[Winning Candidate]]-SamplingData[[#Totals],[Candidate 3]]), 0)</f>
        <v>3.8713423879730297E-4</v>
      </c>
      <c r="M222" s="100">
        <f>IF(AND(SamplingData[[#This Row],[Total]]&lt;&gt; 0, NOT(ISBLANK(SamplingData[[#This Row],[Candidate 4]]))),(SamplingData[[#This Row],[Total]]+SamplingData[[#This Row],[Winning Candidate]]-SamplingData[[#This Row],[Candidate 4]])/(SamplingData[[#Totals],[Winning Candidate]]-SamplingData[[#Totals],[Candidate 4]]), 0)</f>
        <v>4.3848110146452689E-4</v>
      </c>
      <c r="N222" s="100">
        <f>IF(AND(SamplingData[[#This Row],[Total]]&lt;&gt; 0, NOT(ISBLANK(SamplingData[[#This Row],[Candidate 5]]))),(SamplingData[[#This Row],[Total]]+SamplingData[[#This Row],[Winning Candidate]]-SamplingData[[#This Row],[Candidate 5]])/(SamplingData[[#Totals],[Winning Candidate]]-SamplingData[[#Totals],[Candidate 5]]), 0)</f>
        <v>3.6487472634395525E-4</v>
      </c>
      <c r="O222" s="100">
        <f>IF(AND(SamplingData[[#This Row],[Total]]&lt;&gt; 0, NOT(ISBLANK(SamplingData[[#This Row],[Candidate 6]]))),(SamplingData[[#This Row],[Total]]+SamplingData[[#This Row],[Winning Candidate]]-SamplingData[[#This Row],[Candidate 6]])/(SamplingData[[#Totals],[Winning Candidate]]-SamplingData[[#Totals],[Candidate 6]]), 0)</f>
        <v>3.6476825057147027E-4</v>
      </c>
      <c r="P222" s="100">
        <f>MAX(SamplingData[[#This Row],[Error Bound (up) - Max. possible relative overstatement - Losing Candidate]:[Error Bound (up) - Max. possible relative overstatement - Candidate 6]])</f>
        <v>4.3848110146452689E-4</v>
      </c>
      <c r="Q222" s="100">
        <f>IF(SamplingData[[#This Row],[Max Error Bound (up)]] = 0,0,SamplingData[[#This Row],[Max Error Bound (up)]]/SamplingData[[#Totals],[Max Error Bound (up)]])</f>
        <v>6.9396851482269375E-5</v>
      </c>
      <c r="R222" s="101">
        <f>SUM($Q$5:Q222)</f>
        <v>0.15453187931921944</v>
      </c>
      <c r="S222" s="100" t="str">
        <f t="array" ref="S222">IF(SamplingData[[#This Row],[up/U Selection Probability]] = 0, "Zero", TEXT(SamplingData[[#This Row],[Lower Range]], REPT("0",LEN('General Info'!$B$40))) &amp; " - " &amp; TEXT(SamplingData[[#This Row],[Upper Range]], REPT("0",LEN('General Info'!$B$40))))</f>
        <v>15446 - 15452</v>
      </c>
      <c r="T222" s="100">
        <f>SamplingData[[#This Row],[Upper Range]]-SamplingData[[#This Row],[Span]]</f>
        <v>15446.24831617057</v>
      </c>
      <c r="U222" s="100">
        <f>IF(ISNUMBER('General Info'!$B$40), ((SamplingData[[#This Row],[up/U Selection Probability]]) * 'General Info'!$B$40) - 1, 0)</f>
        <v>5.9396157513754551</v>
      </c>
      <c r="V222" s="100">
        <f>IF(ISNUMBER('General Info'!$B$40), (SamplingData[[#This Row],[Running (cumulative) sum]] * ('General Info'!$B$40 -'General Info'!$B$41 + 1)) + 'General Info'!$B$41 - 1, 0)</f>
        <v>15452.187931921944</v>
      </c>
      <c r="W222" s="100" t="str">
        <f>IF(ISERROR(MATCH(SamplingData[[#This Row],[Batch by Type (p)]],SelectedPrecincts[Batch Name], 0)), "", INDEX(SelectedPrecincts[Draw], MATCH(SamplingData[[#This Row],[Batch by Type (p)]],SelectedPrecincts[Batch Name], 0)))</f>
        <v/>
      </c>
      <c r="X222" s="102">
        <f>IF(COUNTIF(SelectedPrecincts[Batch Name],SamplingData[[#This Row],[Batch by Type (p)]]) &lt;&gt; 0, COUNTIF(SelectedPrecincts[Batch Name],SamplingData[[#This Row],[Batch by Type (p)]]), 0)</f>
        <v>0</v>
      </c>
    </row>
    <row r="223" spans="1:24" ht="15" customHeight="1">
      <c r="A223" s="18" t="s">
        <v>399</v>
      </c>
      <c r="B223" s="18">
        <v>20</v>
      </c>
      <c r="C223" s="18">
        <v>26</v>
      </c>
      <c r="D223" s="16">
        <v>9</v>
      </c>
      <c r="E223" s="16">
        <v>6</v>
      </c>
      <c r="F223" s="37">
        <v>0</v>
      </c>
      <c r="G223" s="37">
        <v>1</v>
      </c>
      <c r="H223" s="17">
        <v>0</v>
      </c>
      <c r="I223" s="17">
        <v>0</v>
      </c>
      <c r="J223" s="99">
        <f>SUM(SamplingData[[#This Row],[Losing Candidate]:[Under Votes]])</f>
        <v>62</v>
      </c>
      <c r="K223" s="100">
        <f>IF(AND(SamplingData[[#This Row],[Total]]&lt;&gt; 0, NOT(ISBLANK(SamplingData[[#This Row],[Losing Candidate]]))),(SamplingData[[#This Row],[Total]]+SamplingData[[#This Row],[Winning Candidate]]-SamplingData[[#This Row],[Losing Candidate]])/(SamplingData[[#Totals],[Winning Candidate]]-SamplingData[[#Totals],[Losing Candidate]]), 0)</f>
        <v>4.1646251837334641E-3</v>
      </c>
      <c r="L223" s="100">
        <f>IF(AND(SamplingData[[#This Row],[Total]]&lt;&gt; 0, NOT(ISBLANK(SamplingData[[#This Row],[Candidate 3]]))),(SamplingData[[#This Row],[Total]]+SamplingData[[#This Row],[Winning Candidate]]-SamplingData[[#This Row],[Candidate 3]])/(SamplingData[[#Totals],[Winning Candidate]]-SamplingData[[#Totals],[Candidate 3]]), 0)</f>
        <v>2.5486337387489112E-3</v>
      </c>
      <c r="M223" s="100">
        <f>IF(AND(SamplingData[[#This Row],[Total]]&lt;&gt; 0, NOT(ISBLANK(SamplingData[[#This Row],[Candidate 4]]))),(SamplingData[[#This Row],[Total]]+SamplingData[[#This Row],[Winning Candidate]]-SamplingData[[#This Row],[Candidate 4]])/(SamplingData[[#Totals],[Winning Candidate]]-SamplingData[[#Totals],[Candidate 4]]), 0)</f>
        <v>2.3970300213394134E-3</v>
      </c>
      <c r="N223" s="100">
        <f>IF(AND(SamplingData[[#This Row],[Total]]&lt;&gt; 0, NOT(ISBLANK(SamplingData[[#This Row],[Candidate 5]]))),(SamplingData[[#This Row],[Total]]+SamplingData[[#This Row],[Winning Candidate]]-SamplingData[[#This Row],[Candidate 5]])/(SamplingData[[#Totals],[Winning Candidate]]-SamplingData[[#Totals],[Candidate 5]]), 0)</f>
        <v>2.1405983945512043E-3</v>
      </c>
      <c r="O223" s="100">
        <f>IF(AND(SamplingData[[#This Row],[Total]]&lt;&gt; 0, NOT(ISBLANK(SamplingData[[#This Row],[Candidate 6]]))),(SamplingData[[#This Row],[Total]]+SamplingData[[#This Row],[Winning Candidate]]-SamplingData[[#This Row],[Candidate 6]])/(SamplingData[[#Totals],[Winning Candidate]]-SamplingData[[#Totals],[Candidate 6]]), 0)</f>
        <v>2.1156558533145277E-3</v>
      </c>
      <c r="P223" s="100">
        <f>MAX(SamplingData[[#This Row],[Error Bound (up) - Max. possible relative overstatement - Losing Candidate]:[Error Bound (up) - Max. possible relative overstatement - Candidate 6]])</f>
        <v>4.1646251837334641E-3</v>
      </c>
      <c r="Q223" s="100">
        <f>IF(SamplingData[[#This Row],[Max Error Bound (up)]] = 0,0,SamplingData[[#This Row],[Max Error Bound (up)]]/SamplingData[[#Totals],[Max Error Bound (up)]])</f>
        <v>6.5912048293431658E-4</v>
      </c>
      <c r="R223" s="101">
        <f>SUM($Q$5:Q223)</f>
        <v>0.15519099980215376</v>
      </c>
      <c r="S223" s="100" t="str">
        <f t="array" ref="S223">IF(SamplingData[[#This Row],[up/U Selection Probability]] = 0, "Zero", TEXT(SamplingData[[#This Row],[Lower Range]], REPT("0",LEN('General Info'!$B$40))) &amp; " - " &amp; TEXT(SamplingData[[#This Row],[Upper Range]], REPT("0",LEN('General Info'!$B$40))))</f>
        <v>15453 - 15518</v>
      </c>
      <c r="T223" s="100">
        <f>SamplingData[[#This Row],[Upper Range]]-SamplingData[[#This Row],[Span]]</f>
        <v>15453.188591042428</v>
      </c>
      <c r="U223" s="100">
        <f>IF(ISNUMBER('General Info'!$B$40), ((SamplingData[[#This Row],[up/U Selection Probability]]) * 'General Info'!$B$40) - 1, 0)</f>
        <v>64.911389172948716</v>
      </c>
      <c r="V223" s="100">
        <f>IF(ISNUMBER('General Info'!$B$40), (SamplingData[[#This Row],[Running (cumulative) sum]] * ('General Info'!$B$40 -'General Info'!$B$41 + 1)) + 'General Info'!$B$41 - 1, 0)</f>
        <v>15518.099980215376</v>
      </c>
      <c r="W223" s="100" t="str">
        <f>IF(ISERROR(MATCH(SamplingData[[#This Row],[Batch by Type (p)]],SelectedPrecincts[Batch Name], 0)), "", INDEX(SelectedPrecincts[Draw], MATCH(SamplingData[[#This Row],[Batch by Type (p)]],SelectedPrecincts[Batch Name], 0)))</f>
        <v/>
      </c>
      <c r="X223" s="102">
        <f>IF(COUNTIF(SelectedPrecincts[Batch Name],SamplingData[[#This Row],[Batch by Type (p)]]) &lt;&gt; 0, COUNTIF(SelectedPrecincts[Batch Name],SamplingData[[#This Row],[Batch by Type (p)]]), 0)</f>
        <v>0</v>
      </c>
    </row>
    <row r="224" spans="1:24" ht="15" customHeight="1">
      <c r="A224" s="18" t="s">
        <v>400</v>
      </c>
      <c r="B224" s="18">
        <v>21</v>
      </c>
      <c r="C224" s="18">
        <v>6</v>
      </c>
      <c r="D224" s="18">
        <v>5</v>
      </c>
      <c r="E224" s="18">
        <v>1</v>
      </c>
      <c r="F224" s="18">
        <v>0</v>
      </c>
      <c r="G224" s="18">
        <v>0</v>
      </c>
      <c r="H224" s="18">
        <v>0</v>
      </c>
      <c r="I224" s="18">
        <v>0</v>
      </c>
      <c r="J224" s="99">
        <f>SUM(SamplingData[[#This Row],[Losing Candidate]:[Under Votes]])</f>
        <v>33</v>
      </c>
      <c r="K224"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224" s="100">
        <f>IF(AND(SamplingData[[#This Row],[Total]]&lt;&gt; 0, NOT(ISBLANK(SamplingData[[#This Row],[Candidate 3]]))),(SamplingData[[#This Row],[Total]]+SamplingData[[#This Row],[Winning Candidate]]-SamplingData[[#This Row],[Candidate 3]])/(SamplingData[[#Totals],[Winning Candidate]]-SamplingData[[#Totals],[Candidate 3]]), 0)</f>
        <v>1.0968803432590251E-3</v>
      </c>
      <c r="M224" s="100">
        <f>IF(AND(SamplingData[[#This Row],[Total]]&lt;&gt; 0, NOT(ISBLANK(SamplingData[[#This Row],[Candidate 4]]))),(SamplingData[[#This Row],[Total]]+SamplingData[[#This Row],[Winning Candidate]]-SamplingData[[#This Row],[Candidate 4]])/(SamplingData[[#Totals],[Winning Candidate]]-SamplingData[[#Totals],[Candidate 4]]), 0)</f>
        <v>1.1108187903768015E-3</v>
      </c>
      <c r="N224" s="100">
        <f>IF(AND(SamplingData[[#This Row],[Total]]&lt;&gt; 0, NOT(ISBLANK(SamplingData[[#This Row],[Candidate 5]]))),(SamplingData[[#This Row],[Total]]+SamplingData[[#This Row],[Winning Candidate]]-SamplingData[[#This Row],[Candidate 5]])/(SamplingData[[#Totals],[Winning Candidate]]-SamplingData[[#Totals],[Candidate 5]]), 0)</f>
        <v>9.4867428849428363E-4</v>
      </c>
      <c r="O224" s="100">
        <f>IF(AND(SamplingData[[#This Row],[Total]]&lt;&gt; 0, NOT(ISBLANK(SamplingData[[#This Row],[Candidate 6]]))),(SamplingData[[#This Row],[Total]]+SamplingData[[#This Row],[Winning Candidate]]-SamplingData[[#This Row],[Candidate 6]])/(SamplingData[[#Totals],[Winning Candidate]]-SamplingData[[#Totals],[Candidate 6]]), 0)</f>
        <v>9.4839745148582271E-4</v>
      </c>
      <c r="P224" s="100">
        <f>MAX(SamplingData[[#This Row],[Error Bound (up) - Max. possible relative overstatement - Losing Candidate]:[Error Bound (up) - Max. possible relative overstatement - Candidate 6]])</f>
        <v>1.1108187903768015E-3</v>
      </c>
      <c r="Q224" s="100">
        <f>IF(SamplingData[[#This Row],[Max Error Bound (up)]] = 0,0,SamplingData[[#This Row],[Max Error Bound (up)]]/SamplingData[[#Totals],[Max Error Bound (up)]])</f>
        <v>1.7580535708841576E-4</v>
      </c>
      <c r="R224" s="101">
        <f>SUM($Q$5:Q224)</f>
        <v>0.15536680515924217</v>
      </c>
      <c r="S224" s="100" t="str">
        <f t="array" ref="S224">IF(SamplingData[[#This Row],[up/U Selection Probability]] = 0, "Zero", TEXT(SamplingData[[#This Row],[Lower Range]], REPT("0",LEN('General Info'!$B$40))) &amp; " - " &amp; TEXT(SamplingData[[#This Row],[Upper Range]], REPT("0",LEN('General Info'!$B$40))))</f>
        <v>15519 - 15536</v>
      </c>
      <c r="T224" s="100">
        <f>SamplingData[[#This Row],[Upper Range]]-SamplingData[[#This Row],[Span]]</f>
        <v>15519.100156020733</v>
      </c>
      <c r="U224" s="100">
        <f>IF(ISNUMBER('General Info'!$B$40), ((SamplingData[[#This Row],[up/U Selection Probability]]) * 'General Info'!$B$40) - 1, 0)</f>
        <v>16.580359903484489</v>
      </c>
      <c r="V224" s="100">
        <f>IF(ISNUMBER('General Info'!$B$40), (SamplingData[[#This Row],[Running (cumulative) sum]] * ('General Info'!$B$40 -'General Info'!$B$41 + 1)) + 'General Info'!$B$41 - 1, 0)</f>
        <v>15535.680515924218</v>
      </c>
      <c r="W224" s="100" t="str">
        <f>IF(ISERROR(MATCH(SamplingData[[#This Row],[Batch by Type (p)]],SelectedPrecincts[Batch Name], 0)), "", INDEX(SelectedPrecincts[Draw], MATCH(SamplingData[[#This Row],[Batch by Type (p)]],SelectedPrecincts[Batch Name], 0)))</f>
        <v/>
      </c>
      <c r="X224" s="102">
        <f>IF(COUNTIF(SelectedPrecincts[Batch Name],SamplingData[[#This Row],[Batch by Type (p)]]) &lt;&gt; 0, COUNTIF(SelectedPrecincts[Batch Name],SamplingData[[#This Row],[Batch by Type (p)]]), 0)</f>
        <v>0</v>
      </c>
    </row>
    <row r="225" spans="1:24" ht="15" customHeight="1">
      <c r="A225" s="18" t="s">
        <v>401</v>
      </c>
      <c r="B225" s="18">
        <v>22</v>
      </c>
      <c r="C225" s="18">
        <v>17</v>
      </c>
      <c r="D225" s="16">
        <v>6</v>
      </c>
      <c r="E225" s="16">
        <v>7</v>
      </c>
      <c r="F225" s="37">
        <v>0</v>
      </c>
      <c r="G225" s="37">
        <v>0</v>
      </c>
      <c r="H225" s="17">
        <v>0</v>
      </c>
      <c r="I225" s="17">
        <v>0</v>
      </c>
      <c r="J225" s="99">
        <f>SUM(SamplingData[[#This Row],[Losing Candidate]:[Under Votes]])</f>
        <v>52</v>
      </c>
      <c r="K225" s="100">
        <f>IF(AND(SamplingData[[#This Row],[Total]]&lt;&gt; 0, NOT(ISBLANK(SamplingData[[#This Row],[Losing Candidate]]))),(SamplingData[[#This Row],[Total]]+SamplingData[[#This Row],[Winning Candidate]]-SamplingData[[#This Row],[Losing Candidate]])/(SamplingData[[#Totals],[Winning Candidate]]-SamplingData[[#Totals],[Losing Candidate]]), 0)</f>
        <v>2.8784909358157765E-3</v>
      </c>
      <c r="L225" s="100">
        <f>IF(AND(SamplingData[[#This Row],[Total]]&lt;&gt; 0, NOT(ISBLANK(SamplingData[[#This Row],[Candidate 3]]))),(SamplingData[[#This Row],[Total]]+SamplingData[[#This Row],[Winning Candidate]]-SamplingData[[#This Row],[Candidate 3]])/(SamplingData[[#Totals],[Winning Candidate]]-SamplingData[[#Totals],[Candidate 3]]), 0)</f>
        <v>2.0324547536858407E-3</v>
      </c>
      <c r="M225" s="100">
        <f>IF(AND(SamplingData[[#This Row],[Total]]&lt;&gt; 0, NOT(ISBLANK(SamplingData[[#This Row],[Candidate 4]]))),(SamplingData[[#This Row],[Total]]+SamplingData[[#This Row],[Winning Candidate]]-SamplingData[[#This Row],[Candidate 4]])/(SamplingData[[#Totals],[Winning Candidate]]-SamplingData[[#Totals],[Candidate 4]]), 0)</f>
        <v>1.8123885527200445E-3</v>
      </c>
      <c r="N225" s="100">
        <f>IF(AND(SamplingData[[#This Row],[Total]]&lt;&gt; 0, NOT(ISBLANK(SamplingData[[#This Row],[Candidate 5]]))),(SamplingData[[#This Row],[Total]]+SamplingData[[#This Row],[Winning Candidate]]-SamplingData[[#This Row],[Candidate 5]])/(SamplingData[[#Totals],[Winning Candidate]]-SamplingData[[#Totals],[Candidate 5]]), 0)</f>
        <v>1.678423741182194E-3</v>
      </c>
      <c r="O225" s="100">
        <f>IF(AND(SamplingData[[#This Row],[Total]]&lt;&gt; 0, NOT(ISBLANK(SamplingData[[#This Row],[Candidate 6]]))),(SamplingData[[#This Row],[Total]]+SamplingData[[#This Row],[Winning Candidate]]-SamplingData[[#This Row],[Candidate 6]])/(SamplingData[[#Totals],[Winning Candidate]]-SamplingData[[#Totals],[Candidate 6]]), 0)</f>
        <v>1.6779339526287631E-3</v>
      </c>
      <c r="P225" s="100">
        <f>MAX(SamplingData[[#This Row],[Error Bound (up) - Max. possible relative overstatement - Losing Candidate]:[Error Bound (up) - Max. possible relative overstatement - Candidate 6]])</f>
        <v>2.8784909358157765E-3</v>
      </c>
      <c r="Q225" s="100">
        <f>IF(SamplingData[[#This Row],[Max Error Bound (up)]] = 0,0,SamplingData[[#This Row],[Max Error Bound (up)]]/SamplingData[[#Totals],[Max Error Bound (up)]])</f>
        <v>4.5556856908695405E-4</v>
      </c>
      <c r="R225" s="101">
        <f>SUM($Q$5:Q225)</f>
        <v>0.15582237372832913</v>
      </c>
      <c r="S225" s="100" t="str">
        <f t="array" ref="S225">IF(SamplingData[[#This Row],[up/U Selection Probability]] = 0, "Zero", TEXT(SamplingData[[#This Row],[Lower Range]], REPT("0",LEN('General Info'!$B$40))) &amp; " - " &amp; TEXT(SamplingData[[#This Row],[Upper Range]], REPT("0",LEN('General Info'!$B$40))))</f>
        <v>15537 - 15581</v>
      </c>
      <c r="T225" s="100">
        <f>SamplingData[[#This Row],[Upper Range]]-SamplingData[[#This Row],[Span]]</f>
        <v>15536.680971492786</v>
      </c>
      <c r="U225" s="100">
        <f>IF(ISNUMBER('General Info'!$B$40), ((SamplingData[[#This Row],[up/U Selection Probability]]) * 'General Info'!$B$40) - 1, 0)</f>
        <v>44.556401340126321</v>
      </c>
      <c r="V225" s="100">
        <f>IF(ISNUMBER('General Info'!$B$40), (SamplingData[[#This Row],[Running (cumulative) sum]] * ('General Info'!$B$40 -'General Info'!$B$41 + 1)) + 'General Info'!$B$41 - 1, 0)</f>
        <v>15581.237372832913</v>
      </c>
      <c r="W225" s="100" t="str">
        <f>IF(ISERROR(MATCH(SamplingData[[#This Row],[Batch by Type (p)]],SelectedPrecincts[Batch Name], 0)), "", INDEX(SelectedPrecincts[Draw], MATCH(SamplingData[[#This Row],[Batch by Type (p)]],SelectedPrecincts[Batch Name], 0)))</f>
        <v/>
      </c>
      <c r="X225" s="102">
        <f>IF(COUNTIF(SelectedPrecincts[Batch Name],SamplingData[[#This Row],[Batch by Type (p)]]) &lt;&gt; 0, COUNTIF(SelectedPrecincts[Batch Name],SamplingData[[#This Row],[Batch by Type (p)]]), 0)</f>
        <v>0</v>
      </c>
    </row>
    <row r="226" spans="1:24" ht="15" customHeight="1">
      <c r="A226" s="18" t="s">
        <v>402</v>
      </c>
      <c r="B226" s="18">
        <v>12</v>
      </c>
      <c r="C226" s="18">
        <v>0</v>
      </c>
      <c r="D226" s="18">
        <v>7</v>
      </c>
      <c r="E226" s="18">
        <v>2</v>
      </c>
      <c r="F226" s="18">
        <v>0</v>
      </c>
      <c r="G226" s="18">
        <v>0</v>
      </c>
      <c r="H226" s="18">
        <v>0</v>
      </c>
      <c r="I226" s="18">
        <v>0</v>
      </c>
      <c r="J226" s="99">
        <f>SUM(SamplingData[[#This Row],[Losing Candidate]:[Under Votes]])</f>
        <v>21</v>
      </c>
      <c r="K226"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226" s="100">
        <f>IF(AND(SamplingData[[#This Row],[Total]]&lt;&gt; 0, NOT(ISBLANK(SamplingData[[#This Row],[Candidate 3]]))),(SamplingData[[#This Row],[Total]]+SamplingData[[#This Row],[Winning Candidate]]-SamplingData[[#This Row],[Candidate 3]])/(SamplingData[[#Totals],[Winning Candidate]]-SamplingData[[#Totals],[Candidate 3]]), 0)</f>
        <v>4.5165661193018679E-4</v>
      </c>
      <c r="M226" s="100">
        <f>IF(AND(SamplingData[[#This Row],[Total]]&lt;&gt; 0, NOT(ISBLANK(SamplingData[[#This Row],[Candidate 4]]))),(SamplingData[[#This Row],[Total]]+SamplingData[[#This Row],[Winning Candidate]]-SamplingData[[#This Row],[Candidate 4]])/(SamplingData[[#Totals],[Winning Candidate]]-SamplingData[[#Totals],[Candidate 4]]), 0)</f>
        <v>5.5540939518840076E-4</v>
      </c>
      <c r="N226" s="100">
        <f>IF(AND(SamplingData[[#This Row],[Total]]&lt;&gt; 0, NOT(ISBLANK(SamplingData[[#This Row],[Candidate 5]]))),(SamplingData[[#This Row],[Total]]+SamplingData[[#This Row],[Winning Candidate]]-SamplingData[[#This Row],[Candidate 5]])/(SamplingData[[#Totals],[Winning Candidate]]-SamplingData[[#Totals],[Candidate 5]]), 0)</f>
        <v>5.1082461688153739E-4</v>
      </c>
      <c r="O226" s="100">
        <f>IF(AND(SamplingData[[#This Row],[Total]]&lt;&gt; 0, NOT(ISBLANK(SamplingData[[#This Row],[Candidate 6]]))),(SamplingData[[#This Row],[Total]]+SamplingData[[#This Row],[Winning Candidate]]-SamplingData[[#This Row],[Candidate 6]])/(SamplingData[[#Totals],[Winning Candidate]]-SamplingData[[#Totals],[Candidate 6]]), 0)</f>
        <v>5.1067555080005838E-4</v>
      </c>
      <c r="P226" s="100">
        <f>MAX(SamplingData[[#This Row],[Error Bound (up) - Max. possible relative overstatement - Losing Candidate]:[Error Bound (up) - Max. possible relative overstatement - Candidate 6]])</f>
        <v>5.5540939518840076E-4</v>
      </c>
      <c r="Q226" s="100">
        <f>IF(SamplingData[[#This Row],[Max Error Bound (up)]] = 0,0,SamplingData[[#This Row],[Max Error Bound (up)]]/SamplingData[[#Totals],[Max Error Bound (up)]])</f>
        <v>8.7902678544207882E-5</v>
      </c>
      <c r="R226" s="101">
        <f>SUM($Q$5:Q226)</f>
        <v>0.15591027640687335</v>
      </c>
      <c r="S226" s="100" t="str">
        <f t="array" ref="S226">IF(SamplingData[[#This Row],[up/U Selection Probability]] = 0, "Zero", TEXT(SamplingData[[#This Row],[Lower Range]], REPT("0",LEN('General Info'!$B$40))) &amp; " - " &amp; TEXT(SamplingData[[#This Row],[Upper Range]], REPT("0",LEN('General Info'!$B$40))))</f>
        <v>15582 - 15590</v>
      </c>
      <c r="T226" s="100">
        <f>SamplingData[[#This Row],[Upper Range]]-SamplingData[[#This Row],[Span]]</f>
        <v>15582.237460735594</v>
      </c>
      <c r="U226" s="100">
        <f>IF(ISNUMBER('General Info'!$B$40), ((SamplingData[[#This Row],[up/U Selection Probability]]) * 'General Info'!$B$40) - 1, 0)</f>
        <v>7.7901799517422443</v>
      </c>
      <c r="V226" s="100">
        <f>IF(ISNUMBER('General Info'!$B$40), (SamplingData[[#This Row],[Running (cumulative) sum]] * ('General Info'!$B$40 -'General Info'!$B$41 + 1)) + 'General Info'!$B$41 - 1, 0)</f>
        <v>15590.027640687336</v>
      </c>
      <c r="W226" s="100" t="str">
        <f>IF(ISERROR(MATCH(SamplingData[[#This Row],[Batch by Type (p)]],SelectedPrecincts[Batch Name], 0)), "", INDEX(SelectedPrecincts[Draw], MATCH(SamplingData[[#This Row],[Batch by Type (p)]],SelectedPrecincts[Batch Name], 0)))</f>
        <v/>
      </c>
      <c r="X226" s="102">
        <f>IF(COUNTIF(SelectedPrecincts[Batch Name],SamplingData[[#This Row],[Batch by Type (p)]]) &lt;&gt; 0, COUNTIF(SelectedPrecincts[Batch Name],SamplingData[[#This Row],[Batch by Type (p)]]), 0)</f>
        <v>0</v>
      </c>
    </row>
    <row r="227" spans="1:24" ht="15" customHeight="1">
      <c r="A227" s="18" t="s">
        <v>403</v>
      </c>
      <c r="B227" s="18">
        <v>47</v>
      </c>
      <c r="C227" s="18">
        <v>81</v>
      </c>
      <c r="D227" s="16">
        <v>23</v>
      </c>
      <c r="E227" s="16">
        <v>24</v>
      </c>
      <c r="F227" s="37">
        <v>3</v>
      </c>
      <c r="G227" s="37">
        <v>3</v>
      </c>
      <c r="H227" s="17">
        <v>0</v>
      </c>
      <c r="I227" s="17">
        <v>13</v>
      </c>
      <c r="J227" s="99">
        <f>SUM(SamplingData[[#This Row],[Losing Candidate]:[Under Votes]])</f>
        <v>194</v>
      </c>
      <c r="K227" s="100">
        <f>IF(AND(SamplingData[[#This Row],[Total]]&lt;&gt; 0, NOT(ISBLANK(SamplingData[[#This Row],[Losing Candidate]]))),(SamplingData[[#This Row],[Total]]+SamplingData[[#This Row],[Winning Candidate]]-SamplingData[[#This Row],[Losing Candidate]])/(SamplingData[[#Totals],[Winning Candidate]]-SamplingData[[#Totals],[Losing Candidate]]), 0)</f>
        <v>1.396374326310632E-2</v>
      </c>
      <c r="L227" s="100">
        <f>IF(AND(SamplingData[[#This Row],[Total]]&lt;&gt; 0, NOT(ISBLANK(SamplingData[[#This Row],[Candidate 3]]))),(SamplingData[[#This Row],[Total]]+SamplingData[[#This Row],[Winning Candidate]]-SamplingData[[#This Row],[Candidate 3]])/(SamplingData[[#Totals],[Winning Candidate]]-SamplingData[[#Totals],[Candidate 3]]), 0)</f>
        <v>8.1298190147433627E-3</v>
      </c>
      <c r="M227" s="100">
        <f>IF(AND(SamplingData[[#This Row],[Total]]&lt;&gt; 0, NOT(ISBLANK(SamplingData[[#This Row],[Candidate 4]]))),(SamplingData[[#This Row],[Total]]+SamplingData[[#This Row],[Winning Candidate]]-SamplingData[[#This Row],[Candidate 4]])/(SamplingData[[#Totals],[Winning Candidate]]-SamplingData[[#Totals],[Candidate 4]]), 0)</f>
        <v>7.3372504311730834E-3</v>
      </c>
      <c r="N227" s="100">
        <f>IF(AND(SamplingData[[#This Row],[Total]]&lt;&gt; 0, NOT(ISBLANK(SamplingData[[#This Row],[Candidate 5]]))),(SamplingData[[#This Row],[Total]]+SamplingData[[#This Row],[Winning Candidate]]-SamplingData[[#This Row],[Candidate 5]])/(SamplingData[[#Totals],[Winning Candidate]]-SamplingData[[#Totals],[Candidate 5]]), 0)</f>
        <v>6.6163950377037218E-3</v>
      </c>
      <c r="O227" s="100">
        <f>IF(AND(SamplingData[[#This Row],[Total]]&lt;&gt; 0, NOT(ISBLANK(SamplingData[[#This Row],[Candidate 6]]))),(SamplingData[[#This Row],[Total]]+SamplingData[[#This Row],[Winning Candidate]]-SamplingData[[#This Row],[Candidate 6]])/(SamplingData[[#Totals],[Winning Candidate]]-SamplingData[[#Totals],[Candidate 6]]), 0)</f>
        <v>6.614464277029327E-3</v>
      </c>
      <c r="P227" s="100">
        <f>MAX(SamplingData[[#This Row],[Error Bound (up) - Max. possible relative overstatement - Losing Candidate]:[Error Bound (up) - Max. possible relative overstatement - Candidate 6]])</f>
        <v>1.396374326310632E-2</v>
      </c>
      <c r="Q227" s="100">
        <f>IF(SamplingData[[#This Row],[Max Error Bound (up)]] = 0,0,SamplingData[[#This Row],[Max Error Bound (up)]]/SamplingData[[#Totals],[Max Error Bound (up)]])</f>
        <v>2.2099922074856498E-3</v>
      </c>
      <c r="R227" s="101">
        <f>SUM($Q$5:Q227)</f>
        <v>0.15812026861435902</v>
      </c>
      <c r="S227" s="100" t="str">
        <f t="array" ref="S227">IF(SamplingData[[#This Row],[up/U Selection Probability]] = 0, "Zero", TEXT(SamplingData[[#This Row],[Lower Range]], REPT("0",LEN('General Info'!$B$40))) &amp; " - " &amp; TEXT(SamplingData[[#This Row],[Upper Range]], REPT("0",LEN('General Info'!$B$40))))</f>
        <v>15591 - 15811</v>
      </c>
      <c r="T227" s="100">
        <f>SamplingData[[#This Row],[Upper Range]]-SamplingData[[#This Row],[Span]]</f>
        <v>15591.029850679544</v>
      </c>
      <c r="U227" s="100">
        <f>IF(ISNUMBER('General Info'!$B$40), ((SamplingData[[#This Row],[up/U Selection Probability]]) * 'General Info'!$B$40) - 1, 0)</f>
        <v>219.9970107563575</v>
      </c>
      <c r="V227" s="100">
        <f>IF(ISNUMBER('General Info'!$B$40), (SamplingData[[#This Row],[Running (cumulative) sum]] * ('General Info'!$B$40 -'General Info'!$B$41 + 1)) + 'General Info'!$B$41 - 1, 0)</f>
        <v>15811.026861435901</v>
      </c>
      <c r="W227" s="100" t="str">
        <f>IF(ISERROR(MATCH(SamplingData[[#This Row],[Batch by Type (p)]],SelectedPrecincts[Batch Name], 0)), "", INDEX(SelectedPrecincts[Draw], MATCH(SamplingData[[#This Row],[Batch by Type (p)]],SelectedPrecincts[Batch Name], 0)))</f>
        <v/>
      </c>
      <c r="X227" s="102">
        <f>IF(COUNTIF(SelectedPrecincts[Batch Name],SamplingData[[#This Row],[Batch by Type (p)]]) &lt;&gt; 0, COUNTIF(SelectedPrecincts[Batch Name],SamplingData[[#This Row],[Batch by Type (p)]]), 0)</f>
        <v>0</v>
      </c>
    </row>
    <row r="228" spans="1:24" ht="15" customHeight="1">
      <c r="A228" s="18" t="s">
        <v>404</v>
      </c>
      <c r="B228" s="18">
        <v>24</v>
      </c>
      <c r="C228" s="18">
        <v>43</v>
      </c>
      <c r="D228" s="18">
        <v>9</v>
      </c>
      <c r="E228" s="18">
        <v>1</v>
      </c>
      <c r="F228" s="18">
        <v>0</v>
      </c>
      <c r="G228" s="18">
        <v>1</v>
      </c>
      <c r="H228" s="18">
        <v>0</v>
      </c>
      <c r="I228" s="18">
        <v>4</v>
      </c>
      <c r="J228" s="99">
        <f>SUM(SamplingData[[#This Row],[Losing Candidate]:[Under Votes]])</f>
        <v>82</v>
      </c>
      <c r="K228" s="100">
        <f>IF(AND(SamplingData[[#This Row],[Total]]&lt;&gt; 0, NOT(ISBLANK(SamplingData[[#This Row],[Losing Candidate]]))),(SamplingData[[#This Row],[Total]]+SamplingData[[#This Row],[Winning Candidate]]-SamplingData[[#This Row],[Losing Candidate]])/(SamplingData[[#Totals],[Winning Candidate]]-SamplingData[[#Totals],[Losing Candidate]]), 0)</f>
        <v>6.1856932876041158E-3</v>
      </c>
      <c r="L228" s="100">
        <f>IF(AND(SamplingData[[#This Row],[Total]]&lt;&gt; 0, NOT(ISBLANK(SamplingData[[#This Row],[Candidate 3]]))),(SamplingData[[#This Row],[Total]]+SamplingData[[#This Row],[Winning Candidate]]-SamplingData[[#This Row],[Candidate 3]])/(SamplingData[[#Totals],[Winning Candidate]]-SamplingData[[#Totals],[Candidate 3]]), 0)</f>
        <v>3.7422976417072619E-3</v>
      </c>
      <c r="M228" s="100">
        <f>IF(AND(SamplingData[[#This Row],[Total]]&lt;&gt; 0, NOT(ISBLANK(SamplingData[[#This Row],[Candidate 4]]))),(SamplingData[[#This Row],[Total]]+SamplingData[[#This Row],[Winning Candidate]]-SamplingData[[#This Row],[Candidate 4]])/(SamplingData[[#Totals],[Winning Candidate]]-SamplingData[[#Totals],[Candidate 4]]), 0)</f>
        <v>3.624777105440089E-3</v>
      </c>
      <c r="N228" s="100">
        <f>IF(AND(SamplingData[[#This Row],[Total]]&lt;&gt; 0, NOT(ISBLANK(SamplingData[[#This Row],[Candidate 5]]))),(SamplingData[[#This Row],[Total]]+SamplingData[[#This Row],[Winning Candidate]]-SamplingData[[#This Row],[Candidate 5]])/(SamplingData[[#Totals],[Winning Candidate]]-SamplingData[[#Totals],[Candidate 5]]), 0)</f>
        <v>3.0406227195329603E-3</v>
      </c>
      <c r="O228" s="100">
        <f>IF(AND(SamplingData[[#This Row],[Total]]&lt;&gt; 0, NOT(ISBLANK(SamplingData[[#This Row],[Candidate 6]]))),(SamplingData[[#This Row],[Total]]+SamplingData[[#This Row],[Winning Candidate]]-SamplingData[[#This Row],[Candidate 6]])/(SamplingData[[#Totals],[Winning Candidate]]-SamplingData[[#Totals],[Candidate 6]]), 0)</f>
        <v>3.0154175380574873E-3</v>
      </c>
      <c r="P228" s="100">
        <f>MAX(SamplingData[[#This Row],[Error Bound (up) - Max. possible relative overstatement - Losing Candidate]:[Error Bound (up) - Max. possible relative overstatement - Candidate 6]])</f>
        <v>6.1856932876041158E-3</v>
      </c>
      <c r="Q228" s="100">
        <f>IF(SamplingData[[#This Row],[Max Error Bound (up)]] = 0,0,SamplingData[[#This Row],[Max Error Bound (up)]]/SamplingData[[#Totals],[Max Error Bound (up)]])</f>
        <v>9.7898777612302908E-4</v>
      </c>
      <c r="R228" s="101">
        <f>SUM($Q$5:Q228)</f>
        <v>0.15909925639048206</v>
      </c>
      <c r="S228" s="100" t="str">
        <f t="array" ref="S228">IF(SamplingData[[#This Row],[up/U Selection Probability]] = 0, "Zero", TEXT(SamplingData[[#This Row],[Lower Range]], REPT("0",LEN('General Info'!$B$40))) &amp; " - " &amp; TEXT(SamplingData[[#This Row],[Upper Range]], REPT("0",LEN('General Info'!$B$40))))</f>
        <v>15812 - 15909</v>
      </c>
      <c r="T228" s="100">
        <f>SamplingData[[#This Row],[Upper Range]]-SamplingData[[#This Row],[Span]]</f>
        <v>15812.02784042368</v>
      </c>
      <c r="U228" s="100">
        <f>IF(ISNUMBER('General Info'!$B$40), ((SamplingData[[#This Row],[up/U Selection Probability]]) * 'General Info'!$B$40) - 1, 0)</f>
        <v>96.897798624526786</v>
      </c>
      <c r="V228" s="100">
        <f>IF(ISNUMBER('General Info'!$B$40), (SamplingData[[#This Row],[Running (cumulative) sum]] * ('General Info'!$B$40 -'General Info'!$B$41 + 1)) + 'General Info'!$B$41 - 1, 0)</f>
        <v>15908.925639048206</v>
      </c>
      <c r="W228" s="100" t="str">
        <f>IF(ISERROR(MATCH(SamplingData[[#This Row],[Batch by Type (p)]],SelectedPrecincts[Batch Name], 0)), "", INDEX(SelectedPrecincts[Draw], MATCH(SamplingData[[#This Row],[Batch by Type (p)]],SelectedPrecincts[Batch Name], 0)))</f>
        <v/>
      </c>
      <c r="X228" s="102">
        <f>IF(COUNTIF(SelectedPrecincts[Batch Name],SamplingData[[#This Row],[Batch by Type (p)]]) &lt;&gt; 0, COUNTIF(SelectedPrecincts[Batch Name],SamplingData[[#This Row],[Batch by Type (p)]]), 0)</f>
        <v>0</v>
      </c>
    </row>
    <row r="229" spans="1:24" ht="15" customHeight="1">
      <c r="A229" s="18" t="s">
        <v>405</v>
      </c>
      <c r="B229" s="18">
        <v>29</v>
      </c>
      <c r="C229" s="18">
        <v>96</v>
      </c>
      <c r="D229" s="16">
        <v>22</v>
      </c>
      <c r="E229" s="16">
        <v>12</v>
      </c>
      <c r="F229" s="37">
        <v>0</v>
      </c>
      <c r="G229" s="37">
        <v>0</v>
      </c>
      <c r="H229" s="17">
        <v>0</v>
      </c>
      <c r="I229" s="17">
        <v>1</v>
      </c>
      <c r="J229" s="99">
        <f>SUM(SamplingData[[#This Row],[Losing Candidate]:[Under Votes]])</f>
        <v>160</v>
      </c>
      <c r="K229" s="100">
        <f>IF(AND(SamplingData[[#This Row],[Total]]&lt;&gt; 0, NOT(ISBLANK(SamplingData[[#This Row],[Losing Candidate]]))),(SamplingData[[#This Row],[Total]]+SamplingData[[#This Row],[Winning Candidate]]-SamplingData[[#This Row],[Losing Candidate]])/(SamplingData[[#Totals],[Winning Candidate]]-SamplingData[[#Totals],[Losing Candidate]]), 0)</f>
        <v>1.3902498775110241E-2</v>
      </c>
      <c r="L229" s="100">
        <f>IF(AND(SamplingData[[#This Row],[Total]]&lt;&gt; 0, NOT(ISBLANK(SamplingData[[#This Row],[Candidate 3]]))),(SamplingData[[#This Row],[Total]]+SamplingData[[#This Row],[Winning Candidate]]-SamplingData[[#This Row],[Candidate 3]])/(SamplingData[[#Totals],[Winning Candidate]]-SamplingData[[#Totals],[Candidate 3]]), 0)</f>
        <v>7.5491176565474077E-3</v>
      </c>
      <c r="M229" s="100">
        <f>IF(AND(SamplingData[[#This Row],[Total]]&lt;&gt; 0, NOT(ISBLANK(SamplingData[[#This Row],[Candidate 4]]))),(SamplingData[[#This Row],[Total]]+SamplingData[[#This Row],[Winning Candidate]]-SamplingData[[#This Row],[Candidate 4]])/(SamplingData[[#Totals],[Winning Candidate]]-SamplingData[[#Totals],[Candidate 4]]), 0)</f>
        <v>7.1326259171563041E-3</v>
      </c>
      <c r="N229" s="100">
        <f>IF(AND(SamplingData[[#This Row],[Total]]&lt;&gt; 0, NOT(ISBLANK(SamplingData[[#This Row],[Candidate 5]]))),(SamplingData[[#This Row],[Total]]+SamplingData[[#This Row],[Winning Candidate]]-SamplingData[[#This Row],[Candidate 5]])/(SamplingData[[#Totals],[Winning Candidate]]-SamplingData[[#Totals],[Candidate 5]]), 0)</f>
        <v>6.227195329603503E-3</v>
      </c>
      <c r="O229" s="100">
        <f>IF(AND(SamplingData[[#This Row],[Total]]&lt;&gt; 0, NOT(ISBLANK(SamplingData[[#This Row],[Candidate 6]]))),(SamplingData[[#This Row],[Total]]+SamplingData[[#This Row],[Winning Candidate]]-SamplingData[[#This Row],[Candidate 6]])/(SamplingData[[#Totals],[Winning Candidate]]-SamplingData[[#Totals],[Candidate 6]]), 0)</f>
        <v>6.2253781430864257E-3</v>
      </c>
      <c r="P229" s="100">
        <f>MAX(SamplingData[[#This Row],[Error Bound (up) - Max. possible relative overstatement - Losing Candidate]:[Error Bound (up) - Max. possible relative overstatement - Candidate 6]])</f>
        <v>1.3902498775110241E-2</v>
      </c>
      <c r="Q229" s="100">
        <f>IF(SamplingData[[#This Row],[Max Error Bound (up)]] = 0,0,SamplingData[[#This Row],[Max Error Bound (up)]]/SamplingData[[#Totals],[Max Error Bound (up)]])</f>
        <v>2.2002992592072041E-3</v>
      </c>
      <c r="R229" s="101">
        <f>SUM($Q$5:Q229)</f>
        <v>0.16129955564968926</v>
      </c>
      <c r="S229" s="100" t="str">
        <f t="array" ref="S229">IF(SamplingData[[#This Row],[up/U Selection Probability]] = 0, "Zero", TEXT(SamplingData[[#This Row],[Lower Range]], REPT("0",LEN('General Info'!$B$40))) &amp; " - " &amp; TEXT(SamplingData[[#This Row],[Upper Range]], REPT("0",LEN('General Info'!$B$40))))</f>
        <v>15910 - 16129</v>
      </c>
      <c r="T229" s="100">
        <f>SamplingData[[#This Row],[Upper Range]]-SamplingData[[#This Row],[Span]]</f>
        <v>15909.927839347465</v>
      </c>
      <c r="U229" s="100">
        <f>IF(ISNUMBER('General Info'!$B$40), ((SamplingData[[#This Row],[up/U Selection Probability]]) * 'General Info'!$B$40) - 1, 0)</f>
        <v>219.0277256214612</v>
      </c>
      <c r="V229" s="100">
        <f>IF(ISNUMBER('General Info'!$B$40), (SamplingData[[#This Row],[Running (cumulative) sum]] * ('General Info'!$B$40 -'General Info'!$B$41 + 1)) + 'General Info'!$B$41 - 1, 0)</f>
        <v>16128.955564968926</v>
      </c>
      <c r="W229" s="100" t="str">
        <f>IF(ISERROR(MATCH(SamplingData[[#This Row],[Batch by Type (p)]],SelectedPrecincts[Batch Name], 0)), "", INDEX(SelectedPrecincts[Draw], MATCH(SamplingData[[#This Row],[Batch by Type (p)]],SelectedPrecincts[Batch Name], 0)))</f>
        <v/>
      </c>
      <c r="X229" s="102">
        <f>IF(COUNTIF(SelectedPrecincts[Batch Name],SamplingData[[#This Row],[Batch by Type (p)]]) &lt;&gt; 0, COUNTIF(SelectedPrecincts[Batch Name],SamplingData[[#This Row],[Batch by Type (p)]]), 0)</f>
        <v>0</v>
      </c>
    </row>
    <row r="230" spans="1:24" ht="15" customHeight="1">
      <c r="A230" s="18" t="s">
        <v>406</v>
      </c>
      <c r="B230" s="18">
        <v>17</v>
      </c>
      <c r="C230" s="18">
        <v>26</v>
      </c>
      <c r="D230" s="18">
        <v>5</v>
      </c>
      <c r="E230" s="18">
        <v>1</v>
      </c>
      <c r="F230" s="18">
        <v>1</v>
      </c>
      <c r="G230" s="18">
        <v>0</v>
      </c>
      <c r="H230" s="18">
        <v>0</v>
      </c>
      <c r="I230" s="18">
        <v>0</v>
      </c>
      <c r="J230" s="99">
        <f>SUM(SamplingData[[#This Row],[Losing Candidate]:[Under Votes]])</f>
        <v>50</v>
      </c>
      <c r="K230" s="100">
        <f>IF(AND(SamplingData[[#This Row],[Total]]&lt;&gt; 0, NOT(ISBLANK(SamplingData[[#This Row],[Losing Candidate]]))),(SamplingData[[#This Row],[Total]]+SamplingData[[#This Row],[Winning Candidate]]-SamplingData[[#This Row],[Losing Candidate]])/(SamplingData[[#Totals],[Winning Candidate]]-SamplingData[[#Totals],[Losing Candidate]]), 0)</f>
        <v>3.6134247917687409E-3</v>
      </c>
      <c r="L230" s="100">
        <f>IF(AND(SamplingData[[#This Row],[Total]]&lt;&gt; 0, NOT(ISBLANK(SamplingData[[#This Row],[Candidate 3]]))),(SamplingData[[#This Row],[Total]]+SamplingData[[#This Row],[Winning Candidate]]-SamplingData[[#This Row],[Candidate 3]])/(SamplingData[[#Totals],[Winning Candidate]]-SamplingData[[#Totals],[Candidate 3]]), 0)</f>
        <v>2.2905442462173757E-3</v>
      </c>
      <c r="M230" s="100">
        <f>IF(AND(SamplingData[[#This Row],[Total]]&lt;&gt; 0, NOT(ISBLANK(SamplingData[[#This Row],[Candidate 4]]))),(SamplingData[[#This Row],[Total]]+SamplingData[[#This Row],[Winning Candidate]]-SamplingData[[#This Row],[Candidate 4]])/(SamplingData[[#Totals],[Winning Candidate]]-SamplingData[[#Totals],[Candidate 4]]), 0)</f>
        <v>2.1924055073226346E-3</v>
      </c>
      <c r="N230" s="100">
        <f>IF(AND(SamplingData[[#This Row],[Total]]&lt;&gt; 0, NOT(ISBLANK(SamplingData[[#This Row],[Candidate 5]]))),(SamplingData[[#This Row],[Total]]+SamplingData[[#This Row],[Winning Candidate]]-SamplingData[[#This Row],[Candidate 5]])/(SamplingData[[#Totals],[Winning Candidate]]-SamplingData[[#Totals],[Candidate 5]]), 0)</f>
        <v>1.8243736317197761E-3</v>
      </c>
      <c r="O230" s="100">
        <f>IF(AND(SamplingData[[#This Row],[Total]]&lt;&gt; 0, NOT(ISBLANK(SamplingData[[#This Row],[Candidate 6]]))),(SamplingData[[#This Row],[Total]]+SamplingData[[#This Row],[Winning Candidate]]-SamplingData[[#This Row],[Candidate 6]])/(SamplingData[[#Totals],[Winning Candidate]]-SamplingData[[#Totals],[Candidate 6]]), 0)</f>
        <v>1.8481591362287826E-3</v>
      </c>
      <c r="P230" s="100">
        <f>MAX(SamplingData[[#This Row],[Error Bound (up) - Max. possible relative overstatement - Losing Candidate]:[Error Bound (up) - Max. possible relative overstatement - Candidate 6]])</f>
        <v>3.6134247917687409E-3</v>
      </c>
      <c r="Q230" s="100">
        <f>IF(SamplingData[[#This Row],[Max Error Bound (up)]] = 0,0,SamplingData[[#This Row],[Max Error Bound (up)]]/SamplingData[[#Totals],[Max Error Bound (up)]])</f>
        <v>5.7188394842830413E-4</v>
      </c>
      <c r="R230" s="101">
        <f>SUM($Q$5:Q230)</f>
        <v>0.16187143959811756</v>
      </c>
      <c r="S230" s="100" t="str">
        <f t="array" ref="S230">IF(SamplingData[[#This Row],[up/U Selection Probability]] = 0, "Zero", TEXT(SamplingData[[#This Row],[Lower Range]], REPT("0",LEN('General Info'!$B$40))) &amp; " - " &amp; TEXT(SamplingData[[#This Row],[Upper Range]], REPT("0",LEN('General Info'!$B$40))))</f>
        <v>16130 - 16186</v>
      </c>
      <c r="T230" s="100">
        <f>SamplingData[[#This Row],[Upper Range]]-SamplingData[[#This Row],[Span]]</f>
        <v>16129.956136852874</v>
      </c>
      <c r="U230" s="100">
        <f>IF(ISNUMBER('General Info'!$B$40), ((SamplingData[[#This Row],[up/U Selection Probability]]) * 'General Info'!$B$40) - 1, 0)</f>
        <v>56.187822958881988</v>
      </c>
      <c r="V230" s="100">
        <f>IF(ISNUMBER('General Info'!$B$40), (SamplingData[[#This Row],[Running (cumulative) sum]] * ('General Info'!$B$40 -'General Info'!$B$41 + 1)) + 'General Info'!$B$41 - 1, 0)</f>
        <v>16186.143959811756</v>
      </c>
      <c r="W230" s="100" t="str">
        <f>IF(ISERROR(MATCH(SamplingData[[#This Row],[Batch by Type (p)]],SelectedPrecincts[Batch Name], 0)), "", INDEX(SelectedPrecincts[Draw], MATCH(SamplingData[[#This Row],[Batch by Type (p)]],SelectedPrecincts[Batch Name], 0)))</f>
        <v/>
      </c>
      <c r="X230" s="102">
        <f>IF(COUNTIF(SelectedPrecincts[Batch Name],SamplingData[[#This Row],[Batch by Type (p)]]) &lt;&gt; 0, COUNTIF(SelectedPrecincts[Batch Name],SamplingData[[#This Row],[Batch by Type (p)]]), 0)</f>
        <v>0</v>
      </c>
    </row>
    <row r="231" spans="1:24" ht="15" customHeight="1">
      <c r="A231" s="18" t="s">
        <v>407</v>
      </c>
      <c r="B231" s="18">
        <v>38</v>
      </c>
      <c r="C231" s="18">
        <v>155</v>
      </c>
      <c r="D231" s="16">
        <v>23</v>
      </c>
      <c r="E231" s="16">
        <v>15</v>
      </c>
      <c r="F231" s="37">
        <v>1</v>
      </c>
      <c r="G231" s="37">
        <v>0</v>
      </c>
      <c r="H231" s="17">
        <v>0</v>
      </c>
      <c r="I231" s="17">
        <v>2</v>
      </c>
      <c r="J231" s="99">
        <f>SUM(SamplingData[[#This Row],[Losing Candidate]:[Under Votes]])</f>
        <v>234</v>
      </c>
      <c r="K231" s="100">
        <f>IF(AND(SamplingData[[#This Row],[Total]]&lt;&gt; 0, NOT(ISBLANK(SamplingData[[#This Row],[Losing Candidate]]))),(SamplingData[[#This Row],[Total]]+SamplingData[[#This Row],[Winning Candidate]]-SamplingData[[#This Row],[Losing Candidate]])/(SamplingData[[#Totals],[Winning Candidate]]-SamplingData[[#Totals],[Losing Candidate]]), 0)</f>
        <v>2.1496815286624203E-2</v>
      </c>
      <c r="L231" s="100">
        <f>IF(AND(SamplingData[[#This Row],[Total]]&lt;&gt; 0, NOT(ISBLANK(SamplingData[[#This Row],[Candidate 3]]))),(SamplingData[[#This Row],[Total]]+SamplingData[[#This Row],[Winning Candidate]]-SamplingData[[#This Row],[Candidate 3]])/(SamplingData[[#Totals],[Winning Candidate]]-SamplingData[[#Totals],[Candidate 3]]), 0)</f>
        <v>1.180759428331774E-2</v>
      </c>
      <c r="M231" s="100">
        <f>IF(AND(SamplingData[[#This Row],[Total]]&lt;&gt; 0, NOT(ISBLANK(SamplingData[[#This Row],[Candidate 4]]))),(SamplingData[[#This Row],[Total]]+SamplingData[[#This Row],[Winning Candidate]]-SamplingData[[#This Row],[Candidate 4]])/(SamplingData[[#Totals],[Winning Candidate]]-SamplingData[[#Totals],[Candidate 4]]), 0)</f>
        <v>1.0932795463182203E-2</v>
      </c>
      <c r="N231" s="100">
        <f>IF(AND(SamplingData[[#This Row],[Total]]&lt;&gt; 0, NOT(ISBLANK(SamplingData[[#This Row],[Candidate 5]]))),(SamplingData[[#This Row],[Total]]+SamplingData[[#This Row],[Winning Candidate]]-SamplingData[[#This Row],[Candidate 5]])/(SamplingData[[#Totals],[Winning Candidate]]-SamplingData[[#Totals],[Candidate 5]]), 0)</f>
        <v>9.4380929214303091E-3</v>
      </c>
      <c r="O231" s="100">
        <f>IF(AND(SamplingData[[#This Row],[Total]]&lt;&gt; 0, NOT(ISBLANK(SamplingData[[#This Row],[Candidate 6]]))),(SamplingData[[#This Row],[Total]]+SamplingData[[#This Row],[Winning Candidate]]-SamplingData[[#This Row],[Candidate 6]])/(SamplingData[[#Totals],[Winning Candidate]]-SamplingData[[#Totals],[Candidate 6]]), 0)</f>
        <v>9.4596566314867955E-3</v>
      </c>
      <c r="P231" s="100">
        <f>MAX(SamplingData[[#This Row],[Error Bound (up) - Max. possible relative overstatement - Losing Candidate]:[Error Bound (up) - Max. possible relative overstatement - Candidate 6]])</f>
        <v>2.1496815286624203E-2</v>
      </c>
      <c r="Q231" s="100">
        <f>IF(SamplingData[[#This Row],[Max Error Bound (up)]] = 0,0,SamplingData[[#This Row],[Max Error Bound (up)]]/SamplingData[[#Totals],[Max Error Bound (up)]])</f>
        <v>3.4022248457344869E-3</v>
      </c>
      <c r="R231" s="101">
        <f>SUM($Q$5:Q231)</f>
        <v>0.16527366444385205</v>
      </c>
      <c r="S231" s="100" t="str">
        <f t="array" ref="S231">IF(SamplingData[[#This Row],[up/U Selection Probability]] = 0, "Zero", TEXT(SamplingData[[#This Row],[Lower Range]], REPT("0",LEN('General Info'!$B$40))) &amp; " - " &amp; TEXT(SamplingData[[#This Row],[Upper Range]], REPT("0",LEN('General Info'!$B$40))))</f>
        <v>16187 - 16526</v>
      </c>
      <c r="T231" s="100">
        <f>SamplingData[[#This Row],[Upper Range]]-SamplingData[[#This Row],[Span]]</f>
        <v>16187.147362036603</v>
      </c>
      <c r="U231" s="100">
        <f>IF(ISNUMBER('General Info'!$B$40), ((SamplingData[[#This Row],[up/U Selection Probability]]) * 'General Info'!$B$40) - 1, 0)</f>
        <v>339.21908234860297</v>
      </c>
      <c r="V231" s="100">
        <f>IF(ISNUMBER('General Info'!$B$40), (SamplingData[[#This Row],[Running (cumulative) sum]] * ('General Info'!$B$40 -'General Info'!$B$41 + 1)) + 'General Info'!$B$41 - 1, 0)</f>
        <v>16526.366444385207</v>
      </c>
      <c r="W231" s="100" t="str">
        <f>IF(ISERROR(MATCH(SamplingData[[#This Row],[Batch by Type (p)]],SelectedPrecincts[Batch Name], 0)), "", INDEX(SelectedPrecincts[Draw], MATCH(SamplingData[[#This Row],[Batch by Type (p)]],SelectedPrecincts[Batch Name], 0)))</f>
        <v/>
      </c>
      <c r="X231" s="102">
        <f>IF(COUNTIF(SelectedPrecincts[Batch Name],SamplingData[[#This Row],[Batch by Type (p)]]) &lt;&gt; 0, COUNTIF(SelectedPrecincts[Batch Name],SamplingData[[#This Row],[Batch by Type (p)]]), 0)</f>
        <v>0</v>
      </c>
    </row>
    <row r="232" spans="1:24" ht="15" customHeight="1">
      <c r="A232" s="18" t="s">
        <v>408</v>
      </c>
      <c r="B232" s="18">
        <v>9</v>
      </c>
      <c r="C232" s="18">
        <v>31</v>
      </c>
      <c r="D232" s="18">
        <v>3</v>
      </c>
      <c r="E232" s="18">
        <v>4</v>
      </c>
      <c r="F232" s="18">
        <v>0</v>
      </c>
      <c r="G232" s="18">
        <v>0</v>
      </c>
      <c r="H232" s="18">
        <v>0</v>
      </c>
      <c r="I232" s="18">
        <v>1</v>
      </c>
      <c r="J232" s="99">
        <f>SUM(SamplingData[[#This Row],[Losing Candidate]:[Under Votes]])</f>
        <v>48</v>
      </c>
      <c r="K232" s="100">
        <f>IF(AND(SamplingData[[#This Row],[Total]]&lt;&gt; 0, NOT(ISBLANK(SamplingData[[#This Row],[Losing Candidate]]))),(SamplingData[[#This Row],[Total]]+SamplingData[[#This Row],[Winning Candidate]]-SamplingData[[#This Row],[Losing Candidate]])/(SamplingData[[#Totals],[Winning Candidate]]-SamplingData[[#Totals],[Losing Candidate]]), 0)</f>
        <v>4.2871141597256249E-3</v>
      </c>
      <c r="L232" s="100">
        <f>IF(AND(SamplingData[[#This Row],[Total]]&lt;&gt; 0, NOT(ISBLANK(SamplingData[[#This Row],[Candidate 3]]))),(SamplingData[[#This Row],[Total]]+SamplingData[[#This Row],[Winning Candidate]]-SamplingData[[#This Row],[Candidate 3]])/(SamplingData[[#Totals],[Winning Candidate]]-SamplingData[[#Totals],[Candidate 3]]), 0)</f>
        <v>2.4518501790495853E-3</v>
      </c>
      <c r="M232" s="100">
        <f>IF(AND(SamplingData[[#This Row],[Total]]&lt;&gt; 0, NOT(ISBLANK(SamplingData[[#This Row],[Candidate 4]]))),(SamplingData[[#This Row],[Total]]+SamplingData[[#This Row],[Winning Candidate]]-SamplingData[[#This Row],[Candidate 4]])/(SamplingData[[#Totals],[Winning Candidate]]-SamplingData[[#Totals],[Candidate 4]]), 0)</f>
        <v>2.1924055073226346E-3</v>
      </c>
      <c r="N232" s="100">
        <f>IF(AND(SamplingData[[#This Row],[Total]]&lt;&gt; 0, NOT(ISBLANK(SamplingData[[#This Row],[Candidate 5]]))),(SamplingData[[#This Row],[Total]]+SamplingData[[#This Row],[Winning Candidate]]-SamplingData[[#This Row],[Candidate 5]])/(SamplingData[[#Totals],[Winning Candidate]]-SamplingData[[#Totals],[Candidate 5]]), 0)</f>
        <v>1.921673558744831E-3</v>
      </c>
      <c r="O232" s="100">
        <f>IF(AND(SamplingData[[#This Row],[Total]]&lt;&gt; 0, NOT(ISBLANK(SamplingData[[#This Row],[Candidate 6]]))),(SamplingData[[#This Row],[Total]]+SamplingData[[#This Row],[Winning Candidate]]-SamplingData[[#This Row],[Candidate 6]])/(SamplingData[[#Totals],[Winning Candidate]]-SamplingData[[#Totals],[Candidate 6]]), 0)</f>
        <v>1.9211127863430768E-3</v>
      </c>
      <c r="P232" s="100">
        <f>MAX(SamplingData[[#This Row],[Error Bound (up) - Max. possible relative overstatement - Losing Candidate]:[Error Bound (up) - Max. possible relative overstatement - Candidate 6]])</f>
        <v>4.2871141597256249E-3</v>
      </c>
      <c r="Q232" s="100">
        <f>IF(SamplingData[[#This Row],[Max Error Bound (up)]] = 0,0,SamplingData[[#This Row],[Max Error Bound (up)]]/SamplingData[[#Totals],[Max Error Bound (up)]])</f>
        <v>6.7850637949120826E-4</v>
      </c>
      <c r="R232" s="101">
        <f>SUM($Q$5:Q232)</f>
        <v>0.16595217082334326</v>
      </c>
      <c r="S232" s="100" t="str">
        <f t="array" ref="S232">IF(SamplingData[[#This Row],[up/U Selection Probability]] = 0, "Zero", TEXT(SamplingData[[#This Row],[Lower Range]], REPT("0",LEN('General Info'!$B$40))) &amp; " - " &amp; TEXT(SamplingData[[#This Row],[Upper Range]], REPT("0",LEN('General Info'!$B$40))))</f>
        <v>16527 - 16594</v>
      </c>
      <c r="T232" s="100">
        <f>SamplingData[[#This Row],[Upper Range]]-SamplingData[[#This Row],[Span]]</f>
        <v>16527.367122891585</v>
      </c>
      <c r="U232" s="100">
        <f>IF(ISNUMBER('General Info'!$B$40), ((SamplingData[[#This Row],[up/U Selection Probability]]) * 'General Info'!$B$40) - 1, 0)</f>
        <v>66.849959442741337</v>
      </c>
      <c r="V232" s="100">
        <f>IF(ISNUMBER('General Info'!$B$40), (SamplingData[[#This Row],[Running (cumulative) sum]] * ('General Info'!$B$40 -'General Info'!$B$41 + 1)) + 'General Info'!$B$41 - 1, 0)</f>
        <v>16594.217082334326</v>
      </c>
      <c r="W232" s="100" t="str">
        <f>IF(ISERROR(MATCH(SamplingData[[#This Row],[Batch by Type (p)]],SelectedPrecincts[Batch Name], 0)), "", INDEX(SelectedPrecincts[Draw], MATCH(SamplingData[[#This Row],[Batch by Type (p)]],SelectedPrecincts[Batch Name], 0)))</f>
        <v/>
      </c>
      <c r="X232" s="102">
        <f>IF(COUNTIF(SelectedPrecincts[Batch Name],SamplingData[[#This Row],[Batch by Type (p)]]) &lt;&gt; 0, COUNTIF(SelectedPrecincts[Batch Name],SamplingData[[#This Row],[Batch by Type (p)]]), 0)</f>
        <v>0</v>
      </c>
    </row>
    <row r="233" spans="1:24" ht="15" customHeight="1">
      <c r="A233" s="18" t="s">
        <v>409</v>
      </c>
      <c r="B233" s="18">
        <v>13</v>
      </c>
      <c r="C233" s="18">
        <v>59</v>
      </c>
      <c r="D233" s="16">
        <v>13</v>
      </c>
      <c r="E233" s="16">
        <v>8</v>
      </c>
      <c r="F233" s="37">
        <v>2</v>
      </c>
      <c r="G233" s="37">
        <v>1</v>
      </c>
      <c r="H233" s="17">
        <v>0</v>
      </c>
      <c r="I233" s="17">
        <v>5</v>
      </c>
      <c r="J233" s="99">
        <f>SUM(SamplingData[[#This Row],[Losing Candidate]:[Under Votes]])</f>
        <v>101</v>
      </c>
      <c r="K233" s="100">
        <f>IF(AND(SamplingData[[#This Row],[Total]]&lt;&gt; 0, NOT(ISBLANK(SamplingData[[#This Row],[Losing Candidate]]))),(SamplingData[[#This Row],[Total]]+SamplingData[[#This Row],[Winning Candidate]]-SamplingData[[#This Row],[Losing Candidate]])/(SamplingData[[#Totals],[Winning Candidate]]-SamplingData[[#Totals],[Losing Candidate]]), 0)</f>
        <v>9.0029397354238119E-3</v>
      </c>
      <c r="L233" s="100">
        <f>IF(AND(SamplingData[[#This Row],[Total]]&lt;&gt; 0, NOT(ISBLANK(SamplingData[[#This Row],[Candidate 3]]))),(SamplingData[[#This Row],[Total]]+SamplingData[[#This Row],[Winning Candidate]]-SamplingData[[#This Row],[Candidate 3]])/(SamplingData[[#Totals],[Winning Candidate]]-SamplingData[[#Totals],[Candidate 3]]), 0)</f>
        <v>4.742394425266961E-3</v>
      </c>
      <c r="M233" s="100">
        <f>IF(AND(SamplingData[[#This Row],[Total]]&lt;&gt; 0, NOT(ISBLANK(SamplingData[[#This Row],[Candidate 4]]))),(SamplingData[[#This Row],[Total]]+SamplingData[[#This Row],[Winning Candidate]]-SamplingData[[#This Row],[Candidate 4]])/(SamplingData[[#Totals],[Winning Candidate]]-SamplingData[[#Totals],[Candidate 4]]), 0)</f>
        <v>4.443275161507206E-3</v>
      </c>
      <c r="N233" s="100">
        <f>IF(AND(SamplingData[[#This Row],[Total]]&lt;&gt; 0, NOT(ISBLANK(SamplingData[[#This Row],[Candidate 5]]))),(SamplingData[[#This Row],[Total]]+SamplingData[[#This Row],[Winning Candidate]]-SamplingData[[#This Row],[Candidate 5]])/(SamplingData[[#Totals],[Winning Candidate]]-SamplingData[[#Totals],[Candidate 5]]), 0)</f>
        <v>3.8433471174896621E-3</v>
      </c>
      <c r="O233" s="100">
        <f>IF(AND(SamplingData[[#This Row],[Total]]&lt;&gt; 0, NOT(ISBLANK(SamplingData[[#This Row],[Candidate 6]]))),(SamplingData[[#This Row],[Total]]+SamplingData[[#This Row],[Winning Candidate]]-SamplingData[[#This Row],[Candidate 6]])/(SamplingData[[#Totals],[Winning Candidate]]-SamplingData[[#Totals],[Candidate 6]]), 0)</f>
        <v>3.8665434560575846E-3</v>
      </c>
      <c r="P233" s="100">
        <f>MAX(SamplingData[[#This Row],[Error Bound (up) - Max. possible relative overstatement - Losing Candidate]:[Error Bound (up) - Max. possible relative overstatement - Candidate 6]])</f>
        <v>9.0029397354238119E-3</v>
      </c>
      <c r="Q233" s="100">
        <f>IF(SamplingData[[#This Row],[Max Error Bound (up)]] = 0,0,SamplingData[[#This Row],[Max Error Bound (up)]]/SamplingData[[#Totals],[Max Error Bound (up)]])</f>
        <v>1.4248633969315373E-3</v>
      </c>
      <c r="R233" s="101">
        <f>SUM($Q$5:Q233)</f>
        <v>0.16737703422027481</v>
      </c>
      <c r="S233" s="100" t="str">
        <f t="array" ref="S233">IF(SamplingData[[#This Row],[up/U Selection Probability]] = 0, "Zero", TEXT(SamplingData[[#This Row],[Lower Range]], REPT("0",LEN('General Info'!$B$40))) &amp; " - " &amp; TEXT(SamplingData[[#This Row],[Upper Range]], REPT("0",LEN('General Info'!$B$40))))</f>
        <v>16595 - 16737</v>
      </c>
      <c r="T233" s="100">
        <f>SamplingData[[#This Row],[Upper Range]]-SamplingData[[#This Row],[Span]]</f>
        <v>16595.218507197722</v>
      </c>
      <c r="U233" s="100">
        <f>IF(ISNUMBER('General Info'!$B$40), ((SamplingData[[#This Row],[up/U Selection Probability]]) * 'General Info'!$B$40) - 1, 0)</f>
        <v>141.4849148297568</v>
      </c>
      <c r="V233" s="100">
        <f>IF(ISNUMBER('General Info'!$B$40), (SamplingData[[#This Row],[Running (cumulative) sum]] * ('General Info'!$B$40 -'General Info'!$B$41 + 1)) + 'General Info'!$B$41 - 1, 0)</f>
        <v>16736.70342202748</v>
      </c>
      <c r="W233" s="100" t="str">
        <f>IF(ISERROR(MATCH(SamplingData[[#This Row],[Batch by Type (p)]],SelectedPrecincts[Batch Name], 0)), "", INDEX(SelectedPrecincts[Draw], MATCH(SamplingData[[#This Row],[Batch by Type (p)]],SelectedPrecincts[Batch Name], 0)))</f>
        <v/>
      </c>
      <c r="X233" s="102">
        <f>IF(COUNTIF(SelectedPrecincts[Batch Name],SamplingData[[#This Row],[Batch by Type (p)]]) &lt;&gt; 0, COUNTIF(SelectedPrecincts[Batch Name],SamplingData[[#This Row],[Batch by Type (p)]]), 0)</f>
        <v>0</v>
      </c>
    </row>
    <row r="234" spans="1:24" ht="15" customHeight="1">
      <c r="A234" s="18" t="s">
        <v>410</v>
      </c>
      <c r="B234" s="18">
        <v>4</v>
      </c>
      <c r="C234" s="18">
        <v>42</v>
      </c>
      <c r="D234" s="18">
        <v>6</v>
      </c>
      <c r="E234" s="18">
        <v>4</v>
      </c>
      <c r="F234" s="18">
        <v>0</v>
      </c>
      <c r="G234" s="18">
        <v>0</v>
      </c>
      <c r="H234" s="18">
        <v>0</v>
      </c>
      <c r="I234" s="18">
        <v>3</v>
      </c>
      <c r="J234" s="99">
        <f>SUM(SamplingData[[#This Row],[Losing Candidate]:[Under Votes]])</f>
        <v>59</v>
      </c>
      <c r="K234" s="100">
        <f>IF(AND(SamplingData[[#This Row],[Total]]&lt;&gt; 0, NOT(ISBLANK(SamplingData[[#This Row],[Losing Candidate]]))),(SamplingData[[#This Row],[Total]]+SamplingData[[#This Row],[Winning Candidate]]-SamplingData[[#This Row],[Losing Candidate]])/(SamplingData[[#Totals],[Winning Candidate]]-SamplingData[[#Totals],[Losing Candidate]]), 0)</f>
        <v>5.9407153356197942E-3</v>
      </c>
      <c r="L234" s="100">
        <f>IF(AND(SamplingData[[#This Row],[Total]]&lt;&gt; 0, NOT(ISBLANK(SamplingData[[#This Row],[Candidate 3]]))),(SamplingData[[#This Row],[Total]]+SamplingData[[#This Row],[Winning Candidate]]-SamplingData[[#This Row],[Candidate 3]])/(SamplingData[[#Totals],[Winning Candidate]]-SamplingData[[#Totals],[Candidate 3]]), 0)</f>
        <v>3.0648127238119818E-3</v>
      </c>
      <c r="M234" s="100">
        <f>IF(AND(SamplingData[[#This Row],[Total]]&lt;&gt; 0, NOT(ISBLANK(SamplingData[[#This Row],[Candidate 4]]))),(SamplingData[[#This Row],[Total]]+SamplingData[[#This Row],[Winning Candidate]]-SamplingData[[#This Row],[Candidate 4]])/(SamplingData[[#Totals],[Winning Candidate]]-SamplingData[[#Totals],[Candidate 4]]), 0)</f>
        <v>2.8355111228039404E-3</v>
      </c>
      <c r="N234" s="100">
        <f>IF(AND(SamplingData[[#This Row],[Total]]&lt;&gt; 0, NOT(ISBLANK(SamplingData[[#This Row],[Candidate 5]]))),(SamplingData[[#This Row],[Total]]+SamplingData[[#This Row],[Winning Candidate]]-SamplingData[[#This Row],[Candidate 5]])/(SamplingData[[#Totals],[Winning Candidate]]-SamplingData[[#Totals],[Candidate 5]]), 0)</f>
        <v>2.456823157382632E-3</v>
      </c>
      <c r="O234" s="100">
        <f>IF(AND(SamplingData[[#This Row],[Total]]&lt;&gt; 0, NOT(ISBLANK(SamplingData[[#This Row],[Candidate 6]]))),(SamplingData[[#This Row],[Total]]+SamplingData[[#This Row],[Winning Candidate]]-SamplingData[[#This Row],[Candidate 6]])/(SamplingData[[#Totals],[Winning Candidate]]-SamplingData[[#Totals],[Candidate 6]]), 0)</f>
        <v>2.4561062205145662E-3</v>
      </c>
      <c r="P234" s="100">
        <f>MAX(SamplingData[[#This Row],[Error Bound (up) - Max. possible relative overstatement - Losing Candidate]:[Error Bound (up) - Max. possible relative overstatement - Candidate 6]])</f>
        <v>5.9407153356197942E-3</v>
      </c>
      <c r="Q234" s="100">
        <f>IF(SamplingData[[#This Row],[Max Error Bound (up)]] = 0,0,SamplingData[[#This Row],[Max Error Bound (up)]]/SamplingData[[#Totals],[Max Error Bound (up)]])</f>
        <v>9.4021598300924561E-4</v>
      </c>
      <c r="R234" s="101">
        <f>SUM($Q$5:Q234)</f>
        <v>0.16831725020328406</v>
      </c>
      <c r="S234" s="100" t="str">
        <f t="array" ref="S234">IF(SamplingData[[#This Row],[up/U Selection Probability]] = 0, "Zero", TEXT(SamplingData[[#This Row],[Lower Range]], REPT("0",LEN('General Info'!$B$40))) &amp; " - " &amp; TEXT(SamplingData[[#This Row],[Upper Range]], REPT("0",LEN('General Info'!$B$40))))</f>
        <v>16738 - 16831</v>
      </c>
      <c r="T234" s="100">
        <f>SamplingData[[#This Row],[Upper Range]]-SamplingData[[#This Row],[Span]]</f>
        <v>16737.704362243465</v>
      </c>
      <c r="U234" s="100">
        <f>IF(ISNUMBER('General Info'!$B$40), ((SamplingData[[#This Row],[up/U Selection Probability]]) * 'General Info'!$B$40) - 1, 0)</f>
        <v>93.020658084941559</v>
      </c>
      <c r="V234" s="100">
        <f>IF(ISNUMBER('General Info'!$B$40), (SamplingData[[#This Row],[Running (cumulative) sum]] * ('General Info'!$B$40 -'General Info'!$B$41 + 1)) + 'General Info'!$B$41 - 1, 0)</f>
        <v>16830.725020328406</v>
      </c>
      <c r="W234" s="100" t="str">
        <f>IF(ISERROR(MATCH(SamplingData[[#This Row],[Batch by Type (p)]],SelectedPrecincts[Batch Name], 0)), "", INDEX(SelectedPrecincts[Draw], MATCH(SamplingData[[#This Row],[Batch by Type (p)]],SelectedPrecincts[Batch Name], 0)))</f>
        <v/>
      </c>
      <c r="X234" s="102">
        <f>IF(COUNTIF(SelectedPrecincts[Batch Name],SamplingData[[#This Row],[Batch by Type (p)]]) &lt;&gt; 0, COUNTIF(SelectedPrecincts[Batch Name],SamplingData[[#This Row],[Batch by Type (p)]]), 0)</f>
        <v>0</v>
      </c>
    </row>
    <row r="235" spans="1:24" ht="15" customHeight="1">
      <c r="A235" s="18" t="s">
        <v>411</v>
      </c>
      <c r="B235" s="18">
        <v>40</v>
      </c>
      <c r="C235" s="18">
        <v>119</v>
      </c>
      <c r="D235" s="16">
        <v>24</v>
      </c>
      <c r="E235" s="16">
        <v>11</v>
      </c>
      <c r="F235" s="37">
        <v>4</v>
      </c>
      <c r="G235" s="37">
        <v>0</v>
      </c>
      <c r="H235" s="17">
        <v>0</v>
      </c>
      <c r="I235" s="17">
        <v>3</v>
      </c>
      <c r="J235" s="99">
        <f>SUM(SamplingData[[#This Row],[Losing Candidate]:[Under Votes]])</f>
        <v>201</v>
      </c>
      <c r="K235" s="100">
        <f>IF(AND(SamplingData[[#This Row],[Total]]&lt;&gt; 0, NOT(ISBLANK(SamplingData[[#This Row],[Losing Candidate]]))),(SamplingData[[#This Row],[Total]]+SamplingData[[#This Row],[Winning Candidate]]-SamplingData[[#This Row],[Losing Candidate]])/(SamplingData[[#Totals],[Winning Candidate]]-SamplingData[[#Totals],[Losing Candidate]]), 0)</f>
        <v>1.71484566389025E-2</v>
      </c>
      <c r="L235" s="100">
        <f>IF(AND(SamplingData[[#This Row],[Total]]&lt;&gt; 0, NOT(ISBLANK(SamplingData[[#This Row],[Candidate 3]]))),(SamplingData[[#This Row],[Total]]+SamplingData[[#This Row],[Winning Candidate]]-SamplingData[[#This Row],[Candidate 3]])/(SamplingData[[#Totals],[Winning Candidate]]-SamplingData[[#Totals],[Candidate 3]]), 0)</f>
        <v>9.5493112236668069E-3</v>
      </c>
      <c r="M235" s="100">
        <f>IF(AND(SamplingData[[#This Row],[Total]]&lt;&gt; 0, NOT(ISBLANK(SamplingData[[#This Row],[Candidate 4]]))),(SamplingData[[#This Row],[Total]]+SamplingData[[#This Row],[Winning Candidate]]-SamplingData[[#This Row],[Candidate 4]])/(SamplingData[[#Totals],[Winning Candidate]]-SamplingData[[#Totals],[Candidate 4]]), 0)</f>
        <v>9.0327106901692544E-3</v>
      </c>
      <c r="N235" s="100">
        <f>IF(AND(SamplingData[[#This Row],[Total]]&lt;&gt; 0, NOT(ISBLANK(SamplingData[[#This Row],[Candidate 5]]))),(SamplingData[[#This Row],[Total]]+SamplingData[[#This Row],[Winning Candidate]]-SamplingData[[#This Row],[Candidate 5]])/(SamplingData[[#Totals],[Winning Candidate]]-SamplingData[[#Totals],[Candidate 5]]), 0)</f>
        <v>7.6866942349793242E-3</v>
      </c>
      <c r="O235" s="100">
        <f>IF(AND(SamplingData[[#This Row],[Total]]&lt;&gt; 0, NOT(ISBLANK(SamplingData[[#This Row],[Candidate 6]]))),(SamplingData[[#This Row],[Total]]+SamplingData[[#This Row],[Winning Candidate]]-SamplingData[[#This Row],[Candidate 6]])/(SamplingData[[#Totals],[Winning Candidate]]-SamplingData[[#Totals],[Candidate 6]]), 0)</f>
        <v>7.7817226788580319E-3</v>
      </c>
      <c r="P235" s="100">
        <f>MAX(SamplingData[[#This Row],[Error Bound (up) - Max. possible relative overstatement - Losing Candidate]:[Error Bound (up) - Max. possible relative overstatement - Candidate 6]])</f>
        <v>1.71484566389025E-2</v>
      </c>
      <c r="Q235" s="100">
        <f>IF(SamplingData[[#This Row],[Max Error Bound (up)]] = 0,0,SamplingData[[#This Row],[Max Error Bound (up)]]/SamplingData[[#Totals],[Max Error Bound (up)]])</f>
        <v>2.714025517964833E-3</v>
      </c>
      <c r="R235" s="101">
        <f>SUM($Q$5:Q235)</f>
        <v>0.1710312757212489</v>
      </c>
      <c r="S235" s="100" t="str">
        <f t="array" ref="S235">IF(SamplingData[[#This Row],[up/U Selection Probability]] = 0, "Zero", TEXT(SamplingData[[#This Row],[Lower Range]], REPT("0",LEN('General Info'!$B$40))) &amp; " - " &amp; TEXT(SamplingData[[#This Row],[Upper Range]], REPT("0",LEN('General Info'!$B$40))))</f>
        <v>16832 - 17102</v>
      </c>
      <c r="T235" s="100">
        <f>SamplingData[[#This Row],[Upper Range]]-SamplingData[[#This Row],[Span]]</f>
        <v>16831.727734353924</v>
      </c>
      <c r="U235" s="100">
        <f>IF(ISNUMBER('General Info'!$B$40), ((SamplingData[[#This Row],[up/U Selection Probability]]) * 'General Info'!$B$40) - 1, 0)</f>
        <v>270.39983777096535</v>
      </c>
      <c r="V235" s="100">
        <f>IF(ISNUMBER('General Info'!$B$40), (SamplingData[[#This Row],[Running (cumulative) sum]] * ('General Info'!$B$40 -'General Info'!$B$41 + 1)) + 'General Info'!$B$41 - 1, 0)</f>
        <v>17102.127572124889</v>
      </c>
      <c r="W235" s="100" t="str">
        <f>IF(ISERROR(MATCH(SamplingData[[#This Row],[Batch by Type (p)]],SelectedPrecincts[Batch Name], 0)), "", INDEX(SelectedPrecincts[Draw], MATCH(SamplingData[[#This Row],[Batch by Type (p)]],SelectedPrecincts[Batch Name], 0)))</f>
        <v/>
      </c>
      <c r="X235" s="102">
        <f>IF(COUNTIF(SelectedPrecincts[Batch Name],SamplingData[[#This Row],[Batch by Type (p)]]) &lt;&gt; 0, COUNTIF(SelectedPrecincts[Batch Name],SamplingData[[#This Row],[Batch by Type (p)]]), 0)</f>
        <v>0</v>
      </c>
    </row>
    <row r="236" spans="1:24" ht="15" customHeight="1">
      <c r="A236" s="18" t="s">
        <v>412</v>
      </c>
      <c r="B236" s="18">
        <v>6</v>
      </c>
      <c r="C236" s="18">
        <v>40</v>
      </c>
      <c r="D236" s="18">
        <v>8</v>
      </c>
      <c r="E236" s="18">
        <v>0</v>
      </c>
      <c r="F236" s="18">
        <v>0</v>
      </c>
      <c r="G236" s="18">
        <v>0</v>
      </c>
      <c r="H236" s="18">
        <v>0</v>
      </c>
      <c r="I236" s="18">
        <v>1</v>
      </c>
      <c r="J236" s="99">
        <f>SUM(SamplingData[[#This Row],[Losing Candidate]:[Under Votes]])</f>
        <v>55</v>
      </c>
      <c r="K236" s="100">
        <f>IF(AND(SamplingData[[#This Row],[Total]]&lt;&gt; 0, NOT(ISBLANK(SamplingData[[#This Row],[Losing Candidate]]))),(SamplingData[[#This Row],[Total]]+SamplingData[[#This Row],[Winning Candidate]]-SamplingData[[#This Row],[Losing Candidate]])/(SamplingData[[#Totals],[Winning Candidate]]-SamplingData[[#Totals],[Losing Candidate]]), 0)</f>
        <v>5.4507594316511518E-3</v>
      </c>
      <c r="L236" s="100">
        <f>IF(AND(SamplingData[[#This Row],[Total]]&lt;&gt; 0, NOT(ISBLANK(SamplingData[[#This Row],[Candidate 3]]))),(SamplingData[[#This Row],[Total]]+SamplingData[[#This Row],[Winning Candidate]]-SamplingData[[#This Row],[Candidate 3]])/(SamplingData[[#Totals],[Winning Candidate]]-SamplingData[[#Totals],[Candidate 3]]), 0)</f>
        <v>2.8067232312804463E-3</v>
      </c>
      <c r="M236" s="100">
        <f>IF(AND(SamplingData[[#This Row],[Total]]&lt;&gt; 0, NOT(ISBLANK(SamplingData[[#This Row],[Candidate 4]]))),(SamplingData[[#This Row],[Total]]+SamplingData[[#This Row],[Winning Candidate]]-SamplingData[[#This Row],[Candidate 4]])/(SamplingData[[#Totals],[Winning Candidate]]-SamplingData[[#Totals],[Candidate 4]]), 0)</f>
        <v>2.7770469759420035E-3</v>
      </c>
      <c r="N236" s="100">
        <f>IF(AND(SamplingData[[#This Row],[Total]]&lt;&gt; 0, NOT(ISBLANK(SamplingData[[#This Row],[Candidate 5]]))),(SamplingData[[#This Row],[Total]]+SamplingData[[#This Row],[Winning Candidate]]-SamplingData[[#This Row],[Candidate 5]])/(SamplingData[[#Totals],[Winning Candidate]]-SamplingData[[#Totals],[Candidate 5]]), 0)</f>
        <v>2.3108732668450497E-3</v>
      </c>
      <c r="O236" s="100">
        <f>IF(AND(SamplingData[[#This Row],[Total]]&lt;&gt; 0, NOT(ISBLANK(SamplingData[[#This Row],[Candidate 6]]))),(SamplingData[[#This Row],[Total]]+SamplingData[[#This Row],[Winning Candidate]]-SamplingData[[#This Row],[Candidate 6]])/(SamplingData[[#Totals],[Winning Candidate]]-SamplingData[[#Totals],[Candidate 6]]), 0)</f>
        <v>2.3101989202859784E-3</v>
      </c>
      <c r="P236" s="100">
        <f>MAX(SamplingData[[#This Row],[Error Bound (up) - Max. possible relative overstatement - Losing Candidate]:[Error Bound (up) - Max. possible relative overstatement - Candidate 6]])</f>
        <v>5.4507594316511518E-3</v>
      </c>
      <c r="Q236" s="100">
        <f>IF(SamplingData[[#This Row],[Max Error Bound (up)]] = 0,0,SamplingData[[#This Row],[Max Error Bound (up)]]/SamplingData[[#Totals],[Max Error Bound (up)]])</f>
        <v>8.6267239678167911E-4</v>
      </c>
      <c r="R236" s="101">
        <f>SUM($Q$5:Q236)</f>
        <v>0.17189394811803058</v>
      </c>
      <c r="S236" s="100" t="str">
        <f t="array" ref="S236">IF(SamplingData[[#This Row],[up/U Selection Probability]] = 0, "Zero", TEXT(SamplingData[[#This Row],[Lower Range]], REPT("0",LEN('General Info'!$B$40))) &amp; " - " &amp; TEXT(SamplingData[[#This Row],[Upper Range]], REPT("0",LEN('General Info'!$B$40))))</f>
        <v>17103 - 17188</v>
      </c>
      <c r="T236" s="100">
        <f>SamplingData[[#This Row],[Upper Range]]-SamplingData[[#This Row],[Span]]</f>
        <v>17103.128434797287</v>
      </c>
      <c r="U236" s="100">
        <f>IF(ISNUMBER('General Info'!$B$40), ((SamplingData[[#This Row],[up/U Selection Probability]]) * 'General Info'!$B$40) - 1, 0)</f>
        <v>85.266377005771133</v>
      </c>
      <c r="V236" s="100">
        <f>IF(ISNUMBER('General Info'!$B$40), (SamplingData[[#This Row],[Running (cumulative) sum]] * ('General Info'!$B$40 -'General Info'!$B$41 + 1)) + 'General Info'!$B$41 - 1, 0)</f>
        <v>17188.394811803057</v>
      </c>
      <c r="W236" s="100" t="str">
        <f>IF(ISERROR(MATCH(SamplingData[[#This Row],[Batch by Type (p)]],SelectedPrecincts[Batch Name], 0)), "", INDEX(SelectedPrecincts[Draw], MATCH(SamplingData[[#This Row],[Batch by Type (p)]],SelectedPrecincts[Batch Name], 0)))</f>
        <v/>
      </c>
      <c r="X236" s="102">
        <f>IF(COUNTIF(SelectedPrecincts[Batch Name],SamplingData[[#This Row],[Batch by Type (p)]]) &lt;&gt; 0, COUNTIF(SelectedPrecincts[Batch Name],SamplingData[[#This Row],[Batch by Type (p)]]), 0)</f>
        <v>0</v>
      </c>
    </row>
    <row r="237" spans="1:24" ht="15" customHeight="1">
      <c r="A237" s="18" t="s">
        <v>413</v>
      </c>
      <c r="B237" s="18">
        <v>5</v>
      </c>
      <c r="C237" s="18">
        <v>15</v>
      </c>
      <c r="D237" s="16">
        <v>0</v>
      </c>
      <c r="E237" s="16">
        <v>3</v>
      </c>
      <c r="F237" s="37">
        <v>0</v>
      </c>
      <c r="G237" s="37">
        <v>0</v>
      </c>
      <c r="H237" s="17">
        <v>0</v>
      </c>
      <c r="I237" s="17">
        <v>0</v>
      </c>
      <c r="J237" s="99">
        <f>SUM(SamplingData[[#This Row],[Losing Candidate]:[Under Votes]])</f>
        <v>23</v>
      </c>
      <c r="K237" s="100">
        <f>IF(AND(SamplingData[[#This Row],[Total]]&lt;&gt; 0, NOT(ISBLANK(SamplingData[[#This Row],[Losing Candidate]]))),(SamplingData[[#This Row],[Total]]+SamplingData[[#This Row],[Winning Candidate]]-SamplingData[[#This Row],[Losing Candidate]])/(SamplingData[[#Totals],[Winning Candidate]]-SamplingData[[#Totals],[Losing Candidate]]), 0)</f>
        <v>2.0210681038706517E-3</v>
      </c>
      <c r="L237" s="100">
        <f>IF(AND(SamplingData[[#This Row],[Total]]&lt;&gt; 0, NOT(ISBLANK(SamplingData[[#This Row],[Candidate 3]]))),(SamplingData[[#This Row],[Total]]+SamplingData[[#This Row],[Winning Candidate]]-SamplingData[[#This Row],[Candidate 3]])/(SamplingData[[#Totals],[Winning Candidate]]-SamplingData[[#Totals],[Candidate 3]]), 0)</f>
        <v>1.2259250895247926E-3</v>
      </c>
      <c r="M237" s="100">
        <f>IF(AND(SamplingData[[#This Row],[Total]]&lt;&gt; 0, NOT(ISBLANK(SamplingData[[#This Row],[Candidate 4]]))),(SamplingData[[#This Row],[Total]]+SamplingData[[#This Row],[Winning Candidate]]-SamplingData[[#This Row],[Candidate 4]])/(SamplingData[[#Totals],[Winning Candidate]]-SamplingData[[#Totals],[Candidate 4]]), 0)</f>
        <v>1.0231225700838961E-3</v>
      </c>
      <c r="N237" s="100">
        <f>IF(AND(SamplingData[[#This Row],[Total]]&lt;&gt; 0, NOT(ISBLANK(SamplingData[[#This Row],[Candidate 5]]))),(SamplingData[[#This Row],[Total]]+SamplingData[[#This Row],[Winning Candidate]]-SamplingData[[#This Row],[Candidate 5]])/(SamplingData[[#Totals],[Winning Candidate]]-SamplingData[[#Totals],[Candidate 5]]), 0)</f>
        <v>9.2434930673801995E-4</v>
      </c>
      <c r="O237" s="100">
        <f>IF(AND(SamplingData[[#This Row],[Total]]&lt;&gt; 0, NOT(ISBLANK(SamplingData[[#This Row],[Candidate 6]]))),(SamplingData[[#This Row],[Total]]+SamplingData[[#This Row],[Winning Candidate]]-SamplingData[[#This Row],[Candidate 6]])/(SamplingData[[#Totals],[Winning Candidate]]-SamplingData[[#Totals],[Candidate 6]]), 0)</f>
        <v>9.2407956811439132E-4</v>
      </c>
      <c r="P237" s="100">
        <f>MAX(SamplingData[[#This Row],[Error Bound (up) - Max. possible relative overstatement - Losing Candidate]:[Error Bound (up) - Max. possible relative overstatement - Candidate 6]])</f>
        <v>2.0210681038706517E-3</v>
      </c>
      <c r="Q237" s="100">
        <f>IF(SamplingData[[#This Row],[Max Error Bound (up)]] = 0,0,SamplingData[[#This Row],[Max Error Bound (up)]]/SamplingData[[#Totals],[Max Error Bound (up)]])</f>
        <v>3.1986729318871245E-4</v>
      </c>
      <c r="R237" s="101">
        <f>SUM($Q$5:Q237)</f>
        <v>0.1722138154112193</v>
      </c>
      <c r="S237" s="100" t="str">
        <f t="array" ref="S237">IF(SamplingData[[#This Row],[up/U Selection Probability]] = 0, "Zero", TEXT(SamplingData[[#This Row],[Lower Range]], REPT("0",LEN('General Info'!$B$40))) &amp; " - " &amp; TEXT(SamplingData[[#This Row],[Upper Range]], REPT("0",LEN('General Info'!$B$40))))</f>
        <v>17189 - 17220</v>
      </c>
      <c r="T237" s="100">
        <f>SamplingData[[#This Row],[Upper Range]]-SamplingData[[#This Row],[Span]]</f>
        <v>17189.39513167035</v>
      </c>
      <c r="U237" s="100">
        <f>IF(ISNUMBER('General Info'!$B$40), ((SamplingData[[#This Row],[up/U Selection Probability]]) * 'General Info'!$B$40) - 1, 0)</f>
        <v>30.986409451578055</v>
      </c>
      <c r="V237" s="100">
        <f>IF(ISNUMBER('General Info'!$B$40), (SamplingData[[#This Row],[Running (cumulative) sum]] * ('General Info'!$B$40 -'General Info'!$B$41 + 1)) + 'General Info'!$B$41 - 1, 0)</f>
        <v>17220.381541121929</v>
      </c>
      <c r="W237" s="100" t="str">
        <f>IF(ISERROR(MATCH(SamplingData[[#This Row],[Batch by Type (p)]],SelectedPrecincts[Batch Name], 0)), "", INDEX(SelectedPrecincts[Draw], MATCH(SamplingData[[#This Row],[Batch by Type (p)]],SelectedPrecincts[Batch Name], 0)))</f>
        <v/>
      </c>
      <c r="X237" s="102">
        <f>IF(COUNTIF(SelectedPrecincts[Batch Name],SamplingData[[#This Row],[Batch by Type (p)]]) &lt;&gt; 0, COUNTIF(SelectedPrecincts[Batch Name],SamplingData[[#This Row],[Batch by Type (p)]]), 0)</f>
        <v>0</v>
      </c>
    </row>
    <row r="238" spans="1:24" ht="15" customHeight="1">
      <c r="A238" s="18" t="s">
        <v>414</v>
      </c>
      <c r="B238" s="18">
        <v>1</v>
      </c>
      <c r="C238" s="18">
        <v>15</v>
      </c>
      <c r="D238" s="18">
        <v>1</v>
      </c>
      <c r="E238" s="18">
        <v>1</v>
      </c>
      <c r="F238" s="18">
        <v>0</v>
      </c>
      <c r="G238" s="18">
        <v>0</v>
      </c>
      <c r="H238" s="18">
        <v>0</v>
      </c>
      <c r="I238" s="18">
        <v>0</v>
      </c>
      <c r="J238" s="99">
        <f>SUM(SamplingData[[#This Row],[Losing Candidate]:[Under Votes]])</f>
        <v>18</v>
      </c>
      <c r="K238"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238" s="100">
        <f>IF(AND(SamplingData[[#This Row],[Total]]&lt;&gt; 0, NOT(ISBLANK(SamplingData[[#This Row],[Candidate 3]]))),(SamplingData[[#This Row],[Total]]+SamplingData[[#This Row],[Winning Candidate]]-SamplingData[[#This Row],[Candidate 3]])/(SamplingData[[#Totals],[Winning Candidate]]-SamplingData[[#Totals],[Candidate 3]]), 0)</f>
        <v>1.0323579701261413E-3</v>
      </c>
      <c r="M238" s="100">
        <f>IF(AND(SamplingData[[#This Row],[Total]]&lt;&gt; 0, NOT(ISBLANK(SamplingData[[#This Row],[Candidate 4]]))),(SamplingData[[#This Row],[Total]]+SamplingData[[#This Row],[Winning Candidate]]-SamplingData[[#This Row],[Candidate 4]])/(SamplingData[[#Totals],[Winning Candidate]]-SamplingData[[#Totals],[Candidate 4]]), 0)</f>
        <v>9.3542634979099071E-4</v>
      </c>
      <c r="N238" s="100">
        <f>IF(AND(SamplingData[[#This Row],[Total]]&lt;&gt; 0, NOT(ISBLANK(SamplingData[[#This Row],[Candidate 5]]))),(SamplingData[[#This Row],[Total]]+SamplingData[[#This Row],[Winning Candidate]]-SamplingData[[#This Row],[Candidate 5]])/(SamplingData[[#Totals],[Winning Candidate]]-SamplingData[[#Totals],[Candidate 5]]), 0)</f>
        <v>8.0272439795670155E-4</v>
      </c>
      <c r="O238" s="100">
        <f>IF(AND(SamplingData[[#This Row],[Total]]&lt;&gt; 0, NOT(ISBLANK(SamplingData[[#This Row],[Candidate 6]]))),(SamplingData[[#This Row],[Total]]+SamplingData[[#This Row],[Winning Candidate]]-SamplingData[[#This Row],[Candidate 6]])/(SamplingData[[#Totals],[Winning Candidate]]-SamplingData[[#Totals],[Candidate 6]]), 0)</f>
        <v>8.024901512572346E-4</v>
      </c>
      <c r="P238" s="100">
        <f>MAX(SamplingData[[#This Row],[Error Bound (up) - Max. possible relative overstatement - Losing Candidate]:[Error Bound (up) - Max. possible relative overstatement - Candidate 6]])</f>
        <v>1.9598236158745713E-3</v>
      </c>
      <c r="Q238" s="100">
        <f>IF(SamplingData[[#This Row],[Max Error Bound (up)]] = 0,0,SamplingData[[#This Row],[Max Error Bound (up)]]/SamplingData[[#Totals],[Max Error Bound (up)]])</f>
        <v>3.1017434491026661E-4</v>
      </c>
      <c r="R238" s="101">
        <f>SUM($Q$5:Q238)</f>
        <v>0.17252398975612956</v>
      </c>
      <c r="S238" s="100" t="str">
        <f t="array" ref="S238">IF(SamplingData[[#This Row],[up/U Selection Probability]] = 0, "Zero", TEXT(SamplingData[[#This Row],[Lower Range]], REPT("0",LEN('General Info'!$B$40))) &amp; " - " &amp; TEXT(SamplingData[[#This Row],[Upper Range]], REPT("0",LEN('General Info'!$B$40))))</f>
        <v>17221 - 17251</v>
      </c>
      <c r="T238" s="100">
        <f>SamplingData[[#This Row],[Upper Range]]-SamplingData[[#This Row],[Span]]</f>
        <v>17221.381851296275</v>
      </c>
      <c r="U238" s="100">
        <f>IF(ISNUMBER('General Info'!$B$40), ((SamplingData[[#This Row],[up/U Selection Probability]]) * 'General Info'!$B$40) - 1, 0)</f>
        <v>30.017124316681752</v>
      </c>
      <c r="V238" s="100">
        <f>IF(ISNUMBER('General Info'!$B$40), (SamplingData[[#This Row],[Running (cumulative) sum]] * ('General Info'!$B$40 -'General Info'!$B$41 + 1)) + 'General Info'!$B$41 - 1, 0)</f>
        <v>17251.398975612956</v>
      </c>
      <c r="W238" s="100" t="str">
        <f>IF(ISERROR(MATCH(SamplingData[[#This Row],[Batch by Type (p)]],SelectedPrecincts[Batch Name], 0)), "", INDEX(SelectedPrecincts[Draw], MATCH(SamplingData[[#This Row],[Batch by Type (p)]],SelectedPrecincts[Batch Name], 0)))</f>
        <v/>
      </c>
      <c r="X238" s="102">
        <f>IF(COUNTIF(SelectedPrecincts[Batch Name],SamplingData[[#This Row],[Batch by Type (p)]]) &lt;&gt; 0, COUNTIF(SelectedPrecincts[Batch Name],SamplingData[[#This Row],[Batch by Type (p)]]), 0)</f>
        <v>0</v>
      </c>
    </row>
    <row r="239" spans="1:24" ht="15" customHeight="1">
      <c r="A239" s="18" t="s">
        <v>415</v>
      </c>
      <c r="B239" s="18">
        <v>0</v>
      </c>
      <c r="C239" s="18">
        <v>1</v>
      </c>
      <c r="D239" s="16">
        <v>0</v>
      </c>
      <c r="E239" s="16">
        <v>0</v>
      </c>
      <c r="F239" s="37">
        <v>0</v>
      </c>
      <c r="G239" s="37">
        <v>0</v>
      </c>
      <c r="H239" s="17">
        <v>0</v>
      </c>
      <c r="I239" s="17">
        <v>1</v>
      </c>
      <c r="J239" s="99">
        <f>SUM(SamplingData[[#This Row],[Losing Candidate]:[Under Votes]])</f>
        <v>2</v>
      </c>
      <c r="K239"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239" s="100">
        <f>IF(AND(SamplingData[[#This Row],[Total]]&lt;&gt; 0, NOT(ISBLANK(SamplingData[[#This Row],[Candidate 3]]))),(SamplingData[[#This Row],[Total]]+SamplingData[[#This Row],[Winning Candidate]]-SamplingData[[#This Row],[Candidate 3]])/(SamplingData[[#Totals],[Winning Candidate]]-SamplingData[[#Totals],[Candidate 3]]), 0)</f>
        <v>9.6783559699325743E-5</v>
      </c>
      <c r="M239" s="100">
        <f>IF(AND(SamplingData[[#This Row],[Total]]&lt;&gt; 0, NOT(ISBLANK(SamplingData[[#This Row],[Candidate 4]]))),(SamplingData[[#This Row],[Total]]+SamplingData[[#This Row],[Winning Candidate]]-SamplingData[[#This Row],[Candidate 4]])/(SamplingData[[#Totals],[Winning Candidate]]-SamplingData[[#Totals],[Candidate 4]]), 0)</f>
        <v>8.7696220292905373E-5</v>
      </c>
      <c r="N239" s="100">
        <f>IF(AND(SamplingData[[#This Row],[Total]]&lt;&gt; 0, NOT(ISBLANK(SamplingData[[#This Row],[Candidate 5]]))),(SamplingData[[#This Row],[Total]]+SamplingData[[#This Row],[Winning Candidate]]-SamplingData[[#This Row],[Candidate 5]])/(SamplingData[[#Totals],[Winning Candidate]]-SamplingData[[#Totals],[Candidate 5]]), 0)</f>
        <v>7.2974945268791054E-5</v>
      </c>
      <c r="O239" s="100">
        <f>IF(AND(SamplingData[[#This Row],[Total]]&lt;&gt; 0, NOT(ISBLANK(SamplingData[[#This Row],[Candidate 6]]))),(SamplingData[[#This Row],[Total]]+SamplingData[[#This Row],[Winning Candidate]]-SamplingData[[#This Row],[Candidate 6]])/(SamplingData[[#Totals],[Winning Candidate]]-SamplingData[[#Totals],[Candidate 6]]), 0)</f>
        <v>7.2953650114294054E-5</v>
      </c>
      <c r="P239" s="100">
        <f>MAX(SamplingData[[#This Row],[Error Bound (up) - Max. possible relative overstatement - Losing Candidate]:[Error Bound (up) - Max. possible relative overstatement - Candidate 6]])</f>
        <v>1.8373346398824106E-4</v>
      </c>
      <c r="Q239" s="100">
        <f>IF(SamplingData[[#This Row],[Max Error Bound (up)]] = 0,0,SamplingData[[#This Row],[Max Error Bound (up)]]/SamplingData[[#Totals],[Max Error Bound (up)]])</f>
        <v>2.9078844835337493E-5</v>
      </c>
      <c r="R239" s="101">
        <f>SUM($Q$5:Q239)</f>
        <v>0.17255306860096489</v>
      </c>
      <c r="S239" s="100" t="str">
        <f t="array" ref="S239">IF(SamplingData[[#This Row],[up/U Selection Probability]] = 0, "Zero", TEXT(SamplingData[[#This Row],[Lower Range]], REPT("0",LEN('General Info'!$B$40))) &amp; " - " &amp; TEXT(SamplingData[[#This Row],[Upper Range]], REPT("0",LEN('General Info'!$B$40))))</f>
        <v>17252 - 17254</v>
      </c>
      <c r="T239" s="100">
        <f>SamplingData[[#This Row],[Upper Range]]-SamplingData[[#This Row],[Span]]</f>
        <v>17252.399004691801</v>
      </c>
      <c r="U239" s="100">
        <f>IF(ISNUMBER('General Info'!$B$40), ((SamplingData[[#This Row],[up/U Selection Probability]]) * 'General Info'!$B$40) - 1, 0)</f>
        <v>1.907855404688914</v>
      </c>
      <c r="V239" s="100">
        <f>IF(ISNUMBER('General Info'!$B$40), (SamplingData[[#This Row],[Running (cumulative) sum]] * ('General Info'!$B$40 -'General Info'!$B$41 + 1)) + 'General Info'!$B$41 - 1, 0)</f>
        <v>17254.306860096491</v>
      </c>
      <c r="W239" s="100" t="str">
        <f>IF(ISERROR(MATCH(SamplingData[[#This Row],[Batch by Type (p)]],SelectedPrecincts[Batch Name], 0)), "", INDEX(SelectedPrecincts[Draw], MATCH(SamplingData[[#This Row],[Batch by Type (p)]],SelectedPrecincts[Batch Name], 0)))</f>
        <v/>
      </c>
      <c r="X239" s="102">
        <f>IF(COUNTIF(SelectedPrecincts[Batch Name],SamplingData[[#This Row],[Batch by Type (p)]]) &lt;&gt; 0, COUNTIF(SelectedPrecincts[Batch Name],SamplingData[[#This Row],[Batch by Type (p)]]), 0)</f>
        <v>0</v>
      </c>
    </row>
    <row r="240" spans="1:24" ht="15" customHeight="1">
      <c r="A240" s="18" t="s">
        <v>416</v>
      </c>
      <c r="B240" s="18">
        <v>0</v>
      </c>
      <c r="C240" s="18">
        <v>0</v>
      </c>
      <c r="D240" s="18">
        <v>0</v>
      </c>
      <c r="E240" s="18">
        <v>0</v>
      </c>
      <c r="F240" s="18">
        <v>0</v>
      </c>
      <c r="G240" s="18">
        <v>0</v>
      </c>
      <c r="H240" s="18">
        <v>0</v>
      </c>
      <c r="I240" s="18">
        <v>0</v>
      </c>
      <c r="J240" s="99">
        <f>SUM(SamplingData[[#This Row],[Losing Candidate]:[Under Votes]])</f>
        <v>0</v>
      </c>
      <c r="K240" s="100">
        <f>IF(AND(SamplingData[[#This Row],[Total]]&lt;&gt; 0, NOT(ISBLANK(SamplingData[[#This Row],[Losing Candidate]]))),(SamplingData[[#This Row],[Total]]+SamplingData[[#This Row],[Winning Candidate]]-SamplingData[[#This Row],[Losing Candidate]])/(SamplingData[[#Totals],[Winning Candidate]]-SamplingData[[#Totals],[Losing Candidate]]), 0)</f>
        <v>0</v>
      </c>
      <c r="L240" s="100">
        <f>IF(AND(SamplingData[[#This Row],[Total]]&lt;&gt; 0, NOT(ISBLANK(SamplingData[[#This Row],[Candidate 3]]))),(SamplingData[[#This Row],[Total]]+SamplingData[[#This Row],[Winning Candidate]]-SamplingData[[#This Row],[Candidate 3]])/(SamplingData[[#Totals],[Winning Candidate]]-SamplingData[[#Totals],[Candidate 3]]), 0)</f>
        <v>0</v>
      </c>
      <c r="M240" s="100">
        <f>IF(AND(SamplingData[[#This Row],[Total]]&lt;&gt; 0, NOT(ISBLANK(SamplingData[[#This Row],[Candidate 4]]))),(SamplingData[[#This Row],[Total]]+SamplingData[[#This Row],[Winning Candidate]]-SamplingData[[#This Row],[Candidate 4]])/(SamplingData[[#Totals],[Winning Candidate]]-SamplingData[[#Totals],[Candidate 4]]), 0)</f>
        <v>0</v>
      </c>
      <c r="N240" s="100">
        <f>IF(AND(SamplingData[[#This Row],[Total]]&lt;&gt; 0, NOT(ISBLANK(SamplingData[[#This Row],[Candidate 5]]))),(SamplingData[[#This Row],[Total]]+SamplingData[[#This Row],[Winning Candidate]]-SamplingData[[#This Row],[Candidate 5]])/(SamplingData[[#Totals],[Winning Candidate]]-SamplingData[[#Totals],[Candidate 5]]), 0)</f>
        <v>0</v>
      </c>
      <c r="O240" s="100">
        <f>IF(AND(SamplingData[[#This Row],[Total]]&lt;&gt; 0, NOT(ISBLANK(SamplingData[[#This Row],[Candidate 6]]))),(SamplingData[[#This Row],[Total]]+SamplingData[[#This Row],[Winning Candidate]]-SamplingData[[#This Row],[Candidate 6]])/(SamplingData[[#Totals],[Winning Candidate]]-SamplingData[[#Totals],[Candidate 6]]), 0)</f>
        <v>0</v>
      </c>
      <c r="P240" s="100">
        <f>MAX(SamplingData[[#This Row],[Error Bound (up) - Max. possible relative overstatement - Losing Candidate]:[Error Bound (up) - Max. possible relative overstatement - Candidate 6]])</f>
        <v>0</v>
      </c>
      <c r="Q240" s="100">
        <f>IF(SamplingData[[#This Row],[Max Error Bound (up)]] = 0,0,SamplingData[[#This Row],[Max Error Bound (up)]]/SamplingData[[#Totals],[Max Error Bound (up)]])</f>
        <v>0</v>
      </c>
      <c r="R240" s="101">
        <f>SUM($Q$5:Q240)</f>
        <v>0.17255306860096489</v>
      </c>
      <c r="S240" s="100" t="str">
        <f t="array" ref="S240">IF(SamplingData[[#This Row],[up/U Selection Probability]] = 0, "Zero", TEXT(SamplingData[[#This Row],[Lower Range]], REPT("0",LEN('General Info'!$B$40))) &amp; " - " &amp; TEXT(SamplingData[[#This Row],[Upper Range]], REPT("0",LEN('General Info'!$B$40))))</f>
        <v>Zero</v>
      </c>
      <c r="T240" s="100">
        <f>SamplingData[[#This Row],[Upper Range]]-SamplingData[[#This Row],[Span]]</f>
        <v>17255.306860096491</v>
      </c>
      <c r="U240" s="100">
        <f>IF(ISNUMBER('General Info'!$B$40), ((SamplingData[[#This Row],[up/U Selection Probability]]) * 'General Info'!$B$40) - 1, 0)</f>
        <v>-1</v>
      </c>
      <c r="V240" s="100">
        <f>IF(ISNUMBER('General Info'!$B$40), (SamplingData[[#This Row],[Running (cumulative) sum]] * ('General Info'!$B$40 -'General Info'!$B$41 + 1)) + 'General Info'!$B$41 - 1, 0)</f>
        <v>17254.306860096491</v>
      </c>
      <c r="W240" s="100" t="str">
        <f>IF(ISERROR(MATCH(SamplingData[[#This Row],[Batch by Type (p)]],SelectedPrecincts[Batch Name], 0)), "", INDEX(SelectedPrecincts[Draw], MATCH(SamplingData[[#This Row],[Batch by Type (p)]],SelectedPrecincts[Batch Name], 0)))</f>
        <v/>
      </c>
      <c r="X240" s="102">
        <f>IF(COUNTIF(SelectedPrecincts[Batch Name],SamplingData[[#This Row],[Batch by Type (p)]]) &lt;&gt; 0, COUNTIF(SelectedPrecincts[Batch Name],SamplingData[[#This Row],[Batch by Type (p)]]), 0)</f>
        <v>0</v>
      </c>
    </row>
    <row r="241" spans="1:24" ht="15" customHeight="1">
      <c r="A241" s="18" t="s">
        <v>417</v>
      </c>
      <c r="B241" s="18">
        <v>1</v>
      </c>
      <c r="C241" s="18">
        <v>1</v>
      </c>
      <c r="D241" s="16">
        <v>0</v>
      </c>
      <c r="E241" s="16">
        <v>1</v>
      </c>
      <c r="F241" s="37">
        <v>0</v>
      </c>
      <c r="G241" s="37">
        <v>0</v>
      </c>
      <c r="H241" s="17">
        <v>0</v>
      </c>
      <c r="I241" s="17">
        <v>0</v>
      </c>
      <c r="J241" s="99">
        <f>SUM(SamplingData[[#This Row],[Losing Candidate]:[Under Votes]])</f>
        <v>3</v>
      </c>
      <c r="K241"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241" s="100">
        <f>IF(AND(SamplingData[[#This Row],[Total]]&lt;&gt; 0, NOT(ISBLANK(SamplingData[[#This Row],[Candidate 3]]))),(SamplingData[[#This Row],[Total]]+SamplingData[[#This Row],[Winning Candidate]]-SamplingData[[#This Row],[Candidate 3]])/(SamplingData[[#Totals],[Winning Candidate]]-SamplingData[[#Totals],[Candidate 3]]), 0)</f>
        <v>1.2904474626576767E-4</v>
      </c>
      <c r="M241" s="100">
        <f>IF(AND(SamplingData[[#This Row],[Total]]&lt;&gt; 0, NOT(ISBLANK(SamplingData[[#This Row],[Candidate 4]]))),(SamplingData[[#This Row],[Total]]+SamplingData[[#This Row],[Winning Candidate]]-SamplingData[[#This Row],[Candidate 4]])/(SamplingData[[#Totals],[Winning Candidate]]-SamplingData[[#Totals],[Candidate 4]]), 0)</f>
        <v>8.7696220292905373E-5</v>
      </c>
      <c r="N241" s="100">
        <f>IF(AND(SamplingData[[#This Row],[Total]]&lt;&gt; 0, NOT(ISBLANK(SamplingData[[#This Row],[Candidate 5]]))),(SamplingData[[#This Row],[Total]]+SamplingData[[#This Row],[Winning Candidate]]-SamplingData[[#This Row],[Candidate 5]])/(SamplingData[[#Totals],[Winning Candidate]]-SamplingData[[#Totals],[Candidate 5]]), 0)</f>
        <v>9.7299927025054734E-5</v>
      </c>
      <c r="O241" s="100">
        <f>IF(AND(SamplingData[[#This Row],[Total]]&lt;&gt; 0, NOT(ISBLANK(SamplingData[[#This Row],[Candidate 6]]))),(SamplingData[[#This Row],[Total]]+SamplingData[[#This Row],[Winning Candidate]]-SamplingData[[#This Row],[Candidate 6]])/(SamplingData[[#Totals],[Winning Candidate]]-SamplingData[[#Totals],[Candidate 6]]), 0)</f>
        <v>9.7271533485725401E-5</v>
      </c>
      <c r="P241" s="100">
        <f>MAX(SamplingData[[#This Row],[Error Bound (up) - Max. possible relative overstatement - Losing Candidate]:[Error Bound (up) - Max. possible relative overstatement - Candidate 6]])</f>
        <v>1.8373346398824106E-4</v>
      </c>
      <c r="Q241" s="100">
        <f>IF(SamplingData[[#This Row],[Max Error Bound (up)]] = 0,0,SamplingData[[#This Row],[Max Error Bound (up)]]/SamplingData[[#Totals],[Max Error Bound (up)]])</f>
        <v>2.9078844835337493E-5</v>
      </c>
      <c r="R241" s="101">
        <f>SUM($Q$5:Q241)</f>
        <v>0.17258214744580022</v>
      </c>
      <c r="S241" s="100" t="str">
        <f t="array" ref="S241">IF(SamplingData[[#This Row],[up/U Selection Probability]] = 0, "Zero", TEXT(SamplingData[[#This Row],[Lower Range]], REPT("0",LEN('General Info'!$B$40))) &amp; " - " &amp; TEXT(SamplingData[[#This Row],[Upper Range]], REPT("0",LEN('General Info'!$B$40))))</f>
        <v>17255 - 17257</v>
      </c>
      <c r="T241" s="100">
        <f>SamplingData[[#This Row],[Upper Range]]-SamplingData[[#This Row],[Span]]</f>
        <v>17255.306889175332</v>
      </c>
      <c r="U241" s="100">
        <f>IF(ISNUMBER('General Info'!$B$40), ((SamplingData[[#This Row],[up/U Selection Probability]]) * 'General Info'!$B$40) - 1, 0)</f>
        <v>1.907855404688914</v>
      </c>
      <c r="V241" s="100">
        <f>IF(ISNUMBER('General Info'!$B$40), (SamplingData[[#This Row],[Running (cumulative) sum]] * ('General Info'!$B$40 -'General Info'!$B$41 + 1)) + 'General Info'!$B$41 - 1, 0)</f>
        <v>17257.214744580022</v>
      </c>
      <c r="W241" s="100" t="str">
        <f>IF(ISERROR(MATCH(SamplingData[[#This Row],[Batch by Type (p)]],SelectedPrecincts[Batch Name], 0)), "", INDEX(SelectedPrecincts[Draw], MATCH(SamplingData[[#This Row],[Batch by Type (p)]],SelectedPrecincts[Batch Name], 0)))</f>
        <v/>
      </c>
      <c r="X241" s="102">
        <f>IF(COUNTIF(SelectedPrecincts[Batch Name],SamplingData[[#This Row],[Batch by Type (p)]]) &lt;&gt; 0, COUNTIF(SelectedPrecincts[Batch Name],SamplingData[[#This Row],[Batch by Type (p)]]), 0)</f>
        <v>0</v>
      </c>
    </row>
    <row r="242" spans="1:24" ht="15" customHeight="1">
      <c r="A242" s="18" t="s">
        <v>418</v>
      </c>
      <c r="B242" s="18">
        <v>0</v>
      </c>
      <c r="C242" s="18">
        <v>0</v>
      </c>
      <c r="D242" s="18">
        <v>0</v>
      </c>
      <c r="E242" s="18">
        <v>0</v>
      </c>
      <c r="F242" s="18">
        <v>0</v>
      </c>
      <c r="G242" s="18">
        <v>0</v>
      </c>
      <c r="H242" s="18">
        <v>0</v>
      </c>
      <c r="I242" s="18">
        <v>0</v>
      </c>
      <c r="J242" s="99">
        <f>SUM(SamplingData[[#This Row],[Losing Candidate]:[Under Votes]])</f>
        <v>0</v>
      </c>
      <c r="K242" s="100">
        <f>IF(AND(SamplingData[[#This Row],[Total]]&lt;&gt; 0, NOT(ISBLANK(SamplingData[[#This Row],[Losing Candidate]]))),(SamplingData[[#This Row],[Total]]+SamplingData[[#This Row],[Winning Candidate]]-SamplingData[[#This Row],[Losing Candidate]])/(SamplingData[[#Totals],[Winning Candidate]]-SamplingData[[#Totals],[Losing Candidate]]), 0)</f>
        <v>0</v>
      </c>
      <c r="L242" s="100">
        <f>IF(AND(SamplingData[[#This Row],[Total]]&lt;&gt; 0, NOT(ISBLANK(SamplingData[[#This Row],[Candidate 3]]))),(SamplingData[[#This Row],[Total]]+SamplingData[[#This Row],[Winning Candidate]]-SamplingData[[#This Row],[Candidate 3]])/(SamplingData[[#Totals],[Winning Candidate]]-SamplingData[[#Totals],[Candidate 3]]), 0)</f>
        <v>0</v>
      </c>
      <c r="M242" s="100">
        <f>IF(AND(SamplingData[[#This Row],[Total]]&lt;&gt; 0, NOT(ISBLANK(SamplingData[[#This Row],[Candidate 4]]))),(SamplingData[[#This Row],[Total]]+SamplingData[[#This Row],[Winning Candidate]]-SamplingData[[#This Row],[Candidate 4]])/(SamplingData[[#Totals],[Winning Candidate]]-SamplingData[[#Totals],[Candidate 4]]), 0)</f>
        <v>0</v>
      </c>
      <c r="N242" s="100">
        <f>IF(AND(SamplingData[[#This Row],[Total]]&lt;&gt; 0, NOT(ISBLANK(SamplingData[[#This Row],[Candidate 5]]))),(SamplingData[[#This Row],[Total]]+SamplingData[[#This Row],[Winning Candidate]]-SamplingData[[#This Row],[Candidate 5]])/(SamplingData[[#Totals],[Winning Candidate]]-SamplingData[[#Totals],[Candidate 5]]), 0)</f>
        <v>0</v>
      </c>
      <c r="O242" s="100">
        <f>IF(AND(SamplingData[[#This Row],[Total]]&lt;&gt; 0, NOT(ISBLANK(SamplingData[[#This Row],[Candidate 6]]))),(SamplingData[[#This Row],[Total]]+SamplingData[[#This Row],[Winning Candidate]]-SamplingData[[#This Row],[Candidate 6]])/(SamplingData[[#Totals],[Winning Candidate]]-SamplingData[[#Totals],[Candidate 6]]), 0)</f>
        <v>0</v>
      </c>
      <c r="P242" s="100">
        <f>MAX(SamplingData[[#This Row],[Error Bound (up) - Max. possible relative overstatement - Losing Candidate]:[Error Bound (up) - Max. possible relative overstatement - Candidate 6]])</f>
        <v>0</v>
      </c>
      <c r="Q242" s="100">
        <f>IF(SamplingData[[#This Row],[Max Error Bound (up)]] = 0,0,SamplingData[[#This Row],[Max Error Bound (up)]]/SamplingData[[#Totals],[Max Error Bound (up)]])</f>
        <v>0</v>
      </c>
      <c r="R242" s="101">
        <f>SUM($Q$5:Q242)</f>
        <v>0.17258214744580022</v>
      </c>
      <c r="S242" s="100" t="str">
        <f t="array" ref="S242">IF(SamplingData[[#This Row],[up/U Selection Probability]] = 0, "Zero", TEXT(SamplingData[[#This Row],[Lower Range]], REPT("0",LEN('General Info'!$B$40))) &amp; " - " &amp; TEXT(SamplingData[[#This Row],[Upper Range]], REPT("0",LEN('General Info'!$B$40))))</f>
        <v>Zero</v>
      </c>
      <c r="T242" s="100">
        <f>SamplingData[[#This Row],[Upper Range]]-SamplingData[[#This Row],[Span]]</f>
        <v>17258.214744580022</v>
      </c>
      <c r="U242" s="100">
        <f>IF(ISNUMBER('General Info'!$B$40), ((SamplingData[[#This Row],[up/U Selection Probability]]) * 'General Info'!$B$40) - 1, 0)</f>
        <v>-1</v>
      </c>
      <c r="V242" s="100">
        <f>IF(ISNUMBER('General Info'!$B$40), (SamplingData[[#This Row],[Running (cumulative) sum]] * ('General Info'!$B$40 -'General Info'!$B$41 + 1)) + 'General Info'!$B$41 - 1, 0)</f>
        <v>17257.214744580022</v>
      </c>
      <c r="W242" s="100" t="str">
        <f>IF(ISERROR(MATCH(SamplingData[[#This Row],[Batch by Type (p)]],SelectedPrecincts[Batch Name], 0)), "", INDEX(SelectedPrecincts[Draw], MATCH(SamplingData[[#This Row],[Batch by Type (p)]],SelectedPrecincts[Batch Name], 0)))</f>
        <v/>
      </c>
      <c r="X242" s="102">
        <f>IF(COUNTIF(SelectedPrecincts[Batch Name],SamplingData[[#This Row],[Batch by Type (p)]]) &lt;&gt; 0, COUNTIF(SelectedPrecincts[Batch Name],SamplingData[[#This Row],[Batch by Type (p)]]), 0)</f>
        <v>0</v>
      </c>
    </row>
    <row r="243" spans="1:24" ht="15" customHeight="1">
      <c r="A243" s="18" t="s">
        <v>419</v>
      </c>
      <c r="B243" s="18">
        <v>1</v>
      </c>
      <c r="C243" s="18">
        <v>1</v>
      </c>
      <c r="D243" s="16">
        <v>0</v>
      </c>
      <c r="E243" s="16">
        <v>0</v>
      </c>
      <c r="F243" s="37">
        <v>0</v>
      </c>
      <c r="G243" s="37">
        <v>1</v>
      </c>
      <c r="H243" s="17">
        <v>0</v>
      </c>
      <c r="I243" s="17">
        <v>0</v>
      </c>
      <c r="J243" s="99">
        <f>SUM(SamplingData[[#This Row],[Losing Candidate]:[Under Votes]])</f>
        <v>3</v>
      </c>
      <c r="K243"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243" s="100">
        <f>IF(AND(SamplingData[[#This Row],[Total]]&lt;&gt; 0, NOT(ISBLANK(SamplingData[[#This Row],[Candidate 3]]))),(SamplingData[[#This Row],[Total]]+SamplingData[[#This Row],[Winning Candidate]]-SamplingData[[#This Row],[Candidate 3]])/(SamplingData[[#Totals],[Winning Candidate]]-SamplingData[[#Totals],[Candidate 3]]), 0)</f>
        <v>1.2904474626576767E-4</v>
      </c>
      <c r="M243" s="100">
        <f>IF(AND(SamplingData[[#This Row],[Total]]&lt;&gt; 0, NOT(ISBLANK(SamplingData[[#This Row],[Candidate 4]]))),(SamplingData[[#This Row],[Total]]+SamplingData[[#This Row],[Winning Candidate]]-SamplingData[[#This Row],[Candidate 4]])/(SamplingData[[#Totals],[Winning Candidate]]-SamplingData[[#Totals],[Candidate 4]]), 0)</f>
        <v>1.1692829372387384E-4</v>
      </c>
      <c r="N243" s="100">
        <f>IF(AND(SamplingData[[#This Row],[Total]]&lt;&gt; 0, NOT(ISBLANK(SamplingData[[#This Row],[Candidate 5]]))),(SamplingData[[#This Row],[Total]]+SamplingData[[#This Row],[Winning Candidate]]-SamplingData[[#This Row],[Candidate 5]])/(SamplingData[[#Totals],[Winning Candidate]]-SamplingData[[#Totals],[Candidate 5]]), 0)</f>
        <v>9.7299927025054734E-5</v>
      </c>
      <c r="O243" s="100">
        <f>IF(AND(SamplingData[[#This Row],[Total]]&lt;&gt; 0, NOT(ISBLANK(SamplingData[[#This Row],[Candidate 6]]))),(SamplingData[[#This Row],[Total]]+SamplingData[[#This Row],[Winning Candidate]]-SamplingData[[#This Row],[Candidate 6]])/(SamplingData[[#Totals],[Winning Candidate]]-SamplingData[[#Totals],[Candidate 6]]), 0)</f>
        <v>7.2953650114294054E-5</v>
      </c>
      <c r="P243" s="100">
        <f>MAX(SamplingData[[#This Row],[Error Bound (up) - Max. possible relative overstatement - Losing Candidate]:[Error Bound (up) - Max. possible relative overstatement - Candidate 6]])</f>
        <v>1.8373346398824106E-4</v>
      </c>
      <c r="Q243" s="100">
        <f>IF(SamplingData[[#This Row],[Max Error Bound (up)]] = 0,0,SamplingData[[#This Row],[Max Error Bound (up)]]/SamplingData[[#Totals],[Max Error Bound (up)]])</f>
        <v>2.9078844835337493E-5</v>
      </c>
      <c r="R243" s="101">
        <f>SUM($Q$5:Q243)</f>
        <v>0.17261122629063555</v>
      </c>
      <c r="S243" s="100" t="str">
        <f t="array" ref="S243">IF(SamplingData[[#This Row],[up/U Selection Probability]] = 0, "Zero", TEXT(SamplingData[[#This Row],[Lower Range]], REPT("0",LEN('General Info'!$B$40))) &amp; " - " &amp; TEXT(SamplingData[[#This Row],[Upper Range]], REPT("0",LEN('General Info'!$B$40))))</f>
        <v>17258 - 17260</v>
      </c>
      <c r="T243" s="100">
        <f>SamplingData[[#This Row],[Upper Range]]-SamplingData[[#This Row],[Span]]</f>
        <v>17258.214773658863</v>
      </c>
      <c r="U243" s="100">
        <f>IF(ISNUMBER('General Info'!$B$40), ((SamplingData[[#This Row],[up/U Selection Probability]]) * 'General Info'!$B$40) - 1, 0)</f>
        <v>1.907855404688914</v>
      </c>
      <c r="V243" s="100">
        <f>IF(ISNUMBER('General Info'!$B$40), (SamplingData[[#This Row],[Running (cumulative) sum]] * ('General Info'!$B$40 -'General Info'!$B$41 + 1)) + 'General Info'!$B$41 - 1, 0)</f>
        <v>17260.122629063553</v>
      </c>
      <c r="W243" s="100" t="str">
        <f>IF(ISERROR(MATCH(SamplingData[[#This Row],[Batch by Type (p)]],SelectedPrecincts[Batch Name], 0)), "", INDEX(SelectedPrecincts[Draw], MATCH(SamplingData[[#This Row],[Batch by Type (p)]],SelectedPrecincts[Batch Name], 0)))</f>
        <v/>
      </c>
      <c r="X243" s="102">
        <f>IF(COUNTIF(SelectedPrecincts[Batch Name],SamplingData[[#This Row],[Batch by Type (p)]]) &lt;&gt; 0, COUNTIF(SelectedPrecincts[Batch Name],SamplingData[[#This Row],[Batch by Type (p)]]), 0)</f>
        <v>0</v>
      </c>
    </row>
    <row r="244" spans="1:24" ht="15" customHeight="1">
      <c r="A244" s="18" t="s">
        <v>420</v>
      </c>
      <c r="B244" s="18">
        <v>0</v>
      </c>
      <c r="C244" s="18">
        <v>0</v>
      </c>
      <c r="D244" s="18">
        <v>0</v>
      </c>
      <c r="E244" s="18">
        <v>0</v>
      </c>
      <c r="F244" s="18">
        <v>0</v>
      </c>
      <c r="G244" s="18">
        <v>0</v>
      </c>
      <c r="H244" s="18">
        <v>0</v>
      </c>
      <c r="I244" s="18">
        <v>0</v>
      </c>
      <c r="J244" s="99">
        <f>SUM(SamplingData[[#This Row],[Losing Candidate]:[Under Votes]])</f>
        <v>0</v>
      </c>
      <c r="K244" s="100">
        <f>IF(AND(SamplingData[[#This Row],[Total]]&lt;&gt; 0, NOT(ISBLANK(SamplingData[[#This Row],[Losing Candidate]]))),(SamplingData[[#This Row],[Total]]+SamplingData[[#This Row],[Winning Candidate]]-SamplingData[[#This Row],[Losing Candidate]])/(SamplingData[[#Totals],[Winning Candidate]]-SamplingData[[#Totals],[Losing Candidate]]), 0)</f>
        <v>0</v>
      </c>
      <c r="L244" s="100">
        <f>IF(AND(SamplingData[[#This Row],[Total]]&lt;&gt; 0, NOT(ISBLANK(SamplingData[[#This Row],[Candidate 3]]))),(SamplingData[[#This Row],[Total]]+SamplingData[[#This Row],[Winning Candidate]]-SamplingData[[#This Row],[Candidate 3]])/(SamplingData[[#Totals],[Winning Candidate]]-SamplingData[[#Totals],[Candidate 3]]), 0)</f>
        <v>0</v>
      </c>
      <c r="M244" s="100">
        <f>IF(AND(SamplingData[[#This Row],[Total]]&lt;&gt; 0, NOT(ISBLANK(SamplingData[[#This Row],[Candidate 4]]))),(SamplingData[[#This Row],[Total]]+SamplingData[[#This Row],[Winning Candidate]]-SamplingData[[#This Row],[Candidate 4]])/(SamplingData[[#Totals],[Winning Candidate]]-SamplingData[[#Totals],[Candidate 4]]), 0)</f>
        <v>0</v>
      </c>
      <c r="N244" s="100">
        <f>IF(AND(SamplingData[[#This Row],[Total]]&lt;&gt; 0, NOT(ISBLANK(SamplingData[[#This Row],[Candidate 5]]))),(SamplingData[[#This Row],[Total]]+SamplingData[[#This Row],[Winning Candidate]]-SamplingData[[#This Row],[Candidate 5]])/(SamplingData[[#Totals],[Winning Candidate]]-SamplingData[[#Totals],[Candidate 5]]), 0)</f>
        <v>0</v>
      </c>
      <c r="O244" s="100">
        <f>IF(AND(SamplingData[[#This Row],[Total]]&lt;&gt; 0, NOT(ISBLANK(SamplingData[[#This Row],[Candidate 6]]))),(SamplingData[[#This Row],[Total]]+SamplingData[[#This Row],[Winning Candidate]]-SamplingData[[#This Row],[Candidate 6]])/(SamplingData[[#Totals],[Winning Candidate]]-SamplingData[[#Totals],[Candidate 6]]), 0)</f>
        <v>0</v>
      </c>
      <c r="P244" s="100">
        <f>MAX(SamplingData[[#This Row],[Error Bound (up) - Max. possible relative overstatement - Losing Candidate]:[Error Bound (up) - Max. possible relative overstatement - Candidate 6]])</f>
        <v>0</v>
      </c>
      <c r="Q244" s="100">
        <f>IF(SamplingData[[#This Row],[Max Error Bound (up)]] = 0,0,SamplingData[[#This Row],[Max Error Bound (up)]]/SamplingData[[#Totals],[Max Error Bound (up)]])</f>
        <v>0</v>
      </c>
      <c r="R244" s="101">
        <f>SUM($Q$5:Q244)</f>
        <v>0.17261122629063555</v>
      </c>
      <c r="S244" s="100" t="str">
        <f t="array" ref="S244">IF(SamplingData[[#This Row],[up/U Selection Probability]] = 0, "Zero", TEXT(SamplingData[[#This Row],[Lower Range]], REPT("0",LEN('General Info'!$B$40))) &amp; " - " &amp; TEXT(SamplingData[[#This Row],[Upper Range]], REPT("0",LEN('General Info'!$B$40))))</f>
        <v>Zero</v>
      </c>
      <c r="T244" s="100">
        <f>SamplingData[[#This Row],[Upper Range]]-SamplingData[[#This Row],[Span]]</f>
        <v>17261.122629063553</v>
      </c>
      <c r="U244" s="100">
        <f>IF(ISNUMBER('General Info'!$B$40), ((SamplingData[[#This Row],[up/U Selection Probability]]) * 'General Info'!$B$40) - 1, 0)</f>
        <v>-1</v>
      </c>
      <c r="V244" s="100">
        <f>IF(ISNUMBER('General Info'!$B$40), (SamplingData[[#This Row],[Running (cumulative) sum]] * ('General Info'!$B$40 -'General Info'!$B$41 + 1)) + 'General Info'!$B$41 - 1, 0)</f>
        <v>17260.122629063553</v>
      </c>
      <c r="W244" s="100" t="str">
        <f>IF(ISERROR(MATCH(SamplingData[[#This Row],[Batch by Type (p)]],SelectedPrecincts[Batch Name], 0)), "", INDEX(SelectedPrecincts[Draw], MATCH(SamplingData[[#This Row],[Batch by Type (p)]],SelectedPrecincts[Batch Name], 0)))</f>
        <v/>
      </c>
      <c r="X244" s="102">
        <f>IF(COUNTIF(SelectedPrecincts[Batch Name],SamplingData[[#This Row],[Batch by Type (p)]]) &lt;&gt; 0, COUNTIF(SelectedPrecincts[Batch Name],SamplingData[[#This Row],[Batch by Type (p)]]), 0)</f>
        <v>0</v>
      </c>
    </row>
    <row r="245" spans="1:24" ht="15" customHeight="1">
      <c r="A245" s="18" t="s">
        <v>421</v>
      </c>
      <c r="B245" s="18">
        <v>0</v>
      </c>
      <c r="C245" s="18">
        <v>0</v>
      </c>
      <c r="D245" s="16">
        <v>0</v>
      </c>
      <c r="E245" s="16">
        <v>0</v>
      </c>
      <c r="F245" s="37">
        <v>0</v>
      </c>
      <c r="G245" s="37">
        <v>0</v>
      </c>
      <c r="H245" s="17">
        <v>0</v>
      </c>
      <c r="I245" s="17">
        <v>0</v>
      </c>
      <c r="J245" s="99">
        <f>SUM(SamplingData[[#This Row],[Losing Candidate]:[Under Votes]])</f>
        <v>0</v>
      </c>
      <c r="K245" s="100">
        <f>IF(AND(SamplingData[[#This Row],[Total]]&lt;&gt; 0, NOT(ISBLANK(SamplingData[[#This Row],[Losing Candidate]]))),(SamplingData[[#This Row],[Total]]+SamplingData[[#This Row],[Winning Candidate]]-SamplingData[[#This Row],[Losing Candidate]])/(SamplingData[[#Totals],[Winning Candidate]]-SamplingData[[#Totals],[Losing Candidate]]), 0)</f>
        <v>0</v>
      </c>
      <c r="L245" s="100">
        <f>IF(AND(SamplingData[[#This Row],[Total]]&lt;&gt; 0, NOT(ISBLANK(SamplingData[[#This Row],[Candidate 3]]))),(SamplingData[[#This Row],[Total]]+SamplingData[[#This Row],[Winning Candidate]]-SamplingData[[#This Row],[Candidate 3]])/(SamplingData[[#Totals],[Winning Candidate]]-SamplingData[[#Totals],[Candidate 3]]), 0)</f>
        <v>0</v>
      </c>
      <c r="M245" s="100">
        <f>IF(AND(SamplingData[[#This Row],[Total]]&lt;&gt; 0, NOT(ISBLANK(SamplingData[[#This Row],[Candidate 4]]))),(SamplingData[[#This Row],[Total]]+SamplingData[[#This Row],[Winning Candidate]]-SamplingData[[#This Row],[Candidate 4]])/(SamplingData[[#Totals],[Winning Candidate]]-SamplingData[[#Totals],[Candidate 4]]), 0)</f>
        <v>0</v>
      </c>
      <c r="N245" s="100">
        <f>IF(AND(SamplingData[[#This Row],[Total]]&lt;&gt; 0, NOT(ISBLANK(SamplingData[[#This Row],[Candidate 5]]))),(SamplingData[[#This Row],[Total]]+SamplingData[[#This Row],[Winning Candidate]]-SamplingData[[#This Row],[Candidate 5]])/(SamplingData[[#Totals],[Winning Candidate]]-SamplingData[[#Totals],[Candidate 5]]), 0)</f>
        <v>0</v>
      </c>
      <c r="O245" s="100">
        <f>IF(AND(SamplingData[[#This Row],[Total]]&lt;&gt; 0, NOT(ISBLANK(SamplingData[[#This Row],[Candidate 6]]))),(SamplingData[[#This Row],[Total]]+SamplingData[[#This Row],[Winning Candidate]]-SamplingData[[#This Row],[Candidate 6]])/(SamplingData[[#Totals],[Winning Candidate]]-SamplingData[[#Totals],[Candidate 6]]), 0)</f>
        <v>0</v>
      </c>
      <c r="P245" s="100">
        <f>MAX(SamplingData[[#This Row],[Error Bound (up) - Max. possible relative overstatement - Losing Candidate]:[Error Bound (up) - Max. possible relative overstatement - Candidate 6]])</f>
        <v>0</v>
      </c>
      <c r="Q245" s="100">
        <f>IF(SamplingData[[#This Row],[Max Error Bound (up)]] = 0,0,SamplingData[[#This Row],[Max Error Bound (up)]]/SamplingData[[#Totals],[Max Error Bound (up)]])</f>
        <v>0</v>
      </c>
      <c r="R245" s="101">
        <f>SUM($Q$5:Q245)</f>
        <v>0.17261122629063555</v>
      </c>
      <c r="S245" s="100" t="str">
        <f t="array" ref="S245">IF(SamplingData[[#This Row],[up/U Selection Probability]] = 0, "Zero", TEXT(SamplingData[[#This Row],[Lower Range]], REPT("0",LEN('General Info'!$B$40))) &amp; " - " &amp; TEXT(SamplingData[[#This Row],[Upper Range]], REPT("0",LEN('General Info'!$B$40))))</f>
        <v>Zero</v>
      </c>
      <c r="T245" s="100">
        <f>SamplingData[[#This Row],[Upper Range]]-SamplingData[[#This Row],[Span]]</f>
        <v>17261.122629063553</v>
      </c>
      <c r="U245" s="100">
        <f>IF(ISNUMBER('General Info'!$B$40), ((SamplingData[[#This Row],[up/U Selection Probability]]) * 'General Info'!$B$40) - 1, 0)</f>
        <v>-1</v>
      </c>
      <c r="V245" s="100">
        <f>IF(ISNUMBER('General Info'!$B$40), (SamplingData[[#This Row],[Running (cumulative) sum]] * ('General Info'!$B$40 -'General Info'!$B$41 + 1)) + 'General Info'!$B$41 - 1, 0)</f>
        <v>17260.122629063553</v>
      </c>
      <c r="W245" s="100" t="str">
        <f>IF(ISERROR(MATCH(SamplingData[[#This Row],[Batch by Type (p)]],SelectedPrecincts[Batch Name], 0)), "", INDEX(SelectedPrecincts[Draw], MATCH(SamplingData[[#This Row],[Batch by Type (p)]],SelectedPrecincts[Batch Name], 0)))</f>
        <v/>
      </c>
      <c r="X245" s="102">
        <f>IF(COUNTIF(SelectedPrecincts[Batch Name],SamplingData[[#This Row],[Batch by Type (p)]]) &lt;&gt; 0, COUNTIF(SelectedPrecincts[Batch Name],SamplingData[[#This Row],[Batch by Type (p)]]), 0)</f>
        <v>0</v>
      </c>
    </row>
    <row r="246" spans="1:24" ht="15" customHeight="1">
      <c r="A246" s="18" t="s">
        <v>422</v>
      </c>
      <c r="B246" s="18">
        <v>0</v>
      </c>
      <c r="C246" s="18">
        <v>0</v>
      </c>
      <c r="D246" s="18">
        <v>0</v>
      </c>
      <c r="E246" s="18">
        <v>0</v>
      </c>
      <c r="F246" s="18">
        <v>0</v>
      </c>
      <c r="G246" s="18">
        <v>0</v>
      </c>
      <c r="H246" s="18">
        <v>0</v>
      </c>
      <c r="I246" s="18">
        <v>0</v>
      </c>
      <c r="J246" s="99">
        <f>SUM(SamplingData[[#This Row],[Losing Candidate]:[Under Votes]])</f>
        <v>0</v>
      </c>
      <c r="K246" s="100">
        <f>IF(AND(SamplingData[[#This Row],[Total]]&lt;&gt; 0, NOT(ISBLANK(SamplingData[[#This Row],[Losing Candidate]]))),(SamplingData[[#This Row],[Total]]+SamplingData[[#This Row],[Winning Candidate]]-SamplingData[[#This Row],[Losing Candidate]])/(SamplingData[[#Totals],[Winning Candidate]]-SamplingData[[#Totals],[Losing Candidate]]), 0)</f>
        <v>0</v>
      </c>
      <c r="L246" s="100">
        <f>IF(AND(SamplingData[[#This Row],[Total]]&lt;&gt; 0, NOT(ISBLANK(SamplingData[[#This Row],[Candidate 3]]))),(SamplingData[[#This Row],[Total]]+SamplingData[[#This Row],[Winning Candidate]]-SamplingData[[#This Row],[Candidate 3]])/(SamplingData[[#Totals],[Winning Candidate]]-SamplingData[[#Totals],[Candidate 3]]), 0)</f>
        <v>0</v>
      </c>
      <c r="M246" s="100">
        <f>IF(AND(SamplingData[[#This Row],[Total]]&lt;&gt; 0, NOT(ISBLANK(SamplingData[[#This Row],[Candidate 4]]))),(SamplingData[[#This Row],[Total]]+SamplingData[[#This Row],[Winning Candidate]]-SamplingData[[#This Row],[Candidate 4]])/(SamplingData[[#Totals],[Winning Candidate]]-SamplingData[[#Totals],[Candidate 4]]), 0)</f>
        <v>0</v>
      </c>
      <c r="N246" s="100">
        <f>IF(AND(SamplingData[[#This Row],[Total]]&lt;&gt; 0, NOT(ISBLANK(SamplingData[[#This Row],[Candidate 5]]))),(SamplingData[[#This Row],[Total]]+SamplingData[[#This Row],[Winning Candidate]]-SamplingData[[#This Row],[Candidate 5]])/(SamplingData[[#Totals],[Winning Candidate]]-SamplingData[[#Totals],[Candidate 5]]), 0)</f>
        <v>0</v>
      </c>
      <c r="O246" s="100">
        <f>IF(AND(SamplingData[[#This Row],[Total]]&lt;&gt; 0, NOT(ISBLANK(SamplingData[[#This Row],[Candidate 6]]))),(SamplingData[[#This Row],[Total]]+SamplingData[[#This Row],[Winning Candidate]]-SamplingData[[#This Row],[Candidate 6]])/(SamplingData[[#Totals],[Winning Candidate]]-SamplingData[[#Totals],[Candidate 6]]), 0)</f>
        <v>0</v>
      </c>
      <c r="P246" s="100">
        <f>MAX(SamplingData[[#This Row],[Error Bound (up) - Max. possible relative overstatement - Losing Candidate]:[Error Bound (up) - Max. possible relative overstatement - Candidate 6]])</f>
        <v>0</v>
      </c>
      <c r="Q246" s="100">
        <f>IF(SamplingData[[#This Row],[Max Error Bound (up)]] = 0,0,SamplingData[[#This Row],[Max Error Bound (up)]]/SamplingData[[#Totals],[Max Error Bound (up)]])</f>
        <v>0</v>
      </c>
      <c r="R246" s="101">
        <f>SUM($Q$5:Q246)</f>
        <v>0.17261122629063555</v>
      </c>
      <c r="S246" s="100" t="str">
        <f t="array" ref="S246">IF(SamplingData[[#This Row],[up/U Selection Probability]] = 0, "Zero", TEXT(SamplingData[[#This Row],[Lower Range]], REPT("0",LEN('General Info'!$B$40))) &amp; " - " &amp; TEXT(SamplingData[[#This Row],[Upper Range]], REPT("0",LEN('General Info'!$B$40))))</f>
        <v>Zero</v>
      </c>
      <c r="T246" s="100">
        <f>SamplingData[[#This Row],[Upper Range]]-SamplingData[[#This Row],[Span]]</f>
        <v>17261.122629063553</v>
      </c>
      <c r="U246" s="100">
        <f>IF(ISNUMBER('General Info'!$B$40), ((SamplingData[[#This Row],[up/U Selection Probability]]) * 'General Info'!$B$40) - 1, 0)</f>
        <v>-1</v>
      </c>
      <c r="V246" s="100">
        <f>IF(ISNUMBER('General Info'!$B$40), (SamplingData[[#This Row],[Running (cumulative) sum]] * ('General Info'!$B$40 -'General Info'!$B$41 + 1)) + 'General Info'!$B$41 - 1, 0)</f>
        <v>17260.122629063553</v>
      </c>
      <c r="W246" s="100" t="str">
        <f>IF(ISERROR(MATCH(SamplingData[[#This Row],[Batch by Type (p)]],SelectedPrecincts[Batch Name], 0)), "", INDEX(SelectedPrecincts[Draw], MATCH(SamplingData[[#This Row],[Batch by Type (p)]],SelectedPrecincts[Batch Name], 0)))</f>
        <v/>
      </c>
      <c r="X246" s="102">
        <f>IF(COUNTIF(SelectedPrecincts[Batch Name],SamplingData[[#This Row],[Batch by Type (p)]]) &lt;&gt; 0, COUNTIF(SelectedPrecincts[Batch Name],SamplingData[[#This Row],[Batch by Type (p)]]), 0)</f>
        <v>0</v>
      </c>
    </row>
    <row r="247" spans="1:24" ht="15" customHeight="1">
      <c r="A247" s="18" t="s">
        <v>423</v>
      </c>
      <c r="B247" s="18">
        <v>0</v>
      </c>
      <c r="C247" s="18">
        <v>0</v>
      </c>
      <c r="D247" s="16">
        <v>0</v>
      </c>
      <c r="E247" s="16">
        <v>0</v>
      </c>
      <c r="F247" s="37">
        <v>0</v>
      </c>
      <c r="G247" s="37">
        <v>0</v>
      </c>
      <c r="H247" s="17">
        <v>0</v>
      </c>
      <c r="I247" s="17">
        <v>0</v>
      </c>
      <c r="J247" s="99">
        <f>SUM(SamplingData[[#This Row],[Losing Candidate]:[Under Votes]])</f>
        <v>0</v>
      </c>
      <c r="K247" s="100">
        <f>IF(AND(SamplingData[[#This Row],[Total]]&lt;&gt; 0, NOT(ISBLANK(SamplingData[[#This Row],[Losing Candidate]]))),(SamplingData[[#This Row],[Total]]+SamplingData[[#This Row],[Winning Candidate]]-SamplingData[[#This Row],[Losing Candidate]])/(SamplingData[[#Totals],[Winning Candidate]]-SamplingData[[#Totals],[Losing Candidate]]), 0)</f>
        <v>0</v>
      </c>
      <c r="L247" s="100">
        <f>IF(AND(SamplingData[[#This Row],[Total]]&lt;&gt; 0, NOT(ISBLANK(SamplingData[[#This Row],[Candidate 3]]))),(SamplingData[[#This Row],[Total]]+SamplingData[[#This Row],[Winning Candidate]]-SamplingData[[#This Row],[Candidate 3]])/(SamplingData[[#Totals],[Winning Candidate]]-SamplingData[[#Totals],[Candidate 3]]), 0)</f>
        <v>0</v>
      </c>
      <c r="M247" s="100">
        <f>IF(AND(SamplingData[[#This Row],[Total]]&lt;&gt; 0, NOT(ISBLANK(SamplingData[[#This Row],[Candidate 4]]))),(SamplingData[[#This Row],[Total]]+SamplingData[[#This Row],[Winning Candidate]]-SamplingData[[#This Row],[Candidate 4]])/(SamplingData[[#Totals],[Winning Candidate]]-SamplingData[[#Totals],[Candidate 4]]), 0)</f>
        <v>0</v>
      </c>
      <c r="N247" s="100">
        <f>IF(AND(SamplingData[[#This Row],[Total]]&lt;&gt; 0, NOT(ISBLANK(SamplingData[[#This Row],[Candidate 5]]))),(SamplingData[[#This Row],[Total]]+SamplingData[[#This Row],[Winning Candidate]]-SamplingData[[#This Row],[Candidate 5]])/(SamplingData[[#Totals],[Winning Candidate]]-SamplingData[[#Totals],[Candidate 5]]), 0)</f>
        <v>0</v>
      </c>
      <c r="O247" s="100">
        <f>IF(AND(SamplingData[[#This Row],[Total]]&lt;&gt; 0, NOT(ISBLANK(SamplingData[[#This Row],[Candidate 6]]))),(SamplingData[[#This Row],[Total]]+SamplingData[[#This Row],[Winning Candidate]]-SamplingData[[#This Row],[Candidate 6]])/(SamplingData[[#Totals],[Winning Candidate]]-SamplingData[[#Totals],[Candidate 6]]), 0)</f>
        <v>0</v>
      </c>
      <c r="P247" s="100">
        <f>MAX(SamplingData[[#This Row],[Error Bound (up) - Max. possible relative overstatement - Losing Candidate]:[Error Bound (up) - Max. possible relative overstatement - Candidate 6]])</f>
        <v>0</v>
      </c>
      <c r="Q247" s="100">
        <f>IF(SamplingData[[#This Row],[Max Error Bound (up)]] = 0,0,SamplingData[[#This Row],[Max Error Bound (up)]]/SamplingData[[#Totals],[Max Error Bound (up)]])</f>
        <v>0</v>
      </c>
      <c r="R247" s="101">
        <f>SUM($Q$5:Q247)</f>
        <v>0.17261122629063555</v>
      </c>
      <c r="S247" s="100" t="str">
        <f t="array" ref="S247">IF(SamplingData[[#This Row],[up/U Selection Probability]] = 0, "Zero", TEXT(SamplingData[[#This Row],[Lower Range]], REPT("0",LEN('General Info'!$B$40))) &amp; " - " &amp; TEXT(SamplingData[[#This Row],[Upper Range]], REPT("0",LEN('General Info'!$B$40))))</f>
        <v>Zero</v>
      </c>
      <c r="T247" s="100">
        <f>SamplingData[[#This Row],[Upper Range]]-SamplingData[[#This Row],[Span]]</f>
        <v>17261.122629063553</v>
      </c>
      <c r="U247" s="100">
        <f>IF(ISNUMBER('General Info'!$B$40), ((SamplingData[[#This Row],[up/U Selection Probability]]) * 'General Info'!$B$40) - 1, 0)</f>
        <v>-1</v>
      </c>
      <c r="V247" s="100">
        <f>IF(ISNUMBER('General Info'!$B$40), (SamplingData[[#This Row],[Running (cumulative) sum]] * ('General Info'!$B$40 -'General Info'!$B$41 + 1)) + 'General Info'!$B$41 - 1, 0)</f>
        <v>17260.122629063553</v>
      </c>
      <c r="W247" s="100" t="str">
        <f>IF(ISERROR(MATCH(SamplingData[[#This Row],[Batch by Type (p)]],SelectedPrecincts[Batch Name], 0)), "", INDEX(SelectedPrecincts[Draw], MATCH(SamplingData[[#This Row],[Batch by Type (p)]],SelectedPrecincts[Batch Name], 0)))</f>
        <v/>
      </c>
      <c r="X247" s="102">
        <f>IF(COUNTIF(SelectedPrecincts[Batch Name],SamplingData[[#This Row],[Batch by Type (p)]]) &lt;&gt; 0, COUNTIF(SelectedPrecincts[Batch Name],SamplingData[[#This Row],[Batch by Type (p)]]), 0)</f>
        <v>0</v>
      </c>
    </row>
    <row r="248" spans="1:24" ht="15" customHeight="1">
      <c r="A248" s="18" t="s">
        <v>424</v>
      </c>
      <c r="B248" s="18">
        <v>0</v>
      </c>
      <c r="C248" s="18">
        <v>1</v>
      </c>
      <c r="D248" s="18">
        <v>0</v>
      </c>
      <c r="E248" s="18">
        <v>1</v>
      </c>
      <c r="F248" s="18">
        <v>0</v>
      </c>
      <c r="G248" s="18">
        <v>1</v>
      </c>
      <c r="H248" s="18">
        <v>0</v>
      </c>
      <c r="I248" s="18">
        <v>0</v>
      </c>
      <c r="J248" s="99">
        <f>SUM(SamplingData[[#This Row],[Losing Candidate]:[Under Votes]])</f>
        <v>3</v>
      </c>
      <c r="K248"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248" s="100">
        <f>IF(AND(SamplingData[[#This Row],[Total]]&lt;&gt; 0, NOT(ISBLANK(SamplingData[[#This Row],[Candidate 3]]))),(SamplingData[[#This Row],[Total]]+SamplingData[[#This Row],[Winning Candidate]]-SamplingData[[#This Row],[Candidate 3]])/(SamplingData[[#Totals],[Winning Candidate]]-SamplingData[[#Totals],[Candidate 3]]), 0)</f>
        <v>1.2904474626576767E-4</v>
      </c>
      <c r="M248" s="100">
        <f>IF(AND(SamplingData[[#This Row],[Total]]&lt;&gt; 0, NOT(ISBLANK(SamplingData[[#This Row],[Candidate 4]]))),(SamplingData[[#This Row],[Total]]+SamplingData[[#This Row],[Winning Candidate]]-SamplingData[[#This Row],[Candidate 4]])/(SamplingData[[#Totals],[Winning Candidate]]-SamplingData[[#Totals],[Candidate 4]]), 0)</f>
        <v>8.7696220292905373E-5</v>
      </c>
      <c r="N248" s="100">
        <f>IF(AND(SamplingData[[#This Row],[Total]]&lt;&gt; 0, NOT(ISBLANK(SamplingData[[#This Row],[Candidate 5]]))),(SamplingData[[#This Row],[Total]]+SamplingData[[#This Row],[Winning Candidate]]-SamplingData[[#This Row],[Candidate 5]])/(SamplingData[[#Totals],[Winning Candidate]]-SamplingData[[#Totals],[Candidate 5]]), 0)</f>
        <v>9.7299927025054734E-5</v>
      </c>
      <c r="O248" s="100">
        <f>IF(AND(SamplingData[[#This Row],[Total]]&lt;&gt; 0, NOT(ISBLANK(SamplingData[[#This Row],[Candidate 6]]))),(SamplingData[[#This Row],[Total]]+SamplingData[[#This Row],[Winning Candidate]]-SamplingData[[#This Row],[Candidate 6]])/(SamplingData[[#Totals],[Winning Candidate]]-SamplingData[[#Totals],[Candidate 6]]), 0)</f>
        <v>7.2953650114294054E-5</v>
      </c>
      <c r="P248" s="100">
        <f>MAX(SamplingData[[#This Row],[Error Bound (up) - Max. possible relative overstatement - Losing Candidate]:[Error Bound (up) - Max. possible relative overstatement - Candidate 6]])</f>
        <v>2.4497795198432141E-4</v>
      </c>
      <c r="Q248" s="100">
        <f>IF(SamplingData[[#This Row],[Max Error Bound (up)]] = 0,0,SamplingData[[#This Row],[Max Error Bound (up)]]/SamplingData[[#Totals],[Max Error Bound (up)]])</f>
        <v>3.8771793113783326E-5</v>
      </c>
      <c r="R248" s="101">
        <f>SUM($Q$5:Q248)</f>
        <v>0.17264999808374934</v>
      </c>
      <c r="S248" s="100" t="str">
        <f t="array" ref="S248">IF(SamplingData[[#This Row],[up/U Selection Probability]] = 0, "Zero", TEXT(SamplingData[[#This Row],[Lower Range]], REPT("0",LEN('General Info'!$B$40))) &amp; " - " &amp; TEXT(SamplingData[[#This Row],[Upper Range]], REPT("0",LEN('General Info'!$B$40))))</f>
        <v>17261 - 17264</v>
      </c>
      <c r="T248" s="100">
        <f>SamplingData[[#This Row],[Upper Range]]-SamplingData[[#This Row],[Span]]</f>
        <v>17261.122667835349</v>
      </c>
      <c r="U248" s="100">
        <f>IF(ISNUMBER('General Info'!$B$40), ((SamplingData[[#This Row],[up/U Selection Probability]]) * 'General Info'!$B$40) - 1, 0)</f>
        <v>2.877140539585219</v>
      </c>
      <c r="V248" s="100">
        <f>IF(ISNUMBER('General Info'!$B$40), (SamplingData[[#This Row],[Running (cumulative) sum]] * ('General Info'!$B$40 -'General Info'!$B$41 + 1)) + 'General Info'!$B$41 - 1, 0)</f>
        <v>17263.999808374934</v>
      </c>
      <c r="W248" s="100" t="str">
        <f>IF(ISERROR(MATCH(SamplingData[[#This Row],[Batch by Type (p)]],SelectedPrecincts[Batch Name], 0)), "", INDEX(SelectedPrecincts[Draw], MATCH(SamplingData[[#This Row],[Batch by Type (p)]],SelectedPrecincts[Batch Name], 0)))</f>
        <v/>
      </c>
      <c r="X248" s="102">
        <f>IF(COUNTIF(SelectedPrecincts[Batch Name],SamplingData[[#This Row],[Batch by Type (p)]]) &lt;&gt; 0, COUNTIF(SelectedPrecincts[Batch Name],SamplingData[[#This Row],[Batch by Type (p)]]), 0)</f>
        <v>0</v>
      </c>
    </row>
    <row r="249" spans="1:24" ht="15" customHeight="1">
      <c r="A249" s="18" t="s">
        <v>425</v>
      </c>
      <c r="B249" s="18">
        <v>0</v>
      </c>
      <c r="C249" s="18">
        <v>0</v>
      </c>
      <c r="D249" s="16">
        <v>0</v>
      </c>
      <c r="E249" s="16">
        <v>0</v>
      </c>
      <c r="F249" s="37">
        <v>0</v>
      </c>
      <c r="G249" s="37">
        <v>0</v>
      </c>
      <c r="H249" s="17">
        <v>0</v>
      </c>
      <c r="I249" s="17">
        <v>0</v>
      </c>
      <c r="J249" s="99">
        <f>SUM(SamplingData[[#This Row],[Losing Candidate]:[Under Votes]])</f>
        <v>0</v>
      </c>
      <c r="K249" s="100">
        <f>IF(AND(SamplingData[[#This Row],[Total]]&lt;&gt; 0, NOT(ISBLANK(SamplingData[[#This Row],[Losing Candidate]]))),(SamplingData[[#This Row],[Total]]+SamplingData[[#This Row],[Winning Candidate]]-SamplingData[[#This Row],[Losing Candidate]])/(SamplingData[[#Totals],[Winning Candidate]]-SamplingData[[#Totals],[Losing Candidate]]), 0)</f>
        <v>0</v>
      </c>
      <c r="L249" s="100">
        <f>IF(AND(SamplingData[[#This Row],[Total]]&lt;&gt; 0, NOT(ISBLANK(SamplingData[[#This Row],[Candidate 3]]))),(SamplingData[[#This Row],[Total]]+SamplingData[[#This Row],[Winning Candidate]]-SamplingData[[#This Row],[Candidate 3]])/(SamplingData[[#Totals],[Winning Candidate]]-SamplingData[[#Totals],[Candidate 3]]), 0)</f>
        <v>0</v>
      </c>
      <c r="M249" s="100">
        <f>IF(AND(SamplingData[[#This Row],[Total]]&lt;&gt; 0, NOT(ISBLANK(SamplingData[[#This Row],[Candidate 4]]))),(SamplingData[[#This Row],[Total]]+SamplingData[[#This Row],[Winning Candidate]]-SamplingData[[#This Row],[Candidate 4]])/(SamplingData[[#Totals],[Winning Candidate]]-SamplingData[[#Totals],[Candidate 4]]), 0)</f>
        <v>0</v>
      </c>
      <c r="N249" s="100">
        <f>IF(AND(SamplingData[[#This Row],[Total]]&lt;&gt; 0, NOT(ISBLANK(SamplingData[[#This Row],[Candidate 5]]))),(SamplingData[[#This Row],[Total]]+SamplingData[[#This Row],[Winning Candidate]]-SamplingData[[#This Row],[Candidate 5]])/(SamplingData[[#Totals],[Winning Candidate]]-SamplingData[[#Totals],[Candidate 5]]), 0)</f>
        <v>0</v>
      </c>
      <c r="O249" s="100">
        <f>IF(AND(SamplingData[[#This Row],[Total]]&lt;&gt; 0, NOT(ISBLANK(SamplingData[[#This Row],[Candidate 6]]))),(SamplingData[[#This Row],[Total]]+SamplingData[[#This Row],[Winning Candidate]]-SamplingData[[#This Row],[Candidate 6]])/(SamplingData[[#Totals],[Winning Candidate]]-SamplingData[[#Totals],[Candidate 6]]), 0)</f>
        <v>0</v>
      </c>
      <c r="P249" s="100">
        <f>MAX(SamplingData[[#This Row],[Error Bound (up) - Max. possible relative overstatement - Losing Candidate]:[Error Bound (up) - Max. possible relative overstatement - Candidate 6]])</f>
        <v>0</v>
      </c>
      <c r="Q249" s="100">
        <f>IF(SamplingData[[#This Row],[Max Error Bound (up)]] = 0,0,SamplingData[[#This Row],[Max Error Bound (up)]]/SamplingData[[#Totals],[Max Error Bound (up)]])</f>
        <v>0</v>
      </c>
      <c r="R249" s="101">
        <f>SUM($Q$5:Q249)</f>
        <v>0.17264999808374934</v>
      </c>
      <c r="S249" s="100" t="str">
        <f t="array" ref="S249">IF(SamplingData[[#This Row],[up/U Selection Probability]] = 0, "Zero", TEXT(SamplingData[[#This Row],[Lower Range]], REPT("0",LEN('General Info'!$B$40))) &amp; " - " &amp; TEXT(SamplingData[[#This Row],[Upper Range]], REPT("0",LEN('General Info'!$B$40))))</f>
        <v>Zero</v>
      </c>
      <c r="T249" s="100">
        <f>SamplingData[[#This Row],[Upper Range]]-SamplingData[[#This Row],[Span]]</f>
        <v>17264.999808374934</v>
      </c>
      <c r="U249" s="100">
        <f>IF(ISNUMBER('General Info'!$B$40), ((SamplingData[[#This Row],[up/U Selection Probability]]) * 'General Info'!$B$40) - 1, 0)</f>
        <v>-1</v>
      </c>
      <c r="V249" s="100">
        <f>IF(ISNUMBER('General Info'!$B$40), (SamplingData[[#This Row],[Running (cumulative) sum]] * ('General Info'!$B$40 -'General Info'!$B$41 + 1)) + 'General Info'!$B$41 - 1, 0)</f>
        <v>17263.999808374934</v>
      </c>
      <c r="W249" s="100" t="str">
        <f>IF(ISERROR(MATCH(SamplingData[[#This Row],[Batch by Type (p)]],SelectedPrecincts[Batch Name], 0)), "", INDEX(SelectedPrecincts[Draw], MATCH(SamplingData[[#This Row],[Batch by Type (p)]],SelectedPrecincts[Batch Name], 0)))</f>
        <v/>
      </c>
      <c r="X249" s="102">
        <f>IF(COUNTIF(SelectedPrecincts[Batch Name],SamplingData[[#This Row],[Batch by Type (p)]]) &lt;&gt; 0, COUNTIF(SelectedPrecincts[Batch Name],SamplingData[[#This Row],[Batch by Type (p)]]), 0)</f>
        <v>0</v>
      </c>
    </row>
    <row r="250" spans="1:24" ht="15" customHeight="1">
      <c r="A250" s="18" t="s">
        <v>426</v>
      </c>
      <c r="B250" s="18">
        <v>0</v>
      </c>
      <c r="C250" s="18">
        <v>0</v>
      </c>
      <c r="D250" s="18">
        <v>0</v>
      </c>
      <c r="E250" s="18">
        <v>0</v>
      </c>
      <c r="F250" s="18">
        <v>0</v>
      </c>
      <c r="G250" s="18">
        <v>0</v>
      </c>
      <c r="H250" s="18">
        <v>0</v>
      </c>
      <c r="I250" s="18">
        <v>0</v>
      </c>
      <c r="J250" s="99">
        <f>SUM(SamplingData[[#This Row],[Losing Candidate]:[Under Votes]])</f>
        <v>0</v>
      </c>
      <c r="K250" s="100">
        <f>IF(AND(SamplingData[[#This Row],[Total]]&lt;&gt; 0, NOT(ISBLANK(SamplingData[[#This Row],[Losing Candidate]]))),(SamplingData[[#This Row],[Total]]+SamplingData[[#This Row],[Winning Candidate]]-SamplingData[[#This Row],[Losing Candidate]])/(SamplingData[[#Totals],[Winning Candidate]]-SamplingData[[#Totals],[Losing Candidate]]), 0)</f>
        <v>0</v>
      </c>
      <c r="L250" s="100">
        <f>IF(AND(SamplingData[[#This Row],[Total]]&lt;&gt; 0, NOT(ISBLANK(SamplingData[[#This Row],[Candidate 3]]))),(SamplingData[[#This Row],[Total]]+SamplingData[[#This Row],[Winning Candidate]]-SamplingData[[#This Row],[Candidate 3]])/(SamplingData[[#Totals],[Winning Candidate]]-SamplingData[[#Totals],[Candidate 3]]), 0)</f>
        <v>0</v>
      </c>
      <c r="M250" s="100">
        <f>IF(AND(SamplingData[[#This Row],[Total]]&lt;&gt; 0, NOT(ISBLANK(SamplingData[[#This Row],[Candidate 4]]))),(SamplingData[[#This Row],[Total]]+SamplingData[[#This Row],[Winning Candidate]]-SamplingData[[#This Row],[Candidate 4]])/(SamplingData[[#Totals],[Winning Candidate]]-SamplingData[[#Totals],[Candidate 4]]), 0)</f>
        <v>0</v>
      </c>
      <c r="N250" s="100">
        <f>IF(AND(SamplingData[[#This Row],[Total]]&lt;&gt; 0, NOT(ISBLANK(SamplingData[[#This Row],[Candidate 5]]))),(SamplingData[[#This Row],[Total]]+SamplingData[[#This Row],[Winning Candidate]]-SamplingData[[#This Row],[Candidate 5]])/(SamplingData[[#Totals],[Winning Candidate]]-SamplingData[[#Totals],[Candidate 5]]), 0)</f>
        <v>0</v>
      </c>
      <c r="O250" s="100">
        <f>IF(AND(SamplingData[[#This Row],[Total]]&lt;&gt; 0, NOT(ISBLANK(SamplingData[[#This Row],[Candidate 6]]))),(SamplingData[[#This Row],[Total]]+SamplingData[[#This Row],[Winning Candidate]]-SamplingData[[#This Row],[Candidate 6]])/(SamplingData[[#Totals],[Winning Candidate]]-SamplingData[[#Totals],[Candidate 6]]), 0)</f>
        <v>0</v>
      </c>
      <c r="P250" s="100">
        <f>MAX(SamplingData[[#This Row],[Error Bound (up) - Max. possible relative overstatement - Losing Candidate]:[Error Bound (up) - Max. possible relative overstatement - Candidate 6]])</f>
        <v>0</v>
      </c>
      <c r="Q250" s="100">
        <f>IF(SamplingData[[#This Row],[Max Error Bound (up)]] = 0,0,SamplingData[[#This Row],[Max Error Bound (up)]]/SamplingData[[#Totals],[Max Error Bound (up)]])</f>
        <v>0</v>
      </c>
      <c r="R250" s="101">
        <f>SUM($Q$5:Q250)</f>
        <v>0.17264999808374934</v>
      </c>
      <c r="S250" s="100" t="str">
        <f t="array" ref="S250">IF(SamplingData[[#This Row],[up/U Selection Probability]] = 0, "Zero", TEXT(SamplingData[[#This Row],[Lower Range]], REPT("0",LEN('General Info'!$B$40))) &amp; " - " &amp; TEXT(SamplingData[[#This Row],[Upper Range]], REPT("0",LEN('General Info'!$B$40))))</f>
        <v>Zero</v>
      </c>
      <c r="T250" s="100">
        <f>SamplingData[[#This Row],[Upper Range]]-SamplingData[[#This Row],[Span]]</f>
        <v>17264.999808374934</v>
      </c>
      <c r="U250" s="100">
        <f>IF(ISNUMBER('General Info'!$B$40), ((SamplingData[[#This Row],[up/U Selection Probability]]) * 'General Info'!$B$40) - 1, 0)</f>
        <v>-1</v>
      </c>
      <c r="V250" s="100">
        <f>IF(ISNUMBER('General Info'!$B$40), (SamplingData[[#This Row],[Running (cumulative) sum]] * ('General Info'!$B$40 -'General Info'!$B$41 + 1)) + 'General Info'!$B$41 - 1, 0)</f>
        <v>17263.999808374934</v>
      </c>
      <c r="W250" s="100" t="str">
        <f>IF(ISERROR(MATCH(SamplingData[[#This Row],[Batch by Type (p)]],SelectedPrecincts[Batch Name], 0)), "", INDEX(SelectedPrecincts[Draw], MATCH(SamplingData[[#This Row],[Batch by Type (p)]],SelectedPrecincts[Batch Name], 0)))</f>
        <v/>
      </c>
      <c r="X250" s="102">
        <f>IF(COUNTIF(SelectedPrecincts[Batch Name],SamplingData[[#This Row],[Batch by Type (p)]]) &lt;&gt; 0, COUNTIF(SelectedPrecincts[Batch Name],SamplingData[[#This Row],[Batch by Type (p)]]), 0)</f>
        <v>0</v>
      </c>
    </row>
    <row r="251" spans="1:24" ht="15" customHeight="1">
      <c r="A251" s="18" t="s">
        <v>427</v>
      </c>
      <c r="B251" s="18">
        <v>0</v>
      </c>
      <c r="C251" s="18">
        <v>0</v>
      </c>
      <c r="D251" s="16">
        <v>0</v>
      </c>
      <c r="E251" s="16">
        <v>0</v>
      </c>
      <c r="F251" s="37">
        <v>0</v>
      </c>
      <c r="G251" s="37">
        <v>0</v>
      </c>
      <c r="H251" s="17">
        <v>0</v>
      </c>
      <c r="I251" s="17">
        <v>1</v>
      </c>
      <c r="J251" s="99">
        <f>SUM(SamplingData[[#This Row],[Losing Candidate]:[Under Votes]])</f>
        <v>1</v>
      </c>
      <c r="K251"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51" s="100">
        <f>IF(AND(SamplingData[[#This Row],[Total]]&lt;&gt; 0, NOT(ISBLANK(SamplingData[[#This Row],[Candidate 3]]))),(SamplingData[[#This Row],[Total]]+SamplingData[[#This Row],[Winning Candidate]]-SamplingData[[#This Row],[Candidate 3]])/(SamplingData[[#Totals],[Winning Candidate]]-SamplingData[[#Totals],[Candidate 3]]), 0)</f>
        <v>3.2261186566441917E-5</v>
      </c>
      <c r="M251" s="100">
        <f>IF(AND(SamplingData[[#This Row],[Total]]&lt;&gt; 0, NOT(ISBLANK(SamplingData[[#This Row],[Candidate 4]]))),(SamplingData[[#This Row],[Total]]+SamplingData[[#This Row],[Winning Candidate]]-SamplingData[[#This Row],[Candidate 4]])/(SamplingData[[#Totals],[Winning Candidate]]-SamplingData[[#Totals],[Candidate 4]]), 0)</f>
        <v>2.923207343096846E-5</v>
      </c>
      <c r="N251" s="100">
        <f>IF(AND(SamplingData[[#This Row],[Total]]&lt;&gt; 0, NOT(ISBLANK(SamplingData[[#This Row],[Candidate 5]]))),(SamplingData[[#This Row],[Total]]+SamplingData[[#This Row],[Winning Candidate]]-SamplingData[[#This Row],[Candidate 5]])/(SamplingData[[#Totals],[Winning Candidate]]-SamplingData[[#Totals],[Candidate 5]]), 0)</f>
        <v>2.4324981756263683E-5</v>
      </c>
      <c r="O251" s="100">
        <f>IF(AND(SamplingData[[#This Row],[Total]]&lt;&gt; 0, NOT(ISBLANK(SamplingData[[#This Row],[Candidate 6]]))),(SamplingData[[#This Row],[Total]]+SamplingData[[#This Row],[Winning Candidate]]-SamplingData[[#This Row],[Candidate 6]])/(SamplingData[[#Totals],[Winning Candidate]]-SamplingData[[#Totals],[Candidate 6]]), 0)</f>
        <v>2.431788337143135E-5</v>
      </c>
      <c r="P251" s="100">
        <f>MAX(SamplingData[[#This Row],[Error Bound (up) - Max. possible relative overstatement - Losing Candidate]:[Error Bound (up) - Max. possible relative overstatement - Candidate 6]])</f>
        <v>6.1244487996080352E-5</v>
      </c>
      <c r="Q251" s="100">
        <f>IF(SamplingData[[#This Row],[Max Error Bound (up)]] = 0,0,SamplingData[[#This Row],[Max Error Bound (up)]]/SamplingData[[#Totals],[Max Error Bound (up)]])</f>
        <v>9.6929482784458315E-6</v>
      </c>
      <c r="R251" s="101">
        <f>SUM($Q$5:Q251)</f>
        <v>0.17265969103202777</v>
      </c>
      <c r="S251" s="100" t="str">
        <f t="array" ref="S251">IF(SamplingData[[#This Row],[up/U Selection Probability]] = 0, "Zero", TEXT(SamplingData[[#This Row],[Lower Range]], REPT("0",LEN('General Info'!$B$40))) &amp; " - " &amp; TEXT(SamplingData[[#This Row],[Upper Range]], REPT("0",LEN('General Info'!$B$40))))</f>
        <v>17265 - 17265</v>
      </c>
      <c r="T251" s="100">
        <f>SamplingData[[#This Row],[Upper Range]]-SamplingData[[#This Row],[Span]]</f>
        <v>17264.999818067881</v>
      </c>
      <c r="U251" s="100">
        <f>IF(ISNUMBER('General Info'!$B$40), ((SamplingData[[#This Row],[up/U Selection Probability]]) * 'General Info'!$B$40) - 1, 0)</f>
        <v>-3.0714865103695255E-2</v>
      </c>
      <c r="V251" s="100">
        <f>IF(ISNUMBER('General Info'!$B$40), (SamplingData[[#This Row],[Running (cumulative) sum]] * ('General Info'!$B$40 -'General Info'!$B$41 + 1)) + 'General Info'!$B$41 - 1, 0)</f>
        <v>17264.969103202777</v>
      </c>
      <c r="W251" s="100" t="str">
        <f>IF(ISERROR(MATCH(SamplingData[[#This Row],[Batch by Type (p)]],SelectedPrecincts[Batch Name], 0)), "", INDEX(SelectedPrecincts[Draw], MATCH(SamplingData[[#This Row],[Batch by Type (p)]],SelectedPrecincts[Batch Name], 0)))</f>
        <v/>
      </c>
      <c r="X251" s="102">
        <f>IF(COUNTIF(SelectedPrecincts[Batch Name],SamplingData[[#This Row],[Batch by Type (p)]]) &lt;&gt; 0, COUNTIF(SelectedPrecincts[Batch Name],SamplingData[[#This Row],[Batch by Type (p)]]), 0)</f>
        <v>0</v>
      </c>
    </row>
    <row r="252" spans="1:24" ht="15" customHeight="1">
      <c r="A252" s="18" t="s">
        <v>428</v>
      </c>
      <c r="B252" s="18">
        <v>1</v>
      </c>
      <c r="C252" s="18">
        <v>1</v>
      </c>
      <c r="D252" s="18">
        <v>0</v>
      </c>
      <c r="E252" s="18">
        <v>0</v>
      </c>
      <c r="F252" s="18">
        <v>0</v>
      </c>
      <c r="G252" s="18">
        <v>0</v>
      </c>
      <c r="H252" s="18">
        <v>0</v>
      </c>
      <c r="I252" s="18">
        <v>0</v>
      </c>
      <c r="J252" s="99">
        <f>SUM(SamplingData[[#This Row],[Losing Candidate]:[Under Votes]])</f>
        <v>2</v>
      </c>
      <c r="K25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252" s="100">
        <f>IF(AND(SamplingData[[#This Row],[Total]]&lt;&gt; 0, NOT(ISBLANK(SamplingData[[#This Row],[Candidate 3]]))),(SamplingData[[#This Row],[Total]]+SamplingData[[#This Row],[Winning Candidate]]-SamplingData[[#This Row],[Candidate 3]])/(SamplingData[[#Totals],[Winning Candidate]]-SamplingData[[#Totals],[Candidate 3]]), 0)</f>
        <v>9.6783559699325743E-5</v>
      </c>
      <c r="M252" s="100">
        <f>IF(AND(SamplingData[[#This Row],[Total]]&lt;&gt; 0, NOT(ISBLANK(SamplingData[[#This Row],[Candidate 4]]))),(SamplingData[[#This Row],[Total]]+SamplingData[[#This Row],[Winning Candidate]]-SamplingData[[#This Row],[Candidate 4]])/(SamplingData[[#Totals],[Winning Candidate]]-SamplingData[[#Totals],[Candidate 4]]), 0)</f>
        <v>8.7696220292905373E-5</v>
      </c>
      <c r="N252" s="100">
        <f>IF(AND(SamplingData[[#This Row],[Total]]&lt;&gt; 0, NOT(ISBLANK(SamplingData[[#This Row],[Candidate 5]]))),(SamplingData[[#This Row],[Total]]+SamplingData[[#This Row],[Winning Candidate]]-SamplingData[[#This Row],[Candidate 5]])/(SamplingData[[#Totals],[Winning Candidate]]-SamplingData[[#Totals],[Candidate 5]]), 0)</f>
        <v>7.2974945268791054E-5</v>
      </c>
      <c r="O252" s="100">
        <f>IF(AND(SamplingData[[#This Row],[Total]]&lt;&gt; 0, NOT(ISBLANK(SamplingData[[#This Row],[Candidate 6]]))),(SamplingData[[#This Row],[Total]]+SamplingData[[#This Row],[Winning Candidate]]-SamplingData[[#This Row],[Candidate 6]])/(SamplingData[[#Totals],[Winning Candidate]]-SamplingData[[#Totals],[Candidate 6]]), 0)</f>
        <v>7.2953650114294054E-5</v>
      </c>
      <c r="P252" s="100">
        <f>MAX(SamplingData[[#This Row],[Error Bound (up) - Max. possible relative overstatement - Losing Candidate]:[Error Bound (up) - Max. possible relative overstatement - Candidate 6]])</f>
        <v>1.224889759921607E-4</v>
      </c>
      <c r="Q252" s="100">
        <f>IF(SamplingData[[#This Row],[Max Error Bound (up)]] = 0,0,SamplingData[[#This Row],[Max Error Bound (up)]]/SamplingData[[#Totals],[Max Error Bound (up)]])</f>
        <v>1.9385896556891663E-5</v>
      </c>
      <c r="R252" s="101">
        <f>SUM($Q$5:Q252)</f>
        <v>0.17267907692858467</v>
      </c>
      <c r="S252" s="100" t="str">
        <f t="array" ref="S252">IF(SamplingData[[#This Row],[up/U Selection Probability]] = 0, "Zero", TEXT(SamplingData[[#This Row],[Lower Range]], REPT("0",LEN('General Info'!$B$40))) &amp; " - " &amp; TEXT(SamplingData[[#This Row],[Upper Range]], REPT("0",LEN('General Info'!$B$40))))</f>
        <v>17266 - 17267</v>
      </c>
      <c r="T252" s="100">
        <f>SamplingData[[#This Row],[Upper Range]]-SamplingData[[#This Row],[Span]]</f>
        <v>17265.969122588675</v>
      </c>
      <c r="U252" s="100">
        <f>IF(ISNUMBER('General Info'!$B$40), ((SamplingData[[#This Row],[up/U Selection Probability]]) * 'General Info'!$B$40) - 1, 0)</f>
        <v>0.93857026979260949</v>
      </c>
      <c r="V252" s="100">
        <f>IF(ISNUMBER('General Info'!$B$40), (SamplingData[[#This Row],[Running (cumulative) sum]] * ('General Info'!$B$40 -'General Info'!$B$41 + 1)) + 'General Info'!$B$41 - 1, 0)</f>
        <v>17266.907692858465</v>
      </c>
      <c r="W252" s="100" t="str">
        <f>IF(ISERROR(MATCH(SamplingData[[#This Row],[Batch by Type (p)]],SelectedPrecincts[Batch Name], 0)), "", INDEX(SelectedPrecincts[Draw], MATCH(SamplingData[[#This Row],[Batch by Type (p)]],SelectedPrecincts[Batch Name], 0)))</f>
        <v/>
      </c>
      <c r="X252" s="102">
        <f>IF(COUNTIF(SelectedPrecincts[Batch Name],SamplingData[[#This Row],[Batch by Type (p)]]) &lt;&gt; 0, COUNTIF(SelectedPrecincts[Batch Name],SamplingData[[#This Row],[Batch by Type (p)]]), 0)</f>
        <v>0</v>
      </c>
    </row>
    <row r="253" spans="1:24" ht="15" customHeight="1">
      <c r="A253" s="18" t="s">
        <v>429</v>
      </c>
      <c r="B253" s="18">
        <v>1</v>
      </c>
      <c r="C253" s="18">
        <v>0</v>
      </c>
      <c r="D253" s="16">
        <v>0</v>
      </c>
      <c r="E253" s="16">
        <v>0</v>
      </c>
      <c r="F253" s="37">
        <v>0</v>
      </c>
      <c r="G253" s="37">
        <v>0</v>
      </c>
      <c r="H253" s="17">
        <v>0</v>
      </c>
      <c r="I253" s="17">
        <v>2</v>
      </c>
      <c r="J253" s="99">
        <f>SUM(SamplingData[[#This Row],[Losing Candidate]:[Under Votes]])</f>
        <v>3</v>
      </c>
      <c r="K253"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253" s="100">
        <f>IF(AND(SamplingData[[#This Row],[Total]]&lt;&gt; 0, NOT(ISBLANK(SamplingData[[#This Row],[Candidate 3]]))),(SamplingData[[#This Row],[Total]]+SamplingData[[#This Row],[Winning Candidate]]-SamplingData[[#This Row],[Candidate 3]])/(SamplingData[[#Totals],[Winning Candidate]]-SamplingData[[#Totals],[Candidate 3]]), 0)</f>
        <v>9.6783559699325743E-5</v>
      </c>
      <c r="M253" s="100">
        <f>IF(AND(SamplingData[[#This Row],[Total]]&lt;&gt; 0, NOT(ISBLANK(SamplingData[[#This Row],[Candidate 4]]))),(SamplingData[[#This Row],[Total]]+SamplingData[[#This Row],[Winning Candidate]]-SamplingData[[#This Row],[Candidate 4]])/(SamplingData[[#Totals],[Winning Candidate]]-SamplingData[[#Totals],[Candidate 4]]), 0)</f>
        <v>8.7696220292905373E-5</v>
      </c>
      <c r="N253" s="100">
        <f>IF(AND(SamplingData[[#This Row],[Total]]&lt;&gt; 0, NOT(ISBLANK(SamplingData[[#This Row],[Candidate 5]]))),(SamplingData[[#This Row],[Total]]+SamplingData[[#This Row],[Winning Candidate]]-SamplingData[[#This Row],[Candidate 5]])/(SamplingData[[#Totals],[Winning Candidate]]-SamplingData[[#Totals],[Candidate 5]]), 0)</f>
        <v>7.2974945268791054E-5</v>
      </c>
      <c r="O253" s="100">
        <f>IF(AND(SamplingData[[#This Row],[Total]]&lt;&gt; 0, NOT(ISBLANK(SamplingData[[#This Row],[Candidate 6]]))),(SamplingData[[#This Row],[Total]]+SamplingData[[#This Row],[Winning Candidate]]-SamplingData[[#This Row],[Candidate 6]])/(SamplingData[[#Totals],[Winning Candidate]]-SamplingData[[#Totals],[Candidate 6]]), 0)</f>
        <v>7.2953650114294054E-5</v>
      </c>
      <c r="P253" s="100">
        <f>MAX(SamplingData[[#This Row],[Error Bound (up) - Max. possible relative overstatement - Losing Candidate]:[Error Bound (up) - Max. possible relative overstatement - Candidate 6]])</f>
        <v>1.224889759921607E-4</v>
      </c>
      <c r="Q253" s="100">
        <f>IF(SamplingData[[#This Row],[Max Error Bound (up)]] = 0,0,SamplingData[[#This Row],[Max Error Bound (up)]]/SamplingData[[#Totals],[Max Error Bound (up)]])</f>
        <v>1.9385896556891663E-5</v>
      </c>
      <c r="R253" s="101">
        <f>SUM($Q$5:Q253)</f>
        <v>0.17269846282514156</v>
      </c>
      <c r="S253" s="100" t="str">
        <f t="array" ref="S253">IF(SamplingData[[#This Row],[up/U Selection Probability]] = 0, "Zero", TEXT(SamplingData[[#This Row],[Lower Range]], REPT("0",LEN('General Info'!$B$40))) &amp; " - " &amp; TEXT(SamplingData[[#This Row],[Upper Range]], REPT("0",LEN('General Info'!$B$40))))</f>
        <v>17268 - 17269</v>
      </c>
      <c r="T253" s="100">
        <f>SamplingData[[#This Row],[Upper Range]]-SamplingData[[#This Row],[Span]]</f>
        <v>17267.907712244367</v>
      </c>
      <c r="U253" s="100">
        <f>IF(ISNUMBER('General Info'!$B$40), ((SamplingData[[#This Row],[up/U Selection Probability]]) * 'General Info'!$B$40) - 1, 0)</f>
        <v>0.93857026979260949</v>
      </c>
      <c r="V253" s="100">
        <f>IF(ISNUMBER('General Info'!$B$40), (SamplingData[[#This Row],[Running (cumulative) sum]] * ('General Info'!$B$40 -'General Info'!$B$41 + 1)) + 'General Info'!$B$41 - 1, 0)</f>
        <v>17268.846282514158</v>
      </c>
      <c r="W253" s="100" t="str">
        <f>IF(ISERROR(MATCH(SamplingData[[#This Row],[Batch by Type (p)]],SelectedPrecincts[Batch Name], 0)), "", INDEX(SelectedPrecincts[Draw], MATCH(SamplingData[[#This Row],[Batch by Type (p)]],SelectedPrecincts[Batch Name], 0)))</f>
        <v/>
      </c>
      <c r="X253" s="102">
        <f>IF(COUNTIF(SelectedPrecincts[Batch Name],SamplingData[[#This Row],[Batch by Type (p)]]) &lt;&gt; 0, COUNTIF(SelectedPrecincts[Batch Name],SamplingData[[#This Row],[Batch by Type (p)]]), 0)</f>
        <v>0</v>
      </c>
    </row>
    <row r="254" spans="1:24" ht="15" customHeight="1">
      <c r="A254" s="18" t="s">
        <v>430</v>
      </c>
      <c r="B254" s="18">
        <v>0</v>
      </c>
      <c r="C254" s="18">
        <v>0</v>
      </c>
      <c r="D254" s="18">
        <v>0</v>
      </c>
      <c r="E254" s="18">
        <v>0</v>
      </c>
      <c r="F254" s="18">
        <v>0</v>
      </c>
      <c r="G254" s="18">
        <v>0</v>
      </c>
      <c r="H254" s="18">
        <v>0</v>
      </c>
      <c r="I254" s="18">
        <v>0</v>
      </c>
      <c r="J254" s="99">
        <f>SUM(SamplingData[[#This Row],[Losing Candidate]:[Under Votes]])</f>
        <v>0</v>
      </c>
      <c r="K254" s="100">
        <f>IF(AND(SamplingData[[#This Row],[Total]]&lt;&gt; 0, NOT(ISBLANK(SamplingData[[#This Row],[Losing Candidate]]))),(SamplingData[[#This Row],[Total]]+SamplingData[[#This Row],[Winning Candidate]]-SamplingData[[#This Row],[Losing Candidate]])/(SamplingData[[#Totals],[Winning Candidate]]-SamplingData[[#Totals],[Losing Candidate]]), 0)</f>
        <v>0</v>
      </c>
      <c r="L254" s="100">
        <f>IF(AND(SamplingData[[#This Row],[Total]]&lt;&gt; 0, NOT(ISBLANK(SamplingData[[#This Row],[Candidate 3]]))),(SamplingData[[#This Row],[Total]]+SamplingData[[#This Row],[Winning Candidate]]-SamplingData[[#This Row],[Candidate 3]])/(SamplingData[[#Totals],[Winning Candidate]]-SamplingData[[#Totals],[Candidate 3]]), 0)</f>
        <v>0</v>
      </c>
      <c r="M254" s="100">
        <f>IF(AND(SamplingData[[#This Row],[Total]]&lt;&gt; 0, NOT(ISBLANK(SamplingData[[#This Row],[Candidate 4]]))),(SamplingData[[#This Row],[Total]]+SamplingData[[#This Row],[Winning Candidate]]-SamplingData[[#This Row],[Candidate 4]])/(SamplingData[[#Totals],[Winning Candidate]]-SamplingData[[#Totals],[Candidate 4]]), 0)</f>
        <v>0</v>
      </c>
      <c r="N254" s="100">
        <f>IF(AND(SamplingData[[#This Row],[Total]]&lt;&gt; 0, NOT(ISBLANK(SamplingData[[#This Row],[Candidate 5]]))),(SamplingData[[#This Row],[Total]]+SamplingData[[#This Row],[Winning Candidate]]-SamplingData[[#This Row],[Candidate 5]])/(SamplingData[[#Totals],[Winning Candidate]]-SamplingData[[#Totals],[Candidate 5]]), 0)</f>
        <v>0</v>
      </c>
      <c r="O254" s="100">
        <f>IF(AND(SamplingData[[#This Row],[Total]]&lt;&gt; 0, NOT(ISBLANK(SamplingData[[#This Row],[Candidate 6]]))),(SamplingData[[#This Row],[Total]]+SamplingData[[#This Row],[Winning Candidate]]-SamplingData[[#This Row],[Candidate 6]])/(SamplingData[[#Totals],[Winning Candidate]]-SamplingData[[#Totals],[Candidate 6]]), 0)</f>
        <v>0</v>
      </c>
      <c r="P254" s="100">
        <f>MAX(SamplingData[[#This Row],[Error Bound (up) - Max. possible relative overstatement - Losing Candidate]:[Error Bound (up) - Max. possible relative overstatement - Candidate 6]])</f>
        <v>0</v>
      </c>
      <c r="Q254" s="100">
        <f>IF(SamplingData[[#This Row],[Max Error Bound (up)]] = 0,0,SamplingData[[#This Row],[Max Error Bound (up)]]/SamplingData[[#Totals],[Max Error Bound (up)]])</f>
        <v>0</v>
      </c>
      <c r="R254" s="101">
        <f>SUM($Q$5:Q254)</f>
        <v>0.17269846282514156</v>
      </c>
      <c r="S254" s="100" t="str">
        <f t="array" ref="S254">IF(SamplingData[[#This Row],[up/U Selection Probability]] = 0, "Zero", TEXT(SamplingData[[#This Row],[Lower Range]], REPT("0",LEN('General Info'!$B$40))) &amp; " - " &amp; TEXT(SamplingData[[#This Row],[Upper Range]], REPT("0",LEN('General Info'!$B$40))))</f>
        <v>Zero</v>
      </c>
      <c r="T254" s="100">
        <f>SamplingData[[#This Row],[Upper Range]]-SamplingData[[#This Row],[Span]]</f>
        <v>17269.846282514158</v>
      </c>
      <c r="U254" s="100">
        <f>IF(ISNUMBER('General Info'!$B$40), ((SamplingData[[#This Row],[up/U Selection Probability]]) * 'General Info'!$B$40) - 1, 0)</f>
        <v>-1</v>
      </c>
      <c r="V254" s="100">
        <f>IF(ISNUMBER('General Info'!$B$40), (SamplingData[[#This Row],[Running (cumulative) sum]] * ('General Info'!$B$40 -'General Info'!$B$41 + 1)) + 'General Info'!$B$41 - 1, 0)</f>
        <v>17268.846282514158</v>
      </c>
      <c r="W254" s="100" t="str">
        <f>IF(ISERROR(MATCH(SamplingData[[#This Row],[Batch by Type (p)]],SelectedPrecincts[Batch Name], 0)), "", INDEX(SelectedPrecincts[Draw], MATCH(SamplingData[[#This Row],[Batch by Type (p)]],SelectedPrecincts[Batch Name], 0)))</f>
        <v/>
      </c>
      <c r="X254" s="102">
        <f>IF(COUNTIF(SelectedPrecincts[Batch Name],SamplingData[[#This Row],[Batch by Type (p)]]) &lt;&gt; 0, COUNTIF(SelectedPrecincts[Batch Name],SamplingData[[#This Row],[Batch by Type (p)]]), 0)</f>
        <v>0</v>
      </c>
    </row>
    <row r="255" spans="1:24" ht="15" customHeight="1">
      <c r="A255" s="18" t="s">
        <v>431</v>
      </c>
      <c r="B255" s="18">
        <v>0</v>
      </c>
      <c r="C255" s="18">
        <v>0</v>
      </c>
      <c r="D255" s="16">
        <v>1</v>
      </c>
      <c r="E255" s="16">
        <v>0</v>
      </c>
      <c r="F255" s="37">
        <v>0</v>
      </c>
      <c r="G255" s="37">
        <v>0</v>
      </c>
      <c r="H255" s="17">
        <v>0</v>
      </c>
      <c r="I255" s="17">
        <v>1</v>
      </c>
      <c r="J255" s="99">
        <f>SUM(SamplingData[[#This Row],[Losing Candidate]:[Under Votes]])</f>
        <v>2</v>
      </c>
      <c r="K255"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255" s="100">
        <f>IF(AND(SamplingData[[#This Row],[Total]]&lt;&gt; 0, NOT(ISBLANK(SamplingData[[#This Row],[Candidate 3]]))),(SamplingData[[#This Row],[Total]]+SamplingData[[#This Row],[Winning Candidate]]-SamplingData[[#This Row],[Candidate 3]])/(SamplingData[[#Totals],[Winning Candidate]]-SamplingData[[#Totals],[Candidate 3]]), 0)</f>
        <v>3.2261186566441917E-5</v>
      </c>
      <c r="M255" s="100">
        <f>IF(AND(SamplingData[[#This Row],[Total]]&lt;&gt; 0, NOT(ISBLANK(SamplingData[[#This Row],[Candidate 4]]))),(SamplingData[[#This Row],[Total]]+SamplingData[[#This Row],[Winning Candidate]]-SamplingData[[#This Row],[Candidate 4]])/(SamplingData[[#Totals],[Winning Candidate]]-SamplingData[[#Totals],[Candidate 4]]), 0)</f>
        <v>5.846414686193692E-5</v>
      </c>
      <c r="N255" s="100">
        <f>IF(AND(SamplingData[[#This Row],[Total]]&lt;&gt; 0, NOT(ISBLANK(SamplingData[[#This Row],[Candidate 5]]))),(SamplingData[[#This Row],[Total]]+SamplingData[[#This Row],[Winning Candidate]]-SamplingData[[#This Row],[Candidate 5]])/(SamplingData[[#Totals],[Winning Candidate]]-SamplingData[[#Totals],[Candidate 5]]), 0)</f>
        <v>4.8649963512527367E-5</v>
      </c>
      <c r="O255" s="100">
        <f>IF(AND(SamplingData[[#This Row],[Total]]&lt;&gt; 0, NOT(ISBLANK(SamplingData[[#This Row],[Candidate 6]]))),(SamplingData[[#This Row],[Total]]+SamplingData[[#This Row],[Winning Candidate]]-SamplingData[[#This Row],[Candidate 6]])/(SamplingData[[#Totals],[Winning Candidate]]-SamplingData[[#Totals],[Candidate 6]]), 0)</f>
        <v>4.8635766742862701E-5</v>
      </c>
      <c r="P255" s="100">
        <f>MAX(SamplingData[[#This Row],[Error Bound (up) - Max. possible relative overstatement - Losing Candidate]:[Error Bound (up) - Max. possible relative overstatement - Candidate 6]])</f>
        <v>1.224889759921607E-4</v>
      </c>
      <c r="Q255" s="100">
        <f>IF(SamplingData[[#This Row],[Max Error Bound (up)]] = 0,0,SamplingData[[#This Row],[Max Error Bound (up)]]/SamplingData[[#Totals],[Max Error Bound (up)]])</f>
        <v>1.9385896556891663E-5</v>
      </c>
      <c r="R255" s="101">
        <f>SUM($Q$5:Q255)</f>
        <v>0.17271784872169846</v>
      </c>
      <c r="S255" s="100" t="str">
        <f t="array" ref="S255">IF(SamplingData[[#This Row],[up/U Selection Probability]] = 0, "Zero", TEXT(SamplingData[[#This Row],[Lower Range]], REPT("0",LEN('General Info'!$B$40))) &amp; " - " &amp; TEXT(SamplingData[[#This Row],[Upper Range]], REPT("0",LEN('General Info'!$B$40))))</f>
        <v>17270 - 17271</v>
      </c>
      <c r="T255" s="100">
        <f>SamplingData[[#This Row],[Upper Range]]-SamplingData[[#This Row],[Span]]</f>
        <v>17269.846301900056</v>
      </c>
      <c r="U255" s="100">
        <f>IF(ISNUMBER('General Info'!$B$40), ((SamplingData[[#This Row],[up/U Selection Probability]]) * 'General Info'!$B$40) - 1, 0)</f>
        <v>0.93857026979260949</v>
      </c>
      <c r="V255" s="100">
        <f>IF(ISNUMBER('General Info'!$B$40), (SamplingData[[#This Row],[Running (cumulative) sum]] * ('General Info'!$B$40 -'General Info'!$B$41 + 1)) + 'General Info'!$B$41 - 1, 0)</f>
        <v>17270.784872169846</v>
      </c>
      <c r="W255" s="100" t="str">
        <f>IF(ISERROR(MATCH(SamplingData[[#This Row],[Batch by Type (p)]],SelectedPrecincts[Batch Name], 0)), "", INDEX(SelectedPrecincts[Draw], MATCH(SamplingData[[#This Row],[Batch by Type (p)]],SelectedPrecincts[Batch Name], 0)))</f>
        <v/>
      </c>
      <c r="X255" s="102">
        <f>IF(COUNTIF(SelectedPrecincts[Batch Name],SamplingData[[#This Row],[Batch by Type (p)]]) &lt;&gt; 0, COUNTIF(SelectedPrecincts[Batch Name],SamplingData[[#This Row],[Batch by Type (p)]]), 0)</f>
        <v>0</v>
      </c>
    </row>
    <row r="256" spans="1:24" ht="15" customHeight="1">
      <c r="A256" s="18" t="s">
        <v>432</v>
      </c>
      <c r="B256" s="18">
        <v>0</v>
      </c>
      <c r="C256" s="18">
        <v>0</v>
      </c>
      <c r="D256" s="18">
        <v>0</v>
      </c>
      <c r="E256" s="18">
        <v>0</v>
      </c>
      <c r="F256" s="18">
        <v>0</v>
      </c>
      <c r="G256" s="18">
        <v>0</v>
      </c>
      <c r="H256" s="18">
        <v>0</v>
      </c>
      <c r="I256" s="18">
        <v>0</v>
      </c>
      <c r="J256" s="99">
        <f>SUM(SamplingData[[#This Row],[Losing Candidate]:[Under Votes]])</f>
        <v>0</v>
      </c>
      <c r="K256" s="100">
        <f>IF(AND(SamplingData[[#This Row],[Total]]&lt;&gt; 0, NOT(ISBLANK(SamplingData[[#This Row],[Losing Candidate]]))),(SamplingData[[#This Row],[Total]]+SamplingData[[#This Row],[Winning Candidate]]-SamplingData[[#This Row],[Losing Candidate]])/(SamplingData[[#Totals],[Winning Candidate]]-SamplingData[[#Totals],[Losing Candidate]]), 0)</f>
        <v>0</v>
      </c>
      <c r="L256" s="100">
        <f>IF(AND(SamplingData[[#This Row],[Total]]&lt;&gt; 0, NOT(ISBLANK(SamplingData[[#This Row],[Candidate 3]]))),(SamplingData[[#This Row],[Total]]+SamplingData[[#This Row],[Winning Candidate]]-SamplingData[[#This Row],[Candidate 3]])/(SamplingData[[#Totals],[Winning Candidate]]-SamplingData[[#Totals],[Candidate 3]]), 0)</f>
        <v>0</v>
      </c>
      <c r="M256" s="100">
        <f>IF(AND(SamplingData[[#This Row],[Total]]&lt;&gt; 0, NOT(ISBLANK(SamplingData[[#This Row],[Candidate 4]]))),(SamplingData[[#This Row],[Total]]+SamplingData[[#This Row],[Winning Candidate]]-SamplingData[[#This Row],[Candidate 4]])/(SamplingData[[#Totals],[Winning Candidate]]-SamplingData[[#Totals],[Candidate 4]]), 0)</f>
        <v>0</v>
      </c>
      <c r="N256" s="100">
        <f>IF(AND(SamplingData[[#This Row],[Total]]&lt;&gt; 0, NOT(ISBLANK(SamplingData[[#This Row],[Candidate 5]]))),(SamplingData[[#This Row],[Total]]+SamplingData[[#This Row],[Winning Candidate]]-SamplingData[[#This Row],[Candidate 5]])/(SamplingData[[#Totals],[Winning Candidate]]-SamplingData[[#Totals],[Candidate 5]]), 0)</f>
        <v>0</v>
      </c>
      <c r="O256" s="100">
        <f>IF(AND(SamplingData[[#This Row],[Total]]&lt;&gt; 0, NOT(ISBLANK(SamplingData[[#This Row],[Candidate 6]]))),(SamplingData[[#This Row],[Total]]+SamplingData[[#This Row],[Winning Candidate]]-SamplingData[[#This Row],[Candidate 6]])/(SamplingData[[#Totals],[Winning Candidate]]-SamplingData[[#Totals],[Candidate 6]]), 0)</f>
        <v>0</v>
      </c>
      <c r="P256" s="100">
        <f>MAX(SamplingData[[#This Row],[Error Bound (up) - Max. possible relative overstatement - Losing Candidate]:[Error Bound (up) - Max. possible relative overstatement - Candidate 6]])</f>
        <v>0</v>
      </c>
      <c r="Q256" s="100">
        <f>IF(SamplingData[[#This Row],[Max Error Bound (up)]] = 0,0,SamplingData[[#This Row],[Max Error Bound (up)]]/SamplingData[[#Totals],[Max Error Bound (up)]])</f>
        <v>0</v>
      </c>
      <c r="R256" s="101">
        <f>SUM($Q$5:Q256)</f>
        <v>0.17271784872169846</v>
      </c>
      <c r="S256" s="100" t="str">
        <f t="array" ref="S256">IF(SamplingData[[#This Row],[up/U Selection Probability]] = 0, "Zero", TEXT(SamplingData[[#This Row],[Lower Range]], REPT("0",LEN('General Info'!$B$40))) &amp; " - " &amp; TEXT(SamplingData[[#This Row],[Upper Range]], REPT("0",LEN('General Info'!$B$40))))</f>
        <v>Zero</v>
      </c>
      <c r="T256" s="100">
        <f>SamplingData[[#This Row],[Upper Range]]-SamplingData[[#This Row],[Span]]</f>
        <v>17271.784872169846</v>
      </c>
      <c r="U256" s="100">
        <f>IF(ISNUMBER('General Info'!$B$40), ((SamplingData[[#This Row],[up/U Selection Probability]]) * 'General Info'!$B$40) - 1, 0)</f>
        <v>-1</v>
      </c>
      <c r="V256" s="100">
        <f>IF(ISNUMBER('General Info'!$B$40), (SamplingData[[#This Row],[Running (cumulative) sum]] * ('General Info'!$B$40 -'General Info'!$B$41 + 1)) + 'General Info'!$B$41 - 1, 0)</f>
        <v>17270.784872169846</v>
      </c>
      <c r="W256" s="100" t="str">
        <f>IF(ISERROR(MATCH(SamplingData[[#This Row],[Batch by Type (p)]],SelectedPrecincts[Batch Name], 0)), "", INDEX(SelectedPrecincts[Draw], MATCH(SamplingData[[#This Row],[Batch by Type (p)]],SelectedPrecincts[Batch Name], 0)))</f>
        <v/>
      </c>
      <c r="X256" s="102">
        <f>IF(COUNTIF(SelectedPrecincts[Batch Name],SamplingData[[#This Row],[Batch by Type (p)]]) &lt;&gt; 0, COUNTIF(SelectedPrecincts[Batch Name],SamplingData[[#This Row],[Batch by Type (p)]]), 0)</f>
        <v>0</v>
      </c>
    </row>
    <row r="257" spans="1:24" ht="15" customHeight="1">
      <c r="A257" s="18" t="s">
        <v>433</v>
      </c>
      <c r="B257" s="18">
        <v>0</v>
      </c>
      <c r="C257" s="18">
        <v>1</v>
      </c>
      <c r="D257" s="16">
        <v>1</v>
      </c>
      <c r="E257" s="16">
        <v>0</v>
      </c>
      <c r="F257" s="37">
        <v>0</v>
      </c>
      <c r="G257" s="37">
        <v>0</v>
      </c>
      <c r="H257" s="17">
        <v>0</v>
      </c>
      <c r="I257" s="17">
        <v>0</v>
      </c>
      <c r="J257" s="99">
        <f>SUM(SamplingData[[#This Row],[Losing Candidate]:[Under Votes]])</f>
        <v>2</v>
      </c>
      <c r="K257"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257" s="100">
        <f>IF(AND(SamplingData[[#This Row],[Total]]&lt;&gt; 0, NOT(ISBLANK(SamplingData[[#This Row],[Candidate 3]]))),(SamplingData[[#This Row],[Total]]+SamplingData[[#This Row],[Winning Candidate]]-SamplingData[[#This Row],[Candidate 3]])/(SamplingData[[#Totals],[Winning Candidate]]-SamplingData[[#Totals],[Candidate 3]]), 0)</f>
        <v>6.4522373132883833E-5</v>
      </c>
      <c r="M257" s="100">
        <f>IF(AND(SamplingData[[#This Row],[Total]]&lt;&gt; 0, NOT(ISBLANK(SamplingData[[#This Row],[Candidate 4]]))),(SamplingData[[#This Row],[Total]]+SamplingData[[#This Row],[Winning Candidate]]-SamplingData[[#This Row],[Candidate 4]])/(SamplingData[[#Totals],[Winning Candidate]]-SamplingData[[#Totals],[Candidate 4]]), 0)</f>
        <v>8.7696220292905373E-5</v>
      </c>
      <c r="N257" s="100">
        <f>IF(AND(SamplingData[[#This Row],[Total]]&lt;&gt; 0, NOT(ISBLANK(SamplingData[[#This Row],[Candidate 5]]))),(SamplingData[[#This Row],[Total]]+SamplingData[[#This Row],[Winning Candidate]]-SamplingData[[#This Row],[Candidate 5]])/(SamplingData[[#Totals],[Winning Candidate]]-SamplingData[[#Totals],[Candidate 5]]), 0)</f>
        <v>7.2974945268791054E-5</v>
      </c>
      <c r="O257" s="100">
        <f>IF(AND(SamplingData[[#This Row],[Total]]&lt;&gt; 0, NOT(ISBLANK(SamplingData[[#This Row],[Candidate 6]]))),(SamplingData[[#This Row],[Total]]+SamplingData[[#This Row],[Winning Candidate]]-SamplingData[[#This Row],[Candidate 6]])/(SamplingData[[#Totals],[Winning Candidate]]-SamplingData[[#Totals],[Candidate 6]]), 0)</f>
        <v>7.2953650114294054E-5</v>
      </c>
      <c r="P257" s="100">
        <f>MAX(SamplingData[[#This Row],[Error Bound (up) - Max. possible relative overstatement - Losing Candidate]:[Error Bound (up) - Max. possible relative overstatement - Candidate 6]])</f>
        <v>1.8373346398824106E-4</v>
      </c>
      <c r="Q257" s="100">
        <f>IF(SamplingData[[#This Row],[Max Error Bound (up)]] = 0,0,SamplingData[[#This Row],[Max Error Bound (up)]]/SamplingData[[#Totals],[Max Error Bound (up)]])</f>
        <v>2.9078844835337493E-5</v>
      </c>
      <c r="R257" s="101">
        <f>SUM($Q$5:Q257)</f>
        <v>0.17274692756653379</v>
      </c>
      <c r="S257" s="100" t="str">
        <f t="array" ref="S257">IF(SamplingData[[#This Row],[up/U Selection Probability]] = 0, "Zero", TEXT(SamplingData[[#This Row],[Lower Range]], REPT("0",LEN('General Info'!$B$40))) &amp; " - " &amp; TEXT(SamplingData[[#This Row],[Upper Range]], REPT("0",LEN('General Info'!$B$40))))</f>
        <v>17272 - 17274</v>
      </c>
      <c r="T257" s="100">
        <f>SamplingData[[#This Row],[Upper Range]]-SamplingData[[#This Row],[Span]]</f>
        <v>17271.784901248688</v>
      </c>
      <c r="U257" s="100">
        <f>IF(ISNUMBER('General Info'!$B$40), ((SamplingData[[#This Row],[up/U Selection Probability]]) * 'General Info'!$B$40) - 1, 0)</f>
        <v>1.907855404688914</v>
      </c>
      <c r="V257" s="100">
        <f>IF(ISNUMBER('General Info'!$B$40), (SamplingData[[#This Row],[Running (cumulative) sum]] * ('General Info'!$B$40 -'General Info'!$B$41 + 1)) + 'General Info'!$B$41 - 1, 0)</f>
        <v>17273.692756653378</v>
      </c>
      <c r="W257" s="100" t="str">
        <f>IF(ISERROR(MATCH(SamplingData[[#This Row],[Batch by Type (p)]],SelectedPrecincts[Batch Name], 0)), "", INDEX(SelectedPrecincts[Draw], MATCH(SamplingData[[#This Row],[Batch by Type (p)]],SelectedPrecincts[Batch Name], 0)))</f>
        <v/>
      </c>
      <c r="X257" s="102">
        <f>IF(COUNTIF(SelectedPrecincts[Batch Name],SamplingData[[#This Row],[Batch by Type (p)]]) &lt;&gt; 0, COUNTIF(SelectedPrecincts[Batch Name],SamplingData[[#This Row],[Batch by Type (p)]]), 0)</f>
        <v>0</v>
      </c>
    </row>
    <row r="258" spans="1:24" ht="15" customHeight="1">
      <c r="A258" s="18" t="s">
        <v>434</v>
      </c>
      <c r="B258" s="18">
        <v>0</v>
      </c>
      <c r="C258" s="18">
        <v>0</v>
      </c>
      <c r="D258" s="18">
        <v>0</v>
      </c>
      <c r="E258" s="18">
        <v>0</v>
      </c>
      <c r="F258" s="18">
        <v>1</v>
      </c>
      <c r="G258" s="18">
        <v>0</v>
      </c>
      <c r="H258" s="18">
        <v>0</v>
      </c>
      <c r="I258" s="18">
        <v>0</v>
      </c>
      <c r="J258" s="99">
        <f>SUM(SamplingData[[#This Row],[Losing Candidate]:[Under Votes]])</f>
        <v>1</v>
      </c>
      <c r="K25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58" s="100">
        <f>IF(AND(SamplingData[[#This Row],[Total]]&lt;&gt; 0, NOT(ISBLANK(SamplingData[[#This Row],[Candidate 3]]))),(SamplingData[[#This Row],[Total]]+SamplingData[[#This Row],[Winning Candidate]]-SamplingData[[#This Row],[Candidate 3]])/(SamplingData[[#Totals],[Winning Candidate]]-SamplingData[[#Totals],[Candidate 3]]), 0)</f>
        <v>3.2261186566441917E-5</v>
      </c>
      <c r="M258" s="100">
        <f>IF(AND(SamplingData[[#This Row],[Total]]&lt;&gt; 0, NOT(ISBLANK(SamplingData[[#This Row],[Candidate 4]]))),(SamplingData[[#This Row],[Total]]+SamplingData[[#This Row],[Winning Candidate]]-SamplingData[[#This Row],[Candidate 4]])/(SamplingData[[#Totals],[Winning Candidate]]-SamplingData[[#Totals],[Candidate 4]]), 0)</f>
        <v>2.923207343096846E-5</v>
      </c>
      <c r="N258" s="100">
        <f>IF(AND(SamplingData[[#This Row],[Total]]&lt;&gt; 0, NOT(ISBLANK(SamplingData[[#This Row],[Candidate 5]]))),(SamplingData[[#This Row],[Total]]+SamplingData[[#This Row],[Winning Candidate]]-SamplingData[[#This Row],[Candidate 5]])/(SamplingData[[#Totals],[Winning Candidate]]-SamplingData[[#Totals],[Candidate 5]]), 0)</f>
        <v>0</v>
      </c>
      <c r="O258" s="100">
        <f>IF(AND(SamplingData[[#This Row],[Total]]&lt;&gt; 0, NOT(ISBLANK(SamplingData[[#This Row],[Candidate 6]]))),(SamplingData[[#This Row],[Total]]+SamplingData[[#This Row],[Winning Candidate]]-SamplingData[[#This Row],[Candidate 6]])/(SamplingData[[#Totals],[Winning Candidate]]-SamplingData[[#Totals],[Candidate 6]]), 0)</f>
        <v>2.431788337143135E-5</v>
      </c>
      <c r="P258" s="100">
        <f>MAX(SamplingData[[#This Row],[Error Bound (up) - Max. possible relative overstatement - Losing Candidate]:[Error Bound (up) - Max. possible relative overstatement - Candidate 6]])</f>
        <v>6.1244487996080352E-5</v>
      </c>
      <c r="Q258" s="100">
        <f>IF(SamplingData[[#This Row],[Max Error Bound (up)]] = 0,0,SamplingData[[#This Row],[Max Error Bound (up)]]/SamplingData[[#Totals],[Max Error Bound (up)]])</f>
        <v>9.6929482784458315E-6</v>
      </c>
      <c r="R258" s="101">
        <f>SUM($Q$5:Q258)</f>
        <v>0.17275662051481222</v>
      </c>
      <c r="S258" s="100" t="str">
        <f t="array" ref="S258">IF(SamplingData[[#This Row],[up/U Selection Probability]] = 0, "Zero", TEXT(SamplingData[[#This Row],[Lower Range]], REPT("0",LEN('General Info'!$B$40))) &amp; " - " &amp; TEXT(SamplingData[[#This Row],[Upper Range]], REPT("0",LEN('General Info'!$B$40))))</f>
        <v>17275 - 17275</v>
      </c>
      <c r="T258" s="100">
        <f>SamplingData[[#This Row],[Upper Range]]-SamplingData[[#This Row],[Span]]</f>
        <v>17274.692766346325</v>
      </c>
      <c r="U258" s="100">
        <f>IF(ISNUMBER('General Info'!$B$40), ((SamplingData[[#This Row],[up/U Selection Probability]]) * 'General Info'!$B$40) - 1, 0)</f>
        <v>-3.0714865103695255E-2</v>
      </c>
      <c r="V258" s="100">
        <f>IF(ISNUMBER('General Info'!$B$40), (SamplingData[[#This Row],[Running (cumulative) sum]] * ('General Info'!$B$40 -'General Info'!$B$41 + 1)) + 'General Info'!$B$41 - 1, 0)</f>
        <v>17274.66205148122</v>
      </c>
      <c r="W258" s="100" t="str">
        <f>IF(ISERROR(MATCH(SamplingData[[#This Row],[Batch by Type (p)]],SelectedPrecincts[Batch Name], 0)), "", INDEX(SelectedPrecincts[Draw], MATCH(SamplingData[[#This Row],[Batch by Type (p)]],SelectedPrecincts[Batch Name], 0)))</f>
        <v/>
      </c>
      <c r="X258" s="102">
        <f>IF(COUNTIF(SelectedPrecincts[Batch Name],SamplingData[[#This Row],[Batch by Type (p)]]) &lt;&gt; 0, COUNTIF(SelectedPrecincts[Batch Name],SamplingData[[#This Row],[Batch by Type (p)]]), 0)</f>
        <v>0</v>
      </c>
    </row>
    <row r="259" spans="1:24" ht="15" customHeight="1">
      <c r="A259" s="18" t="s">
        <v>435</v>
      </c>
      <c r="B259" s="18">
        <v>0</v>
      </c>
      <c r="C259" s="18">
        <v>0</v>
      </c>
      <c r="D259" s="16">
        <v>0</v>
      </c>
      <c r="E259" s="16">
        <v>0</v>
      </c>
      <c r="F259" s="37">
        <v>0</v>
      </c>
      <c r="G259" s="37">
        <v>0</v>
      </c>
      <c r="H259" s="17">
        <v>0</v>
      </c>
      <c r="I259" s="17">
        <v>0</v>
      </c>
      <c r="J259" s="99">
        <f>SUM(SamplingData[[#This Row],[Losing Candidate]:[Under Votes]])</f>
        <v>0</v>
      </c>
      <c r="K259" s="100">
        <f>IF(AND(SamplingData[[#This Row],[Total]]&lt;&gt; 0, NOT(ISBLANK(SamplingData[[#This Row],[Losing Candidate]]))),(SamplingData[[#This Row],[Total]]+SamplingData[[#This Row],[Winning Candidate]]-SamplingData[[#This Row],[Losing Candidate]])/(SamplingData[[#Totals],[Winning Candidate]]-SamplingData[[#Totals],[Losing Candidate]]), 0)</f>
        <v>0</v>
      </c>
      <c r="L259" s="100">
        <f>IF(AND(SamplingData[[#This Row],[Total]]&lt;&gt; 0, NOT(ISBLANK(SamplingData[[#This Row],[Candidate 3]]))),(SamplingData[[#This Row],[Total]]+SamplingData[[#This Row],[Winning Candidate]]-SamplingData[[#This Row],[Candidate 3]])/(SamplingData[[#Totals],[Winning Candidate]]-SamplingData[[#Totals],[Candidate 3]]), 0)</f>
        <v>0</v>
      </c>
      <c r="M259" s="100">
        <f>IF(AND(SamplingData[[#This Row],[Total]]&lt;&gt; 0, NOT(ISBLANK(SamplingData[[#This Row],[Candidate 4]]))),(SamplingData[[#This Row],[Total]]+SamplingData[[#This Row],[Winning Candidate]]-SamplingData[[#This Row],[Candidate 4]])/(SamplingData[[#Totals],[Winning Candidate]]-SamplingData[[#Totals],[Candidate 4]]), 0)</f>
        <v>0</v>
      </c>
      <c r="N259" s="100">
        <f>IF(AND(SamplingData[[#This Row],[Total]]&lt;&gt; 0, NOT(ISBLANK(SamplingData[[#This Row],[Candidate 5]]))),(SamplingData[[#This Row],[Total]]+SamplingData[[#This Row],[Winning Candidate]]-SamplingData[[#This Row],[Candidate 5]])/(SamplingData[[#Totals],[Winning Candidate]]-SamplingData[[#Totals],[Candidate 5]]), 0)</f>
        <v>0</v>
      </c>
      <c r="O259" s="100">
        <f>IF(AND(SamplingData[[#This Row],[Total]]&lt;&gt; 0, NOT(ISBLANK(SamplingData[[#This Row],[Candidate 6]]))),(SamplingData[[#This Row],[Total]]+SamplingData[[#This Row],[Winning Candidate]]-SamplingData[[#This Row],[Candidate 6]])/(SamplingData[[#Totals],[Winning Candidate]]-SamplingData[[#Totals],[Candidate 6]]), 0)</f>
        <v>0</v>
      </c>
      <c r="P259" s="100">
        <f>MAX(SamplingData[[#This Row],[Error Bound (up) - Max. possible relative overstatement - Losing Candidate]:[Error Bound (up) - Max. possible relative overstatement - Candidate 6]])</f>
        <v>0</v>
      </c>
      <c r="Q259" s="100">
        <f>IF(SamplingData[[#This Row],[Max Error Bound (up)]] = 0,0,SamplingData[[#This Row],[Max Error Bound (up)]]/SamplingData[[#Totals],[Max Error Bound (up)]])</f>
        <v>0</v>
      </c>
      <c r="R259" s="101">
        <f>SUM($Q$5:Q259)</f>
        <v>0.17275662051481222</v>
      </c>
      <c r="S259" s="100" t="str">
        <f t="array" ref="S259">IF(SamplingData[[#This Row],[up/U Selection Probability]] = 0, "Zero", TEXT(SamplingData[[#This Row],[Lower Range]], REPT("0",LEN('General Info'!$B$40))) &amp; " - " &amp; TEXT(SamplingData[[#This Row],[Upper Range]], REPT("0",LEN('General Info'!$B$40))))</f>
        <v>Zero</v>
      </c>
      <c r="T259" s="100">
        <f>SamplingData[[#This Row],[Upper Range]]-SamplingData[[#This Row],[Span]]</f>
        <v>17275.66205148122</v>
      </c>
      <c r="U259" s="100">
        <f>IF(ISNUMBER('General Info'!$B$40), ((SamplingData[[#This Row],[up/U Selection Probability]]) * 'General Info'!$B$40) - 1, 0)</f>
        <v>-1</v>
      </c>
      <c r="V259" s="100">
        <f>IF(ISNUMBER('General Info'!$B$40), (SamplingData[[#This Row],[Running (cumulative) sum]] * ('General Info'!$B$40 -'General Info'!$B$41 + 1)) + 'General Info'!$B$41 - 1, 0)</f>
        <v>17274.66205148122</v>
      </c>
      <c r="W259" s="100" t="str">
        <f>IF(ISERROR(MATCH(SamplingData[[#This Row],[Batch by Type (p)]],SelectedPrecincts[Batch Name], 0)), "", INDEX(SelectedPrecincts[Draw], MATCH(SamplingData[[#This Row],[Batch by Type (p)]],SelectedPrecincts[Batch Name], 0)))</f>
        <v/>
      </c>
      <c r="X259" s="102">
        <f>IF(COUNTIF(SelectedPrecincts[Batch Name],SamplingData[[#This Row],[Batch by Type (p)]]) &lt;&gt; 0, COUNTIF(SelectedPrecincts[Batch Name],SamplingData[[#This Row],[Batch by Type (p)]]), 0)</f>
        <v>0</v>
      </c>
    </row>
    <row r="260" spans="1:24" ht="15" customHeight="1">
      <c r="A260" s="18" t="s">
        <v>436</v>
      </c>
      <c r="B260" s="18">
        <v>0</v>
      </c>
      <c r="C260" s="18">
        <v>0</v>
      </c>
      <c r="D260" s="18">
        <v>0</v>
      </c>
      <c r="E260" s="18">
        <v>0</v>
      </c>
      <c r="F260" s="18">
        <v>0</v>
      </c>
      <c r="G260" s="18">
        <v>0</v>
      </c>
      <c r="H260" s="18">
        <v>0</v>
      </c>
      <c r="I260" s="18">
        <v>0</v>
      </c>
      <c r="J260" s="99">
        <f>SUM(SamplingData[[#This Row],[Losing Candidate]:[Under Votes]])</f>
        <v>0</v>
      </c>
      <c r="K260" s="100">
        <f>IF(AND(SamplingData[[#This Row],[Total]]&lt;&gt; 0, NOT(ISBLANK(SamplingData[[#This Row],[Losing Candidate]]))),(SamplingData[[#This Row],[Total]]+SamplingData[[#This Row],[Winning Candidate]]-SamplingData[[#This Row],[Losing Candidate]])/(SamplingData[[#Totals],[Winning Candidate]]-SamplingData[[#Totals],[Losing Candidate]]), 0)</f>
        <v>0</v>
      </c>
      <c r="L260" s="100">
        <f>IF(AND(SamplingData[[#This Row],[Total]]&lt;&gt; 0, NOT(ISBLANK(SamplingData[[#This Row],[Candidate 3]]))),(SamplingData[[#This Row],[Total]]+SamplingData[[#This Row],[Winning Candidate]]-SamplingData[[#This Row],[Candidate 3]])/(SamplingData[[#Totals],[Winning Candidate]]-SamplingData[[#Totals],[Candidate 3]]), 0)</f>
        <v>0</v>
      </c>
      <c r="M260" s="100">
        <f>IF(AND(SamplingData[[#This Row],[Total]]&lt;&gt; 0, NOT(ISBLANK(SamplingData[[#This Row],[Candidate 4]]))),(SamplingData[[#This Row],[Total]]+SamplingData[[#This Row],[Winning Candidate]]-SamplingData[[#This Row],[Candidate 4]])/(SamplingData[[#Totals],[Winning Candidate]]-SamplingData[[#Totals],[Candidate 4]]), 0)</f>
        <v>0</v>
      </c>
      <c r="N260" s="100">
        <f>IF(AND(SamplingData[[#This Row],[Total]]&lt;&gt; 0, NOT(ISBLANK(SamplingData[[#This Row],[Candidate 5]]))),(SamplingData[[#This Row],[Total]]+SamplingData[[#This Row],[Winning Candidate]]-SamplingData[[#This Row],[Candidate 5]])/(SamplingData[[#Totals],[Winning Candidate]]-SamplingData[[#Totals],[Candidate 5]]), 0)</f>
        <v>0</v>
      </c>
      <c r="O260" s="100">
        <f>IF(AND(SamplingData[[#This Row],[Total]]&lt;&gt; 0, NOT(ISBLANK(SamplingData[[#This Row],[Candidate 6]]))),(SamplingData[[#This Row],[Total]]+SamplingData[[#This Row],[Winning Candidate]]-SamplingData[[#This Row],[Candidate 6]])/(SamplingData[[#Totals],[Winning Candidate]]-SamplingData[[#Totals],[Candidate 6]]), 0)</f>
        <v>0</v>
      </c>
      <c r="P260" s="100">
        <f>MAX(SamplingData[[#This Row],[Error Bound (up) - Max. possible relative overstatement - Losing Candidate]:[Error Bound (up) - Max. possible relative overstatement - Candidate 6]])</f>
        <v>0</v>
      </c>
      <c r="Q260" s="100">
        <f>IF(SamplingData[[#This Row],[Max Error Bound (up)]] = 0,0,SamplingData[[#This Row],[Max Error Bound (up)]]/SamplingData[[#Totals],[Max Error Bound (up)]])</f>
        <v>0</v>
      </c>
      <c r="R260" s="101">
        <f>SUM($Q$5:Q260)</f>
        <v>0.17275662051481222</v>
      </c>
      <c r="S260" s="100" t="str">
        <f t="array" ref="S260">IF(SamplingData[[#This Row],[up/U Selection Probability]] = 0, "Zero", TEXT(SamplingData[[#This Row],[Lower Range]], REPT("0",LEN('General Info'!$B$40))) &amp; " - " &amp; TEXT(SamplingData[[#This Row],[Upper Range]], REPT("0",LEN('General Info'!$B$40))))</f>
        <v>Zero</v>
      </c>
      <c r="T260" s="100">
        <f>SamplingData[[#This Row],[Upper Range]]-SamplingData[[#This Row],[Span]]</f>
        <v>17275.66205148122</v>
      </c>
      <c r="U260" s="100">
        <f>IF(ISNUMBER('General Info'!$B$40), ((SamplingData[[#This Row],[up/U Selection Probability]]) * 'General Info'!$B$40) - 1, 0)</f>
        <v>-1</v>
      </c>
      <c r="V260" s="100">
        <f>IF(ISNUMBER('General Info'!$B$40), (SamplingData[[#This Row],[Running (cumulative) sum]] * ('General Info'!$B$40 -'General Info'!$B$41 + 1)) + 'General Info'!$B$41 - 1, 0)</f>
        <v>17274.66205148122</v>
      </c>
      <c r="W260" s="100" t="str">
        <f>IF(ISERROR(MATCH(SamplingData[[#This Row],[Batch by Type (p)]],SelectedPrecincts[Batch Name], 0)), "", INDEX(SelectedPrecincts[Draw], MATCH(SamplingData[[#This Row],[Batch by Type (p)]],SelectedPrecincts[Batch Name], 0)))</f>
        <v/>
      </c>
      <c r="X260" s="102">
        <f>IF(COUNTIF(SelectedPrecincts[Batch Name],SamplingData[[#This Row],[Batch by Type (p)]]) &lt;&gt; 0, COUNTIF(SelectedPrecincts[Batch Name],SamplingData[[#This Row],[Batch by Type (p)]]), 0)</f>
        <v>0</v>
      </c>
    </row>
    <row r="261" spans="1:24" ht="15" customHeight="1">
      <c r="A261" s="18" t="s">
        <v>437</v>
      </c>
      <c r="B261" s="18">
        <v>0</v>
      </c>
      <c r="C261" s="18">
        <v>0</v>
      </c>
      <c r="D261" s="16">
        <v>1</v>
      </c>
      <c r="E261" s="16">
        <v>1</v>
      </c>
      <c r="F261" s="37">
        <v>0</v>
      </c>
      <c r="G261" s="37">
        <v>0</v>
      </c>
      <c r="H261" s="17">
        <v>0</v>
      </c>
      <c r="I261" s="17">
        <v>0</v>
      </c>
      <c r="J261" s="99">
        <f>SUM(SamplingData[[#This Row],[Losing Candidate]:[Under Votes]])</f>
        <v>2</v>
      </c>
      <c r="K261"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261" s="100">
        <f>IF(AND(SamplingData[[#This Row],[Total]]&lt;&gt; 0, NOT(ISBLANK(SamplingData[[#This Row],[Candidate 3]]))),(SamplingData[[#This Row],[Total]]+SamplingData[[#This Row],[Winning Candidate]]-SamplingData[[#This Row],[Candidate 3]])/(SamplingData[[#Totals],[Winning Candidate]]-SamplingData[[#Totals],[Candidate 3]]), 0)</f>
        <v>3.2261186566441917E-5</v>
      </c>
      <c r="M261" s="100">
        <f>IF(AND(SamplingData[[#This Row],[Total]]&lt;&gt; 0, NOT(ISBLANK(SamplingData[[#This Row],[Candidate 4]]))),(SamplingData[[#This Row],[Total]]+SamplingData[[#This Row],[Winning Candidate]]-SamplingData[[#This Row],[Candidate 4]])/(SamplingData[[#Totals],[Winning Candidate]]-SamplingData[[#Totals],[Candidate 4]]), 0)</f>
        <v>2.923207343096846E-5</v>
      </c>
      <c r="N261" s="100">
        <f>IF(AND(SamplingData[[#This Row],[Total]]&lt;&gt; 0, NOT(ISBLANK(SamplingData[[#This Row],[Candidate 5]]))),(SamplingData[[#This Row],[Total]]+SamplingData[[#This Row],[Winning Candidate]]-SamplingData[[#This Row],[Candidate 5]])/(SamplingData[[#Totals],[Winning Candidate]]-SamplingData[[#Totals],[Candidate 5]]), 0)</f>
        <v>4.8649963512527367E-5</v>
      </c>
      <c r="O261" s="100">
        <f>IF(AND(SamplingData[[#This Row],[Total]]&lt;&gt; 0, NOT(ISBLANK(SamplingData[[#This Row],[Candidate 6]]))),(SamplingData[[#This Row],[Total]]+SamplingData[[#This Row],[Winning Candidate]]-SamplingData[[#This Row],[Candidate 6]])/(SamplingData[[#Totals],[Winning Candidate]]-SamplingData[[#Totals],[Candidate 6]]), 0)</f>
        <v>4.8635766742862701E-5</v>
      </c>
      <c r="P261" s="100">
        <f>MAX(SamplingData[[#This Row],[Error Bound (up) - Max. possible relative overstatement - Losing Candidate]:[Error Bound (up) - Max. possible relative overstatement - Candidate 6]])</f>
        <v>1.224889759921607E-4</v>
      </c>
      <c r="Q261" s="100">
        <f>IF(SamplingData[[#This Row],[Max Error Bound (up)]] = 0,0,SamplingData[[#This Row],[Max Error Bound (up)]]/SamplingData[[#Totals],[Max Error Bound (up)]])</f>
        <v>1.9385896556891663E-5</v>
      </c>
      <c r="R261" s="101">
        <f>SUM($Q$5:Q261)</f>
        <v>0.17277600641136912</v>
      </c>
      <c r="S261" s="100" t="str">
        <f t="array" ref="S261">IF(SamplingData[[#This Row],[up/U Selection Probability]] = 0, "Zero", TEXT(SamplingData[[#This Row],[Lower Range]], REPT("0",LEN('General Info'!$B$40))) &amp; " - " &amp; TEXT(SamplingData[[#This Row],[Upper Range]], REPT("0",LEN('General Info'!$B$40))))</f>
        <v>17276 - 17277</v>
      </c>
      <c r="T261" s="100">
        <f>SamplingData[[#This Row],[Upper Range]]-SamplingData[[#This Row],[Span]]</f>
        <v>17275.662070867122</v>
      </c>
      <c r="U261" s="100">
        <f>IF(ISNUMBER('General Info'!$B$40), ((SamplingData[[#This Row],[up/U Selection Probability]]) * 'General Info'!$B$40) - 1, 0)</f>
        <v>0.93857026979260949</v>
      </c>
      <c r="V261" s="100">
        <f>IF(ISNUMBER('General Info'!$B$40), (SamplingData[[#This Row],[Running (cumulative) sum]] * ('General Info'!$B$40 -'General Info'!$B$41 + 1)) + 'General Info'!$B$41 - 1, 0)</f>
        <v>17276.600641136913</v>
      </c>
      <c r="W261" s="100" t="str">
        <f>IF(ISERROR(MATCH(SamplingData[[#This Row],[Batch by Type (p)]],SelectedPrecincts[Batch Name], 0)), "", INDEX(SelectedPrecincts[Draw], MATCH(SamplingData[[#This Row],[Batch by Type (p)]],SelectedPrecincts[Batch Name], 0)))</f>
        <v/>
      </c>
      <c r="X261" s="102">
        <f>IF(COUNTIF(SelectedPrecincts[Batch Name],SamplingData[[#This Row],[Batch by Type (p)]]) &lt;&gt; 0, COUNTIF(SelectedPrecincts[Batch Name],SamplingData[[#This Row],[Batch by Type (p)]]), 0)</f>
        <v>0</v>
      </c>
    </row>
    <row r="262" spans="1:24" ht="15" customHeight="1">
      <c r="A262" s="18" t="s">
        <v>438</v>
      </c>
      <c r="B262" s="18">
        <v>1</v>
      </c>
      <c r="C262" s="18">
        <v>0</v>
      </c>
      <c r="D262" s="18">
        <v>0</v>
      </c>
      <c r="E262" s="18">
        <v>0</v>
      </c>
      <c r="F262" s="18">
        <v>0</v>
      </c>
      <c r="G262" s="18">
        <v>0</v>
      </c>
      <c r="H262" s="18">
        <v>0</v>
      </c>
      <c r="I262" s="18">
        <v>0</v>
      </c>
      <c r="J262" s="99">
        <f>SUM(SamplingData[[#This Row],[Losing Candidate]:[Under Votes]])</f>
        <v>1</v>
      </c>
      <c r="K262" s="100">
        <f>IF(AND(SamplingData[[#This Row],[Total]]&lt;&gt; 0, NOT(ISBLANK(SamplingData[[#This Row],[Losing Candidate]]))),(SamplingData[[#This Row],[Total]]+SamplingData[[#This Row],[Winning Candidate]]-SamplingData[[#This Row],[Losing Candidate]])/(SamplingData[[#Totals],[Winning Candidate]]-SamplingData[[#Totals],[Losing Candidate]]), 0)</f>
        <v>0</v>
      </c>
      <c r="L262" s="100">
        <f>IF(AND(SamplingData[[#This Row],[Total]]&lt;&gt; 0, NOT(ISBLANK(SamplingData[[#This Row],[Candidate 3]]))),(SamplingData[[#This Row],[Total]]+SamplingData[[#This Row],[Winning Candidate]]-SamplingData[[#This Row],[Candidate 3]])/(SamplingData[[#Totals],[Winning Candidate]]-SamplingData[[#Totals],[Candidate 3]]), 0)</f>
        <v>3.2261186566441917E-5</v>
      </c>
      <c r="M262" s="100">
        <f>IF(AND(SamplingData[[#This Row],[Total]]&lt;&gt; 0, NOT(ISBLANK(SamplingData[[#This Row],[Candidate 4]]))),(SamplingData[[#This Row],[Total]]+SamplingData[[#This Row],[Winning Candidate]]-SamplingData[[#This Row],[Candidate 4]])/(SamplingData[[#Totals],[Winning Candidate]]-SamplingData[[#Totals],[Candidate 4]]), 0)</f>
        <v>2.923207343096846E-5</v>
      </c>
      <c r="N262" s="100">
        <f>IF(AND(SamplingData[[#This Row],[Total]]&lt;&gt; 0, NOT(ISBLANK(SamplingData[[#This Row],[Candidate 5]]))),(SamplingData[[#This Row],[Total]]+SamplingData[[#This Row],[Winning Candidate]]-SamplingData[[#This Row],[Candidate 5]])/(SamplingData[[#Totals],[Winning Candidate]]-SamplingData[[#Totals],[Candidate 5]]), 0)</f>
        <v>2.4324981756263683E-5</v>
      </c>
      <c r="O262" s="100">
        <f>IF(AND(SamplingData[[#This Row],[Total]]&lt;&gt; 0, NOT(ISBLANK(SamplingData[[#This Row],[Candidate 6]]))),(SamplingData[[#This Row],[Total]]+SamplingData[[#This Row],[Winning Candidate]]-SamplingData[[#This Row],[Candidate 6]])/(SamplingData[[#Totals],[Winning Candidate]]-SamplingData[[#Totals],[Candidate 6]]), 0)</f>
        <v>2.431788337143135E-5</v>
      </c>
      <c r="P262" s="100">
        <f>MAX(SamplingData[[#This Row],[Error Bound (up) - Max. possible relative overstatement - Losing Candidate]:[Error Bound (up) - Max. possible relative overstatement - Candidate 6]])</f>
        <v>3.2261186566441917E-5</v>
      </c>
      <c r="Q262" s="100">
        <f>IF(SamplingData[[#This Row],[Max Error Bound (up)]] = 0,0,SamplingData[[#This Row],[Max Error Bound (up)]]/SamplingData[[#Totals],[Max Error Bound (up)]])</f>
        <v>5.1058637768320663E-6</v>
      </c>
      <c r="R262" s="101">
        <f>SUM($Q$5:Q262)</f>
        <v>0.17278111227514595</v>
      </c>
      <c r="S262" s="100" t="str">
        <f t="array" ref="S262">IF(SamplingData[[#This Row],[up/U Selection Probability]] = 0, "Zero", TEXT(SamplingData[[#This Row],[Lower Range]], REPT("0",LEN('General Info'!$B$40))) &amp; " - " &amp; TEXT(SamplingData[[#This Row],[Upper Range]], REPT("0",LEN('General Info'!$B$40))))</f>
        <v>17278 - 17277</v>
      </c>
      <c r="T262" s="100">
        <f>SamplingData[[#This Row],[Upper Range]]-SamplingData[[#This Row],[Span]]</f>
        <v>17277.600646242772</v>
      </c>
      <c r="U262" s="100">
        <f>IF(ISNUMBER('General Info'!$B$40), ((SamplingData[[#This Row],[up/U Selection Probability]]) * 'General Info'!$B$40) - 1, 0)</f>
        <v>-0.4894187281805702</v>
      </c>
      <c r="V262" s="100">
        <f>IF(ISNUMBER('General Info'!$B$40), (SamplingData[[#This Row],[Running (cumulative) sum]] * ('General Info'!$B$40 -'General Info'!$B$41 + 1)) + 'General Info'!$B$41 - 1, 0)</f>
        <v>17277.111227514593</v>
      </c>
      <c r="W262" s="100" t="str">
        <f>IF(ISERROR(MATCH(SamplingData[[#This Row],[Batch by Type (p)]],SelectedPrecincts[Batch Name], 0)), "", INDEX(SelectedPrecincts[Draw], MATCH(SamplingData[[#This Row],[Batch by Type (p)]],SelectedPrecincts[Batch Name], 0)))</f>
        <v/>
      </c>
      <c r="X262" s="102">
        <f>IF(COUNTIF(SelectedPrecincts[Batch Name],SamplingData[[#This Row],[Batch by Type (p)]]) &lt;&gt; 0, COUNTIF(SelectedPrecincts[Batch Name],SamplingData[[#This Row],[Batch by Type (p)]]), 0)</f>
        <v>0</v>
      </c>
    </row>
    <row r="263" spans="1:24" ht="15" customHeight="1">
      <c r="A263" s="18" t="s">
        <v>439</v>
      </c>
      <c r="B263" s="18">
        <v>0</v>
      </c>
      <c r="C263" s="18">
        <v>0</v>
      </c>
      <c r="D263" s="16">
        <v>1</v>
      </c>
      <c r="E263" s="16">
        <v>0</v>
      </c>
      <c r="F263" s="37">
        <v>0</v>
      </c>
      <c r="G263" s="37">
        <v>0</v>
      </c>
      <c r="H263" s="17">
        <v>0</v>
      </c>
      <c r="I263" s="17">
        <v>0</v>
      </c>
      <c r="J263" s="99">
        <f>SUM(SamplingData[[#This Row],[Losing Candidate]:[Under Votes]])</f>
        <v>1</v>
      </c>
      <c r="K263"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63" s="100">
        <f>IF(AND(SamplingData[[#This Row],[Total]]&lt;&gt; 0, NOT(ISBLANK(SamplingData[[#This Row],[Candidate 3]]))),(SamplingData[[#This Row],[Total]]+SamplingData[[#This Row],[Winning Candidate]]-SamplingData[[#This Row],[Candidate 3]])/(SamplingData[[#Totals],[Winning Candidate]]-SamplingData[[#Totals],[Candidate 3]]), 0)</f>
        <v>0</v>
      </c>
      <c r="M263" s="100">
        <f>IF(AND(SamplingData[[#This Row],[Total]]&lt;&gt; 0, NOT(ISBLANK(SamplingData[[#This Row],[Candidate 4]]))),(SamplingData[[#This Row],[Total]]+SamplingData[[#This Row],[Winning Candidate]]-SamplingData[[#This Row],[Candidate 4]])/(SamplingData[[#Totals],[Winning Candidate]]-SamplingData[[#Totals],[Candidate 4]]), 0)</f>
        <v>2.923207343096846E-5</v>
      </c>
      <c r="N263" s="100">
        <f>IF(AND(SamplingData[[#This Row],[Total]]&lt;&gt; 0, NOT(ISBLANK(SamplingData[[#This Row],[Candidate 5]]))),(SamplingData[[#This Row],[Total]]+SamplingData[[#This Row],[Winning Candidate]]-SamplingData[[#This Row],[Candidate 5]])/(SamplingData[[#Totals],[Winning Candidate]]-SamplingData[[#Totals],[Candidate 5]]), 0)</f>
        <v>2.4324981756263683E-5</v>
      </c>
      <c r="O263" s="100">
        <f>IF(AND(SamplingData[[#This Row],[Total]]&lt;&gt; 0, NOT(ISBLANK(SamplingData[[#This Row],[Candidate 6]]))),(SamplingData[[#This Row],[Total]]+SamplingData[[#This Row],[Winning Candidate]]-SamplingData[[#This Row],[Candidate 6]])/(SamplingData[[#Totals],[Winning Candidate]]-SamplingData[[#Totals],[Candidate 6]]), 0)</f>
        <v>2.431788337143135E-5</v>
      </c>
      <c r="P263" s="100">
        <f>MAX(SamplingData[[#This Row],[Error Bound (up) - Max. possible relative overstatement - Losing Candidate]:[Error Bound (up) - Max. possible relative overstatement - Candidate 6]])</f>
        <v>6.1244487996080352E-5</v>
      </c>
      <c r="Q263" s="100">
        <f>IF(SamplingData[[#This Row],[Max Error Bound (up)]] = 0,0,SamplingData[[#This Row],[Max Error Bound (up)]]/SamplingData[[#Totals],[Max Error Bound (up)]])</f>
        <v>9.6929482784458315E-6</v>
      </c>
      <c r="R263" s="101">
        <f>SUM($Q$5:Q263)</f>
        <v>0.17279080522342438</v>
      </c>
      <c r="S263" s="100" t="str">
        <f t="array" ref="S263">IF(SamplingData[[#This Row],[up/U Selection Probability]] = 0, "Zero", TEXT(SamplingData[[#This Row],[Lower Range]], REPT("0",LEN('General Info'!$B$40))) &amp; " - " &amp; TEXT(SamplingData[[#This Row],[Upper Range]], REPT("0",LEN('General Info'!$B$40))))</f>
        <v>17278 - 17278</v>
      </c>
      <c r="T263" s="100">
        <f>SamplingData[[#This Row],[Upper Range]]-SamplingData[[#This Row],[Span]]</f>
        <v>17278.111237207544</v>
      </c>
      <c r="U263" s="100">
        <f>IF(ISNUMBER('General Info'!$B$40), ((SamplingData[[#This Row],[up/U Selection Probability]]) * 'General Info'!$B$40) - 1, 0)</f>
        <v>-3.0714865103695255E-2</v>
      </c>
      <c r="V263" s="100">
        <f>IF(ISNUMBER('General Info'!$B$40), (SamplingData[[#This Row],[Running (cumulative) sum]] * ('General Info'!$B$40 -'General Info'!$B$41 + 1)) + 'General Info'!$B$41 - 1, 0)</f>
        <v>17278.08052234244</v>
      </c>
      <c r="W263" s="100" t="str">
        <f>IF(ISERROR(MATCH(SamplingData[[#This Row],[Batch by Type (p)]],SelectedPrecincts[Batch Name], 0)), "", INDEX(SelectedPrecincts[Draw], MATCH(SamplingData[[#This Row],[Batch by Type (p)]],SelectedPrecincts[Batch Name], 0)))</f>
        <v/>
      </c>
      <c r="X263" s="102">
        <f>IF(COUNTIF(SelectedPrecincts[Batch Name],SamplingData[[#This Row],[Batch by Type (p)]]) &lt;&gt; 0, COUNTIF(SelectedPrecincts[Batch Name],SamplingData[[#This Row],[Batch by Type (p)]]), 0)</f>
        <v>0</v>
      </c>
    </row>
    <row r="264" spans="1:24" ht="15" customHeight="1">
      <c r="A264" s="18" t="s">
        <v>440</v>
      </c>
      <c r="B264" s="18">
        <v>0</v>
      </c>
      <c r="C264" s="18">
        <v>0</v>
      </c>
      <c r="D264" s="18">
        <v>0</v>
      </c>
      <c r="E264" s="18">
        <v>0</v>
      </c>
      <c r="F264" s="18">
        <v>0</v>
      </c>
      <c r="G264" s="18">
        <v>0</v>
      </c>
      <c r="H264" s="18">
        <v>0</v>
      </c>
      <c r="I264" s="18">
        <v>0</v>
      </c>
      <c r="J264" s="99">
        <f>SUM(SamplingData[[#This Row],[Losing Candidate]:[Under Votes]])</f>
        <v>0</v>
      </c>
      <c r="K264" s="100">
        <f>IF(AND(SamplingData[[#This Row],[Total]]&lt;&gt; 0, NOT(ISBLANK(SamplingData[[#This Row],[Losing Candidate]]))),(SamplingData[[#This Row],[Total]]+SamplingData[[#This Row],[Winning Candidate]]-SamplingData[[#This Row],[Losing Candidate]])/(SamplingData[[#Totals],[Winning Candidate]]-SamplingData[[#Totals],[Losing Candidate]]), 0)</f>
        <v>0</v>
      </c>
      <c r="L264" s="100">
        <f>IF(AND(SamplingData[[#This Row],[Total]]&lt;&gt; 0, NOT(ISBLANK(SamplingData[[#This Row],[Candidate 3]]))),(SamplingData[[#This Row],[Total]]+SamplingData[[#This Row],[Winning Candidate]]-SamplingData[[#This Row],[Candidate 3]])/(SamplingData[[#Totals],[Winning Candidate]]-SamplingData[[#Totals],[Candidate 3]]), 0)</f>
        <v>0</v>
      </c>
      <c r="M264" s="100">
        <f>IF(AND(SamplingData[[#This Row],[Total]]&lt;&gt; 0, NOT(ISBLANK(SamplingData[[#This Row],[Candidate 4]]))),(SamplingData[[#This Row],[Total]]+SamplingData[[#This Row],[Winning Candidate]]-SamplingData[[#This Row],[Candidate 4]])/(SamplingData[[#Totals],[Winning Candidate]]-SamplingData[[#Totals],[Candidate 4]]), 0)</f>
        <v>0</v>
      </c>
      <c r="N264" s="100">
        <f>IF(AND(SamplingData[[#This Row],[Total]]&lt;&gt; 0, NOT(ISBLANK(SamplingData[[#This Row],[Candidate 5]]))),(SamplingData[[#This Row],[Total]]+SamplingData[[#This Row],[Winning Candidate]]-SamplingData[[#This Row],[Candidate 5]])/(SamplingData[[#Totals],[Winning Candidate]]-SamplingData[[#Totals],[Candidate 5]]), 0)</f>
        <v>0</v>
      </c>
      <c r="O264" s="100">
        <f>IF(AND(SamplingData[[#This Row],[Total]]&lt;&gt; 0, NOT(ISBLANK(SamplingData[[#This Row],[Candidate 6]]))),(SamplingData[[#This Row],[Total]]+SamplingData[[#This Row],[Winning Candidate]]-SamplingData[[#This Row],[Candidate 6]])/(SamplingData[[#Totals],[Winning Candidate]]-SamplingData[[#Totals],[Candidate 6]]), 0)</f>
        <v>0</v>
      </c>
      <c r="P264" s="100">
        <f>MAX(SamplingData[[#This Row],[Error Bound (up) - Max. possible relative overstatement - Losing Candidate]:[Error Bound (up) - Max. possible relative overstatement - Candidate 6]])</f>
        <v>0</v>
      </c>
      <c r="Q264" s="100">
        <f>IF(SamplingData[[#This Row],[Max Error Bound (up)]] = 0,0,SamplingData[[#This Row],[Max Error Bound (up)]]/SamplingData[[#Totals],[Max Error Bound (up)]])</f>
        <v>0</v>
      </c>
      <c r="R264" s="101">
        <f>SUM($Q$5:Q264)</f>
        <v>0.17279080522342438</v>
      </c>
      <c r="S264" s="100" t="str">
        <f t="array" ref="S264">IF(SamplingData[[#This Row],[up/U Selection Probability]] = 0, "Zero", TEXT(SamplingData[[#This Row],[Lower Range]], REPT("0",LEN('General Info'!$B$40))) &amp; " - " &amp; TEXT(SamplingData[[#This Row],[Upper Range]], REPT("0",LEN('General Info'!$B$40))))</f>
        <v>Zero</v>
      </c>
      <c r="T264" s="100">
        <f>SamplingData[[#This Row],[Upper Range]]-SamplingData[[#This Row],[Span]]</f>
        <v>17279.08052234244</v>
      </c>
      <c r="U264" s="100">
        <f>IF(ISNUMBER('General Info'!$B$40), ((SamplingData[[#This Row],[up/U Selection Probability]]) * 'General Info'!$B$40) - 1, 0)</f>
        <v>-1</v>
      </c>
      <c r="V264" s="100">
        <f>IF(ISNUMBER('General Info'!$B$40), (SamplingData[[#This Row],[Running (cumulative) sum]] * ('General Info'!$B$40 -'General Info'!$B$41 + 1)) + 'General Info'!$B$41 - 1, 0)</f>
        <v>17278.08052234244</v>
      </c>
      <c r="W264" s="100" t="str">
        <f>IF(ISERROR(MATCH(SamplingData[[#This Row],[Batch by Type (p)]],SelectedPrecincts[Batch Name], 0)), "", INDEX(SelectedPrecincts[Draw], MATCH(SamplingData[[#This Row],[Batch by Type (p)]],SelectedPrecincts[Batch Name], 0)))</f>
        <v/>
      </c>
      <c r="X264" s="102">
        <f>IF(COUNTIF(SelectedPrecincts[Batch Name],SamplingData[[#This Row],[Batch by Type (p)]]) &lt;&gt; 0, COUNTIF(SelectedPrecincts[Batch Name],SamplingData[[#This Row],[Batch by Type (p)]]), 0)</f>
        <v>0</v>
      </c>
    </row>
    <row r="265" spans="1:24" ht="15" customHeight="1">
      <c r="A265" s="18" t="s">
        <v>441</v>
      </c>
      <c r="B265" s="18">
        <v>2</v>
      </c>
      <c r="C265" s="18">
        <v>0</v>
      </c>
      <c r="D265" s="16">
        <v>0</v>
      </c>
      <c r="E265" s="16">
        <v>0</v>
      </c>
      <c r="F265" s="37">
        <v>0</v>
      </c>
      <c r="G265" s="37">
        <v>0</v>
      </c>
      <c r="H265" s="17">
        <v>0</v>
      </c>
      <c r="I265" s="17">
        <v>0</v>
      </c>
      <c r="J265" s="99">
        <f>SUM(SamplingData[[#This Row],[Losing Candidate]:[Under Votes]])</f>
        <v>2</v>
      </c>
      <c r="K265" s="100">
        <f>IF(AND(SamplingData[[#This Row],[Total]]&lt;&gt; 0, NOT(ISBLANK(SamplingData[[#This Row],[Losing Candidate]]))),(SamplingData[[#This Row],[Total]]+SamplingData[[#This Row],[Winning Candidate]]-SamplingData[[#This Row],[Losing Candidate]])/(SamplingData[[#Totals],[Winning Candidate]]-SamplingData[[#Totals],[Losing Candidate]]), 0)</f>
        <v>0</v>
      </c>
      <c r="L265" s="100">
        <f>IF(AND(SamplingData[[#This Row],[Total]]&lt;&gt; 0, NOT(ISBLANK(SamplingData[[#This Row],[Candidate 3]]))),(SamplingData[[#This Row],[Total]]+SamplingData[[#This Row],[Winning Candidate]]-SamplingData[[#This Row],[Candidate 3]])/(SamplingData[[#Totals],[Winning Candidate]]-SamplingData[[#Totals],[Candidate 3]]), 0)</f>
        <v>6.4522373132883833E-5</v>
      </c>
      <c r="M265" s="100">
        <f>IF(AND(SamplingData[[#This Row],[Total]]&lt;&gt; 0, NOT(ISBLANK(SamplingData[[#This Row],[Candidate 4]]))),(SamplingData[[#This Row],[Total]]+SamplingData[[#This Row],[Winning Candidate]]-SamplingData[[#This Row],[Candidate 4]])/(SamplingData[[#Totals],[Winning Candidate]]-SamplingData[[#Totals],[Candidate 4]]), 0)</f>
        <v>5.846414686193692E-5</v>
      </c>
      <c r="N265" s="100">
        <f>IF(AND(SamplingData[[#This Row],[Total]]&lt;&gt; 0, NOT(ISBLANK(SamplingData[[#This Row],[Candidate 5]]))),(SamplingData[[#This Row],[Total]]+SamplingData[[#This Row],[Winning Candidate]]-SamplingData[[#This Row],[Candidate 5]])/(SamplingData[[#Totals],[Winning Candidate]]-SamplingData[[#Totals],[Candidate 5]]), 0)</f>
        <v>4.8649963512527367E-5</v>
      </c>
      <c r="O265" s="100">
        <f>IF(AND(SamplingData[[#This Row],[Total]]&lt;&gt; 0, NOT(ISBLANK(SamplingData[[#This Row],[Candidate 6]]))),(SamplingData[[#This Row],[Total]]+SamplingData[[#This Row],[Winning Candidate]]-SamplingData[[#This Row],[Candidate 6]])/(SamplingData[[#Totals],[Winning Candidate]]-SamplingData[[#Totals],[Candidate 6]]), 0)</f>
        <v>4.8635766742862701E-5</v>
      </c>
      <c r="P265" s="100">
        <f>MAX(SamplingData[[#This Row],[Error Bound (up) - Max. possible relative overstatement - Losing Candidate]:[Error Bound (up) - Max. possible relative overstatement - Candidate 6]])</f>
        <v>6.4522373132883833E-5</v>
      </c>
      <c r="Q265" s="100">
        <f>IF(SamplingData[[#This Row],[Max Error Bound (up)]] = 0,0,SamplingData[[#This Row],[Max Error Bound (up)]]/SamplingData[[#Totals],[Max Error Bound (up)]])</f>
        <v>1.0211727553664133E-5</v>
      </c>
      <c r="R265" s="101">
        <f>SUM($Q$5:Q265)</f>
        <v>0.17280101695097805</v>
      </c>
      <c r="S265" s="100" t="str">
        <f t="array" ref="S265">IF(SamplingData[[#This Row],[up/U Selection Probability]] = 0, "Zero", TEXT(SamplingData[[#This Row],[Lower Range]], REPT("0",LEN('General Info'!$B$40))) &amp; " - " &amp; TEXT(SamplingData[[#This Row],[Upper Range]], REPT("0",LEN('General Info'!$B$40))))</f>
        <v>17279 - 17279</v>
      </c>
      <c r="T265" s="100">
        <f>SamplingData[[#This Row],[Upper Range]]-SamplingData[[#This Row],[Span]]</f>
        <v>17279.080532554166</v>
      </c>
      <c r="U265" s="100">
        <f>IF(ISNUMBER('General Info'!$B$40), ((SamplingData[[#This Row],[up/U Selection Probability]]) * 'General Info'!$B$40) - 1, 0)</f>
        <v>2.116254363885961E-2</v>
      </c>
      <c r="V265" s="100">
        <f>IF(ISNUMBER('General Info'!$B$40), (SamplingData[[#This Row],[Running (cumulative) sum]] * ('General Info'!$B$40 -'General Info'!$B$41 + 1)) + 'General Info'!$B$41 - 1, 0)</f>
        <v>17279.101695097805</v>
      </c>
      <c r="W265" s="100" t="str">
        <f>IF(ISERROR(MATCH(SamplingData[[#This Row],[Batch by Type (p)]],SelectedPrecincts[Batch Name], 0)), "", INDEX(SelectedPrecincts[Draw], MATCH(SamplingData[[#This Row],[Batch by Type (p)]],SelectedPrecincts[Batch Name], 0)))</f>
        <v/>
      </c>
      <c r="X265" s="102">
        <f>IF(COUNTIF(SelectedPrecincts[Batch Name],SamplingData[[#This Row],[Batch by Type (p)]]) &lt;&gt; 0, COUNTIF(SelectedPrecincts[Batch Name],SamplingData[[#This Row],[Batch by Type (p)]]), 0)</f>
        <v>0</v>
      </c>
    </row>
    <row r="266" spans="1:24" ht="15" customHeight="1">
      <c r="A266" s="18" t="s">
        <v>442</v>
      </c>
      <c r="B266" s="18">
        <v>2</v>
      </c>
      <c r="C266" s="18">
        <v>0</v>
      </c>
      <c r="D266" s="18">
        <v>0</v>
      </c>
      <c r="E266" s="18">
        <v>0</v>
      </c>
      <c r="F266" s="18">
        <v>0</v>
      </c>
      <c r="G266" s="18">
        <v>0</v>
      </c>
      <c r="H266" s="18">
        <v>0</v>
      </c>
      <c r="I266" s="18">
        <v>0</v>
      </c>
      <c r="J266" s="99">
        <f>SUM(SamplingData[[#This Row],[Losing Candidate]:[Under Votes]])</f>
        <v>2</v>
      </c>
      <c r="K266" s="100">
        <f>IF(AND(SamplingData[[#This Row],[Total]]&lt;&gt; 0, NOT(ISBLANK(SamplingData[[#This Row],[Losing Candidate]]))),(SamplingData[[#This Row],[Total]]+SamplingData[[#This Row],[Winning Candidate]]-SamplingData[[#This Row],[Losing Candidate]])/(SamplingData[[#Totals],[Winning Candidate]]-SamplingData[[#Totals],[Losing Candidate]]), 0)</f>
        <v>0</v>
      </c>
      <c r="L266" s="100">
        <f>IF(AND(SamplingData[[#This Row],[Total]]&lt;&gt; 0, NOT(ISBLANK(SamplingData[[#This Row],[Candidate 3]]))),(SamplingData[[#This Row],[Total]]+SamplingData[[#This Row],[Winning Candidate]]-SamplingData[[#This Row],[Candidate 3]])/(SamplingData[[#Totals],[Winning Candidate]]-SamplingData[[#Totals],[Candidate 3]]), 0)</f>
        <v>6.4522373132883833E-5</v>
      </c>
      <c r="M266" s="100">
        <f>IF(AND(SamplingData[[#This Row],[Total]]&lt;&gt; 0, NOT(ISBLANK(SamplingData[[#This Row],[Candidate 4]]))),(SamplingData[[#This Row],[Total]]+SamplingData[[#This Row],[Winning Candidate]]-SamplingData[[#This Row],[Candidate 4]])/(SamplingData[[#Totals],[Winning Candidate]]-SamplingData[[#Totals],[Candidate 4]]), 0)</f>
        <v>5.846414686193692E-5</v>
      </c>
      <c r="N266" s="100">
        <f>IF(AND(SamplingData[[#This Row],[Total]]&lt;&gt; 0, NOT(ISBLANK(SamplingData[[#This Row],[Candidate 5]]))),(SamplingData[[#This Row],[Total]]+SamplingData[[#This Row],[Winning Candidate]]-SamplingData[[#This Row],[Candidate 5]])/(SamplingData[[#Totals],[Winning Candidate]]-SamplingData[[#Totals],[Candidate 5]]), 0)</f>
        <v>4.8649963512527367E-5</v>
      </c>
      <c r="O266" s="100">
        <f>IF(AND(SamplingData[[#This Row],[Total]]&lt;&gt; 0, NOT(ISBLANK(SamplingData[[#This Row],[Candidate 6]]))),(SamplingData[[#This Row],[Total]]+SamplingData[[#This Row],[Winning Candidate]]-SamplingData[[#This Row],[Candidate 6]])/(SamplingData[[#Totals],[Winning Candidate]]-SamplingData[[#Totals],[Candidate 6]]), 0)</f>
        <v>4.8635766742862701E-5</v>
      </c>
      <c r="P266" s="100">
        <f>MAX(SamplingData[[#This Row],[Error Bound (up) - Max. possible relative overstatement - Losing Candidate]:[Error Bound (up) - Max. possible relative overstatement - Candidate 6]])</f>
        <v>6.4522373132883833E-5</v>
      </c>
      <c r="Q266" s="100">
        <f>IF(SamplingData[[#This Row],[Max Error Bound (up)]] = 0,0,SamplingData[[#This Row],[Max Error Bound (up)]]/SamplingData[[#Totals],[Max Error Bound (up)]])</f>
        <v>1.0211727553664133E-5</v>
      </c>
      <c r="R266" s="101">
        <f>SUM($Q$5:Q266)</f>
        <v>0.17281122867853171</v>
      </c>
      <c r="S266" s="100" t="str">
        <f t="array" ref="S266">IF(SamplingData[[#This Row],[up/U Selection Probability]] = 0, "Zero", TEXT(SamplingData[[#This Row],[Lower Range]], REPT("0",LEN('General Info'!$B$40))) &amp; " - " &amp; TEXT(SamplingData[[#This Row],[Upper Range]], REPT("0",LEN('General Info'!$B$40))))</f>
        <v>17280 - 17280</v>
      </c>
      <c r="T266" s="100">
        <f>SamplingData[[#This Row],[Upper Range]]-SamplingData[[#This Row],[Span]]</f>
        <v>17280.101705309531</v>
      </c>
      <c r="U266" s="100">
        <f>IF(ISNUMBER('General Info'!$B$40), ((SamplingData[[#This Row],[up/U Selection Probability]]) * 'General Info'!$B$40) - 1, 0)</f>
        <v>2.116254363885961E-2</v>
      </c>
      <c r="V266" s="100">
        <f>IF(ISNUMBER('General Info'!$B$40), (SamplingData[[#This Row],[Running (cumulative) sum]] * ('General Info'!$B$40 -'General Info'!$B$41 + 1)) + 'General Info'!$B$41 - 1, 0)</f>
        <v>17280.12286785317</v>
      </c>
      <c r="W266" s="100" t="str">
        <f>IF(ISERROR(MATCH(SamplingData[[#This Row],[Batch by Type (p)]],SelectedPrecincts[Batch Name], 0)), "", INDEX(SelectedPrecincts[Draw], MATCH(SamplingData[[#This Row],[Batch by Type (p)]],SelectedPrecincts[Batch Name], 0)))</f>
        <v/>
      </c>
      <c r="X266" s="102">
        <f>IF(COUNTIF(SelectedPrecincts[Batch Name],SamplingData[[#This Row],[Batch by Type (p)]]) &lt;&gt; 0, COUNTIF(SelectedPrecincts[Batch Name],SamplingData[[#This Row],[Batch by Type (p)]]), 0)</f>
        <v>0</v>
      </c>
    </row>
    <row r="267" spans="1:24" ht="15" customHeight="1">
      <c r="A267" s="18" t="s">
        <v>443</v>
      </c>
      <c r="B267" s="18">
        <v>1</v>
      </c>
      <c r="C267" s="18">
        <v>0</v>
      </c>
      <c r="D267" s="16">
        <v>0</v>
      </c>
      <c r="E267" s="16">
        <v>0</v>
      </c>
      <c r="F267" s="37">
        <v>0</v>
      </c>
      <c r="G267" s="37">
        <v>0</v>
      </c>
      <c r="H267" s="17">
        <v>0</v>
      </c>
      <c r="I267" s="17">
        <v>0</v>
      </c>
      <c r="J267" s="99">
        <f>SUM(SamplingData[[#This Row],[Losing Candidate]:[Under Votes]])</f>
        <v>1</v>
      </c>
      <c r="K267" s="100">
        <f>IF(AND(SamplingData[[#This Row],[Total]]&lt;&gt; 0, NOT(ISBLANK(SamplingData[[#This Row],[Losing Candidate]]))),(SamplingData[[#This Row],[Total]]+SamplingData[[#This Row],[Winning Candidate]]-SamplingData[[#This Row],[Losing Candidate]])/(SamplingData[[#Totals],[Winning Candidate]]-SamplingData[[#Totals],[Losing Candidate]]), 0)</f>
        <v>0</v>
      </c>
      <c r="L267" s="100">
        <f>IF(AND(SamplingData[[#This Row],[Total]]&lt;&gt; 0, NOT(ISBLANK(SamplingData[[#This Row],[Candidate 3]]))),(SamplingData[[#This Row],[Total]]+SamplingData[[#This Row],[Winning Candidate]]-SamplingData[[#This Row],[Candidate 3]])/(SamplingData[[#Totals],[Winning Candidate]]-SamplingData[[#Totals],[Candidate 3]]), 0)</f>
        <v>3.2261186566441917E-5</v>
      </c>
      <c r="M267" s="100">
        <f>IF(AND(SamplingData[[#This Row],[Total]]&lt;&gt; 0, NOT(ISBLANK(SamplingData[[#This Row],[Candidate 4]]))),(SamplingData[[#This Row],[Total]]+SamplingData[[#This Row],[Winning Candidate]]-SamplingData[[#This Row],[Candidate 4]])/(SamplingData[[#Totals],[Winning Candidate]]-SamplingData[[#Totals],[Candidate 4]]), 0)</f>
        <v>2.923207343096846E-5</v>
      </c>
      <c r="N267" s="100">
        <f>IF(AND(SamplingData[[#This Row],[Total]]&lt;&gt; 0, NOT(ISBLANK(SamplingData[[#This Row],[Candidate 5]]))),(SamplingData[[#This Row],[Total]]+SamplingData[[#This Row],[Winning Candidate]]-SamplingData[[#This Row],[Candidate 5]])/(SamplingData[[#Totals],[Winning Candidate]]-SamplingData[[#Totals],[Candidate 5]]), 0)</f>
        <v>2.4324981756263683E-5</v>
      </c>
      <c r="O267" s="100">
        <f>IF(AND(SamplingData[[#This Row],[Total]]&lt;&gt; 0, NOT(ISBLANK(SamplingData[[#This Row],[Candidate 6]]))),(SamplingData[[#This Row],[Total]]+SamplingData[[#This Row],[Winning Candidate]]-SamplingData[[#This Row],[Candidate 6]])/(SamplingData[[#Totals],[Winning Candidate]]-SamplingData[[#Totals],[Candidate 6]]), 0)</f>
        <v>2.431788337143135E-5</v>
      </c>
      <c r="P267" s="100">
        <f>MAX(SamplingData[[#This Row],[Error Bound (up) - Max. possible relative overstatement - Losing Candidate]:[Error Bound (up) - Max. possible relative overstatement - Candidate 6]])</f>
        <v>3.2261186566441917E-5</v>
      </c>
      <c r="Q267" s="100">
        <f>IF(SamplingData[[#This Row],[Max Error Bound (up)]] = 0,0,SamplingData[[#This Row],[Max Error Bound (up)]]/SamplingData[[#Totals],[Max Error Bound (up)]])</f>
        <v>5.1058637768320663E-6</v>
      </c>
      <c r="R267" s="101">
        <f>SUM($Q$5:Q267)</f>
        <v>0.17281633454230855</v>
      </c>
      <c r="S267" s="100" t="str">
        <f t="array" ref="S267">IF(SamplingData[[#This Row],[up/U Selection Probability]] = 0, "Zero", TEXT(SamplingData[[#This Row],[Lower Range]], REPT("0",LEN('General Info'!$B$40))) &amp; " - " &amp; TEXT(SamplingData[[#This Row],[Upper Range]], REPT("0",LEN('General Info'!$B$40))))</f>
        <v>17281 - 17281</v>
      </c>
      <c r="T267" s="100">
        <f>SamplingData[[#This Row],[Upper Range]]-SamplingData[[#This Row],[Span]]</f>
        <v>17281.122872959033</v>
      </c>
      <c r="U267" s="100">
        <f>IF(ISNUMBER('General Info'!$B$40), ((SamplingData[[#This Row],[up/U Selection Probability]]) * 'General Info'!$B$40) - 1, 0)</f>
        <v>-0.4894187281805702</v>
      </c>
      <c r="V267" s="100">
        <f>IF(ISNUMBER('General Info'!$B$40), (SamplingData[[#This Row],[Running (cumulative) sum]] * ('General Info'!$B$40 -'General Info'!$B$41 + 1)) + 'General Info'!$B$41 - 1, 0)</f>
        <v>17280.633454230854</v>
      </c>
      <c r="W267" s="100" t="str">
        <f>IF(ISERROR(MATCH(SamplingData[[#This Row],[Batch by Type (p)]],SelectedPrecincts[Batch Name], 0)), "", INDEX(SelectedPrecincts[Draw], MATCH(SamplingData[[#This Row],[Batch by Type (p)]],SelectedPrecincts[Batch Name], 0)))</f>
        <v/>
      </c>
      <c r="X267" s="102">
        <f>IF(COUNTIF(SelectedPrecincts[Batch Name],SamplingData[[#This Row],[Batch by Type (p)]]) &lt;&gt; 0, COUNTIF(SelectedPrecincts[Batch Name],SamplingData[[#This Row],[Batch by Type (p)]]), 0)</f>
        <v>0</v>
      </c>
    </row>
    <row r="268" spans="1:24" ht="15" customHeight="1">
      <c r="A268" s="18" t="s">
        <v>444</v>
      </c>
      <c r="B268" s="18">
        <v>0</v>
      </c>
      <c r="C268" s="18">
        <v>0</v>
      </c>
      <c r="D268" s="18">
        <v>0</v>
      </c>
      <c r="E268" s="18">
        <v>0</v>
      </c>
      <c r="F268" s="18">
        <v>0</v>
      </c>
      <c r="G268" s="18">
        <v>0</v>
      </c>
      <c r="H268" s="18">
        <v>0</v>
      </c>
      <c r="I268" s="18">
        <v>0</v>
      </c>
      <c r="J268" s="99">
        <f>SUM(SamplingData[[#This Row],[Losing Candidate]:[Under Votes]])</f>
        <v>0</v>
      </c>
      <c r="K268" s="100">
        <f>IF(AND(SamplingData[[#This Row],[Total]]&lt;&gt; 0, NOT(ISBLANK(SamplingData[[#This Row],[Losing Candidate]]))),(SamplingData[[#This Row],[Total]]+SamplingData[[#This Row],[Winning Candidate]]-SamplingData[[#This Row],[Losing Candidate]])/(SamplingData[[#Totals],[Winning Candidate]]-SamplingData[[#Totals],[Losing Candidate]]), 0)</f>
        <v>0</v>
      </c>
      <c r="L268" s="100">
        <f>IF(AND(SamplingData[[#This Row],[Total]]&lt;&gt; 0, NOT(ISBLANK(SamplingData[[#This Row],[Candidate 3]]))),(SamplingData[[#This Row],[Total]]+SamplingData[[#This Row],[Winning Candidate]]-SamplingData[[#This Row],[Candidate 3]])/(SamplingData[[#Totals],[Winning Candidate]]-SamplingData[[#Totals],[Candidate 3]]), 0)</f>
        <v>0</v>
      </c>
      <c r="M268" s="100">
        <f>IF(AND(SamplingData[[#This Row],[Total]]&lt;&gt; 0, NOT(ISBLANK(SamplingData[[#This Row],[Candidate 4]]))),(SamplingData[[#This Row],[Total]]+SamplingData[[#This Row],[Winning Candidate]]-SamplingData[[#This Row],[Candidate 4]])/(SamplingData[[#Totals],[Winning Candidate]]-SamplingData[[#Totals],[Candidate 4]]), 0)</f>
        <v>0</v>
      </c>
      <c r="N268" s="100">
        <f>IF(AND(SamplingData[[#This Row],[Total]]&lt;&gt; 0, NOT(ISBLANK(SamplingData[[#This Row],[Candidate 5]]))),(SamplingData[[#This Row],[Total]]+SamplingData[[#This Row],[Winning Candidate]]-SamplingData[[#This Row],[Candidate 5]])/(SamplingData[[#Totals],[Winning Candidate]]-SamplingData[[#Totals],[Candidate 5]]), 0)</f>
        <v>0</v>
      </c>
      <c r="O268" s="100">
        <f>IF(AND(SamplingData[[#This Row],[Total]]&lt;&gt; 0, NOT(ISBLANK(SamplingData[[#This Row],[Candidate 6]]))),(SamplingData[[#This Row],[Total]]+SamplingData[[#This Row],[Winning Candidate]]-SamplingData[[#This Row],[Candidate 6]])/(SamplingData[[#Totals],[Winning Candidate]]-SamplingData[[#Totals],[Candidate 6]]), 0)</f>
        <v>0</v>
      </c>
      <c r="P268" s="100">
        <f>MAX(SamplingData[[#This Row],[Error Bound (up) - Max. possible relative overstatement - Losing Candidate]:[Error Bound (up) - Max. possible relative overstatement - Candidate 6]])</f>
        <v>0</v>
      </c>
      <c r="Q268" s="100">
        <f>IF(SamplingData[[#This Row],[Max Error Bound (up)]] = 0,0,SamplingData[[#This Row],[Max Error Bound (up)]]/SamplingData[[#Totals],[Max Error Bound (up)]])</f>
        <v>0</v>
      </c>
      <c r="R268" s="101">
        <f>SUM($Q$5:Q268)</f>
        <v>0.17281633454230855</v>
      </c>
      <c r="S268" s="100" t="str">
        <f t="array" ref="S268">IF(SamplingData[[#This Row],[up/U Selection Probability]] = 0, "Zero", TEXT(SamplingData[[#This Row],[Lower Range]], REPT("0",LEN('General Info'!$B$40))) &amp; " - " &amp; TEXT(SamplingData[[#This Row],[Upper Range]], REPT("0",LEN('General Info'!$B$40))))</f>
        <v>Zero</v>
      </c>
      <c r="T268" s="100">
        <f>SamplingData[[#This Row],[Upper Range]]-SamplingData[[#This Row],[Span]]</f>
        <v>17281.633454230854</v>
      </c>
      <c r="U268" s="100">
        <f>IF(ISNUMBER('General Info'!$B$40), ((SamplingData[[#This Row],[up/U Selection Probability]]) * 'General Info'!$B$40) - 1, 0)</f>
        <v>-1</v>
      </c>
      <c r="V268" s="100">
        <f>IF(ISNUMBER('General Info'!$B$40), (SamplingData[[#This Row],[Running (cumulative) sum]] * ('General Info'!$B$40 -'General Info'!$B$41 + 1)) + 'General Info'!$B$41 - 1, 0)</f>
        <v>17280.633454230854</v>
      </c>
      <c r="W268" s="100" t="str">
        <f>IF(ISERROR(MATCH(SamplingData[[#This Row],[Batch by Type (p)]],SelectedPrecincts[Batch Name], 0)), "", INDEX(SelectedPrecincts[Draw], MATCH(SamplingData[[#This Row],[Batch by Type (p)]],SelectedPrecincts[Batch Name], 0)))</f>
        <v/>
      </c>
      <c r="X268" s="102">
        <f>IF(COUNTIF(SelectedPrecincts[Batch Name],SamplingData[[#This Row],[Batch by Type (p)]]) &lt;&gt; 0, COUNTIF(SelectedPrecincts[Batch Name],SamplingData[[#This Row],[Batch by Type (p)]]), 0)</f>
        <v>0</v>
      </c>
    </row>
    <row r="269" spans="1:24" ht="15" customHeight="1">
      <c r="A269" s="18" t="s">
        <v>445</v>
      </c>
      <c r="B269" s="18">
        <v>0</v>
      </c>
      <c r="C269" s="18">
        <v>0</v>
      </c>
      <c r="D269" s="16">
        <v>0</v>
      </c>
      <c r="E269" s="16">
        <v>1</v>
      </c>
      <c r="F269" s="37">
        <v>0</v>
      </c>
      <c r="G269" s="37">
        <v>0</v>
      </c>
      <c r="H269" s="17">
        <v>0</v>
      </c>
      <c r="I269" s="17">
        <v>0</v>
      </c>
      <c r="J269" s="99">
        <f>SUM(SamplingData[[#This Row],[Losing Candidate]:[Under Votes]])</f>
        <v>1</v>
      </c>
      <c r="K269"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69" s="100">
        <f>IF(AND(SamplingData[[#This Row],[Total]]&lt;&gt; 0, NOT(ISBLANK(SamplingData[[#This Row],[Candidate 3]]))),(SamplingData[[#This Row],[Total]]+SamplingData[[#This Row],[Winning Candidate]]-SamplingData[[#This Row],[Candidate 3]])/(SamplingData[[#Totals],[Winning Candidate]]-SamplingData[[#Totals],[Candidate 3]]), 0)</f>
        <v>3.2261186566441917E-5</v>
      </c>
      <c r="M269" s="100">
        <f>IF(AND(SamplingData[[#This Row],[Total]]&lt;&gt; 0, NOT(ISBLANK(SamplingData[[#This Row],[Candidate 4]]))),(SamplingData[[#This Row],[Total]]+SamplingData[[#This Row],[Winning Candidate]]-SamplingData[[#This Row],[Candidate 4]])/(SamplingData[[#Totals],[Winning Candidate]]-SamplingData[[#Totals],[Candidate 4]]), 0)</f>
        <v>0</v>
      </c>
      <c r="N269" s="100">
        <f>IF(AND(SamplingData[[#This Row],[Total]]&lt;&gt; 0, NOT(ISBLANK(SamplingData[[#This Row],[Candidate 5]]))),(SamplingData[[#This Row],[Total]]+SamplingData[[#This Row],[Winning Candidate]]-SamplingData[[#This Row],[Candidate 5]])/(SamplingData[[#Totals],[Winning Candidate]]-SamplingData[[#Totals],[Candidate 5]]), 0)</f>
        <v>2.4324981756263683E-5</v>
      </c>
      <c r="O269" s="100">
        <f>IF(AND(SamplingData[[#This Row],[Total]]&lt;&gt; 0, NOT(ISBLANK(SamplingData[[#This Row],[Candidate 6]]))),(SamplingData[[#This Row],[Total]]+SamplingData[[#This Row],[Winning Candidate]]-SamplingData[[#This Row],[Candidate 6]])/(SamplingData[[#Totals],[Winning Candidate]]-SamplingData[[#Totals],[Candidate 6]]), 0)</f>
        <v>2.431788337143135E-5</v>
      </c>
      <c r="P269" s="100">
        <f>MAX(SamplingData[[#This Row],[Error Bound (up) - Max. possible relative overstatement - Losing Candidate]:[Error Bound (up) - Max. possible relative overstatement - Candidate 6]])</f>
        <v>6.1244487996080352E-5</v>
      </c>
      <c r="Q269" s="100">
        <f>IF(SamplingData[[#This Row],[Max Error Bound (up)]] = 0,0,SamplingData[[#This Row],[Max Error Bound (up)]]/SamplingData[[#Totals],[Max Error Bound (up)]])</f>
        <v>9.6929482784458315E-6</v>
      </c>
      <c r="R269" s="101">
        <f>SUM($Q$5:Q269)</f>
        <v>0.17282602749058698</v>
      </c>
      <c r="S269" s="100" t="str">
        <f t="array" ref="S269">IF(SamplingData[[#This Row],[up/U Selection Probability]] = 0, "Zero", TEXT(SamplingData[[#This Row],[Lower Range]], REPT("0",LEN('General Info'!$B$40))) &amp; " - " &amp; TEXT(SamplingData[[#This Row],[Upper Range]], REPT("0",LEN('General Info'!$B$40))))</f>
        <v>17282 - 17282</v>
      </c>
      <c r="T269" s="100">
        <f>SamplingData[[#This Row],[Upper Range]]-SamplingData[[#This Row],[Span]]</f>
        <v>17281.633463923801</v>
      </c>
      <c r="U269" s="100">
        <f>IF(ISNUMBER('General Info'!$B$40), ((SamplingData[[#This Row],[up/U Selection Probability]]) * 'General Info'!$B$40) - 1, 0)</f>
        <v>-3.0714865103695255E-2</v>
      </c>
      <c r="V269" s="100">
        <f>IF(ISNUMBER('General Info'!$B$40), (SamplingData[[#This Row],[Running (cumulative) sum]] * ('General Info'!$B$40 -'General Info'!$B$41 + 1)) + 'General Info'!$B$41 - 1, 0)</f>
        <v>17281.602749058697</v>
      </c>
      <c r="W269" s="100" t="str">
        <f>IF(ISERROR(MATCH(SamplingData[[#This Row],[Batch by Type (p)]],SelectedPrecincts[Batch Name], 0)), "", INDEX(SelectedPrecincts[Draw], MATCH(SamplingData[[#This Row],[Batch by Type (p)]],SelectedPrecincts[Batch Name], 0)))</f>
        <v/>
      </c>
      <c r="X269" s="102">
        <f>IF(COUNTIF(SelectedPrecincts[Batch Name],SamplingData[[#This Row],[Batch by Type (p)]]) &lt;&gt; 0, COUNTIF(SelectedPrecincts[Batch Name],SamplingData[[#This Row],[Batch by Type (p)]]), 0)</f>
        <v>0</v>
      </c>
    </row>
    <row r="270" spans="1:24" ht="15" customHeight="1">
      <c r="A270" s="18" t="s">
        <v>446</v>
      </c>
      <c r="B270" s="18">
        <v>0</v>
      </c>
      <c r="C270" s="18">
        <v>0</v>
      </c>
      <c r="D270" s="18">
        <v>0</v>
      </c>
      <c r="E270" s="18">
        <v>0</v>
      </c>
      <c r="F270" s="18">
        <v>0</v>
      </c>
      <c r="G270" s="18">
        <v>0</v>
      </c>
      <c r="H270" s="18">
        <v>0</v>
      </c>
      <c r="I270" s="18">
        <v>0</v>
      </c>
      <c r="J270" s="99">
        <f>SUM(SamplingData[[#This Row],[Losing Candidate]:[Under Votes]])</f>
        <v>0</v>
      </c>
      <c r="K270" s="100">
        <f>IF(AND(SamplingData[[#This Row],[Total]]&lt;&gt; 0, NOT(ISBLANK(SamplingData[[#This Row],[Losing Candidate]]))),(SamplingData[[#This Row],[Total]]+SamplingData[[#This Row],[Winning Candidate]]-SamplingData[[#This Row],[Losing Candidate]])/(SamplingData[[#Totals],[Winning Candidate]]-SamplingData[[#Totals],[Losing Candidate]]), 0)</f>
        <v>0</v>
      </c>
      <c r="L270" s="100">
        <f>IF(AND(SamplingData[[#This Row],[Total]]&lt;&gt; 0, NOT(ISBLANK(SamplingData[[#This Row],[Candidate 3]]))),(SamplingData[[#This Row],[Total]]+SamplingData[[#This Row],[Winning Candidate]]-SamplingData[[#This Row],[Candidate 3]])/(SamplingData[[#Totals],[Winning Candidate]]-SamplingData[[#Totals],[Candidate 3]]), 0)</f>
        <v>0</v>
      </c>
      <c r="M270" s="100">
        <f>IF(AND(SamplingData[[#This Row],[Total]]&lt;&gt; 0, NOT(ISBLANK(SamplingData[[#This Row],[Candidate 4]]))),(SamplingData[[#This Row],[Total]]+SamplingData[[#This Row],[Winning Candidate]]-SamplingData[[#This Row],[Candidate 4]])/(SamplingData[[#Totals],[Winning Candidate]]-SamplingData[[#Totals],[Candidate 4]]), 0)</f>
        <v>0</v>
      </c>
      <c r="N270" s="100">
        <f>IF(AND(SamplingData[[#This Row],[Total]]&lt;&gt; 0, NOT(ISBLANK(SamplingData[[#This Row],[Candidate 5]]))),(SamplingData[[#This Row],[Total]]+SamplingData[[#This Row],[Winning Candidate]]-SamplingData[[#This Row],[Candidate 5]])/(SamplingData[[#Totals],[Winning Candidate]]-SamplingData[[#Totals],[Candidate 5]]), 0)</f>
        <v>0</v>
      </c>
      <c r="O270" s="100">
        <f>IF(AND(SamplingData[[#This Row],[Total]]&lt;&gt; 0, NOT(ISBLANK(SamplingData[[#This Row],[Candidate 6]]))),(SamplingData[[#This Row],[Total]]+SamplingData[[#This Row],[Winning Candidate]]-SamplingData[[#This Row],[Candidate 6]])/(SamplingData[[#Totals],[Winning Candidate]]-SamplingData[[#Totals],[Candidate 6]]), 0)</f>
        <v>0</v>
      </c>
      <c r="P270" s="100">
        <f>MAX(SamplingData[[#This Row],[Error Bound (up) - Max. possible relative overstatement - Losing Candidate]:[Error Bound (up) - Max. possible relative overstatement - Candidate 6]])</f>
        <v>0</v>
      </c>
      <c r="Q270" s="100">
        <f>IF(SamplingData[[#This Row],[Max Error Bound (up)]] = 0,0,SamplingData[[#This Row],[Max Error Bound (up)]]/SamplingData[[#Totals],[Max Error Bound (up)]])</f>
        <v>0</v>
      </c>
      <c r="R270" s="101">
        <f>SUM($Q$5:Q270)</f>
        <v>0.17282602749058698</v>
      </c>
      <c r="S270" s="100" t="str">
        <f t="array" ref="S270">IF(SamplingData[[#This Row],[up/U Selection Probability]] = 0, "Zero", TEXT(SamplingData[[#This Row],[Lower Range]], REPT("0",LEN('General Info'!$B$40))) &amp; " - " &amp; TEXT(SamplingData[[#This Row],[Upper Range]], REPT("0",LEN('General Info'!$B$40))))</f>
        <v>Zero</v>
      </c>
      <c r="T270" s="100">
        <f>SamplingData[[#This Row],[Upper Range]]-SamplingData[[#This Row],[Span]]</f>
        <v>17282.602749058697</v>
      </c>
      <c r="U270" s="100">
        <f>IF(ISNUMBER('General Info'!$B$40), ((SamplingData[[#This Row],[up/U Selection Probability]]) * 'General Info'!$B$40) - 1, 0)</f>
        <v>-1</v>
      </c>
      <c r="V270" s="100">
        <f>IF(ISNUMBER('General Info'!$B$40), (SamplingData[[#This Row],[Running (cumulative) sum]] * ('General Info'!$B$40 -'General Info'!$B$41 + 1)) + 'General Info'!$B$41 - 1, 0)</f>
        <v>17281.602749058697</v>
      </c>
      <c r="W270" s="100" t="str">
        <f>IF(ISERROR(MATCH(SamplingData[[#This Row],[Batch by Type (p)]],SelectedPrecincts[Batch Name], 0)), "", INDEX(SelectedPrecincts[Draw], MATCH(SamplingData[[#This Row],[Batch by Type (p)]],SelectedPrecincts[Batch Name], 0)))</f>
        <v/>
      </c>
      <c r="X270" s="102">
        <f>IF(COUNTIF(SelectedPrecincts[Batch Name],SamplingData[[#This Row],[Batch by Type (p)]]) &lt;&gt; 0, COUNTIF(SelectedPrecincts[Batch Name],SamplingData[[#This Row],[Batch by Type (p)]]), 0)</f>
        <v>0</v>
      </c>
    </row>
    <row r="271" spans="1:24" ht="15" customHeight="1">
      <c r="A271" s="18" t="s">
        <v>447</v>
      </c>
      <c r="B271" s="18">
        <v>1</v>
      </c>
      <c r="C271" s="18">
        <v>0</v>
      </c>
      <c r="D271" s="16">
        <v>1</v>
      </c>
      <c r="E271" s="16">
        <v>0</v>
      </c>
      <c r="F271" s="37">
        <v>0</v>
      </c>
      <c r="G271" s="37">
        <v>0</v>
      </c>
      <c r="H271" s="17">
        <v>0</v>
      </c>
      <c r="I271" s="17">
        <v>0</v>
      </c>
      <c r="J271" s="99">
        <f>SUM(SamplingData[[#This Row],[Losing Candidate]:[Under Votes]])</f>
        <v>2</v>
      </c>
      <c r="K271"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71" s="100">
        <f>IF(AND(SamplingData[[#This Row],[Total]]&lt;&gt; 0, NOT(ISBLANK(SamplingData[[#This Row],[Candidate 3]]))),(SamplingData[[#This Row],[Total]]+SamplingData[[#This Row],[Winning Candidate]]-SamplingData[[#This Row],[Candidate 3]])/(SamplingData[[#Totals],[Winning Candidate]]-SamplingData[[#Totals],[Candidate 3]]), 0)</f>
        <v>3.2261186566441917E-5</v>
      </c>
      <c r="M271" s="100">
        <f>IF(AND(SamplingData[[#This Row],[Total]]&lt;&gt; 0, NOT(ISBLANK(SamplingData[[#This Row],[Candidate 4]]))),(SamplingData[[#This Row],[Total]]+SamplingData[[#This Row],[Winning Candidate]]-SamplingData[[#This Row],[Candidate 4]])/(SamplingData[[#Totals],[Winning Candidate]]-SamplingData[[#Totals],[Candidate 4]]), 0)</f>
        <v>5.846414686193692E-5</v>
      </c>
      <c r="N271" s="100">
        <f>IF(AND(SamplingData[[#This Row],[Total]]&lt;&gt; 0, NOT(ISBLANK(SamplingData[[#This Row],[Candidate 5]]))),(SamplingData[[#This Row],[Total]]+SamplingData[[#This Row],[Winning Candidate]]-SamplingData[[#This Row],[Candidate 5]])/(SamplingData[[#Totals],[Winning Candidate]]-SamplingData[[#Totals],[Candidate 5]]), 0)</f>
        <v>4.8649963512527367E-5</v>
      </c>
      <c r="O271" s="100">
        <f>IF(AND(SamplingData[[#This Row],[Total]]&lt;&gt; 0, NOT(ISBLANK(SamplingData[[#This Row],[Candidate 6]]))),(SamplingData[[#This Row],[Total]]+SamplingData[[#This Row],[Winning Candidate]]-SamplingData[[#This Row],[Candidate 6]])/(SamplingData[[#Totals],[Winning Candidate]]-SamplingData[[#Totals],[Candidate 6]]), 0)</f>
        <v>4.8635766742862701E-5</v>
      </c>
      <c r="P271" s="100">
        <f>MAX(SamplingData[[#This Row],[Error Bound (up) - Max. possible relative overstatement - Losing Candidate]:[Error Bound (up) - Max. possible relative overstatement - Candidate 6]])</f>
        <v>6.1244487996080352E-5</v>
      </c>
      <c r="Q271" s="100">
        <f>IF(SamplingData[[#This Row],[Max Error Bound (up)]] = 0,0,SamplingData[[#This Row],[Max Error Bound (up)]]/SamplingData[[#Totals],[Max Error Bound (up)]])</f>
        <v>9.6929482784458315E-6</v>
      </c>
      <c r="R271" s="101">
        <f>SUM($Q$5:Q271)</f>
        <v>0.17283572043886541</v>
      </c>
      <c r="S271" s="100" t="str">
        <f t="array" ref="S271">IF(SamplingData[[#This Row],[up/U Selection Probability]] = 0, "Zero", TEXT(SamplingData[[#This Row],[Lower Range]], REPT("0",LEN('General Info'!$B$40))) &amp; " - " &amp; TEXT(SamplingData[[#This Row],[Upper Range]], REPT("0",LEN('General Info'!$B$40))))</f>
        <v>17283 - 17283</v>
      </c>
      <c r="T271" s="100">
        <f>SamplingData[[#This Row],[Upper Range]]-SamplingData[[#This Row],[Span]]</f>
        <v>17282.602758751647</v>
      </c>
      <c r="U271" s="100">
        <f>IF(ISNUMBER('General Info'!$B$40), ((SamplingData[[#This Row],[up/U Selection Probability]]) * 'General Info'!$B$40) - 1, 0)</f>
        <v>-3.0714865103695255E-2</v>
      </c>
      <c r="V271" s="100">
        <f>IF(ISNUMBER('General Info'!$B$40), (SamplingData[[#This Row],[Running (cumulative) sum]] * ('General Info'!$B$40 -'General Info'!$B$41 + 1)) + 'General Info'!$B$41 - 1, 0)</f>
        <v>17282.572043886543</v>
      </c>
      <c r="W271" s="100" t="str">
        <f>IF(ISERROR(MATCH(SamplingData[[#This Row],[Batch by Type (p)]],SelectedPrecincts[Batch Name], 0)), "", INDEX(SelectedPrecincts[Draw], MATCH(SamplingData[[#This Row],[Batch by Type (p)]],SelectedPrecincts[Batch Name], 0)))</f>
        <v/>
      </c>
      <c r="X271" s="102">
        <f>IF(COUNTIF(SelectedPrecincts[Batch Name],SamplingData[[#This Row],[Batch by Type (p)]]) &lt;&gt; 0, COUNTIF(SelectedPrecincts[Batch Name],SamplingData[[#This Row],[Batch by Type (p)]]), 0)</f>
        <v>0</v>
      </c>
    </row>
    <row r="272" spans="1:24" ht="15" customHeight="1">
      <c r="A272" s="18" t="s">
        <v>448</v>
      </c>
      <c r="B272" s="18">
        <v>0</v>
      </c>
      <c r="C272" s="18">
        <v>1</v>
      </c>
      <c r="D272" s="18">
        <v>0</v>
      </c>
      <c r="E272" s="18">
        <v>0</v>
      </c>
      <c r="F272" s="18">
        <v>0</v>
      </c>
      <c r="G272" s="18">
        <v>0</v>
      </c>
      <c r="H272" s="18">
        <v>0</v>
      </c>
      <c r="I272" s="18">
        <v>0</v>
      </c>
      <c r="J272" s="99">
        <f>SUM(SamplingData[[#This Row],[Losing Candidate]:[Under Votes]])</f>
        <v>1</v>
      </c>
      <c r="K27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272" s="100">
        <f>IF(AND(SamplingData[[#This Row],[Total]]&lt;&gt; 0, NOT(ISBLANK(SamplingData[[#This Row],[Candidate 3]]))),(SamplingData[[#This Row],[Total]]+SamplingData[[#This Row],[Winning Candidate]]-SamplingData[[#This Row],[Candidate 3]])/(SamplingData[[#Totals],[Winning Candidate]]-SamplingData[[#Totals],[Candidate 3]]), 0)</f>
        <v>6.4522373132883833E-5</v>
      </c>
      <c r="M272" s="100">
        <f>IF(AND(SamplingData[[#This Row],[Total]]&lt;&gt; 0, NOT(ISBLANK(SamplingData[[#This Row],[Candidate 4]]))),(SamplingData[[#This Row],[Total]]+SamplingData[[#This Row],[Winning Candidate]]-SamplingData[[#This Row],[Candidate 4]])/(SamplingData[[#Totals],[Winning Candidate]]-SamplingData[[#Totals],[Candidate 4]]), 0)</f>
        <v>5.846414686193692E-5</v>
      </c>
      <c r="N272" s="100">
        <f>IF(AND(SamplingData[[#This Row],[Total]]&lt;&gt; 0, NOT(ISBLANK(SamplingData[[#This Row],[Candidate 5]]))),(SamplingData[[#This Row],[Total]]+SamplingData[[#This Row],[Winning Candidate]]-SamplingData[[#This Row],[Candidate 5]])/(SamplingData[[#Totals],[Winning Candidate]]-SamplingData[[#Totals],[Candidate 5]]), 0)</f>
        <v>4.8649963512527367E-5</v>
      </c>
      <c r="O272" s="100">
        <f>IF(AND(SamplingData[[#This Row],[Total]]&lt;&gt; 0, NOT(ISBLANK(SamplingData[[#This Row],[Candidate 6]]))),(SamplingData[[#This Row],[Total]]+SamplingData[[#This Row],[Winning Candidate]]-SamplingData[[#This Row],[Candidate 6]])/(SamplingData[[#Totals],[Winning Candidate]]-SamplingData[[#Totals],[Candidate 6]]), 0)</f>
        <v>4.8635766742862701E-5</v>
      </c>
      <c r="P272" s="100">
        <f>MAX(SamplingData[[#This Row],[Error Bound (up) - Max. possible relative overstatement - Losing Candidate]:[Error Bound (up) - Max. possible relative overstatement - Candidate 6]])</f>
        <v>1.224889759921607E-4</v>
      </c>
      <c r="Q272" s="100">
        <f>IF(SamplingData[[#This Row],[Max Error Bound (up)]] = 0,0,SamplingData[[#This Row],[Max Error Bound (up)]]/SamplingData[[#Totals],[Max Error Bound (up)]])</f>
        <v>1.9385896556891663E-5</v>
      </c>
      <c r="R272" s="101">
        <f>SUM($Q$5:Q272)</f>
        <v>0.17285510633542231</v>
      </c>
      <c r="S272" s="100" t="str">
        <f t="array" ref="S272">IF(SamplingData[[#This Row],[up/U Selection Probability]] = 0, "Zero", TEXT(SamplingData[[#This Row],[Lower Range]], REPT("0",LEN('General Info'!$B$40))) &amp; " - " &amp; TEXT(SamplingData[[#This Row],[Upper Range]], REPT("0",LEN('General Info'!$B$40))))</f>
        <v>17284 - 17285</v>
      </c>
      <c r="T272" s="100">
        <f>SamplingData[[#This Row],[Upper Range]]-SamplingData[[#This Row],[Span]]</f>
        <v>17283.572063272441</v>
      </c>
      <c r="U272" s="100">
        <f>IF(ISNUMBER('General Info'!$B$40), ((SamplingData[[#This Row],[up/U Selection Probability]]) * 'General Info'!$B$40) - 1, 0)</f>
        <v>0.93857026979260949</v>
      </c>
      <c r="V272" s="100">
        <f>IF(ISNUMBER('General Info'!$B$40), (SamplingData[[#This Row],[Running (cumulative) sum]] * ('General Info'!$B$40 -'General Info'!$B$41 + 1)) + 'General Info'!$B$41 - 1, 0)</f>
        <v>17284.510633542232</v>
      </c>
      <c r="W272" s="100" t="str">
        <f>IF(ISERROR(MATCH(SamplingData[[#This Row],[Batch by Type (p)]],SelectedPrecincts[Batch Name], 0)), "", INDEX(SelectedPrecincts[Draw], MATCH(SamplingData[[#This Row],[Batch by Type (p)]],SelectedPrecincts[Batch Name], 0)))</f>
        <v/>
      </c>
      <c r="X272" s="102">
        <f>IF(COUNTIF(SelectedPrecincts[Batch Name],SamplingData[[#This Row],[Batch by Type (p)]]) &lt;&gt; 0, COUNTIF(SelectedPrecincts[Batch Name],SamplingData[[#This Row],[Batch by Type (p)]]), 0)</f>
        <v>0</v>
      </c>
    </row>
    <row r="273" spans="1:24" ht="15" customHeight="1">
      <c r="A273" s="18" t="s">
        <v>449</v>
      </c>
      <c r="B273" s="18">
        <v>0</v>
      </c>
      <c r="C273" s="18">
        <v>0</v>
      </c>
      <c r="D273" s="16">
        <v>0</v>
      </c>
      <c r="E273" s="16">
        <v>0</v>
      </c>
      <c r="F273" s="37">
        <v>0</v>
      </c>
      <c r="G273" s="37">
        <v>0</v>
      </c>
      <c r="H273" s="17">
        <v>0</v>
      </c>
      <c r="I273" s="17">
        <v>1</v>
      </c>
      <c r="J273" s="99">
        <f>SUM(SamplingData[[#This Row],[Losing Candidate]:[Under Votes]])</f>
        <v>1</v>
      </c>
      <c r="K273"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73" s="100">
        <f>IF(AND(SamplingData[[#This Row],[Total]]&lt;&gt; 0, NOT(ISBLANK(SamplingData[[#This Row],[Candidate 3]]))),(SamplingData[[#This Row],[Total]]+SamplingData[[#This Row],[Winning Candidate]]-SamplingData[[#This Row],[Candidate 3]])/(SamplingData[[#Totals],[Winning Candidate]]-SamplingData[[#Totals],[Candidate 3]]), 0)</f>
        <v>3.2261186566441917E-5</v>
      </c>
      <c r="M273" s="100">
        <f>IF(AND(SamplingData[[#This Row],[Total]]&lt;&gt; 0, NOT(ISBLANK(SamplingData[[#This Row],[Candidate 4]]))),(SamplingData[[#This Row],[Total]]+SamplingData[[#This Row],[Winning Candidate]]-SamplingData[[#This Row],[Candidate 4]])/(SamplingData[[#Totals],[Winning Candidate]]-SamplingData[[#Totals],[Candidate 4]]), 0)</f>
        <v>2.923207343096846E-5</v>
      </c>
      <c r="N273" s="100">
        <f>IF(AND(SamplingData[[#This Row],[Total]]&lt;&gt; 0, NOT(ISBLANK(SamplingData[[#This Row],[Candidate 5]]))),(SamplingData[[#This Row],[Total]]+SamplingData[[#This Row],[Winning Candidate]]-SamplingData[[#This Row],[Candidate 5]])/(SamplingData[[#Totals],[Winning Candidate]]-SamplingData[[#Totals],[Candidate 5]]), 0)</f>
        <v>2.4324981756263683E-5</v>
      </c>
      <c r="O273" s="100">
        <f>IF(AND(SamplingData[[#This Row],[Total]]&lt;&gt; 0, NOT(ISBLANK(SamplingData[[#This Row],[Candidate 6]]))),(SamplingData[[#This Row],[Total]]+SamplingData[[#This Row],[Winning Candidate]]-SamplingData[[#This Row],[Candidate 6]])/(SamplingData[[#Totals],[Winning Candidate]]-SamplingData[[#Totals],[Candidate 6]]), 0)</f>
        <v>2.431788337143135E-5</v>
      </c>
      <c r="P273" s="100">
        <f>MAX(SamplingData[[#This Row],[Error Bound (up) - Max. possible relative overstatement - Losing Candidate]:[Error Bound (up) - Max. possible relative overstatement - Candidate 6]])</f>
        <v>6.1244487996080352E-5</v>
      </c>
      <c r="Q273" s="100">
        <f>IF(SamplingData[[#This Row],[Max Error Bound (up)]] = 0,0,SamplingData[[#This Row],[Max Error Bound (up)]]/SamplingData[[#Totals],[Max Error Bound (up)]])</f>
        <v>9.6929482784458315E-6</v>
      </c>
      <c r="R273" s="101">
        <f>SUM($Q$5:Q273)</f>
        <v>0.17286479928370074</v>
      </c>
      <c r="S273" s="100" t="str">
        <f t="array" ref="S273">IF(SamplingData[[#This Row],[up/U Selection Probability]] = 0, "Zero", TEXT(SamplingData[[#This Row],[Lower Range]], REPT("0",LEN('General Info'!$B$40))) &amp; " - " &amp; TEXT(SamplingData[[#This Row],[Upper Range]], REPT("0",LEN('General Info'!$B$40))))</f>
        <v>17286 - 17285</v>
      </c>
      <c r="T273" s="100">
        <f>SamplingData[[#This Row],[Upper Range]]-SamplingData[[#This Row],[Span]]</f>
        <v>17285.510643235179</v>
      </c>
      <c r="U273" s="100">
        <f>IF(ISNUMBER('General Info'!$B$40), ((SamplingData[[#This Row],[up/U Selection Probability]]) * 'General Info'!$B$40) - 1, 0)</f>
        <v>-3.0714865103695255E-2</v>
      </c>
      <c r="V273" s="100">
        <f>IF(ISNUMBER('General Info'!$B$40), (SamplingData[[#This Row],[Running (cumulative) sum]] * ('General Info'!$B$40 -'General Info'!$B$41 + 1)) + 'General Info'!$B$41 - 1, 0)</f>
        <v>17285.479928370074</v>
      </c>
      <c r="W273" s="100" t="str">
        <f>IF(ISERROR(MATCH(SamplingData[[#This Row],[Batch by Type (p)]],SelectedPrecincts[Batch Name], 0)), "", INDEX(SelectedPrecincts[Draw], MATCH(SamplingData[[#This Row],[Batch by Type (p)]],SelectedPrecincts[Batch Name], 0)))</f>
        <v/>
      </c>
      <c r="X273" s="102">
        <f>IF(COUNTIF(SelectedPrecincts[Batch Name],SamplingData[[#This Row],[Batch by Type (p)]]) &lt;&gt; 0, COUNTIF(SelectedPrecincts[Batch Name],SamplingData[[#This Row],[Batch by Type (p)]]), 0)</f>
        <v>0</v>
      </c>
    </row>
    <row r="274" spans="1:24" ht="15" customHeight="1">
      <c r="A274" s="18" t="s">
        <v>450</v>
      </c>
      <c r="B274" s="18">
        <v>0</v>
      </c>
      <c r="C274" s="18">
        <v>1</v>
      </c>
      <c r="D274" s="18">
        <v>0</v>
      </c>
      <c r="E274" s="18">
        <v>0</v>
      </c>
      <c r="F274" s="18">
        <v>0</v>
      </c>
      <c r="G274" s="18">
        <v>0</v>
      </c>
      <c r="H274" s="18">
        <v>0</v>
      </c>
      <c r="I274" s="18">
        <v>0</v>
      </c>
      <c r="J274" s="99">
        <f>SUM(SamplingData[[#This Row],[Losing Candidate]:[Under Votes]])</f>
        <v>1</v>
      </c>
      <c r="K27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274" s="100">
        <f>IF(AND(SamplingData[[#This Row],[Total]]&lt;&gt; 0, NOT(ISBLANK(SamplingData[[#This Row],[Candidate 3]]))),(SamplingData[[#This Row],[Total]]+SamplingData[[#This Row],[Winning Candidate]]-SamplingData[[#This Row],[Candidate 3]])/(SamplingData[[#Totals],[Winning Candidate]]-SamplingData[[#Totals],[Candidate 3]]), 0)</f>
        <v>6.4522373132883833E-5</v>
      </c>
      <c r="M274" s="100">
        <f>IF(AND(SamplingData[[#This Row],[Total]]&lt;&gt; 0, NOT(ISBLANK(SamplingData[[#This Row],[Candidate 4]]))),(SamplingData[[#This Row],[Total]]+SamplingData[[#This Row],[Winning Candidate]]-SamplingData[[#This Row],[Candidate 4]])/(SamplingData[[#Totals],[Winning Candidate]]-SamplingData[[#Totals],[Candidate 4]]), 0)</f>
        <v>5.846414686193692E-5</v>
      </c>
      <c r="N274" s="100">
        <f>IF(AND(SamplingData[[#This Row],[Total]]&lt;&gt; 0, NOT(ISBLANK(SamplingData[[#This Row],[Candidate 5]]))),(SamplingData[[#This Row],[Total]]+SamplingData[[#This Row],[Winning Candidate]]-SamplingData[[#This Row],[Candidate 5]])/(SamplingData[[#Totals],[Winning Candidate]]-SamplingData[[#Totals],[Candidate 5]]), 0)</f>
        <v>4.8649963512527367E-5</v>
      </c>
      <c r="O274" s="100">
        <f>IF(AND(SamplingData[[#This Row],[Total]]&lt;&gt; 0, NOT(ISBLANK(SamplingData[[#This Row],[Candidate 6]]))),(SamplingData[[#This Row],[Total]]+SamplingData[[#This Row],[Winning Candidate]]-SamplingData[[#This Row],[Candidate 6]])/(SamplingData[[#Totals],[Winning Candidate]]-SamplingData[[#Totals],[Candidate 6]]), 0)</f>
        <v>4.8635766742862701E-5</v>
      </c>
      <c r="P274" s="100">
        <f>MAX(SamplingData[[#This Row],[Error Bound (up) - Max. possible relative overstatement - Losing Candidate]:[Error Bound (up) - Max. possible relative overstatement - Candidate 6]])</f>
        <v>1.224889759921607E-4</v>
      </c>
      <c r="Q274" s="100">
        <f>IF(SamplingData[[#This Row],[Max Error Bound (up)]] = 0,0,SamplingData[[#This Row],[Max Error Bound (up)]]/SamplingData[[#Totals],[Max Error Bound (up)]])</f>
        <v>1.9385896556891663E-5</v>
      </c>
      <c r="R274" s="101">
        <f>SUM($Q$5:Q274)</f>
        <v>0.17288418518025764</v>
      </c>
      <c r="S274" s="100" t="str">
        <f t="array" ref="S274">IF(SamplingData[[#This Row],[up/U Selection Probability]] = 0, "Zero", TEXT(SamplingData[[#This Row],[Lower Range]], REPT("0",LEN('General Info'!$B$40))) &amp; " - " &amp; TEXT(SamplingData[[#This Row],[Upper Range]], REPT("0",LEN('General Info'!$B$40))))</f>
        <v>17286 - 17287</v>
      </c>
      <c r="T274" s="100">
        <f>SamplingData[[#This Row],[Upper Range]]-SamplingData[[#This Row],[Span]]</f>
        <v>17286.479947755972</v>
      </c>
      <c r="U274" s="100">
        <f>IF(ISNUMBER('General Info'!$B$40), ((SamplingData[[#This Row],[up/U Selection Probability]]) * 'General Info'!$B$40) - 1, 0)</f>
        <v>0.93857026979260949</v>
      </c>
      <c r="V274" s="100">
        <f>IF(ISNUMBER('General Info'!$B$40), (SamplingData[[#This Row],[Running (cumulative) sum]] * ('General Info'!$B$40 -'General Info'!$B$41 + 1)) + 'General Info'!$B$41 - 1, 0)</f>
        <v>17287.418518025763</v>
      </c>
      <c r="W274" s="100" t="str">
        <f>IF(ISERROR(MATCH(SamplingData[[#This Row],[Batch by Type (p)]],SelectedPrecincts[Batch Name], 0)), "", INDEX(SelectedPrecincts[Draw], MATCH(SamplingData[[#This Row],[Batch by Type (p)]],SelectedPrecincts[Batch Name], 0)))</f>
        <v/>
      </c>
      <c r="X274" s="102">
        <f>IF(COUNTIF(SelectedPrecincts[Batch Name],SamplingData[[#This Row],[Batch by Type (p)]]) &lt;&gt; 0, COUNTIF(SelectedPrecincts[Batch Name],SamplingData[[#This Row],[Batch by Type (p)]]), 0)</f>
        <v>0</v>
      </c>
    </row>
    <row r="275" spans="1:24" ht="15" customHeight="1">
      <c r="A275" s="18" t="s">
        <v>451</v>
      </c>
      <c r="B275" s="18">
        <v>0</v>
      </c>
      <c r="C275" s="18">
        <v>0</v>
      </c>
      <c r="D275" s="16">
        <v>0</v>
      </c>
      <c r="E275" s="16">
        <v>0</v>
      </c>
      <c r="F275" s="37">
        <v>0</v>
      </c>
      <c r="G275" s="37">
        <v>0</v>
      </c>
      <c r="H275" s="17">
        <v>0</v>
      </c>
      <c r="I275" s="17">
        <v>0</v>
      </c>
      <c r="J275" s="99">
        <f>SUM(SamplingData[[#This Row],[Losing Candidate]:[Under Votes]])</f>
        <v>0</v>
      </c>
      <c r="K275" s="100">
        <f>IF(AND(SamplingData[[#This Row],[Total]]&lt;&gt; 0, NOT(ISBLANK(SamplingData[[#This Row],[Losing Candidate]]))),(SamplingData[[#This Row],[Total]]+SamplingData[[#This Row],[Winning Candidate]]-SamplingData[[#This Row],[Losing Candidate]])/(SamplingData[[#Totals],[Winning Candidate]]-SamplingData[[#Totals],[Losing Candidate]]), 0)</f>
        <v>0</v>
      </c>
      <c r="L275" s="100">
        <f>IF(AND(SamplingData[[#This Row],[Total]]&lt;&gt; 0, NOT(ISBLANK(SamplingData[[#This Row],[Candidate 3]]))),(SamplingData[[#This Row],[Total]]+SamplingData[[#This Row],[Winning Candidate]]-SamplingData[[#This Row],[Candidate 3]])/(SamplingData[[#Totals],[Winning Candidate]]-SamplingData[[#Totals],[Candidate 3]]), 0)</f>
        <v>0</v>
      </c>
      <c r="M275" s="100">
        <f>IF(AND(SamplingData[[#This Row],[Total]]&lt;&gt; 0, NOT(ISBLANK(SamplingData[[#This Row],[Candidate 4]]))),(SamplingData[[#This Row],[Total]]+SamplingData[[#This Row],[Winning Candidate]]-SamplingData[[#This Row],[Candidate 4]])/(SamplingData[[#Totals],[Winning Candidate]]-SamplingData[[#Totals],[Candidate 4]]), 0)</f>
        <v>0</v>
      </c>
      <c r="N275" s="100">
        <f>IF(AND(SamplingData[[#This Row],[Total]]&lt;&gt; 0, NOT(ISBLANK(SamplingData[[#This Row],[Candidate 5]]))),(SamplingData[[#This Row],[Total]]+SamplingData[[#This Row],[Winning Candidate]]-SamplingData[[#This Row],[Candidate 5]])/(SamplingData[[#Totals],[Winning Candidate]]-SamplingData[[#Totals],[Candidate 5]]), 0)</f>
        <v>0</v>
      </c>
      <c r="O275" s="100">
        <f>IF(AND(SamplingData[[#This Row],[Total]]&lt;&gt; 0, NOT(ISBLANK(SamplingData[[#This Row],[Candidate 6]]))),(SamplingData[[#This Row],[Total]]+SamplingData[[#This Row],[Winning Candidate]]-SamplingData[[#This Row],[Candidate 6]])/(SamplingData[[#Totals],[Winning Candidate]]-SamplingData[[#Totals],[Candidate 6]]), 0)</f>
        <v>0</v>
      </c>
      <c r="P275" s="100">
        <f>MAX(SamplingData[[#This Row],[Error Bound (up) - Max. possible relative overstatement - Losing Candidate]:[Error Bound (up) - Max. possible relative overstatement - Candidate 6]])</f>
        <v>0</v>
      </c>
      <c r="Q275" s="100">
        <f>IF(SamplingData[[#This Row],[Max Error Bound (up)]] = 0,0,SamplingData[[#This Row],[Max Error Bound (up)]]/SamplingData[[#Totals],[Max Error Bound (up)]])</f>
        <v>0</v>
      </c>
      <c r="R275" s="101">
        <f>SUM($Q$5:Q275)</f>
        <v>0.17288418518025764</v>
      </c>
      <c r="S275" s="100" t="str">
        <f t="array" ref="S275">IF(SamplingData[[#This Row],[up/U Selection Probability]] = 0, "Zero", TEXT(SamplingData[[#This Row],[Lower Range]], REPT("0",LEN('General Info'!$B$40))) &amp; " - " &amp; TEXT(SamplingData[[#This Row],[Upper Range]], REPT("0",LEN('General Info'!$B$40))))</f>
        <v>Zero</v>
      </c>
      <c r="T275" s="100">
        <f>SamplingData[[#This Row],[Upper Range]]-SamplingData[[#This Row],[Span]]</f>
        <v>17288.418518025763</v>
      </c>
      <c r="U275" s="100">
        <f>IF(ISNUMBER('General Info'!$B$40), ((SamplingData[[#This Row],[up/U Selection Probability]]) * 'General Info'!$B$40) - 1, 0)</f>
        <v>-1</v>
      </c>
      <c r="V275" s="100">
        <f>IF(ISNUMBER('General Info'!$B$40), (SamplingData[[#This Row],[Running (cumulative) sum]] * ('General Info'!$B$40 -'General Info'!$B$41 + 1)) + 'General Info'!$B$41 - 1, 0)</f>
        <v>17287.418518025763</v>
      </c>
      <c r="W275" s="100" t="str">
        <f>IF(ISERROR(MATCH(SamplingData[[#This Row],[Batch by Type (p)]],SelectedPrecincts[Batch Name], 0)), "", INDEX(SelectedPrecincts[Draw], MATCH(SamplingData[[#This Row],[Batch by Type (p)]],SelectedPrecincts[Batch Name], 0)))</f>
        <v/>
      </c>
      <c r="X275" s="102">
        <f>IF(COUNTIF(SelectedPrecincts[Batch Name],SamplingData[[#This Row],[Batch by Type (p)]]) &lt;&gt; 0, COUNTIF(SelectedPrecincts[Batch Name],SamplingData[[#This Row],[Batch by Type (p)]]), 0)</f>
        <v>0</v>
      </c>
    </row>
    <row r="276" spans="1:24" ht="15" customHeight="1">
      <c r="A276" s="18" t="s">
        <v>452</v>
      </c>
      <c r="B276" s="18">
        <v>0</v>
      </c>
      <c r="C276" s="18">
        <v>0</v>
      </c>
      <c r="D276" s="18">
        <v>0</v>
      </c>
      <c r="E276" s="18">
        <v>0</v>
      </c>
      <c r="F276" s="18">
        <v>0</v>
      </c>
      <c r="G276" s="18">
        <v>0</v>
      </c>
      <c r="H276" s="18">
        <v>0</v>
      </c>
      <c r="I276" s="18">
        <v>0</v>
      </c>
      <c r="J276" s="99">
        <f>SUM(SamplingData[[#This Row],[Losing Candidate]:[Under Votes]])</f>
        <v>0</v>
      </c>
      <c r="K276" s="100">
        <f>IF(AND(SamplingData[[#This Row],[Total]]&lt;&gt; 0, NOT(ISBLANK(SamplingData[[#This Row],[Losing Candidate]]))),(SamplingData[[#This Row],[Total]]+SamplingData[[#This Row],[Winning Candidate]]-SamplingData[[#This Row],[Losing Candidate]])/(SamplingData[[#Totals],[Winning Candidate]]-SamplingData[[#Totals],[Losing Candidate]]), 0)</f>
        <v>0</v>
      </c>
      <c r="L276" s="100">
        <f>IF(AND(SamplingData[[#This Row],[Total]]&lt;&gt; 0, NOT(ISBLANK(SamplingData[[#This Row],[Candidate 3]]))),(SamplingData[[#This Row],[Total]]+SamplingData[[#This Row],[Winning Candidate]]-SamplingData[[#This Row],[Candidate 3]])/(SamplingData[[#Totals],[Winning Candidate]]-SamplingData[[#Totals],[Candidate 3]]), 0)</f>
        <v>0</v>
      </c>
      <c r="M276" s="100">
        <f>IF(AND(SamplingData[[#This Row],[Total]]&lt;&gt; 0, NOT(ISBLANK(SamplingData[[#This Row],[Candidate 4]]))),(SamplingData[[#This Row],[Total]]+SamplingData[[#This Row],[Winning Candidate]]-SamplingData[[#This Row],[Candidate 4]])/(SamplingData[[#Totals],[Winning Candidate]]-SamplingData[[#Totals],[Candidate 4]]), 0)</f>
        <v>0</v>
      </c>
      <c r="N276" s="100">
        <f>IF(AND(SamplingData[[#This Row],[Total]]&lt;&gt; 0, NOT(ISBLANK(SamplingData[[#This Row],[Candidate 5]]))),(SamplingData[[#This Row],[Total]]+SamplingData[[#This Row],[Winning Candidate]]-SamplingData[[#This Row],[Candidate 5]])/(SamplingData[[#Totals],[Winning Candidate]]-SamplingData[[#Totals],[Candidate 5]]), 0)</f>
        <v>0</v>
      </c>
      <c r="O276" s="100">
        <f>IF(AND(SamplingData[[#This Row],[Total]]&lt;&gt; 0, NOT(ISBLANK(SamplingData[[#This Row],[Candidate 6]]))),(SamplingData[[#This Row],[Total]]+SamplingData[[#This Row],[Winning Candidate]]-SamplingData[[#This Row],[Candidate 6]])/(SamplingData[[#Totals],[Winning Candidate]]-SamplingData[[#Totals],[Candidate 6]]), 0)</f>
        <v>0</v>
      </c>
      <c r="P276" s="100">
        <f>MAX(SamplingData[[#This Row],[Error Bound (up) - Max. possible relative overstatement - Losing Candidate]:[Error Bound (up) - Max. possible relative overstatement - Candidate 6]])</f>
        <v>0</v>
      </c>
      <c r="Q276" s="100">
        <f>IF(SamplingData[[#This Row],[Max Error Bound (up)]] = 0,0,SamplingData[[#This Row],[Max Error Bound (up)]]/SamplingData[[#Totals],[Max Error Bound (up)]])</f>
        <v>0</v>
      </c>
      <c r="R276" s="101">
        <f>SUM($Q$5:Q276)</f>
        <v>0.17288418518025764</v>
      </c>
      <c r="S276" s="100" t="str">
        <f t="array" ref="S276">IF(SamplingData[[#This Row],[up/U Selection Probability]] = 0, "Zero", TEXT(SamplingData[[#This Row],[Lower Range]], REPT("0",LEN('General Info'!$B$40))) &amp; " - " &amp; TEXT(SamplingData[[#This Row],[Upper Range]], REPT("0",LEN('General Info'!$B$40))))</f>
        <v>Zero</v>
      </c>
      <c r="T276" s="100">
        <f>SamplingData[[#This Row],[Upper Range]]-SamplingData[[#This Row],[Span]]</f>
        <v>17288.418518025763</v>
      </c>
      <c r="U276" s="100">
        <f>IF(ISNUMBER('General Info'!$B$40), ((SamplingData[[#This Row],[up/U Selection Probability]]) * 'General Info'!$B$40) - 1, 0)</f>
        <v>-1</v>
      </c>
      <c r="V276" s="100">
        <f>IF(ISNUMBER('General Info'!$B$40), (SamplingData[[#This Row],[Running (cumulative) sum]] * ('General Info'!$B$40 -'General Info'!$B$41 + 1)) + 'General Info'!$B$41 - 1, 0)</f>
        <v>17287.418518025763</v>
      </c>
      <c r="W276" s="100" t="str">
        <f>IF(ISERROR(MATCH(SamplingData[[#This Row],[Batch by Type (p)]],SelectedPrecincts[Batch Name], 0)), "", INDEX(SelectedPrecincts[Draw], MATCH(SamplingData[[#This Row],[Batch by Type (p)]],SelectedPrecincts[Batch Name], 0)))</f>
        <v/>
      </c>
      <c r="X276" s="102">
        <f>IF(COUNTIF(SelectedPrecincts[Batch Name],SamplingData[[#This Row],[Batch by Type (p)]]) &lt;&gt; 0, COUNTIF(SelectedPrecincts[Batch Name],SamplingData[[#This Row],[Batch by Type (p)]]), 0)</f>
        <v>0</v>
      </c>
    </row>
    <row r="277" spans="1:24" ht="15" customHeight="1">
      <c r="A277" s="18" t="s">
        <v>453</v>
      </c>
      <c r="B277" s="18">
        <v>1</v>
      </c>
      <c r="C277" s="18">
        <v>0</v>
      </c>
      <c r="D277" s="16">
        <v>1</v>
      </c>
      <c r="E277" s="16">
        <v>0</v>
      </c>
      <c r="F277" s="37">
        <v>0</v>
      </c>
      <c r="G277" s="37">
        <v>0</v>
      </c>
      <c r="H277" s="17">
        <v>0</v>
      </c>
      <c r="I277" s="17">
        <v>0</v>
      </c>
      <c r="J277" s="99">
        <f>SUM(SamplingData[[#This Row],[Losing Candidate]:[Under Votes]])</f>
        <v>2</v>
      </c>
      <c r="K277"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77" s="100">
        <f>IF(AND(SamplingData[[#This Row],[Total]]&lt;&gt; 0, NOT(ISBLANK(SamplingData[[#This Row],[Candidate 3]]))),(SamplingData[[#This Row],[Total]]+SamplingData[[#This Row],[Winning Candidate]]-SamplingData[[#This Row],[Candidate 3]])/(SamplingData[[#Totals],[Winning Candidate]]-SamplingData[[#Totals],[Candidate 3]]), 0)</f>
        <v>3.2261186566441917E-5</v>
      </c>
      <c r="M277" s="100">
        <f>IF(AND(SamplingData[[#This Row],[Total]]&lt;&gt; 0, NOT(ISBLANK(SamplingData[[#This Row],[Candidate 4]]))),(SamplingData[[#This Row],[Total]]+SamplingData[[#This Row],[Winning Candidate]]-SamplingData[[#This Row],[Candidate 4]])/(SamplingData[[#Totals],[Winning Candidate]]-SamplingData[[#Totals],[Candidate 4]]), 0)</f>
        <v>5.846414686193692E-5</v>
      </c>
      <c r="N277" s="100">
        <f>IF(AND(SamplingData[[#This Row],[Total]]&lt;&gt; 0, NOT(ISBLANK(SamplingData[[#This Row],[Candidate 5]]))),(SamplingData[[#This Row],[Total]]+SamplingData[[#This Row],[Winning Candidate]]-SamplingData[[#This Row],[Candidate 5]])/(SamplingData[[#Totals],[Winning Candidate]]-SamplingData[[#Totals],[Candidate 5]]), 0)</f>
        <v>4.8649963512527367E-5</v>
      </c>
      <c r="O277" s="100">
        <f>IF(AND(SamplingData[[#This Row],[Total]]&lt;&gt; 0, NOT(ISBLANK(SamplingData[[#This Row],[Candidate 6]]))),(SamplingData[[#This Row],[Total]]+SamplingData[[#This Row],[Winning Candidate]]-SamplingData[[#This Row],[Candidate 6]])/(SamplingData[[#Totals],[Winning Candidate]]-SamplingData[[#Totals],[Candidate 6]]), 0)</f>
        <v>4.8635766742862701E-5</v>
      </c>
      <c r="P277" s="100">
        <f>MAX(SamplingData[[#This Row],[Error Bound (up) - Max. possible relative overstatement - Losing Candidate]:[Error Bound (up) - Max. possible relative overstatement - Candidate 6]])</f>
        <v>6.1244487996080352E-5</v>
      </c>
      <c r="Q277" s="100">
        <f>IF(SamplingData[[#This Row],[Max Error Bound (up)]] = 0,0,SamplingData[[#This Row],[Max Error Bound (up)]]/SamplingData[[#Totals],[Max Error Bound (up)]])</f>
        <v>9.6929482784458315E-6</v>
      </c>
      <c r="R277" s="101">
        <f>SUM($Q$5:Q277)</f>
        <v>0.17289387812853607</v>
      </c>
      <c r="S277" s="100" t="str">
        <f t="array" ref="S277">IF(SamplingData[[#This Row],[up/U Selection Probability]] = 0, "Zero", TEXT(SamplingData[[#This Row],[Lower Range]], REPT("0",LEN('General Info'!$B$40))) &amp; " - " &amp; TEXT(SamplingData[[#This Row],[Upper Range]], REPT("0",LEN('General Info'!$B$40))))</f>
        <v>17288 - 17288</v>
      </c>
      <c r="T277" s="100">
        <f>SamplingData[[#This Row],[Upper Range]]-SamplingData[[#This Row],[Span]]</f>
        <v>17288.418527718713</v>
      </c>
      <c r="U277" s="100">
        <f>IF(ISNUMBER('General Info'!$B$40), ((SamplingData[[#This Row],[up/U Selection Probability]]) * 'General Info'!$B$40) - 1, 0)</f>
        <v>-3.0714865103695255E-2</v>
      </c>
      <c r="V277" s="100">
        <f>IF(ISNUMBER('General Info'!$B$40), (SamplingData[[#This Row],[Running (cumulative) sum]] * ('General Info'!$B$40 -'General Info'!$B$41 + 1)) + 'General Info'!$B$41 - 1, 0)</f>
        <v>17288.387812853609</v>
      </c>
      <c r="W277" s="100" t="str">
        <f>IF(ISERROR(MATCH(SamplingData[[#This Row],[Batch by Type (p)]],SelectedPrecincts[Batch Name], 0)), "", INDEX(SelectedPrecincts[Draw], MATCH(SamplingData[[#This Row],[Batch by Type (p)]],SelectedPrecincts[Batch Name], 0)))</f>
        <v/>
      </c>
      <c r="X277" s="102">
        <f>IF(COUNTIF(SelectedPrecincts[Batch Name],SamplingData[[#This Row],[Batch by Type (p)]]) &lt;&gt; 0, COUNTIF(SelectedPrecincts[Batch Name],SamplingData[[#This Row],[Batch by Type (p)]]), 0)</f>
        <v>0</v>
      </c>
    </row>
    <row r="278" spans="1:24" ht="15" customHeight="1">
      <c r="A278" s="18" t="s">
        <v>454</v>
      </c>
      <c r="B278" s="18">
        <v>1</v>
      </c>
      <c r="C278" s="18">
        <v>0</v>
      </c>
      <c r="D278" s="18">
        <v>0</v>
      </c>
      <c r="E278" s="18">
        <v>0</v>
      </c>
      <c r="F278" s="18">
        <v>0</v>
      </c>
      <c r="G278" s="18">
        <v>0</v>
      </c>
      <c r="H278" s="18">
        <v>0</v>
      </c>
      <c r="I278" s="18">
        <v>0</v>
      </c>
      <c r="J278" s="99">
        <f>SUM(SamplingData[[#This Row],[Losing Candidate]:[Under Votes]])</f>
        <v>1</v>
      </c>
      <c r="K278" s="100">
        <f>IF(AND(SamplingData[[#This Row],[Total]]&lt;&gt; 0, NOT(ISBLANK(SamplingData[[#This Row],[Losing Candidate]]))),(SamplingData[[#This Row],[Total]]+SamplingData[[#This Row],[Winning Candidate]]-SamplingData[[#This Row],[Losing Candidate]])/(SamplingData[[#Totals],[Winning Candidate]]-SamplingData[[#Totals],[Losing Candidate]]), 0)</f>
        <v>0</v>
      </c>
      <c r="L278" s="100">
        <f>IF(AND(SamplingData[[#This Row],[Total]]&lt;&gt; 0, NOT(ISBLANK(SamplingData[[#This Row],[Candidate 3]]))),(SamplingData[[#This Row],[Total]]+SamplingData[[#This Row],[Winning Candidate]]-SamplingData[[#This Row],[Candidate 3]])/(SamplingData[[#Totals],[Winning Candidate]]-SamplingData[[#Totals],[Candidate 3]]), 0)</f>
        <v>3.2261186566441917E-5</v>
      </c>
      <c r="M278" s="100">
        <f>IF(AND(SamplingData[[#This Row],[Total]]&lt;&gt; 0, NOT(ISBLANK(SamplingData[[#This Row],[Candidate 4]]))),(SamplingData[[#This Row],[Total]]+SamplingData[[#This Row],[Winning Candidate]]-SamplingData[[#This Row],[Candidate 4]])/(SamplingData[[#Totals],[Winning Candidate]]-SamplingData[[#Totals],[Candidate 4]]), 0)</f>
        <v>2.923207343096846E-5</v>
      </c>
      <c r="N278" s="100">
        <f>IF(AND(SamplingData[[#This Row],[Total]]&lt;&gt; 0, NOT(ISBLANK(SamplingData[[#This Row],[Candidate 5]]))),(SamplingData[[#This Row],[Total]]+SamplingData[[#This Row],[Winning Candidate]]-SamplingData[[#This Row],[Candidate 5]])/(SamplingData[[#Totals],[Winning Candidate]]-SamplingData[[#Totals],[Candidate 5]]), 0)</f>
        <v>2.4324981756263683E-5</v>
      </c>
      <c r="O278" s="100">
        <f>IF(AND(SamplingData[[#This Row],[Total]]&lt;&gt; 0, NOT(ISBLANK(SamplingData[[#This Row],[Candidate 6]]))),(SamplingData[[#This Row],[Total]]+SamplingData[[#This Row],[Winning Candidate]]-SamplingData[[#This Row],[Candidate 6]])/(SamplingData[[#Totals],[Winning Candidate]]-SamplingData[[#Totals],[Candidate 6]]), 0)</f>
        <v>2.431788337143135E-5</v>
      </c>
      <c r="P278" s="100">
        <f>MAX(SamplingData[[#This Row],[Error Bound (up) - Max. possible relative overstatement - Losing Candidate]:[Error Bound (up) - Max. possible relative overstatement - Candidate 6]])</f>
        <v>3.2261186566441917E-5</v>
      </c>
      <c r="Q278" s="100">
        <f>IF(SamplingData[[#This Row],[Max Error Bound (up)]] = 0,0,SamplingData[[#This Row],[Max Error Bound (up)]]/SamplingData[[#Totals],[Max Error Bound (up)]])</f>
        <v>5.1058637768320663E-6</v>
      </c>
      <c r="R278" s="101">
        <f>SUM($Q$5:Q278)</f>
        <v>0.1728989839923129</v>
      </c>
      <c r="S278" s="100" t="str">
        <f t="array" ref="S278">IF(SamplingData[[#This Row],[up/U Selection Probability]] = 0, "Zero", TEXT(SamplingData[[#This Row],[Lower Range]], REPT("0",LEN('General Info'!$B$40))) &amp; " - " &amp; TEXT(SamplingData[[#This Row],[Upper Range]], REPT("0",LEN('General Info'!$B$40))))</f>
        <v>17289 - 17289</v>
      </c>
      <c r="T278" s="100">
        <f>SamplingData[[#This Row],[Upper Range]]-SamplingData[[#This Row],[Span]]</f>
        <v>17289.387817959469</v>
      </c>
      <c r="U278" s="100">
        <f>IF(ISNUMBER('General Info'!$B$40), ((SamplingData[[#This Row],[up/U Selection Probability]]) * 'General Info'!$B$40) - 1, 0)</f>
        <v>-0.4894187281805702</v>
      </c>
      <c r="V278" s="100">
        <f>IF(ISNUMBER('General Info'!$B$40), (SamplingData[[#This Row],[Running (cumulative) sum]] * ('General Info'!$B$40 -'General Info'!$B$41 + 1)) + 'General Info'!$B$41 - 1, 0)</f>
        <v>17288.89839923129</v>
      </c>
      <c r="W278" s="100" t="str">
        <f>IF(ISERROR(MATCH(SamplingData[[#This Row],[Batch by Type (p)]],SelectedPrecincts[Batch Name], 0)), "", INDEX(SelectedPrecincts[Draw], MATCH(SamplingData[[#This Row],[Batch by Type (p)]],SelectedPrecincts[Batch Name], 0)))</f>
        <v/>
      </c>
      <c r="X278" s="102">
        <f>IF(COUNTIF(SelectedPrecincts[Batch Name],SamplingData[[#This Row],[Batch by Type (p)]]) &lt;&gt; 0, COUNTIF(SelectedPrecincts[Batch Name],SamplingData[[#This Row],[Batch by Type (p)]]), 0)</f>
        <v>0</v>
      </c>
    </row>
    <row r="279" spans="1:24" ht="15" customHeight="1">
      <c r="A279" s="18" t="s">
        <v>455</v>
      </c>
      <c r="B279" s="18">
        <v>3</v>
      </c>
      <c r="C279" s="18">
        <v>2</v>
      </c>
      <c r="D279" s="16">
        <v>1</v>
      </c>
      <c r="E279" s="16">
        <v>1</v>
      </c>
      <c r="F279" s="37">
        <v>0</v>
      </c>
      <c r="G279" s="37">
        <v>0</v>
      </c>
      <c r="H279" s="17">
        <v>0</v>
      </c>
      <c r="I279" s="17">
        <v>0</v>
      </c>
      <c r="J279" s="99">
        <f>SUM(SamplingData[[#This Row],[Losing Candidate]:[Under Votes]])</f>
        <v>7</v>
      </c>
      <c r="K279"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279" s="100">
        <f>IF(AND(SamplingData[[#This Row],[Total]]&lt;&gt; 0, NOT(ISBLANK(SamplingData[[#This Row],[Candidate 3]]))),(SamplingData[[#This Row],[Total]]+SamplingData[[#This Row],[Winning Candidate]]-SamplingData[[#This Row],[Candidate 3]])/(SamplingData[[#Totals],[Winning Candidate]]-SamplingData[[#Totals],[Candidate 3]]), 0)</f>
        <v>2.5808949253153533E-4</v>
      </c>
      <c r="M279" s="100">
        <f>IF(AND(SamplingData[[#This Row],[Total]]&lt;&gt; 0, NOT(ISBLANK(SamplingData[[#This Row],[Candidate 4]]))),(SamplingData[[#This Row],[Total]]+SamplingData[[#This Row],[Winning Candidate]]-SamplingData[[#This Row],[Candidate 4]])/(SamplingData[[#Totals],[Winning Candidate]]-SamplingData[[#Totals],[Candidate 4]]), 0)</f>
        <v>2.3385658744774768E-4</v>
      </c>
      <c r="N279" s="100">
        <f>IF(AND(SamplingData[[#This Row],[Total]]&lt;&gt; 0, NOT(ISBLANK(SamplingData[[#This Row],[Candidate 5]]))),(SamplingData[[#This Row],[Total]]+SamplingData[[#This Row],[Winning Candidate]]-SamplingData[[#This Row],[Candidate 5]])/(SamplingData[[#Totals],[Winning Candidate]]-SamplingData[[#Totals],[Candidate 5]]), 0)</f>
        <v>2.1892483580637315E-4</v>
      </c>
      <c r="O279" s="100">
        <f>IF(AND(SamplingData[[#This Row],[Total]]&lt;&gt; 0, NOT(ISBLANK(SamplingData[[#This Row],[Candidate 6]]))),(SamplingData[[#This Row],[Total]]+SamplingData[[#This Row],[Winning Candidate]]-SamplingData[[#This Row],[Candidate 6]])/(SamplingData[[#Totals],[Winning Candidate]]-SamplingData[[#Totals],[Candidate 6]]), 0)</f>
        <v>2.1886095034288216E-4</v>
      </c>
      <c r="P279" s="100">
        <f>MAX(SamplingData[[#This Row],[Error Bound (up) - Max. possible relative overstatement - Losing Candidate]:[Error Bound (up) - Max. possible relative overstatement - Candidate 6]])</f>
        <v>3.6746692797648211E-4</v>
      </c>
      <c r="Q279" s="100">
        <f>IF(SamplingData[[#This Row],[Max Error Bound (up)]] = 0,0,SamplingData[[#This Row],[Max Error Bound (up)]]/SamplingData[[#Totals],[Max Error Bound (up)]])</f>
        <v>5.8157689670674986E-5</v>
      </c>
      <c r="R279" s="101">
        <f>SUM($Q$5:Q279)</f>
        <v>0.17295714168198359</v>
      </c>
      <c r="S279" s="100" t="str">
        <f t="array" ref="S279">IF(SamplingData[[#This Row],[up/U Selection Probability]] = 0, "Zero", TEXT(SamplingData[[#This Row],[Lower Range]], REPT("0",LEN('General Info'!$B$40))) &amp; " - " &amp; TEXT(SamplingData[[#This Row],[Upper Range]], REPT("0",LEN('General Info'!$B$40))))</f>
        <v>17290 - 17295</v>
      </c>
      <c r="T279" s="100">
        <f>SamplingData[[#This Row],[Upper Range]]-SamplingData[[#This Row],[Span]]</f>
        <v>17289.898457388983</v>
      </c>
      <c r="U279" s="100">
        <f>IF(ISNUMBER('General Info'!$B$40), ((SamplingData[[#This Row],[up/U Selection Probability]]) * 'General Info'!$B$40) - 1, 0)</f>
        <v>4.815710809377828</v>
      </c>
      <c r="V279" s="100">
        <f>IF(ISNUMBER('General Info'!$B$40), (SamplingData[[#This Row],[Running (cumulative) sum]] * ('General Info'!$B$40 -'General Info'!$B$41 + 1)) + 'General Info'!$B$41 - 1, 0)</f>
        <v>17294.714168198359</v>
      </c>
      <c r="W279" s="100" t="str">
        <f>IF(ISERROR(MATCH(SamplingData[[#This Row],[Batch by Type (p)]],SelectedPrecincts[Batch Name], 0)), "", INDEX(SelectedPrecincts[Draw], MATCH(SamplingData[[#This Row],[Batch by Type (p)]],SelectedPrecincts[Batch Name], 0)))</f>
        <v/>
      </c>
      <c r="X279" s="102">
        <f>IF(COUNTIF(SelectedPrecincts[Batch Name],SamplingData[[#This Row],[Batch by Type (p)]]) &lt;&gt; 0, COUNTIF(SelectedPrecincts[Batch Name],SamplingData[[#This Row],[Batch by Type (p)]]), 0)</f>
        <v>0</v>
      </c>
    </row>
    <row r="280" spans="1:24" ht="15" customHeight="1">
      <c r="A280" s="18" t="s">
        <v>456</v>
      </c>
      <c r="B280" s="18">
        <v>1</v>
      </c>
      <c r="C280" s="18">
        <v>0</v>
      </c>
      <c r="D280" s="18">
        <v>0</v>
      </c>
      <c r="E280" s="18">
        <v>0</v>
      </c>
      <c r="F280" s="18">
        <v>0</v>
      </c>
      <c r="G280" s="18">
        <v>0</v>
      </c>
      <c r="H280" s="18">
        <v>0</v>
      </c>
      <c r="I280" s="18">
        <v>0</v>
      </c>
      <c r="J280" s="99">
        <f>SUM(SamplingData[[#This Row],[Losing Candidate]:[Under Votes]])</f>
        <v>1</v>
      </c>
      <c r="K280" s="100">
        <f>IF(AND(SamplingData[[#This Row],[Total]]&lt;&gt; 0, NOT(ISBLANK(SamplingData[[#This Row],[Losing Candidate]]))),(SamplingData[[#This Row],[Total]]+SamplingData[[#This Row],[Winning Candidate]]-SamplingData[[#This Row],[Losing Candidate]])/(SamplingData[[#Totals],[Winning Candidate]]-SamplingData[[#Totals],[Losing Candidate]]), 0)</f>
        <v>0</v>
      </c>
      <c r="L280" s="100">
        <f>IF(AND(SamplingData[[#This Row],[Total]]&lt;&gt; 0, NOT(ISBLANK(SamplingData[[#This Row],[Candidate 3]]))),(SamplingData[[#This Row],[Total]]+SamplingData[[#This Row],[Winning Candidate]]-SamplingData[[#This Row],[Candidate 3]])/(SamplingData[[#Totals],[Winning Candidate]]-SamplingData[[#Totals],[Candidate 3]]), 0)</f>
        <v>3.2261186566441917E-5</v>
      </c>
      <c r="M280" s="100">
        <f>IF(AND(SamplingData[[#This Row],[Total]]&lt;&gt; 0, NOT(ISBLANK(SamplingData[[#This Row],[Candidate 4]]))),(SamplingData[[#This Row],[Total]]+SamplingData[[#This Row],[Winning Candidate]]-SamplingData[[#This Row],[Candidate 4]])/(SamplingData[[#Totals],[Winning Candidate]]-SamplingData[[#Totals],[Candidate 4]]), 0)</f>
        <v>2.923207343096846E-5</v>
      </c>
      <c r="N280" s="100">
        <f>IF(AND(SamplingData[[#This Row],[Total]]&lt;&gt; 0, NOT(ISBLANK(SamplingData[[#This Row],[Candidate 5]]))),(SamplingData[[#This Row],[Total]]+SamplingData[[#This Row],[Winning Candidate]]-SamplingData[[#This Row],[Candidate 5]])/(SamplingData[[#Totals],[Winning Candidate]]-SamplingData[[#Totals],[Candidate 5]]), 0)</f>
        <v>2.4324981756263683E-5</v>
      </c>
      <c r="O280" s="100">
        <f>IF(AND(SamplingData[[#This Row],[Total]]&lt;&gt; 0, NOT(ISBLANK(SamplingData[[#This Row],[Candidate 6]]))),(SamplingData[[#This Row],[Total]]+SamplingData[[#This Row],[Winning Candidate]]-SamplingData[[#This Row],[Candidate 6]])/(SamplingData[[#Totals],[Winning Candidate]]-SamplingData[[#Totals],[Candidate 6]]), 0)</f>
        <v>2.431788337143135E-5</v>
      </c>
      <c r="P280" s="100">
        <f>MAX(SamplingData[[#This Row],[Error Bound (up) - Max. possible relative overstatement - Losing Candidate]:[Error Bound (up) - Max. possible relative overstatement - Candidate 6]])</f>
        <v>3.2261186566441917E-5</v>
      </c>
      <c r="Q280" s="100">
        <f>IF(SamplingData[[#This Row],[Max Error Bound (up)]] = 0,0,SamplingData[[#This Row],[Max Error Bound (up)]]/SamplingData[[#Totals],[Max Error Bound (up)]])</f>
        <v>5.1058637768320663E-6</v>
      </c>
      <c r="R280" s="101">
        <f>SUM($Q$5:Q280)</f>
        <v>0.17296224754576042</v>
      </c>
      <c r="S280" s="100" t="str">
        <f t="array" ref="S280">IF(SamplingData[[#This Row],[up/U Selection Probability]] = 0, "Zero", TEXT(SamplingData[[#This Row],[Lower Range]], REPT("0",LEN('General Info'!$B$40))) &amp; " - " &amp; TEXT(SamplingData[[#This Row],[Upper Range]], REPT("0",LEN('General Info'!$B$40))))</f>
        <v>17296 - 17295</v>
      </c>
      <c r="T280" s="100">
        <f>SamplingData[[#This Row],[Upper Range]]-SamplingData[[#This Row],[Span]]</f>
        <v>17295.714173304223</v>
      </c>
      <c r="U280" s="100">
        <f>IF(ISNUMBER('General Info'!$B$40), ((SamplingData[[#This Row],[up/U Selection Probability]]) * 'General Info'!$B$40) - 1, 0)</f>
        <v>-0.4894187281805702</v>
      </c>
      <c r="V280" s="100">
        <f>IF(ISNUMBER('General Info'!$B$40), (SamplingData[[#This Row],[Running (cumulative) sum]] * ('General Info'!$B$40 -'General Info'!$B$41 + 1)) + 'General Info'!$B$41 - 1, 0)</f>
        <v>17295.224754576044</v>
      </c>
      <c r="W280" s="100" t="str">
        <f>IF(ISERROR(MATCH(SamplingData[[#This Row],[Batch by Type (p)]],SelectedPrecincts[Batch Name], 0)), "", INDEX(SelectedPrecincts[Draw], MATCH(SamplingData[[#This Row],[Batch by Type (p)]],SelectedPrecincts[Batch Name], 0)))</f>
        <v/>
      </c>
      <c r="X280" s="102">
        <f>IF(COUNTIF(SelectedPrecincts[Batch Name],SamplingData[[#This Row],[Batch by Type (p)]]) &lt;&gt; 0, COUNTIF(SelectedPrecincts[Batch Name],SamplingData[[#This Row],[Batch by Type (p)]]), 0)</f>
        <v>0</v>
      </c>
    </row>
    <row r="281" spans="1:24" ht="15" customHeight="1">
      <c r="A281" s="18" t="s">
        <v>457</v>
      </c>
      <c r="B281" s="18">
        <v>5</v>
      </c>
      <c r="C281" s="18">
        <v>1</v>
      </c>
      <c r="D281" s="16">
        <v>0</v>
      </c>
      <c r="E281" s="16">
        <v>2</v>
      </c>
      <c r="F281" s="37">
        <v>0</v>
      </c>
      <c r="G281" s="37">
        <v>0</v>
      </c>
      <c r="H281" s="17">
        <v>0</v>
      </c>
      <c r="I281" s="17">
        <v>0</v>
      </c>
      <c r="J281" s="99">
        <f>SUM(SamplingData[[#This Row],[Losing Candidate]:[Under Votes]])</f>
        <v>8</v>
      </c>
      <c r="K281"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281" s="100">
        <f>IF(AND(SamplingData[[#This Row],[Total]]&lt;&gt; 0, NOT(ISBLANK(SamplingData[[#This Row],[Candidate 3]]))),(SamplingData[[#This Row],[Total]]+SamplingData[[#This Row],[Winning Candidate]]-SamplingData[[#This Row],[Candidate 3]])/(SamplingData[[#Totals],[Winning Candidate]]-SamplingData[[#Totals],[Candidate 3]]), 0)</f>
        <v>2.9035067909797722E-4</v>
      </c>
      <c r="M281" s="100">
        <f>IF(AND(SamplingData[[#This Row],[Total]]&lt;&gt; 0, NOT(ISBLANK(SamplingData[[#This Row],[Candidate 4]]))),(SamplingData[[#This Row],[Total]]+SamplingData[[#This Row],[Winning Candidate]]-SamplingData[[#This Row],[Candidate 4]])/(SamplingData[[#Totals],[Winning Candidate]]-SamplingData[[#Totals],[Candidate 4]]), 0)</f>
        <v>2.0462451401677921E-4</v>
      </c>
      <c r="N281" s="100">
        <f>IF(AND(SamplingData[[#This Row],[Total]]&lt;&gt; 0, NOT(ISBLANK(SamplingData[[#This Row],[Candidate 5]]))),(SamplingData[[#This Row],[Total]]+SamplingData[[#This Row],[Winning Candidate]]-SamplingData[[#This Row],[Candidate 5]])/(SamplingData[[#Totals],[Winning Candidate]]-SamplingData[[#Totals],[Candidate 5]]), 0)</f>
        <v>2.1892483580637315E-4</v>
      </c>
      <c r="O281" s="100">
        <f>IF(AND(SamplingData[[#This Row],[Total]]&lt;&gt; 0, NOT(ISBLANK(SamplingData[[#This Row],[Candidate 6]]))),(SamplingData[[#This Row],[Total]]+SamplingData[[#This Row],[Winning Candidate]]-SamplingData[[#This Row],[Candidate 6]])/(SamplingData[[#Totals],[Winning Candidate]]-SamplingData[[#Totals],[Candidate 6]]), 0)</f>
        <v>2.1886095034288216E-4</v>
      </c>
      <c r="P281" s="100">
        <f>MAX(SamplingData[[#This Row],[Error Bound (up) - Max. possible relative overstatement - Losing Candidate]:[Error Bound (up) - Max. possible relative overstatement - Candidate 6]])</f>
        <v>2.9035067909797722E-4</v>
      </c>
      <c r="Q281" s="100">
        <f>IF(SamplingData[[#This Row],[Max Error Bound (up)]] = 0,0,SamplingData[[#This Row],[Max Error Bound (up)]]/SamplingData[[#Totals],[Max Error Bound (up)]])</f>
        <v>4.5952773991488593E-5</v>
      </c>
      <c r="R281" s="101">
        <f>SUM($Q$5:Q281)</f>
        <v>0.17300820031975192</v>
      </c>
      <c r="S281" s="100" t="str">
        <f t="array" ref="S281">IF(SamplingData[[#This Row],[up/U Selection Probability]] = 0, "Zero", TEXT(SamplingData[[#This Row],[Lower Range]], REPT("0",LEN('General Info'!$B$40))) &amp; " - " &amp; TEXT(SamplingData[[#This Row],[Upper Range]], REPT("0",LEN('General Info'!$B$40))))</f>
        <v>17296 - 17300</v>
      </c>
      <c r="T281" s="100">
        <f>SamplingData[[#This Row],[Upper Range]]-SamplingData[[#This Row],[Span]]</f>
        <v>17296.224800528817</v>
      </c>
      <c r="U281" s="100">
        <f>IF(ISNUMBER('General Info'!$B$40), ((SamplingData[[#This Row],[up/U Selection Probability]]) * 'General Info'!$B$40) - 1, 0)</f>
        <v>3.5952314463748678</v>
      </c>
      <c r="V281" s="100">
        <f>IF(ISNUMBER('General Info'!$B$40), (SamplingData[[#This Row],[Running (cumulative) sum]] * ('General Info'!$B$40 -'General Info'!$B$41 + 1)) + 'General Info'!$B$41 - 1, 0)</f>
        <v>17299.820031975192</v>
      </c>
      <c r="W281" s="100" t="str">
        <f>IF(ISERROR(MATCH(SamplingData[[#This Row],[Batch by Type (p)]],SelectedPrecincts[Batch Name], 0)), "", INDEX(SelectedPrecincts[Draw], MATCH(SamplingData[[#This Row],[Batch by Type (p)]],SelectedPrecincts[Batch Name], 0)))</f>
        <v/>
      </c>
      <c r="X281" s="102">
        <f>IF(COUNTIF(SelectedPrecincts[Batch Name],SamplingData[[#This Row],[Batch by Type (p)]]) &lt;&gt; 0, COUNTIF(SelectedPrecincts[Batch Name],SamplingData[[#This Row],[Batch by Type (p)]]), 0)</f>
        <v>0</v>
      </c>
    </row>
    <row r="282" spans="1:24" ht="15" customHeight="1">
      <c r="A282" s="18" t="s">
        <v>458</v>
      </c>
      <c r="B282" s="18">
        <v>2</v>
      </c>
      <c r="C282" s="18">
        <v>4</v>
      </c>
      <c r="D282" s="18">
        <v>0</v>
      </c>
      <c r="E282" s="18">
        <v>2</v>
      </c>
      <c r="F282" s="18">
        <v>0</v>
      </c>
      <c r="G282" s="18">
        <v>0</v>
      </c>
      <c r="H282" s="18">
        <v>0</v>
      </c>
      <c r="I282" s="18">
        <v>0</v>
      </c>
      <c r="J282" s="99">
        <f>SUM(SamplingData[[#This Row],[Losing Candidate]:[Under Votes]])</f>
        <v>8</v>
      </c>
      <c r="K28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282" s="100">
        <f>IF(AND(SamplingData[[#This Row],[Total]]&lt;&gt; 0, NOT(ISBLANK(SamplingData[[#This Row],[Candidate 3]]))),(SamplingData[[#This Row],[Total]]+SamplingData[[#This Row],[Winning Candidate]]-SamplingData[[#This Row],[Candidate 3]])/(SamplingData[[#Totals],[Winning Candidate]]-SamplingData[[#Totals],[Candidate 3]]), 0)</f>
        <v>3.8713423879730297E-4</v>
      </c>
      <c r="M282" s="100">
        <f>IF(AND(SamplingData[[#This Row],[Total]]&lt;&gt; 0, NOT(ISBLANK(SamplingData[[#This Row],[Candidate 4]]))),(SamplingData[[#This Row],[Total]]+SamplingData[[#This Row],[Winning Candidate]]-SamplingData[[#This Row],[Candidate 4]])/(SamplingData[[#Totals],[Winning Candidate]]-SamplingData[[#Totals],[Candidate 4]]), 0)</f>
        <v>2.9232073430968461E-4</v>
      </c>
      <c r="N282" s="100">
        <f>IF(AND(SamplingData[[#This Row],[Total]]&lt;&gt; 0, NOT(ISBLANK(SamplingData[[#This Row],[Candidate 5]]))),(SamplingData[[#This Row],[Total]]+SamplingData[[#This Row],[Winning Candidate]]-SamplingData[[#This Row],[Candidate 5]])/(SamplingData[[#Totals],[Winning Candidate]]-SamplingData[[#Totals],[Candidate 5]]), 0)</f>
        <v>2.9189978107516421E-4</v>
      </c>
      <c r="O282" s="100">
        <f>IF(AND(SamplingData[[#This Row],[Total]]&lt;&gt; 0, NOT(ISBLANK(SamplingData[[#This Row],[Candidate 6]]))),(SamplingData[[#This Row],[Total]]+SamplingData[[#This Row],[Winning Candidate]]-SamplingData[[#This Row],[Candidate 6]])/(SamplingData[[#Totals],[Winning Candidate]]-SamplingData[[#Totals],[Candidate 6]]), 0)</f>
        <v>2.9181460045717622E-4</v>
      </c>
      <c r="P282" s="100">
        <f>MAX(SamplingData[[#This Row],[Error Bound (up) - Max. possible relative overstatement - Losing Candidate]:[Error Bound (up) - Max. possible relative overstatement - Candidate 6]])</f>
        <v>6.1244487996080352E-4</v>
      </c>
      <c r="Q282" s="100">
        <f>IF(SamplingData[[#This Row],[Max Error Bound (up)]] = 0,0,SamplingData[[#This Row],[Max Error Bound (up)]]/SamplingData[[#Totals],[Max Error Bound (up)]])</f>
        <v>9.6929482784458319E-5</v>
      </c>
      <c r="R282" s="101">
        <f>SUM($Q$5:Q282)</f>
        <v>0.17310512980253637</v>
      </c>
      <c r="S282" s="100" t="str">
        <f t="array" ref="S282">IF(SamplingData[[#This Row],[up/U Selection Probability]] = 0, "Zero", TEXT(SamplingData[[#This Row],[Lower Range]], REPT("0",LEN('General Info'!$B$40))) &amp; " - " &amp; TEXT(SamplingData[[#This Row],[Upper Range]], REPT("0",LEN('General Info'!$B$40))))</f>
        <v>17301 - 17310</v>
      </c>
      <c r="T282" s="100">
        <f>SamplingData[[#This Row],[Upper Range]]-SamplingData[[#This Row],[Span]]</f>
        <v>17300.820128904674</v>
      </c>
      <c r="U282" s="100">
        <f>IF(ISNUMBER('General Info'!$B$40), ((SamplingData[[#This Row],[up/U Selection Probability]]) * 'General Info'!$B$40) - 1, 0)</f>
        <v>8.6928513489630479</v>
      </c>
      <c r="V282" s="100">
        <f>IF(ISNUMBER('General Info'!$B$40), (SamplingData[[#This Row],[Running (cumulative) sum]] * ('General Info'!$B$40 -'General Info'!$B$41 + 1)) + 'General Info'!$B$41 - 1, 0)</f>
        <v>17309.512980253636</v>
      </c>
      <c r="W282" s="100" t="str">
        <f>IF(ISERROR(MATCH(SamplingData[[#This Row],[Batch by Type (p)]],SelectedPrecincts[Batch Name], 0)), "", INDEX(SelectedPrecincts[Draw], MATCH(SamplingData[[#This Row],[Batch by Type (p)]],SelectedPrecincts[Batch Name], 0)))</f>
        <v/>
      </c>
      <c r="X282" s="102">
        <f>IF(COUNTIF(SelectedPrecincts[Batch Name],SamplingData[[#This Row],[Batch by Type (p)]]) &lt;&gt; 0, COUNTIF(SelectedPrecincts[Batch Name],SamplingData[[#This Row],[Batch by Type (p)]]), 0)</f>
        <v>0</v>
      </c>
    </row>
    <row r="283" spans="1:24" ht="15" customHeight="1">
      <c r="A283" s="18" t="s">
        <v>459</v>
      </c>
      <c r="B283" s="18">
        <v>2</v>
      </c>
      <c r="C283" s="18">
        <v>1</v>
      </c>
      <c r="D283" s="16">
        <v>1</v>
      </c>
      <c r="E283" s="16">
        <v>1</v>
      </c>
      <c r="F283" s="37">
        <v>0</v>
      </c>
      <c r="G283" s="37">
        <v>0</v>
      </c>
      <c r="H283" s="17">
        <v>0</v>
      </c>
      <c r="I283" s="17">
        <v>0</v>
      </c>
      <c r="J283" s="99">
        <f>SUM(SamplingData[[#This Row],[Losing Candidate]:[Under Votes]])</f>
        <v>5</v>
      </c>
      <c r="K283"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283" s="100">
        <f>IF(AND(SamplingData[[#This Row],[Total]]&lt;&gt; 0, NOT(ISBLANK(SamplingData[[#This Row],[Candidate 3]]))),(SamplingData[[#This Row],[Total]]+SamplingData[[#This Row],[Winning Candidate]]-SamplingData[[#This Row],[Candidate 3]])/(SamplingData[[#Totals],[Winning Candidate]]-SamplingData[[#Totals],[Candidate 3]]), 0)</f>
        <v>1.6130593283220958E-4</v>
      </c>
      <c r="M283" s="100">
        <f>IF(AND(SamplingData[[#This Row],[Total]]&lt;&gt; 0, NOT(ISBLANK(SamplingData[[#This Row],[Candidate 4]]))),(SamplingData[[#This Row],[Total]]+SamplingData[[#This Row],[Winning Candidate]]-SamplingData[[#This Row],[Candidate 4]])/(SamplingData[[#Totals],[Winning Candidate]]-SamplingData[[#Totals],[Candidate 4]]), 0)</f>
        <v>1.4616036715484231E-4</v>
      </c>
      <c r="N283" s="100">
        <f>IF(AND(SamplingData[[#This Row],[Total]]&lt;&gt; 0, NOT(ISBLANK(SamplingData[[#This Row],[Candidate 5]]))),(SamplingData[[#This Row],[Total]]+SamplingData[[#This Row],[Winning Candidate]]-SamplingData[[#This Row],[Candidate 5]])/(SamplingData[[#Totals],[Winning Candidate]]-SamplingData[[#Totals],[Candidate 5]]), 0)</f>
        <v>1.4594989053758211E-4</v>
      </c>
      <c r="O283" s="100">
        <f>IF(AND(SamplingData[[#This Row],[Total]]&lt;&gt; 0, NOT(ISBLANK(SamplingData[[#This Row],[Candidate 6]]))),(SamplingData[[#This Row],[Total]]+SamplingData[[#This Row],[Winning Candidate]]-SamplingData[[#This Row],[Candidate 6]])/(SamplingData[[#Totals],[Winning Candidate]]-SamplingData[[#Totals],[Candidate 6]]), 0)</f>
        <v>1.4590730022858811E-4</v>
      </c>
      <c r="P283" s="100">
        <f>MAX(SamplingData[[#This Row],[Error Bound (up) - Max. possible relative overstatement - Losing Candidate]:[Error Bound (up) - Max. possible relative overstatement - Candidate 6]])</f>
        <v>2.4497795198432141E-4</v>
      </c>
      <c r="Q283" s="100">
        <f>IF(SamplingData[[#This Row],[Max Error Bound (up)]] = 0,0,SamplingData[[#This Row],[Max Error Bound (up)]]/SamplingData[[#Totals],[Max Error Bound (up)]])</f>
        <v>3.8771793113783326E-5</v>
      </c>
      <c r="R283" s="101">
        <f>SUM($Q$5:Q283)</f>
        <v>0.17314390159565016</v>
      </c>
      <c r="S283" s="100" t="str">
        <f t="array" ref="S283">IF(SamplingData[[#This Row],[up/U Selection Probability]] = 0, "Zero", TEXT(SamplingData[[#This Row],[Lower Range]], REPT("0",LEN('General Info'!$B$40))) &amp; " - " &amp; TEXT(SamplingData[[#This Row],[Upper Range]], REPT("0",LEN('General Info'!$B$40))))</f>
        <v>17311 - 17313</v>
      </c>
      <c r="T283" s="100">
        <f>SamplingData[[#This Row],[Upper Range]]-SamplingData[[#This Row],[Span]]</f>
        <v>17310.513019025431</v>
      </c>
      <c r="U283" s="100">
        <f>IF(ISNUMBER('General Info'!$B$40), ((SamplingData[[#This Row],[up/U Selection Probability]]) * 'General Info'!$B$40) - 1, 0)</f>
        <v>2.877140539585219</v>
      </c>
      <c r="V283" s="100">
        <f>IF(ISNUMBER('General Info'!$B$40), (SamplingData[[#This Row],[Running (cumulative) sum]] * ('General Info'!$B$40 -'General Info'!$B$41 + 1)) + 'General Info'!$B$41 - 1, 0)</f>
        <v>17313.390159565017</v>
      </c>
      <c r="W283" s="100" t="str">
        <f>IF(ISERROR(MATCH(SamplingData[[#This Row],[Batch by Type (p)]],SelectedPrecincts[Batch Name], 0)), "", INDEX(SelectedPrecincts[Draw], MATCH(SamplingData[[#This Row],[Batch by Type (p)]],SelectedPrecincts[Batch Name], 0)))</f>
        <v/>
      </c>
      <c r="X283" s="102">
        <f>IF(COUNTIF(SelectedPrecincts[Batch Name],SamplingData[[#This Row],[Batch by Type (p)]]) &lt;&gt; 0, COUNTIF(SelectedPrecincts[Batch Name],SamplingData[[#This Row],[Batch by Type (p)]]), 0)</f>
        <v>0</v>
      </c>
    </row>
    <row r="284" spans="1:24" ht="15" customHeight="1">
      <c r="A284" s="18" t="s">
        <v>460</v>
      </c>
      <c r="B284" s="18">
        <v>2</v>
      </c>
      <c r="C284" s="18">
        <v>0</v>
      </c>
      <c r="D284" s="18">
        <v>0</v>
      </c>
      <c r="E284" s="18">
        <v>0</v>
      </c>
      <c r="F284" s="18">
        <v>1</v>
      </c>
      <c r="G284" s="18">
        <v>0</v>
      </c>
      <c r="H284" s="18">
        <v>0</v>
      </c>
      <c r="I284" s="18">
        <v>0</v>
      </c>
      <c r="J284" s="99">
        <f>SUM(SamplingData[[#This Row],[Losing Candidate]:[Under Votes]])</f>
        <v>3</v>
      </c>
      <c r="K28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84" s="100">
        <f>IF(AND(SamplingData[[#This Row],[Total]]&lt;&gt; 0, NOT(ISBLANK(SamplingData[[#This Row],[Candidate 3]]))),(SamplingData[[#This Row],[Total]]+SamplingData[[#This Row],[Winning Candidate]]-SamplingData[[#This Row],[Candidate 3]])/(SamplingData[[#Totals],[Winning Candidate]]-SamplingData[[#Totals],[Candidate 3]]), 0)</f>
        <v>9.6783559699325743E-5</v>
      </c>
      <c r="M284" s="100">
        <f>IF(AND(SamplingData[[#This Row],[Total]]&lt;&gt; 0, NOT(ISBLANK(SamplingData[[#This Row],[Candidate 4]]))),(SamplingData[[#This Row],[Total]]+SamplingData[[#This Row],[Winning Candidate]]-SamplingData[[#This Row],[Candidate 4]])/(SamplingData[[#Totals],[Winning Candidate]]-SamplingData[[#Totals],[Candidate 4]]), 0)</f>
        <v>8.7696220292905373E-5</v>
      </c>
      <c r="N284" s="100">
        <f>IF(AND(SamplingData[[#This Row],[Total]]&lt;&gt; 0, NOT(ISBLANK(SamplingData[[#This Row],[Candidate 5]]))),(SamplingData[[#This Row],[Total]]+SamplingData[[#This Row],[Winning Candidate]]-SamplingData[[#This Row],[Candidate 5]])/(SamplingData[[#Totals],[Winning Candidate]]-SamplingData[[#Totals],[Candidate 5]]), 0)</f>
        <v>4.8649963512527367E-5</v>
      </c>
      <c r="O284" s="100">
        <f>IF(AND(SamplingData[[#This Row],[Total]]&lt;&gt; 0, NOT(ISBLANK(SamplingData[[#This Row],[Candidate 6]]))),(SamplingData[[#This Row],[Total]]+SamplingData[[#This Row],[Winning Candidate]]-SamplingData[[#This Row],[Candidate 6]])/(SamplingData[[#Totals],[Winning Candidate]]-SamplingData[[#Totals],[Candidate 6]]), 0)</f>
        <v>7.2953650114294054E-5</v>
      </c>
      <c r="P284" s="100">
        <f>MAX(SamplingData[[#This Row],[Error Bound (up) - Max. possible relative overstatement - Losing Candidate]:[Error Bound (up) - Max. possible relative overstatement - Candidate 6]])</f>
        <v>9.6783559699325743E-5</v>
      </c>
      <c r="Q284" s="100">
        <f>IF(SamplingData[[#This Row],[Max Error Bound (up)]] = 0,0,SamplingData[[#This Row],[Max Error Bound (up)]]/SamplingData[[#Totals],[Max Error Bound (up)]])</f>
        <v>1.5317591330496199E-5</v>
      </c>
      <c r="R284" s="101">
        <f>SUM($Q$5:Q284)</f>
        <v>0.17315921918698066</v>
      </c>
      <c r="S284" s="100" t="str">
        <f t="array" ref="S284">IF(SamplingData[[#This Row],[up/U Selection Probability]] = 0, "Zero", TEXT(SamplingData[[#This Row],[Lower Range]], REPT("0",LEN('General Info'!$B$40))) &amp; " - " &amp; TEXT(SamplingData[[#This Row],[Upper Range]], REPT("0",LEN('General Info'!$B$40))))</f>
        <v>17314 - 17315</v>
      </c>
      <c r="T284" s="100">
        <f>SamplingData[[#This Row],[Upper Range]]-SamplingData[[#This Row],[Span]]</f>
        <v>17314.390174882607</v>
      </c>
      <c r="U284" s="100">
        <f>IF(ISNUMBER('General Info'!$B$40), ((SamplingData[[#This Row],[up/U Selection Probability]]) * 'General Info'!$B$40) - 1, 0)</f>
        <v>0.53174381545828941</v>
      </c>
      <c r="V284" s="100">
        <f>IF(ISNUMBER('General Info'!$B$40), (SamplingData[[#This Row],[Running (cumulative) sum]] * ('General Info'!$B$40 -'General Info'!$B$41 + 1)) + 'General Info'!$B$41 - 1, 0)</f>
        <v>17314.921918698066</v>
      </c>
      <c r="W284" s="100" t="str">
        <f>IF(ISERROR(MATCH(SamplingData[[#This Row],[Batch by Type (p)]],SelectedPrecincts[Batch Name], 0)), "", INDEX(SelectedPrecincts[Draw], MATCH(SamplingData[[#This Row],[Batch by Type (p)]],SelectedPrecincts[Batch Name], 0)))</f>
        <v/>
      </c>
      <c r="X284" s="102">
        <f>IF(COUNTIF(SelectedPrecincts[Batch Name],SamplingData[[#This Row],[Batch by Type (p)]]) &lt;&gt; 0, COUNTIF(SelectedPrecincts[Batch Name],SamplingData[[#This Row],[Batch by Type (p)]]), 0)</f>
        <v>0</v>
      </c>
    </row>
    <row r="285" spans="1:24" ht="15" customHeight="1">
      <c r="A285" s="18" t="s">
        <v>461</v>
      </c>
      <c r="B285" s="18">
        <v>22</v>
      </c>
      <c r="C285" s="18">
        <v>21</v>
      </c>
      <c r="D285" s="16">
        <v>8</v>
      </c>
      <c r="E285" s="16">
        <v>4</v>
      </c>
      <c r="F285" s="37">
        <v>0</v>
      </c>
      <c r="G285" s="37">
        <v>1</v>
      </c>
      <c r="H285" s="17">
        <v>0</v>
      </c>
      <c r="I285" s="17">
        <v>0</v>
      </c>
      <c r="J285" s="99">
        <f>SUM(SamplingData[[#This Row],[Losing Candidate]:[Under Votes]])</f>
        <v>56</v>
      </c>
      <c r="K285" s="100">
        <f>IF(AND(SamplingData[[#This Row],[Total]]&lt;&gt; 0, NOT(ISBLANK(SamplingData[[#This Row],[Losing Candidate]]))),(SamplingData[[#This Row],[Total]]+SamplingData[[#This Row],[Winning Candidate]]-SamplingData[[#This Row],[Losing Candidate]])/(SamplingData[[#Totals],[Winning Candidate]]-SamplingData[[#Totals],[Losing Candidate]]), 0)</f>
        <v>3.3684468397844193E-3</v>
      </c>
      <c r="L285" s="100">
        <f>IF(AND(SamplingData[[#This Row],[Total]]&lt;&gt; 0, NOT(ISBLANK(SamplingData[[#This Row],[Candidate 3]]))),(SamplingData[[#This Row],[Total]]+SamplingData[[#This Row],[Winning Candidate]]-SamplingData[[#This Row],[Candidate 3]])/(SamplingData[[#Totals],[Winning Candidate]]-SamplingData[[#Totals],[Candidate 3]]), 0)</f>
        <v>2.2260218730844922E-3</v>
      </c>
      <c r="M285" s="100">
        <f>IF(AND(SamplingData[[#This Row],[Total]]&lt;&gt; 0, NOT(ISBLANK(SamplingData[[#This Row],[Candidate 4]]))),(SamplingData[[#This Row],[Total]]+SamplingData[[#This Row],[Winning Candidate]]-SamplingData[[#This Row],[Candidate 4]])/(SamplingData[[#Totals],[Winning Candidate]]-SamplingData[[#Totals],[Candidate 4]]), 0)</f>
        <v>2.1339413604606976E-3</v>
      </c>
      <c r="N285" s="100">
        <f>IF(AND(SamplingData[[#This Row],[Total]]&lt;&gt; 0, NOT(ISBLANK(SamplingData[[#This Row],[Candidate 5]]))),(SamplingData[[#This Row],[Total]]+SamplingData[[#This Row],[Winning Candidate]]-SamplingData[[#This Row],[Candidate 5]])/(SamplingData[[#Totals],[Winning Candidate]]-SamplingData[[#Totals],[Candidate 5]]), 0)</f>
        <v>1.8730235952323035E-3</v>
      </c>
      <c r="O285" s="100">
        <f>IF(AND(SamplingData[[#This Row],[Total]]&lt;&gt; 0, NOT(ISBLANK(SamplingData[[#This Row],[Candidate 6]]))),(SamplingData[[#This Row],[Total]]+SamplingData[[#This Row],[Winning Candidate]]-SamplingData[[#This Row],[Candidate 6]])/(SamplingData[[#Totals],[Winning Candidate]]-SamplingData[[#Totals],[Candidate 6]]), 0)</f>
        <v>1.8481591362287826E-3</v>
      </c>
      <c r="P285" s="100">
        <f>MAX(SamplingData[[#This Row],[Error Bound (up) - Max. possible relative overstatement - Losing Candidate]:[Error Bound (up) - Max. possible relative overstatement - Candidate 6]])</f>
        <v>3.3684468397844193E-3</v>
      </c>
      <c r="Q285" s="100">
        <f>IF(SamplingData[[#This Row],[Max Error Bound (up)]] = 0,0,SamplingData[[#This Row],[Max Error Bound (up)]]/SamplingData[[#Totals],[Max Error Bound (up)]])</f>
        <v>5.3311215531452077E-4</v>
      </c>
      <c r="R285" s="101">
        <f>SUM($Q$5:Q285)</f>
        <v>0.17369233134229517</v>
      </c>
      <c r="S285" s="100" t="str">
        <f t="array" ref="S285">IF(SamplingData[[#This Row],[up/U Selection Probability]] = 0, "Zero", TEXT(SamplingData[[#This Row],[Lower Range]], REPT("0",LEN('General Info'!$B$40))) &amp; " - " &amp; TEXT(SamplingData[[#This Row],[Upper Range]], REPT("0",LEN('General Info'!$B$40))))</f>
        <v>17316 - 17368</v>
      </c>
      <c r="T285" s="100">
        <f>SamplingData[[#This Row],[Upper Range]]-SamplingData[[#This Row],[Span]]</f>
        <v>17315.92245181022</v>
      </c>
      <c r="U285" s="100">
        <f>IF(ISNUMBER('General Info'!$B$40), ((SamplingData[[#This Row],[up/U Selection Probability]]) * 'General Info'!$B$40) - 1, 0)</f>
        <v>52.310682419296761</v>
      </c>
      <c r="V285" s="100">
        <f>IF(ISNUMBER('General Info'!$B$40), (SamplingData[[#This Row],[Running (cumulative) sum]] * ('General Info'!$B$40 -'General Info'!$B$41 + 1)) + 'General Info'!$B$41 - 1, 0)</f>
        <v>17368.233134229518</v>
      </c>
      <c r="W285" s="100" t="str">
        <f>IF(ISERROR(MATCH(SamplingData[[#This Row],[Batch by Type (p)]],SelectedPrecincts[Batch Name], 0)), "", INDEX(SelectedPrecincts[Draw], MATCH(SamplingData[[#This Row],[Batch by Type (p)]],SelectedPrecincts[Batch Name], 0)))</f>
        <v/>
      </c>
      <c r="X285" s="102">
        <f>IF(COUNTIF(SelectedPrecincts[Batch Name],SamplingData[[#This Row],[Batch by Type (p)]]) &lt;&gt; 0, COUNTIF(SelectedPrecincts[Batch Name],SamplingData[[#This Row],[Batch by Type (p)]]), 0)</f>
        <v>0</v>
      </c>
    </row>
    <row r="286" spans="1:24" ht="15" customHeight="1">
      <c r="A286" s="18" t="s">
        <v>462</v>
      </c>
      <c r="B286" s="18">
        <v>4</v>
      </c>
      <c r="C286" s="18">
        <v>3</v>
      </c>
      <c r="D286" s="18">
        <v>2</v>
      </c>
      <c r="E286" s="18">
        <v>1</v>
      </c>
      <c r="F286" s="18">
        <v>0</v>
      </c>
      <c r="G286" s="18">
        <v>0</v>
      </c>
      <c r="H286" s="18">
        <v>0</v>
      </c>
      <c r="I286" s="18">
        <v>0</v>
      </c>
      <c r="J286" s="99">
        <f>SUM(SamplingData[[#This Row],[Losing Candidate]:[Under Votes]])</f>
        <v>10</v>
      </c>
      <c r="K286"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286" s="100">
        <f>IF(AND(SamplingData[[#This Row],[Total]]&lt;&gt; 0, NOT(ISBLANK(SamplingData[[#This Row],[Candidate 3]]))),(SamplingData[[#This Row],[Total]]+SamplingData[[#This Row],[Winning Candidate]]-SamplingData[[#This Row],[Candidate 3]])/(SamplingData[[#Totals],[Winning Candidate]]-SamplingData[[#Totals],[Candidate 3]]), 0)</f>
        <v>3.5487305223086104E-4</v>
      </c>
      <c r="M286" s="100">
        <f>IF(AND(SamplingData[[#This Row],[Total]]&lt;&gt; 0, NOT(ISBLANK(SamplingData[[#This Row],[Candidate 4]]))),(SamplingData[[#This Row],[Total]]+SamplingData[[#This Row],[Winning Candidate]]-SamplingData[[#This Row],[Candidate 4]])/(SamplingData[[#Totals],[Winning Candidate]]-SamplingData[[#Totals],[Candidate 4]]), 0)</f>
        <v>3.5078488117162149E-4</v>
      </c>
      <c r="N286" s="100">
        <f>IF(AND(SamplingData[[#This Row],[Total]]&lt;&gt; 0, NOT(ISBLANK(SamplingData[[#This Row],[Candidate 5]]))),(SamplingData[[#This Row],[Total]]+SamplingData[[#This Row],[Winning Candidate]]-SamplingData[[#This Row],[Candidate 5]])/(SamplingData[[#Totals],[Winning Candidate]]-SamplingData[[#Totals],[Candidate 5]]), 0)</f>
        <v>3.1622476283142789E-4</v>
      </c>
      <c r="O286" s="100">
        <f>IF(AND(SamplingData[[#This Row],[Total]]&lt;&gt; 0, NOT(ISBLANK(SamplingData[[#This Row],[Candidate 6]]))),(SamplingData[[#This Row],[Total]]+SamplingData[[#This Row],[Winning Candidate]]-SamplingData[[#This Row],[Candidate 6]])/(SamplingData[[#Totals],[Winning Candidate]]-SamplingData[[#Totals],[Candidate 6]]), 0)</f>
        <v>3.1613248382860755E-4</v>
      </c>
      <c r="P286" s="100">
        <f>MAX(SamplingData[[#This Row],[Error Bound (up) - Max. possible relative overstatement - Losing Candidate]:[Error Bound (up) - Max. possible relative overstatement - Candidate 6]])</f>
        <v>5.5120039196472322E-4</v>
      </c>
      <c r="Q286" s="100">
        <f>IF(SamplingData[[#This Row],[Max Error Bound (up)]] = 0,0,SamplingData[[#This Row],[Max Error Bound (up)]]/SamplingData[[#Totals],[Max Error Bound (up)]])</f>
        <v>8.7236534506012492E-5</v>
      </c>
      <c r="R286" s="101">
        <f>SUM($Q$5:Q286)</f>
        <v>0.17377956787680118</v>
      </c>
      <c r="S286" s="100" t="str">
        <f t="array" ref="S286">IF(SamplingData[[#This Row],[up/U Selection Probability]] = 0, "Zero", TEXT(SamplingData[[#This Row],[Lower Range]], REPT("0",LEN('General Info'!$B$40))) &amp; " - " &amp; TEXT(SamplingData[[#This Row],[Upper Range]], REPT("0",LEN('General Info'!$B$40))))</f>
        <v>17369 - 17377</v>
      </c>
      <c r="T286" s="100">
        <f>SamplingData[[#This Row],[Upper Range]]-SamplingData[[#This Row],[Span]]</f>
        <v>17369.233221466053</v>
      </c>
      <c r="U286" s="100">
        <f>IF(ISNUMBER('General Info'!$B$40), ((SamplingData[[#This Row],[up/U Selection Probability]]) * 'General Info'!$B$40) - 1, 0)</f>
        <v>7.7235662140667429</v>
      </c>
      <c r="V286" s="100">
        <f>IF(ISNUMBER('General Info'!$B$40), (SamplingData[[#This Row],[Running (cumulative) sum]] * ('General Info'!$B$40 -'General Info'!$B$41 + 1)) + 'General Info'!$B$41 - 1, 0)</f>
        <v>17376.956787680119</v>
      </c>
      <c r="W286" s="100" t="str">
        <f>IF(ISERROR(MATCH(SamplingData[[#This Row],[Batch by Type (p)]],SelectedPrecincts[Batch Name], 0)), "", INDEX(SelectedPrecincts[Draw], MATCH(SamplingData[[#This Row],[Batch by Type (p)]],SelectedPrecincts[Batch Name], 0)))</f>
        <v/>
      </c>
      <c r="X286" s="102">
        <f>IF(COUNTIF(SelectedPrecincts[Batch Name],SamplingData[[#This Row],[Batch by Type (p)]]) &lt;&gt; 0, COUNTIF(SelectedPrecincts[Batch Name],SamplingData[[#This Row],[Batch by Type (p)]]), 0)</f>
        <v>0</v>
      </c>
    </row>
    <row r="287" spans="1:24" ht="15" customHeight="1">
      <c r="A287" s="18" t="s">
        <v>463</v>
      </c>
      <c r="B287" s="18">
        <v>0</v>
      </c>
      <c r="C287" s="18">
        <v>0</v>
      </c>
      <c r="D287" s="16">
        <v>0</v>
      </c>
      <c r="E287" s="16">
        <v>0</v>
      </c>
      <c r="F287" s="37">
        <v>0</v>
      </c>
      <c r="G287" s="37">
        <v>0</v>
      </c>
      <c r="H287" s="17">
        <v>0</v>
      </c>
      <c r="I287" s="17">
        <v>0</v>
      </c>
      <c r="J287" s="99">
        <f>SUM(SamplingData[[#This Row],[Losing Candidate]:[Under Votes]])</f>
        <v>0</v>
      </c>
      <c r="K287" s="100">
        <f>IF(AND(SamplingData[[#This Row],[Total]]&lt;&gt; 0, NOT(ISBLANK(SamplingData[[#This Row],[Losing Candidate]]))),(SamplingData[[#This Row],[Total]]+SamplingData[[#This Row],[Winning Candidate]]-SamplingData[[#This Row],[Losing Candidate]])/(SamplingData[[#Totals],[Winning Candidate]]-SamplingData[[#Totals],[Losing Candidate]]), 0)</f>
        <v>0</v>
      </c>
      <c r="L287" s="100">
        <f>IF(AND(SamplingData[[#This Row],[Total]]&lt;&gt; 0, NOT(ISBLANK(SamplingData[[#This Row],[Candidate 3]]))),(SamplingData[[#This Row],[Total]]+SamplingData[[#This Row],[Winning Candidate]]-SamplingData[[#This Row],[Candidate 3]])/(SamplingData[[#Totals],[Winning Candidate]]-SamplingData[[#Totals],[Candidate 3]]), 0)</f>
        <v>0</v>
      </c>
      <c r="M287" s="100">
        <f>IF(AND(SamplingData[[#This Row],[Total]]&lt;&gt; 0, NOT(ISBLANK(SamplingData[[#This Row],[Candidate 4]]))),(SamplingData[[#This Row],[Total]]+SamplingData[[#This Row],[Winning Candidate]]-SamplingData[[#This Row],[Candidate 4]])/(SamplingData[[#Totals],[Winning Candidate]]-SamplingData[[#Totals],[Candidate 4]]), 0)</f>
        <v>0</v>
      </c>
      <c r="N287" s="100">
        <f>IF(AND(SamplingData[[#This Row],[Total]]&lt;&gt; 0, NOT(ISBLANK(SamplingData[[#This Row],[Candidate 5]]))),(SamplingData[[#This Row],[Total]]+SamplingData[[#This Row],[Winning Candidate]]-SamplingData[[#This Row],[Candidate 5]])/(SamplingData[[#Totals],[Winning Candidate]]-SamplingData[[#Totals],[Candidate 5]]), 0)</f>
        <v>0</v>
      </c>
      <c r="O287" s="100">
        <f>IF(AND(SamplingData[[#This Row],[Total]]&lt;&gt; 0, NOT(ISBLANK(SamplingData[[#This Row],[Candidate 6]]))),(SamplingData[[#This Row],[Total]]+SamplingData[[#This Row],[Winning Candidate]]-SamplingData[[#This Row],[Candidate 6]])/(SamplingData[[#Totals],[Winning Candidate]]-SamplingData[[#Totals],[Candidate 6]]), 0)</f>
        <v>0</v>
      </c>
      <c r="P287" s="100">
        <f>MAX(SamplingData[[#This Row],[Error Bound (up) - Max. possible relative overstatement - Losing Candidate]:[Error Bound (up) - Max. possible relative overstatement - Candidate 6]])</f>
        <v>0</v>
      </c>
      <c r="Q287" s="100">
        <f>IF(SamplingData[[#This Row],[Max Error Bound (up)]] = 0,0,SamplingData[[#This Row],[Max Error Bound (up)]]/SamplingData[[#Totals],[Max Error Bound (up)]])</f>
        <v>0</v>
      </c>
      <c r="R287" s="101">
        <f>SUM($Q$5:Q287)</f>
        <v>0.17377956787680118</v>
      </c>
      <c r="S287" s="100" t="str">
        <f t="array" ref="S287">IF(SamplingData[[#This Row],[up/U Selection Probability]] = 0, "Zero", TEXT(SamplingData[[#This Row],[Lower Range]], REPT("0",LEN('General Info'!$B$40))) &amp; " - " &amp; TEXT(SamplingData[[#This Row],[Upper Range]], REPT("0",LEN('General Info'!$B$40))))</f>
        <v>Zero</v>
      </c>
      <c r="T287" s="100">
        <f>SamplingData[[#This Row],[Upper Range]]-SamplingData[[#This Row],[Span]]</f>
        <v>17377.956787680119</v>
      </c>
      <c r="U287" s="100">
        <f>IF(ISNUMBER('General Info'!$B$40), ((SamplingData[[#This Row],[up/U Selection Probability]]) * 'General Info'!$B$40) - 1, 0)</f>
        <v>-1</v>
      </c>
      <c r="V287" s="100">
        <f>IF(ISNUMBER('General Info'!$B$40), (SamplingData[[#This Row],[Running (cumulative) sum]] * ('General Info'!$B$40 -'General Info'!$B$41 + 1)) + 'General Info'!$B$41 - 1, 0)</f>
        <v>17376.956787680119</v>
      </c>
      <c r="W287" s="100" t="str">
        <f>IF(ISERROR(MATCH(SamplingData[[#This Row],[Batch by Type (p)]],SelectedPrecincts[Batch Name], 0)), "", INDEX(SelectedPrecincts[Draw], MATCH(SamplingData[[#This Row],[Batch by Type (p)]],SelectedPrecincts[Batch Name], 0)))</f>
        <v/>
      </c>
      <c r="X287" s="102">
        <f>IF(COUNTIF(SelectedPrecincts[Batch Name],SamplingData[[#This Row],[Batch by Type (p)]]) &lt;&gt; 0, COUNTIF(SelectedPrecincts[Batch Name],SamplingData[[#This Row],[Batch by Type (p)]]), 0)</f>
        <v>0</v>
      </c>
    </row>
    <row r="288" spans="1:24" ht="15" customHeight="1">
      <c r="A288" s="18" t="s">
        <v>464</v>
      </c>
      <c r="B288" s="18">
        <v>0</v>
      </c>
      <c r="C288" s="18">
        <v>0</v>
      </c>
      <c r="D288" s="18">
        <v>0</v>
      </c>
      <c r="E288" s="18">
        <v>0</v>
      </c>
      <c r="F288" s="18">
        <v>0</v>
      </c>
      <c r="G288" s="18">
        <v>0</v>
      </c>
      <c r="H288" s="18">
        <v>0</v>
      </c>
      <c r="I288" s="18">
        <v>0</v>
      </c>
      <c r="J288" s="99">
        <f>SUM(SamplingData[[#This Row],[Losing Candidate]:[Under Votes]])</f>
        <v>0</v>
      </c>
      <c r="K288" s="100">
        <f>IF(AND(SamplingData[[#This Row],[Total]]&lt;&gt; 0, NOT(ISBLANK(SamplingData[[#This Row],[Losing Candidate]]))),(SamplingData[[#This Row],[Total]]+SamplingData[[#This Row],[Winning Candidate]]-SamplingData[[#This Row],[Losing Candidate]])/(SamplingData[[#Totals],[Winning Candidate]]-SamplingData[[#Totals],[Losing Candidate]]), 0)</f>
        <v>0</v>
      </c>
      <c r="L288" s="100">
        <f>IF(AND(SamplingData[[#This Row],[Total]]&lt;&gt; 0, NOT(ISBLANK(SamplingData[[#This Row],[Candidate 3]]))),(SamplingData[[#This Row],[Total]]+SamplingData[[#This Row],[Winning Candidate]]-SamplingData[[#This Row],[Candidate 3]])/(SamplingData[[#Totals],[Winning Candidate]]-SamplingData[[#Totals],[Candidate 3]]), 0)</f>
        <v>0</v>
      </c>
      <c r="M288" s="100">
        <f>IF(AND(SamplingData[[#This Row],[Total]]&lt;&gt; 0, NOT(ISBLANK(SamplingData[[#This Row],[Candidate 4]]))),(SamplingData[[#This Row],[Total]]+SamplingData[[#This Row],[Winning Candidate]]-SamplingData[[#This Row],[Candidate 4]])/(SamplingData[[#Totals],[Winning Candidate]]-SamplingData[[#Totals],[Candidate 4]]), 0)</f>
        <v>0</v>
      </c>
      <c r="N288" s="100">
        <f>IF(AND(SamplingData[[#This Row],[Total]]&lt;&gt; 0, NOT(ISBLANK(SamplingData[[#This Row],[Candidate 5]]))),(SamplingData[[#This Row],[Total]]+SamplingData[[#This Row],[Winning Candidate]]-SamplingData[[#This Row],[Candidate 5]])/(SamplingData[[#Totals],[Winning Candidate]]-SamplingData[[#Totals],[Candidate 5]]), 0)</f>
        <v>0</v>
      </c>
      <c r="O288" s="100">
        <f>IF(AND(SamplingData[[#This Row],[Total]]&lt;&gt; 0, NOT(ISBLANK(SamplingData[[#This Row],[Candidate 6]]))),(SamplingData[[#This Row],[Total]]+SamplingData[[#This Row],[Winning Candidate]]-SamplingData[[#This Row],[Candidate 6]])/(SamplingData[[#Totals],[Winning Candidate]]-SamplingData[[#Totals],[Candidate 6]]), 0)</f>
        <v>0</v>
      </c>
      <c r="P288" s="100">
        <f>MAX(SamplingData[[#This Row],[Error Bound (up) - Max. possible relative overstatement - Losing Candidate]:[Error Bound (up) - Max. possible relative overstatement - Candidate 6]])</f>
        <v>0</v>
      </c>
      <c r="Q288" s="100">
        <f>IF(SamplingData[[#This Row],[Max Error Bound (up)]] = 0,0,SamplingData[[#This Row],[Max Error Bound (up)]]/SamplingData[[#Totals],[Max Error Bound (up)]])</f>
        <v>0</v>
      </c>
      <c r="R288" s="101">
        <f>SUM($Q$5:Q288)</f>
        <v>0.17377956787680118</v>
      </c>
      <c r="S288" s="100" t="str">
        <f t="array" ref="S288">IF(SamplingData[[#This Row],[up/U Selection Probability]] = 0, "Zero", TEXT(SamplingData[[#This Row],[Lower Range]], REPT("0",LEN('General Info'!$B$40))) &amp; " - " &amp; TEXT(SamplingData[[#This Row],[Upper Range]], REPT("0",LEN('General Info'!$B$40))))</f>
        <v>Zero</v>
      </c>
      <c r="T288" s="100">
        <f>SamplingData[[#This Row],[Upper Range]]-SamplingData[[#This Row],[Span]]</f>
        <v>17377.956787680119</v>
      </c>
      <c r="U288" s="100">
        <f>IF(ISNUMBER('General Info'!$B$40), ((SamplingData[[#This Row],[up/U Selection Probability]]) * 'General Info'!$B$40) - 1, 0)</f>
        <v>-1</v>
      </c>
      <c r="V288" s="100">
        <f>IF(ISNUMBER('General Info'!$B$40), (SamplingData[[#This Row],[Running (cumulative) sum]] * ('General Info'!$B$40 -'General Info'!$B$41 + 1)) + 'General Info'!$B$41 - 1, 0)</f>
        <v>17376.956787680119</v>
      </c>
      <c r="W288" s="100" t="str">
        <f>IF(ISERROR(MATCH(SamplingData[[#This Row],[Batch by Type (p)]],SelectedPrecincts[Batch Name], 0)), "", INDEX(SelectedPrecincts[Draw], MATCH(SamplingData[[#This Row],[Batch by Type (p)]],SelectedPrecincts[Batch Name], 0)))</f>
        <v/>
      </c>
      <c r="X288" s="102">
        <f>IF(COUNTIF(SelectedPrecincts[Batch Name],SamplingData[[#This Row],[Batch by Type (p)]]) &lt;&gt; 0, COUNTIF(SelectedPrecincts[Batch Name],SamplingData[[#This Row],[Batch by Type (p)]]), 0)</f>
        <v>0</v>
      </c>
    </row>
    <row r="289" spans="1:24" ht="15" customHeight="1">
      <c r="A289" s="18" t="s">
        <v>465</v>
      </c>
      <c r="B289" s="18">
        <v>2</v>
      </c>
      <c r="C289" s="18">
        <v>0</v>
      </c>
      <c r="D289" s="16">
        <v>0</v>
      </c>
      <c r="E289" s="16">
        <v>0</v>
      </c>
      <c r="F289" s="37">
        <v>0</v>
      </c>
      <c r="G289" s="37">
        <v>0</v>
      </c>
      <c r="H289" s="17">
        <v>0</v>
      </c>
      <c r="I289" s="17">
        <v>0</v>
      </c>
      <c r="J289" s="99">
        <f>SUM(SamplingData[[#This Row],[Losing Candidate]:[Under Votes]])</f>
        <v>2</v>
      </c>
      <c r="K289" s="100">
        <f>IF(AND(SamplingData[[#This Row],[Total]]&lt;&gt; 0, NOT(ISBLANK(SamplingData[[#This Row],[Losing Candidate]]))),(SamplingData[[#This Row],[Total]]+SamplingData[[#This Row],[Winning Candidate]]-SamplingData[[#This Row],[Losing Candidate]])/(SamplingData[[#Totals],[Winning Candidate]]-SamplingData[[#Totals],[Losing Candidate]]), 0)</f>
        <v>0</v>
      </c>
      <c r="L289" s="100">
        <f>IF(AND(SamplingData[[#This Row],[Total]]&lt;&gt; 0, NOT(ISBLANK(SamplingData[[#This Row],[Candidate 3]]))),(SamplingData[[#This Row],[Total]]+SamplingData[[#This Row],[Winning Candidate]]-SamplingData[[#This Row],[Candidate 3]])/(SamplingData[[#Totals],[Winning Candidate]]-SamplingData[[#Totals],[Candidate 3]]), 0)</f>
        <v>6.4522373132883833E-5</v>
      </c>
      <c r="M289" s="100">
        <f>IF(AND(SamplingData[[#This Row],[Total]]&lt;&gt; 0, NOT(ISBLANK(SamplingData[[#This Row],[Candidate 4]]))),(SamplingData[[#This Row],[Total]]+SamplingData[[#This Row],[Winning Candidate]]-SamplingData[[#This Row],[Candidate 4]])/(SamplingData[[#Totals],[Winning Candidate]]-SamplingData[[#Totals],[Candidate 4]]), 0)</f>
        <v>5.846414686193692E-5</v>
      </c>
      <c r="N289" s="100">
        <f>IF(AND(SamplingData[[#This Row],[Total]]&lt;&gt; 0, NOT(ISBLANK(SamplingData[[#This Row],[Candidate 5]]))),(SamplingData[[#This Row],[Total]]+SamplingData[[#This Row],[Winning Candidate]]-SamplingData[[#This Row],[Candidate 5]])/(SamplingData[[#Totals],[Winning Candidate]]-SamplingData[[#Totals],[Candidate 5]]), 0)</f>
        <v>4.8649963512527367E-5</v>
      </c>
      <c r="O289" s="100">
        <f>IF(AND(SamplingData[[#This Row],[Total]]&lt;&gt; 0, NOT(ISBLANK(SamplingData[[#This Row],[Candidate 6]]))),(SamplingData[[#This Row],[Total]]+SamplingData[[#This Row],[Winning Candidate]]-SamplingData[[#This Row],[Candidate 6]])/(SamplingData[[#Totals],[Winning Candidate]]-SamplingData[[#Totals],[Candidate 6]]), 0)</f>
        <v>4.8635766742862701E-5</v>
      </c>
      <c r="P289" s="100">
        <f>MAX(SamplingData[[#This Row],[Error Bound (up) - Max. possible relative overstatement - Losing Candidate]:[Error Bound (up) - Max. possible relative overstatement - Candidate 6]])</f>
        <v>6.4522373132883833E-5</v>
      </c>
      <c r="Q289" s="100">
        <f>IF(SamplingData[[#This Row],[Max Error Bound (up)]] = 0,0,SamplingData[[#This Row],[Max Error Bound (up)]]/SamplingData[[#Totals],[Max Error Bound (up)]])</f>
        <v>1.0211727553664133E-5</v>
      </c>
      <c r="R289" s="101">
        <f>SUM($Q$5:Q289)</f>
        <v>0.17378977960435485</v>
      </c>
      <c r="S289" s="100" t="str">
        <f t="array" ref="S289">IF(SamplingData[[#This Row],[up/U Selection Probability]] = 0, "Zero", TEXT(SamplingData[[#This Row],[Lower Range]], REPT("0",LEN('General Info'!$B$40))) &amp; " - " &amp; TEXT(SamplingData[[#This Row],[Upper Range]], REPT("0",LEN('General Info'!$B$40))))</f>
        <v>17378 - 17378</v>
      </c>
      <c r="T289" s="100">
        <f>SamplingData[[#This Row],[Upper Range]]-SamplingData[[#This Row],[Span]]</f>
        <v>17377.956797891846</v>
      </c>
      <c r="U289" s="100">
        <f>IF(ISNUMBER('General Info'!$B$40), ((SamplingData[[#This Row],[up/U Selection Probability]]) * 'General Info'!$B$40) - 1, 0)</f>
        <v>2.116254363885961E-2</v>
      </c>
      <c r="V289" s="100">
        <f>IF(ISNUMBER('General Info'!$B$40), (SamplingData[[#This Row],[Running (cumulative) sum]] * ('General Info'!$B$40 -'General Info'!$B$41 + 1)) + 'General Info'!$B$41 - 1, 0)</f>
        <v>17377.977960435484</v>
      </c>
      <c r="W289" s="100" t="str">
        <f>IF(ISERROR(MATCH(SamplingData[[#This Row],[Batch by Type (p)]],SelectedPrecincts[Batch Name], 0)), "", INDEX(SelectedPrecincts[Draw], MATCH(SamplingData[[#This Row],[Batch by Type (p)]],SelectedPrecincts[Batch Name], 0)))</f>
        <v/>
      </c>
      <c r="X289" s="102">
        <f>IF(COUNTIF(SelectedPrecincts[Batch Name],SamplingData[[#This Row],[Batch by Type (p)]]) &lt;&gt; 0, COUNTIF(SelectedPrecincts[Batch Name],SamplingData[[#This Row],[Batch by Type (p)]]), 0)</f>
        <v>0</v>
      </c>
    </row>
    <row r="290" spans="1:24" ht="15" customHeight="1">
      <c r="A290" s="18" t="s">
        <v>466</v>
      </c>
      <c r="B290" s="18">
        <v>0</v>
      </c>
      <c r="C290" s="18">
        <v>0</v>
      </c>
      <c r="D290" s="18">
        <v>0</v>
      </c>
      <c r="E290" s="18">
        <v>0</v>
      </c>
      <c r="F290" s="18">
        <v>0</v>
      </c>
      <c r="G290" s="18">
        <v>1</v>
      </c>
      <c r="H290" s="18">
        <v>0</v>
      </c>
      <c r="I290" s="18">
        <v>0</v>
      </c>
      <c r="J290" s="99">
        <f>SUM(SamplingData[[#This Row],[Losing Candidate]:[Under Votes]])</f>
        <v>1</v>
      </c>
      <c r="K290"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90" s="100">
        <f>IF(AND(SamplingData[[#This Row],[Total]]&lt;&gt; 0, NOT(ISBLANK(SamplingData[[#This Row],[Candidate 3]]))),(SamplingData[[#This Row],[Total]]+SamplingData[[#This Row],[Winning Candidate]]-SamplingData[[#This Row],[Candidate 3]])/(SamplingData[[#Totals],[Winning Candidate]]-SamplingData[[#Totals],[Candidate 3]]), 0)</f>
        <v>3.2261186566441917E-5</v>
      </c>
      <c r="M290" s="100">
        <f>IF(AND(SamplingData[[#This Row],[Total]]&lt;&gt; 0, NOT(ISBLANK(SamplingData[[#This Row],[Candidate 4]]))),(SamplingData[[#This Row],[Total]]+SamplingData[[#This Row],[Winning Candidate]]-SamplingData[[#This Row],[Candidate 4]])/(SamplingData[[#Totals],[Winning Candidate]]-SamplingData[[#Totals],[Candidate 4]]), 0)</f>
        <v>2.923207343096846E-5</v>
      </c>
      <c r="N290" s="100">
        <f>IF(AND(SamplingData[[#This Row],[Total]]&lt;&gt; 0, NOT(ISBLANK(SamplingData[[#This Row],[Candidate 5]]))),(SamplingData[[#This Row],[Total]]+SamplingData[[#This Row],[Winning Candidate]]-SamplingData[[#This Row],[Candidate 5]])/(SamplingData[[#Totals],[Winning Candidate]]-SamplingData[[#Totals],[Candidate 5]]), 0)</f>
        <v>2.4324981756263683E-5</v>
      </c>
      <c r="O290" s="100">
        <f>IF(AND(SamplingData[[#This Row],[Total]]&lt;&gt; 0, NOT(ISBLANK(SamplingData[[#This Row],[Candidate 6]]))),(SamplingData[[#This Row],[Total]]+SamplingData[[#This Row],[Winning Candidate]]-SamplingData[[#This Row],[Candidate 6]])/(SamplingData[[#Totals],[Winning Candidate]]-SamplingData[[#Totals],[Candidate 6]]), 0)</f>
        <v>0</v>
      </c>
      <c r="P290" s="100">
        <f>MAX(SamplingData[[#This Row],[Error Bound (up) - Max. possible relative overstatement - Losing Candidate]:[Error Bound (up) - Max. possible relative overstatement - Candidate 6]])</f>
        <v>6.1244487996080352E-5</v>
      </c>
      <c r="Q290" s="100">
        <f>IF(SamplingData[[#This Row],[Max Error Bound (up)]] = 0,0,SamplingData[[#This Row],[Max Error Bound (up)]]/SamplingData[[#Totals],[Max Error Bound (up)]])</f>
        <v>9.6929482784458315E-6</v>
      </c>
      <c r="R290" s="101">
        <f>SUM($Q$5:Q290)</f>
        <v>0.17379947255263328</v>
      </c>
      <c r="S290" s="100" t="str">
        <f t="array" ref="S290">IF(SamplingData[[#This Row],[up/U Selection Probability]] = 0, "Zero", TEXT(SamplingData[[#This Row],[Lower Range]], REPT("0",LEN('General Info'!$B$40))) &amp; " - " &amp; TEXT(SamplingData[[#This Row],[Upper Range]], REPT("0",LEN('General Info'!$B$40))))</f>
        <v>17379 - 17379</v>
      </c>
      <c r="T290" s="100">
        <f>SamplingData[[#This Row],[Upper Range]]-SamplingData[[#This Row],[Span]]</f>
        <v>17378.977970128431</v>
      </c>
      <c r="U290" s="100">
        <f>IF(ISNUMBER('General Info'!$B$40), ((SamplingData[[#This Row],[up/U Selection Probability]]) * 'General Info'!$B$40) - 1, 0)</f>
        <v>-3.0714865103695255E-2</v>
      </c>
      <c r="V290" s="100">
        <f>IF(ISNUMBER('General Info'!$B$40), (SamplingData[[#This Row],[Running (cumulative) sum]] * ('General Info'!$B$40 -'General Info'!$B$41 + 1)) + 'General Info'!$B$41 - 1, 0)</f>
        <v>17378.947255263327</v>
      </c>
      <c r="W290" s="100" t="str">
        <f>IF(ISERROR(MATCH(SamplingData[[#This Row],[Batch by Type (p)]],SelectedPrecincts[Batch Name], 0)), "", INDEX(SelectedPrecincts[Draw], MATCH(SamplingData[[#This Row],[Batch by Type (p)]],SelectedPrecincts[Batch Name], 0)))</f>
        <v/>
      </c>
      <c r="X290" s="102">
        <f>IF(COUNTIF(SelectedPrecincts[Batch Name],SamplingData[[#This Row],[Batch by Type (p)]]) &lt;&gt; 0, COUNTIF(SelectedPrecincts[Batch Name],SamplingData[[#This Row],[Batch by Type (p)]]), 0)</f>
        <v>0</v>
      </c>
    </row>
    <row r="291" spans="1:24" ht="15" customHeight="1">
      <c r="A291" s="18" t="s">
        <v>467</v>
      </c>
      <c r="B291" s="18">
        <v>1</v>
      </c>
      <c r="C291" s="18">
        <v>0</v>
      </c>
      <c r="D291" s="16">
        <v>0</v>
      </c>
      <c r="E291" s="16">
        <v>0</v>
      </c>
      <c r="F291" s="37">
        <v>0</v>
      </c>
      <c r="G291" s="37">
        <v>0</v>
      </c>
      <c r="H291" s="17">
        <v>0</v>
      </c>
      <c r="I291" s="17">
        <v>0</v>
      </c>
      <c r="J291" s="99">
        <f>SUM(SamplingData[[#This Row],[Losing Candidate]:[Under Votes]])</f>
        <v>1</v>
      </c>
      <c r="K291" s="100">
        <f>IF(AND(SamplingData[[#This Row],[Total]]&lt;&gt; 0, NOT(ISBLANK(SamplingData[[#This Row],[Losing Candidate]]))),(SamplingData[[#This Row],[Total]]+SamplingData[[#This Row],[Winning Candidate]]-SamplingData[[#This Row],[Losing Candidate]])/(SamplingData[[#Totals],[Winning Candidate]]-SamplingData[[#Totals],[Losing Candidate]]), 0)</f>
        <v>0</v>
      </c>
      <c r="L291" s="100">
        <f>IF(AND(SamplingData[[#This Row],[Total]]&lt;&gt; 0, NOT(ISBLANK(SamplingData[[#This Row],[Candidate 3]]))),(SamplingData[[#This Row],[Total]]+SamplingData[[#This Row],[Winning Candidate]]-SamplingData[[#This Row],[Candidate 3]])/(SamplingData[[#Totals],[Winning Candidate]]-SamplingData[[#Totals],[Candidate 3]]), 0)</f>
        <v>3.2261186566441917E-5</v>
      </c>
      <c r="M291" s="100">
        <f>IF(AND(SamplingData[[#This Row],[Total]]&lt;&gt; 0, NOT(ISBLANK(SamplingData[[#This Row],[Candidate 4]]))),(SamplingData[[#This Row],[Total]]+SamplingData[[#This Row],[Winning Candidate]]-SamplingData[[#This Row],[Candidate 4]])/(SamplingData[[#Totals],[Winning Candidate]]-SamplingData[[#Totals],[Candidate 4]]), 0)</f>
        <v>2.923207343096846E-5</v>
      </c>
      <c r="N291" s="100">
        <f>IF(AND(SamplingData[[#This Row],[Total]]&lt;&gt; 0, NOT(ISBLANK(SamplingData[[#This Row],[Candidate 5]]))),(SamplingData[[#This Row],[Total]]+SamplingData[[#This Row],[Winning Candidate]]-SamplingData[[#This Row],[Candidate 5]])/(SamplingData[[#Totals],[Winning Candidate]]-SamplingData[[#Totals],[Candidate 5]]), 0)</f>
        <v>2.4324981756263683E-5</v>
      </c>
      <c r="O291" s="100">
        <f>IF(AND(SamplingData[[#This Row],[Total]]&lt;&gt; 0, NOT(ISBLANK(SamplingData[[#This Row],[Candidate 6]]))),(SamplingData[[#This Row],[Total]]+SamplingData[[#This Row],[Winning Candidate]]-SamplingData[[#This Row],[Candidate 6]])/(SamplingData[[#Totals],[Winning Candidate]]-SamplingData[[#Totals],[Candidate 6]]), 0)</f>
        <v>2.431788337143135E-5</v>
      </c>
      <c r="P291" s="100">
        <f>MAX(SamplingData[[#This Row],[Error Bound (up) - Max. possible relative overstatement - Losing Candidate]:[Error Bound (up) - Max. possible relative overstatement - Candidate 6]])</f>
        <v>3.2261186566441917E-5</v>
      </c>
      <c r="Q291" s="100">
        <f>IF(SamplingData[[#This Row],[Max Error Bound (up)]] = 0,0,SamplingData[[#This Row],[Max Error Bound (up)]]/SamplingData[[#Totals],[Max Error Bound (up)]])</f>
        <v>5.1058637768320663E-6</v>
      </c>
      <c r="R291" s="101">
        <f>SUM($Q$5:Q291)</f>
        <v>0.17380457841641012</v>
      </c>
      <c r="S291" s="100" t="str">
        <f t="array" ref="S291">IF(SamplingData[[#This Row],[up/U Selection Probability]] = 0, "Zero", TEXT(SamplingData[[#This Row],[Lower Range]], REPT("0",LEN('General Info'!$B$40))) &amp; " - " &amp; TEXT(SamplingData[[#This Row],[Upper Range]], REPT("0",LEN('General Info'!$B$40))))</f>
        <v>17380 - 17379</v>
      </c>
      <c r="T291" s="100">
        <f>SamplingData[[#This Row],[Upper Range]]-SamplingData[[#This Row],[Span]]</f>
        <v>17379.94726036919</v>
      </c>
      <c r="U291" s="100">
        <f>IF(ISNUMBER('General Info'!$B$40), ((SamplingData[[#This Row],[up/U Selection Probability]]) * 'General Info'!$B$40) - 1, 0)</f>
        <v>-0.4894187281805702</v>
      </c>
      <c r="V291" s="100">
        <f>IF(ISNUMBER('General Info'!$B$40), (SamplingData[[#This Row],[Running (cumulative) sum]] * ('General Info'!$B$40 -'General Info'!$B$41 + 1)) + 'General Info'!$B$41 - 1, 0)</f>
        <v>17379.457841641011</v>
      </c>
      <c r="W291" s="100" t="str">
        <f>IF(ISERROR(MATCH(SamplingData[[#This Row],[Batch by Type (p)]],SelectedPrecincts[Batch Name], 0)), "", INDEX(SelectedPrecincts[Draw], MATCH(SamplingData[[#This Row],[Batch by Type (p)]],SelectedPrecincts[Batch Name], 0)))</f>
        <v/>
      </c>
      <c r="X291" s="102">
        <f>IF(COUNTIF(SelectedPrecincts[Batch Name],SamplingData[[#This Row],[Batch by Type (p)]]) &lt;&gt; 0, COUNTIF(SelectedPrecincts[Batch Name],SamplingData[[#This Row],[Batch by Type (p)]]), 0)</f>
        <v>0</v>
      </c>
    </row>
    <row r="292" spans="1:24" ht="15" customHeight="1">
      <c r="A292" s="18" t="s">
        <v>468</v>
      </c>
      <c r="B292" s="18">
        <v>0</v>
      </c>
      <c r="C292" s="18">
        <v>0</v>
      </c>
      <c r="D292" s="18">
        <v>0</v>
      </c>
      <c r="E292" s="18">
        <v>0</v>
      </c>
      <c r="F292" s="18">
        <v>0</v>
      </c>
      <c r="G292" s="18">
        <v>0</v>
      </c>
      <c r="H292" s="18">
        <v>0</v>
      </c>
      <c r="I292" s="18">
        <v>0</v>
      </c>
      <c r="J292" s="99">
        <f>SUM(SamplingData[[#This Row],[Losing Candidate]:[Under Votes]])</f>
        <v>0</v>
      </c>
      <c r="K292" s="100">
        <f>IF(AND(SamplingData[[#This Row],[Total]]&lt;&gt; 0, NOT(ISBLANK(SamplingData[[#This Row],[Losing Candidate]]))),(SamplingData[[#This Row],[Total]]+SamplingData[[#This Row],[Winning Candidate]]-SamplingData[[#This Row],[Losing Candidate]])/(SamplingData[[#Totals],[Winning Candidate]]-SamplingData[[#Totals],[Losing Candidate]]), 0)</f>
        <v>0</v>
      </c>
      <c r="L292" s="100">
        <f>IF(AND(SamplingData[[#This Row],[Total]]&lt;&gt; 0, NOT(ISBLANK(SamplingData[[#This Row],[Candidate 3]]))),(SamplingData[[#This Row],[Total]]+SamplingData[[#This Row],[Winning Candidate]]-SamplingData[[#This Row],[Candidate 3]])/(SamplingData[[#Totals],[Winning Candidate]]-SamplingData[[#Totals],[Candidate 3]]), 0)</f>
        <v>0</v>
      </c>
      <c r="M292" s="100">
        <f>IF(AND(SamplingData[[#This Row],[Total]]&lt;&gt; 0, NOT(ISBLANK(SamplingData[[#This Row],[Candidate 4]]))),(SamplingData[[#This Row],[Total]]+SamplingData[[#This Row],[Winning Candidate]]-SamplingData[[#This Row],[Candidate 4]])/(SamplingData[[#Totals],[Winning Candidate]]-SamplingData[[#Totals],[Candidate 4]]), 0)</f>
        <v>0</v>
      </c>
      <c r="N292" s="100">
        <f>IF(AND(SamplingData[[#This Row],[Total]]&lt;&gt; 0, NOT(ISBLANK(SamplingData[[#This Row],[Candidate 5]]))),(SamplingData[[#This Row],[Total]]+SamplingData[[#This Row],[Winning Candidate]]-SamplingData[[#This Row],[Candidate 5]])/(SamplingData[[#Totals],[Winning Candidate]]-SamplingData[[#Totals],[Candidate 5]]), 0)</f>
        <v>0</v>
      </c>
      <c r="O292" s="100">
        <f>IF(AND(SamplingData[[#This Row],[Total]]&lt;&gt; 0, NOT(ISBLANK(SamplingData[[#This Row],[Candidate 6]]))),(SamplingData[[#This Row],[Total]]+SamplingData[[#This Row],[Winning Candidate]]-SamplingData[[#This Row],[Candidate 6]])/(SamplingData[[#Totals],[Winning Candidate]]-SamplingData[[#Totals],[Candidate 6]]), 0)</f>
        <v>0</v>
      </c>
      <c r="P292" s="100">
        <f>MAX(SamplingData[[#This Row],[Error Bound (up) - Max. possible relative overstatement - Losing Candidate]:[Error Bound (up) - Max. possible relative overstatement - Candidate 6]])</f>
        <v>0</v>
      </c>
      <c r="Q292" s="100">
        <f>IF(SamplingData[[#This Row],[Max Error Bound (up)]] = 0,0,SamplingData[[#This Row],[Max Error Bound (up)]]/SamplingData[[#Totals],[Max Error Bound (up)]])</f>
        <v>0</v>
      </c>
      <c r="R292" s="101">
        <f>SUM($Q$5:Q292)</f>
        <v>0.17380457841641012</v>
      </c>
      <c r="S292" s="100" t="str">
        <f t="array" ref="S292">IF(SamplingData[[#This Row],[up/U Selection Probability]] = 0, "Zero", TEXT(SamplingData[[#This Row],[Lower Range]], REPT("0",LEN('General Info'!$B$40))) &amp; " - " &amp; TEXT(SamplingData[[#This Row],[Upper Range]], REPT("0",LEN('General Info'!$B$40))))</f>
        <v>Zero</v>
      </c>
      <c r="T292" s="100">
        <f>SamplingData[[#This Row],[Upper Range]]-SamplingData[[#This Row],[Span]]</f>
        <v>17380.457841641011</v>
      </c>
      <c r="U292" s="100">
        <f>IF(ISNUMBER('General Info'!$B$40), ((SamplingData[[#This Row],[up/U Selection Probability]]) * 'General Info'!$B$40) - 1, 0)</f>
        <v>-1</v>
      </c>
      <c r="V292" s="100">
        <f>IF(ISNUMBER('General Info'!$B$40), (SamplingData[[#This Row],[Running (cumulative) sum]] * ('General Info'!$B$40 -'General Info'!$B$41 + 1)) + 'General Info'!$B$41 - 1, 0)</f>
        <v>17379.457841641011</v>
      </c>
      <c r="W292" s="100" t="str">
        <f>IF(ISERROR(MATCH(SamplingData[[#This Row],[Batch by Type (p)]],SelectedPrecincts[Batch Name], 0)), "", INDEX(SelectedPrecincts[Draw], MATCH(SamplingData[[#This Row],[Batch by Type (p)]],SelectedPrecincts[Batch Name], 0)))</f>
        <v/>
      </c>
      <c r="X292" s="102">
        <f>IF(COUNTIF(SelectedPrecincts[Batch Name],SamplingData[[#This Row],[Batch by Type (p)]]) &lt;&gt; 0, COUNTIF(SelectedPrecincts[Batch Name],SamplingData[[#This Row],[Batch by Type (p)]]), 0)</f>
        <v>0</v>
      </c>
    </row>
    <row r="293" spans="1:24" ht="15" customHeight="1">
      <c r="A293" s="18" t="s">
        <v>469</v>
      </c>
      <c r="B293" s="18">
        <v>2</v>
      </c>
      <c r="C293" s="18">
        <v>0</v>
      </c>
      <c r="D293" s="16">
        <v>0</v>
      </c>
      <c r="E293" s="16">
        <v>0</v>
      </c>
      <c r="F293" s="37">
        <v>0</v>
      </c>
      <c r="G293" s="37">
        <v>0</v>
      </c>
      <c r="H293" s="17">
        <v>0</v>
      </c>
      <c r="I293" s="17">
        <v>0</v>
      </c>
      <c r="J293" s="99">
        <f>SUM(SamplingData[[#This Row],[Losing Candidate]:[Under Votes]])</f>
        <v>2</v>
      </c>
      <c r="K293" s="100">
        <f>IF(AND(SamplingData[[#This Row],[Total]]&lt;&gt; 0, NOT(ISBLANK(SamplingData[[#This Row],[Losing Candidate]]))),(SamplingData[[#This Row],[Total]]+SamplingData[[#This Row],[Winning Candidate]]-SamplingData[[#This Row],[Losing Candidate]])/(SamplingData[[#Totals],[Winning Candidate]]-SamplingData[[#Totals],[Losing Candidate]]), 0)</f>
        <v>0</v>
      </c>
      <c r="L293" s="100">
        <f>IF(AND(SamplingData[[#This Row],[Total]]&lt;&gt; 0, NOT(ISBLANK(SamplingData[[#This Row],[Candidate 3]]))),(SamplingData[[#This Row],[Total]]+SamplingData[[#This Row],[Winning Candidate]]-SamplingData[[#This Row],[Candidate 3]])/(SamplingData[[#Totals],[Winning Candidate]]-SamplingData[[#Totals],[Candidate 3]]), 0)</f>
        <v>6.4522373132883833E-5</v>
      </c>
      <c r="M293" s="100">
        <f>IF(AND(SamplingData[[#This Row],[Total]]&lt;&gt; 0, NOT(ISBLANK(SamplingData[[#This Row],[Candidate 4]]))),(SamplingData[[#This Row],[Total]]+SamplingData[[#This Row],[Winning Candidate]]-SamplingData[[#This Row],[Candidate 4]])/(SamplingData[[#Totals],[Winning Candidate]]-SamplingData[[#Totals],[Candidate 4]]), 0)</f>
        <v>5.846414686193692E-5</v>
      </c>
      <c r="N293" s="100">
        <f>IF(AND(SamplingData[[#This Row],[Total]]&lt;&gt; 0, NOT(ISBLANK(SamplingData[[#This Row],[Candidate 5]]))),(SamplingData[[#This Row],[Total]]+SamplingData[[#This Row],[Winning Candidate]]-SamplingData[[#This Row],[Candidate 5]])/(SamplingData[[#Totals],[Winning Candidate]]-SamplingData[[#Totals],[Candidate 5]]), 0)</f>
        <v>4.8649963512527367E-5</v>
      </c>
      <c r="O293" s="100">
        <f>IF(AND(SamplingData[[#This Row],[Total]]&lt;&gt; 0, NOT(ISBLANK(SamplingData[[#This Row],[Candidate 6]]))),(SamplingData[[#This Row],[Total]]+SamplingData[[#This Row],[Winning Candidate]]-SamplingData[[#This Row],[Candidate 6]])/(SamplingData[[#Totals],[Winning Candidate]]-SamplingData[[#Totals],[Candidate 6]]), 0)</f>
        <v>4.8635766742862701E-5</v>
      </c>
      <c r="P293" s="100">
        <f>MAX(SamplingData[[#This Row],[Error Bound (up) - Max. possible relative overstatement - Losing Candidate]:[Error Bound (up) - Max. possible relative overstatement - Candidate 6]])</f>
        <v>6.4522373132883833E-5</v>
      </c>
      <c r="Q293" s="100">
        <f>IF(SamplingData[[#This Row],[Max Error Bound (up)]] = 0,0,SamplingData[[#This Row],[Max Error Bound (up)]]/SamplingData[[#Totals],[Max Error Bound (up)]])</f>
        <v>1.0211727553664133E-5</v>
      </c>
      <c r="R293" s="101">
        <f>SUM($Q$5:Q293)</f>
        <v>0.17381479014396378</v>
      </c>
      <c r="S293" s="100" t="str">
        <f t="array" ref="S293">IF(SamplingData[[#This Row],[up/U Selection Probability]] = 0, "Zero", TEXT(SamplingData[[#This Row],[Lower Range]], REPT("0",LEN('General Info'!$B$40))) &amp; " - " &amp; TEXT(SamplingData[[#This Row],[Upper Range]], REPT("0",LEN('General Info'!$B$40))))</f>
        <v>17380 - 17380</v>
      </c>
      <c r="T293" s="100">
        <f>SamplingData[[#This Row],[Upper Range]]-SamplingData[[#This Row],[Span]]</f>
        <v>17380.457851852738</v>
      </c>
      <c r="U293" s="100">
        <f>IF(ISNUMBER('General Info'!$B$40), ((SamplingData[[#This Row],[up/U Selection Probability]]) * 'General Info'!$B$40) - 1, 0)</f>
        <v>2.116254363885961E-2</v>
      </c>
      <c r="V293" s="100">
        <f>IF(ISNUMBER('General Info'!$B$40), (SamplingData[[#This Row],[Running (cumulative) sum]] * ('General Info'!$B$40 -'General Info'!$B$41 + 1)) + 'General Info'!$B$41 - 1, 0)</f>
        <v>17380.479014396376</v>
      </c>
      <c r="W293" s="100" t="str">
        <f>IF(ISERROR(MATCH(SamplingData[[#This Row],[Batch by Type (p)]],SelectedPrecincts[Batch Name], 0)), "", INDEX(SelectedPrecincts[Draw], MATCH(SamplingData[[#This Row],[Batch by Type (p)]],SelectedPrecincts[Batch Name], 0)))</f>
        <v/>
      </c>
      <c r="X293" s="102">
        <f>IF(COUNTIF(SelectedPrecincts[Batch Name],SamplingData[[#This Row],[Batch by Type (p)]]) &lt;&gt; 0, COUNTIF(SelectedPrecincts[Batch Name],SamplingData[[#This Row],[Batch by Type (p)]]), 0)</f>
        <v>0</v>
      </c>
    </row>
    <row r="294" spans="1:24" ht="15" customHeight="1">
      <c r="A294" s="18" t="s">
        <v>470</v>
      </c>
      <c r="B294" s="18">
        <v>0</v>
      </c>
      <c r="C294" s="18">
        <v>0</v>
      </c>
      <c r="D294" s="18">
        <v>0</v>
      </c>
      <c r="E294" s="18">
        <v>0</v>
      </c>
      <c r="F294" s="18">
        <v>0</v>
      </c>
      <c r="G294" s="18">
        <v>0</v>
      </c>
      <c r="H294" s="18">
        <v>0</v>
      </c>
      <c r="I294" s="18">
        <v>0</v>
      </c>
      <c r="J294" s="99">
        <f>SUM(SamplingData[[#This Row],[Losing Candidate]:[Under Votes]])</f>
        <v>0</v>
      </c>
      <c r="K294" s="100">
        <f>IF(AND(SamplingData[[#This Row],[Total]]&lt;&gt; 0, NOT(ISBLANK(SamplingData[[#This Row],[Losing Candidate]]))),(SamplingData[[#This Row],[Total]]+SamplingData[[#This Row],[Winning Candidate]]-SamplingData[[#This Row],[Losing Candidate]])/(SamplingData[[#Totals],[Winning Candidate]]-SamplingData[[#Totals],[Losing Candidate]]), 0)</f>
        <v>0</v>
      </c>
      <c r="L294" s="100">
        <f>IF(AND(SamplingData[[#This Row],[Total]]&lt;&gt; 0, NOT(ISBLANK(SamplingData[[#This Row],[Candidate 3]]))),(SamplingData[[#This Row],[Total]]+SamplingData[[#This Row],[Winning Candidate]]-SamplingData[[#This Row],[Candidate 3]])/(SamplingData[[#Totals],[Winning Candidate]]-SamplingData[[#Totals],[Candidate 3]]), 0)</f>
        <v>0</v>
      </c>
      <c r="M294" s="100">
        <f>IF(AND(SamplingData[[#This Row],[Total]]&lt;&gt; 0, NOT(ISBLANK(SamplingData[[#This Row],[Candidate 4]]))),(SamplingData[[#This Row],[Total]]+SamplingData[[#This Row],[Winning Candidate]]-SamplingData[[#This Row],[Candidate 4]])/(SamplingData[[#Totals],[Winning Candidate]]-SamplingData[[#Totals],[Candidate 4]]), 0)</f>
        <v>0</v>
      </c>
      <c r="N294" s="100">
        <f>IF(AND(SamplingData[[#This Row],[Total]]&lt;&gt; 0, NOT(ISBLANK(SamplingData[[#This Row],[Candidate 5]]))),(SamplingData[[#This Row],[Total]]+SamplingData[[#This Row],[Winning Candidate]]-SamplingData[[#This Row],[Candidate 5]])/(SamplingData[[#Totals],[Winning Candidate]]-SamplingData[[#Totals],[Candidate 5]]), 0)</f>
        <v>0</v>
      </c>
      <c r="O294" s="100">
        <f>IF(AND(SamplingData[[#This Row],[Total]]&lt;&gt; 0, NOT(ISBLANK(SamplingData[[#This Row],[Candidate 6]]))),(SamplingData[[#This Row],[Total]]+SamplingData[[#This Row],[Winning Candidate]]-SamplingData[[#This Row],[Candidate 6]])/(SamplingData[[#Totals],[Winning Candidate]]-SamplingData[[#Totals],[Candidate 6]]), 0)</f>
        <v>0</v>
      </c>
      <c r="P294" s="100">
        <f>MAX(SamplingData[[#This Row],[Error Bound (up) - Max. possible relative overstatement - Losing Candidate]:[Error Bound (up) - Max. possible relative overstatement - Candidate 6]])</f>
        <v>0</v>
      </c>
      <c r="Q294" s="100">
        <f>IF(SamplingData[[#This Row],[Max Error Bound (up)]] = 0,0,SamplingData[[#This Row],[Max Error Bound (up)]]/SamplingData[[#Totals],[Max Error Bound (up)]])</f>
        <v>0</v>
      </c>
      <c r="R294" s="101">
        <f>SUM($Q$5:Q294)</f>
        <v>0.17381479014396378</v>
      </c>
      <c r="S294" s="100" t="str">
        <f t="array" ref="S294">IF(SamplingData[[#This Row],[up/U Selection Probability]] = 0, "Zero", TEXT(SamplingData[[#This Row],[Lower Range]], REPT("0",LEN('General Info'!$B$40))) &amp; " - " &amp; TEXT(SamplingData[[#This Row],[Upper Range]], REPT("0",LEN('General Info'!$B$40))))</f>
        <v>Zero</v>
      </c>
      <c r="T294" s="100">
        <f>SamplingData[[#This Row],[Upper Range]]-SamplingData[[#This Row],[Span]]</f>
        <v>17381.479014396376</v>
      </c>
      <c r="U294" s="100">
        <f>IF(ISNUMBER('General Info'!$B$40), ((SamplingData[[#This Row],[up/U Selection Probability]]) * 'General Info'!$B$40) - 1, 0)</f>
        <v>-1</v>
      </c>
      <c r="V294" s="100">
        <f>IF(ISNUMBER('General Info'!$B$40), (SamplingData[[#This Row],[Running (cumulative) sum]] * ('General Info'!$B$40 -'General Info'!$B$41 + 1)) + 'General Info'!$B$41 - 1, 0)</f>
        <v>17380.479014396376</v>
      </c>
      <c r="W294" s="100" t="str">
        <f>IF(ISERROR(MATCH(SamplingData[[#This Row],[Batch by Type (p)]],SelectedPrecincts[Batch Name], 0)), "", INDEX(SelectedPrecincts[Draw], MATCH(SamplingData[[#This Row],[Batch by Type (p)]],SelectedPrecincts[Batch Name], 0)))</f>
        <v/>
      </c>
      <c r="X294" s="102">
        <f>IF(COUNTIF(SelectedPrecincts[Batch Name],SamplingData[[#This Row],[Batch by Type (p)]]) &lt;&gt; 0, COUNTIF(SelectedPrecincts[Batch Name],SamplingData[[#This Row],[Batch by Type (p)]]), 0)</f>
        <v>0</v>
      </c>
    </row>
    <row r="295" spans="1:24" ht="15" customHeight="1">
      <c r="A295" s="18" t="s">
        <v>471</v>
      </c>
      <c r="B295" s="18">
        <v>2</v>
      </c>
      <c r="C295" s="18">
        <v>0</v>
      </c>
      <c r="D295" s="16">
        <v>0</v>
      </c>
      <c r="E295" s="16">
        <v>0</v>
      </c>
      <c r="F295" s="37">
        <v>0</v>
      </c>
      <c r="G295" s="37">
        <v>0</v>
      </c>
      <c r="H295" s="17">
        <v>0</v>
      </c>
      <c r="I295" s="17">
        <v>0</v>
      </c>
      <c r="J295" s="99">
        <f>SUM(SamplingData[[#This Row],[Losing Candidate]:[Under Votes]])</f>
        <v>2</v>
      </c>
      <c r="K295" s="100">
        <f>IF(AND(SamplingData[[#This Row],[Total]]&lt;&gt; 0, NOT(ISBLANK(SamplingData[[#This Row],[Losing Candidate]]))),(SamplingData[[#This Row],[Total]]+SamplingData[[#This Row],[Winning Candidate]]-SamplingData[[#This Row],[Losing Candidate]])/(SamplingData[[#Totals],[Winning Candidate]]-SamplingData[[#Totals],[Losing Candidate]]), 0)</f>
        <v>0</v>
      </c>
      <c r="L295" s="100">
        <f>IF(AND(SamplingData[[#This Row],[Total]]&lt;&gt; 0, NOT(ISBLANK(SamplingData[[#This Row],[Candidate 3]]))),(SamplingData[[#This Row],[Total]]+SamplingData[[#This Row],[Winning Candidate]]-SamplingData[[#This Row],[Candidate 3]])/(SamplingData[[#Totals],[Winning Candidate]]-SamplingData[[#Totals],[Candidate 3]]), 0)</f>
        <v>6.4522373132883833E-5</v>
      </c>
      <c r="M295" s="100">
        <f>IF(AND(SamplingData[[#This Row],[Total]]&lt;&gt; 0, NOT(ISBLANK(SamplingData[[#This Row],[Candidate 4]]))),(SamplingData[[#This Row],[Total]]+SamplingData[[#This Row],[Winning Candidate]]-SamplingData[[#This Row],[Candidate 4]])/(SamplingData[[#Totals],[Winning Candidate]]-SamplingData[[#Totals],[Candidate 4]]), 0)</f>
        <v>5.846414686193692E-5</v>
      </c>
      <c r="N295" s="100">
        <f>IF(AND(SamplingData[[#This Row],[Total]]&lt;&gt; 0, NOT(ISBLANK(SamplingData[[#This Row],[Candidate 5]]))),(SamplingData[[#This Row],[Total]]+SamplingData[[#This Row],[Winning Candidate]]-SamplingData[[#This Row],[Candidate 5]])/(SamplingData[[#Totals],[Winning Candidate]]-SamplingData[[#Totals],[Candidate 5]]), 0)</f>
        <v>4.8649963512527367E-5</v>
      </c>
      <c r="O295" s="100">
        <f>IF(AND(SamplingData[[#This Row],[Total]]&lt;&gt; 0, NOT(ISBLANK(SamplingData[[#This Row],[Candidate 6]]))),(SamplingData[[#This Row],[Total]]+SamplingData[[#This Row],[Winning Candidate]]-SamplingData[[#This Row],[Candidate 6]])/(SamplingData[[#Totals],[Winning Candidate]]-SamplingData[[#Totals],[Candidate 6]]), 0)</f>
        <v>4.8635766742862701E-5</v>
      </c>
      <c r="P295" s="100">
        <f>MAX(SamplingData[[#This Row],[Error Bound (up) - Max. possible relative overstatement - Losing Candidate]:[Error Bound (up) - Max. possible relative overstatement - Candidate 6]])</f>
        <v>6.4522373132883833E-5</v>
      </c>
      <c r="Q295" s="100">
        <f>IF(SamplingData[[#This Row],[Max Error Bound (up)]] = 0,0,SamplingData[[#This Row],[Max Error Bound (up)]]/SamplingData[[#Totals],[Max Error Bound (up)]])</f>
        <v>1.0211727553664133E-5</v>
      </c>
      <c r="R295" s="101">
        <f>SUM($Q$5:Q295)</f>
        <v>0.17382500187151745</v>
      </c>
      <c r="S295" s="100" t="str">
        <f t="array" ref="S295">IF(SamplingData[[#This Row],[up/U Selection Probability]] = 0, "Zero", TEXT(SamplingData[[#This Row],[Lower Range]], REPT("0",LEN('General Info'!$B$40))) &amp; " - " &amp; TEXT(SamplingData[[#This Row],[Upper Range]], REPT("0",LEN('General Info'!$B$40))))</f>
        <v>17381 - 17382</v>
      </c>
      <c r="T295" s="100">
        <f>SamplingData[[#This Row],[Upper Range]]-SamplingData[[#This Row],[Span]]</f>
        <v>17381.479024608107</v>
      </c>
      <c r="U295" s="100">
        <f>IF(ISNUMBER('General Info'!$B$40), ((SamplingData[[#This Row],[up/U Selection Probability]]) * 'General Info'!$B$40) - 1, 0)</f>
        <v>2.116254363885961E-2</v>
      </c>
      <c r="V295" s="100">
        <f>IF(ISNUMBER('General Info'!$B$40), (SamplingData[[#This Row],[Running (cumulative) sum]] * ('General Info'!$B$40 -'General Info'!$B$41 + 1)) + 'General Info'!$B$41 - 1, 0)</f>
        <v>17381.500187151745</v>
      </c>
      <c r="W295" s="100" t="str">
        <f>IF(ISERROR(MATCH(SamplingData[[#This Row],[Batch by Type (p)]],SelectedPrecincts[Batch Name], 0)), "", INDEX(SelectedPrecincts[Draw], MATCH(SamplingData[[#This Row],[Batch by Type (p)]],SelectedPrecincts[Batch Name], 0)))</f>
        <v/>
      </c>
      <c r="X295" s="102">
        <f>IF(COUNTIF(SelectedPrecincts[Batch Name],SamplingData[[#This Row],[Batch by Type (p)]]) &lt;&gt; 0, COUNTIF(SelectedPrecincts[Batch Name],SamplingData[[#This Row],[Batch by Type (p)]]), 0)</f>
        <v>0</v>
      </c>
    </row>
    <row r="296" spans="1:24" ht="15" customHeight="1">
      <c r="A296" s="18" t="s">
        <v>472</v>
      </c>
      <c r="B296" s="18">
        <v>0</v>
      </c>
      <c r="C296" s="18">
        <v>0</v>
      </c>
      <c r="D296" s="18">
        <v>0</v>
      </c>
      <c r="E296" s="18">
        <v>1</v>
      </c>
      <c r="F296" s="18">
        <v>0</v>
      </c>
      <c r="G296" s="18">
        <v>0</v>
      </c>
      <c r="H296" s="18">
        <v>0</v>
      </c>
      <c r="I296" s="18">
        <v>0</v>
      </c>
      <c r="J296" s="99">
        <f>SUM(SamplingData[[#This Row],[Losing Candidate]:[Under Votes]])</f>
        <v>1</v>
      </c>
      <c r="K29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96" s="100">
        <f>IF(AND(SamplingData[[#This Row],[Total]]&lt;&gt; 0, NOT(ISBLANK(SamplingData[[#This Row],[Candidate 3]]))),(SamplingData[[#This Row],[Total]]+SamplingData[[#This Row],[Winning Candidate]]-SamplingData[[#This Row],[Candidate 3]])/(SamplingData[[#Totals],[Winning Candidate]]-SamplingData[[#Totals],[Candidate 3]]), 0)</f>
        <v>3.2261186566441917E-5</v>
      </c>
      <c r="M296" s="100">
        <f>IF(AND(SamplingData[[#This Row],[Total]]&lt;&gt; 0, NOT(ISBLANK(SamplingData[[#This Row],[Candidate 4]]))),(SamplingData[[#This Row],[Total]]+SamplingData[[#This Row],[Winning Candidate]]-SamplingData[[#This Row],[Candidate 4]])/(SamplingData[[#Totals],[Winning Candidate]]-SamplingData[[#Totals],[Candidate 4]]), 0)</f>
        <v>0</v>
      </c>
      <c r="N296" s="100">
        <f>IF(AND(SamplingData[[#This Row],[Total]]&lt;&gt; 0, NOT(ISBLANK(SamplingData[[#This Row],[Candidate 5]]))),(SamplingData[[#This Row],[Total]]+SamplingData[[#This Row],[Winning Candidate]]-SamplingData[[#This Row],[Candidate 5]])/(SamplingData[[#Totals],[Winning Candidate]]-SamplingData[[#Totals],[Candidate 5]]), 0)</f>
        <v>2.4324981756263683E-5</v>
      </c>
      <c r="O296" s="100">
        <f>IF(AND(SamplingData[[#This Row],[Total]]&lt;&gt; 0, NOT(ISBLANK(SamplingData[[#This Row],[Candidate 6]]))),(SamplingData[[#This Row],[Total]]+SamplingData[[#This Row],[Winning Candidate]]-SamplingData[[#This Row],[Candidate 6]])/(SamplingData[[#Totals],[Winning Candidate]]-SamplingData[[#Totals],[Candidate 6]]), 0)</f>
        <v>2.431788337143135E-5</v>
      </c>
      <c r="P296" s="100">
        <f>MAX(SamplingData[[#This Row],[Error Bound (up) - Max. possible relative overstatement - Losing Candidate]:[Error Bound (up) - Max. possible relative overstatement - Candidate 6]])</f>
        <v>6.1244487996080352E-5</v>
      </c>
      <c r="Q296" s="100">
        <f>IF(SamplingData[[#This Row],[Max Error Bound (up)]] = 0,0,SamplingData[[#This Row],[Max Error Bound (up)]]/SamplingData[[#Totals],[Max Error Bound (up)]])</f>
        <v>9.6929482784458315E-6</v>
      </c>
      <c r="R296" s="101">
        <f>SUM($Q$5:Q296)</f>
        <v>0.17383469481979588</v>
      </c>
      <c r="S296" s="100" t="str">
        <f t="array" ref="S296">IF(SamplingData[[#This Row],[up/U Selection Probability]] = 0, "Zero", TEXT(SamplingData[[#This Row],[Lower Range]], REPT("0",LEN('General Info'!$B$40))) &amp; " - " &amp; TEXT(SamplingData[[#This Row],[Upper Range]], REPT("0",LEN('General Info'!$B$40))))</f>
        <v>17383 - 17382</v>
      </c>
      <c r="T296" s="100">
        <f>SamplingData[[#This Row],[Upper Range]]-SamplingData[[#This Row],[Span]]</f>
        <v>17382.500196844692</v>
      </c>
      <c r="U296" s="100">
        <f>IF(ISNUMBER('General Info'!$B$40), ((SamplingData[[#This Row],[up/U Selection Probability]]) * 'General Info'!$B$40) - 1, 0)</f>
        <v>-3.0714865103695255E-2</v>
      </c>
      <c r="V296" s="100">
        <f>IF(ISNUMBER('General Info'!$B$40), (SamplingData[[#This Row],[Running (cumulative) sum]] * ('General Info'!$B$40 -'General Info'!$B$41 + 1)) + 'General Info'!$B$41 - 1, 0)</f>
        <v>17382.469481979588</v>
      </c>
      <c r="W296" s="100" t="str">
        <f>IF(ISERROR(MATCH(SamplingData[[#This Row],[Batch by Type (p)]],SelectedPrecincts[Batch Name], 0)), "", INDEX(SelectedPrecincts[Draw], MATCH(SamplingData[[#This Row],[Batch by Type (p)]],SelectedPrecincts[Batch Name], 0)))</f>
        <v/>
      </c>
      <c r="X296" s="102">
        <f>IF(COUNTIF(SelectedPrecincts[Batch Name],SamplingData[[#This Row],[Batch by Type (p)]]) &lt;&gt; 0, COUNTIF(SelectedPrecincts[Batch Name],SamplingData[[#This Row],[Batch by Type (p)]]), 0)</f>
        <v>0</v>
      </c>
    </row>
    <row r="297" spans="1:24" ht="15" customHeight="1">
      <c r="A297" s="18" t="s">
        <v>473</v>
      </c>
      <c r="B297" s="18">
        <v>0</v>
      </c>
      <c r="C297" s="18">
        <v>0</v>
      </c>
      <c r="D297" s="16">
        <v>0</v>
      </c>
      <c r="E297" s="16">
        <v>0</v>
      </c>
      <c r="F297" s="37">
        <v>0</v>
      </c>
      <c r="G297" s="37">
        <v>0</v>
      </c>
      <c r="H297" s="17">
        <v>0</v>
      </c>
      <c r="I297" s="17">
        <v>0</v>
      </c>
      <c r="J297" s="99">
        <f>SUM(SamplingData[[#This Row],[Losing Candidate]:[Under Votes]])</f>
        <v>0</v>
      </c>
      <c r="K297" s="100">
        <f>IF(AND(SamplingData[[#This Row],[Total]]&lt;&gt; 0, NOT(ISBLANK(SamplingData[[#This Row],[Losing Candidate]]))),(SamplingData[[#This Row],[Total]]+SamplingData[[#This Row],[Winning Candidate]]-SamplingData[[#This Row],[Losing Candidate]])/(SamplingData[[#Totals],[Winning Candidate]]-SamplingData[[#Totals],[Losing Candidate]]), 0)</f>
        <v>0</v>
      </c>
      <c r="L297" s="100">
        <f>IF(AND(SamplingData[[#This Row],[Total]]&lt;&gt; 0, NOT(ISBLANK(SamplingData[[#This Row],[Candidate 3]]))),(SamplingData[[#This Row],[Total]]+SamplingData[[#This Row],[Winning Candidate]]-SamplingData[[#This Row],[Candidate 3]])/(SamplingData[[#Totals],[Winning Candidate]]-SamplingData[[#Totals],[Candidate 3]]), 0)</f>
        <v>0</v>
      </c>
      <c r="M297" s="100">
        <f>IF(AND(SamplingData[[#This Row],[Total]]&lt;&gt; 0, NOT(ISBLANK(SamplingData[[#This Row],[Candidate 4]]))),(SamplingData[[#This Row],[Total]]+SamplingData[[#This Row],[Winning Candidate]]-SamplingData[[#This Row],[Candidate 4]])/(SamplingData[[#Totals],[Winning Candidate]]-SamplingData[[#Totals],[Candidate 4]]), 0)</f>
        <v>0</v>
      </c>
      <c r="N297" s="100">
        <f>IF(AND(SamplingData[[#This Row],[Total]]&lt;&gt; 0, NOT(ISBLANK(SamplingData[[#This Row],[Candidate 5]]))),(SamplingData[[#This Row],[Total]]+SamplingData[[#This Row],[Winning Candidate]]-SamplingData[[#This Row],[Candidate 5]])/(SamplingData[[#Totals],[Winning Candidate]]-SamplingData[[#Totals],[Candidate 5]]), 0)</f>
        <v>0</v>
      </c>
      <c r="O297" s="100">
        <f>IF(AND(SamplingData[[#This Row],[Total]]&lt;&gt; 0, NOT(ISBLANK(SamplingData[[#This Row],[Candidate 6]]))),(SamplingData[[#This Row],[Total]]+SamplingData[[#This Row],[Winning Candidate]]-SamplingData[[#This Row],[Candidate 6]])/(SamplingData[[#Totals],[Winning Candidate]]-SamplingData[[#Totals],[Candidate 6]]), 0)</f>
        <v>0</v>
      </c>
      <c r="P297" s="100">
        <f>MAX(SamplingData[[#This Row],[Error Bound (up) - Max. possible relative overstatement - Losing Candidate]:[Error Bound (up) - Max. possible relative overstatement - Candidate 6]])</f>
        <v>0</v>
      </c>
      <c r="Q297" s="100">
        <f>IF(SamplingData[[#This Row],[Max Error Bound (up)]] = 0,0,SamplingData[[#This Row],[Max Error Bound (up)]]/SamplingData[[#Totals],[Max Error Bound (up)]])</f>
        <v>0</v>
      </c>
      <c r="R297" s="101">
        <f>SUM($Q$5:Q297)</f>
        <v>0.17383469481979588</v>
      </c>
      <c r="S297" s="100" t="str">
        <f t="array" ref="S297">IF(SamplingData[[#This Row],[up/U Selection Probability]] = 0, "Zero", TEXT(SamplingData[[#This Row],[Lower Range]], REPT("0",LEN('General Info'!$B$40))) &amp; " - " &amp; TEXT(SamplingData[[#This Row],[Upper Range]], REPT("0",LEN('General Info'!$B$40))))</f>
        <v>Zero</v>
      </c>
      <c r="T297" s="100">
        <f>SamplingData[[#This Row],[Upper Range]]-SamplingData[[#This Row],[Span]]</f>
        <v>17383.469481979588</v>
      </c>
      <c r="U297" s="100">
        <f>IF(ISNUMBER('General Info'!$B$40), ((SamplingData[[#This Row],[up/U Selection Probability]]) * 'General Info'!$B$40) - 1, 0)</f>
        <v>-1</v>
      </c>
      <c r="V297" s="100">
        <f>IF(ISNUMBER('General Info'!$B$40), (SamplingData[[#This Row],[Running (cumulative) sum]] * ('General Info'!$B$40 -'General Info'!$B$41 + 1)) + 'General Info'!$B$41 - 1, 0)</f>
        <v>17382.469481979588</v>
      </c>
      <c r="W297" s="100" t="str">
        <f>IF(ISERROR(MATCH(SamplingData[[#This Row],[Batch by Type (p)]],SelectedPrecincts[Batch Name], 0)), "", INDEX(SelectedPrecincts[Draw], MATCH(SamplingData[[#This Row],[Batch by Type (p)]],SelectedPrecincts[Batch Name], 0)))</f>
        <v/>
      </c>
      <c r="X297" s="102">
        <f>IF(COUNTIF(SelectedPrecincts[Batch Name],SamplingData[[#This Row],[Batch by Type (p)]]) &lt;&gt; 0, COUNTIF(SelectedPrecincts[Batch Name],SamplingData[[#This Row],[Batch by Type (p)]]), 0)</f>
        <v>0</v>
      </c>
    </row>
    <row r="298" spans="1:24" ht="15" customHeight="1">
      <c r="A298" s="18" t="s">
        <v>474</v>
      </c>
      <c r="B298" s="18">
        <v>0</v>
      </c>
      <c r="C298" s="18">
        <v>0</v>
      </c>
      <c r="D298" s="18">
        <v>0</v>
      </c>
      <c r="E298" s="18">
        <v>0</v>
      </c>
      <c r="F298" s="18">
        <v>0</v>
      </c>
      <c r="G298" s="18">
        <v>0</v>
      </c>
      <c r="H298" s="18">
        <v>0</v>
      </c>
      <c r="I298" s="18">
        <v>0</v>
      </c>
      <c r="J298" s="99">
        <f>SUM(SamplingData[[#This Row],[Losing Candidate]:[Under Votes]])</f>
        <v>0</v>
      </c>
      <c r="K298" s="100">
        <f>IF(AND(SamplingData[[#This Row],[Total]]&lt;&gt; 0, NOT(ISBLANK(SamplingData[[#This Row],[Losing Candidate]]))),(SamplingData[[#This Row],[Total]]+SamplingData[[#This Row],[Winning Candidate]]-SamplingData[[#This Row],[Losing Candidate]])/(SamplingData[[#Totals],[Winning Candidate]]-SamplingData[[#Totals],[Losing Candidate]]), 0)</f>
        <v>0</v>
      </c>
      <c r="L298" s="100">
        <f>IF(AND(SamplingData[[#This Row],[Total]]&lt;&gt; 0, NOT(ISBLANK(SamplingData[[#This Row],[Candidate 3]]))),(SamplingData[[#This Row],[Total]]+SamplingData[[#This Row],[Winning Candidate]]-SamplingData[[#This Row],[Candidate 3]])/(SamplingData[[#Totals],[Winning Candidate]]-SamplingData[[#Totals],[Candidate 3]]), 0)</f>
        <v>0</v>
      </c>
      <c r="M298" s="100">
        <f>IF(AND(SamplingData[[#This Row],[Total]]&lt;&gt; 0, NOT(ISBLANK(SamplingData[[#This Row],[Candidate 4]]))),(SamplingData[[#This Row],[Total]]+SamplingData[[#This Row],[Winning Candidate]]-SamplingData[[#This Row],[Candidate 4]])/(SamplingData[[#Totals],[Winning Candidate]]-SamplingData[[#Totals],[Candidate 4]]), 0)</f>
        <v>0</v>
      </c>
      <c r="N298" s="100">
        <f>IF(AND(SamplingData[[#This Row],[Total]]&lt;&gt; 0, NOT(ISBLANK(SamplingData[[#This Row],[Candidate 5]]))),(SamplingData[[#This Row],[Total]]+SamplingData[[#This Row],[Winning Candidate]]-SamplingData[[#This Row],[Candidate 5]])/(SamplingData[[#Totals],[Winning Candidate]]-SamplingData[[#Totals],[Candidate 5]]), 0)</f>
        <v>0</v>
      </c>
      <c r="O298" s="100">
        <f>IF(AND(SamplingData[[#This Row],[Total]]&lt;&gt; 0, NOT(ISBLANK(SamplingData[[#This Row],[Candidate 6]]))),(SamplingData[[#This Row],[Total]]+SamplingData[[#This Row],[Winning Candidate]]-SamplingData[[#This Row],[Candidate 6]])/(SamplingData[[#Totals],[Winning Candidate]]-SamplingData[[#Totals],[Candidate 6]]), 0)</f>
        <v>0</v>
      </c>
      <c r="P298" s="100">
        <f>MAX(SamplingData[[#This Row],[Error Bound (up) - Max. possible relative overstatement - Losing Candidate]:[Error Bound (up) - Max. possible relative overstatement - Candidate 6]])</f>
        <v>0</v>
      </c>
      <c r="Q298" s="100">
        <f>IF(SamplingData[[#This Row],[Max Error Bound (up)]] = 0,0,SamplingData[[#This Row],[Max Error Bound (up)]]/SamplingData[[#Totals],[Max Error Bound (up)]])</f>
        <v>0</v>
      </c>
      <c r="R298" s="101">
        <f>SUM($Q$5:Q298)</f>
        <v>0.17383469481979588</v>
      </c>
      <c r="S298" s="100" t="str">
        <f t="array" ref="S298">IF(SamplingData[[#This Row],[up/U Selection Probability]] = 0, "Zero", TEXT(SamplingData[[#This Row],[Lower Range]], REPT("0",LEN('General Info'!$B$40))) &amp; " - " &amp; TEXT(SamplingData[[#This Row],[Upper Range]], REPT("0",LEN('General Info'!$B$40))))</f>
        <v>Zero</v>
      </c>
      <c r="T298" s="100">
        <f>SamplingData[[#This Row],[Upper Range]]-SamplingData[[#This Row],[Span]]</f>
        <v>17383.469481979588</v>
      </c>
      <c r="U298" s="100">
        <f>IF(ISNUMBER('General Info'!$B$40), ((SamplingData[[#This Row],[up/U Selection Probability]]) * 'General Info'!$B$40) - 1, 0)</f>
        <v>-1</v>
      </c>
      <c r="V298" s="100">
        <f>IF(ISNUMBER('General Info'!$B$40), (SamplingData[[#This Row],[Running (cumulative) sum]] * ('General Info'!$B$40 -'General Info'!$B$41 + 1)) + 'General Info'!$B$41 - 1, 0)</f>
        <v>17382.469481979588</v>
      </c>
      <c r="W298" s="100" t="str">
        <f>IF(ISERROR(MATCH(SamplingData[[#This Row],[Batch by Type (p)]],SelectedPrecincts[Batch Name], 0)), "", INDEX(SelectedPrecincts[Draw], MATCH(SamplingData[[#This Row],[Batch by Type (p)]],SelectedPrecincts[Batch Name], 0)))</f>
        <v/>
      </c>
      <c r="X298" s="102">
        <f>IF(COUNTIF(SelectedPrecincts[Batch Name],SamplingData[[#This Row],[Batch by Type (p)]]) &lt;&gt; 0, COUNTIF(SelectedPrecincts[Batch Name],SamplingData[[#This Row],[Batch by Type (p)]]), 0)</f>
        <v>0</v>
      </c>
    </row>
    <row r="299" spans="1:24" ht="15" customHeight="1">
      <c r="A299" s="18" t="s">
        <v>475</v>
      </c>
      <c r="B299" s="18">
        <v>0</v>
      </c>
      <c r="C299" s="18">
        <v>1</v>
      </c>
      <c r="D299" s="16">
        <v>1</v>
      </c>
      <c r="E299" s="16">
        <v>0</v>
      </c>
      <c r="F299" s="37">
        <v>0</v>
      </c>
      <c r="G299" s="37">
        <v>0</v>
      </c>
      <c r="H299" s="17">
        <v>0</v>
      </c>
      <c r="I299" s="17">
        <v>0</v>
      </c>
      <c r="J299" s="99">
        <f>SUM(SamplingData[[#This Row],[Losing Candidate]:[Under Votes]])</f>
        <v>2</v>
      </c>
      <c r="K299"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299" s="100">
        <f>IF(AND(SamplingData[[#This Row],[Total]]&lt;&gt; 0, NOT(ISBLANK(SamplingData[[#This Row],[Candidate 3]]))),(SamplingData[[#This Row],[Total]]+SamplingData[[#This Row],[Winning Candidate]]-SamplingData[[#This Row],[Candidate 3]])/(SamplingData[[#Totals],[Winning Candidate]]-SamplingData[[#Totals],[Candidate 3]]), 0)</f>
        <v>6.4522373132883833E-5</v>
      </c>
      <c r="M299" s="100">
        <f>IF(AND(SamplingData[[#This Row],[Total]]&lt;&gt; 0, NOT(ISBLANK(SamplingData[[#This Row],[Candidate 4]]))),(SamplingData[[#This Row],[Total]]+SamplingData[[#This Row],[Winning Candidate]]-SamplingData[[#This Row],[Candidate 4]])/(SamplingData[[#Totals],[Winning Candidate]]-SamplingData[[#Totals],[Candidate 4]]), 0)</f>
        <v>8.7696220292905373E-5</v>
      </c>
      <c r="N299" s="100">
        <f>IF(AND(SamplingData[[#This Row],[Total]]&lt;&gt; 0, NOT(ISBLANK(SamplingData[[#This Row],[Candidate 5]]))),(SamplingData[[#This Row],[Total]]+SamplingData[[#This Row],[Winning Candidate]]-SamplingData[[#This Row],[Candidate 5]])/(SamplingData[[#Totals],[Winning Candidate]]-SamplingData[[#Totals],[Candidate 5]]), 0)</f>
        <v>7.2974945268791054E-5</v>
      </c>
      <c r="O299" s="100">
        <f>IF(AND(SamplingData[[#This Row],[Total]]&lt;&gt; 0, NOT(ISBLANK(SamplingData[[#This Row],[Candidate 6]]))),(SamplingData[[#This Row],[Total]]+SamplingData[[#This Row],[Winning Candidate]]-SamplingData[[#This Row],[Candidate 6]])/(SamplingData[[#Totals],[Winning Candidate]]-SamplingData[[#Totals],[Candidate 6]]), 0)</f>
        <v>7.2953650114294054E-5</v>
      </c>
      <c r="P299" s="100">
        <f>MAX(SamplingData[[#This Row],[Error Bound (up) - Max. possible relative overstatement - Losing Candidate]:[Error Bound (up) - Max. possible relative overstatement - Candidate 6]])</f>
        <v>1.8373346398824106E-4</v>
      </c>
      <c r="Q299" s="100">
        <f>IF(SamplingData[[#This Row],[Max Error Bound (up)]] = 0,0,SamplingData[[#This Row],[Max Error Bound (up)]]/SamplingData[[#Totals],[Max Error Bound (up)]])</f>
        <v>2.9078844835337493E-5</v>
      </c>
      <c r="R299" s="101">
        <f>SUM($Q$5:Q299)</f>
        <v>0.17386377366463121</v>
      </c>
      <c r="S299" s="100" t="str">
        <f t="array" ref="S299">IF(SamplingData[[#This Row],[up/U Selection Probability]] = 0, "Zero", TEXT(SamplingData[[#This Row],[Lower Range]], REPT("0",LEN('General Info'!$B$40))) &amp; " - " &amp; TEXT(SamplingData[[#This Row],[Upper Range]], REPT("0",LEN('General Info'!$B$40))))</f>
        <v>17383 - 17385</v>
      </c>
      <c r="T299" s="100">
        <f>SamplingData[[#This Row],[Upper Range]]-SamplingData[[#This Row],[Span]]</f>
        <v>17383.469511058433</v>
      </c>
      <c r="U299" s="100">
        <f>IF(ISNUMBER('General Info'!$B$40), ((SamplingData[[#This Row],[up/U Selection Probability]]) * 'General Info'!$B$40) - 1, 0)</f>
        <v>1.907855404688914</v>
      </c>
      <c r="V299" s="100">
        <f>IF(ISNUMBER('General Info'!$B$40), (SamplingData[[#This Row],[Running (cumulative) sum]] * ('General Info'!$B$40 -'General Info'!$B$41 + 1)) + 'General Info'!$B$41 - 1, 0)</f>
        <v>17385.377366463123</v>
      </c>
      <c r="W299" s="100" t="str">
        <f>IF(ISERROR(MATCH(SamplingData[[#This Row],[Batch by Type (p)]],SelectedPrecincts[Batch Name], 0)), "", INDEX(SelectedPrecincts[Draw], MATCH(SamplingData[[#This Row],[Batch by Type (p)]],SelectedPrecincts[Batch Name], 0)))</f>
        <v/>
      </c>
      <c r="X299" s="102">
        <f>IF(COUNTIF(SelectedPrecincts[Batch Name],SamplingData[[#This Row],[Batch by Type (p)]]) &lt;&gt; 0, COUNTIF(SelectedPrecincts[Batch Name],SamplingData[[#This Row],[Batch by Type (p)]]), 0)</f>
        <v>0</v>
      </c>
    </row>
    <row r="300" spans="1:24" ht="15" customHeight="1">
      <c r="A300" s="18" t="s">
        <v>476</v>
      </c>
      <c r="B300" s="18">
        <v>1</v>
      </c>
      <c r="C300" s="18">
        <v>0</v>
      </c>
      <c r="D300" s="18">
        <v>0</v>
      </c>
      <c r="E300" s="18">
        <v>0</v>
      </c>
      <c r="F300" s="18">
        <v>0</v>
      </c>
      <c r="G300" s="18">
        <v>0</v>
      </c>
      <c r="H300" s="18">
        <v>0</v>
      </c>
      <c r="I300" s="18">
        <v>0</v>
      </c>
      <c r="J300" s="99">
        <f>SUM(SamplingData[[#This Row],[Losing Candidate]:[Under Votes]])</f>
        <v>1</v>
      </c>
      <c r="K300" s="100">
        <f>IF(AND(SamplingData[[#This Row],[Total]]&lt;&gt; 0, NOT(ISBLANK(SamplingData[[#This Row],[Losing Candidate]]))),(SamplingData[[#This Row],[Total]]+SamplingData[[#This Row],[Winning Candidate]]-SamplingData[[#This Row],[Losing Candidate]])/(SamplingData[[#Totals],[Winning Candidate]]-SamplingData[[#Totals],[Losing Candidate]]), 0)</f>
        <v>0</v>
      </c>
      <c r="L300" s="100">
        <f>IF(AND(SamplingData[[#This Row],[Total]]&lt;&gt; 0, NOT(ISBLANK(SamplingData[[#This Row],[Candidate 3]]))),(SamplingData[[#This Row],[Total]]+SamplingData[[#This Row],[Winning Candidate]]-SamplingData[[#This Row],[Candidate 3]])/(SamplingData[[#Totals],[Winning Candidate]]-SamplingData[[#Totals],[Candidate 3]]), 0)</f>
        <v>3.2261186566441917E-5</v>
      </c>
      <c r="M300" s="100">
        <f>IF(AND(SamplingData[[#This Row],[Total]]&lt;&gt; 0, NOT(ISBLANK(SamplingData[[#This Row],[Candidate 4]]))),(SamplingData[[#This Row],[Total]]+SamplingData[[#This Row],[Winning Candidate]]-SamplingData[[#This Row],[Candidate 4]])/(SamplingData[[#Totals],[Winning Candidate]]-SamplingData[[#Totals],[Candidate 4]]), 0)</f>
        <v>2.923207343096846E-5</v>
      </c>
      <c r="N300" s="100">
        <f>IF(AND(SamplingData[[#This Row],[Total]]&lt;&gt; 0, NOT(ISBLANK(SamplingData[[#This Row],[Candidate 5]]))),(SamplingData[[#This Row],[Total]]+SamplingData[[#This Row],[Winning Candidate]]-SamplingData[[#This Row],[Candidate 5]])/(SamplingData[[#Totals],[Winning Candidate]]-SamplingData[[#Totals],[Candidate 5]]), 0)</f>
        <v>2.4324981756263683E-5</v>
      </c>
      <c r="O300" s="100">
        <f>IF(AND(SamplingData[[#This Row],[Total]]&lt;&gt; 0, NOT(ISBLANK(SamplingData[[#This Row],[Candidate 6]]))),(SamplingData[[#This Row],[Total]]+SamplingData[[#This Row],[Winning Candidate]]-SamplingData[[#This Row],[Candidate 6]])/(SamplingData[[#Totals],[Winning Candidate]]-SamplingData[[#Totals],[Candidate 6]]), 0)</f>
        <v>2.431788337143135E-5</v>
      </c>
      <c r="P300" s="100">
        <f>MAX(SamplingData[[#This Row],[Error Bound (up) - Max. possible relative overstatement - Losing Candidate]:[Error Bound (up) - Max. possible relative overstatement - Candidate 6]])</f>
        <v>3.2261186566441917E-5</v>
      </c>
      <c r="Q300" s="100">
        <f>IF(SamplingData[[#This Row],[Max Error Bound (up)]] = 0,0,SamplingData[[#This Row],[Max Error Bound (up)]]/SamplingData[[#Totals],[Max Error Bound (up)]])</f>
        <v>5.1058637768320663E-6</v>
      </c>
      <c r="R300" s="101">
        <f>SUM($Q$5:Q300)</f>
        <v>0.17386887952840804</v>
      </c>
      <c r="S300" s="100" t="str">
        <f t="array" ref="S300">IF(SamplingData[[#This Row],[up/U Selection Probability]] = 0, "Zero", TEXT(SamplingData[[#This Row],[Lower Range]], REPT("0",LEN('General Info'!$B$40))) &amp; " - " &amp; TEXT(SamplingData[[#This Row],[Upper Range]], REPT("0",LEN('General Info'!$B$40))))</f>
        <v>17386 - 17386</v>
      </c>
      <c r="T300" s="100">
        <f>SamplingData[[#This Row],[Upper Range]]-SamplingData[[#This Row],[Span]]</f>
        <v>17386.377371568982</v>
      </c>
      <c r="U300" s="100">
        <f>IF(ISNUMBER('General Info'!$B$40), ((SamplingData[[#This Row],[up/U Selection Probability]]) * 'General Info'!$B$40) - 1, 0)</f>
        <v>-0.4894187281805702</v>
      </c>
      <c r="V300" s="100">
        <f>IF(ISNUMBER('General Info'!$B$40), (SamplingData[[#This Row],[Running (cumulative) sum]] * ('General Info'!$B$40 -'General Info'!$B$41 + 1)) + 'General Info'!$B$41 - 1, 0)</f>
        <v>17385.887952840803</v>
      </c>
      <c r="W300" s="100" t="str">
        <f>IF(ISERROR(MATCH(SamplingData[[#This Row],[Batch by Type (p)]],SelectedPrecincts[Batch Name], 0)), "", INDEX(SelectedPrecincts[Draw], MATCH(SamplingData[[#This Row],[Batch by Type (p)]],SelectedPrecincts[Batch Name], 0)))</f>
        <v/>
      </c>
      <c r="X300" s="102">
        <f>IF(COUNTIF(SelectedPrecincts[Batch Name],SamplingData[[#This Row],[Batch by Type (p)]]) &lt;&gt; 0, COUNTIF(SelectedPrecincts[Batch Name],SamplingData[[#This Row],[Batch by Type (p)]]), 0)</f>
        <v>0</v>
      </c>
    </row>
    <row r="301" spans="1:24" ht="15" customHeight="1">
      <c r="A301" s="18" t="s">
        <v>477</v>
      </c>
      <c r="B301" s="18">
        <v>0</v>
      </c>
      <c r="C301" s="18">
        <v>0</v>
      </c>
      <c r="D301" s="16">
        <v>0</v>
      </c>
      <c r="E301" s="16">
        <v>0</v>
      </c>
      <c r="F301" s="37">
        <v>0</v>
      </c>
      <c r="G301" s="37">
        <v>0</v>
      </c>
      <c r="H301" s="17">
        <v>0</v>
      </c>
      <c r="I301" s="17">
        <v>0</v>
      </c>
      <c r="J301" s="99">
        <f>SUM(SamplingData[[#This Row],[Losing Candidate]:[Under Votes]])</f>
        <v>0</v>
      </c>
      <c r="K301" s="100">
        <f>IF(AND(SamplingData[[#This Row],[Total]]&lt;&gt; 0, NOT(ISBLANK(SamplingData[[#This Row],[Losing Candidate]]))),(SamplingData[[#This Row],[Total]]+SamplingData[[#This Row],[Winning Candidate]]-SamplingData[[#This Row],[Losing Candidate]])/(SamplingData[[#Totals],[Winning Candidate]]-SamplingData[[#Totals],[Losing Candidate]]), 0)</f>
        <v>0</v>
      </c>
      <c r="L301" s="100">
        <f>IF(AND(SamplingData[[#This Row],[Total]]&lt;&gt; 0, NOT(ISBLANK(SamplingData[[#This Row],[Candidate 3]]))),(SamplingData[[#This Row],[Total]]+SamplingData[[#This Row],[Winning Candidate]]-SamplingData[[#This Row],[Candidate 3]])/(SamplingData[[#Totals],[Winning Candidate]]-SamplingData[[#Totals],[Candidate 3]]), 0)</f>
        <v>0</v>
      </c>
      <c r="M301" s="100">
        <f>IF(AND(SamplingData[[#This Row],[Total]]&lt;&gt; 0, NOT(ISBLANK(SamplingData[[#This Row],[Candidate 4]]))),(SamplingData[[#This Row],[Total]]+SamplingData[[#This Row],[Winning Candidate]]-SamplingData[[#This Row],[Candidate 4]])/(SamplingData[[#Totals],[Winning Candidate]]-SamplingData[[#Totals],[Candidate 4]]), 0)</f>
        <v>0</v>
      </c>
      <c r="N301" s="100">
        <f>IF(AND(SamplingData[[#This Row],[Total]]&lt;&gt; 0, NOT(ISBLANK(SamplingData[[#This Row],[Candidate 5]]))),(SamplingData[[#This Row],[Total]]+SamplingData[[#This Row],[Winning Candidate]]-SamplingData[[#This Row],[Candidate 5]])/(SamplingData[[#Totals],[Winning Candidate]]-SamplingData[[#Totals],[Candidate 5]]), 0)</f>
        <v>0</v>
      </c>
      <c r="O301" s="100">
        <f>IF(AND(SamplingData[[#This Row],[Total]]&lt;&gt; 0, NOT(ISBLANK(SamplingData[[#This Row],[Candidate 6]]))),(SamplingData[[#This Row],[Total]]+SamplingData[[#This Row],[Winning Candidate]]-SamplingData[[#This Row],[Candidate 6]])/(SamplingData[[#Totals],[Winning Candidate]]-SamplingData[[#Totals],[Candidate 6]]), 0)</f>
        <v>0</v>
      </c>
      <c r="P301" s="100">
        <f>MAX(SamplingData[[#This Row],[Error Bound (up) - Max. possible relative overstatement - Losing Candidate]:[Error Bound (up) - Max. possible relative overstatement - Candidate 6]])</f>
        <v>0</v>
      </c>
      <c r="Q301" s="100">
        <f>IF(SamplingData[[#This Row],[Max Error Bound (up)]] = 0,0,SamplingData[[#This Row],[Max Error Bound (up)]]/SamplingData[[#Totals],[Max Error Bound (up)]])</f>
        <v>0</v>
      </c>
      <c r="R301" s="101">
        <f>SUM($Q$5:Q301)</f>
        <v>0.17386887952840804</v>
      </c>
      <c r="S301" s="100" t="str">
        <f t="array" ref="S301">IF(SamplingData[[#This Row],[up/U Selection Probability]] = 0, "Zero", TEXT(SamplingData[[#This Row],[Lower Range]], REPT("0",LEN('General Info'!$B$40))) &amp; " - " &amp; TEXT(SamplingData[[#This Row],[Upper Range]], REPT("0",LEN('General Info'!$B$40))))</f>
        <v>Zero</v>
      </c>
      <c r="T301" s="100">
        <f>SamplingData[[#This Row],[Upper Range]]-SamplingData[[#This Row],[Span]]</f>
        <v>17386.887952840803</v>
      </c>
      <c r="U301" s="100">
        <f>IF(ISNUMBER('General Info'!$B$40), ((SamplingData[[#This Row],[up/U Selection Probability]]) * 'General Info'!$B$40) - 1, 0)</f>
        <v>-1</v>
      </c>
      <c r="V301" s="100">
        <f>IF(ISNUMBER('General Info'!$B$40), (SamplingData[[#This Row],[Running (cumulative) sum]] * ('General Info'!$B$40 -'General Info'!$B$41 + 1)) + 'General Info'!$B$41 - 1, 0)</f>
        <v>17385.887952840803</v>
      </c>
      <c r="W301" s="100" t="str">
        <f>IF(ISERROR(MATCH(SamplingData[[#This Row],[Batch by Type (p)]],SelectedPrecincts[Batch Name], 0)), "", INDEX(SelectedPrecincts[Draw], MATCH(SamplingData[[#This Row],[Batch by Type (p)]],SelectedPrecincts[Batch Name], 0)))</f>
        <v/>
      </c>
      <c r="X301" s="102">
        <f>IF(COUNTIF(SelectedPrecincts[Batch Name],SamplingData[[#This Row],[Batch by Type (p)]]) &lt;&gt; 0, COUNTIF(SelectedPrecincts[Batch Name],SamplingData[[#This Row],[Batch by Type (p)]]), 0)</f>
        <v>0</v>
      </c>
    </row>
    <row r="302" spans="1:24" ht="15" customHeight="1">
      <c r="A302" s="18" t="s">
        <v>478</v>
      </c>
      <c r="B302" s="18">
        <v>0</v>
      </c>
      <c r="C302" s="18">
        <v>0</v>
      </c>
      <c r="D302" s="18">
        <v>1</v>
      </c>
      <c r="E302" s="18">
        <v>0</v>
      </c>
      <c r="F302" s="18">
        <v>0</v>
      </c>
      <c r="G302" s="18">
        <v>0</v>
      </c>
      <c r="H302" s="18">
        <v>0</v>
      </c>
      <c r="I302" s="18">
        <v>0</v>
      </c>
      <c r="J302" s="99">
        <f>SUM(SamplingData[[#This Row],[Losing Candidate]:[Under Votes]])</f>
        <v>1</v>
      </c>
      <c r="K30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02" s="100">
        <f>IF(AND(SamplingData[[#This Row],[Total]]&lt;&gt; 0, NOT(ISBLANK(SamplingData[[#This Row],[Candidate 3]]))),(SamplingData[[#This Row],[Total]]+SamplingData[[#This Row],[Winning Candidate]]-SamplingData[[#This Row],[Candidate 3]])/(SamplingData[[#Totals],[Winning Candidate]]-SamplingData[[#Totals],[Candidate 3]]), 0)</f>
        <v>0</v>
      </c>
      <c r="M302" s="100">
        <f>IF(AND(SamplingData[[#This Row],[Total]]&lt;&gt; 0, NOT(ISBLANK(SamplingData[[#This Row],[Candidate 4]]))),(SamplingData[[#This Row],[Total]]+SamplingData[[#This Row],[Winning Candidate]]-SamplingData[[#This Row],[Candidate 4]])/(SamplingData[[#Totals],[Winning Candidate]]-SamplingData[[#Totals],[Candidate 4]]), 0)</f>
        <v>2.923207343096846E-5</v>
      </c>
      <c r="N302" s="100">
        <f>IF(AND(SamplingData[[#This Row],[Total]]&lt;&gt; 0, NOT(ISBLANK(SamplingData[[#This Row],[Candidate 5]]))),(SamplingData[[#This Row],[Total]]+SamplingData[[#This Row],[Winning Candidate]]-SamplingData[[#This Row],[Candidate 5]])/(SamplingData[[#Totals],[Winning Candidate]]-SamplingData[[#Totals],[Candidate 5]]), 0)</f>
        <v>2.4324981756263683E-5</v>
      </c>
      <c r="O302" s="100">
        <f>IF(AND(SamplingData[[#This Row],[Total]]&lt;&gt; 0, NOT(ISBLANK(SamplingData[[#This Row],[Candidate 6]]))),(SamplingData[[#This Row],[Total]]+SamplingData[[#This Row],[Winning Candidate]]-SamplingData[[#This Row],[Candidate 6]])/(SamplingData[[#Totals],[Winning Candidate]]-SamplingData[[#Totals],[Candidate 6]]), 0)</f>
        <v>2.431788337143135E-5</v>
      </c>
      <c r="P302" s="100">
        <f>MAX(SamplingData[[#This Row],[Error Bound (up) - Max. possible relative overstatement - Losing Candidate]:[Error Bound (up) - Max. possible relative overstatement - Candidate 6]])</f>
        <v>6.1244487996080352E-5</v>
      </c>
      <c r="Q302" s="100">
        <f>IF(SamplingData[[#This Row],[Max Error Bound (up)]] = 0,0,SamplingData[[#This Row],[Max Error Bound (up)]]/SamplingData[[#Totals],[Max Error Bound (up)]])</f>
        <v>9.6929482784458315E-6</v>
      </c>
      <c r="R302" s="101">
        <f>SUM($Q$5:Q302)</f>
        <v>0.17387857247668648</v>
      </c>
      <c r="S302" s="100" t="str">
        <f t="array" ref="S302">IF(SamplingData[[#This Row],[up/U Selection Probability]] = 0, "Zero", TEXT(SamplingData[[#This Row],[Lower Range]], REPT("0",LEN('General Info'!$B$40))) &amp; " - " &amp; TEXT(SamplingData[[#This Row],[Upper Range]], REPT("0",LEN('General Info'!$B$40))))</f>
        <v>17387 - 17387</v>
      </c>
      <c r="T302" s="100">
        <f>SamplingData[[#This Row],[Upper Range]]-SamplingData[[#This Row],[Span]]</f>
        <v>17386.887962533754</v>
      </c>
      <c r="U302" s="100">
        <f>IF(ISNUMBER('General Info'!$B$40), ((SamplingData[[#This Row],[up/U Selection Probability]]) * 'General Info'!$B$40) - 1, 0)</f>
        <v>-3.0714865103695255E-2</v>
      </c>
      <c r="V302" s="100">
        <f>IF(ISNUMBER('General Info'!$B$40), (SamplingData[[#This Row],[Running (cumulative) sum]] * ('General Info'!$B$40 -'General Info'!$B$41 + 1)) + 'General Info'!$B$41 - 1, 0)</f>
        <v>17386.85724766865</v>
      </c>
      <c r="W302" s="100" t="str">
        <f>IF(ISERROR(MATCH(SamplingData[[#This Row],[Batch by Type (p)]],SelectedPrecincts[Batch Name], 0)), "", INDEX(SelectedPrecincts[Draw], MATCH(SamplingData[[#This Row],[Batch by Type (p)]],SelectedPrecincts[Batch Name], 0)))</f>
        <v/>
      </c>
      <c r="X302" s="102">
        <f>IF(COUNTIF(SelectedPrecincts[Batch Name],SamplingData[[#This Row],[Batch by Type (p)]]) &lt;&gt; 0, COUNTIF(SelectedPrecincts[Batch Name],SamplingData[[#This Row],[Batch by Type (p)]]), 0)</f>
        <v>0</v>
      </c>
    </row>
    <row r="303" spans="1:24" ht="15" customHeight="1">
      <c r="A303" s="18" t="s">
        <v>479</v>
      </c>
      <c r="B303" s="18">
        <v>1</v>
      </c>
      <c r="C303" s="18">
        <v>0</v>
      </c>
      <c r="D303" s="16">
        <v>0</v>
      </c>
      <c r="E303" s="16">
        <v>0</v>
      </c>
      <c r="F303" s="37">
        <v>1</v>
      </c>
      <c r="G303" s="37">
        <v>0</v>
      </c>
      <c r="H303" s="17">
        <v>0</v>
      </c>
      <c r="I303" s="17">
        <v>0</v>
      </c>
      <c r="J303" s="99">
        <f>SUM(SamplingData[[#This Row],[Losing Candidate]:[Under Votes]])</f>
        <v>2</v>
      </c>
      <c r="K303"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03" s="100">
        <f>IF(AND(SamplingData[[#This Row],[Total]]&lt;&gt; 0, NOT(ISBLANK(SamplingData[[#This Row],[Candidate 3]]))),(SamplingData[[#This Row],[Total]]+SamplingData[[#This Row],[Winning Candidate]]-SamplingData[[#This Row],[Candidate 3]])/(SamplingData[[#Totals],[Winning Candidate]]-SamplingData[[#Totals],[Candidate 3]]), 0)</f>
        <v>6.4522373132883833E-5</v>
      </c>
      <c r="M303" s="100">
        <f>IF(AND(SamplingData[[#This Row],[Total]]&lt;&gt; 0, NOT(ISBLANK(SamplingData[[#This Row],[Candidate 4]]))),(SamplingData[[#This Row],[Total]]+SamplingData[[#This Row],[Winning Candidate]]-SamplingData[[#This Row],[Candidate 4]])/(SamplingData[[#Totals],[Winning Candidate]]-SamplingData[[#Totals],[Candidate 4]]), 0)</f>
        <v>5.846414686193692E-5</v>
      </c>
      <c r="N303" s="100">
        <f>IF(AND(SamplingData[[#This Row],[Total]]&lt;&gt; 0, NOT(ISBLANK(SamplingData[[#This Row],[Candidate 5]]))),(SamplingData[[#This Row],[Total]]+SamplingData[[#This Row],[Winning Candidate]]-SamplingData[[#This Row],[Candidate 5]])/(SamplingData[[#Totals],[Winning Candidate]]-SamplingData[[#Totals],[Candidate 5]]), 0)</f>
        <v>2.4324981756263683E-5</v>
      </c>
      <c r="O303" s="100">
        <f>IF(AND(SamplingData[[#This Row],[Total]]&lt;&gt; 0, NOT(ISBLANK(SamplingData[[#This Row],[Candidate 6]]))),(SamplingData[[#This Row],[Total]]+SamplingData[[#This Row],[Winning Candidate]]-SamplingData[[#This Row],[Candidate 6]])/(SamplingData[[#Totals],[Winning Candidate]]-SamplingData[[#Totals],[Candidate 6]]), 0)</f>
        <v>4.8635766742862701E-5</v>
      </c>
      <c r="P303" s="100">
        <f>MAX(SamplingData[[#This Row],[Error Bound (up) - Max. possible relative overstatement - Losing Candidate]:[Error Bound (up) - Max. possible relative overstatement - Candidate 6]])</f>
        <v>6.4522373132883833E-5</v>
      </c>
      <c r="Q303" s="100">
        <f>IF(SamplingData[[#This Row],[Max Error Bound (up)]] = 0,0,SamplingData[[#This Row],[Max Error Bound (up)]]/SamplingData[[#Totals],[Max Error Bound (up)]])</f>
        <v>1.0211727553664133E-5</v>
      </c>
      <c r="R303" s="101">
        <f>SUM($Q$5:Q303)</f>
        <v>0.17388878420424014</v>
      </c>
      <c r="S303" s="100" t="str">
        <f t="array" ref="S303">IF(SamplingData[[#This Row],[up/U Selection Probability]] = 0, "Zero", TEXT(SamplingData[[#This Row],[Lower Range]], REPT("0",LEN('General Info'!$B$40))) &amp; " - " &amp; TEXT(SamplingData[[#This Row],[Upper Range]], REPT("0",LEN('General Info'!$B$40))))</f>
        <v>17388 - 17388</v>
      </c>
      <c r="T303" s="100">
        <f>SamplingData[[#This Row],[Upper Range]]-SamplingData[[#This Row],[Span]]</f>
        <v>17387.857257880376</v>
      </c>
      <c r="U303" s="100">
        <f>IF(ISNUMBER('General Info'!$B$40), ((SamplingData[[#This Row],[up/U Selection Probability]]) * 'General Info'!$B$40) - 1, 0)</f>
        <v>2.116254363885961E-2</v>
      </c>
      <c r="V303" s="100">
        <f>IF(ISNUMBER('General Info'!$B$40), (SamplingData[[#This Row],[Running (cumulative) sum]] * ('General Info'!$B$40 -'General Info'!$B$41 + 1)) + 'General Info'!$B$41 - 1, 0)</f>
        <v>17387.878420424015</v>
      </c>
      <c r="W303" s="100" t="str">
        <f>IF(ISERROR(MATCH(SamplingData[[#This Row],[Batch by Type (p)]],SelectedPrecincts[Batch Name], 0)), "", INDEX(SelectedPrecincts[Draw], MATCH(SamplingData[[#This Row],[Batch by Type (p)]],SelectedPrecincts[Batch Name], 0)))</f>
        <v/>
      </c>
      <c r="X303" s="102">
        <f>IF(COUNTIF(SelectedPrecincts[Batch Name],SamplingData[[#This Row],[Batch by Type (p)]]) &lt;&gt; 0, COUNTIF(SelectedPrecincts[Batch Name],SamplingData[[#This Row],[Batch by Type (p)]]), 0)</f>
        <v>0</v>
      </c>
    </row>
    <row r="304" spans="1:24" ht="15" customHeight="1">
      <c r="A304" s="18" t="s">
        <v>480</v>
      </c>
      <c r="B304" s="18">
        <v>0</v>
      </c>
      <c r="C304" s="18">
        <v>0</v>
      </c>
      <c r="D304" s="18">
        <v>0</v>
      </c>
      <c r="E304" s="18">
        <v>0</v>
      </c>
      <c r="F304" s="18">
        <v>0</v>
      </c>
      <c r="G304" s="18">
        <v>0</v>
      </c>
      <c r="H304" s="18">
        <v>0</v>
      </c>
      <c r="I304" s="18">
        <v>0</v>
      </c>
      <c r="J304" s="99">
        <f>SUM(SamplingData[[#This Row],[Losing Candidate]:[Under Votes]])</f>
        <v>0</v>
      </c>
      <c r="K304" s="100">
        <f>IF(AND(SamplingData[[#This Row],[Total]]&lt;&gt; 0, NOT(ISBLANK(SamplingData[[#This Row],[Losing Candidate]]))),(SamplingData[[#This Row],[Total]]+SamplingData[[#This Row],[Winning Candidate]]-SamplingData[[#This Row],[Losing Candidate]])/(SamplingData[[#Totals],[Winning Candidate]]-SamplingData[[#Totals],[Losing Candidate]]), 0)</f>
        <v>0</v>
      </c>
      <c r="L304" s="100">
        <f>IF(AND(SamplingData[[#This Row],[Total]]&lt;&gt; 0, NOT(ISBLANK(SamplingData[[#This Row],[Candidate 3]]))),(SamplingData[[#This Row],[Total]]+SamplingData[[#This Row],[Winning Candidate]]-SamplingData[[#This Row],[Candidate 3]])/(SamplingData[[#Totals],[Winning Candidate]]-SamplingData[[#Totals],[Candidate 3]]), 0)</f>
        <v>0</v>
      </c>
      <c r="M304" s="100">
        <f>IF(AND(SamplingData[[#This Row],[Total]]&lt;&gt; 0, NOT(ISBLANK(SamplingData[[#This Row],[Candidate 4]]))),(SamplingData[[#This Row],[Total]]+SamplingData[[#This Row],[Winning Candidate]]-SamplingData[[#This Row],[Candidate 4]])/(SamplingData[[#Totals],[Winning Candidate]]-SamplingData[[#Totals],[Candidate 4]]), 0)</f>
        <v>0</v>
      </c>
      <c r="N304" s="100">
        <f>IF(AND(SamplingData[[#This Row],[Total]]&lt;&gt; 0, NOT(ISBLANK(SamplingData[[#This Row],[Candidate 5]]))),(SamplingData[[#This Row],[Total]]+SamplingData[[#This Row],[Winning Candidate]]-SamplingData[[#This Row],[Candidate 5]])/(SamplingData[[#Totals],[Winning Candidate]]-SamplingData[[#Totals],[Candidate 5]]), 0)</f>
        <v>0</v>
      </c>
      <c r="O304" s="100">
        <f>IF(AND(SamplingData[[#This Row],[Total]]&lt;&gt; 0, NOT(ISBLANK(SamplingData[[#This Row],[Candidate 6]]))),(SamplingData[[#This Row],[Total]]+SamplingData[[#This Row],[Winning Candidate]]-SamplingData[[#This Row],[Candidate 6]])/(SamplingData[[#Totals],[Winning Candidate]]-SamplingData[[#Totals],[Candidate 6]]), 0)</f>
        <v>0</v>
      </c>
      <c r="P304" s="100">
        <f>MAX(SamplingData[[#This Row],[Error Bound (up) - Max. possible relative overstatement - Losing Candidate]:[Error Bound (up) - Max. possible relative overstatement - Candidate 6]])</f>
        <v>0</v>
      </c>
      <c r="Q304" s="100">
        <f>IF(SamplingData[[#This Row],[Max Error Bound (up)]] = 0,0,SamplingData[[#This Row],[Max Error Bound (up)]]/SamplingData[[#Totals],[Max Error Bound (up)]])</f>
        <v>0</v>
      </c>
      <c r="R304" s="101">
        <f>SUM($Q$5:Q304)</f>
        <v>0.17388878420424014</v>
      </c>
      <c r="S304" s="100" t="str">
        <f t="array" ref="S304">IF(SamplingData[[#This Row],[up/U Selection Probability]] = 0, "Zero", TEXT(SamplingData[[#This Row],[Lower Range]], REPT("0",LEN('General Info'!$B$40))) &amp; " - " &amp; TEXT(SamplingData[[#This Row],[Upper Range]], REPT("0",LEN('General Info'!$B$40))))</f>
        <v>Zero</v>
      </c>
      <c r="T304" s="100">
        <f>SamplingData[[#This Row],[Upper Range]]-SamplingData[[#This Row],[Span]]</f>
        <v>17388.878420424015</v>
      </c>
      <c r="U304" s="100">
        <f>IF(ISNUMBER('General Info'!$B$40), ((SamplingData[[#This Row],[up/U Selection Probability]]) * 'General Info'!$B$40) - 1, 0)</f>
        <v>-1</v>
      </c>
      <c r="V304" s="100">
        <f>IF(ISNUMBER('General Info'!$B$40), (SamplingData[[#This Row],[Running (cumulative) sum]] * ('General Info'!$B$40 -'General Info'!$B$41 + 1)) + 'General Info'!$B$41 - 1, 0)</f>
        <v>17387.878420424015</v>
      </c>
      <c r="W304" s="100" t="str">
        <f>IF(ISERROR(MATCH(SamplingData[[#This Row],[Batch by Type (p)]],SelectedPrecincts[Batch Name], 0)), "", INDEX(SelectedPrecincts[Draw], MATCH(SamplingData[[#This Row],[Batch by Type (p)]],SelectedPrecincts[Batch Name], 0)))</f>
        <v/>
      </c>
      <c r="X304" s="102">
        <f>IF(COUNTIF(SelectedPrecincts[Batch Name],SamplingData[[#This Row],[Batch by Type (p)]]) &lt;&gt; 0, COUNTIF(SelectedPrecincts[Batch Name],SamplingData[[#This Row],[Batch by Type (p)]]), 0)</f>
        <v>0</v>
      </c>
    </row>
    <row r="305" spans="1:24" ht="15" customHeight="1">
      <c r="A305" s="18" t="s">
        <v>481</v>
      </c>
      <c r="B305" s="18">
        <v>0</v>
      </c>
      <c r="C305" s="18">
        <v>0</v>
      </c>
      <c r="D305" s="16">
        <v>0</v>
      </c>
      <c r="E305" s="16">
        <v>0</v>
      </c>
      <c r="F305" s="37">
        <v>0</v>
      </c>
      <c r="G305" s="37">
        <v>0</v>
      </c>
      <c r="H305" s="17">
        <v>0</v>
      </c>
      <c r="I305" s="17">
        <v>1</v>
      </c>
      <c r="J305" s="99">
        <f>SUM(SamplingData[[#This Row],[Losing Candidate]:[Under Votes]])</f>
        <v>1</v>
      </c>
      <c r="K305"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05" s="100">
        <f>IF(AND(SamplingData[[#This Row],[Total]]&lt;&gt; 0, NOT(ISBLANK(SamplingData[[#This Row],[Candidate 3]]))),(SamplingData[[#This Row],[Total]]+SamplingData[[#This Row],[Winning Candidate]]-SamplingData[[#This Row],[Candidate 3]])/(SamplingData[[#Totals],[Winning Candidate]]-SamplingData[[#Totals],[Candidate 3]]), 0)</f>
        <v>3.2261186566441917E-5</v>
      </c>
      <c r="M305" s="100">
        <f>IF(AND(SamplingData[[#This Row],[Total]]&lt;&gt; 0, NOT(ISBLANK(SamplingData[[#This Row],[Candidate 4]]))),(SamplingData[[#This Row],[Total]]+SamplingData[[#This Row],[Winning Candidate]]-SamplingData[[#This Row],[Candidate 4]])/(SamplingData[[#Totals],[Winning Candidate]]-SamplingData[[#Totals],[Candidate 4]]), 0)</f>
        <v>2.923207343096846E-5</v>
      </c>
      <c r="N305" s="100">
        <f>IF(AND(SamplingData[[#This Row],[Total]]&lt;&gt; 0, NOT(ISBLANK(SamplingData[[#This Row],[Candidate 5]]))),(SamplingData[[#This Row],[Total]]+SamplingData[[#This Row],[Winning Candidate]]-SamplingData[[#This Row],[Candidate 5]])/(SamplingData[[#Totals],[Winning Candidate]]-SamplingData[[#Totals],[Candidate 5]]), 0)</f>
        <v>2.4324981756263683E-5</v>
      </c>
      <c r="O305" s="100">
        <f>IF(AND(SamplingData[[#This Row],[Total]]&lt;&gt; 0, NOT(ISBLANK(SamplingData[[#This Row],[Candidate 6]]))),(SamplingData[[#This Row],[Total]]+SamplingData[[#This Row],[Winning Candidate]]-SamplingData[[#This Row],[Candidate 6]])/(SamplingData[[#Totals],[Winning Candidate]]-SamplingData[[#Totals],[Candidate 6]]), 0)</f>
        <v>2.431788337143135E-5</v>
      </c>
      <c r="P305" s="100">
        <f>MAX(SamplingData[[#This Row],[Error Bound (up) - Max. possible relative overstatement - Losing Candidate]:[Error Bound (up) - Max. possible relative overstatement - Candidate 6]])</f>
        <v>6.1244487996080352E-5</v>
      </c>
      <c r="Q305" s="100">
        <f>IF(SamplingData[[#This Row],[Max Error Bound (up)]] = 0,0,SamplingData[[#This Row],[Max Error Bound (up)]]/SamplingData[[#Totals],[Max Error Bound (up)]])</f>
        <v>9.6929482784458315E-6</v>
      </c>
      <c r="R305" s="101">
        <f>SUM($Q$5:Q305)</f>
        <v>0.17389847715251858</v>
      </c>
      <c r="S305" s="100" t="str">
        <f t="array" ref="S305">IF(SamplingData[[#This Row],[up/U Selection Probability]] = 0, "Zero", TEXT(SamplingData[[#This Row],[Lower Range]], REPT("0",LEN('General Info'!$B$40))) &amp; " - " &amp; TEXT(SamplingData[[#This Row],[Upper Range]], REPT("0",LEN('General Info'!$B$40))))</f>
        <v>17389 - 17389</v>
      </c>
      <c r="T305" s="100">
        <f>SamplingData[[#This Row],[Upper Range]]-SamplingData[[#This Row],[Span]]</f>
        <v>17388.878430116962</v>
      </c>
      <c r="U305" s="100">
        <f>IF(ISNUMBER('General Info'!$B$40), ((SamplingData[[#This Row],[up/U Selection Probability]]) * 'General Info'!$B$40) - 1, 0)</f>
        <v>-3.0714865103695255E-2</v>
      </c>
      <c r="V305" s="100">
        <f>IF(ISNUMBER('General Info'!$B$40), (SamplingData[[#This Row],[Running (cumulative) sum]] * ('General Info'!$B$40 -'General Info'!$B$41 + 1)) + 'General Info'!$B$41 - 1, 0)</f>
        <v>17388.847715251857</v>
      </c>
      <c r="W305" s="100" t="str">
        <f>IF(ISERROR(MATCH(SamplingData[[#This Row],[Batch by Type (p)]],SelectedPrecincts[Batch Name], 0)), "", INDEX(SelectedPrecincts[Draw], MATCH(SamplingData[[#This Row],[Batch by Type (p)]],SelectedPrecincts[Batch Name], 0)))</f>
        <v/>
      </c>
      <c r="X305" s="102">
        <f>IF(COUNTIF(SelectedPrecincts[Batch Name],SamplingData[[#This Row],[Batch by Type (p)]]) &lt;&gt; 0, COUNTIF(SelectedPrecincts[Batch Name],SamplingData[[#This Row],[Batch by Type (p)]]), 0)</f>
        <v>0</v>
      </c>
    </row>
    <row r="306" spans="1:24" ht="15" customHeight="1">
      <c r="A306" s="18" t="s">
        <v>482</v>
      </c>
      <c r="B306" s="18">
        <v>0</v>
      </c>
      <c r="C306" s="18">
        <v>0</v>
      </c>
      <c r="D306" s="18">
        <v>0</v>
      </c>
      <c r="E306" s="18">
        <v>0</v>
      </c>
      <c r="F306" s="18">
        <v>0</v>
      </c>
      <c r="G306" s="18">
        <v>0</v>
      </c>
      <c r="H306" s="18">
        <v>0</v>
      </c>
      <c r="I306" s="18">
        <v>0</v>
      </c>
      <c r="J306" s="99">
        <f>SUM(SamplingData[[#This Row],[Losing Candidate]:[Under Votes]])</f>
        <v>0</v>
      </c>
      <c r="K306" s="100">
        <f>IF(AND(SamplingData[[#This Row],[Total]]&lt;&gt; 0, NOT(ISBLANK(SamplingData[[#This Row],[Losing Candidate]]))),(SamplingData[[#This Row],[Total]]+SamplingData[[#This Row],[Winning Candidate]]-SamplingData[[#This Row],[Losing Candidate]])/(SamplingData[[#Totals],[Winning Candidate]]-SamplingData[[#Totals],[Losing Candidate]]), 0)</f>
        <v>0</v>
      </c>
      <c r="L306" s="100">
        <f>IF(AND(SamplingData[[#This Row],[Total]]&lt;&gt; 0, NOT(ISBLANK(SamplingData[[#This Row],[Candidate 3]]))),(SamplingData[[#This Row],[Total]]+SamplingData[[#This Row],[Winning Candidate]]-SamplingData[[#This Row],[Candidate 3]])/(SamplingData[[#Totals],[Winning Candidate]]-SamplingData[[#Totals],[Candidate 3]]), 0)</f>
        <v>0</v>
      </c>
      <c r="M306" s="100">
        <f>IF(AND(SamplingData[[#This Row],[Total]]&lt;&gt; 0, NOT(ISBLANK(SamplingData[[#This Row],[Candidate 4]]))),(SamplingData[[#This Row],[Total]]+SamplingData[[#This Row],[Winning Candidate]]-SamplingData[[#This Row],[Candidate 4]])/(SamplingData[[#Totals],[Winning Candidate]]-SamplingData[[#Totals],[Candidate 4]]), 0)</f>
        <v>0</v>
      </c>
      <c r="N306" s="100">
        <f>IF(AND(SamplingData[[#This Row],[Total]]&lt;&gt; 0, NOT(ISBLANK(SamplingData[[#This Row],[Candidate 5]]))),(SamplingData[[#This Row],[Total]]+SamplingData[[#This Row],[Winning Candidate]]-SamplingData[[#This Row],[Candidate 5]])/(SamplingData[[#Totals],[Winning Candidate]]-SamplingData[[#Totals],[Candidate 5]]), 0)</f>
        <v>0</v>
      </c>
      <c r="O306" s="100">
        <f>IF(AND(SamplingData[[#This Row],[Total]]&lt;&gt; 0, NOT(ISBLANK(SamplingData[[#This Row],[Candidate 6]]))),(SamplingData[[#This Row],[Total]]+SamplingData[[#This Row],[Winning Candidate]]-SamplingData[[#This Row],[Candidate 6]])/(SamplingData[[#Totals],[Winning Candidate]]-SamplingData[[#Totals],[Candidate 6]]), 0)</f>
        <v>0</v>
      </c>
      <c r="P306" s="100">
        <f>MAX(SamplingData[[#This Row],[Error Bound (up) - Max. possible relative overstatement - Losing Candidate]:[Error Bound (up) - Max. possible relative overstatement - Candidate 6]])</f>
        <v>0</v>
      </c>
      <c r="Q306" s="100">
        <f>IF(SamplingData[[#This Row],[Max Error Bound (up)]] = 0,0,SamplingData[[#This Row],[Max Error Bound (up)]]/SamplingData[[#Totals],[Max Error Bound (up)]])</f>
        <v>0</v>
      </c>
      <c r="R306" s="101">
        <f>SUM($Q$5:Q306)</f>
        <v>0.17389847715251858</v>
      </c>
      <c r="S306" s="100" t="str">
        <f t="array" ref="S306">IF(SamplingData[[#This Row],[up/U Selection Probability]] = 0, "Zero", TEXT(SamplingData[[#This Row],[Lower Range]], REPT("0",LEN('General Info'!$B$40))) &amp; " - " &amp; TEXT(SamplingData[[#This Row],[Upper Range]], REPT("0",LEN('General Info'!$B$40))))</f>
        <v>Zero</v>
      </c>
      <c r="T306" s="100">
        <f>SamplingData[[#This Row],[Upper Range]]-SamplingData[[#This Row],[Span]]</f>
        <v>17389.847715251857</v>
      </c>
      <c r="U306" s="100">
        <f>IF(ISNUMBER('General Info'!$B$40), ((SamplingData[[#This Row],[up/U Selection Probability]]) * 'General Info'!$B$40) - 1, 0)</f>
        <v>-1</v>
      </c>
      <c r="V306" s="100">
        <f>IF(ISNUMBER('General Info'!$B$40), (SamplingData[[#This Row],[Running (cumulative) sum]] * ('General Info'!$B$40 -'General Info'!$B$41 + 1)) + 'General Info'!$B$41 - 1, 0)</f>
        <v>17388.847715251857</v>
      </c>
      <c r="W306" s="100" t="str">
        <f>IF(ISERROR(MATCH(SamplingData[[#This Row],[Batch by Type (p)]],SelectedPrecincts[Batch Name], 0)), "", INDEX(SelectedPrecincts[Draw], MATCH(SamplingData[[#This Row],[Batch by Type (p)]],SelectedPrecincts[Batch Name], 0)))</f>
        <v/>
      </c>
      <c r="X306" s="102">
        <f>IF(COUNTIF(SelectedPrecincts[Batch Name],SamplingData[[#This Row],[Batch by Type (p)]]) &lt;&gt; 0, COUNTIF(SelectedPrecincts[Batch Name],SamplingData[[#This Row],[Batch by Type (p)]]), 0)</f>
        <v>0</v>
      </c>
    </row>
    <row r="307" spans="1:24" ht="15" customHeight="1">
      <c r="A307" s="18" t="s">
        <v>483</v>
      </c>
      <c r="B307" s="18">
        <v>0</v>
      </c>
      <c r="C307" s="18">
        <v>0</v>
      </c>
      <c r="D307" s="16">
        <v>0</v>
      </c>
      <c r="E307" s="16">
        <v>0</v>
      </c>
      <c r="F307" s="37">
        <v>0</v>
      </c>
      <c r="G307" s="37">
        <v>0</v>
      </c>
      <c r="H307" s="17">
        <v>0</v>
      </c>
      <c r="I307" s="17">
        <v>0</v>
      </c>
      <c r="J307" s="99">
        <f>SUM(SamplingData[[#This Row],[Losing Candidate]:[Under Votes]])</f>
        <v>0</v>
      </c>
      <c r="K307" s="100">
        <f>IF(AND(SamplingData[[#This Row],[Total]]&lt;&gt; 0, NOT(ISBLANK(SamplingData[[#This Row],[Losing Candidate]]))),(SamplingData[[#This Row],[Total]]+SamplingData[[#This Row],[Winning Candidate]]-SamplingData[[#This Row],[Losing Candidate]])/(SamplingData[[#Totals],[Winning Candidate]]-SamplingData[[#Totals],[Losing Candidate]]), 0)</f>
        <v>0</v>
      </c>
      <c r="L307" s="100">
        <f>IF(AND(SamplingData[[#This Row],[Total]]&lt;&gt; 0, NOT(ISBLANK(SamplingData[[#This Row],[Candidate 3]]))),(SamplingData[[#This Row],[Total]]+SamplingData[[#This Row],[Winning Candidate]]-SamplingData[[#This Row],[Candidate 3]])/(SamplingData[[#Totals],[Winning Candidate]]-SamplingData[[#Totals],[Candidate 3]]), 0)</f>
        <v>0</v>
      </c>
      <c r="M307" s="100">
        <f>IF(AND(SamplingData[[#This Row],[Total]]&lt;&gt; 0, NOT(ISBLANK(SamplingData[[#This Row],[Candidate 4]]))),(SamplingData[[#This Row],[Total]]+SamplingData[[#This Row],[Winning Candidate]]-SamplingData[[#This Row],[Candidate 4]])/(SamplingData[[#Totals],[Winning Candidate]]-SamplingData[[#Totals],[Candidate 4]]), 0)</f>
        <v>0</v>
      </c>
      <c r="N307" s="100">
        <f>IF(AND(SamplingData[[#This Row],[Total]]&lt;&gt; 0, NOT(ISBLANK(SamplingData[[#This Row],[Candidate 5]]))),(SamplingData[[#This Row],[Total]]+SamplingData[[#This Row],[Winning Candidate]]-SamplingData[[#This Row],[Candidate 5]])/(SamplingData[[#Totals],[Winning Candidate]]-SamplingData[[#Totals],[Candidate 5]]), 0)</f>
        <v>0</v>
      </c>
      <c r="O307" s="100">
        <f>IF(AND(SamplingData[[#This Row],[Total]]&lt;&gt; 0, NOT(ISBLANK(SamplingData[[#This Row],[Candidate 6]]))),(SamplingData[[#This Row],[Total]]+SamplingData[[#This Row],[Winning Candidate]]-SamplingData[[#This Row],[Candidate 6]])/(SamplingData[[#Totals],[Winning Candidate]]-SamplingData[[#Totals],[Candidate 6]]), 0)</f>
        <v>0</v>
      </c>
      <c r="P307" s="100">
        <f>MAX(SamplingData[[#This Row],[Error Bound (up) - Max. possible relative overstatement - Losing Candidate]:[Error Bound (up) - Max. possible relative overstatement - Candidate 6]])</f>
        <v>0</v>
      </c>
      <c r="Q307" s="100">
        <f>IF(SamplingData[[#This Row],[Max Error Bound (up)]] = 0,0,SamplingData[[#This Row],[Max Error Bound (up)]]/SamplingData[[#Totals],[Max Error Bound (up)]])</f>
        <v>0</v>
      </c>
      <c r="R307" s="101">
        <f>SUM($Q$5:Q307)</f>
        <v>0.17389847715251858</v>
      </c>
      <c r="S307" s="100" t="str">
        <f t="array" ref="S307">IF(SamplingData[[#This Row],[up/U Selection Probability]] = 0, "Zero", TEXT(SamplingData[[#This Row],[Lower Range]], REPT("0",LEN('General Info'!$B$40))) &amp; " - " &amp; TEXT(SamplingData[[#This Row],[Upper Range]], REPT("0",LEN('General Info'!$B$40))))</f>
        <v>Zero</v>
      </c>
      <c r="T307" s="100">
        <f>SamplingData[[#This Row],[Upper Range]]-SamplingData[[#This Row],[Span]]</f>
        <v>17389.847715251857</v>
      </c>
      <c r="U307" s="100">
        <f>IF(ISNUMBER('General Info'!$B$40), ((SamplingData[[#This Row],[up/U Selection Probability]]) * 'General Info'!$B$40) - 1, 0)</f>
        <v>-1</v>
      </c>
      <c r="V307" s="100">
        <f>IF(ISNUMBER('General Info'!$B$40), (SamplingData[[#This Row],[Running (cumulative) sum]] * ('General Info'!$B$40 -'General Info'!$B$41 + 1)) + 'General Info'!$B$41 - 1, 0)</f>
        <v>17388.847715251857</v>
      </c>
      <c r="W307" s="100" t="str">
        <f>IF(ISERROR(MATCH(SamplingData[[#This Row],[Batch by Type (p)]],SelectedPrecincts[Batch Name], 0)), "", INDEX(SelectedPrecincts[Draw], MATCH(SamplingData[[#This Row],[Batch by Type (p)]],SelectedPrecincts[Batch Name], 0)))</f>
        <v/>
      </c>
      <c r="X307" s="102">
        <f>IF(COUNTIF(SelectedPrecincts[Batch Name],SamplingData[[#This Row],[Batch by Type (p)]]) &lt;&gt; 0, COUNTIF(SelectedPrecincts[Batch Name],SamplingData[[#This Row],[Batch by Type (p)]]), 0)</f>
        <v>0</v>
      </c>
    </row>
    <row r="308" spans="1:24" ht="15" customHeight="1">
      <c r="A308" s="18" t="s">
        <v>484</v>
      </c>
      <c r="B308" s="18">
        <v>0</v>
      </c>
      <c r="C308" s="18">
        <v>0</v>
      </c>
      <c r="D308" s="18">
        <v>0</v>
      </c>
      <c r="E308" s="18">
        <v>1</v>
      </c>
      <c r="F308" s="18">
        <v>0</v>
      </c>
      <c r="G308" s="18">
        <v>0</v>
      </c>
      <c r="H308" s="18">
        <v>0</v>
      </c>
      <c r="I308" s="18">
        <v>0</v>
      </c>
      <c r="J308" s="99">
        <f>SUM(SamplingData[[#This Row],[Losing Candidate]:[Under Votes]])</f>
        <v>1</v>
      </c>
      <c r="K30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08" s="100">
        <f>IF(AND(SamplingData[[#This Row],[Total]]&lt;&gt; 0, NOT(ISBLANK(SamplingData[[#This Row],[Candidate 3]]))),(SamplingData[[#This Row],[Total]]+SamplingData[[#This Row],[Winning Candidate]]-SamplingData[[#This Row],[Candidate 3]])/(SamplingData[[#Totals],[Winning Candidate]]-SamplingData[[#Totals],[Candidate 3]]), 0)</f>
        <v>3.2261186566441917E-5</v>
      </c>
      <c r="M308" s="100">
        <f>IF(AND(SamplingData[[#This Row],[Total]]&lt;&gt; 0, NOT(ISBLANK(SamplingData[[#This Row],[Candidate 4]]))),(SamplingData[[#This Row],[Total]]+SamplingData[[#This Row],[Winning Candidate]]-SamplingData[[#This Row],[Candidate 4]])/(SamplingData[[#Totals],[Winning Candidate]]-SamplingData[[#Totals],[Candidate 4]]), 0)</f>
        <v>0</v>
      </c>
      <c r="N308" s="100">
        <f>IF(AND(SamplingData[[#This Row],[Total]]&lt;&gt; 0, NOT(ISBLANK(SamplingData[[#This Row],[Candidate 5]]))),(SamplingData[[#This Row],[Total]]+SamplingData[[#This Row],[Winning Candidate]]-SamplingData[[#This Row],[Candidate 5]])/(SamplingData[[#Totals],[Winning Candidate]]-SamplingData[[#Totals],[Candidate 5]]), 0)</f>
        <v>2.4324981756263683E-5</v>
      </c>
      <c r="O308" s="100">
        <f>IF(AND(SamplingData[[#This Row],[Total]]&lt;&gt; 0, NOT(ISBLANK(SamplingData[[#This Row],[Candidate 6]]))),(SamplingData[[#This Row],[Total]]+SamplingData[[#This Row],[Winning Candidate]]-SamplingData[[#This Row],[Candidate 6]])/(SamplingData[[#Totals],[Winning Candidate]]-SamplingData[[#Totals],[Candidate 6]]), 0)</f>
        <v>2.431788337143135E-5</v>
      </c>
      <c r="P308" s="100">
        <f>MAX(SamplingData[[#This Row],[Error Bound (up) - Max. possible relative overstatement - Losing Candidate]:[Error Bound (up) - Max. possible relative overstatement - Candidate 6]])</f>
        <v>6.1244487996080352E-5</v>
      </c>
      <c r="Q308" s="100">
        <f>IF(SamplingData[[#This Row],[Max Error Bound (up)]] = 0,0,SamplingData[[#This Row],[Max Error Bound (up)]]/SamplingData[[#Totals],[Max Error Bound (up)]])</f>
        <v>9.6929482784458315E-6</v>
      </c>
      <c r="R308" s="101">
        <f>SUM($Q$5:Q308)</f>
        <v>0.17390817010079701</v>
      </c>
      <c r="S308" s="100" t="str">
        <f t="array" ref="S308">IF(SamplingData[[#This Row],[up/U Selection Probability]] = 0, "Zero", TEXT(SamplingData[[#This Row],[Lower Range]], REPT("0",LEN('General Info'!$B$40))) &amp; " - " &amp; TEXT(SamplingData[[#This Row],[Upper Range]], REPT("0",LEN('General Info'!$B$40))))</f>
        <v>17390 - 17390</v>
      </c>
      <c r="T308" s="100">
        <f>SamplingData[[#This Row],[Upper Range]]-SamplingData[[#This Row],[Span]]</f>
        <v>17389.847724944804</v>
      </c>
      <c r="U308" s="100">
        <f>IF(ISNUMBER('General Info'!$B$40), ((SamplingData[[#This Row],[up/U Selection Probability]]) * 'General Info'!$B$40) - 1, 0)</f>
        <v>-3.0714865103695255E-2</v>
      </c>
      <c r="V308" s="100">
        <f>IF(ISNUMBER('General Info'!$B$40), (SamplingData[[#This Row],[Running (cumulative) sum]] * ('General Info'!$B$40 -'General Info'!$B$41 + 1)) + 'General Info'!$B$41 - 1, 0)</f>
        <v>17389.8170100797</v>
      </c>
      <c r="W308" s="100" t="str">
        <f>IF(ISERROR(MATCH(SamplingData[[#This Row],[Batch by Type (p)]],SelectedPrecincts[Batch Name], 0)), "", INDEX(SelectedPrecincts[Draw], MATCH(SamplingData[[#This Row],[Batch by Type (p)]],SelectedPrecincts[Batch Name], 0)))</f>
        <v/>
      </c>
      <c r="X308" s="102">
        <f>IF(COUNTIF(SelectedPrecincts[Batch Name],SamplingData[[#This Row],[Batch by Type (p)]]) &lt;&gt; 0, COUNTIF(SelectedPrecincts[Batch Name],SamplingData[[#This Row],[Batch by Type (p)]]), 0)</f>
        <v>0</v>
      </c>
    </row>
    <row r="309" spans="1:24" ht="15" customHeight="1">
      <c r="A309" s="18" t="s">
        <v>485</v>
      </c>
      <c r="B309" s="18">
        <v>0</v>
      </c>
      <c r="C309" s="18">
        <v>0</v>
      </c>
      <c r="D309" s="16">
        <v>1</v>
      </c>
      <c r="E309" s="16">
        <v>0</v>
      </c>
      <c r="F309" s="37">
        <v>0</v>
      </c>
      <c r="G309" s="37">
        <v>0</v>
      </c>
      <c r="H309" s="17">
        <v>0</v>
      </c>
      <c r="I309" s="17">
        <v>0</v>
      </c>
      <c r="J309" s="99">
        <f>SUM(SamplingData[[#This Row],[Losing Candidate]:[Under Votes]])</f>
        <v>1</v>
      </c>
      <c r="K309"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09" s="100">
        <f>IF(AND(SamplingData[[#This Row],[Total]]&lt;&gt; 0, NOT(ISBLANK(SamplingData[[#This Row],[Candidate 3]]))),(SamplingData[[#This Row],[Total]]+SamplingData[[#This Row],[Winning Candidate]]-SamplingData[[#This Row],[Candidate 3]])/(SamplingData[[#Totals],[Winning Candidate]]-SamplingData[[#Totals],[Candidate 3]]), 0)</f>
        <v>0</v>
      </c>
      <c r="M309" s="100">
        <f>IF(AND(SamplingData[[#This Row],[Total]]&lt;&gt; 0, NOT(ISBLANK(SamplingData[[#This Row],[Candidate 4]]))),(SamplingData[[#This Row],[Total]]+SamplingData[[#This Row],[Winning Candidate]]-SamplingData[[#This Row],[Candidate 4]])/(SamplingData[[#Totals],[Winning Candidate]]-SamplingData[[#Totals],[Candidate 4]]), 0)</f>
        <v>2.923207343096846E-5</v>
      </c>
      <c r="N309" s="100">
        <f>IF(AND(SamplingData[[#This Row],[Total]]&lt;&gt; 0, NOT(ISBLANK(SamplingData[[#This Row],[Candidate 5]]))),(SamplingData[[#This Row],[Total]]+SamplingData[[#This Row],[Winning Candidate]]-SamplingData[[#This Row],[Candidate 5]])/(SamplingData[[#Totals],[Winning Candidate]]-SamplingData[[#Totals],[Candidate 5]]), 0)</f>
        <v>2.4324981756263683E-5</v>
      </c>
      <c r="O309" s="100">
        <f>IF(AND(SamplingData[[#This Row],[Total]]&lt;&gt; 0, NOT(ISBLANK(SamplingData[[#This Row],[Candidate 6]]))),(SamplingData[[#This Row],[Total]]+SamplingData[[#This Row],[Winning Candidate]]-SamplingData[[#This Row],[Candidate 6]])/(SamplingData[[#Totals],[Winning Candidate]]-SamplingData[[#Totals],[Candidate 6]]), 0)</f>
        <v>2.431788337143135E-5</v>
      </c>
      <c r="P309" s="100">
        <f>MAX(SamplingData[[#This Row],[Error Bound (up) - Max. possible relative overstatement - Losing Candidate]:[Error Bound (up) - Max. possible relative overstatement - Candidate 6]])</f>
        <v>6.1244487996080352E-5</v>
      </c>
      <c r="Q309" s="100">
        <f>IF(SamplingData[[#This Row],[Max Error Bound (up)]] = 0,0,SamplingData[[#This Row],[Max Error Bound (up)]]/SamplingData[[#Totals],[Max Error Bound (up)]])</f>
        <v>9.6929482784458315E-6</v>
      </c>
      <c r="R309" s="101">
        <f>SUM($Q$5:Q309)</f>
        <v>0.17391786304907544</v>
      </c>
      <c r="S309" s="100" t="str">
        <f t="array" ref="S309">IF(SamplingData[[#This Row],[up/U Selection Probability]] = 0, "Zero", TEXT(SamplingData[[#This Row],[Lower Range]], REPT("0",LEN('General Info'!$B$40))) &amp; " - " &amp; TEXT(SamplingData[[#This Row],[Upper Range]], REPT("0",LEN('General Info'!$B$40))))</f>
        <v>17391 - 17391</v>
      </c>
      <c r="T309" s="100">
        <f>SamplingData[[#This Row],[Upper Range]]-SamplingData[[#This Row],[Span]]</f>
        <v>17390.81701977265</v>
      </c>
      <c r="U309" s="100">
        <f>IF(ISNUMBER('General Info'!$B$40), ((SamplingData[[#This Row],[up/U Selection Probability]]) * 'General Info'!$B$40) - 1, 0)</f>
        <v>-3.0714865103695255E-2</v>
      </c>
      <c r="V309" s="100">
        <f>IF(ISNUMBER('General Info'!$B$40), (SamplingData[[#This Row],[Running (cumulative) sum]] * ('General Info'!$B$40 -'General Info'!$B$41 + 1)) + 'General Info'!$B$41 - 1, 0)</f>
        <v>17390.786304907546</v>
      </c>
      <c r="W309" s="100" t="str">
        <f>IF(ISERROR(MATCH(SamplingData[[#This Row],[Batch by Type (p)]],SelectedPrecincts[Batch Name], 0)), "", INDEX(SelectedPrecincts[Draw], MATCH(SamplingData[[#This Row],[Batch by Type (p)]],SelectedPrecincts[Batch Name], 0)))</f>
        <v/>
      </c>
      <c r="X309" s="102">
        <f>IF(COUNTIF(SelectedPrecincts[Batch Name],SamplingData[[#This Row],[Batch by Type (p)]]) &lt;&gt; 0, COUNTIF(SelectedPrecincts[Batch Name],SamplingData[[#This Row],[Batch by Type (p)]]), 0)</f>
        <v>0</v>
      </c>
    </row>
    <row r="310" spans="1:24" ht="15" customHeight="1">
      <c r="A310" s="18" t="s">
        <v>486</v>
      </c>
      <c r="B310" s="18">
        <v>0</v>
      </c>
      <c r="C310" s="18">
        <v>0</v>
      </c>
      <c r="D310" s="18">
        <v>0</v>
      </c>
      <c r="E310" s="18">
        <v>0</v>
      </c>
      <c r="F310" s="18">
        <v>0</v>
      </c>
      <c r="G310" s="18">
        <v>0</v>
      </c>
      <c r="H310" s="18">
        <v>0</v>
      </c>
      <c r="I310" s="18">
        <v>0</v>
      </c>
      <c r="J310" s="99">
        <f>SUM(SamplingData[[#This Row],[Losing Candidate]:[Under Votes]])</f>
        <v>0</v>
      </c>
      <c r="K310" s="100">
        <f>IF(AND(SamplingData[[#This Row],[Total]]&lt;&gt; 0, NOT(ISBLANK(SamplingData[[#This Row],[Losing Candidate]]))),(SamplingData[[#This Row],[Total]]+SamplingData[[#This Row],[Winning Candidate]]-SamplingData[[#This Row],[Losing Candidate]])/(SamplingData[[#Totals],[Winning Candidate]]-SamplingData[[#Totals],[Losing Candidate]]), 0)</f>
        <v>0</v>
      </c>
      <c r="L310" s="100">
        <f>IF(AND(SamplingData[[#This Row],[Total]]&lt;&gt; 0, NOT(ISBLANK(SamplingData[[#This Row],[Candidate 3]]))),(SamplingData[[#This Row],[Total]]+SamplingData[[#This Row],[Winning Candidate]]-SamplingData[[#This Row],[Candidate 3]])/(SamplingData[[#Totals],[Winning Candidate]]-SamplingData[[#Totals],[Candidate 3]]), 0)</f>
        <v>0</v>
      </c>
      <c r="M310" s="100">
        <f>IF(AND(SamplingData[[#This Row],[Total]]&lt;&gt; 0, NOT(ISBLANK(SamplingData[[#This Row],[Candidate 4]]))),(SamplingData[[#This Row],[Total]]+SamplingData[[#This Row],[Winning Candidate]]-SamplingData[[#This Row],[Candidate 4]])/(SamplingData[[#Totals],[Winning Candidate]]-SamplingData[[#Totals],[Candidate 4]]), 0)</f>
        <v>0</v>
      </c>
      <c r="N310" s="100">
        <f>IF(AND(SamplingData[[#This Row],[Total]]&lt;&gt; 0, NOT(ISBLANK(SamplingData[[#This Row],[Candidate 5]]))),(SamplingData[[#This Row],[Total]]+SamplingData[[#This Row],[Winning Candidate]]-SamplingData[[#This Row],[Candidate 5]])/(SamplingData[[#Totals],[Winning Candidate]]-SamplingData[[#Totals],[Candidate 5]]), 0)</f>
        <v>0</v>
      </c>
      <c r="O310" s="100">
        <f>IF(AND(SamplingData[[#This Row],[Total]]&lt;&gt; 0, NOT(ISBLANK(SamplingData[[#This Row],[Candidate 6]]))),(SamplingData[[#This Row],[Total]]+SamplingData[[#This Row],[Winning Candidate]]-SamplingData[[#This Row],[Candidate 6]])/(SamplingData[[#Totals],[Winning Candidate]]-SamplingData[[#Totals],[Candidate 6]]), 0)</f>
        <v>0</v>
      </c>
      <c r="P310" s="100">
        <f>MAX(SamplingData[[#This Row],[Error Bound (up) - Max. possible relative overstatement - Losing Candidate]:[Error Bound (up) - Max. possible relative overstatement - Candidate 6]])</f>
        <v>0</v>
      </c>
      <c r="Q310" s="100">
        <f>IF(SamplingData[[#This Row],[Max Error Bound (up)]] = 0,0,SamplingData[[#This Row],[Max Error Bound (up)]]/SamplingData[[#Totals],[Max Error Bound (up)]])</f>
        <v>0</v>
      </c>
      <c r="R310" s="101">
        <f>SUM($Q$5:Q310)</f>
        <v>0.17391786304907544</v>
      </c>
      <c r="S310" s="100" t="str">
        <f t="array" ref="S310">IF(SamplingData[[#This Row],[up/U Selection Probability]] = 0, "Zero", TEXT(SamplingData[[#This Row],[Lower Range]], REPT("0",LEN('General Info'!$B$40))) &amp; " - " &amp; TEXT(SamplingData[[#This Row],[Upper Range]], REPT("0",LEN('General Info'!$B$40))))</f>
        <v>Zero</v>
      </c>
      <c r="T310" s="100">
        <f>SamplingData[[#This Row],[Upper Range]]-SamplingData[[#This Row],[Span]]</f>
        <v>17391.786304907546</v>
      </c>
      <c r="U310" s="100">
        <f>IF(ISNUMBER('General Info'!$B$40), ((SamplingData[[#This Row],[up/U Selection Probability]]) * 'General Info'!$B$40) - 1, 0)</f>
        <v>-1</v>
      </c>
      <c r="V310" s="100">
        <f>IF(ISNUMBER('General Info'!$B$40), (SamplingData[[#This Row],[Running (cumulative) sum]] * ('General Info'!$B$40 -'General Info'!$B$41 + 1)) + 'General Info'!$B$41 - 1, 0)</f>
        <v>17390.786304907546</v>
      </c>
      <c r="W310" s="100" t="str">
        <f>IF(ISERROR(MATCH(SamplingData[[#This Row],[Batch by Type (p)]],SelectedPrecincts[Batch Name], 0)), "", INDEX(SelectedPrecincts[Draw], MATCH(SamplingData[[#This Row],[Batch by Type (p)]],SelectedPrecincts[Batch Name], 0)))</f>
        <v/>
      </c>
      <c r="X310" s="102">
        <f>IF(COUNTIF(SelectedPrecincts[Batch Name],SamplingData[[#This Row],[Batch by Type (p)]]) &lt;&gt; 0, COUNTIF(SelectedPrecincts[Batch Name],SamplingData[[#This Row],[Batch by Type (p)]]), 0)</f>
        <v>0</v>
      </c>
    </row>
    <row r="311" spans="1:24" ht="15" customHeight="1">
      <c r="A311" s="18" t="s">
        <v>487</v>
      </c>
      <c r="B311" s="18">
        <v>1</v>
      </c>
      <c r="C311" s="18">
        <v>0</v>
      </c>
      <c r="D311" s="16">
        <v>0</v>
      </c>
      <c r="E311" s="16">
        <v>0</v>
      </c>
      <c r="F311" s="37">
        <v>0</v>
      </c>
      <c r="G311" s="37">
        <v>0</v>
      </c>
      <c r="H311" s="17">
        <v>0</v>
      </c>
      <c r="I311" s="17">
        <v>0</v>
      </c>
      <c r="J311" s="99">
        <f>SUM(SamplingData[[#This Row],[Losing Candidate]:[Under Votes]])</f>
        <v>1</v>
      </c>
      <c r="K311" s="100">
        <f>IF(AND(SamplingData[[#This Row],[Total]]&lt;&gt; 0, NOT(ISBLANK(SamplingData[[#This Row],[Losing Candidate]]))),(SamplingData[[#This Row],[Total]]+SamplingData[[#This Row],[Winning Candidate]]-SamplingData[[#This Row],[Losing Candidate]])/(SamplingData[[#Totals],[Winning Candidate]]-SamplingData[[#Totals],[Losing Candidate]]), 0)</f>
        <v>0</v>
      </c>
      <c r="L311" s="100">
        <f>IF(AND(SamplingData[[#This Row],[Total]]&lt;&gt; 0, NOT(ISBLANK(SamplingData[[#This Row],[Candidate 3]]))),(SamplingData[[#This Row],[Total]]+SamplingData[[#This Row],[Winning Candidate]]-SamplingData[[#This Row],[Candidate 3]])/(SamplingData[[#Totals],[Winning Candidate]]-SamplingData[[#Totals],[Candidate 3]]), 0)</f>
        <v>3.2261186566441917E-5</v>
      </c>
      <c r="M311" s="100">
        <f>IF(AND(SamplingData[[#This Row],[Total]]&lt;&gt; 0, NOT(ISBLANK(SamplingData[[#This Row],[Candidate 4]]))),(SamplingData[[#This Row],[Total]]+SamplingData[[#This Row],[Winning Candidate]]-SamplingData[[#This Row],[Candidate 4]])/(SamplingData[[#Totals],[Winning Candidate]]-SamplingData[[#Totals],[Candidate 4]]), 0)</f>
        <v>2.923207343096846E-5</v>
      </c>
      <c r="N311" s="100">
        <f>IF(AND(SamplingData[[#This Row],[Total]]&lt;&gt; 0, NOT(ISBLANK(SamplingData[[#This Row],[Candidate 5]]))),(SamplingData[[#This Row],[Total]]+SamplingData[[#This Row],[Winning Candidate]]-SamplingData[[#This Row],[Candidate 5]])/(SamplingData[[#Totals],[Winning Candidate]]-SamplingData[[#Totals],[Candidate 5]]), 0)</f>
        <v>2.4324981756263683E-5</v>
      </c>
      <c r="O311" s="100">
        <f>IF(AND(SamplingData[[#This Row],[Total]]&lt;&gt; 0, NOT(ISBLANK(SamplingData[[#This Row],[Candidate 6]]))),(SamplingData[[#This Row],[Total]]+SamplingData[[#This Row],[Winning Candidate]]-SamplingData[[#This Row],[Candidate 6]])/(SamplingData[[#Totals],[Winning Candidate]]-SamplingData[[#Totals],[Candidate 6]]), 0)</f>
        <v>2.431788337143135E-5</v>
      </c>
      <c r="P311" s="100">
        <f>MAX(SamplingData[[#This Row],[Error Bound (up) - Max. possible relative overstatement - Losing Candidate]:[Error Bound (up) - Max. possible relative overstatement - Candidate 6]])</f>
        <v>3.2261186566441917E-5</v>
      </c>
      <c r="Q311" s="100">
        <f>IF(SamplingData[[#This Row],[Max Error Bound (up)]] = 0,0,SamplingData[[#This Row],[Max Error Bound (up)]]/SamplingData[[#Totals],[Max Error Bound (up)]])</f>
        <v>5.1058637768320663E-6</v>
      </c>
      <c r="R311" s="101">
        <f>SUM($Q$5:Q311)</f>
        <v>0.17392296891285228</v>
      </c>
      <c r="S311" s="100" t="str">
        <f t="array" ref="S311">IF(SamplingData[[#This Row],[up/U Selection Probability]] = 0, "Zero", TEXT(SamplingData[[#This Row],[Lower Range]], REPT("0",LEN('General Info'!$B$40))) &amp; " - " &amp; TEXT(SamplingData[[#This Row],[Upper Range]], REPT("0",LEN('General Info'!$B$40))))</f>
        <v>17392 - 17391</v>
      </c>
      <c r="T311" s="100">
        <f>SamplingData[[#This Row],[Upper Range]]-SamplingData[[#This Row],[Span]]</f>
        <v>17391.786310013405</v>
      </c>
      <c r="U311" s="100">
        <f>IF(ISNUMBER('General Info'!$B$40), ((SamplingData[[#This Row],[up/U Selection Probability]]) * 'General Info'!$B$40) - 1, 0)</f>
        <v>-0.4894187281805702</v>
      </c>
      <c r="V311" s="100">
        <f>IF(ISNUMBER('General Info'!$B$40), (SamplingData[[#This Row],[Running (cumulative) sum]] * ('General Info'!$B$40 -'General Info'!$B$41 + 1)) + 'General Info'!$B$41 - 1, 0)</f>
        <v>17391.296891285227</v>
      </c>
      <c r="W311" s="100" t="str">
        <f>IF(ISERROR(MATCH(SamplingData[[#This Row],[Batch by Type (p)]],SelectedPrecincts[Batch Name], 0)), "", INDEX(SelectedPrecincts[Draw], MATCH(SamplingData[[#This Row],[Batch by Type (p)]],SelectedPrecincts[Batch Name], 0)))</f>
        <v/>
      </c>
      <c r="X311" s="102">
        <f>IF(COUNTIF(SelectedPrecincts[Batch Name],SamplingData[[#This Row],[Batch by Type (p)]]) &lt;&gt; 0, COUNTIF(SelectedPrecincts[Batch Name],SamplingData[[#This Row],[Batch by Type (p)]]), 0)</f>
        <v>0</v>
      </c>
    </row>
    <row r="312" spans="1:24" ht="15" customHeight="1">
      <c r="A312" s="18" t="s">
        <v>488</v>
      </c>
      <c r="B312" s="18">
        <v>0</v>
      </c>
      <c r="C312" s="18">
        <v>0</v>
      </c>
      <c r="D312" s="18">
        <v>0</v>
      </c>
      <c r="E312" s="18">
        <v>0</v>
      </c>
      <c r="F312" s="18">
        <v>0</v>
      </c>
      <c r="G312" s="18">
        <v>0</v>
      </c>
      <c r="H312" s="18">
        <v>0</v>
      </c>
      <c r="I312" s="18">
        <v>0</v>
      </c>
      <c r="J312" s="99">
        <f>SUM(SamplingData[[#This Row],[Losing Candidate]:[Under Votes]])</f>
        <v>0</v>
      </c>
      <c r="K312" s="100">
        <f>IF(AND(SamplingData[[#This Row],[Total]]&lt;&gt; 0, NOT(ISBLANK(SamplingData[[#This Row],[Losing Candidate]]))),(SamplingData[[#This Row],[Total]]+SamplingData[[#This Row],[Winning Candidate]]-SamplingData[[#This Row],[Losing Candidate]])/(SamplingData[[#Totals],[Winning Candidate]]-SamplingData[[#Totals],[Losing Candidate]]), 0)</f>
        <v>0</v>
      </c>
      <c r="L312" s="100">
        <f>IF(AND(SamplingData[[#This Row],[Total]]&lt;&gt; 0, NOT(ISBLANK(SamplingData[[#This Row],[Candidate 3]]))),(SamplingData[[#This Row],[Total]]+SamplingData[[#This Row],[Winning Candidate]]-SamplingData[[#This Row],[Candidate 3]])/(SamplingData[[#Totals],[Winning Candidate]]-SamplingData[[#Totals],[Candidate 3]]), 0)</f>
        <v>0</v>
      </c>
      <c r="M312" s="100">
        <f>IF(AND(SamplingData[[#This Row],[Total]]&lt;&gt; 0, NOT(ISBLANK(SamplingData[[#This Row],[Candidate 4]]))),(SamplingData[[#This Row],[Total]]+SamplingData[[#This Row],[Winning Candidate]]-SamplingData[[#This Row],[Candidate 4]])/(SamplingData[[#Totals],[Winning Candidate]]-SamplingData[[#Totals],[Candidate 4]]), 0)</f>
        <v>0</v>
      </c>
      <c r="N312" s="100">
        <f>IF(AND(SamplingData[[#This Row],[Total]]&lt;&gt; 0, NOT(ISBLANK(SamplingData[[#This Row],[Candidate 5]]))),(SamplingData[[#This Row],[Total]]+SamplingData[[#This Row],[Winning Candidate]]-SamplingData[[#This Row],[Candidate 5]])/(SamplingData[[#Totals],[Winning Candidate]]-SamplingData[[#Totals],[Candidate 5]]), 0)</f>
        <v>0</v>
      </c>
      <c r="O312" s="100">
        <f>IF(AND(SamplingData[[#This Row],[Total]]&lt;&gt; 0, NOT(ISBLANK(SamplingData[[#This Row],[Candidate 6]]))),(SamplingData[[#This Row],[Total]]+SamplingData[[#This Row],[Winning Candidate]]-SamplingData[[#This Row],[Candidate 6]])/(SamplingData[[#Totals],[Winning Candidate]]-SamplingData[[#Totals],[Candidate 6]]), 0)</f>
        <v>0</v>
      </c>
      <c r="P312" s="100">
        <f>MAX(SamplingData[[#This Row],[Error Bound (up) - Max. possible relative overstatement - Losing Candidate]:[Error Bound (up) - Max. possible relative overstatement - Candidate 6]])</f>
        <v>0</v>
      </c>
      <c r="Q312" s="100">
        <f>IF(SamplingData[[#This Row],[Max Error Bound (up)]] = 0,0,SamplingData[[#This Row],[Max Error Bound (up)]]/SamplingData[[#Totals],[Max Error Bound (up)]])</f>
        <v>0</v>
      </c>
      <c r="R312" s="101">
        <f>SUM($Q$5:Q312)</f>
        <v>0.17392296891285228</v>
      </c>
      <c r="S312" s="100" t="str">
        <f t="array" ref="S312">IF(SamplingData[[#This Row],[up/U Selection Probability]] = 0, "Zero", TEXT(SamplingData[[#This Row],[Lower Range]], REPT("0",LEN('General Info'!$B$40))) &amp; " - " &amp; TEXT(SamplingData[[#This Row],[Upper Range]], REPT("0",LEN('General Info'!$B$40))))</f>
        <v>Zero</v>
      </c>
      <c r="T312" s="100">
        <f>SamplingData[[#This Row],[Upper Range]]-SamplingData[[#This Row],[Span]]</f>
        <v>17392.296891285227</v>
      </c>
      <c r="U312" s="100">
        <f>IF(ISNUMBER('General Info'!$B$40), ((SamplingData[[#This Row],[up/U Selection Probability]]) * 'General Info'!$B$40) - 1, 0)</f>
        <v>-1</v>
      </c>
      <c r="V312" s="100">
        <f>IF(ISNUMBER('General Info'!$B$40), (SamplingData[[#This Row],[Running (cumulative) sum]] * ('General Info'!$B$40 -'General Info'!$B$41 + 1)) + 'General Info'!$B$41 - 1, 0)</f>
        <v>17391.296891285227</v>
      </c>
      <c r="W312" s="100" t="str">
        <f>IF(ISERROR(MATCH(SamplingData[[#This Row],[Batch by Type (p)]],SelectedPrecincts[Batch Name], 0)), "", INDEX(SelectedPrecincts[Draw], MATCH(SamplingData[[#This Row],[Batch by Type (p)]],SelectedPrecincts[Batch Name], 0)))</f>
        <v/>
      </c>
      <c r="X312" s="102">
        <f>IF(COUNTIF(SelectedPrecincts[Batch Name],SamplingData[[#This Row],[Batch by Type (p)]]) &lt;&gt; 0, COUNTIF(SelectedPrecincts[Batch Name],SamplingData[[#This Row],[Batch by Type (p)]]), 0)</f>
        <v>0</v>
      </c>
    </row>
    <row r="313" spans="1:24" ht="15" customHeight="1">
      <c r="A313" s="18" t="s">
        <v>489</v>
      </c>
      <c r="B313" s="18">
        <v>0</v>
      </c>
      <c r="C313" s="18">
        <v>0</v>
      </c>
      <c r="D313" s="16">
        <v>0</v>
      </c>
      <c r="E313" s="16">
        <v>0</v>
      </c>
      <c r="F313" s="37">
        <v>0</v>
      </c>
      <c r="G313" s="37">
        <v>1</v>
      </c>
      <c r="H313" s="17">
        <v>0</v>
      </c>
      <c r="I313" s="17">
        <v>0</v>
      </c>
      <c r="J313" s="99">
        <f>SUM(SamplingData[[#This Row],[Losing Candidate]:[Under Votes]])</f>
        <v>1</v>
      </c>
      <c r="K313"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13" s="100">
        <f>IF(AND(SamplingData[[#This Row],[Total]]&lt;&gt; 0, NOT(ISBLANK(SamplingData[[#This Row],[Candidate 3]]))),(SamplingData[[#This Row],[Total]]+SamplingData[[#This Row],[Winning Candidate]]-SamplingData[[#This Row],[Candidate 3]])/(SamplingData[[#Totals],[Winning Candidate]]-SamplingData[[#Totals],[Candidate 3]]), 0)</f>
        <v>3.2261186566441917E-5</v>
      </c>
      <c r="M313" s="100">
        <f>IF(AND(SamplingData[[#This Row],[Total]]&lt;&gt; 0, NOT(ISBLANK(SamplingData[[#This Row],[Candidate 4]]))),(SamplingData[[#This Row],[Total]]+SamplingData[[#This Row],[Winning Candidate]]-SamplingData[[#This Row],[Candidate 4]])/(SamplingData[[#Totals],[Winning Candidate]]-SamplingData[[#Totals],[Candidate 4]]), 0)</f>
        <v>2.923207343096846E-5</v>
      </c>
      <c r="N313" s="100">
        <f>IF(AND(SamplingData[[#This Row],[Total]]&lt;&gt; 0, NOT(ISBLANK(SamplingData[[#This Row],[Candidate 5]]))),(SamplingData[[#This Row],[Total]]+SamplingData[[#This Row],[Winning Candidate]]-SamplingData[[#This Row],[Candidate 5]])/(SamplingData[[#Totals],[Winning Candidate]]-SamplingData[[#Totals],[Candidate 5]]), 0)</f>
        <v>2.4324981756263683E-5</v>
      </c>
      <c r="O313" s="100">
        <f>IF(AND(SamplingData[[#This Row],[Total]]&lt;&gt; 0, NOT(ISBLANK(SamplingData[[#This Row],[Candidate 6]]))),(SamplingData[[#This Row],[Total]]+SamplingData[[#This Row],[Winning Candidate]]-SamplingData[[#This Row],[Candidate 6]])/(SamplingData[[#Totals],[Winning Candidate]]-SamplingData[[#Totals],[Candidate 6]]), 0)</f>
        <v>0</v>
      </c>
      <c r="P313" s="100">
        <f>MAX(SamplingData[[#This Row],[Error Bound (up) - Max. possible relative overstatement - Losing Candidate]:[Error Bound (up) - Max. possible relative overstatement - Candidate 6]])</f>
        <v>6.1244487996080352E-5</v>
      </c>
      <c r="Q313" s="100">
        <f>IF(SamplingData[[#This Row],[Max Error Bound (up)]] = 0,0,SamplingData[[#This Row],[Max Error Bound (up)]]/SamplingData[[#Totals],[Max Error Bound (up)]])</f>
        <v>9.6929482784458315E-6</v>
      </c>
      <c r="R313" s="101">
        <f>SUM($Q$5:Q313)</f>
        <v>0.17393266186113071</v>
      </c>
      <c r="S313" s="100" t="str">
        <f t="array" ref="S313">IF(SamplingData[[#This Row],[up/U Selection Probability]] = 0, "Zero", TEXT(SamplingData[[#This Row],[Lower Range]], REPT("0",LEN('General Info'!$B$40))) &amp; " - " &amp; TEXT(SamplingData[[#This Row],[Upper Range]], REPT("0",LEN('General Info'!$B$40))))</f>
        <v>17392 - 17392</v>
      </c>
      <c r="T313" s="100">
        <f>SamplingData[[#This Row],[Upper Range]]-SamplingData[[#This Row],[Span]]</f>
        <v>17392.296900978177</v>
      </c>
      <c r="U313" s="100">
        <f>IF(ISNUMBER('General Info'!$B$40), ((SamplingData[[#This Row],[up/U Selection Probability]]) * 'General Info'!$B$40) - 1, 0)</f>
        <v>-3.0714865103695255E-2</v>
      </c>
      <c r="V313" s="100">
        <f>IF(ISNUMBER('General Info'!$B$40), (SamplingData[[#This Row],[Running (cumulative) sum]] * ('General Info'!$B$40 -'General Info'!$B$41 + 1)) + 'General Info'!$B$41 - 1, 0)</f>
        <v>17392.266186113073</v>
      </c>
      <c r="W313" s="100" t="str">
        <f>IF(ISERROR(MATCH(SamplingData[[#This Row],[Batch by Type (p)]],SelectedPrecincts[Batch Name], 0)), "", INDEX(SelectedPrecincts[Draw], MATCH(SamplingData[[#This Row],[Batch by Type (p)]],SelectedPrecincts[Batch Name], 0)))</f>
        <v/>
      </c>
      <c r="X313" s="102">
        <f>IF(COUNTIF(SelectedPrecincts[Batch Name],SamplingData[[#This Row],[Batch by Type (p)]]) &lt;&gt; 0, COUNTIF(SelectedPrecincts[Batch Name],SamplingData[[#This Row],[Batch by Type (p)]]), 0)</f>
        <v>0</v>
      </c>
    </row>
    <row r="314" spans="1:24" ht="15" customHeight="1">
      <c r="A314" s="18" t="s">
        <v>490</v>
      </c>
      <c r="B314" s="18">
        <v>0</v>
      </c>
      <c r="C314" s="18">
        <v>0</v>
      </c>
      <c r="D314" s="18">
        <v>0</v>
      </c>
      <c r="E314" s="18">
        <v>1</v>
      </c>
      <c r="F314" s="18">
        <v>0</v>
      </c>
      <c r="G314" s="18">
        <v>0</v>
      </c>
      <c r="H314" s="18">
        <v>0</v>
      </c>
      <c r="I314" s="18">
        <v>1</v>
      </c>
      <c r="J314" s="99">
        <f>SUM(SamplingData[[#This Row],[Losing Candidate]:[Under Votes]])</f>
        <v>2</v>
      </c>
      <c r="K31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314" s="100">
        <f>IF(AND(SamplingData[[#This Row],[Total]]&lt;&gt; 0, NOT(ISBLANK(SamplingData[[#This Row],[Candidate 3]]))),(SamplingData[[#This Row],[Total]]+SamplingData[[#This Row],[Winning Candidate]]-SamplingData[[#This Row],[Candidate 3]])/(SamplingData[[#Totals],[Winning Candidate]]-SamplingData[[#Totals],[Candidate 3]]), 0)</f>
        <v>6.4522373132883833E-5</v>
      </c>
      <c r="M314" s="100">
        <f>IF(AND(SamplingData[[#This Row],[Total]]&lt;&gt; 0, NOT(ISBLANK(SamplingData[[#This Row],[Candidate 4]]))),(SamplingData[[#This Row],[Total]]+SamplingData[[#This Row],[Winning Candidate]]-SamplingData[[#This Row],[Candidate 4]])/(SamplingData[[#Totals],[Winning Candidate]]-SamplingData[[#Totals],[Candidate 4]]), 0)</f>
        <v>2.923207343096846E-5</v>
      </c>
      <c r="N314" s="100">
        <f>IF(AND(SamplingData[[#This Row],[Total]]&lt;&gt; 0, NOT(ISBLANK(SamplingData[[#This Row],[Candidate 5]]))),(SamplingData[[#This Row],[Total]]+SamplingData[[#This Row],[Winning Candidate]]-SamplingData[[#This Row],[Candidate 5]])/(SamplingData[[#Totals],[Winning Candidate]]-SamplingData[[#Totals],[Candidate 5]]), 0)</f>
        <v>4.8649963512527367E-5</v>
      </c>
      <c r="O314" s="100">
        <f>IF(AND(SamplingData[[#This Row],[Total]]&lt;&gt; 0, NOT(ISBLANK(SamplingData[[#This Row],[Candidate 6]]))),(SamplingData[[#This Row],[Total]]+SamplingData[[#This Row],[Winning Candidate]]-SamplingData[[#This Row],[Candidate 6]])/(SamplingData[[#Totals],[Winning Candidate]]-SamplingData[[#Totals],[Candidate 6]]), 0)</f>
        <v>4.8635766742862701E-5</v>
      </c>
      <c r="P314" s="100">
        <f>MAX(SamplingData[[#This Row],[Error Bound (up) - Max. possible relative overstatement - Losing Candidate]:[Error Bound (up) - Max. possible relative overstatement - Candidate 6]])</f>
        <v>1.224889759921607E-4</v>
      </c>
      <c r="Q314" s="100">
        <f>IF(SamplingData[[#This Row],[Max Error Bound (up)]] = 0,0,SamplingData[[#This Row],[Max Error Bound (up)]]/SamplingData[[#Totals],[Max Error Bound (up)]])</f>
        <v>1.9385896556891663E-5</v>
      </c>
      <c r="R314" s="101">
        <f>SUM($Q$5:Q314)</f>
        <v>0.17395204775768761</v>
      </c>
      <c r="S314" s="100" t="str">
        <f t="array" ref="S314">IF(SamplingData[[#This Row],[up/U Selection Probability]] = 0, "Zero", TEXT(SamplingData[[#This Row],[Lower Range]], REPT("0",LEN('General Info'!$B$40))) &amp; " - " &amp; TEXT(SamplingData[[#This Row],[Upper Range]], REPT("0",LEN('General Info'!$B$40))))</f>
        <v>17393 - 17394</v>
      </c>
      <c r="T314" s="100">
        <f>SamplingData[[#This Row],[Upper Range]]-SamplingData[[#This Row],[Span]]</f>
        <v>17393.266205498971</v>
      </c>
      <c r="U314" s="100">
        <f>IF(ISNUMBER('General Info'!$B$40), ((SamplingData[[#This Row],[up/U Selection Probability]]) * 'General Info'!$B$40) - 1, 0)</f>
        <v>0.93857026979260949</v>
      </c>
      <c r="V314" s="100">
        <f>IF(ISNUMBER('General Info'!$B$40), (SamplingData[[#This Row],[Running (cumulative) sum]] * ('General Info'!$B$40 -'General Info'!$B$41 + 1)) + 'General Info'!$B$41 - 1, 0)</f>
        <v>17394.204775768761</v>
      </c>
      <c r="W314" s="100" t="str">
        <f>IF(ISERROR(MATCH(SamplingData[[#This Row],[Batch by Type (p)]],SelectedPrecincts[Batch Name], 0)), "", INDEX(SelectedPrecincts[Draw], MATCH(SamplingData[[#This Row],[Batch by Type (p)]],SelectedPrecincts[Batch Name], 0)))</f>
        <v/>
      </c>
      <c r="X314" s="102">
        <f>IF(COUNTIF(SelectedPrecincts[Batch Name],SamplingData[[#This Row],[Batch by Type (p)]]) &lt;&gt; 0, COUNTIF(SelectedPrecincts[Batch Name],SamplingData[[#This Row],[Batch by Type (p)]]), 0)</f>
        <v>0</v>
      </c>
    </row>
    <row r="315" spans="1:24" ht="15" customHeight="1">
      <c r="A315" s="18" t="s">
        <v>491</v>
      </c>
      <c r="B315" s="18">
        <v>0</v>
      </c>
      <c r="C315" s="18">
        <v>0</v>
      </c>
      <c r="D315" s="16">
        <v>0</v>
      </c>
      <c r="E315" s="16">
        <v>0</v>
      </c>
      <c r="F315" s="37">
        <v>0</v>
      </c>
      <c r="G315" s="37">
        <v>0</v>
      </c>
      <c r="H315" s="17">
        <v>0</v>
      </c>
      <c r="I315" s="17">
        <v>0</v>
      </c>
      <c r="J315" s="99">
        <f>SUM(SamplingData[[#This Row],[Losing Candidate]:[Under Votes]])</f>
        <v>0</v>
      </c>
      <c r="K315" s="100">
        <f>IF(AND(SamplingData[[#This Row],[Total]]&lt;&gt; 0, NOT(ISBLANK(SamplingData[[#This Row],[Losing Candidate]]))),(SamplingData[[#This Row],[Total]]+SamplingData[[#This Row],[Winning Candidate]]-SamplingData[[#This Row],[Losing Candidate]])/(SamplingData[[#Totals],[Winning Candidate]]-SamplingData[[#Totals],[Losing Candidate]]), 0)</f>
        <v>0</v>
      </c>
      <c r="L315" s="100">
        <f>IF(AND(SamplingData[[#This Row],[Total]]&lt;&gt; 0, NOT(ISBLANK(SamplingData[[#This Row],[Candidate 3]]))),(SamplingData[[#This Row],[Total]]+SamplingData[[#This Row],[Winning Candidate]]-SamplingData[[#This Row],[Candidate 3]])/(SamplingData[[#Totals],[Winning Candidate]]-SamplingData[[#Totals],[Candidate 3]]), 0)</f>
        <v>0</v>
      </c>
      <c r="M315" s="100">
        <f>IF(AND(SamplingData[[#This Row],[Total]]&lt;&gt; 0, NOT(ISBLANK(SamplingData[[#This Row],[Candidate 4]]))),(SamplingData[[#This Row],[Total]]+SamplingData[[#This Row],[Winning Candidate]]-SamplingData[[#This Row],[Candidate 4]])/(SamplingData[[#Totals],[Winning Candidate]]-SamplingData[[#Totals],[Candidate 4]]), 0)</f>
        <v>0</v>
      </c>
      <c r="N315" s="100">
        <f>IF(AND(SamplingData[[#This Row],[Total]]&lt;&gt; 0, NOT(ISBLANK(SamplingData[[#This Row],[Candidate 5]]))),(SamplingData[[#This Row],[Total]]+SamplingData[[#This Row],[Winning Candidate]]-SamplingData[[#This Row],[Candidate 5]])/(SamplingData[[#Totals],[Winning Candidate]]-SamplingData[[#Totals],[Candidate 5]]), 0)</f>
        <v>0</v>
      </c>
      <c r="O315" s="100">
        <f>IF(AND(SamplingData[[#This Row],[Total]]&lt;&gt; 0, NOT(ISBLANK(SamplingData[[#This Row],[Candidate 6]]))),(SamplingData[[#This Row],[Total]]+SamplingData[[#This Row],[Winning Candidate]]-SamplingData[[#This Row],[Candidate 6]])/(SamplingData[[#Totals],[Winning Candidate]]-SamplingData[[#Totals],[Candidate 6]]), 0)</f>
        <v>0</v>
      </c>
      <c r="P315" s="100">
        <f>MAX(SamplingData[[#This Row],[Error Bound (up) - Max. possible relative overstatement - Losing Candidate]:[Error Bound (up) - Max. possible relative overstatement - Candidate 6]])</f>
        <v>0</v>
      </c>
      <c r="Q315" s="100">
        <f>IF(SamplingData[[#This Row],[Max Error Bound (up)]] = 0,0,SamplingData[[#This Row],[Max Error Bound (up)]]/SamplingData[[#Totals],[Max Error Bound (up)]])</f>
        <v>0</v>
      </c>
      <c r="R315" s="101">
        <f>SUM($Q$5:Q315)</f>
        <v>0.17395204775768761</v>
      </c>
      <c r="S315" s="100" t="str">
        <f t="array" ref="S315">IF(SamplingData[[#This Row],[up/U Selection Probability]] = 0, "Zero", TEXT(SamplingData[[#This Row],[Lower Range]], REPT("0",LEN('General Info'!$B$40))) &amp; " - " &amp; TEXT(SamplingData[[#This Row],[Upper Range]], REPT("0",LEN('General Info'!$B$40))))</f>
        <v>Zero</v>
      </c>
      <c r="T315" s="100">
        <f>SamplingData[[#This Row],[Upper Range]]-SamplingData[[#This Row],[Span]]</f>
        <v>17395.204775768761</v>
      </c>
      <c r="U315" s="100">
        <f>IF(ISNUMBER('General Info'!$B$40), ((SamplingData[[#This Row],[up/U Selection Probability]]) * 'General Info'!$B$40) - 1, 0)</f>
        <v>-1</v>
      </c>
      <c r="V315" s="100">
        <f>IF(ISNUMBER('General Info'!$B$40), (SamplingData[[#This Row],[Running (cumulative) sum]] * ('General Info'!$B$40 -'General Info'!$B$41 + 1)) + 'General Info'!$B$41 - 1, 0)</f>
        <v>17394.204775768761</v>
      </c>
      <c r="W315" s="100" t="str">
        <f>IF(ISERROR(MATCH(SamplingData[[#This Row],[Batch by Type (p)]],SelectedPrecincts[Batch Name], 0)), "", INDEX(SelectedPrecincts[Draw], MATCH(SamplingData[[#This Row],[Batch by Type (p)]],SelectedPrecincts[Batch Name], 0)))</f>
        <v/>
      </c>
      <c r="X315" s="102">
        <f>IF(COUNTIF(SelectedPrecincts[Batch Name],SamplingData[[#This Row],[Batch by Type (p)]]) &lt;&gt; 0, COUNTIF(SelectedPrecincts[Batch Name],SamplingData[[#This Row],[Batch by Type (p)]]), 0)</f>
        <v>0</v>
      </c>
    </row>
    <row r="316" spans="1:24" ht="15" customHeight="1">
      <c r="A316" s="18" t="s">
        <v>492</v>
      </c>
      <c r="B316" s="18">
        <v>0</v>
      </c>
      <c r="C316" s="18">
        <v>0</v>
      </c>
      <c r="D316" s="18">
        <v>0</v>
      </c>
      <c r="E316" s="18">
        <v>0</v>
      </c>
      <c r="F316" s="18">
        <v>0</v>
      </c>
      <c r="G316" s="18">
        <v>0</v>
      </c>
      <c r="H316" s="18">
        <v>0</v>
      </c>
      <c r="I316" s="18">
        <v>0</v>
      </c>
      <c r="J316" s="99">
        <f>SUM(SamplingData[[#This Row],[Losing Candidate]:[Under Votes]])</f>
        <v>0</v>
      </c>
      <c r="K316" s="100">
        <f>IF(AND(SamplingData[[#This Row],[Total]]&lt;&gt; 0, NOT(ISBLANK(SamplingData[[#This Row],[Losing Candidate]]))),(SamplingData[[#This Row],[Total]]+SamplingData[[#This Row],[Winning Candidate]]-SamplingData[[#This Row],[Losing Candidate]])/(SamplingData[[#Totals],[Winning Candidate]]-SamplingData[[#Totals],[Losing Candidate]]), 0)</f>
        <v>0</v>
      </c>
      <c r="L316" s="100">
        <f>IF(AND(SamplingData[[#This Row],[Total]]&lt;&gt; 0, NOT(ISBLANK(SamplingData[[#This Row],[Candidate 3]]))),(SamplingData[[#This Row],[Total]]+SamplingData[[#This Row],[Winning Candidate]]-SamplingData[[#This Row],[Candidate 3]])/(SamplingData[[#Totals],[Winning Candidate]]-SamplingData[[#Totals],[Candidate 3]]), 0)</f>
        <v>0</v>
      </c>
      <c r="M316" s="100">
        <f>IF(AND(SamplingData[[#This Row],[Total]]&lt;&gt; 0, NOT(ISBLANK(SamplingData[[#This Row],[Candidate 4]]))),(SamplingData[[#This Row],[Total]]+SamplingData[[#This Row],[Winning Candidate]]-SamplingData[[#This Row],[Candidate 4]])/(SamplingData[[#Totals],[Winning Candidate]]-SamplingData[[#Totals],[Candidate 4]]), 0)</f>
        <v>0</v>
      </c>
      <c r="N316" s="100">
        <f>IF(AND(SamplingData[[#This Row],[Total]]&lt;&gt; 0, NOT(ISBLANK(SamplingData[[#This Row],[Candidate 5]]))),(SamplingData[[#This Row],[Total]]+SamplingData[[#This Row],[Winning Candidate]]-SamplingData[[#This Row],[Candidate 5]])/(SamplingData[[#Totals],[Winning Candidate]]-SamplingData[[#Totals],[Candidate 5]]), 0)</f>
        <v>0</v>
      </c>
      <c r="O316" s="100">
        <f>IF(AND(SamplingData[[#This Row],[Total]]&lt;&gt; 0, NOT(ISBLANK(SamplingData[[#This Row],[Candidate 6]]))),(SamplingData[[#This Row],[Total]]+SamplingData[[#This Row],[Winning Candidate]]-SamplingData[[#This Row],[Candidate 6]])/(SamplingData[[#Totals],[Winning Candidate]]-SamplingData[[#Totals],[Candidate 6]]), 0)</f>
        <v>0</v>
      </c>
      <c r="P316" s="100">
        <f>MAX(SamplingData[[#This Row],[Error Bound (up) - Max. possible relative overstatement - Losing Candidate]:[Error Bound (up) - Max. possible relative overstatement - Candidate 6]])</f>
        <v>0</v>
      </c>
      <c r="Q316" s="100">
        <f>IF(SamplingData[[#This Row],[Max Error Bound (up)]] = 0,0,SamplingData[[#This Row],[Max Error Bound (up)]]/SamplingData[[#Totals],[Max Error Bound (up)]])</f>
        <v>0</v>
      </c>
      <c r="R316" s="101">
        <f>SUM($Q$5:Q316)</f>
        <v>0.17395204775768761</v>
      </c>
      <c r="S316" s="100" t="str">
        <f t="array" ref="S316">IF(SamplingData[[#This Row],[up/U Selection Probability]] = 0, "Zero", TEXT(SamplingData[[#This Row],[Lower Range]], REPT("0",LEN('General Info'!$B$40))) &amp; " - " &amp; TEXT(SamplingData[[#This Row],[Upper Range]], REPT("0",LEN('General Info'!$B$40))))</f>
        <v>Zero</v>
      </c>
      <c r="T316" s="100">
        <f>SamplingData[[#This Row],[Upper Range]]-SamplingData[[#This Row],[Span]]</f>
        <v>17395.204775768761</v>
      </c>
      <c r="U316" s="100">
        <f>IF(ISNUMBER('General Info'!$B$40), ((SamplingData[[#This Row],[up/U Selection Probability]]) * 'General Info'!$B$40) - 1, 0)</f>
        <v>-1</v>
      </c>
      <c r="V316" s="100">
        <f>IF(ISNUMBER('General Info'!$B$40), (SamplingData[[#This Row],[Running (cumulative) sum]] * ('General Info'!$B$40 -'General Info'!$B$41 + 1)) + 'General Info'!$B$41 - 1, 0)</f>
        <v>17394.204775768761</v>
      </c>
      <c r="W316" s="100" t="str">
        <f>IF(ISERROR(MATCH(SamplingData[[#This Row],[Batch by Type (p)]],SelectedPrecincts[Batch Name], 0)), "", INDEX(SelectedPrecincts[Draw], MATCH(SamplingData[[#This Row],[Batch by Type (p)]],SelectedPrecincts[Batch Name], 0)))</f>
        <v/>
      </c>
      <c r="X316" s="102">
        <f>IF(COUNTIF(SelectedPrecincts[Batch Name],SamplingData[[#This Row],[Batch by Type (p)]]) &lt;&gt; 0, COUNTIF(SelectedPrecincts[Batch Name],SamplingData[[#This Row],[Batch by Type (p)]]), 0)</f>
        <v>0</v>
      </c>
    </row>
    <row r="317" spans="1:24" ht="15" customHeight="1">
      <c r="A317" s="18" t="s">
        <v>493</v>
      </c>
      <c r="B317" s="18">
        <v>0</v>
      </c>
      <c r="C317" s="18">
        <v>0</v>
      </c>
      <c r="D317" s="16">
        <v>0</v>
      </c>
      <c r="E317" s="16">
        <v>0</v>
      </c>
      <c r="F317" s="37">
        <v>0</v>
      </c>
      <c r="G317" s="37">
        <v>0</v>
      </c>
      <c r="H317" s="17">
        <v>0</v>
      </c>
      <c r="I317" s="17">
        <v>0</v>
      </c>
      <c r="J317" s="99">
        <f>SUM(SamplingData[[#This Row],[Losing Candidate]:[Under Votes]])</f>
        <v>0</v>
      </c>
      <c r="K317" s="100">
        <f>IF(AND(SamplingData[[#This Row],[Total]]&lt;&gt; 0, NOT(ISBLANK(SamplingData[[#This Row],[Losing Candidate]]))),(SamplingData[[#This Row],[Total]]+SamplingData[[#This Row],[Winning Candidate]]-SamplingData[[#This Row],[Losing Candidate]])/(SamplingData[[#Totals],[Winning Candidate]]-SamplingData[[#Totals],[Losing Candidate]]), 0)</f>
        <v>0</v>
      </c>
      <c r="L317" s="100">
        <f>IF(AND(SamplingData[[#This Row],[Total]]&lt;&gt; 0, NOT(ISBLANK(SamplingData[[#This Row],[Candidate 3]]))),(SamplingData[[#This Row],[Total]]+SamplingData[[#This Row],[Winning Candidate]]-SamplingData[[#This Row],[Candidate 3]])/(SamplingData[[#Totals],[Winning Candidate]]-SamplingData[[#Totals],[Candidate 3]]), 0)</f>
        <v>0</v>
      </c>
      <c r="M317" s="100">
        <f>IF(AND(SamplingData[[#This Row],[Total]]&lt;&gt; 0, NOT(ISBLANK(SamplingData[[#This Row],[Candidate 4]]))),(SamplingData[[#This Row],[Total]]+SamplingData[[#This Row],[Winning Candidate]]-SamplingData[[#This Row],[Candidate 4]])/(SamplingData[[#Totals],[Winning Candidate]]-SamplingData[[#Totals],[Candidate 4]]), 0)</f>
        <v>0</v>
      </c>
      <c r="N317" s="100">
        <f>IF(AND(SamplingData[[#This Row],[Total]]&lt;&gt; 0, NOT(ISBLANK(SamplingData[[#This Row],[Candidate 5]]))),(SamplingData[[#This Row],[Total]]+SamplingData[[#This Row],[Winning Candidate]]-SamplingData[[#This Row],[Candidate 5]])/(SamplingData[[#Totals],[Winning Candidate]]-SamplingData[[#Totals],[Candidate 5]]), 0)</f>
        <v>0</v>
      </c>
      <c r="O317" s="100">
        <f>IF(AND(SamplingData[[#This Row],[Total]]&lt;&gt; 0, NOT(ISBLANK(SamplingData[[#This Row],[Candidate 6]]))),(SamplingData[[#This Row],[Total]]+SamplingData[[#This Row],[Winning Candidate]]-SamplingData[[#This Row],[Candidate 6]])/(SamplingData[[#Totals],[Winning Candidate]]-SamplingData[[#Totals],[Candidate 6]]), 0)</f>
        <v>0</v>
      </c>
      <c r="P317" s="100">
        <f>MAX(SamplingData[[#This Row],[Error Bound (up) - Max. possible relative overstatement - Losing Candidate]:[Error Bound (up) - Max. possible relative overstatement - Candidate 6]])</f>
        <v>0</v>
      </c>
      <c r="Q317" s="100">
        <f>IF(SamplingData[[#This Row],[Max Error Bound (up)]] = 0,0,SamplingData[[#This Row],[Max Error Bound (up)]]/SamplingData[[#Totals],[Max Error Bound (up)]])</f>
        <v>0</v>
      </c>
      <c r="R317" s="101">
        <f>SUM($Q$5:Q317)</f>
        <v>0.17395204775768761</v>
      </c>
      <c r="S317" s="100" t="str">
        <f t="array" ref="S317">IF(SamplingData[[#This Row],[up/U Selection Probability]] = 0, "Zero", TEXT(SamplingData[[#This Row],[Lower Range]], REPT("0",LEN('General Info'!$B$40))) &amp; " - " &amp; TEXT(SamplingData[[#This Row],[Upper Range]], REPT("0",LEN('General Info'!$B$40))))</f>
        <v>Zero</v>
      </c>
      <c r="T317" s="100">
        <f>SamplingData[[#This Row],[Upper Range]]-SamplingData[[#This Row],[Span]]</f>
        <v>17395.204775768761</v>
      </c>
      <c r="U317" s="100">
        <f>IF(ISNUMBER('General Info'!$B$40), ((SamplingData[[#This Row],[up/U Selection Probability]]) * 'General Info'!$B$40) - 1, 0)</f>
        <v>-1</v>
      </c>
      <c r="V317" s="100">
        <f>IF(ISNUMBER('General Info'!$B$40), (SamplingData[[#This Row],[Running (cumulative) sum]] * ('General Info'!$B$40 -'General Info'!$B$41 + 1)) + 'General Info'!$B$41 - 1, 0)</f>
        <v>17394.204775768761</v>
      </c>
      <c r="W317" s="100" t="str">
        <f>IF(ISERROR(MATCH(SamplingData[[#This Row],[Batch by Type (p)]],SelectedPrecincts[Batch Name], 0)), "", INDEX(SelectedPrecincts[Draw], MATCH(SamplingData[[#This Row],[Batch by Type (p)]],SelectedPrecincts[Batch Name], 0)))</f>
        <v/>
      </c>
      <c r="X317" s="102">
        <f>IF(COUNTIF(SelectedPrecincts[Batch Name],SamplingData[[#This Row],[Batch by Type (p)]]) &lt;&gt; 0, COUNTIF(SelectedPrecincts[Batch Name],SamplingData[[#This Row],[Batch by Type (p)]]), 0)</f>
        <v>0</v>
      </c>
    </row>
    <row r="318" spans="1:24" ht="15" customHeight="1">
      <c r="A318" s="18" t="s">
        <v>494</v>
      </c>
      <c r="B318" s="18">
        <v>0</v>
      </c>
      <c r="C318" s="18">
        <v>0</v>
      </c>
      <c r="D318" s="18">
        <v>0</v>
      </c>
      <c r="E318" s="18">
        <v>0</v>
      </c>
      <c r="F318" s="18">
        <v>0</v>
      </c>
      <c r="G318" s="18">
        <v>0</v>
      </c>
      <c r="H318" s="18">
        <v>0</v>
      </c>
      <c r="I318" s="18">
        <v>0</v>
      </c>
      <c r="J318" s="99">
        <f>SUM(SamplingData[[#This Row],[Losing Candidate]:[Under Votes]])</f>
        <v>0</v>
      </c>
      <c r="K318" s="100">
        <f>IF(AND(SamplingData[[#This Row],[Total]]&lt;&gt; 0, NOT(ISBLANK(SamplingData[[#This Row],[Losing Candidate]]))),(SamplingData[[#This Row],[Total]]+SamplingData[[#This Row],[Winning Candidate]]-SamplingData[[#This Row],[Losing Candidate]])/(SamplingData[[#Totals],[Winning Candidate]]-SamplingData[[#Totals],[Losing Candidate]]), 0)</f>
        <v>0</v>
      </c>
      <c r="L318" s="100">
        <f>IF(AND(SamplingData[[#This Row],[Total]]&lt;&gt; 0, NOT(ISBLANK(SamplingData[[#This Row],[Candidate 3]]))),(SamplingData[[#This Row],[Total]]+SamplingData[[#This Row],[Winning Candidate]]-SamplingData[[#This Row],[Candidate 3]])/(SamplingData[[#Totals],[Winning Candidate]]-SamplingData[[#Totals],[Candidate 3]]), 0)</f>
        <v>0</v>
      </c>
      <c r="M318" s="100">
        <f>IF(AND(SamplingData[[#This Row],[Total]]&lt;&gt; 0, NOT(ISBLANK(SamplingData[[#This Row],[Candidate 4]]))),(SamplingData[[#This Row],[Total]]+SamplingData[[#This Row],[Winning Candidate]]-SamplingData[[#This Row],[Candidate 4]])/(SamplingData[[#Totals],[Winning Candidate]]-SamplingData[[#Totals],[Candidate 4]]), 0)</f>
        <v>0</v>
      </c>
      <c r="N318" s="100">
        <f>IF(AND(SamplingData[[#This Row],[Total]]&lt;&gt; 0, NOT(ISBLANK(SamplingData[[#This Row],[Candidate 5]]))),(SamplingData[[#This Row],[Total]]+SamplingData[[#This Row],[Winning Candidate]]-SamplingData[[#This Row],[Candidate 5]])/(SamplingData[[#Totals],[Winning Candidate]]-SamplingData[[#Totals],[Candidate 5]]), 0)</f>
        <v>0</v>
      </c>
      <c r="O318" s="100">
        <f>IF(AND(SamplingData[[#This Row],[Total]]&lt;&gt; 0, NOT(ISBLANK(SamplingData[[#This Row],[Candidate 6]]))),(SamplingData[[#This Row],[Total]]+SamplingData[[#This Row],[Winning Candidate]]-SamplingData[[#This Row],[Candidate 6]])/(SamplingData[[#Totals],[Winning Candidate]]-SamplingData[[#Totals],[Candidate 6]]), 0)</f>
        <v>0</v>
      </c>
      <c r="P318" s="100">
        <f>MAX(SamplingData[[#This Row],[Error Bound (up) - Max. possible relative overstatement - Losing Candidate]:[Error Bound (up) - Max. possible relative overstatement - Candidate 6]])</f>
        <v>0</v>
      </c>
      <c r="Q318" s="100">
        <f>IF(SamplingData[[#This Row],[Max Error Bound (up)]] = 0,0,SamplingData[[#This Row],[Max Error Bound (up)]]/SamplingData[[#Totals],[Max Error Bound (up)]])</f>
        <v>0</v>
      </c>
      <c r="R318" s="101">
        <f>SUM($Q$5:Q318)</f>
        <v>0.17395204775768761</v>
      </c>
      <c r="S318" s="100" t="str">
        <f t="array" ref="S318">IF(SamplingData[[#This Row],[up/U Selection Probability]] = 0, "Zero", TEXT(SamplingData[[#This Row],[Lower Range]], REPT("0",LEN('General Info'!$B$40))) &amp; " - " &amp; TEXT(SamplingData[[#This Row],[Upper Range]], REPT("0",LEN('General Info'!$B$40))))</f>
        <v>Zero</v>
      </c>
      <c r="T318" s="100">
        <f>SamplingData[[#This Row],[Upper Range]]-SamplingData[[#This Row],[Span]]</f>
        <v>17395.204775768761</v>
      </c>
      <c r="U318" s="100">
        <f>IF(ISNUMBER('General Info'!$B$40), ((SamplingData[[#This Row],[up/U Selection Probability]]) * 'General Info'!$B$40) - 1, 0)</f>
        <v>-1</v>
      </c>
      <c r="V318" s="100">
        <f>IF(ISNUMBER('General Info'!$B$40), (SamplingData[[#This Row],[Running (cumulative) sum]] * ('General Info'!$B$40 -'General Info'!$B$41 + 1)) + 'General Info'!$B$41 - 1, 0)</f>
        <v>17394.204775768761</v>
      </c>
      <c r="W318" s="100" t="str">
        <f>IF(ISERROR(MATCH(SamplingData[[#This Row],[Batch by Type (p)]],SelectedPrecincts[Batch Name], 0)), "", INDEX(SelectedPrecincts[Draw], MATCH(SamplingData[[#This Row],[Batch by Type (p)]],SelectedPrecincts[Batch Name], 0)))</f>
        <v/>
      </c>
      <c r="X318" s="102">
        <f>IF(COUNTIF(SelectedPrecincts[Batch Name],SamplingData[[#This Row],[Batch by Type (p)]]) &lt;&gt; 0, COUNTIF(SelectedPrecincts[Batch Name],SamplingData[[#This Row],[Batch by Type (p)]]), 0)</f>
        <v>0</v>
      </c>
    </row>
    <row r="319" spans="1:24" ht="15" customHeight="1">
      <c r="A319" s="18" t="s">
        <v>495</v>
      </c>
      <c r="B319" s="18">
        <v>1</v>
      </c>
      <c r="C319" s="18">
        <v>7</v>
      </c>
      <c r="D319" s="16">
        <v>4</v>
      </c>
      <c r="E319" s="16">
        <v>6</v>
      </c>
      <c r="F319" s="37">
        <v>0</v>
      </c>
      <c r="G319" s="37">
        <v>0</v>
      </c>
      <c r="H319" s="17">
        <v>0</v>
      </c>
      <c r="I319" s="17">
        <v>0</v>
      </c>
      <c r="J319" s="99">
        <f>SUM(SamplingData[[#This Row],[Losing Candidate]:[Under Votes]])</f>
        <v>18</v>
      </c>
      <c r="K319"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319" s="100">
        <f>IF(AND(SamplingData[[#This Row],[Total]]&lt;&gt; 0, NOT(ISBLANK(SamplingData[[#This Row],[Candidate 3]]))),(SamplingData[[#This Row],[Total]]+SamplingData[[#This Row],[Winning Candidate]]-SamplingData[[#This Row],[Candidate 3]])/(SamplingData[[#Totals],[Winning Candidate]]-SamplingData[[#Totals],[Candidate 3]]), 0)</f>
        <v>6.7748491789528019E-4</v>
      </c>
      <c r="M319" s="100">
        <f>IF(AND(SamplingData[[#This Row],[Total]]&lt;&gt; 0, NOT(ISBLANK(SamplingData[[#This Row],[Candidate 4]]))),(SamplingData[[#This Row],[Total]]+SamplingData[[#This Row],[Winning Candidate]]-SamplingData[[#This Row],[Candidate 4]])/(SamplingData[[#Totals],[Winning Candidate]]-SamplingData[[#Totals],[Candidate 4]]), 0)</f>
        <v>5.5540939518840076E-4</v>
      </c>
      <c r="N319" s="100">
        <f>IF(AND(SamplingData[[#This Row],[Total]]&lt;&gt; 0, NOT(ISBLANK(SamplingData[[#This Row],[Candidate 5]]))),(SamplingData[[#This Row],[Total]]+SamplingData[[#This Row],[Winning Candidate]]-SamplingData[[#This Row],[Candidate 5]])/(SamplingData[[#Totals],[Winning Candidate]]-SamplingData[[#Totals],[Candidate 5]]), 0)</f>
        <v>6.0812454390659211E-4</v>
      </c>
      <c r="O319" s="100">
        <f>IF(AND(SamplingData[[#This Row],[Total]]&lt;&gt; 0, NOT(ISBLANK(SamplingData[[#This Row],[Candidate 6]]))),(SamplingData[[#This Row],[Total]]+SamplingData[[#This Row],[Winning Candidate]]-SamplingData[[#This Row],[Candidate 6]])/(SamplingData[[#Totals],[Winning Candidate]]-SamplingData[[#Totals],[Candidate 6]]), 0)</f>
        <v>6.0794708428578371E-4</v>
      </c>
      <c r="P319" s="100">
        <f>MAX(SamplingData[[#This Row],[Error Bound (up) - Max. possible relative overstatement - Losing Candidate]:[Error Bound (up) - Max. possible relative overstatement - Candidate 6]])</f>
        <v>1.4698677119059284E-3</v>
      </c>
      <c r="Q319" s="100">
        <f>IF(SamplingData[[#This Row],[Max Error Bound (up)]] = 0,0,SamplingData[[#This Row],[Max Error Bound (up)]]/SamplingData[[#Totals],[Max Error Bound (up)]])</f>
        <v>2.3263075868269994E-4</v>
      </c>
      <c r="R319" s="101">
        <f>SUM($Q$5:Q319)</f>
        <v>0.17418467851637032</v>
      </c>
      <c r="S319" s="100" t="str">
        <f t="array" ref="S319">IF(SamplingData[[#This Row],[up/U Selection Probability]] = 0, "Zero", TEXT(SamplingData[[#This Row],[Lower Range]], REPT("0",LEN('General Info'!$B$40))) &amp; " - " &amp; TEXT(SamplingData[[#This Row],[Upper Range]], REPT("0",LEN('General Info'!$B$40))))</f>
        <v>17395 - 17417</v>
      </c>
      <c r="T319" s="100">
        <f>SamplingData[[#This Row],[Upper Range]]-SamplingData[[#This Row],[Span]]</f>
        <v>17395.205008399524</v>
      </c>
      <c r="U319" s="100">
        <f>IF(ISNUMBER('General Info'!$B$40), ((SamplingData[[#This Row],[up/U Selection Probability]]) * 'General Info'!$B$40) - 1, 0)</f>
        <v>22.262843237511312</v>
      </c>
      <c r="V319" s="100">
        <f>IF(ISNUMBER('General Info'!$B$40), (SamplingData[[#This Row],[Running (cumulative) sum]] * ('General Info'!$B$40 -'General Info'!$B$41 + 1)) + 'General Info'!$B$41 - 1, 0)</f>
        <v>17417.467851637033</v>
      </c>
      <c r="W319" s="100" t="str">
        <f>IF(ISERROR(MATCH(SamplingData[[#This Row],[Batch by Type (p)]],SelectedPrecincts[Batch Name], 0)), "", INDEX(SelectedPrecincts[Draw], MATCH(SamplingData[[#This Row],[Batch by Type (p)]],SelectedPrecincts[Batch Name], 0)))</f>
        <v/>
      </c>
      <c r="X319" s="102">
        <f>IF(COUNTIF(SelectedPrecincts[Batch Name],SamplingData[[#This Row],[Batch by Type (p)]]) &lt;&gt; 0, COUNTIF(SelectedPrecincts[Batch Name],SamplingData[[#This Row],[Batch by Type (p)]]), 0)</f>
        <v>0</v>
      </c>
    </row>
    <row r="320" spans="1:24" ht="15" customHeight="1">
      <c r="A320" s="18" t="s">
        <v>496</v>
      </c>
      <c r="B320" s="18">
        <v>3</v>
      </c>
      <c r="C320" s="18">
        <v>6</v>
      </c>
      <c r="D320" s="18">
        <v>0</v>
      </c>
      <c r="E320" s="18">
        <v>0</v>
      </c>
      <c r="F320" s="18">
        <v>0</v>
      </c>
      <c r="G320" s="18">
        <v>0</v>
      </c>
      <c r="H320" s="18">
        <v>0</v>
      </c>
      <c r="I320" s="18">
        <v>0</v>
      </c>
      <c r="J320" s="99">
        <f>SUM(SamplingData[[#This Row],[Losing Candidate]:[Under Votes]])</f>
        <v>9</v>
      </c>
      <c r="K320"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320" s="100">
        <f>IF(AND(SamplingData[[#This Row],[Total]]&lt;&gt; 0, NOT(ISBLANK(SamplingData[[#This Row],[Candidate 3]]))),(SamplingData[[#This Row],[Total]]+SamplingData[[#This Row],[Winning Candidate]]-SamplingData[[#This Row],[Candidate 3]])/(SamplingData[[#Totals],[Winning Candidate]]-SamplingData[[#Totals],[Candidate 3]]), 0)</f>
        <v>4.8391779849662873E-4</v>
      </c>
      <c r="M320" s="100">
        <f>IF(AND(SamplingData[[#This Row],[Total]]&lt;&gt; 0, NOT(ISBLANK(SamplingData[[#This Row],[Candidate 4]]))),(SamplingData[[#This Row],[Total]]+SamplingData[[#This Row],[Winning Candidate]]-SamplingData[[#This Row],[Candidate 4]])/(SamplingData[[#Totals],[Winning Candidate]]-SamplingData[[#Totals],[Candidate 4]]), 0)</f>
        <v>4.3848110146452689E-4</v>
      </c>
      <c r="N320" s="100">
        <f>IF(AND(SamplingData[[#This Row],[Total]]&lt;&gt; 0, NOT(ISBLANK(SamplingData[[#This Row],[Candidate 5]]))),(SamplingData[[#This Row],[Total]]+SamplingData[[#This Row],[Winning Candidate]]-SamplingData[[#This Row],[Candidate 5]])/(SamplingData[[#Totals],[Winning Candidate]]-SamplingData[[#Totals],[Candidate 5]]), 0)</f>
        <v>3.6487472634395525E-4</v>
      </c>
      <c r="O320" s="100">
        <f>IF(AND(SamplingData[[#This Row],[Total]]&lt;&gt; 0, NOT(ISBLANK(SamplingData[[#This Row],[Candidate 6]]))),(SamplingData[[#This Row],[Total]]+SamplingData[[#This Row],[Winning Candidate]]-SamplingData[[#This Row],[Candidate 6]])/(SamplingData[[#Totals],[Winning Candidate]]-SamplingData[[#Totals],[Candidate 6]]), 0)</f>
        <v>3.6476825057147027E-4</v>
      </c>
      <c r="P320" s="100">
        <f>MAX(SamplingData[[#This Row],[Error Bound (up) - Max. possible relative overstatement - Losing Candidate]:[Error Bound (up) - Max. possible relative overstatement - Candidate 6]])</f>
        <v>7.3493385595296422E-4</v>
      </c>
      <c r="Q320" s="100">
        <f>IF(SamplingData[[#This Row],[Max Error Bound (up)]] = 0,0,SamplingData[[#This Row],[Max Error Bound (up)]]/SamplingData[[#Totals],[Max Error Bound (up)]])</f>
        <v>1.1631537934134997E-4</v>
      </c>
      <c r="R320" s="101">
        <f>SUM($Q$5:Q320)</f>
        <v>0.17430099389571166</v>
      </c>
      <c r="S320" s="100" t="str">
        <f t="array" ref="S320">IF(SamplingData[[#This Row],[up/U Selection Probability]] = 0, "Zero", TEXT(SamplingData[[#This Row],[Lower Range]], REPT("0",LEN('General Info'!$B$40))) &amp; " - " &amp; TEXT(SamplingData[[#This Row],[Upper Range]], REPT("0",LEN('General Info'!$B$40))))</f>
        <v>17418 - 17429</v>
      </c>
      <c r="T320" s="100">
        <f>SamplingData[[#This Row],[Upper Range]]-SamplingData[[#This Row],[Span]]</f>
        <v>17418.467967952409</v>
      </c>
      <c r="U320" s="100">
        <f>IF(ISNUMBER('General Info'!$B$40), ((SamplingData[[#This Row],[up/U Selection Probability]]) * 'General Info'!$B$40) - 1, 0)</f>
        <v>10.631421618755656</v>
      </c>
      <c r="V320" s="100">
        <f>IF(ISNUMBER('General Info'!$B$40), (SamplingData[[#This Row],[Running (cumulative) sum]] * ('General Info'!$B$40 -'General Info'!$B$41 + 1)) + 'General Info'!$B$41 - 1, 0)</f>
        <v>17429.099389571165</v>
      </c>
      <c r="W320" s="100" t="str">
        <f>IF(ISERROR(MATCH(SamplingData[[#This Row],[Batch by Type (p)]],SelectedPrecincts[Batch Name], 0)), "", INDEX(SelectedPrecincts[Draw], MATCH(SamplingData[[#This Row],[Batch by Type (p)]],SelectedPrecincts[Batch Name], 0)))</f>
        <v/>
      </c>
      <c r="X320" s="102">
        <f>IF(COUNTIF(SelectedPrecincts[Batch Name],SamplingData[[#This Row],[Batch by Type (p)]]) &lt;&gt; 0, COUNTIF(SelectedPrecincts[Batch Name],SamplingData[[#This Row],[Batch by Type (p)]]), 0)</f>
        <v>0</v>
      </c>
    </row>
    <row r="321" spans="1:24" ht="15" customHeight="1">
      <c r="A321" s="18" t="s">
        <v>497</v>
      </c>
      <c r="B321" s="18">
        <v>9</v>
      </c>
      <c r="C321" s="18">
        <v>9</v>
      </c>
      <c r="D321" s="16">
        <v>0</v>
      </c>
      <c r="E321" s="16">
        <v>4</v>
      </c>
      <c r="F321" s="37">
        <v>0</v>
      </c>
      <c r="G321" s="37">
        <v>0</v>
      </c>
      <c r="H321" s="17">
        <v>0</v>
      </c>
      <c r="I321" s="17">
        <v>0</v>
      </c>
      <c r="J321" s="99">
        <f>SUM(SamplingData[[#This Row],[Losing Candidate]:[Under Votes]])</f>
        <v>22</v>
      </c>
      <c r="K321"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321" s="100">
        <f>IF(AND(SamplingData[[#This Row],[Total]]&lt;&gt; 0, NOT(ISBLANK(SamplingData[[#This Row],[Candidate 3]]))),(SamplingData[[#This Row],[Total]]+SamplingData[[#This Row],[Winning Candidate]]-SamplingData[[#This Row],[Candidate 3]])/(SamplingData[[#Totals],[Winning Candidate]]-SamplingData[[#Totals],[Candidate 3]]), 0)</f>
        <v>1.0000967835596993E-3</v>
      </c>
      <c r="M321" s="100">
        <f>IF(AND(SamplingData[[#This Row],[Total]]&lt;&gt; 0, NOT(ISBLANK(SamplingData[[#This Row],[Candidate 4]]))),(SamplingData[[#This Row],[Total]]+SamplingData[[#This Row],[Winning Candidate]]-SamplingData[[#This Row],[Candidate 4]])/(SamplingData[[#Totals],[Winning Candidate]]-SamplingData[[#Totals],[Candidate 4]]), 0)</f>
        <v>7.8926598263614838E-4</v>
      </c>
      <c r="N321" s="100">
        <f>IF(AND(SamplingData[[#This Row],[Total]]&lt;&gt; 0, NOT(ISBLANK(SamplingData[[#This Row],[Candidate 5]]))),(SamplingData[[#This Row],[Total]]+SamplingData[[#This Row],[Winning Candidate]]-SamplingData[[#This Row],[Candidate 5]])/(SamplingData[[#Totals],[Winning Candidate]]-SamplingData[[#Totals],[Candidate 5]]), 0)</f>
        <v>7.5407443444417419E-4</v>
      </c>
      <c r="O321" s="100">
        <f>IF(AND(SamplingData[[#This Row],[Total]]&lt;&gt; 0, NOT(ISBLANK(SamplingData[[#This Row],[Candidate 6]]))),(SamplingData[[#This Row],[Total]]+SamplingData[[#This Row],[Winning Candidate]]-SamplingData[[#This Row],[Candidate 6]])/(SamplingData[[#Totals],[Winning Candidate]]-SamplingData[[#Totals],[Candidate 6]]), 0)</f>
        <v>7.5385438451437182E-4</v>
      </c>
      <c r="P321" s="100">
        <f>MAX(SamplingData[[#This Row],[Error Bound (up) - Max. possible relative overstatement - Losing Candidate]:[Error Bound (up) - Max. possible relative overstatement - Candidate 6]])</f>
        <v>1.3473787359137678E-3</v>
      </c>
      <c r="Q321" s="100">
        <f>IF(SamplingData[[#This Row],[Max Error Bound (up)]] = 0,0,SamplingData[[#This Row],[Max Error Bound (up)]]/SamplingData[[#Totals],[Max Error Bound (up)]])</f>
        <v>2.1324486212580832E-4</v>
      </c>
      <c r="R321" s="101">
        <f>SUM($Q$5:Q321)</f>
        <v>0.17451423875783748</v>
      </c>
      <c r="S321" s="100" t="str">
        <f t="array" ref="S321">IF(SamplingData[[#This Row],[up/U Selection Probability]] = 0, "Zero", TEXT(SamplingData[[#This Row],[Lower Range]], REPT("0",LEN('General Info'!$B$40))) &amp; " - " &amp; TEXT(SamplingData[[#This Row],[Upper Range]], REPT("0",LEN('General Info'!$B$40))))</f>
        <v>17430 - 17450</v>
      </c>
      <c r="T321" s="100">
        <f>SamplingData[[#This Row],[Upper Range]]-SamplingData[[#This Row],[Span]]</f>
        <v>17430.09960281603</v>
      </c>
      <c r="U321" s="100">
        <f>IF(ISNUMBER('General Info'!$B$40), ((SamplingData[[#This Row],[up/U Selection Probability]]) * 'General Info'!$B$40) - 1, 0)</f>
        <v>20.324272967718706</v>
      </c>
      <c r="V321" s="100">
        <f>IF(ISNUMBER('General Info'!$B$40), (SamplingData[[#This Row],[Running (cumulative) sum]] * ('General Info'!$B$40 -'General Info'!$B$41 + 1)) + 'General Info'!$B$41 - 1, 0)</f>
        <v>17450.423875783748</v>
      </c>
      <c r="W321" s="100" t="str">
        <f>IF(ISERROR(MATCH(SamplingData[[#This Row],[Batch by Type (p)]],SelectedPrecincts[Batch Name], 0)), "", INDEX(SelectedPrecincts[Draw], MATCH(SamplingData[[#This Row],[Batch by Type (p)]],SelectedPrecincts[Batch Name], 0)))</f>
        <v/>
      </c>
      <c r="X321" s="102">
        <f>IF(COUNTIF(SelectedPrecincts[Batch Name],SamplingData[[#This Row],[Batch by Type (p)]]) &lt;&gt; 0, COUNTIF(SelectedPrecincts[Batch Name],SamplingData[[#This Row],[Batch by Type (p)]]), 0)</f>
        <v>0</v>
      </c>
    </row>
    <row r="322" spans="1:24" ht="15" customHeight="1">
      <c r="A322" s="18" t="s">
        <v>498</v>
      </c>
      <c r="B322" s="18">
        <v>0</v>
      </c>
      <c r="C322" s="18">
        <v>2</v>
      </c>
      <c r="D322" s="18">
        <v>0</v>
      </c>
      <c r="E322" s="18">
        <v>1</v>
      </c>
      <c r="F322" s="18">
        <v>0</v>
      </c>
      <c r="G322" s="18">
        <v>0</v>
      </c>
      <c r="H322" s="18">
        <v>0</v>
      </c>
      <c r="I322" s="18">
        <v>0</v>
      </c>
      <c r="J322" s="99">
        <f>SUM(SamplingData[[#This Row],[Losing Candidate]:[Under Votes]])</f>
        <v>3</v>
      </c>
      <c r="K322"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322" s="100">
        <f>IF(AND(SamplingData[[#This Row],[Total]]&lt;&gt; 0, NOT(ISBLANK(SamplingData[[#This Row],[Candidate 3]]))),(SamplingData[[#This Row],[Total]]+SamplingData[[#This Row],[Winning Candidate]]-SamplingData[[#This Row],[Candidate 3]])/(SamplingData[[#Totals],[Winning Candidate]]-SamplingData[[#Totals],[Candidate 3]]), 0)</f>
        <v>1.6130593283220958E-4</v>
      </c>
      <c r="M322" s="100">
        <f>IF(AND(SamplingData[[#This Row],[Total]]&lt;&gt; 0, NOT(ISBLANK(SamplingData[[#This Row],[Candidate 4]]))),(SamplingData[[#This Row],[Total]]+SamplingData[[#This Row],[Winning Candidate]]-SamplingData[[#This Row],[Candidate 4]])/(SamplingData[[#Totals],[Winning Candidate]]-SamplingData[[#Totals],[Candidate 4]]), 0)</f>
        <v>1.1692829372387384E-4</v>
      </c>
      <c r="N322" s="100">
        <f>IF(AND(SamplingData[[#This Row],[Total]]&lt;&gt; 0, NOT(ISBLANK(SamplingData[[#This Row],[Candidate 5]]))),(SamplingData[[#This Row],[Total]]+SamplingData[[#This Row],[Winning Candidate]]-SamplingData[[#This Row],[Candidate 5]])/(SamplingData[[#Totals],[Winning Candidate]]-SamplingData[[#Totals],[Candidate 5]]), 0)</f>
        <v>1.2162490878131841E-4</v>
      </c>
      <c r="O322" s="100">
        <f>IF(AND(SamplingData[[#This Row],[Total]]&lt;&gt; 0, NOT(ISBLANK(SamplingData[[#This Row],[Candidate 6]]))),(SamplingData[[#This Row],[Total]]+SamplingData[[#This Row],[Winning Candidate]]-SamplingData[[#This Row],[Candidate 6]])/(SamplingData[[#Totals],[Winning Candidate]]-SamplingData[[#Totals],[Candidate 6]]), 0)</f>
        <v>1.2158941685715675E-4</v>
      </c>
      <c r="P322" s="100">
        <f>MAX(SamplingData[[#This Row],[Error Bound (up) - Max. possible relative overstatement - Losing Candidate]:[Error Bound (up) - Max. possible relative overstatement - Candidate 6]])</f>
        <v>3.0622243998040176E-4</v>
      </c>
      <c r="Q322" s="100">
        <f>IF(SamplingData[[#This Row],[Max Error Bound (up)]] = 0,0,SamplingData[[#This Row],[Max Error Bound (up)]]/SamplingData[[#Totals],[Max Error Bound (up)]])</f>
        <v>4.8464741392229159E-5</v>
      </c>
      <c r="R322" s="101">
        <f>SUM($Q$5:Q322)</f>
        <v>0.1745627034992297</v>
      </c>
      <c r="S322" s="100" t="str">
        <f t="array" ref="S322">IF(SamplingData[[#This Row],[up/U Selection Probability]] = 0, "Zero", TEXT(SamplingData[[#This Row],[Lower Range]], REPT("0",LEN('General Info'!$B$40))) &amp; " - " &amp; TEXT(SamplingData[[#This Row],[Upper Range]], REPT("0",LEN('General Info'!$B$40))))</f>
        <v>17451 - 17455</v>
      </c>
      <c r="T322" s="100">
        <f>SamplingData[[#This Row],[Upper Range]]-SamplingData[[#This Row],[Span]]</f>
        <v>17451.423924248487</v>
      </c>
      <c r="U322" s="100">
        <f>IF(ISNUMBER('General Info'!$B$40), ((SamplingData[[#This Row],[up/U Selection Probability]]) * 'General Info'!$B$40) - 1, 0)</f>
        <v>3.8464256744815239</v>
      </c>
      <c r="V322" s="100">
        <f>IF(ISNUMBER('General Info'!$B$40), (SamplingData[[#This Row],[Running (cumulative) sum]] * ('General Info'!$B$40 -'General Info'!$B$41 + 1)) + 'General Info'!$B$41 - 1, 0)</f>
        <v>17455.270349922968</v>
      </c>
      <c r="W322" s="100" t="str">
        <f>IF(ISERROR(MATCH(SamplingData[[#This Row],[Batch by Type (p)]],SelectedPrecincts[Batch Name], 0)), "", INDEX(SelectedPrecincts[Draw], MATCH(SamplingData[[#This Row],[Batch by Type (p)]],SelectedPrecincts[Batch Name], 0)))</f>
        <v/>
      </c>
      <c r="X322" s="102">
        <f>IF(COUNTIF(SelectedPrecincts[Batch Name],SamplingData[[#This Row],[Batch by Type (p)]]) &lt;&gt; 0, COUNTIF(SelectedPrecincts[Batch Name],SamplingData[[#This Row],[Batch by Type (p)]]), 0)</f>
        <v>0</v>
      </c>
    </row>
    <row r="323" spans="1:24" ht="15" customHeight="1">
      <c r="A323" s="18" t="s">
        <v>499</v>
      </c>
      <c r="B323" s="18">
        <v>2</v>
      </c>
      <c r="C323" s="18">
        <v>8</v>
      </c>
      <c r="D323" s="16">
        <v>1</v>
      </c>
      <c r="E323" s="16">
        <v>5</v>
      </c>
      <c r="F323" s="37">
        <v>0</v>
      </c>
      <c r="G323" s="37">
        <v>1</v>
      </c>
      <c r="H323" s="17">
        <v>0</v>
      </c>
      <c r="I323" s="17">
        <v>0</v>
      </c>
      <c r="J323" s="99">
        <f>SUM(SamplingData[[#This Row],[Losing Candidate]:[Under Votes]])</f>
        <v>17</v>
      </c>
      <c r="K323"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323" s="100">
        <f>IF(AND(SamplingData[[#This Row],[Total]]&lt;&gt; 0, NOT(ISBLANK(SamplingData[[#This Row],[Candidate 3]]))),(SamplingData[[#This Row],[Total]]+SamplingData[[#This Row],[Winning Candidate]]-SamplingData[[#This Row],[Candidate 3]])/(SamplingData[[#Totals],[Winning Candidate]]-SamplingData[[#Totals],[Candidate 3]]), 0)</f>
        <v>7.7426847759460595E-4</v>
      </c>
      <c r="M323" s="100">
        <f>IF(AND(SamplingData[[#This Row],[Total]]&lt;&gt; 0, NOT(ISBLANK(SamplingData[[#This Row],[Candidate 4]]))),(SamplingData[[#This Row],[Total]]+SamplingData[[#This Row],[Winning Candidate]]-SamplingData[[#This Row],[Candidate 4]])/(SamplingData[[#Totals],[Winning Candidate]]-SamplingData[[#Totals],[Candidate 4]]), 0)</f>
        <v>5.8464146861936922E-4</v>
      </c>
      <c r="N323" s="100">
        <f>IF(AND(SamplingData[[#This Row],[Total]]&lt;&gt; 0, NOT(ISBLANK(SamplingData[[#This Row],[Candidate 5]]))),(SamplingData[[#This Row],[Total]]+SamplingData[[#This Row],[Winning Candidate]]-SamplingData[[#This Row],[Candidate 5]])/(SamplingData[[#Totals],[Winning Candidate]]-SamplingData[[#Totals],[Candidate 5]]), 0)</f>
        <v>6.0812454390659211E-4</v>
      </c>
      <c r="O323" s="100">
        <f>IF(AND(SamplingData[[#This Row],[Total]]&lt;&gt; 0, NOT(ISBLANK(SamplingData[[#This Row],[Candidate 6]]))),(SamplingData[[#This Row],[Total]]+SamplingData[[#This Row],[Winning Candidate]]-SamplingData[[#This Row],[Candidate 6]])/(SamplingData[[#Totals],[Winning Candidate]]-SamplingData[[#Totals],[Candidate 6]]), 0)</f>
        <v>5.8362920091435243E-4</v>
      </c>
      <c r="P323" s="100">
        <f>MAX(SamplingData[[#This Row],[Error Bound (up) - Max. possible relative overstatement - Losing Candidate]:[Error Bound (up) - Max. possible relative overstatement - Candidate 6]])</f>
        <v>1.408623223909848E-3</v>
      </c>
      <c r="Q323" s="100">
        <f>IF(SamplingData[[#This Row],[Max Error Bound (up)]] = 0,0,SamplingData[[#This Row],[Max Error Bound (up)]]/SamplingData[[#Totals],[Max Error Bound (up)]])</f>
        <v>2.229378104042541E-4</v>
      </c>
      <c r="R323" s="101">
        <f>SUM($Q$5:Q323)</f>
        <v>0.17478564130963395</v>
      </c>
      <c r="S323" s="100" t="str">
        <f t="array" ref="S323">IF(SamplingData[[#This Row],[up/U Selection Probability]] = 0, "Zero", TEXT(SamplingData[[#This Row],[Lower Range]], REPT("0",LEN('General Info'!$B$40))) &amp; " - " &amp; TEXT(SamplingData[[#This Row],[Upper Range]], REPT("0",LEN('General Info'!$B$40))))</f>
        <v>17456 - 17478</v>
      </c>
      <c r="T323" s="100">
        <f>SamplingData[[#This Row],[Upper Range]]-SamplingData[[#This Row],[Span]]</f>
        <v>17456.27057286078</v>
      </c>
      <c r="U323" s="100">
        <f>IF(ISNUMBER('General Info'!$B$40), ((SamplingData[[#This Row],[up/U Selection Probability]]) * 'General Info'!$B$40) - 1, 0)</f>
        <v>21.293558102615005</v>
      </c>
      <c r="V323" s="100">
        <f>IF(ISNUMBER('General Info'!$B$40), (SamplingData[[#This Row],[Running (cumulative) sum]] * ('General Info'!$B$40 -'General Info'!$B$41 + 1)) + 'General Info'!$B$41 - 1, 0)</f>
        <v>17477.564130963394</v>
      </c>
      <c r="W323" s="100" t="str">
        <f>IF(ISERROR(MATCH(SamplingData[[#This Row],[Batch by Type (p)]],SelectedPrecincts[Batch Name], 0)), "", INDEX(SelectedPrecincts[Draw], MATCH(SamplingData[[#This Row],[Batch by Type (p)]],SelectedPrecincts[Batch Name], 0)))</f>
        <v/>
      </c>
      <c r="X323" s="102">
        <f>IF(COUNTIF(SelectedPrecincts[Batch Name],SamplingData[[#This Row],[Batch by Type (p)]]) &lt;&gt; 0, COUNTIF(SelectedPrecincts[Batch Name],SamplingData[[#This Row],[Batch by Type (p)]]), 0)</f>
        <v>0</v>
      </c>
    </row>
    <row r="324" spans="1:24" ht="15" customHeight="1">
      <c r="A324" s="18" t="s">
        <v>500</v>
      </c>
      <c r="B324" s="18">
        <v>1</v>
      </c>
      <c r="C324" s="18">
        <v>3</v>
      </c>
      <c r="D324" s="18">
        <v>3</v>
      </c>
      <c r="E324" s="18">
        <v>2</v>
      </c>
      <c r="F324" s="18">
        <v>1</v>
      </c>
      <c r="G324" s="18">
        <v>0</v>
      </c>
      <c r="H324" s="18">
        <v>0</v>
      </c>
      <c r="I324" s="18">
        <v>0</v>
      </c>
      <c r="J324" s="99">
        <f>SUM(SamplingData[[#This Row],[Losing Candidate]:[Under Votes]])</f>
        <v>10</v>
      </c>
      <c r="K324"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324" s="100">
        <f>IF(AND(SamplingData[[#This Row],[Total]]&lt;&gt; 0, NOT(ISBLANK(SamplingData[[#This Row],[Candidate 3]]))),(SamplingData[[#This Row],[Total]]+SamplingData[[#This Row],[Winning Candidate]]-SamplingData[[#This Row],[Candidate 3]])/(SamplingData[[#Totals],[Winning Candidate]]-SamplingData[[#Totals],[Candidate 3]]), 0)</f>
        <v>3.2261186566441915E-4</v>
      </c>
      <c r="M324" s="100">
        <f>IF(AND(SamplingData[[#This Row],[Total]]&lt;&gt; 0, NOT(ISBLANK(SamplingData[[#This Row],[Candidate 4]]))),(SamplingData[[#This Row],[Total]]+SamplingData[[#This Row],[Winning Candidate]]-SamplingData[[#This Row],[Candidate 4]])/(SamplingData[[#Totals],[Winning Candidate]]-SamplingData[[#Totals],[Candidate 4]]), 0)</f>
        <v>3.2155280774065302E-4</v>
      </c>
      <c r="N324" s="100">
        <f>IF(AND(SamplingData[[#This Row],[Total]]&lt;&gt; 0, NOT(ISBLANK(SamplingData[[#This Row],[Candidate 5]]))),(SamplingData[[#This Row],[Total]]+SamplingData[[#This Row],[Winning Candidate]]-SamplingData[[#This Row],[Candidate 5]])/(SamplingData[[#Totals],[Winning Candidate]]-SamplingData[[#Totals],[Candidate 5]]), 0)</f>
        <v>2.9189978107516421E-4</v>
      </c>
      <c r="O324" s="100">
        <f>IF(AND(SamplingData[[#This Row],[Total]]&lt;&gt; 0, NOT(ISBLANK(SamplingData[[#This Row],[Candidate 6]]))),(SamplingData[[#This Row],[Total]]+SamplingData[[#This Row],[Winning Candidate]]-SamplingData[[#This Row],[Candidate 6]])/(SamplingData[[#Totals],[Winning Candidate]]-SamplingData[[#Totals],[Candidate 6]]), 0)</f>
        <v>3.1613248382860755E-4</v>
      </c>
      <c r="P324" s="100">
        <f>MAX(SamplingData[[#This Row],[Error Bound (up) - Max. possible relative overstatement - Losing Candidate]:[Error Bound (up) - Max. possible relative overstatement - Candidate 6]])</f>
        <v>7.3493385595296422E-4</v>
      </c>
      <c r="Q324" s="100">
        <f>IF(SamplingData[[#This Row],[Max Error Bound (up)]] = 0,0,SamplingData[[#This Row],[Max Error Bound (up)]]/SamplingData[[#Totals],[Max Error Bound (up)]])</f>
        <v>1.1631537934134997E-4</v>
      </c>
      <c r="R324" s="101">
        <f>SUM($Q$5:Q324)</f>
        <v>0.17490195668897529</v>
      </c>
      <c r="S324" s="100" t="str">
        <f t="array" ref="S324">IF(SamplingData[[#This Row],[up/U Selection Probability]] = 0, "Zero", TEXT(SamplingData[[#This Row],[Lower Range]], REPT("0",LEN('General Info'!$B$40))) &amp; " - " &amp; TEXT(SamplingData[[#This Row],[Upper Range]], REPT("0",LEN('General Info'!$B$40))))</f>
        <v>17479 - 17489</v>
      </c>
      <c r="T324" s="100">
        <f>SamplingData[[#This Row],[Upper Range]]-SamplingData[[#This Row],[Span]]</f>
        <v>17478.564247278773</v>
      </c>
      <c r="U324" s="100">
        <f>IF(ISNUMBER('General Info'!$B$40), ((SamplingData[[#This Row],[up/U Selection Probability]]) * 'General Info'!$B$40) - 1, 0)</f>
        <v>10.631421618755656</v>
      </c>
      <c r="V324" s="100">
        <f>IF(ISNUMBER('General Info'!$B$40), (SamplingData[[#This Row],[Running (cumulative) sum]] * ('General Info'!$B$40 -'General Info'!$B$41 + 1)) + 'General Info'!$B$41 - 1, 0)</f>
        <v>17489.19566889753</v>
      </c>
      <c r="W324" s="100" t="str">
        <f>IF(ISERROR(MATCH(SamplingData[[#This Row],[Batch by Type (p)]],SelectedPrecincts[Batch Name], 0)), "", INDEX(SelectedPrecincts[Draw], MATCH(SamplingData[[#This Row],[Batch by Type (p)]],SelectedPrecincts[Batch Name], 0)))</f>
        <v/>
      </c>
      <c r="X324" s="102">
        <f>IF(COUNTIF(SelectedPrecincts[Batch Name],SamplingData[[#This Row],[Batch by Type (p)]]) &lt;&gt; 0, COUNTIF(SelectedPrecincts[Batch Name],SamplingData[[#This Row],[Batch by Type (p)]]), 0)</f>
        <v>0</v>
      </c>
    </row>
    <row r="325" spans="1:24" ht="15" customHeight="1">
      <c r="A325" s="18" t="s">
        <v>501</v>
      </c>
      <c r="B325" s="18">
        <v>3</v>
      </c>
      <c r="C325" s="18">
        <v>3</v>
      </c>
      <c r="D325" s="16">
        <v>2</v>
      </c>
      <c r="E325" s="16">
        <v>1</v>
      </c>
      <c r="F325" s="37">
        <v>0</v>
      </c>
      <c r="G325" s="37">
        <v>0</v>
      </c>
      <c r="H325" s="17">
        <v>0</v>
      </c>
      <c r="I325" s="17">
        <v>0</v>
      </c>
      <c r="J325" s="99">
        <f>SUM(SamplingData[[#This Row],[Losing Candidate]:[Under Votes]])</f>
        <v>9</v>
      </c>
      <c r="K325"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325" s="100">
        <f>IF(AND(SamplingData[[#This Row],[Total]]&lt;&gt; 0, NOT(ISBLANK(SamplingData[[#This Row],[Candidate 3]]))),(SamplingData[[#This Row],[Total]]+SamplingData[[#This Row],[Winning Candidate]]-SamplingData[[#This Row],[Candidate 3]])/(SamplingData[[#Totals],[Winning Candidate]]-SamplingData[[#Totals],[Candidate 3]]), 0)</f>
        <v>3.2261186566441915E-4</v>
      </c>
      <c r="M325" s="100">
        <f>IF(AND(SamplingData[[#This Row],[Total]]&lt;&gt; 0, NOT(ISBLANK(SamplingData[[#This Row],[Candidate 4]]))),(SamplingData[[#This Row],[Total]]+SamplingData[[#This Row],[Winning Candidate]]-SamplingData[[#This Row],[Candidate 4]])/(SamplingData[[#Totals],[Winning Candidate]]-SamplingData[[#Totals],[Candidate 4]]), 0)</f>
        <v>3.2155280774065302E-4</v>
      </c>
      <c r="N325" s="100">
        <f>IF(AND(SamplingData[[#This Row],[Total]]&lt;&gt; 0, NOT(ISBLANK(SamplingData[[#This Row],[Candidate 5]]))),(SamplingData[[#This Row],[Total]]+SamplingData[[#This Row],[Winning Candidate]]-SamplingData[[#This Row],[Candidate 5]])/(SamplingData[[#Totals],[Winning Candidate]]-SamplingData[[#Totals],[Candidate 5]]), 0)</f>
        <v>2.9189978107516421E-4</v>
      </c>
      <c r="O325" s="100">
        <f>IF(AND(SamplingData[[#This Row],[Total]]&lt;&gt; 0, NOT(ISBLANK(SamplingData[[#This Row],[Candidate 6]]))),(SamplingData[[#This Row],[Total]]+SamplingData[[#This Row],[Winning Candidate]]-SamplingData[[#This Row],[Candidate 6]])/(SamplingData[[#Totals],[Winning Candidate]]-SamplingData[[#Totals],[Candidate 6]]), 0)</f>
        <v>2.9181460045717622E-4</v>
      </c>
      <c r="P325" s="100">
        <f>MAX(SamplingData[[#This Row],[Error Bound (up) - Max. possible relative overstatement - Losing Candidate]:[Error Bound (up) - Max. possible relative overstatement - Candidate 6]])</f>
        <v>5.5120039196472322E-4</v>
      </c>
      <c r="Q325" s="100">
        <f>IF(SamplingData[[#This Row],[Max Error Bound (up)]] = 0,0,SamplingData[[#This Row],[Max Error Bound (up)]]/SamplingData[[#Totals],[Max Error Bound (up)]])</f>
        <v>8.7236534506012492E-5</v>
      </c>
      <c r="R325" s="101">
        <f>SUM($Q$5:Q325)</f>
        <v>0.1749891932234813</v>
      </c>
      <c r="S325" s="100" t="str">
        <f t="array" ref="S325">IF(SamplingData[[#This Row],[up/U Selection Probability]] = 0, "Zero", TEXT(SamplingData[[#This Row],[Lower Range]], REPT("0",LEN('General Info'!$B$40))) &amp; " - " &amp; TEXT(SamplingData[[#This Row],[Upper Range]], REPT("0",LEN('General Info'!$B$40))))</f>
        <v>17490 - 17498</v>
      </c>
      <c r="T325" s="100">
        <f>SamplingData[[#This Row],[Upper Range]]-SamplingData[[#This Row],[Span]]</f>
        <v>17490.195756134064</v>
      </c>
      <c r="U325" s="100">
        <f>IF(ISNUMBER('General Info'!$B$40), ((SamplingData[[#This Row],[up/U Selection Probability]]) * 'General Info'!$B$40) - 1, 0)</f>
        <v>7.7235662140667429</v>
      </c>
      <c r="V325" s="100">
        <f>IF(ISNUMBER('General Info'!$B$40), (SamplingData[[#This Row],[Running (cumulative) sum]] * ('General Info'!$B$40 -'General Info'!$B$41 + 1)) + 'General Info'!$B$41 - 1, 0)</f>
        <v>17497.919322348131</v>
      </c>
      <c r="W325" s="100" t="str">
        <f>IF(ISERROR(MATCH(SamplingData[[#This Row],[Batch by Type (p)]],SelectedPrecincts[Batch Name], 0)), "", INDEX(SelectedPrecincts[Draw], MATCH(SamplingData[[#This Row],[Batch by Type (p)]],SelectedPrecincts[Batch Name], 0)))</f>
        <v/>
      </c>
      <c r="X325" s="102">
        <f>IF(COUNTIF(SelectedPrecincts[Batch Name],SamplingData[[#This Row],[Batch by Type (p)]]) &lt;&gt; 0, COUNTIF(SelectedPrecincts[Batch Name],SamplingData[[#This Row],[Batch by Type (p)]]), 0)</f>
        <v>0</v>
      </c>
    </row>
    <row r="326" spans="1:24" ht="15" customHeight="1">
      <c r="A326" s="18" t="s">
        <v>502</v>
      </c>
      <c r="B326" s="18">
        <v>1</v>
      </c>
      <c r="C326" s="18">
        <v>1</v>
      </c>
      <c r="D326" s="18">
        <v>0</v>
      </c>
      <c r="E326" s="18">
        <v>1</v>
      </c>
      <c r="F326" s="18">
        <v>0</v>
      </c>
      <c r="G326" s="18">
        <v>0</v>
      </c>
      <c r="H326" s="18">
        <v>0</v>
      </c>
      <c r="I326" s="18">
        <v>0</v>
      </c>
      <c r="J326" s="99">
        <f>SUM(SamplingData[[#This Row],[Losing Candidate]:[Under Votes]])</f>
        <v>3</v>
      </c>
      <c r="K326"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326" s="100">
        <f>IF(AND(SamplingData[[#This Row],[Total]]&lt;&gt; 0, NOT(ISBLANK(SamplingData[[#This Row],[Candidate 3]]))),(SamplingData[[#This Row],[Total]]+SamplingData[[#This Row],[Winning Candidate]]-SamplingData[[#This Row],[Candidate 3]])/(SamplingData[[#Totals],[Winning Candidate]]-SamplingData[[#Totals],[Candidate 3]]), 0)</f>
        <v>1.2904474626576767E-4</v>
      </c>
      <c r="M326" s="100">
        <f>IF(AND(SamplingData[[#This Row],[Total]]&lt;&gt; 0, NOT(ISBLANK(SamplingData[[#This Row],[Candidate 4]]))),(SamplingData[[#This Row],[Total]]+SamplingData[[#This Row],[Winning Candidate]]-SamplingData[[#This Row],[Candidate 4]])/(SamplingData[[#Totals],[Winning Candidate]]-SamplingData[[#Totals],[Candidate 4]]), 0)</f>
        <v>8.7696220292905373E-5</v>
      </c>
      <c r="N326" s="100">
        <f>IF(AND(SamplingData[[#This Row],[Total]]&lt;&gt; 0, NOT(ISBLANK(SamplingData[[#This Row],[Candidate 5]]))),(SamplingData[[#This Row],[Total]]+SamplingData[[#This Row],[Winning Candidate]]-SamplingData[[#This Row],[Candidate 5]])/(SamplingData[[#Totals],[Winning Candidate]]-SamplingData[[#Totals],[Candidate 5]]), 0)</f>
        <v>9.7299927025054734E-5</v>
      </c>
      <c r="O326" s="100">
        <f>IF(AND(SamplingData[[#This Row],[Total]]&lt;&gt; 0, NOT(ISBLANK(SamplingData[[#This Row],[Candidate 6]]))),(SamplingData[[#This Row],[Total]]+SamplingData[[#This Row],[Winning Candidate]]-SamplingData[[#This Row],[Candidate 6]])/(SamplingData[[#Totals],[Winning Candidate]]-SamplingData[[#Totals],[Candidate 6]]), 0)</f>
        <v>9.7271533485725401E-5</v>
      </c>
      <c r="P326" s="100">
        <f>MAX(SamplingData[[#This Row],[Error Bound (up) - Max. possible relative overstatement - Losing Candidate]:[Error Bound (up) - Max. possible relative overstatement - Candidate 6]])</f>
        <v>1.8373346398824106E-4</v>
      </c>
      <c r="Q326" s="100">
        <f>IF(SamplingData[[#This Row],[Max Error Bound (up)]] = 0,0,SamplingData[[#This Row],[Max Error Bound (up)]]/SamplingData[[#Totals],[Max Error Bound (up)]])</f>
        <v>2.9078844835337493E-5</v>
      </c>
      <c r="R326" s="101">
        <f>SUM($Q$5:Q326)</f>
        <v>0.17501827206831663</v>
      </c>
      <c r="S326" s="100" t="str">
        <f t="array" ref="S326">IF(SamplingData[[#This Row],[up/U Selection Probability]] = 0, "Zero", TEXT(SamplingData[[#This Row],[Lower Range]], REPT("0",LEN('General Info'!$B$40))) &amp; " - " &amp; TEXT(SamplingData[[#This Row],[Upper Range]], REPT("0",LEN('General Info'!$B$40))))</f>
        <v>17499 - 17501</v>
      </c>
      <c r="T326" s="100">
        <f>SamplingData[[#This Row],[Upper Range]]-SamplingData[[#This Row],[Span]]</f>
        <v>17498.919351426972</v>
      </c>
      <c r="U326" s="100">
        <f>IF(ISNUMBER('General Info'!$B$40), ((SamplingData[[#This Row],[up/U Selection Probability]]) * 'General Info'!$B$40) - 1, 0)</f>
        <v>1.907855404688914</v>
      </c>
      <c r="V326" s="100">
        <f>IF(ISNUMBER('General Info'!$B$40), (SamplingData[[#This Row],[Running (cumulative) sum]] * ('General Info'!$B$40 -'General Info'!$B$41 + 1)) + 'General Info'!$B$41 - 1, 0)</f>
        <v>17500.827206831662</v>
      </c>
      <c r="W326" s="100" t="str">
        <f>IF(ISERROR(MATCH(SamplingData[[#This Row],[Batch by Type (p)]],SelectedPrecincts[Batch Name], 0)), "", INDEX(SelectedPrecincts[Draw], MATCH(SamplingData[[#This Row],[Batch by Type (p)]],SelectedPrecincts[Batch Name], 0)))</f>
        <v/>
      </c>
      <c r="X326" s="102">
        <f>IF(COUNTIF(SelectedPrecincts[Batch Name],SamplingData[[#This Row],[Batch by Type (p)]]) &lt;&gt; 0, COUNTIF(SelectedPrecincts[Batch Name],SamplingData[[#This Row],[Batch by Type (p)]]), 0)</f>
        <v>0</v>
      </c>
    </row>
    <row r="327" spans="1:24" ht="15" customHeight="1">
      <c r="A327" s="18" t="s">
        <v>503</v>
      </c>
      <c r="B327" s="18">
        <v>7</v>
      </c>
      <c r="C327" s="18">
        <v>7</v>
      </c>
      <c r="D327" s="16">
        <v>6</v>
      </c>
      <c r="E327" s="16">
        <v>4</v>
      </c>
      <c r="F327" s="37">
        <v>0</v>
      </c>
      <c r="G327" s="37">
        <v>0</v>
      </c>
      <c r="H327" s="17">
        <v>0</v>
      </c>
      <c r="I327" s="17">
        <v>0</v>
      </c>
      <c r="J327" s="99">
        <f>SUM(SamplingData[[#This Row],[Losing Candidate]:[Under Votes]])</f>
        <v>24</v>
      </c>
      <c r="K327"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327" s="100">
        <f>IF(AND(SamplingData[[#This Row],[Total]]&lt;&gt; 0, NOT(ISBLANK(SamplingData[[#This Row],[Candidate 3]]))),(SamplingData[[#This Row],[Total]]+SamplingData[[#This Row],[Winning Candidate]]-SamplingData[[#This Row],[Candidate 3]])/(SamplingData[[#Totals],[Winning Candidate]]-SamplingData[[#Totals],[Candidate 3]]), 0)</f>
        <v>8.0652966416104783E-4</v>
      </c>
      <c r="M327" s="100">
        <f>IF(AND(SamplingData[[#This Row],[Total]]&lt;&gt; 0, NOT(ISBLANK(SamplingData[[#This Row],[Candidate 4]]))),(SamplingData[[#This Row],[Total]]+SamplingData[[#This Row],[Winning Candidate]]-SamplingData[[#This Row],[Candidate 4]])/(SamplingData[[#Totals],[Winning Candidate]]-SamplingData[[#Totals],[Candidate 4]]), 0)</f>
        <v>7.8926598263614838E-4</v>
      </c>
      <c r="N327" s="100">
        <f>IF(AND(SamplingData[[#This Row],[Total]]&lt;&gt; 0, NOT(ISBLANK(SamplingData[[#This Row],[Candidate 5]]))),(SamplingData[[#This Row],[Total]]+SamplingData[[#This Row],[Winning Candidate]]-SamplingData[[#This Row],[Candidate 5]])/(SamplingData[[#Totals],[Winning Candidate]]-SamplingData[[#Totals],[Candidate 5]]), 0)</f>
        <v>7.5407443444417419E-4</v>
      </c>
      <c r="O327" s="100">
        <f>IF(AND(SamplingData[[#This Row],[Total]]&lt;&gt; 0, NOT(ISBLANK(SamplingData[[#This Row],[Candidate 6]]))),(SamplingData[[#This Row],[Total]]+SamplingData[[#This Row],[Winning Candidate]]-SamplingData[[#This Row],[Candidate 6]])/(SamplingData[[#Totals],[Winning Candidate]]-SamplingData[[#Totals],[Candidate 6]]), 0)</f>
        <v>7.5385438451437182E-4</v>
      </c>
      <c r="P327" s="100">
        <f>MAX(SamplingData[[#This Row],[Error Bound (up) - Max. possible relative overstatement - Losing Candidate]:[Error Bound (up) - Max. possible relative overstatement - Candidate 6]])</f>
        <v>1.4698677119059284E-3</v>
      </c>
      <c r="Q327" s="100">
        <f>IF(SamplingData[[#This Row],[Max Error Bound (up)]] = 0,0,SamplingData[[#This Row],[Max Error Bound (up)]]/SamplingData[[#Totals],[Max Error Bound (up)]])</f>
        <v>2.3263075868269994E-4</v>
      </c>
      <c r="R327" s="101">
        <f>SUM($Q$5:Q327)</f>
        <v>0.17525090282699934</v>
      </c>
      <c r="S327" s="100" t="str">
        <f t="array" ref="S327">IF(SamplingData[[#This Row],[up/U Selection Probability]] = 0, "Zero", TEXT(SamplingData[[#This Row],[Lower Range]], REPT("0",LEN('General Info'!$B$40))) &amp; " - " &amp; TEXT(SamplingData[[#This Row],[Upper Range]], REPT("0",LEN('General Info'!$B$40))))</f>
        <v>17502 - 17524</v>
      </c>
      <c r="T327" s="100">
        <f>SamplingData[[#This Row],[Upper Range]]-SamplingData[[#This Row],[Span]]</f>
        <v>17501.827439462424</v>
      </c>
      <c r="U327" s="100">
        <f>IF(ISNUMBER('General Info'!$B$40), ((SamplingData[[#This Row],[up/U Selection Probability]]) * 'General Info'!$B$40) - 1, 0)</f>
        <v>22.262843237511312</v>
      </c>
      <c r="V327" s="100">
        <f>IF(ISNUMBER('General Info'!$B$40), (SamplingData[[#This Row],[Running (cumulative) sum]] * ('General Info'!$B$40 -'General Info'!$B$41 + 1)) + 'General Info'!$B$41 - 1, 0)</f>
        <v>17524.090282699934</v>
      </c>
      <c r="W327" s="100" t="str">
        <f>IF(ISERROR(MATCH(SamplingData[[#This Row],[Batch by Type (p)]],SelectedPrecincts[Batch Name], 0)), "", INDEX(SelectedPrecincts[Draw], MATCH(SamplingData[[#This Row],[Batch by Type (p)]],SelectedPrecincts[Batch Name], 0)))</f>
        <v/>
      </c>
      <c r="X327" s="102">
        <f>IF(COUNTIF(SelectedPrecincts[Batch Name],SamplingData[[#This Row],[Batch by Type (p)]]) &lt;&gt; 0, COUNTIF(SelectedPrecincts[Batch Name],SamplingData[[#This Row],[Batch by Type (p)]]), 0)</f>
        <v>0</v>
      </c>
    </row>
    <row r="328" spans="1:24" ht="15" customHeight="1">
      <c r="A328" s="18" t="s">
        <v>504</v>
      </c>
      <c r="B328" s="18">
        <v>3</v>
      </c>
      <c r="C328" s="18">
        <v>5</v>
      </c>
      <c r="D328" s="18">
        <v>1</v>
      </c>
      <c r="E328" s="18">
        <v>8</v>
      </c>
      <c r="F328" s="18">
        <v>0</v>
      </c>
      <c r="G328" s="18">
        <v>0</v>
      </c>
      <c r="H328" s="18">
        <v>0</v>
      </c>
      <c r="I328" s="18">
        <v>0</v>
      </c>
      <c r="J328" s="99">
        <f>SUM(SamplingData[[#This Row],[Losing Candidate]:[Under Votes]])</f>
        <v>17</v>
      </c>
      <c r="K328"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328" s="100">
        <f>IF(AND(SamplingData[[#This Row],[Total]]&lt;&gt; 0, NOT(ISBLANK(SamplingData[[#This Row],[Candidate 3]]))),(SamplingData[[#This Row],[Total]]+SamplingData[[#This Row],[Winning Candidate]]-SamplingData[[#This Row],[Candidate 3]])/(SamplingData[[#Totals],[Winning Candidate]]-SamplingData[[#Totals],[Candidate 3]]), 0)</f>
        <v>6.7748491789528019E-4</v>
      </c>
      <c r="M328" s="100">
        <f>IF(AND(SamplingData[[#This Row],[Total]]&lt;&gt; 0, NOT(ISBLANK(SamplingData[[#This Row],[Candidate 4]]))),(SamplingData[[#This Row],[Total]]+SamplingData[[#This Row],[Winning Candidate]]-SamplingData[[#This Row],[Candidate 4]])/(SamplingData[[#Totals],[Winning Candidate]]-SamplingData[[#Totals],[Candidate 4]]), 0)</f>
        <v>4.0924902803355842E-4</v>
      </c>
      <c r="N328" s="100">
        <f>IF(AND(SamplingData[[#This Row],[Total]]&lt;&gt; 0, NOT(ISBLANK(SamplingData[[#This Row],[Candidate 5]]))),(SamplingData[[#This Row],[Total]]+SamplingData[[#This Row],[Winning Candidate]]-SamplingData[[#This Row],[Candidate 5]])/(SamplingData[[#Totals],[Winning Candidate]]-SamplingData[[#Totals],[Candidate 5]]), 0)</f>
        <v>5.3514959863780107E-4</v>
      </c>
      <c r="O328" s="100">
        <f>IF(AND(SamplingData[[#This Row],[Total]]&lt;&gt; 0, NOT(ISBLANK(SamplingData[[#This Row],[Candidate 6]]))),(SamplingData[[#This Row],[Total]]+SamplingData[[#This Row],[Winning Candidate]]-SamplingData[[#This Row],[Candidate 6]])/(SamplingData[[#Totals],[Winning Candidate]]-SamplingData[[#Totals],[Candidate 6]]), 0)</f>
        <v>5.3499343417148966E-4</v>
      </c>
      <c r="P328" s="100">
        <f>MAX(SamplingData[[#This Row],[Error Bound (up) - Max. possible relative overstatement - Losing Candidate]:[Error Bound (up) - Max. possible relative overstatement - Candidate 6]])</f>
        <v>1.1636452719255266E-3</v>
      </c>
      <c r="Q328" s="100">
        <f>IF(SamplingData[[#This Row],[Max Error Bound (up)]] = 0,0,SamplingData[[#This Row],[Max Error Bound (up)]]/SamplingData[[#Totals],[Max Error Bound (up)]])</f>
        <v>1.841660172904708E-4</v>
      </c>
      <c r="R328" s="101">
        <f>SUM($Q$5:Q328)</f>
        <v>0.1754350688442898</v>
      </c>
      <c r="S328" s="100" t="str">
        <f t="array" ref="S328">IF(SamplingData[[#This Row],[up/U Selection Probability]] = 0, "Zero", TEXT(SamplingData[[#This Row],[Lower Range]], REPT("0",LEN('General Info'!$B$40))) &amp; " - " &amp; TEXT(SamplingData[[#This Row],[Upper Range]], REPT("0",LEN('General Info'!$B$40))))</f>
        <v>17525 - 17543</v>
      </c>
      <c r="T328" s="100">
        <f>SamplingData[[#This Row],[Upper Range]]-SamplingData[[#This Row],[Span]]</f>
        <v>17525.090466865953</v>
      </c>
      <c r="U328" s="100">
        <f>IF(ISNUMBER('General Info'!$B$40), ((SamplingData[[#This Row],[up/U Selection Probability]]) * 'General Info'!$B$40) - 1, 0)</f>
        <v>17.416417563029789</v>
      </c>
      <c r="V328" s="100">
        <f>IF(ISNUMBER('General Info'!$B$40), (SamplingData[[#This Row],[Running (cumulative) sum]] * ('General Info'!$B$40 -'General Info'!$B$41 + 1)) + 'General Info'!$B$41 - 1, 0)</f>
        <v>17542.506884428982</v>
      </c>
      <c r="W328" s="100" t="str">
        <f>IF(ISERROR(MATCH(SamplingData[[#This Row],[Batch by Type (p)]],SelectedPrecincts[Batch Name], 0)), "", INDEX(SelectedPrecincts[Draw], MATCH(SamplingData[[#This Row],[Batch by Type (p)]],SelectedPrecincts[Batch Name], 0)))</f>
        <v/>
      </c>
      <c r="X328" s="102">
        <f>IF(COUNTIF(SelectedPrecincts[Batch Name],SamplingData[[#This Row],[Batch by Type (p)]]) &lt;&gt; 0, COUNTIF(SelectedPrecincts[Batch Name],SamplingData[[#This Row],[Batch by Type (p)]]), 0)</f>
        <v>0</v>
      </c>
    </row>
    <row r="329" spans="1:24" ht="15" customHeight="1">
      <c r="A329" s="18" t="s">
        <v>505</v>
      </c>
      <c r="B329" s="18">
        <v>2</v>
      </c>
      <c r="C329" s="18">
        <v>5</v>
      </c>
      <c r="D329" s="16">
        <v>0</v>
      </c>
      <c r="E329" s="16">
        <v>2</v>
      </c>
      <c r="F329" s="37">
        <v>0</v>
      </c>
      <c r="G329" s="37">
        <v>1</v>
      </c>
      <c r="H329" s="17">
        <v>0</v>
      </c>
      <c r="I329" s="17">
        <v>0</v>
      </c>
      <c r="J329" s="99">
        <f>SUM(SamplingData[[#This Row],[Losing Candidate]:[Under Votes]])</f>
        <v>10</v>
      </c>
      <c r="K329"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329" s="100">
        <f>IF(AND(SamplingData[[#This Row],[Total]]&lt;&gt; 0, NOT(ISBLANK(SamplingData[[#This Row],[Candidate 3]]))),(SamplingData[[#This Row],[Total]]+SamplingData[[#This Row],[Winning Candidate]]-SamplingData[[#This Row],[Candidate 3]])/(SamplingData[[#Totals],[Winning Candidate]]-SamplingData[[#Totals],[Candidate 3]]), 0)</f>
        <v>4.8391779849662873E-4</v>
      </c>
      <c r="M329" s="100">
        <f>IF(AND(SamplingData[[#This Row],[Total]]&lt;&gt; 0, NOT(ISBLANK(SamplingData[[#This Row],[Candidate 4]]))),(SamplingData[[#This Row],[Total]]+SamplingData[[#This Row],[Winning Candidate]]-SamplingData[[#This Row],[Candidate 4]])/(SamplingData[[#Totals],[Winning Candidate]]-SamplingData[[#Totals],[Candidate 4]]), 0)</f>
        <v>3.8001695460258996E-4</v>
      </c>
      <c r="N329" s="100">
        <f>IF(AND(SamplingData[[#This Row],[Total]]&lt;&gt; 0, NOT(ISBLANK(SamplingData[[#This Row],[Candidate 5]]))),(SamplingData[[#This Row],[Total]]+SamplingData[[#This Row],[Winning Candidate]]-SamplingData[[#This Row],[Candidate 5]])/(SamplingData[[#Totals],[Winning Candidate]]-SamplingData[[#Totals],[Candidate 5]]), 0)</f>
        <v>3.6487472634395525E-4</v>
      </c>
      <c r="O329" s="100">
        <f>IF(AND(SamplingData[[#This Row],[Total]]&lt;&gt; 0, NOT(ISBLANK(SamplingData[[#This Row],[Candidate 6]]))),(SamplingData[[#This Row],[Total]]+SamplingData[[#This Row],[Winning Candidate]]-SamplingData[[#This Row],[Candidate 6]])/(SamplingData[[#Totals],[Winning Candidate]]-SamplingData[[#Totals],[Candidate 6]]), 0)</f>
        <v>3.4045036720003888E-4</v>
      </c>
      <c r="P329" s="100">
        <f>MAX(SamplingData[[#This Row],[Error Bound (up) - Max. possible relative overstatement - Losing Candidate]:[Error Bound (up) - Max. possible relative overstatement - Candidate 6]])</f>
        <v>7.9617834394904463E-4</v>
      </c>
      <c r="Q329" s="100">
        <f>IF(SamplingData[[#This Row],[Max Error Bound (up)]] = 0,0,SamplingData[[#This Row],[Max Error Bound (up)]]/SamplingData[[#Totals],[Max Error Bound (up)]])</f>
        <v>1.2600832761979581E-4</v>
      </c>
      <c r="R329" s="101">
        <f>SUM($Q$5:Q329)</f>
        <v>0.17556107717190961</v>
      </c>
      <c r="S329" s="100" t="str">
        <f t="array" ref="S329">IF(SamplingData[[#This Row],[up/U Selection Probability]] = 0, "Zero", TEXT(SamplingData[[#This Row],[Lower Range]], REPT("0",LEN('General Info'!$B$40))) &amp; " - " &amp; TEXT(SamplingData[[#This Row],[Upper Range]], REPT("0",LEN('General Info'!$B$40))))</f>
        <v>17544 - 17555</v>
      </c>
      <c r="T329" s="100">
        <f>SamplingData[[#This Row],[Upper Range]]-SamplingData[[#This Row],[Span]]</f>
        <v>17543.507010437308</v>
      </c>
      <c r="U329" s="100">
        <f>IF(ISNUMBER('General Info'!$B$40), ((SamplingData[[#This Row],[up/U Selection Probability]]) * 'General Info'!$B$40) - 1, 0)</f>
        <v>11.600706753651961</v>
      </c>
      <c r="V329" s="100">
        <f>IF(ISNUMBER('General Info'!$B$40), (SamplingData[[#This Row],[Running (cumulative) sum]] * ('General Info'!$B$40 -'General Info'!$B$41 + 1)) + 'General Info'!$B$41 - 1, 0)</f>
        <v>17555.10771719096</v>
      </c>
      <c r="W329" s="100" t="str">
        <f>IF(ISERROR(MATCH(SamplingData[[#This Row],[Batch by Type (p)]],SelectedPrecincts[Batch Name], 0)), "", INDEX(SelectedPrecincts[Draw], MATCH(SamplingData[[#This Row],[Batch by Type (p)]],SelectedPrecincts[Batch Name], 0)))</f>
        <v/>
      </c>
      <c r="X329" s="102">
        <f>IF(COUNTIF(SelectedPrecincts[Batch Name],SamplingData[[#This Row],[Batch by Type (p)]]) &lt;&gt; 0, COUNTIF(SelectedPrecincts[Batch Name],SamplingData[[#This Row],[Batch by Type (p)]]), 0)</f>
        <v>0</v>
      </c>
    </row>
    <row r="330" spans="1:24" ht="15" customHeight="1">
      <c r="A330" s="18" t="s">
        <v>506</v>
      </c>
      <c r="B330" s="18">
        <v>0</v>
      </c>
      <c r="C330" s="18">
        <v>3</v>
      </c>
      <c r="D330" s="18">
        <v>0</v>
      </c>
      <c r="E330" s="18">
        <v>0</v>
      </c>
      <c r="F330" s="18">
        <v>0</v>
      </c>
      <c r="G330" s="18">
        <v>0</v>
      </c>
      <c r="H330" s="18">
        <v>0</v>
      </c>
      <c r="I330" s="18">
        <v>0</v>
      </c>
      <c r="J330" s="99">
        <f>SUM(SamplingData[[#This Row],[Losing Candidate]:[Under Votes]])</f>
        <v>3</v>
      </c>
      <c r="K330"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330" s="100">
        <f>IF(AND(SamplingData[[#This Row],[Total]]&lt;&gt; 0, NOT(ISBLANK(SamplingData[[#This Row],[Candidate 3]]))),(SamplingData[[#This Row],[Total]]+SamplingData[[#This Row],[Winning Candidate]]-SamplingData[[#This Row],[Candidate 3]])/(SamplingData[[#Totals],[Winning Candidate]]-SamplingData[[#Totals],[Candidate 3]]), 0)</f>
        <v>1.9356711939865149E-4</v>
      </c>
      <c r="M330" s="100">
        <f>IF(AND(SamplingData[[#This Row],[Total]]&lt;&gt; 0, NOT(ISBLANK(SamplingData[[#This Row],[Candidate 4]]))),(SamplingData[[#This Row],[Total]]+SamplingData[[#This Row],[Winning Candidate]]-SamplingData[[#This Row],[Candidate 4]])/(SamplingData[[#Totals],[Winning Candidate]]-SamplingData[[#Totals],[Candidate 4]]), 0)</f>
        <v>1.7539244058581075E-4</v>
      </c>
      <c r="N330" s="100">
        <f>IF(AND(SamplingData[[#This Row],[Total]]&lt;&gt; 0, NOT(ISBLANK(SamplingData[[#This Row],[Candidate 5]]))),(SamplingData[[#This Row],[Total]]+SamplingData[[#This Row],[Winning Candidate]]-SamplingData[[#This Row],[Candidate 5]])/(SamplingData[[#Totals],[Winning Candidate]]-SamplingData[[#Totals],[Candidate 5]]), 0)</f>
        <v>1.4594989053758211E-4</v>
      </c>
      <c r="O330" s="100">
        <f>IF(AND(SamplingData[[#This Row],[Total]]&lt;&gt; 0, NOT(ISBLANK(SamplingData[[#This Row],[Candidate 6]]))),(SamplingData[[#This Row],[Total]]+SamplingData[[#This Row],[Winning Candidate]]-SamplingData[[#This Row],[Candidate 6]])/(SamplingData[[#Totals],[Winning Candidate]]-SamplingData[[#Totals],[Candidate 6]]), 0)</f>
        <v>1.4590730022858811E-4</v>
      </c>
      <c r="P330" s="100">
        <f>MAX(SamplingData[[#This Row],[Error Bound (up) - Max. possible relative overstatement - Losing Candidate]:[Error Bound (up) - Max. possible relative overstatement - Candidate 6]])</f>
        <v>3.6746692797648211E-4</v>
      </c>
      <c r="Q330" s="100">
        <f>IF(SamplingData[[#This Row],[Max Error Bound (up)]] = 0,0,SamplingData[[#This Row],[Max Error Bound (up)]]/SamplingData[[#Totals],[Max Error Bound (up)]])</f>
        <v>5.8157689670674986E-5</v>
      </c>
      <c r="R330" s="101">
        <f>SUM($Q$5:Q330)</f>
        <v>0.17561923486158029</v>
      </c>
      <c r="S330" s="100" t="str">
        <f t="array" ref="S330">IF(SamplingData[[#This Row],[up/U Selection Probability]] = 0, "Zero", TEXT(SamplingData[[#This Row],[Lower Range]], REPT("0",LEN('General Info'!$B$40))) &amp; " - " &amp; TEXT(SamplingData[[#This Row],[Upper Range]], REPT("0",LEN('General Info'!$B$40))))</f>
        <v>17556 - 17561</v>
      </c>
      <c r="T330" s="100">
        <f>SamplingData[[#This Row],[Upper Range]]-SamplingData[[#This Row],[Span]]</f>
        <v>17556.107775348653</v>
      </c>
      <c r="U330" s="100">
        <f>IF(ISNUMBER('General Info'!$B$40), ((SamplingData[[#This Row],[up/U Selection Probability]]) * 'General Info'!$B$40) - 1, 0)</f>
        <v>4.815710809377828</v>
      </c>
      <c r="V330" s="100">
        <f>IF(ISNUMBER('General Info'!$B$40), (SamplingData[[#This Row],[Running (cumulative) sum]] * ('General Info'!$B$40 -'General Info'!$B$41 + 1)) + 'General Info'!$B$41 - 1, 0)</f>
        <v>17560.92348615803</v>
      </c>
      <c r="W330" s="100" t="str">
        <f>IF(ISERROR(MATCH(SamplingData[[#This Row],[Batch by Type (p)]],SelectedPrecincts[Batch Name], 0)), "", INDEX(SelectedPrecincts[Draw], MATCH(SamplingData[[#This Row],[Batch by Type (p)]],SelectedPrecincts[Batch Name], 0)))</f>
        <v/>
      </c>
      <c r="X330" s="102">
        <f>IF(COUNTIF(SelectedPrecincts[Batch Name],SamplingData[[#This Row],[Batch by Type (p)]]) &lt;&gt; 0, COUNTIF(SelectedPrecincts[Batch Name],SamplingData[[#This Row],[Batch by Type (p)]]), 0)</f>
        <v>0</v>
      </c>
    </row>
    <row r="331" spans="1:24" ht="15" customHeight="1">
      <c r="A331" s="18" t="s">
        <v>507</v>
      </c>
      <c r="B331" s="18">
        <v>4</v>
      </c>
      <c r="C331" s="18">
        <v>8</v>
      </c>
      <c r="D331" s="16">
        <v>3</v>
      </c>
      <c r="E331" s="16">
        <v>4</v>
      </c>
      <c r="F331" s="37">
        <v>1</v>
      </c>
      <c r="G331" s="37">
        <v>0</v>
      </c>
      <c r="H331" s="17">
        <v>0</v>
      </c>
      <c r="I331" s="17">
        <v>0</v>
      </c>
      <c r="J331" s="99">
        <f>SUM(SamplingData[[#This Row],[Losing Candidate]:[Under Votes]])</f>
        <v>20</v>
      </c>
      <c r="K331"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331" s="100">
        <f>IF(AND(SamplingData[[#This Row],[Total]]&lt;&gt; 0, NOT(ISBLANK(SamplingData[[#This Row],[Candidate 3]]))),(SamplingData[[#This Row],[Total]]+SamplingData[[#This Row],[Winning Candidate]]-SamplingData[[#This Row],[Candidate 3]])/(SamplingData[[#Totals],[Winning Candidate]]-SamplingData[[#Totals],[Candidate 3]]), 0)</f>
        <v>8.0652966416104783E-4</v>
      </c>
      <c r="M331" s="100">
        <f>IF(AND(SamplingData[[#This Row],[Total]]&lt;&gt; 0, NOT(ISBLANK(SamplingData[[#This Row],[Candidate 4]]))),(SamplingData[[#This Row],[Total]]+SamplingData[[#This Row],[Winning Candidate]]-SamplingData[[#This Row],[Candidate 4]])/(SamplingData[[#Totals],[Winning Candidate]]-SamplingData[[#Totals],[Candidate 4]]), 0)</f>
        <v>7.0156976234324298E-4</v>
      </c>
      <c r="N331" s="100">
        <f>IF(AND(SamplingData[[#This Row],[Total]]&lt;&gt; 0, NOT(ISBLANK(SamplingData[[#This Row],[Candidate 5]]))),(SamplingData[[#This Row],[Total]]+SamplingData[[#This Row],[Winning Candidate]]-SamplingData[[#This Row],[Candidate 5]])/(SamplingData[[#Totals],[Winning Candidate]]-SamplingData[[#Totals],[Candidate 5]]), 0)</f>
        <v>6.5677450741911947E-4</v>
      </c>
      <c r="O331" s="100">
        <f>IF(AND(SamplingData[[#This Row],[Total]]&lt;&gt; 0, NOT(ISBLANK(SamplingData[[#This Row],[Candidate 6]]))),(SamplingData[[#This Row],[Total]]+SamplingData[[#This Row],[Winning Candidate]]-SamplingData[[#This Row],[Candidate 6]])/(SamplingData[[#Totals],[Winning Candidate]]-SamplingData[[#Totals],[Candidate 6]]), 0)</f>
        <v>6.8090073440007777E-4</v>
      </c>
      <c r="P331" s="100">
        <f>MAX(SamplingData[[#This Row],[Error Bound (up) - Max. possible relative overstatement - Losing Candidate]:[Error Bound (up) - Max. possible relative overstatement - Candidate 6]])</f>
        <v>1.4698677119059284E-3</v>
      </c>
      <c r="Q331" s="100">
        <f>IF(SamplingData[[#This Row],[Max Error Bound (up)]] = 0,0,SamplingData[[#This Row],[Max Error Bound (up)]]/SamplingData[[#Totals],[Max Error Bound (up)]])</f>
        <v>2.3263075868269994E-4</v>
      </c>
      <c r="R331" s="101">
        <f>SUM($Q$5:Q331)</f>
        <v>0.175851865620263</v>
      </c>
      <c r="S331" s="100" t="str">
        <f t="array" ref="S331">IF(SamplingData[[#This Row],[up/U Selection Probability]] = 0, "Zero", TEXT(SamplingData[[#This Row],[Lower Range]], REPT("0",LEN('General Info'!$B$40))) &amp; " - " &amp; TEXT(SamplingData[[#This Row],[Upper Range]], REPT("0",LEN('General Info'!$B$40))))</f>
        <v>17562 - 17584</v>
      </c>
      <c r="T331" s="100">
        <f>SamplingData[[#This Row],[Upper Range]]-SamplingData[[#This Row],[Span]]</f>
        <v>17561.923718788792</v>
      </c>
      <c r="U331" s="100">
        <f>IF(ISNUMBER('General Info'!$B$40), ((SamplingData[[#This Row],[up/U Selection Probability]]) * 'General Info'!$B$40) - 1, 0)</f>
        <v>22.262843237511312</v>
      </c>
      <c r="V331" s="100">
        <f>IF(ISNUMBER('General Info'!$B$40), (SamplingData[[#This Row],[Running (cumulative) sum]] * ('General Info'!$B$40 -'General Info'!$B$41 + 1)) + 'General Info'!$B$41 - 1, 0)</f>
        <v>17584.186562026302</v>
      </c>
      <c r="W331" s="100" t="str">
        <f>IF(ISERROR(MATCH(SamplingData[[#This Row],[Batch by Type (p)]],SelectedPrecincts[Batch Name], 0)), "", INDEX(SelectedPrecincts[Draw], MATCH(SamplingData[[#This Row],[Batch by Type (p)]],SelectedPrecincts[Batch Name], 0)))</f>
        <v/>
      </c>
      <c r="X331" s="102">
        <f>IF(COUNTIF(SelectedPrecincts[Batch Name],SamplingData[[#This Row],[Batch by Type (p)]]) &lt;&gt; 0, COUNTIF(SelectedPrecincts[Batch Name],SamplingData[[#This Row],[Batch by Type (p)]]), 0)</f>
        <v>0</v>
      </c>
    </row>
    <row r="332" spans="1:24" ht="15" customHeight="1">
      <c r="A332" s="18" t="s">
        <v>508</v>
      </c>
      <c r="B332" s="18">
        <v>1</v>
      </c>
      <c r="C332" s="18">
        <v>2</v>
      </c>
      <c r="D332" s="18">
        <v>0</v>
      </c>
      <c r="E332" s="18">
        <v>1</v>
      </c>
      <c r="F332" s="18">
        <v>0</v>
      </c>
      <c r="G332" s="18">
        <v>0</v>
      </c>
      <c r="H332" s="18">
        <v>0</v>
      </c>
      <c r="I332" s="18">
        <v>2</v>
      </c>
      <c r="J332" s="99">
        <f>SUM(SamplingData[[#This Row],[Losing Candidate]:[Under Votes]])</f>
        <v>6</v>
      </c>
      <c r="K332"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332" s="100">
        <f>IF(AND(SamplingData[[#This Row],[Total]]&lt;&gt; 0, NOT(ISBLANK(SamplingData[[#This Row],[Candidate 3]]))),(SamplingData[[#This Row],[Total]]+SamplingData[[#This Row],[Winning Candidate]]-SamplingData[[#This Row],[Candidate 3]])/(SamplingData[[#Totals],[Winning Candidate]]-SamplingData[[#Totals],[Candidate 3]]), 0)</f>
        <v>2.5808949253153533E-4</v>
      </c>
      <c r="M332" s="100">
        <f>IF(AND(SamplingData[[#This Row],[Total]]&lt;&gt; 0, NOT(ISBLANK(SamplingData[[#This Row],[Candidate 4]]))),(SamplingData[[#This Row],[Total]]+SamplingData[[#This Row],[Winning Candidate]]-SamplingData[[#This Row],[Candidate 4]])/(SamplingData[[#Totals],[Winning Candidate]]-SamplingData[[#Totals],[Candidate 4]]), 0)</f>
        <v>2.0462451401677921E-4</v>
      </c>
      <c r="N332" s="100">
        <f>IF(AND(SamplingData[[#This Row],[Total]]&lt;&gt; 0, NOT(ISBLANK(SamplingData[[#This Row],[Candidate 5]]))),(SamplingData[[#This Row],[Total]]+SamplingData[[#This Row],[Winning Candidate]]-SamplingData[[#This Row],[Candidate 5]])/(SamplingData[[#Totals],[Winning Candidate]]-SamplingData[[#Totals],[Candidate 5]]), 0)</f>
        <v>1.9459985405010947E-4</v>
      </c>
      <c r="O332" s="100">
        <f>IF(AND(SamplingData[[#This Row],[Total]]&lt;&gt; 0, NOT(ISBLANK(SamplingData[[#This Row],[Candidate 6]]))),(SamplingData[[#This Row],[Total]]+SamplingData[[#This Row],[Winning Candidate]]-SamplingData[[#This Row],[Candidate 6]])/(SamplingData[[#Totals],[Winning Candidate]]-SamplingData[[#Totals],[Candidate 6]]), 0)</f>
        <v>1.945430669714508E-4</v>
      </c>
      <c r="P332" s="100">
        <f>MAX(SamplingData[[#This Row],[Error Bound (up) - Max. possible relative overstatement - Losing Candidate]:[Error Bound (up) - Max. possible relative overstatement - Candidate 6]])</f>
        <v>4.2871141597256246E-4</v>
      </c>
      <c r="Q332" s="100">
        <f>IF(SamplingData[[#This Row],[Max Error Bound (up)]] = 0,0,SamplingData[[#This Row],[Max Error Bound (up)]]/SamplingData[[#Totals],[Max Error Bound (up)]])</f>
        <v>6.7850637949120826E-5</v>
      </c>
      <c r="R332" s="101">
        <f>SUM($Q$5:Q332)</f>
        <v>0.17591971625821212</v>
      </c>
      <c r="S332" s="100" t="str">
        <f t="array" ref="S332">IF(SamplingData[[#This Row],[up/U Selection Probability]] = 0, "Zero", TEXT(SamplingData[[#This Row],[Lower Range]], REPT("0",LEN('General Info'!$B$40))) &amp; " - " &amp; TEXT(SamplingData[[#This Row],[Upper Range]], REPT("0",LEN('General Info'!$B$40))))</f>
        <v>17585 - 17591</v>
      </c>
      <c r="T332" s="100">
        <f>SamplingData[[#This Row],[Upper Range]]-SamplingData[[#This Row],[Span]]</f>
        <v>17585.186629876938</v>
      </c>
      <c r="U332" s="100">
        <f>IF(ISNUMBER('General Info'!$B$40), ((SamplingData[[#This Row],[up/U Selection Probability]]) * 'General Info'!$B$40) - 1, 0)</f>
        <v>5.7849959442741339</v>
      </c>
      <c r="V332" s="100">
        <f>IF(ISNUMBER('General Info'!$B$40), (SamplingData[[#This Row],[Running (cumulative) sum]] * ('General Info'!$B$40 -'General Info'!$B$41 + 1)) + 'General Info'!$B$41 - 1, 0)</f>
        <v>17590.971625821214</v>
      </c>
      <c r="W332" s="100" t="str">
        <f>IF(ISERROR(MATCH(SamplingData[[#This Row],[Batch by Type (p)]],SelectedPrecincts[Batch Name], 0)), "", INDEX(SelectedPrecincts[Draw], MATCH(SamplingData[[#This Row],[Batch by Type (p)]],SelectedPrecincts[Batch Name], 0)))</f>
        <v/>
      </c>
      <c r="X332" s="102">
        <f>IF(COUNTIF(SelectedPrecincts[Batch Name],SamplingData[[#This Row],[Batch by Type (p)]]) &lt;&gt; 0, COUNTIF(SelectedPrecincts[Batch Name],SamplingData[[#This Row],[Batch by Type (p)]]), 0)</f>
        <v>0</v>
      </c>
    </row>
    <row r="333" spans="1:24" ht="15" customHeight="1">
      <c r="A333" s="18" t="s">
        <v>509</v>
      </c>
      <c r="B333" s="18">
        <v>2</v>
      </c>
      <c r="C333" s="18">
        <v>12</v>
      </c>
      <c r="D333" s="16">
        <v>6</v>
      </c>
      <c r="E333" s="16">
        <v>4</v>
      </c>
      <c r="F333" s="37">
        <v>2</v>
      </c>
      <c r="G333" s="37">
        <v>0</v>
      </c>
      <c r="H333" s="17">
        <v>0</v>
      </c>
      <c r="I333" s="17">
        <v>0</v>
      </c>
      <c r="J333" s="99">
        <f>SUM(SamplingData[[#This Row],[Losing Candidate]:[Under Votes]])</f>
        <v>26</v>
      </c>
      <c r="K333" s="100">
        <f>IF(AND(SamplingData[[#This Row],[Total]]&lt;&gt; 0, NOT(ISBLANK(SamplingData[[#This Row],[Losing Candidate]]))),(SamplingData[[#This Row],[Total]]+SamplingData[[#This Row],[Winning Candidate]]-SamplingData[[#This Row],[Losing Candidate]])/(SamplingData[[#Totals],[Winning Candidate]]-SamplingData[[#Totals],[Losing Candidate]]), 0)</f>
        <v>2.2048015678588929E-3</v>
      </c>
      <c r="L333" s="100">
        <f>IF(AND(SamplingData[[#This Row],[Total]]&lt;&gt; 0, NOT(ISBLANK(SamplingData[[#This Row],[Candidate 3]]))),(SamplingData[[#This Row],[Total]]+SamplingData[[#This Row],[Winning Candidate]]-SamplingData[[#This Row],[Candidate 3]])/(SamplingData[[#Totals],[Winning Candidate]]-SamplingData[[#Totals],[Candidate 3]]), 0)</f>
        <v>1.0323579701261413E-3</v>
      </c>
      <c r="M333" s="100">
        <f>IF(AND(SamplingData[[#This Row],[Total]]&lt;&gt; 0, NOT(ISBLANK(SamplingData[[#This Row],[Candidate 4]]))),(SamplingData[[#This Row],[Total]]+SamplingData[[#This Row],[Winning Candidate]]-SamplingData[[#This Row],[Candidate 4]])/(SamplingData[[#Totals],[Winning Candidate]]-SamplingData[[#Totals],[Candidate 4]]), 0)</f>
        <v>9.9389049665292765E-4</v>
      </c>
      <c r="N333" s="100">
        <f>IF(AND(SamplingData[[#This Row],[Total]]&lt;&gt; 0, NOT(ISBLANK(SamplingData[[#This Row],[Candidate 5]]))),(SamplingData[[#This Row],[Total]]+SamplingData[[#This Row],[Winning Candidate]]-SamplingData[[#This Row],[Candidate 5]])/(SamplingData[[#Totals],[Winning Candidate]]-SamplingData[[#Totals],[Candidate 5]]), 0)</f>
        <v>8.7569934322549259E-4</v>
      </c>
      <c r="O333" s="100">
        <f>IF(AND(SamplingData[[#This Row],[Total]]&lt;&gt; 0, NOT(ISBLANK(SamplingData[[#This Row],[Candidate 6]]))),(SamplingData[[#This Row],[Total]]+SamplingData[[#This Row],[Winning Candidate]]-SamplingData[[#This Row],[Candidate 6]])/(SamplingData[[#Totals],[Winning Candidate]]-SamplingData[[#Totals],[Candidate 6]]), 0)</f>
        <v>9.2407956811439132E-4</v>
      </c>
      <c r="P333" s="100">
        <f>MAX(SamplingData[[#This Row],[Error Bound (up) - Max. possible relative overstatement - Losing Candidate]:[Error Bound (up) - Max. possible relative overstatement - Candidate 6]])</f>
        <v>2.2048015678588929E-3</v>
      </c>
      <c r="Q333" s="100">
        <f>IF(SamplingData[[#This Row],[Max Error Bound (up)]] = 0,0,SamplingData[[#This Row],[Max Error Bound (up)]]/SamplingData[[#Totals],[Max Error Bound (up)]])</f>
        <v>3.4894613802404997E-4</v>
      </c>
      <c r="R333" s="101">
        <f>SUM($Q$5:Q333)</f>
        <v>0.17626866239623618</v>
      </c>
      <c r="S333" s="100" t="str">
        <f t="array" ref="S333">IF(SamplingData[[#This Row],[up/U Selection Probability]] = 0, "Zero", TEXT(SamplingData[[#This Row],[Lower Range]], REPT("0",LEN('General Info'!$B$40))) &amp; " - " &amp; TEXT(SamplingData[[#This Row],[Upper Range]], REPT("0",LEN('General Info'!$B$40))))</f>
        <v>17592 - 17626</v>
      </c>
      <c r="T333" s="100">
        <f>SamplingData[[#This Row],[Upper Range]]-SamplingData[[#This Row],[Span]]</f>
        <v>17591.971974767352</v>
      </c>
      <c r="U333" s="100">
        <f>IF(ISNUMBER('General Info'!$B$40), ((SamplingData[[#This Row],[up/U Selection Probability]]) * 'General Info'!$B$40) - 1, 0)</f>
        <v>33.894264856266972</v>
      </c>
      <c r="V333" s="100">
        <f>IF(ISNUMBER('General Info'!$B$40), (SamplingData[[#This Row],[Running (cumulative) sum]] * ('General Info'!$B$40 -'General Info'!$B$41 + 1)) + 'General Info'!$B$41 - 1, 0)</f>
        <v>17625.866239623618</v>
      </c>
      <c r="W333" s="100" t="str">
        <f>IF(ISERROR(MATCH(SamplingData[[#This Row],[Batch by Type (p)]],SelectedPrecincts[Batch Name], 0)), "", INDEX(SelectedPrecincts[Draw], MATCH(SamplingData[[#This Row],[Batch by Type (p)]],SelectedPrecincts[Batch Name], 0)))</f>
        <v/>
      </c>
      <c r="X333" s="102">
        <f>IF(COUNTIF(SelectedPrecincts[Batch Name],SamplingData[[#This Row],[Batch by Type (p)]]) &lt;&gt; 0, COUNTIF(SelectedPrecincts[Batch Name],SamplingData[[#This Row],[Batch by Type (p)]]), 0)</f>
        <v>0</v>
      </c>
    </row>
    <row r="334" spans="1:24" ht="15" customHeight="1">
      <c r="A334" s="18" t="s">
        <v>510</v>
      </c>
      <c r="B334" s="18">
        <v>1</v>
      </c>
      <c r="C334" s="18">
        <v>5</v>
      </c>
      <c r="D334" s="18">
        <v>0</v>
      </c>
      <c r="E334" s="18">
        <v>2</v>
      </c>
      <c r="F334" s="18">
        <v>0</v>
      </c>
      <c r="G334" s="18">
        <v>0</v>
      </c>
      <c r="H334" s="18">
        <v>0</v>
      </c>
      <c r="I334" s="18">
        <v>0</v>
      </c>
      <c r="J334" s="99">
        <f>SUM(SamplingData[[#This Row],[Losing Candidate]:[Under Votes]])</f>
        <v>8</v>
      </c>
      <c r="K334"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334" s="100">
        <f>IF(AND(SamplingData[[#This Row],[Total]]&lt;&gt; 0, NOT(ISBLANK(SamplingData[[#This Row],[Candidate 3]]))),(SamplingData[[#This Row],[Total]]+SamplingData[[#This Row],[Winning Candidate]]-SamplingData[[#This Row],[Candidate 3]])/(SamplingData[[#Totals],[Winning Candidate]]-SamplingData[[#Totals],[Candidate 3]]), 0)</f>
        <v>4.1939542536374486E-4</v>
      </c>
      <c r="M334" s="100">
        <f>IF(AND(SamplingData[[#This Row],[Total]]&lt;&gt; 0, NOT(ISBLANK(SamplingData[[#This Row],[Candidate 4]]))),(SamplingData[[#This Row],[Total]]+SamplingData[[#This Row],[Winning Candidate]]-SamplingData[[#This Row],[Candidate 4]])/(SamplingData[[#Totals],[Winning Candidate]]-SamplingData[[#Totals],[Candidate 4]]), 0)</f>
        <v>3.2155280774065302E-4</v>
      </c>
      <c r="N334" s="100">
        <f>IF(AND(SamplingData[[#This Row],[Total]]&lt;&gt; 0, NOT(ISBLANK(SamplingData[[#This Row],[Candidate 5]]))),(SamplingData[[#This Row],[Total]]+SamplingData[[#This Row],[Winning Candidate]]-SamplingData[[#This Row],[Candidate 5]])/(SamplingData[[#Totals],[Winning Candidate]]-SamplingData[[#Totals],[Candidate 5]]), 0)</f>
        <v>3.1622476283142789E-4</v>
      </c>
      <c r="O334" s="100">
        <f>IF(AND(SamplingData[[#This Row],[Total]]&lt;&gt; 0, NOT(ISBLANK(SamplingData[[#This Row],[Candidate 6]]))),(SamplingData[[#This Row],[Total]]+SamplingData[[#This Row],[Winning Candidate]]-SamplingData[[#This Row],[Candidate 6]])/(SamplingData[[#Totals],[Winning Candidate]]-SamplingData[[#Totals],[Candidate 6]]), 0)</f>
        <v>3.1613248382860755E-4</v>
      </c>
      <c r="P334" s="100">
        <f>MAX(SamplingData[[#This Row],[Error Bound (up) - Max. possible relative overstatement - Losing Candidate]:[Error Bound (up) - Max. possible relative overstatement - Candidate 6]])</f>
        <v>7.3493385595296422E-4</v>
      </c>
      <c r="Q334" s="100">
        <f>IF(SamplingData[[#This Row],[Max Error Bound (up)]] = 0,0,SamplingData[[#This Row],[Max Error Bound (up)]]/SamplingData[[#Totals],[Max Error Bound (up)]])</f>
        <v>1.1631537934134997E-4</v>
      </c>
      <c r="R334" s="101">
        <f>SUM($Q$5:Q334)</f>
        <v>0.17638497777557752</v>
      </c>
      <c r="S334" s="100" t="str">
        <f t="array" ref="S334">IF(SamplingData[[#This Row],[up/U Selection Probability]] = 0, "Zero", TEXT(SamplingData[[#This Row],[Lower Range]], REPT("0",LEN('General Info'!$B$40))) &amp; " - " &amp; TEXT(SamplingData[[#This Row],[Upper Range]], REPT("0",LEN('General Info'!$B$40))))</f>
        <v>17627 - 17637</v>
      </c>
      <c r="T334" s="100">
        <f>SamplingData[[#This Row],[Upper Range]]-SamplingData[[#This Row],[Span]]</f>
        <v>17626.866355938993</v>
      </c>
      <c r="U334" s="100">
        <f>IF(ISNUMBER('General Info'!$B$40), ((SamplingData[[#This Row],[up/U Selection Probability]]) * 'General Info'!$B$40) - 1, 0)</f>
        <v>10.631421618755656</v>
      </c>
      <c r="V334" s="100">
        <f>IF(ISNUMBER('General Info'!$B$40), (SamplingData[[#This Row],[Running (cumulative) sum]] * ('General Info'!$B$40 -'General Info'!$B$41 + 1)) + 'General Info'!$B$41 - 1, 0)</f>
        <v>17637.49777755775</v>
      </c>
      <c r="W334" s="100" t="str">
        <f>IF(ISERROR(MATCH(SamplingData[[#This Row],[Batch by Type (p)]],SelectedPrecincts[Batch Name], 0)), "", INDEX(SelectedPrecincts[Draw], MATCH(SamplingData[[#This Row],[Batch by Type (p)]],SelectedPrecincts[Batch Name], 0)))</f>
        <v/>
      </c>
      <c r="X334" s="102">
        <f>IF(COUNTIF(SelectedPrecincts[Batch Name],SamplingData[[#This Row],[Batch by Type (p)]]) &lt;&gt; 0, COUNTIF(SelectedPrecincts[Batch Name],SamplingData[[#This Row],[Batch by Type (p)]]), 0)</f>
        <v>0</v>
      </c>
    </row>
    <row r="335" spans="1:24" ht="15" customHeight="1">
      <c r="A335" s="18" t="s">
        <v>511</v>
      </c>
      <c r="B335" s="18">
        <v>12</v>
      </c>
      <c r="C335" s="18">
        <v>19</v>
      </c>
      <c r="D335" s="16">
        <v>6</v>
      </c>
      <c r="E335" s="16">
        <v>4</v>
      </c>
      <c r="F335" s="37">
        <v>0</v>
      </c>
      <c r="G335" s="37">
        <v>0</v>
      </c>
      <c r="H335" s="17">
        <v>0</v>
      </c>
      <c r="I335" s="17">
        <v>0</v>
      </c>
      <c r="J335" s="99">
        <f>SUM(SamplingData[[#This Row],[Losing Candidate]:[Under Votes]])</f>
        <v>41</v>
      </c>
      <c r="K335" s="100">
        <f>IF(AND(SamplingData[[#This Row],[Total]]&lt;&gt; 0, NOT(ISBLANK(SamplingData[[#This Row],[Losing Candidate]]))),(SamplingData[[#This Row],[Total]]+SamplingData[[#This Row],[Winning Candidate]]-SamplingData[[#This Row],[Losing Candidate]])/(SamplingData[[#Totals],[Winning Candidate]]-SamplingData[[#Totals],[Losing Candidate]]), 0)</f>
        <v>2.9397354238118569E-3</v>
      </c>
      <c r="L335" s="100">
        <f>IF(AND(SamplingData[[#This Row],[Total]]&lt;&gt; 0, NOT(ISBLANK(SamplingData[[#This Row],[Candidate 3]]))),(SamplingData[[#This Row],[Total]]+SamplingData[[#This Row],[Winning Candidate]]-SamplingData[[#This Row],[Candidate 3]])/(SamplingData[[#Totals],[Winning Candidate]]-SamplingData[[#Totals],[Candidate 3]]), 0)</f>
        <v>1.7421040745878634E-3</v>
      </c>
      <c r="M335" s="100">
        <f>IF(AND(SamplingData[[#This Row],[Total]]&lt;&gt; 0, NOT(ISBLANK(SamplingData[[#This Row],[Candidate 4]]))),(SamplingData[[#This Row],[Total]]+SamplingData[[#This Row],[Winning Candidate]]-SamplingData[[#This Row],[Candidate 4]])/(SamplingData[[#Totals],[Winning Candidate]]-SamplingData[[#Totals],[Candidate 4]]), 0)</f>
        <v>1.6369961121342337E-3</v>
      </c>
      <c r="N335" s="100">
        <f>IF(AND(SamplingData[[#This Row],[Total]]&lt;&gt; 0, NOT(ISBLANK(SamplingData[[#This Row],[Candidate 5]]))),(SamplingData[[#This Row],[Total]]+SamplingData[[#This Row],[Winning Candidate]]-SamplingData[[#This Row],[Candidate 5]])/(SamplingData[[#Totals],[Winning Candidate]]-SamplingData[[#Totals],[Candidate 5]]), 0)</f>
        <v>1.459498905375821E-3</v>
      </c>
      <c r="O335" s="100">
        <f>IF(AND(SamplingData[[#This Row],[Total]]&lt;&gt; 0, NOT(ISBLANK(SamplingData[[#This Row],[Candidate 6]]))),(SamplingData[[#This Row],[Total]]+SamplingData[[#This Row],[Winning Candidate]]-SamplingData[[#This Row],[Candidate 6]])/(SamplingData[[#Totals],[Winning Candidate]]-SamplingData[[#Totals],[Candidate 6]]), 0)</f>
        <v>1.4590730022858811E-3</v>
      </c>
      <c r="P335" s="100">
        <f>MAX(SamplingData[[#This Row],[Error Bound (up) - Max. possible relative overstatement - Losing Candidate]:[Error Bound (up) - Max. possible relative overstatement - Candidate 6]])</f>
        <v>2.9397354238118569E-3</v>
      </c>
      <c r="Q335" s="100">
        <f>IF(SamplingData[[#This Row],[Max Error Bound (up)]] = 0,0,SamplingData[[#This Row],[Max Error Bound (up)]]/SamplingData[[#Totals],[Max Error Bound (up)]])</f>
        <v>4.6526151736539989E-4</v>
      </c>
      <c r="R335" s="101">
        <f>SUM($Q$5:Q335)</f>
        <v>0.17685023929294291</v>
      </c>
      <c r="S335" s="100" t="str">
        <f t="array" ref="S335">IF(SamplingData[[#This Row],[up/U Selection Probability]] = 0, "Zero", TEXT(SamplingData[[#This Row],[Lower Range]], REPT("0",LEN('General Info'!$B$40))) &amp; " - " &amp; TEXT(SamplingData[[#This Row],[Upper Range]], REPT("0",LEN('General Info'!$B$40))))</f>
        <v>17638 - 17684</v>
      </c>
      <c r="T335" s="100">
        <f>SamplingData[[#This Row],[Upper Range]]-SamplingData[[#This Row],[Span]]</f>
        <v>17638.498242819267</v>
      </c>
      <c r="U335" s="100">
        <f>IF(ISNUMBER('General Info'!$B$40), ((SamplingData[[#This Row],[up/U Selection Probability]]) * 'General Info'!$B$40) - 1, 0)</f>
        <v>45.525686475022624</v>
      </c>
      <c r="V335" s="100">
        <f>IF(ISNUMBER('General Info'!$B$40), (SamplingData[[#This Row],[Running (cumulative) sum]] * ('General Info'!$B$40 -'General Info'!$B$41 + 1)) + 'General Info'!$B$41 - 1, 0)</f>
        <v>17684.02392929429</v>
      </c>
      <c r="W335" s="100" t="str">
        <f>IF(ISERROR(MATCH(SamplingData[[#This Row],[Batch by Type (p)]],SelectedPrecincts[Batch Name], 0)), "", INDEX(SelectedPrecincts[Draw], MATCH(SamplingData[[#This Row],[Batch by Type (p)]],SelectedPrecincts[Batch Name], 0)))</f>
        <v/>
      </c>
      <c r="X335" s="102">
        <f>IF(COUNTIF(SelectedPrecincts[Batch Name],SamplingData[[#This Row],[Batch by Type (p)]]) &lt;&gt; 0, COUNTIF(SelectedPrecincts[Batch Name],SamplingData[[#This Row],[Batch by Type (p)]]), 0)</f>
        <v>0</v>
      </c>
    </row>
    <row r="336" spans="1:24" ht="15" customHeight="1">
      <c r="A336" s="18" t="s">
        <v>512</v>
      </c>
      <c r="B336" s="18">
        <v>2</v>
      </c>
      <c r="C336" s="18">
        <v>4</v>
      </c>
      <c r="D336" s="18">
        <v>0</v>
      </c>
      <c r="E336" s="18">
        <v>0</v>
      </c>
      <c r="F336" s="18">
        <v>0</v>
      </c>
      <c r="G336" s="18">
        <v>0</v>
      </c>
      <c r="H336" s="18">
        <v>0</v>
      </c>
      <c r="I336" s="18">
        <v>0</v>
      </c>
      <c r="J336" s="99">
        <f>SUM(SamplingData[[#This Row],[Losing Candidate]:[Under Votes]])</f>
        <v>6</v>
      </c>
      <c r="K336"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336" s="100">
        <f>IF(AND(SamplingData[[#This Row],[Total]]&lt;&gt; 0, NOT(ISBLANK(SamplingData[[#This Row],[Candidate 3]]))),(SamplingData[[#This Row],[Total]]+SamplingData[[#This Row],[Winning Candidate]]-SamplingData[[#This Row],[Candidate 3]])/(SamplingData[[#Totals],[Winning Candidate]]-SamplingData[[#Totals],[Candidate 3]]), 0)</f>
        <v>3.2261186566441915E-4</v>
      </c>
      <c r="M336" s="100">
        <f>IF(AND(SamplingData[[#This Row],[Total]]&lt;&gt; 0, NOT(ISBLANK(SamplingData[[#This Row],[Candidate 4]]))),(SamplingData[[#This Row],[Total]]+SamplingData[[#This Row],[Winning Candidate]]-SamplingData[[#This Row],[Candidate 4]])/(SamplingData[[#Totals],[Winning Candidate]]-SamplingData[[#Totals],[Candidate 4]]), 0)</f>
        <v>2.9232073430968461E-4</v>
      </c>
      <c r="N336" s="100">
        <f>IF(AND(SamplingData[[#This Row],[Total]]&lt;&gt; 0, NOT(ISBLANK(SamplingData[[#This Row],[Candidate 5]]))),(SamplingData[[#This Row],[Total]]+SamplingData[[#This Row],[Winning Candidate]]-SamplingData[[#This Row],[Candidate 5]])/(SamplingData[[#Totals],[Winning Candidate]]-SamplingData[[#Totals],[Candidate 5]]), 0)</f>
        <v>2.4324981756263683E-4</v>
      </c>
      <c r="O336" s="100">
        <f>IF(AND(SamplingData[[#This Row],[Total]]&lt;&gt; 0, NOT(ISBLANK(SamplingData[[#This Row],[Candidate 6]]))),(SamplingData[[#This Row],[Total]]+SamplingData[[#This Row],[Winning Candidate]]-SamplingData[[#This Row],[Candidate 6]])/(SamplingData[[#Totals],[Winning Candidate]]-SamplingData[[#Totals],[Candidate 6]]), 0)</f>
        <v>2.431788337143135E-4</v>
      </c>
      <c r="P336" s="100">
        <f>MAX(SamplingData[[#This Row],[Error Bound (up) - Max. possible relative overstatement - Losing Candidate]:[Error Bound (up) - Max. possible relative overstatement - Candidate 6]])</f>
        <v>4.8995590396864281E-4</v>
      </c>
      <c r="Q336" s="100">
        <f>IF(SamplingData[[#This Row],[Max Error Bound (up)]] = 0,0,SamplingData[[#This Row],[Max Error Bound (up)]]/SamplingData[[#Totals],[Max Error Bound (up)]])</f>
        <v>7.7543586227566652E-5</v>
      </c>
      <c r="R336" s="101">
        <f>SUM($Q$5:Q336)</f>
        <v>0.17692778287917049</v>
      </c>
      <c r="S336" s="100" t="str">
        <f t="array" ref="S336">IF(SamplingData[[#This Row],[up/U Selection Probability]] = 0, "Zero", TEXT(SamplingData[[#This Row],[Lower Range]], REPT("0",LEN('General Info'!$B$40))) &amp; " - " &amp; TEXT(SamplingData[[#This Row],[Upper Range]], REPT("0",LEN('General Info'!$B$40))))</f>
        <v>17685 - 17692</v>
      </c>
      <c r="T336" s="100">
        <f>SamplingData[[#This Row],[Upper Range]]-SamplingData[[#This Row],[Span]]</f>
        <v>17685.024006837877</v>
      </c>
      <c r="U336" s="100">
        <f>IF(ISNUMBER('General Info'!$B$40), ((SamplingData[[#This Row],[up/U Selection Probability]]) * 'General Info'!$B$40) - 1, 0)</f>
        <v>6.754281079170438</v>
      </c>
      <c r="V336" s="100">
        <f>IF(ISNUMBER('General Info'!$B$40), (SamplingData[[#This Row],[Running (cumulative) sum]] * ('General Info'!$B$40 -'General Info'!$B$41 + 1)) + 'General Info'!$B$41 - 1, 0)</f>
        <v>17691.778287917048</v>
      </c>
      <c r="W336" s="100" t="str">
        <f>IF(ISERROR(MATCH(SamplingData[[#This Row],[Batch by Type (p)]],SelectedPrecincts[Batch Name], 0)), "", INDEX(SelectedPrecincts[Draw], MATCH(SamplingData[[#This Row],[Batch by Type (p)]],SelectedPrecincts[Batch Name], 0)))</f>
        <v/>
      </c>
      <c r="X336" s="102">
        <f>IF(COUNTIF(SelectedPrecincts[Batch Name],SamplingData[[#This Row],[Batch by Type (p)]]) &lt;&gt; 0, COUNTIF(SelectedPrecincts[Batch Name],SamplingData[[#This Row],[Batch by Type (p)]]), 0)</f>
        <v>0</v>
      </c>
    </row>
    <row r="337" spans="1:24" ht="15" customHeight="1">
      <c r="A337" s="18" t="s">
        <v>513</v>
      </c>
      <c r="B337" s="18">
        <v>2</v>
      </c>
      <c r="C337" s="18">
        <v>6</v>
      </c>
      <c r="D337" s="16">
        <v>2</v>
      </c>
      <c r="E337" s="16">
        <v>1</v>
      </c>
      <c r="F337" s="37">
        <v>0</v>
      </c>
      <c r="G337" s="37">
        <v>0</v>
      </c>
      <c r="H337" s="17">
        <v>0</v>
      </c>
      <c r="I337" s="17">
        <v>0</v>
      </c>
      <c r="J337" s="99">
        <f>SUM(SamplingData[[#This Row],[Losing Candidate]:[Under Votes]])</f>
        <v>11</v>
      </c>
      <c r="K337"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337" s="100">
        <f>IF(AND(SamplingData[[#This Row],[Total]]&lt;&gt; 0, NOT(ISBLANK(SamplingData[[#This Row],[Candidate 3]]))),(SamplingData[[#This Row],[Total]]+SamplingData[[#This Row],[Winning Candidate]]-SamplingData[[#This Row],[Candidate 3]])/(SamplingData[[#Totals],[Winning Candidate]]-SamplingData[[#Totals],[Candidate 3]]), 0)</f>
        <v>4.8391779849662873E-4</v>
      </c>
      <c r="M337" s="100">
        <f>IF(AND(SamplingData[[#This Row],[Total]]&lt;&gt; 0, NOT(ISBLANK(SamplingData[[#This Row],[Candidate 4]]))),(SamplingData[[#This Row],[Total]]+SamplingData[[#This Row],[Winning Candidate]]-SamplingData[[#This Row],[Candidate 4]])/(SamplingData[[#Totals],[Winning Candidate]]-SamplingData[[#Totals],[Candidate 4]]), 0)</f>
        <v>4.6771317489549536E-4</v>
      </c>
      <c r="N337" s="100">
        <f>IF(AND(SamplingData[[#This Row],[Total]]&lt;&gt; 0, NOT(ISBLANK(SamplingData[[#This Row],[Candidate 5]]))),(SamplingData[[#This Row],[Total]]+SamplingData[[#This Row],[Winning Candidate]]-SamplingData[[#This Row],[Candidate 5]])/(SamplingData[[#Totals],[Winning Candidate]]-SamplingData[[#Totals],[Candidate 5]]), 0)</f>
        <v>4.1352468985648261E-4</v>
      </c>
      <c r="O337" s="100">
        <f>IF(AND(SamplingData[[#This Row],[Total]]&lt;&gt; 0, NOT(ISBLANK(SamplingData[[#This Row],[Candidate 6]]))),(SamplingData[[#This Row],[Total]]+SamplingData[[#This Row],[Winning Candidate]]-SamplingData[[#This Row],[Candidate 6]])/(SamplingData[[#Totals],[Winning Candidate]]-SamplingData[[#Totals],[Candidate 6]]), 0)</f>
        <v>4.1340401731433294E-4</v>
      </c>
      <c r="P337" s="100">
        <f>MAX(SamplingData[[#This Row],[Error Bound (up) - Max. possible relative overstatement - Losing Candidate]:[Error Bound (up) - Max. possible relative overstatement - Candidate 6]])</f>
        <v>9.1866731994120533E-4</v>
      </c>
      <c r="Q337" s="100">
        <f>IF(SamplingData[[#This Row],[Max Error Bound (up)]] = 0,0,SamplingData[[#This Row],[Max Error Bound (up)]]/SamplingData[[#Totals],[Max Error Bound (up)]])</f>
        <v>1.4539422417668749E-4</v>
      </c>
      <c r="R337" s="101">
        <f>SUM($Q$5:Q337)</f>
        <v>0.17707317710334719</v>
      </c>
      <c r="S337" s="100" t="str">
        <f t="array" ref="S337">IF(SamplingData[[#This Row],[up/U Selection Probability]] = 0, "Zero", TEXT(SamplingData[[#This Row],[Lower Range]], REPT("0",LEN('General Info'!$B$40))) &amp; " - " &amp; TEXT(SamplingData[[#This Row],[Upper Range]], REPT("0",LEN('General Info'!$B$40))))</f>
        <v>17693 - 17706</v>
      </c>
      <c r="T337" s="100">
        <f>SamplingData[[#This Row],[Upper Range]]-SamplingData[[#This Row],[Span]]</f>
        <v>17692.778433311276</v>
      </c>
      <c r="U337" s="100">
        <f>IF(ISNUMBER('General Info'!$B$40), ((SamplingData[[#This Row],[up/U Selection Probability]]) * 'General Info'!$B$40) - 1, 0)</f>
        <v>13.539277023444573</v>
      </c>
      <c r="V337" s="100">
        <f>IF(ISNUMBER('General Info'!$B$40), (SamplingData[[#This Row],[Running (cumulative) sum]] * ('General Info'!$B$40 -'General Info'!$B$41 + 1)) + 'General Info'!$B$41 - 1, 0)</f>
        <v>17706.317710334719</v>
      </c>
      <c r="W337" s="100" t="str">
        <f>IF(ISERROR(MATCH(SamplingData[[#This Row],[Batch by Type (p)]],SelectedPrecincts[Batch Name], 0)), "", INDEX(SelectedPrecincts[Draw], MATCH(SamplingData[[#This Row],[Batch by Type (p)]],SelectedPrecincts[Batch Name], 0)))</f>
        <v/>
      </c>
      <c r="X337" s="102">
        <f>IF(COUNTIF(SelectedPrecincts[Batch Name],SamplingData[[#This Row],[Batch by Type (p)]]) &lt;&gt; 0, COUNTIF(SelectedPrecincts[Batch Name],SamplingData[[#This Row],[Batch by Type (p)]]), 0)</f>
        <v>0</v>
      </c>
    </row>
    <row r="338" spans="1:24" ht="15" customHeight="1">
      <c r="A338" s="18" t="s">
        <v>514</v>
      </c>
      <c r="B338" s="18">
        <v>1</v>
      </c>
      <c r="C338" s="18">
        <v>2</v>
      </c>
      <c r="D338" s="18">
        <v>0</v>
      </c>
      <c r="E338" s="18">
        <v>0</v>
      </c>
      <c r="F338" s="18">
        <v>0</v>
      </c>
      <c r="G338" s="18">
        <v>0</v>
      </c>
      <c r="H338" s="18">
        <v>0</v>
      </c>
      <c r="I338" s="18">
        <v>0</v>
      </c>
      <c r="J338" s="99">
        <f>SUM(SamplingData[[#This Row],[Losing Candidate]:[Under Votes]])</f>
        <v>3</v>
      </c>
      <c r="K338"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338" s="100">
        <f>IF(AND(SamplingData[[#This Row],[Total]]&lt;&gt; 0, NOT(ISBLANK(SamplingData[[#This Row],[Candidate 3]]))),(SamplingData[[#This Row],[Total]]+SamplingData[[#This Row],[Winning Candidate]]-SamplingData[[#This Row],[Candidate 3]])/(SamplingData[[#Totals],[Winning Candidate]]-SamplingData[[#Totals],[Candidate 3]]), 0)</f>
        <v>1.6130593283220958E-4</v>
      </c>
      <c r="M338" s="100">
        <f>IF(AND(SamplingData[[#This Row],[Total]]&lt;&gt; 0, NOT(ISBLANK(SamplingData[[#This Row],[Candidate 4]]))),(SamplingData[[#This Row],[Total]]+SamplingData[[#This Row],[Winning Candidate]]-SamplingData[[#This Row],[Candidate 4]])/(SamplingData[[#Totals],[Winning Candidate]]-SamplingData[[#Totals],[Candidate 4]]), 0)</f>
        <v>1.4616036715484231E-4</v>
      </c>
      <c r="N338" s="100">
        <f>IF(AND(SamplingData[[#This Row],[Total]]&lt;&gt; 0, NOT(ISBLANK(SamplingData[[#This Row],[Candidate 5]]))),(SamplingData[[#This Row],[Total]]+SamplingData[[#This Row],[Winning Candidate]]-SamplingData[[#This Row],[Candidate 5]])/(SamplingData[[#Totals],[Winning Candidate]]-SamplingData[[#Totals],[Candidate 5]]), 0)</f>
        <v>1.2162490878131841E-4</v>
      </c>
      <c r="O338" s="100">
        <f>IF(AND(SamplingData[[#This Row],[Total]]&lt;&gt; 0, NOT(ISBLANK(SamplingData[[#This Row],[Candidate 6]]))),(SamplingData[[#This Row],[Total]]+SamplingData[[#This Row],[Winning Candidate]]-SamplingData[[#This Row],[Candidate 6]])/(SamplingData[[#Totals],[Winning Candidate]]-SamplingData[[#Totals],[Candidate 6]]), 0)</f>
        <v>1.2158941685715675E-4</v>
      </c>
      <c r="P338" s="100">
        <f>MAX(SamplingData[[#This Row],[Error Bound (up) - Max. possible relative overstatement - Losing Candidate]:[Error Bound (up) - Max. possible relative overstatement - Candidate 6]])</f>
        <v>2.4497795198432141E-4</v>
      </c>
      <c r="Q338" s="100">
        <f>IF(SamplingData[[#This Row],[Max Error Bound (up)]] = 0,0,SamplingData[[#This Row],[Max Error Bound (up)]]/SamplingData[[#Totals],[Max Error Bound (up)]])</f>
        <v>3.8771793113783326E-5</v>
      </c>
      <c r="R338" s="101">
        <f>SUM($Q$5:Q338)</f>
        <v>0.17711194889646098</v>
      </c>
      <c r="S338" s="100" t="str">
        <f t="array" ref="S338">IF(SamplingData[[#This Row],[up/U Selection Probability]] = 0, "Zero", TEXT(SamplingData[[#This Row],[Lower Range]], REPT("0",LEN('General Info'!$B$40))) &amp; " - " &amp; TEXT(SamplingData[[#This Row],[Upper Range]], REPT("0",LEN('General Info'!$B$40))))</f>
        <v>17707 - 17710</v>
      </c>
      <c r="T338" s="100">
        <f>SamplingData[[#This Row],[Upper Range]]-SamplingData[[#This Row],[Span]]</f>
        <v>17707.317749106511</v>
      </c>
      <c r="U338" s="100">
        <f>IF(ISNUMBER('General Info'!$B$40), ((SamplingData[[#This Row],[up/U Selection Probability]]) * 'General Info'!$B$40) - 1, 0)</f>
        <v>2.877140539585219</v>
      </c>
      <c r="V338" s="100">
        <f>IF(ISNUMBER('General Info'!$B$40), (SamplingData[[#This Row],[Running (cumulative) sum]] * ('General Info'!$B$40 -'General Info'!$B$41 + 1)) + 'General Info'!$B$41 - 1, 0)</f>
        <v>17710.194889646096</v>
      </c>
      <c r="W338" s="100" t="str">
        <f>IF(ISERROR(MATCH(SamplingData[[#This Row],[Batch by Type (p)]],SelectedPrecincts[Batch Name], 0)), "", INDEX(SelectedPrecincts[Draw], MATCH(SamplingData[[#This Row],[Batch by Type (p)]],SelectedPrecincts[Batch Name], 0)))</f>
        <v/>
      </c>
      <c r="X338" s="102">
        <f>IF(COUNTIF(SelectedPrecincts[Batch Name],SamplingData[[#This Row],[Batch by Type (p)]]) &lt;&gt; 0, COUNTIF(SelectedPrecincts[Batch Name],SamplingData[[#This Row],[Batch by Type (p)]]), 0)</f>
        <v>0</v>
      </c>
    </row>
    <row r="339" spans="1:24" ht="15" customHeight="1">
      <c r="A339" s="18" t="s">
        <v>515</v>
      </c>
      <c r="B339" s="18">
        <v>0</v>
      </c>
      <c r="C339" s="18">
        <v>2</v>
      </c>
      <c r="D339" s="16">
        <v>0</v>
      </c>
      <c r="E339" s="16">
        <v>1</v>
      </c>
      <c r="F339" s="37">
        <v>0</v>
      </c>
      <c r="G339" s="37">
        <v>0</v>
      </c>
      <c r="H339" s="17">
        <v>0</v>
      </c>
      <c r="I339" s="17">
        <v>0</v>
      </c>
      <c r="J339" s="99">
        <f>SUM(SamplingData[[#This Row],[Losing Candidate]:[Under Votes]])</f>
        <v>3</v>
      </c>
      <c r="K339"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339" s="100">
        <f>IF(AND(SamplingData[[#This Row],[Total]]&lt;&gt; 0, NOT(ISBLANK(SamplingData[[#This Row],[Candidate 3]]))),(SamplingData[[#This Row],[Total]]+SamplingData[[#This Row],[Winning Candidate]]-SamplingData[[#This Row],[Candidate 3]])/(SamplingData[[#Totals],[Winning Candidate]]-SamplingData[[#Totals],[Candidate 3]]), 0)</f>
        <v>1.6130593283220958E-4</v>
      </c>
      <c r="M339" s="100">
        <f>IF(AND(SamplingData[[#This Row],[Total]]&lt;&gt; 0, NOT(ISBLANK(SamplingData[[#This Row],[Candidate 4]]))),(SamplingData[[#This Row],[Total]]+SamplingData[[#This Row],[Winning Candidate]]-SamplingData[[#This Row],[Candidate 4]])/(SamplingData[[#Totals],[Winning Candidate]]-SamplingData[[#Totals],[Candidate 4]]), 0)</f>
        <v>1.1692829372387384E-4</v>
      </c>
      <c r="N339" s="100">
        <f>IF(AND(SamplingData[[#This Row],[Total]]&lt;&gt; 0, NOT(ISBLANK(SamplingData[[#This Row],[Candidate 5]]))),(SamplingData[[#This Row],[Total]]+SamplingData[[#This Row],[Winning Candidate]]-SamplingData[[#This Row],[Candidate 5]])/(SamplingData[[#Totals],[Winning Candidate]]-SamplingData[[#Totals],[Candidate 5]]), 0)</f>
        <v>1.2162490878131841E-4</v>
      </c>
      <c r="O339" s="100">
        <f>IF(AND(SamplingData[[#This Row],[Total]]&lt;&gt; 0, NOT(ISBLANK(SamplingData[[#This Row],[Candidate 6]]))),(SamplingData[[#This Row],[Total]]+SamplingData[[#This Row],[Winning Candidate]]-SamplingData[[#This Row],[Candidate 6]])/(SamplingData[[#Totals],[Winning Candidate]]-SamplingData[[#Totals],[Candidate 6]]), 0)</f>
        <v>1.2158941685715675E-4</v>
      </c>
      <c r="P339" s="100">
        <f>MAX(SamplingData[[#This Row],[Error Bound (up) - Max. possible relative overstatement - Losing Candidate]:[Error Bound (up) - Max. possible relative overstatement - Candidate 6]])</f>
        <v>3.0622243998040176E-4</v>
      </c>
      <c r="Q339" s="100">
        <f>IF(SamplingData[[#This Row],[Max Error Bound (up)]] = 0,0,SamplingData[[#This Row],[Max Error Bound (up)]]/SamplingData[[#Totals],[Max Error Bound (up)]])</f>
        <v>4.8464741392229159E-5</v>
      </c>
      <c r="R339" s="101">
        <f>SUM($Q$5:Q339)</f>
        <v>0.1771604136378532</v>
      </c>
      <c r="S339" s="100" t="str">
        <f t="array" ref="S339">IF(SamplingData[[#This Row],[up/U Selection Probability]] = 0, "Zero", TEXT(SamplingData[[#This Row],[Lower Range]], REPT("0",LEN('General Info'!$B$40))) &amp; " - " &amp; TEXT(SamplingData[[#This Row],[Upper Range]], REPT("0",LEN('General Info'!$B$40))))</f>
        <v>17711 - 17715</v>
      </c>
      <c r="T339" s="100">
        <f>SamplingData[[#This Row],[Upper Range]]-SamplingData[[#This Row],[Span]]</f>
        <v>17711.194938110839</v>
      </c>
      <c r="U339" s="100">
        <f>IF(ISNUMBER('General Info'!$B$40), ((SamplingData[[#This Row],[up/U Selection Probability]]) * 'General Info'!$B$40) - 1, 0)</f>
        <v>3.8464256744815239</v>
      </c>
      <c r="V339" s="100">
        <f>IF(ISNUMBER('General Info'!$B$40), (SamplingData[[#This Row],[Running (cumulative) sum]] * ('General Info'!$B$40 -'General Info'!$B$41 + 1)) + 'General Info'!$B$41 - 1, 0)</f>
        <v>17715.04136378532</v>
      </c>
      <c r="W339" s="100" t="str">
        <f>IF(ISERROR(MATCH(SamplingData[[#This Row],[Batch by Type (p)]],SelectedPrecincts[Batch Name], 0)), "", INDEX(SelectedPrecincts[Draw], MATCH(SamplingData[[#This Row],[Batch by Type (p)]],SelectedPrecincts[Batch Name], 0)))</f>
        <v/>
      </c>
      <c r="X339" s="102">
        <f>IF(COUNTIF(SelectedPrecincts[Batch Name],SamplingData[[#This Row],[Batch by Type (p)]]) &lt;&gt; 0, COUNTIF(SelectedPrecincts[Batch Name],SamplingData[[#This Row],[Batch by Type (p)]]), 0)</f>
        <v>0</v>
      </c>
    </row>
    <row r="340" spans="1:24" ht="15" customHeight="1">
      <c r="A340" s="18" t="s">
        <v>516</v>
      </c>
      <c r="B340" s="18">
        <v>0</v>
      </c>
      <c r="C340" s="18">
        <v>0</v>
      </c>
      <c r="D340" s="18">
        <v>0</v>
      </c>
      <c r="E340" s="18">
        <v>0</v>
      </c>
      <c r="F340" s="18">
        <v>0</v>
      </c>
      <c r="G340" s="18">
        <v>0</v>
      </c>
      <c r="H340" s="18">
        <v>0</v>
      </c>
      <c r="I340" s="18">
        <v>0</v>
      </c>
      <c r="J340" s="99">
        <f>SUM(SamplingData[[#This Row],[Losing Candidate]:[Under Votes]])</f>
        <v>0</v>
      </c>
      <c r="K340" s="100">
        <f>IF(AND(SamplingData[[#This Row],[Total]]&lt;&gt; 0, NOT(ISBLANK(SamplingData[[#This Row],[Losing Candidate]]))),(SamplingData[[#This Row],[Total]]+SamplingData[[#This Row],[Winning Candidate]]-SamplingData[[#This Row],[Losing Candidate]])/(SamplingData[[#Totals],[Winning Candidate]]-SamplingData[[#Totals],[Losing Candidate]]), 0)</f>
        <v>0</v>
      </c>
      <c r="L340" s="100">
        <f>IF(AND(SamplingData[[#This Row],[Total]]&lt;&gt; 0, NOT(ISBLANK(SamplingData[[#This Row],[Candidate 3]]))),(SamplingData[[#This Row],[Total]]+SamplingData[[#This Row],[Winning Candidate]]-SamplingData[[#This Row],[Candidate 3]])/(SamplingData[[#Totals],[Winning Candidate]]-SamplingData[[#Totals],[Candidate 3]]), 0)</f>
        <v>0</v>
      </c>
      <c r="M340" s="100">
        <f>IF(AND(SamplingData[[#This Row],[Total]]&lt;&gt; 0, NOT(ISBLANK(SamplingData[[#This Row],[Candidate 4]]))),(SamplingData[[#This Row],[Total]]+SamplingData[[#This Row],[Winning Candidate]]-SamplingData[[#This Row],[Candidate 4]])/(SamplingData[[#Totals],[Winning Candidate]]-SamplingData[[#Totals],[Candidate 4]]), 0)</f>
        <v>0</v>
      </c>
      <c r="N340" s="100">
        <f>IF(AND(SamplingData[[#This Row],[Total]]&lt;&gt; 0, NOT(ISBLANK(SamplingData[[#This Row],[Candidate 5]]))),(SamplingData[[#This Row],[Total]]+SamplingData[[#This Row],[Winning Candidate]]-SamplingData[[#This Row],[Candidate 5]])/(SamplingData[[#Totals],[Winning Candidate]]-SamplingData[[#Totals],[Candidate 5]]), 0)</f>
        <v>0</v>
      </c>
      <c r="O340" s="100">
        <f>IF(AND(SamplingData[[#This Row],[Total]]&lt;&gt; 0, NOT(ISBLANK(SamplingData[[#This Row],[Candidate 6]]))),(SamplingData[[#This Row],[Total]]+SamplingData[[#This Row],[Winning Candidate]]-SamplingData[[#This Row],[Candidate 6]])/(SamplingData[[#Totals],[Winning Candidate]]-SamplingData[[#Totals],[Candidate 6]]), 0)</f>
        <v>0</v>
      </c>
      <c r="P340" s="100">
        <f>MAX(SamplingData[[#This Row],[Error Bound (up) - Max. possible relative overstatement - Losing Candidate]:[Error Bound (up) - Max. possible relative overstatement - Candidate 6]])</f>
        <v>0</v>
      </c>
      <c r="Q340" s="100">
        <f>IF(SamplingData[[#This Row],[Max Error Bound (up)]] = 0,0,SamplingData[[#This Row],[Max Error Bound (up)]]/SamplingData[[#Totals],[Max Error Bound (up)]])</f>
        <v>0</v>
      </c>
      <c r="R340" s="101">
        <f>SUM($Q$5:Q340)</f>
        <v>0.1771604136378532</v>
      </c>
      <c r="S340" s="100" t="str">
        <f t="array" ref="S340">IF(SamplingData[[#This Row],[up/U Selection Probability]] = 0, "Zero", TEXT(SamplingData[[#This Row],[Lower Range]], REPT("0",LEN('General Info'!$B$40))) &amp; " - " &amp; TEXT(SamplingData[[#This Row],[Upper Range]], REPT("0",LEN('General Info'!$B$40))))</f>
        <v>Zero</v>
      </c>
      <c r="T340" s="100">
        <f>SamplingData[[#This Row],[Upper Range]]-SamplingData[[#This Row],[Span]]</f>
        <v>17716.04136378532</v>
      </c>
      <c r="U340" s="100">
        <f>IF(ISNUMBER('General Info'!$B$40), ((SamplingData[[#This Row],[up/U Selection Probability]]) * 'General Info'!$B$40) - 1, 0)</f>
        <v>-1</v>
      </c>
      <c r="V340" s="100">
        <f>IF(ISNUMBER('General Info'!$B$40), (SamplingData[[#This Row],[Running (cumulative) sum]] * ('General Info'!$B$40 -'General Info'!$B$41 + 1)) + 'General Info'!$B$41 - 1, 0)</f>
        <v>17715.04136378532</v>
      </c>
      <c r="W340" s="100" t="str">
        <f>IF(ISERROR(MATCH(SamplingData[[#This Row],[Batch by Type (p)]],SelectedPrecincts[Batch Name], 0)), "", INDEX(SelectedPrecincts[Draw], MATCH(SamplingData[[#This Row],[Batch by Type (p)]],SelectedPrecincts[Batch Name], 0)))</f>
        <v/>
      </c>
      <c r="X340" s="102">
        <f>IF(COUNTIF(SelectedPrecincts[Batch Name],SamplingData[[#This Row],[Batch by Type (p)]]) &lt;&gt; 0, COUNTIF(SelectedPrecincts[Batch Name],SamplingData[[#This Row],[Batch by Type (p)]]), 0)</f>
        <v>0</v>
      </c>
    </row>
    <row r="341" spans="1:24" ht="15" customHeight="1">
      <c r="A341" s="18" t="s">
        <v>517</v>
      </c>
      <c r="B341" s="18">
        <v>3</v>
      </c>
      <c r="C341" s="18">
        <v>3</v>
      </c>
      <c r="D341" s="16">
        <v>0</v>
      </c>
      <c r="E341" s="16">
        <v>2</v>
      </c>
      <c r="F341" s="37">
        <v>0</v>
      </c>
      <c r="G341" s="37">
        <v>0</v>
      </c>
      <c r="H341" s="17">
        <v>0</v>
      </c>
      <c r="I341" s="17">
        <v>0</v>
      </c>
      <c r="J341" s="99">
        <f>SUM(SamplingData[[#This Row],[Losing Candidate]:[Under Votes]])</f>
        <v>8</v>
      </c>
      <c r="K341"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341" s="100">
        <f>IF(AND(SamplingData[[#This Row],[Total]]&lt;&gt; 0, NOT(ISBLANK(SamplingData[[#This Row],[Candidate 3]]))),(SamplingData[[#This Row],[Total]]+SamplingData[[#This Row],[Winning Candidate]]-SamplingData[[#This Row],[Candidate 3]])/(SamplingData[[#Totals],[Winning Candidate]]-SamplingData[[#Totals],[Candidate 3]]), 0)</f>
        <v>3.5487305223086104E-4</v>
      </c>
      <c r="M341" s="100">
        <f>IF(AND(SamplingData[[#This Row],[Total]]&lt;&gt; 0, NOT(ISBLANK(SamplingData[[#This Row],[Candidate 4]]))),(SamplingData[[#This Row],[Total]]+SamplingData[[#This Row],[Winning Candidate]]-SamplingData[[#This Row],[Candidate 4]])/(SamplingData[[#Totals],[Winning Candidate]]-SamplingData[[#Totals],[Candidate 4]]), 0)</f>
        <v>2.6308866087871614E-4</v>
      </c>
      <c r="N341" s="100">
        <f>IF(AND(SamplingData[[#This Row],[Total]]&lt;&gt; 0, NOT(ISBLANK(SamplingData[[#This Row],[Candidate 5]]))),(SamplingData[[#This Row],[Total]]+SamplingData[[#This Row],[Winning Candidate]]-SamplingData[[#This Row],[Candidate 5]])/(SamplingData[[#Totals],[Winning Candidate]]-SamplingData[[#Totals],[Candidate 5]]), 0)</f>
        <v>2.6757479931890053E-4</v>
      </c>
      <c r="O341" s="100">
        <f>IF(AND(SamplingData[[#This Row],[Total]]&lt;&gt; 0, NOT(ISBLANK(SamplingData[[#This Row],[Candidate 6]]))),(SamplingData[[#This Row],[Total]]+SamplingData[[#This Row],[Winning Candidate]]-SamplingData[[#This Row],[Candidate 6]])/(SamplingData[[#Totals],[Winning Candidate]]-SamplingData[[#Totals],[Candidate 6]]), 0)</f>
        <v>2.6749671708574483E-4</v>
      </c>
      <c r="P341" s="100">
        <f>MAX(SamplingData[[#This Row],[Error Bound (up) - Max. possible relative overstatement - Losing Candidate]:[Error Bound (up) - Max. possible relative overstatement - Candidate 6]])</f>
        <v>4.8995590396864281E-4</v>
      </c>
      <c r="Q341" s="100">
        <f>IF(SamplingData[[#This Row],[Max Error Bound (up)]] = 0,0,SamplingData[[#This Row],[Max Error Bound (up)]]/SamplingData[[#Totals],[Max Error Bound (up)]])</f>
        <v>7.7543586227566652E-5</v>
      </c>
      <c r="R341" s="101">
        <f>SUM($Q$5:Q341)</f>
        <v>0.17723795722408078</v>
      </c>
      <c r="S341" s="100" t="str">
        <f t="array" ref="S341">IF(SamplingData[[#This Row],[up/U Selection Probability]] = 0, "Zero", TEXT(SamplingData[[#This Row],[Lower Range]], REPT("0",LEN('General Info'!$B$40))) &amp; " - " &amp; TEXT(SamplingData[[#This Row],[Upper Range]], REPT("0",LEN('General Info'!$B$40))))</f>
        <v>17716 - 17723</v>
      </c>
      <c r="T341" s="100">
        <f>SamplingData[[#This Row],[Upper Range]]-SamplingData[[#This Row],[Span]]</f>
        <v>17716.041441328907</v>
      </c>
      <c r="U341" s="100">
        <f>IF(ISNUMBER('General Info'!$B$40), ((SamplingData[[#This Row],[up/U Selection Probability]]) * 'General Info'!$B$40) - 1, 0)</f>
        <v>6.754281079170438</v>
      </c>
      <c r="V341" s="100">
        <f>IF(ISNUMBER('General Info'!$B$40), (SamplingData[[#This Row],[Running (cumulative) sum]] * ('General Info'!$B$40 -'General Info'!$B$41 + 1)) + 'General Info'!$B$41 - 1, 0)</f>
        <v>17722.795722408078</v>
      </c>
      <c r="W341" s="100" t="str">
        <f>IF(ISERROR(MATCH(SamplingData[[#This Row],[Batch by Type (p)]],SelectedPrecincts[Batch Name], 0)), "", INDEX(SelectedPrecincts[Draw], MATCH(SamplingData[[#This Row],[Batch by Type (p)]],SelectedPrecincts[Batch Name], 0)))</f>
        <v/>
      </c>
      <c r="X341" s="102">
        <f>IF(COUNTIF(SelectedPrecincts[Batch Name],SamplingData[[#This Row],[Batch by Type (p)]]) &lt;&gt; 0, COUNTIF(SelectedPrecincts[Batch Name],SamplingData[[#This Row],[Batch by Type (p)]]), 0)</f>
        <v>0</v>
      </c>
    </row>
    <row r="342" spans="1:24" ht="15" customHeight="1">
      <c r="A342" s="18" t="s">
        <v>518</v>
      </c>
      <c r="B342" s="18">
        <v>0</v>
      </c>
      <c r="C342" s="18">
        <v>0</v>
      </c>
      <c r="D342" s="18">
        <v>1</v>
      </c>
      <c r="E342" s="18">
        <v>0</v>
      </c>
      <c r="F342" s="18">
        <v>0</v>
      </c>
      <c r="G342" s="18">
        <v>0</v>
      </c>
      <c r="H342" s="18">
        <v>0</v>
      </c>
      <c r="I342" s="18">
        <v>0</v>
      </c>
      <c r="J342" s="99">
        <f>SUM(SamplingData[[#This Row],[Losing Candidate]:[Under Votes]])</f>
        <v>1</v>
      </c>
      <c r="K34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42" s="100">
        <f>IF(AND(SamplingData[[#This Row],[Total]]&lt;&gt; 0, NOT(ISBLANK(SamplingData[[#This Row],[Candidate 3]]))),(SamplingData[[#This Row],[Total]]+SamplingData[[#This Row],[Winning Candidate]]-SamplingData[[#This Row],[Candidate 3]])/(SamplingData[[#Totals],[Winning Candidate]]-SamplingData[[#Totals],[Candidate 3]]), 0)</f>
        <v>0</v>
      </c>
      <c r="M342" s="100">
        <f>IF(AND(SamplingData[[#This Row],[Total]]&lt;&gt; 0, NOT(ISBLANK(SamplingData[[#This Row],[Candidate 4]]))),(SamplingData[[#This Row],[Total]]+SamplingData[[#This Row],[Winning Candidate]]-SamplingData[[#This Row],[Candidate 4]])/(SamplingData[[#Totals],[Winning Candidate]]-SamplingData[[#Totals],[Candidate 4]]), 0)</f>
        <v>2.923207343096846E-5</v>
      </c>
      <c r="N342" s="100">
        <f>IF(AND(SamplingData[[#This Row],[Total]]&lt;&gt; 0, NOT(ISBLANK(SamplingData[[#This Row],[Candidate 5]]))),(SamplingData[[#This Row],[Total]]+SamplingData[[#This Row],[Winning Candidate]]-SamplingData[[#This Row],[Candidate 5]])/(SamplingData[[#Totals],[Winning Candidate]]-SamplingData[[#Totals],[Candidate 5]]), 0)</f>
        <v>2.4324981756263683E-5</v>
      </c>
      <c r="O342" s="100">
        <f>IF(AND(SamplingData[[#This Row],[Total]]&lt;&gt; 0, NOT(ISBLANK(SamplingData[[#This Row],[Candidate 6]]))),(SamplingData[[#This Row],[Total]]+SamplingData[[#This Row],[Winning Candidate]]-SamplingData[[#This Row],[Candidate 6]])/(SamplingData[[#Totals],[Winning Candidate]]-SamplingData[[#Totals],[Candidate 6]]), 0)</f>
        <v>2.431788337143135E-5</v>
      </c>
      <c r="P342" s="100">
        <f>MAX(SamplingData[[#This Row],[Error Bound (up) - Max. possible relative overstatement - Losing Candidate]:[Error Bound (up) - Max. possible relative overstatement - Candidate 6]])</f>
        <v>6.1244487996080352E-5</v>
      </c>
      <c r="Q342" s="100">
        <f>IF(SamplingData[[#This Row],[Max Error Bound (up)]] = 0,0,SamplingData[[#This Row],[Max Error Bound (up)]]/SamplingData[[#Totals],[Max Error Bound (up)]])</f>
        <v>9.6929482784458315E-6</v>
      </c>
      <c r="R342" s="101">
        <f>SUM($Q$5:Q342)</f>
        <v>0.17724765017235922</v>
      </c>
      <c r="S342" s="100" t="str">
        <f t="array" ref="S342">IF(SamplingData[[#This Row],[up/U Selection Probability]] = 0, "Zero", TEXT(SamplingData[[#This Row],[Lower Range]], REPT("0",LEN('General Info'!$B$40))) &amp; " - " &amp; TEXT(SamplingData[[#This Row],[Upper Range]], REPT("0",LEN('General Info'!$B$40))))</f>
        <v>17724 - 17724</v>
      </c>
      <c r="T342" s="100">
        <f>SamplingData[[#This Row],[Upper Range]]-SamplingData[[#This Row],[Span]]</f>
        <v>17723.795732101025</v>
      </c>
      <c r="U342" s="100">
        <f>IF(ISNUMBER('General Info'!$B$40), ((SamplingData[[#This Row],[up/U Selection Probability]]) * 'General Info'!$B$40) - 1, 0)</f>
        <v>-3.0714865103695255E-2</v>
      </c>
      <c r="V342" s="100">
        <f>IF(ISNUMBER('General Info'!$B$40), (SamplingData[[#This Row],[Running (cumulative) sum]] * ('General Info'!$B$40 -'General Info'!$B$41 + 1)) + 'General Info'!$B$41 - 1, 0)</f>
        <v>17723.765017235921</v>
      </c>
      <c r="W342" s="100" t="str">
        <f>IF(ISERROR(MATCH(SamplingData[[#This Row],[Batch by Type (p)]],SelectedPrecincts[Batch Name], 0)), "", INDEX(SelectedPrecincts[Draw], MATCH(SamplingData[[#This Row],[Batch by Type (p)]],SelectedPrecincts[Batch Name], 0)))</f>
        <v/>
      </c>
      <c r="X342" s="102">
        <f>IF(COUNTIF(SelectedPrecincts[Batch Name],SamplingData[[#This Row],[Batch by Type (p)]]) &lt;&gt; 0, COUNTIF(SelectedPrecincts[Batch Name],SamplingData[[#This Row],[Batch by Type (p)]]), 0)</f>
        <v>0</v>
      </c>
    </row>
    <row r="343" spans="1:24" ht="15" customHeight="1">
      <c r="A343" s="18" t="s">
        <v>519</v>
      </c>
      <c r="B343" s="18">
        <v>2</v>
      </c>
      <c r="C343" s="18">
        <v>13</v>
      </c>
      <c r="D343" s="16">
        <v>3</v>
      </c>
      <c r="E343" s="16">
        <v>5</v>
      </c>
      <c r="F343" s="37">
        <v>0</v>
      </c>
      <c r="G343" s="37">
        <v>0</v>
      </c>
      <c r="H343" s="17">
        <v>0</v>
      </c>
      <c r="I343" s="17">
        <v>1</v>
      </c>
      <c r="J343" s="99">
        <f>SUM(SamplingData[[#This Row],[Losing Candidate]:[Under Votes]])</f>
        <v>24</v>
      </c>
      <c r="K343" s="100">
        <f>IF(AND(SamplingData[[#This Row],[Total]]&lt;&gt; 0, NOT(ISBLANK(SamplingData[[#This Row],[Losing Candidate]]))),(SamplingData[[#This Row],[Total]]+SamplingData[[#This Row],[Winning Candidate]]-SamplingData[[#This Row],[Losing Candidate]])/(SamplingData[[#Totals],[Winning Candidate]]-SamplingData[[#Totals],[Losing Candidate]]), 0)</f>
        <v>2.1435570798628125E-3</v>
      </c>
      <c r="L343" s="100">
        <f>IF(AND(SamplingData[[#This Row],[Total]]&lt;&gt; 0, NOT(ISBLANK(SamplingData[[#This Row],[Candidate 3]]))),(SamplingData[[#This Row],[Total]]+SamplingData[[#This Row],[Winning Candidate]]-SamplingData[[#This Row],[Candidate 3]])/(SamplingData[[#Totals],[Winning Candidate]]-SamplingData[[#Totals],[Candidate 3]]), 0)</f>
        <v>1.0968803432590251E-3</v>
      </c>
      <c r="M343" s="100">
        <f>IF(AND(SamplingData[[#This Row],[Total]]&lt;&gt; 0, NOT(ISBLANK(SamplingData[[#This Row],[Candidate 4]]))),(SamplingData[[#This Row],[Total]]+SamplingData[[#This Row],[Winning Candidate]]-SamplingData[[#This Row],[Candidate 4]])/(SamplingData[[#Totals],[Winning Candidate]]-SamplingData[[#Totals],[Candidate 4]]), 0)</f>
        <v>9.3542634979099071E-4</v>
      </c>
      <c r="N343" s="100">
        <f>IF(AND(SamplingData[[#This Row],[Total]]&lt;&gt; 0, NOT(ISBLANK(SamplingData[[#This Row],[Candidate 5]]))),(SamplingData[[#This Row],[Total]]+SamplingData[[#This Row],[Winning Candidate]]-SamplingData[[#This Row],[Candidate 5]])/(SamplingData[[#Totals],[Winning Candidate]]-SamplingData[[#Totals],[Candidate 5]]), 0)</f>
        <v>9.0002432498175627E-4</v>
      </c>
      <c r="O343" s="100">
        <f>IF(AND(SamplingData[[#This Row],[Total]]&lt;&gt; 0, NOT(ISBLANK(SamplingData[[#This Row],[Candidate 6]]))),(SamplingData[[#This Row],[Total]]+SamplingData[[#This Row],[Winning Candidate]]-SamplingData[[#This Row],[Candidate 6]])/(SamplingData[[#Totals],[Winning Candidate]]-SamplingData[[#Totals],[Candidate 6]]), 0)</f>
        <v>8.9976168474295993E-4</v>
      </c>
      <c r="P343" s="100">
        <f>MAX(SamplingData[[#This Row],[Error Bound (up) - Max. possible relative overstatement - Losing Candidate]:[Error Bound (up) - Max. possible relative overstatement - Candidate 6]])</f>
        <v>2.1435570798628125E-3</v>
      </c>
      <c r="Q343" s="100">
        <f>IF(SamplingData[[#This Row],[Max Error Bound (up)]] = 0,0,SamplingData[[#This Row],[Max Error Bound (up)]]/SamplingData[[#Totals],[Max Error Bound (up)]])</f>
        <v>3.3925318974560413E-4</v>
      </c>
      <c r="R343" s="101">
        <f>SUM($Q$5:Q343)</f>
        <v>0.17758690336210481</v>
      </c>
      <c r="S343" s="100" t="str">
        <f t="array" ref="S343">IF(SamplingData[[#This Row],[up/U Selection Probability]] = 0, "Zero", TEXT(SamplingData[[#This Row],[Lower Range]], REPT("0",LEN('General Info'!$B$40))) &amp; " - " &amp; TEXT(SamplingData[[#This Row],[Upper Range]], REPT("0",LEN('General Info'!$B$40))))</f>
        <v>17725 - 17758</v>
      </c>
      <c r="T343" s="100">
        <f>SamplingData[[#This Row],[Upper Range]]-SamplingData[[#This Row],[Span]]</f>
        <v>17724.765356489112</v>
      </c>
      <c r="U343" s="100">
        <f>IF(ISNUMBER('General Info'!$B$40), ((SamplingData[[#This Row],[up/U Selection Probability]]) * 'General Info'!$B$40) - 1, 0)</f>
        <v>32.924979721370669</v>
      </c>
      <c r="V343" s="100">
        <f>IF(ISNUMBER('General Info'!$B$40), (SamplingData[[#This Row],[Running (cumulative) sum]] * ('General Info'!$B$40 -'General Info'!$B$41 + 1)) + 'General Info'!$B$41 - 1, 0)</f>
        <v>17757.690336210482</v>
      </c>
      <c r="W343" s="100" t="str">
        <f>IF(ISERROR(MATCH(SamplingData[[#This Row],[Batch by Type (p)]],SelectedPrecincts[Batch Name], 0)), "", INDEX(SelectedPrecincts[Draw], MATCH(SamplingData[[#This Row],[Batch by Type (p)]],SelectedPrecincts[Batch Name], 0)))</f>
        <v/>
      </c>
      <c r="X343" s="102">
        <f>IF(COUNTIF(SelectedPrecincts[Batch Name],SamplingData[[#This Row],[Batch by Type (p)]]) &lt;&gt; 0, COUNTIF(SelectedPrecincts[Batch Name],SamplingData[[#This Row],[Batch by Type (p)]]), 0)</f>
        <v>0</v>
      </c>
    </row>
    <row r="344" spans="1:24" ht="15" customHeight="1">
      <c r="A344" s="18" t="s">
        <v>520</v>
      </c>
      <c r="B344" s="18">
        <v>3</v>
      </c>
      <c r="C344" s="18">
        <v>4</v>
      </c>
      <c r="D344" s="18">
        <v>1</v>
      </c>
      <c r="E344" s="18">
        <v>1</v>
      </c>
      <c r="F344" s="18">
        <v>0</v>
      </c>
      <c r="G344" s="18">
        <v>0</v>
      </c>
      <c r="H344" s="18">
        <v>0</v>
      </c>
      <c r="I344" s="18">
        <v>0</v>
      </c>
      <c r="J344" s="99">
        <f>SUM(SamplingData[[#This Row],[Losing Candidate]:[Under Votes]])</f>
        <v>9</v>
      </c>
      <c r="K34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344" s="100">
        <f>IF(AND(SamplingData[[#This Row],[Total]]&lt;&gt; 0, NOT(ISBLANK(SamplingData[[#This Row],[Candidate 3]]))),(SamplingData[[#This Row],[Total]]+SamplingData[[#This Row],[Winning Candidate]]-SamplingData[[#This Row],[Candidate 3]])/(SamplingData[[#Totals],[Winning Candidate]]-SamplingData[[#Totals],[Candidate 3]]), 0)</f>
        <v>3.8713423879730297E-4</v>
      </c>
      <c r="M344" s="100">
        <f>IF(AND(SamplingData[[#This Row],[Total]]&lt;&gt; 0, NOT(ISBLANK(SamplingData[[#This Row],[Candidate 4]]))),(SamplingData[[#This Row],[Total]]+SamplingData[[#This Row],[Winning Candidate]]-SamplingData[[#This Row],[Candidate 4]])/(SamplingData[[#Totals],[Winning Candidate]]-SamplingData[[#Totals],[Candidate 4]]), 0)</f>
        <v>3.5078488117162149E-4</v>
      </c>
      <c r="N344" s="100">
        <f>IF(AND(SamplingData[[#This Row],[Total]]&lt;&gt; 0, NOT(ISBLANK(SamplingData[[#This Row],[Candidate 5]]))),(SamplingData[[#This Row],[Total]]+SamplingData[[#This Row],[Winning Candidate]]-SamplingData[[#This Row],[Candidate 5]])/(SamplingData[[#Totals],[Winning Candidate]]-SamplingData[[#Totals],[Candidate 5]]), 0)</f>
        <v>3.1622476283142789E-4</v>
      </c>
      <c r="O344" s="100">
        <f>IF(AND(SamplingData[[#This Row],[Total]]&lt;&gt; 0, NOT(ISBLANK(SamplingData[[#This Row],[Candidate 6]]))),(SamplingData[[#This Row],[Total]]+SamplingData[[#This Row],[Winning Candidate]]-SamplingData[[#This Row],[Candidate 6]])/(SamplingData[[#Totals],[Winning Candidate]]-SamplingData[[#Totals],[Candidate 6]]), 0)</f>
        <v>3.1613248382860755E-4</v>
      </c>
      <c r="P344" s="100">
        <f>MAX(SamplingData[[#This Row],[Error Bound (up) - Max. possible relative overstatement - Losing Candidate]:[Error Bound (up) - Max. possible relative overstatement - Candidate 6]])</f>
        <v>6.1244487996080352E-4</v>
      </c>
      <c r="Q344" s="100">
        <f>IF(SamplingData[[#This Row],[Max Error Bound (up)]] = 0,0,SamplingData[[#This Row],[Max Error Bound (up)]]/SamplingData[[#Totals],[Max Error Bound (up)]])</f>
        <v>9.6929482784458319E-5</v>
      </c>
      <c r="R344" s="101">
        <f>SUM($Q$5:Q344)</f>
        <v>0.17768383284488926</v>
      </c>
      <c r="S344" s="100" t="str">
        <f t="array" ref="S344">IF(SamplingData[[#This Row],[up/U Selection Probability]] = 0, "Zero", TEXT(SamplingData[[#This Row],[Lower Range]], REPT("0",LEN('General Info'!$B$40))) &amp; " - " &amp; TEXT(SamplingData[[#This Row],[Upper Range]], REPT("0",LEN('General Info'!$B$40))))</f>
        <v>17759 - 17767</v>
      </c>
      <c r="T344" s="100">
        <f>SamplingData[[#This Row],[Upper Range]]-SamplingData[[#This Row],[Span]]</f>
        <v>17758.690433139964</v>
      </c>
      <c r="U344" s="100">
        <f>IF(ISNUMBER('General Info'!$B$40), ((SamplingData[[#This Row],[up/U Selection Probability]]) * 'General Info'!$B$40) - 1, 0)</f>
        <v>8.6928513489630479</v>
      </c>
      <c r="V344" s="100">
        <f>IF(ISNUMBER('General Info'!$B$40), (SamplingData[[#This Row],[Running (cumulative) sum]] * ('General Info'!$B$40 -'General Info'!$B$41 + 1)) + 'General Info'!$B$41 - 1, 0)</f>
        <v>17767.383284488926</v>
      </c>
      <c r="W344" s="100" t="str">
        <f>IF(ISERROR(MATCH(SamplingData[[#This Row],[Batch by Type (p)]],SelectedPrecincts[Batch Name], 0)), "", INDEX(SelectedPrecincts[Draw], MATCH(SamplingData[[#This Row],[Batch by Type (p)]],SelectedPrecincts[Batch Name], 0)))</f>
        <v/>
      </c>
      <c r="X344" s="102">
        <f>IF(COUNTIF(SelectedPrecincts[Batch Name],SamplingData[[#This Row],[Batch by Type (p)]]) &lt;&gt; 0, COUNTIF(SelectedPrecincts[Batch Name],SamplingData[[#This Row],[Batch by Type (p)]]), 0)</f>
        <v>0</v>
      </c>
    </row>
    <row r="345" spans="1:24" ht="15" customHeight="1">
      <c r="A345" s="18" t="s">
        <v>521</v>
      </c>
      <c r="B345" s="18">
        <v>5</v>
      </c>
      <c r="C345" s="18">
        <v>15</v>
      </c>
      <c r="D345" s="16">
        <v>2</v>
      </c>
      <c r="E345" s="16">
        <v>6</v>
      </c>
      <c r="F345" s="37">
        <v>0</v>
      </c>
      <c r="G345" s="37">
        <v>0</v>
      </c>
      <c r="H345" s="17">
        <v>0</v>
      </c>
      <c r="I345" s="17">
        <v>0</v>
      </c>
      <c r="J345" s="99">
        <f>SUM(SamplingData[[#This Row],[Losing Candidate]:[Under Votes]])</f>
        <v>28</v>
      </c>
      <c r="K345"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345" s="100">
        <f>IF(AND(SamplingData[[#This Row],[Total]]&lt;&gt; 0, NOT(ISBLANK(SamplingData[[#This Row],[Candidate 3]]))),(SamplingData[[#This Row],[Total]]+SamplingData[[#This Row],[Winning Candidate]]-SamplingData[[#This Row],[Candidate 3]])/(SamplingData[[#Totals],[Winning Candidate]]-SamplingData[[#Totals],[Candidate 3]]), 0)</f>
        <v>1.3227086492241184E-3</v>
      </c>
      <c r="M345" s="100">
        <f>IF(AND(SamplingData[[#This Row],[Total]]&lt;&gt; 0, NOT(ISBLANK(SamplingData[[#This Row],[Candidate 4]]))),(SamplingData[[#This Row],[Total]]+SamplingData[[#This Row],[Winning Candidate]]-SamplingData[[#This Row],[Candidate 4]])/(SamplingData[[#Totals],[Winning Candidate]]-SamplingData[[#Totals],[Candidate 4]]), 0)</f>
        <v>1.081586716945833E-3</v>
      </c>
      <c r="N345" s="100">
        <f>IF(AND(SamplingData[[#This Row],[Total]]&lt;&gt; 0, NOT(ISBLANK(SamplingData[[#This Row],[Candidate 5]]))),(SamplingData[[#This Row],[Total]]+SamplingData[[#This Row],[Winning Candidate]]-SamplingData[[#This Row],[Candidate 5]])/(SamplingData[[#Totals],[Winning Candidate]]-SamplingData[[#Totals],[Candidate 5]]), 0)</f>
        <v>1.0459742155193383E-3</v>
      </c>
      <c r="O345" s="100">
        <f>IF(AND(SamplingData[[#This Row],[Total]]&lt;&gt; 0, NOT(ISBLANK(SamplingData[[#This Row],[Candidate 6]]))),(SamplingData[[#This Row],[Total]]+SamplingData[[#This Row],[Winning Candidate]]-SamplingData[[#This Row],[Candidate 6]])/(SamplingData[[#Totals],[Winning Candidate]]-SamplingData[[#Totals],[Candidate 6]]), 0)</f>
        <v>1.0456689849715481E-3</v>
      </c>
      <c r="P345" s="100">
        <f>MAX(SamplingData[[#This Row],[Error Bound (up) - Max. possible relative overstatement - Losing Candidate]:[Error Bound (up) - Max. possible relative overstatement - Candidate 6]])</f>
        <v>2.3272905438510533E-3</v>
      </c>
      <c r="Q345" s="100">
        <f>IF(SamplingData[[#This Row],[Max Error Bound (up)]] = 0,0,SamplingData[[#This Row],[Max Error Bound (up)]]/SamplingData[[#Totals],[Max Error Bound (up)]])</f>
        <v>3.683320345809416E-4</v>
      </c>
      <c r="R345" s="101">
        <f>SUM($Q$5:Q345)</f>
        <v>0.1780521648794702</v>
      </c>
      <c r="S345" s="100" t="str">
        <f t="array" ref="S345">IF(SamplingData[[#This Row],[up/U Selection Probability]] = 0, "Zero", TEXT(SamplingData[[#This Row],[Lower Range]], REPT("0",LEN('General Info'!$B$40))) &amp; " - " &amp; TEXT(SamplingData[[#This Row],[Upper Range]], REPT("0",LEN('General Info'!$B$40))))</f>
        <v>17768 - 17804</v>
      </c>
      <c r="T345" s="100">
        <f>SamplingData[[#This Row],[Upper Range]]-SamplingData[[#This Row],[Span]]</f>
        <v>17768.383652820961</v>
      </c>
      <c r="U345" s="100">
        <f>IF(ISNUMBER('General Info'!$B$40), ((SamplingData[[#This Row],[up/U Selection Probability]]) * 'General Info'!$B$40) - 1, 0)</f>
        <v>35.832835126059578</v>
      </c>
      <c r="V345" s="100">
        <f>IF(ISNUMBER('General Info'!$B$40), (SamplingData[[#This Row],[Running (cumulative) sum]] * ('General Info'!$B$40 -'General Info'!$B$41 + 1)) + 'General Info'!$B$41 - 1, 0)</f>
        <v>17804.216487947022</v>
      </c>
      <c r="W345" s="100" t="str">
        <f>IF(ISERROR(MATCH(SamplingData[[#This Row],[Batch by Type (p)]],SelectedPrecincts[Batch Name], 0)), "", INDEX(SelectedPrecincts[Draw], MATCH(SamplingData[[#This Row],[Batch by Type (p)]],SelectedPrecincts[Batch Name], 0)))</f>
        <v/>
      </c>
      <c r="X345" s="102">
        <f>IF(COUNTIF(SelectedPrecincts[Batch Name],SamplingData[[#This Row],[Batch by Type (p)]]) &lt;&gt; 0, COUNTIF(SelectedPrecincts[Batch Name],SamplingData[[#This Row],[Batch by Type (p)]]), 0)</f>
        <v>0</v>
      </c>
    </row>
    <row r="346" spans="1:24" ht="15" customHeight="1">
      <c r="A346" s="18" t="s">
        <v>522</v>
      </c>
      <c r="B346" s="18">
        <v>1</v>
      </c>
      <c r="C346" s="18">
        <v>4</v>
      </c>
      <c r="D346" s="18">
        <v>0</v>
      </c>
      <c r="E346" s="18">
        <v>2</v>
      </c>
      <c r="F346" s="18">
        <v>0</v>
      </c>
      <c r="G346" s="18">
        <v>0</v>
      </c>
      <c r="H346" s="18">
        <v>0</v>
      </c>
      <c r="I346" s="18">
        <v>0</v>
      </c>
      <c r="J346" s="99">
        <f>SUM(SamplingData[[#This Row],[Losing Candidate]:[Under Votes]])</f>
        <v>7</v>
      </c>
      <c r="K34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346" s="100">
        <f>IF(AND(SamplingData[[#This Row],[Total]]&lt;&gt; 0, NOT(ISBLANK(SamplingData[[#This Row],[Candidate 3]]))),(SamplingData[[#This Row],[Total]]+SamplingData[[#This Row],[Winning Candidate]]-SamplingData[[#This Row],[Candidate 3]])/(SamplingData[[#Totals],[Winning Candidate]]-SamplingData[[#Totals],[Candidate 3]]), 0)</f>
        <v>3.5487305223086104E-4</v>
      </c>
      <c r="M346" s="100">
        <f>IF(AND(SamplingData[[#This Row],[Total]]&lt;&gt; 0, NOT(ISBLANK(SamplingData[[#This Row],[Candidate 4]]))),(SamplingData[[#This Row],[Total]]+SamplingData[[#This Row],[Winning Candidate]]-SamplingData[[#This Row],[Candidate 4]])/(SamplingData[[#Totals],[Winning Candidate]]-SamplingData[[#Totals],[Candidate 4]]), 0)</f>
        <v>2.6308866087871614E-4</v>
      </c>
      <c r="N346" s="100">
        <f>IF(AND(SamplingData[[#This Row],[Total]]&lt;&gt; 0, NOT(ISBLANK(SamplingData[[#This Row],[Candidate 5]]))),(SamplingData[[#This Row],[Total]]+SamplingData[[#This Row],[Winning Candidate]]-SamplingData[[#This Row],[Candidate 5]])/(SamplingData[[#Totals],[Winning Candidate]]-SamplingData[[#Totals],[Candidate 5]]), 0)</f>
        <v>2.6757479931890053E-4</v>
      </c>
      <c r="O346" s="100">
        <f>IF(AND(SamplingData[[#This Row],[Total]]&lt;&gt; 0, NOT(ISBLANK(SamplingData[[#This Row],[Candidate 6]]))),(SamplingData[[#This Row],[Total]]+SamplingData[[#This Row],[Winning Candidate]]-SamplingData[[#This Row],[Candidate 6]])/(SamplingData[[#Totals],[Winning Candidate]]-SamplingData[[#Totals],[Candidate 6]]), 0)</f>
        <v>2.6749671708574483E-4</v>
      </c>
      <c r="P346" s="100">
        <f>MAX(SamplingData[[#This Row],[Error Bound (up) - Max. possible relative overstatement - Losing Candidate]:[Error Bound (up) - Max. possible relative overstatement - Candidate 6]])</f>
        <v>6.1244487996080352E-4</v>
      </c>
      <c r="Q346" s="100">
        <f>IF(SamplingData[[#This Row],[Max Error Bound (up)]] = 0,0,SamplingData[[#This Row],[Max Error Bound (up)]]/SamplingData[[#Totals],[Max Error Bound (up)]])</f>
        <v>9.6929482784458319E-5</v>
      </c>
      <c r="R346" s="101">
        <f>SUM($Q$5:Q346)</f>
        <v>0.17814909436225465</v>
      </c>
      <c r="S346" s="100" t="str">
        <f t="array" ref="S346">IF(SamplingData[[#This Row],[up/U Selection Probability]] = 0, "Zero", TEXT(SamplingData[[#This Row],[Lower Range]], REPT("0",LEN('General Info'!$B$40))) &amp; " - " &amp; TEXT(SamplingData[[#This Row],[Upper Range]], REPT("0",LEN('General Info'!$B$40))))</f>
        <v>17805 - 17814</v>
      </c>
      <c r="T346" s="100">
        <f>SamplingData[[#This Row],[Upper Range]]-SamplingData[[#This Row],[Span]]</f>
        <v>17805.216584876503</v>
      </c>
      <c r="U346" s="100">
        <f>IF(ISNUMBER('General Info'!$B$40), ((SamplingData[[#This Row],[up/U Selection Probability]]) * 'General Info'!$B$40) - 1, 0)</f>
        <v>8.6928513489630479</v>
      </c>
      <c r="V346" s="100">
        <f>IF(ISNUMBER('General Info'!$B$40), (SamplingData[[#This Row],[Running (cumulative) sum]] * ('General Info'!$B$40 -'General Info'!$B$41 + 1)) + 'General Info'!$B$41 - 1, 0)</f>
        <v>17813.909436225465</v>
      </c>
      <c r="W346" s="100" t="str">
        <f>IF(ISERROR(MATCH(SamplingData[[#This Row],[Batch by Type (p)]],SelectedPrecincts[Batch Name], 0)), "", INDEX(SelectedPrecincts[Draw], MATCH(SamplingData[[#This Row],[Batch by Type (p)]],SelectedPrecincts[Batch Name], 0)))</f>
        <v/>
      </c>
      <c r="X346" s="102">
        <f>IF(COUNTIF(SelectedPrecincts[Batch Name],SamplingData[[#This Row],[Batch by Type (p)]]) &lt;&gt; 0, COUNTIF(SelectedPrecincts[Batch Name],SamplingData[[#This Row],[Batch by Type (p)]]), 0)</f>
        <v>0</v>
      </c>
    </row>
    <row r="347" spans="1:24" ht="15" customHeight="1">
      <c r="A347" s="18" t="s">
        <v>523</v>
      </c>
      <c r="B347" s="18">
        <v>7</v>
      </c>
      <c r="C347" s="18">
        <v>4</v>
      </c>
      <c r="D347" s="16">
        <v>0</v>
      </c>
      <c r="E347" s="16">
        <v>1</v>
      </c>
      <c r="F347" s="37">
        <v>0</v>
      </c>
      <c r="G347" s="37">
        <v>0</v>
      </c>
      <c r="H347" s="17">
        <v>0</v>
      </c>
      <c r="I347" s="17">
        <v>0</v>
      </c>
      <c r="J347" s="99">
        <f>SUM(SamplingData[[#This Row],[Losing Candidate]:[Under Votes]])</f>
        <v>12</v>
      </c>
      <c r="K347"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347" s="100">
        <f>IF(AND(SamplingData[[#This Row],[Total]]&lt;&gt; 0, NOT(ISBLANK(SamplingData[[#This Row],[Candidate 3]]))),(SamplingData[[#This Row],[Total]]+SamplingData[[#This Row],[Winning Candidate]]-SamplingData[[#This Row],[Candidate 3]])/(SamplingData[[#Totals],[Winning Candidate]]-SamplingData[[#Totals],[Candidate 3]]), 0)</f>
        <v>5.1617898506307067E-4</v>
      </c>
      <c r="M347" s="100">
        <f>IF(AND(SamplingData[[#This Row],[Total]]&lt;&gt; 0, NOT(ISBLANK(SamplingData[[#This Row],[Candidate 4]]))),(SamplingData[[#This Row],[Total]]+SamplingData[[#This Row],[Winning Candidate]]-SamplingData[[#This Row],[Candidate 4]])/(SamplingData[[#Totals],[Winning Candidate]]-SamplingData[[#Totals],[Candidate 4]]), 0)</f>
        <v>4.3848110146452689E-4</v>
      </c>
      <c r="N347" s="100">
        <f>IF(AND(SamplingData[[#This Row],[Total]]&lt;&gt; 0, NOT(ISBLANK(SamplingData[[#This Row],[Candidate 5]]))),(SamplingData[[#This Row],[Total]]+SamplingData[[#This Row],[Winning Candidate]]-SamplingData[[#This Row],[Candidate 5]])/(SamplingData[[#Totals],[Winning Candidate]]-SamplingData[[#Totals],[Candidate 5]]), 0)</f>
        <v>3.8919970810021893E-4</v>
      </c>
      <c r="O347" s="100">
        <f>IF(AND(SamplingData[[#This Row],[Total]]&lt;&gt; 0, NOT(ISBLANK(SamplingData[[#This Row],[Candidate 6]]))),(SamplingData[[#This Row],[Total]]+SamplingData[[#This Row],[Winning Candidate]]-SamplingData[[#This Row],[Candidate 6]])/(SamplingData[[#Totals],[Winning Candidate]]-SamplingData[[#Totals],[Candidate 6]]), 0)</f>
        <v>3.8908613394290161E-4</v>
      </c>
      <c r="P347" s="100">
        <f>MAX(SamplingData[[#This Row],[Error Bound (up) - Max. possible relative overstatement - Losing Candidate]:[Error Bound (up) - Max. possible relative overstatement - Candidate 6]])</f>
        <v>5.5120039196472322E-4</v>
      </c>
      <c r="Q347" s="100">
        <f>IF(SamplingData[[#This Row],[Max Error Bound (up)]] = 0,0,SamplingData[[#This Row],[Max Error Bound (up)]]/SamplingData[[#Totals],[Max Error Bound (up)]])</f>
        <v>8.7236534506012492E-5</v>
      </c>
      <c r="R347" s="101">
        <f>SUM($Q$5:Q347)</f>
        <v>0.17823633089676066</v>
      </c>
      <c r="S347" s="100" t="str">
        <f t="array" ref="S347">IF(SamplingData[[#This Row],[up/U Selection Probability]] = 0, "Zero", TEXT(SamplingData[[#This Row],[Lower Range]], REPT("0",LEN('General Info'!$B$40))) &amp; " - " &amp; TEXT(SamplingData[[#This Row],[Upper Range]], REPT("0",LEN('General Info'!$B$40))))</f>
        <v>17815 - 17823</v>
      </c>
      <c r="T347" s="100">
        <f>SamplingData[[#This Row],[Upper Range]]-SamplingData[[#This Row],[Span]]</f>
        <v>17814.909523462</v>
      </c>
      <c r="U347" s="100">
        <f>IF(ISNUMBER('General Info'!$B$40), ((SamplingData[[#This Row],[up/U Selection Probability]]) * 'General Info'!$B$40) - 1, 0)</f>
        <v>7.7235662140667429</v>
      </c>
      <c r="V347" s="100">
        <f>IF(ISNUMBER('General Info'!$B$40), (SamplingData[[#This Row],[Running (cumulative) sum]] * ('General Info'!$B$40 -'General Info'!$B$41 + 1)) + 'General Info'!$B$41 - 1, 0)</f>
        <v>17822.633089676066</v>
      </c>
      <c r="W347" s="100" t="str">
        <f>IF(ISERROR(MATCH(SamplingData[[#This Row],[Batch by Type (p)]],SelectedPrecincts[Batch Name], 0)), "", INDEX(SelectedPrecincts[Draw], MATCH(SamplingData[[#This Row],[Batch by Type (p)]],SelectedPrecincts[Batch Name], 0)))</f>
        <v/>
      </c>
      <c r="X347" s="102">
        <f>IF(COUNTIF(SelectedPrecincts[Batch Name],SamplingData[[#This Row],[Batch by Type (p)]]) &lt;&gt; 0, COUNTIF(SelectedPrecincts[Batch Name],SamplingData[[#This Row],[Batch by Type (p)]]), 0)</f>
        <v>0</v>
      </c>
    </row>
    <row r="348" spans="1:24" ht="15" customHeight="1">
      <c r="A348" s="18" t="s">
        <v>524</v>
      </c>
      <c r="B348" s="18">
        <v>0</v>
      </c>
      <c r="C348" s="18">
        <v>1</v>
      </c>
      <c r="D348" s="18">
        <v>0</v>
      </c>
      <c r="E348" s="18">
        <v>3</v>
      </c>
      <c r="F348" s="18">
        <v>0</v>
      </c>
      <c r="G348" s="18">
        <v>0</v>
      </c>
      <c r="H348" s="18">
        <v>0</v>
      </c>
      <c r="I348" s="18">
        <v>0</v>
      </c>
      <c r="J348" s="99">
        <f>SUM(SamplingData[[#This Row],[Losing Candidate]:[Under Votes]])</f>
        <v>4</v>
      </c>
      <c r="K348"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348" s="100">
        <f>IF(AND(SamplingData[[#This Row],[Total]]&lt;&gt; 0, NOT(ISBLANK(SamplingData[[#This Row],[Candidate 3]]))),(SamplingData[[#This Row],[Total]]+SamplingData[[#This Row],[Winning Candidate]]-SamplingData[[#This Row],[Candidate 3]])/(SamplingData[[#Totals],[Winning Candidate]]-SamplingData[[#Totals],[Candidate 3]]), 0)</f>
        <v>1.6130593283220958E-4</v>
      </c>
      <c r="M348" s="100">
        <f>IF(AND(SamplingData[[#This Row],[Total]]&lt;&gt; 0, NOT(ISBLANK(SamplingData[[#This Row],[Candidate 4]]))),(SamplingData[[#This Row],[Total]]+SamplingData[[#This Row],[Winning Candidate]]-SamplingData[[#This Row],[Candidate 4]])/(SamplingData[[#Totals],[Winning Candidate]]-SamplingData[[#Totals],[Candidate 4]]), 0)</f>
        <v>5.846414686193692E-5</v>
      </c>
      <c r="N348" s="100">
        <f>IF(AND(SamplingData[[#This Row],[Total]]&lt;&gt; 0, NOT(ISBLANK(SamplingData[[#This Row],[Candidate 5]]))),(SamplingData[[#This Row],[Total]]+SamplingData[[#This Row],[Winning Candidate]]-SamplingData[[#This Row],[Candidate 5]])/(SamplingData[[#Totals],[Winning Candidate]]-SamplingData[[#Totals],[Candidate 5]]), 0)</f>
        <v>1.2162490878131841E-4</v>
      </c>
      <c r="O348" s="100">
        <f>IF(AND(SamplingData[[#This Row],[Total]]&lt;&gt; 0, NOT(ISBLANK(SamplingData[[#This Row],[Candidate 6]]))),(SamplingData[[#This Row],[Total]]+SamplingData[[#This Row],[Winning Candidate]]-SamplingData[[#This Row],[Candidate 6]])/(SamplingData[[#Totals],[Winning Candidate]]-SamplingData[[#Totals],[Candidate 6]]), 0)</f>
        <v>1.2158941685715675E-4</v>
      </c>
      <c r="P348" s="100">
        <f>MAX(SamplingData[[#This Row],[Error Bound (up) - Max. possible relative overstatement - Losing Candidate]:[Error Bound (up) - Max. possible relative overstatement - Candidate 6]])</f>
        <v>3.0622243998040176E-4</v>
      </c>
      <c r="Q348" s="100">
        <f>IF(SamplingData[[#This Row],[Max Error Bound (up)]] = 0,0,SamplingData[[#This Row],[Max Error Bound (up)]]/SamplingData[[#Totals],[Max Error Bound (up)]])</f>
        <v>4.8464741392229159E-5</v>
      </c>
      <c r="R348" s="101">
        <f>SUM($Q$5:Q348)</f>
        <v>0.17828479563815289</v>
      </c>
      <c r="S348" s="100" t="str">
        <f t="array" ref="S348">IF(SamplingData[[#This Row],[up/U Selection Probability]] = 0, "Zero", TEXT(SamplingData[[#This Row],[Lower Range]], REPT("0",LEN('General Info'!$B$40))) &amp; " - " &amp; TEXT(SamplingData[[#This Row],[Upper Range]], REPT("0",LEN('General Info'!$B$40))))</f>
        <v>17824 - 17827</v>
      </c>
      <c r="T348" s="100">
        <f>SamplingData[[#This Row],[Upper Range]]-SamplingData[[#This Row],[Span]]</f>
        <v>17823.633138140809</v>
      </c>
      <c r="U348" s="100">
        <f>IF(ISNUMBER('General Info'!$B$40), ((SamplingData[[#This Row],[up/U Selection Probability]]) * 'General Info'!$B$40) - 1, 0)</f>
        <v>3.8464256744815239</v>
      </c>
      <c r="V348" s="100">
        <f>IF(ISNUMBER('General Info'!$B$40), (SamplingData[[#This Row],[Running (cumulative) sum]] * ('General Info'!$B$40 -'General Info'!$B$41 + 1)) + 'General Info'!$B$41 - 1, 0)</f>
        <v>17827.47956381529</v>
      </c>
      <c r="W348" s="100" t="str">
        <f>IF(ISERROR(MATCH(SamplingData[[#This Row],[Batch by Type (p)]],SelectedPrecincts[Batch Name], 0)), "", INDEX(SelectedPrecincts[Draw], MATCH(SamplingData[[#This Row],[Batch by Type (p)]],SelectedPrecincts[Batch Name], 0)))</f>
        <v/>
      </c>
      <c r="X348" s="102">
        <f>IF(COUNTIF(SelectedPrecincts[Batch Name],SamplingData[[#This Row],[Batch by Type (p)]]) &lt;&gt; 0, COUNTIF(SelectedPrecincts[Batch Name],SamplingData[[#This Row],[Batch by Type (p)]]), 0)</f>
        <v>0</v>
      </c>
    </row>
    <row r="349" spans="1:24" ht="15" customHeight="1">
      <c r="A349" s="18" t="s">
        <v>525</v>
      </c>
      <c r="B349" s="18">
        <v>1</v>
      </c>
      <c r="C349" s="18">
        <v>1</v>
      </c>
      <c r="D349" s="16">
        <v>0</v>
      </c>
      <c r="E349" s="16">
        <v>0</v>
      </c>
      <c r="F349" s="37">
        <v>0</v>
      </c>
      <c r="G349" s="37">
        <v>0</v>
      </c>
      <c r="H349" s="17">
        <v>0</v>
      </c>
      <c r="I349" s="17">
        <v>0</v>
      </c>
      <c r="J349" s="99">
        <f>SUM(SamplingData[[#This Row],[Losing Candidate]:[Under Votes]])</f>
        <v>2</v>
      </c>
      <c r="K349"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349" s="100">
        <f>IF(AND(SamplingData[[#This Row],[Total]]&lt;&gt; 0, NOT(ISBLANK(SamplingData[[#This Row],[Candidate 3]]))),(SamplingData[[#This Row],[Total]]+SamplingData[[#This Row],[Winning Candidate]]-SamplingData[[#This Row],[Candidate 3]])/(SamplingData[[#Totals],[Winning Candidate]]-SamplingData[[#Totals],[Candidate 3]]), 0)</f>
        <v>9.6783559699325743E-5</v>
      </c>
      <c r="M349" s="100">
        <f>IF(AND(SamplingData[[#This Row],[Total]]&lt;&gt; 0, NOT(ISBLANK(SamplingData[[#This Row],[Candidate 4]]))),(SamplingData[[#This Row],[Total]]+SamplingData[[#This Row],[Winning Candidate]]-SamplingData[[#This Row],[Candidate 4]])/(SamplingData[[#Totals],[Winning Candidate]]-SamplingData[[#Totals],[Candidate 4]]), 0)</f>
        <v>8.7696220292905373E-5</v>
      </c>
      <c r="N349" s="100">
        <f>IF(AND(SamplingData[[#This Row],[Total]]&lt;&gt; 0, NOT(ISBLANK(SamplingData[[#This Row],[Candidate 5]]))),(SamplingData[[#This Row],[Total]]+SamplingData[[#This Row],[Winning Candidate]]-SamplingData[[#This Row],[Candidate 5]])/(SamplingData[[#Totals],[Winning Candidate]]-SamplingData[[#Totals],[Candidate 5]]), 0)</f>
        <v>7.2974945268791054E-5</v>
      </c>
      <c r="O349" s="100">
        <f>IF(AND(SamplingData[[#This Row],[Total]]&lt;&gt; 0, NOT(ISBLANK(SamplingData[[#This Row],[Candidate 6]]))),(SamplingData[[#This Row],[Total]]+SamplingData[[#This Row],[Winning Candidate]]-SamplingData[[#This Row],[Candidate 6]])/(SamplingData[[#Totals],[Winning Candidate]]-SamplingData[[#Totals],[Candidate 6]]), 0)</f>
        <v>7.2953650114294054E-5</v>
      </c>
      <c r="P349" s="100">
        <f>MAX(SamplingData[[#This Row],[Error Bound (up) - Max. possible relative overstatement - Losing Candidate]:[Error Bound (up) - Max. possible relative overstatement - Candidate 6]])</f>
        <v>1.224889759921607E-4</v>
      </c>
      <c r="Q349" s="100">
        <f>IF(SamplingData[[#This Row],[Max Error Bound (up)]] = 0,0,SamplingData[[#This Row],[Max Error Bound (up)]]/SamplingData[[#Totals],[Max Error Bound (up)]])</f>
        <v>1.9385896556891663E-5</v>
      </c>
      <c r="R349" s="101">
        <f>SUM($Q$5:Q349)</f>
        <v>0.17830418153470978</v>
      </c>
      <c r="S349" s="100" t="str">
        <f t="array" ref="S349">IF(SamplingData[[#This Row],[up/U Selection Probability]] = 0, "Zero", TEXT(SamplingData[[#This Row],[Lower Range]], REPT("0",LEN('General Info'!$B$40))) &amp; " - " &amp; TEXT(SamplingData[[#This Row],[Upper Range]], REPT("0",LEN('General Info'!$B$40))))</f>
        <v>17828 - 17829</v>
      </c>
      <c r="T349" s="100">
        <f>SamplingData[[#This Row],[Upper Range]]-SamplingData[[#This Row],[Span]]</f>
        <v>17828.479583201188</v>
      </c>
      <c r="U349" s="100">
        <f>IF(ISNUMBER('General Info'!$B$40), ((SamplingData[[#This Row],[up/U Selection Probability]]) * 'General Info'!$B$40) - 1, 0)</f>
        <v>0.93857026979260949</v>
      </c>
      <c r="V349" s="100">
        <f>IF(ISNUMBER('General Info'!$B$40), (SamplingData[[#This Row],[Running (cumulative) sum]] * ('General Info'!$B$40 -'General Info'!$B$41 + 1)) + 'General Info'!$B$41 - 1, 0)</f>
        <v>17829.418153470979</v>
      </c>
      <c r="W349" s="100" t="str">
        <f>IF(ISERROR(MATCH(SamplingData[[#This Row],[Batch by Type (p)]],SelectedPrecincts[Batch Name], 0)), "", INDEX(SelectedPrecincts[Draw], MATCH(SamplingData[[#This Row],[Batch by Type (p)]],SelectedPrecincts[Batch Name], 0)))</f>
        <v/>
      </c>
      <c r="X349" s="102">
        <f>IF(COUNTIF(SelectedPrecincts[Batch Name],SamplingData[[#This Row],[Batch by Type (p)]]) &lt;&gt; 0, COUNTIF(SelectedPrecincts[Batch Name],SamplingData[[#This Row],[Batch by Type (p)]]), 0)</f>
        <v>0</v>
      </c>
    </row>
    <row r="350" spans="1:24" ht="15" customHeight="1">
      <c r="A350" s="18" t="s">
        <v>526</v>
      </c>
      <c r="B350" s="18">
        <v>2</v>
      </c>
      <c r="C350" s="18">
        <v>1</v>
      </c>
      <c r="D350" s="18">
        <v>2</v>
      </c>
      <c r="E350" s="18">
        <v>0</v>
      </c>
      <c r="F350" s="18">
        <v>0</v>
      </c>
      <c r="G350" s="18">
        <v>0</v>
      </c>
      <c r="H350" s="18">
        <v>0</v>
      </c>
      <c r="I350" s="18">
        <v>0</v>
      </c>
      <c r="J350" s="99">
        <f>SUM(SamplingData[[#This Row],[Losing Candidate]:[Under Votes]])</f>
        <v>5</v>
      </c>
      <c r="K350"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350" s="100">
        <f>IF(AND(SamplingData[[#This Row],[Total]]&lt;&gt; 0, NOT(ISBLANK(SamplingData[[#This Row],[Candidate 3]]))),(SamplingData[[#This Row],[Total]]+SamplingData[[#This Row],[Winning Candidate]]-SamplingData[[#This Row],[Candidate 3]])/(SamplingData[[#Totals],[Winning Candidate]]-SamplingData[[#Totals],[Candidate 3]]), 0)</f>
        <v>1.2904474626576767E-4</v>
      </c>
      <c r="M350" s="100">
        <f>IF(AND(SamplingData[[#This Row],[Total]]&lt;&gt; 0, NOT(ISBLANK(SamplingData[[#This Row],[Candidate 4]]))),(SamplingData[[#This Row],[Total]]+SamplingData[[#This Row],[Winning Candidate]]-SamplingData[[#This Row],[Candidate 4]])/(SamplingData[[#Totals],[Winning Candidate]]-SamplingData[[#Totals],[Candidate 4]]), 0)</f>
        <v>1.7539244058581075E-4</v>
      </c>
      <c r="N350" s="100">
        <f>IF(AND(SamplingData[[#This Row],[Total]]&lt;&gt; 0, NOT(ISBLANK(SamplingData[[#This Row],[Candidate 5]]))),(SamplingData[[#This Row],[Total]]+SamplingData[[#This Row],[Winning Candidate]]-SamplingData[[#This Row],[Candidate 5]])/(SamplingData[[#Totals],[Winning Candidate]]-SamplingData[[#Totals],[Candidate 5]]), 0)</f>
        <v>1.4594989053758211E-4</v>
      </c>
      <c r="O350" s="100">
        <f>IF(AND(SamplingData[[#This Row],[Total]]&lt;&gt; 0, NOT(ISBLANK(SamplingData[[#This Row],[Candidate 6]]))),(SamplingData[[#This Row],[Total]]+SamplingData[[#This Row],[Winning Candidate]]-SamplingData[[#This Row],[Candidate 6]])/(SamplingData[[#Totals],[Winning Candidate]]-SamplingData[[#Totals],[Candidate 6]]), 0)</f>
        <v>1.4590730022858811E-4</v>
      </c>
      <c r="P350" s="100">
        <f>MAX(SamplingData[[#This Row],[Error Bound (up) - Max. possible relative overstatement - Losing Candidate]:[Error Bound (up) - Max. possible relative overstatement - Candidate 6]])</f>
        <v>2.4497795198432141E-4</v>
      </c>
      <c r="Q350" s="100">
        <f>IF(SamplingData[[#This Row],[Max Error Bound (up)]] = 0,0,SamplingData[[#This Row],[Max Error Bound (up)]]/SamplingData[[#Totals],[Max Error Bound (up)]])</f>
        <v>3.8771793113783326E-5</v>
      </c>
      <c r="R350" s="101">
        <f>SUM($Q$5:Q350)</f>
        <v>0.17834295332782357</v>
      </c>
      <c r="S350" s="100" t="str">
        <f t="array" ref="S350">IF(SamplingData[[#This Row],[up/U Selection Probability]] = 0, "Zero", TEXT(SamplingData[[#This Row],[Lower Range]], REPT("0",LEN('General Info'!$B$40))) &amp; " - " &amp; TEXT(SamplingData[[#This Row],[Upper Range]], REPT("0",LEN('General Info'!$B$40))))</f>
        <v>17830 - 17833</v>
      </c>
      <c r="T350" s="100">
        <f>SamplingData[[#This Row],[Upper Range]]-SamplingData[[#This Row],[Span]]</f>
        <v>17830.418192242771</v>
      </c>
      <c r="U350" s="100">
        <f>IF(ISNUMBER('General Info'!$B$40), ((SamplingData[[#This Row],[up/U Selection Probability]]) * 'General Info'!$B$40) - 1, 0)</f>
        <v>2.877140539585219</v>
      </c>
      <c r="V350" s="100">
        <f>IF(ISNUMBER('General Info'!$B$40), (SamplingData[[#This Row],[Running (cumulative) sum]] * ('General Info'!$B$40 -'General Info'!$B$41 + 1)) + 'General Info'!$B$41 - 1, 0)</f>
        <v>17833.295332782356</v>
      </c>
      <c r="W350" s="100" t="str">
        <f>IF(ISERROR(MATCH(SamplingData[[#This Row],[Batch by Type (p)]],SelectedPrecincts[Batch Name], 0)), "", INDEX(SelectedPrecincts[Draw], MATCH(SamplingData[[#This Row],[Batch by Type (p)]],SelectedPrecincts[Batch Name], 0)))</f>
        <v/>
      </c>
      <c r="X350" s="102">
        <f>IF(COUNTIF(SelectedPrecincts[Batch Name],SamplingData[[#This Row],[Batch by Type (p)]]) &lt;&gt; 0, COUNTIF(SelectedPrecincts[Batch Name],SamplingData[[#This Row],[Batch by Type (p)]]), 0)</f>
        <v>0</v>
      </c>
    </row>
    <row r="351" spans="1:24" ht="15" customHeight="1">
      <c r="A351" s="18" t="s">
        <v>527</v>
      </c>
      <c r="B351" s="18">
        <v>0</v>
      </c>
      <c r="C351" s="18">
        <v>1</v>
      </c>
      <c r="D351" s="16">
        <v>0</v>
      </c>
      <c r="E351" s="16">
        <v>0</v>
      </c>
      <c r="F351" s="37">
        <v>0</v>
      </c>
      <c r="G351" s="37">
        <v>0</v>
      </c>
      <c r="H351" s="17">
        <v>0</v>
      </c>
      <c r="I351" s="17">
        <v>0</v>
      </c>
      <c r="J351" s="99">
        <f>SUM(SamplingData[[#This Row],[Losing Candidate]:[Under Votes]])</f>
        <v>1</v>
      </c>
      <c r="K351"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351" s="100">
        <f>IF(AND(SamplingData[[#This Row],[Total]]&lt;&gt; 0, NOT(ISBLANK(SamplingData[[#This Row],[Candidate 3]]))),(SamplingData[[#This Row],[Total]]+SamplingData[[#This Row],[Winning Candidate]]-SamplingData[[#This Row],[Candidate 3]])/(SamplingData[[#Totals],[Winning Candidate]]-SamplingData[[#Totals],[Candidate 3]]), 0)</f>
        <v>6.4522373132883833E-5</v>
      </c>
      <c r="M351" s="100">
        <f>IF(AND(SamplingData[[#This Row],[Total]]&lt;&gt; 0, NOT(ISBLANK(SamplingData[[#This Row],[Candidate 4]]))),(SamplingData[[#This Row],[Total]]+SamplingData[[#This Row],[Winning Candidate]]-SamplingData[[#This Row],[Candidate 4]])/(SamplingData[[#Totals],[Winning Candidate]]-SamplingData[[#Totals],[Candidate 4]]), 0)</f>
        <v>5.846414686193692E-5</v>
      </c>
      <c r="N351" s="100">
        <f>IF(AND(SamplingData[[#This Row],[Total]]&lt;&gt; 0, NOT(ISBLANK(SamplingData[[#This Row],[Candidate 5]]))),(SamplingData[[#This Row],[Total]]+SamplingData[[#This Row],[Winning Candidate]]-SamplingData[[#This Row],[Candidate 5]])/(SamplingData[[#Totals],[Winning Candidate]]-SamplingData[[#Totals],[Candidate 5]]), 0)</f>
        <v>4.8649963512527367E-5</v>
      </c>
      <c r="O351" s="100">
        <f>IF(AND(SamplingData[[#This Row],[Total]]&lt;&gt; 0, NOT(ISBLANK(SamplingData[[#This Row],[Candidate 6]]))),(SamplingData[[#This Row],[Total]]+SamplingData[[#This Row],[Winning Candidate]]-SamplingData[[#This Row],[Candidate 6]])/(SamplingData[[#Totals],[Winning Candidate]]-SamplingData[[#Totals],[Candidate 6]]), 0)</f>
        <v>4.8635766742862701E-5</v>
      </c>
      <c r="P351" s="100">
        <f>MAX(SamplingData[[#This Row],[Error Bound (up) - Max. possible relative overstatement - Losing Candidate]:[Error Bound (up) - Max. possible relative overstatement - Candidate 6]])</f>
        <v>1.224889759921607E-4</v>
      </c>
      <c r="Q351" s="100">
        <f>IF(SamplingData[[#This Row],[Max Error Bound (up)]] = 0,0,SamplingData[[#This Row],[Max Error Bound (up)]]/SamplingData[[#Totals],[Max Error Bound (up)]])</f>
        <v>1.9385896556891663E-5</v>
      </c>
      <c r="R351" s="101">
        <f>SUM($Q$5:Q351)</f>
        <v>0.17836233922438047</v>
      </c>
      <c r="S351" s="100" t="str">
        <f t="array" ref="S351">IF(SamplingData[[#This Row],[up/U Selection Probability]] = 0, "Zero", TEXT(SamplingData[[#This Row],[Lower Range]], REPT("0",LEN('General Info'!$B$40))) &amp; " - " &amp; TEXT(SamplingData[[#This Row],[Upper Range]], REPT("0",LEN('General Info'!$B$40))))</f>
        <v>17834 - 17835</v>
      </c>
      <c r="T351" s="100">
        <f>SamplingData[[#This Row],[Upper Range]]-SamplingData[[#This Row],[Span]]</f>
        <v>17834.295352168258</v>
      </c>
      <c r="U351" s="100">
        <f>IF(ISNUMBER('General Info'!$B$40), ((SamplingData[[#This Row],[up/U Selection Probability]]) * 'General Info'!$B$40) - 1, 0)</f>
        <v>0.93857026979260949</v>
      </c>
      <c r="V351" s="100">
        <f>IF(ISNUMBER('General Info'!$B$40), (SamplingData[[#This Row],[Running (cumulative) sum]] * ('General Info'!$B$40 -'General Info'!$B$41 + 1)) + 'General Info'!$B$41 - 1, 0)</f>
        <v>17835.233922438048</v>
      </c>
      <c r="W351" s="100" t="str">
        <f>IF(ISERROR(MATCH(SamplingData[[#This Row],[Batch by Type (p)]],SelectedPrecincts[Batch Name], 0)), "", INDEX(SelectedPrecincts[Draw], MATCH(SamplingData[[#This Row],[Batch by Type (p)]],SelectedPrecincts[Batch Name], 0)))</f>
        <v/>
      </c>
      <c r="X351" s="102">
        <f>IF(COUNTIF(SelectedPrecincts[Batch Name],SamplingData[[#This Row],[Batch by Type (p)]]) &lt;&gt; 0, COUNTIF(SelectedPrecincts[Batch Name],SamplingData[[#This Row],[Batch by Type (p)]]), 0)</f>
        <v>0</v>
      </c>
    </row>
    <row r="352" spans="1:24" ht="15" customHeight="1">
      <c r="A352" s="18" t="s">
        <v>528</v>
      </c>
      <c r="B352" s="18">
        <v>1</v>
      </c>
      <c r="C352" s="18">
        <v>0</v>
      </c>
      <c r="D352" s="18">
        <v>0</v>
      </c>
      <c r="E352" s="18">
        <v>0</v>
      </c>
      <c r="F352" s="18">
        <v>0</v>
      </c>
      <c r="G352" s="18">
        <v>0</v>
      </c>
      <c r="H352" s="18">
        <v>0</v>
      </c>
      <c r="I352" s="18">
        <v>0</v>
      </c>
      <c r="J352" s="99">
        <f>SUM(SamplingData[[#This Row],[Losing Candidate]:[Under Votes]])</f>
        <v>1</v>
      </c>
      <c r="K352" s="100">
        <f>IF(AND(SamplingData[[#This Row],[Total]]&lt;&gt; 0, NOT(ISBLANK(SamplingData[[#This Row],[Losing Candidate]]))),(SamplingData[[#This Row],[Total]]+SamplingData[[#This Row],[Winning Candidate]]-SamplingData[[#This Row],[Losing Candidate]])/(SamplingData[[#Totals],[Winning Candidate]]-SamplingData[[#Totals],[Losing Candidate]]), 0)</f>
        <v>0</v>
      </c>
      <c r="L352" s="100">
        <f>IF(AND(SamplingData[[#This Row],[Total]]&lt;&gt; 0, NOT(ISBLANK(SamplingData[[#This Row],[Candidate 3]]))),(SamplingData[[#This Row],[Total]]+SamplingData[[#This Row],[Winning Candidate]]-SamplingData[[#This Row],[Candidate 3]])/(SamplingData[[#Totals],[Winning Candidate]]-SamplingData[[#Totals],[Candidate 3]]), 0)</f>
        <v>3.2261186566441917E-5</v>
      </c>
      <c r="M352" s="100">
        <f>IF(AND(SamplingData[[#This Row],[Total]]&lt;&gt; 0, NOT(ISBLANK(SamplingData[[#This Row],[Candidate 4]]))),(SamplingData[[#This Row],[Total]]+SamplingData[[#This Row],[Winning Candidate]]-SamplingData[[#This Row],[Candidate 4]])/(SamplingData[[#Totals],[Winning Candidate]]-SamplingData[[#Totals],[Candidate 4]]), 0)</f>
        <v>2.923207343096846E-5</v>
      </c>
      <c r="N352" s="100">
        <f>IF(AND(SamplingData[[#This Row],[Total]]&lt;&gt; 0, NOT(ISBLANK(SamplingData[[#This Row],[Candidate 5]]))),(SamplingData[[#This Row],[Total]]+SamplingData[[#This Row],[Winning Candidate]]-SamplingData[[#This Row],[Candidate 5]])/(SamplingData[[#Totals],[Winning Candidate]]-SamplingData[[#Totals],[Candidate 5]]), 0)</f>
        <v>2.4324981756263683E-5</v>
      </c>
      <c r="O352" s="100">
        <f>IF(AND(SamplingData[[#This Row],[Total]]&lt;&gt; 0, NOT(ISBLANK(SamplingData[[#This Row],[Candidate 6]]))),(SamplingData[[#This Row],[Total]]+SamplingData[[#This Row],[Winning Candidate]]-SamplingData[[#This Row],[Candidate 6]])/(SamplingData[[#Totals],[Winning Candidate]]-SamplingData[[#Totals],[Candidate 6]]), 0)</f>
        <v>2.431788337143135E-5</v>
      </c>
      <c r="P352" s="100">
        <f>MAX(SamplingData[[#This Row],[Error Bound (up) - Max. possible relative overstatement - Losing Candidate]:[Error Bound (up) - Max. possible relative overstatement - Candidate 6]])</f>
        <v>3.2261186566441917E-5</v>
      </c>
      <c r="Q352" s="100">
        <f>IF(SamplingData[[#This Row],[Max Error Bound (up)]] = 0,0,SamplingData[[#This Row],[Max Error Bound (up)]]/SamplingData[[#Totals],[Max Error Bound (up)]])</f>
        <v>5.1058637768320663E-6</v>
      </c>
      <c r="R352" s="101">
        <f>SUM($Q$5:Q352)</f>
        <v>0.1783674450881573</v>
      </c>
      <c r="S352" s="100" t="str">
        <f t="array" ref="S352">IF(SamplingData[[#This Row],[up/U Selection Probability]] = 0, "Zero", TEXT(SamplingData[[#This Row],[Lower Range]], REPT("0",LEN('General Info'!$B$40))) &amp; " - " &amp; TEXT(SamplingData[[#This Row],[Upper Range]], REPT("0",LEN('General Info'!$B$40))))</f>
        <v>17836 - 17836</v>
      </c>
      <c r="T352" s="100">
        <f>SamplingData[[#This Row],[Upper Range]]-SamplingData[[#This Row],[Span]]</f>
        <v>17836.233927543908</v>
      </c>
      <c r="U352" s="100">
        <f>IF(ISNUMBER('General Info'!$B$40), ((SamplingData[[#This Row],[up/U Selection Probability]]) * 'General Info'!$B$40) - 1, 0)</f>
        <v>-0.4894187281805702</v>
      </c>
      <c r="V352" s="100">
        <f>IF(ISNUMBER('General Info'!$B$40), (SamplingData[[#This Row],[Running (cumulative) sum]] * ('General Info'!$B$40 -'General Info'!$B$41 + 1)) + 'General Info'!$B$41 - 1, 0)</f>
        <v>17835.744508815729</v>
      </c>
      <c r="W352" s="100" t="str">
        <f>IF(ISERROR(MATCH(SamplingData[[#This Row],[Batch by Type (p)]],SelectedPrecincts[Batch Name], 0)), "", INDEX(SelectedPrecincts[Draw], MATCH(SamplingData[[#This Row],[Batch by Type (p)]],SelectedPrecincts[Batch Name], 0)))</f>
        <v/>
      </c>
      <c r="X352" s="102">
        <f>IF(COUNTIF(SelectedPrecincts[Batch Name],SamplingData[[#This Row],[Batch by Type (p)]]) &lt;&gt; 0, COUNTIF(SelectedPrecincts[Batch Name],SamplingData[[#This Row],[Batch by Type (p)]]), 0)</f>
        <v>0</v>
      </c>
    </row>
    <row r="353" spans="1:24" ht="15" customHeight="1">
      <c r="A353" s="18" t="s">
        <v>529</v>
      </c>
      <c r="B353" s="18">
        <v>4</v>
      </c>
      <c r="C353" s="18">
        <v>9</v>
      </c>
      <c r="D353" s="16">
        <v>4</v>
      </c>
      <c r="E353" s="16">
        <v>8</v>
      </c>
      <c r="F353" s="37">
        <v>0</v>
      </c>
      <c r="G353" s="37">
        <v>0</v>
      </c>
      <c r="H353" s="17">
        <v>0</v>
      </c>
      <c r="I353" s="17">
        <v>0</v>
      </c>
      <c r="J353" s="99">
        <f>SUM(SamplingData[[#This Row],[Losing Candidate]:[Under Votes]])</f>
        <v>25</v>
      </c>
      <c r="K353"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353" s="100">
        <f>IF(AND(SamplingData[[#This Row],[Total]]&lt;&gt; 0, NOT(ISBLANK(SamplingData[[#This Row],[Candidate 3]]))),(SamplingData[[#This Row],[Total]]+SamplingData[[#This Row],[Winning Candidate]]-SamplingData[[#This Row],[Candidate 3]])/(SamplingData[[#Totals],[Winning Candidate]]-SamplingData[[#Totals],[Candidate 3]]), 0)</f>
        <v>9.6783559699325746E-4</v>
      </c>
      <c r="M353" s="100">
        <f>IF(AND(SamplingData[[#This Row],[Total]]&lt;&gt; 0, NOT(ISBLANK(SamplingData[[#This Row],[Candidate 4]]))),(SamplingData[[#This Row],[Total]]+SamplingData[[#This Row],[Winning Candidate]]-SamplingData[[#This Row],[Candidate 4]])/(SamplingData[[#Totals],[Winning Candidate]]-SamplingData[[#Totals],[Candidate 4]]), 0)</f>
        <v>7.6003390920517991E-4</v>
      </c>
      <c r="N353" s="100">
        <f>IF(AND(SamplingData[[#This Row],[Total]]&lt;&gt; 0, NOT(ISBLANK(SamplingData[[#This Row],[Candidate 5]]))),(SamplingData[[#This Row],[Total]]+SamplingData[[#This Row],[Winning Candidate]]-SamplingData[[#This Row],[Candidate 5]])/(SamplingData[[#Totals],[Winning Candidate]]-SamplingData[[#Totals],[Candidate 5]]), 0)</f>
        <v>8.2704937971296523E-4</v>
      </c>
      <c r="O353" s="100">
        <f>IF(AND(SamplingData[[#This Row],[Total]]&lt;&gt; 0, NOT(ISBLANK(SamplingData[[#This Row],[Candidate 6]]))),(SamplingData[[#This Row],[Total]]+SamplingData[[#This Row],[Winning Candidate]]-SamplingData[[#This Row],[Candidate 6]])/(SamplingData[[#Totals],[Winning Candidate]]-SamplingData[[#Totals],[Candidate 6]]), 0)</f>
        <v>8.2680803462866588E-4</v>
      </c>
      <c r="P353" s="100">
        <f>MAX(SamplingData[[#This Row],[Error Bound (up) - Max. possible relative overstatement - Losing Candidate]:[Error Bound (up) - Max. possible relative overstatement - Candidate 6]])</f>
        <v>1.8373346398824107E-3</v>
      </c>
      <c r="Q353" s="100">
        <f>IF(SamplingData[[#This Row],[Max Error Bound (up)]] = 0,0,SamplingData[[#This Row],[Max Error Bound (up)]]/SamplingData[[#Totals],[Max Error Bound (up)]])</f>
        <v>2.9078844835337498E-4</v>
      </c>
      <c r="R353" s="101">
        <f>SUM($Q$5:Q353)</f>
        <v>0.17865823353651067</v>
      </c>
      <c r="S353" s="100" t="str">
        <f t="array" ref="S353">IF(SamplingData[[#This Row],[up/U Selection Probability]] = 0, "Zero", TEXT(SamplingData[[#This Row],[Lower Range]], REPT("0",LEN('General Info'!$B$40))) &amp; " - " &amp; TEXT(SamplingData[[#This Row],[Upper Range]], REPT("0",LEN('General Info'!$B$40))))</f>
        <v>17837 - 17865</v>
      </c>
      <c r="T353" s="100">
        <f>SamplingData[[#This Row],[Upper Range]]-SamplingData[[#This Row],[Span]]</f>
        <v>17836.744799604177</v>
      </c>
      <c r="U353" s="100">
        <f>IF(ISNUMBER('General Info'!$B$40), ((SamplingData[[#This Row],[up/U Selection Probability]]) * 'General Info'!$B$40) - 1, 0)</f>
        <v>28.078554046889145</v>
      </c>
      <c r="V353" s="100">
        <f>IF(ISNUMBER('General Info'!$B$40), (SamplingData[[#This Row],[Running (cumulative) sum]] * ('General Info'!$B$40 -'General Info'!$B$41 + 1)) + 'General Info'!$B$41 - 1, 0)</f>
        <v>17864.823353651067</v>
      </c>
      <c r="W353" s="100" t="str">
        <f>IF(ISERROR(MATCH(SamplingData[[#This Row],[Batch by Type (p)]],SelectedPrecincts[Batch Name], 0)), "", INDEX(SelectedPrecincts[Draw], MATCH(SamplingData[[#This Row],[Batch by Type (p)]],SelectedPrecincts[Batch Name], 0)))</f>
        <v/>
      </c>
      <c r="X353" s="102">
        <f>IF(COUNTIF(SelectedPrecincts[Batch Name],SamplingData[[#This Row],[Batch by Type (p)]]) &lt;&gt; 0, COUNTIF(SelectedPrecincts[Batch Name],SamplingData[[#This Row],[Batch by Type (p)]]), 0)</f>
        <v>0</v>
      </c>
    </row>
    <row r="354" spans="1:24" ht="15" customHeight="1">
      <c r="A354" s="18" t="s">
        <v>530</v>
      </c>
      <c r="B354" s="18">
        <v>1</v>
      </c>
      <c r="C354" s="18">
        <v>1</v>
      </c>
      <c r="D354" s="18">
        <v>4</v>
      </c>
      <c r="E354" s="18">
        <v>0</v>
      </c>
      <c r="F354" s="18">
        <v>0</v>
      </c>
      <c r="G354" s="18">
        <v>0</v>
      </c>
      <c r="H354" s="18">
        <v>0</v>
      </c>
      <c r="I354" s="18">
        <v>0</v>
      </c>
      <c r="J354" s="99">
        <f>SUM(SamplingData[[#This Row],[Losing Candidate]:[Under Votes]])</f>
        <v>6</v>
      </c>
      <c r="K354"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354" s="100">
        <f>IF(AND(SamplingData[[#This Row],[Total]]&lt;&gt; 0, NOT(ISBLANK(SamplingData[[#This Row],[Candidate 3]]))),(SamplingData[[#This Row],[Total]]+SamplingData[[#This Row],[Winning Candidate]]-SamplingData[[#This Row],[Candidate 3]])/(SamplingData[[#Totals],[Winning Candidate]]-SamplingData[[#Totals],[Candidate 3]]), 0)</f>
        <v>9.6783559699325743E-5</v>
      </c>
      <c r="M354" s="100">
        <f>IF(AND(SamplingData[[#This Row],[Total]]&lt;&gt; 0, NOT(ISBLANK(SamplingData[[#This Row],[Candidate 4]]))),(SamplingData[[#This Row],[Total]]+SamplingData[[#This Row],[Winning Candidate]]-SamplingData[[#This Row],[Candidate 4]])/(SamplingData[[#Totals],[Winning Candidate]]-SamplingData[[#Totals],[Candidate 4]]), 0)</f>
        <v>2.0462451401677921E-4</v>
      </c>
      <c r="N354" s="100">
        <f>IF(AND(SamplingData[[#This Row],[Total]]&lt;&gt; 0, NOT(ISBLANK(SamplingData[[#This Row],[Candidate 5]]))),(SamplingData[[#This Row],[Total]]+SamplingData[[#This Row],[Winning Candidate]]-SamplingData[[#This Row],[Candidate 5]])/(SamplingData[[#Totals],[Winning Candidate]]-SamplingData[[#Totals],[Candidate 5]]), 0)</f>
        <v>1.7027487229384579E-4</v>
      </c>
      <c r="O354" s="100">
        <f>IF(AND(SamplingData[[#This Row],[Total]]&lt;&gt; 0, NOT(ISBLANK(SamplingData[[#This Row],[Candidate 6]]))),(SamplingData[[#This Row],[Total]]+SamplingData[[#This Row],[Winning Candidate]]-SamplingData[[#This Row],[Candidate 6]])/(SamplingData[[#Totals],[Winning Candidate]]-SamplingData[[#Totals],[Candidate 6]]), 0)</f>
        <v>1.7022518360001944E-4</v>
      </c>
      <c r="P354" s="100">
        <f>MAX(SamplingData[[#This Row],[Error Bound (up) - Max. possible relative overstatement - Losing Candidate]:[Error Bound (up) - Max. possible relative overstatement - Candidate 6]])</f>
        <v>3.6746692797648211E-4</v>
      </c>
      <c r="Q354" s="100">
        <f>IF(SamplingData[[#This Row],[Max Error Bound (up)]] = 0,0,SamplingData[[#This Row],[Max Error Bound (up)]]/SamplingData[[#Totals],[Max Error Bound (up)]])</f>
        <v>5.8157689670674986E-5</v>
      </c>
      <c r="R354" s="101">
        <f>SUM($Q$5:Q354)</f>
        <v>0.17871639122618135</v>
      </c>
      <c r="S354" s="100" t="str">
        <f t="array" ref="S354">IF(SamplingData[[#This Row],[up/U Selection Probability]] = 0, "Zero", TEXT(SamplingData[[#This Row],[Lower Range]], REPT("0",LEN('General Info'!$B$40))) &amp; " - " &amp; TEXT(SamplingData[[#This Row],[Upper Range]], REPT("0",LEN('General Info'!$B$40))))</f>
        <v>17866 - 17871</v>
      </c>
      <c r="T354" s="100">
        <f>SamplingData[[#This Row],[Upper Range]]-SamplingData[[#This Row],[Span]]</f>
        <v>17865.82341180876</v>
      </c>
      <c r="U354" s="100">
        <f>IF(ISNUMBER('General Info'!$B$40), ((SamplingData[[#This Row],[up/U Selection Probability]]) * 'General Info'!$B$40) - 1, 0)</f>
        <v>4.815710809377828</v>
      </c>
      <c r="V354" s="100">
        <f>IF(ISNUMBER('General Info'!$B$40), (SamplingData[[#This Row],[Running (cumulative) sum]] * ('General Info'!$B$40 -'General Info'!$B$41 + 1)) + 'General Info'!$B$41 - 1, 0)</f>
        <v>17870.639122618137</v>
      </c>
      <c r="W354" s="100" t="str">
        <f>IF(ISERROR(MATCH(SamplingData[[#This Row],[Batch by Type (p)]],SelectedPrecincts[Batch Name], 0)), "", INDEX(SelectedPrecincts[Draw], MATCH(SamplingData[[#This Row],[Batch by Type (p)]],SelectedPrecincts[Batch Name], 0)))</f>
        <v/>
      </c>
      <c r="X354" s="102">
        <f>IF(COUNTIF(SelectedPrecincts[Batch Name],SamplingData[[#This Row],[Batch by Type (p)]]) &lt;&gt; 0, COUNTIF(SelectedPrecincts[Batch Name],SamplingData[[#This Row],[Batch by Type (p)]]), 0)</f>
        <v>0</v>
      </c>
    </row>
    <row r="355" spans="1:24" ht="15" customHeight="1">
      <c r="A355" s="18" t="s">
        <v>531</v>
      </c>
      <c r="B355" s="18">
        <v>0</v>
      </c>
      <c r="C355" s="18">
        <v>0</v>
      </c>
      <c r="D355" s="16">
        <v>0</v>
      </c>
      <c r="E355" s="16">
        <v>0</v>
      </c>
      <c r="F355" s="37">
        <v>0</v>
      </c>
      <c r="G355" s="37">
        <v>0</v>
      </c>
      <c r="H355" s="17">
        <v>0</v>
      </c>
      <c r="I355" s="17">
        <v>0</v>
      </c>
      <c r="J355" s="99">
        <f>SUM(SamplingData[[#This Row],[Losing Candidate]:[Under Votes]])</f>
        <v>0</v>
      </c>
      <c r="K355" s="100">
        <f>IF(AND(SamplingData[[#This Row],[Total]]&lt;&gt; 0, NOT(ISBLANK(SamplingData[[#This Row],[Losing Candidate]]))),(SamplingData[[#This Row],[Total]]+SamplingData[[#This Row],[Winning Candidate]]-SamplingData[[#This Row],[Losing Candidate]])/(SamplingData[[#Totals],[Winning Candidate]]-SamplingData[[#Totals],[Losing Candidate]]), 0)</f>
        <v>0</v>
      </c>
      <c r="L355" s="100">
        <f>IF(AND(SamplingData[[#This Row],[Total]]&lt;&gt; 0, NOT(ISBLANK(SamplingData[[#This Row],[Candidate 3]]))),(SamplingData[[#This Row],[Total]]+SamplingData[[#This Row],[Winning Candidate]]-SamplingData[[#This Row],[Candidate 3]])/(SamplingData[[#Totals],[Winning Candidate]]-SamplingData[[#Totals],[Candidate 3]]), 0)</f>
        <v>0</v>
      </c>
      <c r="M355" s="100">
        <f>IF(AND(SamplingData[[#This Row],[Total]]&lt;&gt; 0, NOT(ISBLANK(SamplingData[[#This Row],[Candidate 4]]))),(SamplingData[[#This Row],[Total]]+SamplingData[[#This Row],[Winning Candidate]]-SamplingData[[#This Row],[Candidate 4]])/(SamplingData[[#Totals],[Winning Candidate]]-SamplingData[[#Totals],[Candidate 4]]), 0)</f>
        <v>0</v>
      </c>
      <c r="N355" s="100">
        <f>IF(AND(SamplingData[[#This Row],[Total]]&lt;&gt; 0, NOT(ISBLANK(SamplingData[[#This Row],[Candidate 5]]))),(SamplingData[[#This Row],[Total]]+SamplingData[[#This Row],[Winning Candidate]]-SamplingData[[#This Row],[Candidate 5]])/(SamplingData[[#Totals],[Winning Candidate]]-SamplingData[[#Totals],[Candidate 5]]), 0)</f>
        <v>0</v>
      </c>
      <c r="O355" s="100">
        <f>IF(AND(SamplingData[[#This Row],[Total]]&lt;&gt; 0, NOT(ISBLANK(SamplingData[[#This Row],[Candidate 6]]))),(SamplingData[[#This Row],[Total]]+SamplingData[[#This Row],[Winning Candidate]]-SamplingData[[#This Row],[Candidate 6]])/(SamplingData[[#Totals],[Winning Candidate]]-SamplingData[[#Totals],[Candidate 6]]), 0)</f>
        <v>0</v>
      </c>
      <c r="P355" s="100">
        <f>MAX(SamplingData[[#This Row],[Error Bound (up) - Max. possible relative overstatement - Losing Candidate]:[Error Bound (up) - Max. possible relative overstatement - Candidate 6]])</f>
        <v>0</v>
      </c>
      <c r="Q355" s="100">
        <f>IF(SamplingData[[#This Row],[Max Error Bound (up)]] = 0,0,SamplingData[[#This Row],[Max Error Bound (up)]]/SamplingData[[#Totals],[Max Error Bound (up)]])</f>
        <v>0</v>
      </c>
      <c r="R355" s="101">
        <f>SUM($Q$5:Q355)</f>
        <v>0.17871639122618135</v>
      </c>
      <c r="S355" s="100" t="str">
        <f t="array" ref="S355">IF(SamplingData[[#This Row],[up/U Selection Probability]] = 0, "Zero", TEXT(SamplingData[[#This Row],[Lower Range]], REPT("0",LEN('General Info'!$B$40))) &amp; " - " &amp; TEXT(SamplingData[[#This Row],[Upper Range]], REPT("0",LEN('General Info'!$B$40))))</f>
        <v>Zero</v>
      </c>
      <c r="T355" s="100">
        <f>SamplingData[[#This Row],[Upper Range]]-SamplingData[[#This Row],[Span]]</f>
        <v>17871.639122618137</v>
      </c>
      <c r="U355" s="100">
        <f>IF(ISNUMBER('General Info'!$B$40), ((SamplingData[[#This Row],[up/U Selection Probability]]) * 'General Info'!$B$40) - 1, 0)</f>
        <v>-1</v>
      </c>
      <c r="V355" s="100">
        <f>IF(ISNUMBER('General Info'!$B$40), (SamplingData[[#This Row],[Running (cumulative) sum]] * ('General Info'!$B$40 -'General Info'!$B$41 + 1)) + 'General Info'!$B$41 - 1, 0)</f>
        <v>17870.639122618137</v>
      </c>
      <c r="W355" s="100" t="str">
        <f>IF(ISERROR(MATCH(SamplingData[[#This Row],[Batch by Type (p)]],SelectedPrecincts[Batch Name], 0)), "", INDEX(SelectedPrecincts[Draw], MATCH(SamplingData[[#This Row],[Batch by Type (p)]],SelectedPrecincts[Batch Name], 0)))</f>
        <v/>
      </c>
      <c r="X355" s="102">
        <f>IF(COUNTIF(SelectedPrecincts[Batch Name],SamplingData[[#This Row],[Batch by Type (p)]]) &lt;&gt; 0, COUNTIF(SelectedPrecincts[Batch Name],SamplingData[[#This Row],[Batch by Type (p)]]), 0)</f>
        <v>0</v>
      </c>
    </row>
    <row r="356" spans="1:24" ht="15" customHeight="1">
      <c r="A356" s="18" t="s">
        <v>532</v>
      </c>
      <c r="B356" s="18">
        <v>0</v>
      </c>
      <c r="C356" s="18">
        <v>0</v>
      </c>
      <c r="D356" s="18">
        <v>0</v>
      </c>
      <c r="E356" s="18">
        <v>0</v>
      </c>
      <c r="F356" s="18">
        <v>0</v>
      </c>
      <c r="G356" s="18">
        <v>0</v>
      </c>
      <c r="H356" s="18">
        <v>0</v>
      </c>
      <c r="I356" s="18">
        <v>0</v>
      </c>
      <c r="J356" s="99">
        <f>SUM(SamplingData[[#This Row],[Losing Candidate]:[Under Votes]])</f>
        <v>0</v>
      </c>
      <c r="K356" s="100">
        <f>IF(AND(SamplingData[[#This Row],[Total]]&lt;&gt; 0, NOT(ISBLANK(SamplingData[[#This Row],[Losing Candidate]]))),(SamplingData[[#This Row],[Total]]+SamplingData[[#This Row],[Winning Candidate]]-SamplingData[[#This Row],[Losing Candidate]])/(SamplingData[[#Totals],[Winning Candidate]]-SamplingData[[#Totals],[Losing Candidate]]), 0)</f>
        <v>0</v>
      </c>
      <c r="L356" s="100">
        <f>IF(AND(SamplingData[[#This Row],[Total]]&lt;&gt; 0, NOT(ISBLANK(SamplingData[[#This Row],[Candidate 3]]))),(SamplingData[[#This Row],[Total]]+SamplingData[[#This Row],[Winning Candidate]]-SamplingData[[#This Row],[Candidate 3]])/(SamplingData[[#Totals],[Winning Candidate]]-SamplingData[[#Totals],[Candidate 3]]), 0)</f>
        <v>0</v>
      </c>
      <c r="M356" s="100">
        <f>IF(AND(SamplingData[[#This Row],[Total]]&lt;&gt; 0, NOT(ISBLANK(SamplingData[[#This Row],[Candidate 4]]))),(SamplingData[[#This Row],[Total]]+SamplingData[[#This Row],[Winning Candidate]]-SamplingData[[#This Row],[Candidate 4]])/(SamplingData[[#Totals],[Winning Candidate]]-SamplingData[[#Totals],[Candidate 4]]), 0)</f>
        <v>0</v>
      </c>
      <c r="N356" s="100">
        <f>IF(AND(SamplingData[[#This Row],[Total]]&lt;&gt; 0, NOT(ISBLANK(SamplingData[[#This Row],[Candidate 5]]))),(SamplingData[[#This Row],[Total]]+SamplingData[[#This Row],[Winning Candidate]]-SamplingData[[#This Row],[Candidate 5]])/(SamplingData[[#Totals],[Winning Candidate]]-SamplingData[[#Totals],[Candidate 5]]), 0)</f>
        <v>0</v>
      </c>
      <c r="O356" s="100">
        <f>IF(AND(SamplingData[[#This Row],[Total]]&lt;&gt; 0, NOT(ISBLANK(SamplingData[[#This Row],[Candidate 6]]))),(SamplingData[[#This Row],[Total]]+SamplingData[[#This Row],[Winning Candidate]]-SamplingData[[#This Row],[Candidate 6]])/(SamplingData[[#Totals],[Winning Candidate]]-SamplingData[[#Totals],[Candidate 6]]), 0)</f>
        <v>0</v>
      </c>
      <c r="P356" s="100">
        <f>MAX(SamplingData[[#This Row],[Error Bound (up) - Max. possible relative overstatement - Losing Candidate]:[Error Bound (up) - Max. possible relative overstatement - Candidate 6]])</f>
        <v>0</v>
      </c>
      <c r="Q356" s="100">
        <f>IF(SamplingData[[#This Row],[Max Error Bound (up)]] = 0,0,SamplingData[[#This Row],[Max Error Bound (up)]]/SamplingData[[#Totals],[Max Error Bound (up)]])</f>
        <v>0</v>
      </c>
      <c r="R356" s="101">
        <f>SUM($Q$5:Q356)</f>
        <v>0.17871639122618135</v>
      </c>
      <c r="S356" s="100" t="str">
        <f t="array" ref="S356">IF(SamplingData[[#This Row],[up/U Selection Probability]] = 0, "Zero", TEXT(SamplingData[[#This Row],[Lower Range]], REPT("0",LEN('General Info'!$B$40))) &amp; " - " &amp; TEXT(SamplingData[[#This Row],[Upper Range]], REPT("0",LEN('General Info'!$B$40))))</f>
        <v>Zero</v>
      </c>
      <c r="T356" s="100">
        <f>SamplingData[[#This Row],[Upper Range]]-SamplingData[[#This Row],[Span]]</f>
        <v>17871.639122618137</v>
      </c>
      <c r="U356" s="100">
        <f>IF(ISNUMBER('General Info'!$B$40), ((SamplingData[[#This Row],[up/U Selection Probability]]) * 'General Info'!$B$40) - 1, 0)</f>
        <v>-1</v>
      </c>
      <c r="V356" s="100">
        <f>IF(ISNUMBER('General Info'!$B$40), (SamplingData[[#This Row],[Running (cumulative) sum]] * ('General Info'!$B$40 -'General Info'!$B$41 + 1)) + 'General Info'!$B$41 - 1, 0)</f>
        <v>17870.639122618137</v>
      </c>
      <c r="W356" s="100" t="str">
        <f>IF(ISERROR(MATCH(SamplingData[[#This Row],[Batch by Type (p)]],SelectedPrecincts[Batch Name], 0)), "", INDEX(SelectedPrecincts[Draw], MATCH(SamplingData[[#This Row],[Batch by Type (p)]],SelectedPrecincts[Batch Name], 0)))</f>
        <v/>
      </c>
      <c r="X356" s="102">
        <f>IF(COUNTIF(SelectedPrecincts[Batch Name],SamplingData[[#This Row],[Batch by Type (p)]]) &lt;&gt; 0, COUNTIF(SelectedPrecincts[Batch Name],SamplingData[[#This Row],[Batch by Type (p)]]), 0)</f>
        <v>0</v>
      </c>
    </row>
    <row r="357" spans="1:24" ht="15" customHeight="1">
      <c r="A357" s="18" t="s">
        <v>533</v>
      </c>
      <c r="B357" s="18">
        <v>10</v>
      </c>
      <c r="C357" s="18">
        <v>22</v>
      </c>
      <c r="D357" s="16">
        <v>5</v>
      </c>
      <c r="E357" s="16">
        <v>6</v>
      </c>
      <c r="F357" s="37">
        <v>0</v>
      </c>
      <c r="G357" s="37">
        <v>1</v>
      </c>
      <c r="H357" s="17">
        <v>0</v>
      </c>
      <c r="I357" s="17">
        <v>0</v>
      </c>
      <c r="J357" s="99">
        <f>SUM(SamplingData[[#This Row],[Losing Candidate]:[Under Votes]])</f>
        <v>44</v>
      </c>
      <c r="K357"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357" s="100">
        <f>IF(AND(SamplingData[[#This Row],[Total]]&lt;&gt; 0, NOT(ISBLANK(SamplingData[[#This Row],[Candidate 3]]))),(SamplingData[[#This Row],[Total]]+SamplingData[[#This Row],[Winning Candidate]]-SamplingData[[#This Row],[Candidate 3]])/(SamplingData[[#Totals],[Winning Candidate]]-SamplingData[[#Totals],[Candidate 3]]), 0)</f>
        <v>1.9679323805529567E-3</v>
      </c>
      <c r="M357" s="100">
        <f>IF(AND(SamplingData[[#This Row],[Total]]&lt;&gt; 0, NOT(ISBLANK(SamplingData[[#This Row],[Candidate 4]]))),(SamplingData[[#This Row],[Total]]+SamplingData[[#This Row],[Winning Candidate]]-SamplingData[[#This Row],[Candidate 4]])/(SamplingData[[#Totals],[Winning Candidate]]-SamplingData[[#Totals],[Candidate 4]]), 0)</f>
        <v>1.7539244058581076E-3</v>
      </c>
      <c r="N357" s="100">
        <f>IF(AND(SamplingData[[#This Row],[Total]]&lt;&gt; 0, NOT(ISBLANK(SamplingData[[#This Row],[Candidate 5]]))),(SamplingData[[#This Row],[Total]]+SamplingData[[#This Row],[Winning Candidate]]-SamplingData[[#This Row],[Candidate 5]])/(SamplingData[[#Totals],[Winning Candidate]]-SamplingData[[#Totals],[Candidate 5]]), 0)</f>
        <v>1.6054487959134031E-3</v>
      </c>
      <c r="O357" s="100">
        <f>IF(AND(SamplingData[[#This Row],[Total]]&lt;&gt; 0, NOT(ISBLANK(SamplingData[[#This Row],[Candidate 6]]))),(SamplingData[[#This Row],[Total]]+SamplingData[[#This Row],[Winning Candidate]]-SamplingData[[#This Row],[Candidate 6]])/(SamplingData[[#Totals],[Winning Candidate]]-SamplingData[[#Totals],[Candidate 6]]), 0)</f>
        <v>1.5806624191430378E-3</v>
      </c>
      <c r="P357" s="100">
        <f>MAX(SamplingData[[#This Row],[Error Bound (up) - Max. possible relative overstatement - Losing Candidate]:[Error Bound (up) - Max. possible relative overstatement - Candidate 6]])</f>
        <v>3.4296913277804997E-3</v>
      </c>
      <c r="Q357" s="100">
        <f>IF(SamplingData[[#This Row],[Max Error Bound (up)]] = 0,0,SamplingData[[#This Row],[Max Error Bound (up)]]/SamplingData[[#Totals],[Max Error Bound (up)]])</f>
        <v>5.4280510359296661E-4</v>
      </c>
      <c r="R357" s="101">
        <f>SUM($Q$5:Q357)</f>
        <v>0.17925919632977433</v>
      </c>
      <c r="S357" s="100" t="str">
        <f t="array" ref="S357">IF(SamplingData[[#This Row],[up/U Selection Probability]] = 0, "Zero", TEXT(SamplingData[[#This Row],[Lower Range]], REPT("0",LEN('General Info'!$B$40))) &amp; " - " &amp; TEXT(SamplingData[[#This Row],[Upper Range]], REPT("0",LEN('General Info'!$B$40))))</f>
        <v>17872 - 17925</v>
      </c>
      <c r="T357" s="100">
        <f>SamplingData[[#This Row],[Upper Range]]-SamplingData[[#This Row],[Span]]</f>
        <v>17871.639665423238</v>
      </c>
      <c r="U357" s="100">
        <f>IF(ISNUMBER('General Info'!$B$40), ((SamplingData[[#This Row],[up/U Selection Probability]]) * 'General Info'!$B$40) - 1, 0)</f>
        <v>53.279967554193071</v>
      </c>
      <c r="V357" s="100">
        <f>IF(ISNUMBER('General Info'!$B$40), (SamplingData[[#This Row],[Running (cumulative) sum]] * ('General Info'!$B$40 -'General Info'!$B$41 + 1)) + 'General Info'!$B$41 - 1, 0)</f>
        <v>17924.919632977431</v>
      </c>
      <c r="W357" s="100" t="str">
        <f>IF(ISERROR(MATCH(SamplingData[[#This Row],[Batch by Type (p)]],SelectedPrecincts[Batch Name], 0)), "", INDEX(SelectedPrecincts[Draw], MATCH(SamplingData[[#This Row],[Batch by Type (p)]],SelectedPrecincts[Batch Name], 0)))</f>
        <v/>
      </c>
      <c r="X357" s="102">
        <f>IF(COUNTIF(SelectedPrecincts[Batch Name],SamplingData[[#This Row],[Batch by Type (p)]]) &lt;&gt; 0, COUNTIF(SelectedPrecincts[Batch Name],SamplingData[[#This Row],[Batch by Type (p)]]), 0)</f>
        <v>0</v>
      </c>
    </row>
    <row r="358" spans="1:24" ht="15" customHeight="1">
      <c r="A358" s="18" t="s">
        <v>534</v>
      </c>
      <c r="B358" s="18">
        <v>4</v>
      </c>
      <c r="C358" s="18">
        <v>1</v>
      </c>
      <c r="D358" s="18">
        <v>0</v>
      </c>
      <c r="E358" s="18">
        <v>1</v>
      </c>
      <c r="F358" s="18">
        <v>0</v>
      </c>
      <c r="G358" s="18">
        <v>0</v>
      </c>
      <c r="H358" s="18">
        <v>0</v>
      </c>
      <c r="I358" s="18">
        <v>0</v>
      </c>
      <c r="J358" s="99">
        <f>SUM(SamplingData[[#This Row],[Losing Candidate]:[Under Votes]])</f>
        <v>6</v>
      </c>
      <c r="K358"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358" s="100">
        <f>IF(AND(SamplingData[[#This Row],[Total]]&lt;&gt; 0, NOT(ISBLANK(SamplingData[[#This Row],[Candidate 3]]))),(SamplingData[[#This Row],[Total]]+SamplingData[[#This Row],[Winning Candidate]]-SamplingData[[#This Row],[Candidate 3]])/(SamplingData[[#Totals],[Winning Candidate]]-SamplingData[[#Totals],[Candidate 3]]), 0)</f>
        <v>2.258283059650934E-4</v>
      </c>
      <c r="M358" s="100">
        <f>IF(AND(SamplingData[[#This Row],[Total]]&lt;&gt; 0, NOT(ISBLANK(SamplingData[[#This Row],[Candidate 4]]))),(SamplingData[[#This Row],[Total]]+SamplingData[[#This Row],[Winning Candidate]]-SamplingData[[#This Row],[Candidate 4]])/(SamplingData[[#Totals],[Winning Candidate]]-SamplingData[[#Totals],[Candidate 4]]), 0)</f>
        <v>1.7539244058581075E-4</v>
      </c>
      <c r="N358" s="100">
        <f>IF(AND(SamplingData[[#This Row],[Total]]&lt;&gt; 0, NOT(ISBLANK(SamplingData[[#This Row],[Candidate 5]]))),(SamplingData[[#This Row],[Total]]+SamplingData[[#This Row],[Winning Candidate]]-SamplingData[[#This Row],[Candidate 5]])/(SamplingData[[#Totals],[Winning Candidate]]-SamplingData[[#Totals],[Candidate 5]]), 0)</f>
        <v>1.7027487229384579E-4</v>
      </c>
      <c r="O358" s="100">
        <f>IF(AND(SamplingData[[#This Row],[Total]]&lt;&gt; 0, NOT(ISBLANK(SamplingData[[#This Row],[Candidate 6]]))),(SamplingData[[#This Row],[Total]]+SamplingData[[#This Row],[Winning Candidate]]-SamplingData[[#This Row],[Candidate 6]])/(SamplingData[[#Totals],[Winning Candidate]]-SamplingData[[#Totals],[Candidate 6]]), 0)</f>
        <v>1.7022518360001944E-4</v>
      </c>
      <c r="P358" s="100">
        <f>MAX(SamplingData[[#This Row],[Error Bound (up) - Max. possible relative overstatement - Losing Candidate]:[Error Bound (up) - Max. possible relative overstatement - Candidate 6]])</f>
        <v>2.258283059650934E-4</v>
      </c>
      <c r="Q358" s="100">
        <f>IF(SamplingData[[#This Row],[Max Error Bound (up)]] = 0,0,SamplingData[[#This Row],[Max Error Bound (up)]]/SamplingData[[#Totals],[Max Error Bound (up)]])</f>
        <v>3.5741046437824461E-5</v>
      </c>
      <c r="R358" s="101">
        <f>SUM($Q$5:Q358)</f>
        <v>0.17929493737621216</v>
      </c>
      <c r="S358" s="100" t="str">
        <f t="array" ref="S358">IF(SamplingData[[#This Row],[up/U Selection Probability]] = 0, "Zero", TEXT(SamplingData[[#This Row],[Lower Range]], REPT("0",LEN('General Info'!$B$40))) &amp; " - " &amp; TEXT(SamplingData[[#This Row],[Upper Range]], REPT("0",LEN('General Info'!$B$40))))</f>
        <v>17926 - 17928</v>
      </c>
      <c r="T358" s="100">
        <f>SamplingData[[#This Row],[Upper Range]]-SamplingData[[#This Row],[Span]]</f>
        <v>17925.919668718478</v>
      </c>
      <c r="U358" s="100">
        <f>IF(ISNUMBER('General Info'!$B$40), ((SamplingData[[#This Row],[up/U Selection Probability]]) * 'General Info'!$B$40) - 1, 0)</f>
        <v>2.5740689027360082</v>
      </c>
      <c r="V358" s="100">
        <f>IF(ISNUMBER('General Info'!$B$40), (SamplingData[[#This Row],[Running (cumulative) sum]] * ('General Info'!$B$40 -'General Info'!$B$41 + 1)) + 'General Info'!$B$41 - 1, 0)</f>
        <v>17928.493737621215</v>
      </c>
      <c r="W358" s="100" t="str">
        <f>IF(ISERROR(MATCH(SamplingData[[#This Row],[Batch by Type (p)]],SelectedPrecincts[Batch Name], 0)), "", INDEX(SelectedPrecincts[Draw], MATCH(SamplingData[[#This Row],[Batch by Type (p)]],SelectedPrecincts[Batch Name], 0)))</f>
        <v/>
      </c>
      <c r="X358" s="102">
        <f>IF(COUNTIF(SelectedPrecincts[Batch Name],SamplingData[[#This Row],[Batch by Type (p)]]) &lt;&gt; 0, COUNTIF(SelectedPrecincts[Batch Name],SamplingData[[#This Row],[Batch by Type (p)]]), 0)</f>
        <v>0</v>
      </c>
    </row>
    <row r="359" spans="1:24" ht="15" customHeight="1">
      <c r="A359" s="18" t="s">
        <v>535</v>
      </c>
      <c r="B359" s="18">
        <v>18</v>
      </c>
      <c r="C359" s="18">
        <v>13</v>
      </c>
      <c r="D359" s="16">
        <v>7</v>
      </c>
      <c r="E359" s="16">
        <v>6</v>
      </c>
      <c r="F359" s="37">
        <v>0</v>
      </c>
      <c r="G359" s="37">
        <v>0</v>
      </c>
      <c r="H359" s="17">
        <v>0</v>
      </c>
      <c r="I359" s="17">
        <v>0</v>
      </c>
      <c r="J359" s="99">
        <f>SUM(SamplingData[[#This Row],[Losing Candidate]:[Under Votes]])</f>
        <v>44</v>
      </c>
      <c r="K359"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359" s="100">
        <f>IF(AND(SamplingData[[#This Row],[Total]]&lt;&gt; 0, NOT(ISBLANK(SamplingData[[#This Row],[Candidate 3]]))),(SamplingData[[#This Row],[Total]]+SamplingData[[#This Row],[Winning Candidate]]-SamplingData[[#This Row],[Candidate 3]])/(SamplingData[[#Totals],[Winning Candidate]]-SamplingData[[#Totals],[Candidate 3]]), 0)</f>
        <v>1.6130593283220957E-3</v>
      </c>
      <c r="M359" s="100">
        <f>IF(AND(SamplingData[[#This Row],[Total]]&lt;&gt; 0, NOT(ISBLANK(SamplingData[[#This Row],[Candidate 4]]))),(SamplingData[[#This Row],[Total]]+SamplingData[[#This Row],[Winning Candidate]]-SamplingData[[#This Row],[Candidate 4]])/(SamplingData[[#Totals],[Winning Candidate]]-SamplingData[[#Totals],[Candidate 4]]), 0)</f>
        <v>1.4908357449793914E-3</v>
      </c>
      <c r="N359" s="100">
        <f>IF(AND(SamplingData[[#This Row],[Total]]&lt;&gt; 0, NOT(ISBLANK(SamplingData[[#This Row],[Candidate 5]]))),(SamplingData[[#This Row],[Total]]+SamplingData[[#This Row],[Winning Candidate]]-SamplingData[[#This Row],[Candidate 5]])/(SamplingData[[#Totals],[Winning Candidate]]-SamplingData[[#Totals],[Candidate 5]]), 0)</f>
        <v>1.3865239601070299E-3</v>
      </c>
      <c r="O359" s="100">
        <f>IF(AND(SamplingData[[#This Row],[Total]]&lt;&gt; 0, NOT(ISBLANK(SamplingData[[#This Row],[Candidate 6]]))),(SamplingData[[#This Row],[Total]]+SamplingData[[#This Row],[Winning Candidate]]-SamplingData[[#This Row],[Candidate 6]])/(SamplingData[[#Totals],[Winning Candidate]]-SamplingData[[#Totals],[Candidate 6]]), 0)</f>
        <v>1.3861193521715869E-3</v>
      </c>
      <c r="P359" s="100">
        <f>MAX(SamplingData[[#This Row],[Error Bound (up) - Max. possible relative overstatement - Losing Candidate]:[Error Bound (up) - Max. possible relative overstatement - Candidate 6]])</f>
        <v>2.3885350318471337E-3</v>
      </c>
      <c r="Q359" s="100">
        <f>IF(SamplingData[[#This Row],[Max Error Bound (up)]] = 0,0,SamplingData[[#This Row],[Max Error Bound (up)]]/SamplingData[[#Totals],[Max Error Bound (up)]])</f>
        <v>3.7802498285938744E-4</v>
      </c>
      <c r="R359" s="101">
        <f>SUM($Q$5:Q359)</f>
        <v>0.17967296235907154</v>
      </c>
      <c r="S359" s="100" t="str">
        <f t="array" ref="S359">IF(SamplingData[[#This Row],[up/U Selection Probability]] = 0, "Zero", TEXT(SamplingData[[#This Row],[Lower Range]], REPT("0",LEN('General Info'!$B$40))) &amp; " - " &amp; TEXT(SamplingData[[#This Row],[Upper Range]], REPT("0",LEN('General Info'!$B$40))))</f>
        <v>17929 - 17966</v>
      </c>
      <c r="T359" s="100">
        <f>SamplingData[[#This Row],[Upper Range]]-SamplingData[[#This Row],[Span]]</f>
        <v>17929.494115646197</v>
      </c>
      <c r="U359" s="100">
        <f>IF(ISNUMBER('General Info'!$B$40), ((SamplingData[[#This Row],[up/U Selection Probability]]) * 'General Info'!$B$40) - 1, 0)</f>
        <v>36.802120260955881</v>
      </c>
      <c r="V359" s="100">
        <f>IF(ISNUMBER('General Info'!$B$40), (SamplingData[[#This Row],[Running (cumulative) sum]] * ('General Info'!$B$40 -'General Info'!$B$41 + 1)) + 'General Info'!$B$41 - 1, 0)</f>
        <v>17966.296235907153</v>
      </c>
      <c r="W359" s="100" t="str">
        <f>IF(ISERROR(MATCH(SamplingData[[#This Row],[Batch by Type (p)]],SelectedPrecincts[Batch Name], 0)), "", INDEX(SelectedPrecincts[Draw], MATCH(SamplingData[[#This Row],[Batch by Type (p)]],SelectedPrecincts[Batch Name], 0)))</f>
        <v/>
      </c>
      <c r="X359" s="102">
        <f>IF(COUNTIF(SelectedPrecincts[Batch Name],SamplingData[[#This Row],[Batch by Type (p)]]) &lt;&gt; 0, COUNTIF(SelectedPrecincts[Batch Name],SamplingData[[#This Row],[Batch by Type (p)]]), 0)</f>
        <v>0</v>
      </c>
    </row>
    <row r="360" spans="1:24" ht="15" customHeight="1">
      <c r="A360" s="18" t="s">
        <v>536</v>
      </c>
      <c r="B360" s="18">
        <v>6</v>
      </c>
      <c r="C360" s="18">
        <v>3</v>
      </c>
      <c r="D360" s="18">
        <v>0</v>
      </c>
      <c r="E360" s="18">
        <v>0</v>
      </c>
      <c r="F360" s="18">
        <v>0</v>
      </c>
      <c r="G360" s="18">
        <v>0</v>
      </c>
      <c r="H360" s="18">
        <v>0</v>
      </c>
      <c r="I360" s="18">
        <v>0</v>
      </c>
      <c r="J360" s="99">
        <f>SUM(SamplingData[[#This Row],[Losing Candidate]:[Under Votes]])</f>
        <v>9</v>
      </c>
      <c r="K360"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360" s="100">
        <f>IF(AND(SamplingData[[#This Row],[Total]]&lt;&gt; 0, NOT(ISBLANK(SamplingData[[#This Row],[Candidate 3]]))),(SamplingData[[#This Row],[Total]]+SamplingData[[#This Row],[Winning Candidate]]-SamplingData[[#This Row],[Candidate 3]])/(SamplingData[[#Totals],[Winning Candidate]]-SamplingData[[#Totals],[Candidate 3]]), 0)</f>
        <v>3.8713423879730297E-4</v>
      </c>
      <c r="M360" s="100">
        <f>IF(AND(SamplingData[[#This Row],[Total]]&lt;&gt; 0, NOT(ISBLANK(SamplingData[[#This Row],[Candidate 4]]))),(SamplingData[[#This Row],[Total]]+SamplingData[[#This Row],[Winning Candidate]]-SamplingData[[#This Row],[Candidate 4]])/(SamplingData[[#Totals],[Winning Candidate]]-SamplingData[[#Totals],[Candidate 4]]), 0)</f>
        <v>3.5078488117162149E-4</v>
      </c>
      <c r="N360" s="100">
        <f>IF(AND(SamplingData[[#This Row],[Total]]&lt;&gt; 0, NOT(ISBLANK(SamplingData[[#This Row],[Candidate 5]]))),(SamplingData[[#This Row],[Total]]+SamplingData[[#This Row],[Winning Candidate]]-SamplingData[[#This Row],[Candidate 5]])/(SamplingData[[#Totals],[Winning Candidate]]-SamplingData[[#Totals],[Candidate 5]]), 0)</f>
        <v>2.9189978107516421E-4</v>
      </c>
      <c r="O360" s="100">
        <f>IF(AND(SamplingData[[#This Row],[Total]]&lt;&gt; 0, NOT(ISBLANK(SamplingData[[#This Row],[Candidate 6]]))),(SamplingData[[#This Row],[Total]]+SamplingData[[#This Row],[Winning Candidate]]-SamplingData[[#This Row],[Candidate 6]])/(SamplingData[[#Totals],[Winning Candidate]]-SamplingData[[#Totals],[Candidate 6]]), 0)</f>
        <v>2.9181460045717622E-4</v>
      </c>
      <c r="P360" s="100">
        <f>MAX(SamplingData[[#This Row],[Error Bound (up) - Max. possible relative overstatement - Losing Candidate]:[Error Bound (up) - Max. possible relative overstatement - Candidate 6]])</f>
        <v>3.8713423879730297E-4</v>
      </c>
      <c r="Q360" s="100">
        <f>IF(SamplingData[[#This Row],[Max Error Bound (up)]] = 0,0,SamplingData[[#This Row],[Max Error Bound (up)]]/SamplingData[[#Totals],[Max Error Bound (up)]])</f>
        <v>6.1270365321984796E-5</v>
      </c>
      <c r="R360" s="101">
        <f>SUM($Q$5:Q360)</f>
        <v>0.17973423272439354</v>
      </c>
      <c r="S360" s="100" t="str">
        <f t="array" ref="S360">IF(SamplingData[[#This Row],[up/U Selection Probability]] = 0, "Zero", TEXT(SamplingData[[#This Row],[Lower Range]], REPT("0",LEN('General Info'!$B$40))) &amp; " - " &amp; TEXT(SamplingData[[#This Row],[Upper Range]], REPT("0",LEN('General Info'!$B$40))))</f>
        <v>17967 - 17972</v>
      </c>
      <c r="T360" s="100">
        <f>SamplingData[[#This Row],[Upper Range]]-SamplingData[[#This Row],[Span]]</f>
        <v>17967.296297177523</v>
      </c>
      <c r="U360" s="100">
        <f>IF(ISNUMBER('General Info'!$B$40), ((SamplingData[[#This Row],[up/U Selection Probability]]) * 'General Info'!$B$40) - 1, 0)</f>
        <v>5.1269752618331577</v>
      </c>
      <c r="V360" s="100">
        <f>IF(ISNUMBER('General Info'!$B$40), (SamplingData[[#This Row],[Running (cumulative) sum]] * ('General Info'!$B$40 -'General Info'!$B$41 + 1)) + 'General Info'!$B$41 - 1, 0)</f>
        <v>17972.423272439355</v>
      </c>
      <c r="W360" s="100" t="str">
        <f>IF(ISERROR(MATCH(SamplingData[[#This Row],[Batch by Type (p)]],SelectedPrecincts[Batch Name], 0)), "", INDEX(SelectedPrecincts[Draw], MATCH(SamplingData[[#This Row],[Batch by Type (p)]],SelectedPrecincts[Batch Name], 0)))</f>
        <v/>
      </c>
      <c r="X360" s="102">
        <f>IF(COUNTIF(SelectedPrecincts[Batch Name],SamplingData[[#This Row],[Batch by Type (p)]]) &lt;&gt; 0, COUNTIF(SelectedPrecincts[Batch Name],SamplingData[[#This Row],[Batch by Type (p)]]), 0)</f>
        <v>0</v>
      </c>
    </row>
    <row r="361" spans="1:24" ht="15" customHeight="1">
      <c r="A361" s="18" t="s">
        <v>537</v>
      </c>
      <c r="B361" s="18">
        <v>3</v>
      </c>
      <c r="C361" s="18">
        <v>16</v>
      </c>
      <c r="D361" s="16">
        <v>3</v>
      </c>
      <c r="E361" s="16">
        <v>2</v>
      </c>
      <c r="F361" s="37">
        <v>0</v>
      </c>
      <c r="G361" s="37">
        <v>0</v>
      </c>
      <c r="H361" s="17">
        <v>0</v>
      </c>
      <c r="I361" s="17">
        <v>0</v>
      </c>
      <c r="J361" s="99">
        <f>SUM(SamplingData[[#This Row],[Losing Candidate]:[Under Votes]])</f>
        <v>24</v>
      </c>
      <c r="K361" s="100">
        <f>IF(AND(SamplingData[[#This Row],[Total]]&lt;&gt; 0, NOT(ISBLANK(SamplingData[[#This Row],[Losing Candidate]]))),(SamplingData[[#This Row],[Total]]+SamplingData[[#This Row],[Winning Candidate]]-SamplingData[[#This Row],[Losing Candidate]])/(SamplingData[[#Totals],[Winning Candidate]]-SamplingData[[#Totals],[Losing Candidate]]), 0)</f>
        <v>2.2660460558549728E-3</v>
      </c>
      <c r="L361" s="100">
        <f>IF(AND(SamplingData[[#This Row],[Total]]&lt;&gt; 0, NOT(ISBLANK(SamplingData[[#This Row],[Candidate 3]]))),(SamplingData[[#This Row],[Total]]+SamplingData[[#This Row],[Winning Candidate]]-SamplingData[[#This Row],[Candidate 3]])/(SamplingData[[#Totals],[Winning Candidate]]-SamplingData[[#Totals],[Candidate 3]]), 0)</f>
        <v>1.1936639029583509E-3</v>
      </c>
      <c r="M361" s="100">
        <f>IF(AND(SamplingData[[#This Row],[Total]]&lt;&gt; 0, NOT(ISBLANK(SamplingData[[#This Row],[Candidate 4]]))),(SamplingData[[#This Row],[Total]]+SamplingData[[#This Row],[Winning Candidate]]-SamplingData[[#This Row],[Candidate 4]])/(SamplingData[[#Totals],[Winning Candidate]]-SamplingData[[#Totals],[Candidate 4]]), 0)</f>
        <v>1.1108187903768015E-3</v>
      </c>
      <c r="N361" s="100">
        <f>IF(AND(SamplingData[[#This Row],[Total]]&lt;&gt; 0, NOT(ISBLANK(SamplingData[[#This Row],[Candidate 5]]))),(SamplingData[[#This Row],[Total]]+SamplingData[[#This Row],[Winning Candidate]]-SamplingData[[#This Row],[Candidate 5]])/(SamplingData[[#Totals],[Winning Candidate]]-SamplingData[[#Totals],[Candidate 5]]), 0)</f>
        <v>9.7299927025054731E-4</v>
      </c>
      <c r="O361" s="100">
        <f>IF(AND(SamplingData[[#This Row],[Total]]&lt;&gt; 0, NOT(ISBLANK(SamplingData[[#This Row],[Candidate 6]]))),(SamplingData[[#This Row],[Total]]+SamplingData[[#This Row],[Winning Candidate]]-SamplingData[[#This Row],[Candidate 6]])/(SamplingData[[#Totals],[Winning Candidate]]-SamplingData[[#Totals],[Candidate 6]]), 0)</f>
        <v>9.7271533485725399E-4</v>
      </c>
      <c r="P361" s="100">
        <f>MAX(SamplingData[[#This Row],[Error Bound (up) - Max. possible relative overstatement - Losing Candidate]:[Error Bound (up) - Max. possible relative overstatement - Candidate 6]])</f>
        <v>2.2660460558549728E-3</v>
      </c>
      <c r="Q361" s="100">
        <f>IF(SamplingData[[#This Row],[Max Error Bound (up)]] = 0,0,SamplingData[[#This Row],[Max Error Bound (up)]]/SamplingData[[#Totals],[Max Error Bound (up)]])</f>
        <v>3.5863908630249576E-4</v>
      </c>
      <c r="R361" s="101">
        <f>SUM($Q$5:Q361)</f>
        <v>0.18009287181069603</v>
      </c>
      <c r="S361" s="100" t="str">
        <f t="array" ref="S361">IF(SamplingData[[#This Row],[up/U Selection Probability]] = 0, "Zero", TEXT(SamplingData[[#This Row],[Lower Range]], REPT("0",LEN('General Info'!$B$40))) &amp; " - " &amp; TEXT(SamplingData[[#This Row],[Upper Range]], REPT("0",LEN('General Info'!$B$40))))</f>
        <v>17973 - 18008</v>
      </c>
      <c r="T361" s="100">
        <f>SamplingData[[#This Row],[Upper Range]]-SamplingData[[#This Row],[Span]]</f>
        <v>17973.42363107844</v>
      </c>
      <c r="U361" s="100">
        <f>IF(ISNUMBER('General Info'!$B$40), ((SamplingData[[#This Row],[up/U Selection Probability]]) * 'General Info'!$B$40) - 1, 0)</f>
        <v>34.863549991163275</v>
      </c>
      <c r="V361" s="100">
        <f>IF(ISNUMBER('General Info'!$B$40), (SamplingData[[#This Row],[Running (cumulative) sum]] * ('General Info'!$B$40 -'General Info'!$B$41 + 1)) + 'General Info'!$B$41 - 1, 0)</f>
        <v>18008.287181069602</v>
      </c>
      <c r="W361" s="100" t="str">
        <f>IF(ISERROR(MATCH(SamplingData[[#This Row],[Batch by Type (p)]],SelectedPrecincts[Batch Name], 0)), "", INDEX(SelectedPrecincts[Draw], MATCH(SamplingData[[#This Row],[Batch by Type (p)]],SelectedPrecincts[Batch Name], 0)))</f>
        <v/>
      </c>
      <c r="X361" s="102">
        <f>IF(COUNTIF(SelectedPrecincts[Batch Name],SamplingData[[#This Row],[Batch by Type (p)]]) &lt;&gt; 0, COUNTIF(SelectedPrecincts[Batch Name],SamplingData[[#This Row],[Batch by Type (p)]]), 0)</f>
        <v>0</v>
      </c>
    </row>
    <row r="362" spans="1:24" ht="15" customHeight="1">
      <c r="A362" s="18" t="s">
        <v>538</v>
      </c>
      <c r="B362" s="18">
        <v>0</v>
      </c>
      <c r="C362" s="18">
        <v>4</v>
      </c>
      <c r="D362" s="18">
        <v>0</v>
      </c>
      <c r="E362" s="18">
        <v>1</v>
      </c>
      <c r="F362" s="18">
        <v>0</v>
      </c>
      <c r="G362" s="18">
        <v>0</v>
      </c>
      <c r="H362" s="18">
        <v>0</v>
      </c>
      <c r="I362" s="18">
        <v>0</v>
      </c>
      <c r="J362" s="99">
        <f>SUM(SamplingData[[#This Row],[Losing Candidate]:[Under Votes]])</f>
        <v>5</v>
      </c>
      <c r="K362"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362" s="100">
        <f>IF(AND(SamplingData[[#This Row],[Total]]&lt;&gt; 0, NOT(ISBLANK(SamplingData[[#This Row],[Candidate 3]]))),(SamplingData[[#This Row],[Total]]+SamplingData[[#This Row],[Winning Candidate]]-SamplingData[[#This Row],[Candidate 3]])/(SamplingData[[#Totals],[Winning Candidate]]-SamplingData[[#Totals],[Candidate 3]]), 0)</f>
        <v>2.9035067909797722E-4</v>
      </c>
      <c r="M362" s="100">
        <f>IF(AND(SamplingData[[#This Row],[Total]]&lt;&gt; 0, NOT(ISBLANK(SamplingData[[#This Row],[Candidate 4]]))),(SamplingData[[#This Row],[Total]]+SamplingData[[#This Row],[Winning Candidate]]-SamplingData[[#This Row],[Candidate 4]])/(SamplingData[[#Totals],[Winning Candidate]]-SamplingData[[#Totals],[Candidate 4]]), 0)</f>
        <v>2.3385658744774768E-4</v>
      </c>
      <c r="N362" s="100">
        <f>IF(AND(SamplingData[[#This Row],[Total]]&lt;&gt; 0, NOT(ISBLANK(SamplingData[[#This Row],[Candidate 5]]))),(SamplingData[[#This Row],[Total]]+SamplingData[[#This Row],[Winning Candidate]]-SamplingData[[#This Row],[Candidate 5]])/(SamplingData[[#Totals],[Winning Candidate]]-SamplingData[[#Totals],[Candidate 5]]), 0)</f>
        <v>2.1892483580637315E-4</v>
      </c>
      <c r="O362" s="100">
        <f>IF(AND(SamplingData[[#This Row],[Total]]&lt;&gt; 0, NOT(ISBLANK(SamplingData[[#This Row],[Candidate 6]]))),(SamplingData[[#This Row],[Total]]+SamplingData[[#This Row],[Winning Candidate]]-SamplingData[[#This Row],[Candidate 6]])/(SamplingData[[#Totals],[Winning Candidate]]-SamplingData[[#Totals],[Candidate 6]]), 0)</f>
        <v>2.1886095034288216E-4</v>
      </c>
      <c r="P362" s="100">
        <f>MAX(SamplingData[[#This Row],[Error Bound (up) - Max. possible relative overstatement - Losing Candidate]:[Error Bound (up) - Max. possible relative overstatement - Candidate 6]])</f>
        <v>5.5120039196472322E-4</v>
      </c>
      <c r="Q362" s="100">
        <f>IF(SamplingData[[#This Row],[Max Error Bound (up)]] = 0,0,SamplingData[[#This Row],[Max Error Bound (up)]]/SamplingData[[#Totals],[Max Error Bound (up)]])</f>
        <v>8.7236534506012492E-5</v>
      </c>
      <c r="R362" s="101">
        <f>SUM($Q$5:Q362)</f>
        <v>0.18018010834520204</v>
      </c>
      <c r="S362" s="100" t="str">
        <f t="array" ref="S362">IF(SamplingData[[#This Row],[up/U Selection Probability]] = 0, "Zero", TEXT(SamplingData[[#This Row],[Lower Range]], REPT("0",LEN('General Info'!$B$40))) &amp; " - " &amp; TEXT(SamplingData[[#This Row],[Upper Range]], REPT("0",LEN('General Info'!$B$40))))</f>
        <v>18009 - 18017</v>
      </c>
      <c r="T362" s="100">
        <f>SamplingData[[#This Row],[Upper Range]]-SamplingData[[#This Row],[Span]]</f>
        <v>18009.287268306136</v>
      </c>
      <c r="U362" s="100">
        <f>IF(ISNUMBER('General Info'!$B$40), ((SamplingData[[#This Row],[up/U Selection Probability]]) * 'General Info'!$B$40) - 1, 0)</f>
        <v>7.7235662140667429</v>
      </c>
      <c r="V362" s="100">
        <f>IF(ISNUMBER('General Info'!$B$40), (SamplingData[[#This Row],[Running (cumulative) sum]] * ('General Info'!$B$40 -'General Info'!$B$41 + 1)) + 'General Info'!$B$41 - 1, 0)</f>
        <v>18017.010834520202</v>
      </c>
      <c r="W362" s="100" t="str">
        <f>IF(ISERROR(MATCH(SamplingData[[#This Row],[Batch by Type (p)]],SelectedPrecincts[Batch Name], 0)), "", INDEX(SelectedPrecincts[Draw], MATCH(SamplingData[[#This Row],[Batch by Type (p)]],SelectedPrecincts[Batch Name], 0)))</f>
        <v/>
      </c>
      <c r="X362" s="102">
        <f>IF(COUNTIF(SelectedPrecincts[Batch Name],SamplingData[[#This Row],[Batch by Type (p)]]) &lt;&gt; 0, COUNTIF(SelectedPrecincts[Batch Name],SamplingData[[#This Row],[Batch by Type (p)]]), 0)</f>
        <v>0</v>
      </c>
    </row>
    <row r="363" spans="1:24" ht="15" customHeight="1">
      <c r="A363" s="18" t="s">
        <v>539</v>
      </c>
      <c r="B363" s="18">
        <v>1</v>
      </c>
      <c r="C363" s="18">
        <v>2</v>
      </c>
      <c r="D363" s="16">
        <v>1</v>
      </c>
      <c r="E363" s="16">
        <v>1</v>
      </c>
      <c r="F363" s="37">
        <v>0</v>
      </c>
      <c r="G363" s="37">
        <v>0</v>
      </c>
      <c r="H363" s="17">
        <v>0</v>
      </c>
      <c r="I363" s="17">
        <v>0</v>
      </c>
      <c r="J363" s="99">
        <f>SUM(SamplingData[[#This Row],[Losing Candidate]:[Under Votes]])</f>
        <v>5</v>
      </c>
      <c r="K363"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363" s="100">
        <f>IF(AND(SamplingData[[#This Row],[Total]]&lt;&gt; 0, NOT(ISBLANK(SamplingData[[#This Row],[Candidate 3]]))),(SamplingData[[#This Row],[Total]]+SamplingData[[#This Row],[Winning Candidate]]-SamplingData[[#This Row],[Candidate 3]])/(SamplingData[[#Totals],[Winning Candidate]]-SamplingData[[#Totals],[Candidate 3]]), 0)</f>
        <v>1.9356711939865149E-4</v>
      </c>
      <c r="M363" s="100">
        <f>IF(AND(SamplingData[[#This Row],[Total]]&lt;&gt; 0, NOT(ISBLANK(SamplingData[[#This Row],[Candidate 4]]))),(SamplingData[[#This Row],[Total]]+SamplingData[[#This Row],[Winning Candidate]]-SamplingData[[#This Row],[Candidate 4]])/(SamplingData[[#Totals],[Winning Candidate]]-SamplingData[[#Totals],[Candidate 4]]), 0)</f>
        <v>1.7539244058581075E-4</v>
      </c>
      <c r="N363" s="100">
        <f>IF(AND(SamplingData[[#This Row],[Total]]&lt;&gt; 0, NOT(ISBLANK(SamplingData[[#This Row],[Candidate 5]]))),(SamplingData[[#This Row],[Total]]+SamplingData[[#This Row],[Winning Candidate]]-SamplingData[[#This Row],[Candidate 5]])/(SamplingData[[#Totals],[Winning Candidate]]-SamplingData[[#Totals],[Candidate 5]]), 0)</f>
        <v>1.7027487229384579E-4</v>
      </c>
      <c r="O363" s="100">
        <f>IF(AND(SamplingData[[#This Row],[Total]]&lt;&gt; 0, NOT(ISBLANK(SamplingData[[#This Row],[Candidate 6]]))),(SamplingData[[#This Row],[Total]]+SamplingData[[#This Row],[Winning Candidate]]-SamplingData[[#This Row],[Candidate 6]])/(SamplingData[[#Totals],[Winning Candidate]]-SamplingData[[#Totals],[Candidate 6]]), 0)</f>
        <v>1.7022518360001944E-4</v>
      </c>
      <c r="P363" s="100">
        <f>MAX(SamplingData[[#This Row],[Error Bound (up) - Max. possible relative overstatement - Losing Candidate]:[Error Bound (up) - Max. possible relative overstatement - Candidate 6]])</f>
        <v>3.6746692797648211E-4</v>
      </c>
      <c r="Q363" s="100">
        <f>IF(SamplingData[[#This Row],[Max Error Bound (up)]] = 0,0,SamplingData[[#This Row],[Max Error Bound (up)]]/SamplingData[[#Totals],[Max Error Bound (up)]])</f>
        <v>5.8157689670674986E-5</v>
      </c>
      <c r="R363" s="101">
        <f>SUM($Q$5:Q363)</f>
        <v>0.18023826603487272</v>
      </c>
      <c r="S363" s="100" t="str">
        <f t="array" ref="S363">IF(SamplingData[[#This Row],[up/U Selection Probability]] = 0, "Zero", TEXT(SamplingData[[#This Row],[Lower Range]], REPT("0",LEN('General Info'!$B$40))) &amp; " - " &amp; TEXT(SamplingData[[#This Row],[Upper Range]], REPT("0",LEN('General Info'!$B$40))))</f>
        <v>18018 - 18023</v>
      </c>
      <c r="T363" s="100">
        <f>SamplingData[[#This Row],[Upper Range]]-SamplingData[[#This Row],[Span]]</f>
        <v>18018.010892677896</v>
      </c>
      <c r="U363" s="100">
        <f>IF(ISNUMBER('General Info'!$B$40), ((SamplingData[[#This Row],[up/U Selection Probability]]) * 'General Info'!$B$40) - 1, 0)</f>
        <v>4.815710809377828</v>
      </c>
      <c r="V363" s="100">
        <f>IF(ISNUMBER('General Info'!$B$40), (SamplingData[[#This Row],[Running (cumulative) sum]] * ('General Info'!$B$40 -'General Info'!$B$41 + 1)) + 'General Info'!$B$41 - 1, 0)</f>
        <v>18022.826603487272</v>
      </c>
      <c r="W363" s="100" t="str">
        <f>IF(ISERROR(MATCH(SamplingData[[#This Row],[Batch by Type (p)]],SelectedPrecincts[Batch Name], 0)), "", INDEX(SelectedPrecincts[Draw], MATCH(SamplingData[[#This Row],[Batch by Type (p)]],SelectedPrecincts[Batch Name], 0)))</f>
        <v/>
      </c>
      <c r="X363" s="102">
        <f>IF(COUNTIF(SelectedPrecincts[Batch Name],SamplingData[[#This Row],[Batch by Type (p)]]) &lt;&gt; 0, COUNTIF(SelectedPrecincts[Batch Name],SamplingData[[#This Row],[Batch by Type (p)]]), 0)</f>
        <v>0</v>
      </c>
    </row>
    <row r="364" spans="1:24" ht="15" customHeight="1">
      <c r="A364" s="18" t="s">
        <v>540</v>
      </c>
      <c r="B364" s="18">
        <v>0</v>
      </c>
      <c r="C364" s="18">
        <v>1</v>
      </c>
      <c r="D364" s="18">
        <v>0</v>
      </c>
      <c r="E364" s="18">
        <v>0</v>
      </c>
      <c r="F364" s="18">
        <v>0</v>
      </c>
      <c r="G364" s="18">
        <v>0</v>
      </c>
      <c r="H364" s="18">
        <v>0</v>
      </c>
      <c r="I364" s="18">
        <v>0</v>
      </c>
      <c r="J364" s="99">
        <f>SUM(SamplingData[[#This Row],[Losing Candidate]:[Under Votes]])</f>
        <v>1</v>
      </c>
      <c r="K36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364" s="100">
        <f>IF(AND(SamplingData[[#This Row],[Total]]&lt;&gt; 0, NOT(ISBLANK(SamplingData[[#This Row],[Candidate 3]]))),(SamplingData[[#This Row],[Total]]+SamplingData[[#This Row],[Winning Candidate]]-SamplingData[[#This Row],[Candidate 3]])/(SamplingData[[#Totals],[Winning Candidate]]-SamplingData[[#Totals],[Candidate 3]]), 0)</f>
        <v>6.4522373132883833E-5</v>
      </c>
      <c r="M364" s="100">
        <f>IF(AND(SamplingData[[#This Row],[Total]]&lt;&gt; 0, NOT(ISBLANK(SamplingData[[#This Row],[Candidate 4]]))),(SamplingData[[#This Row],[Total]]+SamplingData[[#This Row],[Winning Candidate]]-SamplingData[[#This Row],[Candidate 4]])/(SamplingData[[#Totals],[Winning Candidate]]-SamplingData[[#Totals],[Candidate 4]]), 0)</f>
        <v>5.846414686193692E-5</v>
      </c>
      <c r="N364" s="100">
        <f>IF(AND(SamplingData[[#This Row],[Total]]&lt;&gt; 0, NOT(ISBLANK(SamplingData[[#This Row],[Candidate 5]]))),(SamplingData[[#This Row],[Total]]+SamplingData[[#This Row],[Winning Candidate]]-SamplingData[[#This Row],[Candidate 5]])/(SamplingData[[#Totals],[Winning Candidate]]-SamplingData[[#Totals],[Candidate 5]]), 0)</f>
        <v>4.8649963512527367E-5</v>
      </c>
      <c r="O364" s="100">
        <f>IF(AND(SamplingData[[#This Row],[Total]]&lt;&gt; 0, NOT(ISBLANK(SamplingData[[#This Row],[Candidate 6]]))),(SamplingData[[#This Row],[Total]]+SamplingData[[#This Row],[Winning Candidate]]-SamplingData[[#This Row],[Candidate 6]])/(SamplingData[[#Totals],[Winning Candidate]]-SamplingData[[#Totals],[Candidate 6]]), 0)</f>
        <v>4.8635766742862701E-5</v>
      </c>
      <c r="P364" s="100">
        <f>MAX(SamplingData[[#This Row],[Error Bound (up) - Max. possible relative overstatement - Losing Candidate]:[Error Bound (up) - Max. possible relative overstatement - Candidate 6]])</f>
        <v>1.224889759921607E-4</v>
      </c>
      <c r="Q364" s="100">
        <f>IF(SamplingData[[#This Row],[Max Error Bound (up)]] = 0,0,SamplingData[[#This Row],[Max Error Bound (up)]]/SamplingData[[#Totals],[Max Error Bound (up)]])</f>
        <v>1.9385896556891663E-5</v>
      </c>
      <c r="R364" s="101">
        <f>SUM($Q$5:Q364)</f>
        <v>0.18025765193142962</v>
      </c>
      <c r="S364" s="100" t="str">
        <f t="array" ref="S364">IF(SamplingData[[#This Row],[up/U Selection Probability]] = 0, "Zero", TEXT(SamplingData[[#This Row],[Lower Range]], REPT("0",LEN('General Info'!$B$40))) &amp; " - " &amp; TEXT(SamplingData[[#This Row],[Upper Range]], REPT("0",LEN('General Info'!$B$40))))</f>
        <v>18024 - 18025</v>
      </c>
      <c r="T364" s="100">
        <f>SamplingData[[#This Row],[Upper Range]]-SamplingData[[#This Row],[Span]]</f>
        <v>18023.82662287317</v>
      </c>
      <c r="U364" s="100">
        <f>IF(ISNUMBER('General Info'!$B$40), ((SamplingData[[#This Row],[up/U Selection Probability]]) * 'General Info'!$B$40) - 1, 0)</f>
        <v>0.93857026979260949</v>
      </c>
      <c r="V364" s="100">
        <f>IF(ISNUMBER('General Info'!$B$40), (SamplingData[[#This Row],[Running (cumulative) sum]] * ('General Info'!$B$40 -'General Info'!$B$41 + 1)) + 'General Info'!$B$41 - 1, 0)</f>
        <v>18024.765193142961</v>
      </c>
      <c r="W364" s="100" t="str">
        <f>IF(ISERROR(MATCH(SamplingData[[#This Row],[Batch by Type (p)]],SelectedPrecincts[Batch Name], 0)), "", INDEX(SelectedPrecincts[Draw], MATCH(SamplingData[[#This Row],[Batch by Type (p)]],SelectedPrecincts[Batch Name], 0)))</f>
        <v/>
      </c>
      <c r="X364" s="102">
        <f>IF(COUNTIF(SelectedPrecincts[Batch Name],SamplingData[[#This Row],[Batch by Type (p)]]) &lt;&gt; 0, COUNTIF(SelectedPrecincts[Batch Name],SamplingData[[#This Row],[Batch by Type (p)]]), 0)</f>
        <v>0</v>
      </c>
    </row>
    <row r="365" spans="1:24" ht="15" customHeight="1">
      <c r="A365" s="18" t="s">
        <v>541</v>
      </c>
      <c r="B365" s="18">
        <v>3</v>
      </c>
      <c r="C365" s="18">
        <v>1</v>
      </c>
      <c r="D365" s="16">
        <v>0</v>
      </c>
      <c r="E365" s="16">
        <v>0</v>
      </c>
      <c r="F365" s="37">
        <v>0</v>
      </c>
      <c r="G365" s="37">
        <v>0</v>
      </c>
      <c r="H365" s="17">
        <v>0</v>
      </c>
      <c r="I365" s="17">
        <v>1</v>
      </c>
      <c r="J365" s="99">
        <f>SUM(SamplingData[[#This Row],[Losing Candidate]:[Under Votes]])</f>
        <v>5</v>
      </c>
      <c r="K365"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365" s="100">
        <f>IF(AND(SamplingData[[#This Row],[Total]]&lt;&gt; 0, NOT(ISBLANK(SamplingData[[#This Row],[Candidate 3]]))),(SamplingData[[#This Row],[Total]]+SamplingData[[#This Row],[Winning Candidate]]-SamplingData[[#This Row],[Candidate 3]])/(SamplingData[[#Totals],[Winning Candidate]]-SamplingData[[#Totals],[Candidate 3]]), 0)</f>
        <v>1.9356711939865149E-4</v>
      </c>
      <c r="M365" s="100">
        <f>IF(AND(SamplingData[[#This Row],[Total]]&lt;&gt; 0, NOT(ISBLANK(SamplingData[[#This Row],[Candidate 4]]))),(SamplingData[[#This Row],[Total]]+SamplingData[[#This Row],[Winning Candidate]]-SamplingData[[#This Row],[Candidate 4]])/(SamplingData[[#Totals],[Winning Candidate]]-SamplingData[[#Totals],[Candidate 4]]), 0)</f>
        <v>1.7539244058581075E-4</v>
      </c>
      <c r="N365" s="100">
        <f>IF(AND(SamplingData[[#This Row],[Total]]&lt;&gt; 0, NOT(ISBLANK(SamplingData[[#This Row],[Candidate 5]]))),(SamplingData[[#This Row],[Total]]+SamplingData[[#This Row],[Winning Candidate]]-SamplingData[[#This Row],[Candidate 5]])/(SamplingData[[#Totals],[Winning Candidate]]-SamplingData[[#Totals],[Candidate 5]]), 0)</f>
        <v>1.4594989053758211E-4</v>
      </c>
      <c r="O365" s="100">
        <f>IF(AND(SamplingData[[#This Row],[Total]]&lt;&gt; 0, NOT(ISBLANK(SamplingData[[#This Row],[Candidate 6]]))),(SamplingData[[#This Row],[Total]]+SamplingData[[#This Row],[Winning Candidate]]-SamplingData[[#This Row],[Candidate 6]])/(SamplingData[[#Totals],[Winning Candidate]]-SamplingData[[#Totals],[Candidate 6]]), 0)</f>
        <v>1.4590730022858811E-4</v>
      </c>
      <c r="P365" s="100">
        <f>MAX(SamplingData[[#This Row],[Error Bound (up) - Max. possible relative overstatement - Losing Candidate]:[Error Bound (up) - Max. possible relative overstatement - Candidate 6]])</f>
        <v>1.9356711939865149E-4</v>
      </c>
      <c r="Q365" s="100">
        <f>IF(SamplingData[[#This Row],[Max Error Bound (up)]] = 0,0,SamplingData[[#This Row],[Max Error Bound (up)]]/SamplingData[[#Totals],[Max Error Bound (up)]])</f>
        <v>3.0635182660992398E-5</v>
      </c>
      <c r="R365" s="101">
        <f>SUM($Q$5:Q365)</f>
        <v>0.18028828711409062</v>
      </c>
      <c r="S365" s="100" t="str">
        <f t="array" ref="S365">IF(SamplingData[[#This Row],[up/U Selection Probability]] = 0, "Zero", TEXT(SamplingData[[#This Row],[Lower Range]], REPT("0",LEN('General Info'!$B$40))) &amp; " - " &amp; TEXT(SamplingData[[#This Row],[Upper Range]], REPT("0",LEN('General Info'!$B$40))))</f>
        <v>18026 - 18028</v>
      </c>
      <c r="T365" s="100">
        <f>SamplingData[[#This Row],[Upper Range]]-SamplingData[[#This Row],[Span]]</f>
        <v>18025.765223778148</v>
      </c>
      <c r="U365" s="100">
        <f>IF(ISNUMBER('General Info'!$B$40), ((SamplingData[[#This Row],[up/U Selection Probability]]) * 'General Info'!$B$40) - 1, 0)</f>
        <v>2.0634876309165788</v>
      </c>
      <c r="V365" s="100">
        <f>IF(ISNUMBER('General Info'!$B$40), (SamplingData[[#This Row],[Running (cumulative) sum]] * ('General Info'!$B$40 -'General Info'!$B$41 + 1)) + 'General Info'!$B$41 - 1, 0)</f>
        <v>18027.828711409064</v>
      </c>
      <c r="W365" s="100" t="str">
        <f>IF(ISERROR(MATCH(SamplingData[[#This Row],[Batch by Type (p)]],SelectedPrecincts[Batch Name], 0)), "", INDEX(SelectedPrecincts[Draw], MATCH(SamplingData[[#This Row],[Batch by Type (p)]],SelectedPrecincts[Batch Name], 0)))</f>
        <v/>
      </c>
      <c r="X365" s="102">
        <f>IF(COUNTIF(SelectedPrecincts[Batch Name],SamplingData[[#This Row],[Batch by Type (p)]]) &lt;&gt; 0, COUNTIF(SelectedPrecincts[Batch Name],SamplingData[[#This Row],[Batch by Type (p)]]), 0)</f>
        <v>0</v>
      </c>
    </row>
    <row r="366" spans="1:24" ht="15" customHeight="1">
      <c r="A366" s="18" t="s">
        <v>542</v>
      </c>
      <c r="B366" s="18">
        <v>8</v>
      </c>
      <c r="C366" s="18">
        <v>2</v>
      </c>
      <c r="D366" s="18">
        <v>0</v>
      </c>
      <c r="E366" s="18">
        <v>0</v>
      </c>
      <c r="F366" s="18">
        <v>0</v>
      </c>
      <c r="G366" s="18">
        <v>0</v>
      </c>
      <c r="H366" s="18">
        <v>0</v>
      </c>
      <c r="I366" s="18">
        <v>1</v>
      </c>
      <c r="J366" s="99">
        <f>SUM(SamplingData[[#This Row],[Losing Candidate]:[Under Votes]])</f>
        <v>11</v>
      </c>
      <c r="K366"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366" s="100">
        <f>IF(AND(SamplingData[[#This Row],[Total]]&lt;&gt; 0, NOT(ISBLANK(SamplingData[[#This Row],[Candidate 3]]))),(SamplingData[[#This Row],[Total]]+SamplingData[[#This Row],[Winning Candidate]]-SamplingData[[#This Row],[Candidate 3]])/(SamplingData[[#Totals],[Winning Candidate]]-SamplingData[[#Totals],[Candidate 3]]), 0)</f>
        <v>4.1939542536374486E-4</v>
      </c>
      <c r="M366" s="100">
        <f>IF(AND(SamplingData[[#This Row],[Total]]&lt;&gt; 0, NOT(ISBLANK(SamplingData[[#This Row],[Candidate 4]]))),(SamplingData[[#This Row],[Total]]+SamplingData[[#This Row],[Winning Candidate]]-SamplingData[[#This Row],[Candidate 4]])/(SamplingData[[#Totals],[Winning Candidate]]-SamplingData[[#Totals],[Candidate 4]]), 0)</f>
        <v>3.8001695460258996E-4</v>
      </c>
      <c r="N366" s="100">
        <f>IF(AND(SamplingData[[#This Row],[Total]]&lt;&gt; 0, NOT(ISBLANK(SamplingData[[#This Row],[Candidate 5]]))),(SamplingData[[#This Row],[Total]]+SamplingData[[#This Row],[Winning Candidate]]-SamplingData[[#This Row],[Candidate 5]])/(SamplingData[[#Totals],[Winning Candidate]]-SamplingData[[#Totals],[Candidate 5]]), 0)</f>
        <v>3.1622476283142789E-4</v>
      </c>
      <c r="O366" s="100">
        <f>IF(AND(SamplingData[[#This Row],[Total]]&lt;&gt; 0, NOT(ISBLANK(SamplingData[[#This Row],[Candidate 6]]))),(SamplingData[[#This Row],[Total]]+SamplingData[[#This Row],[Winning Candidate]]-SamplingData[[#This Row],[Candidate 6]])/(SamplingData[[#Totals],[Winning Candidate]]-SamplingData[[#Totals],[Candidate 6]]), 0)</f>
        <v>3.1613248382860755E-4</v>
      </c>
      <c r="P366" s="100">
        <f>MAX(SamplingData[[#This Row],[Error Bound (up) - Max. possible relative overstatement - Losing Candidate]:[Error Bound (up) - Max. possible relative overstatement - Candidate 6]])</f>
        <v>4.1939542536374486E-4</v>
      </c>
      <c r="Q366" s="100">
        <f>IF(SamplingData[[#This Row],[Max Error Bound (up)]] = 0,0,SamplingData[[#This Row],[Max Error Bound (up)]]/SamplingData[[#Totals],[Max Error Bound (up)]])</f>
        <v>6.6376229098816852E-5</v>
      </c>
      <c r="R366" s="101">
        <f>SUM($Q$5:Q366)</f>
        <v>0.18035466334318945</v>
      </c>
      <c r="S366" s="100" t="str">
        <f t="array" ref="S366">IF(SamplingData[[#This Row],[up/U Selection Probability]] = 0, "Zero", TEXT(SamplingData[[#This Row],[Lower Range]], REPT("0",LEN('General Info'!$B$40))) &amp; " - " &amp; TEXT(SamplingData[[#This Row],[Upper Range]], REPT("0",LEN('General Info'!$B$40))))</f>
        <v>18029 - 18034</v>
      </c>
      <c r="T366" s="100">
        <f>SamplingData[[#This Row],[Upper Range]]-SamplingData[[#This Row],[Span]]</f>
        <v>18028.828777785293</v>
      </c>
      <c r="U366" s="100">
        <f>IF(ISNUMBER('General Info'!$B$40), ((SamplingData[[#This Row],[up/U Selection Probability]]) * 'General Info'!$B$40) - 1, 0)</f>
        <v>5.6375565336525861</v>
      </c>
      <c r="V366" s="100">
        <f>IF(ISNUMBER('General Info'!$B$40), (SamplingData[[#This Row],[Running (cumulative) sum]] * ('General Info'!$B$40 -'General Info'!$B$41 + 1)) + 'General Info'!$B$41 - 1, 0)</f>
        <v>18034.466334318946</v>
      </c>
      <c r="W366" s="100" t="str">
        <f>IF(ISERROR(MATCH(SamplingData[[#This Row],[Batch by Type (p)]],SelectedPrecincts[Batch Name], 0)), "", INDEX(SelectedPrecincts[Draw], MATCH(SamplingData[[#This Row],[Batch by Type (p)]],SelectedPrecincts[Batch Name], 0)))</f>
        <v/>
      </c>
      <c r="X366" s="102">
        <f>IF(COUNTIF(SelectedPrecincts[Batch Name],SamplingData[[#This Row],[Batch by Type (p)]]) &lt;&gt; 0, COUNTIF(SelectedPrecincts[Batch Name],SamplingData[[#This Row],[Batch by Type (p)]]), 0)</f>
        <v>0</v>
      </c>
    </row>
    <row r="367" spans="1:24" ht="15" customHeight="1">
      <c r="A367" s="18" t="s">
        <v>543</v>
      </c>
      <c r="B367" s="18">
        <v>4</v>
      </c>
      <c r="C367" s="18">
        <v>2</v>
      </c>
      <c r="D367" s="16">
        <v>1</v>
      </c>
      <c r="E367" s="16">
        <v>0</v>
      </c>
      <c r="F367" s="37">
        <v>0</v>
      </c>
      <c r="G367" s="37">
        <v>0</v>
      </c>
      <c r="H367" s="17">
        <v>0</v>
      </c>
      <c r="I367" s="17">
        <v>2</v>
      </c>
      <c r="J367" s="99">
        <f>SUM(SamplingData[[#This Row],[Losing Candidate]:[Under Votes]])</f>
        <v>9</v>
      </c>
      <c r="K367"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367" s="100">
        <f>IF(AND(SamplingData[[#This Row],[Total]]&lt;&gt; 0, NOT(ISBLANK(SamplingData[[#This Row],[Candidate 3]]))),(SamplingData[[#This Row],[Total]]+SamplingData[[#This Row],[Winning Candidate]]-SamplingData[[#This Row],[Candidate 3]])/(SamplingData[[#Totals],[Winning Candidate]]-SamplingData[[#Totals],[Candidate 3]]), 0)</f>
        <v>3.2261186566441915E-4</v>
      </c>
      <c r="M367" s="100">
        <f>IF(AND(SamplingData[[#This Row],[Total]]&lt;&gt; 0, NOT(ISBLANK(SamplingData[[#This Row],[Candidate 4]]))),(SamplingData[[#This Row],[Total]]+SamplingData[[#This Row],[Winning Candidate]]-SamplingData[[#This Row],[Candidate 4]])/(SamplingData[[#Totals],[Winning Candidate]]-SamplingData[[#Totals],[Candidate 4]]), 0)</f>
        <v>3.2155280774065302E-4</v>
      </c>
      <c r="N367" s="100">
        <f>IF(AND(SamplingData[[#This Row],[Total]]&lt;&gt; 0, NOT(ISBLANK(SamplingData[[#This Row],[Candidate 5]]))),(SamplingData[[#This Row],[Total]]+SamplingData[[#This Row],[Winning Candidate]]-SamplingData[[#This Row],[Candidate 5]])/(SamplingData[[#Totals],[Winning Candidate]]-SamplingData[[#Totals],[Candidate 5]]), 0)</f>
        <v>2.6757479931890053E-4</v>
      </c>
      <c r="O367" s="100">
        <f>IF(AND(SamplingData[[#This Row],[Total]]&lt;&gt; 0, NOT(ISBLANK(SamplingData[[#This Row],[Candidate 6]]))),(SamplingData[[#This Row],[Total]]+SamplingData[[#This Row],[Winning Candidate]]-SamplingData[[#This Row],[Candidate 6]])/(SamplingData[[#Totals],[Winning Candidate]]-SamplingData[[#Totals],[Candidate 6]]), 0)</f>
        <v>2.6749671708574483E-4</v>
      </c>
      <c r="P367" s="100">
        <f>MAX(SamplingData[[#This Row],[Error Bound (up) - Max. possible relative overstatement - Losing Candidate]:[Error Bound (up) - Max. possible relative overstatement - Candidate 6]])</f>
        <v>4.2871141597256246E-4</v>
      </c>
      <c r="Q367" s="100">
        <f>IF(SamplingData[[#This Row],[Max Error Bound (up)]] = 0,0,SamplingData[[#This Row],[Max Error Bound (up)]]/SamplingData[[#Totals],[Max Error Bound (up)]])</f>
        <v>6.7850637949120826E-5</v>
      </c>
      <c r="R367" s="101">
        <f>SUM($Q$5:Q367)</f>
        <v>0.18042251398113857</v>
      </c>
      <c r="S367" s="100" t="str">
        <f t="array" ref="S367">IF(SamplingData[[#This Row],[up/U Selection Probability]] = 0, "Zero", TEXT(SamplingData[[#This Row],[Lower Range]], REPT("0",LEN('General Info'!$B$40))) &amp; " - " &amp; TEXT(SamplingData[[#This Row],[Upper Range]], REPT("0",LEN('General Info'!$B$40))))</f>
        <v>18035 - 18041</v>
      </c>
      <c r="T367" s="100">
        <f>SamplingData[[#This Row],[Upper Range]]-SamplingData[[#This Row],[Span]]</f>
        <v>18035.466402169583</v>
      </c>
      <c r="U367" s="100">
        <f>IF(ISNUMBER('General Info'!$B$40), ((SamplingData[[#This Row],[up/U Selection Probability]]) * 'General Info'!$B$40) - 1, 0)</f>
        <v>5.7849959442741339</v>
      </c>
      <c r="V367" s="100">
        <f>IF(ISNUMBER('General Info'!$B$40), (SamplingData[[#This Row],[Running (cumulative) sum]] * ('General Info'!$B$40 -'General Info'!$B$41 + 1)) + 'General Info'!$B$41 - 1, 0)</f>
        <v>18041.251398113858</v>
      </c>
      <c r="W367" s="100" t="str">
        <f>IF(ISERROR(MATCH(SamplingData[[#This Row],[Batch by Type (p)]],SelectedPrecincts[Batch Name], 0)), "", INDEX(SelectedPrecincts[Draw], MATCH(SamplingData[[#This Row],[Batch by Type (p)]],SelectedPrecincts[Batch Name], 0)))</f>
        <v/>
      </c>
      <c r="X367" s="102">
        <f>IF(COUNTIF(SelectedPrecincts[Batch Name],SamplingData[[#This Row],[Batch by Type (p)]]) &lt;&gt; 0, COUNTIF(SelectedPrecincts[Batch Name],SamplingData[[#This Row],[Batch by Type (p)]]), 0)</f>
        <v>0</v>
      </c>
    </row>
    <row r="368" spans="1:24" ht="15" customHeight="1">
      <c r="A368" s="18" t="s">
        <v>544</v>
      </c>
      <c r="B368" s="18">
        <v>1</v>
      </c>
      <c r="C368" s="18">
        <v>3</v>
      </c>
      <c r="D368" s="18">
        <v>0</v>
      </c>
      <c r="E368" s="18">
        <v>0</v>
      </c>
      <c r="F368" s="18">
        <v>1</v>
      </c>
      <c r="G368" s="18">
        <v>0</v>
      </c>
      <c r="H368" s="18">
        <v>0</v>
      </c>
      <c r="I368" s="18">
        <v>1</v>
      </c>
      <c r="J368" s="99">
        <f>SUM(SamplingData[[#This Row],[Losing Candidate]:[Under Votes]])</f>
        <v>6</v>
      </c>
      <c r="K368"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368" s="100">
        <f>IF(AND(SamplingData[[#This Row],[Total]]&lt;&gt; 0, NOT(ISBLANK(SamplingData[[#This Row],[Candidate 3]]))),(SamplingData[[#This Row],[Total]]+SamplingData[[#This Row],[Winning Candidate]]-SamplingData[[#This Row],[Candidate 3]])/(SamplingData[[#Totals],[Winning Candidate]]-SamplingData[[#Totals],[Candidate 3]]), 0)</f>
        <v>2.9035067909797722E-4</v>
      </c>
      <c r="M368" s="100">
        <f>IF(AND(SamplingData[[#This Row],[Total]]&lt;&gt; 0, NOT(ISBLANK(SamplingData[[#This Row],[Candidate 4]]))),(SamplingData[[#This Row],[Total]]+SamplingData[[#This Row],[Winning Candidate]]-SamplingData[[#This Row],[Candidate 4]])/(SamplingData[[#Totals],[Winning Candidate]]-SamplingData[[#Totals],[Candidate 4]]), 0)</f>
        <v>2.6308866087871614E-4</v>
      </c>
      <c r="N368" s="100">
        <f>IF(AND(SamplingData[[#This Row],[Total]]&lt;&gt; 0, NOT(ISBLANK(SamplingData[[#This Row],[Candidate 5]]))),(SamplingData[[#This Row],[Total]]+SamplingData[[#This Row],[Winning Candidate]]-SamplingData[[#This Row],[Candidate 5]])/(SamplingData[[#Totals],[Winning Candidate]]-SamplingData[[#Totals],[Candidate 5]]), 0)</f>
        <v>1.9459985405010947E-4</v>
      </c>
      <c r="O368" s="100">
        <f>IF(AND(SamplingData[[#This Row],[Total]]&lt;&gt; 0, NOT(ISBLANK(SamplingData[[#This Row],[Candidate 6]]))),(SamplingData[[#This Row],[Total]]+SamplingData[[#This Row],[Winning Candidate]]-SamplingData[[#This Row],[Candidate 6]])/(SamplingData[[#Totals],[Winning Candidate]]-SamplingData[[#Totals],[Candidate 6]]), 0)</f>
        <v>2.1886095034288216E-4</v>
      </c>
      <c r="P368" s="100">
        <f>MAX(SamplingData[[#This Row],[Error Bound (up) - Max. possible relative overstatement - Losing Candidate]:[Error Bound (up) - Max. possible relative overstatement - Candidate 6]])</f>
        <v>4.8995590396864281E-4</v>
      </c>
      <c r="Q368" s="100">
        <f>IF(SamplingData[[#This Row],[Max Error Bound (up)]] = 0,0,SamplingData[[#This Row],[Max Error Bound (up)]]/SamplingData[[#Totals],[Max Error Bound (up)]])</f>
        <v>7.7543586227566652E-5</v>
      </c>
      <c r="R368" s="101">
        <f>SUM($Q$5:Q368)</f>
        <v>0.18050005756736615</v>
      </c>
      <c r="S368" s="100" t="str">
        <f t="array" ref="S368">IF(SamplingData[[#This Row],[up/U Selection Probability]] = 0, "Zero", TEXT(SamplingData[[#This Row],[Lower Range]], REPT("0",LEN('General Info'!$B$40))) &amp; " - " &amp; TEXT(SamplingData[[#This Row],[Upper Range]], REPT("0",LEN('General Info'!$B$40))))</f>
        <v>18042 - 18049</v>
      </c>
      <c r="T368" s="100">
        <f>SamplingData[[#This Row],[Upper Range]]-SamplingData[[#This Row],[Span]]</f>
        <v>18042.251475657442</v>
      </c>
      <c r="U368" s="100">
        <f>IF(ISNUMBER('General Info'!$B$40), ((SamplingData[[#This Row],[up/U Selection Probability]]) * 'General Info'!$B$40) - 1, 0)</f>
        <v>6.754281079170438</v>
      </c>
      <c r="V368" s="100">
        <f>IF(ISNUMBER('General Info'!$B$40), (SamplingData[[#This Row],[Running (cumulative) sum]] * ('General Info'!$B$40 -'General Info'!$B$41 + 1)) + 'General Info'!$B$41 - 1, 0)</f>
        <v>18049.005756736613</v>
      </c>
      <c r="W368" s="100" t="str">
        <f>IF(ISERROR(MATCH(SamplingData[[#This Row],[Batch by Type (p)]],SelectedPrecincts[Batch Name], 0)), "", INDEX(SelectedPrecincts[Draw], MATCH(SamplingData[[#This Row],[Batch by Type (p)]],SelectedPrecincts[Batch Name], 0)))</f>
        <v/>
      </c>
      <c r="X368" s="102">
        <f>IF(COUNTIF(SelectedPrecincts[Batch Name],SamplingData[[#This Row],[Batch by Type (p)]]) &lt;&gt; 0, COUNTIF(SelectedPrecincts[Batch Name],SamplingData[[#This Row],[Batch by Type (p)]]), 0)</f>
        <v>0</v>
      </c>
    </row>
    <row r="369" spans="1:24" ht="15" customHeight="1">
      <c r="A369" s="18" t="s">
        <v>545</v>
      </c>
      <c r="B369" s="18">
        <v>1</v>
      </c>
      <c r="C369" s="18">
        <v>1</v>
      </c>
      <c r="D369" s="16">
        <v>0</v>
      </c>
      <c r="E369" s="16">
        <v>0</v>
      </c>
      <c r="F369" s="37">
        <v>0</v>
      </c>
      <c r="G369" s="37">
        <v>0</v>
      </c>
      <c r="H369" s="17">
        <v>0</v>
      </c>
      <c r="I369" s="17">
        <v>0</v>
      </c>
      <c r="J369" s="99">
        <f>SUM(SamplingData[[#This Row],[Losing Candidate]:[Under Votes]])</f>
        <v>2</v>
      </c>
      <c r="K369"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369" s="100">
        <f>IF(AND(SamplingData[[#This Row],[Total]]&lt;&gt; 0, NOT(ISBLANK(SamplingData[[#This Row],[Candidate 3]]))),(SamplingData[[#This Row],[Total]]+SamplingData[[#This Row],[Winning Candidate]]-SamplingData[[#This Row],[Candidate 3]])/(SamplingData[[#Totals],[Winning Candidate]]-SamplingData[[#Totals],[Candidate 3]]), 0)</f>
        <v>9.6783559699325743E-5</v>
      </c>
      <c r="M369" s="100">
        <f>IF(AND(SamplingData[[#This Row],[Total]]&lt;&gt; 0, NOT(ISBLANK(SamplingData[[#This Row],[Candidate 4]]))),(SamplingData[[#This Row],[Total]]+SamplingData[[#This Row],[Winning Candidate]]-SamplingData[[#This Row],[Candidate 4]])/(SamplingData[[#Totals],[Winning Candidate]]-SamplingData[[#Totals],[Candidate 4]]), 0)</f>
        <v>8.7696220292905373E-5</v>
      </c>
      <c r="N369" s="100">
        <f>IF(AND(SamplingData[[#This Row],[Total]]&lt;&gt; 0, NOT(ISBLANK(SamplingData[[#This Row],[Candidate 5]]))),(SamplingData[[#This Row],[Total]]+SamplingData[[#This Row],[Winning Candidate]]-SamplingData[[#This Row],[Candidate 5]])/(SamplingData[[#Totals],[Winning Candidate]]-SamplingData[[#Totals],[Candidate 5]]), 0)</f>
        <v>7.2974945268791054E-5</v>
      </c>
      <c r="O369" s="100">
        <f>IF(AND(SamplingData[[#This Row],[Total]]&lt;&gt; 0, NOT(ISBLANK(SamplingData[[#This Row],[Candidate 6]]))),(SamplingData[[#This Row],[Total]]+SamplingData[[#This Row],[Winning Candidate]]-SamplingData[[#This Row],[Candidate 6]])/(SamplingData[[#Totals],[Winning Candidate]]-SamplingData[[#Totals],[Candidate 6]]), 0)</f>
        <v>7.2953650114294054E-5</v>
      </c>
      <c r="P369" s="100">
        <f>MAX(SamplingData[[#This Row],[Error Bound (up) - Max. possible relative overstatement - Losing Candidate]:[Error Bound (up) - Max. possible relative overstatement - Candidate 6]])</f>
        <v>1.224889759921607E-4</v>
      </c>
      <c r="Q369" s="100">
        <f>IF(SamplingData[[#This Row],[Max Error Bound (up)]] = 0,0,SamplingData[[#This Row],[Max Error Bound (up)]]/SamplingData[[#Totals],[Max Error Bound (up)]])</f>
        <v>1.9385896556891663E-5</v>
      </c>
      <c r="R369" s="101">
        <f>SUM($Q$5:Q369)</f>
        <v>0.18051944346392304</v>
      </c>
      <c r="S369" s="100" t="str">
        <f t="array" ref="S369">IF(SamplingData[[#This Row],[up/U Selection Probability]] = 0, "Zero", TEXT(SamplingData[[#This Row],[Lower Range]], REPT("0",LEN('General Info'!$B$40))) &amp; " - " &amp; TEXT(SamplingData[[#This Row],[Upper Range]], REPT("0",LEN('General Info'!$B$40))))</f>
        <v>18050 - 18051</v>
      </c>
      <c r="T369" s="100">
        <f>SamplingData[[#This Row],[Upper Range]]-SamplingData[[#This Row],[Span]]</f>
        <v>18050.005776122514</v>
      </c>
      <c r="U369" s="100">
        <f>IF(ISNUMBER('General Info'!$B$40), ((SamplingData[[#This Row],[up/U Selection Probability]]) * 'General Info'!$B$40) - 1, 0)</f>
        <v>0.93857026979260949</v>
      </c>
      <c r="V369" s="100">
        <f>IF(ISNUMBER('General Info'!$B$40), (SamplingData[[#This Row],[Running (cumulative) sum]] * ('General Info'!$B$40 -'General Info'!$B$41 + 1)) + 'General Info'!$B$41 - 1, 0)</f>
        <v>18050.944346392305</v>
      </c>
      <c r="W369" s="100" t="str">
        <f>IF(ISERROR(MATCH(SamplingData[[#This Row],[Batch by Type (p)]],SelectedPrecincts[Batch Name], 0)), "", INDEX(SelectedPrecincts[Draw], MATCH(SamplingData[[#This Row],[Batch by Type (p)]],SelectedPrecincts[Batch Name], 0)))</f>
        <v/>
      </c>
      <c r="X369" s="102">
        <f>IF(COUNTIF(SelectedPrecincts[Batch Name],SamplingData[[#This Row],[Batch by Type (p)]]) &lt;&gt; 0, COUNTIF(SelectedPrecincts[Batch Name],SamplingData[[#This Row],[Batch by Type (p)]]), 0)</f>
        <v>0</v>
      </c>
    </row>
    <row r="370" spans="1:24" ht="15" customHeight="1">
      <c r="A370" s="18" t="s">
        <v>546</v>
      </c>
      <c r="B370" s="18">
        <v>0</v>
      </c>
      <c r="C370" s="18">
        <v>0</v>
      </c>
      <c r="D370" s="18">
        <v>0</v>
      </c>
      <c r="E370" s="18">
        <v>0</v>
      </c>
      <c r="F370" s="18">
        <v>0</v>
      </c>
      <c r="G370" s="18">
        <v>0</v>
      </c>
      <c r="H370" s="18">
        <v>0</v>
      </c>
      <c r="I370" s="18">
        <v>0</v>
      </c>
      <c r="J370" s="99">
        <f>SUM(SamplingData[[#This Row],[Losing Candidate]:[Under Votes]])</f>
        <v>0</v>
      </c>
      <c r="K370" s="100">
        <f>IF(AND(SamplingData[[#This Row],[Total]]&lt;&gt; 0, NOT(ISBLANK(SamplingData[[#This Row],[Losing Candidate]]))),(SamplingData[[#This Row],[Total]]+SamplingData[[#This Row],[Winning Candidate]]-SamplingData[[#This Row],[Losing Candidate]])/(SamplingData[[#Totals],[Winning Candidate]]-SamplingData[[#Totals],[Losing Candidate]]), 0)</f>
        <v>0</v>
      </c>
      <c r="L370" s="100">
        <f>IF(AND(SamplingData[[#This Row],[Total]]&lt;&gt; 0, NOT(ISBLANK(SamplingData[[#This Row],[Candidate 3]]))),(SamplingData[[#This Row],[Total]]+SamplingData[[#This Row],[Winning Candidate]]-SamplingData[[#This Row],[Candidate 3]])/(SamplingData[[#Totals],[Winning Candidate]]-SamplingData[[#Totals],[Candidate 3]]), 0)</f>
        <v>0</v>
      </c>
      <c r="M370" s="100">
        <f>IF(AND(SamplingData[[#This Row],[Total]]&lt;&gt; 0, NOT(ISBLANK(SamplingData[[#This Row],[Candidate 4]]))),(SamplingData[[#This Row],[Total]]+SamplingData[[#This Row],[Winning Candidate]]-SamplingData[[#This Row],[Candidate 4]])/(SamplingData[[#Totals],[Winning Candidate]]-SamplingData[[#Totals],[Candidate 4]]), 0)</f>
        <v>0</v>
      </c>
      <c r="N370" s="100">
        <f>IF(AND(SamplingData[[#This Row],[Total]]&lt;&gt; 0, NOT(ISBLANK(SamplingData[[#This Row],[Candidate 5]]))),(SamplingData[[#This Row],[Total]]+SamplingData[[#This Row],[Winning Candidate]]-SamplingData[[#This Row],[Candidate 5]])/(SamplingData[[#Totals],[Winning Candidate]]-SamplingData[[#Totals],[Candidate 5]]), 0)</f>
        <v>0</v>
      </c>
      <c r="O370" s="100">
        <f>IF(AND(SamplingData[[#This Row],[Total]]&lt;&gt; 0, NOT(ISBLANK(SamplingData[[#This Row],[Candidate 6]]))),(SamplingData[[#This Row],[Total]]+SamplingData[[#This Row],[Winning Candidate]]-SamplingData[[#This Row],[Candidate 6]])/(SamplingData[[#Totals],[Winning Candidate]]-SamplingData[[#Totals],[Candidate 6]]), 0)</f>
        <v>0</v>
      </c>
      <c r="P370" s="100">
        <f>MAX(SamplingData[[#This Row],[Error Bound (up) - Max. possible relative overstatement - Losing Candidate]:[Error Bound (up) - Max. possible relative overstatement - Candidate 6]])</f>
        <v>0</v>
      </c>
      <c r="Q370" s="100">
        <f>IF(SamplingData[[#This Row],[Max Error Bound (up)]] = 0,0,SamplingData[[#This Row],[Max Error Bound (up)]]/SamplingData[[#Totals],[Max Error Bound (up)]])</f>
        <v>0</v>
      </c>
      <c r="R370" s="101">
        <f>SUM($Q$5:Q370)</f>
        <v>0.18051944346392304</v>
      </c>
      <c r="S370" s="100" t="str">
        <f t="array" ref="S370">IF(SamplingData[[#This Row],[up/U Selection Probability]] = 0, "Zero", TEXT(SamplingData[[#This Row],[Lower Range]], REPT("0",LEN('General Info'!$B$40))) &amp; " - " &amp; TEXT(SamplingData[[#This Row],[Upper Range]], REPT("0",LEN('General Info'!$B$40))))</f>
        <v>Zero</v>
      </c>
      <c r="T370" s="100">
        <f>SamplingData[[#This Row],[Upper Range]]-SamplingData[[#This Row],[Span]]</f>
        <v>18051.944346392305</v>
      </c>
      <c r="U370" s="100">
        <f>IF(ISNUMBER('General Info'!$B$40), ((SamplingData[[#This Row],[up/U Selection Probability]]) * 'General Info'!$B$40) - 1, 0)</f>
        <v>-1</v>
      </c>
      <c r="V370" s="100">
        <f>IF(ISNUMBER('General Info'!$B$40), (SamplingData[[#This Row],[Running (cumulative) sum]] * ('General Info'!$B$40 -'General Info'!$B$41 + 1)) + 'General Info'!$B$41 - 1, 0)</f>
        <v>18050.944346392305</v>
      </c>
      <c r="W370" s="100" t="str">
        <f>IF(ISERROR(MATCH(SamplingData[[#This Row],[Batch by Type (p)]],SelectedPrecincts[Batch Name], 0)), "", INDEX(SelectedPrecincts[Draw], MATCH(SamplingData[[#This Row],[Batch by Type (p)]],SelectedPrecincts[Batch Name], 0)))</f>
        <v/>
      </c>
      <c r="X370" s="102">
        <f>IF(COUNTIF(SelectedPrecincts[Batch Name],SamplingData[[#This Row],[Batch by Type (p)]]) &lt;&gt; 0, COUNTIF(SelectedPrecincts[Batch Name],SamplingData[[#This Row],[Batch by Type (p)]]), 0)</f>
        <v>0</v>
      </c>
    </row>
    <row r="371" spans="1:24" ht="15" customHeight="1">
      <c r="A371" s="18" t="s">
        <v>547</v>
      </c>
      <c r="B371" s="18">
        <v>0</v>
      </c>
      <c r="C371" s="18">
        <v>1</v>
      </c>
      <c r="D371" s="16">
        <v>0</v>
      </c>
      <c r="E371" s="16">
        <v>0</v>
      </c>
      <c r="F371" s="37">
        <v>0</v>
      </c>
      <c r="G371" s="37">
        <v>0</v>
      </c>
      <c r="H371" s="17">
        <v>0</v>
      </c>
      <c r="I371" s="17">
        <v>1</v>
      </c>
      <c r="J371" s="99">
        <f>SUM(SamplingData[[#This Row],[Losing Candidate]:[Under Votes]])</f>
        <v>2</v>
      </c>
      <c r="K371"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371" s="100">
        <f>IF(AND(SamplingData[[#This Row],[Total]]&lt;&gt; 0, NOT(ISBLANK(SamplingData[[#This Row],[Candidate 3]]))),(SamplingData[[#This Row],[Total]]+SamplingData[[#This Row],[Winning Candidate]]-SamplingData[[#This Row],[Candidate 3]])/(SamplingData[[#Totals],[Winning Candidate]]-SamplingData[[#Totals],[Candidate 3]]), 0)</f>
        <v>9.6783559699325743E-5</v>
      </c>
      <c r="M371" s="100">
        <f>IF(AND(SamplingData[[#This Row],[Total]]&lt;&gt; 0, NOT(ISBLANK(SamplingData[[#This Row],[Candidate 4]]))),(SamplingData[[#This Row],[Total]]+SamplingData[[#This Row],[Winning Candidate]]-SamplingData[[#This Row],[Candidate 4]])/(SamplingData[[#Totals],[Winning Candidate]]-SamplingData[[#Totals],[Candidate 4]]), 0)</f>
        <v>8.7696220292905373E-5</v>
      </c>
      <c r="N371" s="100">
        <f>IF(AND(SamplingData[[#This Row],[Total]]&lt;&gt; 0, NOT(ISBLANK(SamplingData[[#This Row],[Candidate 5]]))),(SamplingData[[#This Row],[Total]]+SamplingData[[#This Row],[Winning Candidate]]-SamplingData[[#This Row],[Candidate 5]])/(SamplingData[[#Totals],[Winning Candidate]]-SamplingData[[#Totals],[Candidate 5]]), 0)</f>
        <v>7.2974945268791054E-5</v>
      </c>
      <c r="O371" s="100">
        <f>IF(AND(SamplingData[[#This Row],[Total]]&lt;&gt; 0, NOT(ISBLANK(SamplingData[[#This Row],[Candidate 6]]))),(SamplingData[[#This Row],[Total]]+SamplingData[[#This Row],[Winning Candidate]]-SamplingData[[#This Row],[Candidate 6]])/(SamplingData[[#Totals],[Winning Candidate]]-SamplingData[[#Totals],[Candidate 6]]), 0)</f>
        <v>7.2953650114294054E-5</v>
      </c>
      <c r="P371" s="100">
        <f>MAX(SamplingData[[#This Row],[Error Bound (up) - Max. possible relative overstatement - Losing Candidate]:[Error Bound (up) - Max. possible relative overstatement - Candidate 6]])</f>
        <v>1.8373346398824106E-4</v>
      </c>
      <c r="Q371" s="100">
        <f>IF(SamplingData[[#This Row],[Max Error Bound (up)]] = 0,0,SamplingData[[#This Row],[Max Error Bound (up)]]/SamplingData[[#Totals],[Max Error Bound (up)]])</f>
        <v>2.9078844835337493E-5</v>
      </c>
      <c r="R371" s="101">
        <f>SUM($Q$5:Q371)</f>
        <v>0.18054852230875837</v>
      </c>
      <c r="S371" s="100" t="str">
        <f t="array" ref="S371">IF(SamplingData[[#This Row],[up/U Selection Probability]] = 0, "Zero", TEXT(SamplingData[[#This Row],[Lower Range]], REPT("0",LEN('General Info'!$B$40))) &amp; " - " &amp; TEXT(SamplingData[[#This Row],[Upper Range]], REPT("0",LEN('General Info'!$B$40))))</f>
        <v>18052 - 18054</v>
      </c>
      <c r="T371" s="100">
        <f>SamplingData[[#This Row],[Upper Range]]-SamplingData[[#This Row],[Span]]</f>
        <v>18051.944375471146</v>
      </c>
      <c r="U371" s="100">
        <f>IF(ISNUMBER('General Info'!$B$40), ((SamplingData[[#This Row],[up/U Selection Probability]]) * 'General Info'!$B$40) - 1, 0)</f>
        <v>1.907855404688914</v>
      </c>
      <c r="V371" s="100">
        <f>IF(ISNUMBER('General Info'!$B$40), (SamplingData[[#This Row],[Running (cumulative) sum]] * ('General Info'!$B$40 -'General Info'!$B$41 + 1)) + 'General Info'!$B$41 - 1, 0)</f>
        <v>18053.852230875837</v>
      </c>
      <c r="W371" s="100" t="str">
        <f>IF(ISERROR(MATCH(SamplingData[[#This Row],[Batch by Type (p)]],SelectedPrecincts[Batch Name], 0)), "", INDEX(SelectedPrecincts[Draw], MATCH(SamplingData[[#This Row],[Batch by Type (p)]],SelectedPrecincts[Batch Name], 0)))</f>
        <v/>
      </c>
      <c r="X371" s="102">
        <f>IF(COUNTIF(SelectedPrecincts[Batch Name],SamplingData[[#This Row],[Batch by Type (p)]]) &lt;&gt; 0, COUNTIF(SelectedPrecincts[Batch Name],SamplingData[[#This Row],[Batch by Type (p)]]), 0)</f>
        <v>0</v>
      </c>
    </row>
    <row r="372" spans="1:24" ht="15" customHeight="1">
      <c r="A372" s="18" t="s">
        <v>548</v>
      </c>
      <c r="B372" s="18">
        <v>0</v>
      </c>
      <c r="C372" s="18">
        <v>0</v>
      </c>
      <c r="D372" s="18">
        <v>0</v>
      </c>
      <c r="E372" s="18">
        <v>0</v>
      </c>
      <c r="F372" s="18">
        <v>0</v>
      </c>
      <c r="G372" s="18">
        <v>0</v>
      </c>
      <c r="H372" s="18">
        <v>0</v>
      </c>
      <c r="I372" s="18">
        <v>0</v>
      </c>
      <c r="J372" s="99">
        <f>SUM(SamplingData[[#This Row],[Losing Candidate]:[Under Votes]])</f>
        <v>0</v>
      </c>
      <c r="K372" s="100">
        <f>IF(AND(SamplingData[[#This Row],[Total]]&lt;&gt; 0, NOT(ISBLANK(SamplingData[[#This Row],[Losing Candidate]]))),(SamplingData[[#This Row],[Total]]+SamplingData[[#This Row],[Winning Candidate]]-SamplingData[[#This Row],[Losing Candidate]])/(SamplingData[[#Totals],[Winning Candidate]]-SamplingData[[#Totals],[Losing Candidate]]), 0)</f>
        <v>0</v>
      </c>
      <c r="L372" s="100">
        <f>IF(AND(SamplingData[[#This Row],[Total]]&lt;&gt; 0, NOT(ISBLANK(SamplingData[[#This Row],[Candidate 3]]))),(SamplingData[[#This Row],[Total]]+SamplingData[[#This Row],[Winning Candidate]]-SamplingData[[#This Row],[Candidate 3]])/(SamplingData[[#Totals],[Winning Candidate]]-SamplingData[[#Totals],[Candidate 3]]), 0)</f>
        <v>0</v>
      </c>
      <c r="M372" s="100">
        <f>IF(AND(SamplingData[[#This Row],[Total]]&lt;&gt; 0, NOT(ISBLANK(SamplingData[[#This Row],[Candidate 4]]))),(SamplingData[[#This Row],[Total]]+SamplingData[[#This Row],[Winning Candidate]]-SamplingData[[#This Row],[Candidate 4]])/(SamplingData[[#Totals],[Winning Candidate]]-SamplingData[[#Totals],[Candidate 4]]), 0)</f>
        <v>0</v>
      </c>
      <c r="N372" s="100">
        <f>IF(AND(SamplingData[[#This Row],[Total]]&lt;&gt; 0, NOT(ISBLANK(SamplingData[[#This Row],[Candidate 5]]))),(SamplingData[[#This Row],[Total]]+SamplingData[[#This Row],[Winning Candidate]]-SamplingData[[#This Row],[Candidate 5]])/(SamplingData[[#Totals],[Winning Candidate]]-SamplingData[[#Totals],[Candidate 5]]), 0)</f>
        <v>0</v>
      </c>
      <c r="O372" s="100">
        <f>IF(AND(SamplingData[[#This Row],[Total]]&lt;&gt; 0, NOT(ISBLANK(SamplingData[[#This Row],[Candidate 6]]))),(SamplingData[[#This Row],[Total]]+SamplingData[[#This Row],[Winning Candidate]]-SamplingData[[#This Row],[Candidate 6]])/(SamplingData[[#Totals],[Winning Candidate]]-SamplingData[[#Totals],[Candidate 6]]), 0)</f>
        <v>0</v>
      </c>
      <c r="P372" s="100">
        <f>MAX(SamplingData[[#This Row],[Error Bound (up) - Max. possible relative overstatement - Losing Candidate]:[Error Bound (up) - Max. possible relative overstatement - Candidate 6]])</f>
        <v>0</v>
      </c>
      <c r="Q372" s="100">
        <f>IF(SamplingData[[#This Row],[Max Error Bound (up)]] = 0,0,SamplingData[[#This Row],[Max Error Bound (up)]]/SamplingData[[#Totals],[Max Error Bound (up)]])</f>
        <v>0</v>
      </c>
      <c r="R372" s="101">
        <f>SUM($Q$5:Q372)</f>
        <v>0.18054852230875837</v>
      </c>
      <c r="S372" s="100" t="str">
        <f t="array" ref="S372">IF(SamplingData[[#This Row],[up/U Selection Probability]] = 0, "Zero", TEXT(SamplingData[[#This Row],[Lower Range]], REPT("0",LEN('General Info'!$B$40))) &amp; " - " &amp; TEXT(SamplingData[[#This Row],[Upper Range]], REPT("0",LEN('General Info'!$B$40))))</f>
        <v>Zero</v>
      </c>
      <c r="T372" s="100">
        <f>SamplingData[[#This Row],[Upper Range]]-SamplingData[[#This Row],[Span]]</f>
        <v>18054.852230875837</v>
      </c>
      <c r="U372" s="100">
        <f>IF(ISNUMBER('General Info'!$B$40), ((SamplingData[[#This Row],[up/U Selection Probability]]) * 'General Info'!$B$40) - 1, 0)</f>
        <v>-1</v>
      </c>
      <c r="V372" s="100">
        <f>IF(ISNUMBER('General Info'!$B$40), (SamplingData[[#This Row],[Running (cumulative) sum]] * ('General Info'!$B$40 -'General Info'!$B$41 + 1)) + 'General Info'!$B$41 - 1, 0)</f>
        <v>18053.852230875837</v>
      </c>
      <c r="W372" s="100" t="str">
        <f>IF(ISERROR(MATCH(SamplingData[[#This Row],[Batch by Type (p)]],SelectedPrecincts[Batch Name], 0)), "", INDEX(SelectedPrecincts[Draw], MATCH(SamplingData[[#This Row],[Batch by Type (p)]],SelectedPrecincts[Batch Name], 0)))</f>
        <v/>
      </c>
      <c r="X372" s="102">
        <f>IF(COUNTIF(SelectedPrecincts[Batch Name],SamplingData[[#This Row],[Batch by Type (p)]]) &lt;&gt; 0, COUNTIF(SelectedPrecincts[Batch Name],SamplingData[[#This Row],[Batch by Type (p)]]), 0)</f>
        <v>0</v>
      </c>
    </row>
    <row r="373" spans="1:24" ht="15" customHeight="1">
      <c r="A373" s="18" t="s">
        <v>549</v>
      </c>
      <c r="B373" s="18">
        <v>0</v>
      </c>
      <c r="C373" s="18">
        <v>0</v>
      </c>
      <c r="D373" s="16">
        <v>0</v>
      </c>
      <c r="E373" s="16">
        <v>0</v>
      </c>
      <c r="F373" s="37">
        <v>0</v>
      </c>
      <c r="G373" s="37">
        <v>0</v>
      </c>
      <c r="H373" s="17">
        <v>0</v>
      </c>
      <c r="I373" s="17">
        <v>1</v>
      </c>
      <c r="J373" s="99">
        <f>SUM(SamplingData[[#This Row],[Losing Candidate]:[Under Votes]])</f>
        <v>1</v>
      </c>
      <c r="K373"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73" s="100">
        <f>IF(AND(SamplingData[[#This Row],[Total]]&lt;&gt; 0, NOT(ISBLANK(SamplingData[[#This Row],[Candidate 3]]))),(SamplingData[[#This Row],[Total]]+SamplingData[[#This Row],[Winning Candidate]]-SamplingData[[#This Row],[Candidate 3]])/(SamplingData[[#Totals],[Winning Candidate]]-SamplingData[[#Totals],[Candidate 3]]), 0)</f>
        <v>3.2261186566441917E-5</v>
      </c>
      <c r="M373" s="100">
        <f>IF(AND(SamplingData[[#This Row],[Total]]&lt;&gt; 0, NOT(ISBLANK(SamplingData[[#This Row],[Candidate 4]]))),(SamplingData[[#This Row],[Total]]+SamplingData[[#This Row],[Winning Candidate]]-SamplingData[[#This Row],[Candidate 4]])/(SamplingData[[#Totals],[Winning Candidate]]-SamplingData[[#Totals],[Candidate 4]]), 0)</f>
        <v>2.923207343096846E-5</v>
      </c>
      <c r="N373" s="100">
        <f>IF(AND(SamplingData[[#This Row],[Total]]&lt;&gt; 0, NOT(ISBLANK(SamplingData[[#This Row],[Candidate 5]]))),(SamplingData[[#This Row],[Total]]+SamplingData[[#This Row],[Winning Candidate]]-SamplingData[[#This Row],[Candidate 5]])/(SamplingData[[#Totals],[Winning Candidate]]-SamplingData[[#Totals],[Candidate 5]]), 0)</f>
        <v>2.4324981756263683E-5</v>
      </c>
      <c r="O373" s="100">
        <f>IF(AND(SamplingData[[#This Row],[Total]]&lt;&gt; 0, NOT(ISBLANK(SamplingData[[#This Row],[Candidate 6]]))),(SamplingData[[#This Row],[Total]]+SamplingData[[#This Row],[Winning Candidate]]-SamplingData[[#This Row],[Candidate 6]])/(SamplingData[[#Totals],[Winning Candidate]]-SamplingData[[#Totals],[Candidate 6]]), 0)</f>
        <v>2.431788337143135E-5</v>
      </c>
      <c r="P373" s="100">
        <f>MAX(SamplingData[[#This Row],[Error Bound (up) - Max. possible relative overstatement - Losing Candidate]:[Error Bound (up) - Max. possible relative overstatement - Candidate 6]])</f>
        <v>6.1244487996080352E-5</v>
      </c>
      <c r="Q373" s="100">
        <f>IF(SamplingData[[#This Row],[Max Error Bound (up)]] = 0,0,SamplingData[[#This Row],[Max Error Bound (up)]]/SamplingData[[#Totals],[Max Error Bound (up)]])</f>
        <v>9.6929482784458315E-6</v>
      </c>
      <c r="R373" s="101">
        <f>SUM($Q$5:Q373)</f>
        <v>0.1805582152570368</v>
      </c>
      <c r="S373" s="100" t="str">
        <f t="array" ref="S373">IF(SamplingData[[#This Row],[up/U Selection Probability]] = 0, "Zero", TEXT(SamplingData[[#This Row],[Lower Range]], REPT("0",LEN('General Info'!$B$40))) &amp; " - " &amp; TEXT(SamplingData[[#This Row],[Upper Range]], REPT("0",LEN('General Info'!$B$40))))</f>
        <v>18055 - 18055</v>
      </c>
      <c r="T373" s="100">
        <f>SamplingData[[#This Row],[Upper Range]]-SamplingData[[#This Row],[Span]]</f>
        <v>18054.852240568784</v>
      </c>
      <c r="U373" s="100">
        <f>IF(ISNUMBER('General Info'!$B$40), ((SamplingData[[#This Row],[up/U Selection Probability]]) * 'General Info'!$B$40) - 1, 0)</f>
        <v>-3.0714865103695255E-2</v>
      </c>
      <c r="V373" s="100">
        <f>IF(ISNUMBER('General Info'!$B$40), (SamplingData[[#This Row],[Running (cumulative) sum]] * ('General Info'!$B$40 -'General Info'!$B$41 + 1)) + 'General Info'!$B$41 - 1, 0)</f>
        <v>18054.821525703679</v>
      </c>
      <c r="W373" s="100" t="str">
        <f>IF(ISERROR(MATCH(SamplingData[[#This Row],[Batch by Type (p)]],SelectedPrecincts[Batch Name], 0)), "", INDEX(SelectedPrecincts[Draw], MATCH(SamplingData[[#This Row],[Batch by Type (p)]],SelectedPrecincts[Batch Name], 0)))</f>
        <v/>
      </c>
      <c r="X373" s="102">
        <f>IF(COUNTIF(SelectedPrecincts[Batch Name],SamplingData[[#This Row],[Batch by Type (p)]]) &lt;&gt; 0, COUNTIF(SelectedPrecincts[Batch Name],SamplingData[[#This Row],[Batch by Type (p)]]), 0)</f>
        <v>0</v>
      </c>
    </row>
    <row r="374" spans="1:24" ht="15" customHeight="1">
      <c r="A374" s="18" t="s">
        <v>550</v>
      </c>
      <c r="B374" s="18">
        <v>0</v>
      </c>
      <c r="C374" s="18">
        <v>0</v>
      </c>
      <c r="D374" s="18">
        <v>0</v>
      </c>
      <c r="E374" s="18">
        <v>0</v>
      </c>
      <c r="F374" s="18">
        <v>0</v>
      </c>
      <c r="G374" s="18">
        <v>0</v>
      </c>
      <c r="H374" s="18">
        <v>0</v>
      </c>
      <c r="I374" s="18">
        <v>0</v>
      </c>
      <c r="J374" s="99">
        <f>SUM(SamplingData[[#This Row],[Losing Candidate]:[Under Votes]])</f>
        <v>0</v>
      </c>
      <c r="K374" s="100">
        <f>IF(AND(SamplingData[[#This Row],[Total]]&lt;&gt; 0, NOT(ISBLANK(SamplingData[[#This Row],[Losing Candidate]]))),(SamplingData[[#This Row],[Total]]+SamplingData[[#This Row],[Winning Candidate]]-SamplingData[[#This Row],[Losing Candidate]])/(SamplingData[[#Totals],[Winning Candidate]]-SamplingData[[#Totals],[Losing Candidate]]), 0)</f>
        <v>0</v>
      </c>
      <c r="L374" s="100">
        <f>IF(AND(SamplingData[[#This Row],[Total]]&lt;&gt; 0, NOT(ISBLANK(SamplingData[[#This Row],[Candidate 3]]))),(SamplingData[[#This Row],[Total]]+SamplingData[[#This Row],[Winning Candidate]]-SamplingData[[#This Row],[Candidate 3]])/(SamplingData[[#Totals],[Winning Candidate]]-SamplingData[[#Totals],[Candidate 3]]), 0)</f>
        <v>0</v>
      </c>
      <c r="M374" s="100">
        <f>IF(AND(SamplingData[[#This Row],[Total]]&lt;&gt; 0, NOT(ISBLANK(SamplingData[[#This Row],[Candidate 4]]))),(SamplingData[[#This Row],[Total]]+SamplingData[[#This Row],[Winning Candidate]]-SamplingData[[#This Row],[Candidate 4]])/(SamplingData[[#Totals],[Winning Candidate]]-SamplingData[[#Totals],[Candidate 4]]), 0)</f>
        <v>0</v>
      </c>
      <c r="N374" s="100">
        <f>IF(AND(SamplingData[[#This Row],[Total]]&lt;&gt; 0, NOT(ISBLANK(SamplingData[[#This Row],[Candidate 5]]))),(SamplingData[[#This Row],[Total]]+SamplingData[[#This Row],[Winning Candidate]]-SamplingData[[#This Row],[Candidate 5]])/(SamplingData[[#Totals],[Winning Candidate]]-SamplingData[[#Totals],[Candidate 5]]), 0)</f>
        <v>0</v>
      </c>
      <c r="O374" s="100">
        <f>IF(AND(SamplingData[[#This Row],[Total]]&lt;&gt; 0, NOT(ISBLANK(SamplingData[[#This Row],[Candidate 6]]))),(SamplingData[[#This Row],[Total]]+SamplingData[[#This Row],[Winning Candidate]]-SamplingData[[#This Row],[Candidate 6]])/(SamplingData[[#Totals],[Winning Candidate]]-SamplingData[[#Totals],[Candidate 6]]), 0)</f>
        <v>0</v>
      </c>
      <c r="P374" s="100">
        <f>MAX(SamplingData[[#This Row],[Error Bound (up) - Max. possible relative overstatement - Losing Candidate]:[Error Bound (up) - Max. possible relative overstatement - Candidate 6]])</f>
        <v>0</v>
      </c>
      <c r="Q374" s="100">
        <f>IF(SamplingData[[#This Row],[Max Error Bound (up)]] = 0,0,SamplingData[[#This Row],[Max Error Bound (up)]]/SamplingData[[#Totals],[Max Error Bound (up)]])</f>
        <v>0</v>
      </c>
      <c r="R374" s="101">
        <f>SUM($Q$5:Q374)</f>
        <v>0.1805582152570368</v>
      </c>
      <c r="S374" s="100" t="str">
        <f t="array" ref="S374">IF(SamplingData[[#This Row],[up/U Selection Probability]] = 0, "Zero", TEXT(SamplingData[[#This Row],[Lower Range]], REPT("0",LEN('General Info'!$B$40))) &amp; " - " &amp; TEXT(SamplingData[[#This Row],[Upper Range]], REPT("0",LEN('General Info'!$B$40))))</f>
        <v>Zero</v>
      </c>
      <c r="T374" s="100">
        <f>SamplingData[[#This Row],[Upper Range]]-SamplingData[[#This Row],[Span]]</f>
        <v>18055.821525703679</v>
      </c>
      <c r="U374" s="100">
        <f>IF(ISNUMBER('General Info'!$B$40), ((SamplingData[[#This Row],[up/U Selection Probability]]) * 'General Info'!$B$40) - 1, 0)</f>
        <v>-1</v>
      </c>
      <c r="V374" s="100">
        <f>IF(ISNUMBER('General Info'!$B$40), (SamplingData[[#This Row],[Running (cumulative) sum]] * ('General Info'!$B$40 -'General Info'!$B$41 + 1)) + 'General Info'!$B$41 - 1, 0)</f>
        <v>18054.821525703679</v>
      </c>
      <c r="W374" s="100" t="str">
        <f>IF(ISERROR(MATCH(SamplingData[[#This Row],[Batch by Type (p)]],SelectedPrecincts[Batch Name], 0)), "", INDEX(SelectedPrecincts[Draw], MATCH(SamplingData[[#This Row],[Batch by Type (p)]],SelectedPrecincts[Batch Name], 0)))</f>
        <v/>
      </c>
      <c r="X374" s="102">
        <f>IF(COUNTIF(SelectedPrecincts[Batch Name],SamplingData[[#This Row],[Batch by Type (p)]]) &lt;&gt; 0, COUNTIF(SelectedPrecincts[Batch Name],SamplingData[[#This Row],[Batch by Type (p)]]), 0)</f>
        <v>0</v>
      </c>
    </row>
    <row r="375" spans="1:24" ht="15" customHeight="1">
      <c r="A375" s="18" t="s">
        <v>551</v>
      </c>
      <c r="B375" s="18">
        <v>0</v>
      </c>
      <c r="C375" s="18">
        <v>0</v>
      </c>
      <c r="D375" s="16">
        <v>1</v>
      </c>
      <c r="E375" s="16">
        <v>0</v>
      </c>
      <c r="F375" s="37">
        <v>0</v>
      </c>
      <c r="G375" s="37">
        <v>0</v>
      </c>
      <c r="H375" s="17">
        <v>0</v>
      </c>
      <c r="I375" s="17">
        <v>0</v>
      </c>
      <c r="J375" s="99">
        <f>SUM(SamplingData[[#This Row],[Losing Candidate]:[Under Votes]])</f>
        <v>1</v>
      </c>
      <c r="K375"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75" s="100">
        <f>IF(AND(SamplingData[[#This Row],[Total]]&lt;&gt; 0, NOT(ISBLANK(SamplingData[[#This Row],[Candidate 3]]))),(SamplingData[[#This Row],[Total]]+SamplingData[[#This Row],[Winning Candidate]]-SamplingData[[#This Row],[Candidate 3]])/(SamplingData[[#Totals],[Winning Candidate]]-SamplingData[[#Totals],[Candidate 3]]), 0)</f>
        <v>0</v>
      </c>
      <c r="M375" s="100">
        <f>IF(AND(SamplingData[[#This Row],[Total]]&lt;&gt; 0, NOT(ISBLANK(SamplingData[[#This Row],[Candidate 4]]))),(SamplingData[[#This Row],[Total]]+SamplingData[[#This Row],[Winning Candidate]]-SamplingData[[#This Row],[Candidate 4]])/(SamplingData[[#Totals],[Winning Candidate]]-SamplingData[[#Totals],[Candidate 4]]), 0)</f>
        <v>2.923207343096846E-5</v>
      </c>
      <c r="N375" s="100">
        <f>IF(AND(SamplingData[[#This Row],[Total]]&lt;&gt; 0, NOT(ISBLANK(SamplingData[[#This Row],[Candidate 5]]))),(SamplingData[[#This Row],[Total]]+SamplingData[[#This Row],[Winning Candidate]]-SamplingData[[#This Row],[Candidate 5]])/(SamplingData[[#Totals],[Winning Candidate]]-SamplingData[[#Totals],[Candidate 5]]), 0)</f>
        <v>2.4324981756263683E-5</v>
      </c>
      <c r="O375" s="100">
        <f>IF(AND(SamplingData[[#This Row],[Total]]&lt;&gt; 0, NOT(ISBLANK(SamplingData[[#This Row],[Candidate 6]]))),(SamplingData[[#This Row],[Total]]+SamplingData[[#This Row],[Winning Candidate]]-SamplingData[[#This Row],[Candidate 6]])/(SamplingData[[#Totals],[Winning Candidate]]-SamplingData[[#Totals],[Candidate 6]]), 0)</f>
        <v>2.431788337143135E-5</v>
      </c>
      <c r="P375" s="100">
        <f>MAX(SamplingData[[#This Row],[Error Bound (up) - Max. possible relative overstatement - Losing Candidate]:[Error Bound (up) - Max. possible relative overstatement - Candidate 6]])</f>
        <v>6.1244487996080352E-5</v>
      </c>
      <c r="Q375" s="100">
        <f>IF(SamplingData[[#This Row],[Max Error Bound (up)]] = 0,0,SamplingData[[#This Row],[Max Error Bound (up)]]/SamplingData[[#Totals],[Max Error Bound (up)]])</f>
        <v>9.6929482784458315E-6</v>
      </c>
      <c r="R375" s="101">
        <f>SUM($Q$5:Q375)</f>
        <v>0.18056790820531524</v>
      </c>
      <c r="S375" s="100" t="str">
        <f t="array" ref="S375">IF(SamplingData[[#This Row],[up/U Selection Probability]] = 0, "Zero", TEXT(SamplingData[[#This Row],[Lower Range]], REPT("0",LEN('General Info'!$B$40))) &amp; " - " &amp; TEXT(SamplingData[[#This Row],[Upper Range]], REPT("0",LEN('General Info'!$B$40))))</f>
        <v>18056 - 18056</v>
      </c>
      <c r="T375" s="100">
        <f>SamplingData[[#This Row],[Upper Range]]-SamplingData[[#This Row],[Span]]</f>
        <v>18055.82153539663</v>
      </c>
      <c r="U375" s="100">
        <f>IF(ISNUMBER('General Info'!$B$40), ((SamplingData[[#This Row],[up/U Selection Probability]]) * 'General Info'!$B$40) - 1, 0)</f>
        <v>-3.0714865103695255E-2</v>
      </c>
      <c r="V375" s="100">
        <f>IF(ISNUMBER('General Info'!$B$40), (SamplingData[[#This Row],[Running (cumulative) sum]] * ('General Info'!$B$40 -'General Info'!$B$41 + 1)) + 'General Info'!$B$41 - 1, 0)</f>
        <v>18055.790820531525</v>
      </c>
      <c r="W375" s="100" t="str">
        <f>IF(ISERROR(MATCH(SamplingData[[#This Row],[Batch by Type (p)]],SelectedPrecincts[Batch Name], 0)), "", INDEX(SelectedPrecincts[Draw], MATCH(SamplingData[[#This Row],[Batch by Type (p)]],SelectedPrecincts[Batch Name], 0)))</f>
        <v/>
      </c>
      <c r="X375" s="102">
        <f>IF(COUNTIF(SelectedPrecincts[Batch Name],SamplingData[[#This Row],[Batch by Type (p)]]) &lt;&gt; 0, COUNTIF(SelectedPrecincts[Batch Name],SamplingData[[#This Row],[Batch by Type (p)]]), 0)</f>
        <v>0</v>
      </c>
    </row>
    <row r="376" spans="1:24" ht="15" customHeight="1">
      <c r="A376" s="18" t="s">
        <v>552</v>
      </c>
      <c r="B376" s="18">
        <v>0</v>
      </c>
      <c r="C376" s="18">
        <v>1</v>
      </c>
      <c r="D376" s="18">
        <v>0</v>
      </c>
      <c r="E376" s="18">
        <v>0</v>
      </c>
      <c r="F376" s="18">
        <v>0</v>
      </c>
      <c r="G376" s="18">
        <v>0</v>
      </c>
      <c r="H376" s="18">
        <v>0</v>
      </c>
      <c r="I376" s="18">
        <v>2</v>
      </c>
      <c r="J376" s="99">
        <f>SUM(SamplingData[[#This Row],[Losing Candidate]:[Under Votes]])</f>
        <v>3</v>
      </c>
      <c r="K376"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376" s="100">
        <f>IF(AND(SamplingData[[#This Row],[Total]]&lt;&gt; 0, NOT(ISBLANK(SamplingData[[#This Row],[Candidate 3]]))),(SamplingData[[#This Row],[Total]]+SamplingData[[#This Row],[Winning Candidate]]-SamplingData[[#This Row],[Candidate 3]])/(SamplingData[[#Totals],[Winning Candidate]]-SamplingData[[#Totals],[Candidate 3]]), 0)</f>
        <v>1.2904474626576767E-4</v>
      </c>
      <c r="M376" s="100">
        <f>IF(AND(SamplingData[[#This Row],[Total]]&lt;&gt; 0, NOT(ISBLANK(SamplingData[[#This Row],[Candidate 4]]))),(SamplingData[[#This Row],[Total]]+SamplingData[[#This Row],[Winning Candidate]]-SamplingData[[#This Row],[Candidate 4]])/(SamplingData[[#Totals],[Winning Candidate]]-SamplingData[[#Totals],[Candidate 4]]), 0)</f>
        <v>1.1692829372387384E-4</v>
      </c>
      <c r="N376" s="100">
        <f>IF(AND(SamplingData[[#This Row],[Total]]&lt;&gt; 0, NOT(ISBLANK(SamplingData[[#This Row],[Candidate 5]]))),(SamplingData[[#This Row],[Total]]+SamplingData[[#This Row],[Winning Candidate]]-SamplingData[[#This Row],[Candidate 5]])/(SamplingData[[#Totals],[Winning Candidate]]-SamplingData[[#Totals],[Candidate 5]]), 0)</f>
        <v>9.7299927025054734E-5</v>
      </c>
      <c r="O376" s="100">
        <f>IF(AND(SamplingData[[#This Row],[Total]]&lt;&gt; 0, NOT(ISBLANK(SamplingData[[#This Row],[Candidate 6]]))),(SamplingData[[#This Row],[Total]]+SamplingData[[#This Row],[Winning Candidate]]-SamplingData[[#This Row],[Candidate 6]])/(SamplingData[[#Totals],[Winning Candidate]]-SamplingData[[#Totals],[Candidate 6]]), 0)</f>
        <v>9.7271533485725401E-5</v>
      </c>
      <c r="P376" s="100">
        <f>MAX(SamplingData[[#This Row],[Error Bound (up) - Max. possible relative overstatement - Losing Candidate]:[Error Bound (up) - Max. possible relative overstatement - Candidate 6]])</f>
        <v>2.4497795198432141E-4</v>
      </c>
      <c r="Q376" s="100">
        <f>IF(SamplingData[[#This Row],[Max Error Bound (up)]] = 0,0,SamplingData[[#This Row],[Max Error Bound (up)]]/SamplingData[[#Totals],[Max Error Bound (up)]])</f>
        <v>3.8771793113783326E-5</v>
      </c>
      <c r="R376" s="101">
        <f>SUM($Q$5:Q376)</f>
        <v>0.18060667999842903</v>
      </c>
      <c r="S376" s="100" t="str">
        <f t="array" ref="S376">IF(SamplingData[[#This Row],[up/U Selection Probability]] = 0, "Zero", TEXT(SamplingData[[#This Row],[Lower Range]], REPT("0",LEN('General Info'!$B$40))) &amp; " - " &amp; TEXT(SamplingData[[#This Row],[Upper Range]], REPT("0",LEN('General Info'!$B$40))))</f>
        <v>18057 - 18060</v>
      </c>
      <c r="T376" s="100">
        <f>SamplingData[[#This Row],[Upper Range]]-SamplingData[[#This Row],[Span]]</f>
        <v>18056.790859303317</v>
      </c>
      <c r="U376" s="100">
        <f>IF(ISNUMBER('General Info'!$B$40), ((SamplingData[[#This Row],[up/U Selection Probability]]) * 'General Info'!$B$40) - 1, 0)</f>
        <v>2.877140539585219</v>
      </c>
      <c r="V376" s="100">
        <f>IF(ISNUMBER('General Info'!$B$40), (SamplingData[[#This Row],[Running (cumulative) sum]] * ('General Info'!$B$40 -'General Info'!$B$41 + 1)) + 'General Info'!$B$41 - 1, 0)</f>
        <v>18059.667999842903</v>
      </c>
      <c r="W376" s="100" t="str">
        <f>IF(ISERROR(MATCH(SamplingData[[#This Row],[Batch by Type (p)]],SelectedPrecincts[Batch Name], 0)), "", INDEX(SelectedPrecincts[Draw], MATCH(SamplingData[[#This Row],[Batch by Type (p)]],SelectedPrecincts[Batch Name], 0)))</f>
        <v/>
      </c>
      <c r="X376" s="102">
        <f>IF(COUNTIF(SelectedPrecincts[Batch Name],SamplingData[[#This Row],[Batch by Type (p)]]) &lt;&gt; 0, COUNTIF(SelectedPrecincts[Batch Name],SamplingData[[#This Row],[Batch by Type (p)]]), 0)</f>
        <v>0</v>
      </c>
    </row>
    <row r="377" spans="1:24" ht="15" customHeight="1">
      <c r="A377" s="18" t="s">
        <v>553</v>
      </c>
      <c r="B377" s="18">
        <v>0</v>
      </c>
      <c r="C377" s="18">
        <v>0</v>
      </c>
      <c r="D377" s="16">
        <v>0</v>
      </c>
      <c r="E377" s="16">
        <v>0</v>
      </c>
      <c r="F377" s="37">
        <v>0</v>
      </c>
      <c r="G377" s="37">
        <v>0</v>
      </c>
      <c r="H377" s="17">
        <v>0</v>
      </c>
      <c r="I377" s="17">
        <v>0</v>
      </c>
      <c r="J377" s="99">
        <f>SUM(SamplingData[[#This Row],[Losing Candidate]:[Under Votes]])</f>
        <v>0</v>
      </c>
      <c r="K377" s="100">
        <f>IF(AND(SamplingData[[#This Row],[Total]]&lt;&gt; 0, NOT(ISBLANK(SamplingData[[#This Row],[Losing Candidate]]))),(SamplingData[[#This Row],[Total]]+SamplingData[[#This Row],[Winning Candidate]]-SamplingData[[#This Row],[Losing Candidate]])/(SamplingData[[#Totals],[Winning Candidate]]-SamplingData[[#Totals],[Losing Candidate]]), 0)</f>
        <v>0</v>
      </c>
      <c r="L377" s="100">
        <f>IF(AND(SamplingData[[#This Row],[Total]]&lt;&gt; 0, NOT(ISBLANK(SamplingData[[#This Row],[Candidate 3]]))),(SamplingData[[#This Row],[Total]]+SamplingData[[#This Row],[Winning Candidate]]-SamplingData[[#This Row],[Candidate 3]])/(SamplingData[[#Totals],[Winning Candidate]]-SamplingData[[#Totals],[Candidate 3]]), 0)</f>
        <v>0</v>
      </c>
      <c r="M377" s="100">
        <f>IF(AND(SamplingData[[#This Row],[Total]]&lt;&gt; 0, NOT(ISBLANK(SamplingData[[#This Row],[Candidate 4]]))),(SamplingData[[#This Row],[Total]]+SamplingData[[#This Row],[Winning Candidate]]-SamplingData[[#This Row],[Candidate 4]])/(SamplingData[[#Totals],[Winning Candidate]]-SamplingData[[#Totals],[Candidate 4]]), 0)</f>
        <v>0</v>
      </c>
      <c r="N377" s="100">
        <f>IF(AND(SamplingData[[#This Row],[Total]]&lt;&gt; 0, NOT(ISBLANK(SamplingData[[#This Row],[Candidate 5]]))),(SamplingData[[#This Row],[Total]]+SamplingData[[#This Row],[Winning Candidate]]-SamplingData[[#This Row],[Candidate 5]])/(SamplingData[[#Totals],[Winning Candidate]]-SamplingData[[#Totals],[Candidate 5]]), 0)</f>
        <v>0</v>
      </c>
      <c r="O377" s="100">
        <f>IF(AND(SamplingData[[#This Row],[Total]]&lt;&gt; 0, NOT(ISBLANK(SamplingData[[#This Row],[Candidate 6]]))),(SamplingData[[#This Row],[Total]]+SamplingData[[#This Row],[Winning Candidate]]-SamplingData[[#This Row],[Candidate 6]])/(SamplingData[[#Totals],[Winning Candidate]]-SamplingData[[#Totals],[Candidate 6]]), 0)</f>
        <v>0</v>
      </c>
      <c r="P377" s="100">
        <f>MAX(SamplingData[[#This Row],[Error Bound (up) - Max. possible relative overstatement - Losing Candidate]:[Error Bound (up) - Max. possible relative overstatement - Candidate 6]])</f>
        <v>0</v>
      </c>
      <c r="Q377" s="100">
        <f>IF(SamplingData[[#This Row],[Max Error Bound (up)]] = 0,0,SamplingData[[#This Row],[Max Error Bound (up)]]/SamplingData[[#Totals],[Max Error Bound (up)]])</f>
        <v>0</v>
      </c>
      <c r="R377" s="101">
        <f>SUM($Q$5:Q377)</f>
        <v>0.18060667999842903</v>
      </c>
      <c r="S377" s="100" t="str">
        <f t="array" ref="S377">IF(SamplingData[[#This Row],[up/U Selection Probability]] = 0, "Zero", TEXT(SamplingData[[#This Row],[Lower Range]], REPT("0",LEN('General Info'!$B$40))) &amp; " - " &amp; TEXT(SamplingData[[#This Row],[Upper Range]], REPT("0",LEN('General Info'!$B$40))))</f>
        <v>Zero</v>
      </c>
      <c r="T377" s="100">
        <f>SamplingData[[#This Row],[Upper Range]]-SamplingData[[#This Row],[Span]]</f>
        <v>18060.667999842903</v>
      </c>
      <c r="U377" s="100">
        <f>IF(ISNUMBER('General Info'!$B$40), ((SamplingData[[#This Row],[up/U Selection Probability]]) * 'General Info'!$B$40) - 1, 0)</f>
        <v>-1</v>
      </c>
      <c r="V377" s="100">
        <f>IF(ISNUMBER('General Info'!$B$40), (SamplingData[[#This Row],[Running (cumulative) sum]] * ('General Info'!$B$40 -'General Info'!$B$41 + 1)) + 'General Info'!$B$41 - 1, 0)</f>
        <v>18059.667999842903</v>
      </c>
      <c r="W377" s="100" t="str">
        <f>IF(ISERROR(MATCH(SamplingData[[#This Row],[Batch by Type (p)]],SelectedPrecincts[Batch Name], 0)), "", INDEX(SelectedPrecincts[Draw], MATCH(SamplingData[[#This Row],[Batch by Type (p)]],SelectedPrecincts[Batch Name], 0)))</f>
        <v/>
      </c>
      <c r="X377" s="102">
        <f>IF(COUNTIF(SelectedPrecincts[Batch Name],SamplingData[[#This Row],[Batch by Type (p)]]) &lt;&gt; 0, COUNTIF(SelectedPrecincts[Batch Name],SamplingData[[#This Row],[Batch by Type (p)]]), 0)</f>
        <v>0</v>
      </c>
    </row>
    <row r="378" spans="1:24" ht="15" customHeight="1">
      <c r="A378" s="18" t="s">
        <v>554</v>
      </c>
      <c r="B378" s="18">
        <v>1</v>
      </c>
      <c r="C378" s="18">
        <v>0</v>
      </c>
      <c r="D378" s="18">
        <v>0</v>
      </c>
      <c r="E378" s="18">
        <v>0</v>
      </c>
      <c r="F378" s="18">
        <v>0</v>
      </c>
      <c r="G378" s="18">
        <v>0</v>
      </c>
      <c r="H378" s="18">
        <v>0</v>
      </c>
      <c r="I378" s="18">
        <v>0</v>
      </c>
      <c r="J378" s="99">
        <f>SUM(SamplingData[[#This Row],[Losing Candidate]:[Under Votes]])</f>
        <v>1</v>
      </c>
      <c r="K378" s="100">
        <f>IF(AND(SamplingData[[#This Row],[Total]]&lt;&gt; 0, NOT(ISBLANK(SamplingData[[#This Row],[Losing Candidate]]))),(SamplingData[[#This Row],[Total]]+SamplingData[[#This Row],[Winning Candidate]]-SamplingData[[#This Row],[Losing Candidate]])/(SamplingData[[#Totals],[Winning Candidate]]-SamplingData[[#Totals],[Losing Candidate]]), 0)</f>
        <v>0</v>
      </c>
      <c r="L378" s="100">
        <f>IF(AND(SamplingData[[#This Row],[Total]]&lt;&gt; 0, NOT(ISBLANK(SamplingData[[#This Row],[Candidate 3]]))),(SamplingData[[#This Row],[Total]]+SamplingData[[#This Row],[Winning Candidate]]-SamplingData[[#This Row],[Candidate 3]])/(SamplingData[[#Totals],[Winning Candidate]]-SamplingData[[#Totals],[Candidate 3]]), 0)</f>
        <v>3.2261186566441917E-5</v>
      </c>
      <c r="M378" s="100">
        <f>IF(AND(SamplingData[[#This Row],[Total]]&lt;&gt; 0, NOT(ISBLANK(SamplingData[[#This Row],[Candidate 4]]))),(SamplingData[[#This Row],[Total]]+SamplingData[[#This Row],[Winning Candidate]]-SamplingData[[#This Row],[Candidate 4]])/(SamplingData[[#Totals],[Winning Candidate]]-SamplingData[[#Totals],[Candidate 4]]), 0)</f>
        <v>2.923207343096846E-5</v>
      </c>
      <c r="N378" s="100">
        <f>IF(AND(SamplingData[[#This Row],[Total]]&lt;&gt; 0, NOT(ISBLANK(SamplingData[[#This Row],[Candidate 5]]))),(SamplingData[[#This Row],[Total]]+SamplingData[[#This Row],[Winning Candidate]]-SamplingData[[#This Row],[Candidate 5]])/(SamplingData[[#Totals],[Winning Candidate]]-SamplingData[[#Totals],[Candidate 5]]), 0)</f>
        <v>2.4324981756263683E-5</v>
      </c>
      <c r="O378" s="100">
        <f>IF(AND(SamplingData[[#This Row],[Total]]&lt;&gt; 0, NOT(ISBLANK(SamplingData[[#This Row],[Candidate 6]]))),(SamplingData[[#This Row],[Total]]+SamplingData[[#This Row],[Winning Candidate]]-SamplingData[[#This Row],[Candidate 6]])/(SamplingData[[#Totals],[Winning Candidate]]-SamplingData[[#Totals],[Candidate 6]]), 0)</f>
        <v>2.431788337143135E-5</v>
      </c>
      <c r="P378" s="100">
        <f>MAX(SamplingData[[#This Row],[Error Bound (up) - Max. possible relative overstatement - Losing Candidate]:[Error Bound (up) - Max. possible relative overstatement - Candidate 6]])</f>
        <v>3.2261186566441917E-5</v>
      </c>
      <c r="Q378" s="100">
        <f>IF(SamplingData[[#This Row],[Max Error Bound (up)]] = 0,0,SamplingData[[#This Row],[Max Error Bound (up)]]/SamplingData[[#Totals],[Max Error Bound (up)]])</f>
        <v>5.1058637768320663E-6</v>
      </c>
      <c r="R378" s="101">
        <f>SUM($Q$5:Q378)</f>
        <v>0.18061178586220586</v>
      </c>
      <c r="S378" s="100" t="str">
        <f t="array" ref="S378">IF(SamplingData[[#This Row],[up/U Selection Probability]] = 0, "Zero", TEXT(SamplingData[[#This Row],[Lower Range]], REPT("0",LEN('General Info'!$B$40))) &amp; " - " &amp; TEXT(SamplingData[[#This Row],[Upper Range]], REPT("0",LEN('General Info'!$B$40))))</f>
        <v>18061 - 18060</v>
      </c>
      <c r="T378" s="100">
        <f>SamplingData[[#This Row],[Upper Range]]-SamplingData[[#This Row],[Span]]</f>
        <v>18060.668004948766</v>
      </c>
      <c r="U378" s="100">
        <f>IF(ISNUMBER('General Info'!$B$40), ((SamplingData[[#This Row],[up/U Selection Probability]]) * 'General Info'!$B$40) - 1, 0)</f>
        <v>-0.4894187281805702</v>
      </c>
      <c r="V378" s="100">
        <f>IF(ISNUMBER('General Info'!$B$40), (SamplingData[[#This Row],[Running (cumulative) sum]] * ('General Info'!$B$40 -'General Info'!$B$41 + 1)) + 'General Info'!$B$41 - 1, 0)</f>
        <v>18060.178586220587</v>
      </c>
      <c r="W378" s="100" t="str">
        <f>IF(ISERROR(MATCH(SamplingData[[#This Row],[Batch by Type (p)]],SelectedPrecincts[Batch Name], 0)), "", INDEX(SelectedPrecincts[Draw], MATCH(SamplingData[[#This Row],[Batch by Type (p)]],SelectedPrecincts[Batch Name], 0)))</f>
        <v/>
      </c>
      <c r="X378" s="102">
        <f>IF(COUNTIF(SelectedPrecincts[Batch Name],SamplingData[[#This Row],[Batch by Type (p)]]) &lt;&gt; 0, COUNTIF(SelectedPrecincts[Batch Name],SamplingData[[#This Row],[Batch by Type (p)]]), 0)</f>
        <v>0</v>
      </c>
    </row>
    <row r="379" spans="1:24" ht="15" customHeight="1">
      <c r="A379" s="18" t="s">
        <v>555</v>
      </c>
      <c r="B379" s="18">
        <v>1</v>
      </c>
      <c r="C379" s="18">
        <v>0</v>
      </c>
      <c r="D379" s="16">
        <v>0</v>
      </c>
      <c r="E379" s="16">
        <v>0</v>
      </c>
      <c r="F379" s="37">
        <v>0</v>
      </c>
      <c r="G379" s="37">
        <v>0</v>
      </c>
      <c r="H379" s="17">
        <v>0</v>
      </c>
      <c r="I379" s="17">
        <v>0</v>
      </c>
      <c r="J379" s="99">
        <f>SUM(SamplingData[[#This Row],[Losing Candidate]:[Under Votes]])</f>
        <v>1</v>
      </c>
      <c r="K379" s="100">
        <f>IF(AND(SamplingData[[#This Row],[Total]]&lt;&gt; 0, NOT(ISBLANK(SamplingData[[#This Row],[Losing Candidate]]))),(SamplingData[[#This Row],[Total]]+SamplingData[[#This Row],[Winning Candidate]]-SamplingData[[#This Row],[Losing Candidate]])/(SamplingData[[#Totals],[Winning Candidate]]-SamplingData[[#Totals],[Losing Candidate]]), 0)</f>
        <v>0</v>
      </c>
      <c r="L379" s="100">
        <f>IF(AND(SamplingData[[#This Row],[Total]]&lt;&gt; 0, NOT(ISBLANK(SamplingData[[#This Row],[Candidate 3]]))),(SamplingData[[#This Row],[Total]]+SamplingData[[#This Row],[Winning Candidate]]-SamplingData[[#This Row],[Candidate 3]])/(SamplingData[[#Totals],[Winning Candidate]]-SamplingData[[#Totals],[Candidate 3]]), 0)</f>
        <v>3.2261186566441917E-5</v>
      </c>
      <c r="M379" s="100">
        <f>IF(AND(SamplingData[[#This Row],[Total]]&lt;&gt; 0, NOT(ISBLANK(SamplingData[[#This Row],[Candidate 4]]))),(SamplingData[[#This Row],[Total]]+SamplingData[[#This Row],[Winning Candidate]]-SamplingData[[#This Row],[Candidate 4]])/(SamplingData[[#Totals],[Winning Candidate]]-SamplingData[[#Totals],[Candidate 4]]), 0)</f>
        <v>2.923207343096846E-5</v>
      </c>
      <c r="N379" s="100">
        <f>IF(AND(SamplingData[[#This Row],[Total]]&lt;&gt; 0, NOT(ISBLANK(SamplingData[[#This Row],[Candidate 5]]))),(SamplingData[[#This Row],[Total]]+SamplingData[[#This Row],[Winning Candidate]]-SamplingData[[#This Row],[Candidate 5]])/(SamplingData[[#Totals],[Winning Candidate]]-SamplingData[[#Totals],[Candidate 5]]), 0)</f>
        <v>2.4324981756263683E-5</v>
      </c>
      <c r="O379" s="100">
        <f>IF(AND(SamplingData[[#This Row],[Total]]&lt;&gt; 0, NOT(ISBLANK(SamplingData[[#This Row],[Candidate 6]]))),(SamplingData[[#This Row],[Total]]+SamplingData[[#This Row],[Winning Candidate]]-SamplingData[[#This Row],[Candidate 6]])/(SamplingData[[#Totals],[Winning Candidate]]-SamplingData[[#Totals],[Candidate 6]]), 0)</f>
        <v>2.431788337143135E-5</v>
      </c>
      <c r="P379" s="100">
        <f>MAX(SamplingData[[#This Row],[Error Bound (up) - Max. possible relative overstatement - Losing Candidate]:[Error Bound (up) - Max. possible relative overstatement - Candidate 6]])</f>
        <v>3.2261186566441917E-5</v>
      </c>
      <c r="Q379" s="100">
        <f>IF(SamplingData[[#This Row],[Max Error Bound (up)]] = 0,0,SamplingData[[#This Row],[Max Error Bound (up)]]/SamplingData[[#Totals],[Max Error Bound (up)]])</f>
        <v>5.1058637768320663E-6</v>
      </c>
      <c r="R379" s="101">
        <f>SUM($Q$5:Q379)</f>
        <v>0.18061689172598269</v>
      </c>
      <c r="S379" s="100" t="str">
        <f t="array" ref="S379">IF(SamplingData[[#This Row],[up/U Selection Probability]] = 0, "Zero", TEXT(SamplingData[[#This Row],[Lower Range]], REPT("0",LEN('General Info'!$B$40))) &amp; " - " &amp; TEXT(SamplingData[[#This Row],[Upper Range]], REPT("0",LEN('General Info'!$B$40))))</f>
        <v>18061 - 18061</v>
      </c>
      <c r="T379" s="100">
        <f>SamplingData[[#This Row],[Upper Range]]-SamplingData[[#This Row],[Span]]</f>
        <v>18061.178591326447</v>
      </c>
      <c r="U379" s="100">
        <f>IF(ISNUMBER('General Info'!$B$40), ((SamplingData[[#This Row],[up/U Selection Probability]]) * 'General Info'!$B$40) - 1, 0)</f>
        <v>-0.4894187281805702</v>
      </c>
      <c r="V379" s="100">
        <f>IF(ISNUMBER('General Info'!$B$40), (SamplingData[[#This Row],[Running (cumulative) sum]] * ('General Info'!$B$40 -'General Info'!$B$41 + 1)) + 'General Info'!$B$41 - 1, 0)</f>
        <v>18060.689172598268</v>
      </c>
      <c r="W379" s="100" t="str">
        <f>IF(ISERROR(MATCH(SamplingData[[#This Row],[Batch by Type (p)]],SelectedPrecincts[Batch Name], 0)), "", INDEX(SelectedPrecincts[Draw], MATCH(SamplingData[[#This Row],[Batch by Type (p)]],SelectedPrecincts[Batch Name], 0)))</f>
        <v/>
      </c>
      <c r="X379" s="102">
        <f>IF(COUNTIF(SelectedPrecincts[Batch Name],SamplingData[[#This Row],[Batch by Type (p)]]) &lt;&gt; 0, COUNTIF(SelectedPrecincts[Batch Name],SamplingData[[#This Row],[Batch by Type (p)]]), 0)</f>
        <v>0</v>
      </c>
    </row>
    <row r="380" spans="1:24" ht="15" customHeight="1">
      <c r="A380" s="18" t="s">
        <v>556</v>
      </c>
      <c r="B380" s="18">
        <v>0</v>
      </c>
      <c r="C380" s="18">
        <v>0</v>
      </c>
      <c r="D380" s="18">
        <v>0</v>
      </c>
      <c r="E380" s="18">
        <v>0</v>
      </c>
      <c r="F380" s="18">
        <v>0</v>
      </c>
      <c r="G380" s="18">
        <v>0</v>
      </c>
      <c r="H380" s="18">
        <v>0</v>
      </c>
      <c r="I380" s="18">
        <v>0</v>
      </c>
      <c r="J380" s="99">
        <f>SUM(SamplingData[[#This Row],[Losing Candidate]:[Under Votes]])</f>
        <v>0</v>
      </c>
      <c r="K380" s="100">
        <f>IF(AND(SamplingData[[#This Row],[Total]]&lt;&gt; 0, NOT(ISBLANK(SamplingData[[#This Row],[Losing Candidate]]))),(SamplingData[[#This Row],[Total]]+SamplingData[[#This Row],[Winning Candidate]]-SamplingData[[#This Row],[Losing Candidate]])/(SamplingData[[#Totals],[Winning Candidate]]-SamplingData[[#Totals],[Losing Candidate]]), 0)</f>
        <v>0</v>
      </c>
      <c r="L380" s="100">
        <f>IF(AND(SamplingData[[#This Row],[Total]]&lt;&gt; 0, NOT(ISBLANK(SamplingData[[#This Row],[Candidate 3]]))),(SamplingData[[#This Row],[Total]]+SamplingData[[#This Row],[Winning Candidate]]-SamplingData[[#This Row],[Candidate 3]])/(SamplingData[[#Totals],[Winning Candidate]]-SamplingData[[#Totals],[Candidate 3]]), 0)</f>
        <v>0</v>
      </c>
      <c r="M380" s="100">
        <f>IF(AND(SamplingData[[#This Row],[Total]]&lt;&gt; 0, NOT(ISBLANK(SamplingData[[#This Row],[Candidate 4]]))),(SamplingData[[#This Row],[Total]]+SamplingData[[#This Row],[Winning Candidate]]-SamplingData[[#This Row],[Candidate 4]])/(SamplingData[[#Totals],[Winning Candidate]]-SamplingData[[#Totals],[Candidate 4]]), 0)</f>
        <v>0</v>
      </c>
      <c r="N380" s="100">
        <f>IF(AND(SamplingData[[#This Row],[Total]]&lt;&gt; 0, NOT(ISBLANK(SamplingData[[#This Row],[Candidate 5]]))),(SamplingData[[#This Row],[Total]]+SamplingData[[#This Row],[Winning Candidate]]-SamplingData[[#This Row],[Candidate 5]])/(SamplingData[[#Totals],[Winning Candidate]]-SamplingData[[#Totals],[Candidate 5]]), 0)</f>
        <v>0</v>
      </c>
      <c r="O380" s="100">
        <f>IF(AND(SamplingData[[#This Row],[Total]]&lt;&gt; 0, NOT(ISBLANK(SamplingData[[#This Row],[Candidate 6]]))),(SamplingData[[#This Row],[Total]]+SamplingData[[#This Row],[Winning Candidate]]-SamplingData[[#This Row],[Candidate 6]])/(SamplingData[[#Totals],[Winning Candidate]]-SamplingData[[#Totals],[Candidate 6]]), 0)</f>
        <v>0</v>
      </c>
      <c r="P380" s="100">
        <f>MAX(SamplingData[[#This Row],[Error Bound (up) - Max. possible relative overstatement - Losing Candidate]:[Error Bound (up) - Max. possible relative overstatement - Candidate 6]])</f>
        <v>0</v>
      </c>
      <c r="Q380" s="100">
        <f>IF(SamplingData[[#This Row],[Max Error Bound (up)]] = 0,0,SamplingData[[#This Row],[Max Error Bound (up)]]/SamplingData[[#Totals],[Max Error Bound (up)]])</f>
        <v>0</v>
      </c>
      <c r="R380" s="101">
        <f>SUM($Q$5:Q380)</f>
        <v>0.18061689172598269</v>
      </c>
      <c r="S380" s="100" t="str">
        <f t="array" ref="S380">IF(SamplingData[[#This Row],[up/U Selection Probability]] = 0, "Zero", TEXT(SamplingData[[#This Row],[Lower Range]], REPT("0",LEN('General Info'!$B$40))) &amp; " - " &amp; TEXT(SamplingData[[#This Row],[Upper Range]], REPT("0",LEN('General Info'!$B$40))))</f>
        <v>Zero</v>
      </c>
      <c r="T380" s="100">
        <f>SamplingData[[#This Row],[Upper Range]]-SamplingData[[#This Row],[Span]]</f>
        <v>18061.689172598268</v>
      </c>
      <c r="U380" s="100">
        <f>IF(ISNUMBER('General Info'!$B$40), ((SamplingData[[#This Row],[up/U Selection Probability]]) * 'General Info'!$B$40) - 1, 0)</f>
        <v>-1</v>
      </c>
      <c r="V380" s="100">
        <f>IF(ISNUMBER('General Info'!$B$40), (SamplingData[[#This Row],[Running (cumulative) sum]] * ('General Info'!$B$40 -'General Info'!$B$41 + 1)) + 'General Info'!$B$41 - 1, 0)</f>
        <v>18060.689172598268</v>
      </c>
      <c r="W380" s="100" t="str">
        <f>IF(ISERROR(MATCH(SamplingData[[#This Row],[Batch by Type (p)]],SelectedPrecincts[Batch Name], 0)), "", INDEX(SelectedPrecincts[Draw], MATCH(SamplingData[[#This Row],[Batch by Type (p)]],SelectedPrecincts[Batch Name], 0)))</f>
        <v/>
      </c>
      <c r="X380" s="102">
        <f>IF(COUNTIF(SelectedPrecincts[Batch Name],SamplingData[[#This Row],[Batch by Type (p)]]) &lt;&gt; 0, COUNTIF(SelectedPrecincts[Batch Name],SamplingData[[#This Row],[Batch by Type (p)]]), 0)</f>
        <v>0</v>
      </c>
    </row>
    <row r="381" spans="1:24" ht="15" customHeight="1">
      <c r="A381" s="18" t="s">
        <v>557</v>
      </c>
      <c r="B381" s="18">
        <v>0</v>
      </c>
      <c r="C381" s="18">
        <v>0</v>
      </c>
      <c r="D381" s="16">
        <v>0</v>
      </c>
      <c r="E381" s="16">
        <v>0</v>
      </c>
      <c r="F381" s="37">
        <v>0</v>
      </c>
      <c r="G381" s="37">
        <v>0</v>
      </c>
      <c r="H381" s="17">
        <v>0</v>
      </c>
      <c r="I381" s="17">
        <v>0</v>
      </c>
      <c r="J381" s="99">
        <f>SUM(SamplingData[[#This Row],[Losing Candidate]:[Under Votes]])</f>
        <v>0</v>
      </c>
      <c r="K381" s="100">
        <f>IF(AND(SamplingData[[#This Row],[Total]]&lt;&gt; 0, NOT(ISBLANK(SamplingData[[#This Row],[Losing Candidate]]))),(SamplingData[[#This Row],[Total]]+SamplingData[[#This Row],[Winning Candidate]]-SamplingData[[#This Row],[Losing Candidate]])/(SamplingData[[#Totals],[Winning Candidate]]-SamplingData[[#Totals],[Losing Candidate]]), 0)</f>
        <v>0</v>
      </c>
      <c r="L381" s="100">
        <f>IF(AND(SamplingData[[#This Row],[Total]]&lt;&gt; 0, NOT(ISBLANK(SamplingData[[#This Row],[Candidate 3]]))),(SamplingData[[#This Row],[Total]]+SamplingData[[#This Row],[Winning Candidate]]-SamplingData[[#This Row],[Candidate 3]])/(SamplingData[[#Totals],[Winning Candidate]]-SamplingData[[#Totals],[Candidate 3]]), 0)</f>
        <v>0</v>
      </c>
      <c r="M381" s="100">
        <f>IF(AND(SamplingData[[#This Row],[Total]]&lt;&gt; 0, NOT(ISBLANK(SamplingData[[#This Row],[Candidate 4]]))),(SamplingData[[#This Row],[Total]]+SamplingData[[#This Row],[Winning Candidate]]-SamplingData[[#This Row],[Candidate 4]])/(SamplingData[[#Totals],[Winning Candidate]]-SamplingData[[#Totals],[Candidate 4]]), 0)</f>
        <v>0</v>
      </c>
      <c r="N381" s="100">
        <f>IF(AND(SamplingData[[#This Row],[Total]]&lt;&gt; 0, NOT(ISBLANK(SamplingData[[#This Row],[Candidate 5]]))),(SamplingData[[#This Row],[Total]]+SamplingData[[#This Row],[Winning Candidate]]-SamplingData[[#This Row],[Candidate 5]])/(SamplingData[[#Totals],[Winning Candidate]]-SamplingData[[#Totals],[Candidate 5]]), 0)</f>
        <v>0</v>
      </c>
      <c r="O381" s="100">
        <f>IF(AND(SamplingData[[#This Row],[Total]]&lt;&gt; 0, NOT(ISBLANK(SamplingData[[#This Row],[Candidate 6]]))),(SamplingData[[#This Row],[Total]]+SamplingData[[#This Row],[Winning Candidate]]-SamplingData[[#This Row],[Candidate 6]])/(SamplingData[[#Totals],[Winning Candidate]]-SamplingData[[#Totals],[Candidate 6]]), 0)</f>
        <v>0</v>
      </c>
      <c r="P381" s="100">
        <f>MAX(SamplingData[[#This Row],[Error Bound (up) - Max. possible relative overstatement - Losing Candidate]:[Error Bound (up) - Max. possible relative overstatement - Candidate 6]])</f>
        <v>0</v>
      </c>
      <c r="Q381" s="100">
        <f>IF(SamplingData[[#This Row],[Max Error Bound (up)]] = 0,0,SamplingData[[#This Row],[Max Error Bound (up)]]/SamplingData[[#Totals],[Max Error Bound (up)]])</f>
        <v>0</v>
      </c>
      <c r="R381" s="101">
        <f>SUM($Q$5:Q381)</f>
        <v>0.18061689172598269</v>
      </c>
      <c r="S381" s="100" t="str">
        <f t="array" ref="S381">IF(SamplingData[[#This Row],[up/U Selection Probability]] = 0, "Zero", TEXT(SamplingData[[#This Row],[Lower Range]], REPT("0",LEN('General Info'!$B$40))) &amp; " - " &amp; TEXT(SamplingData[[#This Row],[Upper Range]], REPT("0",LEN('General Info'!$B$40))))</f>
        <v>Zero</v>
      </c>
      <c r="T381" s="100">
        <f>SamplingData[[#This Row],[Upper Range]]-SamplingData[[#This Row],[Span]]</f>
        <v>18061.689172598268</v>
      </c>
      <c r="U381" s="100">
        <f>IF(ISNUMBER('General Info'!$B$40), ((SamplingData[[#This Row],[up/U Selection Probability]]) * 'General Info'!$B$40) - 1, 0)</f>
        <v>-1</v>
      </c>
      <c r="V381" s="100">
        <f>IF(ISNUMBER('General Info'!$B$40), (SamplingData[[#This Row],[Running (cumulative) sum]] * ('General Info'!$B$40 -'General Info'!$B$41 + 1)) + 'General Info'!$B$41 - 1, 0)</f>
        <v>18060.689172598268</v>
      </c>
      <c r="W381" s="100" t="str">
        <f>IF(ISERROR(MATCH(SamplingData[[#This Row],[Batch by Type (p)]],SelectedPrecincts[Batch Name], 0)), "", INDEX(SelectedPrecincts[Draw], MATCH(SamplingData[[#This Row],[Batch by Type (p)]],SelectedPrecincts[Batch Name], 0)))</f>
        <v/>
      </c>
      <c r="X381" s="102">
        <f>IF(COUNTIF(SelectedPrecincts[Batch Name],SamplingData[[#This Row],[Batch by Type (p)]]) &lt;&gt; 0, COUNTIF(SelectedPrecincts[Batch Name],SamplingData[[#This Row],[Batch by Type (p)]]), 0)</f>
        <v>0</v>
      </c>
    </row>
    <row r="382" spans="1:24" ht="15" customHeight="1">
      <c r="A382" s="18" t="s">
        <v>558</v>
      </c>
      <c r="B382" s="18">
        <v>0</v>
      </c>
      <c r="C382" s="18">
        <v>0</v>
      </c>
      <c r="D382" s="18">
        <v>0</v>
      </c>
      <c r="E382" s="18">
        <v>0</v>
      </c>
      <c r="F382" s="18">
        <v>0</v>
      </c>
      <c r="G382" s="18">
        <v>0</v>
      </c>
      <c r="H382" s="18">
        <v>0</v>
      </c>
      <c r="I382" s="18">
        <v>1</v>
      </c>
      <c r="J382" s="99">
        <f>SUM(SamplingData[[#This Row],[Losing Candidate]:[Under Votes]])</f>
        <v>1</v>
      </c>
      <c r="K38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82" s="100">
        <f>IF(AND(SamplingData[[#This Row],[Total]]&lt;&gt; 0, NOT(ISBLANK(SamplingData[[#This Row],[Candidate 3]]))),(SamplingData[[#This Row],[Total]]+SamplingData[[#This Row],[Winning Candidate]]-SamplingData[[#This Row],[Candidate 3]])/(SamplingData[[#Totals],[Winning Candidate]]-SamplingData[[#Totals],[Candidate 3]]), 0)</f>
        <v>3.2261186566441917E-5</v>
      </c>
      <c r="M382" s="100">
        <f>IF(AND(SamplingData[[#This Row],[Total]]&lt;&gt; 0, NOT(ISBLANK(SamplingData[[#This Row],[Candidate 4]]))),(SamplingData[[#This Row],[Total]]+SamplingData[[#This Row],[Winning Candidate]]-SamplingData[[#This Row],[Candidate 4]])/(SamplingData[[#Totals],[Winning Candidate]]-SamplingData[[#Totals],[Candidate 4]]), 0)</f>
        <v>2.923207343096846E-5</v>
      </c>
      <c r="N382" s="100">
        <f>IF(AND(SamplingData[[#This Row],[Total]]&lt;&gt; 0, NOT(ISBLANK(SamplingData[[#This Row],[Candidate 5]]))),(SamplingData[[#This Row],[Total]]+SamplingData[[#This Row],[Winning Candidate]]-SamplingData[[#This Row],[Candidate 5]])/(SamplingData[[#Totals],[Winning Candidate]]-SamplingData[[#Totals],[Candidate 5]]), 0)</f>
        <v>2.4324981756263683E-5</v>
      </c>
      <c r="O382" s="100">
        <f>IF(AND(SamplingData[[#This Row],[Total]]&lt;&gt; 0, NOT(ISBLANK(SamplingData[[#This Row],[Candidate 6]]))),(SamplingData[[#This Row],[Total]]+SamplingData[[#This Row],[Winning Candidate]]-SamplingData[[#This Row],[Candidate 6]])/(SamplingData[[#Totals],[Winning Candidate]]-SamplingData[[#Totals],[Candidate 6]]), 0)</f>
        <v>2.431788337143135E-5</v>
      </c>
      <c r="P382" s="100">
        <f>MAX(SamplingData[[#This Row],[Error Bound (up) - Max. possible relative overstatement - Losing Candidate]:[Error Bound (up) - Max. possible relative overstatement - Candidate 6]])</f>
        <v>6.1244487996080352E-5</v>
      </c>
      <c r="Q382" s="100">
        <f>IF(SamplingData[[#This Row],[Max Error Bound (up)]] = 0,0,SamplingData[[#This Row],[Max Error Bound (up)]]/SamplingData[[#Totals],[Max Error Bound (up)]])</f>
        <v>9.6929482784458315E-6</v>
      </c>
      <c r="R382" s="101">
        <f>SUM($Q$5:Q382)</f>
        <v>0.18062658467426113</v>
      </c>
      <c r="S382" s="100" t="str">
        <f t="array" ref="S382">IF(SamplingData[[#This Row],[up/U Selection Probability]] = 0, "Zero", TEXT(SamplingData[[#This Row],[Lower Range]], REPT("0",LEN('General Info'!$B$40))) &amp; " - " &amp; TEXT(SamplingData[[#This Row],[Upper Range]], REPT("0",LEN('General Info'!$B$40))))</f>
        <v>18062 - 18062</v>
      </c>
      <c r="T382" s="100">
        <f>SamplingData[[#This Row],[Upper Range]]-SamplingData[[#This Row],[Span]]</f>
        <v>18061.689182291218</v>
      </c>
      <c r="U382" s="100">
        <f>IF(ISNUMBER('General Info'!$B$40), ((SamplingData[[#This Row],[up/U Selection Probability]]) * 'General Info'!$B$40) - 1, 0)</f>
        <v>-3.0714865103695255E-2</v>
      </c>
      <c r="V382" s="100">
        <f>IF(ISNUMBER('General Info'!$B$40), (SamplingData[[#This Row],[Running (cumulative) sum]] * ('General Info'!$B$40 -'General Info'!$B$41 + 1)) + 'General Info'!$B$41 - 1, 0)</f>
        <v>18061.658467426114</v>
      </c>
      <c r="W382" s="100" t="str">
        <f>IF(ISERROR(MATCH(SamplingData[[#This Row],[Batch by Type (p)]],SelectedPrecincts[Batch Name], 0)), "", INDEX(SelectedPrecincts[Draw], MATCH(SamplingData[[#This Row],[Batch by Type (p)]],SelectedPrecincts[Batch Name], 0)))</f>
        <v/>
      </c>
      <c r="X382" s="102">
        <f>IF(COUNTIF(SelectedPrecincts[Batch Name],SamplingData[[#This Row],[Batch by Type (p)]]) &lt;&gt; 0, COUNTIF(SelectedPrecincts[Batch Name],SamplingData[[#This Row],[Batch by Type (p)]]), 0)</f>
        <v>0</v>
      </c>
    </row>
    <row r="383" spans="1:24" ht="15" customHeight="1">
      <c r="A383" s="18" t="s">
        <v>559</v>
      </c>
      <c r="B383" s="18">
        <v>0</v>
      </c>
      <c r="C383" s="18">
        <v>0</v>
      </c>
      <c r="D383" s="16">
        <v>1</v>
      </c>
      <c r="E383" s="16">
        <v>1</v>
      </c>
      <c r="F383" s="37">
        <v>0</v>
      </c>
      <c r="G383" s="37">
        <v>0</v>
      </c>
      <c r="H383" s="17">
        <v>0</v>
      </c>
      <c r="I383" s="17">
        <v>0</v>
      </c>
      <c r="J383" s="99">
        <f>SUM(SamplingData[[#This Row],[Losing Candidate]:[Under Votes]])</f>
        <v>2</v>
      </c>
      <c r="K383"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383" s="100">
        <f>IF(AND(SamplingData[[#This Row],[Total]]&lt;&gt; 0, NOT(ISBLANK(SamplingData[[#This Row],[Candidate 3]]))),(SamplingData[[#This Row],[Total]]+SamplingData[[#This Row],[Winning Candidate]]-SamplingData[[#This Row],[Candidate 3]])/(SamplingData[[#Totals],[Winning Candidate]]-SamplingData[[#Totals],[Candidate 3]]), 0)</f>
        <v>3.2261186566441917E-5</v>
      </c>
      <c r="M383" s="100">
        <f>IF(AND(SamplingData[[#This Row],[Total]]&lt;&gt; 0, NOT(ISBLANK(SamplingData[[#This Row],[Candidate 4]]))),(SamplingData[[#This Row],[Total]]+SamplingData[[#This Row],[Winning Candidate]]-SamplingData[[#This Row],[Candidate 4]])/(SamplingData[[#Totals],[Winning Candidate]]-SamplingData[[#Totals],[Candidate 4]]), 0)</f>
        <v>2.923207343096846E-5</v>
      </c>
      <c r="N383" s="100">
        <f>IF(AND(SamplingData[[#This Row],[Total]]&lt;&gt; 0, NOT(ISBLANK(SamplingData[[#This Row],[Candidate 5]]))),(SamplingData[[#This Row],[Total]]+SamplingData[[#This Row],[Winning Candidate]]-SamplingData[[#This Row],[Candidate 5]])/(SamplingData[[#Totals],[Winning Candidate]]-SamplingData[[#Totals],[Candidate 5]]), 0)</f>
        <v>4.8649963512527367E-5</v>
      </c>
      <c r="O383" s="100">
        <f>IF(AND(SamplingData[[#This Row],[Total]]&lt;&gt; 0, NOT(ISBLANK(SamplingData[[#This Row],[Candidate 6]]))),(SamplingData[[#This Row],[Total]]+SamplingData[[#This Row],[Winning Candidate]]-SamplingData[[#This Row],[Candidate 6]])/(SamplingData[[#Totals],[Winning Candidate]]-SamplingData[[#Totals],[Candidate 6]]), 0)</f>
        <v>4.8635766742862701E-5</v>
      </c>
      <c r="P383" s="100">
        <f>MAX(SamplingData[[#This Row],[Error Bound (up) - Max. possible relative overstatement - Losing Candidate]:[Error Bound (up) - Max. possible relative overstatement - Candidate 6]])</f>
        <v>1.224889759921607E-4</v>
      </c>
      <c r="Q383" s="100">
        <f>IF(SamplingData[[#This Row],[Max Error Bound (up)]] = 0,0,SamplingData[[#This Row],[Max Error Bound (up)]]/SamplingData[[#Totals],[Max Error Bound (up)]])</f>
        <v>1.9385896556891663E-5</v>
      </c>
      <c r="R383" s="101">
        <f>SUM($Q$5:Q383)</f>
        <v>0.18064597057081802</v>
      </c>
      <c r="S383" s="100" t="str">
        <f t="array" ref="S383">IF(SamplingData[[#This Row],[up/U Selection Probability]] = 0, "Zero", TEXT(SamplingData[[#This Row],[Lower Range]], REPT("0",LEN('General Info'!$B$40))) &amp; " - " &amp; TEXT(SamplingData[[#This Row],[Upper Range]], REPT("0",LEN('General Info'!$B$40))))</f>
        <v>18063 - 18064</v>
      </c>
      <c r="T383" s="100">
        <f>SamplingData[[#This Row],[Upper Range]]-SamplingData[[#This Row],[Span]]</f>
        <v>18062.658486812012</v>
      </c>
      <c r="U383" s="100">
        <f>IF(ISNUMBER('General Info'!$B$40), ((SamplingData[[#This Row],[up/U Selection Probability]]) * 'General Info'!$B$40) - 1, 0)</f>
        <v>0.93857026979260949</v>
      </c>
      <c r="V383" s="100">
        <f>IF(ISNUMBER('General Info'!$B$40), (SamplingData[[#This Row],[Running (cumulative) sum]] * ('General Info'!$B$40 -'General Info'!$B$41 + 1)) + 'General Info'!$B$41 - 1, 0)</f>
        <v>18063.597057081803</v>
      </c>
      <c r="W383" s="100" t="str">
        <f>IF(ISERROR(MATCH(SamplingData[[#This Row],[Batch by Type (p)]],SelectedPrecincts[Batch Name], 0)), "", INDEX(SelectedPrecincts[Draw], MATCH(SamplingData[[#This Row],[Batch by Type (p)]],SelectedPrecincts[Batch Name], 0)))</f>
        <v/>
      </c>
      <c r="X383" s="102">
        <f>IF(COUNTIF(SelectedPrecincts[Batch Name],SamplingData[[#This Row],[Batch by Type (p)]]) &lt;&gt; 0, COUNTIF(SelectedPrecincts[Batch Name],SamplingData[[#This Row],[Batch by Type (p)]]), 0)</f>
        <v>0</v>
      </c>
    </row>
    <row r="384" spans="1:24" ht="15" customHeight="1">
      <c r="A384" s="18" t="s">
        <v>560</v>
      </c>
      <c r="B384" s="18">
        <v>0</v>
      </c>
      <c r="C384" s="18">
        <v>0</v>
      </c>
      <c r="D384" s="18">
        <v>0</v>
      </c>
      <c r="E384" s="18">
        <v>0</v>
      </c>
      <c r="F384" s="18">
        <v>0</v>
      </c>
      <c r="G384" s="18">
        <v>0</v>
      </c>
      <c r="H384" s="18">
        <v>0</v>
      </c>
      <c r="I384" s="18">
        <v>1</v>
      </c>
      <c r="J384" s="99">
        <f>SUM(SamplingData[[#This Row],[Losing Candidate]:[Under Votes]])</f>
        <v>1</v>
      </c>
      <c r="K38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84" s="100">
        <f>IF(AND(SamplingData[[#This Row],[Total]]&lt;&gt; 0, NOT(ISBLANK(SamplingData[[#This Row],[Candidate 3]]))),(SamplingData[[#This Row],[Total]]+SamplingData[[#This Row],[Winning Candidate]]-SamplingData[[#This Row],[Candidate 3]])/(SamplingData[[#Totals],[Winning Candidate]]-SamplingData[[#Totals],[Candidate 3]]), 0)</f>
        <v>3.2261186566441917E-5</v>
      </c>
      <c r="M384" s="100">
        <f>IF(AND(SamplingData[[#This Row],[Total]]&lt;&gt; 0, NOT(ISBLANK(SamplingData[[#This Row],[Candidate 4]]))),(SamplingData[[#This Row],[Total]]+SamplingData[[#This Row],[Winning Candidate]]-SamplingData[[#This Row],[Candidate 4]])/(SamplingData[[#Totals],[Winning Candidate]]-SamplingData[[#Totals],[Candidate 4]]), 0)</f>
        <v>2.923207343096846E-5</v>
      </c>
      <c r="N384" s="100">
        <f>IF(AND(SamplingData[[#This Row],[Total]]&lt;&gt; 0, NOT(ISBLANK(SamplingData[[#This Row],[Candidate 5]]))),(SamplingData[[#This Row],[Total]]+SamplingData[[#This Row],[Winning Candidate]]-SamplingData[[#This Row],[Candidate 5]])/(SamplingData[[#Totals],[Winning Candidate]]-SamplingData[[#Totals],[Candidate 5]]), 0)</f>
        <v>2.4324981756263683E-5</v>
      </c>
      <c r="O384" s="100">
        <f>IF(AND(SamplingData[[#This Row],[Total]]&lt;&gt; 0, NOT(ISBLANK(SamplingData[[#This Row],[Candidate 6]]))),(SamplingData[[#This Row],[Total]]+SamplingData[[#This Row],[Winning Candidate]]-SamplingData[[#This Row],[Candidate 6]])/(SamplingData[[#Totals],[Winning Candidate]]-SamplingData[[#Totals],[Candidate 6]]), 0)</f>
        <v>2.431788337143135E-5</v>
      </c>
      <c r="P384" s="100">
        <f>MAX(SamplingData[[#This Row],[Error Bound (up) - Max. possible relative overstatement - Losing Candidate]:[Error Bound (up) - Max. possible relative overstatement - Candidate 6]])</f>
        <v>6.1244487996080352E-5</v>
      </c>
      <c r="Q384" s="100">
        <f>IF(SamplingData[[#This Row],[Max Error Bound (up)]] = 0,0,SamplingData[[#This Row],[Max Error Bound (up)]]/SamplingData[[#Totals],[Max Error Bound (up)]])</f>
        <v>9.6929482784458315E-6</v>
      </c>
      <c r="R384" s="101">
        <f>SUM($Q$5:Q384)</f>
        <v>0.18065566351909645</v>
      </c>
      <c r="S384" s="100" t="str">
        <f t="array" ref="S384">IF(SamplingData[[#This Row],[up/U Selection Probability]] = 0, "Zero", TEXT(SamplingData[[#This Row],[Lower Range]], REPT("0",LEN('General Info'!$B$40))) &amp; " - " &amp; TEXT(SamplingData[[#This Row],[Upper Range]], REPT("0",LEN('General Info'!$B$40))))</f>
        <v>18065 - 18065</v>
      </c>
      <c r="T384" s="100">
        <f>SamplingData[[#This Row],[Upper Range]]-SamplingData[[#This Row],[Span]]</f>
        <v>18064.59706677475</v>
      </c>
      <c r="U384" s="100">
        <f>IF(ISNUMBER('General Info'!$B$40), ((SamplingData[[#This Row],[up/U Selection Probability]]) * 'General Info'!$B$40) - 1, 0)</f>
        <v>-3.0714865103695255E-2</v>
      </c>
      <c r="V384" s="100">
        <f>IF(ISNUMBER('General Info'!$B$40), (SamplingData[[#This Row],[Running (cumulative) sum]] * ('General Info'!$B$40 -'General Info'!$B$41 + 1)) + 'General Info'!$B$41 - 1, 0)</f>
        <v>18064.566351909645</v>
      </c>
      <c r="W384" s="100" t="str">
        <f>IF(ISERROR(MATCH(SamplingData[[#This Row],[Batch by Type (p)]],SelectedPrecincts[Batch Name], 0)), "", INDEX(SelectedPrecincts[Draw], MATCH(SamplingData[[#This Row],[Batch by Type (p)]],SelectedPrecincts[Batch Name], 0)))</f>
        <v/>
      </c>
      <c r="X384" s="102">
        <f>IF(COUNTIF(SelectedPrecincts[Batch Name],SamplingData[[#This Row],[Batch by Type (p)]]) &lt;&gt; 0, COUNTIF(SelectedPrecincts[Batch Name],SamplingData[[#This Row],[Batch by Type (p)]]), 0)</f>
        <v>0</v>
      </c>
    </row>
    <row r="385" spans="1:24" ht="15" customHeight="1">
      <c r="A385" s="18" t="s">
        <v>561</v>
      </c>
      <c r="B385" s="18">
        <v>2</v>
      </c>
      <c r="C385" s="18">
        <v>0</v>
      </c>
      <c r="D385" s="16">
        <v>0</v>
      </c>
      <c r="E385" s="16">
        <v>0</v>
      </c>
      <c r="F385" s="37">
        <v>0</v>
      </c>
      <c r="G385" s="37">
        <v>0</v>
      </c>
      <c r="H385" s="17">
        <v>0</v>
      </c>
      <c r="I385" s="17">
        <v>0</v>
      </c>
      <c r="J385" s="99">
        <f>SUM(SamplingData[[#This Row],[Losing Candidate]:[Under Votes]])</f>
        <v>2</v>
      </c>
      <c r="K385" s="100">
        <f>IF(AND(SamplingData[[#This Row],[Total]]&lt;&gt; 0, NOT(ISBLANK(SamplingData[[#This Row],[Losing Candidate]]))),(SamplingData[[#This Row],[Total]]+SamplingData[[#This Row],[Winning Candidate]]-SamplingData[[#This Row],[Losing Candidate]])/(SamplingData[[#Totals],[Winning Candidate]]-SamplingData[[#Totals],[Losing Candidate]]), 0)</f>
        <v>0</v>
      </c>
      <c r="L385" s="100">
        <f>IF(AND(SamplingData[[#This Row],[Total]]&lt;&gt; 0, NOT(ISBLANK(SamplingData[[#This Row],[Candidate 3]]))),(SamplingData[[#This Row],[Total]]+SamplingData[[#This Row],[Winning Candidate]]-SamplingData[[#This Row],[Candidate 3]])/(SamplingData[[#Totals],[Winning Candidate]]-SamplingData[[#Totals],[Candidate 3]]), 0)</f>
        <v>6.4522373132883833E-5</v>
      </c>
      <c r="M385" s="100">
        <f>IF(AND(SamplingData[[#This Row],[Total]]&lt;&gt; 0, NOT(ISBLANK(SamplingData[[#This Row],[Candidate 4]]))),(SamplingData[[#This Row],[Total]]+SamplingData[[#This Row],[Winning Candidate]]-SamplingData[[#This Row],[Candidate 4]])/(SamplingData[[#Totals],[Winning Candidate]]-SamplingData[[#Totals],[Candidate 4]]), 0)</f>
        <v>5.846414686193692E-5</v>
      </c>
      <c r="N385" s="100">
        <f>IF(AND(SamplingData[[#This Row],[Total]]&lt;&gt; 0, NOT(ISBLANK(SamplingData[[#This Row],[Candidate 5]]))),(SamplingData[[#This Row],[Total]]+SamplingData[[#This Row],[Winning Candidate]]-SamplingData[[#This Row],[Candidate 5]])/(SamplingData[[#Totals],[Winning Candidate]]-SamplingData[[#Totals],[Candidate 5]]), 0)</f>
        <v>4.8649963512527367E-5</v>
      </c>
      <c r="O385" s="100">
        <f>IF(AND(SamplingData[[#This Row],[Total]]&lt;&gt; 0, NOT(ISBLANK(SamplingData[[#This Row],[Candidate 6]]))),(SamplingData[[#This Row],[Total]]+SamplingData[[#This Row],[Winning Candidate]]-SamplingData[[#This Row],[Candidate 6]])/(SamplingData[[#Totals],[Winning Candidate]]-SamplingData[[#Totals],[Candidate 6]]), 0)</f>
        <v>4.8635766742862701E-5</v>
      </c>
      <c r="P385" s="100">
        <f>MAX(SamplingData[[#This Row],[Error Bound (up) - Max. possible relative overstatement - Losing Candidate]:[Error Bound (up) - Max. possible relative overstatement - Candidate 6]])</f>
        <v>6.4522373132883833E-5</v>
      </c>
      <c r="Q385" s="100">
        <f>IF(SamplingData[[#This Row],[Max Error Bound (up)]] = 0,0,SamplingData[[#This Row],[Max Error Bound (up)]]/SamplingData[[#Totals],[Max Error Bound (up)]])</f>
        <v>1.0211727553664133E-5</v>
      </c>
      <c r="R385" s="101">
        <f>SUM($Q$5:Q385)</f>
        <v>0.18066587524665012</v>
      </c>
      <c r="S385" s="100" t="str">
        <f t="array" ref="S385">IF(SamplingData[[#This Row],[up/U Selection Probability]] = 0, "Zero", TEXT(SamplingData[[#This Row],[Lower Range]], REPT("0",LEN('General Info'!$B$40))) &amp; " - " &amp; TEXT(SamplingData[[#This Row],[Upper Range]], REPT("0",LEN('General Info'!$B$40))))</f>
        <v>18066 - 18066</v>
      </c>
      <c r="T385" s="100">
        <f>SamplingData[[#This Row],[Upper Range]]-SamplingData[[#This Row],[Span]]</f>
        <v>18065.566362121372</v>
      </c>
      <c r="U385" s="100">
        <f>IF(ISNUMBER('General Info'!$B$40), ((SamplingData[[#This Row],[up/U Selection Probability]]) * 'General Info'!$B$40) - 1, 0)</f>
        <v>2.116254363885961E-2</v>
      </c>
      <c r="V385" s="100">
        <f>IF(ISNUMBER('General Info'!$B$40), (SamplingData[[#This Row],[Running (cumulative) sum]] * ('General Info'!$B$40 -'General Info'!$B$41 + 1)) + 'General Info'!$B$41 - 1, 0)</f>
        <v>18065.58752466501</v>
      </c>
      <c r="W385" s="100" t="str">
        <f>IF(ISERROR(MATCH(SamplingData[[#This Row],[Batch by Type (p)]],SelectedPrecincts[Batch Name], 0)), "", INDEX(SelectedPrecincts[Draw], MATCH(SamplingData[[#This Row],[Batch by Type (p)]],SelectedPrecincts[Batch Name], 0)))</f>
        <v/>
      </c>
      <c r="X385" s="102">
        <f>IF(COUNTIF(SelectedPrecincts[Batch Name],SamplingData[[#This Row],[Batch by Type (p)]]) &lt;&gt; 0, COUNTIF(SelectedPrecincts[Batch Name],SamplingData[[#This Row],[Batch by Type (p)]]), 0)</f>
        <v>0</v>
      </c>
    </row>
    <row r="386" spans="1:24" ht="15" customHeight="1">
      <c r="A386" s="18" t="s">
        <v>562</v>
      </c>
      <c r="B386" s="18">
        <v>0</v>
      </c>
      <c r="C386" s="18">
        <v>0</v>
      </c>
      <c r="D386" s="18">
        <v>0</v>
      </c>
      <c r="E386" s="18">
        <v>1</v>
      </c>
      <c r="F386" s="18">
        <v>0</v>
      </c>
      <c r="G386" s="18">
        <v>0</v>
      </c>
      <c r="H386" s="18">
        <v>0</v>
      </c>
      <c r="I386" s="18">
        <v>0</v>
      </c>
      <c r="J386" s="99">
        <f>SUM(SamplingData[[#This Row],[Losing Candidate]:[Under Votes]])</f>
        <v>1</v>
      </c>
      <c r="K38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86" s="100">
        <f>IF(AND(SamplingData[[#This Row],[Total]]&lt;&gt; 0, NOT(ISBLANK(SamplingData[[#This Row],[Candidate 3]]))),(SamplingData[[#This Row],[Total]]+SamplingData[[#This Row],[Winning Candidate]]-SamplingData[[#This Row],[Candidate 3]])/(SamplingData[[#Totals],[Winning Candidate]]-SamplingData[[#Totals],[Candidate 3]]), 0)</f>
        <v>3.2261186566441917E-5</v>
      </c>
      <c r="M386" s="100">
        <f>IF(AND(SamplingData[[#This Row],[Total]]&lt;&gt; 0, NOT(ISBLANK(SamplingData[[#This Row],[Candidate 4]]))),(SamplingData[[#This Row],[Total]]+SamplingData[[#This Row],[Winning Candidate]]-SamplingData[[#This Row],[Candidate 4]])/(SamplingData[[#Totals],[Winning Candidate]]-SamplingData[[#Totals],[Candidate 4]]), 0)</f>
        <v>0</v>
      </c>
      <c r="N386" s="100">
        <f>IF(AND(SamplingData[[#This Row],[Total]]&lt;&gt; 0, NOT(ISBLANK(SamplingData[[#This Row],[Candidate 5]]))),(SamplingData[[#This Row],[Total]]+SamplingData[[#This Row],[Winning Candidate]]-SamplingData[[#This Row],[Candidate 5]])/(SamplingData[[#Totals],[Winning Candidate]]-SamplingData[[#Totals],[Candidate 5]]), 0)</f>
        <v>2.4324981756263683E-5</v>
      </c>
      <c r="O386" s="100">
        <f>IF(AND(SamplingData[[#This Row],[Total]]&lt;&gt; 0, NOT(ISBLANK(SamplingData[[#This Row],[Candidate 6]]))),(SamplingData[[#This Row],[Total]]+SamplingData[[#This Row],[Winning Candidate]]-SamplingData[[#This Row],[Candidate 6]])/(SamplingData[[#Totals],[Winning Candidate]]-SamplingData[[#Totals],[Candidate 6]]), 0)</f>
        <v>2.431788337143135E-5</v>
      </c>
      <c r="P386" s="100">
        <f>MAX(SamplingData[[#This Row],[Error Bound (up) - Max. possible relative overstatement - Losing Candidate]:[Error Bound (up) - Max. possible relative overstatement - Candidate 6]])</f>
        <v>6.1244487996080352E-5</v>
      </c>
      <c r="Q386" s="100">
        <f>IF(SamplingData[[#This Row],[Max Error Bound (up)]] = 0,0,SamplingData[[#This Row],[Max Error Bound (up)]]/SamplingData[[#Totals],[Max Error Bound (up)]])</f>
        <v>9.6929482784458315E-6</v>
      </c>
      <c r="R386" s="101">
        <f>SUM($Q$5:Q386)</f>
        <v>0.18067556819492855</v>
      </c>
      <c r="S386" s="100" t="str">
        <f t="array" ref="S386">IF(SamplingData[[#This Row],[up/U Selection Probability]] = 0, "Zero", TEXT(SamplingData[[#This Row],[Lower Range]], REPT("0",LEN('General Info'!$B$40))) &amp; " - " &amp; TEXT(SamplingData[[#This Row],[Upper Range]], REPT("0",LEN('General Info'!$B$40))))</f>
        <v>18067 - 18067</v>
      </c>
      <c r="T386" s="100">
        <f>SamplingData[[#This Row],[Upper Range]]-SamplingData[[#This Row],[Span]]</f>
        <v>18066.587534357961</v>
      </c>
      <c r="U386" s="100">
        <f>IF(ISNUMBER('General Info'!$B$40), ((SamplingData[[#This Row],[up/U Selection Probability]]) * 'General Info'!$B$40) - 1, 0)</f>
        <v>-3.0714865103695255E-2</v>
      </c>
      <c r="V386" s="100">
        <f>IF(ISNUMBER('General Info'!$B$40), (SamplingData[[#This Row],[Running (cumulative) sum]] * ('General Info'!$B$40 -'General Info'!$B$41 + 1)) + 'General Info'!$B$41 - 1, 0)</f>
        <v>18066.556819492856</v>
      </c>
      <c r="W386" s="100" t="str">
        <f>IF(ISERROR(MATCH(SamplingData[[#This Row],[Batch by Type (p)]],SelectedPrecincts[Batch Name], 0)), "", INDEX(SelectedPrecincts[Draw], MATCH(SamplingData[[#This Row],[Batch by Type (p)]],SelectedPrecincts[Batch Name], 0)))</f>
        <v/>
      </c>
      <c r="X386" s="102">
        <f>IF(COUNTIF(SelectedPrecincts[Batch Name],SamplingData[[#This Row],[Batch by Type (p)]]) &lt;&gt; 0, COUNTIF(SelectedPrecincts[Batch Name],SamplingData[[#This Row],[Batch by Type (p)]]), 0)</f>
        <v>0</v>
      </c>
    </row>
    <row r="387" spans="1:24" ht="15" customHeight="1">
      <c r="A387" s="18" t="s">
        <v>563</v>
      </c>
      <c r="B387" s="18">
        <v>0</v>
      </c>
      <c r="C387" s="18">
        <v>0</v>
      </c>
      <c r="D387" s="16">
        <v>0</v>
      </c>
      <c r="E387" s="16">
        <v>0</v>
      </c>
      <c r="F387" s="37">
        <v>0</v>
      </c>
      <c r="G387" s="37">
        <v>1</v>
      </c>
      <c r="H387" s="17">
        <v>0</v>
      </c>
      <c r="I387" s="17">
        <v>0</v>
      </c>
      <c r="J387" s="99">
        <f>SUM(SamplingData[[#This Row],[Losing Candidate]:[Under Votes]])</f>
        <v>1</v>
      </c>
      <c r="K387"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87" s="100">
        <f>IF(AND(SamplingData[[#This Row],[Total]]&lt;&gt; 0, NOT(ISBLANK(SamplingData[[#This Row],[Candidate 3]]))),(SamplingData[[#This Row],[Total]]+SamplingData[[#This Row],[Winning Candidate]]-SamplingData[[#This Row],[Candidate 3]])/(SamplingData[[#Totals],[Winning Candidate]]-SamplingData[[#Totals],[Candidate 3]]), 0)</f>
        <v>3.2261186566441917E-5</v>
      </c>
      <c r="M387" s="100">
        <f>IF(AND(SamplingData[[#This Row],[Total]]&lt;&gt; 0, NOT(ISBLANK(SamplingData[[#This Row],[Candidate 4]]))),(SamplingData[[#This Row],[Total]]+SamplingData[[#This Row],[Winning Candidate]]-SamplingData[[#This Row],[Candidate 4]])/(SamplingData[[#Totals],[Winning Candidate]]-SamplingData[[#Totals],[Candidate 4]]), 0)</f>
        <v>2.923207343096846E-5</v>
      </c>
      <c r="N387" s="100">
        <f>IF(AND(SamplingData[[#This Row],[Total]]&lt;&gt; 0, NOT(ISBLANK(SamplingData[[#This Row],[Candidate 5]]))),(SamplingData[[#This Row],[Total]]+SamplingData[[#This Row],[Winning Candidate]]-SamplingData[[#This Row],[Candidate 5]])/(SamplingData[[#Totals],[Winning Candidate]]-SamplingData[[#Totals],[Candidate 5]]), 0)</f>
        <v>2.4324981756263683E-5</v>
      </c>
      <c r="O387" s="100">
        <f>IF(AND(SamplingData[[#This Row],[Total]]&lt;&gt; 0, NOT(ISBLANK(SamplingData[[#This Row],[Candidate 6]]))),(SamplingData[[#This Row],[Total]]+SamplingData[[#This Row],[Winning Candidate]]-SamplingData[[#This Row],[Candidate 6]])/(SamplingData[[#Totals],[Winning Candidate]]-SamplingData[[#Totals],[Candidate 6]]), 0)</f>
        <v>0</v>
      </c>
      <c r="P387" s="100">
        <f>MAX(SamplingData[[#This Row],[Error Bound (up) - Max. possible relative overstatement - Losing Candidate]:[Error Bound (up) - Max. possible relative overstatement - Candidate 6]])</f>
        <v>6.1244487996080352E-5</v>
      </c>
      <c r="Q387" s="100">
        <f>IF(SamplingData[[#This Row],[Max Error Bound (up)]] = 0,0,SamplingData[[#This Row],[Max Error Bound (up)]]/SamplingData[[#Totals],[Max Error Bound (up)]])</f>
        <v>9.6929482784458315E-6</v>
      </c>
      <c r="R387" s="101">
        <f>SUM($Q$5:Q387)</f>
        <v>0.18068526114320699</v>
      </c>
      <c r="S387" s="100" t="str">
        <f t="array" ref="S387">IF(SamplingData[[#This Row],[up/U Selection Probability]] = 0, "Zero", TEXT(SamplingData[[#This Row],[Lower Range]], REPT("0",LEN('General Info'!$B$40))) &amp; " - " &amp; TEXT(SamplingData[[#This Row],[Upper Range]], REPT("0",LEN('General Info'!$B$40))))</f>
        <v>18068 - 18068</v>
      </c>
      <c r="T387" s="100">
        <f>SamplingData[[#This Row],[Upper Range]]-SamplingData[[#This Row],[Span]]</f>
        <v>18067.556829185804</v>
      </c>
      <c r="U387" s="100">
        <f>IF(ISNUMBER('General Info'!$B$40), ((SamplingData[[#This Row],[up/U Selection Probability]]) * 'General Info'!$B$40) - 1, 0)</f>
        <v>-3.0714865103695255E-2</v>
      </c>
      <c r="V387" s="100">
        <f>IF(ISNUMBER('General Info'!$B$40), (SamplingData[[#This Row],[Running (cumulative) sum]] * ('General Info'!$B$40 -'General Info'!$B$41 + 1)) + 'General Info'!$B$41 - 1, 0)</f>
        <v>18067.526114320699</v>
      </c>
      <c r="W387" s="100" t="str">
        <f>IF(ISERROR(MATCH(SamplingData[[#This Row],[Batch by Type (p)]],SelectedPrecincts[Batch Name], 0)), "", INDEX(SelectedPrecincts[Draw], MATCH(SamplingData[[#This Row],[Batch by Type (p)]],SelectedPrecincts[Batch Name], 0)))</f>
        <v/>
      </c>
      <c r="X387" s="102">
        <f>IF(COUNTIF(SelectedPrecincts[Batch Name],SamplingData[[#This Row],[Batch by Type (p)]]) &lt;&gt; 0, COUNTIF(SelectedPrecincts[Batch Name],SamplingData[[#This Row],[Batch by Type (p)]]), 0)</f>
        <v>0</v>
      </c>
    </row>
    <row r="388" spans="1:24" ht="15" customHeight="1">
      <c r="A388" s="18" t="s">
        <v>564</v>
      </c>
      <c r="B388" s="18">
        <v>0</v>
      </c>
      <c r="C388" s="18">
        <v>0</v>
      </c>
      <c r="D388" s="18">
        <v>0</v>
      </c>
      <c r="E388" s="18">
        <v>0</v>
      </c>
      <c r="F388" s="18">
        <v>0</v>
      </c>
      <c r="G388" s="18">
        <v>0</v>
      </c>
      <c r="H388" s="18">
        <v>0</v>
      </c>
      <c r="I388" s="18">
        <v>0</v>
      </c>
      <c r="J388" s="99">
        <f>SUM(SamplingData[[#This Row],[Losing Candidate]:[Under Votes]])</f>
        <v>0</v>
      </c>
      <c r="K388" s="100">
        <f>IF(AND(SamplingData[[#This Row],[Total]]&lt;&gt; 0, NOT(ISBLANK(SamplingData[[#This Row],[Losing Candidate]]))),(SamplingData[[#This Row],[Total]]+SamplingData[[#This Row],[Winning Candidate]]-SamplingData[[#This Row],[Losing Candidate]])/(SamplingData[[#Totals],[Winning Candidate]]-SamplingData[[#Totals],[Losing Candidate]]), 0)</f>
        <v>0</v>
      </c>
      <c r="L388" s="100">
        <f>IF(AND(SamplingData[[#This Row],[Total]]&lt;&gt; 0, NOT(ISBLANK(SamplingData[[#This Row],[Candidate 3]]))),(SamplingData[[#This Row],[Total]]+SamplingData[[#This Row],[Winning Candidate]]-SamplingData[[#This Row],[Candidate 3]])/(SamplingData[[#Totals],[Winning Candidate]]-SamplingData[[#Totals],[Candidate 3]]), 0)</f>
        <v>0</v>
      </c>
      <c r="M388" s="100">
        <f>IF(AND(SamplingData[[#This Row],[Total]]&lt;&gt; 0, NOT(ISBLANK(SamplingData[[#This Row],[Candidate 4]]))),(SamplingData[[#This Row],[Total]]+SamplingData[[#This Row],[Winning Candidate]]-SamplingData[[#This Row],[Candidate 4]])/(SamplingData[[#Totals],[Winning Candidate]]-SamplingData[[#Totals],[Candidate 4]]), 0)</f>
        <v>0</v>
      </c>
      <c r="N388" s="100">
        <f>IF(AND(SamplingData[[#This Row],[Total]]&lt;&gt; 0, NOT(ISBLANK(SamplingData[[#This Row],[Candidate 5]]))),(SamplingData[[#This Row],[Total]]+SamplingData[[#This Row],[Winning Candidate]]-SamplingData[[#This Row],[Candidate 5]])/(SamplingData[[#Totals],[Winning Candidate]]-SamplingData[[#Totals],[Candidate 5]]), 0)</f>
        <v>0</v>
      </c>
      <c r="O388" s="100">
        <f>IF(AND(SamplingData[[#This Row],[Total]]&lt;&gt; 0, NOT(ISBLANK(SamplingData[[#This Row],[Candidate 6]]))),(SamplingData[[#This Row],[Total]]+SamplingData[[#This Row],[Winning Candidate]]-SamplingData[[#This Row],[Candidate 6]])/(SamplingData[[#Totals],[Winning Candidate]]-SamplingData[[#Totals],[Candidate 6]]), 0)</f>
        <v>0</v>
      </c>
      <c r="P388" s="100">
        <f>MAX(SamplingData[[#This Row],[Error Bound (up) - Max. possible relative overstatement - Losing Candidate]:[Error Bound (up) - Max. possible relative overstatement - Candidate 6]])</f>
        <v>0</v>
      </c>
      <c r="Q388" s="100">
        <f>IF(SamplingData[[#This Row],[Max Error Bound (up)]] = 0,0,SamplingData[[#This Row],[Max Error Bound (up)]]/SamplingData[[#Totals],[Max Error Bound (up)]])</f>
        <v>0</v>
      </c>
      <c r="R388" s="101">
        <f>SUM($Q$5:Q388)</f>
        <v>0.18068526114320699</v>
      </c>
      <c r="S388" s="100" t="str">
        <f t="array" ref="S388">IF(SamplingData[[#This Row],[up/U Selection Probability]] = 0, "Zero", TEXT(SamplingData[[#This Row],[Lower Range]], REPT("0",LEN('General Info'!$B$40))) &amp; " - " &amp; TEXT(SamplingData[[#This Row],[Upper Range]], REPT("0",LEN('General Info'!$B$40))))</f>
        <v>Zero</v>
      </c>
      <c r="T388" s="100">
        <f>SamplingData[[#This Row],[Upper Range]]-SamplingData[[#This Row],[Span]]</f>
        <v>18068.526114320699</v>
      </c>
      <c r="U388" s="100">
        <f>IF(ISNUMBER('General Info'!$B$40), ((SamplingData[[#This Row],[up/U Selection Probability]]) * 'General Info'!$B$40) - 1, 0)</f>
        <v>-1</v>
      </c>
      <c r="V388" s="100">
        <f>IF(ISNUMBER('General Info'!$B$40), (SamplingData[[#This Row],[Running (cumulative) sum]] * ('General Info'!$B$40 -'General Info'!$B$41 + 1)) + 'General Info'!$B$41 - 1, 0)</f>
        <v>18067.526114320699</v>
      </c>
      <c r="W388" s="100" t="str">
        <f>IF(ISERROR(MATCH(SamplingData[[#This Row],[Batch by Type (p)]],SelectedPrecincts[Batch Name], 0)), "", INDEX(SelectedPrecincts[Draw], MATCH(SamplingData[[#This Row],[Batch by Type (p)]],SelectedPrecincts[Batch Name], 0)))</f>
        <v/>
      </c>
      <c r="X388" s="102">
        <f>IF(COUNTIF(SelectedPrecincts[Batch Name],SamplingData[[#This Row],[Batch by Type (p)]]) &lt;&gt; 0, COUNTIF(SelectedPrecincts[Batch Name],SamplingData[[#This Row],[Batch by Type (p)]]), 0)</f>
        <v>0</v>
      </c>
    </row>
    <row r="389" spans="1:24" ht="15" customHeight="1">
      <c r="A389" s="18" t="s">
        <v>565</v>
      </c>
      <c r="B389" s="18">
        <v>0</v>
      </c>
      <c r="C389" s="18">
        <v>0</v>
      </c>
      <c r="D389" s="16">
        <v>0</v>
      </c>
      <c r="E389" s="16">
        <v>0</v>
      </c>
      <c r="F389" s="37">
        <v>0</v>
      </c>
      <c r="G389" s="37">
        <v>0</v>
      </c>
      <c r="H389" s="17">
        <v>0</v>
      </c>
      <c r="I389" s="17">
        <v>0</v>
      </c>
      <c r="J389" s="99">
        <f>SUM(SamplingData[[#This Row],[Losing Candidate]:[Under Votes]])</f>
        <v>0</v>
      </c>
      <c r="K389" s="100">
        <f>IF(AND(SamplingData[[#This Row],[Total]]&lt;&gt; 0, NOT(ISBLANK(SamplingData[[#This Row],[Losing Candidate]]))),(SamplingData[[#This Row],[Total]]+SamplingData[[#This Row],[Winning Candidate]]-SamplingData[[#This Row],[Losing Candidate]])/(SamplingData[[#Totals],[Winning Candidate]]-SamplingData[[#Totals],[Losing Candidate]]), 0)</f>
        <v>0</v>
      </c>
      <c r="L389" s="100">
        <f>IF(AND(SamplingData[[#This Row],[Total]]&lt;&gt; 0, NOT(ISBLANK(SamplingData[[#This Row],[Candidate 3]]))),(SamplingData[[#This Row],[Total]]+SamplingData[[#This Row],[Winning Candidate]]-SamplingData[[#This Row],[Candidate 3]])/(SamplingData[[#Totals],[Winning Candidate]]-SamplingData[[#Totals],[Candidate 3]]), 0)</f>
        <v>0</v>
      </c>
      <c r="M389" s="100">
        <f>IF(AND(SamplingData[[#This Row],[Total]]&lt;&gt; 0, NOT(ISBLANK(SamplingData[[#This Row],[Candidate 4]]))),(SamplingData[[#This Row],[Total]]+SamplingData[[#This Row],[Winning Candidate]]-SamplingData[[#This Row],[Candidate 4]])/(SamplingData[[#Totals],[Winning Candidate]]-SamplingData[[#Totals],[Candidate 4]]), 0)</f>
        <v>0</v>
      </c>
      <c r="N389" s="100">
        <f>IF(AND(SamplingData[[#This Row],[Total]]&lt;&gt; 0, NOT(ISBLANK(SamplingData[[#This Row],[Candidate 5]]))),(SamplingData[[#This Row],[Total]]+SamplingData[[#This Row],[Winning Candidate]]-SamplingData[[#This Row],[Candidate 5]])/(SamplingData[[#Totals],[Winning Candidate]]-SamplingData[[#Totals],[Candidate 5]]), 0)</f>
        <v>0</v>
      </c>
      <c r="O389" s="100">
        <f>IF(AND(SamplingData[[#This Row],[Total]]&lt;&gt; 0, NOT(ISBLANK(SamplingData[[#This Row],[Candidate 6]]))),(SamplingData[[#This Row],[Total]]+SamplingData[[#This Row],[Winning Candidate]]-SamplingData[[#This Row],[Candidate 6]])/(SamplingData[[#Totals],[Winning Candidate]]-SamplingData[[#Totals],[Candidate 6]]), 0)</f>
        <v>0</v>
      </c>
      <c r="P389" s="100">
        <f>MAX(SamplingData[[#This Row],[Error Bound (up) - Max. possible relative overstatement - Losing Candidate]:[Error Bound (up) - Max. possible relative overstatement - Candidate 6]])</f>
        <v>0</v>
      </c>
      <c r="Q389" s="100">
        <f>IF(SamplingData[[#This Row],[Max Error Bound (up)]] = 0,0,SamplingData[[#This Row],[Max Error Bound (up)]]/SamplingData[[#Totals],[Max Error Bound (up)]])</f>
        <v>0</v>
      </c>
      <c r="R389" s="101">
        <f>SUM($Q$5:Q389)</f>
        <v>0.18068526114320699</v>
      </c>
      <c r="S389" s="100" t="str">
        <f t="array" ref="S389">IF(SamplingData[[#This Row],[up/U Selection Probability]] = 0, "Zero", TEXT(SamplingData[[#This Row],[Lower Range]], REPT("0",LEN('General Info'!$B$40))) &amp; " - " &amp; TEXT(SamplingData[[#This Row],[Upper Range]], REPT("0",LEN('General Info'!$B$40))))</f>
        <v>Zero</v>
      </c>
      <c r="T389" s="100">
        <f>SamplingData[[#This Row],[Upper Range]]-SamplingData[[#This Row],[Span]]</f>
        <v>18068.526114320699</v>
      </c>
      <c r="U389" s="100">
        <f>IF(ISNUMBER('General Info'!$B$40), ((SamplingData[[#This Row],[up/U Selection Probability]]) * 'General Info'!$B$40) - 1, 0)</f>
        <v>-1</v>
      </c>
      <c r="V389" s="100">
        <f>IF(ISNUMBER('General Info'!$B$40), (SamplingData[[#This Row],[Running (cumulative) sum]] * ('General Info'!$B$40 -'General Info'!$B$41 + 1)) + 'General Info'!$B$41 - 1, 0)</f>
        <v>18067.526114320699</v>
      </c>
      <c r="W389" s="100" t="str">
        <f>IF(ISERROR(MATCH(SamplingData[[#This Row],[Batch by Type (p)]],SelectedPrecincts[Batch Name], 0)), "", INDEX(SelectedPrecincts[Draw], MATCH(SamplingData[[#This Row],[Batch by Type (p)]],SelectedPrecincts[Batch Name], 0)))</f>
        <v/>
      </c>
      <c r="X389" s="102">
        <f>IF(COUNTIF(SelectedPrecincts[Batch Name],SamplingData[[#This Row],[Batch by Type (p)]]) &lt;&gt; 0, COUNTIF(SelectedPrecincts[Batch Name],SamplingData[[#This Row],[Batch by Type (p)]]), 0)</f>
        <v>0</v>
      </c>
    </row>
    <row r="390" spans="1:24" ht="15" customHeight="1">
      <c r="A390" s="18" t="s">
        <v>566</v>
      </c>
      <c r="B390" s="18">
        <v>0</v>
      </c>
      <c r="C390" s="18">
        <v>0</v>
      </c>
      <c r="D390" s="18">
        <v>1</v>
      </c>
      <c r="E390" s="18">
        <v>0</v>
      </c>
      <c r="F390" s="18">
        <v>1</v>
      </c>
      <c r="G390" s="18">
        <v>0</v>
      </c>
      <c r="H390" s="18">
        <v>0</v>
      </c>
      <c r="I390" s="18">
        <v>0</v>
      </c>
      <c r="J390" s="99">
        <f>SUM(SamplingData[[#This Row],[Losing Candidate]:[Under Votes]])</f>
        <v>2</v>
      </c>
      <c r="K39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390" s="100">
        <f>IF(AND(SamplingData[[#This Row],[Total]]&lt;&gt; 0, NOT(ISBLANK(SamplingData[[#This Row],[Candidate 3]]))),(SamplingData[[#This Row],[Total]]+SamplingData[[#This Row],[Winning Candidate]]-SamplingData[[#This Row],[Candidate 3]])/(SamplingData[[#Totals],[Winning Candidate]]-SamplingData[[#Totals],[Candidate 3]]), 0)</f>
        <v>3.2261186566441917E-5</v>
      </c>
      <c r="M390" s="100">
        <f>IF(AND(SamplingData[[#This Row],[Total]]&lt;&gt; 0, NOT(ISBLANK(SamplingData[[#This Row],[Candidate 4]]))),(SamplingData[[#This Row],[Total]]+SamplingData[[#This Row],[Winning Candidate]]-SamplingData[[#This Row],[Candidate 4]])/(SamplingData[[#Totals],[Winning Candidate]]-SamplingData[[#Totals],[Candidate 4]]), 0)</f>
        <v>5.846414686193692E-5</v>
      </c>
      <c r="N390" s="100">
        <f>IF(AND(SamplingData[[#This Row],[Total]]&lt;&gt; 0, NOT(ISBLANK(SamplingData[[#This Row],[Candidate 5]]))),(SamplingData[[#This Row],[Total]]+SamplingData[[#This Row],[Winning Candidate]]-SamplingData[[#This Row],[Candidate 5]])/(SamplingData[[#Totals],[Winning Candidate]]-SamplingData[[#Totals],[Candidate 5]]), 0)</f>
        <v>2.4324981756263683E-5</v>
      </c>
      <c r="O390" s="100">
        <f>IF(AND(SamplingData[[#This Row],[Total]]&lt;&gt; 0, NOT(ISBLANK(SamplingData[[#This Row],[Candidate 6]]))),(SamplingData[[#This Row],[Total]]+SamplingData[[#This Row],[Winning Candidate]]-SamplingData[[#This Row],[Candidate 6]])/(SamplingData[[#Totals],[Winning Candidate]]-SamplingData[[#Totals],[Candidate 6]]), 0)</f>
        <v>4.8635766742862701E-5</v>
      </c>
      <c r="P390" s="100">
        <f>MAX(SamplingData[[#This Row],[Error Bound (up) - Max. possible relative overstatement - Losing Candidate]:[Error Bound (up) - Max. possible relative overstatement - Candidate 6]])</f>
        <v>1.224889759921607E-4</v>
      </c>
      <c r="Q390" s="100">
        <f>IF(SamplingData[[#This Row],[Max Error Bound (up)]] = 0,0,SamplingData[[#This Row],[Max Error Bound (up)]]/SamplingData[[#Totals],[Max Error Bound (up)]])</f>
        <v>1.9385896556891663E-5</v>
      </c>
      <c r="R390" s="101">
        <f>SUM($Q$5:Q390)</f>
        <v>0.18070464703976388</v>
      </c>
      <c r="S390" s="100" t="str">
        <f t="array" ref="S390">IF(SamplingData[[#This Row],[up/U Selection Probability]] = 0, "Zero", TEXT(SamplingData[[#This Row],[Lower Range]], REPT("0",LEN('General Info'!$B$40))) &amp; " - " &amp; TEXT(SamplingData[[#This Row],[Upper Range]], REPT("0",LEN('General Info'!$B$40))))</f>
        <v>18069 - 18069</v>
      </c>
      <c r="T390" s="100">
        <f>SamplingData[[#This Row],[Upper Range]]-SamplingData[[#This Row],[Span]]</f>
        <v>18068.526133706597</v>
      </c>
      <c r="U390" s="100">
        <f>IF(ISNUMBER('General Info'!$B$40), ((SamplingData[[#This Row],[up/U Selection Probability]]) * 'General Info'!$B$40) - 1, 0)</f>
        <v>0.93857026979260949</v>
      </c>
      <c r="V390" s="100">
        <f>IF(ISNUMBER('General Info'!$B$40), (SamplingData[[#This Row],[Running (cumulative) sum]] * ('General Info'!$B$40 -'General Info'!$B$41 + 1)) + 'General Info'!$B$41 - 1, 0)</f>
        <v>18069.464703976388</v>
      </c>
      <c r="W390" s="100" t="str">
        <f>IF(ISERROR(MATCH(SamplingData[[#This Row],[Batch by Type (p)]],SelectedPrecincts[Batch Name], 0)), "", INDEX(SelectedPrecincts[Draw], MATCH(SamplingData[[#This Row],[Batch by Type (p)]],SelectedPrecincts[Batch Name], 0)))</f>
        <v/>
      </c>
      <c r="X390" s="102">
        <f>IF(COUNTIF(SelectedPrecincts[Batch Name],SamplingData[[#This Row],[Batch by Type (p)]]) &lt;&gt; 0, COUNTIF(SelectedPrecincts[Batch Name],SamplingData[[#This Row],[Batch by Type (p)]]), 0)</f>
        <v>0</v>
      </c>
    </row>
    <row r="391" spans="1:24" ht="15" customHeight="1">
      <c r="A391" s="18" t="s">
        <v>567</v>
      </c>
      <c r="B391" s="18">
        <v>0</v>
      </c>
      <c r="C391" s="18">
        <v>0</v>
      </c>
      <c r="D391" s="16">
        <v>0</v>
      </c>
      <c r="E391" s="16">
        <v>0</v>
      </c>
      <c r="F391" s="37">
        <v>0</v>
      </c>
      <c r="G391" s="37">
        <v>0</v>
      </c>
      <c r="H391" s="17">
        <v>0</v>
      </c>
      <c r="I391" s="17">
        <v>0</v>
      </c>
      <c r="J391" s="99">
        <f>SUM(SamplingData[[#This Row],[Losing Candidate]:[Under Votes]])</f>
        <v>0</v>
      </c>
      <c r="K391" s="100">
        <f>IF(AND(SamplingData[[#This Row],[Total]]&lt;&gt; 0, NOT(ISBLANK(SamplingData[[#This Row],[Losing Candidate]]))),(SamplingData[[#This Row],[Total]]+SamplingData[[#This Row],[Winning Candidate]]-SamplingData[[#This Row],[Losing Candidate]])/(SamplingData[[#Totals],[Winning Candidate]]-SamplingData[[#Totals],[Losing Candidate]]), 0)</f>
        <v>0</v>
      </c>
      <c r="L391" s="100">
        <f>IF(AND(SamplingData[[#This Row],[Total]]&lt;&gt; 0, NOT(ISBLANK(SamplingData[[#This Row],[Candidate 3]]))),(SamplingData[[#This Row],[Total]]+SamplingData[[#This Row],[Winning Candidate]]-SamplingData[[#This Row],[Candidate 3]])/(SamplingData[[#Totals],[Winning Candidate]]-SamplingData[[#Totals],[Candidate 3]]), 0)</f>
        <v>0</v>
      </c>
      <c r="M391" s="100">
        <f>IF(AND(SamplingData[[#This Row],[Total]]&lt;&gt; 0, NOT(ISBLANK(SamplingData[[#This Row],[Candidate 4]]))),(SamplingData[[#This Row],[Total]]+SamplingData[[#This Row],[Winning Candidate]]-SamplingData[[#This Row],[Candidate 4]])/(SamplingData[[#Totals],[Winning Candidate]]-SamplingData[[#Totals],[Candidate 4]]), 0)</f>
        <v>0</v>
      </c>
      <c r="N391" s="100">
        <f>IF(AND(SamplingData[[#This Row],[Total]]&lt;&gt; 0, NOT(ISBLANK(SamplingData[[#This Row],[Candidate 5]]))),(SamplingData[[#This Row],[Total]]+SamplingData[[#This Row],[Winning Candidate]]-SamplingData[[#This Row],[Candidate 5]])/(SamplingData[[#Totals],[Winning Candidate]]-SamplingData[[#Totals],[Candidate 5]]), 0)</f>
        <v>0</v>
      </c>
      <c r="O391" s="100">
        <f>IF(AND(SamplingData[[#This Row],[Total]]&lt;&gt; 0, NOT(ISBLANK(SamplingData[[#This Row],[Candidate 6]]))),(SamplingData[[#This Row],[Total]]+SamplingData[[#This Row],[Winning Candidate]]-SamplingData[[#This Row],[Candidate 6]])/(SamplingData[[#Totals],[Winning Candidate]]-SamplingData[[#Totals],[Candidate 6]]), 0)</f>
        <v>0</v>
      </c>
      <c r="P391" s="100">
        <f>MAX(SamplingData[[#This Row],[Error Bound (up) - Max. possible relative overstatement - Losing Candidate]:[Error Bound (up) - Max. possible relative overstatement - Candidate 6]])</f>
        <v>0</v>
      </c>
      <c r="Q391" s="100">
        <f>IF(SamplingData[[#This Row],[Max Error Bound (up)]] = 0,0,SamplingData[[#This Row],[Max Error Bound (up)]]/SamplingData[[#Totals],[Max Error Bound (up)]])</f>
        <v>0</v>
      </c>
      <c r="R391" s="101">
        <f>SUM($Q$5:Q391)</f>
        <v>0.18070464703976388</v>
      </c>
      <c r="S391" s="100" t="str">
        <f t="array" ref="S391">IF(SamplingData[[#This Row],[up/U Selection Probability]] = 0, "Zero", TEXT(SamplingData[[#This Row],[Lower Range]], REPT("0",LEN('General Info'!$B$40))) &amp; " - " &amp; TEXT(SamplingData[[#This Row],[Upper Range]], REPT("0",LEN('General Info'!$B$40))))</f>
        <v>Zero</v>
      </c>
      <c r="T391" s="100">
        <f>SamplingData[[#This Row],[Upper Range]]-SamplingData[[#This Row],[Span]]</f>
        <v>18070.464703976388</v>
      </c>
      <c r="U391" s="100">
        <f>IF(ISNUMBER('General Info'!$B$40), ((SamplingData[[#This Row],[up/U Selection Probability]]) * 'General Info'!$B$40) - 1, 0)</f>
        <v>-1</v>
      </c>
      <c r="V391" s="100">
        <f>IF(ISNUMBER('General Info'!$B$40), (SamplingData[[#This Row],[Running (cumulative) sum]] * ('General Info'!$B$40 -'General Info'!$B$41 + 1)) + 'General Info'!$B$41 - 1, 0)</f>
        <v>18069.464703976388</v>
      </c>
      <c r="W391" s="100" t="str">
        <f>IF(ISERROR(MATCH(SamplingData[[#This Row],[Batch by Type (p)]],SelectedPrecincts[Batch Name], 0)), "", INDEX(SelectedPrecincts[Draw], MATCH(SamplingData[[#This Row],[Batch by Type (p)]],SelectedPrecincts[Batch Name], 0)))</f>
        <v/>
      </c>
      <c r="X391" s="102">
        <f>IF(COUNTIF(SelectedPrecincts[Batch Name],SamplingData[[#This Row],[Batch by Type (p)]]) &lt;&gt; 0, COUNTIF(SelectedPrecincts[Batch Name],SamplingData[[#This Row],[Batch by Type (p)]]), 0)</f>
        <v>0</v>
      </c>
    </row>
    <row r="392" spans="1:24" ht="15" customHeight="1">
      <c r="A392" s="18" t="s">
        <v>568</v>
      </c>
      <c r="B392" s="18">
        <v>0</v>
      </c>
      <c r="C392" s="18">
        <v>0</v>
      </c>
      <c r="D392" s="18">
        <v>0</v>
      </c>
      <c r="E392" s="18">
        <v>1</v>
      </c>
      <c r="F392" s="18">
        <v>0</v>
      </c>
      <c r="G392" s="18">
        <v>0</v>
      </c>
      <c r="H392" s="18">
        <v>0</v>
      </c>
      <c r="I392" s="18">
        <v>0</v>
      </c>
      <c r="J392" s="99">
        <f>SUM(SamplingData[[#This Row],[Losing Candidate]:[Under Votes]])</f>
        <v>1</v>
      </c>
      <c r="K39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92" s="100">
        <f>IF(AND(SamplingData[[#This Row],[Total]]&lt;&gt; 0, NOT(ISBLANK(SamplingData[[#This Row],[Candidate 3]]))),(SamplingData[[#This Row],[Total]]+SamplingData[[#This Row],[Winning Candidate]]-SamplingData[[#This Row],[Candidate 3]])/(SamplingData[[#Totals],[Winning Candidate]]-SamplingData[[#Totals],[Candidate 3]]), 0)</f>
        <v>3.2261186566441917E-5</v>
      </c>
      <c r="M392" s="100">
        <f>IF(AND(SamplingData[[#This Row],[Total]]&lt;&gt; 0, NOT(ISBLANK(SamplingData[[#This Row],[Candidate 4]]))),(SamplingData[[#This Row],[Total]]+SamplingData[[#This Row],[Winning Candidate]]-SamplingData[[#This Row],[Candidate 4]])/(SamplingData[[#Totals],[Winning Candidate]]-SamplingData[[#Totals],[Candidate 4]]), 0)</f>
        <v>0</v>
      </c>
      <c r="N392" s="100">
        <f>IF(AND(SamplingData[[#This Row],[Total]]&lt;&gt; 0, NOT(ISBLANK(SamplingData[[#This Row],[Candidate 5]]))),(SamplingData[[#This Row],[Total]]+SamplingData[[#This Row],[Winning Candidate]]-SamplingData[[#This Row],[Candidate 5]])/(SamplingData[[#Totals],[Winning Candidate]]-SamplingData[[#Totals],[Candidate 5]]), 0)</f>
        <v>2.4324981756263683E-5</v>
      </c>
      <c r="O392" s="100">
        <f>IF(AND(SamplingData[[#This Row],[Total]]&lt;&gt; 0, NOT(ISBLANK(SamplingData[[#This Row],[Candidate 6]]))),(SamplingData[[#This Row],[Total]]+SamplingData[[#This Row],[Winning Candidate]]-SamplingData[[#This Row],[Candidate 6]])/(SamplingData[[#Totals],[Winning Candidate]]-SamplingData[[#Totals],[Candidate 6]]), 0)</f>
        <v>2.431788337143135E-5</v>
      </c>
      <c r="P392" s="100">
        <f>MAX(SamplingData[[#This Row],[Error Bound (up) - Max. possible relative overstatement - Losing Candidate]:[Error Bound (up) - Max. possible relative overstatement - Candidate 6]])</f>
        <v>6.1244487996080352E-5</v>
      </c>
      <c r="Q392" s="100">
        <f>IF(SamplingData[[#This Row],[Max Error Bound (up)]] = 0,0,SamplingData[[#This Row],[Max Error Bound (up)]]/SamplingData[[#Totals],[Max Error Bound (up)]])</f>
        <v>9.6929482784458315E-6</v>
      </c>
      <c r="R392" s="101">
        <f>SUM($Q$5:Q392)</f>
        <v>0.18071433998804232</v>
      </c>
      <c r="S392" s="100" t="str">
        <f t="array" ref="S392">IF(SamplingData[[#This Row],[up/U Selection Probability]] = 0, "Zero", TEXT(SamplingData[[#This Row],[Lower Range]], REPT("0",LEN('General Info'!$B$40))) &amp; " - " &amp; TEXT(SamplingData[[#This Row],[Upper Range]], REPT("0",LEN('General Info'!$B$40))))</f>
        <v>18070 - 18070</v>
      </c>
      <c r="T392" s="100">
        <f>SamplingData[[#This Row],[Upper Range]]-SamplingData[[#This Row],[Span]]</f>
        <v>18070.464713669335</v>
      </c>
      <c r="U392" s="100">
        <f>IF(ISNUMBER('General Info'!$B$40), ((SamplingData[[#This Row],[up/U Selection Probability]]) * 'General Info'!$B$40) - 1, 0)</f>
        <v>-3.0714865103695255E-2</v>
      </c>
      <c r="V392" s="100">
        <f>IF(ISNUMBER('General Info'!$B$40), (SamplingData[[#This Row],[Running (cumulative) sum]] * ('General Info'!$B$40 -'General Info'!$B$41 + 1)) + 'General Info'!$B$41 - 1, 0)</f>
        <v>18070.43399880423</v>
      </c>
      <c r="W392" s="100" t="str">
        <f>IF(ISERROR(MATCH(SamplingData[[#This Row],[Batch by Type (p)]],SelectedPrecincts[Batch Name], 0)), "", INDEX(SelectedPrecincts[Draw], MATCH(SamplingData[[#This Row],[Batch by Type (p)]],SelectedPrecincts[Batch Name], 0)))</f>
        <v/>
      </c>
      <c r="X392" s="102">
        <f>IF(COUNTIF(SelectedPrecincts[Batch Name],SamplingData[[#This Row],[Batch by Type (p)]]) &lt;&gt; 0, COUNTIF(SelectedPrecincts[Batch Name],SamplingData[[#This Row],[Batch by Type (p)]]), 0)</f>
        <v>0</v>
      </c>
    </row>
    <row r="393" spans="1:24" ht="15" customHeight="1">
      <c r="A393" s="18" t="s">
        <v>569</v>
      </c>
      <c r="B393" s="18">
        <v>0</v>
      </c>
      <c r="C393" s="18">
        <v>0</v>
      </c>
      <c r="D393" s="16">
        <v>0</v>
      </c>
      <c r="E393" s="16">
        <v>0</v>
      </c>
      <c r="F393" s="37">
        <v>0</v>
      </c>
      <c r="G393" s="37">
        <v>0</v>
      </c>
      <c r="H393" s="17">
        <v>0</v>
      </c>
      <c r="I393" s="17">
        <v>0</v>
      </c>
      <c r="J393" s="99">
        <f>SUM(SamplingData[[#This Row],[Losing Candidate]:[Under Votes]])</f>
        <v>0</v>
      </c>
      <c r="K393" s="100">
        <f>IF(AND(SamplingData[[#This Row],[Total]]&lt;&gt; 0, NOT(ISBLANK(SamplingData[[#This Row],[Losing Candidate]]))),(SamplingData[[#This Row],[Total]]+SamplingData[[#This Row],[Winning Candidate]]-SamplingData[[#This Row],[Losing Candidate]])/(SamplingData[[#Totals],[Winning Candidate]]-SamplingData[[#Totals],[Losing Candidate]]), 0)</f>
        <v>0</v>
      </c>
      <c r="L393" s="100">
        <f>IF(AND(SamplingData[[#This Row],[Total]]&lt;&gt; 0, NOT(ISBLANK(SamplingData[[#This Row],[Candidate 3]]))),(SamplingData[[#This Row],[Total]]+SamplingData[[#This Row],[Winning Candidate]]-SamplingData[[#This Row],[Candidate 3]])/(SamplingData[[#Totals],[Winning Candidate]]-SamplingData[[#Totals],[Candidate 3]]), 0)</f>
        <v>0</v>
      </c>
      <c r="M393" s="100">
        <f>IF(AND(SamplingData[[#This Row],[Total]]&lt;&gt; 0, NOT(ISBLANK(SamplingData[[#This Row],[Candidate 4]]))),(SamplingData[[#This Row],[Total]]+SamplingData[[#This Row],[Winning Candidate]]-SamplingData[[#This Row],[Candidate 4]])/(SamplingData[[#Totals],[Winning Candidate]]-SamplingData[[#Totals],[Candidate 4]]), 0)</f>
        <v>0</v>
      </c>
      <c r="N393" s="100">
        <f>IF(AND(SamplingData[[#This Row],[Total]]&lt;&gt; 0, NOT(ISBLANK(SamplingData[[#This Row],[Candidate 5]]))),(SamplingData[[#This Row],[Total]]+SamplingData[[#This Row],[Winning Candidate]]-SamplingData[[#This Row],[Candidate 5]])/(SamplingData[[#Totals],[Winning Candidate]]-SamplingData[[#Totals],[Candidate 5]]), 0)</f>
        <v>0</v>
      </c>
      <c r="O393" s="100">
        <f>IF(AND(SamplingData[[#This Row],[Total]]&lt;&gt; 0, NOT(ISBLANK(SamplingData[[#This Row],[Candidate 6]]))),(SamplingData[[#This Row],[Total]]+SamplingData[[#This Row],[Winning Candidate]]-SamplingData[[#This Row],[Candidate 6]])/(SamplingData[[#Totals],[Winning Candidate]]-SamplingData[[#Totals],[Candidate 6]]), 0)</f>
        <v>0</v>
      </c>
      <c r="P393" s="100">
        <f>MAX(SamplingData[[#This Row],[Error Bound (up) - Max. possible relative overstatement - Losing Candidate]:[Error Bound (up) - Max. possible relative overstatement - Candidate 6]])</f>
        <v>0</v>
      </c>
      <c r="Q393" s="100">
        <f>IF(SamplingData[[#This Row],[Max Error Bound (up)]] = 0,0,SamplingData[[#This Row],[Max Error Bound (up)]]/SamplingData[[#Totals],[Max Error Bound (up)]])</f>
        <v>0</v>
      </c>
      <c r="R393" s="101">
        <f>SUM($Q$5:Q393)</f>
        <v>0.18071433998804232</v>
      </c>
      <c r="S393" s="100" t="str">
        <f t="array" ref="S393">IF(SamplingData[[#This Row],[up/U Selection Probability]] = 0, "Zero", TEXT(SamplingData[[#This Row],[Lower Range]], REPT("0",LEN('General Info'!$B$40))) &amp; " - " &amp; TEXT(SamplingData[[#This Row],[Upper Range]], REPT("0",LEN('General Info'!$B$40))))</f>
        <v>Zero</v>
      </c>
      <c r="T393" s="100">
        <f>SamplingData[[#This Row],[Upper Range]]-SamplingData[[#This Row],[Span]]</f>
        <v>18071.43399880423</v>
      </c>
      <c r="U393" s="100">
        <f>IF(ISNUMBER('General Info'!$B$40), ((SamplingData[[#This Row],[up/U Selection Probability]]) * 'General Info'!$B$40) - 1, 0)</f>
        <v>-1</v>
      </c>
      <c r="V393" s="100">
        <f>IF(ISNUMBER('General Info'!$B$40), (SamplingData[[#This Row],[Running (cumulative) sum]] * ('General Info'!$B$40 -'General Info'!$B$41 + 1)) + 'General Info'!$B$41 - 1, 0)</f>
        <v>18070.43399880423</v>
      </c>
      <c r="W393" s="100" t="str">
        <f>IF(ISERROR(MATCH(SamplingData[[#This Row],[Batch by Type (p)]],SelectedPrecincts[Batch Name], 0)), "", INDEX(SelectedPrecincts[Draw], MATCH(SamplingData[[#This Row],[Batch by Type (p)]],SelectedPrecincts[Batch Name], 0)))</f>
        <v/>
      </c>
      <c r="X393" s="102">
        <f>IF(COUNTIF(SelectedPrecincts[Batch Name],SamplingData[[#This Row],[Batch by Type (p)]]) &lt;&gt; 0, COUNTIF(SelectedPrecincts[Batch Name],SamplingData[[#This Row],[Batch by Type (p)]]), 0)</f>
        <v>0</v>
      </c>
    </row>
    <row r="394" spans="1:24" ht="15" customHeight="1">
      <c r="A394" s="18" t="s">
        <v>570</v>
      </c>
      <c r="B394" s="18">
        <v>0</v>
      </c>
      <c r="C394" s="18">
        <v>0</v>
      </c>
      <c r="D394" s="18">
        <v>1</v>
      </c>
      <c r="E394" s="18">
        <v>0</v>
      </c>
      <c r="F394" s="18">
        <v>0</v>
      </c>
      <c r="G394" s="18">
        <v>0</v>
      </c>
      <c r="H394" s="18">
        <v>0</v>
      </c>
      <c r="I394" s="18">
        <v>0</v>
      </c>
      <c r="J394" s="99">
        <f>SUM(SamplingData[[#This Row],[Losing Candidate]:[Under Votes]])</f>
        <v>1</v>
      </c>
      <c r="K39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394" s="100">
        <f>IF(AND(SamplingData[[#This Row],[Total]]&lt;&gt; 0, NOT(ISBLANK(SamplingData[[#This Row],[Candidate 3]]))),(SamplingData[[#This Row],[Total]]+SamplingData[[#This Row],[Winning Candidate]]-SamplingData[[#This Row],[Candidate 3]])/(SamplingData[[#Totals],[Winning Candidate]]-SamplingData[[#Totals],[Candidate 3]]), 0)</f>
        <v>0</v>
      </c>
      <c r="M394" s="100">
        <f>IF(AND(SamplingData[[#This Row],[Total]]&lt;&gt; 0, NOT(ISBLANK(SamplingData[[#This Row],[Candidate 4]]))),(SamplingData[[#This Row],[Total]]+SamplingData[[#This Row],[Winning Candidate]]-SamplingData[[#This Row],[Candidate 4]])/(SamplingData[[#Totals],[Winning Candidate]]-SamplingData[[#Totals],[Candidate 4]]), 0)</f>
        <v>2.923207343096846E-5</v>
      </c>
      <c r="N394" s="100">
        <f>IF(AND(SamplingData[[#This Row],[Total]]&lt;&gt; 0, NOT(ISBLANK(SamplingData[[#This Row],[Candidate 5]]))),(SamplingData[[#This Row],[Total]]+SamplingData[[#This Row],[Winning Candidate]]-SamplingData[[#This Row],[Candidate 5]])/(SamplingData[[#Totals],[Winning Candidate]]-SamplingData[[#Totals],[Candidate 5]]), 0)</f>
        <v>2.4324981756263683E-5</v>
      </c>
      <c r="O394" s="100">
        <f>IF(AND(SamplingData[[#This Row],[Total]]&lt;&gt; 0, NOT(ISBLANK(SamplingData[[#This Row],[Candidate 6]]))),(SamplingData[[#This Row],[Total]]+SamplingData[[#This Row],[Winning Candidate]]-SamplingData[[#This Row],[Candidate 6]])/(SamplingData[[#Totals],[Winning Candidate]]-SamplingData[[#Totals],[Candidate 6]]), 0)</f>
        <v>2.431788337143135E-5</v>
      </c>
      <c r="P394" s="100">
        <f>MAX(SamplingData[[#This Row],[Error Bound (up) - Max. possible relative overstatement - Losing Candidate]:[Error Bound (up) - Max. possible relative overstatement - Candidate 6]])</f>
        <v>6.1244487996080352E-5</v>
      </c>
      <c r="Q394" s="100">
        <f>IF(SamplingData[[#This Row],[Max Error Bound (up)]] = 0,0,SamplingData[[#This Row],[Max Error Bound (up)]]/SamplingData[[#Totals],[Max Error Bound (up)]])</f>
        <v>9.6929482784458315E-6</v>
      </c>
      <c r="R394" s="101">
        <f>SUM($Q$5:Q394)</f>
        <v>0.18072403293632075</v>
      </c>
      <c r="S394" s="100" t="str">
        <f t="array" ref="S394">IF(SamplingData[[#This Row],[up/U Selection Probability]] = 0, "Zero", TEXT(SamplingData[[#This Row],[Lower Range]], REPT("0",LEN('General Info'!$B$40))) &amp; " - " &amp; TEXT(SamplingData[[#This Row],[Upper Range]], REPT("0",LEN('General Info'!$B$40))))</f>
        <v>18071 - 18071</v>
      </c>
      <c r="T394" s="100">
        <f>SamplingData[[#This Row],[Upper Range]]-SamplingData[[#This Row],[Span]]</f>
        <v>18071.434008497181</v>
      </c>
      <c r="U394" s="100">
        <f>IF(ISNUMBER('General Info'!$B$40), ((SamplingData[[#This Row],[up/U Selection Probability]]) * 'General Info'!$B$40) - 1, 0)</f>
        <v>-3.0714865103695255E-2</v>
      </c>
      <c r="V394" s="100">
        <f>IF(ISNUMBER('General Info'!$B$40), (SamplingData[[#This Row],[Running (cumulative) sum]] * ('General Info'!$B$40 -'General Info'!$B$41 + 1)) + 'General Info'!$B$41 - 1, 0)</f>
        <v>18071.403293632076</v>
      </c>
      <c r="W394" s="100" t="str">
        <f>IF(ISERROR(MATCH(SamplingData[[#This Row],[Batch by Type (p)]],SelectedPrecincts[Batch Name], 0)), "", INDEX(SelectedPrecincts[Draw], MATCH(SamplingData[[#This Row],[Batch by Type (p)]],SelectedPrecincts[Batch Name], 0)))</f>
        <v/>
      </c>
      <c r="X394" s="102">
        <f>IF(COUNTIF(SelectedPrecincts[Batch Name],SamplingData[[#This Row],[Batch by Type (p)]]) &lt;&gt; 0, COUNTIF(SelectedPrecincts[Batch Name],SamplingData[[#This Row],[Batch by Type (p)]]), 0)</f>
        <v>0</v>
      </c>
    </row>
    <row r="395" spans="1:24" ht="15" customHeight="1">
      <c r="A395" s="18" t="s">
        <v>571</v>
      </c>
      <c r="B395" s="18">
        <v>0</v>
      </c>
      <c r="C395" s="18">
        <v>0</v>
      </c>
      <c r="D395" s="16">
        <v>0</v>
      </c>
      <c r="E395" s="16">
        <v>0</v>
      </c>
      <c r="F395" s="37">
        <v>0</v>
      </c>
      <c r="G395" s="37">
        <v>0</v>
      </c>
      <c r="H395" s="17">
        <v>0</v>
      </c>
      <c r="I395" s="17">
        <v>0</v>
      </c>
      <c r="J395" s="99">
        <f>SUM(SamplingData[[#This Row],[Losing Candidate]:[Under Votes]])</f>
        <v>0</v>
      </c>
      <c r="K395" s="100">
        <f>IF(AND(SamplingData[[#This Row],[Total]]&lt;&gt; 0, NOT(ISBLANK(SamplingData[[#This Row],[Losing Candidate]]))),(SamplingData[[#This Row],[Total]]+SamplingData[[#This Row],[Winning Candidate]]-SamplingData[[#This Row],[Losing Candidate]])/(SamplingData[[#Totals],[Winning Candidate]]-SamplingData[[#Totals],[Losing Candidate]]), 0)</f>
        <v>0</v>
      </c>
      <c r="L395" s="100">
        <f>IF(AND(SamplingData[[#This Row],[Total]]&lt;&gt; 0, NOT(ISBLANK(SamplingData[[#This Row],[Candidate 3]]))),(SamplingData[[#This Row],[Total]]+SamplingData[[#This Row],[Winning Candidate]]-SamplingData[[#This Row],[Candidate 3]])/(SamplingData[[#Totals],[Winning Candidate]]-SamplingData[[#Totals],[Candidate 3]]), 0)</f>
        <v>0</v>
      </c>
      <c r="M395" s="100">
        <f>IF(AND(SamplingData[[#This Row],[Total]]&lt;&gt; 0, NOT(ISBLANK(SamplingData[[#This Row],[Candidate 4]]))),(SamplingData[[#This Row],[Total]]+SamplingData[[#This Row],[Winning Candidate]]-SamplingData[[#This Row],[Candidate 4]])/(SamplingData[[#Totals],[Winning Candidate]]-SamplingData[[#Totals],[Candidate 4]]), 0)</f>
        <v>0</v>
      </c>
      <c r="N395" s="100">
        <f>IF(AND(SamplingData[[#This Row],[Total]]&lt;&gt; 0, NOT(ISBLANK(SamplingData[[#This Row],[Candidate 5]]))),(SamplingData[[#This Row],[Total]]+SamplingData[[#This Row],[Winning Candidate]]-SamplingData[[#This Row],[Candidate 5]])/(SamplingData[[#Totals],[Winning Candidate]]-SamplingData[[#Totals],[Candidate 5]]), 0)</f>
        <v>0</v>
      </c>
      <c r="O395" s="100">
        <f>IF(AND(SamplingData[[#This Row],[Total]]&lt;&gt; 0, NOT(ISBLANK(SamplingData[[#This Row],[Candidate 6]]))),(SamplingData[[#This Row],[Total]]+SamplingData[[#This Row],[Winning Candidate]]-SamplingData[[#This Row],[Candidate 6]])/(SamplingData[[#Totals],[Winning Candidate]]-SamplingData[[#Totals],[Candidate 6]]), 0)</f>
        <v>0</v>
      </c>
      <c r="P395" s="100">
        <f>MAX(SamplingData[[#This Row],[Error Bound (up) - Max. possible relative overstatement - Losing Candidate]:[Error Bound (up) - Max. possible relative overstatement - Candidate 6]])</f>
        <v>0</v>
      </c>
      <c r="Q395" s="100">
        <f>IF(SamplingData[[#This Row],[Max Error Bound (up)]] = 0,0,SamplingData[[#This Row],[Max Error Bound (up)]]/SamplingData[[#Totals],[Max Error Bound (up)]])</f>
        <v>0</v>
      </c>
      <c r="R395" s="101">
        <f>SUM($Q$5:Q395)</f>
        <v>0.18072403293632075</v>
      </c>
      <c r="S395" s="100" t="str">
        <f t="array" ref="S395">IF(SamplingData[[#This Row],[up/U Selection Probability]] = 0, "Zero", TEXT(SamplingData[[#This Row],[Lower Range]], REPT("0",LEN('General Info'!$B$40))) &amp; " - " &amp; TEXT(SamplingData[[#This Row],[Upper Range]], REPT("0",LEN('General Info'!$B$40))))</f>
        <v>Zero</v>
      </c>
      <c r="T395" s="100">
        <f>SamplingData[[#This Row],[Upper Range]]-SamplingData[[#This Row],[Span]]</f>
        <v>18072.403293632076</v>
      </c>
      <c r="U395" s="100">
        <f>IF(ISNUMBER('General Info'!$B$40), ((SamplingData[[#This Row],[up/U Selection Probability]]) * 'General Info'!$B$40) - 1, 0)</f>
        <v>-1</v>
      </c>
      <c r="V395" s="100">
        <f>IF(ISNUMBER('General Info'!$B$40), (SamplingData[[#This Row],[Running (cumulative) sum]] * ('General Info'!$B$40 -'General Info'!$B$41 + 1)) + 'General Info'!$B$41 - 1, 0)</f>
        <v>18071.403293632076</v>
      </c>
      <c r="W395" s="100" t="str">
        <f>IF(ISERROR(MATCH(SamplingData[[#This Row],[Batch by Type (p)]],SelectedPrecincts[Batch Name], 0)), "", INDEX(SelectedPrecincts[Draw], MATCH(SamplingData[[#This Row],[Batch by Type (p)]],SelectedPrecincts[Batch Name], 0)))</f>
        <v/>
      </c>
      <c r="X395" s="102">
        <f>IF(COUNTIF(SelectedPrecincts[Batch Name],SamplingData[[#This Row],[Batch by Type (p)]]) &lt;&gt; 0, COUNTIF(SelectedPrecincts[Batch Name],SamplingData[[#This Row],[Batch by Type (p)]]), 0)</f>
        <v>0</v>
      </c>
    </row>
    <row r="396" spans="1:24" ht="15" customHeight="1">
      <c r="A396" s="18" t="s">
        <v>572</v>
      </c>
      <c r="B396" s="18">
        <v>1</v>
      </c>
      <c r="C396" s="18">
        <v>0</v>
      </c>
      <c r="D396" s="18">
        <v>0</v>
      </c>
      <c r="E396" s="18">
        <v>0</v>
      </c>
      <c r="F396" s="18">
        <v>0</v>
      </c>
      <c r="G396" s="18">
        <v>0</v>
      </c>
      <c r="H396" s="18">
        <v>0</v>
      </c>
      <c r="I396" s="18">
        <v>0</v>
      </c>
      <c r="J396" s="99">
        <f>SUM(SamplingData[[#This Row],[Losing Candidate]:[Under Votes]])</f>
        <v>1</v>
      </c>
      <c r="K396" s="100">
        <f>IF(AND(SamplingData[[#This Row],[Total]]&lt;&gt; 0, NOT(ISBLANK(SamplingData[[#This Row],[Losing Candidate]]))),(SamplingData[[#This Row],[Total]]+SamplingData[[#This Row],[Winning Candidate]]-SamplingData[[#This Row],[Losing Candidate]])/(SamplingData[[#Totals],[Winning Candidate]]-SamplingData[[#Totals],[Losing Candidate]]), 0)</f>
        <v>0</v>
      </c>
      <c r="L396" s="100">
        <f>IF(AND(SamplingData[[#This Row],[Total]]&lt;&gt; 0, NOT(ISBLANK(SamplingData[[#This Row],[Candidate 3]]))),(SamplingData[[#This Row],[Total]]+SamplingData[[#This Row],[Winning Candidate]]-SamplingData[[#This Row],[Candidate 3]])/(SamplingData[[#Totals],[Winning Candidate]]-SamplingData[[#Totals],[Candidate 3]]), 0)</f>
        <v>3.2261186566441917E-5</v>
      </c>
      <c r="M396" s="100">
        <f>IF(AND(SamplingData[[#This Row],[Total]]&lt;&gt; 0, NOT(ISBLANK(SamplingData[[#This Row],[Candidate 4]]))),(SamplingData[[#This Row],[Total]]+SamplingData[[#This Row],[Winning Candidate]]-SamplingData[[#This Row],[Candidate 4]])/(SamplingData[[#Totals],[Winning Candidate]]-SamplingData[[#Totals],[Candidate 4]]), 0)</f>
        <v>2.923207343096846E-5</v>
      </c>
      <c r="N396" s="100">
        <f>IF(AND(SamplingData[[#This Row],[Total]]&lt;&gt; 0, NOT(ISBLANK(SamplingData[[#This Row],[Candidate 5]]))),(SamplingData[[#This Row],[Total]]+SamplingData[[#This Row],[Winning Candidate]]-SamplingData[[#This Row],[Candidate 5]])/(SamplingData[[#Totals],[Winning Candidate]]-SamplingData[[#Totals],[Candidate 5]]), 0)</f>
        <v>2.4324981756263683E-5</v>
      </c>
      <c r="O396" s="100">
        <f>IF(AND(SamplingData[[#This Row],[Total]]&lt;&gt; 0, NOT(ISBLANK(SamplingData[[#This Row],[Candidate 6]]))),(SamplingData[[#This Row],[Total]]+SamplingData[[#This Row],[Winning Candidate]]-SamplingData[[#This Row],[Candidate 6]])/(SamplingData[[#Totals],[Winning Candidate]]-SamplingData[[#Totals],[Candidate 6]]), 0)</f>
        <v>2.431788337143135E-5</v>
      </c>
      <c r="P396" s="100">
        <f>MAX(SamplingData[[#This Row],[Error Bound (up) - Max. possible relative overstatement - Losing Candidate]:[Error Bound (up) - Max. possible relative overstatement - Candidate 6]])</f>
        <v>3.2261186566441917E-5</v>
      </c>
      <c r="Q396" s="100">
        <f>IF(SamplingData[[#This Row],[Max Error Bound (up)]] = 0,0,SamplingData[[#This Row],[Max Error Bound (up)]]/SamplingData[[#Totals],[Max Error Bound (up)]])</f>
        <v>5.1058637768320663E-6</v>
      </c>
      <c r="R396" s="101">
        <f>SUM($Q$5:Q396)</f>
        <v>0.18072913880009758</v>
      </c>
      <c r="S396" s="100" t="str">
        <f t="array" ref="S396">IF(SamplingData[[#This Row],[up/U Selection Probability]] = 0, "Zero", TEXT(SamplingData[[#This Row],[Lower Range]], REPT("0",LEN('General Info'!$B$40))) &amp; " - " &amp; TEXT(SamplingData[[#This Row],[Upper Range]], REPT("0",LEN('General Info'!$B$40))))</f>
        <v>18072 - 18072</v>
      </c>
      <c r="T396" s="100">
        <f>SamplingData[[#This Row],[Upper Range]]-SamplingData[[#This Row],[Span]]</f>
        <v>18072.403298737936</v>
      </c>
      <c r="U396" s="100">
        <f>IF(ISNUMBER('General Info'!$B$40), ((SamplingData[[#This Row],[up/U Selection Probability]]) * 'General Info'!$B$40) - 1, 0)</f>
        <v>-0.4894187281805702</v>
      </c>
      <c r="V396" s="100">
        <f>IF(ISNUMBER('General Info'!$B$40), (SamplingData[[#This Row],[Running (cumulative) sum]] * ('General Info'!$B$40 -'General Info'!$B$41 + 1)) + 'General Info'!$B$41 - 1, 0)</f>
        <v>18071.913880009757</v>
      </c>
      <c r="W396" s="100" t="str">
        <f>IF(ISERROR(MATCH(SamplingData[[#This Row],[Batch by Type (p)]],SelectedPrecincts[Batch Name], 0)), "", INDEX(SelectedPrecincts[Draw], MATCH(SamplingData[[#This Row],[Batch by Type (p)]],SelectedPrecincts[Batch Name], 0)))</f>
        <v/>
      </c>
      <c r="X396" s="102">
        <f>IF(COUNTIF(SelectedPrecincts[Batch Name],SamplingData[[#This Row],[Batch by Type (p)]]) &lt;&gt; 0, COUNTIF(SelectedPrecincts[Batch Name],SamplingData[[#This Row],[Batch by Type (p)]]), 0)</f>
        <v>0</v>
      </c>
    </row>
    <row r="397" spans="1:24" ht="15" customHeight="1">
      <c r="A397" s="18" t="s">
        <v>573</v>
      </c>
      <c r="B397" s="18">
        <v>6</v>
      </c>
      <c r="C397" s="18">
        <v>15</v>
      </c>
      <c r="D397" s="16">
        <v>1</v>
      </c>
      <c r="E397" s="16">
        <v>1</v>
      </c>
      <c r="F397" s="37">
        <v>0</v>
      </c>
      <c r="G397" s="37">
        <v>0</v>
      </c>
      <c r="H397" s="17">
        <v>0</v>
      </c>
      <c r="I397" s="17">
        <v>0</v>
      </c>
      <c r="J397" s="99">
        <f>SUM(SamplingData[[#This Row],[Losing Candidate]:[Under Votes]])</f>
        <v>23</v>
      </c>
      <c r="K397"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397" s="100">
        <f>IF(AND(SamplingData[[#This Row],[Total]]&lt;&gt; 0, NOT(ISBLANK(SamplingData[[#This Row],[Candidate 3]]))),(SamplingData[[#This Row],[Total]]+SamplingData[[#This Row],[Winning Candidate]]-SamplingData[[#This Row],[Candidate 3]])/(SamplingData[[#Totals],[Winning Candidate]]-SamplingData[[#Totals],[Candidate 3]]), 0)</f>
        <v>1.1936639029583509E-3</v>
      </c>
      <c r="M397" s="100">
        <f>IF(AND(SamplingData[[#This Row],[Total]]&lt;&gt; 0, NOT(ISBLANK(SamplingData[[#This Row],[Candidate 4]]))),(SamplingData[[#This Row],[Total]]+SamplingData[[#This Row],[Winning Candidate]]-SamplingData[[#This Row],[Candidate 4]])/(SamplingData[[#Totals],[Winning Candidate]]-SamplingData[[#Totals],[Candidate 4]]), 0)</f>
        <v>1.081586716945833E-3</v>
      </c>
      <c r="N397" s="100">
        <f>IF(AND(SamplingData[[#This Row],[Total]]&lt;&gt; 0, NOT(ISBLANK(SamplingData[[#This Row],[Candidate 5]]))),(SamplingData[[#This Row],[Total]]+SamplingData[[#This Row],[Winning Candidate]]-SamplingData[[#This Row],[Candidate 5]])/(SamplingData[[#Totals],[Winning Candidate]]-SamplingData[[#Totals],[Candidate 5]]), 0)</f>
        <v>9.2434930673801995E-4</v>
      </c>
      <c r="O397" s="100">
        <f>IF(AND(SamplingData[[#This Row],[Total]]&lt;&gt; 0, NOT(ISBLANK(SamplingData[[#This Row],[Candidate 6]]))),(SamplingData[[#This Row],[Total]]+SamplingData[[#This Row],[Winning Candidate]]-SamplingData[[#This Row],[Candidate 6]])/(SamplingData[[#Totals],[Winning Candidate]]-SamplingData[[#Totals],[Candidate 6]]), 0)</f>
        <v>9.2407956811439132E-4</v>
      </c>
      <c r="P397" s="100">
        <f>MAX(SamplingData[[#This Row],[Error Bound (up) - Max. possible relative overstatement - Losing Candidate]:[Error Bound (up) - Max. possible relative overstatement - Candidate 6]])</f>
        <v>1.9598236158745713E-3</v>
      </c>
      <c r="Q397" s="100">
        <f>IF(SamplingData[[#This Row],[Max Error Bound (up)]] = 0,0,SamplingData[[#This Row],[Max Error Bound (up)]]/SamplingData[[#Totals],[Max Error Bound (up)]])</f>
        <v>3.1017434491026661E-4</v>
      </c>
      <c r="R397" s="101">
        <f>SUM($Q$5:Q397)</f>
        <v>0.18103931314500785</v>
      </c>
      <c r="S397" s="100" t="str">
        <f t="array" ref="S397">IF(SamplingData[[#This Row],[up/U Selection Probability]] = 0, "Zero", TEXT(SamplingData[[#This Row],[Lower Range]], REPT("0",LEN('General Info'!$B$40))) &amp; " - " &amp; TEXT(SamplingData[[#This Row],[Upper Range]], REPT("0",LEN('General Info'!$B$40))))</f>
        <v>18073 - 18103</v>
      </c>
      <c r="T397" s="100">
        <f>SamplingData[[#This Row],[Upper Range]]-SamplingData[[#This Row],[Span]]</f>
        <v>18072.914190184103</v>
      </c>
      <c r="U397" s="100">
        <f>IF(ISNUMBER('General Info'!$B$40), ((SamplingData[[#This Row],[up/U Selection Probability]]) * 'General Info'!$B$40) - 1, 0)</f>
        <v>30.017124316681752</v>
      </c>
      <c r="V397" s="100">
        <f>IF(ISNUMBER('General Info'!$B$40), (SamplingData[[#This Row],[Running (cumulative) sum]] * ('General Info'!$B$40 -'General Info'!$B$41 + 1)) + 'General Info'!$B$41 - 1, 0)</f>
        <v>18102.931314500784</v>
      </c>
      <c r="W397" s="100" t="str">
        <f>IF(ISERROR(MATCH(SamplingData[[#This Row],[Batch by Type (p)]],SelectedPrecincts[Batch Name], 0)), "", INDEX(SelectedPrecincts[Draw], MATCH(SamplingData[[#This Row],[Batch by Type (p)]],SelectedPrecincts[Batch Name], 0)))</f>
        <v/>
      </c>
      <c r="X397" s="102">
        <f>IF(COUNTIF(SelectedPrecincts[Batch Name],SamplingData[[#This Row],[Batch by Type (p)]]) &lt;&gt; 0, COUNTIF(SelectedPrecincts[Batch Name],SamplingData[[#This Row],[Batch by Type (p)]]), 0)</f>
        <v>0</v>
      </c>
    </row>
    <row r="398" spans="1:24" ht="15" customHeight="1">
      <c r="A398" s="18" t="s">
        <v>574</v>
      </c>
      <c r="B398" s="18">
        <v>6</v>
      </c>
      <c r="C398" s="18">
        <v>24</v>
      </c>
      <c r="D398" s="18">
        <v>1</v>
      </c>
      <c r="E398" s="18">
        <v>1</v>
      </c>
      <c r="F398" s="18">
        <v>0</v>
      </c>
      <c r="G398" s="18">
        <v>0</v>
      </c>
      <c r="H398" s="18">
        <v>0</v>
      </c>
      <c r="I398" s="18">
        <v>0</v>
      </c>
      <c r="J398" s="99">
        <f>SUM(SamplingData[[#This Row],[Losing Candidate]:[Under Votes]])</f>
        <v>32</v>
      </c>
      <c r="K398" s="100">
        <f>IF(AND(SamplingData[[#This Row],[Total]]&lt;&gt; 0, NOT(ISBLANK(SamplingData[[#This Row],[Losing Candidate]]))),(SamplingData[[#This Row],[Total]]+SamplingData[[#This Row],[Winning Candidate]]-SamplingData[[#This Row],[Losing Candidate]])/(SamplingData[[#Totals],[Winning Candidate]]-SamplingData[[#Totals],[Losing Candidate]]), 0)</f>
        <v>3.0622243998040177E-3</v>
      </c>
      <c r="L398" s="100">
        <f>IF(AND(SamplingData[[#This Row],[Total]]&lt;&gt; 0, NOT(ISBLANK(SamplingData[[#This Row],[Candidate 3]]))),(SamplingData[[#This Row],[Total]]+SamplingData[[#This Row],[Winning Candidate]]-SamplingData[[#This Row],[Candidate 3]])/(SamplingData[[#Totals],[Winning Candidate]]-SamplingData[[#Totals],[Candidate 3]]), 0)</f>
        <v>1.7743652611543052E-3</v>
      </c>
      <c r="M398" s="100">
        <f>IF(AND(SamplingData[[#This Row],[Total]]&lt;&gt; 0, NOT(ISBLANK(SamplingData[[#This Row],[Candidate 4]]))),(SamplingData[[#This Row],[Total]]+SamplingData[[#This Row],[Winning Candidate]]-SamplingData[[#This Row],[Candidate 4]])/(SamplingData[[#Totals],[Winning Candidate]]-SamplingData[[#Totals],[Candidate 4]]), 0)</f>
        <v>1.6077640387032652E-3</v>
      </c>
      <c r="N398" s="100">
        <f>IF(AND(SamplingData[[#This Row],[Total]]&lt;&gt; 0, NOT(ISBLANK(SamplingData[[#This Row],[Candidate 5]]))),(SamplingData[[#This Row],[Total]]+SamplingData[[#This Row],[Winning Candidate]]-SamplingData[[#This Row],[Candidate 5]])/(SamplingData[[#Totals],[Winning Candidate]]-SamplingData[[#Totals],[Candidate 5]]), 0)</f>
        <v>1.3621989783507663E-3</v>
      </c>
      <c r="O398" s="100">
        <f>IF(AND(SamplingData[[#This Row],[Total]]&lt;&gt; 0, NOT(ISBLANK(SamplingData[[#This Row],[Candidate 6]]))),(SamplingData[[#This Row],[Total]]+SamplingData[[#This Row],[Winning Candidate]]-SamplingData[[#This Row],[Candidate 6]])/(SamplingData[[#Totals],[Winning Candidate]]-SamplingData[[#Totals],[Candidate 6]]), 0)</f>
        <v>1.3618014688001555E-3</v>
      </c>
      <c r="P398" s="100">
        <f>MAX(SamplingData[[#This Row],[Error Bound (up) - Max. possible relative overstatement - Losing Candidate]:[Error Bound (up) - Max. possible relative overstatement - Candidate 6]])</f>
        <v>3.0622243998040177E-3</v>
      </c>
      <c r="Q398" s="100">
        <f>IF(SamplingData[[#This Row],[Max Error Bound (up)]] = 0,0,SamplingData[[#This Row],[Max Error Bound (up)]]/SamplingData[[#Totals],[Max Error Bound (up)]])</f>
        <v>4.8464741392229157E-4</v>
      </c>
      <c r="R398" s="101">
        <f>SUM($Q$5:Q398)</f>
        <v>0.18152396055893014</v>
      </c>
      <c r="S398" s="100" t="str">
        <f t="array" ref="S398">IF(SamplingData[[#This Row],[up/U Selection Probability]] = 0, "Zero", TEXT(SamplingData[[#This Row],[Lower Range]], REPT("0",LEN('General Info'!$B$40))) &amp; " - " &amp; TEXT(SamplingData[[#This Row],[Upper Range]], REPT("0",LEN('General Info'!$B$40))))</f>
        <v>18104 - 18151</v>
      </c>
      <c r="T398" s="100">
        <f>SamplingData[[#This Row],[Upper Range]]-SamplingData[[#This Row],[Span]]</f>
        <v>18103.931799148198</v>
      </c>
      <c r="U398" s="100">
        <f>IF(ISNUMBER('General Info'!$B$40), ((SamplingData[[#This Row],[up/U Selection Probability]]) * 'General Info'!$B$40) - 1, 0)</f>
        <v>47.464256744815238</v>
      </c>
      <c r="V398" s="100">
        <f>IF(ISNUMBER('General Info'!$B$40), (SamplingData[[#This Row],[Running (cumulative) sum]] * ('General Info'!$B$40 -'General Info'!$B$41 + 1)) + 'General Info'!$B$41 - 1, 0)</f>
        <v>18151.396055893012</v>
      </c>
      <c r="W398" s="100" t="str">
        <f>IF(ISERROR(MATCH(SamplingData[[#This Row],[Batch by Type (p)]],SelectedPrecincts[Batch Name], 0)), "", INDEX(SelectedPrecincts[Draw], MATCH(SamplingData[[#This Row],[Batch by Type (p)]],SelectedPrecincts[Batch Name], 0)))</f>
        <v/>
      </c>
      <c r="X398" s="102">
        <f>IF(COUNTIF(SelectedPrecincts[Batch Name],SamplingData[[#This Row],[Batch by Type (p)]]) &lt;&gt; 0, COUNTIF(SelectedPrecincts[Batch Name],SamplingData[[#This Row],[Batch by Type (p)]]), 0)</f>
        <v>0</v>
      </c>
    </row>
    <row r="399" spans="1:24" ht="15" customHeight="1">
      <c r="A399" s="18" t="s">
        <v>575</v>
      </c>
      <c r="B399" s="18">
        <v>2</v>
      </c>
      <c r="C399" s="18">
        <v>4</v>
      </c>
      <c r="D399" s="16">
        <v>2</v>
      </c>
      <c r="E399" s="16">
        <v>2</v>
      </c>
      <c r="F399" s="37">
        <v>0</v>
      </c>
      <c r="G399" s="37">
        <v>0</v>
      </c>
      <c r="H399" s="17">
        <v>0</v>
      </c>
      <c r="I399" s="17">
        <v>0</v>
      </c>
      <c r="J399" s="99">
        <f>SUM(SamplingData[[#This Row],[Losing Candidate]:[Under Votes]])</f>
        <v>10</v>
      </c>
      <c r="K399"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399" s="100">
        <f>IF(AND(SamplingData[[#This Row],[Total]]&lt;&gt; 0, NOT(ISBLANK(SamplingData[[#This Row],[Candidate 3]]))),(SamplingData[[#This Row],[Total]]+SamplingData[[#This Row],[Winning Candidate]]-SamplingData[[#This Row],[Candidate 3]])/(SamplingData[[#Totals],[Winning Candidate]]-SamplingData[[#Totals],[Candidate 3]]), 0)</f>
        <v>3.8713423879730297E-4</v>
      </c>
      <c r="M399" s="100">
        <f>IF(AND(SamplingData[[#This Row],[Total]]&lt;&gt; 0, NOT(ISBLANK(SamplingData[[#This Row],[Candidate 4]]))),(SamplingData[[#This Row],[Total]]+SamplingData[[#This Row],[Winning Candidate]]-SamplingData[[#This Row],[Candidate 4]])/(SamplingData[[#Totals],[Winning Candidate]]-SamplingData[[#Totals],[Candidate 4]]), 0)</f>
        <v>3.5078488117162149E-4</v>
      </c>
      <c r="N399" s="100">
        <f>IF(AND(SamplingData[[#This Row],[Total]]&lt;&gt; 0, NOT(ISBLANK(SamplingData[[#This Row],[Candidate 5]]))),(SamplingData[[#This Row],[Total]]+SamplingData[[#This Row],[Winning Candidate]]-SamplingData[[#This Row],[Candidate 5]])/(SamplingData[[#Totals],[Winning Candidate]]-SamplingData[[#Totals],[Candidate 5]]), 0)</f>
        <v>3.4054974458769157E-4</v>
      </c>
      <c r="O399" s="100">
        <f>IF(AND(SamplingData[[#This Row],[Total]]&lt;&gt; 0, NOT(ISBLANK(SamplingData[[#This Row],[Candidate 6]]))),(SamplingData[[#This Row],[Total]]+SamplingData[[#This Row],[Winning Candidate]]-SamplingData[[#This Row],[Candidate 6]])/(SamplingData[[#Totals],[Winning Candidate]]-SamplingData[[#Totals],[Candidate 6]]), 0)</f>
        <v>3.4045036720003888E-4</v>
      </c>
      <c r="P399" s="100">
        <f>MAX(SamplingData[[#This Row],[Error Bound (up) - Max. possible relative overstatement - Losing Candidate]:[Error Bound (up) - Max. possible relative overstatement - Candidate 6]])</f>
        <v>7.3493385595296422E-4</v>
      </c>
      <c r="Q399" s="100">
        <f>IF(SamplingData[[#This Row],[Max Error Bound (up)]] = 0,0,SamplingData[[#This Row],[Max Error Bound (up)]]/SamplingData[[#Totals],[Max Error Bound (up)]])</f>
        <v>1.1631537934134997E-4</v>
      </c>
      <c r="R399" s="101">
        <f>SUM($Q$5:Q399)</f>
        <v>0.18164027593827148</v>
      </c>
      <c r="S399" s="100" t="str">
        <f t="array" ref="S399">IF(SamplingData[[#This Row],[up/U Selection Probability]] = 0, "Zero", TEXT(SamplingData[[#This Row],[Lower Range]], REPT("0",LEN('General Info'!$B$40))) &amp; " - " &amp; TEXT(SamplingData[[#This Row],[Upper Range]], REPT("0",LEN('General Info'!$B$40))))</f>
        <v>18152 - 18163</v>
      </c>
      <c r="T399" s="100">
        <f>SamplingData[[#This Row],[Upper Range]]-SamplingData[[#This Row],[Span]]</f>
        <v>18152.396172208391</v>
      </c>
      <c r="U399" s="100">
        <f>IF(ISNUMBER('General Info'!$B$40), ((SamplingData[[#This Row],[up/U Selection Probability]]) * 'General Info'!$B$40) - 1, 0)</f>
        <v>10.631421618755656</v>
      </c>
      <c r="V399" s="100">
        <f>IF(ISNUMBER('General Info'!$B$40), (SamplingData[[#This Row],[Running (cumulative) sum]] * ('General Info'!$B$40 -'General Info'!$B$41 + 1)) + 'General Info'!$B$41 - 1, 0)</f>
        <v>18163.027593827148</v>
      </c>
      <c r="W399" s="100" t="str">
        <f>IF(ISERROR(MATCH(SamplingData[[#This Row],[Batch by Type (p)]],SelectedPrecincts[Batch Name], 0)), "", INDEX(SelectedPrecincts[Draw], MATCH(SamplingData[[#This Row],[Batch by Type (p)]],SelectedPrecincts[Batch Name], 0)))</f>
        <v/>
      </c>
      <c r="X399" s="102">
        <f>IF(COUNTIF(SelectedPrecincts[Batch Name],SamplingData[[#This Row],[Batch by Type (p)]]) &lt;&gt; 0, COUNTIF(SelectedPrecincts[Batch Name],SamplingData[[#This Row],[Batch by Type (p)]]), 0)</f>
        <v>0</v>
      </c>
    </row>
    <row r="400" spans="1:24" ht="15" customHeight="1">
      <c r="A400" s="18" t="s">
        <v>576</v>
      </c>
      <c r="B400" s="18">
        <v>1</v>
      </c>
      <c r="C400" s="18">
        <v>2</v>
      </c>
      <c r="D400" s="18">
        <v>0</v>
      </c>
      <c r="E400" s="18">
        <v>0</v>
      </c>
      <c r="F400" s="18">
        <v>1</v>
      </c>
      <c r="G400" s="18">
        <v>0</v>
      </c>
      <c r="H400" s="18">
        <v>0</v>
      </c>
      <c r="I400" s="18">
        <v>0</v>
      </c>
      <c r="J400" s="99">
        <f>SUM(SamplingData[[#This Row],[Losing Candidate]:[Under Votes]])</f>
        <v>4</v>
      </c>
      <c r="K400"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400" s="100">
        <f>IF(AND(SamplingData[[#This Row],[Total]]&lt;&gt; 0, NOT(ISBLANK(SamplingData[[#This Row],[Candidate 3]]))),(SamplingData[[#This Row],[Total]]+SamplingData[[#This Row],[Winning Candidate]]-SamplingData[[#This Row],[Candidate 3]])/(SamplingData[[#Totals],[Winning Candidate]]-SamplingData[[#Totals],[Candidate 3]]), 0)</f>
        <v>1.9356711939865149E-4</v>
      </c>
      <c r="M400" s="100">
        <f>IF(AND(SamplingData[[#This Row],[Total]]&lt;&gt; 0, NOT(ISBLANK(SamplingData[[#This Row],[Candidate 4]]))),(SamplingData[[#This Row],[Total]]+SamplingData[[#This Row],[Winning Candidate]]-SamplingData[[#This Row],[Candidate 4]])/(SamplingData[[#Totals],[Winning Candidate]]-SamplingData[[#Totals],[Candidate 4]]), 0)</f>
        <v>1.7539244058581075E-4</v>
      </c>
      <c r="N400" s="100">
        <f>IF(AND(SamplingData[[#This Row],[Total]]&lt;&gt; 0, NOT(ISBLANK(SamplingData[[#This Row],[Candidate 5]]))),(SamplingData[[#This Row],[Total]]+SamplingData[[#This Row],[Winning Candidate]]-SamplingData[[#This Row],[Candidate 5]])/(SamplingData[[#Totals],[Winning Candidate]]-SamplingData[[#Totals],[Candidate 5]]), 0)</f>
        <v>1.2162490878131841E-4</v>
      </c>
      <c r="O400" s="100">
        <f>IF(AND(SamplingData[[#This Row],[Total]]&lt;&gt; 0, NOT(ISBLANK(SamplingData[[#This Row],[Candidate 6]]))),(SamplingData[[#This Row],[Total]]+SamplingData[[#This Row],[Winning Candidate]]-SamplingData[[#This Row],[Candidate 6]])/(SamplingData[[#Totals],[Winning Candidate]]-SamplingData[[#Totals],[Candidate 6]]), 0)</f>
        <v>1.4590730022858811E-4</v>
      </c>
      <c r="P400" s="100">
        <f>MAX(SamplingData[[#This Row],[Error Bound (up) - Max. possible relative overstatement - Losing Candidate]:[Error Bound (up) - Max. possible relative overstatement - Candidate 6]])</f>
        <v>3.0622243998040176E-4</v>
      </c>
      <c r="Q400" s="100">
        <f>IF(SamplingData[[#This Row],[Max Error Bound (up)]] = 0,0,SamplingData[[#This Row],[Max Error Bound (up)]]/SamplingData[[#Totals],[Max Error Bound (up)]])</f>
        <v>4.8464741392229159E-5</v>
      </c>
      <c r="R400" s="101">
        <f>SUM($Q$5:Q400)</f>
        <v>0.1816887406796637</v>
      </c>
      <c r="S400" s="100" t="str">
        <f t="array" ref="S400">IF(SamplingData[[#This Row],[up/U Selection Probability]] = 0, "Zero", TEXT(SamplingData[[#This Row],[Lower Range]], REPT("0",LEN('General Info'!$B$40))) &amp; " - " &amp; TEXT(SamplingData[[#This Row],[Upper Range]], REPT("0",LEN('General Info'!$B$40))))</f>
        <v>18164 - 18168</v>
      </c>
      <c r="T400" s="100">
        <f>SamplingData[[#This Row],[Upper Range]]-SamplingData[[#This Row],[Span]]</f>
        <v>18164.027642291891</v>
      </c>
      <c r="U400" s="100">
        <f>IF(ISNUMBER('General Info'!$B$40), ((SamplingData[[#This Row],[up/U Selection Probability]]) * 'General Info'!$B$40) - 1, 0)</f>
        <v>3.8464256744815239</v>
      </c>
      <c r="V400" s="100">
        <f>IF(ISNUMBER('General Info'!$B$40), (SamplingData[[#This Row],[Running (cumulative) sum]] * ('General Info'!$B$40 -'General Info'!$B$41 + 1)) + 'General Info'!$B$41 - 1, 0)</f>
        <v>18167.874067966372</v>
      </c>
      <c r="W400" s="100" t="str">
        <f>IF(ISERROR(MATCH(SamplingData[[#This Row],[Batch by Type (p)]],SelectedPrecincts[Batch Name], 0)), "", INDEX(SelectedPrecincts[Draw], MATCH(SamplingData[[#This Row],[Batch by Type (p)]],SelectedPrecincts[Batch Name], 0)))</f>
        <v/>
      </c>
      <c r="X400" s="102">
        <f>IF(COUNTIF(SelectedPrecincts[Batch Name],SamplingData[[#This Row],[Batch by Type (p)]]) &lt;&gt; 0, COUNTIF(SelectedPrecincts[Batch Name],SamplingData[[#This Row],[Batch by Type (p)]]), 0)</f>
        <v>0</v>
      </c>
    </row>
    <row r="401" spans="1:24" ht="15" customHeight="1">
      <c r="A401" s="18" t="s">
        <v>577</v>
      </c>
      <c r="B401" s="18">
        <v>0</v>
      </c>
      <c r="C401" s="18">
        <v>0</v>
      </c>
      <c r="D401" s="16">
        <v>0</v>
      </c>
      <c r="E401" s="16">
        <v>0</v>
      </c>
      <c r="F401" s="37">
        <v>0</v>
      </c>
      <c r="G401" s="37">
        <v>0</v>
      </c>
      <c r="H401" s="17">
        <v>0</v>
      </c>
      <c r="I401" s="17">
        <v>0</v>
      </c>
      <c r="J401" s="99">
        <f>SUM(SamplingData[[#This Row],[Losing Candidate]:[Under Votes]])</f>
        <v>0</v>
      </c>
      <c r="K401" s="100">
        <f>IF(AND(SamplingData[[#This Row],[Total]]&lt;&gt; 0, NOT(ISBLANK(SamplingData[[#This Row],[Losing Candidate]]))),(SamplingData[[#This Row],[Total]]+SamplingData[[#This Row],[Winning Candidate]]-SamplingData[[#This Row],[Losing Candidate]])/(SamplingData[[#Totals],[Winning Candidate]]-SamplingData[[#Totals],[Losing Candidate]]), 0)</f>
        <v>0</v>
      </c>
      <c r="L401" s="100">
        <f>IF(AND(SamplingData[[#This Row],[Total]]&lt;&gt; 0, NOT(ISBLANK(SamplingData[[#This Row],[Candidate 3]]))),(SamplingData[[#This Row],[Total]]+SamplingData[[#This Row],[Winning Candidate]]-SamplingData[[#This Row],[Candidate 3]])/(SamplingData[[#Totals],[Winning Candidate]]-SamplingData[[#Totals],[Candidate 3]]), 0)</f>
        <v>0</v>
      </c>
      <c r="M401" s="100">
        <f>IF(AND(SamplingData[[#This Row],[Total]]&lt;&gt; 0, NOT(ISBLANK(SamplingData[[#This Row],[Candidate 4]]))),(SamplingData[[#This Row],[Total]]+SamplingData[[#This Row],[Winning Candidate]]-SamplingData[[#This Row],[Candidate 4]])/(SamplingData[[#Totals],[Winning Candidate]]-SamplingData[[#Totals],[Candidate 4]]), 0)</f>
        <v>0</v>
      </c>
      <c r="N401" s="100">
        <f>IF(AND(SamplingData[[#This Row],[Total]]&lt;&gt; 0, NOT(ISBLANK(SamplingData[[#This Row],[Candidate 5]]))),(SamplingData[[#This Row],[Total]]+SamplingData[[#This Row],[Winning Candidate]]-SamplingData[[#This Row],[Candidate 5]])/(SamplingData[[#Totals],[Winning Candidate]]-SamplingData[[#Totals],[Candidate 5]]), 0)</f>
        <v>0</v>
      </c>
      <c r="O401" s="100">
        <f>IF(AND(SamplingData[[#This Row],[Total]]&lt;&gt; 0, NOT(ISBLANK(SamplingData[[#This Row],[Candidate 6]]))),(SamplingData[[#This Row],[Total]]+SamplingData[[#This Row],[Winning Candidate]]-SamplingData[[#This Row],[Candidate 6]])/(SamplingData[[#Totals],[Winning Candidate]]-SamplingData[[#Totals],[Candidate 6]]), 0)</f>
        <v>0</v>
      </c>
      <c r="P401" s="100">
        <f>MAX(SamplingData[[#This Row],[Error Bound (up) - Max. possible relative overstatement - Losing Candidate]:[Error Bound (up) - Max. possible relative overstatement - Candidate 6]])</f>
        <v>0</v>
      </c>
      <c r="Q401" s="100">
        <f>IF(SamplingData[[#This Row],[Max Error Bound (up)]] = 0,0,SamplingData[[#This Row],[Max Error Bound (up)]]/SamplingData[[#Totals],[Max Error Bound (up)]])</f>
        <v>0</v>
      </c>
      <c r="R401" s="101">
        <f>SUM($Q$5:Q401)</f>
        <v>0.1816887406796637</v>
      </c>
      <c r="S401" s="100" t="str">
        <f t="array" ref="S401">IF(SamplingData[[#This Row],[up/U Selection Probability]] = 0, "Zero", TEXT(SamplingData[[#This Row],[Lower Range]], REPT("0",LEN('General Info'!$B$40))) &amp; " - " &amp; TEXT(SamplingData[[#This Row],[Upper Range]], REPT("0",LEN('General Info'!$B$40))))</f>
        <v>Zero</v>
      </c>
      <c r="T401" s="100">
        <f>SamplingData[[#This Row],[Upper Range]]-SamplingData[[#This Row],[Span]]</f>
        <v>18168.874067966372</v>
      </c>
      <c r="U401" s="100">
        <f>IF(ISNUMBER('General Info'!$B$40), ((SamplingData[[#This Row],[up/U Selection Probability]]) * 'General Info'!$B$40) - 1, 0)</f>
        <v>-1</v>
      </c>
      <c r="V401" s="100">
        <f>IF(ISNUMBER('General Info'!$B$40), (SamplingData[[#This Row],[Running (cumulative) sum]] * ('General Info'!$B$40 -'General Info'!$B$41 + 1)) + 'General Info'!$B$41 - 1, 0)</f>
        <v>18167.874067966372</v>
      </c>
      <c r="W401" s="100" t="str">
        <f>IF(ISERROR(MATCH(SamplingData[[#This Row],[Batch by Type (p)]],SelectedPrecincts[Batch Name], 0)), "", INDEX(SelectedPrecincts[Draw], MATCH(SamplingData[[#This Row],[Batch by Type (p)]],SelectedPrecincts[Batch Name], 0)))</f>
        <v/>
      </c>
      <c r="X401" s="102">
        <f>IF(COUNTIF(SelectedPrecincts[Batch Name],SamplingData[[#This Row],[Batch by Type (p)]]) &lt;&gt; 0, COUNTIF(SelectedPrecincts[Batch Name],SamplingData[[#This Row],[Batch by Type (p)]]), 0)</f>
        <v>0</v>
      </c>
    </row>
    <row r="402" spans="1:24" ht="15" customHeight="1">
      <c r="A402" s="18" t="s">
        <v>578</v>
      </c>
      <c r="B402" s="18">
        <v>1</v>
      </c>
      <c r="C402" s="18">
        <v>1</v>
      </c>
      <c r="D402" s="18">
        <v>0</v>
      </c>
      <c r="E402" s="18">
        <v>1</v>
      </c>
      <c r="F402" s="18">
        <v>0</v>
      </c>
      <c r="G402" s="18">
        <v>0</v>
      </c>
      <c r="H402" s="18">
        <v>0</v>
      </c>
      <c r="I402" s="18">
        <v>0</v>
      </c>
      <c r="J402" s="99">
        <f>SUM(SamplingData[[#This Row],[Losing Candidate]:[Under Votes]])</f>
        <v>3</v>
      </c>
      <c r="K402"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402" s="100">
        <f>IF(AND(SamplingData[[#This Row],[Total]]&lt;&gt; 0, NOT(ISBLANK(SamplingData[[#This Row],[Candidate 3]]))),(SamplingData[[#This Row],[Total]]+SamplingData[[#This Row],[Winning Candidate]]-SamplingData[[#This Row],[Candidate 3]])/(SamplingData[[#Totals],[Winning Candidate]]-SamplingData[[#Totals],[Candidate 3]]), 0)</f>
        <v>1.2904474626576767E-4</v>
      </c>
      <c r="M402" s="100">
        <f>IF(AND(SamplingData[[#This Row],[Total]]&lt;&gt; 0, NOT(ISBLANK(SamplingData[[#This Row],[Candidate 4]]))),(SamplingData[[#This Row],[Total]]+SamplingData[[#This Row],[Winning Candidate]]-SamplingData[[#This Row],[Candidate 4]])/(SamplingData[[#Totals],[Winning Candidate]]-SamplingData[[#Totals],[Candidate 4]]), 0)</f>
        <v>8.7696220292905373E-5</v>
      </c>
      <c r="N402" s="100">
        <f>IF(AND(SamplingData[[#This Row],[Total]]&lt;&gt; 0, NOT(ISBLANK(SamplingData[[#This Row],[Candidate 5]]))),(SamplingData[[#This Row],[Total]]+SamplingData[[#This Row],[Winning Candidate]]-SamplingData[[#This Row],[Candidate 5]])/(SamplingData[[#Totals],[Winning Candidate]]-SamplingData[[#Totals],[Candidate 5]]), 0)</f>
        <v>9.7299927025054734E-5</v>
      </c>
      <c r="O402" s="100">
        <f>IF(AND(SamplingData[[#This Row],[Total]]&lt;&gt; 0, NOT(ISBLANK(SamplingData[[#This Row],[Candidate 6]]))),(SamplingData[[#This Row],[Total]]+SamplingData[[#This Row],[Winning Candidate]]-SamplingData[[#This Row],[Candidate 6]])/(SamplingData[[#Totals],[Winning Candidate]]-SamplingData[[#Totals],[Candidate 6]]), 0)</f>
        <v>9.7271533485725401E-5</v>
      </c>
      <c r="P402" s="100">
        <f>MAX(SamplingData[[#This Row],[Error Bound (up) - Max. possible relative overstatement - Losing Candidate]:[Error Bound (up) - Max. possible relative overstatement - Candidate 6]])</f>
        <v>1.8373346398824106E-4</v>
      </c>
      <c r="Q402" s="100">
        <f>IF(SamplingData[[#This Row],[Max Error Bound (up)]] = 0,0,SamplingData[[#This Row],[Max Error Bound (up)]]/SamplingData[[#Totals],[Max Error Bound (up)]])</f>
        <v>2.9078844835337493E-5</v>
      </c>
      <c r="R402" s="101">
        <f>SUM($Q$5:Q402)</f>
        <v>0.18171781952449903</v>
      </c>
      <c r="S402" s="100" t="str">
        <f t="array" ref="S402">IF(SamplingData[[#This Row],[up/U Selection Probability]] = 0, "Zero", TEXT(SamplingData[[#This Row],[Lower Range]], REPT("0",LEN('General Info'!$B$40))) &amp; " - " &amp; TEXT(SamplingData[[#This Row],[Upper Range]], REPT("0",LEN('General Info'!$B$40))))</f>
        <v>18169 - 18171</v>
      </c>
      <c r="T402" s="100">
        <f>SamplingData[[#This Row],[Upper Range]]-SamplingData[[#This Row],[Span]]</f>
        <v>18168.874097045213</v>
      </c>
      <c r="U402" s="100">
        <f>IF(ISNUMBER('General Info'!$B$40), ((SamplingData[[#This Row],[up/U Selection Probability]]) * 'General Info'!$B$40) - 1, 0)</f>
        <v>1.907855404688914</v>
      </c>
      <c r="V402" s="100">
        <f>IF(ISNUMBER('General Info'!$B$40), (SamplingData[[#This Row],[Running (cumulative) sum]] * ('General Info'!$B$40 -'General Info'!$B$41 + 1)) + 'General Info'!$B$41 - 1, 0)</f>
        <v>18170.781952449903</v>
      </c>
      <c r="W402" s="100" t="str">
        <f>IF(ISERROR(MATCH(SamplingData[[#This Row],[Batch by Type (p)]],SelectedPrecincts[Batch Name], 0)), "", INDEX(SelectedPrecincts[Draw], MATCH(SamplingData[[#This Row],[Batch by Type (p)]],SelectedPrecincts[Batch Name], 0)))</f>
        <v/>
      </c>
      <c r="X402" s="102">
        <f>IF(COUNTIF(SelectedPrecincts[Batch Name],SamplingData[[#This Row],[Batch by Type (p)]]) &lt;&gt; 0, COUNTIF(SelectedPrecincts[Batch Name],SamplingData[[#This Row],[Batch by Type (p)]]), 0)</f>
        <v>0</v>
      </c>
    </row>
    <row r="403" spans="1:24" ht="15" customHeight="1">
      <c r="A403" s="18" t="s">
        <v>579</v>
      </c>
      <c r="B403" s="18">
        <v>0</v>
      </c>
      <c r="C403" s="18">
        <v>0</v>
      </c>
      <c r="D403" s="16">
        <v>0</v>
      </c>
      <c r="E403" s="16">
        <v>0</v>
      </c>
      <c r="F403" s="37">
        <v>0</v>
      </c>
      <c r="G403" s="37">
        <v>0</v>
      </c>
      <c r="H403" s="17">
        <v>0</v>
      </c>
      <c r="I403" s="17">
        <v>0</v>
      </c>
      <c r="J403" s="99">
        <f>SUM(SamplingData[[#This Row],[Losing Candidate]:[Under Votes]])</f>
        <v>0</v>
      </c>
      <c r="K403" s="100">
        <f>IF(AND(SamplingData[[#This Row],[Total]]&lt;&gt; 0, NOT(ISBLANK(SamplingData[[#This Row],[Losing Candidate]]))),(SamplingData[[#This Row],[Total]]+SamplingData[[#This Row],[Winning Candidate]]-SamplingData[[#This Row],[Losing Candidate]])/(SamplingData[[#Totals],[Winning Candidate]]-SamplingData[[#Totals],[Losing Candidate]]), 0)</f>
        <v>0</v>
      </c>
      <c r="L403" s="100">
        <f>IF(AND(SamplingData[[#This Row],[Total]]&lt;&gt; 0, NOT(ISBLANK(SamplingData[[#This Row],[Candidate 3]]))),(SamplingData[[#This Row],[Total]]+SamplingData[[#This Row],[Winning Candidate]]-SamplingData[[#This Row],[Candidate 3]])/(SamplingData[[#Totals],[Winning Candidate]]-SamplingData[[#Totals],[Candidate 3]]), 0)</f>
        <v>0</v>
      </c>
      <c r="M403" s="100">
        <f>IF(AND(SamplingData[[#This Row],[Total]]&lt;&gt; 0, NOT(ISBLANK(SamplingData[[#This Row],[Candidate 4]]))),(SamplingData[[#This Row],[Total]]+SamplingData[[#This Row],[Winning Candidate]]-SamplingData[[#This Row],[Candidate 4]])/(SamplingData[[#Totals],[Winning Candidate]]-SamplingData[[#Totals],[Candidate 4]]), 0)</f>
        <v>0</v>
      </c>
      <c r="N403" s="100">
        <f>IF(AND(SamplingData[[#This Row],[Total]]&lt;&gt; 0, NOT(ISBLANK(SamplingData[[#This Row],[Candidate 5]]))),(SamplingData[[#This Row],[Total]]+SamplingData[[#This Row],[Winning Candidate]]-SamplingData[[#This Row],[Candidate 5]])/(SamplingData[[#Totals],[Winning Candidate]]-SamplingData[[#Totals],[Candidate 5]]), 0)</f>
        <v>0</v>
      </c>
      <c r="O403" s="100">
        <f>IF(AND(SamplingData[[#This Row],[Total]]&lt;&gt; 0, NOT(ISBLANK(SamplingData[[#This Row],[Candidate 6]]))),(SamplingData[[#This Row],[Total]]+SamplingData[[#This Row],[Winning Candidate]]-SamplingData[[#This Row],[Candidate 6]])/(SamplingData[[#Totals],[Winning Candidate]]-SamplingData[[#Totals],[Candidate 6]]), 0)</f>
        <v>0</v>
      </c>
      <c r="P403" s="100">
        <f>MAX(SamplingData[[#This Row],[Error Bound (up) - Max. possible relative overstatement - Losing Candidate]:[Error Bound (up) - Max. possible relative overstatement - Candidate 6]])</f>
        <v>0</v>
      </c>
      <c r="Q403" s="100">
        <f>IF(SamplingData[[#This Row],[Max Error Bound (up)]] = 0,0,SamplingData[[#This Row],[Max Error Bound (up)]]/SamplingData[[#Totals],[Max Error Bound (up)]])</f>
        <v>0</v>
      </c>
      <c r="R403" s="101">
        <f>SUM($Q$5:Q403)</f>
        <v>0.18171781952449903</v>
      </c>
      <c r="S403" s="100" t="str">
        <f t="array" ref="S403">IF(SamplingData[[#This Row],[up/U Selection Probability]] = 0, "Zero", TEXT(SamplingData[[#This Row],[Lower Range]], REPT("0",LEN('General Info'!$B$40))) &amp; " - " &amp; TEXT(SamplingData[[#This Row],[Upper Range]], REPT("0",LEN('General Info'!$B$40))))</f>
        <v>Zero</v>
      </c>
      <c r="T403" s="100">
        <f>SamplingData[[#This Row],[Upper Range]]-SamplingData[[#This Row],[Span]]</f>
        <v>18171.781952449903</v>
      </c>
      <c r="U403" s="100">
        <f>IF(ISNUMBER('General Info'!$B$40), ((SamplingData[[#This Row],[up/U Selection Probability]]) * 'General Info'!$B$40) - 1, 0)</f>
        <v>-1</v>
      </c>
      <c r="V403" s="100">
        <f>IF(ISNUMBER('General Info'!$B$40), (SamplingData[[#This Row],[Running (cumulative) sum]] * ('General Info'!$B$40 -'General Info'!$B$41 + 1)) + 'General Info'!$B$41 - 1, 0)</f>
        <v>18170.781952449903</v>
      </c>
      <c r="W403" s="100" t="str">
        <f>IF(ISERROR(MATCH(SamplingData[[#This Row],[Batch by Type (p)]],SelectedPrecincts[Batch Name], 0)), "", INDEX(SelectedPrecincts[Draw], MATCH(SamplingData[[#This Row],[Batch by Type (p)]],SelectedPrecincts[Batch Name], 0)))</f>
        <v/>
      </c>
      <c r="X403" s="102">
        <f>IF(COUNTIF(SelectedPrecincts[Batch Name],SamplingData[[#This Row],[Batch by Type (p)]]) &lt;&gt; 0, COUNTIF(SelectedPrecincts[Batch Name],SamplingData[[#This Row],[Batch by Type (p)]]), 0)</f>
        <v>0</v>
      </c>
    </row>
    <row r="404" spans="1:24" ht="15" customHeight="1">
      <c r="A404" s="18" t="s">
        <v>580</v>
      </c>
      <c r="B404" s="18">
        <v>0</v>
      </c>
      <c r="C404" s="18">
        <v>0</v>
      </c>
      <c r="D404" s="18">
        <v>0</v>
      </c>
      <c r="E404" s="18">
        <v>0</v>
      </c>
      <c r="F404" s="18">
        <v>0</v>
      </c>
      <c r="G404" s="18">
        <v>0</v>
      </c>
      <c r="H404" s="18">
        <v>0</v>
      </c>
      <c r="I404" s="18">
        <v>0</v>
      </c>
      <c r="J404" s="99">
        <f>SUM(SamplingData[[#This Row],[Losing Candidate]:[Under Votes]])</f>
        <v>0</v>
      </c>
      <c r="K404" s="100">
        <f>IF(AND(SamplingData[[#This Row],[Total]]&lt;&gt; 0, NOT(ISBLANK(SamplingData[[#This Row],[Losing Candidate]]))),(SamplingData[[#This Row],[Total]]+SamplingData[[#This Row],[Winning Candidate]]-SamplingData[[#This Row],[Losing Candidate]])/(SamplingData[[#Totals],[Winning Candidate]]-SamplingData[[#Totals],[Losing Candidate]]), 0)</f>
        <v>0</v>
      </c>
      <c r="L404" s="100">
        <f>IF(AND(SamplingData[[#This Row],[Total]]&lt;&gt; 0, NOT(ISBLANK(SamplingData[[#This Row],[Candidate 3]]))),(SamplingData[[#This Row],[Total]]+SamplingData[[#This Row],[Winning Candidate]]-SamplingData[[#This Row],[Candidate 3]])/(SamplingData[[#Totals],[Winning Candidate]]-SamplingData[[#Totals],[Candidate 3]]), 0)</f>
        <v>0</v>
      </c>
      <c r="M404" s="100">
        <f>IF(AND(SamplingData[[#This Row],[Total]]&lt;&gt; 0, NOT(ISBLANK(SamplingData[[#This Row],[Candidate 4]]))),(SamplingData[[#This Row],[Total]]+SamplingData[[#This Row],[Winning Candidate]]-SamplingData[[#This Row],[Candidate 4]])/(SamplingData[[#Totals],[Winning Candidate]]-SamplingData[[#Totals],[Candidate 4]]), 0)</f>
        <v>0</v>
      </c>
      <c r="N404" s="100">
        <f>IF(AND(SamplingData[[#This Row],[Total]]&lt;&gt; 0, NOT(ISBLANK(SamplingData[[#This Row],[Candidate 5]]))),(SamplingData[[#This Row],[Total]]+SamplingData[[#This Row],[Winning Candidate]]-SamplingData[[#This Row],[Candidate 5]])/(SamplingData[[#Totals],[Winning Candidate]]-SamplingData[[#Totals],[Candidate 5]]), 0)</f>
        <v>0</v>
      </c>
      <c r="O404" s="100">
        <f>IF(AND(SamplingData[[#This Row],[Total]]&lt;&gt; 0, NOT(ISBLANK(SamplingData[[#This Row],[Candidate 6]]))),(SamplingData[[#This Row],[Total]]+SamplingData[[#This Row],[Winning Candidate]]-SamplingData[[#This Row],[Candidate 6]])/(SamplingData[[#Totals],[Winning Candidate]]-SamplingData[[#Totals],[Candidate 6]]), 0)</f>
        <v>0</v>
      </c>
      <c r="P404" s="100">
        <f>MAX(SamplingData[[#This Row],[Error Bound (up) - Max. possible relative overstatement - Losing Candidate]:[Error Bound (up) - Max. possible relative overstatement - Candidate 6]])</f>
        <v>0</v>
      </c>
      <c r="Q404" s="100">
        <f>IF(SamplingData[[#This Row],[Max Error Bound (up)]] = 0,0,SamplingData[[#This Row],[Max Error Bound (up)]]/SamplingData[[#Totals],[Max Error Bound (up)]])</f>
        <v>0</v>
      </c>
      <c r="R404" s="101">
        <f>SUM($Q$5:Q404)</f>
        <v>0.18171781952449903</v>
      </c>
      <c r="S404" s="100" t="str">
        <f t="array" ref="S404">IF(SamplingData[[#This Row],[up/U Selection Probability]] = 0, "Zero", TEXT(SamplingData[[#This Row],[Lower Range]], REPT("0",LEN('General Info'!$B$40))) &amp; " - " &amp; TEXT(SamplingData[[#This Row],[Upper Range]], REPT("0",LEN('General Info'!$B$40))))</f>
        <v>Zero</v>
      </c>
      <c r="T404" s="100">
        <f>SamplingData[[#This Row],[Upper Range]]-SamplingData[[#This Row],[Span]]</f>
        <v>18171.781952449903</v>
      </c>
      <c r="U404" s="100">
        <f>IF(ISNUMBER('General Info'!$B$40), ((SamplingData[[#This Row],[up/U Selection Probability]]) * 'General Info'!$B$40) - 1, 0)</f>
        <v>-1</v>
      </c>
      <c r="V404" s="100">
        <f>IF(ISNUMBER('General Info'!$B$40), (SamplingData[[#This Row],[Running (cumulative) sum]] * ('General Info'!$B$40 -'General Info'!$B$41 + 1)) + 'General Info'!$B$41 - 1, 0)</f>
        <v>18170.781952449903</v>
      </c>
      <c r="W404" s="100" t="str">
        <f>IF(ISERROR(MATCH(SamplingData[[#This Row],[Batch by Type (p)]],SelectedPrecincts[Batch Name], 0)), "", INDEX(SelectedPrecincts[Draw], MATCH(SamplingData[[#This Row],[Batch by Type (p)]],SelectedPrecincts[Batch Name], 0)))</f>
        <v/>
      </c>
      <c r="X404" s="102">
        <f>IF(COUNTIF(SelectedPrecincts[Batch Name],SamplingData[[#This Row],[Batch by Type (p)]]) &lt;&gt; 0, COUNTIF(SelectedPrecincts[Batch Name],SamplingData[[#This Row],[Batch by Type (p)]]), 0)</f>
        <v>0</v>
      </c>
    </row>
    <row r="405" spans="1:24" ht="15" customHeight="1">
      <c r="A405" s="18" t="s">
        <v>581</v>
      </c>
      <c r="B405" s="18">
        <v>4</v>
      </c>
      <c r="C405" s="18">
        <v>2</v>
      </c>
      <c r="D405" s="16">
        <v>0</v>
      </c>
      <c r="E405" s="16">
        <v>0</v>
      </c>
      <c r="F405" s="37">
        <v>0</v>
      </c>
      <c r="G405" s="37">
        <v>0</v>
      </c>
      <c r="H405" s="17">
        <v>0</v>
      </c>
      <c r="I405" s="17">
        <v>0</v>
      </c>
      <c r="J405" s="99">
        <f>SUM(SamplingData[[#This Row],[Losing Candidate]:[Under Votes]])</f>
        <v>6</v>
      </c>
      <c r="K405"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405" s="100">
        <f>IF(AND(SamplingData[[#This Row],[Total]]&lt;&gt; 0, NOT(ISBLANK(SamplingData[[#This Row],[Candidate 3]]))),(SamplingData[[#This Row],[Total]]+SamplingData[[#This Row],[Winning Candidate]]-SamplingData[[#This Row],[Candidate 3]])/(SamplingData[[#Totals],[Winning Candidate]]-SamplingData[[#Totals],[Candidate 3]]), 0)</f>
        <v>2.5808949253153533E-4</v>
      </c>
      <c r="M405" s="100">
        <f>IF(AND(SamplingData[[#This Row],[Total]]&lt;&gt; 0, NOT(ISBLANK(SamplingData[[#This Row],[Candidate 4]]))),(SamplingData[[#This Row],[Total]]+SamplingData[[#This Row],[Winning Candidate]]-SamplingData[[#This Row],[Candidate 4]])/(SamplingData[[#Totals],[Winning Candidate]]-SamplingData[[#Totals],[Candidate 4]]), 0)</f>
        <v>2.3385658744774768E-4</v>
      </c>
      <c r="N405" s="100">
        <f>IF(AND(SamplingData[[#This Row],[Total]]&lt;&gt; 0, NOT(ISBLANK(SamplingData[[#This Row],[Candidate 5]]))),(SamplingData[[#This Row],[Total]]+SamplingData[[#This Row],[Winning Candidate]]-SamplingData[[#This Row],[Candidate 5]])/(SamplingData[[#Totals],[Winning Candidate]]-SamplingData[[#Totals],[Candidate 5]]), 0)</f>
        <v>1.9459985405010947E-4</v>
      </c>
      <c r="O405" s="100">
        <f>IF(AND(SamplingData[[#This Row],[Total]]&lt;&gt; 0, NOT(ISBLANK(SamplingData[[#This Row],[Candidate 6]]))),(SamplingData[[#This Row],[Total]]+SamplingData[[#This Row],[Winning Candidate]]-SamplingData[[#This Row],[Candidate 6]])/(SamplingData[[#Totals],[Winning Candidate]]-SamplingData[[#Totals],[Candidate 6]]), 0)</f>
        <v>1.945430669714508E-4</v>
      </c>
      <c r="P405" s="100">
        <f>MAX(SamplingData[[#This Row],[Error Bound (up) - Max. possible relative overstatement - Losing Candidate]:[Error Bound (up) - Max. possible relative overstatement - Candidate 6]])</f>
        <v>2.5808949253153533E-4</v>
      </c>
      <c r="Q405" s="100">
        <f>IF(SamplingData[[#This Row],[Max Error Bound (up)]] = 0,0,SamplingData[[#This Row],[Max Error Bound (up)]]/SamplingData[[#Totals],[Max Error Bound (up)]])</f>
        <v>4.084691021465653E-5</v>
      </c>
      <c r="R405" s="101">
        <f>SUM($Q$5:Q405)</f>
        <v>0.18175866643471369</v>
      </c>
      <c r="S405" s="100" t="str">
        <f t="array" ref="S405">IF(SamplingData[[#This Row],[up/U Selection Probability]] = 0, "Zero", TEXT(SamplingData[[#This Row],[Lower Range]], REPT("0",LEN('General Info'!$B$40))) &amp; " - " &amp; TEXT(SamplingData[[#This Row],[Upper Range]], REPT("0",LEN('General Info'!$B$40))))</f>
        <v>18172 - 18175</v>
      </c>
      <c r="T405" s="100">
        <f>SamplingData[[#This Row],[Upper Range]]-SamplingData[[#This Row],[Span]]</f>
        <v>18171.781993296816</v>
      </c>
      <c r="U405" s="100">
        <f>IF(ISNUMBER('General Info'!$B$40), ((SamplingData[[#This Row],[up/U Selection Probability]]) * 'General Info'!$B$40) - 1, 0)</f>
        <v>3.0846501745554384</v>
      </c>
      <c r="V405" s="100">
        <f>IF(ISNUMBER('General Info'!$B$40), (SamplingData[[#This Row],[Running (cumulative) sum]] * ('General Info'!$B$40 -'General Info'!$B$41 + 1)) + 'General Info'!$B$41 - 1, 0)</f>
        <v>18174.86664347137</v>
      </c>
      <c r="W405" s="100" t="str">
        <f>IF(ISERROR(MATCH(SamplingData[[#This Row],[Batch by Type (p)]],SelectedPrecincts[Batch Name], 0)), "", INDEX(SelectedPrecincts[Draw], MATCH(SamplingData[[#This Row],[Batch by Type (p)]],SelectedPrecincts[Batch Name], 0)))</f>
        <v/>
      </c>
      <c r="X405" s="102">
        <f>IF(COUNTIF(SelectedPrecincts[Batch Name],SamplingData[[#This Row],[Batch by Type (p)]]) &lt;&gt; 0, COUNTIF(SelectedPrecincts[Batch Name],SamplingData[[#This Row],[Batch by Type (p)]]), 0)</f>
        <v>0</v>
      </c>
    </row>
    <row r="406" spans="1:24" ht="15" customHeight="1">
      <c r="A406" s="18" t="s">
        <v>582</v>
      </c>
      <c r="B406" s="18">
        <v>1</v>
      </c>
      <c r="C406" s="18">
        <v>0</v>
      </c>
      <c r="D406" s="18">
        <v>0</v>
      </c>
      <c r="E406" s="18">
        <v>0</v>
      </c>
      <c r="F406" s="18">
        <v>0</v>
      </c>
      <c r="G406" s="18">
        <v>0</v>
      </c>
      <c r="H406" s="18">
        <v>0</v>
      </c>
      <c r="I406" s="18">
        <v>0</v>
      </c>
      <c r="J406" s="99">
        <f>SUM(SamplingData[[#This Row],[Losing Candidate]:[Under Votes]])</f>
        <v>1</v>
      </c>
      <c r="K406" s="100">
        <f>IF(AND(SamplingData[[#This Row],[Total]]&lt;&gt; 0, NOT(ISBLANK(SamplingData[[#This Row],[Losing Candidate]]))),(SamplingData[[#This Row],[Total]]+SamplingData[[#This Row],[Winning Candidate]]-SamplingData[[#This Row],[Losing Candidate]])/(SamplingData[[#Totals],[Winning Candidate]]-SamplingData[[#Totals],[Losing Candidate]]), 0)</f>
        <v>0</v>
      </c>
      <c r="L406" s="100">
        <f>IF(AND(SamplingData[[#This Row],[Total]]&lt;&gt; 0, NOT(ISBLANK(SamplingData[[#This Row],[Candidate 3]]))),(SamplingData[[#This Row],[Total]]+SamplingData[[#This Row],[Winning Candidate]]-SamplingData[[#This Row],[Candidate 3]])/(SamplingData[[#Totals],[Winning Candidate]]-SamplingData[[#Totals],[Candidate 3]]), 0)</f>
        <v>3.2261186566441917E-5</v>
      </c>
      <c r="M406" s="100">
        <f>IF(AND(SamplingData[[#This Row],[Total]]&lt;&gt; 0, NOT(ISBLANK(SamplingData[[#This Row],[Candidate 4]]))),(SamplingData[[#This Row],[Total]]+SamplingData[[#This Row],[Winning Candidate]]-SamplingData[[#This Row],[Candidate 4]])/(SamplingData[[#Totals],[Winning Candidate]]-SamplingData[[#Totals],[Candidate 4]]), 0)</f>
        <v>2.923207343096846E-5</v>
      </c>
      <c r="N406" s="100">
        <f>IF(AND(SamplingData[[#This Row],[Total]]&lt;&gt; 0, NOT(ISBLANK(SamplingData[[#This Row],[Candidate 5]]))),(SamplingData[[#This Row],[Total]]+SamplingData[[#This Row],[Winning Candidate]]-SamplingData[[#This Row],[Candidate 5]])/(SamplingData[[#Totals],[Winning Candidate]]-SamplingData[[#Totals],[Candidate 5]]), 0)</f>
        <v>2.4324981756263683E-5</v>
      </c>
      <c r="O406" s="100">
        <f>IF(AND(SamplingData[[#This Row],[Total]]&lt;&gt; 0, NOT(ISBLANK(SamplingData[[#This Row],[Candidate 6]]))),(SamplingData[[#This Row],[Total]]+SamplingData[[#This Row],[Winning Candidate]]-SamplingData[[#This Row],[Candidate 6]])/(SamplingData[[#Totals],[Winning Candidate]]-SamplingData[[#Totals],[Candidate 6]]), 0)</f>
        <v>2.431788337143135E-5</v>
      </c>
      <c r="P406" s="100">
        <f>MAX(SamplingData[[#This Row],[Error Bound (up) - Max. possible relative overstatement - Losing Candidate]:[Error Bound (up) - Max. possible relative overstatement - Candidate 6]])</f>
        <v>3.2261186566441917E-5</v>
      </c>
      <c r="Q406" s="100">
        <f>IF(SamplingData[[#This Row],[Max Error Bound (up)]] = 0,0,SamplingData[[#This Row],[Max Error Bound (up)]]/SamplingData[[#Totals],[Max Error Bound (up)]])</f>
        <v>5.1058637768320663E-6</v>
      </c>
      <c r="R406" s="101">
        <f>SUM($Q$5:Q406)</f>
        <v>0.18176377229849053</v>
      </c>
      <c r="S406" s="100" t="str">
        <f t="array" ref="S406">IF(SamplingData[[#This Row],[up/U Selection Probability]] = 0, "Zero", TEXT(SamplingData[[#This Row],[Lower Range]], REPT("0",LEN('General Info'!$B$40))) &amp; " - " &amp; TEXT(SamplingData[[#This Row],[Upper Range]], REPT("0",LEN('General Info'!$B$40))))</f>
        <v>18176 - 18175</v>
      </c>
      <c r="T406" s="100">
        <f>SamplingData[[#This Row],[Upper Range]]-SamplingData[[#This Row],[Span]]</f>
        <v>18175.86664857723</v>
      </c>
      <c r="U406" s="100">
        <f>IF(ISNUMBER('General Info'!$B$40), ((SamplingData[[#This Row],[up/U Selection Probability]]) * 'General Info'!$B$40) - 1, 0)</f>
        <v>-0.4894187281805702</v>
      </c>
      <c r="V406" s="100">
        <f>IF(ISNUMBER('General Info'!$B$40), (SamplingData[[#This Row],[Running (cumulative) sum]] * ('General Info'!$B$40 -'General Info'!$B$41 + 1)) + 'General Info'!$B$41 - 1, 0)</f>
        <v>18175.377229849051</v>
      </c>
      <c r="W406" s="100" t="str">
        <f>IF(ISERROR(MATCH(SamplingData[[#This Row],[Batch by Type (p)]],SelectedPrecincts[Batch Name], 0)), "", INDEX(SelectedPrecincts[Draw], MATCH(SamplingData[[#This Row],[Batch by Type (p)]],SelectedPrecincts[Batch Name], 0)))</f>
        <v/>
      </c>
      <c r="X406" s="102">
        <f>IF(COUNTIF(SelectedPrecincts[Batch Name],SamplingData[[#This Row],[Batch by Type (p)]]) &lt;&gt; 0, COUNTIF(SelectedPrecincts[Batch Name],SamplingData[[#This Row],[Batch by Type (p)]]), 0)</f>
        <v>0</v>
      </c>
    </row>
    <row r="407" spans="1:24" ht="15" customHeight="1">
      <c r="A407" s="18" t="s">
        <v>583</v>
      </c>
      <c r="B407" s="18">
        <v>1</v>
      </c>
      <c r="C407" s="18">
        <v>1</v>
      </c>
      <c r="D407" s="16">
        <v>0</v>
      </c>
      <c r="E407" s="16">
        <v>0</v>
      </c>
      <c r="F407" s="37">
        <v>0</v>
      </c>
      <c r="G407" s="37">
        <v>0</v>
      </c>
      <c r="H407" s="17">
        <v>0</v>
      </c>
      <c r="I407" s="17">
        <v>0</v>
      </c>
      <c r="J407" s="99">
        <f>SUM(SamplingData[[#This Row],[Losing Candidate]:[Under Votes]])</f>
        <v>2</v>
      </c>
      <c r="K407"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07" s="100">
        <f>IF(AND(SamplingData[[#This Row],[Total]]&lt;&gt; 0, NOT(ISBLANK(SamplingData[[#This Row],[Candidate 3]]))),(SamplingData[[#This Row],[Total]]+SamplingData[[#This Row],[Winning Candidate]]-SamplingData[[#This Row],[Candidate 3]])/(SamplingData[[#Totals],[Winning Candidate]]-SamplingData[[#Totals],[Candidate 3]]), 0)</f>
        <v>9.6783559699325743E-5</v>
      </c>
      <c r="M407" s="100">
        <f>IF(AND(SamplingData[[#This Row],[Total]]&lt;&gt; 0, NOT(ISBLANK(SamplingData[[#This Row],[Candidate 4]]))),(SamplingData[[#This Row],[Total]]+SamplingData[[#This Row],[Winning Candidate]]-SamplingData[[#This Row],[Candidate 4]])/(SamplingData[[#Totals],[Winning Candidate]]-SamplingData[[#Totals],[Candidate 4]]), 0)</f>
        <v>8.7696220292905373E-5</v>
      </c>
      <c r="N407" s="100">
        <f>IF(AND(SamplingData[[#This Row],[Total]]&lt;&gt; 0, NOT(ISBLANK(SamplingData[[#This Row],[Candidate 5]]))),(SamplingData[[#This Row],[Total]]+SamplingData[[#This Row],[Winning Candidate]]-SamplingData[[#This Row],[Candidate 5]])/(SamplingData[[#Totals],[Winning Candidate]]-SamplingData[[#Totals],[Candidate 5]]), 0)</f>
        <v>7.2974945268791054E-5</v>
      </c>
      <c r="O407" s="100">
        <f>IF(AND(SamplingData[[#This Row],[Total]]&lt;&gt; 0, NOT(ISBLANK(SamplingData[[#This Row],[Candidate 6]]))),(SamplingData[[#This Row],[Total]]+SamplingData[[#This Row],[Winning Candidate]]-SamplingData[[#This Row],[Candidate 6]])/(SamplingData[[#Totals],[Winning Candidate]]-SamplingData[[#Totals],[Candidate 6]]), 0)</f>
        <v>7.2953650114294054E-5</v>
      </c>
      <c r="P407" s="100">
        <f>MAX(SamplingData[[#This Row],[Error Bound (up) - Max. possible relative overstatement - Losing Candidate]:[Error Bound (up) - Max. possible relative overstatement - Candidate 6]])</f>
        <v>1.224889759921607E-4</v>
      </c>
      <c r="Q407" s="100">
        <f>IF(SamplingData[[#This Row],[Max Error Bound (up)]] = 0,0,SamplingData[[#This Row],[Max Error Bound (up)]]/SamplingData[[#Totals],[Max Error Bound (up)]])</f>
        <v>1.9385896556891663E-5</v>
      </c>
      <c r="R407" s="101">
        <f>SUM($Q$5:Q407)</f>
        <v>0.18178315819504742</v>
      </c>
      <c r="S407" s="100" t="str">
        <f t="array" ref="S407">IF(SamplingData[[#This Row],[up/U Selection Probability]] = 0, "Zero", TEXT(SamplingData[[#This Row],[Lower Range]], REPT("0",LEN('General Info'!$B$40))) &amp; " - " &amp; TEXT(SamplingData[[#This Row],[Upper Range]], REPT("0",LEN('General Info'!$B$40))))</f>
        <v>18176 - 18177</v>
      </c>
      <c r="T407" s="100">
        <f>SamplingData[[#This Row],[Upper Range]]-SamplingData[[#This Row],[Span]]</f>
        <v>18176.377249234953</v>
      </c>
      <c r="U407" s="100">
        <f>IF(ISNUMBER('General Info'!$B$40), ((SamplingData[[#This Row],[up/U Selection Probability]]) * 'General Info'!$B$40) - 1, 0)</f>
        <v>0.93857026979260949</v>
      </c>
      <c r="V407" s="100">
        <f>IF(ISNUMBER('General Info'!$B$40), (SamplingData[[#This Row],[Running (cumulative) sum]] * ('General Info'!$B$40 -'General Info'!$B$41 + 1)) + 'General Info'!$B$41 - 1, 0)</f>
        <v>18177.315819504744</v>
      </c>
      <c r="W407" s="100" t="str">
        <f>IF(ISERROR(MATCH(SamplingData[[#This Row],[Batch by Type (p)]],SelectedPrecincts[Batch Name], 0)), "", INDEX(SelectedPrecincts[Draw], MATCH(SamplingData[[#This Row],[Batch by Type (p)]],SelectedPrecincts[Batch Name], 0)))</f>
        <v/>
      </c>
      <c r="X407" s="102">
        <f>IF(COUNTIF(SelectedPrecincts[Batch Name],SamplingData[[#This Row],[Batch by Type (p)]]) &lt;&gt; 0, COUNTIF(SelectedPrecincts[Batch Name],SamplingData[[#This Row],[Batch by Type (p)]]), 0)</f>
        <v>0</v>
      </c>
    </row>
    <row r="408" spans="1:24" ht="15" customHeight="1">
      <c r="A408" s="18" t="s">
        <v>584</v>
      </c>
      <c r="B408" s="18">
        <v>2</v>
      </c>
      <c r="C408" s="18">
        <v>0</v>
      </c>
      <c r="D408" s="18">
        <v>0</v>
      </c>
      <c r="E408" s="18">
        <v>0</v>
      </c>
      <c r="F408" s="18">
        <v>0</v>
      </c>
      <c r="G408" s="18">
        <v>0</v>
      </c>
      <c r="H408" s="18">
        <v>0</v>
      </c>
      <c r="I408" s="18">
        <v>0</v>
      </c>
      <c r="J408" s="99">
        <f>SUM(SamplingData[[#This Row],[Losing Candidate]:[Under Votes]])</f>
        <v>2</v>
      </c>
      <c r="K408" s="100">
        <f>IF(AND(SamplingData[[#This Row],[Total]]&lt;&gt; 0, NOT(ISBLANK(SamplingData[[#This Row],[Losing Candidate]]))),(SamplingData[[#This Row],[Total]]+SamplingData[[#This Row],[Winning Candidate]]-SamplingData[[#This Row],[Losing Candidate]])/(SamplingData[[#Totals],[Winning Candidate]]-SamplingData[[#Totals],[Losing Candidate]]), 0)</f>
        <v>0</v>
      </c>
      <c r="L408" s="100">
        <f>IF(AND(SamplingData[[#This Row],[Total]]&lt;&gt; 0, NOT(ISBLANK(SamplingData[[#This Row],[Candidate 3]]))),(SamplingData[[#This Row],[Total]]+SamplingData[[#This Row],[Winning Candidate]]-SamplingData[[#This Row],[Candidate 3]])/(SamplingData[[#Totals],[Winning Candidate]]-SamplingData[[#Totals],[Candidate 3]]), 0)</f>
        <v>6.4522373132883833E-5</v>
      </c>
      <c r="M408" s="100">
        <f>IF(AND(SamplingData[[#This Row],[Total]]&lt;&gt; 0, NOT(ISBLANK(SamplingData[[#This Row],[Candidate 4]]))),(SamplingData[[#This Row],[Total]]+SamplingData[[#This Row],[Winning Candidate]]-SamplingData[[#This Row],[Candidate 4]])/(SamplingData[[#Totals],[Winning Candidate]]-SamplingData[[#Totals],[Candidate 4]]), 0)</f>
        <v>5.846414686193692E-5</v>
      </c>
      <c r="N408" s="100">
        <f>IF(AND(SamplingData[[#This Row],[Total]]&lt;&gt; 0, NOT(ISBLANK(SamplingData[[#This Row],[Candidate 5]]))),(SamplingData[[#This Row],[Total]]+SamplingData[[#This Row],[Winning Candidate]]-SamplingData[[#This Row],[Candidate 5]])/(SamplingData[[#Totals],[Winning Candidate]]-SamplingData[[#Totals],[Candidate 5]]), 0)</f>
        <v>4.8649963512527367E-5</v>
      </c>
      <c r="O408" s="100">
        <f>IF(AND(SamplingData[[#This Row],[Total]]&lt;&gt; 0, NOT(ISBLANK(SamplingData[[#This Row],[Candidate 6]]))),(SamplingData[[#This Row],[Total]]+SamplingData[[#This Row],[Winning Candidate]]-SamplingData[[#This Row],[Candidate 6]])/(SamplingData[[#Totals],[Winning Candidate]]-SamplingData[[#Totals],[Candidate 6]]), 0)</f>
        <v>4.8635766742862701E-5</v>
      </c>
      <c r="P408" s="100">
        <f>MAX(SamplingData[[#This Row],[Error Bound (up) - Max. possible relative overstatement - Losing Candidate]:[Error Bound (up) - Max. possible relative overstatement - Candidate 6]])</f>
        <v>6.4522373132883833E-5</v>
      </c>
      <c r="Q408" s="100">
        <f>IF(SamplingData[[#This Row],[Max Error Bound (up)]] = 0,0,SamplingData[[#This Row],[Max Error Bound (up)]]/SamplingData[[#Totals],[Max Error Bound (up)]])</f>
        <v>1.0211727553664133E-5</v>
      </c>
      <c r="R408" s="101">
        <f>SUM($Q$5:Q408)</f>
        <v>0.18179336992260109</v>
      </c>
      <c r="S408" s="100" t="str">
        <f t="array" ref="S408">IF(SamplingData[[#This Row],[up/U Selection Probability]] = 0, "Zero", TEXT(SamplingData[[#This Row],[Lower Range]], REPT("0",LEN('General Info'!$B$40))) &amp; " - " &amp; TEXT(SamplingData[[#This Row],[Upper Range]], REPT("0",LEN('General Info'!$B$40))))</f>
        <v>18178 - 18178</v>
      </c>
      <c r="T408" s="100">
        <f>SamplingData[[#This Row],[Upper Range]]-SamplingData[[#This Row],[Span]]</f>
        <v>18178.31582971647</v>
      </c>
      <c r="U408" s="100">
        <f>IF(ISNUMBER('General Info'!$B$40), ((SamplingData[[#This Row],[up/U Selection Probability]]) * 'General Info'!$B$40) - 1, 0)</f>
        <v>2.116254363885961E-2</v>
      </c>
      <c r="V408" s="100">
        <f>IF(ISNUMBER('General Info'!$B$40), (SamplingData[[#This Row],[Running (cumulative) sum]] * ('General Info'!$B$40 -'General Info'!$B$41 + 1)) + 'General Info'!$B$41 - 1, 0)</f>
        <v>18178.336992260109</v>
      </c>
      <c r="W408" s="100" t="str">
        <f>IF(ISERROR(MATCH(SamplingData[[#This Row],[Batch by Type (p)]],SelectedPrecincts[Batch Name], 0)), "", INDEX(SelectedPrecincts[Draw], MATCH(SamplingData[[#This Row],[Batch by Type (p)]],SelectedPrecincts[Batch Name], 0)))</f>
        <v/>
      </c>
      <c r="X408" s="102">
        <f>IF(COUNTIF(SelectedPrecincts[Batch Name],SamplingData[[#This Row],[Batch by Type (p)]]) &lt;&gt; 0, COUNTIF(SelectedPrecincts[Batch Name],SamplingData[[#This Row],[Batch by Type (p)]]), 0)</f>
        <v>0</v>
      </c>
    </row>
    <row r="409" spans="1:24" ht="15" customHeight="1">
      <c r="A409" s="18" t="s">
        <v>585</v>
      </c>
      <c r="B409" s="18">
        <v>0</v>
      </c>
      <c r="C409" s="18">
        <v>0</v>
      </c>
      <c r="D409" s="16">
        <v>0</v>
      </c>
      <c r="E409" s="16">
        <v>0</v>
      </c>
      <c r="F409" s="37">
        <v>0</v>
      </c>
      <c r="G409" s="37">
        <v>0</v>
      </c>
      <c r="H409" s="17">
        <v>0</v>
      </c>
      <c r="I409" s="17">
        <v>0</v>
      </c>
      <c r="J409" s="99">
        <f>SUM(SamplingData[[#This Row],[Losing Candidate]:[Under Votes]])</f>
        <v>0</v>
      </c>
      <c r="K409" s="100">
        <f>IF(AND(SamplingData[[#This Row],[Total]]&lt;&gt; 0, NOT(ISBLANK(SamplingData[[#This Row],[Losing Candidate]]))),(SamplingData[[#This Row],[Total]]+SamplingData[[#This Row],[Winning Candidate]]-SamplingData[[#This Row],[Losing Candidate]])/(SamplingData[[#Totals],[Winning Candidate]]-SamplingData[[#Totals],[Losing Candidate]]), 0)</f>
        <v>0</v>
      </c>
      <c r="L409" s="100">
        <f>IF(AND(SamplingData[[#This Row],[Total]]&lt;&gt; 0, NOT(ISBLANK(SamplingData[[#This Row],[Candidate 3]]))),(SamplingData[[#This Row],[Total]]+SamplingData[[#This Row],[Winning Candidate]]-SamplingData[[#This Row],[Candidate 3]])/(SamplingData[[#Totals],[Winning Candidate]]-SamplingData[[#Totals],[Candidate 3]]), 0)</f>
        <v>0</v>
      </c>
      <c r="M409" s="100">
        <f>IF(AND(SamplingData[[#This Row],[Total]]&lt;&gt; 0, NOT(ISBLANK(SamplingData[[#This Row],[Candidate 4]]))),(SamplingData[[#This Row],[Total]]+SamplingData[[#This Row],[Winning Candidate]]-SamplingData[[#This Row],[Candidate 4]])/(SamplingData[[#Totals],[Winning Candidate]]-SamplingData[[#Totals],[Candidate 4]]), 0)</f>
        <v>0</v>
      </c>
      <c r="N409" s="100">
        <f>IF(AND(SamplingData[[#This Row],[Total]]&lt;&gt; 0, NOT(ISBLANK(SamplingData[[#This Row],[Candidate 5]]))),(SamplingData[[#This Row],[Total]]+SamplingData[[#This Row],[Winning Candidate]]-SamplingData[[#This Row],[Candidate 5]])/(SamplingData[[#Totals],[Winning Candidate]]-SamplingData[[#Totals],[Candidate 5]]), 0)</f>
        <v>0</v>
      </c>
      <c r="O409" s="100">
        <f>IF(AND(SamplingData[[#This Row],[Total]]&lt;&gt; 0, NOT(ISBLANK(SamplingData[[#This Row],[Candidate 6]]))),(SamplingData[[#This Row],[Total]]+SamplingData[[#This Row],[Winning Candidate]]-SamplingData[[#This Row],[Candidate 6]])/(SamplingData[[#Totals],[Winning Candidate]]-SamplingData[[#Totals],[Candidate 6]]), 0)</f>
        <v>0</v>
      </c>
      <c r="P409" s="100">
        <f>MAX(SamplingData[[#This Row],[Error Bound (up) - Max. possible relative overstatement - Losing Candidate]:[Error Bound (up) - Max. possible relative overstatement - Candidate 6]])</f>
        <v>0</v>
      </c>
      <c r="Q409" s="100">
        <f>IF(SamplingData[[#This Row],[Max Error Bound (up)]] = 0,0,SamplingData[[#This Row],[Max Error Bound (up)]]/SamplingData[[#Totals],[Max Error Bound (up)]])</f>
        <v>0</v>
      </c>
      <c r="R409" s="101">
        <f>SUM($Q$5:Q409)</f>
        <v>0.18179336992260109</v>
      </c>
      <c r="S409" s="100" t="str">
        <f t="array" ref="S409">IF(SamplingData[[#This Row],[up/U Selection Probability]] = 0, "Zero", TEXT(SamplingData[[#This Row],[Lower Range]], REPT("0",LEN('General Info'!$B$40))) &amp; " - " &amp; TEXT(SamplingData[[#This Row],[Upper Range]], REPT("0",LEN('General Info'!$B$40))))</f>
        <v>Zero</v>
      </c>
      <c r="T409" s="100">
        <f>SamplingData[[#This Row],[Upper Range]]-SamplingData[[#This Row],[Span]]</f>
        <v>18179.336992260109</v>
      </c>
      <c r="U409" s="100">
        <f>IF(ISNUMBER('General Info'!$B$40), ((SamplingData[[#This Row],[up/U Selection Probability]]) * 'General Info'!$B$40) - 1, 0)</f>
        <v>-1</v>
      </c>
      <c r="V409" s="100">
        <f>IF(ISNUMBER('General Info'!$B$40), (SamplingData[[#This Row],[Running (cumulative) sum]] * ('General Info'!$B$40 -'General Info'!$B$41 + 1)) + 'General Info'!$B$41 - 1, 0)</f>
        <v>18178.336992260109</v>
      </c>
      <c r="W409" s="100" t="str">
        <f>IF(ISERROR(MATCH(SamplingData[[#This Row],[Batch by Type (p)]],SelectedPrecincts[Batch Name], 0)), "", INDEX(SelectedPrecincts[Draw], MATCH(SamplingData[[#This Row],[Batch by Type (p)]],SelectedPrecincts[Batch Name], 0)))</f>
        <v/>
      </c>
      <c r="X409" s="102">
        <f>IF(COUNTIF(SelectedPrecincts[Batch Name],SamplingData[[#This Row],[Batch by Type (p)]]) &lt;&gt; 0, COUNTIF(SelectedPrecincts[Batch Name],SamplingData[[#This Row],[Batch by Type (p)]]), 0)</f>
        <v>0</v>
      </c>
    </row>
    <row r="410" spans="1:24" ht="15" customHeight="1">
      <c r="A410" s="18" t="s">
        <v>586</v>
      </c>
      <c r="B410" s="18">
        <v>0</v>
      </c>
      <c r="C410" s="18">
        <v>0</v>
      </c>
      <c r="D410" s="18">
        <v>0</v>
      </c>
      <c r="E410" s="18">
        <v>0</v>
      </c>
      <c r="F410" s="18">
        <v>0</v>
      </c>
      <c r="G410" s="18">
        <v>0</v>
      </c>
      <c r="H410" s="18">
        <v>0</v>
      </c>
      <c r="I410" s="18">
        <v>0</v>
      </c>
      <c r="J410" s="99">
        <f>SUM(SamplingData[[#This Row],[Losing Candidate]:[Under Votes]])</f>
        <v>0</v>
      </c>
      <c r="K410" s="100">
        <f>IF(AND(SamplingData[[#This Row],[Total]]&lt;&gt; 0, NOT(ISBLANK(SamplingData[[#This Row],[Losing Candidate]]))),(SamplingData[[#This Row],[Total]]+SamplingData[[#This Row],[Winning Candidate]]-SamplingData[[#This Row],[Losing Candidate]])/(SamplingData[[#Totals],[Winning Candidate]]-SamplingData[[#Totals],[Losing Candidate]]), 0)</f>
        <v>0</v>
      </c>
      <c r="L410" s="100">
        <f>IF(AND(SamplingData[[#This Row],[Total]]&lt;&gt; 0, NOT(ISBLANK(SamplingData[[#This Row],[Candidate 3]]))),(SamplingData[[#This Row],[Total]]+SamplingData[[#This Row],[Winning Candidate]]-SamplingData[[#This Row],[Candidate 3]])/(SamplingData[[#Totals],[Winning Candidate]]-SamplingData[[#Totals],[Candidate 3]]), 0)</f>
        <v>0</v>
      </c>
      <c r="M410" s="100">
        <f>IF(AND(SamplingData[[#This Row],[Total]]&lt;&gt; 0, NOT(ISBLANK(SamplingData[[#This Row],[Candidate 4]]))),(SamplingData[[#This Row],[Total]]+SamplingData[[#This Row],[Winning Candidate]]-SamplingData[[#This Row],[Candidate 4]])/(SamplingData[[#Totals],[Winning Candidate]]-SamplingData[[#Totals],[Candidate 4]]), 0)</f>
        <v>0</v>
      </c>
      <c r="N410" s="100">
        <f>IF(AND(SamplingData[[#This Row],[Total]]&lt;&gt; 0, NOT(ISBLANK(SamplingData[[#This Row],[Candidate 5]]))),(SamplingData[[#This Row],[Total]]+SamplingData[[#This Row],[Winning Candidate]]-SamplingData[[#This Row],[Candidate 5]])/(SamplingData[[#Totals],[Winning Candidate]]-SamplingData[[#Totals],[Candidate 5]]), 0)</f>
        <v>0</v>
      </c>
      <c r="O410" s="100">
        <f>IF(AND(SamplingData[[#This Row],[Total]]&lt;&gt; 0, NOT(ISBLANK(SamplingData[[#This Row],[Candidate 6]]))),(SamplingData[[#This Row],[Total]]+SamplingData[[#This Row],[Winning Candidate]]-SamplingData[[#This Row],[Candidate 6]])/(SamplingData[[#Totals],[Winning Candidate]]-SamplingData[[#Totals],[Candidate 6]]), 0)</f>
        <v>0</v>
      </c>
      <c r="P410" s="100">
        <f>MAX(SamplingData[[#This Row],[Error Bound (up) - Max. possible relative overstatement - Losing Candidate]:[Error Bound (up) - Max. possible relative overstatement - Candidate 6]])</f>
        <v>0</v>
      </c>
      <c r="Q410" s="100">
        <f>IF(SamplingData[[#This Row],[Max Error Bound (up)]] = 0,0,SamplingData[[#This Row],[Max Error Bound (up)]]/SamplingData[[#Totals],[Max Error Bound (up)]])</f>
        <v>0</v>
      </c>
      <c r="R410" s="101">
        <f>SUM($Q$5:Q410)</f>
        <v>0.18179336992260109</v>
      </c>
      <c r="S410" s="100" t="str">
        <f t="array" ref="S410">IF(SamplingData[[#This Row],[up/U Selection Probability]] = 0, "Zero", TEXT(SamplingData[[#This Row],[Lower Range]], REPT("0",LEN('General Info'!$B$40))) &amp; " - " &amp; TEXT(SamplingData[[#This Row],[Upper Range]], REPT("0",LEN('General Info'!$B$40))))</f>
        <v>Zero</v>
      </c>
      <c r="T410" s="100">
        <f>SamplingData[[#This Row],[Upper Range]]-SamplingData[[#This Row],[Span]]</f>
        <v>18179.336992260109</v>
      </c>
      <c r="U410" s="100">
        <f>IF(ISNUMBER('General Info'!$B$40), ((SamplingData[[#This Row],[up/U Selection Probability]]) * 'General Info'!$B$40) - 1, 0)</f>
        <v>-1</v>
      </c>
      <c r="V410" s="100">
        <f>IF(ISNUMBER('General Info'!$B$40), (SamplingData[[#This Row],[Running (cumulative) sum]] * ('General Info'!$B$40 -'General Info'!$B$41 + 1)) + 'General Info'!$B$41 - 1, 0)</f>
        <v>18178.336992260109</v>
      </c>
      <c r="W410" s="100" t="str">
        <f>IF(ISERROR(MATCH(SamplingData[[#This Row],[Batch by Type (p)]],SelectedPrecincts[Batch Name], 0)), "", INDEX(SelectedPrecincts[Draw], MATCH(SamplingData[[#This Row],[Batch by Type (p)]],SelectedPrecincts[Batch Name], 0)))</f>
        <v/>
      </c>
      <c r="X410" s="102">
        <f>IF(COUNTIF(SelectedPrecincts[Batch Name],SamplingData[[#This Row],[Batch by Type (p)]]) &lt;&gt; 0, COUNTIF(SelectedPrecincts[Batch Name],SamplingData[[#This Row],[Batch by Type (p)]]), 0)</f>
        <v>0</v>
      </c>
    </row>
    <row r="411" spans="1:24" ht="15" customHeight="1">
      <c r="A411" s="18" t="s">
        <v>587</v>
      </c>
      <c r="B411" s="18">
        <v>0</v>
      </c>
      <c r="C411" s="18">
        <v>0</v>
      </c>
      <c r="D411" s="16">
        <v>0</v>
      </c>
      <c r="E411" s="16">
        <v>0</v>
      </c>
      <c r="F411" s="37">
        <v>0</v>
      </c>
      <c r="G411" s="37">
        <v>0</v>
      </c>
      <c r="H411" s="17">
        <v>0</v>
      </c>
      <c r="I411" s="17">
        <v>0</v>
      </c>
      <c r="J411" s="99">
        <f>SUM(SamplingData[[#This Row],[Losing Candidate]:[Under Votes]])</f>
        <v>0</v>
      </c>
      <c r="K411" s="100">
        <f>IF(AND(SamplingData[[#This Row],[Total]]&lt;&gt; 0, NOT(ISBLANK(SamplingData[[#This Row],[Losing Candidate]]))),(SamplingData[[#This Row],[Total]]+SamplingData[[#This Row],[Winning Candidate]]-SamplingData[[#This Row],[Losing Candidate]])/(SamplingData[[#Totals],[Winning Candidate]]-SamplingData[[#Totals],[Losing Candidate]]), 0)</f>
        <v>0</v>
      </c>
      <c r="L411" s="100">
        <f>IF(AND(SamplingData[[#This Row],[Total]]&lt;&gt; 0, NOT(ISBLANK(SamplingData[[#This Row],[Candidate 3]]))),(SamplingData[[#This Row],[Total]]+SamplingData[[#This Row],[Winning Candidate]]-SamplingData[[#This Row],[Candidate 3]])/(SamplingData[[#Totals],[Winning Candidate]]-SamplingData[[#Totals],[Candidate 3]]), 0)</f>
        <v>0</v>
      </c>
      <c r="M411" s="100">
        <f>IF(AND(SamplingData[[#This Row],[Total]]&lt;&gt; 0, NOT(ISBLANK(SamplingData[[#This Row],[Candidate 4]]))),(SamplingData[[#This Row],[Total]]+SamplingData[[#This Row],[Winning Candidate]]-SamplingData[[#This Row],[Candidate 4]])/(SamplingData[[#Totals],[Winning Candidate]]-SamplingData[[#Totals],[Candidate 4]]), 0)</f>
        <v>0</v>
      </c>
      <c r="N411" s="100">
        <f>IF(AND(SamplingData[[#This Row],[Total]]&lt;&gt; 0, NOT(ISBLANK(SamplingData[[#This Row],[Candidate 5]]))),(SamplingData[[#This Row],[Total]]+SamplingData[[#This Row],[Winning Candidate]]-SamplingData[[#This Row],[Candidate 5]])/(SamplingData[[#Totals],[Winning Candidate]]-SamplingData[[#Totals],[Candidate 5]]), 0)</f>
        <v>0</v>
      </c>
      <c r="O411" s="100">
        <f>IF(AND(SamplingData[[#This Row],[Total]]&lt;&gt; 0, NOT(ISBLANK(SamplingData[[#This Row],[Candidate 6]]))),(SamplingData[[#This Row],[Total]]+SamplingData[[#This Row],[Winning Candidate]]-SamplingData[[#This Row],[Candidate 6]])/(SamplingData[[#Totals],[Winning Candidate]]-SamplingData[[#Totals],[Candidate 6]]), 0)</f>
        <v>0</v>
      </c>
      <c r="P411" s="100">
        <f>MAX(SamplingData[[#This Row],[Error Bound (up) - Max. possible relative overstatement - Losing Candidate]:[Error Bound (up) - Max. possible relative overstatement - Candidate 6]])</f>
        <v>0</v>
      </c>
      <c r="Q411" s="100">
        <f>IF(SamplingData[[#This Row],[Max Error Bound (up)]] = 0,0,SamplingData[[#This Row],[Max Error Bound (up)]]/SamplingData[[#Totals],[Max Error Bound (up)]])</f>
        <v>0</v>
      </c>
      <c r="R411" s="101">
        <f>SUM($Q$5:Q411)</f>
        <v>0.18179336992260109</v>
      </c>
      <c r="S411" s="100" t="str">
        <f t="array" ref="S411">IF(SamplingData[[#This Row],[up/U Selection Probability]] = 0, "Zero", TEXT(SamplingData[[#This Row],[Lower Range]], REPT("0",LEN('General Info'!$B$40))) &amp; " - " &amp; TEXT(SamplingData[[#This Row],[Upper Range]], REPT("0",LEN('General Info'!$B$40))))</f>
        <v>Zero</v>
      </c>
      <c r="T411" s="100">
        <f>SamplingData[[#This Row],[Upper Range]]-SamplingData[[#This Row],[Span]]</f>
        <v>18179.336992260109</v>
      </c>
      <c r="U411" s="100">
        <f>IF(ISNUMBER('General Info'!$B$40), ((SamplingData[[#This Row],[up/U Selection Probability]]) * 'General Info'!$B$40) - 1, 0)</f>
        <v>-1</v>
      </c>
      <c r="V411" s="100">
        <f>IF(ISNUMBER('General Info'!$B$40), (SamplingData[[#This Row],[Running (cumulative) sum]] * ('General Info'!$B$40 -'General Info'!$B$41 + 1)) + 'General Info'!$B$41 - 1, 0)</f>
        <v>18178.336992260109</v>
      </c>
      <c r="W411" s="100" t="str">
        <f>IF(ISERROR(MATCH(SamplingData[[#This Row],[Batch by Type (p)]],SelectedPrecincts[Batch Name], 0)), "", INDEX(SelectedPrecincts[Draw], MATCH(SamplingData[[#This Row],[Batch by Type (p)]],SelectedPrecincts[Batch Name], 0)))</f>
        <v/>
      </c>
      <c r="X411" s="102">
        <f>IF(COUNTIF(SelectedPrecincts[Batch Name],SamplingData[[#This Row],[Batch by Type (p)]]) &lt;&gt; 0, COUNTIF(SelectedPrecincts[Batch Name],SamplingData[[#This Row],[Batch by Type (p)]]), 0)</f>
        <v>0</v>
      </c>
    </row>
    <row r="412" spans="1:24" ht="15" customHeight="1">
      <c r="A412" s="18" t="s">
        <v>588</v>
      </c>
      <c r="B412" s="18">
        <v>0</v>
      </c>
      <c r="C412" s="18">
        <v>0</v>
      </c>
      <c r="D412" s="18">
        <v>0</v>
      </c>
      <c r="E412" s="18">
        <v>0</v>
      </c>
      <c r="F412" s="18">
        <v>0</v>
      </c>
      <c r="G412" s="18">
        <v>0</v>
      </c>
      <c r="H412" s="18">
        <v>0</v>
      </c>
      <c r="I412" s="18">
        <v>0</v>
      </c>
      <c r="J412" s="99">
        <f>SUM(SamplingData[[#This Row],[Losing Candidate]:[Under Votes]])</f>
        <v>0</v>
      </c>
      <c r="K412" s="100">
        <f>IF(AND(SamplingData[[#This Row],[Total]]&lt;&gt; 0, NOT(ISBLANK(SamplingData[[#This Row],[Losing Candidate]]))),(SamplingData[[#This Row],[Total]]+SamplingData[[#This Row],[Winning Candidate]]-SamplingData[[#This Row],[Losing Candidate]])/(SamplingData[[#Totals],[Winning Candidate]]-SamplingData[[#Totals],[Losing Candidate]]), 0)</f>
        <v>0</v>
      </c>
      <c r="L412" s="100">
        <f>IF(AND(SamplingData[[#This Row],[Total]]&lt;&gt; 0, NOT(ISBLANK(SamplingData[[#This Row],[Candidate 3]]))),(SamplingData[[#This Row],[Total]]+SamplingData[[#This Row],[Winning Candidate]]-SamplingData[[#This Row],[Candidate 3]])/(SamplingData[[#Totals],[Winning Candidate]]-SamplingData[[#Totals],[Candidate 3]]), 0)</f>
        <v>0</v>
      </c>
      <c r="M412" s="100">
        <f>IF(AND(SamplingData[[#This Row],[Total]]&lt;&gt; 0, NOT(ISBLANK(SamplingData[[#This Row],[Candidate 4]]))),(SamplingData[[#This Row],[Total]]+SamplingData[[#This Row],[Winning Candidate]]-SamplingData[[#This Row],[Candidate 4]])/(SamplingData[[#Totals],[Winning Candidate]]-SamplingData[[#Totals],[Candidate 4]]), 0)</f>
        <v>0</v>
      </c>
      <c r="N412" s="100">
        <f>IF(AND(SamplingData[[#This Row],[Total]]&lt;&gt; 0, NOT(ISBLANK(SamplingData[[#This Row],[Candidate 5]]))),(SamplingData[[#This Row],[Total]]+SamplingData[[#This Row],[Winning Candidate]]-SamplingData[[#This Row],[Candidate 5]])/(SamplingData[[#Totals],[Winning Candidate]]-SamplingData[[#Totals],[Candidate 5]]), 0)</f>
        <v>0</v>
      </c>
      <c r="O412" s="100">
        <f>IF(AND(SamplingData[[#This Row],[Total]]&lt;&gt; 0, NOT(ISBLANK(SamplingData[[#This Row],[Candidate 6]]))),(SamplingData[[#This Row],[Total]]+SamplingData[[#This Row],[Winning Candidate]]-SamplingData[[#This Row],[Candidate 6]])/(SamplingData[[#Totals],[Winning Candidate]]-SamplingData[[#Totals],[Candidate 6]]), 0)</f>
        <v>0</v>
      </c>
      <c r="P412" s="100">
        <f>MAX(SamplingData[[#This Row],[Error Bound (up) - Max. possible relative overstatement - Losing Candidate]:[Error Bound (up) - Max. possible relative overstatement - Candidate 6]])</f>
        <v>0</v>
      </c>
      <c r="Q412" s="100">
        <f>IF(SamplingData[[#This Row],[Max Error Bound (up)]] = 0,0,SamplingData[[#This Row],[Max Error Bound (up)]]/SamplingData[[#Totals],[Max Error Bound (up)]])</f>
        <v>0</v>
      </c>
      <c r="R412" s="101">
        <f>SUM($Q$5:Q412)</f>
        <v>0.18179336992260109</v>
      </c>
      <c r="S412" s="100" t="str">
        <f t="array" ref="S412">IF(SamplingData[[#This Row],[up/U Selection Probability]] = 0, "Zero", TEXT(SamplingData[[#This Row],[Lower Range]], REPT("0",LEN('General Info'!$B$40))) &amp; " - " &amp; TEXT(SamplingData[[#This Row],[Upper Range]], REPT("0",LEN('General Info'!$B$40))))</f>
        <v>Zero</v>
      </c>
      <c r="T412" s="100">
        <f>SamplingData[[#This Row],[Upper Range]]-SamplingData[[#This Row],[Span]]</f>
        <v>18179.336992260109</v>
      </c>
      <c r="U412" s="100">
        <f>IF(ISNUMBER('General Info'!$B$40), ((SamplingData[[#This Row],[up/U Selection Probability]]) * 'General Info'!$B$40) - 1, 0)</f>
        <v>-1</v>
      </c>
      <c r="V412" s="100">
        <f>IF(ISNUMBER('General Info'!$B$40), (SamplingData[[#This Row],[Running (cumulative) sum]] * ('General Info'!$B$40 -'General Info'!$B$41 + 1)) + 'General Info'!$B$41 - 1, 0)</f>
        <v>18178.336992260109</v>
      </c>
      <c r="W412" s="100" t="str">
        <f>IF(ISERROR(MATCH(SamplingData[[#This Row],[Batch by Type (p)]],SelectedPrecincts[Batch Name], 0)), "", INDEX(SelectedPrecincts[Draw], MATCH(SamplingData[[#This Row],[Batch by Type (p)]],SelectedPrecincts[Batch Name], 0)))</f>
        <v/>
      </c>
      <c r="X412" s="102">
        <f>IF(COUNTIF(SelectedPrecincts[Batch Name],SamplingData[[#This Row],[Batch by Type (p)]]) &lt;&gt; 0, COUNTIF(SelectedPrecincts[Batch Name],SamplingData[[#This Row],[Batch by Type (p)]]), 0)</f>
        <v>0</v>
      </c>
    </row>
    <row r="413" spans="1:24" ht="15" customHeight="1">
      <c r="A413" s="18" t="s">
        <v>589</v>
      </c>
      <c r="B413" s="18">
        <v>0</v>
      </c>
      <c r="C413" s="18">
        <v>0</v>
      </c>
      <c r="D413" s="16">
        <v>0</v>
      </c>
      <c r="E413" s="16">
        <v>0</v>
      </c>
      <c r="F413" s="37">
        <v>0</v>
      </c>
      <c r="G413" s="37">
        <v>0</v>
      </c>
      <c r="H413" s="17">
        <v>0</v>
      </c>
      <c r="I413" s="17">
        <v>0</v>
      </c>
      <c r="J413" s="99">
        <f>SUM(SamplingData[[#This Row],[Losing Candidate]:[Under Votes]])</f>
        <v>0</v>
      </c>
      <c r="K413" s="100">
        <f>IF(AND(SamplingData[[#This Row],[Total]]&lt;&gt; 0, NOT(ISBLANK(SamplingData[[#This Row],[Losing Candidate]]))),(SamplingData[[#This Row],[Total]]+SamplingData[[#This Row],[Winning Candidate]]-SamplingData[[#This Row],[Losing Candidate]])/(SamplingData[[#Totals],[Winning Candidate]]-SamplingData[[#Totals],[Losing Candidate]]), 0)</f>
        <v>0</v>
      </c>
      <c r="L413" s="100">
        <f>IF(AND(SamplingData[[#This Row],[Total]]&lt;&gt; 0, NOT(ISBLANK(SamplingData[[#This Row],[Candidate 3]]))),(SamplingData[[#This Row],[Total]]+SamplingData[[#This Row],[Winning Candidate]]-SamplingData[[#This Row],[Candidate 3]])/(SamplingData[[#Totals],[Winning Candidate]]-SamplingData[[#Totals],[Candidate 3]]), 0)</f>
        <v>0</v>
      </c>
      <c r="M413" s="100">
        <f>IF(AND(SamplingData[[#This Row],[Total]]&lt;&gt; 0, NOT(ISBLANK(SamplingData[[#This Row],[Candidate 4]]))),(SamplingData[[#This Row],[Total]]+SamplingData[[#This Row],[Winning Candidate]]-SamplingData[[#This Row],[Candidate 4]])/(SamplingData[[#Totals],[Winning Candidate]]-SamplingData[[#Totals],[Candidate 4]]), 0)</f>
        <v>0</v>
      </c>
      <c r="N413" s="100">
        <f>IF(AND(SamplingData[[#This Row],[Total]]&lt;&gt; 0, NOT(ISBLANK(SamplingData[[#This Row],[Candidate 5]]))),(SamplingData[[#This Row],[Total]]+SamplingData[[#This Row],[Winning Candidate]]-SamplingData[[#This Row],[Candidate 5]])/(SamplingData[[#Totals],[Winning Candidate]]-SamplingData[[#Totals],[Candidate 5]]), 0)</f>
        <v>0</v>
      </c>
      <c r="O413" s="100">
        <f>IF(AND(SamplingData[[#This Row],[Total]]&lt;&gt; 0, NOT(ISBLANK(SamplingData[[#This Row],[Candidate 6]]))),(SamplingData[[#This Row],[Total]]+SamplingData[[#This Row],[Winning Candidate]]-SamplingData[[#This Row],[Candidate 6]])/(SamplingData[[#Totals],[Winning Candidate]]-SamplingData[[#Totals],[Candidate 6]]), 0)</f>
        <v>0</v>
      </c>
      <c r="P413" s="100">
        <f>MAX(SamplingData[[#This Row],[Error Bound (up) - Max. possible relative overstatement - Losing Candidate]:[Error Bound (up) - Max. possible relative overstatement - Candidate 6]])</f>
        <v>0</v>
      </c>
      <c r="Q413" s="100">
        <f>IF(SamplingData[[#This Row],[Max Error Bound (up)]] = 0,0,SamplingData[[#This Row],[Max Error Bound (up)]]/SamplingData[[#Totals],[Max Error Bound (up)]])</f>
        <v>0</v>
      </c>
      <c r="R413" s="101">
        <f>SUM($Q$5:Q413)</f>
        <v>0.18179336992260109</v>
      </c>
      <c r="S413" s="100" t="str">
        <f t="array" ref="S413">IF(SamplingData[[#This Row],[up/U Selection Probability]] = 0, "Zero", TEXT(SamplingData[[#This Row],[Lower Range]], REPT("0",LEN('General Info'!$B$40))) &amp; " - " &amp; TEXT(SamplingData[[#This Row],[Upper Range]], REPT("0",LEN('General Info'!$B$40))))</f>
        <v>Zero</v>
      </c>
      <c r="T413" s="100">
        <f>SamplingData[[#This Row],[Upper Range]]-SamplingData[[#This Row],[Span]]</f>
        <v>18179.336992260109</v>
      </c>
      <c r="U413" s="100">
        <f>IF(ISNUMBER('General Info'!$B$40), ((SamplingData[[#This Row],[up/U Selection Probability]]) * 'General Info'!$B$40) - 1, 0)</f>
        <v>-1</v>
      </c>
      <c r="V413" s="100">
        <f>IF(ISNUMBER('General Info'!$B$40), (SamplingData[[#This Row],[Running (cumulative) sum]] * ('General Info'!$B$40 -'General Info'!$B$41 + 1)) + 'General Info'!$B$41 - 1, 0)</f>
        <v>18178.336992260109</v>
      </c>
      <c r="W413" s="100" t="str">
        <f>IF(ISERROR(MATCH(SamplingData[[#This Row],[Batch by Type (p)]],SelectedPrecincts[Batch Name], 0)), "", INDEX(SelectedPrecincts[Draw], MATCH(SamplingData[[#This Row],[Batch by Type (p)]],SelectedPrecincts[Batch Name], 0)))</f>
        <v/>
      </c>
      <c r="X413" s="102">
        <f>IF(COUNTIF(SelectedPrecincts[Batch Name],SamplingData[[#This Row],[Batch by Type (p)]]) &lt;&gt; 0, COUNTIF(SelectedPrecincts[Batch Name],SamplingData[[#This Row],[Batch by Type (p)]]), 0)</f>
        <v>0</v>
      </c>
    </row>
    <row r="414" spans="1:24" ht="15" customHeight="1">
      <c r="A414" s="18" t="s">
        <v>590</v>
      </c>
      <c r="B414" s="18">
        <v>0</v>
      </c>
      <c r="C414" s="18">
        <v>0</v>
      </c>
      <c r="D414" s="18">
        <v>0</v>
      </c>
      <c r="E414" s="18">
        <v>0</v>
      </c>
      <c r="F414" s="18">
        <v>0</v>
      </c>
      <c r="G414" s="18">
        <v>0</v>
      </c>
      <c r="H414" s="18">
        <v>0</v>
      </c>
      <c r="I414" s="18">
        <v>0</v>
      </c>
      <c r="J414" s="99">
        <f>SUM(SamplingData[[#This Row],[Losing Candidate]:[Under Votes]])</f>
        <v>0</v>
      </c>
      <c r="K414" s="100">
        <f>IF(AND(SamplingData[[#This Row],[Total]]&lt;&gt; 0, NOT(ISBLANK(SamplingData[[#This Row],[Losing Candidate]]))),(SamplingData[[#This Row],[Total]]+SamplingData[[#This Row],[Winning Candidate]]-SamplingData[[#This Row],[Losing Candidate]])/(SamplingData[[#Totals],[Winning Candidate]]-SamplingData[[#Totals],[Losing Candidate]]), 0)</f>
        <v>0</v>
      </c>
      <c r="L414" s="100">
        <f>IF(AND(SamplingData[[#This Row],[Total]]&lt;&gt; 0, NOT(ISBLANK(SamplingData[[#This Row],[Candidate 3]]))),(SamplingData[[#This Row],[Total]]+SamplingData[[#This Row],[Winning Candidate]]-SamplingData[[#This Row],[Candidate 3]])/(SamplingData[[#Totals],[Winning Candidate]]-SamplingData[[#Totals],[Candidate 3]]), 0)</f>
        <v>0</v>
      </c>
      <c r="M414" s="100">
        <f>IF(AND(SamplingData[[#This Row],[Total]]&lt;&gt; 0, NOT(ISBLANK(SamplingData[[#This Row],[Candidate 4]]))),(SamplingData[[#This Row],[Total]]+SamplingData[[#This Row],[Winning Candidate]]-SamplingData[[#This Row],[Candidate 4]])/(SamplingData[[#Totals],[Winning Candidate]]-SamplingData[[#Totals],[Candidate 4]]), 0)</f>
        <v>0</v>
      </c>
      <c r="N414" s="100">
        <f>IF(AND(SamplingData[[#This Row],[Total]]&lt;&gt; 0, NOT(ISBLANK(SamplingData[[#This Row],[Candidate 5]]))),(SamplingData[[#This Row],[Total]]+SamplingData[[#This Row],[Winning Candidate]]-SamplingData[[#This Row],[Candidate 5]])/(SamplingData[[#Totals],[Winning Candidate]]-SamplingData[[#Totals],[Candidate 5]]), 0)</f>
        <v>0</v>
      </c>
      <c r="O414" s="100">
        <f>IF(AND(SamplingData[[#This Row],[Total]]&lt;&gt; 0, NOT(ISBLANK(SamplingData[[#This Row],[Candidate 6]]))),(SamplingData[[#This Row],[Total]]+SamplingData[[#This Row],[Winning Candidate]]-SamplingData[[#This Row],[Candidate 6]])/(SamplingData[[#Totals],[Winning Candidate]]-SamplingData[[#Totals],[Candidate 6]]), 0)</f>
        <v>0</v>
      </c>
      <c r="P414" s="100">
        <f>MAX(SamplingData[[#This Row],[Error Bound (up) - Max. possible relative overstatement - Losing Candidate]:[Error Bound (up) - Max. possible relative overstatement - Candidate 6]])</f>
        <v>0</v>
      </c>
      <c r="Q414" s="100">
        <f>IF(SamplingData[[#This Row],[Max Error Bound (up)]] = 0,0,SamplingData[[#This Row],[Max Error Bound (up)]]/SamplingData[[#Totals],[Max Error Bound (up)]])</f>
        <v>0</v>
      </c>
      <c r="R414" s="101">
        <f>SUM($Q$5:Q414)</f>
        <v>0.18179336992260109</v>
      </c>
      <c r="S414" s="100" t="str">
        <f t="array" ref="S414">IF(SamplingData[[#This Row],[up/U Selection Probability]] = 0, "Zero", TEXT(SamplingData[[#This Row],[Lower Range]], REPT("0",LEN('General Info'!$B$40))) &amp; " - " &amp; TEXT(SamplingData[[#This Row],[Upper Range]], REPT("0",LEN('General Info'!$B$40))))</f>
        <v>Zero</v>
      </c>
      <c r="T414" s="100">
        <f>SamplingData[[#This Row],[Upper Range]]-SamplingData[[#This Row],[Span]]</f>
        <v>18179.336992260109</v>
      </c>
      <c r="U414" s="100">
        <f>IF(ISNUMBER('General Info'!$B$40), ((SamplingData[[#This Row],[up/U Selection Probability]]) * 'General Info'!$B$40) - 1, 0)</f>
        <v>-1</v>
      </c>
      <c r="V414" s="100">
        <f>IF(ISNUMBER('General Info'!$B$40), (SamplingData[[#This Row],[Running (cumulative) sum]] * ('General Info'!$B$40 -'General Info'!$B$41 + 1)) + 'General Info'!$B$41 - 1, 0)</f>
        <v>18178.336992260109</v>
      </c>
      <c r="W414" s="100" t="str">
        <f>IF(ISERROR(MATCH(SamplingData[[#This Row],[Batch by Type (p)]],SelectedPrecincts[Batch Name], 0)), "", INDEX(SelectedPrecincts[Draw], MATCH(SamplingData[[#This Row],[Batch by Type (p)]],SelectedPrecincts[Batch Name], 0)))</f>
        <v/>
      </c>
      <c r="X414" s="102">
        <f>IF(COUNTIF(SelectedPrecincts[Batch Name],SamplingData[[#This Row],[Batch by Type (p)]]) &lt;&gt; 0, COUNTIF(SelectedPrecincts[Batch Name],SamplingData[[#This Row],[Batch by Type (p)]]), 0)</f>
        <v>0</v>
      </c>
    </row>
    <row r="415" spans="1:24" ht="15" customHeight="1">
      <c r="A415" s="18" t="s">
        <v>591</v>
      </c>
      <c r="B415" s="18">
        <v>0</v>
      </c>
      <c r="C415" s="18">
        <v>0</v>
      </c>
      <c r="D415" s="16">
        <v>0</v>
      </c>
      <c r="E415" s="16">
        <v>0</v>
      </c>
      <c r="F415" s="37">
        <v>0</v>
      </c>
      <c r="G415" s="37">
        <v>0</v>
      </c>
      <c r="H415" s="17">
        <v>0</v>
      </c>
      <c r="I415" s="17">
        <v>0</v>
      </c>
      <c r="J415" s="99">
        <f>SUM(SamplingData[[#This Row],[Losing Candidate]:[Under Votes]])</f>
        <v>0</v>
      </c>
      <c r="K415" s="100">
        <f>IF(AND(SamplingData[[#This Row],[Total]]&lt;&gt; 0, NOT(ISBLANK(SamplingData[[#This Row],[Losing Candidate]]))),(SamplingData[[#This Row],[Total]]+SamplingData[[#This Row],[Winning Candidate]]-SamplingData[[#This Row],[Losing Candidate]])/(SamplingData[[#Totals],[Winning Candidate]]-SamplingData[[#Totals],[Losing Candidate]]), 0)</f>
        <v>0</v>
      </c>
      <c r="L415" s="100">
        <f>IF(AND(SamplingData[[#This Row],[Total]]&lt;&gt; 0, NOT(ISBLANK(SamplingData[[#This Row],[Candidate 3]]))),(SamplingData[[#This Row],[Total]]+SamplingData[[#This Row],[Winning Candidate]]-SamplingData[[#This Row],[Candidate 3]])/(SamplingData[[#Totals],[Winning Candidate]]-SamplingData[[#Totals],[Candidate 3]]), 0)</f>
        <v>0</v>
      </c>
      <c r="M415" s="100">
        <f>IF(AND(SamplingData[[#This Row],[Total]]&lt;&gt; 0, NOT(ISBLANK(SamplingData[[#This Row],[Candidate 4]]))),(SamplingData[[#This Row],[Total]]+SamplingData[[#This Row],[Winning Candidate]]-SamplingData[[#This Row],[Candidate 4]])/(SamplingData[[#Totals],[Winning Candidate]]-SamplingData[[#Totals],[Candidate 4]]), 0)</f>
        <v>0</v>
      </c>
      <c r="N415" s="100">
        <f>IF(AND(SamplingData[[#This Row],[Total]]&lt;&gt; 0, NOT(ISBLANK(SamplingData[[#This Row],[Candidate 5]]))),(SamplingData[[#This Row],[Total]]+SamplingData[[#This Row],[Winning Candidate]]-SamplingData[[#This Row],[Candidate 5]])/(SamplingData[[#Totals],[Winning Candidate]]-SamplingData[[#Totals],[Candidate 5]]), 0)</f>
        <v>0</v>
      </c>
      <c r="O415" s="100">
        <f>IF(AND(SamplingData[[#This Row],[Total]]&lt;&gt; 0, NOT(ISBLANK(SamplingData[[#This Row],[Candidate 6]]))),(SamplingData[[#This Row],[Total]]+SamplingData[[#This Row],[Winning Candidate]]-SamplingData[[#This Row],[Candidate 6]])/(SamplingData[[#Totals],[Winning Candidate]]-SamplingData[[#Totals],[Candidate 6]]), 0)</f>
        <v>0</v>
      </c>
      <c r="P415" s="100">
        <f>MAX(SamplingData[[#This Row],[Error Bound (up) - Max. possible relative overstatement - Losing Candidate]:[Error Bound (up) - Max. possible relative overstatement - Candidate 6]])</f>
        <v>0</v>
      </c>
      <c r="Q415" s="100">
        <f>IF(SamplingData[[#This Row],[Max Error Bound (up)]] = 0,0,SamplingData[[#This Row],[Max Error Bound (up)]]/SamplingData[[#Totals],[Max Error Bound (up)]])</f>
        <v>0</v>
      </c>
      <c r="R415" s="101">
        <f>SUM($Q$5:Q415)</f>
        <v>0.18179336992260109</v>
      </c>
      <c r="S415" s="100" t="str">
        <f t="array" ref="S415">IF(SamplingData[[#This Row],[up/U Selection Probability]] = 0, "Zero", TEXT(SamplingData[[#This Row],[Lower Range]], REPT("0",LEN('General Info'!$B$40))) &amp; " - " &amp; TEXT(SamplingData[[#This Row],[Upper Range]], REPT("0",LEN('General Info'!$B$40))))</f>
        <v>Zero</v>
      </c>
      <c r="T415" s="100">
        <f>SamplingData[[#This Row],[Upper Range]]-SamplingData[[#This Row],[Span]]</f>
        <v>18179.336992260109</v>
      </c>
      <c r="U415" s="100">
        <f>IF(ISNUMBER('General Info'!$B$40), ((SamplingData[[#This Row],[up/U Selection Probability]]) * 'General Info'!$B$40) - 1, 0)</f>
        <v>-1</v>
      </c>
      <c r="V415" s="100">
        <f>IF(ISNUMBER('General Info'!$B$40), (SamplingData[[#This Row],[Running (cumulative) sum]] * ('General Info'!$B$40 -'General Info'!$B$41 + 1)) + 'General Info'!$B$41 - 1, 0)</f>
        <v>18178.336992260109</v>
      </c>
      <c r="W415" s="100" t="str">
        <f>IF(ISERROR(MATCH(SamplingData[[#This Row],[Batch by Type (p)]],SelectedPrecincts[Batch Name], 0)), "", INDEX(SelectedPrecincts[Draw], MATCH(SamplingData[[#This Row],[Batch by Type (p)]],SelectedPrecincts[Batch Name], 0)))</f>
        <v/>
      </c>
      <c r="X415" s="102">
        <f>IF(COUNTIF(SelectedPrecincts[Batch Name],SamplingData[[#This Row],[Batch by Type (p)]]) &lt;&gt; 0, COUNTIF(SelectedPrecincts[Batch Name],SamplingData[[#This Row],[Batch by Type (p)]]), 0)</f>
        <v>0</v>
      </c>
    </row>
    <row r="416" spans="1:24" ht="15" customHeight="1">
      <c r="A416" s="18" t="s">
        <v>592</v>
      </c>
      <c r="B416" s="18">
        <v>0</v>
      </c>
      <c r="C416" s="18">
        <v>0</v>
      </c>
      <c r="D416" s="18">
        <v>0</v>
      </c>
      <c r="E416" s="18">
        <v>0</v>
      </c>
      <c r="F416" s="18">
        <v>0</v>
      </c>
      <c r="G416" s="18">
        <v>0</v>
      </c>
      <c r="H416" s="18">
        <v>0</v>
      </c>
      <c r="I416" s="18">
        <v>1</v>
      </c>
      <c r="J416" s="99">
        <f>SUM(SamplingData[[#This Row],[Losing Candidate]:[Under Votes]])</f>
        <v>1</v>
      </c>
      <c r="K41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16" s="100">
        <f>IF(AND(SamplingData[[#This Row],[Total]]&lt;&gt; 0, NOT(ISBLANK(SamplingData[[#This Row],[Candidate 3]]))),(SamplingData[[#This Row],[Total]]+SamplingData[[#This Row],[Winning Candidate]]-SamplingData[[#This Row],[Candidate 3]])/(SamplingData[[#Totals],[Winning Candidate]]-SamplingData[[#Totals],[Candidate 3]]), 0)</f>
        <v>3.2261186566441917E-5</v>
      </c>
      <c r="M416" s="100">
        <f>IF(AND(SamplingData[[#This Row],[Total]]&lt;&gt; 0, NOT(ISBLANK(SamplingData[[#This Row],[Candidate 4]]))),(SamplingData[[#This Row],[Total]]+SamplingData[[#This Row],[Winning Candidate]]-SamplingData[[#This Row],[Candidate 4]])/(SamplingData[[#Totals],[Winning Candidate]]-SamplingData[[#Totals],[Candidate 4]]), 0)</f>
        <v>2.923207343096846E-5</v>
      </c>
      <c r="N416" s="100">
        <f>IF(AND(SamplingData[[#This Row],[Total]]&lt;&gt; 0, NOT(ISBLANK(SamplingData[[#This Row],[Candidate 5]]))),(SamplingData[[#This Row],[Total]]+SamplingData[[#This Row],[Winning Candidate]]-SamplingData[[#This Row],[Candidate 5]])/(SamplingData[[#Totals],[Winning Candidate]]-SamplingData[[#Totals],[Candidate 5]]), 0)</f>
        <v>2.4324981756263683E-5</v>
      </c>
      <c r="O416" s="100">
        <f>IF(AND(SamplingData[[#This Row],[Total]]&lt;&gt; 0, NOT(ISBLANK(SamplingData[[#This Row],[Candidate 6]]))),(SamplingData[[#This Row],[Total]]+SamplingData[[#This Row],[Winning Candidate]]-SamplingData[[#This Row],[Candidate 6]])/(SamplingData[[#Totals],[Winning Candidate]]-SamplingData[[#Totals],[Candidate 6]]), 0)</f>
        <v>2.431788337143135E-5</v>
      </c>
      <c r="P416" s="100">
        <f>MAX(SamplingData[[#This Row],[Error Bound (up) - Max. possible relative overstatement - Losing Candidate]:[Error Bound (up) - Max. possible relative overstatement - Candidate 6]])</f>
        <v>6.1244487996080352E-5</v>
      </c>
      <c r="Q416" s="100">
        <f>IF(SamplingData[[#This Row],[Max Error Bound (up)]] = 0,0,SamplingData[[#This Row],[Max Error Bound (up)]]/SamplingData[[#Totals],[Max Error Bound (up)]])</f>
        <v>9.6929482784458315E-6</v>
      </c>
      <c r="R416" s="101">
        <f>SUM($Q$5:Q416)</f>
        <v>0.18180306287087952</v>
      </c>
      <c r="S416" s="100" t="str">
        <f t="array" ref="S416">IF(SamplingData[[#This Row],[up/U Selection Probability]] = 0, "Zero", TEXT(SamplingData[[#This Row],[Lower Range]], REPT("0",LEN('General Info'!$B$40))) &amp; " - " &amp; TEXT(SamplingData[[#This Row],[Upper Range]], REPT("0",LEN('General Info'!$B$40))))</f>
        <v>18179 - 18179</v>
      </c>
      <c r="T416" s="100">
        <f>SamplingData[[#This Row],[Upper Range]]-SamplingData[[#This Row],[Span]]</f>
        <v>18179.337001953056</v>
      </c>
      <c r="U416" s="100">
        <f>IF(ISNUMBER('General Info'!$B$40), ((SamplingData[[#This Row],[up/U Selection Probability]]) * 'General Info'!$B$40) - 1, 0)</f>
        <v>-3.0714865103695255E-2</v>
      </c>
      <c r="V416" s="100">
        <f>IF(ISNUMBER('General Info'!$B$40), (SamplingData[[#This Row],[Running (cumulative) sum]] * ('General Info'!$B$40 -'General Info'!$B$41 + 1)) + 'General Info'!$B$41 - 1, 0)</f>
        <v>18179.306287087951</v>
      </c>
      <c r="W416" s="100" t="str">
        <f>IF(ISERROR(MATCH(SamplingData[[#This Row],[Batch by Type (p)]],SelectedPrecincts[Batch Name], 0)), "", INDEX(SelectedPrecincts[Draw], MATCH(SamplingData[[#This Row],[Batch by Type (p)]],SelectedPrecincts[Batch Name], 0)))</f>
        <v/>
      </c>
      <c r="X416" s="102">
        <f>IF(COUNTIF(SelectedPrecincts[Batch Name],SamplingData[[#This Row],[Batch by Type (p)]]) &lt;&gt; 0, COUNTIF(SelectedPrecincts[Batch Name],SamplingData[[#This Row],[Batch by Type (p)]]), 0)</f>
        <v>0</v>
      </c>
    </row>
    <row r="417" spans="1:24" ht="15" customHeight="1">
      <c r="A417" s="18" t="s">
        <v>593</v>
      </c>
      <c r="B417" s="18">
        <v>1</v>
      </c>
      <c r="C417" s="18">
        <v>0</v>
      </c>
      <c r="D417" s="16">
        <v>0</v>
      </c>
      <c r="E417" s="16">
        <v>0</v>
      </c>
      <c r="F417" s="37">
        <v>0</v>
      </c>
      <c r="G417" s="37">
        <v>0</v>
      </c>
      <c r="H417" s="17">
        <v>0</v>
      </c>
      <c r="I417" s="17">
        <v>0</v>
      </c>
      <c r="J417" s="99">
        <f>SUM(SamplingData[[#This Row],[Losing Candidate]:[Under Votes]])</f>
        <v>1</v>
      </c>
      <c r="K417" s="100">
        <f>IF(AND(SamplingData[[#This Row],[Total]]&lt;&gt; 0, NOT(ISBLANK(SamplingData[[#This Row],[Losing Candidate]]))),(SamplingData[[#This Row],[Total]]+SamplingData[[#This Row],[Winning Candidate]]-SamplingData[[#This Row],[Losing Candidate]])/(SamplingData[[#Totals],[Winning Candidate]]-SamplingData[[#Totals],[Losing Candidate]]), 0)</f>
        <v>0</v>
      </c>
      <c r="L417" s="100">
        <f>IF(AND(SamplingData[[#This Row],[Total]]&lt;&gt; 0, NOT(ISBLANK(SamplingData[[#This Row],[Candidate 3]]))),(SamplingData[[#This Row],[Total]]+SamplingData[[#This Row],[Winning Candidate]]-SamplingData[[#This Row],[Candidate 3]])/(SamplingData[[#Totals],[Winning Candidate]]-SamplingData[[#Totals],[Candidate 3]]), 0)</f>
        <v>3.2261186566441917E-5</v>
      </c>
      <c r="M417" s="100">
        <f>IF(AND(SamplingData[[#This Row],[Total]]&lt;&gt; 0, NOT(ISBLANK(SamplingData[[#This Row],[Candidate 4]]))),(SamplingData[[#This Row],[Total]]+SamplingData[[#This Row],[Winning Candidate]]-SamplingData[[#This Row],[Candidate 4]])/(SamplingData[[#Totals],[Winning Candidate]]-SamplingData[[#Totals],[Candidate 4]]), 0)</f>
        <v>2.923207343096846E-5</v>
      </c>
      <c r="N417" s="100">
        <f>IF(AND(SamplingData[[#This Row],[Total]]&lt;&gt; 0, NOT(ISBLANK(SamplingData[[#This Row],[Candidate 5]]))),(SamplingData[[#This Row],[Total]]+SamplingData[[#This Row],[Winning Candidate]]-SamplingData[[#This Row],[Candidate 5]])/(SamplingData[[#Totals],[Winning Candidate]]-SamplingData[[#Totals],[Candidate 5]]), 0)</f>
        <v>2.4324981756263683E-5</v>
      </c>
      <c r="O417" s="100">
        <f>IF(AND(SamplingData[[#This Row],[Total]]&lt;&gt; 0, NOT(ISBLANK(SamplingData[[#This Row],[Candidate 6]]))),(SamplingData[[#This Row],[Total]]+SamplingData[[#This Row],[Winning Candidate]]-SamplingData[[#This Row],[Candidate 6]])/(SamplingData[[#Totals],[Winning Candidate]]-SamplingData[[#Totals],[Candidate 6]]), 0)</f>
        <v>2.431788337143135E-5</v>
      </c>
      <c r="P417" s="100">
        <f>MAX(SamplingData[[#This Row],[Error Bound (up) - Max. possible relative overstatement - Losing Candidate]:[Error Bound (up) - Max. possible relative overstatement - Candidate 6]])</f>
        <v>3.2261186566441917E-5</v>
      </c>
      <c r="Q417" s="100">
        <f>IF(SamplingData[[#This Row],[Max Error Bound (up)]] = 0,0,SamplingData[[#This Row],[Max Error Bound (up)]]/SamplingData[[#Totals],[Max Error Bound (up)]])</f>
        <v>5.1058637768320663E-6</v>
      </c>
      <c r="R417" s="101">
        <f>SUM($Q$5:Q417)</f>
        <v>0.18180816873465636</v>
      </c>
      <c r="S417" s="100" t="str">
        <f t="array" ref="S417">IF(SamplingData[[#This Row],[up/U Selection Probability]] = 0, "Zero", TEXT(SamplingData[[#This Row],[Lower Range]], REPT("0",LEN('General Info'!$B$40))) &amp; " - " &amp; TEXT(SamplingData[[#This Row],[Upper Range]], REPT("0",LEN('General Info'!$B$40))))</f>
        <v>18180 - 18180</v>
      </c>
      <c r="T417" s="100">
        <f>SamplingData[[#This Row],[Upper Range]]-SamplingData[[#This Row],[Span]]</f>
        <v>18180.306292193814</v>
      </c>
      <c r="U417" s="100">
        <f>IF(ISNUMBER('General Info'!$B$40), ((SamplingData[[#This Row],[up/U Selection Probability]]) * 'General Info'!$B$40) - 1, 0)</f>
        <v>-0.4894187281805702</v>
      </c>
      <c r="V417" s="100">
        <f>IF(ISNUMBER('General Info'!$B$40), (SamplingData[[#This Row],[Running (cumulative) sum]] * ('General Info'!$B$40 -'General Info'!$B$41 + 1)) + 'General Info'!$B$41 - 1, 0)</f>
        <v>18179.816873465636</v>
      </c>
      <c r="W417" s="100" t="str">
        <f>IF(ISERROR(MATCH(SamplingData[[#This Row],[Batch by Type (p)]],SelectedPrecincts[Batch Name], 0)), "", INDEX(SelectedPrecincts[Draw], MATCH(SamplingData[[#This Row],[Batch by Type (p)]],SelectedPrecincts[Batch Name], 0)))</f>
        <v/>
      </c>
      <c r="X417" s="102">
        <f>IF(COUNTIF(SelectedPrecincts[Batch Name],SamplingData[[#This Row],[Batch by Type (p)]]) &lt;&gt; 0, COUNTIF(SelectedPrecincts[Batch Name],SamplingData[[#This Row],[Batch by Type (p)]]), 0)</f>
        <v>0</v>
      </c>
    </row>
    <row r="418" spans="1:24" ht="15" customHeight="1">
      <c r="A418" s="18" t="s">
        <v>594</v>
      </c>
      <c r="B418" s="18">
        <v>0</v>
      </c>
      <c r="C418" s="18">
        <v>0</v>
      </c>
      <c r="D418" s="18">
        <v>0</v>
      </c>
      <c r="E418" s="18">
        <v>1</v>
      </c>
      <c r="F418" s="18">
        <v>2</v>
      </c>
      <c r="G418" s="18">
        <v>0</v>
      </c>
      <c r="H418" s="18">
        <v>0</v>
      </c>
      <c r="I418" s="18">
        <v>0</v>
      </c>
      <c r="J418" s="99">
        <f>SUM(SamplingData[[#This Row],[Losing Candidate]:[Under Votes]])</f>
        <v>3</v>
      </c>
      <c r="K418"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418" s="100">
        <f>IF(AND(SamplingData[[#This Row],[Total]]&lt;&gt; 0, NOT(ISBLANK(SamplingData[[#This Row],[Candidate 3]]))),(SamplingData[[#This Row],[Total]]+SamplingData[[#This Row],[Winning Candidate]]-SamplingData[[#This Row],[Candidate 3]])/(SamplingData[[#Totals],[Winning Candidate]]-SamplingData[[#Totals],[Candidate 3]]), 0)</f>
        <v>9.6783559699325743E-5</v>
      </c>
      <c r="M418" s="100">
        <f>IF(AND(SamplingData[[#This Row],[Total]]&lt;&gt; 0, NOT(ISBLANK(SamplingData[[#This Row],[Candidate 4]]))),(SamplingData[[#This Row],[Total]]+SamplingData[[#This Row],[Winning Candidate]]-SamplingData[[#This Row],[Candidate 4]])/(SamplingData[[#Totals],[Winning Candidate]]-SamplingData[[#Totals],[Candidate 4]]), 0)</f>
        <v>5.846414686193692E-5</v>
      </c>
      <c r="N418" s="100">
        <f>IF(AND(SamplingData[[#This Row],[Total]]&lt;&gt; 0, NOT(ISBLANK(SamplingData[[#This Row],[Candidate 5]]))),(SamplingData[[#This Row],[Total]]+SamplingData[[#This Row],[Winning Candidate]]-SamplingData[[#This Row],[Candidate 5]])/(SamplingData[[#Totals],[Winning Candidate]]-SamplingData[[#Totals],[Candidate 5]]), 0)</f>
        <v>2.4324981756263683E-5</v>
      </c>
      <c r="O418" s="100">
        <f>IF(AND(SamplingData[[#This Row],[Total]]&lt;&gt; 0, NOT(ISBLANK(SamplingData[[#This Row],[Candidate 6]]))),(SamplingData[[#This Row],[Total]]+SamplingData[[#This Row],[Winning Candidate]]-SamplingData[[#This Row],[Candidate 6]])/(SamplingData[[#Totals],[Winning Candidate]]-SamplingData[[#Totals],[Candidate 6]]), 0)</f>
        <v>7.2953650114294054E-5</v>
      </c>
      <c r="P418" s="100">
        <f>MAX(SamplingData[[#This Row],[Error Bound (up) - Max. possible relative overstatement - Losing Candidate]:[Error Bound (up) - Max. possible relative overstatement - Candidate 6]])</f>
        <v>1.8373346398824106E-4</v>
      </c>
      <c r="Q418" s="100">
        <f>IF(SamplingData[[#This Row],[Max Error Bound (up)]] = 0,0,SamplingData[[#This Row],[Max Error Bound (up)]]/SamplingData[[#Totals],[Max Error Bound (up)]])</f>
        <v>2.9078844835337493E-5</v>
      </c>
      <c r="R418" s="101">
        <f>SUM($Q$5:Q418)</f>
        <v>0.18183724757949168</v>
      </c>
      <c r="S418" s="100" t="str">
        <f t="array" ref="S418">IF(SamplingData[[#This Row],[up/U Selection Probability]] = 0, "Zero", TEXT(SamplingData[[#This Row],[Lower Range]], REPT("0",LEN('General Info'!$B$40))) &amp; " - " &amp; TEXT(SamplingData[[#This Row],[Upper Range]], REPT("0",LEN('General Info'!$B$40))))</f>
        <v>18181 - 18183</v>
      </c>
      <c r="T418" s="100">
        <f>SamplingData[[#This Row],[Upper Range]]-SamplingData[[#This Row],[Span]]</f>
        <v>18180.816902544477</v>
      </c>
      <c r="U418" s="100">
        <f>IF(ISNUMBER('General Info'!$B$40), ((SamplingData[[#This Row],[up/U Selection Probability]]) * 'General Info'!$B$40) - 1, 0)</f>
        <v>1.907855404688914</v>
      </c>
      <c r="V418" s="100">
        <f>IF(ISNUMBER('General Info'!$B$40), (SamplingData[[#This Row],[Running (cumulative) sum]] * ('General Info'!$B$40 -'General Info'!$B$41 + 1)) + 'General Info'!$B$41 - 1, 0)</f>
        <v>18182.724757949167</v>
      </c>
      <c r="W418" s="100" t="str">
        <f>IF(ISERROR(MATCH(SamplingData[[#This Row],[Batch by Type (p)]],SelectedPrecincts[Batch Name], 0)), "", INDEX(SelectedPrecincts[Draw], MATCH(SamplingData[[#This Row],[Batch by Type (p)]],SelectedPrecincts[Batch Name], 0)))</f>
        <v/>
      </c>
      <c r="X418" s="102">
        <f>IF(COUNTIF(SelectedPrecincts[Batch Name],SamplingData[[#This Row],[Batch by Type (p)]]) &lt;&gt; 0, COUNTIF(SelectedPrecincts[Batch Name],SamplingData[[#This Row],[Batch by Type (p)]]), 0)</f>
        <v>0</v>
      </c>
    </row>
    <row r="419" spans="1:24" ht="15" customHeight="1">
      <c r="A419" s="18" t="s">
        <v>595</v>
      </c>
      <c r="B419" s="18">
        <v>1</v>
      </c>
      <c r="C419" s="18">
        <v>1</v>
      </c>
      <c r="D419" s="16">
        <v>0</v>
      </c>
      <c r="E419" s="16">
        <v>2</v>
      </c>
      <c r="F419" s="37">
        <v>0</v>
      </c>
      <c r="G419" s="37">
        <v>0</v>
      </c>
      <c r="H419" s="17">
        <v>0</v>
      </c>
      <c r="I419" s="17">
        <v>0</v>
      </c>
      <c r="J419" s="99">
        <f>SUM(SamplingData[[#This Row],[Losing Candidate]:[Under Votes]])</f>
        <v>4</v>
      </c>
      <c r="K419"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419" s="100">
        <f>IF(AND(SamplingData[[#This Row],[Total]]&lt;&gt; 0, NOT(ISBLANK(SamplingData[[#This Row],[Candidate 3]]))),(SamplingData[[#This Row],[Total]]+SamplingData[[#This Row],[Winning Candidate]]-SamplingData[[#This Row],[Candidate 3]])/(SamplingData[[#Totals],[Winning Candidate]]-SamplingData[[#Totals],[Candidate 3]]), 0)</f>
        <v>1.6130593283220958E-4</v>
      </c>
      <c r="M419" s="100">
        <f>IF(AND(SamplingData[[#This Row],[Total]]&lt;&gt; 0, NOT(ISBLANK(SamplingData[[#This Row],[Candidate 4]]))),(SamplingData[[#This Row],[Total]]+SamplingData[[#This Row],[Winning Candidate]]-SamplingData[[#This Row],[Candidate 4]])/(SamplingData[[#Totals],[Winning Candidate]]-SamplingData[[#Totals],[Candidate 4]]), 0)</f>
        <v>8.7696220292905373E-5</v>
      </c>
      <c r="N419" s="100">
        <f>IF(AND(SamplingData[[#This Row],[Total]]&lt;&gt; 0, NOT(ISBLANK(SamplingData[[#This Row],[Candidate 5]]))),(SamplingData[[#This Row],[Total]]+SamplingData[[#This Row],[Winning Candidate]]-SamplingData[[#This Row],[Candidate 5]])/(SamplingData[[#Totals],[Winning Candidate]]-SamplingData[[#Totals],[Candidate 5]]), 0)</f>
        <v>1.2162490878131841E-4</v>
      </c>
      <c r="O419" s="100">
        <f>IF(AND(SamplingData[[#This Row],[Total]]&lt;&gt; 0, NOT(ISBLANK(SamplingData[[#This Row],[Candidate 6]]))),(SamplingData[[#This Row],[Total]]+SamplingData[[#This Row],[Winning Candidate]]-SamplingData[[#This Row],[Candidate 6]])/(SamplingData[[#Totals],[Winning Candidate]]-SamplingData[[#Totals],[Candidate 6]]), 0)</f>
        <v>1.2158941685715675E-4</v>
      </c>
      <c r="P419" s="100">
        <f>MAX(SamplingData[[#This Row],[Error Bound (up) - Max. possible relative overstatement - Losing Candidate]:[Error Bound (up) - Max. possible relative overstatement - Candidate 6]])</f>
        <v>2.4497795198432141E-4</v>
      </c>
      <c r="Q419" s="100">
        <f>IF(SamplingData[[#This Row],[Max Error Bound (up)]] = 0,0,SamplingData[[#This Row],[Max Error Bound (up)]]/SamplingData[[#Totals],[Max Error Bound (up)]])</f>
        <v>3.8771793113783326E-5</v>
      </c>
      <c r="R419" s="101">
        <f>SUM($Q$5:Q419)</f>
        <v>0.18187601937260547</v>
      </c>
      <c r="S419" s="100" t="str">
        <f t="array" ref="S419">IF(SamplingData[[#This Row],[up/U Selection Probability]] = 0, "Zero", TEXT(SamplingData[[#This Row],[Lower Range]], REPT("0",LEN('General Info'!$B$40))) &amp; " - " &amp; TEXT(SamplingData[[#This Row],[Upper Range]], REPT("0",LEN('General Info'!$B$40))))</f>
        <v>18184 - 18187</v>
      </c>
      <c r="T419" s="100">
        <f>SamplingData[[#This Row],[Upper Range]]-SamplingData[[#This Row],[Span]]</f>
        <v>18183.724796720962</v>
      </c>
      <c r="U419" s="100">
        <f>IF(ISNUMBER('General Info'!$B$40), ((SamplingData[[#This Row],[up/U Selection Probability]]) * 'General Info'!$B$40) - 1, 0)</f>
        <v>2.877140539585219</v>
      </c>
      <c r="V419" s="100">
        <f>IF(ISNUMBER('General Info'!$B$40), (SamplingData[[#This Row],[Running (cumulative) sum]] * ('General Info'!$B$40 -'General Info'!$B$41 + 1)) + 'General Info'!$B$41 - 1, 0)</f>
        <v>18186.601937260548</v>
      </c>
      <c r="W419" s="100" t="str">
        <f>IF(ISERROR(MATCH(SamplingData[[#This Row],[Batch by Type (p)]],SelectedPrecincts[Batch Name], 0)), "", INDEX(SelectedPrecincts[Draw], MATCH(SamplingData[[#This Row],[Batch by Type (p)]],SelectedPrecincts[Batch Name], 0)))</f>
        <v/>
      </c>
      <c r="X419" s="102">
        <f>IF(COUNTIF(SelectedPrecincts[Batch Name],SamplingData[[#This Row],[Batch by Type (p)]]) &lt;&gt; 0, COUNTIF(SelectedPrecincts[Batch Name],SamplingData[[#This Row],[Batch by Type (p)]]), 0)</f>
        <v>0</v>
      </c>
    </row>
    <row r="420" spans="1:24" ht="15" customHeight="1">
      <c r="A420" s="18" t="s">
        <v>596</v>
      </c>
      <c r="B420" s="18">
        <v>0</v>
      </c>
      <c r="C420" s="18">
        <v>1</v>
      </c>
      <c r="D420" s="18">
        <v>0</v>
      </c>
      <c r="E420" s="18">
        <v>0</v>
      </c>
      <c r="F420" s="18">
        <v>0</v>
      </c>
      <c r="G420" s="18">
        <v>0</v>
      </c>
      <c r="H420" s="18">
        <v>0</v>
      </c>
      <c r="I420" s="18">
        <v>0</v>
      </c>
      <c r="J420" s="99">
        <f>SUM(SamplingData[[#This Row],[Losing Candidate]:[Under Votes]])</f>
        <v>1</v>
      </c>
      <c r="K42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20" s="100">
        <f>IF(AND(SamplingData[[#This Row],[Total]]&lt;&gt; 0, NOT(ISBLANK(SamplingData[[#This Row],[Candidate 3]]))),(SamplingData[[#This Row],[Total]]+SamplingData[[#This Row],[Winning Candidate]]-SamplingData[[#This Row],[Candidate 3]])/(SamplingData[[#Totals],[Winning Candidate]]-SamplingData[[#Totals],[Candidate 3]]), 0)</f>
        <v>6.4522373132883833E-5</v>
      </c>
      <c r="M420" s="100">
        <f>IF(AND(SamplingData[[#This Row],[Total]]&lt;&gt; 0, NOT(ISBLANK(SamplingData[[#This Row],[Candidate 4]]))),(SamplingData[[#This Row],[Total]]+SamplingData[[#This Row],[Winning Candidate]]-SamplingData[[#This Row],[Candidate 4]])/(SamplingData[[#Totals],[Winning Candidate]]-SamplingData[[#Totals],[Candidate 4]]), 0)</f>
        <v>5.846414686193692E-5</v>
      </c>
      <c r="N420" s="100">
        <f>IF(AND(SamplingData[[#This Row],[Total]]&lt;&gt; 0, NOT(ISBLANK(SamplingData[[#This Row],[Candidate 5]]))),(SamplingData[[#This Row],[Total]]+SamplingData[[#This Row],[Winning Candidate]]-SamplingData[[#This Row],[Candidate 5]])/(SamplingData[[#Totals],[Winning Candidate]]-SamplingData[[#Totals],[Candidate 5]]), 0)</f>
        <v>4.8649963512527367E-5</v>
      </c>
      <c r="O420" s="100">
        <f>IF(AND(SamplingData[[#This Row],[Total]]&lt;&gt; 0, NOT(ISBLANK(SamplingData[[#This Row],[Candidate 6]]))),(SamplingData[[#This Row],[Total]]+SamplingData[[#This Row],[Winning Candidate]]-SamplingData[[#This Row],[Candidate 6]])/(SamplingData[[#Totals],[Winning Candidate]]-SamplingData[[#Totals],[Candidate 6]]), 0)</f>
        <v>4.8635766742862701E-5</v>
      </c>
      <c r="P420" s="100">
        <f>MAX(SamplingData[[#This Row],[Error Bound (up) - Max. possible relative overstatement - Losing Candidate]:[Error Bound (up) - Max. possible relative overstatement - Candidate 6]])</f>
        <v>1.224889759921607E-4</v>
      </c>
      <c r="Q420" s="100">
        <f>IF(SamplingData[[#This Row],[Max Error Bound (up)]] = 0,0,SamplingData[[#This Row],[Max Error Bound (up)]]/SamplingData[[#Totals],[Max Error Bound (up)]])</f>
        <v>1.9385896556891663E-5</v>
      </c>
      <c r="R420" s="101">
        <f>SUM($Q$5:Q420)</f>
        <v>0.18189540526916237</v>
      </c>
      <c r="S420" s="100" t="str">
        <f t="array" ref="S420">IF(SamplingData[[#This Row],[up/U Selection Probability]] = 0, "Zero", TEXT(SamplingData[[#This Row],[Lower Range]], REPT("0",LEN('General Info'!$B$40))) &amp; " - " &amp; TEXT(SamplingData[[#This Row],[Upper Range]], REPT("0",LEN('General Info'!$B$40))))</f>
        <v>18188 - 18189</v>
      </c>
      <c r="T420" s="100">
        <f>SamplingData[[#This Row],[Upper Range]]-SamplingData[[#This Row],[Span]]</f>
        <v>18187.601956646446</v>
      </c>
      <c r="U420" s="100">
        <f>IF(ISNUMBER('General Info'!$B$40), ((SamplingData[[#This Row],[up/U Selection Probability]]) * 'General Info'!$B$40) - 1, 0)</f>
        <v>0.93857026979260949</v>
      </c>
      <c r="V420" s="100">
        <f>IF(ISNUMBER('General Info'!$B$40), (SamplingData[[#This Row],[Running (cumulative) sum]] * ('General Info'!$B$40 -'General Info'!$B$41 + 1)) + 'General Info'!$B$41 - 1, 0)</f>
        <v>18188.540526916237</v>
      </c>
      <c r="W420" s="100" t="str">
        <f>IF(ISERROR(MATCH(SamplingData[[#This Row],[Batch by Type (p)]],SelectedPrecincts[Batch Name], 0)), "", INDEX(SelectedPrecincts[Draw], MATCH(SamplingData[[#This Row],[Batch by Type (p)]],SelectedPrecincts[Batch Name], 0)))</f>
        <v/>
      </c>
      <c r="X420" s="102">
        <f>IF(COUNTIF(SelectedPrecincts[Batch Name],SamplingData[[#This Row],[Batch by Type (p)]]) &lt;&gt; 0, COUNTIF(SelectedPrecincts[Batch Name],SamplingData[[#This Row],[Batch by Type (p)]]), 0)</f>
        <v>0</v>
      </c>
    </row>
    <row r="421" spans="1:24" ht="15" customHeight="1">
      <c r="A421" s="18" t="s">
        <v>597</v>
      </c>
      <c r="B421" s="18">
        <v>1</v>
      </c>
      <c r="C421" s="18">
        <v>0</v>
      </c>
      <c r="D421" s="16">
        <v>0</v>
      </c>
      <c r="E421" s="16">
        <v>0</v>
      </c>
      <c r="F421" s="37">
        <v>0</v>
      </c>
      <c r="G421" s="37">
        <v>0</v>
      </c>
      <c r="H421" s="17">
        <v>0</v>
      </c>
      <c r="I421" s="17">
        <v>0</v>
      </c>
      <c r="J421" s="99">
        <f>SUM(SamplingData[[#This Row],[Losing Candidate]:[Under Votes]])</f>
        <v>1</v>
      </c>
      <c r="K421" s="100">
        <f>IF(AND(SamplingData[[#This Row],[Total]]&lt;&gt; 0, NOT(ISBLANK(SamplingData[[#This Row],[Losing Candidate]]))),(SamplingData[[#This Row],[Total]]+SamplingData[[#This Row],[Winning Candidate]]-SamplingData[[#This Row],[Losing Candidate]])/(SamplingData[[#Totals],[Winning Candidate]]-SamplingData[[#Totals],[Losing Candidate]]), 0)</f>
        <v>0</v>
      </c>
      <c r="L421" s="100">
        <f>IF(AND(SamplingData[[#This Row],[Total]]&lt;&gt; 0, NOT(ISBLANK(SamplingData[[#This Row],[Candidate 3]]))),(SamplingData[[#This Row],[Total]]+SamplingData[[#This Row],[Winning Candidate]]-SamplingData[[#This Row],[Candidate 3]])/(SamplingData[[#Totals],[Winning Candidate]]-SamplingData[[#Totals],[Candidate 3]]), 0)</f>
        <v>3.2261186566441917E-5</v>
      </c>
      <c r="M421" s="100">
        <f>IF(AND(SamplingData[[#This Row],[Total]]&lt;&gt; 0, NOT(ISBLANK(SamplingData[[#This Row],[Candidate 4]]))),(SamplingData[[#This Row],[Total]]+SamplingData[[#This Row],[Winning Candidate]]-SamplingData[[#This Row],[Candidate 4]])/(SamplingData[[#Totals],[Winning Candidate]]-SamplingData[[#Totals],[Candidate 4]]), 0)</f>
        <v>2.923207343096846E-5</v>
      </c>
      <c r="N421" s="100">
        <f>IF(AND(SamplingData[[#This Row],[Total]]&lt;&gt; 0, NOT(ISBLANK(SamplingData[[#This Row],[Candidate 5]]))),(SamplingData[[#This Row],[Total]]+SamplingData[[#This Row],[Winning Candidate]]-SamplingData[[#This Row],[Candidate 5]])/(SamplingData[[#Totals],[Winning Candidate]]-SamplingData[[#Totals],[Candidate 5]]), 0)</f>
        <v>2.4324981756263683E-5</v>
      </c>
      <c r="O421" s="100">
        <f>IF(AND(SamplingData[[#This Row],[Total]]&lt;&gt; 0, NOT(ISBLANK(SamplingData[[#This Row],[Candidate 6]]))),(SamplingData[[#This Row],[Total]]+SamplingData[[#This Row],[Winning Candidate]]-SamplingData[[#This Row],[Candidate 6]])/(SamplingData[[#Totals],[Winning Candidate]]-SamplingData[[#Totals],[Candidate 6]]), 0)</f>
        <v>2.431788337143135E-5</v>
      </c>
      <c r="P421" s="100">
        <f>MAX(SamplingData[[#This Row],[Error Bound (up) - Max. possible relative overstatement - Losing Candidate]:[Error Bound (up) - Max. possible relative overstatement - Candidate 6]])</f>
        <v>3.2261186566441917E-5</v>
      </c>
      <c r="Q421" s="100">
        <f>IF(SamplingData[[#This Row],[Max Error Bound (up)]] = 0,0,SamplingData[[#This Row],[Max Error Bound (up)]]/SamplingData[[#Totals],[Max Error Bound (up)]])</f>
        <v>5.1058637768320663E-6</v>
      </c>
      <c r="R421" s="101">
        <f>SUM($Q$5:Q421)</f>
        <v>0.1819005111329392</v>
      </c>
      <c r="S421" s="100" t="str">
        <f t="array" ref="S421">IF(SamplingData[[#This Row],[up/U Selection Probability]] = 0, "Zero", TEXT(SamplingData[[#This Row],[Lower Range]], REPT("0",LEN('General Info'!$B$40))) &amp; " - " &amp; TEXT(SamplingData[[#This Row],[Upper Range]], REPT("0",LEN('General Info'!$B$40))))</f>
        <v>18190 - 18189</v>
      </c>
      <c r="T421" s="100">
        <f>SamplingData[[#This Row],[Upper Range]]-SamplingData[[#This Row],[Span]]</f>
        <v>18189.5405320221</v>
      </c>
      <c r="U421" s="100">
        <f>IF(ISNUMBER('General Info'!$B$40), ((SamplingData[[#This Row],[up/U Selection Probability]]) * 'General Info'!$B$40) - 1, 0)</f>
        <v>-0.4894187281805702</v>
      </c>
      <c r="V421" s="100">
        <f>IF(ISNUMBER('General Info'!$B$40), (SamplingData[[#This Row],[Running (cumulative) sum]] * ('General Info'!$B$40 -'General Info'!$B$41 + 1)) + 'General Info'!$B$41 - 1, 0)</f>
        <v>18189.051113293921</v>
      </c>
      <c r="W421" s="100" t="str">
        <f>IF(ISERROR(MATCH(SamplingData[[#This Row],[Batch by Type (p)]],SelectedPrecincts[Batch Name], 0)), "", INDEX(SelectedPrecincts[Draw], MATCH(SamplingData[[#This Row],[Batch by Type (p)]],SelectedPrecincts[Batch Name], 0)))</f>
        <v/>
      </c>
      <c r="X421" s="102">
        <f>IF(COUNTIF(SelectedPrecincts[Batch Name],SamplingData[[#This Row],[Batch by Type (p)]]) &lt;&gt; 0, COUNTIF(SelectedPrecincts[Batch Name],SamplingData[[#This Row],[Batch by Type (p)]]), 0)</f>
        <v>0</v>
      </c>
    </row>
    <row r="422" spans="1:24" ht="15" customHeight="1">
      <c r="A422" s="18" t="s">
        <v>598</v>
      </c>
      <c r="B422" s="18">
        <v>1</v>
      </c>
      <c r="C422" s="18">
        <v>0</v>
      </c>
      <c r="D422" s="18">
        <v>1</v>
      </c>
      <c r="E422" s="18">
        <v>0</v>
      </c>
      <c r="F422" s="18">
        <v>0</v>
      </c>
      <c r="G422" s="18">
        <v>0</v>
      </c>
      <c r="H422" s="18">
        <v>0</v>
      </c>
      <c r="I422" s="18">
        <v>0</v>
      </c>
      <c r="J422" s="99">
        <f>SUM(SamplingData[[#This Row],[Losing Candidate]:[Under Votes]])</f>
        <v>2</v>
      </c>
      <c r="K42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22" s="100">
        <f>IF(AND(SamplingData[[#This Row],[Total]]&lt;&gt; 0, NOT(ISBLANK(SamplingData[[#This Row],[Candidate 3]]))),(SamplingData[[#This Row],[Total]]+SamplingData[[#This Row],[Winning Candidate]]-SamplingData[[#This Row],[Candidate 3]])/(SamplingData[[#Totals],[Winning Candidate]]-SamplingData[[#Totals],[Candidate 3]]), 0)</f>
        <v>3.2261186566441917E-5</v>
      </c>
      <c r="M422" s="100">
        <f>IF(AND(SamplingData[[#This Row],[Total]]&lt;&gt; 0, NOT(ISBLANK(SamplingData[[#This Row],[Candidate 4]]))),(SamplingData[[#This Row],[Total]]+SamplingData[[#This Row],[Winning Candidate]]-SamplingData[[#This Row],[Candidate 4]])/(SamplingData[[#Totals],[Winning Candidate]]-SamplingData[[#Totals],[Candidate 4]]), 0)</f>
        <v>5.846414686193692E-5</v>
      </c>
      <c r="N422" s="100">
        <f>IF(AND(SamplingData[[#This Row],[Total]]&lt;&gt; 0, NOT(ISBLANK(SamplingData[[#This Row],[Candidate 5]]))),(SamplingData[[#This Row],[Total]]+SamplingData[[#This Row],[Winning Candidate]]-SamplingData[[#This Row],[Candidate 5]])/(SamplingData[[#Totals],[Winning Candidate]]-SamplingData[[#Totals],[Candidate 5]]), 0)</f>
        <v>4.8649963512527367E-5</v>
      </c>
      <c r="O422" s="100">
        <f>IF(AND(SamplingData[[#This Row],[Total]]&lt;&gt; 0, NOT(ISBLANK(SamplingData[[#This Row],[Candidate 6]]))),(SamplingData[[#This Row],[Total]]+SamplingData[[#This Row],[Winning Candidate]]-SamplingData[[#This Row],[Candidate 6]])/(SamplingData[[#Totals],[Winning Candidate]]-SamplingData[[#Totals],[Candidate 6]]), 0)</f>
        <v>4.8635766742862701E-5</v>
      </c>
      <c r="P422" s="100">
        <f>MAX(SamplingData[[#This Row],[Error Bound (up) - Max. possible relative overstatement - Losing Candidate]:[Error Bound (up) - Max. possible relative overstatement - Candidate 6]])</f>
        <v>6.1244487996080352E-5</v>
      </c>
      <c r="Q422" s="100">
        <f>IF(SamplingData[[#This Row],[Max Error Bound (up)]] = 0,0,SamplingData[[#This Row],[Max Error Bound (up)]]/SamplingData[[#Totals],[Max Error Bound (up)]])</f>
        <v>9.6929482784458315E-6</v>
      </c>
      <c r="R422" s="101">
        <f>SUM($Q$5:Q422)</f>
        <v>0.18191020408121764</v>
      </c>
      <c r="S422" s="100" t="str">
        <f t="array" ref="S422">IF(SamplingData[[#This Row],[up/U Selection Probability]] = 0, "Zero", TEXT(SamplingData[[#This Row],[Lower Range]], REPT("0",LEN('General Info'!$B$40))) &amp; " - " &amp; TEXT(SamplingData[[#This Row],[Upper Range]], REPT("0",LEN('General Info'!$B$40))))</f>
        <v>18190 - 18190</v>
      </c>
      <c r="T422" s="100">
        <f>SamplingData[[#This Row],[Upper Range]]-SamplingData[[#This Row],[Span]]</f>
        <v>18190.051122986868</v>
      </c>
      <c r="U422" s="100">
        <f>IF(ISNUMBER('General Info'!$B$40), ((SamplingData[[#This Row],[up/U Selection Probability]]) * 'General Info'!$B$40) - 1, 0)</f>
        <v>-3.0714865103695255E-2</v>
      </c>
      <c r="V422" s="100">
        <f>IF(ISNUMBER('General Info'!$B$40), (SamplingData[[#This Row],[Running (cumulative) sum]] * ('General Info'!$B$40 -'General Info'!$B$41 + 1)) + 'General Info'!$B$41 - 1, 0)</f>
        <v>18190.020408121763</v>
      </c>
      <c r="W422" s="100" t="str">
        <f>IF(ISERROR(MATCH(SamplingData[[#This Row],[Batch by Type (p)]],SelectedPrecincts[Batch Name], 0)), "", INDEX(SelectedPrecincts[Draw], MATCH(SamplingData[[#This Row],[Batch by Type (p)]],SelectedPrecincts[Batch Name], 0)))</f>
        <v/>
      </c>
      <c r="X422" s="102">
        <f>IF(COUNTIF(SelectedPrecincts[Batch Name],SamplingData[[#This Row],[Batch by Type (p)]]) &lt;&gt; 0, COUNTIF(SelectedPrecincts[Batch Name],SamplingData[[#This Row],[Batch by Type (p)]]), 0)</f>
        <v>0</v>
      </c>
    </row>
    <row r="423" spans="1:24" ht="15" customHeight="1">
      <c r="A423" s="18" t="s">
        <v>599</v>
      </c>
      <c r="B423" s="18">
        <v>0</v>
      </c>
      <c r="C423" s="18">
        <v>0</v>
      </c>
      <c r="D423" s="16">
        <v>0</v>
      </c>
      <c r="E423" s="16">
        <v>0</v>
      </c>
      <c r="F423" s="37">
        <v>0</v>
      </c>
      <c r="G423" s="37">
        <v>0</v>
      </c>
      <c r="H423" s="17">
        <v>0</v>
      </c>
      <c r="I423" s="17">
        <v>0</v>
      </c>
      <c r="J423" s="99">
        <f>SUM(SamplingData[[#This Row],[Losing Candidate]:[Under Votes]])</f>
        <v>0</v>
      </c>
      <c r="K423" s="100">
        <f>IF(AND(SamplingData[[#This Row],[Total]]&lt;&gt; 0, NOT(ISBLANK(SamplingData[[#This Row],[Losing Candidate]]))),(SamplingData[[#This Row],[Total]]+SamplingData[[#This Row],[Winning Candidate]]-SamplingData[[#This Row],[Losing Candidate]])/(SamplingData[[#Totals],[Winning Candidate]]-SamplingData[[#Totals],[Losing Candidate]]), 0)</f>
        <v>0</v>
      </c>
      <c r="L423" s="100">
        <f>IF(AND(SamplingData[[#This Row],[Total]]&lt;&gt; 0, NOT(ISBLANK(SamplingData[[#This Row],[Candidate 3]]))),(SamplingData[[#This Row],[Total]]+SamplingData[[#This Row],[Winning Candidate]]-SamplingData[[#This Row],[Candidate 3]])/(SamplingData[[#Totals],[Winning Candidate]]-SamplingData[[#Totals],[Candidate 3]]), 0)</f>
        <v>0</v>
      </c>
      <c r="M423" s="100">
        <f>IF(AND(SamplingData[[#This Row],[Total]]&lt;&gt; 0, NOT(ISBLANK(SamplingData[[#This Row],[Candidate 4]]))),(SamplingData[[#This Row],[Total]]+SamplingData[[#This Row],[Winning Candidate]]-SamplingData[[#This Row],[Candidate 4]])/(SamplingData[[#Totals],[Winning Candidate]]-SamplingData[[#Totals],[Candidate 4]]), 0)</f>
        <v>0</v>
      </c>
      <c r="N423" s="100">
        <f>IF(AND(SamplingData[[#This Row],[Total]]&lt;&gt; 0, NOT(ISBLANK(SamplingData[[#This Row],[Candidate 5]]))),(SamplingData[[#This Row],[Total]]+SamplingData[[#This Row],[Winning Candidate]]-SamplingData[[#This Row],[Candidate 5]])/(SamplingData[[#Totals],[Winning Candidate]]-SamplingData[[#Totals],[Candidate 5]]), 0)</f>
        <v>0</v>
      </c>
      <c r="O423" s="100">
        <f>IF(AND(SamplingData[[#This Row],[Total]]&lt;&gt; 0, NOT(ISBLANK(SamplingData[[#This Row],[Candidate 6]]))),(SamplingData[[#This Row],[Total]]+SamplingData[[#This Row],[Winning Candidate]]-SamplingData[[#This Row],[Candidate 6]])/(SamplingData[[#Totals],[Winning Candidate]]-SamplingData[[#Totals],[Candidate 6]]), 0)</f>
        <v>0</v>
      </c>
      <c r="P423" s="100">
        <f>MAX(SamplingData[[#This Row],[Error Bound (up) - Max. possible relative overstatement - Losing Candidate]:[Error Bound (up) - Max. possible relative overstatement - Candidate 6]])</f>
        <v>0</v>
      </c>
      <c r="Q423" s="100">
        <f>IF(SamplingData[[#This Row],[Max Error Bound (up)]] = 0,0,SamplingData[[#This Row],[Max Error Bound (up)]]/SamplingData[[#Totals],[Max Error Bound (up)]])</f>
        <v>0</v>
      </c>
      <c r="R423" s="101">
        <f>SUM($Q$5:Q423)</f>
        <v>0.18191020408121764</v>
      </c>
      <c r="S423" s="100" t="str">
        <f t="array" ref="S423">IF(SamplingData[[#This Row],[up/U Selection Probability]] = 0, "Zero", TEXT(SamplingData[[#This Row],[Lower Range]], REPT("0",LEN('General Info'!$B$40))) &amp; " - " &amp; TEXT(SamplingData[[#This Row],[Upper Range]], REPT("0",LEN('General Info'!$B$40))))</f>
        <v>Zero</v>
      </c>
      <c r="T423" s="100">
        <f>SamplingData[[#This Row],[Upper Range]]-SamplingData[[#This Row],[Span]]</f>
        <v>18191.020408121763</v>
      </c>
      <c r="U423" s="100">
        <f>IF(ISNUMBER('General Info'!$B$40), ((SamplingData[[#This Row],[up/U Selection Probability]]) * 'General Info'!$B$40) - 1, 0)</f>
        <v>-1</v>
      </c>
      <c r="V423" s="100">
        <f>IF(ISNUMBER('General Info'!$B$40), (SamplingData[[#This Row],[Running (cumulative) sum]] * ('General Info'!$B$40 -'General Info'!$B$41 + 1)) + 'General Info'!$B$41 - 1, 0)</f>
        <v>18190.020408121763</v>
      </c>
      <c r="W423" s="100" t="str">
        <f>IF(ISERROR(MATCH(SamplingData[[#This Row],[Batch by Type (p)]],SelectedPrecincts[Batch Name], 0)), "", INDEX(SelectedPrecincts[Draw], MATCH(SamplingData[[#This Row],[Batch by Type (p)]],SelectedPrecincts[Batch Name], 0)))</f>
        <v/>
      </c>
      <c r="X423" s="102">
        <f>IF(COUNTIF(SelectedPrecincts[Batch Name],SamplingData[[#This Row],[Batch by Type (p)]]) &lt;&gt; 0, COUNTIF(SelectedPrecincts[Batch Name],SamplingData[[#This Row],[Batch by Type (p)]]), 0)</f>
        <v>0</v>
      </c>
    </row>
    <row r="424" spans="1:24" ht="15" customHeight="1">
      <c r="A424" s="18" t="s">
        <v>600</v>
      </c>
      <c r="B424" s="18">
        <v>0</v>
      </c>
      <c r="C424" s="18">
        <v>0</v>
      </c>
      <c r="D424" s="18">
        <v>0</v>
      </c>
      <c r="E424" s="18">
        <v>0</v>
      </c>
      <c r="F424" s="18">
        <v>0</v>
      </c>
      <c r="G424" s="18">
        <v>0</v>
      </c>
      <c r="H424" s="18">
        <v>0</v>
      </c>
      <c r="I424" s="18">
        <v>0</v>
      </c>
      <c r="J424" s="99">
        <f>SUM(SamplingData[[#This Row],[Losing Candidate]:[Under Votes]])</f>
        <v>0</v>
      </c>
      <c r="K424" s="100">
        <f>IF(AND(SamplingData[[#This Row],[Total]]&lt;&gt; 0, NOT(ISBLANK(SamplingData[[#This Row],[Losing Candidate]]))),(SamplingData[[#This Row],[Total]]+SamplingData[[#This Row],[Winning Candidate]]-SamplingData[[#This Row],[Losing Candidate]])/(SamplingData[[#Totals],[Winning Candidate]]-SamplingData[[#Totals],[Losing Candidate]]), 0)</f>
        <v>0</v>
      </c>
      <c r="L424" s="100">
        <f>IF(AND(SamplingData[[#This Row],[Total]]&lt;&gt; 0, NOT(ISBLANK(SamplingData[[#This Row],[Candidate 3]]))),(SamplingData[[#This Row],[Total]]+SamplingData[[#This Row],[Winning Candidate]]-SamplingData[[#This Row],[Candidate 3]])/(SamplingData[[#Totals],[Winning Candidate]]-SamplingData[[#Totals],[Candidate 3]]), 0)</f>
        <v>0</v>
      </c>
      <c r="M424" s="100">
        <f>IF(AND(SamplingData[[#This Row],[Total]]&lt;&gt; 0, NOT(ISBLANK(SamplingData[[#This Row],[Candidate 4]]))),(SamplingData[[#This Row],[Total]]+SamplingData[[#This Row],[Winning Candidate]]-SamplingData[[#This Row],[Candidate 4]])/(SamplingData[[#Totals],[Winning Candidate]]-SamplingData[[#Totals],[Candidate 4]]), 0)</f>
        <v>0</v>
      </c>
      <c r="N424" s="100">
        <f>IF(AND(SamplingData[[#This Row],[Total]]&lt;&gt; 0, NOT(ISBLANK(SamplingData[[#This Row],[Candidate 5]]))),(SamplingData[[#This Row],[Total]]+SamplingData[[#This Row],[Winning Candidate]]-SamplingData[[#This Row],[Candidate 5]])/(SamplingData[[#Totals],[Winning Candidate]]-SamplingData[[#Totals],[Candidate 5]]), 0)</f>
        <v>0</v>
      </c>
      <c r="O424" s="100">
        <f>IF(AND(SamplingData[[#This Row],[Total]]&lt;&gt; 0, NOT(ISBLANK(SamplingData[[#This Row],[Candidate 6]]))),(SamplingData[[#This Row],[Total]]+SamplingData[[#This Row],[Winning Candidate]]-SamplingData[[#This Row],[Candidate 6]])/(SamplingData[[#Totals],[Winning Candidate]]-SamplingData[[#Totals],[Candidate 6]]), 0)</f>
        <v>0</v>
      </c>
      <c r="P424" s="100">
        <f>MAX(SamplingData[[#This Row],[Error Bound (up) - Max. possible relative overstatement - Losing Candidate]:[Error Bound (up) - Max. possible relative overstatement - Candidate 6]])</f>
        <v>0</v>
      </c>
      <c r="Q424" s="100">
        <f>IF(SamplingData[[#This Row],[Max Error Bound (up)]] = 0,0,SamplingData[[#This Row],[Max Error Bound (up)]]/SamplingData[[#Totals],[Max Error Bound (up)]])</f>
        <v>0</v>
      </c>
      <c r="R424" s="101">
        <f>SUM($Q$5:Q424)</f>
        <v>0.18191020408121764</v>
      </c>
      <c r="S424" s="100" t="str">
        <f t="array" ref="S424">IF(SamplingData[[#This Row],[up/U Selection Probability]] = 0, "Zero", TEXT(SamplingData[[#This Row],[Lower Range]], REPT("0",LEN('General Info'!$B$40))) &amp; " - " &amp; TEXT(SamplingData[[#This Row],[Upper Range]], REPT("0",LEN('General Info'!$B$40))))</f>
        <v>Zero</v>
      </c>
      <c r="T424" s="100">
        <f>SamplingData[[#This Row],[Upper Range]]-SamplingData[[#This Row],[Span]]</f>
        <v>18191.020408121763</v>
      </c>
      <c r="U424" s="100">
        <f>IF(ISNUMBER('General Info'!$B$40), ((SamplingData[[#This Row],[up/U Selection Probability]]) * 'General Info'!$B$40) - 1, 0)</f>
        <v>-1</v>
      </c>
      <c r="V424" s="100">
        <f>IF(ISNUMBER('General Info'!$B$40), (SamplingData[[#This Row],[Running (cumulative) sum]] * ('General Info'!$B$40 -'General Info'!$B$41 + 1)) + 'General Info'!$B$41 - 1, 0)</f>
        <v>18190.020408121763</v>
      </c>
      <c r="W424" s="100" t="str">
        <f>IF(ISERROR(MATCH(SamplingData[[#This Row],[Batch by Type (p)]],SelectedPrecincts[Batch Name], 0)), "", INDEX(SelectedPrecincts[Draw], MATCH(SamplingData[[#This Row],[Batch by Type (p)]],SelectedPrecincts[Batch Name], 0)))</f>
        <v/>
      </c>
      <c r="X424" s="102">
        <f>IF(COUNTIF(SelectedPrecincts[Batch Name],SamplingData[[#This Row],[Batch by Type (p)]]) &lt;&gt; 0, COUNTIF(SelectedPrecincts[Batch Name],SamplingData[[#This Row],[Batch by Type (p)]]), 0)</f>
        <v>0</v>
      </c>
    </row>
    <row r="425" spans="1:24" ht="15" customHeight="1">
      <c r="A425" s="18" t="s">
        <v>601</v>
      </c>
      <c r="B425" s="18">
        <v>0</v>
      </c>
      <c r="C425" s="18">
        <v>0</v>
      </c>
      <c r="D425" s="16">
        <v>1</v>
      </c>
      <c r="E425" s="16">
        <v>0</v>
      </c>
      <c r="F425" s="37">
        <v>0</v>
      </c>
      <c r="G425" s="37">
        <v>0</v>
      </c>
      <c r="H425" s="17">
        <v>0</v>
      </c>
      <c r="I425" s="17">
        <v>0</v>
      </c>
      <c r="J425" s="99">
        <f>SUM(SamplingData[[#This Row],[Losing Candidate]:[Under Votes]])</f>
        <v>1</v>
      </c>
      <c r="K425"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25" s="100">
        <f>IF(AND(SamplingData[[#This Row],[Total]]&lt;&gt; 0, NOT(ISBLANK(SamplingData[[#This Row],[Candidate 3]]))),(SamplingData[[#This Row],[Total]]+SamplingData[[#This Row],[Winning Candidate]]-SamplingData[[#This Row],[Candidate 3]])/(SamplingData[[#Totals],[Winning Candidate]]-SamplingData[[#Totals],[Candidate 3]]), 0)</f>
        <v>0</v>
      </c>
      <c r="M425" s="100">
        <f>IF(AND(SamplingData[[#This Row],[Total]]&lt;&gt; 0, NOT(ISBLANK(SamplingData[[#This Row],[Candidate 4]]))),(SamplingData[[#This Row],[Total]]+SamplingData[[#This Row],[Winning Candidate]]-SamplingData[[#This Row],[Candidate 4]])/(SamplingData[[#Totals],[Winning Candidate]]-SamplingData[[#Totals],[Candidate 4]]), 0)</f>
        <v>2.923207343096846E-5</v>
      </c>
      <c r="N425" s="100">
        <f>IF(AND(SamplingData[[#This Row],[Total]]&lt;&gt; 0, NOT(ISBLANK(SamplingData[[#This Row],[Candidate 5]]))),(SamplingData[[#This Row],[Total]]+SamplingData[[#This Row],[Winning Candidate]]-SamplingData[[#This Row],[Candidate 5]])/(SamplingData[[#Totals],[Winning Candidate]]-SamplingData[[#Totals],[Candidate 5]]), 0)</f>
        <v>2.4324981756263683E-5</v>
      </c>
      <c r="O425" s="100">
        <f>IF(AND(SamplingData[[#This Row],[Total]]&lt;&gt; 0, NOT(ISBLANK(SamplingData[[#This Row],[Candidate 6]]))),(SamplingData[[#This Row],[Total]]+SamplingData[[#This Row],[Winning Candidate]]-SamplingData[[#This Row],[Candidate 6]])/(SamplingData[[#Totals],[Winning Candidate]]-SamplingData[[#Totals],[Candidate 6]]), 0)</f>
        <v>2.431788337143135E-5</v>
      </c>
      <c r="P425" s="100">
        <f>MAX(SamplingData[[#This Row],[Error Bound (up) - Max. possible relative overstatement - Losing Candidate]:[Error Bound (up) - Max. possible relative overstatement - Candidate 6]])</f>
        <v>6.1244487996080352E-5</v>
      </c>
      <c r="Q425" s="100">
        <f>IF(SamplingData[[#This Row],[Max Error Bound (up)]] = 0,0,SamplingData[[#This Row],[Max Error Bound (up)]]/SamplingData[[#Totals],[Max Error Bound (up)]])</f>
        <v>9.6929482784458315E-6</v>
      </c>
      <c r="R425" s="101">
        <f>SUM($Q$5:Q425)</f>
        <v>0.18191989702949607</v>
      </c>
      <c r="S425" s="100" t="str">
        <f t="array" ref="S425">IF(SamplingData[[#This Row],[up/U Selection Probability]] = 0, "Zero", TEXT(SamplingData[[#This Row],[Lower Range]], REPT("0",LEN('General Info'!$B$40))) &amp; " - " &amp; TEXT(SamplingData[[#This Row],[Upper Range]], REPT("0",LEN('General Info'!$B$40))))</f>
        <v>18191 - 18191</v>
      </c>
      <c r="T425" s="100">
        <f>SamplingData[[#This Row],[Upper Range]]-SamplingData[[#This Row],[Span]]</f>
        <v>18191.020417814711</v>
      </c>
      <c r="U425" s="100">
        <f>IF(ISNUMBER('General Info'!$B$40), ((SamplingData[[#This Row],[up/U Selection Probability]]) * 'General Info'!$B$40) - 1, 0)</f>
        <v>-3.0714865103695255E-2</v>
      </c>
      <c r="V425" s="100">
        <f>IF(ISNUMBER('General Info'!$B$40), (SamplingData[[#This Row],[Running (cumulative) sum]] * ('General Info'!$B$40 -'General Info'!$B$41 + 1)) + 'General Info'!$B$41 - 1, 0)</f>
        <v>18190.989702949606</v>
      </c>
      <c r="W425" s="100" t="str">
        <f>IF(ISERROR(MATCH(SamplingData[[#This Row],[Batch by Type (p)]],SelectedPrecincts[Batch Name], 0)), "", INDEX(SelectedPrecincts[Draw], MATCH(SamplingData[[#This Row],[Batch by Type (p)]],SelectedPrecincts[Batch Name], 0)))</f>
        <v/>
      </c>
      <c r="X425" s="102">
        <f>IF(COUNTIF(SelectedPrecincts[Batch Name],SamplingData[[#This Row],[Batch by Type (p)]]) &lt;&gt; 0, COUNTIF(SelectedPrecincts[Batch Name],SamplingData[[#This Row],[Batch by Type (p)]]), 0)</f>
        <v>0</v>
      </c>
    </row>
    <row r="426" spans="1:24" ht="15" customHeight="1">
      <c r="A426" s="18" t="s">
        <v>602</v>
      </c>
      <c r="B426" s="18">
        <v>0</v>
      </c>
      <c r="C426" s="18">
        <v>0</v>
      </c>
      <c r="D426" s="18">
        <v>0</v>
      </c>
      <c r="E426" s="18">
        <v>0</v>
      </c>
      <c r="F426" s="18">
        <v>0</v>
      </c>
      <c r="G426" s="18">
        <v>0</v>
      </c>
      <c r="H426" s="18">
        <v>0</v>
      </c>
      <c r="I426" s="18">
        <v>0</v>
      </c>
      <c r="J426" s="99">
        <f>SUM(SamplingData[[#This Row],[Losing Candidate]:[Under Votes]])</f>
        <v>0</v>
      </c>
      <c r="K426" s="100">
        <f>IF(AND(SamplingData[[#This Row],[Total]]&lt;&gt; 0, NOT(ISBLANK(SamplingData[[#This Row],[Losing Candidate]]))),(SamplingData[[#This Row],[Total]]+SamplingData[[#This Row],[Winning Candidate]]-SamplingData[[#This Row],[Losing Candidate]])/(SamplingData[[#Totals],[Winning Candidate]]-SamplingData[[#Totals],[Losing Candidate]]), 0)</f>
        <v>0</v>
      </c>
      <c r="L426" s="100">
        <f>IF(AND(SamplingData[[#This Row],[Total]]&lt;&gt; 0, NOT(ISBLANK(SamplingData[[#This Row],[Candidate 3]]))),(SamplingData[[#This Row],[Total]]+SamplingData[[#This Row],[Winning Candidate]]-SamplingData[[#This Row],[Candidate 3]])/(SamplingData[[#Totals],[Winning Candidate]]-SamplingData[[#Totals],[Candidate 3]]), 0)</f>
        <v>0</v>
      </c>
      <c r="M426" s="100">
        <f>IF(AND(SamplingData[[#This Row],[Total]]&lt;&gt; 0, NOT(ISBLANK(SamplingData[[#This Row],[Candidate 4]]))),(SamplingData[[#This Row],[Total]]+SamplingData[[#This Row],[Winning Candidate]]-SamplingData[[#This Row],[Candidate 4]])/(SamplingData[[#Totals],[Winning Candidate]]-SamplingData[[#Totals],[Candidate 4]]), 0)</f>
        <v>0</v>
      </c>
      <c r="N426" s="100">
        <f>IF(AND(SamplingData[[#This Row],[Total]]&lt;&gt; 0, NOT(ISBLANK(SamplingData[[#This Row],[Candidate 5]]))),(SamplingData[[#This Row],[Total]]+SamplingData[[#This Row],[Winning Candidate]]-SamplingData[[#This Row],[Candidate 5]])/(SamplingData[[#Totals],[Winning Candidate]]-SamplingData[[#Totals],[Candidate 5]]), 0)</f>
        <v>0</v>
      </c>
      <c r="O426" s="100">
        <f>IF(AND(SamplingData[[#This Row],[Total]]&lt;&gt; 0, NOT(ISBLANK(SamplingData[[#This Row],[Candidate 6]]))),(SamplingData[[#This Row],[Total]]+SamplingData[[#This Row],[Winning Candidate]]-SamplingData[[#This Row],[Candidate 6]])/(SamplingData[[#Totals],[Winning Candidate]]-SamplingData[[#Totals],[Candidate 6]]), 0)</f>
        <v>0</v>
      </c>
      <c r="P426" s="100">
        <f>MAX(SamplingData[[#This Row],[Error Bound (up) - Max. possible relative overstatement - Losing Candidate]:[Error Bound (up) - Max. possible relative overstatement - Candidate 6]])</f>
        <v>0</v>
      </c>
      <c r="Q426" s="100">
        <f>IF(SamplingData[[#This Row],[Max Error Bound (up)]] = 0,0,SamplingData[[#This Row],[Max Error Bound (up)]]/SamplingData[[#Totals],[Max Error Bound (up)]])</f>
        <v>0</v>
      </c>
      <c r="R426" s="101">
        <f>SUM($Q$5:Q426)</f>
        <v>0.18191989702949607</v>
      </c>
      <c r="S426" s="100" t="str">
        <f t="array" ref="S426">IF(SamplingData[[#This Row],[up/U Selection Probability]] = 0, "Zero", TEXT(SamplingData[[#This Row],[Lower Range]], REPT("0",LEN('General Info'!$B$40))) &amp; " - " &amp; TEXT(SamplingData[[#This Row],[Upper Range]], REPT("0",LEN('General Info'!$B$40))))</f>
        <v>Zero</v>
      </c>
      <c r="T426" s="100">
        <f>SamplingData[[#This Row],[Upper Range]]-SamplingData[[#This Row],[Span]]</f>
        <v>18191.989702949606</v>
      </c>
      <c r="U426" s="100">
        <f>IF(ISNUMBER('General Info'!$B$40), ((SamplingData[[#This Row],[up/U Selection Probability]]) * 'General Info'!$B$40) - 1, 0)</f>
        <v>-1</v>
      </c>
      <c r="V426" s="100">
        <f>IF(ISNUMBER('General Info'!$B$40), (SamplingData[[#This Row],[Running (cumulative) sum]] * ('General Info'!$B$40 -'General Info'!$B$41 + 1)) + 'General Info'!$B$41 - 1, 0)</f>
        <v>18190.989702949606</v>
      </c>
      <c r="W426" s="100" t="str">
        <f>IF(ISERROR(MATCH(SamplingData[[#This Row],[Batch by Type (p)]],SelectedPrecincts[Batch Name], 0)), "", INDEX(SelectedPrecincts[Draw], MATCH(SamplingData[[#This Row],[Batch by Type (p)]],SelectedPrecincts[Batch Name], 0)))</f>
        <v/>
      </c>
      <c r="X426" s="102">
        <f>IF(COUNTIF(SelectedPrecincts[Batch Name],SamplingData[[#This Row],[Batch by Type (p)]]) &lt;&gt; 0, COUNTIF(SelectedPrecincts[Batch Name],SamplingData[[#This Row],[Batch by Type (p)]]), 0)</f>
        <v>0</v>
      </c>
    </row>
    <row r="427" spans="1:24" ht="15" customHeight="1">
      <c r="A427" s="18" t="s">
        <v>603</v>
      </c>
      <c r="B427" s="18">
        <v>1</v>
      </c>
      <c r="C427" s="18">
        <v>0</v>
      </c>
      <c r="D427" s="16">
        <v>0</v>
      </c>
      <c r="E427" s="16">
        <v>0</v>
      </c>
      <c r="F427" s="37">
        <v>0</v>
      </c>
      <c r="G427" s="37">
        <v>0</v>
      </c>
      <c r="H427" s="17">
        <v>0</v>
      </c>
      <c r="I427" s="17">
        <v>0</v>
      </c>
      <c r="J427" s="99">
        <f>SUM(SamplingData[[#This Row],[Losing Candidate]:[Under Votes]])</f>
        <v>1</v>
      </c>
      <c r="K427" s="100">
        <f>IF(AND(SamplingData[[#This Row],[Total]]&lt;&gt; 0, NOT(ISBLANK(SamplingData[[#This Row],[Losing Candidate]]))),(SamplingData[[#This Row],[Total]]+SamplingData[[#This Row],[Winning Candidate]]-SamplingData[[#This Row],[Losing Candidate]])/(SamplingData[[#Totals],[Winning Candidate]]-SamplingData[[#Totals],[Losing Candidate]]), 0)</f>
        <v>0</v>
      </c>
      <c r="L427" s="100">
        <f>IF(AND(SamplingData[[#This Row],[Total]]&lt;&gt; 0, NOT(ISBLANK(SamplingData[[#This Row],[Candidate 3]]))),(SamplingData[[#This Row],[Total]]+SamplingData[[#This Row],[Winning Candidate]]-SamplingData[[#This Row],[Candidate 3]])/(SamplingData[[#Totals],[Winning Candidate]]-SamplingData[[#Totals],[Candidate 3]]), 0)</f>
        <v>3.2261186566441917E-5</v>
      </c>
      <c r="M427" s="100">
        <f>IF(AND(SamplingData[[#This Row],[Total]]&lt;&gt; 0, NOT(ISBLANK(SamplingData[[#This Row],[Candidate 4]]))),(SamplingData[[#This Row],[Total]]+SamplingData[[#This Row],[Winning Candidate]]-SamplingData[[#This Row],[Candidate 4]])/(SamplingData[[#Totals],[Winning Candidate]]-SamplingData[[#Totals],[Candidate 4]]), 0)</f>
        <v>2.923207343096846E-5</v>
      </c>
      <c r="N427" s="100">
        <f>IF(AND(SamplingData[[#This Row],[Total]]&lt;&gt; 0, NOT(ISBLANK(SamplingData[[#This Row],[Candidate 5]]))),(SamplingData[[#This Row],[Total]]+SamplingData[[#This Row],[Winning Candidate]]-SamplingData[[#This Row],[Candidate 5]])/(SamplingData[[#Totals],[Winning Candidate]]-SamplingData[[#Totals],[Candidate 5]]), 0)</f>
        <v>2.4324981756263683E-5</v>
      </c>
      <c r="O427" s="100">
        <f>IF(AND(SamplingData[[#This Row],[Total]]&lt;&gt; 0, NOT(ISBLANK(SamplingData[[#This Row],[Candidate 6]]))),(SamplingData[[#This Row],[Total]]+SamplingData[[#This Row],[Winning Candidate]]-SamplingData[[#This Row],[Candidate 6]])/(SamplingData[[#Totals],[Winning Candidate]]-SamplingData[[#Totals],[Candidate 6]]), 0)</f>
        <v>2.431788337143135E-5</v>
      </c>
      <c r="P427" s="100">
        <f>MAX(SamplingData[[#This Row],[Error Bound (up) - Max. possible relative overstatement - Losing Candidate]:[Error Bound (up) - Max. possible relative overstatement - Candidate 6]])</f>
        <v>3.2261186566441917E-5</v>
      </c>
      <c r="Q427" s="100">
        <f>IF(SamplingData[[#This Row],[Max Error Bound (up)]] = 0,0,SamplingData[[#This Row],[Max Error Bound (up)]]/SamplingData[[#Totals],[Max Error Bound (up)]])</f>
        <v>5.1058637768320663E-6</v>
      </c>
      <c r="R427" s="101">
        <f>SUM($Q$5:Q427)</f>
        <v>0.1819250028932729</v>
      </c>
      <c r="S427" s="100" t="str">
        <f t="array" ref="S427">IF(SamplingData[[#This Row],[up/U Selection Probability]] = 0, "Zero", TEXT(SamplingData[[#This Row],[Lower Range]], REPT("0",LEN('General Info'!$B$40))) &amp; " - " &amp; TEXT(SamplingData[[#This Row],[Upper Range]], REPT("0",LEN('General Info'!$B$40))))</f>
        <v>18192 - 18192</v>
      </c>
      <c r="T427" s="100">
        <f>SamplingData[[#This Row],[Upper Range]]-SamplingData[[#This Row],[Span]]</f>
        <v>18191.989708055469</v>
      </c>
      <c r="U427" s="100">
        <f>IF(ISNUMBER('General Info'!$B$40), ((SamplingData[[#This Row],[up/U Selection Probability]]) * 'General Info'!$B$40) - 1, 0)</f>
        <v>-0.4894187281805702</v>
      </c>
      <c r="V427" s="100">
        <f>IF(ISNUMBER('General Info'!$B$40), (SamplingData[[#This Row],[Running (cumulative) sum]] * ('General Info'!$B$40 -'General Info'!$B$41 + 1)) + 'General Info'!$B$41 - 1, 0)</f>
        <v>18191.50028932729</v>
      </c>
      <c r="W427" s="100" t="str">
        <f>IF(ISERROR(MATCH(SamplingData[[#This Row],[Batch by Type (p)]],SelectedPrecincts[Batch Name], 0)), "", INDEX(SelectedPrecincts[Draw], MATCH(SamplingData[[#This Row],[Batch by Type (p)]],SelectedPrecincts[Batch Name], 0)))</f>
        <v/>
      </c>
      <c r="X427" s="102">
        <f>IF(COUNTIF(SelectedPrecincts[Batch Name],SamplingData[[#This Row],[Batch by Type (p)]]) &lt;&gt; 0, COUNTIF(SelectedPrecincts[Batch Name],SamplingData[[#This Row],[Batch by Type (p)]]), 0)</f>
        <v>0</v>
      </c>
    </row>
    <row r="428" spans="1:24" ht="15" customHeight="1">
      <c r="A428" s="18" t="s">
        <v>604</v>
      </c>
      <c r="B428" s="18">
        <v>0</v>
      </c>
      <c r="C428" s="18">
        <v>0</v>
      </c>
      <c r="D428" s="18">
        <v>0</v>
      </c>
      <c r="E428" s="18">
        <v>0</v>
      </c>
      <c r="F428" s="18">
        <v>0</v>
      </c>
      <c r="G428" s="18">
        <v>0</v>
      </c>
      <c r="H428" s="18">
        <v>0</v>
      </c>
      <c r="I428" s="18">
        <v>1</v>
      </c>
      <c r="J428" s="99">
        <f>SUM(SamplingData[[#This Row],[Losing Candidate]:[Under Votes]])</f>
        <v>1</v>
      </c>
      <c r="K42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28" s="100">
        <f>IF(AND(SamplingData[[#This Row],[Total]]&lt;&gt; 0, NOT(ISBLANK(SamplingData[[#This Row],[Candidate 3]]))),(SamplingData[[#This Row],[Total]]+SamplingData[[#This Row],[Winning Candidate]]-SamplingData[[#This Row],[Candidate 3]])/(SamplingData[[#Totals],[Winning Candidate]]-SamplingData[[#Totals],[Candidate 3]]), 0)</f>
        <v>3.2261186566441917E-5</v>
      </c>
      <c r="M428" s="100">
        <f>IF(AND(SamplingData[[#This Row],[Total]]&lt;&gt; 0, NOT(ISBLANK(SamplingData[[#This Row],[Candidate 4]]))),(SamplingData[[#This Row],[Total]]+SamplingData[[#This Row],[Winning Candidate]]-SamplingData[[#This Row],[Candidate 4]])/(SamplingData[[#Totals],[Winning Candidate]]-SamplingData[[#Totals],[Candidate 4]]), 0)</f>
        <v>2.923207343096846E-5</v>
      </c>
      <c r="N428" s="100">
        <f>IF(AND(SamplingData[[#This Row],[Total]]&lt;&gt; 0, NOT(ISBLANK(SamplingData[[#This Row],[Candidate 5]]))),(SamplingData[[#This Row],[Total]]+SamplingData[[#This Row],[Winning Candidate]]-SamplingData[[#This Row],[Candidate 5]])/(SamplingData[[#Totals],[Winning Candidate]]-SamplingData[[#Totals],[Candidate 5]]), 0)</f>
        <v>2.4324981756263683E-5</v>
      </c>
      <c r="O428" s="100">
        <f>IF(AND(SamplingData[[#This Row],[Total]]&lt;&gt; 0, NOT(ISBLANK(SamplingData[[#This Row],[Candidate 6]]))),(SamplingData[[#This Row],[Total]]+SamplingData[[#This Row],[Winning Candidate]]-SamplingData[[#This Row],[Candidate 6]])/(SamplingData[[#Totals],[Winning Candidate]]-SamplingData[[#Totals],[Candidate 6]]), 0)</f>
        <v>2.431788337143135E-5</v>
      </c>
      <c r="P428" s="100">
        <f>MAX(SamplingData[[#This Row],[Error Bound (up) - Max. possible relative overstatement - Losing Candidate]:[Error Bound (up) - Max. possible relative overstatement - Candidate 6]])</f>
        <v>6.1244487996080352E-5</v>
      </c>
      <c r="Q428" s="100">
        <f>IF(SamplingData[[#This Row],[Max Error Bound (up)]] = 0,0,SamplingData[[#This Row],[Max Error Bound (up)]]/SamplingData[[#Totals],[Max Error Bound (up)]])</f>
        <v>9.6929482784458315E-6</v>
      </c>
      <c r="R428" s="101">
        <f>SUM($Q$5:Q428)</f>
        <v>0.18193469584155134</v>
      </c>
      <c r="S428" s="100" t="str">
        <f t="array" ref="S428">IF(SamplingData[[#This Row],[up/U Selection Probability]] = 0, "Zero", TEXT(SamplingData[[#This Row],[Lower Range]], REPT("0",LEN('General Info'!$B$40))) &amp; " - " &amp; TEXT(SamplingData[[#This Row],[Upper Range]], REPT("0",LEN('General Info'!$B$40))))</f>
        <v>18193 - 18192</v>
      </c>
      <c r="T428" s="100">
        <f>SamplingData[[#This Row],[Upper Range]]-SamplingData[[#This Row],[Span]]</f>
        <v>18192.500299020237</v>
      </c>
      <c r="U428" s="100">
        <f>IF(ISNUMBER('General Info'!$B$40), ((SamplingData[[#This Row],[up/U Selection Probability]]) * 'General Info'!$B$40) - 1, 0)</f>
        <v>-3.0714865103695255E-2</v>
      </c>
      <c r="V428" s="100">
        <f>IF(ISNUMBER('General Info'!$B$40), (SamplingData[[#This Row],[Running (cumulative) sum]] * ('General Info'!$B$40 -'General Info'!$B$41 + 1)) + 'General Info'!$B$41 - 1, 0)</f>
        <v>18192.469584155133</v>
      </c>
      <c r="W428" s="100" t="str">
        <f>IF(ISERROR(MATCH(SamplingData[[#This Row],[Batch by Type (p)]],SelectedPrecincts[Batch Name], 0)), "", INDEX(SelectedPrecincts[Draw], MATCH(SamplingData[[#This Row],[Batch by Type (p)]],SelectedPrecincts[Batch Name], 0)))</f>
        <v/>
      </c>
      <c r="X428" s="102">
        <f>IF(COUNTIF(SelectedPrecincts[Batch Name],SamplingData[[#This Row],[Batch by Type (p)]]) &lt;&gt; 0, COUNTIF(SelectedPrecincts[Batch Name],SamplingData[[#This Row],[Batch by Type (p)]]), 0)</f>
        <v>0</v>
      </c>
    </row>
    <row r="429" spans="1:24" ht="15" customHeight="1">
      <c r="A429" s="18" t="s">
        <v>605</v>
      </c>
      <c r="B429" s="18">
        <v>0</v>
      </c>
      <c r="C429" s="18">
        <v>0</v>
      </c>
      <c r="D429" s="16">
        <v>0</v>
      </c>
      <c r="E429" s="16">
        <v>0</v>
      </c>
      <c r="F429" s="37">
        <v>0</v>
      </c>
      <c r="G429" s="37">
        <v>0</v>
      </c>
      <c r="H429" s="17">
        <v>0</v>
      </c>
      <c r="I429" s="17">
        <v>0</v>
      </c>
      <c r="J429" s="99">
        <f>SUM(SamplingData[[#This Row],[Losing Candidate]:[Under Votes]])</f>
        <v>0</v>
      </c>
      <c r="K429" s="100">
        <f>IF(AND(SamplingData[[#This Row],[Total]]&lt;&gt; 0, NOT(ISBLANK(SamplingData[[#This Row],[Losing Candidate]]))),(SamplingData[[#This Row],[Total]]+SamplingData[[#This Row],[Winning Candidate]]-SamplingData[[#This Row],[Losing Candidate]])/(SamplingData[[#Totals],[Winning Candidate]]-SamplingData[[#Totals],[Losing Candidate]]), 0)</f>
        <v>0</v>
      </c>
      <c r="L429" s="100">
        <f>IF(AND(SamplingData[[#This Row],[Total]]&lt;&gt; 0, NOT(ISBLANK(SamplingData[[#This Row],[Candidate 3]]))),(SamplingData[[#This Row],[Total]]+SamplingData[[#This Row],[Winning Candidate]]-SamplingData[[#This Row],[Candidate 3]])/(SamplingData[[#Totals],[Winning Candidate]]-SamplingData[[#Totals],[Candidate 3]]), 0)</f>
        <v>0</v>
      </c>
      <c r="M429" s="100">
        <f>IF(AND(SamplingData[[#This Row],[Total]]&lt;&gt; 0, NOT(ISBLANK(SamplingData[[#This Row],[Candidate 4]]))),(SamplingData[[#This Row],[Total]]+SamplingData[[#This Row],[Winning Candidate]]-SamplingData[[#This Row],[Candidate 4]])/(SamplingData[[#Totals],[Winning Candidate]]-SamplingData[[#Totals],[Candidate 4]]), 0)</f>
        <v>0</v>
      </c>
      <c r="N429" s="100">
        <f>IF(AND(SamplingData[[#This Row],[Total]]&lt;&gt; 0, NOT(ISBLANK(SamplingData[[#This Row],[Candidate 5]]))),(SamplingData[[#This Row],[Total]]+SamplingData[[#This Row],[Winning Candidate]]-SamplingData[[#This Row],[Candidate 5]])/(SamplingData[[#Totals],[Winning Candidate]]-SamplingData[[#Totals],[Candidate 5]]), 0)</f>
        <v>0</v>
      </c>
      <c r="O429" s="100">
        <f>IF(AND(SamplingData[[#This Row],[Total]]&lt;&gt; 0, NOT(ISBLANK(SamplingData[[#This Row],[Candidate 6]]))),(SamplingData[[#This Row],[Total]]+SamplingData[[#This Row],[Winning Candidate]]-SamplingData[[#This Row],[Candidate 6]])/(SamplingData[[#Totals],[Winning Candidate]]-SamplingData[[#Totals],[Candidate 6]]), 0)</f>
        <v>0</v>
      </c>
      <c r="P429" s="100">
        <f>MAX(SamplingData[[#This Row],[Error Bound (up) - Max. possible relative overstatement - Losing Candidate]:[Error Bound (up) - Max. possible relative overstatement - Candidate 6]])</f>
        <v>0</v>
      </c>
      <c r="Q429" s="100">
        <f>IF(SamplingData[[#This Row],[Max Error Bound (up)]] = 0,0,SamplingData[[#This Row],[Max Error Bound (up)]]/SamplingData[[#Totals],[Max Error Bound (up)]])</f>
        <v>0</v>
      </c>
      <c r="R429" s="101">
        <f>SUM($Q$5:Q429)</f>
        <v>0.18193469584155134</v>
      </c>
      <c r="S429" s="100" t="str">
        <f t="array" ref="S429">IF(SamplingData[[#This Row],[up/U Selection Probability]] = 0, "Zero", TEXT(SamplingData[[#This Row],[Lower Range]], REPT("0",LEN('General Info'!$B$40))) &amp; " - " &amp; TEXT(SamplingData[[#This Row],[Upper Range]], REPT("0",LEN('General Info'!$B$40))))</f>
        <v>Zero</v>
      </c>
      <c r="T429" s="100">
        <f>SamplingData[[#This Row],[Upper Range]]-SamplingData[[#This Row],[Span]]</f>
        <v>18193.469584155133</v>
      </c>
      <c r="U429" s="100">
        <f>IF(ISNUMBER('General Info'!$B$40), ((SamplingData[[#This Row],[up/U Selection Probability]]) * 'General Info'!$B$40) - 1, 0)</f>
        <v>-1</v>
      </c>
      <c r="V429" s="100">
        <f>IF(ISNUMBER('General Info'!$B$40), (SamplingData[[#This Row],[Running (cumulative) sum]] * ('General Info'!$B$40 -'General Info'!$B$41 + 1)) + 'General Info'!$B$41 - 1, 0)</f>
        <v>18192.469584155133</v>
      </c>
      <c r="W429" s="100" t="str">
        <f>IF(ISERROR(MATCH(SamplingData[[#This Row],[Batch by Type (p)]],SelectedPrecincts[Batch Name], 0)), "", INDEX(SelectedPrecincts[Draw], MATCH(SamplingData[[#This Row],[Batch by Type (p)]],SelectedPrecincts[Batch Name], 0)))</f>
        <v/>
      </c>
      <c r="X429" s="102">
        <f>IF(COUNTIF(SelectedPrecincts[Batch Name],SamplingData[[#This Row],[Batch by Type (p)]]) &lt;&gt; 0, COUNTIF(SelectedPrecincts[Batch Name],SamplingData[[#This Row],[Batch by Type (p)]]), 0)</f>
        <v>0</v>
      </c>
    </row>
    <row r="430" spans="1:24" ht="15" customHeight="1">
      <c r="A430" s="18" t="s">
        <v>606</v>
      </c>
      <c r="B430" s="18">
        <v>0</v>
      </c>
      <c r="C430" s="18">
        <v>1</v>
      </c>
      <c r="D430" s="18">
        <v>0</v>
      </c>
      <c r="E430" s="18">
        <v>1</v>
      </c>
      <c r="F430" s="18">
        <v>0</v>
      </c>
      <c r="G430" s="18">
        <v>0</v>
      </c>
      <c r="H430" s="18">
        <v>0</v>
      </c>
      <c r="I430" s="18">
        <v>1</v>
      </c>
      <c r="J430" s="99">
        <f>SUM(SamplingData[[#This Row],[Losing Candidate]:[Under Votes]])</f>
        <v>3</v>
      </c>
      <c r="K430"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430" s="100">
        <f>IF(AND(SamplingData[[#This Row],[Total]]&lt;&gt; 0, NOT(ISBLANK(SamplingData[[#This Row],[Candidate 3]]))),(SamplingData[[#This Row],[Total]]+SamplingData[[#This Row],[Winning Candidate]]-SamplingData[[#This Row],[Candidate 3]])/(SamplingData[[#Totals],[Winning Candidate]]-SamplingData[[#Totals],[Candidate 3]]), 0)</f>
        <v>1.2904474626576767E-4</v>
      </c>
      <c r="M430" s="100">
        <f>IF(AND(SamplingData[[#This Row],[Total]]&lt;&gt; 0, NOT(ISBLANK(SamplingData[[#This Row],[Candidate 4]]))),(SamplingData[[#This Row],[Total]]+SamplingData[[#This Row],[Winning Candidate]]-SamplingData[[#This Row],[Candidate 4]])/(SamplingData[[#Totals],[Winning Candidate]]-SamplingData[[#Totals],[Candidate 4]]), 0)</f>
        <v>8.7696220292905373E-5</v>
      </c>
      <c r="N430" s="100">
        <f>IF(AND(SamplingData[[#This Row],[Total]]&lt;&gt; 0, NOT(ISBLANK(SamplingData[[#This Row],[Candidate 5]]))),(SamplingData[[#This Row],[Total]]+SamplingData[[#This Row],[Winning Candidate]]-SamplingData[[#This Row],[Candidate 5]])/(SamplingData[[#Totals],[Winning Candidate]]-SamplingData[[#Totals],[Candidate 5]]), 0)</f>
        <v>9.7299927025054734E-5</v>
      </c>
      <c r="O430" s="100">
        <f>IF(AND(SamplingData[[#This Row],[Total]]&lt;&gt; 0, NOT(ISBLANK(SamplingData[[#This Row],[Candidate 6]]))),(SamplingData[[#This Row],[Total]]+SamplingData[[#This Row],[Winning Candidate]]-SamplingData[[#This Row],[Candidate 6]])/(SamplingData[[#Totals],[Winning Candidate]]-SamplingData[[#Totals],[Candidate 6]]), 0)</f>
        <v>9.7271533485725401E-5</v>
      </c>
      <c r="P430" s="100">
        <f>MAX(SamplingData[[#This Row],[Error Bound (up) - Max. possible relative overstatement - Losing Candidate]:[Error Bound (up) - Max. possible relative overstatement - Candidate 6]])</f>
        <v>2.4497795198432141E-4</v>
      </c>
      <c r="Q430" s="100">
        <f>IF(SamplingData[[#This Row],[Max Error Bound (up)]] = 0,0,SamplingData[[#This Row],[Max Error Bound (up)]]/SamplingData[[#Totals],[Max Error Bound (up)]])</f>
        <v>3.8771793113783326E-5</v>
      </c>
      <c r="R430" s="101">
        <f>SUM($Q$5:Q430)</f>
        <v>0.18197346763466513</v>
      </c>
      <c r="S430" s="100" t="str">
        <f t="array" ref="S430">IF(SamplingData[[#This Row],[up/U Selection Probability]] = 0, "Zero", TEXT(SamplingData[[#This Row],[Lower Range]], REPT("0",LEN('General Info'!$B$40))) &amp; " - " &amp; TEXT(SamplingData[[#This Row],[Upper Range]], REPT("0",LEN('General Info'!$B$40))))</f>
        <v>18193 - 18196</v>
      </c>
      <c r="T430" s="100">
        <f>SamplingData[[#This Row],[Upper Range]]-SamplingData[[#This Row],[Span]]</f>
        <v>18193.469622926928</v>
      </c>
      <c r="U430" s="100">
        <f>IF(ISNUMBER('General Info'!$B$40), ((SamplingData[[#This Row],[up/U Selection Probability]]) * 'General Info'!$B$40) - 1, 0)</f>
        <v>2.877140539585219</v>
      </c>
      <c r="V430" s="100">
        <f>IF(ISNUMBER('General Info'!$B$40), (SamplingData[[#This Row],[Running (cumulative) sum]] * ('General Info'!$B$40 -'General Info'!$B$41 + 1)) + 'General Info'!$B$41 - 1, 0)</f>
        <v>18196.346763466514</v>
      </c>
      <c r="W430" s="100" t="str">
        <f>IF(ISERROR(MATCH(SamplingData[[#This Row],[Batch by Type (p)]],SelectedPrecincts[Batch Name], 0)), "", INDEX(SelectedPrecincts[Draw], MATCH(SamplingData[[#This Row],[Batch by Type (p)]],SelectedPrecincts[Batch Name], 0)))</f>
        <v/>
      </c>
      <c r="X430" s="102">
        <f>IF(COUNTIF(SelectedPrecincts[Batch Name],SamplingData[[#This Row],[Batch by Type (p)]]) &lt;&gt; 0, COUNTIF(SelectedPrecincts[Batch Name],SamplingData[[#This Row],[Batch by Type (p)]]), 0)</f>
        <v>0</v>
      </c>
    </row>
    <row r="431" spans="1:24" ht="15" customHeight="1">
      <c r="A431" s="18" t="s">
        <v>607</v>
      </c>
      <c r="B431" s="18">
        <v>0</v>
      </c>
      <c r="C431" s="18">
        <v>2</v>
      </c>
      <c r="D431" s="16">
        <v>0</v>
      </c>
      <c r="E431" s="16">
        <v>0</v>
      </c>
      <c r="F431" s="37">
        <v>0</v>
      </c>
      <c r="G431" s="37">
        <v>0</v>
      </c>
      <c r="H431" s="17">
        <v>0</v>
      </c>
      <c r="I431" s="17">
        <v>1</v>
      </c>
      <c r="J431" s="99">
        <f>SUM(SamplingData[[#This Row],[Losing Candidate]:[Under Votes]])</f>
        <v>3</v>
      </c>
      <c r="K431"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431" s="100">
        <f>IF(AND(SamplingData[[#This Row],[Total]]&lt;&gt; 0, NOT(ISBLANK(SamplingData[[#This Row],[Candidate 3]]))),(SamplingData[[#This Row],[Total]]+SamplingData[[#This Row],[Winning Candidate]]-SamplingData[[#This Row],[Candidate 3]])/(SamplingData[[#Totals],[Winning Candidate]]-SamplingData[[#Totals],[Candidate 3]]), 0)</f>
        <v>1.6130593283220958E-4</v>
      </c>
      <c r="M431" s="100">
        <f>IF(AND(SamplingData[[#This Row],[Total]]&lt;&gt; 0, NOT(ISBLANK(SamplingData[[#This Row],[Candidate 4]]))),(SamplingData[[#This Row],[Total]]+SamplingData[[#This Row],[Winning Candidate]]-SamplingData[[#This Row],[Candidate 4]])/(SamplingData[[#Totals],[Winning Candidate]]-SamplingData[[#Totals],[Candidate 4]]), 0)</f>
        <v>1.4616036715484231E-4</v>
      </c>
      <c r="N431" s="100">
        <f>IF(AND(SamplingData[[#This Row],[Total]]&lt;&gt; 0, NOT(ISBLANK(SamplingData[[#This Row],[Candidate 5]]))),(SamplingData[[#This Row],[Total]]+SamplingData[[#This Row],[Winning Candidate]]-SamplingData[[#This Row],[Candidate 5]])/(SamplingData[[#Totals],[Winning Candidate]]-SamplingData[[#Totals],[Candidate 5]]), 0)</f>
        <v>1.2162490878131841E-4</v>
      </c>
      <c r="O431" s="100">
        <f>IF(AND(SamplingData[[#This Row],[Total]]&lt;&gt; 0, NOT(ISBLANK(SamplingData[[#This Row],[Candidate 6]]))),(SamplingData[[#This Row],[Total]]+SamplingData[[#This Row],[Winning Candidate]]-SamplingData[[#This Row],[Candidate 6]])/(SamplingData[[#Totals],[Winning Candidate]]-SamplingData[[#Totals],[Candidate 6]]), 0)</f>
        <v>1.2158941685715675E-4</v>
      </c>
      <c r="P431" s="100">
        <f>MAX(SamplingData[[#This Row],[Error Bound (up) - Max. possible relative overstatement - Losing Candidate]:[Error Bound (up) - Max. possible relative overstatement - Candidate 6]])</f>
        <v>3.0622243998040176E-4</v>
      </c>
      <c r="Q431" s="100">
        <f>IF(SamplingData[[#This Row],[Max Error Bound (up)]] = 0,0,SamplingData[[#This Row],[Max Error Bound (up)]]/SamplingData[[#Totals],[Max Error Bound (up)]])</f>
        <v>4.8464741392229159E-5</v>
      </c>
      <c r="R431" s="101">
        <f>SUM($Q$5:Q431)</f>
        <v>0.18202193237605735</v>
      </c>
      <c r="S431" s="100" t="str">
        <f t="array" ref="S431">IF(SamplingData[[#This Row],[up/U Selection Probability]] = 0, "Zero", TEXT(SamplingData[[#This Row],[Lower Range]], REPT("0",LEN('General Info'!$B$40))) &amp; " - " &amp; TEXT(SamplingData[[#This Row],[Upper Range]], REPT("0",LEN('General Info'!$B$40))))</f>
        <v>18197 - 18201</v>
      </c>
      <c r="T431" s="100">
        <f>SamplingData[[#This Row],[Upper Range]]-SamplingData[[#This Row],[Span]]</f>
        <v>18197.346811931253</v>
      </c>
      <c r="U431" s="100">
        <f>IF(ISNUMBER('General Info'!$B$40), ((SamplingData[[#This Row],[up/U Selection Probability]]) * 'General Info'!$B$40) - 1, 0)</f>
        <v>3.8464256744815239</v>
      </c>
      <c r="V431" s="100">
        <f>IF(ISNUMBER('General Info'!$B$40), (SamplingData[[#This Row],[Running (cumulative) sum]] * ('General Info'!$B$40 -'General Info'!$B$41 + 1)) + 'General Info'!$B$41 - 1, 0)</f>
        <v>18201.193237605734</v>
      </c>
      <c r="W431" s="100" t="str">
        <f>IF(ISERROR(MATCH(SamplingData[[#This Row],[Batch by Type (p)]],SelectedPrecincts[Batch Name], 0)), "", INDEX(SelectedPrecincts[Draw], MATCH(SamplingData[[#This Row],[Batch by Type (p)]],SelectedPrecincts[Batch Name], 0)))</f>
        <v/>
      </c>
      <c r="X431" s="102">
        <f>IF(COUNTIF(SelectedPrecincts[Batch Name],SamplingData[[#This Row],[Batch by Type (p)]]) &lt;&gt; 0, COUNTIF(SelectedPrecincts[Batch Name],SamplingData[[#This Row],[Batch by Type (p)]]), 0)</f>
        <v>0</v>
      </c>
    </row>
    <row r="432" spans="1:24" ht="15" customHeight="1">
      <c r="A432" s="18" t="s">
        <v>608</v>
      </c>
      <c r="B432" s="18">
        <v>0</v>
      </c>
      <c r="C432" s="18">
        <v>0</v>
      </c>
      <c r="D432" s="18">
        <v>0</v>
      </c>
      <c r="E432" s="18">
        <v>0</v>
      </c>
      <c r="F432" s="18">
        <v>0</v>
      </c>
      <c r="G432" s="18">
        <v>0</v>
      </c>
      <c r="H432" s="18">
        <v>0</v>
      </c>
      <c r="I432" s="18">
        <v>0</v>
      </c>
      <c r="J432" s="99">
        <f>SUM(SamplingData[[#This Row],[Losing Candidate]:[Under Votes]])</f>
        <v>0</v>
      </c>
      <c r="K432" s="100">
        <f>IF(AND(SamplingData[[#This Row],[Total]]&lt;&gt; 0, NOT(ISBLANK(SamplingData[[#This Row],[Losing Candidate]]))),(SamplingData[[#This Row],[Total]]+SamplingData[[#This Row],[Winning Candidate]]-SamplingData[[#This Row],[Losing Candidate]])/(SamplingData[[#Totals],[Winning Candidate]]-SamplingData[[#Totals],[Losing Candidate]]), 0)</f>
        <v>0</v>
      </c>
      <c r="L432" s="100">
        <f>IF(AND(SamplingData[[#This Row],[Total]]&lt;&gt; 0, NOT(ISBLANK(SamplingData[[#This Row],[Candidate 3]]))),(SamplingData[[#This Row],[Total]]+SamplingData[[#This Row],[Winning Candidate]]-SamplingData[[#This Row],[Candidate 3]])/(SamplingData[[#Totals],[Winning Candidate]]-SamplingData[[#Totals],[Candidate 3]]), 0)</f>
        <v>0</v>
      </c>
      <c r="M432" s="100">
        <f>IF(AND(SamplingData[[#This Row],[Total]]&lt;&gt; 0, NOT(ISBLANK(SamplingData[[#This Row],[Candidate 4]]))),(SamplingData[[#This Row],[Total]]+SamplingData[[#This Row],[Winning Candidate]]-SamplingData[[#This Row],[Candidate 4]])/(SamplingData[[#Totals],[Winning Candidate]]-SamplingData[[#Totals],[Candidate 4]]), 0)</f>
        <v>0</v>
      </c>
      <c r="N432" s="100">
        <f>IF(AND(SamplingData[[#This Row],[Total]]&lt;&gt; 0, NOT(ISBLANK(SamplingData[[#This Row],[Candidate 5]]))),(SamplingData[[#This Row],[Total]]+SamplingData[[#This Row],[Winning Candidate]]-SamplingData[[#This Row],[Candidate 5]])/(SamplingData[[#Totals],[Winning Candidate]]-SamplingData[[#Totals],[Candidate 5]]), 0)</f>
        <v>0</v>
      </c>
      <c r="O432" s="100">
        <f>IF(AND(SamplingData[[#This Row],[Total]]&lt;&gt; 0, NOT(ISBLANK(SamplingData[[#This Row],[Candidate 6]]))),(SamplingData[[#This Row],[Total]]+SamplingData[[#This Row],[Winning Candidate]]-SamplingData[[#This Row],[Candidate 6]])/(SamplingData[[#Totals],[Winning Candidate]]-SamplingData[[#Totals],[Candidate 6]]), 0)</f>
        <v>0</v>
      </c>
      <c r="P432" s="100">
        <f>MAX(SamplingData[[#This Row],[Error Bound (up) - Max. possible relative overstatement - Losing Candidate]:[Error Bound (up) - Max. possible relative overstatement - Candidate 6]])</f>
        <v>0</v>
      </c>
      <c r="Q432" s="100">
        <f>IF(SamplingData[[#This Row],[Max Error Bound (up)]] = 0,0,SamplingData[[#This Row],[Max Error Bound (up)]]/SamplingData[[#Totals],[Max Error Bound (up)]])</f>
        <v>0</v>
      </c>
      <c r="R432" s="101">
        <f>SUM($Q$5:Q432)</f>
        <v>0.18202193237605735</v>
      </c>
      <c r="S432" s="100" t="str">
        <f t="array" ref="S432">IF(SamplingData[[#This Row],[up/U Selection Probability]] = 0, "Zero", TEXT(SamplingData[[#This Row],[Lower Range]], REPT("0",LEN('General Info'!$B$40))) &amp; " - " &amp; TEXT(SamplingData[[#This Row],[Upper Range]], REPT("0",LEN('General Info'!$B$40))))</f>
        <v>Zero</v>
      </c>
      <c r="T432" s="100">
        <f>SamplingData[[#This Row],[Upper Range]]-SamplingData[[#This Row],[Span]]</f>
        <v>18202.193237605734</v>
      </c>
      <c r="U432" s="100">
        <f>IF(ISNUMBER('General Info'!$B$40), ((SamplingData[[#This Row],[up/U Selection Probability]]) * 'General Info'!$B$40) - 1, 0)</f>
        <v>-1</v>
      </c>
      <c r="V432" s="100">
        <f>IF(ISNUMBER('General Info'!$B$40), (SamplingData[[#This Row],[Running (cumulative) sum]] * ('General Info'!$B$40 -'General Info'!$B$41 + 1)) + 'General Info'!$B$41 - 1, 0)</f>
        <v>18201.193237605734</v>
      </c>
      <c r="W432" s="100" t="str">
        <f>IF(ISERROR(MATCH(SamplingData[[#This Row],[Batch by Type (p)]],SelectedPrecincts[Batch Name], 0)), "", INDEX(SelectedPrecincts[Draw], MATCH(SamplingData[[#This Row],[Batch by Type (p)]],SelectedPrecincts[Batch Name], 0)))</f>
        <v/>
      </c>
      <c r="X432" s="102">
        <f>IF(COUNTIF(SelectedPrecincts[Batch Name],SamplingData[[#This Row],[Batch by Type (p)]]) &lt;&gt; 0, COUNTIF(SelectedPrecincts[Batch Name],SamplingData[[#This Row],[Batch by Type (p)]]), 0)</f>
        <v>0</v>
      </c>
    </row>
    <row r="433" spans="1:24" ht="15" customHeight="1">
      <c r="A433" s="18" t="s">
        <v>609</v>
      </c>
      <c r="B433" s="18">
        <v>1</v>
      </c>
      <c r="C433" s="18">
        <v>0</v>
      </c>
      <c r="D433" s="16">
        <v>0</v>
      </c>
      <c r="E433" s="16">
        <v>0</v>
      </c>
      <c r="F433" s="37">
        <v>0</v>
      </c>
      <c r="G433" s="37">
        <v>0</v>
      </c>
      <c r="H433" s="17">
        <v>0</v>
      </c>
      <c r="I433" s="17">
        <v>0</v>
      </c>
      <c r="J433" s="99">
        <f>SUM(SamplingData[[#This Row],[Losing Candidate]:[Under Votes]])</f>
        <v>1</v>
      </c>
      <c r="K433" s="100">
        <f>IF(AND(SamplingData[[#This Row],[Total]]&lt;&gt; 0, NOT(ISBLANK(SamplingData[[#This Row],[Losing Candidate]]))),(SamplingData[[#This Row],[Total]]+SamplingData[[#This Row],[Winning Candidate]]-SamplingData[[#This Row],[Losing Candidate]])/(SamplingData[[#Totals],[Winning Candidate]]-SamplingData[[#Totals],[Losing Candidate]]), 0)</f>
        <v>0</v>
      </c>
      <c r="L433" s="100">
        <f>IF(AND(SamplingData[[#This Row],[Total]]&lt;&gt; 0, NOT(ISBLANK(SamplingData[[#This Row],[Candidate 3]]))),(SamplingData[[#This Row],[Total]]+SamplingData[[#This Row],[Winning Candidate]]-SamplingData[[#This Row],[Candidate 3]])/(SamplingData[[#Totals],[Winning Candidate]]-SamplingData[[#Totals],[Candidate 3]]), 0)</f>
        <v>3.2261186566441917E-5</v>
      </c>
      <c r="M433" s="100">
        <f>IF(AND(SamplingData[[#This Row],[Total]]&lt;&gt; 0, NOT(ISBLANK(SamplingData[[#This Row],[Candidate 4]]))),(SamplingData[[#This Row],[Total]]+SamplingData[[#This Row],[Winning Candidate]]-SamplingData[[#This Row],[Candidate 4]])/(SamplingData[[#Totals],[Winning Candidate]]-SamplingData[[#Totals],[Candidate 4]]), 0)</f>
        <v>2.923207343096846E-5</v>
      </c>
      <c r="N433" s="100">
        <f>IF(AND(SamplingData[[#This Row],[Total]]&lt;&gt; 0, NOT(ISBLANK(SamplingData[[#This Row],[Candidate 5]]))),(SamplingData[[#This Row],[Total]]+SamplingData[[#This Row],[Winning Candidate]]-SamplingData[[#This Row],[Candidate 5]])/(SamplingData[[#Totals],[Winning Candidate]]-SamplingData[[#Totals],[Candidate 5]]), 0)</f>
        <v>2.4324981756263683E-5</v>
      </c>
      <c r="O433" s="100">
        <f>IF(AND(SamplingData[[#This Row],[Total]]&lt;&gt; 0, NOT(ISBLANK(SamplingData[[#This Row],[Candidate 6]]))),(SamplingData[[#This Row],[Total]]+SamplingData[[#This Row],[Winning Candidate]]-SamplingData[[#This Row],[Candidate 6]])/(SamplingData[[#Totals],[Winning Candidate]]-SamplingData[[#Totals],[Candidate 6]]), 0)</f>
        <v>2.431788337143135E-5</v>
      </c>
      <c r="P433" s="100">
        <f>MAX(SamplingData[[#This Row],[Error Bound (up) - Max. possible relative overstatement - Losing Candidate]:[Error Bound (up) - Max. possible relative overstatement - Candidate 6]])</f>
        <v>3.2261186566441917E-5</v>
      </c>
      <c r="Q433" s="100">
        <f>IF(SamplingData[[#This Row],[Max Error Bound (up)]] = 0,0,SamplingData[[#This Row],[Max Error Bound (up)]]/SamplingData[[#Totals],[Max Error Bound (up)]])</f>
        <v>5.1058637768320663E-6</v>
      </c>
      <c r="R433" s="101">
        <f>SUM($Q$5:Q433)</f>
        <v>0.18202703823983418</v>
      </c>
      <c r="S433" s="100" t="str">
        <f t="array" ref="S433">IF(SamplingData[[#This Row],[up/U Selection Probability]] = 0, "Zero", TEXT(SamplingData[[#This Row],[Lower Range]], REPT("0",LEN('General Info'!$B$40))) &amp; " - " &amp; TEXT(SamplingData[[#This Row],[Upper Range]], REPT("0",LEN('General Info'!$B$40))))</f>
        <v>18202 - 18202</v>
      </c>
      <c r="T433" s="100">
        <f>SamplingData[[#This Row],[Upper Range]]-SamplingData[[#This Row],[Span]]</f>
        <v>18202.193242711597</v>
      </c>
      <c r="U433" s="100">
        <f>IF(ISNUMBER('General Info'!$B$40), ((SamplingData[[#This Row],[up/U Selection Probability]]) * 'General Info'!$B$40) - 1, 0)</f>
        <v>-0.4894187281805702</v>
      </c>
      <c r="V433" s="100">
        <f>IF(ISNUMBER('General Info'!$B$40), (SamplingData[[#This Row],[Running (cumulative) sum]] * ('General Info'!$B$40 -'General Info'!$B$41 + 1)) + 'General Info'!$B$41 - 1, 0)</f>
        <v>18201.703823983418</v>
      </c>
      <c r="W433" s="100" t="str">
        <f>IF(ISERROR(MATCH(SamplingData[[#This Row],[Batch by Type (p)]],SelectedPrecincts[Batch Name], 0)), "", INDEX(SelectedPrecincts[Draw], MATCH(SamplingData[[#This Row],[Batch by Type (p)]],SelectedPrecincts[Batch Name], 0)))</f>
        <v/>
      </c>
      <c r="X433" s="102">
        <f>IF(COUNTIF(SelectedPrecincts[Batch Name],SamplingData[[#This Row],[Batch by Type (p)]]) &lt;&gt; 0, COUNTIF(SelectedPrecincts[Batch Name],SamplingData[[#This Row],[Batch by Type (p)]]), 0)</f>
        <v>0</v>
      </c>
    </row>
    <row r="434" spans="1:24" ht="15" customHeight="1">
      <c r="A434" s="18" t="s">
        <v>610</v>
      </c>
      <c r="B434" s="18">
        <v>0</v>
      </c>
      <c r="C434" s="18">
        <v>3</v>
      </c>
      <c r="D434" s="18">
        <v>1</v>
      </c>
      <c r="E434" s="18">
        <v>0</v>
      </c>
      <c r="F434" s="18">
        <v>0</v>
      </c>
      <c r="G434" s="18">
        <v>0</v>
      </c>
      <c r="H434" s="18">
        <v>0</v>
      </c>
      <c r="I434" s="18">
        <v>0</v>
      </c>
      <c r="J434" s="99">
        <f>SUM(SamplingData[[#This Row],[Losing Candidate]:[Under Votes]])</f>
        <v>4</v>
      </c>
      <c r="K434"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434" s="100">
        <f>IF(AND(SamplingData[[#This Row],[Total]]&lt;&gt; 0, NOT(ISBLANK(SamplingData[[#This Row],[Candidate 3]]))),(SamplingData[[#This Row],[Total]]+SamplingData[[#This Row],[Winning Candidate]]-SamplingData[[#This Row],[Candidate 3]])/(SamplingData[[#Totals],[Winning Candidate]]-SamplingData[[#Totals],[Candidate 3]]), 0)</f>
        <v>1.9356711939865149E-4</v>
      </c>
      <c r="M434" s="100">
        <f>IF(AND(SamplingData[[#This Row],[Total]]&lt;&gt; 0, NOT(ISBLANK(SamplingData[[#This Row],[Candidate 4]]))),(SamplingData[[#This Row],[Total]]+SamplingData[[#This Row],[Winning Candidate]]-SamplingData[[#This Row],[Candidate 4]])/(SamplingData[[#Totals],[Winning Candidate]]-SamplingData[[#Totals],[Candidate 4]]), 0)</f>
        <v>2.0462451401677921E-4</v>
      </c>
      <c r="N434" s="100">
        <f>IF(AND(SamplingData[[#This Row],[Total]]&lt;&gt; 0, NOT(ISBLANK(SamplingData[[#This Row],[Candidate 5]]))),(SamplingData[[#This Row],[Total]]+SamplingData[[#This Row],[Winning Candidate]]-SamplingData[[#This Row],[Candidate 5]])/(SamplingData[[#Totals],[Winning Candidate]]-SamplingData[[#Totals],[Candidate 5]]), 0)</f>
        <v>1.7027487229384579E-4</v>
      </c>
      <c r="O434" s="100">
        <f>IF(AND(SamplingData[[#This Row],[Total]]&lt;&gt; 0, NOT(ISBLANK(SamplingData[[#This Row],[Candidate 6]]))),(SamplingData[[#This Row],[Total]]+SamplingData[[#This Row],[Winning Candidate]]-SamplingData[[#This Row],[Candidate 6]])/(SamplingData[[#Totals],[Winning Candidate]]-SamplingData[[#Totals],[Candidate 6]]), 0)</f>
        <v>1.7022518360001944E-4</v>
      </c>
      <c r="P434" s="100">
        <f>MAX(SamplingData[[#This Row],[Error Bound (up) - Max. possible relative overstatement - Losing Candidate]:[Error Bound (up) - Max. possible relative overstatement - Candidate 6]])</f>
        <v>4.2871141597256246E-4</v>
      </c>
      <c r="Q434" s="100">
        <f>IF(SamplingData[[#This Row],[Max Error Bound (up)]] = 0,0,SamplingData[[#This Row],[Max Error Bound (up)]]/SamplingData[[#Totals],[Max Error Bound (up)]])</f>
        <v>6.7850637949120826E-5</v>
      </c>
      <c r="R434" s="101">
        <f>SUM($Q$5:Q434)</f>
        <v>0.1820948888777833</v>
      </c>
      <c r="S434" s="100" t="str">
        <f t="array" ref="S434">IF(SamplingData[[#This Row],[up/U Selection Probability]] = 0, "Zero", TEXT(SamplingData[[#This Row],[Lower Range]], REPT("0",LEN('General Info'!$B$40))) &amp; " - " &amp; TEXT(SamplingData[[#This Row],[Upper Range]], REPT("0",LEN('General Info'!$B$40))))</f>
        <v>18203 - 18208</v>
      </c>
      <c r="T434" s="100">
        <f>SamplingData[[#This Row],[Upper Range]]-SamplingData[[#This Row],[Span]]</f>
        <v>18202.703891834055</v>
      </c>
      <c r="U434" s="100">
        <f>IF(ISNUMBER('General Info'!$B$40), ((SamplingData[[#This Row],[up/U Selection Probability]]) * 'General Info'!$B$40) - 1, 0)</f>
        <v>5.7849959442741339</v>
      </c>
      <c r="V434" s="100">
        <f>IF(ISNUMBER('General Info'!$B$40), (SamplingData[[#This Row],[Running (cumulative) sum]] * ('General Info'!$B$40 -'General Info'!$B$41 + 1)) + 'General Info'!$B$41 - 1, 0)</f>
        <v>18208.488887778331</v>
      </c>
      <c r="W434" s="100" t="str">
        <f>IF(ISERROR(MATCH(SamplingData[[#This Row],[Batch by Type (p)]],SelectedPrecincts[Batch Name], 0)), "", INDEX(SelectedPrecincts[Draw], MATCH(SamplingData[[#This Row],[Batch by Type (p)]],SelectedPrecincts[Batch Name], 0)))</f>
        <v/>
      </c>
      <c r="X434" s="102">
        <f>IF(COUNTIF(SelectedPrecincts[Batch Name],SamplingData[[#This Row],[Batch by Type (p)]]) &lt;&gt; 0, COUNTIF(SelectedPrecincts[Batch Name],SamplingData[[#This Row],[Batch by Type (p)]]), 0)</f>
        <v>0</v>
      </c>
    </row>
    <row r="435" spans="1:24" ht="15" customHeight="1">
      <c r="A435" s="18" t="s">
        <v>611</v>
      </c>
      <c r="B435" s="18">
        <v>0</v>
      </c>
      <c r="C435" s="18">
        <v>0</v>
      </c>
      <c r="D435" s="16">
        <v>0</v>
      </c>
      <c r="E435" s="16">
        <v>0</v>
      </c>
      <c r="F435" s="37">
        <v>0</v>
      </c>
      <c r="G435" s="37">
        <v>0</v>
      </c>
      <c r="H435" s="17">
        <v>0</v>
      </c>
      <c r="I435" s="17">
        <v>0</v>
      </c>
      <c r="J435" s="99">
        <f>SUM(SamplingData[[#This Row],[Losing Candidate]:[Under Votes]])</f>
        <v>0</v>
      </c>
      <c r="K435" s="100">
        <f>IF(AND(SamplingData[[#This Row],[Total]]&lt;&gt; 0, NOT(ISBLANK(SamplingData[[#This Row],[Losing Candidate]]))),(SamplingData[[#This Row],[Total]]+SamplingData[[#This Row],[Winning Candidate]]-SamplingData[[#This Row],[Losing Candidate]])/(SamplingData[[#Totals],[Winning Candidate]]-SamplingData[[#Totals],[Losing Candidate]]), 0)</f>
        <v>0</v>
      </c>
      <c r="L435" s="100">
        <f>IF(AND(SamplingData[[#This Row],[Total]]&lt;&gt; 0, NOT(ISBLANK(SamplingData[[#This Row],[Candidate 3]]))),(SamplingData[[#This Row],[Total]]+SamplingData[[#This Row],[Winning Candidate]]-SamplingData[[#This Row],[Candidate 3]])/(SamplingData[[#Totals],[Winning Candidate]]-SamplingData[[#Totals],[Candidate 3]]), 0)</f>
        <v>0</v>
      </c>
      <c r="M435" s="100">
        <f>IF(AND(SamplingData[[#This Row],[Total]]&lt;&gt; 0, NOT(ISBLANK(SamplingData[[#This Row],[Candidate 4]]))),(SamplingData[[#This Row],[Total]]+SamplingData[[#This Row],[Winning Candidate]]-SamplingData[[#This Row],[Candidate 4]])/(SamplingData[[#Totals],[Winning Candidate]]-SamplingData[[#Totals],[Candidate 4]]), 0)</f>
        <v>0</v>
      </c>
      <c r="N435" s="100">
        <f>IF(AND(SamplingData[[#This Row],[Total]]&lt;&gt; 0, NOT(ISBLANK(SamplingData[[#This Row],[Candidate 5]]))),(SamplingData[[#This Row],[Total]]+SamplingData[[#This Row],[Winning Candidate]]-SamplingData[[#This Row],[Candidate 5]])/(SamplingData[[#Totals],[Winning Candidate]]-SamplingData[[#Totals],[Candidate 5]]), 0)</f>
        <v>0</v>
      </c>
      <c r="O435" s="100">
        <f>IF(AND(SamplingData[[#This Row],[Total]]&lt;&gt; 0, NOT(ISBLANK(SamplingData[[#This Row],[Candidate 6]]))),(SamplingData[[#This Row],[Total]]+SamplingData[[#This Row],[Winning Candidate]]-SamplingData[[#This Row],[Candidate 6]])/(SamplingData[[#Totals],[Winning Candidate]]-SamplingData[[#Totals],[Candidate 6]]), 0)</f>
        <v>0</v>
      </c>
      <c r="P435" s="100">
        <f>MAX(SamplingData[[#This Row],[Error Bound (up) - Max. possible relative overstatement - Losing Candidate]:[Error Bound (up) - Max. possible relative overstatement - Candidate 6]])</f>
        <v>0</v>
      </c>
      <c r="Q435" s="100">
        <f>IF(SamplingData[[#This Row],[Max Error Bound (up)]] = 0,0,SamplingData[[#This Row],[Max Error Bound (up)]]/SamplingData[[#Totals],[Max Error Bound (up)]])</f>
        <v>0</v>
      </c>
      <c r="R435" s="101">
        <f>SUM($Q$5:Q435)</f>
        <v>0.1820948888777833</v>
      </c>
      <c r="S435" s="100" t="str">
        <f t="array" ref="S435">IF(SamplingData[[#This Row],[up/U Selection Probability]] = 0, "Zero", TEXT(SamplingData[[#This Row],[Lower Range]], REPT("0",LEN('General Info'!$B$40))) &amp; " - " &amp; TEXT(SamplingData[[#This Row],[Upper Range]], REPT("0",LEN('General Info'!$B$40))))</f>
        <v>Zero</v>
      </c>
      <c r="T435" s="100">
        <f>SamplingData[[#This Row],[Upper Range]]-SamplingData[[#This Row],[Span]]</f>
        <v>18209.488887778331</v>
      </c>
      <c r="U435" s="100">
        <f>IF(ISNUMBER('General Info'!$B$40), ((SamplingData[[#This Row],[up/U Selection Probability]]) * 'General Info'!$B$40) - 1, 0)</f>
        <v>-1</v>
      </c>
      <c r="V435" s="100">
        <f>IF(ISNUMBER('General Info'!$B$40), (SamplingData[[#This Row],[Running (cumulative) sum]] * ('General Info'!$B$40 -'General Info'!$B$41 + 1)) + 'General Info'!$B$41 - 1, 0)</f>
        <v>18208.488887778331</v>
      </c>
      <c r="W435" s="100" t="str">
        <f>IF(ISERROR(MATCH(SamplingData[[#This Row],[Batch by Type (p)]],SelectedPrecincts[Batch Name], 0)), "", INDEX(SelectedPrecincts[Draw], MATCH(SamplingData[[#This Row],[Batch by Type (p)]],SelectedPrecincts[Batch Name], 0)))</f>
        <v/>
      </c>
      <c r="X435" s="102">
        <f>IF(COUNTIF(SelectedPrecincts[Batch Name],SamplingData[[#This Row],[Batch by Type (p)]]) &lt;&gt; 0, COUNTIF(SelectedPrecincts[Batch Name],SamplingData[[#This Row],[Batch by Type (p)]]), 0)</f>
        <v>0</v>
      </c>
    </row>
    <row r="436" spans="1:24" ht="15" customHeight="1">
      <c r="A436" s="18" t="s">
        <v>612</v>
      </c>
      <c r="B436" s="18">
        <v>0</v>
      </c>
      <c r="C436" s="18">
        <v>0</v>
      </c>
      <c r="D436" s="18">
        <v>0</v>
      </c>
      <c r="E436" s="18">
        <v>0</v>
      </c>
      <c r="F436" s="18">
        <v>0</v>
      </c>
      <c r="G436" s="18">
        <v>0</v>
      </c>
      <c r="H436" s="18">
        <v>0</v>
      </c>
      <c r="I436" s="18">
        <v>0</v>
      </c>
      <c r="J436" s="99">
        <f>SUM(SamplingData[[#This Row],[Losing Candidate]:[Under Votes]])</f>
        <v>0</v>
      </c>
      <c r="K436" s="100">
        <f>IF(AND(SamplingData[[#This Row],[Total]]&lt;&gt; 0, NOT(ISBLANK(SamplingData[[#This Row],[Losing Candidate]]))),(SamplingData[[#This Row],[Total]]+SamplingData[[#This Row],[Winning Candidate]]-SamplingData[[#This Row],[Losing Candidate]])/(SamplingData[[#Totals],[Winning Candidate]]-SamplingData[[#Totals],[Losing Candidate]]), 0)</f>
        <v>0</v>
      </c>
      <c r="L436" s="100">
        <f>IF(AND(SamplingData[[#This Row],[Total]]&lt;&gt; 0, NOT(ISBLANK(SamplingData[[#This Row],[Candidate 3]]))),(SamplingData[[#This Row],[Total]]+SamplingData[[#This Row],[Winning Candidate]]-SamplingData[[#This Row],[Candidate 3]])/(SamplingData[[#Totals],[Winning Candidate]]-SamplingData[[#Totals],[Candidate 3]]), 0)</f>
        <v>0</v>
      </c>
      <c r="M436" s="100">
        <f>IF(AND(SamplingData[[#This Row],[Total]]&lt;&gt; 0, NOT(ISBLANK(SamplingData[[#This Row],[Candidate 4]]))),(SamplingData[[#This Row],[Total]]+SamplingData[[#This Row],[Winning Candidate]]-SamplingData[[#This Row],[Candidate 4]])/(SamplingData[[#Totals],[Winning Candidate]]-SamplingData[[#Totals],[Candidate 4]]), 0)</f>
        <v>0</v>
      </c>
      <c r="N436" s="100">
        <f>IF(AND(SamplingData[[#This Row],[Total]]&lt;&gt; 0, NOT(ISBLANK(SamplingData[[#This Row],[Candidate 5]]))),(SamplingData[[#This Row],[Total]]+SamplingData[[#This Row],[Winning Candidate]]-SamplingData[[#This Row],[Candidate 5]])/(SamplingData[[#Totals],[Winning Candidate]]-SamplingData[[#Totals],[Candidate 5]]), 0)</f>
        <v>0</v>
      </c>
      <c r="O436" s="100">
        <f>IF(AND(SamplingData[[#This Row],[Total]]&lt;&gt; 0, NOT(ISBLANK(SamplingData[[#This Row],[Candidate 6]]))),(SamplingData[[#This Row],[Total]]+SamplingData[[#This Row],[Winning Candidate]]-SamplingData[[#This Row],[Candidate 6]])/(SamplingData[[#Totals],[Winning Candidate]]-SamplingData[[#Totals],[Candidate 6]]), 0)</f>
        <v>0</v>
      </c>
      <c r="P436" s="100">
        <f>MAX(SamplingData[[#This Row],[Error Bound (up) - Max. possible relative overstatement - Losing Candidate]:[Error Bound (up) - Max. possible relative overstatement - Candidate 6]])</f>
        <v>0</v>
      </c>
      <c r="Q436" s="100">
        <f>IF(SamplingData[[#This Row],[Max Error Bound (up)]] = 0,0,SamplingData[[#This Row],[Max Error Bound (up)]]/SamplingData[[#Totals],[Max Error Bound (up)]])</f>
        <v>0</v>
      </c>
      <c r="R436" s="101">
        <f>SUM($Q$5:Q436)</f>
        <v>0.1820948888777833</v>
      </c>
      <c r="S436" s="100" t="str">
        <f t="array" ref="S436">IF(SamplingData[[#This Row],[up/U Selection Probability]] = 0, "Zero", TEXT(SamplingData[[#This Row],[Lower Range]], REPT("0",LEN('General Info'!$B$40))) &amp; " - " &amp; TEXT(SamplingData[[#This Row],[Upper Range]], REPT("0",LEN('General Info'!$B$40))))</f>
        <v>Zero</v>
      </c>
      <c r="T436" s="100">
        <f>SamplingData[[#This Row],[Upper Range]]-SamplingData[[#This Row],[Span]]</f>
        <v>18209.488887778331</v>
      </c>
      <c r="U436" s="100">
        <f>IF(ISNUMBER('General Info'!$B$40), ((SamplingData[[#This Row],[up/U Selection Probability]]) * 'General Info'!$B$40) - 1, 0)</f>
        <v>-1</v>
      </c>
      <c r="V436" s="100">
        <f>IF(ISNUMBER('General Info'!$B$40), (SamplingData[[#This Row],[Running (cumulative) sum]] * ('General Info'!$B$40 -'General Info'!$B$41 + 1)) + 'General Info'!$B$41 - 1, 0)</f>
        <v>18208.488887778331</v>
      </c>
      <c r="W436" s="100" t="str">
        <f>IF(ISERROR(MATCH(SamplingData[[#This Row],[Batch by Type (p)]],SelectedPrecincts[Batch Name], 0)), "", INDEX(SelectedPrecincts[Draw], MATCH(SamplingData[[#This Row],[Batch by Type (p)]],SelectedPrecincts[Batch Name], 0)))</f>
        <v/>
      </c>
      <c r="X436" s="102">
        <f>IF(COUNTIF(SelectedPrecincts[Batch Name],SamplingData[[#This Row],[Batch by Type (p)]]) &lt;&gt; 0, COUNTIF(SelectedPrecincts[Batch Name],SamplingData[[#This Row],[Batch by Type (p)]]), 0)</f>
        <v>0</v>
      </c>
    </row>
    <row r="437" spans="1:24" ht="15" customHeight="1">
      <c r="A437" s="18" t="s">
        <v>613</v>
      </c>
      <c r="B437" s="18">
        <v>0</v>
      </c>
      <c r="C437" s="18">
        <v>1</v>
      </c>
      <c r="D437" s="16">
        <v>0</v>
      </c>
      <c r="E437" s="16">
        <v>0</v>
      </c>
      <c r="F437" s="37">
        <v>0</v>
      </c>
      <c r="G437" s="37">
        <v>0</v>
      </c>
      <c r="H437" s="17">
        <v>0</v>
      </c>
      <c r="I437" s="17">
        <v>0</v>
      </c>
      <c r="J437" s="99">
        <f>SUM(SamplingData[[#This Row],[Losing Candidate]:[Under Votes]])</f>
        <v>1</v>
      </c>
      <c r="K437"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37" s="100">
        <f>IF(AND(SamplingData[[#This Row],[Total]]&lt;&gt; 0, NOT(ISBLANK(SamplingData[[#This Row],[Candidate 3]]))),(SamplingData[[#This Row],[Total]]+SamplingData[[#This Row],[Winning Candidate]]-SamplingData[[#This Row],[Candidate 3]])/(SamplingData[[#Totals],[Winning Candidate]]-SamplingData[[#Totals],[Candidate 3]]), 0)</f>
        <v>6.4522373132883833E-5</v>
      </c>
      <c r="M437" s="100">
        <f>IF(AND(SamplingData[[#This Row],[Total]]&lt;&gt; 0, NOT(ISBLANK(SamplingData[[#This Row],[Candidate 4]]))),(SamplingData[[#This Row],[Total]]+SamplingData[[#This Row],[Winning Candidate]]-SamplingData[[#This Row],[Candidate 4]])/(SamplingData[[#Totals],[Winning Candidate]]-SamplingData[[#Totals],[Candidate 4]]), 0)</f>
        <v>5.846414686193692E-5</v>
      </c>
      <c r="N437" s="100">
        <f>IF(AND(SamplingData[[#This Row],[Total]]&lt;&gt; 0, NOT(ISBLANK(SamplingData[[#This Row],[Candidate 5]]))),(SamplingData[[#This Row],[Total]]+SamplingData[[#This Row],[Winning Candidate]]-SamplingData[[#This Row],[Candidate 5]])/(SamplingData[[#Totals],[Winning Candidate]]-SamplingData[[#Totals],[Candidate 5]]), 0)</f>
        <v>4.8649963512527367E-5</v>
      </c>
      <c r="O437" s="100">
        <f>IF(AND(SamplingData[[#This Row],[Total]]&lt;&gt; 0, NOT(ISBLANK(SamplingData[[#This Row],[Candidate 6]]))),(SamplingData[[#This Row],[Total]]+SamplingData[[#This Row],[Winning Candidate]]-SamplingData[[#This Row],[Candidate 6]])/(SamplingData[[#Totals],[Winning Candidate]]-SamplingData[[#Totals],[Candidate 6]]), 0)</f>
        <v>4.8635766742862701E-5</v>
      </c>
      <c r="P437" s="100">
        <f>MAX(SamplingData[[#This Row],[Error Bound (up) - Max. possible relative overstatement - Losing Candidate]:[Error Bound (up) - Max. possible relative overstatement - Candidate 6]])</f>
        <v>1.224889759921607E-4</v>
      </c>
      <c r="Q437" s="100">
        <f>IF(SamplingData[[#This Row],[Max Error Bound (up)]] = 0,0,SamplingData[[#This Row],[Max Error Bound (up)]]/SamplingData[[#Totals],[Max Error Bound (up)]])</f>
        <v>1.9385896556891663E-5</v>
      </c>
      <c r="R437" s="101">
        <f>SUM($Q$5:Q437)</f>
        <v>0.1821142747743402</v>
      </c>
      <c r="S437" s="100" t="str">
        <f t="array" ref="S437">IF(SamplingData[[#This Row],[up/U Selection Probability]] = 0, "Zero", TEXT(SamplingData[[#This Row],[Lower Range]], REPT("0",LEN('General Info'!$B$40))) &amp; " - " &amp; TEXT(SamplingData[[#This Row],[Upper Range]], REPT("0",LEN('General Info'!$B$40))))</f>
        <v>18209 - 18210</v>
      </c>
      <c r="T437" s="100">
        <f>SamplingData[[#This Row],[Upper Range]]-SamplingData[[#This Row],[Span]]</f>
        <v>18209.488907164228</v>
      </c>
      <c r="U437" s="100">
        <f>IF(ISNUMBER('General Info'!$B$40), ((SamplingData[[#This Row],[up/U Selection Probability]]) * 'General Info'!$B$40) - 1, 0)</f>
        <v>0.93857026979260949</v>
      </c>
      <c r="V437" s="100">
        <f>IF(ISNUMBER('General Info'!$B$40), (SamplingData[[#This Row],[Running (cumulative) sum]] * ('General Info'!$B$40 -'General Info'!$B$41 + 1)) + 'General Info'!$B$41 - 1, 0)</f>
        <v>18210.427477434019</v>
      </c>
      <c r="W437" s="100" t="str">
        <f>IF(ISERROR(MATCH(SamplingData[[#This Row],[Batch by Type (p)]],SelectedPrecincts[Batch Name], 0)), "", INDEX(SelectedPrecincts[Draw], MATCH(SamplingData[[#This Row],[Batch by Type (p)]],SelectedPrecincts[Batch Name], 0)))</f>
        <v/>
      </c>
      <c r="X437" s="102">
        <f>IF(COUNTIF(SelectedPrecincts[Batch Name],SamplingData[[#This Row],[Batch by Type (p)]]) &lt;&gt; 0, COUNTIF(SelectedPrecincts[Batch Name],SamplingData[[#This Row],[Batch by Type (p)]]), 0)</f>
        <v>0</v>
      </c>
    </row>
    <row r="438" spans="1:24" ht="15" customHeight="1">
      <c r="A438" s="18" t="s">
        <v>614</v>
      </c>
      <c r="B438" s="18">
        <v>0</v>
      </c>
      <c r="C438" s="18">
        <v>0</v>
      </c>
      <c r="D438" s="18">
        <v>0</v>
      </c>
      <c r="E438" s="18">
        <v>0</v>
      </c>
      <c r="F438" s="18">
        <v>0</v>
      </c>
      <c r="G438" s="18">
        <v>0</v>
      </c>
      <c r="H438" s="18">
        <v>0</v>
      </c>
      <c r="I438" s="18">
        <v>0</v>
      </c>
      <c r="J438" s="99">
        <f>SUM(SamplingData[[#This Row],[Losing Candidate]:[Under Votes]])</f>
        <v>0</v>
      </c>
      <c r="K438" s="100">
        <f>IF(AND(SamplingData[[#This Row],[Total]]&lt;&gt; 0, NOT(ISBLANK(SamplingData[[#This Row],[Losing Candidate]]))),(SamplingData[[#This Row],[Total]]+SamplingData[[#This Row],[Winning Candidate]]-SamplingData[[#This Row],[Losing Candidate]])/(SamplingData[[#Totals],[Winning Candidate]]-SamplingData[[#Totals],[Losing Candidate]]), 0)</f>
        <v>0</v>
      </c>
      <c r="L438" s="100">
        <f>IF(AND(SamplingData[[#This Row],[Total]]&lt;&gt; 0, NOT(ISBLANK(SamplingData[[#This Row],[Candidate 3]]))),(SamplingData[[#This Row],[Total]]+SamplingData[[#This Row],[Winning Candidate]]-SamplingData[[#This Row],[Candidate 3]])/(SamplingData[[#Totals],[Winning Candidate]]-SamplingData[[#Totals],[Candidate 3]]), 0)</f>
        <v>0</v>
      </c>
      <c r="M438" s="100">
        <f>IF(AND(SamplingData[[#This Row],[Total]]&lt;&gt; 0, NOT(ISBLANK(SamplingData[[#This Row],[Candidate 4]]))),(SamplingData[[#This Row],[Total]]+SamplingData[[#This Row],[Winning Candidate]]-SamplingData[[#This Row],[Candidate 4]])/(SamplingData[[#Totals],[Winning Candidate]]-SamplingData[[#Totals],[Candidate 4]]), 0)</f>
        <v>0</v>
      </c>
      <c r="N438" s="100">
        <f>IF(AND(SamplingData[[#This Row],[Total]]&lt;&gt; 0, NOT(ISBLANK(SamplingData[[#This Row],[Candidate 5]]))),(SamplingData[[#This Row],[Total]]+SamplingData[[#This Row],[Winning Candidate]]-SamplingData[[#This Row],[Candidate 5]])/(SamplingData[[#Totals],[Winning Candidate]]-SamplingData[[#Totals],[Candidate 5]]), 0)</f>
        <v>0</v>
      </c>
      <c r="O438" s="100">
        <f>IF(AND(SamplingData[[#This Row],[Total]]&lt;&gt; 0, NOT(ISBLANK(SamplingData[[#This Row],[Candidate 6]]))),(SamplingData[[#This Row],[Total]]+SamplingData[[#This Row],[Winning Candidate]]-SamplingData[[#This Row],[Candidate 6]])/(SamplingData[[#Totals],[Winning Candidate]]-SamplingData[[#Totals],[Candidate 6]]), 0)</f>
        <v>0</v>
      </c>
      <c r="P438" s="100">
        <f>MAX(SamplingData[[#This Row],[Error Bound (up) - Max. possible relative overstatement - Losing Candidate]:[Error Bound (up) - Max. possible relative overstatement - Candidate 6]])</f>
        <v>0</v>
      </c>
      <c r="Q438" s="100">
        <f>IF(SamplingData[[#This Row],[Max Error Bound (up)]] = 0,0,SamplingData[[#This Row],[Max Error Bound (up)]]/SamplingData[[#Totals],[Max Error Bound (up)]])</f>
        <v>0</v>
      </c>
      <c r="R438" s="101">
        <f>SUM($Q$5:Q438)</f>
        <v>0.1821142747743402</v>
      </c>
      <c r="S438" s="100" t="str">
        <f t="array" ref="S438">IF(SamplingData[[#This Row],[up/U Selection Probability]] = 0, "Zero", TEXT(SamplingData[[#This Row],[Lower Range]], REPT("0",LEN('General Info'!$B$40))) &amp; " - " &amp; TEXT(SamplingData[[#This Row],[Upper Range]], REPT("0",LEN('General Info'!$B$40))))</f>
        <v>Zero</v>
      </c>
      <c r="T438" s="100">
        <f>SamplingData[[#This Row],[Upper Range]]-SamplingData[[#This Row],[Span]]</f>
        <v>18211.427477434019</v>
      </c>
      <c r="U438" s="100">
        <f>IF(ISNUMBER('General Info'!$B$40), ((SamplingData[[#This Row],[up/U Selection Probability]]) * 'General Info'!$B$40) - 1, 0)</f>
        <v>-1</v>
      </c>
      <c r="V438" s="100">
        <f>IF(ISNUMBER('General Info'!$B$40), (SamplingData[[#This Row],[Running (cumulative) sum]] * ('General Info'!$B$40 -'General Info'!$B$41 + 1)) + 'General Info'!$B$41 - 1, 0)</f>
        <v>18210.427477434019</v>
      </c>
      <c r="W438" s="100" t="str">
        <f>IF(ISERROR(MATCH(SamplingData[[#This Row],[Batch by Type (p)]],SelectedPrecincts[Batch Name], 0)), "", INDEX(SelectedPrecincts[Draw], MATCH(SamplingData[[#This Row],[Batch by Type (p)]],SelectedPrecincts[Batch Name], 0)))</f>
        <v/>
      </c>
      <c r="X438" s="102">
        <f>IF(COUNTIF(SelectedPrecincts[Batch Name],SamplingData[[#This Row],[Batch by Type (p)]]) &lt;&gt; 0, COUNTIF(SelectedPrecincts[Batch Name],SamplingData[[#This Row],[Batch by Type (p)]]), 0)</f>
        <v>0</v>
      </c>
    </row>
    <row r="439" spans="1:24" ht="15" customHeight="1">
      <c r="A439" s="18" t="s">
        <v>615</v>
      </c>
      <c r="B439" s="18">
        <v>2</v>
      </c>
      <c r="C439" s="18">
        <v>1</v>
      </c>
      <c r="D439" s="16">
        <v>0</v>
      </c>
      <c r="E439" s="16">
        <v>0</v>
      </c>
      <c r="F439" s="37">
        <v>0</v>
      </c>
      <c r="G439" s="37">
        <v>0</v>
      </c>
      <c r="H439" s="17">
        <v>0</v>
      </c>
      <c r="I439" s="17">
        <v>0</v>
      </c>
      <c r="J439" s="99">
        <f>SUM(SamplingData[[#This Row],[Losing Candidate]:[Under Votes]])</f>
        <v>3</v>
      </c>
      <c r="K439"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39" s="100">
        <f>IF(AND(SamplingData[[#This Row],[Total]]&lt;&gt; 0, NOT(ISBLANK(SamplingData[[#This Row],[Candidate 3]]))),(SamplingData[[#This Row],[Total]]+SamplingData[[#This Row],[Winning Candidate]]-SamplingData[[#This Row],[Candidate 3]])/(SamplingData[[#Totals],[Winning Candidate]]-SamplingData[[#Totals],[Candidate 3]]), 0)</f>
        <v>1.2904474626576767E-4</v>
      </c>
      <c r="M439" s="100">
        <f>IF(AND(SamplingData[[#This Row],[Total]]&lt;&gt; 0, NOT(ISBLANK(SamplingData[[#This Row],[Candidate 4]]))),(SamplingData[[#This Row],[Total]]+SamplingData[[#This Row],[Winning Candidate]]-SamplingData[[#This Row],[Candidate 4]])/(SamplingData[[#Totals],[Winning Candidate]]-SamplingData[[#Totals],[Candidate 4]]), 0)</f>
        <v>1.1692829372387384E-4</v>
      </c>
      <c r="N439" s="100">
        <f>IF(AND(SamplingData[[#This Row],[Total]]&lt;&gt; 0, NOT(ISBLANK(SamplingData[[#This Row],[Candidate 5]]))),(SamplingData[[#This Row],[Total]]+SamplingData[[#This Row],[Winning Candidate]]-SamplingData[[#This Row],[Candidate 5]])/(SamplingData[[#Totals],[Winning Candidate]]-SamplingData[[#Totals],[Candidate 5]]), 0)</f>
        <v>9.7299927025054734E-5</v>
      </c>
      <c r="O439" s="100">
        <f>IF(AND(SamplingData[[#This Row],[Total]]&lt;&gt; 0, NOT(ISBLANK(SamplingData[[#This Row],[Candidate 6]]))),(SamplingData[[#This Row],[Total]]+SamplingData[[#This Row],[Winning Candidate]]-SamplingData[[#This Row],[Candidate 6]])/(SamplingData[[#Totals],[Winning Candidate]]-SamplingData[[#Totals],[Candidate 6]]), 0)</f>
        <v>9.7271533485725401E-5</v>
      </c>
      <c r="P439" s="100">
        <f>MAX(SamplingData[[#This Row],[Error Bound (up) - Max. possible relative overstatement - Losing Candidate]:[Error Bound (up) - Max. possible relative overstatement - Candidate 6]])</f>
        <v>1.2904474626576767E-4</v>
      </c>
      <c r="Q439" s="100">
        <f>IF(SamplingData[[#This Row],[Max Error Bound (up)]] = 0,0,SamplingData[[#This Row],[Max Error Bound (up)]]/SamplingData[[#Totals],[Max Error Bound (up)]])</f>
        <v>2.0423455107328265E-5</v>
      </c>
      <c r="R439" s="101">
        <f>SUM($Q$5:Q439)</f>
        <v>0.18213469822944753</v>
      </c>
      <c r="S439" s="100" t="str">
        <f t="array" ref="S439">IF(SamplingData[[#This Row],[up/U Selection Probability]] = 0, "Zero", TEXT(SamplingData[[#This Row],[Lower Range]], REPT("0",LEN('General Info'!$B$40))) &amp; " - " &amp; TEXT(SamplingData[[#This Row],[Upper Range]], REPT("0",LEN('General Info'!$B$40))))</f>
        <v>18211 - 18212</v>
      </c>
      <c r="T439" s="100">
        <f>SamplingData[[#This Row],[Upper Range]]-SamplingData[[#This Row],[Span]]</f>
        <v>18211.427497857476</v>
      </c>
      <c r="U439" s="100">
        <f>IF(ISNUMBER('General Info'!$B$40), ((SamplingData[[#This Row],[up/U Selection Probability]]) * 'General Info'!$B$40) - 1, 0)</f>
        <v>1.0423250872777192</v>
      </c>
      <c r="V439" s="100">
        <f>IF(ISNUMBER('General Info'!$B$40), (SamplingData[[#This Row],[Running (cumulative) sum]] * ('General Info'!$B$40 -'General Info'!$B$41 + 1)) + 'General Info'!$B$41 - 1, 0)</f>
        <v>18212.469822944753</v>
      </c>
      <c r="W439" s="100" t="str">
        <f>IF(ISERROR(MATCH(SamplingData[[#This Row],[Batch by Type (p)]],SelectedPrecincts[Batch Name], 0)), "", INDEX(SelectedPrecincts[Draw], MATCH(SamplingData[[#This Row],[Batch by Type (p)]],SelectedPrecincts[Batch Name], 0)))</f>
        <v/>
      </c>
      <c r="X439" s="102">
        <f>IF(COUNTIF(SelectedPrecincts[Batch Name],SamplingData[[#This Row],[Batch by Type (p)]]) &lt;&gt; 0, COUNTIF(SelectedPrecincts[Batch Name],SamplingData[[#This Row],[Batch by Type (p)]]), 0)</f>
        <v>0</v>
      </c>
    </row>
    <row r="440" spans="1:24" ht="15" customHeight="1">
      <c r="A440" s="18" t="s">
        <v>616</v>
      </c>
      <c r="B440" s="18">
        <v>0</v>
      </c>
      <c r="C440" s="18">
        <v>0</v>
      </c>
      <c r="D440" s="18">
        <v>0</v>
      </c>
      <c r="E440" s="18">
        <v>0</v>
      </c>
      <c r="F440" s="18">
        <v>0</v>
      </c>
      <c r="G440" s="18">
        <v>0</v>
      </c>
      <c r="H440" s="18">
        <v>0</v>
      </c>
      <c r="I440" s="18">
        <v>0</v>
      </c>
      <c r="J440" s="99">
        <f>SUM(SamplingData[[#This Row],[Losing Candidate]:[Under Votes]])</f>
        <v>0</v>
      </c>
      <c r="K440" s="100">
        <f>IF(AND(SamplingData[[#This Row],[Total]]&lt;&gt; 0, NOT(ISBLANK(SamplingData[[#This Row],[Losing Candidate]]))),(SamplingData[[#This Row],[Total]]+SamplingData[[#This Row],[Winning Candidate]]-SamplingData[[#This Row],[Losing Candidate]])/(SamplingData[[#Totals],[Winning Candidate]]-SamplingData[[#Totals],[Losing Candidate]]), 0)</f>
        <v>0</v>
      </c>
      <c r="L440" s="100">
        <f>IF(AND(SamplingData[[#This Row],[Total]]&lt;&gt; 0, NOT(ISBLANK(SamplingData[[#This Row],[Candidate 3]]))),(SamplingData[[#This Row],[Total]]+SamplingData[[#This Row],[Winning Candidate]]-SamplingData[[#This Row],[Candidate 3]])/(SamplingData[[#Totals],[Winning Candidate]]-SamplingData[[#Totals],[Candidate 3]]), 0)</f>
        <v>0</v>
      </c>
      <c r="M440" s="100">
        <f>IF(AND(SamplingData[[#This Row],[Total]]&lt;&gt; 0, NOT(ISBLANK(SamplingData[[#This Row],[Candidate 4]]))),(SamplingData[[#This Row],[Total]]+SamplingData[[#This Row],[Winning Candidate]]-SamplingData[[#This Row],[Candidate 4]])/(SamplingData[[#Totals],[Winning Candidate]]-SamplingData[[#Totals],[Candidate 4]]), 0)</f>
        <v>0</v>
      </c>
      <c r="N440" s="100">
        <f>IF(AND(SamplingData[[#This Row],[Total]]&lt;&gt; 0, NOT(ISBLANK(SamplingData[[#This Row],[Candidate 5]]))),(SamplingData[[#This Row],[Total]]+SamplingData[[#This Row],[Winning Candidate]]-SamplingData[[#This Row],[Candidate 5]])/(SamplingData[[#Totals],[Winning Candidate]]-SamplingData[[#Totals],[Candidate 5]]), 0)</f>
        <v>0</v>
      </c>
      <c r="O440" s="100">
        <f>IF(AND(SamplingData[[#This Row],[Total]]&lt;&gt; 0, NOT(ISBLANK(SamplingData[[#This Row],[Candidate 6]]))),(SamplingData[[#This Row],[Total]]+SamplingData[[#This Row],[Winning Candidate]]-SamplingData[[#This Row],[Candidate 6]])/(SamplingData[[#Totals],[Winning Candidate]]-SamplingData[[#Totals],[Candidate 6]]), 0)</f>
        <v>0</v>
      </c>
      <c r="P440" s="100">
        <f>MAX(SamplingData[[#This Row],[Error Bound (up) - Max. possible relative overstatement - Losing Candidate]:[Error Bound (up) - Max. possible relative overstatement - Candidate 6]])</f>
        <v>0</v>
      </c>
      <c r="Q440" s="100">
        <f>IF(SamplingData[[#This Row],[Max Error Bound (up)]] = 0,0,SamplingData[[#This Row],[Max Error Bound (up)]]/SamplingData[[#Totals],[Max Error Bound (up)]])</f>
        <v>0</v>
      </c>
      <c r="R440" s="101">
        <f>SUM($Q$5:Q440)</f>
        <v>0.18213469822944753</v>
      </c>
      <c r="S440" s="100" t="str">
        <f t="array" ref="S440">IF(SamplingData[[#This Row],[up/U Selection Probability]] = 0, "Zero", TEXT(SamplingData[[#This Row],[Lower Range]], REPT("0",LEN('General Info'!$B$40))) &amp; " - " &amp; TEXT(SamplingData[[#This Row],[Upper Range]], REPT("0",LEN('General Info'!$B$40))))</f>
        <v>Zero</v>
      </c>
      <c r="T440" s="100">
        <f>SamplingData[[#This Row],[Upper Range]]-SamplingData[[#This Row],[Span]]</f>
        <v>18213.469822944753</v>
      </c>
      <c r="U440" s="100">
        <f>IF(ISNUMBER('General Info'!$B$40), ((SamplingData[[#This Row],[up/U Selection Probability]]) * 'General Info'!$B$40) - 1, 0)</f>
        <v>-1</v>
      </c>
      <c r="V440" s="100">
        <f>IF(ISNUMBER('General Info'!$B$40), (SamplingData[[#This Row],[Running (cumulative) sum]] * ('General Info'!$B$40 -'General Info'!$B$41 + 1)) + 'General Info'!$B$41 - 1, 0)</f>
        <v>18212.469822944753</v>
      </c>
      <c r="W440" s="100" t="str">
        <f>IF(ISERROR(MATCH(SamplingData[[#This Row],[Batch by Type (p)]],SelectedPrecincts[Batch Name], 0)), "", INDEX(SelectedPrecincts[Draw], MATCH(SamplingData[[#This Row],[Batch by Type (p)]],SelectedPrecincts[Batch Name], 0)))</f>
        <v/>
      </c>
      <c r="X440" s="102">
        <f>IF(COUNTIF(SelectedPrecincts[Batch Name],SamplingData[[#This Row],[Batch by Type (p)]]) &lt;&gt; 0, COUNTIF(SelectedPrecincts[Batch Name],SamplingData[[#This Row],[Batch by Type (p)]]), 0)</f>
        <v>0</v>
      </c>
    </row>
    <row r="441" spans="1:24" ht="15" customHeight="1">
      <c r="A441" s="18" t="s">
        <v>617</v>
      </c>
      <c r="B441" s="18">
        <v>0</v>
      </c>
      <c r="C441" s="18">
        <v>0</v>
      </c>
      <c r="D441" s="16">
        <v>0</v>
      </c>
      <c r="E441" s="16">
        <v>0</v>
      </c>
      <c r="F441" s="37">
        <v>0</v>
      </c>
      <c r="G441" s="37">
        <v>0</v>
      </c>
      <c r="H441" s="17">
        <v>0</v>
      </c>
      <c r="I441" s="17">
        <v>0</v>
      </c>
      <c r="J441" s="99">
        <f>SUM(SamplingData[[#This Row],[Losing Candidate]:[Under Votes]])</f>
        <v>0</v>
      </c>
      <c r="K441" s="100">
        <f>IF(AND(SamplingData[[#This Row],[Total]]&lt;&gt; 0, NOT(ISBLANK(SamplingData[[#This Row],[Losing Candidate]]))),(SamplingData[[#This Row],[Total]]+SamplingData[[#This Row],[Winning Candidate]]-SamplingData[[#This Row],[Losing Candidate]])/(SamplingData[[#Totals],[Winning Candidate]]-SamplingData[[#Totals],[Losing Candidate]]), 0)</f>
        <v>0</v>
      </c>
      <c r="L441" s="100">
        <f>IF(AND(SamplingData[[#This Row],[Total]]&lt;&gt; 0, NOT(ISBLANK(SamplingData[[#This Row],[Candidate 3]]))),(SamplingData[[#This Row],[Total]]+SamplingData[[#This Row],[Winning Candidate]]-SamplingData[[#This Row],[Candidate 3]])/(SamplingData[[#Totals],[Winning Candidate]]-SamplingData[[#Totals],[Candidate 3]]), 0)</f>
        <v>0</v>
      </c>
      <c r="M441" s="100">
        <f>IF(AND(SamplingData[[#This Row],[Total]]&lt;&gt; 0, NOT(ISBLANK(SamplingData[[#This Row],[Candidate 4]]))),(SamplingData[[#This Row],[Total]]+SamplingData[[#This Row],[Winning Candidate]]-SamplingData[[#This Row],[Candidate 4]])/(SamplingData[[#Totals],[Winning Candidate]]-SamplingData[[#Totals],[Candidate 4]]), 0)</f>
        <v>0</v>
      </c>
      <c r="N441" s="100">
        <f>IF(AND(SamplingData[[#This Row],[Total]]&lt;&gt; 0, NOT(ISBLANK(SamplingData[[#This Row],[Candidate 5]]))),(SamplingData[[#This Row],[Total]]+SamplingData[[#This Row],[Winning Candidate]]-SamplingData[[#This Row],[Candidate 5]])/(SamplingData[[#Totals],[Winning Candidate]]-SamplingData[[#Totals],[Candidate 5]]), 0)</f>
        <v>0</v>
      </c>
      <c r="O441" s="100">
        <f>IF(AND(SamplingData[[#This Row],[Total]]&lt;&gt; 0, NOT(ISBLANK(SamplingData[[#This Row],[Candidate 6]]))),(SamplingData[[#This Row],[Total]]+SamplingData[[#This Row],[Winning Candidate]]-SamplingData[[#This Row],[Candidate 6]])/(SamplingData[[#Totals],[Winning Candidate]]-SamplingData[[#Totals],[Candidate 6]]), 0)</f>
        <v>0</v>
      </c>
      <c r="P441" s="100">
        <f>MAX(SamplingData[[#This Row],[Error Bound (up) - Max. possible relative overstatement - Losing Candidate]:[Error Bound (up) - Max. possible relative overstatement - Candidate 6]])</f>
        <v>0</v>
      </c>
      <c r="Q441" s="100">
        <f>IF(SamplingData[[#This Row],[Max Error Bound (up)]] = 0,0,SamplingData[[#This Row],[Max Error Bound (up)]]/SamplingData[[#Totals],[Max Error Bound (up)]])</f>
        <v>0</v>
      </c>
      <c r="R441" s="101">
        <f>SUM($Q$5:Q441)</f>
        <v>0.18213469822944753</v>
      </c>
      <c r="S441" s="100" t="str">
        <f t="array" ref="S441">IF(SamplingData[[#This Row],[up/U Selection Probability]] = 0, "Zero", TEXT(SamplingData[[#This Row],[Lower Range]], REPT("0",LEN('General Info'!$B$40))) &amp; " - " &amp; TEXT(SamplingData[[#This Row],[Upper Range]], REPT("0",LEN('General Info'!$B$40))))</f>
        <v>Zero</v>
      </c>
      <c r="T441" s="100">
        <f>SamplingData[[#This Row],[Upper Range]]-SamplingData[[#This Row],[Span]]</f>
        <v>18213.469822944753</v>
      </c>
      <c r="U441" s="100">
        <f>IF(ISNUMBER('General Info'!$B$40), ((SamplingData[[#This Row],[up/U Selection Probability]]) * 'General Info'!$B$40) - 1, 0)</f>
        <v>-1</v>
      </c>
      <c r="V441" s="100">
        <f>IF(ISNUMBER('General Info'!$B$40), (SamplingData[[#This Row],[Running (cumulative) sum]] * ('General Info'!$B$40 -'General Info'!$B$41 + 1)) + 'General Info'!$B$41 - 1, 0)</f>
        <v>18212.469822944753</v>
      </c>
      <c r="W441" s="100" t="str">
        <f>IF(ISERROR(MATCH(SamplingData[[#This Row],[Batch by Type (p)]],SelectedPrecincts[Batch Name], 0)), "", INDEX(SelectedPrecincts[Draw], MATCH(SamplingData[[#This Row],[Batch by Type (p)]],SelectedPrecincts[Batch Name], 0)))</f>
        <v/>
      </c>
      <c r="X441" s="102">
        <f>IF(COUNTIF(SelectedPrecincts[Batch Name],SamplingData[[#This Row],[Batch by Type (p)]]) &lt;&gt; 0, COUNTIF(SelectedPrecincts[Batch Name],SamplingData[[#This Row],[Batch by Type (p)]]), 0)</f>
        <v>0</v>
      </c>
    </row>
    <row r="442" spans="1:24" ht="15" customHeight="1">
      <c r="A442" s="18" t="s">
        <v>618</v>
      </c>
      <c r="B442" s="18">
        <v>0</v>
      </c>
      <c r="C442" s="18">
        <v>0</v>
      </c>
      <c r="D442" s="18">
        <v>0</v>
      </c>
      <c r="E442" s="18">
        <v>0</v>
      </c>
      <c r="F442" s="18">
        <v>0</v>
      </c>
      <c r="G442" s="18">
        <v>0</v>
      </c>
      <c r="H442" s="18">
        <v>0</v>
      </c>
      <c r="I442" s="18">
        <v>0</v>
      </c>
      <c r="J442" s="99">
        <f>SUM(SamplingData[[#This Row],[Losing Candidate]:[Under Votes]])</f>
        <v>0</v>
      </c>
      <c r="K442" s="100">
        <f>IF(AND(SamplingData[[#This Row],[Total]]&lt;&gt; 0, NOT(ISBLANK(SamplingData[[#This Row],[Losing Candidate]]))),(SamplingData[[#This Row],[Total]]+SamplingData[[#This Row],[Winning Candidate]]-SamplingData[[#This Row],[Losing Candidate]])/(SamplingData[[#Totals],[Winning Candidate]]-SamplingData[[#Totals],[Losing Candidate]]), 0)</f>
        <v>0</v>
      </c>
      <c r="L442" s="100">
        <f>IF(AND(SamplingData[[#This Row],[Total]]&lt;&gt; 0, NOT(ISBLANK(SamplingData[[#This Row],[Candidate 3]]))),(SamplingData[[#This Row],[Total]]+SamplingData[[#This Row],[Winning Candidate]]-SamplingData[[#This Row],[Candidate 3]])/(SamplingData[[#Totals],[Winning Candidate]]-SamplingData[[#Totals],[Candidate 3]]), 0)</f>
        <v>0</v>
      </c>
      <c r="M442" s="100">
        <f>IF(AND(SamplingData[[#This Row],[Total]]&lt;&gt; 0, NOT(ISBLANK(SamplingData[[#This Row],[Candidate 4]]))),(SamplingData[[#This Row],[Total]]+SamplingData[[#This Row],[Winning Candidate]]-SamplingData[[#This Row],[Candidate 4]])/(SamplingData[[#Totals],[Winning Candidate]]-SamplingData[[#Totals],[Candidate 4]]), 0)</f>
        <v>0</v>
      </c>
      <c r="N442" s="100">
        <f>IF(AND(SamplingData[[#This Row],[Total]]&lt;&gt; 0, NOT(ISBLANK(SamplingData[[#This Row],[Candidate 5]]))),(SamplingData[[#This Row],[Total]]+SamplingData[[#This Row],[Winning Candidate]]-SamplingData[[#This Row],[Candidate 5]])/(SamplingData[[#Totals],[Winning Candidate]]-SamplingData[[#Totals],[Candidate 5]]), 0)</f>
        <v>0</v>
      </c>
      <c r="O442" s="100">
        <f>IF(AND(SamplingData[[#This Row],[Total]]&lt;&gt; 0, NOT(ISBLANK(SamplingData[[#This Row],[Candidate 6]]))),(SamplingData[[#This Row],[Total]]+SamplingData[[#This Row],[Winning Candidate]]-SamplingData[[#This Row],[Candidate 6]])/(SamplingData[[#Totals],[Winning Candidate]]-SamplingData[[#Totals],[Candidate 6]]), 0)</f>
        <v>0</v>
      </c>
      <c r="P442" s="100">
        <f>MAX(SamplingData[[#This Row],[Error Bound (up) - Max. possible relative overstatement - Losing Candidate]:[Error Bound (up) - Max. possible relative overstatement - Candidate 6]])</f>
        <v>0</v>
      </c>
      <c r="Q442" s="100">
        <f>IF(SamplingData[[#This Row],[Max Error Bound (up)]] = 0,0,SamplingData[[#This Row],[Max Error Bound (up)]]/SamplingData[[#Totals],[Max Error Bound (up)]])</f>
        <v>0</v>
      </c>
      <c r="R442" s="101">
        <f>SUM($Q$5:Q442)</f>
        <v>0.18213469822944753</v>
      </c>
      <c r="S442" s="100" t="str">
        <f t="array" ref="S442">IF(SamplingData[[#This Row],[up/U Selection Probability]] = 0, "Zero", TEXT(SamplingData[[#This Row],[Lower Range]], REPT("0",LEN('General Info'!$B$40))) &amp; " - " &amp; TEXT(SamplingData[[#This Row],[Upper Range]], REPT("0",LEN('General Info'!$B$40))))</f>
        <v>Zero</v>
      </c>
      <c r="T442" s="100">
        <f>SamplingData[[#This Row],[Upper Range]]-SamplingData[[#This Row],[Span]]</f>
        <v>18213.469822944753</v>
      </c>
      <c r="U442" s="100">
        <f>IF(ISNUMBER('General Info'!$B$40), ((SamplingData[[#This Row],[up/U Selection Probability]]) * 'General Info'!$B$40) - 1, 0)</f>
        <v>-1</v>
      </c>
      <c r="V442" s="100">
        <f>IF(ISNUMBER('General Info'!$B$40), (SamplingData[[#This Row],[Running (cumulative) sum]] * ('General Info'!$B$40 -'General Info'!$B$41 + 1)) + 'General Info'!$B$41 - 1, 0)</f>
        <v>18212.469822944753</v>
      </c>
      <c r="W442" s="100" t="str">
        <f>IF(ISERROR(MATCH(SamplingData[[#This Row],[Batch by Type (p)]],SelectedPrecincts[Batch Name], 0)), "", INDEX(SelectedPrecincts[Draw], MATCH(SamplingData[[#This Row],[Batch by Type (p)]],SelectedPrecincts[Batch Name], 0)))</f>
        <v/>
      </c>
      <c r="X442" s="102">
        <f>IF(COUNTIF(SelectedPrecincts[Batch Name],SamplingData[[#This Row],[Batch by Type (p)]]) &lt;&gt; 0, COUNTIF(SelectedPrecincts[Batch Name],SamplingData[[#This Row],[Batch by Type (p)]]), 0)</f>
        <v>0</v>
      </c>
    </row>
    <row r="443" spans="1:24" ht="15" customHeight="1">
      <c r="A443" s="18" t="s">
        <v>619</v>
      </c>
      <c r="B443" s="18">
        <v>4</v>
      </c>
      <c r="C443" s="18">
        <v>0</v>
      </c>
      <c r="D443" s="16">
        <v>1</v>
      </c>
      <c r="E443" s="16">
        <v>1</v>
      </c>
      <c r="F443" s="37">
        <v>0</v>
      </c>
      <c r="G443" s="37">
        <v>0</v>
      </c>
      <c r="H443" s="17">
        <v>0</v>
      </c>
      <c r="I443" s="17">
        <v>0</v>
      </c>
      <c r="J443" s="99">
        <f>SUM(SamplingData[[#This Row],[Losing Candidate]:[Under Votes]])</f>
        <v>6</v>
      </c>
      <c r="K443"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43" s="100">
        <f>IF(AND(SamplingData[[#This Row],[Total]]&lt;&gt; 0, NOT(ISBLANK(SamplingData[[#This Row],[Candidate 3]]))),(SamplingData[[#This Row],[Total]]+SamplingData[[#This Row],[Winning Candidate]]-SamplingData[[#This Row],[Candidate 3]])/(SamplingData[[#Totals],[Winning Candidate]]-SamplingData[[#Totals],[Candidate 3]]), 0)</f>
        <v>1.6130593283220958E-4</v>
      </c>
      <c r="M443" s="100">
        <f>IF(AND(SamplingData[[#This Row],[Total]]&lt;&gt; 0, NOT(ISBLANK(SamplingData[[#This Row],[Candidate 4]]))),(SamplingData[[#This Row],[Total]]+SamplingData[[#This Row],[Winning Candidate]]-SamplingData[[#This Row],[Candidate 4]])/(SamplingData[[#Totals],[Winning Candidate]]-SamplingData[[#Totals],[Candidate 4]]), 0)</f>
        <v>1.4616036715484231E-4</v>
      </c>
      <c r="N443" s="100">
        <f>IF(AND(SamplingData[[#This Row],[Total]]&lt;&gt; 0, NOT(ISBLANK(SamplingData[[#This Row],[Candidate 5]]))),(SamplingData[[#This Row],[Total]]+SamplingData[[#This Row],[Winning Candidate]]-SamplingData[[#This Row],[Candidate 5]])/(SamplingData[[#Totals],[Winning Candidate]]-SamplingData[[#Totals],[Candidate 5]]), 0)</f>
        <v>1.4594989053758211E-4</v>
      </c>
      <c r="O443" s="100">
        <f>IF(AND(SamplingData[[#This Row],[Total]]&lt;&gt; 0, NOT(ISBLANK(SamplingData[[#This Row],[Candidate 6]]))),(SamplingData[[#This Row],[Total]]+SamplingData[[#This Row],[Winning Candidate]]-SamplingData[[#This Row],[Candidate 6]])/(SamplingData[[#Totals],[Winning Candidate]]-SamplingData[[#Totals],[Candidate 6]]), 0)</f>
        <v>1.4590730022858811E-4</v>
      </c>
      <c r="P443" s="100">
        <f>MAX(SamplingData[[#This Row],[Error Bound (up) - Max. possible relative overstatement - Losing Candidate]:[Error Bound (up) - Max. possible relative overstatement - Candidate 6]])</f>
        <v>1.6130593283220958E-4</v>
      </c>
      <c r="Q443" s="100">
        <f>IF(SamplingData[[#This Row],[Max Error Bound (up)]] = 0,0,SamplingData[[#This Row],[Max Error Bound (up)]]/SamplingData[[#Totals],[Max Error Bound (up)]])</f>
        <v>2.5529318884160328E-5</v>
      </c>
      <c r="R443" s="101">
        <f>SUM($Q$5:Q443)</f>
        <v>0.18216022754833169</v>
      </c>
      <c r="S443" s="100" t="str">
        <f t="array" ref="S443">IF(SamplingData[[#This Row],[up/U Selection Probability]] = 0, "Zero", TEXT(SamplingData[[#This Row],[Lower Range]], REPT("0",LEN('General Info'!$B$40))) &amp; " - " &amp; TEXT(SamplingData[[#This Row],[Upper Range]], REPT("0",LEN('General Info'!$B$40))))</f>
        <v>18213 - 18215</v>
      </c>
      <c r="T443" s="100">
        <f>SamplingData[[#This Row],[Upper Range]]-SamplingData[[#This Row],[Span]]</f>
        <v>18213.469848474069</v>
      </c>
      <c r="U443" s="100">
        <f>IF(ISNUMBER('General Info'!$B$40), ((SamplingData[[#This Row],[up/U Selection Probability]]) * 'General Info'!$B$40) - 1, 0)</f>
        <v>1.5529063590971486</v>
      </c>
      <c r="V443" s="100">
        <f>IF(ISNUMBER('General Info'!$B$40), (SamplingData[[#This Row],[Running (cumulative) sum]] * ('General Info'!$B$40 -'General Info'!$B$41 + 1)) + 'General Info'!$B$41 - 1, 0)</f>
        <v>18215.022754833168</v>
      </c>
      <c r="W443" s="100" t="str">
        <f>IF(ISERROR(MATCH(SamplingData[[#This Row],[Batch by Type (p)]],SelectedPrecincts[Batch Name], 0)), "", INDEX(SelectedPrecincts[Draw], MATCH(SamplingData[[#This Row],[Batch by Type (p)]],SelectedPrecincts[Batch Name], 0)))</f>
        <v/>
      </c>
      <c r="X443" s="102">
        <f>IF(COUNTIF(SelectedPrecincts[Batch Name],SamplingData[[#This Row],[Batch by Type (p)]]) &lt;&gt; 0, COUNTIF(SelectedPrecincts[Batch Name],SamplingData[[#This Row],[Batch by Type (p)]]), 0)</f>
        <v>0</v>
      </c>
    </row>
    <row r="444" spans="1:24" ht="15" customHeight="1">
      <c r="A444" s="18" t="s">
        <v>620</v>
      </c>
      <c r="B444" s="18">
        <v>0</v>
      </c>
      <c r="C444" s="18">
        <v>0</v>
      </c>
      <c r="D444" s="18">
        <v>0</v>
      </c>
      <c r="E444" s="18">
        <v>0</v>
      </c>
      <c r="F444" s="18">
        <v>0</v>
      </c>
      <c r="G444" s="18">
        <v>0</v>
      </c>
      <c r="H444" s="18">
        <v>0</v>
      </c>
      <c r="I444" s="18">
        <v>0</v>
      </c>
      <c r="J444" s="99">
        <f>SUM(SamplingData[[#This Row],[Losing Candidate]:[Under Votes]])</f>
        <v>0</v>
      </c>
      <c r="K444" s="100">
        <f>IF(AND(SamplingData[[#This Row],[Total]]&lt;&gt; 0, NOT(ISBLANK(SamplingData[[#This Row],[Losing Candidate]]))),(SamplingData[[#This Row],[Total]]+SamplingData[[#This Row],[Winning Candidate]]-SamplingData[[#This Row],[Losing Candidate]])/(SamplingData[[#Totals],[Winning Candidate]]-SamplingData[[#Totals],[Losing Candidate]]), 0)</f>
        <v>0</v>
      </c>
      <c r="L444" s="100">
        <f>IF(AND(SamplingData[[#This Row],[Total]]&lt;&gt; 0, NOT(ISBLANK(SamplingData[[#This Row],[Candidate 3]]))),(SamplingData[[#This Row],[Total]]+SamplingData[[#This Row],[Winning Candidate]]-SamplingData[[#This Row],[Candidate 3]])/(SamplingData[[#Totals],[Winning Candidate]]-SamplingData[[#Totals],[Candidate 3]]), 0)</f>
        <v>0</v>
      </c>
      <c r="M444" s="100">
        <f>IF(AND(SamplingData[[#This Row],[Total]]&lt;&gt; 0, NOT(ISBLANK(SamplingData[[#This Row],[Candidate 4]]))),(SamplingData[[#This Row],[Total]]+SamplingData[[#This Row],[Winning Candidate]]-SamplingData[[#This Row],[Candidate 4]])/(SamplingData[[#Totals],[Winning Candidate]]-SamplingData[[#Totals],[Candidate 4]]), 0)</f>
        <v>0</v>
      </c>
      <c r="N444" s="100">
        <f>IF(AND(SamplingData[[#This Row],[Total]]&lt;&gt; 0, NOT(ISBLANK(SamplingData[[#This Row],[Candidate 5]]))),(SamplingData[[#This Row],[Total]]+SamplingData[[#This Row],[Winning Candidate]]-SamplingData[[#This Row],[Candidate 5]])/(SamplingData[[#Totals],[Winning Candidate]]-SamplingData[[#Totals],[Candidate 5]]), 0)</f>
        <v>0</v>
      </c>
      <c r="O444" s="100">
        <f>IF(AND(SamplingData[[#This Row],[Total]]&lt;&gt; 0, NOT(ISBLANK(SamplingData[[#This Row],[Candidate 6]]))),(SamplingData[[#This Row],[Total]]+SamplingData[[#This Row],[Winning Candidate]]-SamplingData[[#This Row],[Candidate 6]])/(SamplingData[[#Totals],[Winning Candidate]]-SamplingData[[#Totals],[Candidate 6]]), 0)</f>
        <v>0</v>
      </c>
      <c r="P444" s="100">
        <f>MAX(SamplingData[[#This Row],[Error Bound (up) - Max. possible relative overstatement - Losing Candidate]:[Error Bound (up) - Max. possible relative overstatement - Candidate 6]])</f>
        <v>0</v>
      </c>
      <c r="Q444" s="100">
        <f>IF(SamplingData[[#This Row],[Max Error Bound (up)]] = 0,0,SamplingData[[#This Row],[Max Error Bound (up)]]/SamplingData[[#Totals],[Max Error Bound (up)]])</f>
        <v>0</v>
      </c>
      <c r="R444" s="101">
        <f>SUM($Q$5:Q444)</f>
        <v>0.18216022754833169</v>
      </c>
      <c r="S444" s="100" t="str">
        <f t="array" ref="S444">IF(SamplingData[[#This Row],[up/U Selection Probability]] = 0, "Zero", TEXT(SamplingData[[#This Row],[Lower Range]], REPT("0",LEN('General Info'!$B$40))) &amp; " - " &amp; TEXT(SamplingData[[#This Row],[Upper Range]], REPT("0",LEN('General Info'!$B$40))))</f>
        <v>Zero</v>
      </c>
      <c r="T444" s="100">
        <f>SamplingData[[#This Row],[Upper Range]]-SamplingData[[#This Row],[Span]]</f>
        <v>18216.022754833168</v>
      </c>
      <c r="U444" s="100">
        <f>IF(ISNUMBER('General Info'!$B$40), ((SamplingData[[#This Row],[up/U Selection Probability]]) * 'General Info'!$B$40) - 1, 0)</f>
        <v>-1</v>
      </c>
      <c r="V444" s="100">
        <f>IF(ISNUMBER('General Info'!$B$40), (SamplingData[[#This Row],[Running (cumulative) sum]] * ('General Info'!$B$40 -'General Info'!$B$41 + 1)) + 'General Info'!$B$41 - 1, 0)</f>
        <v>18215.022754833168</v>
      </c>
      <c r="W444" s="100" t="str">
        <f>IF(ISERROR(MATCH(SamplingData[[#This Row],[Batch by Type (p)]],SelectedPrecincts[Batch Name], 0)), "", INDEX(SelectedPrecincts[Draw], MATCH(SamplingData[[#This Row],[Batch by Type (p)]],SelectedPrecincts[Batch Name], 0)))</f>
        <v/>
      </c>
      <c r="X444" s="102">
        <f>IF(COUNTIF(SelectedPrecincts[Batch Name],SamplingData[[#This Row],[Batch by Type (p)]]) &lt;&gt; 0, COUNTIF(SelectedPrecincts[Batch Name],SamplingData[[#This Row],[Batch by Type (p)]]), 0)</f>
        <v>0</v>
      </c>
    </row>
    <row r="445" spans="1:24" ht="15" customHeight="1">
      <c r="A445" s="18" t="s">
        <v>621</v>
      </c>
      <c r="B445" s="18">
        <v>0</v>
      </c>
      <c r="C445" s="18">
        <v>0</v>
      </c>
      <c r="D445" s="16">
        <v>0</v>
      </c>
      <c r="E445" s="16">
        <v>1</v>
      </c>
      <c r="F445" s="37">
        <v>0</v>
      </c>
      <c r="G445" s="37">
        <v>0</v>
      </c>
      <c r="H445" s="17">
        <v>0</v>
      </c>
      <c r="I445" s="17">
        <v>0</v>
      </c>
      <c r="J445" s="99">
        <f>SUM(SamplingData[[#This Row],[Losing Candidate]:[Under Votes]])</f>
        <v>1</v>
      </c>
      <c r="K445"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45" s="100">
        <f>IF(AND(SamplingData[[#This Row],[Total]]&lt;&gt; 0, NOT(ISBLANK(SamplingData[[#This Row],[Candidate 3]]))),(SamplingData[[#This Row],[Total]]+SamplingData[[#This Row],[Winning Candidate]]-SamplingData[[#This Row],[Candidate 3]])/(SamplingData[[#Totals],[Winning Candidate]]-SamplingData[[#Totals],[Candidate 3]]), 0)</f>
        <v>3.2261186566441917E-5</v>
      </c>
      <c r="M445" s="100">
        <f>IF(AND(SamplingData[[#This Row],[Total]]&lt;&gt; 0, NOT(ISBLANK(SamplingData[[#This Row],[Candidate 4]]))),(SamplingData[[#This Row],[Total]]+SamplingData[[#This Row],[Winning Candidate]]-SamplingData[[#This Row],[Candidate 4]])/(SamplingData[[#Totals],[Winning Candidate]]-SamplingData[[#Totals],[Candidate 4]]), 0)</f>
        <v>0</v>
      </c>
      <c r="N445" s="100">
        <f>IF(AND(SamplingData[[#This Row],[Total]]&lt;&gt; 0, NOT(ISBLANK(SamplingData[[#This Row],[Candidate 5]]))),(SamplingData[[#This Row],[Total]]+SamplingData[[#This Row],[Winning Candidate]]-SamplingData[[#This Row],[Candidate 5]])/(SamplingData[[#Totals],[Winning Candidate]]-SamplingData[[#Totals],[Candidate 5]]), 0)</f>
        <v>2.4324981756263683E-5</v>
      </c>
      <c r="O445" s="100">
        <f>IF(AND(SamplingData[[#This Row],[Total]]&lt;&gt; 0, NOT(ISBLANK(SamplingData[[#This Row],[Candidate 6]]))),(SamplingData[[#This Row],[Total]]+SamplingData[[#This Row],[Winning Candidate]]-SamplingData[[#This Row],[Candidate 6]])/(SamplingData[[#Totals],[Winning Candidate]]-SamplingData[[#Totals],[Candidate 6]]), 0)</f>
        <v>2.431788337143135E-5</v>
      </c>
      <c r="P445" s="100">
        <f>MAX(SamplingData[[#This Row],[Error Bound (up) - Max. possible relative overstatement - Losing Candidate]:[Error Bound (up) - Max. possible relative overstatement - Candidate 6]])</f>
        <v>6.1244487996080352E-5</v>
      </c>
      <c r="Q445" s="100">
        <f>IF(SamplingData[[#This Row],[Max Error Bound (up)]] = 0,0,SamplingData[[#This Row],[Max Error Bound (up)]]/SamplingData[[#Totals],[Max Error Bound (up)]])</f>
        <v>9.6929482784458315E-6</v>
      </c>
      <c r="R445" s="101">
        <f>SUM($Q$5:Q445)</f>
        <v>0.18216992049661013</v>
      </c>
      <c r="S445" s="100" t="str">
        <f t="array" ref="S445">IF(SamplingData[[#This Row],[up/U Selection Probability]] = 0, "Zero", TEXT(SamplingData[[#This Row],[Lower Range]], REPT("0",LEN('General Info'!$B$40))) &amp; " - " &amp; TEXT(SamplingData[[#This Row],[Upper Range]], REPT("0",LEN('General Info'!$B$40))))</f>
        <v>18216 - 18216</v>
      </c>
      <c r="T445" s="100">
        <f>SamplingData[[#This Row],[Upper Range]]-SamplingData[[#This Row],[Span]]</f>
        <v>18216.022764526118</v>
      </c>
      <c r="U445" s="100">
        <f>IF(ISNUMBER('General Info'!$B$40), ((SamplingData[[#This Row],[up/U Selection Probability]]) * 'General Info'!$B$40) - 1, 0)</f>
        <v>-3.0714865103695255E-2</v>
      </c>
      <c r="V445" s="100">
        <f>IF(ISNUMBER('General Info'!$B$40), (SamplingData[[#This Row],[Running (cumulative) sum]] * ('General Info'!$B$40 -'General Info'!$B$41 + 1)) + 'General Info'!$B$41 - 1, 0)</f>
        <v>18215.992049661014</v>
      </c>
      <c r="W445" s="100" t="str">
        <f>IF(ISERROR(MATCH(SamplingData[[#This Row],[Batch by Type (p)]],SelectedPrecincts[Batch Name], 0)), "", INDEX(SelectedPrecincts[Draw], MATCH(SamplingData[[#This Row],[Batch by Type (p)]],SelectedPrecincts[Batch Name], 0)))</f>
        <v/>
      </c>
      <c r="X445" s="102">
        <f>IF(COUNTIF(SelectedPrecincts[Batch Name],SamplingData[[#This Row],[Batch by Type (p)]]) &lt;&gt; 0, COUNTIF(SelectedPrecincts[Batch Name],SamplingData[[#This Row],[Batch by Type (p)]]), 0)</f>
        <v>0</v>
      </c>
    </row>
    <row r="446" spans="1:24" ht="15" customHeight="1">
      <c r="A446" s="18" t="s">
        <v>622</v>
      </c>
      <c r="B446" s="18">
        <v>0</v>
      </c>
      <c r="C446" s="18">
        <v>1</v>
      </c>
      <c r="D446" s="18">
        <v>0</v>
      </c>
      <c r="E446" s="18">
        <v>0</v>
      </c>
      <c r="F446" s="18">
        <v>0</v>
      </c>
      <c r="G446" s="18">
        <v>0</v>
      </c>
      <c r="H446" s="18">
        <v>0</v>
      </c>
      <c r="I446" s="18">
        <v>0</v>
      </c>
      <c r="J446" s="99">
        <f>SUM(SamplingData[[#This Row],[Losing Candidate]:[Under Votes]])</f>
        <v>1</v>
      </c>
      <c r="K44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46" s="100">
        <f>IF(AND(SamplingData[[#This Row],[Total]]&lt;&gt; 0, NOT(ISBLANK(SamplingData[[#This Row],[Candidate 3]]))),(SamplingData[[#This Row],[Total]]+SamplingData[[#This Row],[Winning Candidate]]-SamplingData[[#This Row],[Candidate 3]])/(SamplingData[[#Totals],[Winning Candidate]]-SamplingData[[#Totals],[Candidate 3]]), 0)</f>
        <v>6.4522373132883833E-5</v>
      </c>
      <c r="M446" s="100">
        <f>IF(AND(SamplingData[[#This Row],[Total]]&lt;&gt; 0, NOT(ISBLANK(SamplingData[[#This Row],[Candidate 4]]))),(SamplingData[[#This Row],[Total]]+SamplingData[[#This Row],[Winning Candidate]]-SamplingData[[#This Row],[Candidate 4]])/(SamplingData[[#Totals],[Winning Candidate]]-SamplingData[[#Totals],[Candidate 4]]), 0)</f>
        <v>5.846414686193692E-5</v>
      </c>
      <c r="N446" s="100">
        <f>IF(AND(SamplingData[[#This Row],[Total]]&lt;&gt; 0, NOT(ISBLANK(SamplingData[[#This Row],[Candidate 5]]))),(SamplingData[[#This Row],[Total]]+SamplingData[[#This Row],[Winning Candidate]]-SamplingData[[#This Row],[Candidate 5]])/(SamplingData[[#Totals],[Winning Candidate]]-SamplingData[[#Totals],[Candidate 5]]), 0)</f>
        <v>4.8649963512527367E-5</v>
      </c>
      <c r="O446" s="100">
        <f>IF(AND(SamplingData[[#This Row],[Total]]&lt;&gt; 0, NOT(ISBLANK(SamplingData[[#This Row],[Candidate 6]]))),(SamplingData[[#This Row],[Total]]+SamplingData[[#This Row],[Winning Candidate]]-SamplingData[[#This Row],[Candidate 6]])/(SamplingData[[#Totals],[Winning Candidate]]-SamplingData[[#Totals],[Candidate 6]]), 0)</f>
        <v>4.8635766742862701E-5</v>
      </c>
      <c r="P446" s="100">
        <f>MAX(SamplingData[[#This Row],[Error Bound (up) - Max. possible relative overstatement - Losing Candidate]:[Error Bound (up) - Max. possible relative overstatement - Candidate 6]])</f>
        <v>1.224889759921607E-4</v>
      </c>
      <c r="Q446" s="100">
        <f>IF(SamplingData[[#This Row],[Max Error Bound (up)]] = 0,0,SamplingData[[#This Row],[Max Error Bound (up)]]/SamplingData[[#Totals],[Max Error Bound (up)]])</f>
        <v>1.9385896556891663E-5</v>
      </c>
      <c r="R446" s="101">
        <f>SUM($Q$5:Q446)</f>
        <v>0.18218930639316702</v>
      </c>
      <c r="S446" s="100" t="str">
        <f t="array" ref="S446">IF(SamplingData[[#This Row],[up/U Selection Probability]] = 0, "Zero", TEXT(SamplingData[[#This Row],[Lower Range]], REPT("0",LEN('General Info'!$B$40))) &amp; " - " &amp; TEXT(SamplingData[[#This Row],[Upper Range]], REPT("0",LEN('General Info'!$B$40))))</f>
        <v>18217 - 18218</v>
      </c>
      <c r="T446" s="100">
        <f>SamplingData[[#This Row],[Upper Range]]-SamplingData[[#This Row],[Span]]</f>
        <v>18216.992069046912</v>
      </c>
      <c r="U446" s="100">
        <f>IF(ISNUMBER('General Info'!$B$40), ((SamplingData[[#This Row],[up/U Selection Probability]]) * 'General Info'!$B$40) - 1, 0)</f>
        <v>0.93857026979260949</v>
      </c>
      <c r="V446" s="100">
        <f>IF(ISNUMBER('General Info'!$B$40), (SamplingData[[#This Row],[Running (cumulative) sum]] * ('General Info'!$B$40 -'General Info'!$B$41 + 1)) + 'General Info'!$B$41 - 1, 0)</f>
        <v>18217.930639316703</v>
      </c>
      <c r="W446" s="100" t="str">
        <f>IF(ISERROR(MATCH(SamplingData[[#This Row],[Batch by Type (p)]],SelectedPrecincts[Batch Name], 0)), "", INDEX(SelectedPrecincts[Draw], MATCH(SamplingData[[#This Row],[Batch by Type (p)]],SelectedPrecincts[Batch Name], 0)))</f>
        <v/>
      </c>
      <c r="X446" s="102">
        <f>IF(COUNTIF(SelectedPrecincts[Batch Name],SamplingData[[#This Row],[Batch by Type (p)]]) &lt;&gt; 0, COUNTIF(SelectedPrecincts[Batch Name],SamplingData[[#This Row],[Batch by Type (p)]]), 0)</f>
        <v>0</v>
      </c>
    </row>
    <row r="447" spans="1:24" ht="15" customHeight="1">
      <c r="A447" s="18" t="s">
        <v>623</v>
      </c>
      <c r="B447" s="18">
        <v>0</v>
      </c>
      <c r="C447" s="18">
        <v>0</v>
      </c>
      <c r="D447" s="16">
        <v>0</v>
      </c>
      <c r="E447" s="16">
        <v>0</v>
      </c>
      <c r="F447" s="37">
        <v>0</v>
      </c>
      <c r="G447" s="37">
        <v>0</v>
      </c>
      <c r="H447" s="17">
        <v>0</v>
      </c>
      <c r="I447" s="17">
        <v>0</v>
      </c>
      <c r="J447" s="99">
        <f>SUM(SamplingData[[#This Row],[Losing Candidate]:[Under Votes]])</f>
        <v>0</v>
      </c>
      <c r="K447" s="100">
        <f>IF(AND(SamplingData[[#This Row],[Total]]&lt;&gt; 0, NOT(ISBLANK(SamplingData[[#This Row],[Losing Candidate]]))),(SamplingData[[#This Row],[Total]]+SamplingData[[#This Row],[Winning Candidate]]-SamplingData[[#This Row],[Losing Candidate]])/(SamplingData[[#Totals],[Winning Candidate]]-SamplingData[[#Totals],[Losing Candidate]]), 0)</f>
        <v>0</v>
      </c>
      <c r="L447" s="100">
        <f>IF(AND(SamplingData[[#This Row],[Total]]&lt;&gt; 0, NOT(ISBLANK(SamplingData[[#This Row],[Candidate 3]]))),(SamplingData[[#This Row],[Total]]+SamplingData[[#This Row],[Winning Candidate]]-SamplingData[[#This Row],[Candidate 3]])/(SamplingData[[#Totals],[Winning Candidate]]-SamplingData[[#Totals],[Candidate 3]]), 0)</f>
        <v>0</v>
      </c>
      <c r="M447" s="100">
        <f>IF(AND(SamplingData[[#This Row],[Total]]&lt;&gt; 0, NOT(ISBLANK(SamplingData[[#This Row],[Candidate 4]]))),(SamplingData[[#This Row],[Total]]+SamplingData[[#This Row],[Winning Candidate]]-SamplingData[[#This Row],[Candidate 4]])/(SamplingData[[#Totals],[Winning Candidate]]-SamplingData[[#Totals],[Candidate 4]]), 0)</f>
        <v>0</v>
      </c>
      <c r="N447" s="100">
        <f>IF(AND(SamplingData[[#This Row],[Total]]&lt;&gt; 0, NOT(ISBLANK(SamplingData[[#This Row],[Candidate 5]]))),(SamplingData[[#This Row],[Total]]+SamplingData[[#This Row],[Winning Candidate]]-SamplingData[[#This Row],[Candidate 5]])/(SamplingData[[#Totals],[Winning Candidate]]-SamplingData[[#Totals],[Candidate 5]]), 0)</f>
        <v>0</v>
      </c>
      <c r="O447" s="100">
        <f>IF(AND(SamplingData[[#This Row],[Total]]&lt;&gt; 0, NOT(ISBLANK(SamplingData[[#This Row],[Candidate 6]]))),(SamplingData[[#This Row],[Total]]+SamplingData[[#This Row],[Winning Candidate]]-SamplingData[[#This Row],[Candidate 6]])/(SamplingData[[#Totals],[Winning Candidate]]-SamplingData[[#Totals],[Candidate 6]]), 0)</f>
        <v>0</v>
      </c>
      <c r="P447" s="100">
        <f>MAX(SamplingData[[#This Row],[Error Bound (up) - Max. possible relative overstatement - Losing Candidate]:[Error Bound (up) - Max. possible relative overstatement - Candidate 6]])</f>
        <v>0</v>
      </c>
      <c r="Q447" s="100">
        <f>IF(SamplingData[[#This Row],[Max Error Bound (up)]] = 0,0,SamplingData[[#This Row],[Max Error Bound (up)]]/SamplingData[[#Totals],[Max Error Bound (up)]])</f>
        <v>0</v>
      </c>
      <c r="R447" s="101">
        <f>SUM($Q$5:Q447)</f>
        <v>0.18218930639316702</v>
      </c>
      <c r="S447" s="100" t="str">
        <f t="array" ref="S447">IF(SamplingData[[#This Row],[up/U Selection Probability]] = 0, "Zero", TEXT(SamplingData[[#This Row],[Lower Range]], REPT("0",LEN('General Info'!$B$40))) &amp; " - " &amp; TEXT(SamplingData[[#This Row],[Upper Range]], REPT("0",LEN('General Info'!$B$40))))</f>
        <v>Zero</v>
      </c>
      <c r="T447" s="100">
        <f>SamplingData[[#This Row],[Upper Range]]-SamplingData[[#This Row],[Span]]</f>
        <v>18218.930639316703</v>
      </c>
      <c r="U447" s="100">
        <f>IF(ISNUMBER('General Info'!$B$40), ((SamplingData[[#This Row],[up/U Selection Probability]]) * 'General Info'!$B$40) - 1, 0)</f>
        <v>-1</v>
      </c>
      <c r="V447" s="100">
        <f>IF(ISNUMBER('General Info'!$B$40), (SamplingData[[#This Row],[Running (cumulative) sum]] * ('General Info'!$B$40 -'General Info'!$B$41 + 1)) + 'General Info'!$B$41 - 1, 0)</f>
        <v>18217.930639316703</v>
      </c>
      <c r="W447" s="100" t="str">
        <f>IF(ISERROR(MATCH(SamplingData[[#This Row],[Batch by Type (p)]],SelectedPrecincts[Batch Name], 0)), "", INDEX(SelectedPrecincts[Draw], MATCH(SamplingData[[#This Row],[Batch by Type (p)]],SelectedPrecincts[Batch Name], 0)))</f>
        <v/>
      </c>
      <c r="X447" s="102">
        <f>IF(COUNTIF(SelectedPrecincts[Batch Name],SamplingData[[#This Row],[Batch by Type (p)]]) &lt;&gt; 0, COUNTIF(SelectedPrecincts[Batch Name],SamplingData[[#This Row],[Batch by Type (p)]]), 0)</f>
        <v>0</v>
      </c>
    </row>
    <row r="448" spans="1:24" ht="15" customHeight="1">
      <c r="A448" s="18" t="s">
        <v>624</v>
      </c>
      <c r="B448" s="18">
        <v>0</v>
      </c>
      <c r="C448" s="18">
        <v>1</v>
      </c>
      <c r="D448" s="18">
        <v>0</v>
      </c>
      <c r="E448" s="18">
        <v>0</v>
      </c>
      <c r="F448" s="18">
        <v>0</v>
      </c>
      <c r="G448" s="18">
        <v>0</v>
      </c>
      <c r="H448" s="18">
        <v>0</v>
      </c>
      <c r="I448" s="18">
        <v>1</v>
      </c>
      <c r="J448" s="99">
        <f>SUM(SamplingData[[#This Row],[Losing Candidate]:[Under Votes]])</f>
        <v>2</v>
      </c>
      <c r="K448"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448" s="100">
        <f>IF(AND(SamplingData[[#This Row],[Total]]&lt;&gt; 0, NOT(ISBLANK(SamplingData[[#This Row],[Candidate 3]]))),(SamplingData[[#This Row],[Total]]+SamplingData[[#This Row],[Winning Candidate]]-SamplingData[[#This Row],[Candidate 3]])/(SamplingData[[#Totals],[Winning Candidate]]-SamplingData[[#Totals],[Candidate 3]]), 0)</f>
        <v>9.6783559699325743E-5</v>
      </c>
      <c r="M448" s="100">
        <f>IF(AND(SamplingData[[#This Row],[Total]]&lt;&gt; 0, NOT(ISBLANK(SamplingData[[#This Row],[Candidate 4]]))),(SamplingData[[#This Row],[Total]]+SamplingData[[#This Row],[Winning Candidate]]-SamplingData[[#This Row],[Candidate 4]])/(SamplingData[[#Totals],[Winning Candidate]]-SamplingData[[#Totals],[Candidate 4]]), 0)</f>
        <v>8.7696220292905373E-5</v>
      </c>
      <c r="N448" s="100">
        <f>IF(AND(SamplingData[[#This Row],[Total]]&lt;&gt; 0, NOT(ISBLANK(SamplingData[[#This Row],[Candidate 5]]))),(SamplingData[[#This Row],[Total]]+SamplingData[[#This Row],[Winning Candidate]]-SamplingData[[#This Row],[Candidate 5]])/(SamplingData[[#Totals],[Winning Candidate]]-SamplingData[[#Totals],[Candidate 5]]), 0)</f>
        <v>7.2974945268791054E-5</v>
      </c>
      <c r="O448" s="100">
        <f>IF(AND(SamplingData[[#This Row],[Total]]&lt;&gt; 0, NOT(ISBLANK(SamplingData[[#This Row],[Candidate 6]]))),(SamplingData[[#This Row],[Total]]+SamplingData[[#This Row],[Winning Candidate]]-SamplingData[[#This Row],[Candidate 6]])/(SamplingData[[#Totals],[Winning Candidate]]-SamplingData[[#Totals],[Candidate 6]]), 0)</f>
        <v>7.2953650114294054E-5</v>
      </c>
      <c r="P448" s="100">
        <f>MAX(SamplingData[[#This Row],[Error Bound (up) - Max. possible relative overstatement - Losing Candidate]:[Error Bound (up) - Max. possible relative overstatement - Candidate 6]])</f>
        <v>1.8373346398824106E-4</v>
      </c>
      <c r="Q448" s="100">
        <f>IF(SamplingData[[#This Row],[Max Error Bound (up)]] = 0,0,SamplingData[[#This Row],[Max Error Bound (up)]]/SamplingData[[#Totals],[Max Error Bound (up)]])</f>
        <v>2.9078844835337493E-5</v>
      </c>
      <c r="R448" s="101">
        <f>SUM($Q$5:Q448)</f>
        <v>0.18221838523800235</v>
      </c>
      <c r="S448" s="100" t="str">
        <f t="array" ref="S448">IF(SamplingData[[#This Row],[up/U Selection Probability]] = 0, "Zero", TEXT(SamplingData[[#This Row],[Lower Range]], REPT("0",LEN('General Info'!$B$40))) &amp; " - " &amp; TEXT(SamplingData[[#This Row],[Upper Range]], REPT("0",LEN('General Info'!$B$40))))</f>
        <v>18219 - 18221</v>
      </c>
      <c r="T448" s="100">
        <f>SamplingData[[#This Row],[Upper Range]]-SamplingData[[#This Row],[Span]]</f>
        <v>18218.930668395544</v>
      </c>
      <c r="U448" s="100">
        <f>IF(ISNUMBER('General Info'!$B$40), ((SamplingData[[#This Row],[up/U Selection Probability]]) * 'General Info'!$B$40) - 1, 0)</f>
        <v>1.907855404688914</v>
      </c>
      <c r="V448" s="100">
        <f>IF(ISNUMBER('General Info'!$B$40), (SamplingData[[#This Row],[Running (cumulative) sum]] * ('General Info'!$B$40 -'General Info'!$B$41 + 1)) + 'General Info'!$B$41 - 1, 0)</f>
        <v>18220.838523800234</v>
      </c>
      <c r="W448" s="100" t="str">
        <f>IF(ISERROR(MATCH(SamplingData[[#This Row],[Batch by Type (p)]],SelectedPrecincts[Batch Name], 0)), "", INDEX(SelectedPrecincts[Draw], MATCH(SamplingData[[#This Row],[Batch by Type (p)]],SelectedPrecincts[Batch Name], 0)))</f>
        <v/>
      </c>
      <c r="X448" s="102">
        <f>IF(COUNTIF(SelectedPrecincts[Batch Name],SamplingData[[#This Row],[Batch by Type (p)]]) &lt;&gt; 0, COUNTIF(SelectedPrecincts[Batch Name],SamplingData[[#This Row],[Batch by Type (p)]]), 0)</f>
        <v>0</v>
      </c>
    </row>
    <row r="449" spans="1:24" ht="15" customHeight="1">
      <c r="A449" s="18" t="s">
        <v>625</v>
      </c>
      <c r="B449" s="18">
        <v>0</v>
      </c>
      <c r="C449" s="18">
        <v>0</v>
      </c>
      <c r="D449" s="16">
        <v>0</v>
      </c>
      <c r="E449" s="16">
        <v>0</v>
      </c>
      <c r="F449" s="37">
        <v>0</v>
      </c>
      <c r="G449" s="37">
        <v>0</v>
      </c>
      <c r="H449" s="17">
        <v>0</v>
      </c>
      <c r="I449" s="17">
        <v>0</v>
      </c>
      <c r="J449" s="99">
        <f>SUM(SamplingData[[#This Row],[Losing Candidate]:[Under Votes]])</f>
        <v>0</v>
      </c>
      <c r="K449" s="100">
        <f>IF(AND(SamplingData[[#This Row],[Total]]&lt;&gt; 0, NOT(ISBLANK(SamplingData[[#This Row],[Losing Candidate]]))),(SamplingData[[#This Row],[Total]]+SamplingData[[#This Row],[Winning Candidate]]-SamplingData[[#This Row],[Losing Candidate]])/(SamplingData[[#Totals],[Winning Candidate]]-SamplingData[[#Totals],[Losing Candidate]]), 0)</f>
        <v>0</v>
      </c>
      <c r="L449" s="100">
        <f>IF(AND(SamplingData[[#This Row],[Total]]&lt;&gt; 0, NOT(ISBLANK(SamplingData[[#This Row],[Candidate 3]]))),(SamplingData[[#This Row],[Total]]+SamplingData[[#This Row],[Winning Candidate]]-SamplingData[[#This Row],[Candidate 3]])/(SamplingData[[#Totals],[Winning Candidate]]-SamplingData[[#Totals],[Candidate 3]]), 0)</f>
        <v>0</v>
      </c>
      <c r="M449" s="100">
        <f>IF(AND(SamplingData[[#This Row],[Total]]&lt;&gt; 0, NOT(ISBLANK(SamplingData[[#This Row],[Candidate 4]]))),(SamplingData[[#This Row],[Total]]+SamplingData[[#This Row],[Winning Candidate]]-SamplingData[[#This Row],[Candidate 4]])/(SamplingData[[#Totals],[Winning Candidate]]-SamplingData[[#Totals],[Candidate 4]]), 0)</f>
        <v>0</v>
      </c>
      <c r="N449" s="100">
        <f>IF(AND(SamplingData[[#This Row],[Total]]&lt;&gt; 0, NOT(ISBLANK(SamplingData[[#This Row],[Candidate 5]]))),(SamplingData[[#This Row],[Total]]+SamplingData[[#This Row],[Winning Candidate]]-SamplingData[[#This Row],[Candidate 5]])/(SamplingData[[#Totals],[Winning Candidate]]-SamplingData[[#Totals],[Candidate 5]]), 0)</f>
        <v>0</v>
      </c>
      <c r="O449" s="100">
        <f>IF(AND(SamplingData[[#This Row],[Total]]&lt;&gt; 0, NOT(ISBLANK(SamplingData[[#This Row],[Candidate 6]]))),(SamplingData[[#This Row],[Total]]+SamplingData[[#This Row],[Winning Candidate]]-SamplingData[[#This Row],[Candidate 6]])/(SamplingData[[#Totals],[Winning Candidate]]-SamplingData[[#Totals],[Candidate 6]]), 0)</f>
        <v>0</v>
      </c>
      <c r="P449" s="100">
        <f>MAX(SamplingData[[#This Row],[Error Bound (up) - Max. possible relative overstatement - Losing Candidate]:[Error Bound (up) - Max. possible relative overstatement - Candidate 6]])</f>
        <v>0</v>
      </c>
      <c r="Q449" s="100">
        <f>IF(SamplingData[[#This Row],[Max Error Bound (up)]] = 0,0,SamplingData[[#This Row],[Max Error Bound (up)]]/SamplingData[[#Totals],[Max Error Bound (up)]])</f>
        <v>0</v>
      </c>
      <c r="R449" s="101">
        <f>SUM($Q$5:Q449)</f>
        <v>0.18221838523800235</v>
      </c>
      <c r="S449" s="100" t="str">
        <f t="array" ref="S449">IF(SamplingData[[#This Row],[up/U Selection Probability]] = 0, "Zero", TEXT(SamplingData[[#This Row],[Lower Range]], REPT("0",LEN('General Info'!$B$40))) &amp; " - " &amp; TEXT(SamplingData[[#This Row],[Upper Range]], REPT("0",LEN('General Info'!$B$40))))</f>
        <v>Zero</v>
      </c>
      <c r="T449" s="100">
        <f>SamplingData[[#This Row],[Upper Range]]-SamplingData[[#This Row],[Span]]</f>
        <v>18221.838523800234</v>
      </c>
      <c r="U449" s="100">
        <f>IF(ISNUMBER('General Info'!$B$40), ((SamplingData[[#This Row],[up/U Selection Probability]]) * 'General Info'!$B$40) - 1, 0)</f>
        <v>-1</v>
      </c>
      <c r="V449" s="100">
        <f>IF(ISNUMBER('General Info'!$B$40), (SamplingData[[#This Row],[Running (cumulative) sum]] * ('General Info'!$B$40 -'General Info'!$B$41 + 1)) + 'General Info'!$B$41 - 1, 0)</f>
        <v>18220.838523800234</v>
      </c>
      <c r="W449" s="100" t="str">
        <f>IF(ISERROR(MATCH(SamplingData[[#This Row],[Batch by Type (p)]],SelectedPrecincts[Batch Name], 0)), "", INDEX(SelectedPrecincts[Draw], MATCH(SamplingData[[#This Row],[Batch by Type (p)]],SelectedPrecincts[Batch Name], 0)))</f>
        <v/>
      </c>
      <c r="X449" s="102">
        <f>IF(COUNTIF(SelectedPrecincts[Batch Name],SamplingData[[#This Row],[Batch by Type (p)]]) &lt;&gt; 0, COUNTIF(SelectedPrecincts[Batch Name],SamplingData[[#This Row],[Batch by Type (p)]]), 0)</f>
        <v>0</v>
      </c>
    </row>
    <row r="450" spans="1:24" ht="15" customHeight="1">
      <c r="A450" s="18" t="s">
        <v>626</v>
      </c>
      <c r="B450" s="18">
        <v>2</v>
      </c>
      <c r="C450" s="18">
        <v>0</v>
      </c>
      <c r="D450" s="18">
        <v>0</v>
      </c>
      <c r="E450" s="18">
        <v>0</v>
      </c>
      <c r="F450" s="18">
        <v>0</v>
      </c>
      <c r="G450" s="18">
        <v>0</v>
      </c>
      <c r="H450" s="18">
        <v>0</v>
      </c>
      <c r="I450" s="18">
        <v>0</v>
      </c>
      <c r="J450" s="99">
        <f>SUM(SamplingData[[#This Row],[Losing Candidate]:[Under Votes]])</f>
        <v>2</v>
      </c>
      <c r="K450" s="100">
        <f>IF(AND(SamplingData[[#This Row],[Total]]&lt;&gt; 0, NOT(ISBLANK(SamplingData[[#This Row],[Losing Candidate]]))),(SamplingData[[#This Row],[Total]]+SamplingData[[#This Row],[Winning Candidate]]-SamplingData[[#This Row],[Losing Candidate]])/(SamplingData[[#Totals],[Winning Candidate]]-SamplingData[[#Totals],[Losing Candidate]]), 0)</f>
        <v>0</v>
      </c>
      <c r="L450" s="100">
        <f>IF(AND(SamplingData[[#This Row],[Total]]&lt;&gt; 0, NOT(ISBLANK(SamplingData[[#This Row],[Candidate 3]]))),(SamplingData[[#This Row],[Total]]+SamplingData[[#This Row],[Winning Candidate]]-SamplingData[[#This Row],[Candidate 3]])/(SamplingData[[#Totals],[Winning Candidate]]-SamplingData[[#Totals],[Candidate 3]]), 0)</f>
        <v>6.4522373132883833E-5</v>
      </c>
      <c r="M450" s="100">
        <f>IF(AND(SamplingData[[#This Row],[Total]]&lt;&gt; 0, NOT(ISBLANK(SamplingData[[#This Row],[Candidate 4]]))),(SamplingData[[#This Row],[Total]]+SamplingData[[#This Row],[Winning Candidate]]-SamplingData[[#This Row],[Candidate 4]])/(SamplingData[[#Totals],[Winning Candidate]]-SamplingData[[#Totals],[Candidate 4]]), 0)</f>
        <v>5.846414686193692E-5</v>
      </c>
      <c r="N450" s="100">
        <f>IF(AND(SamplingData[[#This Row],[Total]]&lt;&gt; 0, NOT(ISBLANK(SamplingData[[#This Row],[Candidate 5]]))),(SamplingData[[#This Row],[Total]]+SamplingData[[#This Row],[Winning Candidate]]-SamplingData[[#This Row],[Candidate 5]])/(SamplingData[[#Totals],[Winning Candidate]]-SamplingData[[#Totals],[Candidate 5]]), 0)</f>
        <v>4.8649963512527367E-5</v>
      </c>
      <c r="O450" s="100">
        <f>IF(AND(SamplingData[[#This Row],[Total]]&lt;&gt; 0, NOT(ISBLANK(SamplingData[[#This Row],[Candidate 6]]))),(SamplingData[[#This Row],[Total]]+SamplingData[[#This Row],[Winning Candidate]]-SamplingData[[#This Row],[Candidate 6]])/(SamplingData[[#Totals],[Winning Candidate]]-SamplingData[[#Totals],[Candidate 6]]), 0)</f>
        <v>4.8635766742862701E-5</v>
      </c>
      <c r="P450" s="100">
        <f>MAX(SamplingData[[#This Row],[Error Bound (up) - Max. possible relative overstatement - Losing Candidate]:[Error Bound (up) - Max. possible relative overstatement - Candidate 6]])</f>
        <v>6.4522373132883833E-5</v>
      </c>
      <c r="Q450" s="100">
        <f>IF(SamplingData[[#This Row],[Max Error Bound (up)]] = 0,0,SamplingData[[#This Row],[Max Error Bound (up)]]/SamplingData[[#Totals],[Max Error Bound (up)]])</f>
        <v>1.0211727553664133E-5</v>
      </c>
      <c r="R450" s="101">
        <f>SUM($Q$5:Q450)</f>
        <v>0.18222859696555602</v>
      </c>
      <c r="S450" s="100" t="str">
        <f t="array" ref="S450">IF(SamplingData[[#This Row],[up/U Selection Probability]] = 0, "Zero", TEXT(SamplingData[[#This Row],[Lower Range]], REPT("0",LEN('General Info'!$B$40))) &amp; " - " &amp; TEXT(SamplingData[[#This Row],[Upper Range]], REPT("0",LEN('General Info'!$B$40))))</f>
        <v>18222 - 18222</v>
      </c>
      <c r="T450" s="100">
        <f>SamplingData[[#This Row],[Upper Range]]-SamplingData[[#This Row],[Span]]</f>
        <v>18221.838534011964</v>
      </c>
      <c r="U450" s="100">
        <f>IF(ISNUMBER('General Info'!$B$40), ((SamplingData[[#This Row],[up/U Selection Probability]]) * 'General Info'!$B$40) - 1, 0)</f>
        <v>2.116254363885961E-2</v>
      </c>
      <c r="V450" s="100">
        <f>IF(ISNUMBER('General Info'!$B$40), (SamplingData[[#This Row],[Running (cumulative) sum]] * ('General Info'!$B$40 -'General Info'!$B$41 + 1)) + 'General Info'!$B$41 - 1, 0)</f>
        <v>18221.859696555603</v>
      </c>
      <c r="W450" s="100" t="str">
        <f>IF(ISERROR(MATCH(SamplingData[[#This Row],[Batch by Type (p)]],SelectedPrecincts[Batch Name], 0)), "", INDEX(SelectedPrecincts[Draw], MATCH(SamplingData[[#This Row],[Batch by Type (p)]],SelectedPrecincts[Batch Name], 0)))</f>
        <v/>
      </c>
      <c r="X450" s="102">
        <f>IF(COUNTIF(SelectedPrecincts[Batch Name],SamplingData[[#This Row],[Batch by Type (p)]]) &lt;&gt; 0, COUNTIF(SelectedPrecincts[Batch Name],SamplingData[[#This Row],[Batch by Type (p)]]), 0)</f>
        <v>0</v>
      </c>
    </row>
    <row r="451" spans="1:24" ht="15" customHeight="1">
      <c r="A451" s="18" t="s">
        <v>627</v>
      </c>
      <c r="B451" s="18">
        <v>0</v>
      </c>
      <c r="C451" s="18">
        <v>0</v>
      </c>
      <c r="D451" s="16">
        <v>0</v>
      </c>
      <c r="E451" s="16">
        <v>0</v>
      </c>
      <c r="F451" s="37">
        <v>0</v>
      </c>
      <c r="G451" s="37">
        <v>0</v>
      </c>
      <c r="H451" s="17">
        <v>0</v>
      </c>
      <c r="I451" s="17">
        <v>0</v>
      </c>
      <c r="J451" s="99">
        <f>SUM(SamplingData[[#This Row],[Losing Candidate]:[Under Votes]])</f>
        <v>0</v>
      </c>
      <c r="K451" s="100">
        <f>IF(AND(SamplingData[[#This Row],[Total]]&lt;&gt; 0, NOT(ISBLANK(SamplingData[[#This Row],[Losing Candidate]]))),(SamplingData[[#This Row],[Total]]+SamplingData[[#This Row],[Winning Candidate]]-SamplingData[[#This Row],[Losing Candidate]])/(SamplingData[[#Totals],[Winning Candidate]]-SamplingData[[#Totals],[Losing Candidate]]), 0)</f>
        <v>0</v>
      </c>
      <c r="L451" s="100">
        <f>IF(AND(SamplingData[[#This Row],[Total]]&lt;&gt; 0, NOT(ISBLANK(SamplingData[[#This Row],[Candidate 3]]))),(SamplingData[[#This Row],[Total]]+SamplingData[[#This Row],[Winning Candidate]]-SamplingData[[#This Row],[Candidate 3]])/(SamplingData[[#Totals],[Winning Candidate]]-SamplingData[[#Totals],[Candidate 3]]), 0)</f>
        <v>0</v>
      </c>
      <c r="M451" s="100">
        <f>IF(AND(SamplingData[[#This Row],[Total]]&lt;&gt; 0, NOT(ISBLANK(SamplingData[[#This Row],[Candidate 4]]))),(SamplingData[[#This Row],[Total]]+SamplingData[[#This Row],[Winning Candidate]]-SamplingData[[#This Row],[Candidate 4]])/(SamplingData[[#Totals],[Winning Candidate]]-SamplingData[[#Totals],[Candidate 4]]), 0)</f>
        <v>0</v>
      </c>
      <c r="N451" s="100">
        <f>IF(AND(SamplingData[[#This Row],[Total]]&lt;&gt; 0, NOT(ISBLANK(SamplingData[[#This Row],[Candidate 5]]))),(SamplingData[[#This Row],[Total]]+SamplingData[[#This Row],[Winning Candidate]]-SamplingData[[#This Row],[Candidate 5]])/(SamplingData[[#Totals],[Winning Candidate]]-SamplingData[[#Totals],[Candidate 5]]), 0)</f>
        <v>0</v>
      </c>
      <c r="O451" s="100">
        <f>IF(AND(SamplingData[[#This Row],[Total]]&lt;&gt; 0, NOT(ISBLANK(SamplingData[[#This Row],[Candidate 6]]))),(SamplingData[[#This Row],[Total]]+SamplingData[[#This Row],[Winning Candidate]]-SamplingData[[#This Row],[Candidate 6]])/(SamplingData[[#Totals],[Winning Candidate]]-SamplingData[[#Totals],[Candidate 6]]), 0)</f>
        <v>0</v>
      </c>
      <c r="P451" s="100">
        <f>MAX(SamplingData[[#This Row],[Error Bound (up) - Max. possible relative overstatement - Losing Candidate]:[Error Bound (up) - Max. possible relative overstatement - Candidate 6]])</f>
        <v>0</v>
      </c>
      <c r="Q451" s="100">
        <f>IF(SamplingData[[#This Row],[Max Error Bound (up)]] = 0,0,SamplingData[[#This Row],[Max Error Bound (up)]]/SamplingData[[#Totals],[Max Error Bound (up)]])</f>
        <v>0</v>
      </c>
      <c r="R451" s="101">
        <f>SUM($Q$5:Q451)</f>
        <v>0.18222859696555602</v>
      </c>
      <c r="S451" s="100" t="str">
        <f t="array" ref="S451">IF(SamplingData[[#This Row],[up/U Selection Probability]] = 0, "Zero", TEXT(SamplingData[[#This Row],[Lower Range]], REPT("0",LEN('General Info'!$B$40))) &amp; " - " &amp; TEXT(SamplingData[[#This Row],[Upper Range]], REPT("0",LEN('General Info'!$B$40))))</f>
        <v>Zero</v>
      </c>
      <c r="T451" s="100">
        <f>SamplingData[[#This Row],[Upper Range]]-SamplingData[[#This Row],[Span]]</f>
        <v>18222.859696555603</v>
      </c>
      <c r="U451" s="100">
        <f>IF(ISNUMBER('General Info'!$B$40), ((SamplingData[[#This Row],[up/U Selection Probability]]) * 'General Info'!$B$40) - 1, 0)</f>
        <v>-1</v>
      </c>
      <c r="V451" s="100">
        <f>IF(ISNUMBER('General Info'!$B$40), (SamplingData[[#This Row],[Running (cumulative) sum]] * ('General Info'!$B$40 -'General Info'!$B$41 + 1)) + 'General Info'!$B$41 - 1, 0)</f>
        <v>18221.859696555603</v>
      </c>
      <c r="W451" s="100" t="str">
        <f>IF(ISERROR(MATCH(SamplingData[[#This Row],[Batch by Type (p)]],SelectedPrecincts[Batch Name], 0)), "", INDEX(SelectedPrecincts[Draw], MATCH(SamplingData[[#This Row],[Batch by Type (p)]],SelectedPrecincts[Batch Name], 0)))</f>
        <v/>
      </c>
      <c r="X451" s="102">
        <f>IF(COUNTIF(SelectedPrecincts[Batch Name],SamplingData[[#This Row],[Batch by Type (p)]]) &lt;&gt; 0, COUNTIF(SelectedPrecincts[Batch Name],SamplingData[[#This Row],[Batch by Type (p)]]), 0)</f>
        <v>0</v>
      </c>
    </row>
    <row r="452" spans="1:24" ht="15" customHeight="1">
      <c r="A452" s="18" t="s">
        <v>628</v>
      </c>
      <c r="B452" s="18">
        <v>0</v>
      </c>
      <c r="C452" s="18">
        <v>0</v>
      </c>
      <c r="D452" s="18">
        <v>0</v>
      </c>
      <c r="E452" s="18">
        <v>0</v>
      </c>
      <c r="F452" s="18">
        <v>0</v>
      </c>
      <c r="G452" s="18">
        <v>0</v>
      </c>
      <c r="H452" s="18">
        <v>0</v>
      </c>
      <c r="I452" s="18">
        <v>1</v>
      </c>
      <c r="J452" s="99">
        <f>SUM(SamplingData[[#This Row],[Losing Candidate]:[Under Votes]])</f>
        <v>1</v>
      </c>
      <c r="K45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52" s="100">
        <f>IF(AND(SamplingData[[#This Row],[Total]]&lt;&gt; 0, NOT(ISBLANK(SamplingData[[#This Row],[Candidate 3]]))),(SamplingData[[#This Row],[Total]]+SamplingData[[#This Row],[Winning Candidate]]-SamplingData[[#This Row],[Candidate 3]])/(SamplingData[[#Totals],[Winning Candidate]]-SamplingData[[#Totals],[Candidate 3]]), 0)</f>
        <v>3.2261186566441917E-5</v>
      </c>
      <c r="M452" s="100">
        <f>IF(AND(SamplingData[[#This Row],[Total]]&lt;&gt; 0, NOT(ISBLANK(SamplingData[[#This Row],[Candidate 4]]))),(SamplingData[[#This Row],[Total]]+SamplingData[[#This Row],[Winning Candidate]]-SamplingData[[#This Row],[Candidate 4]])/(SamplingData[[#Totals],[Winning Candidate]]-SamplingData[[#Totals],[Candidate 4]]), 0)</f>
        <v>2.923207343096846E-5</v>
      </c>
      <c r="N452" s="100">
        <f>IF(AND(SamplingData[[#This Row],[Total]]&lt;&gt; 0, NOT(ISBLANK(SamplingData[[#This Row],[Candidate 5]]))),(SamplingData[[#This Row],[Total]]+SamplingData[[#This Row],[Winning Candidate]]-SamplingData[[#This Row],[Candidate 5]])/(SamplingData[[#Totals],[Winning Candidate]]-SamplingData[[#Totals],[Candidate 5]]), 0)</f>
        <v>2.4324981756263683E-5</v>
      </c>
      <c r="O452" s="100">
        <f>IF(AND(SamplingData[[#This Row],[Total]]&lt;&gt; 0, NOT(ISBLANK(SamplingData[[#This Row],[Candidate 6]]))),(SamplingData[[#This Row],[Total]]+SamplingData[[#This Row],[Winning Candidate]]-SamplingData[[#This Row],[Candidate 6]])/(SamplingData[[#Totals],[Winning Candidate]]-SamplingData[[#Totals],[Candidate 6]]), 0)</f>
        <v>2.431788337143135E-5</v>
      </c>
      <c r="P452" s="100">
        <f>MAX(SamplingData[[#This Row],[Error Bound (up) - Max. possible relative overstatement - Losing Candidate]:[Error Bound (up) - Max. possible relative overstatement - Candidate 6]])</f>
        <v>6.1244487996080352E-5</v>
      </c>
      <c r="Q452" s="100">
        <f>IF(SamplingData[[#This Row],[Max Error Bound (up)]] = 0,0,SamplingData[[#This Row],[Max Error Bound (up)]]/SamplingData[[#Totals],[Max Error Bound (up)]])</f>
        <v>9.6929482784458315E-6</v>
      </c>
      <c r="R452" s="101">
        <f>SUM($Q$5:Q452)</f>
        <v>0.18223828991383445</v>
      </c>
      <c r="S452" s="100" t="str">
        <f t="array" ref="S452">IF(SamplingData[[#This Row],[up/U Selection Probability]] = 0, "Zero", TEXT(SamplingData[[#This Row],[Lower Range]], REPT("0",LEN('General Info'!$B$40))) &amp; " - " &amp; TEXT(SamplingData[[#This Row],[Upper Range]], REPT("0",LEN('General Info'!$B$40))))</f>
        <v>18223 - 18223</v>
      </c>
      <c r="T452" s="100">
        <f>SamplingData[[#This Row],[Upper Range]]-SamplingData[[#This Row],[Span]]</f>
        <v>18222.85970624855</v>
      </c>
      <c r="U452" s="100">
        <f>IF(ISNUMBER('General Info'!$B$40), ((SamplingData[[#This Row],[up/U Selection Probability]]) * 'General Info'!$B$40) - 1, 0)</f>
        <v>-3.0714865103695255E-2</v>
      </c>
      <c r="V452" s="100">
        <f>IF(ISNUMBER('General Info'!$B$40), (SamplingData[[#This Row],[Running (cumulative) sum]] * ('General Info'!$B$40 -'General Info'!$B$41 + 1)) + 'General Info'!$B$41 - 1, 0)</f>
        <v>18222.828991383445</v>
      </c>
      <c r="W452" s="100" t="str">
        <f>IF(ISERROR(MATCH(SamplingData[[#This Row],[Batch by Type (p)]],SelectedPrecincts[Batch Name], 0)), "", INDEX(SelectedPrecincts[Draw], MATCH(SamplingData[[#This Row],[Batch by Type (p)]],SelectedPrecincts[Batch Name], 0)))</f>
        <v/>
      </c>
      <c r="X452" s="102">
        <f>IF(COUNTIF(SelectedPrecincts[Batch Name],SamplingData[[#This Row],[Batch by Type (p)]]) &lt;&gt; 0, COUNTIF(SelectedPrecincts[Batch Name],SamplingData[[#This Row],[Batch by Type (p)]]), 0)</f>
        <v>0</v>
      </c>
    </row>
    <row r="453" spans="1:24" ht="15" customHeight="1">
      <c r="A453" s="18" t="s">
        <v>629</v>
      </c>
      <c r="B453" s="18">
        <v>0</v>
      </c>
      <c r="C453" s="18">
        <v>0</v>
      </c>
      <c r="D453" s="16">
        <v>0</v>
      </c>
      <c r="E453" s="16">
        <v>0</v>
      </c>
      <c r="F453" s="37">
        <v>0</v>
      </c>
      <c r="G453" s="37">
        <v>0</v>
      </c>
      <c r="H453" s="17">
        <v>0</v>
      </c>
      <c r="I453" s="17">
        <v>0</v>
      </c>
      <c r="J453" s="99">
        <f>SUM(SamplingData[[#This Row],[Losing Candidate]:[Under Votes]])</f>
        <v>0</v>
      </c>
      <c r="K453" s="100">
        <f>IF(AND(SamplingData[[#This Row],[Total]]&lt;&gt; 0, NOT(ISBLANK(SamplingData[[#This Row],[Losing Candidate]]))),(SamplingData[[#This Row],[Total]]+SamplingData[[#This Row],[Winning Candidate]]-SamplingData[[#This Row],[Losing Candidate]])/(SamplingData[[#Totals],[Winning Candidate]]-SamplingData[[#Totals],[Losing Candidate]]), 0)</f>
        <v>0</v>
      </c>
      <c r="L453" s="100">
        <f>IF(AND(SamplingData[[#This Row],[Total]]&lt;&gt; 0, NOT(ISBLANK(SamplingData[[#This Row],[Candidate 3]]))),(SamplingData[[#This Row],[Total]]+SamplingData[[#This Row],[Winning Candidate]]-SamplingData[[#This Row],[Candidate 3]])/(SamplingData[[#Totals],[Winning Candidate]]-SamplingData[[#Totals],[Candidate 3]]), 0)</f>
        <v>0</v>
      </c>
      <c r="M453" s="100">
        <f>IF(AND(SamplingData[[#This Row],[Total]]&lt;&gt; 0, NOT(ISBLANK(SamplingData[[#This Row],[Candidate 4]]))),(SamplingData[[#This Row],[Total]]+SamplingData[[#This Row],[Winning Candidate]]-SamplingData[[#This Row],[Candidate 4]])/(SamplingData[[#Totals],[Winning Candidate]]-SamplingData[[#Totals],[Candidate 4]]), 0)</f>
        <v>0</v>
      </c>
      <c r="N453" s="100">
        <f>IF(AND(SamplingData[[#This Row],[Total]]&lt;&gt; 0, NOT(ISBLANK(SamplingData[[#This Row],[Candidate 5]]))),(SamplingData[[#This Row],[Total]]+SamplingData[[#This Row],[Winning Candidate]]-SamplingData[[#This Row],[Candidate 5]])/(SamplingData[[#Totals],[Winning Candidate]]-SamplingData[[#Totals],[Candidate 5]]), 0)</f>
        <v>0</v>
      </c>
      <c r="O453" s="100">
        <f>IF(AND(SamplingData[[#This Row],[Total]]&lt;&gt; 0, NOT(ISBLANK(SamplingData[[#This Row],[Candidate 6]]))),(SamplingData[[#This Row],[Total]]+SamplingData[[#This Row],[Winning Candidate]]-SamplingData[[#This Row],[Candidate 6]])/(SamplingData[[#Totals],[Winning Candidate]]-SamplingData[[#Totals],[Candidate 6]]), 0)</f>
        <v>0</v>
      </c>
      <c r="P453" s="100">
        <f>MAX(SamplingData[[#This Row],[Error Bound (up) - Max. possible relative overstatement - Losing Candidate]:[Error Bound (up) - Max. possible relative overstatement - Candidate 6]])</f>
        <v>0</v>
      </c>
      <c r="Q453" s="100">
        <f>IF(SamplingData[[#This Row],[Max Error Bound (up)]] = 0,0,SamplingData[[#This Row],[Max Error Bound (up)]]/SamplingData[[#Totals],[Max Error Bound (up)]])</f>
        <v>0</v>
      </c>
      <c r="R453" s="101">
        <f>SUM($Q$5:Q453)</f>
        <v>0.18223828991383445</v>
      </c>
      <c r="S453" s="100" t="str">
        <f t="array" ref="S453">IF(SamplingData[[#This Row],[up/U Selection Probability]] = 0, "Zero", TEXT(SamplingData[[#This Row],[Lower Range]], REPT("0",LEN('General Info'!$B$40))) &amp; " - " &amp; TEXT(SamplingData[[#This Row],[Upper Range]], REPT("0",LEN('General Info'!$B$40))))</f>
        <v>Zero</v>
      </c>
      <c r="T453" s="100">
        <f>SamplingData[[#This Row],[Upper Range]]-SamplingData[[#This Row],[Span]]</f>
        <v>18223.828991383445</v>
      </c>
      <c r="U453" s="100">
        <f>IF(ISNUMBER('General Info'!$B$40), ((SamplingData[[#This Row],[up/U Selection Probability]]) * 'General Info'!$B$40) - 1, 0)</f>
        <v>-1</v>
      </c>
      <c r="V453" s="100">
        <f>IF(ISNUMBER('General Info'!$B$40), (SamplingData[[#This Row],[Running (cumulative) sum]] * ('General Info'!$B$40 -'General Info'!$B$41 + 1)) + 'General Info'!$B$41 - 1, 0)</f>
        <v>18222.828991383445</v>
      </c>
      <c r="W453" s="100" t="str">
        <f>IF(ISERROR(MATCH(SamplingData[[#This Row],[Batch by Type (p)]],SelectedPrecincts[Batch Name], 0)), "", INDEX(SelectedPrecincts[Draw], MATCH(SamplingData[[#This Row],[Batch by Type (p)]],SelectedPrecincts[Batch Name], 0)))</f>
        <v/>
      </c>
      <c r="X453" s="102">
        <f>IF(COUNTIF(SelectedPrecincts[Batch Name],SamplingData[[#This Row],[Batch by Type (p)]]) &lt;&gt; 0, COUNTIF(SelectedPrecincts[Batch Name],SamplingData[[#This Row],[Batch by Type (p)]]), 0)</f>
        <v>0</v>
      </c>
    </row>
    <row r="454" spans="1:24" ht="15" customHeight="1">
      <c r="A454" s="18" t="s">
        <v>630</v>
      </c>
      <c r="B454" s="18">
        <v>0</v>
      </c>
      <c r="C454" s="18">
        <v>0</v>
      </c>
      <c r="D454" s="18">
        <v>0</v>
      </c>
      <c r="E454" s="18">
        <v>0</v>
      </c>
      <c r="F454" s="18">
        <v>0</v>
      </c>
      <c r="G454" s="18">
        <v>0</v>
      </c>
      <c r="H454" s="18">
        <v>0</v>
      </c>
      <c r="I454" s="18">
        <v>0</v>
      </c>
      <c r="J454" s="99">
        <f>SUM(SamplingData[[#This Row],[Losing Candidate]:[Under Votes]])</f>
        <v>0</v>
      </c>
      <c r="K454" s="100">
        <f>IF(AND(SamplingData[[#This Row],[Total]]&lt;&gt; 0, NOT(ISBLANK(SamplingData[[#This Row],[Losing Candidate]]))),(SamplingData[[#This Row],[Total]]+SamplingData[[#This Row],[Winning Candidate]]-SamplingData[[#This Row],[Losing Candidate]])/(SamplingData[[#Totals],[Winning Candidate]]-SamplingData[[#Totals],[Losing Candidate]]), 0)</f>
        <v>0</v>
      </c>
      <c r="L454" s="100">
        <f>IF(AND(SamplingData[[#This Row],[Total]]&lt;&gt; 0, NOT(ISBLANK(SamplingData[[#This Row],[Candidate 3]]))),(SamplingData[[#This Row],[Total]]+SamplingData[[#This Row],[Winning Candidate]]-SamplingData[[#This Row],[Candidate 3]])/(SamplingData[[#Totals],[Winning Candidate]]-SamplingData[[#Totals],[Candidate 3]]), 0)</f>
        <v>0</v>
      </c>
      <c r="M454" s="100">
        <f>IF(AND(SamplingData[[#This Row],[Total]]&lt;&gt; 0, NOT(ISBLANK(SamplingData[[#This Row],[Candidate 4]]))),(SamplingData[[#This Row],[Total]]+SamplingData[[#This Row],[Winning Candidate]]-SamplingData[[#This Row],[Candidate 4]])/(SamplingData[[#Totals],[Winning Candidate]]-SamplingData[[#Totals],[Candidate 4]]), 0)</f>
        <v>0</v>
      </c>
      <c r="N454" s="100">
        <f>IF(AND(SamplingData[[#This Row],[Total]]&lt;&gt; 0, NOT(ISBLANK(SamplingData[[#This Row],[Candidate 5]]))),(SamplingData[[#This Row],[Total]]+SamplingData[[#This Row],[Winning Candidate]]-SamplingData[[#This Row],[Candidate 5]])/(SamplingData[[#Totals],[Winning Candidate]]-SamplingData[[#Totals],[Candidate 5]]), 0)</f>
        <v>0</v>
      </c>
      <c r="O454" s="100">
        <f>IF(AND(SamplingData[[#This Row],[Total]]&lt;&gt; 0, NOT(ISBLANK(SamplingData[[#This Row],[Candidate 6]]))),(SamplingData[[#This Row],[Total]]+SamplingData[[#This Row],[Winning Candidate]]-SamplingData[[#This Row],[Candidate 6]])/(SamplingData[[#Totals],[Winning Candidate]]-SamplingData[[#Totals],[Candidate 6]]), 0)</f>
        <v>0</v>
      </c>
      <c r="P454" s="100">
        <f>MAX(SamplingData[[#This Row],[Error Bound (up) - Max. possible relative overstatement - Losing Candidate]:[Error Bound (up) - Max. possible relative overstatement - Candidate 6]])</f>
        <v>0</v>
      </c>
      <c r="Q454" s="100">
        <f>IF(SamplingData[[#This Row],[Max Error Bound (up)]] = 0,0,SamplingData[[#This Row],[Max Error Bound (up)]]/SamplingData[[#Totals],[Max Error Bound (up)]])</f>
        <v>0</v>
      </c>
      <c r="R454" s="101">
        <f>SUM($Q$5:Q454)</f>
        <v>0.18223828991383445</v>
      </c>
      <c r="S454" s="100" t="str">
        <f t="array" ref="S454">IF(SamplingData[[#This Row],[up/U Selection Probability]] = 0, "Zero", TEXT(SamplingData[[#This Row],[Lower Range]], REPT("0",LEN('General Info'!$B$40))) &amp; " - " &amp; TEXT(SamplingData[[#This Row],[Upper Range]], REPT("0",LEN('General Info'!$B$40))))</f>
        <v>Zero</v>
      </c>
      <c r="T454" s="100">
        <f>SamplingData[[#This Row],[Upper Range]]-SamplingData[[#This Row],[Span]]</f>
        <v>18223.828991383445</v>
      </c>
      <c r="U454" s="100">
        <f>IF(ISNUMBER('General Info'!$B$40), ((SamplingData[[#This Row],[up/U Selection Probability]]) * 'General Info'!$B$40) - 1, 0)</f>
        <v>-1</v>
      </c>
      <c r="V454" s="100">
        <f>IF(ISNUMBER('General Info'!$B$40), (SamplingData[[#This Row],[Running (cumulative) sum]] * ('General Info'!$B$40 -'General Info'!$B$41 + 1)) + 'General Info'!$B$41 - 1, 0)</f>
        <v>18222.828991383445</v>
      </c>
      <c r="W454" s="100" t="str">
        <f>IF(ISERROR(MATCH(SamplingData[[#This Row],[Batch by Type (p)]],SelectedPrecincts[Batch Name], 0)), "", INDEX(SelectedPrecincts[Draw], MATCH(SamplingData[[#This Row],[Batch by Type (p)]],SelectedPrecincts[Batch Name], 0)))</f>
        <v/>
      </c>
      <c r="X454" s="102">
        <f>IF(COUNTIF(SelectedPrecincts[Batch Name],SamplingData[[#This Row],[Batch by Type (p)]]) &lt;&gt; 0, COUNTIF(SelectedPrecincts[Batch Name],SamplingData[[#This Row],[Batch by Type (p)]]), 0)</f>
        <v>0</v>
      </c>
    </row>
    <row r="455" spans="1:24" ht="15" customHeight="1">
      <c r="A455" s="18" t="s">
        <v>631</v>
      </c>
      <c r="B455" s="18">
        <v>0</v>
      </c>
      <c r="C455" s="18">
        <v>1</v>
      </c>
      <c r="D455" s="16">
        <v>0</v>
      </c>
      <c r="E455" s="16">
        <v>0</v>
      </c>
      <c r="F455" s="37">
        <v>0</v>
      </c>
      <c r="G455" s="37">
        <v>0</v>
      </c>
      <c r="H455" s="17">
        <v>0</v>
      </c>
      <c r="I455" s="17">
        <v>0</v>
      </c>
      <c r="J455" s="99">
        <f>SUM(SamplingData[[#This Row],[Losing Candidate]:[Under Votes]])</f>
        <v>1</v>
      </c>
      <c r="K455"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55" s="100">
        <f>IF(AND(SamplingData[[#This Row],[Total]]&lt;&gt; 0, NOT(ISBLANK(SamplingData[[#This Row],[Candidate 3]]))),(SamplingData[[#This Row],[Total]]+SamplingData[[#This Row],[Winning Candidate]]-SamplingData[[#This Row],[Candidate 3]])/(SamplingData[[#Totals],[Winning Candidate]]-SamplingData[[#Totals],[Candidate 3]]), 0)</f>
        <v>6.4522373132883833E-5</v>
      </c>
      <c r="M455" s="100">
        <f>IF(AND(SamplingData[[#This Row],[Total]]&lt;&gt; 0, NOT(ISBLANK(SamplingData[[#This Row],[Candidate 4]]))),(SamplingData[[#This Row],[Total]]+SamplingData[[#This Row],[Winning Candidate]]-SamplingData[[#This Row],[Candidate 4]])/(SamplingData[[#Totals],[Winning Candidate]]-SamplingData[[#Totals],[Candidate 4]]), 0)</f>
        <v>5.846414686193692E-5</v>
      </c>
      <c r="N455" s="100">
        <f>IF(AND(SamplingData[[#This Row],[Total]]&lt;&gt; 0, NOT(ISBLANK(SamplingData[[#This Row],[Candidate 5]]))),(SamplingData[[#This Row],[Total]]+SamplingData[[#This Row],[Winning Candidate]]-SamplingData[[#This Row],[Candidate 5]])/(SamplingData[[#Totals],[Winning Candidate]]-SamplingData[[#Totals],[Candidate 5]]), 0)</f>
        <v>4.8649963512527367E-5</v>
      </c>
      <c r="O455" s="100">
        <f>IF(AND(SamplingData[[#This Row],[Total]]&lt;&gt; 0, NOT(ISBLANK(SamplingData[[#This Row],[Candidate 6]]))),(SamplingData[[#This Row],[Total]]+SamplingData[[#This Row],[Winning Candidate]]-SamplingData[[#This Row],[Candidate 6]])/(SamplingData[[#Totals],[Winning Candidate]]-SamplingData[[#Totals],[Candidate 6]]), 0)</f>
        <v>4.8635766742862701E-5</v>
      </c>
      <c r="P455" s="100">
        <f>MAX(SamplingData[[#This Row],[Error Bound (up) - Max. possible relative overstatement - Losing Candidate]:[Error Bound (up) - Max. possible relative overstatement - Candidate 6]])</f>
        <v>1.224889759921607E-4</v>
      </c>
      <c r="Q455" s="100">
        <f>IF(SamplingData[[#This Row],[Max Error Bound (up)]] = 0,0,SamplingData[[#This Row],[Max Error Bound (up)]]/SamplingData[[#Totals],[Max Error Bound (up)]])</f>
        <v>1.9385896556891663E-5</v>
      </c>
      <c r="R455" s="101">
        <f>SUM($Q$5:Q455)</f>
        <v>0.18225767581039135</v>
      </c>
      <c r="S455" s="100" t="str">
        <f t="array" ref="S455">IF(SamplingData[[#This Row],[up/U Selection Probability]] = 0, "Zero", TEXT(SamplingData[[#This Row],[Lower Range]], REPT("0",LEN('General Info'!$B$40))) &amp; " - " &amp; TEXT(SamplingData[[#This Row],[Upper Range]], REPT("0",LEN('General Info'!$B$40))))</f>
        <v>18224 - 18225</v>
      </c>
      <c r="T455" s="100">
        <f>SamplingData[[#This Row],[Upper Range]]-SamplingData[[#This Row],[Span]]</f>
        <v>18223.829010769343</v>
      </c>
      <c r="U455" s="100">
        <f>IF(ISNUMBER('General Info'!$B$40), ((SamplingData[[#This Row],[up/U Selection Probability]]) * 'General Info'!$B$40) - 1, 0)</f>
        <v>0.93857026979260949</v>
      </c>
      <c r="V455" s="100">
        <f>IF(ISNUMBER('General Info'!$B$40), (SamplingData[[#This Row],[Running (cumulative) sum]] * ('General Info'!$B$40 -'General Info'!$B$41 + 1)) + 'General Info'!$B$41 - 1, 0)</f>
        <v>18224.767581039134</v>
      </c>
      <c r="W455" s="100" t="str">
        <f>IF(ISERROR(MATCH(SamplingData[[#This Row],[Batch by Type (p)]],SelectedPrecincts[Batch Name], 0)), "", INDEX(SelectedPrecincts[Draw], MATCH(SamplingData[[#This Row],[Batch by Type (p)]],SelectedPrecincts[Batch Name], 0)))</f>
        <v/>
      </c>
      <c r="X455" s="102">
        <f>IF(COUNTIF(SelectedPrecincts[Batch Name],SamplingData[[#This Row],[Batch by Type (p)]]) &lt;&gt; 0, COUNTIF(SelectedPrecincts[Batch Name],SamplingData[[#This Row],[Batch by Type (p)]]), 0)</f>
        <v>0</v>
      </c>
    </row>
    <row r="456" spans="1:24" ht="15" customHeight="1">
      <c r="A456" s="18" t="s">
        <v>632</v>
      </c>
      <c r="B456" s="18">
        <v>0</v>
      </c>
      <c r="C456" s="18">
        <v>0</v>
      </c>
      <c r="D456" s="18">
        <v>0</v>
      </c>
      <c r="E456" s="18">
        <v>1</v>
      </c>
      <c r="F456" s="18">
        <v>0</v>
      </c>
      <c r="G456" s="18">
        <v>0</v>
      </c>
      <c r="H456" s="18">
        <v>0</v>
      </c>
      <c r="I456" s="18">
        <v>0</v>
      </c>
      <c r="J456" s="99">
        <f>SUM(SamplingData[[#This Row],[Losing Candidate]:[Under Votes]])</f>
        <v>1</v>
      </c>
      <c r="K45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56" s="100">
        <f>IF(AND(SamplingData[[#This Row],[Total]]&lt;&gt; 0, NOT(ISBLANK(SamplingData[[#This Row],[Candidate 3]]))),(SamplingData[[#This Row],[Total]]+SamplingData[[#This Row],[Winning Candidate]]-SamplingData[[#This Row],[Candidate 3]])/(SamplingData[[#Totals],[Winning Candidate]]-SamplingData[[#Totals],[Candidate 3]]), 0)</f>
        <v>3.2261186566441917E-5</v>
      </c>
      <c r="M456" s="100">
        <f>IF(AND(SamplingData[[#This Row],[Total]]&lt;&gt; 0, NOT(ISBLANK(SamplingData[[#This Row],[Candidate 4]]))),(SamplingData[[#This Row],[Total]]+SamplingData[[#This Row],[Winning Candidate]]-SamplingData[[#This Row],[Candidate 4]])/(SamplingData[[#Totals],[Winning Candidate]]-SamplingData[[#Totals],[Candidate 4]]), 0)</f>
        <v>0</v>
      </c>
      <c r="N456" s="100">
        <f>IF(AND(SamplingData[[#This Row],[Total]]&lt;&gt; 0, NOT(ISBLANK(SamplingData[[#This Row],[Candidate 5]]))),(SamplingData[[#This Row],[Total]]+SamplingData[[#This Row],[Winning Candidate]]-SamplingData[[#This Row],[Candidate 5]])/(SamplingData[[#Totals],[Winning Candidate]]-SamplingData[[#Totals],[Candidate 5]]), 0)</f>
        <v>2.4324981756263683E-5</v>
      </c>
      <c r="O456" s="100">
        <f>IF(AND(SamplingData[[#This Row],[Total]]&lt;&gt; 0, NOT(ISBLANK(SamplingData[[#This Row],[Candidate 6]]))),(SamplingData[[#This Row],[Total]]+SamplingData[[#This Row],[Winning Candidate]]-SamplingData[[#This Row],[Candidate 6]])/(SamplingData[[#Totals],[Winning Candidate]]-SamplingData[[#Totals],[Candidate 6]]), 0)</f>
        <v>2.431788337143135E-5</v>
      </c>
      <c r="P456" s="100">
        <f>MAX(SamplingData[[#This Row],[Error Bound (up) - Max. possible relative overstatement - Losing Candidate]:[Error Bound (up) - Max. possible relative overstatement - Candidate 6]])</f>
        <v>6.1244487996080352E-5</v>
      </c>
      <c r="Q456" s="100">
        <f>IF(SamplingData[[#This Row],[Max Error Bound (up)]] = 0,0,SamplingData[[#This Row],[Max Error Bound (up)]]/SamplingData[[#Totals],[Max Error Bound (up)]])</f>
        <v>9.6929482784458315E-6</v>
      </c>
      <c r="R456" s="101">
        <f>SUM($Q$5:Q456)</f>
        <v>0.18226736875866978</v>
      </c>
      <c r="S456" s="100" t="str">
        <f t="array" ref="S456">IF(SamplingData[[#This Row],[up/U Selection Probability]] = 0, "Zero", TEXT(SamplingData[[#This Row],[Lower Range]], REPT("0",LEN('General Info'!$B$40))) &amp; " - " &amp; TEXT(SamplingData[[#This Row],[Upper Range]], REPT("0",LEN('General Info'!$B$40))))</f>
        <v>18226 - 18226</v>
      </c>
      <c r="T456" s="100">
        <f>SamplingData[[#This Row],[Upper Range]]-SamplingData[[#This Row],[Span]]</f>
        <v>18225.767590732081</v>
      </c>
      <c r="U456" s="100">
        <f>IF(ISNUMBER('General Info'!$B$40), ((SamplingData[[#This Row],[up/U Selection Probability]]) * 'General Info'!$B$40) - 1, 0)</f>
        <v>-3.0714865103695255E-2</v>
      </c>
      <c r="V456" s="100">
        <f>IF(ISNUMBER('General Info'!$B$40), (SamplingData[[#This Row],[Running (cumulative) sum]] * ('General Info'!$B$40 -'General Info'!$B$41 + 1)) + 'General Info'!$B$41 - 1, 0)</f>
        <v>18225.736875866976</v>
      </c>
      <c r="W456" s="100" t="str">
        <f>IF(ISERROR(MATCH(SamplingData[[#This Row],[Batch by Type (p)]],SelectedPrecincts[Batch Name], 0)), "", INDEX(SelectedPrecincts[Draw], MATCH(SamplingData[[#This Row],[Batch by Type (p)]],SelectedPrecincts[Batch Name], 0)))</f>
        <v/>
      </c>
      <c r="X456" s="102">
        <f>IF(COUNTIF(SelectedPrecincts[Batch Name],SamplingData[[#This Row],[Batch by Type (p)]]) &lt;&gt; 0, COUNTIF(SelectedPrecincts[Batch Name],SamplingData[[#This Row],[Batch by Type (p)]]), 0)</f>
        <v>0</v>
      </c>
    </row>
    <row r="457" spans="1:24" ht="15" customHeight="1">
      <c r="A457" s="18" t="s">
        <v>633</v>
      </c>
      <c r="B457" s="18">
        <v>0</v>
      </c>
      <c r="C457" s="18">
        <v>0</v>
      </c>
      <c r="D457" s="16">
        <v>0</v>
      </c>
      <c r="E457" s="16">
        <v>0</v>
      </c>
      <c r="F457" s="37">
        <v>0</v>
      </c>
      <c r="G457" s="37">
        <v>1</v>
      </c>
      <c r="H457" s="17">
        <v>0</v>
      </c>
      <c r="I457" s="17">
        <v>0</v>
      </c>
      <c r="J457" s="99">
        <f>SUM(SamplingData[[#This Row],[Losing Candidate]:[Under Votes]])</f>
        <v>1</v>
      </c>
      <c r="K457"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57" s="100">
        <f>IF(AND(SamplingData[[#This Row],[Total]]&lt;&gt; 0, NOT(ISBLANK(SamplingData[[#This Row],[Candidate 3]]))),(SamplingData[[#This Row],[Total]]+SamplingData[[#This Row],[Winning Candidate]]-SamplingData[[#This Row],[Candidate 3]])/(SamplingData[[#Totals],[Winning Candidate]]-SamplingData[[#Totals],[Candidate 3]]), 0)</f>
        <v>3.2261186566441917E-5</v>
      </c>
      <c r="M457" s="100">
        <f>IF(AND(SamplingData[[#This Row],[Total]]&lt;&gt; 0, NOT(ISBLANK(SamplingData[[#This Row],[Candidate 4]]))),(SamplingData[[#This Row],[Total]]+SamplingData[[#This Row],[Winning Candidate]]-SamplingData[[#This Row],[Candidate 4]])/(SamplingData[[#Totals],[Winning Candidate]]-SamplingData[[#Totals],[Candidate 4]]), 0)</f>
        <v>2.923207343096846E-5</v>
      </c>
      <c r="N457" s="100">
        <f>IF(AND(SamplingData[[#This Row],[Total]]&lt;&gt; 0, NOT(ISBLANK(SamplingData[[#This Row],[Candidate 5]]))),(SamplingData[[#This Row],[Total]]+SamplingData[[#This Row],[Winning Candidate]]-SamplingData[[#This Row],[Candidate 5]])/(SamplingData[[#Totals],[Winning Candidate]]-SamplingData[[#Totals],[Candidate 5]]), 0)</f>
        <v>2.4324981756263683E-5</v>
      </c>
      <c r="O457" s="100">
        <f>IF(AND(SamplingData[[#This Row],[Total]]&lt;&gt; 0, NOT(ISBLANK(SamplingData[[#This Row],[Candidate 6]]))),(SamplingData[[#This Row],[Total]]+SamplingData[[#This Row],[Winning Candidate]]-SamplingData[[#This Row],[Candidate 6]])/(SamplingData[[#Totals],[Winning Candidate]]-SamplingData[[#Totals],[Candidate 6]]), 0)</f>
        <v>0</v>
      </c>
      <c r="P457" s="100">
        <f>MAX(SamplingData[[#This Row],[Error Bound (up) - Max. possible relative overstatement - Losing Candidate]:[Error Bound (up) - Max. possible relative overstatement - Candidate 6]])</f>
        <v>6.1244487996080352E-5</v>
      </c>
      <c r="Q457" s="100">
        <f>IF(SamplingData[[#This Row],[Max Error Bound (up)]] = 0,0,SamplingData[[#This Row],[Max Error Bound (up)]]/SamplingData[[#Totals],[Max Error Bound (up)]])</f>
        <v>9.6929482784458315E-6</v>
      </c>
      <c r="R457" s="101">
        <f>SUM($Q$5:Q457)</f>
        <v>0.18227706170694821</v>
      </c>
      <c r="S457" s="100" t="str">
        <f t="array" ref="S457">IF(SamplingData[[#This Row],[up/U Selection Probability]] = 0, "Zero", TEXT(SamplingData[[#This Row],[Lower Range]], REPT("0",LEN('General Info'!$B$40))) &amp; " - " &amp; TEXT(SamplingData[[#This Row],[Upper Range]], REPT("0",LEN('General Info'!$B$40))))</f>
        <v>18227 - 18227</v>
      </c>
      <c r="T457" s="100">
        <f>SamplingData[[#This Row],[Upper Range]]-SamplingData[[#This Row],[Span]]</f>
        <v>18226.736885559927</v>
      </c>
      <c r="U457" s="100">
        <f>IF(ISNUMBER('General Info'!$B$40), ((SamplingData[[#This Row],[up/U Selection Probability]]) * 'General Info'!$B$40) - 1, 0)</f>
        <v>-3.0714865103695255E-2</v>
      </c>
      <c r="V457" s="100">
        <f>IF(ISNUMBER('General Info'!$B$40), (SamplingData[[#This Row],[Running (cumulative) sum]] * ('General Info'!$B$40 -'General Info'!$B$41 + 1)) + 'General Info'!$B$41 - 1, 0)</f>
        <v>18226.706170694823</v>
      </c>
      <c r="W457" s="100" t="str">
        <f>IF(ISERROR(MATCH(SamplingData[[#This Row],[Batch by Type (p)]],SelectedPrecincts[Batch Name], 0)), "", INDEX(SelectedPrecincts[Draw], MATCH(SamplingData[[#This Row],[Batch by Type (p)]],SelectedPrecincts[Batch Name], 0)))</f>
        <v/>
      </c>
      <c r="X457" s="102">
        <f>IF(COUNTIF(SelectedPrecincts[Batch Name],SamplingData[[#This Row],[Batch by Type (p)]]) &lt;&gt; 0, COUNTIF(SelectedPrecincts[Batch Name],SamplingData[[#This Row],[Batch by Type (p)]]), 0)</f>
        <v>0</v>
      </c>
    </row>
    <row r="458" spans="1:24" ht="15" customHeight="1">
      <c r="A458" s="18" t="s">
        <v>634</v>
      </c>
      <c r="B458" s="18">
        <v>0</v>
      </c>
      <c r="C458" s="18">
        <v>0</v>
      </c>
      <c r="D458" s="18">
        <v>0</v>
      </c>
      <c r="E458" s="18">
        <v>0</v>
      </c>
      <c r="F458" s="18">
        <v>0</v>
      </c>
      <c r="G458" s="18">
        <v>0</v>
      </c>
      <c r="H458" s="18">
        <v>0</v>
      </c>
      <c r="I458" s="18">
        <v>0</v>
      </c>
      <c r="J458" s="99">
        <f>SUM(SamplingData[[#This Row],[Losing Candidate]:[Under Votes]])</f>
        <v>0</v>
      </c>
      <c r="K458" s="100">
        <f>IF(AND(SamplingData[[#This Row],[Total]]&lt;&gt; 0, NOT(ISBLANK(SamplingData[[#This Row],[Losing Candidate]]))),(SamplingData[[#This Row],[Total]]+SamplingData[[#This Row],[Winning Candidate]]-SamplingData[[#This Row],[Losing Candidate]])/(SamplingData[[#Totals],[Winning Candidate]]-SamplingData[[#Totals],[Losing Candidate]]), 0)</f>
        <v>0</v>
      </c>
      <c r="L458" s="100">
        <f>IF(AND(SamplingData[[#This Row],[Total]]&lt;&gt; 0, NOT(ISBLANK(SamplingData[[#This Row],[Candidate 3]]))),(SamplingData[[#This Row],[Total]]+SamplingData[[#This Row],[Winning Candidate]]-SamplingData[[#This Row],[Candidate 3]])/(SamplingData[[#Totals],[Winning Candidate]]-SamplingData[[#Totals],[Candidate 3]]), 0)</f>
        <v>0</v>
      </c>
      <c r="M458" s="100">
        <f>IF(AND(SamplingData[[#This Row],[Total]]&lt;&gt; 0, NOT(ISBLANK(SamplingData[[#This Row],[Candidate 4]]))),(SamplingData[[#This Row],[Total]]+SamplingData[[#This Row],[Winning Candidate]]-SamplingData[[#This Row],[Candidate 4]])/(SamplingData[[#Totals],[Winning Candidate]]-SamplingData[[#Totals],[Candidate 4]]), 0)</f>
        <v>0</v>
      </c>
      <c r="N458" s="100">
        <f>IF(AND(SamplingData[[#This Row],[Total]]&lt;&gt; 0, NOT(ISBLANK(SamplingData[[#This Row],[Candidate 5]]))),(SamplingData[[#This Row],[Total]]+SamplingData[[#This Row],[Winning Candidate]]-SamplingData[[#This Row],[Candidate 5]])/(SamplingData[[#Totals],[Winning Candidate]]-SamplingData[[#Totals],[Candidate 5]]), 0)</f>
        <v>0</v>
      </c>
      <c r="O458" s="100">
        <f>IF(AND(SamplingData[[#This Row],[Total]]&lt;&gt; 0, NOT(ISBLANK(SamplingData[[#This Row],[Candidate 6]]))),(SamplingData[[#This Row],[Total]]+SamplingData[[#This Row],[Winning Candidate]]-SamplingData[[#This Row],[Candidate 6]])/(SamplingData[[#Totals],[Winning Candidate]]-SamplingData[[#Totals],[Candidate 6]]), 0)</f>
        <v>0</v>
      </c>
      <c r="P458" s="100">
        <f>MAX(SamplingData[[#This Row],[Error Bound (up) - Max. possible relative overstatement - Losing Candidate]:[Error Bound (up) - Max. possible relative overstatement - Candidate 6]])</f>
        <v>0</v>
      </c>
      <c r="Q458" s="100">
        <f>IF(SamplingData[[#This Row],[Max Error Bound (up)]] = 0,0,SamplingData[[#This Row],[Max Error Bound (up)]]/SamplingData[[#Totals],[Max Error Bound (up)]])</f>
        <v>0</v>
      </c>
      <c r="R458" s="101">
        <f>SUM($Q$5:Q458)</f>
        <v>0.18227706170694821</v>
      </c>
      <c r="S458" s="100" t="str">
        <f t="array" ref="S458">IF(SamplingData[[#This Row],[up/U Selection Probability]] = 0, "Zero", TEXT(SamplingData[[#This Row],[Lower Range]], REPT("0",LEN('General Info'!$B$40))) &amp; " - " &amp; TEXT(SamplingData[[#This Row],[Upper Range]], REPT("0",LEN('General Info'!$B$40))))</f>
        <v>Zero</v>
      </c>
      <c r="T458" s="100">
        <f>SamplingData[[#This Row],[Upper Range]]-SamplingData[[#This Row],[Span]]</f>
        <v>18227.706170694823</v>
      </c>
      <c r="U458" s="100">
        <f>IF(ISNUMBER('General Info'!$B$40), ((SamplingData[[#This Row],[up/U Selection Probability]]) * 'General Info'!$B$40) - 1, 0)</f>
        <v>-1</v>
      </c>
      <c r="V458" s="100">
        <f>IF(ISNUMBER('General Info'!$B$40), (SamplingData[[#This Row],[Running (cumulative) sum]] * ('General Info'!$B$40 -'General Info'!$B$41 + 1)) + 'General Info'!$B$41 - 1, 0)</f>
        <v>18226.706170694823</v>
      </c>
      <c r="W458" s="100" t="str">
        <f>IF(ISERROR(MATCH(SamplingData[[#This Row],[Batch by Type (p)]],SelectedPrecincts[Batch Name], 0)), "", INDEX(SelectedPrecincts[Draw], MATCH(SamplingData[[#This Row],[Batch by Type (p)]],SelectedPrecincts[Batch Name], 0)))</f>
        <v/>
      </c>
      <c r="X458" s="102">
        <f>IF(COUNTIF(SelectedPrecincts[Batch Name],SamplingData[[#This Row],[Batch by Type (p)]]) &lt;&gt; 0, COUNTIF(SelectedPrecincts[Batch Name],SamplingData[[#This Row],[Batch by Type (p)]]), 0)</f>
        <v>0</v>
      </c>
    </row>
    <row r="459" spans="1:24" ht="15" customHeight="1">
      <c r="A459" s="18" t="s">
        <v>635</v>
      </c>
      <c r="B459" s="18">
        <v>0</v>
      </c>
      <c r="C459" s="18">
        <v>0</v>
      </c>
      <c r="D459" s="16">
        <v>0</v>
      </c>
      <c r="E459" s="16">
        <v>1</v>
      </c>
      <c r="F459" s="37">
        <v>0</v>
      </c>
      <c r="G459" s="37">
        <v>0</v>
      </c>
      <c r="H459" s="17">
        <v>0</v>
      </c>
      <c r="I459" s="17">
        <v>0</v>
      </c>
      <c r="J459" s="99">
        <f>SUM(SamplingData[[#This Row],[Losing Candidate]:[Under Votes]])</f>
        <v>1</v>
      </c>
      <c r="K459"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59" s="100">
        <f>IF(AND(SamplingData[[#This Row],[Total]]&lt;&gt; 0, NOT(ISBLANK(SamplingData[[#This Row],[Candidate 3]]))),(SamplingData[[#This Row],[Total]]+SamplingData[[#This Row],[Winning Candidate]]-SamplingData[[#This Row],[Candidate 3]])/(SamplingData[[#Totals],[Winning Candidate]]-SamplingData[[#Totals],[Candidate 3]]), 0)</f>
        <v>3.2261186566441917E-5</v>
      </c>
      <c r="M459" s="100">
        <f>IF(AND(SamplingData[[#This Row],[Total]]&lt;&gt; 0, NOT(ISBLANK(SamplingData[[#This Row],[Candidate 4]]))),(SamplingData[[#This Row],[Total]]+SamplingData[[#This Row],[Winning Candidate]]-SamplingData[[#This Row],[Candidate 4]])/(SamplingData[[#Totals],[Winning Candidate]]-SamplingData[[#Totals],[Candidate 4]]), 0)</f>
        <v>0</v>
      </c>
      <c r="N459" s="100">
        <f>IF(AND(SamplingData[[#This Row],[Total]]&lt;&gt; 0, NOT(ISBLANK(SamplingData[[#This Row],[Candidate 5]]))),(SamplingData[[#This Row],[Total]]+SamplingData[[#This Row],[Winning Candidate]]-SamplingData[[#This Row],[Candidate 5]])/(SamplingData[[#Totals],[Winning Candidate]]-SamplingData[[#Totals],[Candidate 5]]), 0)</f>
        <v>2.4324981756263683E-5</v>
      </c>
      <c r="O459" s="100">
        <f>IF(AND(SamplingData[[#This Row],[Total]]&lt;&gt; 0, NOT(ISBLANK(SamplingData[[#This Row],[Candidate 6]]))),(SamplingData[[#This Row],[Total]]+SamplingData[[#This Row],[Winning Candidate]]-SamplingData[[#This Row],[Candidate 6]])/(SamplingData[[#Totals],[Winning Candidate]]-SamplingData[[#Totals],[Candidate 6]]), 0)</f>
        <v>2.431788337143135E-5</v>
      </c>
      <c r="P459" s="100">
        <f>MAX(SamplingData[[#This Row],[Error Bound (up) - Max. possible relative overstatement - Losing Candidate]:[Error Bound (up) - Max. possible relative overstatement - Candidate 6]])</f>
        <v>6.1244487996080352E-5</v>
      </c>
      <c r="Q459" s="100">
        <f>IF(SamplingData[[#This Row],[Max Error Bound (up)]] = 0,0,SamplingData[[#This Row],[Max Error Bound (up)]]/SamplingData[[#Totals],[Max Error Bound (up)]])</f>
        <v>9.6929482784458315E-6</v>
      </c>
      <c r="R459" s="101">
        <f>SUM($Q$5:Q459)</f>
        <v>0.18228675465522665</v>
      </c>
      <c r="S459" s="100" t="str">
        <f t="array" ref="S459">IF(SamplingData[[#This Row],[up/U Selection Probability]] = 0, "Zero", TEXT(SamplingData[[#This Row],[Lower Range]], REPT("0",LEN('General Info'!$B$40))) &amp; " - " &amp; TEXT(SamplingData[[#This Row],[Upper Range]], REPT("0",LEN('General Info'!$B$40))))</f>
        <v>18228 - 18228</v>
      </c>
      <c r="T459" s="100">
        <f>SamplingData[[#This Row],[Upper Range]]-SamplingData[[#This Row],[Span]]</f>
        <v>18227.70618038777</v>
      </c>
      <c r="U459" s="100">
        <f>IF(ISNUMBER('General Info'!$B$40), ((SamplingData[[#This Row],[up/U Selection Probability]]) * 'General Info'!$B$40) - 1, 0)</f>
        <v>-3.0714865103695255E-2</v>
      </c>
      <c r="V459" s="100">
        <f>IF(ISNUMBER('General Info'!$B$40), (SamplingData[[#This Row],[Running (cumulative) sum]] * ('General Info'!$B$40 -'General Info'!$B$41 + 1)) + 'General Info'!$B$41 - 1, 0)</f>
        <v>18227.675465522665</v>
      </c>
      <c r="W459" s="100" t="str">
        <f>IF(ISERROR(MATCH(SamplingData[[#This Row],[Batch by Type (p)]],SelectedPrecincts[Batch Name], 0)), "", INDEX(SelectedPrecincts[Draw], MATCH(SamplingData[[#This Row],[Batch by Type (p)]],SelectedPrecincts[Batch Name], 0)))</f>
        <v/>
      </c>
      <c r="X459" s="102">
        <f>IF(COUNTIF(SelectedPrecincts[Batch Name],SamplingData[[#This Row],[Batch by Type (p)]]) &lt;&gt; 0, COUNTIF(SelectedPrecincts[Batch Name],SamplingData[[#This Row],[Batch by Type (p)]]), 0)</f>
        <v>0</v>
      </c>
    </row>
    <row r="460" spans="1:24" ht="15" customHeight="1">
      <c r="A460" s="18" t="s">
        <v>636</v>
      </c>
      <c r="B460" s="18">
        <v>2</v>
      </c>
      <c r="C460" s="18">
        <v>1</v>
      </c>
      <c r="D460" s="18">
        <v>0</v>
      </c>
      <c r="E460" s="18">
        <v>0</v>
      </c>
      <c r="F460" s="18">
        <v>0</v>
      </c>
      <c r="G460" s="18">
        <v>0</v>
      </c>
      <c r="H460" s="18">
        <v>0</v>
      </c>
      <c r="I460" s="18">
        <v>0</v>
      </c>
      <c r="J460" s="99">
        <f>SUM(SamplingData[[#This Row],[Losing Candidate]:[Under Votes]])</f>
        <v>3</v>
      </c>
      <c r="K46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60" s="100">
        <f>IF(AND(SamplingData[[#This Row],[Total]]&lt;&gt; 0, NOT(ISBLANK(SamplingData[[#This Row],[Candidate 3]]))),(SamplingData[[#This Row],[Total]]+SamplingData[[#This Row],[Winning Candidate]]-SamplingData[[#This Row],[Candidate 3]])/(SamplingData[[#Totals],[Winning Candidate]]-SamplingData[[#Totals],[Candidate 3]]), 0)</f>
        <v>1.2904474626576767E-4</v>
      </c>
      <c r="M460" s="100">
        <f>IF(AND(SamplingData[[#This Row],[Total]]&lt;&gt; 0, NOT(ISBLANK(SamplingData[[#This Row],[Candidate 4]]))),(SamplingData[[#This Row],[Total]]+SamplingData[[#This Row],[Winning Candidate]]-SamplingData[[#This Row],[Candidate 4]])/(SamplingData[[#Totals],[Winning Candidate]]-SamplingData[[#Totals],[Candidate 4]]), 0)</f>
        <v>1.1692829372387384E-4</v>
      </c>
      <c r="N460" s="100">
        <f>IF(AND(SamplingData[[#This Row],[Total]]&lt;&gt; 0, NOT(ISBLANK(SamplingData[[#This Row],[Candidate 5]]))),(SamplingData[[#This Row],[Total]]+SamplingData[[#This Row],[Winning Candidate]]-SamplingData[[#This Row],[Candidate 5]])/(SamplingData[[#Totals],[Winning Candidate]]-SamplingData[[#Totals],[Candidate 5]]), 0)</f>
        <v>9.7299927025054734E-5</v>
      </c>
      <c r="O460" s="100">
        <f>IF(AND(SamplingData[[#This Row],[Total]]&lt;&gt; 0, NOT(ISBLANK(SamplingData[[#This Row],[Candidate 6]]))),(SamplingData[[#This Row],[Total]]+SamplingData[[#This Row],[Winning Candidate]]-SamplingData[[#This Row],[Candidate 6]])/(SamplingData[[#Totals],[Winning Candidate]]-SamplingData[[#Totals],[Candidate 6]]), 0)</f>
        <v>9.7271533485725401E-5</v>
      </c>
      <c r="P460" s="100">
        <f>MAX(SamplingData[[#This Row],[Error Bound (up) - Max. possible relative overstatement - Losing Candidate]:[Error Bound (up) - Max. possible relative overstatement - Candidate 6]])</f>
        <v>1.2904474626576767E-4</v>
      </c>
      <c r="Q460" s="100">
        <f>IF(SamplingData[[#This Row],[Max Error Bound (up)]] = 0,0,SamplingData[[#This Row],[Max Error Bound (up)]]/SamplingData[[#Totals],[Max Error Bound (up)]])</f>
        <v>2.0423455107328265E-5</v>
      </c>
      <c r="R460" s="101">
        <f>SUM($Q$5:Q460)</f>
        <v>0.18230717811033398</v>
      </c>
      <c r="S460" s="100" t="str">
        <f t="array" ref="S460">IF(SamplingData[[#This Row],[up/U Selection Probability]] = 0, "Zero", TEXT(SamplingData[[#This Row],[Lower Range]], REPT("0",LEN('General Info'!$B$40))) &amp; " - " &amp; TEXT(SamplingData[[#This Row],[Upper Range]], REPT("0",LEN('General Info'!$B$40))))</f>
        <v>18229 - 18230</v>
      </c>
      <c r="T460" s="100">
        <f>SamplingData[[#This Row],[Upper Range]]-SamplingData[[#This Row],[Span]]</f>
        <v>18228.675485946122</v>
      </c>
      <c r="U460" s="100">
        <f>IF(ISNUMBER('General Info'!$B$40), ((SamplingData[[#This Row],[up/U Selection Probability]]) * 'General Info'!$B$40) - 1, 0)</f>
        <v>1.0423250872777192</v>
      </c>
      <c r="V460" s="100">
        <f>IF(ISNUMBER('General Info'!$B$40), (SamplingData[[#This Row],[Running (cumulative) sum]] * ('General Info'!$B$40 -'General Info'!$B$41 + 1)) + 'General Info'!$B$41 - 1, 0)</f>
        <v>18229.717811033399</v>
      </c>
      <c r="W460" s="100" t="str">
        <f>IF(ISERROR(MATCH(SamplingData[[#This Row],[Batch by Type (p)]],SelectedPrecincts[Batch Name], 0)), "", INDEX(SelectedPrecincts[Draw], MATCH(SamplingData[[#This Row],[Batch by Type (p)]],SelectedPrecincts[Batch Name], 0)))</f>
        <v/>
      </c>
      <c r="X460" s="102">
        <f>IF(COUNTIF(SelectedPrecincts[Batch Name],SamplingData[[#This Row],[Batch by Type (p)]]) &lt;&gt; 0, COUNTIF(SelectedPrecincts[Batch Name],SamplingData[[#This Row],[Batch by Type (p)]]), 0)</f>
        <v>0</v>
      </c>
    </row>
    <row r="461" spans="1:24" ht="15" customHeight="1">
      <c r="A461" s="18" t="s">
        <v>637</v>
      </c>
      <c r="B461" s="18">
        <v>0</v>
      </c>
      <c r="C461" s="18">
        <v>0</v>
      </c>
      <c r="D461" s="16">
        <v>0</v>
      </c>
      <c r="E461" s="16">
        <v>0</v>
      </c>
      <c r="F461" s="37">
        <v>0</v>
      </c>
      <c r="G461" s="37">
        <v>0</v>
      </c>
      <c r="H461" s="17">
        <v>0</v>
      </c>
      <c r="I461" s="17">
        <v>0</v>
      </c>
      <c r="J461" s="99">
        <f>SUM(SamplingData[[#This Row],[Losing Candidate]:[Under Votes]])</f>
        <v>0</v>
      </c>
      <c r="K461" s="100">
        <f>IF(AND(SamplingData[[#This Row],[Total]]&lt;&gt; 0, NOT(ISBLANK(SamplingData[[#This Row],[Losing Candidate]]))),(SamplingData[[#This Row],[Total]]+SamplingData[[#This Row],[Winning Candidate]]-SamplingData[[#This Row],[Losing Candidate]])/(SamplingData[[#Totals],[Winning Candidate]]-SamplingData[[#Totals],[Losing Candidate]]), 0)</f>
        <v>0</v>
      </c>
      <c r="L461" s="100">
        <f>IF(AND(SamplingData[[#This Row],[Total]]&lt;&gt; 0, NOT(ISBLANK(SamplingData[[#This Row],[Candidate 3]]))),(SamplingData[[#This Row],[Total]]+SamplingData[[#This Row],[Winning Candidate]]-SamplingData[[#This Row],[Candidate 3]])/(SamplingData[[#Totals],[Winning Candidate]]-SamplingData[[#Totals],[Candidate 3]]), 0)</f>
        <v>0</v>
      </c>
      <c r="M461" s="100">
        <f>IF(AND(SamplingData[[#This Row],[Total]]&lt;&gt; 0, NOT(ISBLANK(SamplingData[[#This Row],[Candidate 4]]))),(SamplingData[[#This Row],[Total]]+SamplingData[[#This Row],[Winning Candidate]]-SamplingData[[#This Row],[Candidate 4]])/(SamplingData[[#Totals],[Winning Candidate]]-SamplingData[[#Totals],[Candidate 4]]), 0)</f>
        <v>0</v>
      </c>
      <c r="N461" s="100">
        <f>IF(AND(SamplingData[[#This Row],[Total]]&lt;&gt; 0, NOT(ISBLANK(SamplingData[[#This Row],[Candidate 5]]))),(SamplingData[[#This Row],[Total]]+SamplingData[[#This Row],[Winning Candidate]]-SamplingData[[#This Row],[Candidate 5]])/(SamplingData[[#Totals],[Winning Candidate]]-SamplingData[[#Totals],[Candidate 5]]), 0)</f>
        <v>0</v>
      </c>
      <c r="O461" s="100">
        <f>IF(AND(SamplingData[[#This Row],[Total]]&lt;&gt; 0, NOT(ISBLANK(SamplingData[[#This Row],[Candidate 6]]))),(SamplingData[[#This Row],[Total]]+SamplingData[[#This Row],[Winning Candidate]]-SamplingData[[#This Row],[Candidate 6]])/(SamplingData[[#Totals],[Winning Candidate]]-SamplingData[[#Totals],[Candidate 6]]), 0)</f>
        <v>0</v>
      </c>
      <c r="P461" s="100">
        <f>MAX(SamplingData[[#This Row],[Error Bound (up) - Max. possible relative overstatement - Losing Candidate]:[Error Bound (up) - Max. possible relative overstatement - Candidate 6]])</f>
        <v>0</v>
      </c>
      <c r="Q461" s="100">
        <f>IF(SamplingData[[#This Row],[Max Error Bound (up)]] = 0,0,SamplingData[[#This Row],[Max Error Bound (up)]]/SamplingData[[#Totals],[Max Error Bound (up)]])</f>
        <v>0</v>
      </c>
      <c r="R461" s="101">
        <f>SUM($Q$5:Q461)</f>
        <v>0.18230717811033398</v>
      </c>
      <c r="S461" s="100" t="str">
        <f t="array" ref="S461">IF(SamplingData[[#This Row],[up/U Selection Probability]] = 0, "Zero", TEXT(SamplingData[[#This Row],[Lower Range]], REPT("0",LEN('General Info'!$B$40))) &amp; " - " &amp; TEXT(SamplingData[[#This Row],[Upper Range]], REPT("0",LEN('General Info'!$B$40))))</f>
        <v>Zero</v>
      </c>
      <c r="T461" s="100">
        <f>SamplingData[[#This Row],[Upper Range]]-SamplingData[[#This Row],[Span]]</f>
        <v>18230.717811033399</v>
      </c>
      <c r="U461" s="100">
        <f>IF(ISNUMBER('General Info'!$B$40), ((SamplingData[[#This Row],[up/U Selection Probability]]) * 'General Info'!$B$40) - 1, 0)</f>
        <v>-1</v>
      </c>
      <c r="V461" s="100">
        <f>IF(ISNUMBER('General Info'!$B$40), (SamplingData[[#This Row],[Running (cumulative) sum]] * ('General Info'!$B$40 -'General Info'!$B$41 + 1)) + 'General Info'!$B$41 - 1, 0)</f>
        <v>18229.717811033399</v>
      </c>
      <c r="W461" s="100" t="str">
        <f>IF(ISERROR(MATCH(SamplingData[[#This Row],[Batch by Type (p)]],SelectedPrecincts[Batch Name], 0)), "", INDEX(SelectedPrecincts[Draw], MATCH(SamplingData[[#This Row],[Batch by Type (p)]],SelectedPrecincts[Batch Name], 0)))</f>
        <v/>
      </c>
      <c r="X461" s="102">
        <f>IF(COUNTIF(SelectedPrecincts[Batch Name],SamplingData[[#This Row],[Batch by Type (p)]]) &lt;&gt; 0, COUNTIF(SelectedPrecincts[Batch Name],SamplingData[[#This Row],[Batch by Type (p)]]), 0)</f>
        <v>0</v>
      </c>
    </row>
    <row r="462" spans="1:24" ht="15" customHeight="1">
      <c r="A462" s="18" t="s">
        <v>638</v>
      </c>
      <c r="B462" s="18">
        <v>1</v>
      </c>
      <c r="C462" s="18">
        <v>0</v>
      </c>
      <c r="D462" s="18">
        <v>2</v>
      </c>
      <c r="E462" s="18">
        <v>0</v>
      </c>
      <c r="F462" s="18">
        <v>0</v>
      </c>
      <c r="G462" s="18">
        <v>0</v>
      </c>
      <c r="H462" s="18">
        <v>0</v>
      </c>
      <c r="I462" s="18">
        <v>0</v>
      </c>
      <c r="J462" s="99">
        <f>SUM(SamplingData[[#This Row],[Losing Candidate]:[Under Votes]])</f>
        <v>3</v>
      </c>
      <c r="K46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62" s="100">
        <f>IF(AND(SamplingData[[#This Row],[Total]]&lt;&gt; 0, NOT(ISBLANK(SamplingData[[#This Row],[Candidate 3]]))),(SamplingData[[#This Row],[Total]]+SamplingData[[#This Row],[Winning Candidate]]-SamplingData[[#This Row],[Candidate 3]])/(SamplingData[[#Totals],[Winning Candidate]]-SamplingData[[#Totals],[Candidate 3]]), 0)</f>
        <v>3.2261186566441917E-5</v>
      </c>
      <c r="M462" s="100">
        <f>IF(AND(SamplingData[[#This Row],[Total]]&lt;&gt; 0, NOT(ISBLANK(SamplingData[[#This Row],[Candidate 4]]))),(SamplingData[[#This Row],[Total]]+SamplingData[[#This Row],[Winning Candidate]]-SamplingData[[#This Row],[Candidate 4]])/(SamplingData[[#Totals],[Winning Candidate]]-SamplingData[[#Totals],[Candidate 4]]), 0)</f>
        <v>8.7696220292905373E-5</v>
      </c>
      <c r="N462" s="100">
        <f>IF(AND(SamplingData[[#This Row],[Total]]&lt;&gt; 0, NOT(ISBLANK(SamplingData[[#This Row],[Candidate 5]]))),(SamplingData[[#This Row],[Total]]+SamplingData[[#This Row],[Winning Candidate]]-SamplingData[[#This Row],[Candidate 5]])/(SamplingData[[#Totals],[Winning Candidate]]-SamplingData[[#Totals],[Candidate 5]]), 0)</f>
        <v>7.2974945268791054E-5</v>
      </c>
      <c r="O462" s="100">
        <f>IF(AND(SamplingData[[#This Row],[Total]]&lt;&gt; 0, NOT(ISBLANK(SamplingData[[#This Row],[Candidate 6]]))),(SamplingData[[#This Row],[Total]]+SamplingData[[#This Row],[Winning Candidate]]-SamplingData[[#This Row],[Candidate 6]])/(SamplingData[[#Totals],[Winning Candidate]]-SamplingData[[#Totals],[Candidate 6]]), 0)</f>
        <v>7.2953650114294054E-5</v>
      </c>
      <c r="P462" s="100">
        <f>MAX(SamplingData[[#This Row],[Error Bound (up) - Max. possible relative overstatement - Losing Candidate]:[Error Bound (up) - Max. possible relative overstatement - Candidate 6]])</f>
        <v>1.224889759921607E-4</v>
      </c>
      <c r="Q462" s="100">
        <f>IF(SamplingData[[#This Row],[Max Error Bound (up)]] = 0,0,SamplingData[[#This Row],[Max Error Bound (up)]]/SamplingData[[#Totals],[Max Error Bound (up)]])</f>
        <v>1.9385896556891663E-5</v>
      </c>
      <c r="R462" s="101">
        <f>SUM($Q$5:Q462)</f>
        <v>0.18232656400689087</v>
      </c>
      <c r="S462" s="100" t="str">
        <f t="array" ref="S462">IF(SamplingData[[#This Row],[up/U Selection Probability]] = 0, "Zero", TEXT(SamplingData[[#This Row],[Lower Range]], REPT("0",LEN('General Info'!$B$40))) &amp; " - " &amp; TEXT(SamplingData[[#This Row],[Upper Range]], REPT("0",LEN('General Info'!$B$40))))</f>
        <v>18231 - 18232</v>
      </c>
      <c r="T462" s="100">
        <f>SamplingData[[#This Row],[Upper Range]]-SamplingData[[#This Row],[Span]]</f>
        <v>18230.717830419297</v>
      </c>
      <c r="U462" s="100">
        <f>IF(ISNUMBER('General Info'!$B$40), ((SamplingData[[#This Row],[up/U Selection Probability]]) * 'General Info'!$B$40) - 1, 0)</f>
        <v>0.93857026979260949</v>
      </c>
      <c r="V462" s="100">
        <f>IF(ISNUMBER('General Info'!$B$40), (SamplingData[[#This Row],[Running (cumulative) sum]] * ('General Info'!$B$40 -'General Info'!$B$41 + 1)) + 'General Info'!$B$41 - 1, 0)</f>
        <v>18231.656400689088</v>
      </c>
      <c r="W462" s="100" t="str">
        <f>IF(ISERROR(MATCH(SamplingData[[#This Row],[Batch by Type (p)]],SelectedPrecincts[Batch Name], 0)), "", INDEX(SelectedPrecincts[Draw], MATCH(SamplingData[[#This Row],[Batch by Type (p)]],SelectedPrecincts[Batch Name], 0)))</f>
        <v/>
      </c>
      <c r="X462" s="102">
        <f>IF(COUNTIF(SelectedPrecincts[Batch Name],SamplingData[[#This Row],[Batch by Type (p)]]) &lt;&gt; 0, COUNTIF(SelectedPrecincts[Batch Name],SamplingData[[#This Row],[Batch by Type (p)]]), 0)</f>
        <v>0</v>
      </c>
    </row>
    <row r="463" spans="1:24" ht="15" customHeight="1">
      <c r="A463" s="18" t="s">
        <v>639</v>
      </c>
      <c r="B463" s="18">
        <v>1</v>
      </c>
      <c r="C463" s="18">
        <v>0</v>
      </c>
      <c r="D463" s="16">
        <v>0</v>
      </c>
      <c r="E463" s="16">
        <v>0</v>
      </c>
      <c r="F463" s="37">
        <v>0</v>
      </c>
      <c r="G463" s="37">
        <v>0</v>
      </c>
      <c r="H463" s="17">
        <v>0</v>
      </c>
      <c r="I463" s="17">
        <v>0</v>
      </c>
      <c r="J463" s="99">
        <f>SUM(SamplingData[[#This Row],[Losing Candidate]:[Under Votes]])</f>
        <v>1</v>
      </c>
      <c r="K463" s="100">
        <f>IF(AND(SamplingData[[#This Row],[Total]]&lt;&gt; 0, NOT(ISBLANK(SamplingData[[#This Row],[Losing Candidate]]))),(SamplingData[[#This Row],[Total]]+SamplingData[[#This Row],[Winning Candidate]]-SamplingData[[#This Row],[Losing Candidate]])/(SamplingData[[#Totals],[Winning Candidate]]-SamplingData[[#Totals],[Losing Candidate]]), 0)</f>
        <v>0</v>
      </c>
      <c r="L463" s="100">
        <f>IF(AND(SamplingData[[#This Row],[Total]]&lt;&gt; 0, NOT(ISBLANK(SamplingData[[#This Row],[Candidate 3]]))),(SamplingData[[#This Row],[Total]]+SamplingData[[#This Row],[Winning Candidate]]-SamplingData[[#This Row],[Candidate 3]])/(SamplingData[[#Totals],[Winning Candidate]]-SamplingData[[#Totals],[Candidate 3]]), 0)</f>
        <v>3.2261186566441917E-5</v>
      </c>
      <c r="M463" s="100">
        <f>IF(AND(SamplingData[[#This Row],[Total]]&lt;&gt; 0, NOT(ISBLANK(SamplingData[[#This Row],[Candidate 4]]))),(SamplingData[[#This Row],[Total]]+SamplingData[[#This Row],[Winning Candidate]]-SamplingData[[#This Row],[Candidate 4]])/(SamplingData[[#Totals],[Winning Candidate]]-SamplingData[[#Totals],[Candidate 4]]), 0)</f>
        <v>2.923207343096846E-5</v>
      </c>
      <c r="N463" s="100">
        <f>IF(AND(SamplingData[[#This Row],[Total]]&lt;&gt; 0, NOT(ISBLANK(SamplingData[[#This Row],[Candidate 5]]))),(SamplingData[[#This Row],[Total]]+SamplingData[[#This Row],[Winning Candidate]]-SamplingData[[#This Row],[Candidate 5]])/(SamplingData[[#Totals],[Winning Candidate]]-SamplingData[[#Totals],[Candidate 5]]), 0)</f>
        <v>2.4324981756263683E-5</v>
      </c>
      <c r="O463" s="100">
        <f>IF(AND(SamplingData[[#This Row],[Total]]&lt;&gt; 0, NOT(ISBLANK(SamplingData[[#This Row],[Candidate 6]]))),(SamplingData[[#This Row],[Total]]+SamplingData[[#This Row],[Winning Candidate]]-SamplingData[[#This Row],[Candidate 6]])/(SamplingData[[#Totals],[Winning Candidate]]-SamplingData[[#Totals],[Candidate 6]]), 0)</f>
        <v>2.431788337143135E-5</v>
      </c>
      <c r="P463" s="100">
        <f>MAX(SamplingData[[#This Row],[Error Bound (up) - Max. possible relative overstatement - Losing Candidate]:[Error Bound (up) - Max. possible relative overstatement - Candidate 6]])</f>
        <v>3.2261186566441917E-5</v>
      </c>
      <c r="Q463" s="100">
        <f>IF(SamplingData[[#This Row],[Max Error Bound (up)]] = 0,0,SamplingData[[#This Row],[Max Error Bound (up)]]/SamplingData[[#Totals],[Max Error Bound (up)]])</f>
        <v>5.1058637768320663E-6</v>
      </c>
      <c r="R463" s="101">
        <f>SUM($Q$5:Q463)</f>
        <v>0.18233166987066771</v>
      </c>
      <c r="S463" s="100" t="str">
        <f t="array" ref="S463">IF(SamplingData[[#This Row],[up/U Selection Probability]] = 0, "Zero", TEXT(SamplingData[[#This Row],[Lower Range]], REPT("0",LEN('General Info'!$B$40))) &amp; " - " &amp; TEXT(SamplingData[[#This Row],[Upper Range]], REPT("0",LEN('General Info'!$B$40))))</f>
        <v>18233 - 18232</v>
      </c>
      <c r="T463" s="100">
        <f>SamplingData[[#This Row],[Upper Range]]-SamplingData[[#This Row],[Span]]</f>
        <v>18232.656405794951</v>
      </c>
      <c r="U463" s="100">
        <f>IF(ISNUMBER('General Info'!$B$40), ((SamplingData[[#This Row],[up/U Selection Probability]]) * 'General Info'!$B$40) - 1, 0)</f>
        <v>-0.4894187281805702</v>
      </c>
      <c r="V463" s="100">
        <f>IF(ISNUMBER('General Info'!$B$40), (SamplingData[[#This Row],[Running (cumulative) sum]] * ('General Info'!$B$40 -'General Info'!$B$41 + 1)) + 'General Info'!$B$41 - 1, 0)</f>
        <v>18232.166987066772</v>
      </c>
      <c r="W463" s="100" t="str">
        <f>IF(ISERROR(MATCH(SamplingData[[#This Row],[Batch by Type (p)]],SelectedPrecincts[Batch Name], 0)), "", INDEX(SelectedPrecincts[Draw], MATCH(SamplingData[[#This Row],[Batch by Type (p)]],SelectedPrecincts[Batch Name], 0)))</f>
        <v/>
      </c>
      <c r="X463" s="102">
        <f>IF(COUNTIF(SelectedPrecincts[Batch Name],SamplingData[[#This Row],[Batch by Type (p)]]) &lt;&gt; 0, COUNTIF(SelectedPrecincts[Batch Name],SamplingData[[#This Row],[Batch by Type (p)]]), 0)</f>
        <v>0</v>
      </c>
    </row>
    <row r="464" spans="1:24" ht="15" customHeight="1">
      <c r="A464" s="18" t="s">
        <v>640</v>
      </c>
      <c r="B464" s="18">
        <v>0</v>
      </c>
      <c r="C464" s="18">
        <v>0</v>
      </c>
      <c r="D464" s="18">
        <v>0</v>
      </c>
      <c r="E464" s="18">
        <v>0</v>
      </c>
      <c r="F464" s="18">
        <v>0</v>
      </c>
      <c r="G464" s="18">
        <v>0</v>
      </c>
      <c r="H464" s="18">
        <v>0</v>
      </c>
      <c r="I464" s="18">
        <v>0</v>
      </c>
      <c r="J464" s="99">
        <f>SUM(SamplingData[[#This Row],[Losing Candidate]:[Under Votes]])</f>
        <v>0</v>
      </c>
      <c r="K464" s="100">
        <f>IF(AND(SamplingData[[#This Row],[Total]]&lt;&gt; 0, NOT(ISBLANK(SamplingData[[#This Row],[Losing Candidate]]))),(SamplingData[[#This Row],[Total]]+SamplingData[[#This Row],[Winning Candidate]]-SamplingData[[#This Row],[Losing Candidate]])/(SamplingData[[#Totals],[Winning Candidate]]-SamplingData[[#Totals],[Losing Candidate]]), 0)</f>
        <v>0</v>
      </c>
      <c r="L464" s="100">
        <f>IF(AND(SamplingData[[#This Row],[Total]]&lt;&gt; 0, NOT(ISBLANK(SamplingData[[#This Row],[Candidate 3]]))),(SamplingData[[#This Row],[Total]]+SamplingData[[#This Row],[Winning Candidate]]-SamplingData[[#This Row],[Candidate 3]])/(SamplingData[[#Totals],[Winning Candidate]]-SamplingData[[#Totals],[Candidate 3]]), 0)</f>
        <v>0</v>
      </c>
      <c r="M464" s="100">
        <f>IF(AND(SamplingData[[#This Row],[Total]]&lt;&gt; 0, NOT(ISBLANK(SamplingData[[#This Row],[Candidate 4]]))),(SamplingData[[#This Row],[Total]]+SamplingData[[#This Row],[Winning Candidate]]-SamplingData[[#This Row],[Candidate 4]])/(SamplingData[[#Totals],[Winning Candidate]]-SamplingData[[#Totals],[Candidate 4]]), 0)</f>
        <v>0</v>
      </c>
      <c r="N464" s="100">
        <f>IF(AND(SamplingData[[#This Row],[Total]]&lt;&gt; 0, NOT(ISBLANK(SamplingData[[#This Row],[Candidate 5]]))),(SamplingData[[#This Row],[Total]]+SamplingData[[#This Row],[Winning Candidate]]-SamplingData[[#This Row],[Candidate 5]])/(SamplingData[[#Totals],[Winning Candidate]]-SamplingData[[#Totals],[Candidate 5]]), 0)</f>
        <v>0</v>
      </c>
      <c r="O464" s="100">
        <f>IF(AND(SamplingData[[#This Row],[Total]]&lt;&gt; 0, NOT(ISBLANK(SamplingData[[#This Row],[Candidate 6]]))),(SamplingData[[#This Row],[Total]]+SamplingData[[#This Row],[Winning Candidate]]-SamplingData[[#This Row],[Candidate 6]])/(SamplingData[[#Totals],[Winning Candidate]]-SamplingData[[#Totals],[Candidate 6]]), 0)</f>
        <v>0</v>
      </c>
      <c r="P464" s="100">
        <f>MAX(SamplingData[[#This Row],[Error Bound (up) - Max. possible relative overstatement - Losing Candidate]:[Error Bound (up) - Max. possible relative overstatement - Candidate 6]])</f>
        <v>0</v>
      </c>
      <c r="Q464" s="100">
        <f>IF(SamplingData[[#This Row],[Max Error Bound (up)]] = 0,0,SamplingData[[#This Row],[Max Error Bound (up)]]/SamplingData[[#Totals],[Max Error Bound (up)]])</f>
        <v>0</v>
      </c>
      <c r="R464" s="101">
        <f>SUM($Q$5:Q464)</f>
        <v>0.18233166987066771</v>
      </c>
      <c r="S464" s="100" t="str">
        <f t="array" ref="S464">IF(SamplingData[[#This Row],[up/U Selection Probability]] = 0, "Zero", TEXT(SamplingData[[#This Row],[Lower Range]], REPT("0",LEN('General Info'!$B$40))) &amp; " - " &amp; TEXT(SamplingData[[#This Row],[Upper Range]], REPT("0",LEN('General Info'!$B$40))))</f>
        <v>Zero</v>
      </c>
      <c r="T464" s="100">
        <f>SamplingData[[#This Row],[Upper Range]]-SamplingData[[#This Row],[Span]]</f>
        <v>18233.166987066772</v>
      </c>
      <c r="U464" s="100">
        <f>IF(ISNUMBER('General Info'!$B$40), ((SamplingData[[#This Row],[up/U Selection Probability]]) * 'General Info'!$B$40) - 1, 0)</f>
        <v>-1</v>
      </c>
      <c r="V464" s="100">
        <f>IF(ISNUMBER('General Info'!$B$40), (SamplingData[[#This Row],[Running (cumulative) sum]] * ('General Info'!$B$40 -'General Info'!$B$41 + 1)) + 'General Info'!$B$41 - 1, 0)</f>
        <v>18232.166987066772</v>
      </c>
      <c r="W464" s="100" t="str">
        <f>IF(ISERROR(MATCH(SamplingData[[#This Row],[Batch by Type (p)]],SelectedPrecincts[Batch Name], 0)), "", INDEX(SelectedPrecincts[Draw], MATCH(SamplingData[[#This Row],[Batch by Type (p)]],SelectedPrecincts[Batch Name], 0)))</f>
        <v/>
      </c>
      <c r="X464" s="102">
        <f>IF(COUNTIF(SelectedPrecincts[Batch Name],SamplingData[[#This Row],[Batch by Type (p)]]) &lt;&gt; 0, COUNTIF(SelectedPrecincts[Batch Name],SamplingData[[#This Row],[Batch by Type (p)]]), 0)</f>
        <v>0</v>
      </c>
    </row>
    <row r="465" spans="1:24" ht="15" customHeight="1">
      <c r="A465" s="18" t="s">
        <v>641</v>
      </c>
      <c r="B465" s="18">
        <v>3</v>
      </c>
      <c r="C465" s="18">
        <v>6</v>
      </c>
      <c r="D465" s="16">
        <v>1</v>
      </c>
      <c r="E465" s="16">
        <v>1</v>
      </c>
      <c r="F465" s="37">
        <v>1</v>
      </c>
      <c r="G465" s="37">
        <v>1</v>
      </c>
      <c r="H465" s="17">
        <v>0</v>
      </c>
      <c r="I465" s="17">
        <v>0</v>
      </c>
      <c r="J465" s="99">
        <f>SUM(SamplingData[[#This Row],[Losing Candidate]:[Under Votes]])</f>
        <v>13</v>
      </c>
      <c r="K465"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465" s="100">
        <f>IF(AND(SamplingData[[#This Row],[Total]]&lt;&gt; 0, NOT(ISBLANK(SamplingData[[#This Row],[Candidate 3]]))),(SamplingData[[#This Row],[Total]]+SamplingData[[#This Row],[Winning Candidate]]-SamplingData[[#This Row],[Candidate 3]])/(SamplingData[[#Totals],[Winning Candidate]]-SamplingData[[#Totals],[Candidate 3]]), 0)</f>
        <v>5.8070135819595443E-4</v>
      </c>
      <c r="M465" s="100">
        <f>IF(AND(SamplingData[[#This Row],[Total]]&lt;&gt; 0, NOT(ISBLANK(SamplingData[[#This Row],[Candidate 4]]))),(SamplingData[[#This Row],[Total]]+SamplingData[[#This Row],[Winning Candidate]]-SamplingData[[#This Row],[Candidate 4]])/(SamplingData[[#Totals],[Winning Candidate]]-SamplingData[[#Totals],[Candidate 4]]), 0)</f>
        <v>5.2617732175743229E-4</v>
      </c>
      <c r="N465" s="100">
        <f>IF(AND(SamplingData[[#This Row],[Total]]&lt;&gt; 0, NOT(ISBLANK(SamplingData[[#This Row],[Candidate 5]]))),(SamplingData[[#This Row],[Total]]+SamplingData[[#This Row],[Winning Candidate]]-SamplingData[[#This Row],[Candidate 5]])/(SamplingData[[#Totals],[Winning Candidate]]-SamplingData[[#Totals],[Candidate 5]]), 0)</f>
        <v>4.3784967161274629E-4</v>
      </c>
      <c r="O465" s="100">
        <f>IF(AND(SamplingData[[#This Row],[Total]]&lt;&gt; 0, NOT(ISBLANK(SamplingData[[#This Row],[Candidate 6]]))),(SamplingData[[#This Row],[Total]]+SamplingData[[#This Row],[Winning Candidate]]-SamplingData[[#This Row],[Candidate 6]])/(SamplingData[[#Totals],[Winning Candidate]]-SamplingData[[#Totals],[Candidate 6]]), 0)</f>
        <v>4.3772190068576433E-4</v>
      </c>
      <c r="P465" s="100">
        <f>MAX(SamplingData[[#This Row],[Error Bound (up) - Max. possible relative overstatement - Losing Candidate]:[Error Bound (up) - Max. possible relative overstatement - Candidate 6]])</f>
        <v>9.7991180793728563E-4</v>
      </c>
      <c r="Q465" s="100">
        <f>IF(SamplingData[[#This Row],[Max Error Bound (up)]] = 0,0,SamplingData[[#This Row],[Max Error Bound (up)]]/SamplingData[[#Totals],[Max Error Bound (up)]])</f>
        <v>1.550871724551333E-4</v>
      </c>
      <c r="R465" s="101">
        <f>SUM($Q$5:Q465)</f>
        <v>0.18248675704312284</v>
      </c>
      <c r="S465" s="100" t="str">
        <f t="array" ref="S465">IF(SamplingData[[#This Row],[up/U Selection Probability]] = 0, "Zero", TEXT(SamplingData[[#This Row],[Lower Range]], REPT("0",LEN('General Info'!$B$40))) &amp; " - " &amp; TEXT(SamplingData[[#This Row],[Upper Range]], REPT("0",LEN('General Info'!$B$40))))</f>
        <v>18233 - 18248</v>
      </c>
      <c r="T465" s="100">
        <f>SamplingData[[#This Row],[Upper Range]]-SamplingData[[#This Row],[Span]]</f>
        <v>18233.167142153943</v>
      </c>
      <c r="U465" s="100">
        <f>IF(ISNUMBER('General Info'!$B$40), ((SamplingData[[#This Row],[up/U Selection Probability]]) * 'General Info'!$B$40) - 1, 0)</f>
        <v>14.508562158340876</v>
      </c>
      <c r="V465" s="100">
        <f>IF(ISNUMBER('General Info'!$B$40), (SamplingData[[#This Row],[Running (cumulative) sum]] * ('General Info'!$B$40 -'General Info'!$B$41 + 1)) + 'General Info'!$B$41 - 1, 0)</f>
        <v>18247.675704312285</v>
      </c>
      <c r="W465" s="100" t="str">
        <f>IF(ISERROR(MATCH(SamplingData[[#This Row],[Batch by Type (p)]],SelectedPrecincts[Batch Name], 0)), "", INDEX(SelectedPrecincts[Draw], MATCH(SamplingData[[#This Row],[Batch by Type (p)]],SelectedPrecincts[Batch Name], 0)))</f>
        <v/>
      </c>
      <c r="X465" s="102">
        <f>IF(COUNTIF(SelectedPrecincts[Batch Name],SamplingData[[#This Row],[Batch by Type (p)]]) &lt;&gt; 0, COUNTIF(SelectedPrecincts[Batch Name],SamplingData[[#This Row],[Batch by Type (p)]]), 0)</f>
        <v>0</v>
      </c>
    </row>
    <row r="466" spans="1:24" ht="15" customHeight="1">
      <c r="A466" s="18" t="s">
        <v>642</v>
      </c>
      <c r="B466" s="18">
        <v>1</v>
      </c>
      <c r="C466" s="18">
        <v>10</v>
      </c>
      <c r="D466" s="18">
        <v>0</v>
      </c>
      <c r="E466" s="18">
        <v>1</v>
      </c>
      <c r="F466" s="18">
        <v>1</v>
      </c>
      <c r="G466" s="18">
        <v>0</v>
      </c>
      <c r="H466" s="18">
        <v>0</v>
      </c>
      <c r="I466" s="18">
        <v>1</v>
      </c>
      <c r="J466" s="99">
        <f>SUM(SamplingData[[#This Row],[Losing Candidate]:[Under Votes]])</f>
        <v>14</v>
      </c>
      <c r="K466"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466" s="100">
        <f>IF(AND(SamplingData[[#This Row],[Total]]&lt;&gt; 0, NOT(ISBLANK(SamplingData[[#This Row],[Candidate 3]]))),(SamplingData[[#This Row],[Total]]+SamplingData[[#This Row],[Winning Candidate]]-SamplingData[[#This Row],[Candidate 3]])/(SamplingData[[#Totals],[Winning Candidate]]-SamplingData[[#Totals],[Candidate 3]]), 0)</f>
        <v>7.7426847759460595E-4</v>
      </c>
      <c r="M466" s="100">
        <f>IF(AND(SamplingData[[#This Row],[Total]]&lt;&gt; 0, NOT(ISBLANK(SamplingData[[#This Row],[Candidate 4]]))),(SamplingData[[#This Row],[Total]]+SamplingData[[#This Row],[Winning Candidate]]-SamplingData[[#This Row],[Candidate 4]])/(SamplingData[[#Totals],[Winning Candidate]]-SamplingData[[#Totals],[Candidate 4]]), 0)</f>
        <v>6.7233768891227451E-4</v>
      </c>
      <c r="N466" s="100">
        <f>IF(AND(SamplingData[[#This Row],[Total]]&lt;&gt; 0, NOT(ISBLANK(SamplingData[[#This Row],[Candidate 5]]))),(SamplingData[[#This Row],[Total]]+SamplingData[[#This Row],[Winning Candidate]]-SamplingData[[#This Row],[Candidate 5]])/(SamplingData[[#Totals],[Winning Candidate]]-SamplingData[[#Totals],[Candidate 5]]), 0)</f>
        <v>5.5947458039406475E-4</v>
      </c>
      <c r="O466" s="100">
        <f>IF(AND(SamplingData[[#This Row],[Total]]&lt;&gt; 0, NOT(ISBLANK(SamplingData[[#This Row],[Candidate 6]]))),(SamplingData[[#This Row],[Total]]+SamplingData[[#This Row],[Winning Candidate]]-SamplingData[[#This Row],[Candidate 6]])/(SamplingData[[#Totals],[Winning Candidate]]-SamplingData[[#Totals],[Candidate 6]]), 0)</f>
        <v>5.8362920091435243E-4</v>
      </c>
      <c r="P466" s="100">
        <f>MAX(SamplingData[[#This Row],[Error Bound (up) - Max. possible relative overstatement - Losing Candidate]:[Error Bound (up) - Max. possible relative overstatement - Candidate 6]])</f>
        <v>1.408623223909848E-3</v>
      </c>
      <c r="Q466" s="100">
        <f>IF(SamplingData[[#This Row],[Max Error Bound (up)]] = 0,0,SamplingData[[#This Row],[Max Error Bound (up)]]/SamplingData[[#Totals],[Max Error Bound (up)]])</f>
        <v>2.229378104042541E-4</v>
      </c>
      <c r="R466" s="101">
        <f>SUM($Q$5:Q466)</f>
        <v>0.18270969485352709</v>
      </c>
      <c r="S466" s="100" t="str">
        <f t="array" ref="S466">IF(SamplingData[[#This Row],[up/U Selection Probability]] = 0, "Zero", TEXT(SamplingData[[#This Row],[Lower Range]], REPT("0",LEN('General Info'!$B$40))) &amp; " - " &amp; TEXT(SamplingData[[#This Row],[Upper Range]], REPT("0",LEN('General Info'!$B$40))))</f>
        <v>18249 - 18270</v>
      </c>
      <c r="T466" s="100">
        <f>SamplingData[[#This Row],[Upper Range]]-SamplingData[[#This Row],[Span]]</f>
        <v>18248.675927250093</v>
      </c>
      <c r="U466" s="100">
        <f>IF(ISNUMBER('General Info'!$B$40), ((SamplingData[[#This Row],[up/U Selection Probability]]) * 'General Info'!$B$40) - 1, 0)</f>
        <v>21.293558102615005</v>
      </c>
      <c r="V466" s="100">
        <f>IF(ISNUMBER('General Info'!$B$40), (SamplingData[[#This Row],[Running (cumulative) sum]] * ('General Info'!$B$40 -'General Info'!$B$41 + 1)) + 'General Info'!$B$41 - 1, 0)</f>
        <v>18269.969485352707</v>
      </c>
      <c r="W466" s="100" t="str">
        <f>IF(ISERROR(MATCH(SamplingData[[#This Row],[Batch by Type (p)]],SelectedPrecincts[Batch Name], 0)), "", INDEX(SelectedPrecincts[Draw], MATCH(SamplingData[[#This Row],[Batch by Type (p)]],SelectedPrecincts[Batch Name], 0)))</f>
        <v/>
      </c>
      <c r="X466" s="102">
        <f>IF(COUNTIF(SelectedPrecincts[Batch Name],SamplingData[[#This Row],[Batch by Type (p)]]) &lt;&gt; 0, COUNTIF(SelectedPrecincts[Batch Name],SamplingData[[#This Row],[Batch by Type (p)]]), 0)</f>
        <v>0</v>
      </c>
    </row>
    <row r="467" spans="1:24" ht="15" customHeight="1">
      <c r="A467" s="18" t="s">
        <v>643</v>
      </c>
      <c r="B467" s="18">
        <v>0</v>
      </c>
      <c r="C467" s="18">
        <v>0</v>
      </c>
      <c r="D467" s="16">
        <v>0</v>
      </c>
      <c r="E467" s="16">
        <v>1</v>
      </c>
      <c r="F467" s="37">
        <v>0</v>
      </c>
      <c r="G467" s="37">
        <v>0</v>
      </c>
      <c r="H467" s="17">
        <v>0</v>
      </c>
      <c r="I467" s="17">
        <v>0</v>
      </c>
      <c r="J467" s="99">
        <f>SUM(SamplingData[[#This Row],[Losing Candidate]:[Under Votes]])</f>
        <v>1</v>
      </c>
      <c r="K467"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67" s="100">
        <f>IF(AND(SamplingData[[#This Row],[Total]]&lt;&gt; 0, NOT(ISBLANK(SamplingData[[#This Row],[Candidate 3]]))),(SamplingData[[#This Row],[Total]]+SamplingData[[#This Row],[Winning Candidate]]-SamplingData[[#This Row],[Candidate 3]])/(SamplingData[[#Totals],[Winning Candidate]]-SamplingData[[#Totals],[Candidate 3]]), 0)</f>
        <v>3.2261186566441917E-5</v>
      </c>
      <c r="M467" s="100">
        <f>IF(AND(SamplingData[[#This Row],[Total]]&lt;&gt; 0, NOT(ISBLANK(SamplingData[[#This Row],[Candidate 4]]))),(SamplingData[[#This Row],[Total]]+SamplingData[[#This Row],[Winning Candidate]]-SamplingData[[#This Row],[Candidate 4]])/(SamplingData[[#Totals],[Winning Candidate]]-SamplingData[[#Totals],[Candidate 4]]), 0)</f>
        <v>0</v>
      </c>
      <c r="N467" s="100">
        <f>IF(AND(SamplingData[[#This Row],[Total]]&lt;&gt; 0, NOT(ISBLANK(SamplingData[[#This Row],[Candidate 5]]))),(SamplingData[[#This Row],[Total]]+SamplingData[[#This Row],[Winning Candidate]]-SamplingData[[#This Row],[Candidate 5]])/(SamplingData[[#Totals],[Winning Candidate]]-SamplingData[[#Totals],[Candidate 5]]), 0)</f>
        <v>2.4324981756263683E-5</v>
      </c>
      <c r="O467" s="100">
        <f>IF(AND(SamplingData[[#This Row],[Total]]&lt;&gt; 0, NOT(ISBLANK(SamplingData[[#This Row],[Candidate 6]]))),(SamplingData[[#This Row],[Total]]+SamplingData[[#This Row],[Winning Candidate]]-SamplingData[[#This Row],[Candidate 6]])/(SamplingData[[#Totals],[Winning Candidate]]-SamplingData[[#Totals],[Candidate 6]]), 0)</f>
        <v>2.431788337143135E-5</v>
      </c>
      <c r="P467" s="100">
        <f>MAX(SamplingData[[#This Row],[Error Bound (up) - Max. possible relative overstatement - Losing Candidate]:[Error Bound (up) - Max. possible relative overstatement - Candidate 6]])</f>
        <v>6.1244487996080352E-5</v>
      </c>
      <c r="Q467" s="100">
        <f>IF(SamplingData[[#This Row],[Max Error Bound (up)]] = 0,0,SamplingData[[#This Row],[Max Error Bound (up)]]/SamplingData[[#Totals],[Max Error Bound (up)]])</f>
        <v>9.6929482784458315E-6</v>
      </c>
      <c r="R467" s="101">
        <f>SUM($Q$5:Q467)</f>
        <v>0.18271938780180552</v>
      </c>
      <c r="S467" s="100" t="str">
        <f t="array" ref="S467">IF(SamplingData[[#This Row],[up/U Selection Probability]] = 0, "Zero", TEXT(SamplingData[[#This Row],[Lower Range]], REPT("0",LEN('General Info'!$B$40))) &amp; " - " &amp; TEXT(SamplingData[[#This Row],[Upper Range]], REPT("0",LEN('General Info'!$B$40))))</f>
        <v>18271 - 18271</v>
      </c>
      <c r="T467" s="100">
        <f>SamplingData[[#This Row],[Upper Range]]-SamplingData[[#This Row],[Span]]</f>
        <v>18270.969495045658</v>
      </c>
      <c r="U467" s="100">
        <f>IF(ISNUMBER('General Info'!$B$40), ((SamplingData[[#This Row],[up/U Selection Probability]]) * 'General Info'!$B$40) - 1, 0)</f>
        <v>-3.0714865103695255E-2</v>
      </c>
      <c r="V467" s="100">
        <f>IF(ISNUMBER('General Info'!$B$40), (SamplingData[[#This Row],[Running (cumulative) sum]] * ('General Info'!$B$40 -'General Info'!$B$41 + 1)) + 'General Info'!$B$41 - 1, 0)</f>
        <v>18270.938780180553</v>
      </c>
      <c r="W467" s="100" t="str">
        <f>IF(ISERROR(MATCH(SamplingData[[#This Row],[Batch by Type (p)]],SelectedPrecincts[Batch Name], 0)), "", INDEX(SelectedPrecincts[Draw], MATCH(SamplingData[[#This Row],[Batch by Type (p)]],SelectedPrecincts[Batch Name], 0)))</f>
        <v/>
      </c>
      <c r="X467" s="102">
        <f>IF(COUNTIF(SelectedPrecincts[Batch Name],SamplingData[[#This Row],[Batch by Type (p)]]) &lt;&gt; 0, COUNTIF(SelectedPrecincts[Batch Name],SamplingData[[#This Row],[Batch by Type (p)]]), 0)</f>
        <v>0</v>
      </c>
    </row>
    <row r="468" spans="1:24" ht="15" customHeight="1">
      <c r="A468" s="18" t="s">
        <v>644</v>
      </c>
      <c r="B468" s="18">
        <v>0</v>
      </c>
      <c r="C468" s="18">
        <v>0</v>
      </c>
      <c r="D468" s="18">
        <v>0</v>
      </c>
      <c r="E468" s="18">
        <v>0</v>
      </c>
      <c r="F468" s="18">
        <v>0</v>
      </c>
      <c r="G468" s="18">
        <v>0</v>
      </c>
      <c r="H468" s="18">
        <v>0</v>
      </c>
      <c r="I468" s="18">
        <v>0</v>
      </c>
      <c r="J468" s="99">
        <f>SUM(SamplingData[[#This Row],[Losing Candidate]:[Under Votes]])</f>
        <v>0</v>
      </c>
      <c r="K468" s="100">
        <f>IF(AND(SamplingData[[#This Row],[Total]]&lt;&gt; 0, NOT(ISBLANK(SamplingData[[#This Row],[Losing Candidate]]))),(SamplingData[[#This Row],[Total]]+SamplingData[[#This Row],[Winning Candidate]]-SamplingData[[#This Row],[Losing Candidate]])/(SamplingData[[#Totals],[Winning Candidate]]-SamplingData[[#Totals],[Losing Candidate]]), 0)</f>
        <v>0</v>
      </c>
      <c r="L468" s="100">
        <f>IF(AND(SamplingData[[#This Row],[Total]]&lt;&gt; 0, NOT(ISBLANK(SamplingData[[#This Row],[Candidate 3]]))),(SamplingData[[#This Row],[Total]]+SamplingData[[#This Row],[Winning Candidate]]-SamplingData[[#This Row],[Candidate 3]])/(SamplingData[[#Totals],[Winning Candidate]]-SamplingData[[#Totals],[Candidate 3]]), 0)</f>
        <v>0</v>
      </c>
      <c r="M468" s="100">
        <f>IF(AND(SamplingData[[#This Row],[Total]]&lt;&gt; 0, NOT(ISBLANK(SamplingData[[#This Row],[Candidate 4]]))),(SamplingData[[#This Row],[Total]]+SamplingData[[#This Row],[Winning Candidate]]-SamplingData[[#This Row],[Candidate 4]])/(SamplingData[[#Totals],[Winning Candidate]]-SamplingData[[#Totals],[Candidate 4]]), 0)</f>
        <v>0</v>
      </c>
      <c r="N468" s="100">
        <f>IF(AND(SamplingData[[#This Row],[Total]]&lt;&gt; 0, NOT(ISBLANK(SamplingData[[#This Row],[Candidate 5]]))),(SamplingData[[#This Row],[Total]]+SamplingData[[#This Row],[Winning Candidate]]-SamplingData[[#This Row],[Candidate 5]])/(SamplingData[[#Totals],[Winning Candidate]]-SamplingData[[#Totals],[Candidate 5]]), 0)</f>
        <v>0</v>
      </c>
      <c r="O468" s="100">
        <f>IF(AND(SamplingData[[#This Row],[Total]]&lt;&gt; 0, NOT(ISBLANK(SamplingData[[#This Row],[Candidate 6]]))),(SamplingData[[#This Row],[Total]]+SamplingData[[#This Row],[Winning Candidate]]-SamplingData[[#This Row],[Candidate 6]])/(SamplingData[[#Totals],[Winning Candidate]]-SamplingData[[#Totals],[Candidate 6]]), 0)</f>
        <v>0</v>
      </c>
      <c r="P468" s="100">
        <f>MAX(SamplingData[[#This Row],[Error Bound (up) - Max. possible relative overstatement - Losing Candidate]:[Error Bound (up) - Max. possible relative overstatement - Candidate 6]])</f>
        <v>0</v>
      </c>
      <c r="Q468" s="100">
        <f>IF(SamplingData[[#This Row],[Max Error Bound (up)]] = 0,0,SamplingData[[#This Row],[Max Error Bound (up)]]/SamplingData[[#Totals],[Max Error Bound (up)]])</f>
        <v>0</v>
      </c>
      <c r="R468" s="101">
        <f>SUM($Q$5:Q468)</f>
        <v>0.18271938780180552</v>
      </c>
      <c r="S468" s="100" t="str">
        <f t="array" ref="S468">IF(SamplingData[[#This Row],[up/U Selection Probability]] = 0, "Zero", TEXT(SamplingData[[#This Row],[Lower Range]], REPT("0",LEN('General Info'!$B$40))) &amp; " - " &amp; TEXT(SamplingData[[#This Row],[Upper Range]], REPT("0",LEN('General Info'!$B$40))))</f>
        <v>Zero</v>
      </c>
      <c r="T468" s="100">
        <f>SamplingData[[#This Row],[Upper Range]]-SamplingData[[#This Row],[Span]]</f>
        <v>18271.938780180553</v>
      </c>
      <c r="U468" s="100">
        <f>IF(ISNUMBER('General Info'!$B$40), ((SamplingData[[#This Row],[up/U Selection Probability]]) * 'General Info'!$B$40) - 1, 0)</f>
        <v>-1</v>
      </c>
      <c r="V468" s="100">
        <f>IF(ISNUMBER('General Info'!$B$40), (SamplingData[[#This Row],[Running (cumulative) sum]] * ('General Info'!$B$40 -'General Info'!$B$41 + 1)) + 'General Info'!$B$41 - 1, 0)</f>
        <v>18270.938780180553</v>
      </c>
      <c r="W468" s="100" t="str">
        <f>IF(ISERROR(MATCH(SamplingData[[#This Row],[Batch by Type (p)]],SelectedPrecincts[Batch Name], 0)), "", INDEX(SelectedPrecincts[Draw], MATCH(SamplingData[[#This Row],[Batch by Type (p)]],SelectedPrecincts[Batch Name], 0)))</f>
        <v/>
      </c>
      <c r="X468" s="102">
        <f>IF(COUNTIF(SelectedPrecincts[Batch Name],SamplingData[[#This Row],[Batch by Type (p)]]) &lt;&gt; 0, COUNTIF(SelectedPrecincts[Batch Name],SamplingData[[#This Row],[Batch by Type (p)]]), 0)</f>
        <v>0</v>
      </c>
    </row>
    <row r="469" spans="1:24" ht="15" customHeight="1">
      <c r="A469" s="18" t="s">
        <v>645</v>
      </c>
      <c r="B469" s="18">
        <v>0</v>
      </c>
      <c r="C469" s="18">
        <v>0</v>
      </c>
      <c r="D469" s="16">
        <v>0</v>
      </c>
      <c r="E469" s="16">
        <v>0</v>
      </c>
      <c r="F469" s="37">
        <v>0</v>
      </c>
      <c r="G469" s="37">
        <v>0</v>
      </c>
      <c r="H469" s="17">
        <v>0</v>
      </c>
      <c r="I469" s="17">
        <v>0</v>
      </c>
      <c r="J469" s="99">
        <f>SUM(SamplingData[[#This Row],[Losing Candidate]:[Under Votes]])</f>
        <v>0</v>
      </c>
      <c r="K469" s="100">
        <f>IF(AND(SamplingData[[#This Row],[Total]]&lt;&gt; 0, NOT(ISBLANK(SamplingData[[#This Row],[Losing Candidate]]))),(SamplingData[[#This Row],[Total]]+SamplingData[[#This Row],[Winning Candidate]]-SamplingData[[#This Row],[Losing Candidate]])/(SamplingData[[#Totals],[Winning Candidate]]-SamplingData[[#Totals],[Losing Candidate]]), 0)</f>
        <v>0</v>
      </c>
      <c r="L469" s="100">
        <f>IF(AND(SamplingData[[#This Row],[Total]]&lt;&gt; 0, NOT(ISBLANK(SamplingData[[#This Row],[Candidate 3]]))),(SamplingData[[#This Row],[Total]]+SamplingData[[#This Row],[Winning Candidate]]-SamplingData[[#This Row],[Candidate 3]])/(SamplingData[[#Totals],[Winning Candidate]]-SamplingData[[#Totals],[Candidate 3]]), 0)</f>
        <v>0</v>
      </c>
      <c r="M469" s="100">
        <f>IF(AND(SamplingData[[#This Row],[Total]]&lt;&gt; 0, NOT(ISBLANK(SamplingData[[#This Row],[Candidate 4]]))),(SamplingData[[#This Row],[Total]]+SamplingData[[#This Row],[Winning Candidate]]-SamplingData[[#This Row],[Candidate 4]])/(SamplingData[[#Totals],[Winning Candidate]]-SamplingData[[#Totals],[Candidate 4]]), 0)</f>
        <v>0</v>
      </c>
      <c r="N469" s="100">
        <f>IF(AND(SamplingData[[#This Row],[Total]]&lt;&gt; 0, NOT(ISBLANK(SamplingData[[#This Row],[Candidate 5]]))),(SamplingData[[#This Row],[Total]]+SamplingData[[#This Row],[Winning Candidate]]-SamplingData[[#This Row],[Candidate 5]])/(SamplingData[[#Totals],[Winning Candidate]]-SamplingData[[#Totals],[Candidate 5]]), 0)</f>
        <v>0</v>
      </c>
      <c r="O469" s="100">
        <f>IF(AND(SamplingData[[#This Row],[Total]]&lt;&gt; 0, NOT(ISBLANK(SamplingData[[#This Row],[Candidate 6]]))),(SamplingData[[#This Row],[Total]]+SamplingData[[#This Row],[Winning Candidate]]-SamplingData[[#This Row],[Candidate 6]])/(SamplingData[[#Totals],[Winning Candidate]]-SamplingData[[#Totals],[Candidate 6]]), 0)</f>
        <v>0</v>
      </c>
      <c r="P469" s="100">
        <f>MAX(SamplingData[[#This Row],[Error Bound (up) - Max. possible relative overstatement - Losing Candidate]:[Error Bound (up) - Max. possible relative overstatement - Candidate 6]])</f>
        <v>0</v>
      </c>
      <c r="Q469" s="100">
        <f>IF(SamplingData[[#This Row],[Max Error Bound (up)]] = 0,0,SamplingData[[#This Row],[Max Error Bound (up)]]/SamplingData[[#Totals],[Max Error Bound (up)]])</f>
        <v>0</v>
      </c>
      <c r="R469" s="101">
        <f>SUM($Q$5:Q469)</f>
        <v>0.18271938780180552</v>
      </c>
      <c r="S469" s="100" t="str">
        <f t="array" ref="S469">IF(SamplingData[[#This Row],[up/U Selection Probability]] = 0, "Zero", TEXT(SamplingData[[#This Row],[Lower Range]], REPT("0",LEN('General Info'!$B$40))) &amp; " - " &amp; TEXT(SamplingData[[#This Row],[Upper Range]], REPT("0",LEN('General Info'!$B$40))))</f>
        <v>Zero</v>
      </c>
      <c r="T469" s="100">
        <f>SamplingData[[#This Row],[Upper Range]]-SamplingData[[#This Row],[Span]]</f>
        <v>18271.938780180553</v>
      </c>
      <c r="U469" s="100">
        <f>IF(ISNUMBER('General Info'!$B$40), ((SamplingData[[#This Row],[up/U Selection Probability]]) * 'General Info'!$B$40) - 1, 0)</f>
        <v>-1</v>
      </c>
      <c r="V469" s="100">
        <f>IF(ISNUMBER('General Info'!$B$40), (SamplingData[[#This Row],[Running (cumulative) sum]] * ('General Info'!$B$40 -'General Info'!$B$41 + 1)) + 'General Info'!$B$41 - 1, 0)</f>
        <v>18270.938780180553</v>
      </c>
      <c r="W469" s="100" t="str">
        <f>IF(ISERROR(MATCH(SamplingData[[#This Row],[Batch by Type (p)]],SelectedPrecincts[Batch Name], 0)), "", INDEX(SelectedPrecincts[Draw], MATCH(SamplingData[[#This Row],[Batch by Type (p)]],SelectedPrecincts[Batch Name], 0)))</f>
        <v/>
      </c>
      <c r="X469" s="102">
        <f>IF(COUNTIF(SelectedPrecincts[Batch Name],SamplingData[[#This Row],[Batch by Type (p)]]) &lt;&gt; 0, COUNTIF(SelectedPrecincts[Batch Name],SamplingData[[#This Row],[Batch by Type (p)]]), 0)</f>
        <v>0</v>
      </c>
    </row>
    <row r="470" spans="1:24" ht="15" customHeight="1">
      <c r="A470" s="18" t="s">
        <v>646</v>
      </c>
      <c r="B470" s="18">
        <v>0</v>
      </c>
      <c r="C470" s="18">
        <v>0</v>
      </c>
      <c r="D470" s="18">
        <v>0</v>
      </c>
      <c r="E470" s="18">
        <v>1</v>
      </c>
      <c r="F470" s="18">
        <v>0</v>
      </c>
      <c r="G470" s="18">
        <v>0</v>
      </c>
      <c r="H470" s="18">
        <v>0</v>
      </c>
      <c r="I470" s="18">
        <v>0</v>
      </c>
      <c r="J470" s="99">
        <f>SUM(SamplingData[[#This Row],[Losing Candidate]:[Under Votes]])</f>
        <v>1</v>
      </c>
      <c r="K470"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70" s="100">
        <f>IF(AND(SamplingData[[#This Row],[Total]]&lt;&gt; 0, NOT(ISBLANK(SamplingData[[#This Row],[Candidate 3]]))),(SamplingData[[#This Row],[Total]]+SamplingData[[#This Row],[Winning Candidate]]-SamplingData[[#This Row],[Candidate 3]])/(SamplingData[[#Totals],[Winning Candidate]]-SamplingData[[#Totals],[Candidate 3]]), 0)</f>
        <v>3.2261186566441917E-5</v>
      </c>
      <c r="M470" s="100">
        <f>IF(AND(SamplingData[[#This Row],[Total]]&lt;&gt; 0, NOT(ISBLANK(SamplingData[[#This Row],[Candidate 4]]))),(SamplingData[[#This Row],[Total]]+SamplingData[[#This Row],[Winning Candidate]]-SamplingData[[#This Row],[Candidate 4]])/(SamplingData[[#Totals],[Winning Candidate]]-SamplingData[[#Totals],[Candidate 4]]), 0)</f>
        <v>0</v>
      </c>
      <c r="N470" s="100">
        <f>IF(AND(SamplingData[[#This Row],[Total]]&lt;&gt; 0, NOT(ISBLANK(SamplingData[[#This Row],[Candidate 5]]))),(SamplingData[[#This Row],[Total]]+SamplingData[[#This Row],[Winning Candidate]]-SamplingData[[#This Row],[Candidate 5]])/(SamplingData[[#Totals],[Winning Candidate]]-SamplingData[[#Totals],[Candidate 5]]), 0)</f>
        <v>2.4324981756263683E-5</v>
      </c>
      <c r="O470" s="100">
        <f>IF(AND(SamplingData[[#This Row],[Total]]&lt;&gt; 0, NOT(ISBLANK(SamplingData[[#This Row],[Candidate 6]]))),(SamplingData[[#This Row],[Total]]+SamplingData[[#This Row],[Winning Candidate]]-SamplingData[[#This Row],[Candidate 6]])/(SamplingData[[#Totals],[Winning Candidate]]-SamplingData[[#Totals],[Candidate 6]]), 0)</f>
        <v>2.431788337143135E-5</v>
      </c>
      <c r="P470" s="100">
        <f>MAX(SamplingData[[#This Row],[Error Bound (up) - Max. possible relative overstatement - Losing Candidate]:[Error Bound (up) - Max. possible relative overstatement - Candidate 6]])</f>
        <v>6.1244487996080352E-5</v>
      </c>
      <c r="Q470" s="100">
        <f>IF(SamplingData[[#This Row],[Max Error Bound (up)]] = 0,0,SamplingData[[#This Row],[Max Error Bound (up)]]/SamplingData[[#Totals],[Max Error Bound (up)]])</f>
        <v>9.6929482784458315E-6</v>
      </c>
      <c r="R470" s="101">
        <f>SUM($Q$5:Q470)</f>
        <v>0.18272908075008396</v>
      </c>
      <c r="S470" s="100" t="str">
        <f t="array" ref="S470">IF(SamplingData[[#This Row],[up/U Selection Probability]] = 0, "Zero", TEXT(SamplingData[[#This Row],[Lower Range]], REPT("0",LEN('General Info'!$B$40))) &amp; " - " &amp; TEXT(SamplingData[[#This Row],[Upper Range]], REPT("0",LEN('General Info'!$B$40))))</f>
        <v>18272 - 18272</v>
      </c>
      <c r="T470" s="100">
        <f>SamplingData[[#This Row],[Upper Range]]-SamplingData[[#This Row],[Span]]</f>
        <v>18271.9387898735</v>
      </c>
      <c r="U470" s="100">
        <f>IF(ISNUMBER('General Info'!$B$40), ((SamplingData[[#This Row],[up/U Selection Probability]]) * 'General Info'!$B$40) - 1, 0)</f>
        <v>-3.0714865103695255E-2</v>
      </c>
      <c r="V470" s="100">
        <f>IF(ISNUMBER('General Info'!$B$40), (SamplingData[[#This Row],[Running (cumulative) sum]] * ('General Info'!$B$40 -'General Info'!$B$41 + 1)) + 'General Info'!$B$41 - 1, 0)</f>
        <v>18271.908075008396</v>
      </c>
      <c r="W470" s="100" t="str">
        <f>IF(ISERROR(MATCH(SamplingData[[#This Row],[Batch by Type (p)]],SelectedPrecincts[Batch Name], 0)), "", INDEX(SelectedPrecincts[Draw], MATCH(SamplingData[[#This Row],[Batch by Type (p)]],SelectedPrecincts[Batch Name], 0)))</f>
        <v/>
      </c>
      <c r="X470" s="102">
        <f>IF(COUNTIF(SelectedPrecincts[Batch Name],SamplingData[[#This Row],[Batch by Type (p)]]) &lt;&gt; 0, COUNTIF(SelectedPrecincts[Batch Name],SamplingData[[#This Row],[Batch by Type (p)]]), 0)</f>
        <v>0</v>
      </c>
    </row>
    <row r="471" spans="1:24" ht="15" customHeight="1">
      <c r="A471" s="18" t="s">
        <v>647</v>
      </c>
      <c r="B471" s="18">
        <v>0</v>
      </c>
      <c r="C471" s="18">
        <v>0</v>
      </c>
      <c r="D471" s="16">
        <v>0</v>
      </c>
      <c r="E471" s="16">
        <v>0</v>
      </c>
      <c r="F471" s="37">
        <v>0</v>
      </c>
      <c r="G471" s="37">
        <v>0</v>
      </c>
      <c r="H471" s="17">
        <v>0</v>
      </c>
      <c r="I471" s="17">
        <v>0</v>
      </c>
      <c r="J471" s="99">
        <f>SUM(SamplingData[[#This Row],[Losing Candidate]:[Under Votes]])</f>
        <v>0</v>
      </c>
      <c r="K471" s="100">
        <f>IF(AND(SamplingData[[#This Row],[Total]]&lt;&gt; 0, NOT(ISBLANK(SamplingData[[#This Row],[Losing Candidate]]))),(SamplingData[[#This Row],[Total]]+SamplingData[[#This Row],[Winning Candidate]]-SamplingData[[#This Row],[Losing Candidate]])/(SamplingData[[#Totals],[Winning Candidate]]-SamplingData[[#Totals],[Losing Candidate]]), 0)</f>
        <v>0</v>
      </c>
      <c r="L471" s="100">
        <f>IF(AND(SamplingData[[#This Row],[Total]]&lt;&gt; 0, NOT(ISBLANK(SamplingData[[#This Row],[Candidate 3]]))),(SamplingData[[#This Row],[Total]]+SamplingData[[#This Row],[Winning Candidate]]-SamplingData[[#This Row],[Candidate 3]])/(SamplingData[[#Totals],[Winning Candidate]]-SamplingData[[#Totals],[Candidate 3]]), 0)</f>
        <v>0</v>
      </c>
      <c r="M471" s="100">
        <f>IF(AND(SamplingData[[#This Row],[Total]]&lt;&gt; 0, NOT(ISBLANK(SamplingData[[#This Row],[Candidate 4]]))),(SamplingData[[#This Row],[Total]]+SamplingData[[#This Row],[Winning Candidate]]-SamplingData[[#This Row],[Candidate 4]])/(SamplingData[[#Totals],[Winning Candidate]]-SamplingData[[#Totals],[Candidate 4]]), 0)</f>
        <v>0</v>
      </c>
      <c r="N471" s="100">
        <f>IF(AND(SamplingData[[#This Row],[Total]]&lt;&gt; 0, NOT(ISBLANK(SamplingData[[#This Row],[Candidate 5]]))),(SamplingData[[#This Row],[Total]]+SamplingData[[#This Row],[Winning Candidate]]-SamplingData[[#This Row],[Candidate 5]])/(SamplingData[[#Totals],[Winning Candidate]]-SamplingData[[#Totals],[Candidate 5]]), 0)</f>
        <v>0</v>
      </c>
      <c r="O471" s="100">
        <f>IF(AND(SamplingData[[#This Row],[Total]]&lt;&gt; 0, NOT(ISBLANK(SamplingData[[#This Row],[Candidate 6]]))),(SamplingData[[#This Row],[Total]]+SamplingData[[#This Row],[Winning Candidate]]-SamplingData[[#This Row],[Candidate 6]])/(SamplingData[[#Totals],[Winning Candidate]]-SamplingData[[#Totals],[Candidate 6]]), 0)</f>
        <v>0</v>
      </c>
      <c r="P471" s="100">
        <f>MAX(SamplingData[[#This Row],[Error Bound (up) - Max. possible relative overstatement - Losing Candidate]:[Error Bound (up) - Max. possible relative overstatement - Candidate 6]])</f>
        <v>0</v>
      </c>
      <c r="Q471" s="100">
        <f>IF(SamplingData[[#This Row],[Max Error Bound (up)]] = 0,0,SamplingData[[#This Row],[Max Error Bound (up)]]/SamplingData[[#Totals],[Max Error Bound (up)]])</f>
        <v>0</v>
      </c>
      <c r="R471" s="101">
        <f>SUM($Q$5:Q471)</f>
        <v>0.18272908075008396</v>
      </c>
      <c r="S471" s="100" t="str">
        <f t="array" ref="S471">IF(SamplingData[[#This Row],[up/U Selection Probability]] = 0, "Zero", TEXT(SamplingData[[#This Row],[Lower Range]], REPT("0",LEN('General Info'!$B$40))) &amp; " - " &amp; TEXT(SamplingData[[#This Row],[Upper Range]], REPT("0",LEN('General Info'!$B$40))))</f>
        <v>Zero</v>
      </c>
      <c r="T471" s="100">
        <f>SamplingData[[#This Row],[Upper Range]]-SamplingData[[#This Row],[Span]]</f>
        <v>18272.908075008396</v>
      </c>
      <c r="U471" s="100">
        <f>IF(ISNUMBER('General Info'!$B$40), ((SamplingData[[#This Row],[up/U Selection Probability]]) * 'General Info'!$B$40) - 1, 0)</f>
        <v>-1</v>
      </c>
      <c r="V471" s="100">
        <f>IF(ISNUMBER('General Info'!$B$40), (SamplingData[[#This Row],[Running (cumulative) sum]] * ('General Info'!$B$40 -'General Info'!$B$41 + 1)) + 'General Info'!$B$41 - 1, 0)</f>
        <v>18271.908075008396</v>
      </c>
      <c r="W471" s="100" t="str">
        <f>IF(ISERROR(MATCH(SamplingData[[#This Row],[Batch by Type (p)]],SelectedPrecincts[Batch Name], 0)), "", INDEX(SelectedPrecincts[Draw], MATCH(SamplingData[[#This Row],[Batch by Type (p)]],SelectedPrecincts[Batch Name], 0)))</f>
        <v/>
      </c>
      <c r="X471" s="102">
        <f>IF(COUNTIF(SelectedPrecincts[Batch Name],SamplingData[[#This Row],[Batch by Type (p)]]) &lt;&gt; 0, COUNTIF(SelectedPrecincts[Batch Name],SamplingData[[#This Row],[Batch by Type (p)]]), 0)</f>
        <v>0</v>
      </c>
    </row>
    <row r="472" spans="1:24" ht="15" customHeight="1">
      <c r="A472" s="18" t="s">
        <v>648</v>
      </c>
      <c r="B472" s="18">
        <v>0</v>
      </c>
      <c r="C472" s="18">
        <v>0</v>
      </c>
      <c r="D472" s="18">
        <v>0</v>
      </c>
      <c r="E472" s="18">
        <v>0</v>
      </c>
      <c r="F472" s="18">
        <v>0</v>
      </c>
      <c r="G472" s="18">
        <v>0</v>
      </c>
      <c r="H472" s="18">
        <v>0</v>
      </c>
      <c r="I472" s="18">
        <v>0</v>
      </c>
      <c r="J472" s="99">
        <f>SUM(SamplingData[[#This Row],[Losing Candidate]:[Under Votes]])</f>
        <v>0</v>
      </c>
      <c r="K472" s="100">
        <f>IF(AND(SamplingData[[#This Row],[Total]]&lt;&gt; 0, NOT(ISBLANK(SamplingData[[#This Row],[Losing Candidate]]))),(SamplingData[[#This Row],[Total]]+SamplingData[[#This Row],[Winning Candidate]]-SamplingData[[#This Row],[Losing Candidate]])/(SamplingData[[#Totals],[Winning Candidate]]-SamplingData[[#Totals],[Losing Candidate]]), 0)</f>
        <v>0</v>
      </c>
      <c r="L472" s="100">
        <f>IF(AND(SamplingData[[#This Row],[Total]]&lt;&gt; 0, NOT(ISBLANK(SamplingData[[#This Row],[Candidate 3]]))),(SamplingData[[#This Row],[Total]]+SamplingData[[#This Row],[Winning Candidate]]-SamplingData[[#This Row],[Candidate 3]])/(SamplingData[[#Totals],[Winning Candidate]]-SamplingData[[#Totals],[Candidate 3]]), 0)</f>
        <v>0</v>
      </c>
      <c r="M472" s="100">
        <f>IF(AND(SamplingData[[#This Row],[Total]]&lt;&gt; 0, NOT(ISBLANK(SamplingData[[#This Row],[Candidate 4]]))),(SamplingData[[#This Row],[Total]]+SamplingData[[#This Row],[Winning Candidate]]-SamplingData[[#This Row],[Candidate 4]])/(SamplingData[[#Totals],[Winning Candidate]]-SamplingData[[#Totals],[Candidate 4]]), 0)</f>
        <v>0</v>
      </c>
      <c r="N472" s="100">
        <f>IF(AND(SamplingData[[#This Row],[Total]]&lt;&gt; 0, NOT(ISBLANK(SamplingData[[#This Row],[Candidate 5]]))),(SamplingData[[#This Row],[Total]]+SamplingData[[#This Row],[Winning Candidate]]-SamplingData[[#This Row],[Candidate 5]])/(SamplingData[[#Totals],[Winning Candidate]]-SamplingData[[#Totals],[Candidate 5]]), 0)</f>
        <v>0</v>
      </c>
      <c r="O472" s="100">
        <f>IF(AND(SamplingData[[#This Row],[Total]]&lt;&gt; 0, NOT(ISBLANK(SamplingData[[#This Row],[Candidate 6]]))),(SamplingData[[#This Row],[Total]]+SamplingData[[#This Row],[Winning Candidate]]-SamplingData[[#This Row],[Candidate 6]])/(SamplingData[[#Totals],[Winning Candidate]]-SamplingData[[#Totals],[Candidate 6]]), 0)</f>
        <v>0</v>
      </c>
      <c r="P472" s="100">
        <f>MAX(SamplingData[[#This Row],[Error Bound (up) - Max. possible relative overstatement - Losing Candidate]:[Error Bound (up) - Max. possible relative overstatement - Candidate 6]])</f>
        <v>0</v>
      </c>
      <c r="Q472" s="100">
        <f>IF(SamplingData[[#This Row],[Max Error Bound (up)]] = 0,0,SamplingData[[#This Row],[Max Error Bound (up)]]/SamplingData[[#Totals],[Max Error Bound (up)]])</f>
        <v>0</v>
      </c>
      <c r="R472" s="101">
        <f>SUM($Q$5:Q472)</f>
        <v>0.18272908075008396</v>
      </c>
      <c r="S472" s="100" t="str">
        <f t="array" ref="S472">IF(SamplingData[[#This Row],[up/U Selection Probability]] = 0, "Zero", TEXT(SamplingData[[#This Row],[Lower Range]], REPT("0",LEN('General Info'!$B$40))) &amp; " - " &amp; TEXT(SamplingData[[#This Row],[Upper Range]], REPT("0",LEN('General Info'!$B$40))))</f>
        <v>Zero</v>
      </c>
      <c r="T472" s="100">
        <f>SamplingData[[#This Row],[Upper Range]]-SamplingData[[#This Row],[Span]]</f>
        <v>18272.908075008396</v>
      </c>
      <c r="U472" s="100">
        <f>IF(ISNUMBER('General Info'!$B$40), ((SamplingData[[#This Row],[up/U Selection Probability]]) * 'General Info'!$B$40) - 1, 0)</f>
        <v>-1</v>
      </c>
      <c r="V472" s="100">
        <f>IF(ISNUMBER('General Info'!$B$40), (SamplingData[[#This Row],[Running (cumulative) sum]] * ('General Info'!$B$40 -'General Info'!$B$41 + 1)) + 'General Info'!$B$41 - 1, 0)</f>
        <v>18271.908075008396</v>
      </c>
      <c r="W472" s="100" t="str">
        <f>IF(ISERROR(MATCH(SamplingData[[#This Row],[Batch by Type (p)]],SelectedPrecincts[Batch Name], 0)), "", INDEX(SelectedPrecincts[Draw], MATCH(SamplingData[[#This Row],[Batch by Type (p)]],SelectedPrecincts[Batch Name], 0)))</f>
        <v/>
      </c>
      <c r="X472" s="102">
        <f>IF(COUNTIF(SelectedPrecincts[Batch Name],SamplingData[[#This Row],[Batch by Type (p)]]) &lt;&gt; 0, COUNTIF(SelectedPrecincts[Batch Name],SamplingData[[#This Row],[Batch by Type (p)]]), 0)</f>
        <v>0</v>
      </c>
    </row>
    <row r="473" spans="1:24" ht="15" customHeight="1">
      <c r="A473" s="18" t="s">
        <v>649</v>
      </c>
      <c r="B473" s="18">
        <v>1</v>
      </c>
      <c r="C473" s="18">
        <v>0</v>
      </c>
      <c r="D473" s="16">
        <v>0</v>
      </c>
      <c r="E473" s="16">
        <v>0</v>
      </c>
      <c r="F473" s="37">
        <v>0</v>
      </c>
      <c r="G473" s="37">
        <v>0</v>
      </c>
      <c r="H473" s="17">
        <v>0</v>
      </c>
      <c r="I473" s="17">
        <v>0</v>
      </c>
      <c r="J473" s="99">
        <f>SUM(SamplingData[[#This Row],[Losing Candidate]:[Under Votes]])</f>
        <v>1</v>
      </c>
      <c r="K473" s="100">
        <f>IF(AND(SamplingData[[#This Row],[Total]]&lt;&gt; 0, NOT(ISBLANK(SamplingData[[#This Row],[Losing Candidate]]))),(SamplingData[[#This Row],[Total]]+SamplingData[[#This Row],[Winning Candidate]]-SamplingData[[#This Row],[Losing Candidate]])/(SamplingData[[#Totals],[Winning Candidate]]-SamplingData[[#Totals],[Losing Candidate]]), 0)</f>
        <v>0</v>
      </c>
      <c r="L473" s="100">
        <f>IF(AND(SamplingData[[#This Row],[Total]]&lt;&gt; 0, NOT(ISBLANK(SamplingData[[#This Row],[Candidate 3]]))),(SamplingData[[#This Row],[Total]]+SamplingData[[#This Row],[Winning Candidate]]-SamplingData[[#This Row],[Candidate 3]])/(SamplingData[[#Totals],[Winning Candidate]]-SamplingData[[#Totals],[Candidate 3]]), 0)</f>
        <v>3.2261186566441917E-5</v>
      </c>
      <c r="M473" s="100">
        <f>IF(AND(SamplingData[[#This Row],[Total]]&lt;&gt; 0, NOT(ISBLANK(SamplingData[[#This Row],[Candidate 4]]))),(SamplingData[[#This Row],[Total]]+SamplingData[[#This Row],[Winning Candidate]]-SamplingData[[#This Row],[Candidate 4]])/(SamplingData[[#Totals],[Winning Candidate]]-SamplingData[[#Totals],[Candidate 4]]), 0)</f>
        <v>2.923207343096846E-5</v>
      </c>
      <c r="N473" s="100">
        <f>IF(AND(SamplingData[[#This Row],[Total]]&lt;&gt; 0, NOT(ISBLANK(SamplingData[[#This Row],[Candidate 5]]))),(SamplingData[[#This Row],[Total]]+SamplingData[[#This Row],[Winning Candidate]]-SamplingData[[#This Row],[Candidate 5]])/(SamplingData[[#Totals],[Winning Candidate]]-SamplingData[[#Totals],[Candidate 5]]), 0)</f>
        <v>2.4324981756263683E-5</v>
      </c>
      <c r="O473" s="100">
        <f>IF(AND(SamplingData[[#This Row],[Total]]&lt;&gt; 0, NOT(ISBLANK(SamplingData[[#This Row],[Candidate 6]]))),(SamplingData[[#This Row],[Total]]+SamplingData[[#This Row],[Winning Candidate]]-SamplingData[[#This Row],[Candidate 6]])/(SamplingData[[#Totals],[Winning Candidate]]-SamplingData[[#Totals],[Candidate 6]]), 0)</f>
        <v>2.431788337143135E-5</v>
      </c>
      <c r="P473" s="100">
        <f>MAX(SamplingData[[#This Row],[Error Bound (up) - Max. possible relative overstatement - Losing Candidate]:[Error Bound (up) - Max. possible relative overstatement - Candidate 6]])</f>
        <v>3.2261186566441917E-5</v>
      </c>
      <c r="Q473" s="100">
        <f>IF(SamplingData[[#This Row],[Max Error Bound (up)]] = 0,0,SamplingData[[#This Row],[Max Error Bound (up)]]/SamplingData[[#Totals],[Max Error Bound (up)]])</f>
        <v>5.1058637768320663E-6</v>
      </c>
      <c r="R473" s="101">
        <f>SUM($Q$5:Q473)</f>
        <v>0.18273418661386079</v>
      </c>
      <c r="S473" s="100" t="str">
        <f t="array" ref="S473">IF(SamplingData[[#This Row],[up/U Selection Probability]] = 0, "Zero", TEXT(SamplingData[[#This Row],[Lower Range]], REPT("0",LEN('General Info'!$B$40))) &amp; " - " &amp; TEXT(SamplingData[[#This Row],[Upper Range]], REPT("0",LEN('General Info'!$B$40))))</f>
        <v>18273 - 18272</v>
      </c>
      <c r="T473" s="100">
        <f>SamplingData[[#This Row],[Upper Range]]-SamplingData[[#This Row],[Span]]</f>
        <v>18272.908080114259</v>
      </c>
      <c r="U473" s="100">
        <f>IF(ISNUMBER('General Info'!$B$40), ((SamplingData[[#This Row],[up/U Selection Probability]]) * 'General Info'!$B$40) - 1, 0)</f>
        <v>-0.4894187281805702</v>
      </c>
      <c r="V473" s="100">
        <f>IF(ISNUMBER('General Info'!$B$40), (SamplingData[[#This Row],[Running (cumulative) sum]] * ('General Info'!$B$40 -'General Info'!$B$41 + 1)) + 'General Info'!$B$41 - 1, 0)</f>
        <v>18272.41866138608</v>
      </c>
      <c r="W473" s="100" t="str">
        <f>IF(ISERROR(MATCH(SamplingData[[#This Row],[Batch by Type (p)]],SelectedPrecincts[Batch Name], 0)), "", INDEX(SelectedPrecincts[Draw], MATCH(SamplingData[[#This Row],[Batch by Type (p)]],SelectedPrecincts[Batch Name], 0)))</f>
        <v/>
      </c>
      <c r="X473" s="102">
        <f>IF(COUNTIF(SelectedPrecincts[Batch Name],SamplingData[[#This Row],[Batch by Type (p)]]) &lt;&gt; 0, COUNTIF(SelectedPrecincts[Batch Name],SamplingData[[#This Row],[Batch by Type (p)]]), 0)</f>
        <v>0</v>
      </c>
    </row>
    <row r="474" spans="1:24" ht="15" customHeight="1">
      <c r="A474" s="18" t="s">
        <v>650</v>
      </c>
      <c r="B474" s="18">
        <v>0</v>
      </c>
      <c r="C474" s="18">
        <v>1</v>
      </c>
      <c r="D474" s="18">
        <v>1</v>
      </c>
      <c r="E474" s="18">
        <v>0</v>
      </c>
      <c r="F474" s="18">
        <v>0</v>
      </c>
      <c r="G474" s="18">
        <v>0</v>
      </c>
      <c r="H474" s="18">
        <v>0</v>
      </c>
      <c r="I474" s="18">
        <v>0</v>
      </c>
      <c r="J474" s="99">
        <f>SUM(SamplingData[[#This Row],[Losing Candidate]:[Under Votes]])</f>
        <v>2</v>
      </c>
      <c r="K474"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474" s="100">
        <f>IF(AND(SamplingData[[#This Row],[Total]]&lt;&gt; 0, NOT(ISBLANK(SamplingData[[#This Row],[Candidate 3]]))),(SamplingData[[#This Row],[Total]]+SamplingData[[#This Row],[Winning Candidate]]-SamplingData[[#This Row],[Candidate 3]])/(SamplingData[[#Totals],[Winning Candidate]]-SamplingData[[#Totals],[Candidate 3]]), 0)</f>
        <v>6.4522373132883833E-5</v>
      </c>
      <c r="M474" s="100">
        <f>IF(AND(SamplingData[[#This Row],[Total]]&lt;&gt; 0, NOT(ISBLANK(SamplingData[[#This Row],[Candidate 4]]))),(SamplingData[[#This Row],[Total]]+SamplingData[[#This Row],[Winning Candidate]]-SamplingData[[#This Row],[Candidate 4]])/(SamplingData[[#Totals],[Winning Candidate]]-SamplingData[[#Totals],[Candidate 4]]), 0)</f>
        <v>8.7696220292905373E-5</v>
      </c>
      <c r="N474" s="100">
        <f>IF(AND(SamplingData[[#This Row],[Total]]&lt;&gt; 0, NOT(ISBLANK(SamplingData[[#This Row],[Candidate 5]]))),(SamplingData[[#This Row],[Total]]+SamplingData[[#This Row],[Winning Candidate]]-SamplingData[[#This Row],[Candidate 5]])/(SamplingData[[#Totals],[Winning Candidate]]-SamplingData[[#Totals],[Candidate 5]]), 0)</f>
        <v>7.2974945268791054E-5</v>
      </c>
      <c r="O474" s="100">
        <f>IF(AND(SamplingData[[#This Row],[Total]]&lt;&gt; 0, NOT(ISBLANK(SamplingData[[#This Row],[Candidate 6]]))),(SamplingData[[#This Row],[Total]]+SamplingData[[#This Row],[Winning Candidate]]-SamplingData[[#This Row],[Candidate 6]])/(SamplingData[[#Totals],[Winning Candidate]]-SamplingData[[#Totals],[Candidate 6]]), 0)</f>
        <v>7.2953650114294054E-5</v>
      </c>
      <c r="P474" s="100">
        <f>MAX(SamplingData[[#This Row],[Error Bound (up) - Max. possible relative overstatement - Losing Candidate]:[Error Bound (up) - Max. possible relative overstatement - Candidate 6]])</f>
        <v>1.8373346398824106E-4</v>
      </c>
      <c r="Q474" s="100">
        <f>IF(SamplingData[[#This Row],[Max Error Bound (up)]] = 0,0,SamplingData[[#This Row],[Max Error Bound (up)]]/SamplingData[[#Totals],[Max Error Bound (up)]])</f>
        <v>2.9078844835337493E-5</v>
      </c>
      <c r="R474" s="101">
        <f>SUM($Q$5:Q474)</f>
        <v>0.18276326545869612</v>
      </c>
      <c r="S474" s="100" t="str">
        <f t="array" ref="S474">IF(SamplingData[[#This Row],[up/U Selection Probability]] = 0, "Zero", TEXT(SamplingData[[#This Row],[Lower Range]], REPT("0",LEN('General Info'!$B$40))) &amp; " - " &amp; TEXT(SamplingData[[#This Row],[Upper Range]], REPT("0",LEN('General Info'!$B$40))))</f>
        <v>18273 - 18275</v>
      </c>
      <c r="T474" s="100">
        <f>SamplingData[[#This Row],[Upper Range]]-SamplingData[[#This Row],[Span]]</f>
        <v>18273.418690464921</v>
      </c>
      <c r="U474" s="100">
        <f>IF(ISNUMBER('General Info'!$B$40), ((SamplingData[[#This Row],[up/U Selection Probability]]) * 'General Info'!$B$40) - 1, 0)</f>
        <v>1.907855404688914</v>
      </c>
      <c r="V474" s="100">
        <f>IF(ISNUMBER('General Info'!$B$40), (SamplingData[[#This Row],[Running (cumulative) sum]] * ('General Info'!$B$40 -'General Info'!$B$41 + 1)) + 'General Info'!$B$41 - 1, 0)</f>
        <v>18275.326545869611</v>
      </c>
      <c r="W474" s="100" t="str">
        <f>IF(ISERROR(MATCH(SamplingData[[#This Row],[Batch by Type (p)]],SelectedPrecincts[Batch Name], 0)), "", INDEX(SelectedPrecincts[Draw], MATCH(SamplingData[[#This Row],[Batch by Type (p)]],SelectedPrecincts[Batch Name], 0)))</f>
        <v/>
      </c>
      <c r="X474" s="102">
        <f>IF(COUNTIF(SelectedPrecincts[Batch Name],SamplingData[[#This Row],[Batch by Type (p)]]) &lt;&gt; 0, COUNTIF(SelectedPrecincts[Batch Name],SamplingData[[#This Row],[Batch by Type (p)]]), 0)</f>
        <v>0</v>
      </c>
    </row>
    <row r="475" spans="1:24" ht="15" customHeight="1">
      <c r="A475" s="18" t="s">
        <v>651</v>
      </c>
      <c r="B475" s="18">
        <v>0</v>
      </c>
      <c r="C475" s="18">
        <v>0</v>
      </c>
      <c r="D475" s="16">
        <v>0</v>
      </c>
      <c r="E475" s="16">
        <v>1</v>
      </c>
      <c r="F475" s="37">
        <v>0</v>
      </c>
      <c r="G475" s="37">
        <v>0</v>
      </c>
      <c r="H475" s="17">
        <v>0</v>
      </c>
      <c r="I475" s="17">
        <v>0</v>
      </c>
      <c r="J475" s="99">
        <f>SUM(SamplingData[[#This Row],[Losing Candidate]:[Under Votes]])</f>
        <v>1</v>
      </c>
      <c r="K475"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75" s="100">
        <f>IF(AND(SamplingData[[#This Row],[Total]]&lt;&gt; 0, NOT(ISBLANK(SamplingData[[#This Row],[Candidate 3]]))),(SamplingData[[#This Row],[Total]]+SamplingData[[#This Row],[Winning Candidate]]-SamplingData[[#This Row],[Candidate 3]])/(SamplingData[[#Totals],[Winning Candidate]]-SamplingData[[#Totals],[Candidate 3]]), 0)</f>
        <v>3.2261186566441917E-5</v>
      </c>
      <c r="M475" s="100">
        <f>IF(AND(SamplingData[[#This Row],[Total]]&lt;&gt; 0, NOT(ISBLANK(SamplingData[[#This Row],[Candidate 4]]))),(SamplingData[[#This Row],[Total]]+SamplingData[[#This Row],[Winning Candidate]]-SamplingData[[#This Row],[Candidate 4]])/(SamplingData[[#Totals],[Winning Candidate]]-SamplingData[[#Totals],[Candidate 4]]), 0)</f>
        <v>0</v>
      </c>
      <c r="N475" s="100">
        <f>IF(AND(SamplingData[[#This Row],[Total]]&lt;&gt; 0, NOT(ISBLANK(SamplingData[[#This Row],[Candidate 5]]))),(SamplingData[[#This Row],[Total]]+SamplingData[[#This Row],[Winning Candidate]]-SamplingData[[#This Row],[Candidate 5]])/(SamplingData[[#Totals],[Winning Candidate]]-SamplingData[[#Totals],[Candidate 5]]), 0)</f>
        <v>2.4324981756263683E-5</v>
      </c>
      <c r="O475" s="100">
        <f>IF(AND(SamplingData[[#This Row],[Total]]&lt;&gt; 0, NOT(ISBLANK(SamplingData[[#This Row],[Candidate 6]]))),(SamplingData[[#This Row],[Total]]+SamplingData[[#This Row],[Winning Candidate]]-SamplingData[[#This Row],[Candidate 6]])/(SamplingData[[#Totals],[Winning Candidate]]-SamplingData[[#Totals],[Candidate 6]]), 0)</f>
        <v>2.431788337143135E-5</v>
      </c>
      <c r="P475" s="100">
        <f>MAX(SamplingData[[#This Row],[Error Bound (up) - Max. possible relative overstatement - Losing Candidate]:[Error Bound (up) - Max. possible relative overstatement - Candidate 6]])</f>
        <v>6.1244487996080352E-5</v>
      </c>
      <c r="Q475" s="100">
        <f>IF(SamplingData[[#This Row],[Max Error Bound (up)]] = 0,0,SamplingData[[#This Row],[Max Error Bound (up)]]/SamplingData[[#Totals],[Max Error Bound (up)]])</f>
        <v>9.6929482784458315E-6</v>
      </c>
      <c r="R475" s="101">
        <f>SUM($Q$5:Q475)</f>
        <v>0.18277295840697455</v>
      </c>
      <c r="S475" s="100" t="str">
        <f t="array" ref="S475">IF(SamplingData[[#This Row],[up/U Selection Probability]] = 0, "Zero", TEXT(SamplingData[[#This Row],[Lower Range]], REPT("0",LEN('General Info'!$B$40))) &amp; " - " &amp; TEXT(SamplingData[[#This Row],[Upper Range]], REPT("0",LEN('General Info'!$B$40))))</f>
        <v>18276 - 18276</v>
      </c>
      <c r="T475" s="100">
        <f>SamplingData[[#This Row],[Upper Range]]-SamplingData[[#This Row],[Span]]</f>
        <v>18276.326555562558</v>
      </c>
      <c r="U475" s="100">
        <f>IF(ISNUMBER('General Info'!$B$40), ((SamplingData[[#This Row],[up/U Selection Probability]]) * 'General Info'!$B$40) - 1, 0)</f>
        <v>-3.0714865103695255E-2</v>
      </c>
      <c r="V475" s="100">
        <f>IF(ISNUMBER('General Info'!$B$40), (SamplingData[[#This Row],[Running (cumulative) sum]] * ('General Info'!$B$40 -'General Info'!$B$41 + 1)) + 'General Info'!$B$41 - 1, 0)</f>
        <v>18276.295840697454</v>
      </c>
      <c r="W475" s="100" t="str">
        <f>IF(ISERROR(MATCH(SamplingData[[#This Row],[Batch by Type (p)]],SelectedPrecincts[Batch Name], 0)), "", INDEX(SelectedPrecincts[Draw], MATCH(SamplingData[[#This Row],[Batch by Type (p)]],SelectedPrecincts[Batch Name], 0)))</f>
        <v/>
      </c>
      <c r="X475" s="102">
        <f>IF(COUNTIF(SelectedPrecincts[Batch Name],SamplingData[[#This Row],[Batch by Type (p)]]) &lt;&gt; 0, COUNTIF(SelectedPrecincts[Batch Name],SamplingData[[#This Row],[Batch by Type (p)]]), 0)</f>
        <v>0</v>
      </c>
    </row>
    <row r="476" spans="1:24" ht="15" customHeight="1">
      <c r="A476" s="18" t="s">
        <v>652</v>
      </c>
      <c r="B476" s="18">
        <v>0</v>
      </c>
      <c r="C476" s="18">
        <v>1</v>
      </c>
      <c r="D476" s="18">
        <v>0</v>
      </c>
      <c r="E476" s="18">
        <v>1</v>
      </c>
      <c r="F476" s="18">
        <v>0</v>
      </c>
      <c r="G476" s="18">
        <v>0</v>
      </c>
      <c r="H476" s="18">
        <v>0</v>
      </c>
      <c r="I476" s="18">
        <v>0</v>
      </c>
      <c r="J476" s="99">
        <f>SUM(SamplingData[[#This Row],[Losing Candidate]:[Under Votes]])</f>
        <v>2</v>
      </c>
      <c r="K476"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476" s="100">
        <f>IF(AND(SamplingData[[#This Row],[Total]]&lt;&gt; 0, NOT(ISBLANK(SamplingData[[#This Row],[Candidate 3]]))),(SamplingData[[#This Row],[Total]]+SamplingData[[#This Row],[Winning Candidate]]-SamplingData[[#This Row],[Candidate 3]])/(SamplingData[[#Totals],[Winning Candidate]]-SamplingData[[#Totals],[Candidate 3]]), 0)</f>
        <v>9.6783559699325743E-5</v>
      </c>
      <c r="M476" s="100">
        <f>IF(AND(SamplingData[[#This Row],[Total]]&lt;&gt; 0, NOT(ISBLANK(SamplingData[[#This Row],[Candidate 4]]))),(SamplingData[[#This Row],[Total]]+SamplingData[[#This Row],[Winning Candidate]]-SamplingData[[#This Row],[Candidate 4]])/(SamplingData[[#Totals],[Winning Candidate]]-SamplingData[[#Totals],[Candidate 4]]), 0)</f>
        <v>5.846414686193692E-5</v>
      </c>
      <c r="N476" s="100">
        <f>IF(AND(SamplingData[[#This Row],[Total]]&lt;&gt; 0, NOT(ISBLANK(SamplingData[[#This Row],[Candidate 5]]))),(SamplingData[[#This Row],[Total]]+SamplingData[[#This Row],[Winning Candidate]]-SamplingData[[#This Row],[Candidate 5]])/(SamplingData[[#Totals],[Winning Candidate]]-SamplingData[[#Totals],[Candidate 5]]), 0)</f>
        <v>7.2974945268791054E-5</v>
      </c>
      <c r="O476" s="100">
        <f>IF(AND(SamplingData[[#This Row],[Total]]&lt;&gt; 0, NOT(ISBLANK(SamplingData[[#This Row],[Candidate 6]]))),(SamplingData[[#This Row],[Total]]+SamplingData[[#This Row],[Winning Candidate]]-SamplingData[[#This Row],[Candidate 6]])/(SamplingData[[#Totals],[Winning Candidate]]-SamplingData[[#Totals],[Candidate 6]]), 0)</f>
        <v>7.2953650114294054E-5</v>
      </c>
      <c r="P476" s="100">
        <f>MAX(SamplingData[[#This Row],[Error Bound (up) - Max. possible relative overstatement - Losing Candidate]:[Error Bound (up) - Max. possible relative overstatement - Candidate 6]])</f>
        <v>1.8373346398824106E-4</v>
      </c>
      <c r="Q476" s="100">
        <f>IF(SamplingData[[#This Row],[Max Error Bound (up)]] = 0,0,SamplingData[[#This Row],[Max Error Bound (up)]]/SamplingData[[#Totals],[Max Error Bound (up)]])</f>
        <v>2.9078844835337493E-5</v>
      </c>
      <c r="R476" s="101">
        <f>SUM($Q$5:Q476)</f>
        <v>0.18280203725180988</v>
      </c>
      <c r="S476" s="100" t="str">
        <f t="array" ref="S476">IF(SamplingData[[#This Row],[up/U Selection Probability]] = 0, "Zero", TEXT(SamplingData[[#This Row],[Lower Range]], REPT("0",LEN('General Info'!$B$40))) &amp; " - " &amp; TEXT(SamplingData[[#This Row],[Upper Range]], REPT("0",LEN('General Info'!$B$40))))</f>
        <v>18277 - 18279</v>
      </c>
      <c r="T476" s="100">
        <f>SamplingData[[#This Row],[Upper Range]]-SamplingData[[#This Row],[Span]]</f>
        <v>18277.295869776299</v>
      </c>
      <c r="U476" s="100">
        <f>IF(ISNUMBER('General Info'!$B$40), ((SamplingData[[#This Row],[up/U Selection Probability]]) * 'General Info'!$B$40) - 1, 0)</f>
        <v>1.907855404688914</v>
      </c>
      <c r="V476" s="100">
        <f>IF(ISNUMBER('General Info'!$B$40), (SamplingData[[#This Row],[Running (cumulative) sum]] * ('General Info'!$B$40 -'General Info'!$B$41 + 1)) + 'General Info'!$B$41 - 1, 0)</f>
        <v>18279.203725180989</v>
      </c>
      <c r="W476" s="100" t="str">
        <f>IF(ISERROR(MATCH(SamplingData[[#This Row],[Batch by Type (p)]],SelectedPrecincts[Batch Name], 0)), "", INDEX(SelectedPrecincts[Draw], MATCH(SamplingData[[#This Row],[Batch by Type (p)]],SelectedPrecincts[Batch Name], 0)))</f>
        <v/>
      </c>
      <c r="X476" s="102">
        <f>IF(COUNTIF(SelectedPrecincts[Batch Name],SamplingData[[#This Row],[Batch by Type (p)]]) &lt;&gt; 0, COUNTIF(SelectedPrecincts[Batch Name],SamplingData[[#This Row],[Batch by Type (p)]]), 0)</f>
        <v>0</v>
      </c>
    </row>
    <row r="477" spans="1:24" ht="15" customHeight="1">
      <c r="A477" s="18" t="s">
        <v>653</v>
      </c>
      <c r="B477" s="18">
        <v>0</v>
      </c>
      <c r="C477" s="18">
        <v>1</v>
      </c>
      <c r="D477" s="16">
        <v>0</v>
      </c>
      <c r="E477" s="16">
        <v>0</v>
      </c>
      <c r="F477" s="37">
        <v>0</v>
      </c>
      <c r="G477" s="37">
        <v>0</v>
      </c>
      <c r="H477" s="17">
        <v>0</v>
      </c>
      <c r="I477" s="17">
        <v>0</v>
      </c>
      <c r="J477" s="99">
        <f>SUM(SamplingData[[#This Row],[Losing Candidate]:[Under Votes]])</f>
        <v>1</v>
      </c>
      <c r="K477"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77" s="100">
        <f>IF(AND(SamplingData[[#This Row],[Total]]&lt;&gt; 0, NOT(ISBLANK(SamplingData[[#This Row],[Candidate 3]]))),(SamplingData[[#This Row],[Total]]+SamplingData[[#This Row],[Winning Candidate]]-SamplingData[[#This Row],[Candidate 3]])/(SamplingData[[#Totals],[Winning Candidate]]-SamplingData[[#Totals],[Candidate 3]]), 0)</f>
        <v>6.4522373132883833E-5</v>
      </c>
      <c r="M477" s="100">
        <f>IF(AND(SamplingData[[#This Row],[Total]]&lt;&gt; 0, NOT(ISBLANK(SamplingData[[#This Row],[Candidate 4]]))),(SamplingData[[#This Row],[Total]]+SamplingData[[#This Row],[Winning Candidate]]-SamplingData[[#This Row],[Candidate 4]])/(SamplingData[[#Totals],[Winning Candidate]]-SamplingData[[#Totals],[Candidate 4]]), 0)</f>
        <v>5.846414686193692E-5</v>
      </c>
      <c r="N477" s="100">
        <f>IF(AND(SamplingData[[#This Row],[Total]]&lt;&gt; 0, NOT(ISBLANK(SamplingData[[#This Row],[Candidate 5]]))),(SamplingData[[#This Row],[Total]]+SamplingData[[#This Row],[Winning Candidate]]-SamplingData[[#This Row],[Candidate 5]])/(SamplingData[[#Totals],[Winning Candidate]]-SamplingData[[#Totals],[Candidate 5]]), 0)</f>
        <v>4.8649963512527367E-5</v>
      </c>
      <c r="O477" s="100">
        <f>IF(AND(SamplingData[[#This Row],[Total]]&lt;&gt; 0, NOT(ISBLANK(SamplingData[[#This Row],[Candidate 6]]))),(SamplingData[[#This Row],[Total]]+SamplingData[[#This Row],[Winning Candidate]]-SamplingData[[#This Row],[Candidate 6]])/(SamplingData[[#Totals],[Winning Candidate]]-SamplingData[[#Totals],[Candidate 6]]), 0)</f>
        <v>4.8635766742862701E-5</v>
      </c>
      <c r="P477" s="100">
        <f>MAX(SamplingData[[#This Row],[Error Bound (up) - Max. possible relative overstatement - Losing Candidate]:[Error Bound (up) - Max. possible relative overstatement - Candidate 6]])</f>
        <v>1.224889759921607E-4</v>
      </c>
      <c r="Q477" s="100">
        <f>IF(SamplingData[[#This Row],[Max Error Bound (up)]] = 0,0,SamplingData[[#This Row],[Max Error Bound (up)]]/SamplingData[[#Totals],[Max Error Bound (up)]])</f>
        <v>1.9385896556891663E-5</v>
      </c>
      <c r="R477" s="101">
        <f>SUM($Q$5:Q477)</f>
        <v>0.18282142314836677</v>
      </c>
      <c r="S477" s="100" t="str">
        <f t="array" ref="S477">IF(SamplingData[[#This Row],[up/U Selection Probability]] = 0, "Zero", TEXT(SamplingData[[#This Row],[Lower Range]], REPT("0",LEN('General Info'!$B$40))) &amp; " - " &amp; TEXT(SamplingData[[#This Row],[Upper Range]], REPT("0",LEN('General Info'!$B$40))))</f>
        <v>18280 - 18281</v>
      </c>
      <c r="T477" s="100">
        <f>SamplingData[[#This Row],[Upper Range]]-SamplingData[[#This Row],[Span]]</f>
        <v>18280.203744566887</v>
      </c>
      <c r="U477" s="100">
        <f>IF(ISNUMBER('General Info'!$B$40), ((SamplingData[[#This Row],[up/U Selection Probability]]) * 'General Info'!$B$40) - 1, 0)</f>
        <v>0.93857026979260949</v>
      </c>
      <c r="V477" s="100">
        <f>IF(ISNUMBER('General Info'!$B$40), (SamplingData[[#This Row],[Running (cumulative) sum]] * ('General Info'!$B$40 -'General Info'!$B$41 + 1)) + 'General Info'!$B$41 - 1, 0)</f>
        <v>18281.142314836678</v>
      </c>
      <c r="W477" s="100" t="str">
        <f>IF(ISERROR(MATCH(SamplingData[[#This Row],[Batch by Type (p)]],SelectedPrecincts[Batch Name], 0)), "", INDEX(SelectedPrecincts[Draw], MATCH(SamplingData[[#This Row],[Batch by Type (p)]],SelectedPrecincts[Batch Name], 0)))</f>
        <v/>
      </c>
      <c r="X477" s="102">
        <f>IF(COUNTIF(SelectedPrecincts[Batch Name],SamplingData[[#This Row],[Batch by Type (p)]]) &lt;&gt; 0, COUNTIF(SelectedPrecincts[Batch Name],SamplingData[[#This Row],[Batch by Type (p)]]), 0)</f>
        <v>0</v>
      </c>
    </row>
    <row r="478" spans="1:24" ht="15" customHeight="1">
      <c r="A478" s="18" t="s">
        <v>654</v>
      </c>
      <c r="B478" s="18">
        <v>1</v>
      </c>
      <c r="C478" s="18">
        <v>0</v>
      </c>
      <c r="D478" s="18">
        <v>2</v>
      </c>
      <c r="E478" s="18">
        <v>0</v>
      </c>
      <c r="F478" s="18">
        <v>0</v>
      </c>
      <c r="G478" s="18">
        <v>0</v>
      </c>
      <c r="H478" s="18">
        <v>0</v>
      </c>
      <c r="I478" s="18">
        <v>0</v>
      </c>
      <c r="J478" s="99">
        <f>SUM(SamplingData[[#This Row],[Losing Candidate]:[Under Votes]])</f>
        <v>3</v>
      </c>
      <c r="K47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78" s="100">
        <f>IF(AND(SamplingData[[#This Row],[Total]]&lt;&gt; 0, NOT(ISBLANK(SamplingData[[#This Row],[Candidate 3]]))),(SamplingData[[#This Row],[Total]]+SamplingData[[#This Row],[Winning Candidate]]-SamplingData[[#This Row],[Candidate 3]])/(SamplingData[[#Totals],[Winning Candidate]]-SamplingData[[#Totals],[Candidate 3]]), 0)</f>
        <v>3.2261186566441917E-5</v>
      </c>
      <c r="M478" s="100">
        <f>IF(AND(SamplingData[[#This Row],[Total]]&lt;&gt; 0, NOT(ISBLANK(SamplingData[[#This Row],[Candidate 4]]))),(SamplingData[[#This Row],[Total]]+SamplingData[[#This Row],[Winning Candidate]]-SamplingData[[#This Row],[Candidate 4]])/(SamplingData[[#Totals],[Winning Candidate]]-SamplingData[[#Totals],[Candidate 4]]), 0)</f>
        <v>8.7696220292905373E-5</v>
      </c>
      <c r="N478" s="100">
        <f>IF(AND(SamplingData[[#This Row],[Total]]&lt;&gt; 0, NOT(ISBLANK(SamplingData[[#This Row],[Candidate 5]]))),(SamplingData[[#This Row],[Total]]+SamplingData[[#This Row],[Winning Candidate]]-SamplingData[[#This Row],[Candidate 5]])/(SamplingData[[#Totals],[Winning Candidate]]-SamplingData[[#Totals],[Candidate 5]]), 0)</f>
        <v>7.2974945268791054E-5</v>
      </c>
      <c r="O478" s="100">
        <f>IF(AND(SamplingData[[#This Row],[Total]]&lt;&gt; 0, NOT(ISBLANK(SamplingData[[#This Row],[Candidate 6]]))),(SamplingData[[#This Row],[Total]]+SamplingData[[#This Row],[Winning Candidate]]-SamplingData[[#This Row],[Candidate 6]])/(SamplingData[[#Totals],[Winning Candidate]]-SamplingData[[#Totals],[Candidate 6]]), 0)</f>
        <v>7.2953650114294054E-5</v>
      </c>
      <c r="P478" s="100">
        <f>MAX(SamplingData[[#This Row],[Error Bound (up) - Max. possible relative overstatement - Losing Candidate]:[Error Bound (up) - Max. possible relative overstatement - Candidate 6]])</f>
        <v>1.224889759921607E-4</v>
      </c>
      <c r="Q478" s="100">
        <f>IF(SamplingData[[#This Row],[Max Error Bound (up)]] = 0,0,SamplingData[[#This Row],[Max Error Bound (up)]]/SamplingData[[#Totals],[Max Error Bound (up)]])</f>
        <v>1.9385896556891663E-5</v>
      </c>
      <c r="R478" s="101">
        <f>SUM($Q$5:Q478)</f>
        <v>0.18284080904492367</v>
      </c>
      <c r="S478" s="100" t="str">
        <f t="array" ref="S478">IF(SamplingData[[#This Row],[up/U Selection Probability]] = 0, "Zero", TEXT(SamplingData[[#This Row],[Lower Range]], REPT("0",LEN('General Info'!$B$40))) &amp; " - " &amp; TEXT(SamplingData[[#This Row],[Upper Range]], REPT("0",LEN('General Info'!$B$40))))</f>
        <v>18282 - 18283</v>
      </c>
      <c r="T478" s="100">
        <f>SamplingData[[#This Row],[Upper Range]]-SamplingData[[#This Row],[Span]]</f>
        <v>18282.142334222575</v>
      </c>
      <c r="U478" s="100">
        <f>IF(ISNUMBER('General Info'!$B$40), ((SamplingData[[#This Row],[up/U Selection Probability]]) * 'General Info'!$B$40) - 1, 0)</f>
        <v>0.93857026979260949</v>
      </c>
      <c r="V478" s="100">
        <f>IF(ISNUMBER('General Info'!$B$40), (SamplingData[[#This Row],[Running (cumulative) sum]] * ('General Info'!$B$40 -'General Info'!$B$41 + 1)) + 'General Info'!$B$41 - 1, 0)</f>
        <v>18283.080904492366</v>
      </c>
      <c r="W478" s="100" t="str">
        <f>IF(ISERROR(MATCH(SamplingData[[#This Row],[Batch by Type (p)]],SelectedPrecincts[Batch Name], 0)), "", INDEX(SelectedPrecincts[Draw], MATCH(SamplingData[[#This Row],[Batch by Type (p)]],SelectedPrecincts[Batch Name], 0)))</f>
        <v/>
      </c>
      <c r="X478" s="102">
        <f>IF(COUNTIF(SelectedPrecincts[Batch Name],SamplingData[[#This Row],[Batch by Type (p)]]) &lt;&gt; 0, COUNTIF(SelectedPrecincts[Batch Name],SamplingData[[#This Row],[Batch by Type (p)]]), 0)</f>
        <v>0</v>
      </c>
    </row>
    <row r="479" spans="1:24" ht="15" customHeight="1">
      <c r="A479" s="18" t="s">
        <v>655</v>
      </c>
      <c r="B479" s="18">
        <v>8</v>
      </c>
      <c r="C479" s="18">
        <v>7</v>
      </c>
      <c r="D479" s="16">
        <v>3</v>
      </c>
      <c r="E479" s="16">
        <v>2</v>
      </c>
      <c r="F479" s="37">
        <v>0</v>
      </c>
      <c r="G479" s="37">
        <v>0</v>
      </c>
      <c r="H479" s="17">
        <v>0</v>
      </c>
      <c r="I479" s="17">
        <v>0</v>
      </c>
      <c r="J479" s="99">
        <f>SUM(SamplingData[[#This Row],[Losing Candidate]:[Under Votes]])</f>
        <v>20</v>
      </c>
      <c r="K479"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479" s="100">
        <f>IF(AND(SamplingData[[#This Row],[Total]]&lt;&gt; 0, NOT(ISBLANK(SamplingData[[#This Row],[Candidate 3]]))),(SamplingData[[#This Row],[Total]]+SamplingData[[#This Row],[Winning Candidate]]-SamplingData[[#This Row],[Candidate 3]])/(SamplingData[[#Totals],[Winning Candidate]]-SamplingData[[#Totals],[Candidate 3]]), 0)</f>
        <v>7.7426847759460595E-4</v>
      </c>
      <c r="M479" s="100">
        <f>IF(AND(SamplingData[[#This Row],[Total]]&lt;&gt; 0, NOT(ISBLANK(SamplingData[[#This Row],[Candidate 4]]))),(SamplingData[[#This Row],[Total]]+SamplingData[[#This Row],[Winning Candidate]]-SamplingData[[#This Row],[Candidate 4]])/(SamplingData[[#Totals],[Winning Candidate]]-SamplingData[[#Totals],[Candidate 4]]), 0)</f>
        <v>7.3080183577421145E-4</v>
      </c>
      <c r="N479" s="100">
        <f>IF(AND(SamplingData[[#This Row],[Total]]&lt;&gt; 0, NOT(ISBLANK(SamplingData[[#This Row],[Candidate 5]]))),(SamplingData[[#This Row],[Total]]+SamplingData[[#This Row],[Winning Candidate]]-SamplingData[[#This Row],[Candidate 5]])/(SamplingData[[#Totals],[Winning Candidate]]-SamplingData[[#Totals],[Candidate 5]]), 0)</f>
        <v>6.5677450741911947E-4</v>
      </c>
      <c r="O479" s="100">
        <f>IF(AND(SamplingData[[#This Row],[Total]]&lt;&gt; 0, NOT(ISBLANK(SamplingData[[#This Row],[Candidate 6]]))),(SamplingData[[#This Row],[Total]]+SamplingData[[#This Row],[Winning Candidate]]-SamplingData[[#This Row],[Candidate 6]])/(SamplingData[[#Totals],[Winning Candidate]]-SamplingData[[#Totals],[Candidate 6]]), 0)</f>
        <v>6.5658285102864649E-4</v>
      </c>
      <c r="P479" s="100">
        <f>MAX(SamplingData[[#This Row],[Error Bound (up) - Max. possible relative overstatement - Losing Candidate]:[Error Bound (up) - Max. possible relative overstatement - Candidate 6]])</f>
        <v>1.1636452719255266E-3</v>
      </c>
      <c r="Q479" s="100">
        <f>IF(SamplingData[[#This Row],[Max Error Bound (up)]] = 0,0,SamplingData[[#This Row],[Max Error Bound (up)]]/SamplingData[[#Totals],[Max Error Bound (up)]])</f>
        <v>1.841660172904708E-4</v>
      </c>
      <c r="R479" s="101">
        <f>SUM($Q$5:Q479)</f>
        <v>0.18302497506221413</v>
      </c>
      <c r="S479" s="100" t="str">
        <f t="array" ref="S479">IF(SamplingData[[#This Row],[up/U Selection Probability]] = 0, "Zero", TEXT(SamplingData[[#This Row],[Lower Range]], REPT("0",LEN('General Info'!$B$40))) &amp; " - " &amp; TEXT(SamplingData[[#This Row],[Upper Range]], REPT("0",LEN('General Info'!$B$40))))</f>
        <v>18284 - 18301</v>
      </c>
      <c r="T479" s="100">
        <f>SamplingData[[#This Row],[Upper Range]]-SamplingData[[#This Row],[Span]]</f>
        <v>18284.081088658386</v>
      </c>
      <c r="U479" s="100">
        <f>IF(ISNUMBER('General Info'!$B$40), ((SamplingData[[#This Row],[up/U Selection Probability]]) * 'General Info'!$B$40) - 1, 0)</f>
        <v>17.416417563029789</v>
      </c>
      <c r="V479" s="100">
        <f>IF(ISNUMBER('General Info'!$B$40), (SamplingData[[#This Row],[Running (cumulative) sum]] * ('General Info'!$B$40 -'General Info'!$B$41 + 1)) + 'General Info'!$B$41 - 1, 0)</f>
        <v>18301.497506221414</v>
      </c>
      <c r="W479" s="100" t="str">
        <f>IF(ISERROR(MATCH(SamplingData[[#This Row],[Batch by Type (p)]],SelectedPrecincts[Batch Name], 0)), "", INDEX(SelectedPrecincts[Draw], MATCH(SamplingData[[#This Row],[Batch by Type (p)]],SelectedPrecincts[Batch Name], 0)))</f>
        <v/>
      </c>
      <c r="X479" s="102">
        <f>IF(COUNTIF(SelectedPrecincts[Batch Name],SamplingData[[#This Row],[Batch by Type (p)]]) &lt;&gt; 0, COUNTIF(SelectedPrecincts[Batch Name],SamplingData[[#This Row],[Batch by Type (p)]]), 0)</f>
        <v>0</v>
      </c>
    </row>
    <row r="480" spans="1:24" ht="15" customHeight="1">
      <c r="A480" s="18" t="s">
        <v>656</v>
      </c>
      <c r="B480" s="18">
        <v>3</v>
      </c>
      <c r="C480" s="18">
        <v>6</v>
      </c>
      <c r="D480" s="18">
        <v>2</v>
      </c>
      <c r="E480" s="18">
        <v>3</v>
      </c>
      <c r="F480" s="18">
        <v>0</v>
      </c>
      <c r="G480" s="18">
        <v>0</v>
      </c>
      <c r="H480" s="18">
        <v>0</v>
      </c>
      <c r="I480" s="18">
        <v>0</v>
      </c>
      <c r="J480" s="99">
        <f>SUM(SamplingData[[#This Row],[Losing Candidate]:[Under Votes]])</f>
        <v>14</v>
      </c>
      <c r="K480"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480" s="100">
        <f>IF(AND(SamplingData[[#This Row],[Total]]&lt;&gt; 0, NOT(ISBLANK(SamplingData[[#This Row],[Candidate 3]]))),(SamplingData[[#This Row],[Total]]+SamplingData[[#This Row],[Winning Candidate]]-SamplingData[[#This Row],[Candidate 3]])/(SamplingData[[#Totals],[Winning Candidate]]-SamplingData[[#Totals],[Candidate 3]]), 0)</f>
        <v>5.8070135819595443E-4</v>
      </c>
      <c r="M480" s="100">
        <f>IF(AND(SamplingData[[#This Row],[Total]]&lt;&gt; 0, NOT(ISBLANK(SamplingData[[#This Row],[Candidate 4]]))),(SamplingData[[#This Row],[Total]]+SamplingData[[#This Row],[Winning Candidate]]-SamplingData[[#This Row],[Candidate 4]])/(SamplingData[[#Totals],[Winning Candidate]]-SamplingData[[#Totals],[Candidate 4]]), 0)</f>
        <v>4.9694524832646382E-4</v>
      </c>
      <c r="N480" s="100">
        <f>IF(AND(SamplingData[[#This Row],[Total]]&lt;&gt; 0, NOT(ISBLANK(SamplingData[[#This Row],[Candidate 5]]))),(SamplingData[[#This Row],[Total]]+SamplingData[[#This Row],[Winning Candidate]]-SamplingData[[#This Row],[Candidate 5]])/(SamplingData[[#Totals],[Winning Candidate]]-SamplingData[[#Totals],[Candidate 5]]), 0)</f>
        <v>4.8649963512527365E-4</v>
      </c>
      <c r="O480" s="100">
        <f>IF(AND(SamplingData[[#This Row],[Total]]&lt;&gt; 0, NOT(ISBLANK(SamplingData[[#This Row],[Candidate 6]]))),(SamplingData[[#This Row],[Total]]+SamplingData[[#This Row],[Winning Candidate]]-SamplingData[[#This Row],[Candidate 6]])/(SamplingData[[#Totals],[Winning Candidate]]-SamplingData[[#Totals],[Candidate 6]]), 0)</f>
        <v>4.8635766742862699E-4</v>
      </c>
      <c r="P480" s="100">
        <f>MAX(SamplingData[[#This Row],[Error Bound (up) - Max. possible relative overstatement - Losing Candidate]:[Error Bound (up) - Max. possible relative overstatement - Candidate 6]])</f>
        <v>1.041156295933366E-3</v>
      </c>
      <c r="Q480" s="100">
        <f>IF(SamplingData[[#This Row],[Max Error Bound (up)]] = 0,0,SamplingData[[#This Row],[Max Error Bound (up)]]/SamplingData[[#Totals],[Max Error Bound (up)]])</f>
        <v>1.6478012073357914E-4</v>
      </c>
      <c r="R480" s="101">
        <f>SUM($Q$5:Q480)</f>
        <v>0.18318975518294769</v>
      </c>
      <c r="S480" s="100" t="str">
        <f t="array" ref="S480">IF(SamplingData[[#This Row],[up/U Selection Probability]] = 0, "Zero", TEXT(SamplingData[[#This Row],[Lower Range]], REPT("0",LEN('General Info'!$B$40))) &amp; " - " &amp; TEXT(SamplingData[[#This Row],[Upper Range]], REPT("0",LEN('General Info'!$B$40))))</f>
        <v>18302 - 18318</v>
      </c>
      <c r="T480" s="100">
        <f>SamplingData[[#This Row],[Upper Range]]-SamplingData[[#This Row],[Span]]</f>
        <v>18302.497671001533</v>
      </c>
      <c r="U480" s="100">
        <f>IF(ISNUMBER('General Info'!$B$40), ((SamplingData[[#This Row],[up/U Selection Probability]]) * 'General Info'!$B$40) - 1, 0)</f>
        <v>15.477847293237179</v>
      </c>
      <c r="V480" s="100">
        <f>IF(ISNUMBER('General Info'!$B$40), (SamplingData[[#This Row],[Running (cumulative) sum]] * ('General Info'!$B$40 -'General Info'!$B$41 + 1)) + 'General Info'!$B$41 - 1, 0)</f>
        <v>18317.97551829477</v>
      </c>
      <c r="W480" s="100" t="str">
        <f>IF(ISERROR(MATCH(SamplingData[[#This Row],[Batch by Type (p)]],SelectedPrecincts[Batch Name], 0)), "", INDEX(SelectedPrecincts[Draw], MATCH(SamplingData[[#This Row],[Batch by Type (p)]],SelectedPrecincts[Batch Name], 0)))</f>
        <v/>
      </c>
      <c r="X480" s="102">
        <f>IF(COUNTIF(SelectedPrecincts[Batch Name],SamplingData[[#This Row],[Batch by Type (p)]]) &lt;&gt; 0, COUNTIF(SelectedPrecincts[Batch Name],SamplingData[[#This Row],[Batch by Type (p)]]), 0)</f>
        <v>0</v>
      </c>
    </row>
    <row r="481" spans="1:24" ht="15" customHeight="1">
      <c r="A481" s="18" t="s">
        <v>657</v>
      </c>
      <c r="B481" s="18">
        <v>2</v>
      </c>
      <c r="C481" s="18">
        <v>2</v>
      </c>
      <c r="D481" s="16">
        <v>0</v>
      </c>
      <c r="E481" s="16">
        <v>0</v>
      </c>
      <c r="F481" s="37">
        <v>0</v>
      </c>
      <c r="G481" s="37">
        <v>0</v>
      </c>
      <c r="H481" s="17">
        <v>0</v>
      </c>
      <c r="I481" s="17">
        <v>1</v>
      </c>
      <c r="J481" s="99">
        <f>SUM(SamplingData[[#This Row],[Losing Candidate]:[Under Votes]])</f>
        <v>5</v>
      </c>
      <c r="K481"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481" s="100">
        <f>IF(AND(SamplingData[[#This Row],[Total]]&lt;&gt; 0, NOT(ISBLANK(SamplingData[[#This Row],[Candidate 3]]))),(SamplingData[[#This Row],[Total]]+SamplingData[[#This Row],[Winning Candidate]]-SamplingData[[#This Row],[Candidate 3]])/(SamplingData[[#Totals],[Winning Candidate]]-SamplingData[[#Totals],[Candidate 3]]), 0)</f>
        <v>2.258283059650934E-4</v>
      </c>
      <c r="M481" s="100">
        <f>IF(AND(SamplingData[[#This Row],[Total]]&lt;&gt; 0, NOT(ISBLANK(SamplingData[[#This Row],[Candidate 4]]))),(SamplingData[[#This Row],[Total]]+SamplingData[[#This Row],[Winning Candidate]]-SamplingData[[#This Row],[Candidate 4]])/(SamplingData[[#Totals],[Winning Candidate]]-SamplingData[[#Totals],[Candidate 4]]), 0)</f>
        <v>2.0462451401677921E-4</v>
      </c>
      <c r="N481" s="100">
        <f>IF(AND(SamplingData[[#This Row],[Total]]&lt;&gt; 0, NOT(ISBLANK(SamplingData[[#This Row],[Candidate 5]]))),(SamplingData[[#This Row],[Total]]+SamplingData[[#This Row],[Winning Candidate]]-SamplingData[[#This Row],[Candidate 5]])/(SamplingData[[#Totals],[Winning Candidate]]-SamplingData[[#Totals],[Candidate 5]]), 0)</f>
        <v>1.7027487229384579E-4</v>
      </c>
      <c r="O481" s="100">
        <f>IF(AND(SamplingData[[#This Row],[Total]]&lt;&gt; 0, NOT(ISBLANK(SamplingData[[#This Row],[Candidate 6]]))),(SamplingData[[#This Row],[Total]]+SamplingData[[#This Row],[Winning Candidate]]-SamplingData[[#This Row],[Candidate 6]])/(SamplingData[[#Totals],[Winning Candidate]]-SamplingData[[#Totals],[Candidate 6]]), 0)</f>
        <v>1.7022518360001944E-4</v>
      </c>
      <c r="P481" s="100">
        <f>MAX(SamplingData[[#This Row],[Error Bound (up) - Max. possible relative overstatement - Losing Candidate]:[Error Bound (up) - Max. possible relative overstatement - Candidate 6]])</f>
        <v>3.0622243998040176E-4</v>
      </c>
      <c r="Q481" s="100">
        <f>IF(SamplingData[[#This Row],[Max Error Bound (up)]] = 0,0,SamplingData[[#This Row],[Max Error Bound (up)]]/SamplingData[[#Totals],[Max Error Bound (up)]])</f>
        <v>4.8464741392229159E-5</v>
      </c>
      <c r="R481" s="101">
        <f>SUM($Q$5:Q481)</f>
        <v>0.18323821992433992</v>
      </c>
      <c r="S481" s="100" t="str">
        <f t="array" ref="S481">IF(SamplingData[[#This Row],[up/U Selection Probability]] = 0, "Zero", TEXT(SamplingData[[#This Row],[Lower Range]], REPT("0",LEN('General Info'!$B$40))) &amp; " - " &amp; TEXT(SamplingData[[#This Row],[Upper Range]], REPT("0",LEN('General Info'!$B$40))))</f>
        <v>18319 - 18323</v>
      </c>
      <c r="T481" s="100">
        <f>SamplingData[[#This Row],[Upper Range]]-SamplingData[[#This Row],[Span]]</f>
        <v>18318.975566759509</v>
      </c>
      <c r="U481" s="100">
        <f>IF(ISNUMBER('General Info'!$B$40), ((SamplingData[[#This Row],[up/U Selection Probability]]) * 'General Info'!$B$40) - 1, 0)</f>
        <v>3.8464256744815239</v>
      </c>
      <c r="V481" s="100">
        <f>IF(ISNUMBER('General Info'!$B$40), (SamplingData[[#This Row],[Running (cumulative) sum]] * ('General Info'!$B$40 -'General Info'!$B$41 + 1)) + 'General Info'!$B$41 - 1, 0)</f>
        <v>18322.82199243399</v>
      </c>
      <c r="W481" s="100" t="str">
        <f>IF(ISERROR(MATCH(SamplingData[[#This Row],[Batch by Type (p)]],SelectedPrecincts[Batch Name], 0)), "", INDEX(SelectedPrecincts[Draw], MATCH(SamplingData[[#This Row],[Batch by Type (p)]],SelectedPrecincts[Batch Name], 0)))</f>
        <v/>
      </c>
      <c r="X481" s="102">
        <f>IF(COUNTIF(SelectedPrecincts[Batch Name],SamplingData[[#This Row],[Batch by Type (p)]]) &lt;&gt; 0, COUNTIF(SelectedPrecincts[Batch Name],SamplingData[[#This Row],[Batch by Type (p)]]), 0)</f>
        <v>0</v>
      </c>
    </row>
    <row r="482" spans="1:24" ht="15" customHeight="1">
      <c r="A482" s="18" t="s">
        <v>658</v>
      </c>
      <c r="B482" s="18">
        <v>0</v>
      </c>
      <c r="C482" s="18">
        <v>2</v>
      </c>
      <c r="D482" s="18">
        <v>0</v>
      </c>
      <c r="E482" s="18">
        <v>0</v>
      </c>
      <c r="F482" s="18">
        <v>0</v>
      </c>
      <c r="G482" s="18">
        <v>0</v>
      </c>
      <c r="H482" s="18">
        <v>0</v>
      </c>
      <c r="I482" s="18">
        <v>0</v>
      </c>
      <c r="J482" s="99">
        <f>SUM(SamplingData[[#This Row],[Losing Candidate]:[Under Votes]])</f>
        <v>2</v>
      </c>
      <c r="K482"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482" s="100">
        <f>IF(AND(SamplingData[[#This Row],[Total]]&lt;&gt; 0, NOT(ISBLANK(SamplingData[[#This Row],[Candidate 3]]))),(SamplingData[[#This Row],[Total]]+SamplingData[[#This Row],[Winning Candidate]]-SamplingData[[#This Row],[Candidate 3]])/(SamplingData[[#Totals],[Winning Candidate]]-SamplingData[[#Totals],[Candidate 3]]), 0)</f>
        <v>1.2904474626576767E-4</v>
      </c>
      <c r="M482" s="100">
        <f>IF(AND(SamplingData[[#This Row],[Total]]&lt;&gt; 0, NOT(ISBLANK(SamplingData[[#This Row],[Candidate 4]]))),(SamplingData[[#This Row],[Total]]+SamplingData[[#This Row],[Winning Candidate]]-SamplingData[[#This Row],[Candidate 4]])/(SamplingData[[#Totals],[Winning Candidate]]-SamplingData[[#Totals],[Candidate 4]]), 0)</f>
        <v>1.1692829372387384E-4</v>
      </c>
      <c r="N482" s="100">
        <f>IF(AND(SamplingData[[#This Row],[Total]]&lt;&gt; 0, NOT(ISBLANK(SamplingData[[#This Row],[Candidate 5]]))),(SamplingData[[#This Row],[Total]]+SamplingData[[#This Row],[Winning Candidate]]-SamplingData[[#This Row],[Candidate 5]])/(SamplingData[[#Totals],[Winning Candidate]]-SamplingData[[#Totals],[Candidate 5]]), 0)</f>
        <v>9.7299927025054734E-5</v>
      </c>
      <c r="O482" s="100">
        <f>IF(AND(SamplingData[[#This Row],[Total]]&lt;&gt; 0, NOT(ISBLANK(SamplingData[[#This Row],[Candidate 6]]))),(SamplingData[[#This Row],[Total]]+SamplingData[[#This Row],[Winning Candidate]]-SamplingData[[#This Row],[Candidate 6]])/(SamplingData[[#Totals],[Winning Candidate]]-SamplingData[[#Totals],[Candidate 6]]), 0)</f>
        <v>9.7271533485725401E-5</v>
      </c>
      <c r="P482" s="100">
        <f>MAX(SamplingData[[#This Row],[Error Bound (up) - Max. possible relative overstatement - Losing Candidate]:[Error Bound (up) - Max. possible relative overstatement - Candidate 6]])</f>
        <v>2.4497795198432141E-4</v>
      </c>
      <c r="Q482" s="100">
        <f>IF(SamplingData[[#This Row],[Max Error Bound (up)]] = 0,0,SamplingData[[#This Row],[Max Error Bound (up)]]/SamplingData[[#Totals],[Max Error Bound (up)]])</f>
        <v>3.8771793113783326E-5</v>
      </c>
      <c r="R482" s="101">
        <f>SUM($Q$5:Q482)</f>
        <v>0.18327699171745371</v>
      </c>
      <c r="S482" s="100" t="str">
        <f t="array" ref="S482">IF(SamplingData[[#This Row],[up/U Selection Probability]] = 0, "Zero", TEXT(SamplingData[[#This Row],[Lower Range]], REPT("0",LEN('General Info'!$B$40))) &amp; " - " &amp; TEXT(SamplingData[[#This Row],[Upper Range]], REPT("0",LEN('General Info'!$B$40))))</f>
        <v>18324 - 18327</v>
      </c>
      <c r="T482" s="100">
        <f>SamplingData[[#This Row],[Upper Range]]-SamplingData[[#This Row],[Span]]</f>
        <v>18323.822031205786</v>
      </c>
      <c r="U482" s="100">
        <f>IF(ISNUMBER('General Info'!$B$40), ((SamplingData[[#This Row],[up/U Selection Probability]]) * 'General Info'!$B$40) - 1, 0)</f>
        <v>2.877140539585219</v>
      </c>
      <c r="V482" s="100">
        <f>IF(ISNUMBER('General Info'!$B$40), (SamplingData[[#This Row],[Running (cumulative) sum]] * ('General Info'!$B$40 -'General Info'!$B$41 + 1)) + 'General Info'!$B$41 - 1, 0)</f>
        <v>18326.699171745371</v>
      </c>
      <c r="W482" s="100" t="str">
        <f>IF(ISERROR(MATCH(SamplingData[[#This Row],[Batch by Type (p)]],SelectedPrecincts[Batch Name], 0)), "", INDEX(SelectedPrecincts[Draw], MATCH(SamplingData[[#This Row],[Batch by Type (p)]],SelectedPrecincts[Batch Name], 0)))</f>
        <v/>
      </c>
      <c r="X482" s="102">
        <f>IF(COUNTIF(SelectedPrecincts[Batch Name],SamplingData[[#This Row],[Batch by Type (p)]]) &lt;&gt; 0, COUNTIF(SelectedPrecincts[Batch Name],SamplingData[[#This Row],[Batch by Type (p)]]), 0)</f>
        <v>0</v>
      </c>
    </row>
    <row r="483" spans="1:24" ht="15" customHeight="1">
      <c r="A483" s="18" t="s">
        <v>659</v>
      </c>
      <c r="B483" s="18">
        <v>1</v>
      </c>
      <c r="C483" s="18">
        <v>0</v>
      </c>
      <c r="D483" s="16">
        <v>0</v>
      </c>
      <c r="E483" s="16">
        <v>0</v>
      </c>
      <c r="F483" s="37">
        <v>0</v>
      </c>
      <c r="G483" s="37">
        <v>0</v>
      </c>
      <c r="H483" s="17">
        <v>0</v>
      </c>
      <c r="I483" s="17">
        <v>0</v>
      </c>
      <c r="J483" s="99">
        <f>SUM(SamplingData[[#This Row],[Losing Candidate]:[Under Votes]])</f>
        <v>1</v>
      </c>
      <c r="K483" s="100">
        <f>IF(AND(SamplingData[[#This Row],[Total]]&lt;&gt; 0, NOT(ISBLANK(SamplingData[[#This Row],[Losing Candidate]]))),(SamplingData[[#This Row],[Total]]+SamplingData[[#This Row],[Winning Candidate]]-SamplingData[[#This Row],[Losing Candidate]])/(SamplingData[[#Totals],[Winning Candidate]]-SamplingData[[#Totals],[Losing Candidate]]), 0)</f>
        <v>0</v>
      </c>
      <c r="L483" s="100">
        <f>IF(AND(SamplingData[[#This Row],[Total]]&lt;&gt; 0, NOT(ISBLANK(SamplingData[[#This Row],[Candidate 3]]))),(SamplingData[[#This Row],[Total]]+SamplingData[[#This Row],[Winning Candidate]]-SamplingData[[#This Row],[Candidate 3]])/(SamplingData[[#Totals],[Winning Candidate]]-SamplingData[[#Totals],[Candidate 3]]), 0)</f>
        <v>3.2261186566441917E-5</v>
      </c>
      <c r="M483" s="100">
        <f>IF(AND(SamplingData[[#This Row],[Total]]&lt;&gt; 0, NOT(ISBLANK(SamplingData[[#This Row],[Candidate 4]]))),(SamplingData[[#This Row],[Total]]+SamplingData[[#This Row],[Winning Candidate]]-SamplingData[[#This Row],[Candidate 4]])/(SamplingData[[#Totals],[Winning Candidate]]-SamplingData[[#Totals],[Candidate 4]]), 0)</f>
        <v>2.923207343096846E-5</v>
      </c>
      <c r="N483" s="100">
        <f>IF(AND(SamplingData[[#This Row],[Total]]&lt;&gt; 0, NOT(ISBLANK(SamplingData[[#This Row],[Candidate 5]]))),(SamplingData[[#This Row],[Total]]+SamplingData[[#This Row],[Winning Candidate]]-SamplingData[[#This Row],[Candidate 5]])/(SamplingData[[#Totals],[Winning Candidate]]-SamplingData[[#Totals],[Candidate 5]]), 0)</f>
        <v>2.4324981756263683E-5</v>
      </c>
      <c r="O483" s="100">
        <f>IF(AND(SamplingData[[#This Row],[Total]]&lt;&gt; 0, NOT(ISBLANK(SamplingData[[#This Row],[Candidate 6]]))),(SamplingData[[#This Row],[Total]]+SamplingData[[#This Row],[Winning Candidate]]-SamplingData[[#This Row],[Candidate 6]])/(SamplingData[[#Totals],[Winning Candidate]]-SamplingData[[#Totals],[Candidate 6]]), 0)</f>
        <v>2.431788337143135E-5</v>
      </c>
      <c r="P483" s="100">
        <f>MAX(SamplingData[[#This Row],[Error Bound (up) - Max. possible relative overstatement - Losing Candidate]:[Error Bound (up) - Max. possible relative overstatement - Candidate 6]])</f>
        <v>3.2261186566441917E-5</v>
      </c>
      <c r="Q483" s="100">
        <f>IF(SamplingData[[#This Row],[Max Error Bound (up)]] = 0,0,SamplingData[[#This Row],[Max Error Bound (up)]]/SamplingData[[#Totals],[Max Error Bound (up)]])</f>
        <v>5.1058637768320663E-6</v>
      </c>
      <c r="R483" s="101">
        <f>SUM($Q$5:Q483)</f>
        <v>0.18328209758123054</v>
      </c>
      <c r="S483" s="100" t="str">
        <f t="array" ref="S483">IF(SamplingData[[#This Row],[up/U Selection Probability]] = 0, "Zero", TEXT(SamplingData[[#This Row],[Lower Range]], REPT("0",LEN('General Info'!$B$40))) &amp; " - " &amp; TEXT(SamplingData[[#This Row],[Upper Range]], REPT("0",LEN('General Info'!$B$40))))</f>
        <v>18328 - 18327</v>
      </c>
      <c r="T483" s="100">
        <f>SamplingData[[#This Row],[Upper Range]]-SamplingData[[#This Row],[Span]]</f>
        <v>18327.699176851234</v>
      </c>
      <c r="U483" s="100">
        <f>IF(ISNUMBER('General Info'!$B$40), ((SamplingData[[#This Row],[up/U Selection Probability]]) * 'General Info'!$B$40) - 1, 0)</f>
        <v>-0.4894187281805702</v>
      </c>
      <c r="V483" s="100">
        <f>IF(ISNUMBER('General Info'!$B$40), (SamplingData[[#This Row],[Running (cumulative) sum]] * ('General Info'!$B$40 -'General Info'!$B$41 + 1)) + 'General Info'!$B$41 - 1, 0)</f>
        <v>18327.209758123056</v>
      </c>
      <c r="W483" s="100" t="str">
        <f>IF(ISERROR(MATCH(SamplingData[[#This Row],[Batch by Type (p)]],SelectedPrecincts[Batch Name], 0)), "", INDEX(SelectedPrecincts[Draw], MATCH(SamplingData[[#This Row],[Batch by Type (p)]],SelectedPrecincts[Batch Name], 0)))</f>
        <v/>
      </c>
      <c r="X483" s="102">
        <f>IF(COUNTIF(SelectedPrecincts[Batch Name],SamplingData[[#This Row],[Batch by Type (p)]]) &lt;&gt; 0, COUNTIF(SelectedPrecincts[Batch Name],SamplingData[[#This Row],[Batch by Type (p)]]), 0)</f>
        <v>0</v>
      </c>
    </row>
    <row r="484" spans="1:24" ht="15" customHeight="1">
      <c r="A484" s="18" t="s">
        <v>660</v>
      </c>
      <c r="B484" s="18">
        <v>0</v>
      </c>
      <c r="C484" s="18">
        <v>0</v>
      </c>
      <c r="D484" s="18">
        <v>0</v>
      </c>
      <c r="E484" s="18">
        <v>0</v>
      </c>
      <c r="F484" s="18">
        <v>0</v>
      </c>
      <c r="G484" s="18">
        <v>0</v>
      </c>
      <c r="H484" s="18">
        <v>0</v>
      </c>
      <c r="I484" s="18">
        <v>1</v>
      </c>
      <c r="J484" s="99">
        <f>SUM(SamplingData[[#This Row],[Losing Candidate]:[Under Votes]])</f>
        <v>1</v>
      </c>
      <c r="K48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84" s="100">
        <f>IF(AND(SamplingData[[#This Row],[Total]]&lt;&gt; 0, NOT(ISBLANK(SamplingData[[#This Row],[Candidate 3]]))),(SamplingData[[#This Row],[Total]]+SamplingData[[#This Row],[Winning Candidate]]-SamplingData[[#This Row],[Candidate 3]])/(SamplingData[[#Totals],[Winning Candidate]]-SamplingData[[#Totals],[Candidate 3]]), 0)</f>
        <v>3.2261186566441917E-5</v>
      </c>
      <c r="M484" s="100">
        <f>IF(AND(SamplingData[[#This Row],[Total]]&lt;&gt; 0, NOT(ISBLANK(SamplingData[[#This Row],[Candidate 4]]))),(SamplingData[[#This Row],[Total]]+SamplingData[[#This Row],[Winning Candidate]]-SamplingData[[#This Row],[Candidate 4]])/(SamplingData[[#Totals],[Winning Candidate]]-SamplingData[[#Totals],[Candidate 4]]), 0)</f>
        <v>2.923207343096846E-5</v>
      </c>
      <c r="N484" s="100">
        <f>IF(AND(SamplingData[[#This Row],[Total]]&lt;&gt; 0, NOT(ISBLANK(SamplingData[[#This Row],[Candidate 5]]))),(SamplingData[[#This Row],[Total]]+SamplingData[[#This Row],[Winning Candidate]]-SamplingData[[#This Row],[Candidate 5]])/(SamplingData[[#Totals],[Winning Candidate]]-SamplingData[[#Totals],[Candidate 5]]), 0)</f>
        <v>2.4324981756263683E-5</v>
      </c>
      <c r="O484" s="100">
        <f>IF(AND(SamplingData[[#This Row],[Total]]&lt;&gt; 0, NOT(ISBLANK(SamplingData[[#This Row],[Candidate 6]]))),(SamplingData[[#This Row],[Total]]+SamplingData[[#This Row],[Winning Candidate]]-SamplingData[[#This Row],[Candidate 6]])/(SamplingData[[#Totals],[Winning Candidate]]-SamplingData[[#Totals],[Candidate 6]]), 0)</f>
        <v>2.431788337143135E-5</v>
      </c>
      <c r="P484" s="100">
        <f>MAX(SamplingData[[#This Row],[Error Bound (up) - Max. possible relative overstatement - Losing Candidate]:[Error Bound (up) - Max. possible relative overstatement - Candidate 6]])</f>
        <v>6.1244487996080352E-5</v>
      </c>
      <c r="Q484" s="100">
        <f>IF(SamplingData[[#This Row],[Max Error Bound (up)]] = 0,0,SamplingData[[#This Row],[Max Error Bound (up)]]/SamplingData[[#Totals],[Max Error Bound (up)]])</f>
        <v>9.6929482784458315E-6</v>
      </c>
      <c r="R484" s="101">
        <f>SUM($Q$5:Q484)</f>
        <v>0.18329179052950897</v>
      </c>
      <c r="S484" s="100" t="str">
        <f t="array" ref="S484">IF(SamplingData[[#This Row],[up/U Selection Probability]] = 0, "Zero", TEXT(SamplingData[[#This Row],[Lower Range]], REPT("0",LEN('General Info'!$B$40))) &amp; " - " &amp; TEXT(SamplingData[[#This Row],[Upper Range]], REPT("0",LEN('General Info'!$B$40))))</f>
        <v>18328 - 18328</v>
      </c>
      <c r="T484" s="100">
        <f>SamplingData[[#This Row],[Upper Range]]-SamplingData[[#This Row],[Span]]</f>
        <v>18328.209767816003</v>
      </c>
      <c r="U484" s="100">
        <f>IF(ISNUMBER('General Info'!$B$40), ((SamplingData[[#This Row],[up/U Selection Probability]]) * 'General Info'!$B$40) - 1, 0)</f>
        <v>-3.0714865103695255E-2</v>
      </c>
      <c r="V484" s="100">
        <f>IF(ISNUMBER('General Info'!$B$40), (SamplingData[[#This Row],[Running (cumulative) sum]] * ('General Info'!$B$40 -'General Info'!$B$41 + 1)) + 'General Info'!$B$41 - 1, 0)</f>
        <v>18328.179052950898</v>
      </c>
      <c r="W484" s="100" t="str">
        <f>IF(ISERROR(MATCH(SamplingData[[#This Row],[Batch by Type (p)]],SelectedPrecincts[Batch Name], 0)), "", INDEX(SelectedPrecincts[Draw], MATCH(SamplingData[[#This Row],[Batch by Type (p)]],SelectedPrecincts[Batch Name], 0)))</f>
        <v/>
      </c>
      <c r="X484" s="102">
        <f>IF(COUNTIF(SelectedPrecincts[Batch Name],SamplingData[[#This Row],[Batch by Type (p)]]) &lt;&gt; 0, COUNTIF(SelectedPrecincts[Batch Name],SamplingData[[#This Row],[Batch by Type (p)]]), 0)</f>
        <v>0</v>
      </c>
    </row>
    <row r="485" spans="1:24" ht="15" customHeight="1">
      <c r="A485" s="18" t="s">
        <v>661</v>
      </c>
      <c r="B485" s="18">
        <v>0</v>
      </c>
      <c r="C485" s="18">
        <v>0</v>
      </c>
      <c r="D485" s="16">
        <v>0</v>
      </c>
      <c r="E485" s="16">
        <v>0</v>
      </c>
      <c r="F485" s="37">
        <v>0</v>
      </c>
      <c r="G485" s="37">
        <v>0</v>
      </c>
      <c r="H485" s="17">
        <v>0</v>
      </c>
      <c r="I485" s="17">
        <v>0</v>
      </c>
      <c r="J485" s="99">
        <f>SUM(SamplingData[[#This Row],[Losing Candidate]:[Under Votes]])</f>
        <v>0</v>
      </c>
      <c r="K485" s="100">
        <f>IF(AND(SamplingData[[#This Row],[Total]]&lt;&gt; 0, NOT(ISBLANK(SamplingData[[#This Row],[Losing Candidate]]))),(SamplingData[[#This Row],[Total]]+SamplingData[[#This Row],[Winning Candidate]]-SamplingData[[#This Row],[Losing Candidate]])/(SamplingData[[#Totals],[Winning Candidate]]-SamplingData[[#Totals],[Losing Candidate]]), 0)</f>
        <v>0</v>
      </c>
      <c r="L485" s="100">
        <f>IF(AND(SamplingData[[#This Row],[Total]]&lt;&gt; 0, NOT(ISBLANK(SamplingData[[#This Row],[Candidate 3]]))),(SamplingData[[#This Row],[Total]]+SamplingData[[#This Row],[Winning Candidate]]-SamplingData[[#This Row],[Candidate 3]])/(SamplingData[[#Totals],[Winning Candidate]]-SamplingData[[#Totals],[Candidate 3]]), 0)</f>
        <v>0</v>
      </c>
      <c r="M485" s="100">
        <f>IF(AND(SamplingData[[#This Row],[Total]]&lt;&gt; 0, NOT(ISBLANK(SamplingData[[#This Row],[Candidate 4]]))),(SamplingData[[#This Row],[Total]]+SamplingData[[#This Row],[Winning Candidate]]-SamplingData[[#This Row],[Candidate 4]])/(SamplingData[[#Totals],[Winning Candidate]]-SamplingData[[#Totals],[Candidate 4]]), 0)</f>
        <v>0</v>
      </c>
      <c r="N485" s="100">
        <f>IF(AND(SamplingData[[#This Row],[Total]]&lt;&gt; 0, NOT(ISBLANK(SamplingData[[#This Row],[Candidate 5]]))),(SamplingData[[#This Row],[Total]]+SamplingData[[#This Row],[Winning Candidate]]-SamplingData[[#This Row],[Candidate 5]])/(SamplingData[[#Totals],[Winning Candidate]]-SamplingData[[#Totals],[Candidate 5]]), 0)</f>
        <v>0</v>
      </c>
      <c r="O485" s="100">
        <f>IF(AND(SamplingData[[#This Row],[Total]]&lt;&gt; 0, NOT(ISBLANK(SamplingData[[#This Row],[Candidate 6]]))),(SamplingData[[#This Row],[Total]]+SamplingData[[#This Row],[Winning Candidate]]-SamplingData[[#This Row],[Candidate 6]])/(SamplingData[[#Totals],[Winning Candidate]]-SamplingData[[#Totals],[Candidate 6]]), 0)</f>
        <v>0</v>
      </c>
      <c r="P485" s="100">
        <f>MAX(SamplingData[[#This Row],[Error Bound (up) - Max. possible relative overstatement - Losing Candidate]:[Error Bound (up) - Max. possible relative overstatement - Candidate 6]])</f>
        <v>0</v>
      </c>
      <c r="Q485" s="100">
        <f>IF(SamplingData[[#This Row],[Max Error Bound (up)]] = 0,0,SamplingData[[#This Row],[Max Error Bound (up)]]/SamplingData[[#Totals],[Max Error Bound (up)]])</f>
        <v>0</v>
      </c>
      <c r="R485" s="101">
        <f>SUM($Q$5:Q485)</f>
        <v>0.18329179052950897</v>
      </c>
      <c r="S485" s="100" t="str">
        <f t="array" ref="S485">IF(SamplingData[[#This Row],[up/U Selection Probability]] = 0, "Zero", TEXT(SamplingData[[#This Row],[Lower Range]], REPT("0",LEN('General Info'!$B$40))) &amp; " - " &amp; TEXT(SamplingData[[#This Row],[Upper Range]], REPT("0",LEN('General Info'!$B$40))))</f>
        <v>Zero</v>
      </c>
      <c r="T485" s="100">
        <f>SamplingData[[#This Row],[Upper Range]]-SamplingData[[#This Row],[Span]]</f>
        <v>18329.179052950898</v>
      </c>
      <c r="U485" s="100">
        <f>IF(ISNUMBER('General Info'!$B$40), ((SamplingData[[#This Row],[up/U Selection Probability]]) * 'General Info'!$B$40) - 1, 0)</f>
        <v>-1</v>
      </c>
      <c r="V485" s="100">
        <f>IF(ISNUMBER('General Info'!$B$40), (SamplingData[[#This Row],[Running (cumulative) sum]] * ('General Info'!$B$40 -'General Info'!$B$41 + 1)) + 'General Info'!$B$41 - 1, 0)</f>
        <v>18328.179052950898</v>
      </c>
      <c r="W485" s="100" t="str">
        <f>IF(ISERROR(MATCH(SamplingData[[#This Row],[Batch by Type (p)]],SelectedPrecincts[Batch Name], 0)), "", INDEX(SelectedPrecincts[Draw], MATCH(SamplingData[[#This Row],[Batch by Type (p)]],SelectedPrecincts[Batch Name], 0)))</f>
        <v/>
      </c>
      <c r="X485" s="102">
        <f>IF(COUNTIF(SelectedPrecincts[Batch Name],SamplingData[[#This Row],[Batch by Type (p)]]) &lt;&gt; 0, COUNTIF(SelectedPrecincts[Batch Name],SamplingData[[#This Row],[Batch by Type (p)]]), 0)</f>
        <v>0</v>
      </c>
    </row>
    <row r="486" spans="1:24" ht="15" customHeight="1">
      <c r="A486" s="18" t="s">
        <v>662</v>
      </c>
      <c r="B486" s="18">
        <v>0</v>
      </c>
      <c r="C486" s="18">
        <v>0</v>
      </c>
      <c r="D486" s="18">
        <v>0</v>
      </c>
      <c r="E486" s="18">
        <v>0</v>
      </c>
      <c r="F486" s="18">
        <v>0</v>
      </c>
      <c r="G486" s="18">
        <v>0</v>
      </c>
      <c r="H486" s="18">
        <v>0</v>
      </c>
      <c r="I486" s="18">
        <v>0</v>
      </c>
      <c r="J486" s="99">
        <f>SUM(SamplingData[[#This Row],[Losing Candidate]:[Under Votes]])</f>
        <v>0</v>
      </c>
      <c r="K486" s="100">
        <f>IF(AND(SamplingData[[#This Row],[Total]]&lt;&gt; 0, NOT(ISBLANK(SamplingData[[#This Row],[Losing Candidate]]))),(SamplingData[[#This Row],[Total]]+SamplingData[[#This Row],[Winning Candidate]]-SamplingData[[#This Row],[Losing Candidate]])/(SamplingData[[#Totals],[Winning Candidate]]-SamplingData[[#Totals],[Losing Candidate]]), 0)</f>
        <v>0</v>
      </c>
      <c r="L486" s="100">
        <f>IF(AND(SamplingData[[#This Row],[Total]]&lt;&gt; 0, NOT(ISBLANK(SamplingData[[#This Row],[Candidate 3]]))),(SamplingData[[#This Row],[Total]]+SamplingData[[#This Row],[Winning Candidate]]-SamplingData[[#This Row],[Candidate 3]])/(SamplingData[[#Totals],[Winning Candidate]]-SamplingData[[#Totals],[Candidate 3]]), 0)</f>
        <v>0</v>
      </c>
      <c r="M486" s="100">
        <f>IF(AND(SamplingData[[#This Row],[Total]]&lt;&gt; 0, NOT(ISBLANK(SamplingData[[#This Row],[Candidate 4]]))),(SamplingData[[#This Row],[Total]]+SamplingData[[#This Row],[Winning Candidate]]-SamplingData[[#This Row],[Candidate 4]])/(SamplingData[[#Totals],[Winning Candidate]]-SamplingData[[#Totals],[Candidate 4]]), 0)</f>
        <v>0</v>
      </c>
      <c r="N486" s="100">
        <f>IF(AND(SamplingData[[#This Row],[Total]]&lt;&gt; 0, NOT(ISBLANK(SamplingData[[#This Row],[Candidate 5]]))),(SamplingData[[#This Row],[Total]]+SamplingData[[#This Row],[Winning Candidate]]-SamplingData[[#This Row],[Candidate 5]])/(SamplingData[[#Totals],[Winning Candidate]]-SamplingData[[#Totals],[Candidate 5]]), 0)</f>
        <v>0</v>
      </c>
      <c r="O486" s="100">
        <f>IF(AND(SamplingData[[#This Row],[Total]]&lt;&gt; 0, NOT(ISBLANK(SamplingData[[#This Row],[Candidate 6]]))),(SamplingData[[#This Row],[Total]]+SamplingData[[#This Row],[Winning Candidate]]-SamplingData[[#This Row],[Candidate 6]])/(SamplingData[[#Totals],[Winning Candidate]]-SamplingData[[#Totals],[Candidate 6]]), 0)</f>
        <v>0</v>
      </c>
      <c r="P486" s="100">
        <f>MAX(SamplingData[[#This Row],[Error Bound (up) - Max. possible relative overstatement - Losing Candidate]:[Error Bound (up) - Max. possible relative overstatement - Candidate 6]])</f>
        <v>0</v>
      </c>
      <c r="Q486" s="100">
        <f>IF(SamplingData[[#This Row],[Max Error Bound (up)]] = 0,0,SamplingData[[#This Row],[Max Error Bound (up)]]/SamplingData[[#Totals],[Max Error Bound (up)]])</f>
        <v>0</v>
      </c>
      <c r="R486" s="101">
        <f>SUM($Q$5:Q486)</f>
        <v>0.18329179052950897</v>
      </c>
      <c r="S486" s="100" t="str">
        <f t="array" ref="S486">IF(SamplingData[[#This Row],[up/U Selection Probability]] = 0, "Zero", TEXT(SamplingData[[#This Row],[Lower Range]], REPT("0",LEN('General Info'!$B$40))) &amp; " - " &amp; TEXT(SamplingData[[#This Row],[Upper Range]], REPT("0",LEN('General Info'!$B$40))))</f>
        <v>Zero</v>
      </c>
      <c r="T486" s="100">
        <f>SamplingData[[#This Row],[Upper Range]]-SamplingData[[#This Row],[Span]]</f>
        <v>18329.179052950898</v>
      </c>
      <c r="U486" s="100">
        <f>IF(ISNUMBER('General Info'!$B$40), ((SamplingData[[#This Row],[up/U Selection Probability]]) * 'General Info'!$B$40) - 1, 0)</f>
        <v>-1</v>
      </c>
      <c r="V486" s="100">
        <f>IF(ISNUMBER('General Info'!$B$40), (SamplingData[[#This Row],[Running (cumulative) sum]] * ('General Info'!$B$40 -'General Info'!$B$41 + 1)) + 'General Info'!$B$41 - 1, 0)</f>
        <v>18328.179052950898</v>
      </c>
      <c r="W486" s="100" t="str">
        <f>IF(ISERROR(MATCH(SamplingData[[#This Row],[Batch by Type (p)]],SelectedPrecincts[Batch Name], 0)), "", INDEX(SelectedPrecincts[Draw], MATCH(SamplingData[[#This Row],[Batch by Type (p)]],SelectedPrecincts[Batch Name], 0)))</f>
        <v/>
      </c>
      <c r="X486" s="102">
        <f>IF(COUNTIF(SelectedPrecincts[Batch Name],SamplingData[[#This Row],[Batch by Type (p)]]) &lt;&gt; 0, COUNTIF(SelectedPrecincts[Batch Name],SamplingData[[#This Row],[Batch by Type (p)]]), 0)</f>
        <v>0</v>
      </c>
    </row>
    <row r="487" spans="1:24" ht="15" customHeight="1">
      <c r="A487" s="18" t="s">
        <v>663</v>
      </c>
      <c r="B487" s="18">
        <v>2</v>
      </c>
      <c r="C487" s="18">
        <v>1</v>
      </c>
      <c r="D487" s="16">
        <v>1</v>
      </c>
      <c r="E487" s="16">
        <v>0</v>
      </c>
      <c r="F487" s="37">
        <v>0</v>
      </c>
      <c r="G487" s="37">
        <v>0</v>
      </c>
      <c r="H487" s="17">
        <v>0</v>
      </c>
      <c r="I487" s="17">
        <v>0</v>
      </c>
      <c r="J487" s="99">
        <f>SUM(SamplingData[[#This Row],[Losing Candidate]:[Under Votes]])</f>
        <v>4</v>
      </c>
      <c r="K487"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487" s="100">
        <f>IF(AND(SamplingData[[#This Row],[Total]]&lt;&gt; 0, NOT(ISBLANK(SamplingData[[#This Row],[Candidate 3]]))),(SamplingData[[#This Row],[Total]]+SamplingData[[#This Row],[Winning Candidate]]-SamplingData[[#This Row],[Candidate 3]])/(SamplingData[[#Totals],[Winning Candidate]]-SamplingData[[#Totals],[Candidate 3]]), 0)</f>
        <v>1.2904474626576767E-4</v>
      </c>
      <c r="M487" s="100">
        <f>IF(AND(SamplingData[[#This Row],[Total]]&lt;&gt; 0, NOT(ISBLANK(SamplingData[[#This Row],[Candidate 4]]))),(SamplingData[[#This Row],[Total]]+SamplingData[[#This Row],[Winning Candidate]]-SamplingData[[#This Row],[Candidate 4]])/(SamplingData[[#Totals],[Winning Candidate]]-SamplingData[[#Totals],[Candidate 4]]), 0)</f>
        <v>1.4616036715484231E-4</v>
      </c>
      <c r="N487" s="100">
        <f>IF(AND(SamplingData[[#This Row],[Total]]&lt;&gt; 0, NOT(ISBLANK(SamplingData[[#This Row],[Candidate 5]]))),(SamplingData[[#This Row],[Total]]+SamplingData[[#This Row],[Winning Candidate]]-SamplingData[[#This Row],[Candidate 5]])/(SamplingData[[#Totals],[Winning Candidate]]-SamplingData[[#Totals],[Candidate 5]]), 0)</f>
        <v>1.2162490878131841E-4</v>
      </c>
      <c r="O487" s="100">
        <f>IF(AND(SamplingData[[#This Row],[Total]]&lt;&gt; 0, NOT(ISBLANK(SamplingData[[#This Row],[Candidate 6]]))),(SamplingData[[#This Row],[Total]]+SamplingData[[#This Row],[Winning Candidate]]-SamplingData[[#This Row],[Candidate 6]])/(SamplingData[[#Totals],[Winning Candidate]]-SamplingData[[#Totals],[Candidate 6]]), 0)</f>
        <v>1.2158941685715675E-4</v>
      </c>
      <c r="P487" s="100">
        <f>MAX(SamplingData[[#This Row],[Error Bound (up) - Max. possible relative overstatement - Losing Candidate]:[Error Bound (up) - Max. possible relative overstatement - Candidate 6]])</f>
        <v>1.8373346398824106E-4</v>
      </c>
      <c r="Q487" s="100">
        <f>IF(SamplingData[[#This Row],[Max Error Bound (up)]] = 0,0,SamplingData[[#This Row],[Max Error Bound (up)]]/SamplingData[[#Totals],[Max Error Bound (up)]])</f>
        <v>2.9078844835337493E-5</v>
      </c>
      <c r="R487" s="101">
        <f>SUM($Q$5:Q487)</f>
        <v>0.1833208693743443</v>
      </c>
      <c r="S487" s="100" t="str">
        <f t="array" ref="S487">IF(SamplingData[[#This Row],[up/U Selection Probability]] = 0, "Zero", TEXT(SamplingData[[#This Row],[Lower Range]], REPT("0",LEN('General Info'!$B$40))) &amp; " - " &amp; TEXT(SamplingData[[#This Row],[Upper Range]], REPT("0",LEN('General Info'!$B$40))))</f>
        <v>18329 - 18331</v>
      </c>
      <c r="T487" s="100">
        <f>SamplingData[[#This Row],[Upper Range]]-SamplingData[[#This Row],[Span]]</f>
        <v>18329.179082029739</v>
      </c>
      <c r="U487" s="100">
        <f>IF(ISNUMBER('General Info'!$B$40), ((SamplingData[[#This Row],[up/U Selection Probability]]) * 'General Info'!$B$40) - 1, 0)</f>
        <v>1.907855404688914</v>
      </c>
      <c r="V487" s="100">
        <f>IF(ISNUMBER('General Info'!$B$40), (SamplingData[[#This Row],[Running (cumulative) sum]] * ('General Info'!$B$40 -'General Info'!$B$41 + 1)) + 'General Info'!$B$41 - 1, 0)</f>
        <v>18331.086937434429</v>
      </c>
      <c r="W487" s="100" t="str">
        <f>IF(ISERROR(MATCH(SamplingData[[#This Row],[Batch by Type (p)]],SelectedPrecincts[Batch Name], 0)), "", INDEX(SelectedPrecincts[Draw], MATCH(SamplingData[[#This Row],[Batch by Type (p)]],SelectedPrecincts[Batch Name], 0)))</f>
        <v/>
      </c>
      <c r="X487" s="102">
        <f>IF(COUNTIF(SelectedPrecincts[Batch Name],SamplingData[[#This Row],[Batch by Type (p)]]) &lt;&gt; 0, COUNTIF(SelectedPrecincts[Batch Name],SamplingData[[#This Row],[Batch by Type (p)]]), 0)</f>
        <v>0</v>
      </c>
    </row>
    <row r="488" spans="1:24" ht="15" customHeight="1">
      <c r="A488" s="18" t="s">
        <v>664</v>
      </c>
      <c r="B488" s="18">
        <v>0</v>
      </c>
      <c r="C488" s="18">
        <v>1</v>
      </c>
      <c r="D488" s="18">
        <v>0</v>
      </c>
      <c r="E488" s="18">
        <v>0</v>
      </c>
      <c r="F488" s="18">
        <v>0</v>
      </c>
      <c r="G488" s="18">
        <v>0</v>
      </c>
      <c r="H488" s="18">
        <v>0</v>
      </c>
      <c r="I488" s="18">
        <v>0</v>
      </c>
      <c r="J488" s="99">
        <f>SUM(SamplingData[[#This Row],[Losing Candidate]:[Under Votes]])</f>
        <v>1</v>
      </c>
      <c r="K48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88" s="100">
        <f>IF(AND(SamplingData[[#This Row],[Total]]&lt;&gt; 0, NOT(ISBLANK(SamplingData[[#This Row],[Candidate 3]]))),(SamplingData[[#This Row],[Total]]+SamplingData[[#This Row],[Winning Candidate]]-SamplingData[[#This Row],[Candidate 3]])/(SamplingData[[#Totals],[Winning Candidate]]-SamplingData[[#Totals],[Candidate 3]]), 0)</f>
        <v>6.4522373132883833E-5</v>
      </c>
      <c r="M488" s="100">
        <f>IF(AND(SamplingData[[#This Row],[Total]]&lt;&gt; 0, NOT(ISBLANK(SamplingData[[#This Row],[Candidate 4]]))),(SamplingData[[#This Row],[Total]]+SamplingData[[#This Row],[Winning Candidate]]-SamplingData[[#This Row],[Candidate 4]])/(SamplingData[[#Totals],[Winning Candidate]]-SamplingData[[#Totals],[Candidate 4]]), 0)</f>
        <v>5.846414686193692E-5</v>
      </c>
      <c r="N488" s="100">
        <f>IF(AND(SamplingData[[#This Row],[Total]]&lt;&gt; 0, NOT(ISBLANK(SamplingData[[#This Row],[Candidate 5]]))),(SamplingData[[#This Row],[Total]]+SamplingData[[#This Row],[Winning Candidate]]-SamplingData[[#This Row],[Candidate 5]])/(SamplingData[[#Totals],[Winning Candidate]]-SamplingData[[#Totals],[Candidate 5]]), 0)</f>
        <v>4.8649963512527367E-5</v>
      </c>
      <c r="O488" s="100">
        <f>IF(AND(SamplingData[[#This Row],[Total]]&lt;&gt; 0, NOT(ISBLANK(SamplingData[[#This Row],[Candidate 6]]))),(SamplingData[[#This Row],[Total]]+SamplingData[[#This Row],[Winning Candidate]]-SamplingData[[#This Row],[Candidate 6]])/(SamplingData[[#Totals],[Winning Candidate]]-SamplingData[[#Totals],[Candidate 6]]), 0)</f>
        <v>4.8635766742862701E-5</v>
      </c>
      <c r="P488" s="100">
        <f>MAX(SamplingData[[#This Row],[Error Bound (up) - Max. possible relative overstatement - Losing Candidate]:[Error Bound (up) - Max. possible relative overstatement - Candidate 6]])</f>
        <v>1.224889759921607E-4</v>
      </c>
      <c r="Q488" s="100">
        <f>IF(SamplingData[[#This Row],[Max Error Bound (up)]] = 0,0,SamplingData[[#This Row],[Max Error Bound (up)]]/SamplingData[[#Totals],[Max Error Bound (up)]])</f>
        <v>1.9385896556891663E-5</v>
      </c>
      <c r="R488" s="101">
        <f>SUM($Q$5:Q488)</f>
        <v>0.1833402552709012</v>
      </c>
      <c r="S488" s="100" t="str">
        <f t="array" ref="S488">IF(SamplingData[[#This Row],[up/U Selection Probability]] = 0, "Zero", TEXT(SamplingData[[#This Row],[Lower Range]], REPT("0",LEN('General Info'!$B$40))) &amp; " - " &amp; TEXT(SamplingData[[#This Row],[Upper Range]], REPT("0",LEN('General Info'!$B$40))))</f>
        <v>18332 - 18333</v>
      </c>
      <c r="T488" s="100">
        <f>SamplingData[[#This Row],[Upper Range]]-SamplingData[[#This Row],[Span]]</f>
        <v>18332.086956820327</v>
      </c>
      <c r="U488" s="100">
        <f>IF(ISNUMBER('General Info'!$B$40), ((SamplingData[[#This Row],[up/U Selection Probability]]) * 'General Info'!$B$40) - 1, 0)</f>
        <v>0.93857026979260949</v>
      </c>
      <c r="V488" s="100">
        <f>IF(ISNUMBER('General Info'!$B$40), (SamplingData[[#This Row],[Running (cumulative) sum]] * ('General Info'!$B$40 -'General Info'!$B$41 + 1)) + 'General Info'!$B$41 - 1, 0)</f>
        <v>18333.025527090118</v>
      </c>
      <c r="W488" s="100" t="str">
        <f>IF(ISERROR(MATCH(SamplingData[[#This Row],[Batch by Type (p)]],SelectedPrecincts[Batch Name], 0)), "", INDEX(SelectedPrecincts[Draw], MATCH(SamplingData[[#This Row],[Batch by Type (p)]],SelectedPrecincts[Batch Name], 0)))</f>
        <v/>
      </c>
      <c r="X488" s="102">
        <f>IF(COUNTIF(SelectedPrecincts[Batch Name],SamplingData[[#This Row],[Batch by Type (p)]]) &lt;&gt; 0, COUNTIF(SelectedPrecincts[Batch Name],SamplingData[[#This Row],[Batch by Type (p)]]), 0)</f>
        <v>0</v>
      </c>
    </row>
    <row r="489" spans="1:24" ht="15" customHeight="1">
      <c r="A489" s="18" t="s">
        <v>665</v>
      </c>
      <c r="B489" s="18">
        <v>5</v>
      </c>
      <c r="C489" s="18">
        <v>7</v>
      </c>
      <c r="D489" s="16">
        <v>3</v>
      </c>
      <c r="E489" s="16">
        <v>3</v>
      </c>
      <c r="F489" s="37">
        <v>0</v>
      </c>
      <c r="G489" s="37">
        <v>0</v>
      </c>
      <c r="H489" s="17">
        <v>0</v>
      </c>
      <c r="I489" s="17">
        <v>0</v>
      </c>
      <c r="J489" s="99">
        <f>SUM(SamplingData[[#This Row],[Losing Candidate]:[Under Votes]])</f>
        <v>18</v>
      </c>
      <c r="K489"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489" s="100">
        <f>IF(AND(SamplingData[[#This Row],[Total]]&lt;&gt; 0, NOT(ISBLANK(SamplingData[[#This Row],[Candidate 3]]))),(SamplingData[[#This Row],[Total]]+SamplingData[[#This Row],[Winning Candidate]]-SamplingData[[#This Row],[Candidate 3]])/(SamplingData[[#Totals],[Winning Candidate]]-SamplingData[[#Totals],[Candidate 3]]), 0)</f>
        <v>7.0974610446172207E-4</v>
      </c>
      <c r="M489" s="100">
        <f>IF(AND(SamplingData[[#This Row],[Total]]&lt;&gt; 0, NOT(ISBLANK(SamplingData[[#This Row],[Candidate 4]]))),(SamplingData[[#This Row],[Total]]+SamplingData[[#This Row],[Winning Candidate]]-SamplingData[[#This Row],[Candidate 4]])/(SamplingData[[#Totals],[Winning Candidate]]-SamplingData[[#Totals],[Candidate 4]]), 0)</f>
        <v>6.4310561548130605E-4</v>
      </c>
      <c r="N489" s="100">
        <f>IF(AND(SamplingData[[#This Row],[Total]]&lt;&gt; 0, NOT(ISBLANK(SamplingData[[#This Row],[Candidate 5]]))),(SamplingData[[#This Row],[Total]]+SamplingData[[#This Row],[Winning Candidate]]-SamplingData[[#This Row],[Candidate 5]])/(SamplingData[[#Totals],[Winning Candidate]]-SamplingData[[#Totals],[Candidate 5]]), 0)</f>
        <v>6.0812454390659211E-4</v>
      </c>
      <c r="O489" s="100">
        <f>IF(AND(SamplingData[[#This Row],[Total]]&lt;&gt; 0, NOT(ISBLANK(SamplingData[[#This Row],[Candidate 6]]))),(SamplingData[[#This Row],[Total]]+SamplingData[[#This Row],[Winning Candidate]]-SamplingData[[#This Row],[Candidate 6]])/(SamplingData[[#Totals],[Winning Candidate]]-SamplingData[[#Totals],[Candidate 6]]), 0)</f>
        <v>6.0794708428578371E-4</v>
      </c>
      <c r="P489" s="100">
        <f>MAX(SamplingData[[#This Row],[Error Bound (up) - Max. possible relative overstatement - Losing Candidate]:[Error Bound (up) - Max. possible relative overstatement - Candidate 6]])</f>
        <v>1.224889759921607E-3</v>
      </c>
      <c r="Q489" s="100">
        <f>IF(SamplingData[[#This Row],[Max Error Bound (up)]] = 0,0,SamplingData[[#This Row],[Max Error Bound (up)]]/SamplingData[[#Totals],[Max Error Bound (up)]])</f>
        <v>1.9385896556891664E-4</v>
      </c>
      <c r="R489" s="101">
        <f>SUM($Q$5:Q489)</f>
        <v>0.18353411423647012</v>
      </c>
      <c r="S489" s="100" t="str">
        <f t="array" ref="S489">IF(SamplingData[[#This Row],[up/U Selection Probability]] = 0, "Zero", TEXT(SamplingData[[#This Row],[Lower Range]], REPT("0",LEN('General Info'!$B$40))) &amp; " - " &amp; TEXT(SamplingData[[#This Row],[Upper Range]], REPT("0",LEN('General Info'!$B$40))))</f>
        <v>18334 - 18352</v>
      </c>
      <c r="T489" s="100">
        <f>SamplingData[[#This Row],[Upper Range]]-SamplingData[[#This Row],[Span]]</f>
        <v>18334.025720949085</v>
      </c>
      <c r="U489" s="100">
        <f>IF(ISNUMBER('General Info'!$B$40), ((SamplingData[[#This Row],[up/U Selection Probability]]) * 'General Info'!$B$40) - 1, 0)</f>
        <v>18.385702697926096</v>
      </c>
      <c r="V489" s="100">
        <f>IF(ISNUMBER('General Info'!$B$40), (SamplingData[[#This Row],[Running (cumulative) sum]] * ('General Info'!$B$40 -'General Info'!$B$41 + 1)) + 'General Info'!$B$41 - 1, 0)</f>
        <v>18352.411423647012</v>
      </c>
      <c r="W489" s="100" t="str">
        <f>IF(ISERROR(MATCH(SamplingData[[#This Row],[Batch by Type (p)]],SelectedPrecincts[Batch Name], 0)), "", INDEX(SelectedPrecincts[Draw], MATCH(SamplingData[[#This Row],[Batch by Type (p)]],SelectedPrecincts[Batch Name], 0)))</f>
        <v/>
      </c>
      <c r="X489" s="102">
        <f>IF(COUNTIF(SelectedPrecincts[Batch Name],SamplingData[[#This Row],[Batch by Type (p)]]) &lt;&gt; 0, COUNTIF(SelectedPrecincts[Batch Name],SamplingData[[#This Row],[Batch by Type (p)]]), 0)</f>
        <v>0</v>
      </c>
    </row>
    <row r="490" spans="1:24" ht="15" customHeight="1">
      <c r="A490" s="18" t="s">
        <v>666</v>
      </c>
      <c r="B490" s="18">
        <v>1</v>
      </c>
      <c r="C490" s="18">
        <v>1</v>
      </c>
      <c r="D490" s="18">
        <v>0</v>
      </c>
      <c r="E490" s="18">
        <v>0</v>
      </c>
      <c r="F490" s="18">
        <v>0</v>
      </c>
      <c r="G490" s="18">
        <v>0</v>
      </c>
      <c r="H490" s="18">
        <v>0</v>
      </c>
      <c r="I490" s="18">
        <v>0</v>
      </c>
      <c r="J490" s="99">
        <f>SUM(SamplingData[[#This Row],[Losing Candidate]:[Under Votes]])</f>
        <v>2</v>
      </c>
      <c r="K49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90" s="100">
        <f>IF(AND(SamplingData[[#This Row],[Total]]&lt;&gt; 0, NOT(ISBLANK(SamplingData[[#This Row],[Candidate 3]]))),(SamplingData[[#This Row],[Total]]+SamplingData[[#This Row],[Winning Candidate]]-SamplingData[[#This Row],[Candidate 3]])/(SamplingData[[#Totals],[Winning Candidate]]-SamplingData[[#Totals],[Candidate 3]]), 0)</f>
        <v>9.6783559699325743E-5</v>
      </c>
      <c r="M490" s="100">
        <f>IF(AND(SamplingData[[#This Row],[Total]]&lt;&gt; 0, NOT(ISBLANK(SamplingData[[#This Row],[Candidate 4]]))),(SamplingData[[#This Row],[Total]]+SamplingData[[#This Row],[Winning Candidate]]-SamplingData[[#This Row],[Candidate 4]])/(SamplingData[[#Totals],[Winning Candidate]]-SamplingData[[#Totals],[Candidate 4]]), 0)</f>
        <v>8.7696220292905373E-5</v>
      </c>
      <c r="N490" s="100">
        <f>IF(AND(SamplingData[[#This Row],[Total]]&lt;&gt; 0, NOT(ISBLANK(SamplingData[[#This Row],[Candidate 5]]))),(SamplingData[[#This Row],[Total]]+SamplingData[[#This Row],[Winning Candidate]]-SamplingData[[#This Row],[Candidate 5]])/(SamplingData[[#Totals],[Winning Candidate]]-SamplingData[[#Totals],[Candidate 5]]), 0)</f>
        <v>7.2974945268791054E-5</v>
      </c>
      <c r="O490" s="100">
        <f>IF(AND(SamplingData[[#This Row],[Total]]&lt;&gt; 0, NOT(ISBLANK(SamplingData[[#This Row],[Candidate 6]]))),(SamplingData[[#This Row],[Total]]+SamplingData[[#This Row],[Winning Candidate]]-SamplingData[[#This Row],[Candidate 6]])/(SamplingData[[#Totals],[Winning Candidate]]-SamplingData[[#Totals],[Candidate 6]]), 0)</f>
        <v>7.2953650114294054E-5</v>
      </c>
      <c r="P490" s="100">
        <f>MAX(SamplingData[[#This Row],[Error Bound (up) - Max. possible relative overstatement - Losing Candidate]:[Error Bound (up) - Max. possible relative overstatement - Candidate 6]])</f>
        <v>1.224889759921607E-4</v>
      </c>
      <c r="Q490" s="100">
        <f>IF(SamplingData[[#This Row],[Max Error Bound (up)]] = 0,0,SamplingData[[#This Row],[Max Error Bound (up)]]/SamplingData[[#Totals],[Max Error Bound (up)]])</f>
        <v>1.9385896556891663E-5</v>
      </c>
      <c r="R490" s="101">
        <f>SUM($Q$5:Q490)</f>
        <v>0.18355350013302701</v>
      </c>
      <c r="S490" s="100" t="str">
        <f t="array" ref="S490">IF(SamplingData[[#This Row],[up/U Selection Probability]] = 0, "Zero", TEXT(SamplingData[[#This Row],[Lower Range]], REPT("0",LEN('General Info'!$B$40))) &amp; " - " &amp; TEXT(SamplingData[[#This Row],[Upper Range]], REPT("0",LEN('General Info'!$B$40))))</f>
        <v>18353 - 18354</v>
      </c>
      <c r="T490" s="100">
        <f>SamplingData[[#This Row],[Upper Range]]-SamplingData[[#This Row],[Span]]</f>
        <v>18353.41144303291</v>
      </c>
      <c r="U490" s="100">
        <f>IF(ISNUMBER('General Info'!$B$40), ((SamplingData[[#This Row],[up/U Selection Probability]]) * 'General Info'!$B$40) - 1, 0)</f>
        <v>0.93857026979260949</v>
      </c>
      <c r="V490" s="100">
        <f>IF(ISNUMBER('General Info'!$B$40), (SamplingData[[#This Row],[Running (cumulative) sum]] * ('General Info'!$B$40 -'General Info'!$B$41 + 1)) + 'General Info'!$B$41 - 1, 0)</f>
        <v>18354.350013302701</v>
      </c>
      <c r="W490" s="100" t="str">
        <f>IF(ISERROR(MATCH(SamplingData[[#This Row],[Batch by Type (p)]],SelectedPrecincts[Batch Name], 0)), "", INDEX(SelectedPrecincts[Draw], MATCH(SamplingData[[#This Row],[Batch by Type (p)]],SelectedPrecincts[Batch Name], 0)))</f>
        <v/>
      </c>
      <c r="X490" s="102">
        <f>IF(COUNTIF(SelectedPrecincts[Batch Name],SamplingData[[#This Row],[Batch by Type (p)]]) &lt;&gt; 0, COUNTIF(SelectedPrecincts[Batch Name],SamplingData[[#This Row],[Batch by Type (p)]]), 0)</f>
        <v>0</v>
      </c>
    </row>
    <row r="491" spans="1:24" ht="15" customHeight="1">
      <c r="A491" s="18" t="s">
        <v>667</v>
      </c>
      <c r="B491" s="18">
        <v>2</v>
      </c>
      <c r="C491" s="18">
        <v>0</v>
      </c>
      <c r="D491" s="16">
        <v>1</v>
      </c>
      <c r="E491" s="16">
        <v>0</v>
      </c>
      <c r="F491" s="37">
        <v>0</v>
      </c>
      <c r="G491" s="37">
        <v>0</v>
      </c>
      <c r="H491" s="17">
        <v>0</v>
      </c>
      <c r="I491" s="17">
        <v>0</v>
      </c>
      <c r="J491" s="99">
        <f>SUM(SamplingData[[#This Row],[Losing Candidate]:[Under Votes]])</f>
        <v>3</v>
      </c>
      <c r="K491"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91" s="100">
        <f>IF(AND(SamplingData[[#This Row],[Total]]&lt;&gt; 0, NOT(ISBLANK(SamplingData[[#This Row],[Candidate 3]]))),(SamplingData[[#This Row],[Total]]+SamplingData[[#This Row],[Winning Candidate]]-SamplingData[[#This Row],[Candidate 3]])/(SamplingData[[#Totals],[Winning Candidate]]-SamplingData[[#Totals],[Candidate 3]]), 0)</f>
        <v>6.4522373132883833E-5</v>
      </c>
      <c r="M491" s="100">
        <f>IF(AND(SamplingData[[#This Row],[Total]]&lt;&gt; 0, NOT(ISBLANK(SamplingData[[#This Row],[Candidate 4]]))),(SamplingData[[#This Row],[Total]]+SamplingData[[#This Row],[Winning Candidate]]-SamplingData[[#This Row],[Candidate 4]])/(SamplingData[[#Totals],[Winning Candidate]]-SamplingData[[#Totals],[Candidate 4]]), 0)</f>
        <v>8.7696220292905373E-5</v>
      </c>
      <c r="N491" s="100">
        <f>IF(AND(SamplingData[[#This Row],[Total]]&lt;&gt; 0, NOT(ISBLANK(SamplingData[[#This Row],[Candidate 5]]))),(SamplingData[[#This Row],[Total]]+SamplingData[[#This Row],[Winning Candidate]]-SamplingData[[#This Row],[Candidate 5]])/(SamplingData[[#Totals],[Winning Candidate]]-SamplingData[[#Totals],[Candidate 5]]), 0)</f>
        <v>7.2974945268791054E-5</v>
      </c>
      <c r="O491" s="100">
        <f>IF(AND(SamplingData[[#This Row],[Total]]&lt;&gt; 0, NOT(ISBLANK(SamplingData[[#This Row],[Candidate 6]]))),(SamplingData[[#This Row],[Total]]+SamplingData[[#This Row],[Winning Candidate]]-SamplingData[[#This Row],[Candidate 6]])/(SamplingData[[#Totals],[Winning Candidate]]-SamplingData[[#Totals],[Candidate 6]]), 0)</f>
        <v>7.2953650114294054E-5</v>
      </c>
      <c r="P491" s="100">
        <f>MAX(SamplingData[[#This Row],[Error Bound (up) - Max. possible relative overstatement - Losing Candidate]:[Error Bound (up) - Max. possible relative overstatement - Candidate 6]])</f>
        <v>8.7696220292905373E-5</v>
      </c>
      <c r="Q491" s="100">
        <f>IF(SamplingData[[#This Row],[Max Error Bound (up)]] = 0,0,SamplingData[[#This Row],[Max Error Bound (up)]]/SamplingData[[#Totals],[Max Error Bound (up)]])</f>
        <v>1.3879370296453875E-5</v>
      </c>
      <c r="R491" s="101">
        <f>SUM($Q$5:Q491)</f>
        <v>0.18356737950332347</v>
      </c>
      <c r="S491" s="100" t="str">
        <f t="array" ref="S491">IF(SamplingData[[#This Row],[up/U Selection Probability]] = 0, "Zero", TEXT(SamplingData[[#This Row],[Lower Range]], REPT("0",LEN('General Info'!$B$40))) &amp; " - " &amp; TEXT(SamplingData[[#This Row],[Upper Range]], REPT("0",LEN('General Info'!$B$40))))</f>
        <v>18355 - 18356</v>
      </c>
      <c r="T491" s="100">
        <f>SamplingData[[#This Row],[Upper Range]]-SamplingData[[#This Row],[Span]]</f>
        <v>18355.35002718207</v>
      </c>
      <c r="U491" s="100">
        <f>IF(ISNUMBER('General Info'!$B$40), ((SamplingData[[#This Row],[up/U Selection Probability]]) * 'General Info'!$B$40) - 1, 0)</f>
        <v>0.38792315027509106</v>
      </c>
      <c r="V491" s="100">
        <f>IF(ISNUMBER('General Info'!$B$40), (SamplingData[[#This Row],[Running (cumulative) sum]] * ('General Info'!$B$40 -'General Info'!$B$41 + 1)) + 'General Info'!$B$41 - 1, 0)</f>
        <v>18355.737950332346</v>
      </c>
      <c r="W491" s="100" t="str">
        <f>IF(ISERROR(MATCH(SamplingData[[#This Row],[Batch by Type (p)]],SelectedPrecincts[Batch Name], 0)), "", INDEX(SelectedPrecincts[Draw], MATCH(SamplingData[[#This Row],[Batch by Type (p)]],SelectedPrecincts[Batch Name], 0)))</f>
        <v/>
      </c>
      <c r="X491" s="102">
        <f>IF(COUNTIF(SelectedPrecincts[Batch Name],SamplingData[[#This Row],[Batch by Type (p)]]) &lt;&gt; 0, COUNTIF(SelectedPrecincts[Batch Name],SamplingData[[#This Row],[Batch by Type (p)]]), 0)</f>
        <v>0</v>
      </c>
    </row>
    <row r="492" spans="1:24" ht="15" customHeight="1">
      <c r="A492" s="18" t="s">
        <v>668</v>
      </c>
      <c r="B492" s="18">
        <v>5</v>
      </c>
      <c r="C492" s="18">
        <v>1</v>
      </c>
      <c r="D492" s="18">
        <v>0</v>
      </c>
      <c r="E492" s="18">
        <v>0</v>
      </c>
      <c r="F492" s="18">
        <v>0</v>
      </c>
      <c r="G492" s="18">
        <v>0</v>
      </c>
      <c r="H492" s="18">
        <v>0</v>
      </c>
      <c r="I492" s="18">
        <v>0</v>
      </c>
      <c r="J492" s="99">
        <f>SUM(SamplingData[[#This Row],[Losing Candidate]:[Under Votes]])</f>
        <v>6</v>
      </c>
      <c r="K49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92" s="100">
        <f>IF(AND(SamplingData[[#This Row],[Total]]&lt;&gt; 0, NOT(ISBLANK(SamplingData[[#This Row],[Candidate 3]]))),(SamplingData[[#This Row],[Total]]+SamplingData[[#This Row],[Winning Candidate]]-SamplingData[[#This Row],[Candidate 3]])/(SamplingData[[#Totals],[Winning Candidate]]-SamplingData[[#Totals],[Candidate 3]]), 0)</f>
        <v>2.258283059650934E-4</v>
      </c>
      <c r="M492" s="100">
        <f>IF(AND(SamplingData[[#This Row],[Total]]&lt;&gt; 0, NOT(ISBLANK(SamplingData[[#This Row],[Candidate 4]]))),(SamplingData[[#This Row],[Total]]+SamplingData[[#This Row],[Winning Candidate]]-SamplingData[[#This Row],[Candidate 4]])/(SamplingData[[#Totals],[Winning Candidate]]-SamplingData[[#Totals],[Candidate 4]]), 0)</f>
        <v>2.0462451401677921E-4</v>
      </c>
      <c r="N492" s="100">
        <f>IF(AND(SamplingData[[#This Row],[Total]]&lt;&gt; 0, NOT(ISBLANK(SamplingData[[#This Row],[Candidate 5]]))),(SamplingData[[#This Row],[Total]]+SamplingData[[#This Row],[Winning Candidate]]-SamplingData[[#This Row],[Candidate 5]])/(SamplingData[[#Totals],[Winning Candidate]]-SamplingData[[#Totals],[Candidate 5]]), 0)</f>
        <v>1.7027487229384579E-4</v>
      </c>
      <c r="O492" s="100">
        <f>IF(AND(SamplingData[[#This Row],[Total]]&lt;&gt; 0, NOT(ISBLANK(SamplingData[[#This Row],[Candidate 6]]))),(SamplingData[[#This Row],[Total]]+SamplingData[[#This Row],[Winning Candidate]]-SamplingData[[#This Row],[Candidate 6]])/(SamplingData[[#Totals],[Winning Candidate]]-SamplingData[[#Totals],[Candidate 6]]), 0)</f>
        <v>1.7022518360001944E-4</v>
      </c>
      <c r="P492" s="100">
        <f>MAX(SamplingData[[#This Row],[Error Bound (up) - Max. possible relative overstatement - Losing Candidate]:[Error Bound (up) - Max. possible relative overstatement - Candidate 6]])</f>
        <v>2.258283059650934E-4</v>
      </c>
      <c r="Q492" s="100">
        <f>IF(SamplingData[[#This Row],[Max Error Bound (up)]] = 0,0,SamplingData[[#This Row],[Max Error Bound (up)]]/SamplingData[[#Totals],[Max Error Bound (up)]])</f>
        <v>3.5741046437824461E-5</v>
      </c>
      <c r="R492" s="101">
        <f>SUM($Q$5:Q492)</f>
        <v>0.1836031205497613</v>
      </c>
      <c r="S492" s="100" t="str">
        <f t="array" ref="S492">IF(SamplingData[[#This Row],[up/U Selection Probability]] = 0, "Zero", TEXT(SamplingData[[#This Row],[Lower Range]], REPT("0",LEN('General Info'!$B$40))) &amp; " - " &amp; TEXT(SamplingData[[#This Row],[Upper Range]], REPT("0",LEN('General Info'!$B$40))))</f>
        <v>18357 - 18359</v>
      </c>
      <c r="T492" s="100">
        <f>SamplingData[[#This Row],[Upper Range]]-SamplingData[[#This Row],[Span]]</f>
        <v>18356.737986073393</v>
      </c>
      <c r="U492" s="100">
        <f>IF(ISNUMBER('General Info'!$B$40), ((SamplingData[[#This Row],[up/U Selection Probability]]) * 'General Info'!$B$40) - 1, 0)</f>
        <v>2.5740689027360082</v>
      </c>
      <c r="V492" s="100">
        <f>IF(ISNUMBER('General Info'!$B$40), (SamplingData[[#This Row],[Running (cumulative) sum]] * ('General Info'!$B$40 -'General Info'!$B$41 + 1)) + 'General Info'!$B$41 - 1, 0)</f>
        <v>18359.31205497613</v>
      </c>
      <c r="W492" s="100" t="str">
        <f>IF(ISERROR(MATCH(SamplingData[[#This Row],[Batch by Type (p)]],SelectedPrecincts[Batch Name], 0)), "", INDEX(SelectedPrecincts[Draw], MATCH(SamplingData[[#This Row],[Batch by Type (p)]],SelectedPrecincts[Batch Name], 0)))</f>
        <v/>
      </c>
      <c r="X492" s="102">
        <f>IF(COUNTIF(SelectedPrecincts[Batch Name],SamplingData[[#This Row],[Batch by Type (p)]]) &lt;&gt; 0, COUNTIF(SelectedPrecincts[Batch Name],SamplingData[[#This Row],[Batch by Type (p)]]), 0)</f>
        <v>0</v>
      </c>
    </row>
    <row r="493" spans="1:24" ht="15" customHeight="1">
      <c r="A493" s="18" t="s">
        <v>669</v>
      </c>
      <c r="B493" s="18">
        <v>0</v>
      </c>
      <c r="C493" s="18">
        <v>3</v>
      </c>
      <c r="D493" s="16">
        <v>0</v>
      </c>
      <c r="E493" s="16">
        <v>0</v>
      </c>
      <c r="F493" s="37">
        <v>0</v>
      </c>
      <c r="G493" s="37">
        <v>0</v>
      </c>
      <c r="H493" s="17">
        <v>0</v>
      </c>
      <c r="I493" s="17">
        <v>0</v>
      </c>
      <c r="J493" s="99">
        <f>SUM(SamplingData[[#This Row],[Losing Candidate]:[Under Votes]])</f>
        <v>3</v>
      </c>
      <c r="K493"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493" s="100">
        <f>IF(AND(SamplingData[[#This Row],[Total]]&lt;&gt; 0, NOT(ISBLANK(SamplingData[[#This Row],[Candidate 3]]))),(SamplingData[[#This Row],[Total]]+SamplingData[[#This Row],[Winning Candidate]]-SamplingData[[#This Row],[Candidate 3]])/(SamplingData[[#Totals],[Winning Candidate]]-SamplingData[[#Totals],[Candidate 3]]), 0)</f>
        <v>1.9356711939865149E-4</v>
      </c>
      <c r="M493" s="100">
        <f>IF(AND(SamplingData[[#This Row],[Total]]&lt;&gt; 0, NOT(ISBLANK(SamplingData[[#This Row],[Candidate 4]]))),(SamplingData[[#This Row],[Total]]+SamplingData[[#This Row],[Winning Candidate]]-SamplingData[[#This Row],[Candidate 4]])/(SamplingData[[#Totals],[Winning Candidate]]-SamplingData[[#Totals],[Candidate 4]]), 0)</f>
        <v>1.7539244058581075E-4</v>
      </c>
      <c r="N493" s="100">
        <f>IF(AND(SamplingData[[#This Row],[Total]]&lt;&gt; 0, NOT(ISBLANK(SamplingData[[#This Row],[Candidate 5]]))),(SamplingData[[#This Row],[Total]]+SamplingData[[#This Row],[Winning Candidate]]-SamplingData[[#This Row],[Candidate 5]])/(SamplingData[[#Totals],[Winning Candidate]]-SamplingData[[#Totals],[Candidate 5]]), 0)</f>
        <v>1.4594989053758211E-4</v>
      </c>
      <c r="O493" s="100">
        <f>IF(AND(SamplingData[[#This Row],[Total]]&lt;&gt; 0, NOT(ISBLANK(SamplingData[[#This Row],[Candidate 6]]))),(SamplingData[[#This Row],[Total]]+SamplingData[[#This Row],[Winning Candidate]]-SamplingData[[#This Row],[Candidate 6]])/(SamplingData[[#Totals],[Winning Candidate]]-SamplingData[[#Totals],[Candidate 6]]), 0)</f>
        <v>1.4590730022858811E-4</v>
      </c>
      <c r="P493" s="100">
        <f>MAX(SamplingData[[#This Row],[Error Bound (up) - Max. possible relative overstatement - Losing Candidate]:[Error Bound (up) - Max. possible relative overstatement - Candidate 6]])</f>
        <v>3.6746692797648211E-4</v>
      </c>
      <c r="Q493" s="100">
        <f>IF(SamplingData[[#This Row],[Max Error Bound (up)]] = 0,0,SamplingData[[#This Row],[Max Error Bound (up)]]/SamplingData[[#Totals],[Max Error Bound (up)]])</f>
        <v>5.8157689670674986E-5</v>
      </c>
      <c r="R493" s="101">
        <f>SUM($Q$5:Q493)</f>
        <v>0.18366127823943199</v>
      </c>
      <c r="S493" s="100" t="str">
        <f t="array" ref="S493">IF(SamplingData[[#This Row],[up/U Selection Probability]] = 0, "Zero", TEXT(SamplingData[[#This Row],[Lower Range]], REPT("0",LEN('General Info'!$B$40))) &amp; " - " &amp; TEXT(SamplingData[[#This Row],[Upper Range]], REPT("0",LEN('General Info'!$B$40))))</f>
        <v>18360 - 18365</v>
      </c>
      <c r="T493" s="100">
        <f>SamplingData[[#This Row],[Upper Range]]-SamplingData[[#This Row],[Span]]</f>
        <v>18360.312113133823</v>
      </c>
      <c r="U493" s="100">
        <f>IF(ISNUMBER('General Info'!$B$40), ((SamplingData[[#This Row],[up/U Selection Probability]]) * 'General Info'!$B$40) - 1, 0)</f>
        <v>4.815710809377828</v>
      </c>
      <c r="V493" s="100">
        <f>IF(ISNUMBER('General Info'!$B$40), (SamplingData[[#This Row],[Running (cumulative) sum]] * ('General Info'!$B$40 -'General Info'!$B$41 + 1)) + 'General Info'!$B$41 - 1, 0)</f>
        <v>18365.127823943199</v>
      </c>
      <c r="W493" s="100" t="str">
        <f>IF(ISERROR(MATCH(SamplingData[[#This Row],[Batch by Type (p)]],SelectedPrecincts[Batch Name], 0)), "", INDEX(SelectedPrecincts[Draw], MATCH(SamplingData[[#This Row],[Batch by Type (p)]],SelectedPrecincts[Batch Name], 0)))</f>
        <v/>
      </c>
      <c r="X493" s="102">
        <f>IF(COUNTIF(SelectedPrecincts[Batch Name],SamplingData[[#This Row],[Batch by Type (p)]]) &lt;&gt; 0, COUNTIF(SelectedPrecincts[Batch Name],SamplingData[[#This Row],[Batch by Type (p)]]), 0)</f>
        <v>0</v>
      </c>
    </row>
    <row r="494" spans="1:24" ht="15" customHeight="1">
      <c r="A494" s="18" t="s">
        <v>670</v>
      </c>
      <c r="B494" s="18">
        <v>0</v>
      </c>
      <c r="C494" s="18">
        <v>2</v>
      </c>
      <c r="D494" s="18">
        <v>0</v>
      </c>
      <c r="E494" s="18">
        <v>2</v>
      </c>
      <c r="F494" s="18">
        <v>0</v>
      </c>
      <c r="G494" s="18">
        <v>0</v>
      </c>
      <c r="H494" s="18">
        <v>0</v>
      </c>
      <c r="I494" s="18">
        <v>0</v>
      </c>
      <c r="J494" s="99">
        <f>SUM(SamplingData[[#This Row],[Losing Candidate]:[Under Votes]])</f>
        <v>4</v>
      </c>
      <c r="K494"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494" s="100">
        <f>IF(AND(SamplingData[[#This Row],[Total]]&lt;&gt; 0, NOT(ISBLANK(SamplingData[[#This Row],[Candidate 3]]))),(SamplingData[[#This Row],[Total]]+SamplingData[[#This Row],[Winning Candidate]]-SamplingData[[#This Row],[Candidate 3]])/(SamplingData[[#Totals],[Winning Candidate]]-SamplingData[[#Totals],[Candidate 3]]), 0)</f>
        <v>1.9356711939865149E-4</v>
      </c>
      <c r="M494" s="100">
        <f>IF(AND(SamplingData[[#This Row],[Total]]&lt;&gt; 0, NOT(ISBLANK(SamplingData[[#This Row],[Candidate 4]]))),(SamplingData[[#This Row],[Total]]+SamplingData[[#This Row],[Winning Candidate]]-SamplingData[[#This Row],[Candidate 4]])/(SamplingData[[#Totals],[Winning Candidate]]-SamplingData[[#Totals],[Candidate 4]]), 0)</f>
        <v>1.1692829372387384E-4</v>
      </c>
      <c r="N494" s="100">
        <f>IF(AND(SamplingData[[#This Row],[Total]]&lt;&gt; 0, NOT(ISBLANK(SamplingData[[#This Row],[Candidate 5]]))),(SamplingData[[#This Row],[Total]]+SamplingData[[#This Row],[Winning Candidate]]-SamplingData[[#This Row],[Candidate 5]])/(SamplingData[[#Totals],[Winning Candidate]]-SamplingData[[#Totals],[Candidate 5]]), 0)</f>
        <v>1.4594989053758211E-4</v>
      </c>
      <c r="O494" s="100">
        <f>IF(AND(SamplingData[[#This Row],[Total]]&lt;&gt; 0, NOT(ISBLANK(SamplingData[[#This Row],[Candidate 6]]))),(SamplingData[[#This Row],[Total]]+SamplingData[[#This Row],[Winning Candidate]]-SamplingData[[#This Row],[Candidate 6]])/(SamplingData[[#Totals],[Winning Candidate]]-SamplingData[[#Totals],[Candidate 6]]), 0)</f>
        <v>1.4590730022858811E-4</v>
      </c>
      <c r="P494" s="100">
        <f>MAX(SamplingData[[#This Row],[Error Bound (up) - Max. possible relative overstatement - Losing Candidate]:[Error Bound (up) - Max. possible relative overstatement - Candidate 6]])</f>
        <v>3.6746692797648211E-4</v>
      </c>
      <c r="Q494" s="100">
        <f>IF(SamplingData[[#This Row],[Max Error Bound (up)]] = 0,0,SamplingData[[#This Row],[Max Error Bound (up)]]/SamplingData[[#Totals],[Max Error Bound (up)]])</f>
        <v>5.8157689670674986E-5</v>
      </c>
      <c r="R494" s="101">
        <f>SUM($Q$5:Q494)</f>
        <v>0.18371943592910267</v>
      </c>
      <c r="S494" s="100" t="str">
        <f t="array" ref="S494">IF(SamplingData[[#This Row],[up/U Selection Probability]] = 0, "Zero", TEXT(SamplingData[[#This Row],[Lower Range]], REPT("0",LEN('General Info'!$B$40))) &amp; " - " &amp; TEXT(SamplingData[[#This Row],[Upper Range]], REPT("0",LEN('General Info'!$B$40))))</f>
        <v>18366 - 18371</v>
      </c>
      <c r="T494" s="100">
        <f>SamplingData[[#This Row],[Upper Range]]-SamplingData[[#This Row],[Span]]</f>
        <v>18366.127882100889</v>
      </c>
      <c r="U494" s="100">
        <f>IF(ISNUMBER('General Info'!$B$40), ((SamplingData[[#This Row],[up/U Selection Probability]]) * 'General Info'!$B$40) - 1, 0)</f>
        <v>4.815710809377828</v>
      </c>
      <c r="V494" s="100">
        <f>IF(ISNUMBER('General Info'!$B$40), (SamplingData[[#This Row],[Running (cumulative) sum]] * ('General Info'!$B$40 -'General Info'!$B$41 + 1)) + 'General Info'!$B$41 - 1, 0)</f>
        <v>18370.943592910266</v>
      </c>
      <c r="W494" s="100" t="str">
        <f>IF(ISERROR(MATCH(SamplingData[[#This Row],[Batch by Type (p)]],SelectedPrecincts[Batch Name], 0)), "", INDEX(SelectedPrecincts[Draw], MATCH(SamplingData[[#This Row],[Batch by Type (p)]],SelectedPrecincts[Batch Name], 0)))</f>
        <v/>
      </c>
      <c r="X494" s="102">
        <f>IF(COUNTIF(SelectedPrecincts[Batch Name],SamplingData[[#This Row],[Batch by Type (p)]]) &lt;&gt; 0, COUNTIF(SelectedPrecincts[Batch Name],SamplingData[[#This Row],[Batch by Type (p)]]), 0)</f>
        <v>0</v>
      </c>
    </row>
    <row r="495" spans="1:24" ht="15" customHeight="1">
      <c r="A495" s="18" t="s">
        <v>671</v>
      </c>
      <c r="B495" s="18">
        <v>1</v>
      </c>
      <c r="C495" s="18">
        <v>0</v>
      </c>
      <c r="D495" s="16">
        <v>0</v>
      </c>
      <c r="E495" s="16">
        <v>1</v>
      </c>
      <c r="F495" s="37">
        <v>0</v>
      </c>
      <c r="G495" s="37">
        <v>0</v>
      </c>
      <c r="H495" s="17">
        <v>0</v>
      </c>
      <c r="I495" s="17">
        <v>0</v>
      </c>
      <c r="J495" s="99">
        <f>SUM(SamplingData[[#This Row],[Losing Candidate]:[Under Votes]])</f>
        <v>2</v>
      </c>
      <c r="K495"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495" s="100">
        <f>IF(AND(SamplingData[[#This Row],[Total]]&lt;&gt; 0, NOT(ISBLANK(SamplingData[[#This Row],[Candidate 3]]))),(SamplingData[[#This Row],[Total]]+SamplingData[[#This Row],[Winning Candidate]]-SamplingData[[#This Row],[Candidate 3]])/(SamplingData[[#Totals],[Winning Candidate]]-SamplingData[[#Totals],[Candidate 3]]), 0)</f>
        <v>6.4522373132883833E-5</v>
      </c>
      <c r="M495" s="100">
        <f>IF(AND(SamplingData[[#This Row],[Total]]&lt;&gt; 0, NOT(ISBLANK(SamplingData[[#This Row],[Candidate 4]]))),(SamplingData[[#This Row],[Total]]+SamplingData[[#This Row],[Winning Candidate]]-SamplingData[[#This Row],[Candidate 4]])/(SamplingData[[#Totals],[Winning Candidate]]-SamplingData[[#Totals],[Candidate 4]]), 0)</f>
        <v>2.923207343096846E-5</v>
      </c>
      <c r="N495" s="100">
        <f>IF(AND(SamplingData[[#This Row],[Total]]&lt;&gt; 0, NOT(ISBLANK(SamplingData[[#This Row],[Candidate 5]]))),(SamplingData[[#This Row],[Total]]+SamplingData[[#This Row],[Winning Candidate]]-SamplingData[[#This Row],[Candidate 5]])/(SamplingData[[#Totals],[Winning Candidate]]-SamplingData[[#Totals],[Candidate 5]]), 0)</f>
        <v>4.8649963512527367E-5</v>
      </c>
      <c r="O495" s="100">
        <f>IF(AND(SamplingData[[#This Row],[Total]]&lt;&gt; 0, NOT(ISBLANK(SamplingData[[#This Row],[Candidate 6]]))),(SamplingData[[#This Row],[Total]]+SamplingData[[#This Row],[Winning Candidate]]-SamplingData[[#This Row],[Candidate 6]])/(SamplingData[[#Totals],[Winning Candidate]]-SamplingData[[#Totals],[Candidate 6]]), 0)</f>
        <v>4.8635766742862701E-5</v>
      </c>
      <c r="P495" s="100">
        <f>MAX(SamplingData[[#This Row],[Error Bound (up) - Max. possible relative overstatement - Losing Candidate]:[Error Bound (up) - Max. possible relative overstatement - Candidate 6]])</f>
        <v>6.4522373132883833E-5</v>
      </c>
      <c r="Q495" s="100">
        <f>IF(SamplingData[[#This Row],[Max Error Bound (up)]] = 0,0,SamplingData[[#This Row],[Max Error Bound (up)]]/SamplingData[[#Totals],[Max Error Bound (up)]])</f>
        <v>1.0211727553664133E-5</v>
      </c>
      <c r="R495" s="101">
        <f>SUM($Q$5:Q495)</f>
        <v>0.18372964765665634</v>
      </c>
      <c r="S495" s="100" t="str">
        <f t="array" ref="S495">IF(SamplingData[[#This Row],[up/U Selection Probability]] = 0, "Zero", TEXT(SamplingData[[#This Row],[Lower Range]], REPT("0",LEN('General Info'!$B$40))) &amp; " - " &amp; TEXT(SamplingData[[#This Row],[Upper Range]], REPT("0",LEN('General Info'!$B$40))))</f>
        <v>18372 - 18372</v>
      </c>
      <c r="T495" s="100">
        <f>SamplingData[[#This Row],[Upper Range]]-SamplingData[[#This Row],[Span]]</f>
        <v>18371.943603121996</v>
      </c>
      <c r="U495" s="100">
        <f>IF(ISNUMBER('General Info'!$B$40), ((SamplingData[[#This Row],[up/U Selection Probability]]) * 'General Info'!$B$40) - 1, 0)</f>
        <v>2.116254363885961E-2</v>
      </c>
      <c r="V495" s="100">
        <f>IF(ISNUMBER('General Info'!$B$40), (SamplingData[[#This Row],[Running (cumulative) sum]] * ('General Info'!$B$40 -'General Info'!$B$41 + 1)) + 'General Info'!$B$41 - 1, 0)</f>
        <v>18371.964765665634</v>
      </c>
      <c r="W495" s="100" t="str">
        <f>IF(ISERROR(MATCH(SamplingData[[#This Row],[Batch by Type (p)]],SelectedPrecincts[Batch Name], 0)), "", INDEX(SelectedPrecincts[Draw], MATCH(SamplingData[[#This Row],[Batch by Type (p)]],SelectedPrecincts[Batch Name], 0)))</f>
        <v/>
      </c>
      <c r="X495" s="102">
        <f>IF(COUNTIF(SelectedPrecincts[Batch Name],SamplingData[[#This Row],[Batch by Type (p)]]) &lt;&gt; 0, COUNTIF(SelectedPrecincts[Batch Name],SamplingData[[#This Row],[Batch by Type (p)]]), 0)</f>
        <v>0</v>
      </c>
    </row>
    <row r="496" spans="1:24" ht="15" customHeight="1">
      <c r="A496" s="18" t="s">
        <v>672</v>
      </c>
      <c r="B496" s="18">
        <v>0</v>
      </c>
      <c r="C496" s="18">
        <v>0</v>
      </c>
      <c r="D496" s="18">
        <v>0</v>
      </c>
      <c r="E496" s="18">
        <v>0</v>
      </c>
      <c r="F496" s="18">
        <v>0</v>
      </c>
      <c r="G496" s="18">
        <v>0</v>
      </c>
      <c r="H496" s="18">
        <v>0</v>
      </c>
      <c r="I496" s="18">
        <v>0</v>
      </c>
      <c r="J496" s="99">
        <f>SUM(SamplingData[[#This Row],[Losing Candidate]:[Under Votes]])</f>
        <v>0</v>
      </c>
      <c r="K496" s="100">
        <f>IF(AND(SamplingData[[#This Row],[Total]]&lt;&gt; 0, NOT(ISBLANK(SamplingData[[#This Row],[Losing Candidate]]))),(SamplingData[[#This Row],[Total]]+SamplingData[[#This Row],[Winning Candidate]]-SamplingData[[#This Row],[Losing Candidate]])/(SamplingData[[#Totals],[Winning Candidate]]-SamplingData[[#Totals],[Losing Candidate]]), 0)</f>
        <v>0</v>
      </c>
      <c r="L496" s="100">
        <f>IF(AND(SamplingData[[#This Row],[Total]]&lt;&gt; 0, NOT(ISBLANK(SamplingData[[#This Row],[Candidate 3]]))),(SamplingData[[#This Row],[Total]]+SamplingData[[#This Row],[Winning Candidate]]-SamplingData[[#This Row],[Candidate 3]])/(SamplingData[[#Totals],[Winning Candidate]]-SamplingData[[#Totals],[Candidate 3]]), 0)</f>
        <v>0</v>
      </c>
      <c r="M496" s="100">
        <f>IF(AND(SamplingData[[#This Row],[Total]]&lt;&gt; 0, NOT(ISBLANK(SamplingData[[#This Row],[Candidate 4]]))),(SamplingData[[#This Row],[Total]]+SamplingData[[#This Row],[Winning Candidate]]-SamplingData[[#This Row],[Candidate 4]])/(SamplingData[[#Totals],[Winning Candidate]]-SamplingData[[#Totals],[Candidate 4]]), 0)</f>
        <v>0</v>
      </c>
      <c r="N496" s="100">
        <f>IF(AND(SamplingData[[#This Row],[Total]]&lt;&gt; 0, NOT(ISBLANK(SamplingData[[#This Row],[Candidate 5]]))),(SamplingData[[#This Row],[Total]]+SamplingData[[#This Row],[Winning Candidate]]-SamplingData[[#This Row],[Candidate 5]])/(SamplingData[[#Totals],[Winning Candidate]]-SamplingData[[#Totals],[Candidate 5]]), 0)</f>
        <v>0</v>
      </c>
      <c r="O496" s="100">
        <f>IF(AND(SamplingData[[#This Row],[Total]]&lt;&gt; 0, NOT(ISBLANK(SamplingData[[#This Row],[Candidate 6]]))),(SamplingData[[#This Row],[Total]]+SamplingData[[#This Row],[Winning Candidate]]-SamplingData[[#This Row],[Candidate 6]])/(SamplingData[[#Totals],[Winning Candidate]]-SamplingData[[#Totals],[Candidate 6]]), 0)</f>
        <v>0</v>
      </c>
      <c r="P496" s="100">
        <f>MAX(SamplingData[[#This Row],[Error Bound (up) - Max. possible relative overstatement - Losing Candidate]:[Error Bound (up) - Max. possible relative overstatement - Candidate 6]])</f>
        <v>0</v>
      </c>
      <c r="Q496" s="100">
        <f>IF(SamplingData[[#This Row],[Max Error Bound (up)]] = 0,0,SamplingData[[#This Row],[Max Error Bound (up)]]/SamplingData[[#Totals],[Max Error Bound (up)]])</f>
        <v>0</v>
      </c>
      <c r="R496" s="101">
        <f>SUM($Q$5:Q496)</f>
        <v>0.18372964765665634</v>
      </c>
      <c r="S496" s="100" t="str">
        <f t="array" ref="S496">IF(SamplingData[[#This Row],[up/U Selection Probability]] = 0, "Zero", TEXT(SamplingData[[#This Row],[Lower Range]], REPT("0",LEN('General Info'!$B$40))) &amp; " - " &amp; TEXT(SamplingData[[#This Row],[Upper Range]], REPT("0",LEN('General Info'!$B$40))))</f>
        <v>Zero</v>
      </c>
      <c r="T496" s="100">
        <f>SamplingData[[#This Row],[Upper Range]]-SamplingData[[#This Row],[Span]]</f>
        <v>18372.964765665634</v>
      </c>
      <c r="U496" s="100">
        <f>IF(ISNUMBER('General Info'!$B$40), ((SamplingData[[#This Row],[up/U Selection Probability]]) * 'General Info'!$B$40) - 1, 0)</f>
        <v>-1</v>
      </c>
      <c r="V496" s="100">
        <f>IF(ISNUMBER('General Info'!$B$40), (SamplingData[[#This Row],[Running (cumulative) sum]] * ('General Info'!$B$40 -'General Info'!$B$41 + 1)) + 'General Info'!$B$41 - 1, 0)</f>
        <v>18371.964765665634</v>
      </c>
      <c r="W496" s="100" t="str">
        <f>IF(ISERROR(MATCH(SamplingData[[#This Row],[Batch by Type (p)]],SelectedPrecincts[Batch Name], 0)), "", INDEX(SelectedPrecincts[Draw], MATCH(SamplingData[[#This Row],[Batch by Type (p)]],SelectedPrecincts[Batch Name], 0)))</f>
        <v/>
      </c>
      <c r="X496" s="102">
        <f>IF(COUNTIF(SelectedPrecincts[Batch Name],SamplingData[[#This Row],[Batch by Type (p)]]) &lt;&gt; 0, COUNTIF(SelectedPrecincts[Batch Name],SamplingData[[#This Row],[Batch by Type (p)]]), 0)</f>
        <v>0</v>
      </c>
    </row>
    <row r="497" spans="1:24" ht="15" customHeight="1">
      <c r="A497" s="18" t="s">
        <v>673</v>
      </c>
      <c r="B497" s="18">
        <v>1</v>
      </c>
      <c r="C497" s="18">
        <v>0</v>
      </c>
      <c r="D497" s="16">
        <v>0</v>
      </c>
      <c r="E497" s="16">
        <v>0</v>
      </c>
      <c r="F497" s="37">
        <v>0</v>
      </c>
      <c r="G497" s="37">
        <v>0</v>
      </c>
      <c r="H497" s="17">
        <v>0</v>
      </c>
      <c r="I497" s="17">
        <v>0</v>
      </c>
      <c r="J497" s="99">
        <f>SUM(SamplingData[[#This Row],[Losing Candidate]:[Under Votes]])</f>
        <v>1</v>
      </c>
      <c r="K497" s="100">
        <f>IF(AND(SamplingData[[#This Row],[Total]]&lt;&gt; 0, NOT(ISBLANK(SamplingData[[#This Row],[Losing Candidate]]))),(SamplingData[[#This Row],[Total]]+SamplingData[[#This Row],[Winning Candidate]]-SamplingData[[#This Row],[Losing Candidate]])/(SamplingData[[#Totals],[Winning Candidate]]-SamplingData[[#Totals],[Losing Candidate]]), 0)</f>
        <v>0</v>
      </c>
      <c r="L497" s="100">
        <f>IF(AND(SamplingData[[#This Row],[Total]]&lt;&gt; 0, NOT(ISBLANK(SamplingData[[#This Row],[Candidate 3]]))),(SamplingData[[#This Row],[Total]]+SamplingData[[#This Row],[Winning Candidate]]-SamplingData[[#This Row],[Candidate 3]])/(SamplingData[[#Totals],[Winning Candidate]]-SamplingData[[#Totals],[Candidate 3]]), 0)</f>
        <v>3.2261186566441917E-5</v>
      </c>
      <c r="M497" s="100">
        <f>IF(AND(SamplingData[[#This Row],[Total]]&lt;&gt; 0, NOT(ISBLANK(SamplingData[[#This Row],[Candidate 4]]))),(SamplingData[[#This Row],[Total]]+SamplingData[[#This Row],[Winning Candidate]]-SamplingData[[#This Row],[Candidate 4]])/(SamplingData[[#Totals],[Winning Candidate]]-SamplingData[[#Totals],[Candidate 4]]), 0)</f>
        <v>2.923207343096846E-5</v>
      </c>
      <c r="N497" s="100">
        <f>IF(AND(SamplingData[[#This Row],[Total]]&lt;&gt; 0, NOT(ISBLANK(SamplingData[[#This Row],[Candidate 5]]))),(SamplingData[[#This Row],[Total]]+SamplingData[[#This Row],[Winning Candidate]]-SamplingData[[#This Row],[Candidate 5]])/(SamplingData[[#Totals],[Winning Candidate]]-SamplingData[[#Totals],[Candidate 5]]), 0)</f>
        <v>2.4324981756263683E-5</v>
      </c>
      <c r="O497" s="100">
        <f>IF(AND(SamplingData[[#This Row],[Total]]&lt;&gt; 0, NOT(ISBLANK(SamplingData[[#This Row],[Candidate 6]]))),(SamplingData[[#This Row],[Total]]+SamplingData[[#This Row],[Winning Candidate]]-SamplingData[[#This Row],[Candidate 6]])/(SamplingData[[#Totals],[Winning Candidate]]-SamplingData[[#Totals],[Candidate 6]]), 0)</f>
        <v>2.431788337143135E-5</v>
      </c>
      <c r="P497" s="100">
        <f>MAX(SamplingData[[#This Row],[Error Bound (up) - Max. possible relative overstatement - Losing Candidate]:[Error Bound (up) - Max. possible relative overstatement - Candidate 6]])</f>
        <v>3.2261186566441917E-5</v>
      </c>
      <c r="Q497" s="100">
        <f>IF(SamplingData[[#This Row],[Max Error Bound (up)]] = 0,0,SamplingData[[#This Row],[Max Error Bound (up)]]/SamplingData[[#Totals],[Max Error Bound (up)]])</f>
        <v>5.1058637768320663E-6</v>
      </c>
      <c r="R497" s="101">
        <f>SUM($Q$5:Q497)</f>
        <v>0.18373475352043317</v>
      </c>
      <c r="S497" s="100" t="str">
        <f t="array" ref="S497">IF(SamplingData[[#This Row],[up/U Selection Probability]] = 0, "Zero", TEXT(SamplingData[[#This Row],[Lower Range]], REPT("0",LEN('General Info'!$B$40))) &amp; " - " &amp; TEXT(SamplingData[[#This Row],[Upper Range]], REPT("0",LEN('General Info'!$B$40))))</f>
        <v>18373 - 18372</v>
      </c>
      <c r="T497" s="100">
        <f>SamplingData[[#This Row],[Upper Range]]-SamplingData[[#This Row],[Span]]</f>
        <v>18372.964770771498</v>
      </c>
      <c r="U497" s="100">
        <f>IF(ISNUMBER('General Info'!$B$40), ((SamplingData[[#This Row],[up/U Selection Probability]]) * 'General Info'!$B$40) - 1, 0)</f>
        <v>-0.4894187281805702</v>
      </c>
      <c r="V497" s="100">
        <f>IF(ISNUMBER('General Info'!$B$40), (SamplingData[[#This Row],[Running (cumulative) sum]] * ('General Info'!$B$40 -'General Info'!$B$41 + 1)) + 'General Info'!$B$41 - 1, 0)</f>
        <v>18372.475352043319</v>
      </c>
      <c r="W497" s="100" t="str">
        <f>IF(ISERROR(MATCH(SamplingData[[#This Row],[Batch by Type (p)]],SelectedPrecincts[Batch Name], 0)), "", INDEX(SelectedPrecincts[Draw], MATCH(SamplingData[[#This Row],[Batch by Type (p)]],SelectedPrecincts[Batch Name], 0)))</f>
        <v/>
      </c>
      <c r="X497" s="102">
        <f>IF(COUNTIF(SelectedPrecincts[Batch Name],SamplingData[[#This Row],[Batch by Type (p)]]) &lt;&gt; 0, COUNTIF(SelectedPrecincts[Batch Name],SamplingData[[#This Row],[Batch by Type (p)]]), 0)</f>
        <v>0</v>
      </c>
    </row>
    <row r="498" spans="1:24" ht="15" customHeight="1">
      <c r="A498" s="18" t="s">
        <v>674</v>
      </c>
      <c r="B498" s="18">
        <v>2</v>
      </c>
      <c r="C498" s="18">
        <v>0</v>
      </c>
      <c r="D498" s="18">
        <v>0</v>
      </c>
      <c r="E498" s="18">
        <v>2</v>
      </c>
      <c r="F498" s="18">
        <v>0</v>
      </c>
      <c r="G498" s="18">
        <v>0</v>
      </c>
      <c r="H498" s="18">
        <v>0</v>
      </c>
      <c r="I498" s="18">
        <v>0</v>
      </c>
      <c r="J498" s="99">
        <f>SUM(SamplingData[[#This Row],[Losing Candidate]:[Under Votes]])</f>
        <v>4</v>
      </c>
      <c r="K49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498" s="100">
        <f>IF(AND(SamplingData[[#This Row],[Total]]&lt;&gt; 0, NOT(ISBLANK(SamplingData[[#This Row],[Candidate 3]]))),(SamplingData[[#This Row],[Total]]+SamplingData[[#This Row],[Winning Candidate]]-SamplingData[[#This Row],[Candidate 3]])/(SamplingData[[#Totals],[Winning Candidate]]-SamplingData[[#Totals],[Candidate 3]]), 0)</f>
        <v>1.2904474626576767E-4</v>
      </c>
      <c r="M498" s="100">
        <f>IF(AND(SamplingData[[#This Row],[Total]]&lt;&gt; 0, NOT(ISBLANK(SamplingData[[#This Row],[Candidate 4]]))),(SamplingData[[#This Row],[Total]]+SamplingData[[#This Row],[Winning Candidate]]-SamplingData[[#This Row],[Candidate 4]])/(SamplingData[[#Totals],[Winning Candidate]]-SamplingData[[#Totals],[Candidate 4]]), 0)</f>
        <v>5.846414686193692E-5</v>
      </c>
      <c r="N498" s="100">
        <f>IF(AND(SamplingData[[#This Row],[Total]]&lt;&gt; 0, NOT(ISBLANK(SamplingData[[#This Row],[Candidate 5]]))),(SamplingData[[#This Row],[Total]]+SamplingData[[#This Row],[Winning Candidate]]-SamplingData[[#This Row],[Candidate 5]])/(SamplingData[[#Totals],[Winning Candidate]]-SamplingData[[#Totals],[Candidate 5]]), 0)</f>
        <v>9.7299927025054734E-5</v>
      </c>
      <c r="O498" s="100">
        <f>IF(AND(SamplingData[[#This Row],[Total]]&lt;&gt; 0, NOT(ISBLANK(SamplingData[[#This Row],[Candidate 6]]))),(SamplingData[[#This Row],[Total]]+SamplingData[[#This Row],[Winning Candidate]]-SamplingData[[#This Row],[Candidate 6]])/(SamplingData[[#Totals],[Winning Candidate]]-SamplingData[[#Totals],[Candidate 6]]), 0)</f>
        <v>9.7271533485725401E-5</v>
      </c>
      <c r="P498" s="100">
        <f>MAX(SamplingData[[#This Row],[Error Bound (up) - Max. possible relative overstatement - Losing Candidate]:[Error Bound (up) - Max. possible relative overstatement - Candidate 6]])</f>
        <v>1.2904474626576767E-4</v>
      </c>
      <c r="Q498" s="100">
        <f>IF(SamplingData[[#This Row],[Max Error Bound (up)]] = 0,0,SamplingData[[#This Row],[Max Error Bound (up)]]/SamplingData[[#Totals],[Max Error Bound (up)]])</f>
        <v>2.0423455107328265E-5</v>
      </c>
      <c r="R498" s="101">
        <f>SUM($Q$5:Q498)</f>
        <v>0.1837551769755405</v>
      </c>
      <c r="S498" s="100" t="str">
        <f t="array" ref="S498">IF(SamplingData[[#This Row],[up/U Selection Probability]] = 0, "Zero", TEXT(SamplingData[[#This Row],[Lower Range]], REPT("0",LEN('General Info'!$B$40))) &amp; " - " &amp; TEXT(SamplingData[[#This Row],[Upper Range]], REPT("0",LEN('General Info'!$B$40))))</f>
        <v>18373 - 18375</v>
      </c>
      <c r="T498" s="100">
        <f>SamplingData[[#This Row],[Upper Range]]-SamplingData[[#This Row],[Span]]</f>
        <v>18373.475372466772</v>
      </c>
      <c r="U498" s="100">
        <f>IF(ISNUMBER('General Info'!$B$40), ((SamplingData[[#This Row],[up/U Selection Probability]]) * 'General Info'!$B$40) - 1, 0)</f>
        <v>1.0423250872777192</v>
      </c>
      <c r="V498" s="100">
        <f>IF(ISNUMBER('General Info'!$B$40), (SamplingData[[#This Row],[Running (cumulative) sum]] * ('General Info'!$B$40 -'General Info'!$B$41 + 1)) + 'General Info'!$B$41 - 1, 0)</f>
        <v>18374.517697554049</v>
      </c>
      <c r="W498" s="100" t="str">
        <f>IF(ISERROR(MATCH(SamplingData[[#This Row],[Batch by Type (p)]],SelectedPrecincts[Batch Name], 0)), "", INDEX(SelectedPrecincts[Draw], MATCH(SamplingData[[#This Row],[Batch by Type (p)]],SelectedPrecincts[Batch Name], 0)))</f>
        <v/>
      </c>
      <c r="X498" s="102">
        <f>IF(COUNTIF(SelectedPrecincts[Batch Name],SamplingData[[#This Row],[Batch by Type (p)]]) &lt;&gt; 0, COUNTIF(SelectedPrecincts[Batch Name],SamplingData[[#This Row],[Batch by Type (p)]]), 0)</f>
        <v>0</v>
      </c>
    </row>
    <row r="499" spans="1:24" ht="15" customHeight="1">
      <c r="A499" s="18" t="s">
        <v>675</v>
      </c>
      <c r="B499" s="18">
        <v>0</v>
      </c>
      <c r="C499" s="18">
        <v>0</v>
      </c>
      <c r="D499" s="16">
        <v>0</v>
      </c>
      <c r="E499" s="16">
        <v>0</v>
      </c>
      <c r="F499" s="37">
        <v>0</v>
      </c>
      <c r="G499" s="37">
        <v>0</v>
      </c>
      <c r="H499" s="17">
        <v>0</v>
      </c>
      <c r="I499" s="17">
        <v>0</v>
      </c>
      <c r="J499" s="99">
        <f>SUM(SamplingData[[#This Row],[Losing Candidate]:[Under Votes]])</f>
        <v>0</v>
      </c>
      <c r="K499" s="100">
        <f>IF(AND(SamplingData[[#This Row],[Total]]&lt;&gt; 0, NOT(ISBLANK(SamplingData[[#This Row],[Losing Candidate]]))),(SamplingData[[#This Row],[Total]]+SamplingData[[#This Row],[Winning Candidate]]-SamplingData[[#This Row],[Losing Candidate]])/(SamplingData[[#Totals],[Winning Candidate]]-SamplingData[[#Totals],[Losing Candidate]]), 0)</f>
        <v>0</v>
      </c>
      <c r="L499" s="100">
        <f>IF(AND(SamplingData[[#This Row],[Total]]&lt;&gt; 0, NOT(ISBLANK(SamplingData[[#This Row],[Candidate 3]]))),(SamplingData[[#This Row],[Total]]+SamplingData[[#This Row],[Winning Candidate]]-SamplingData[[#This Row],[Candidate 3]])/(SamplingData[[#Totals],[Winning Candidate]]-SamplingData[[#Totals],[Candidate 3]]), 0)</f>
        <v>0</v>
      </c>
      <c r="M499" s="100">
        <f>IF(AND(SamplingData[[#This Row],[Total]]&lt;&gt; 0, NOT(ISBLANK(SamplingData[[#This Row],[Candidate 4]]))),(SamplingData[[#This Row],[Total]]+SamplingData[[#This Row],[Winning Candidate]]-SamplingData[[#This Row],[Candidate 4]])/(SamplingData[[#Totals],[Winning Candidate]]-SamplingData[[#Totals],[Candidate 4]]), 0)</f>
        <v>0</v>
      </c>
      <c r="N499" s="100">
        <f>IF(AND(SamplingData[[#This Row],[Total]]&lt;&gt; 0, NOT(ISBLANK(SamplingData[[#This Row],[Candidate 5]]))),(SamplingData[[#This Row],[Total]]+SamplingData[[#This Row],[Winning Candidate]]-SamplingData[[#This Row],[Candidate 5]])/(SamplingData[[#Totals],[Winning Candidate]]-SamplingData[[#Totals],[Candidate 5]]), 0)</f>
        <v>0</v>
      </c>
      <c r="O499" s="100">
        <f>IF(AND(SamplingData[[#This Row],[Total]]&lt;&gt; 0, NOT(ISBLANK(SamplingData[[#This Row],[Candidate 6]]))),(SamplingData[[#This Row],[Total]]+SamplingData[[#This Row],[Winning Candidate]]-SamplingData[[#This Row],[Candidate 6]])/(SamplingData[[#Totals],[Winning Candidate]]-SamplingData[[#Totals],[Candidate 6]]), 0)</f>
        <v>0</v>
      </c>
      <c r="P499" s="100">
        <f>MAX(SamplingData[[#This Row],[Error Bound (up) - Max. possible relative overstatement - Losing Candidate]:[Error Bound (up) - Max. possible relative overstatement - Candidate 6]])</f>
        <v>0</v>
      </c>
      <c r="Q499" s="100">
        <f>IF(SamplingData[[#This Row],[Max Error Bound (up)]] = 0,0,SamplingData[[#This Row],[Max Error Bound (up)]]/SamplingData[[#Totals],[Max Error Bound (up)]])</f>
        <v>0</v>
      </c>
      <c r="R499" s="101">
        <f>SUM($Q$5:Q499)</f>
        <v>0.1837551769755405</v>
      </c>
      <c r="S499" s="100" t="str">
        <f t="array" ref="S499">IF(SamplingData[[#This Row],[up/U Selection Probability]] = 0, "Zero", TEXT(SamplingData[[#This Row],[Lower Range]], REPT("0",LEN('General Info'!$B$40))) &amp; " - " &amp; TEXT(SamplingData[[#This Row],[Upper Range]], REPT("0",LEN('General Info'!$B$40))))</f>
        <v>Zero</v>
      </c>
      <c r="T499" s="100">
        <f>SamplingData[[#This Row],[Upper Range]]-SamplingData[[#This Row],[Span]]</f>
        <v>18375.517697554049</v>
      </c>
      <c r="U499" s="100">
        <f>IF(ISNUMBER('General Info'!$B$40), ((SamplingData[[#This Row],[up/U Selection Probability]]) * 'General Info'!$B$40) - 1, 0)</f>
        <v>-1</v>
      </c>
      <c r="V499" s="100">
        <f>IF(ISNUMBER('General Info'!$B$40), (SamplingData[[#This Row],[Running (cumulative) sum]] * ('General Info'!$B$40 -'General Info'!$B$41 + 1)) + 'General Info'!$B$41 - 1, 0)</f>
        <v>18374.517697554049</v>
      </c>
      <c r="W499" s="100" t="str">
        <f>IF(ISERROR(MATCH(SamplingData[[#This Row],[Batch by Type (p)]],SelectedPrecincts[Batch Name], 0)), "", INDEX(SelectedPrecincts[Draw], MATCH(SamplingData[[#This Row],[Batch by Type (p)]],SelectedPrecincts[Batch Name], 0)))</f>
        <v/>
      </c>
      <c r="X499" s="102">
        <f>IF(COUNTIF(SelectedPrecincts[Batch Name],SamplingData[[#This Row],[Batch by Type (p)]]) &lt;&gt; 0, COUNTIF(SelectedPrecincts[Batch Name],SamplingData[[#This Row],[Batch by Type (p)]]), 0)</f>
        <v>0</v>
      </c>
    </row>
    <row r="500" spans="1:24" ht="15" customHeight="1">
      <c r="A500" s="18" t="s">
        <v>676</v>
      </c>
      <c r="B500" s="18">
        <v>0</v>
      </c>
      <c r="C500" s="18">
        <v>0</v>
      </c>
      <c r="D500" s="18">
        <v>0</v>
      </c>
      <c r="E500" s="18">
        <v>0</v>
      </c>
      <c r="F500" s="18">
        <v>0</v>
      </c>
      <c r="G500" s="18">
        <v>0</v>
      </c>
      <c r="H500" s="18">
        <v>0</v>
      </c>
      <c r="I500" s="18">
        <v>0</v>
      </c>
      <c r="J500" s="99">
        <f>SUM(SamplingData[[#This Row],[Losing Candidate]:[Under Votes]])</f>
        <v>0</v>
      </c>
      <c r="K500" s="100">
        <f>IF(AND(SamplingData[[#This Row],[Total]]&lt;&gt; 0, NOT(ISBLANK(SamplingData[[#This Row],[Losing Candidate]]))),(SamplingData[[#This Row],[Total]]+SamplingData[[#This Row],[Winning Candidate]]-SamplingData[[#This Row],[Losing Candidate]])/(SamplingData[[#Totals],[Winning Candidate]]-SamplingData[[#Totals],[Losing Candidate]]), 0)</f>
        <v>0</v>
      </c>
      <c r="L500" s="100">
        <f>IF(AND(SamplingData[[#This Row],[Total]]&lt;&gt; 0, NOT(ISBLANK(SamplingData[[#This Row],[Candidate 3]]))),(SamplingData[[#This Row],[Total]]+SamplingData[[#This Row],[Winning Candidate]]-SamplingData[[#This Row],[Candidate 3]])/(SamplingData[[#Totals],[Winning Candidate]]-SamplingData[[#Totals],[Candidate 3]]), 0)</f>
        <v>0</v>
      </c>
      <c r="M500" s="100">
        <f>IF(AND(SamplingData[[#This Row],[Total]]&lt;&gt; 0, NOT(ISBLANK(SamplingData[[#This Row],[Candidate 4]]))),(SamplingData[[#This Row],[Total]]+SamplingData[[#This Row],[Winning Candidate]]-SamplingData[[#This Row],[Candidate 4]])/(SamplingData[[#Totals],[Winning Candidate]]-SamplingData[[#Totals],[Candidate 4]]), 0)</f>
        <v>0</v>
      </c>
      <c r="N500" s="100">
        <f>IF(AND(SamplingData[[#This Row],[Total]]&lt;&gt; 0, NOT(ISBLANK(SamplingData[[#This Row],[Candidate 5]]))),(SamplingData[[#This Row],[Total]]+SamplingData[[#This Row],[Winning Candidate]]-SamplingData[[#This Row],[Candidate 5]])/(SamplingData[[#Totals],[Winning Candidate]]-SamplingData[[#Totals],[Candidate 5]]), 0)</f>
        <v>0</v>
      </c>
      <c r="O500" s="100">
        <f>IF(AND(SamplingData[[#This Row],[Total]]&lt;&gt; 0, NOT(ISBLANK(SamplingData[[#This Row],[Candidate 6]]))),(SamplingData[[#This Row],[Total]]+SamplingData[[#This Row],[Winning Candidate]]-SamplingData[[#This Row],[Candidate 6]])/(SamplingData[[#Totals],[Winning Candidate]]-SamplingData[[#Totals],[Candidate 6]]), 0)</f>
        <v>0</v>
      </c>
      <c r="P500" s="100">
        <f>MAX(SamplingData[[#This Row],[Error Bound (up) - Max. possible relative overstatement - Losing Candidate]:[Error Bound (up) - Max. possible relative overstatement - Candidate 6]])</f>
        <v>0</v>
      </c>
      <c r="Q500" s="100">
        <f>IF(SamplingData[[#This Row],[Max Error Bound (up)]] = 0,0,SamplingData[[#This Row],[Max Error Bound (up)]]/SamplingData[[#Totals],[Max Error Bound (up)]])</f>
        <v>0</v>
      </c>
      <c r="R500" s="101">
        <f>SUM($Q$5:Q500)</f>
        <v>0.1837551769755405</v>
      </c>
      <c r="S500" s="100" t="str">
        <f t="array" ref="S500">IF(SamplingData[[#This Row],[up/U Selection Probability]] = 0, "Zero", TEXT(SamplingData[[#This Row],[Lower Range]], REPT("0",LEN('General Info'!$B$40))) &amp; " - " &amp; TEXT(SamplingData[[#This Row],[Upper Range]], REPT("0",LEN('General Info'!$B$40))))</f>
        <v>Zero</v>
      </c>
      <c r="T500" s="100">
        <f>SamplingData[[#This Row],[Upper Range]]-SamplingData[[#This Row],[Span]]</f>
        <v>18375.517697554049</v>
      </c>
      <c r="U500" s="100">
        <f>IF(ISNUMBER('General Info'!$B$40), ((SamplingData[[#This Row],[up/U Selection Probability]]) * 'General Info'!$B$40) - 1, 0)</f>
        <v>-1</v>
      </c>
      <c r="V500" s="100">
        <f>IF(ISNUMBER('General Info'!$B$40), (SamplingData[[#This Row],[Running (cumulative) sum]] * ('General Info'!$B$40 -'General Info'!$B$41 + 1)) + 'General Info'!$B$41 - 1, 0)</f>
        <v>18374.517697554049</v>
      </c>
      <c r="W500" s="100" t="str">
        <f>IF(ISERROR(MATCH(SamplingData[[#This Row],[Batch by Type (p)]],SelectedPrecincts[Batch Name], 0)), "", INDEX(SelectedPrecincts[Draw], MATCH(SamplingData[[#This Row],[Batch by Type (p)]],SelectedPrecincts[Batch Name], 0)))</f>
        <v/>
      </c>
      <c r="X500" s="102">
        <f>IF(COUNTIF(SelectedPrecincts[Batch Name],SamplingData[[#This Row],[Batch by Type (p)]]) &lt;&gt; 0, COUNTIF(SelectedPrecincts[Batch Name],SamplingData[[#This Row],[Batch by Type (p)]]), 0)</f>
        <v>0</v>
      </c>
    </row>
    <row r="501" spans="1:24" ht="15" customHeight="1">
      <c r="A501" s="18" t="s">
        <v>677</v>
      </c>
      <c r="B501" s="18">
        <v>0</v>
      </c>
      <c r="C501" s="18">
        <v>0</v>
      </c>
      <c r="D501" s="16">
        <v>0</v>
      </c>
      <c r="E501" s="16">
        <v>1</v>
      </c>
      <c r="F501" s="37">
        <v>0</v>
      </c>
      <c r="G501" s="37">
        <v>0</v>
      </c>
      <c r="H501" s="17">
        <v>0</v>
      </c>
      <c r="I501" s="17">
        <v>0</v>
      </c>
      <c r="J501" s="99">
        <f>SUM(SamplingData[[#This Row],[Losing Candidate]:[Under Votes]])</f>
        <v>1</v>
      </c>
      <c r="K501"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01" s="100">
        <f>IF(AND(SamplingData[[#This Row],[Total]]&lt;&gt; 0, NOT(ISBLANK(SamplingData[[#This Row],[Candidate 3]]))),(SamplingData[[#This Row],[Total]]+SamplingData[[#This Row],[Winning Candidate]]-SamplingData[[#This Row],[Candidate 3]])/(SamplingData[[#Totals],[Winning Candidate]]-SamplingData[[#Totals],[Candidate 3]]), 0)</f>
        <v>3.2261186566441917E-5</v>
      </c>
      <c r="M501" s="100">
        <f>IF(AND(SamplingData[[#This Row],[Total]]&lt;&gt; 0, NOT(ISBLANK(SamplingData[[#This Row],[Candidate 4]]))),(SamplingData[[#This Row],[Total]]+SamplingData[[#This Row],[Winning Candidate]]-SamplingData[[#This Row],[Candidate 4]])/(SamplingData[[#Totals],[Winning Candidate]]-SamplingData[[#Totals],[Candidate 4]]), 0)</f>
        <v>0</v>
      </c>
      <c r="N501" s="100">
        <f>IF(AND(SamplingData[[#This Row],[Total]]&lt;&gt; 0, NOT(ISBLANK(SamplingData[[#This Row],[Candidate 5]]))),(SamplingData[[#This Row],[Total]]+SamplingData[[#This Row],[Winning Candidate]]-SamplingData[[#This Row],[Candidate 5]])/(SamplingData[[#Totals],[Winning Candidate]]-SamplingData[[#Totals],[Candidate 5]]), 0)</f>
        <v>2.4324981756263683E-5</v>
      </c>
      <c r="O501" s="100">
        <f>IF(AND(SamplingData[[#This Row],[Total]]&lt;&gt; 0, NOT(ISBLANK(SamplingData[[#This Row],[Candidate 6]]))),(SamplingData[[#This Row],[Total]]+SamplingData[[#This Row],[Winning Candidate]]-SamplingData[[#This Row],[Candidate 6]])/(SamplingData[[#Totals],[Winning Candidate]]-SamplingData[[#Totals],[Candidate 6]]), 0)</f>
        <v>2.431788337143135E-5</v>
      </c>
      <c r="P501" s="100">
        <f>MAX(SamplingData[[#This Row],[Error Bound (up) - Max. possible relative overstatement - Losing Candidate]:[Error Bound (up) - Max. possible relative overstatement - Candidate 6]])</f>
        <v>6.1244487996080352E-5</v>
      </c>
      <c r="Q501" s="100">
        <f>IF(SamplingData[[#This Row],[Max Error Bound (up)]] = 0,0,SamplingData[[#This Row],[Max Error Bound (up)]]/SamplingData[[#Totals],[Max Error Bound (up)]])</f>
        <v>9.6929482784458315E-6</v>
      </c>
      <c r="R501" s="101">
        <f>SUM($Q$5:Q501)</f>
        <v>0.18376486992381894</v>
      </c>
      <c r="S501" s="100" t="str">
        <f t="array" ref="S501">IF(SamplingData[[#This Row],[up/U Selection Probability]] = 0, "Zero", TEXT(SamplingData[[#This Row],[Lower Range]], REPT("0",LEN('General Info'!$B$40))) &amp; " - " &amp; TEXT(SamplingData[[#This Row],[Upper Range]], REPT("0",LEN('General Info'!$B$40))))</f>
        <v>18376 - 18375</v>
      </c>
      <c r="T501" s="100">
        <f>SamplingData[[#This Row],[Upper Range]]-SamplingData[[#This Row],[Span]]</f>
        <v>18375.517707247</v>
      </c>
      <c r="U501" s="100">
        <f>IF(ISNUMBER('General Info'!$B$40), ((SamplingData[[#This Row],[up/U Selection Probability]]) * 'General Info'!$B$40) - 1, 0)</f>
        <v>-3.0714865103695255E-2</v>
      </c>
      <c r="V501" s="100">
        <f>IF(ISNUMBER('General Info'!$B$40), (SamplingData[[#This Row],[Running (cumulative) sum]] * ('General Info'!$B$40 -'General Info'!$B$41 + 1)) + 'General Info'!$B$41 - 1, 0)</f>
        <v>18375.486992381895</v>
      </c>
      <c r="W501" s="100" t="str">
        <f>IF(ISERROR(MATCH(SamplingData[[#This Row],[Batch by Type (p)]],SelectedPrecincts[Batch Name], 0)), "", INDEX(SelectedPrecincts[Draw], MATCH(SamplingData[[#This Row],[Batch by Type (p)]],SelectedPrecincts[Batch Name], 0)))</f>
        <v/>
      </c>
      <c r="X501" s="102">
        <f>IF(COUNTIF(SelectedPrecincts[Batch Name],SamplingData[[#This Row],[Batch by Type (p)]]) &lt;&gt; 0, COUNTIF(SelectedPrecincts[Batch Name],SamplingData[[#This Row],[Batch by Type (p)]]), 0)</f>
        <v>0</v>
      </c>
    </row>
    <row r="502" spans="1:24" ht="15" customHeight="1">
      <c r="A502" s="18" t="s">
        <v>678</v>
      </c>
      <c r="B502" s="18">
        <v>0</v>
      </c>
      <c r="C502" s="18">
        <v>0</v>
      </c>
      <c r="D502" s="18">
        <v>0</v>
      </c>
      <c r="E502" s="18">
        <v>0</v>
      </c>
      <c r="F502" s="18">
        <v>0</v>
      </c>
      <c r="G502" s="18">
        <v>0</v>
      </c>
      <c r="H502" s="18">
        <v>0</v>
      </c>
      <c r="I502" s="18">
        <v>0</v>
      </c>
      <c r="J502" s="99">
        <f>SUM(SamplingData[[#This Row],[Losing Candidate]:[Under Votes]])</f>
        <v>0</v>
      </c>
      <c r="K502" s="100">
        <f>IF(AND(SamplingData[[#This Row],[Total]]&lt;&gt; 0, NOT(ISBLANK(SamplingData[[#This Row],[Losing Candidate]]))),(SamplingData[[#This Row],[Total]]+SamplingData[[#This Row],[Winning Candidate]]-SamplingData[[#This Row],[Losing Candidate]])/(SamplingData[[#Totals],[Winning Candidate]]-SamplingData[[#Totals],[Losing Candidate]]), 0)</f>
        <v>0</v>
      </c>
      <c r="L502" s="100">
        <f>IF(AND(SamplingData[[#This Row],[Total]]&lt;&gt; 0, NOT(ISBLANK(SamplingData[[#This Row],[Candidate 3]]))),(SamplingData[[#This Row],[Total]]+SamplingData[[#This Row],[Winning Candidate]]-SamplingData[[#This Row],[Candidate 3]])/(SamplingData[[#Totals],[Winning Candidate]]-SamplingData[[#Totals],[Candidate 3]]), 0)</f>
        <v>0</v>
      </c>
      <c r="M502" s="100">
        <f>IF(AND(SamplingData[[#This Row],[Total]]&lt;&gt; 0, NOT(ISBLANK(SamplingData[[#This Row],[Candidate 4]]))),(SamplingData[[#This Row],[Total]]+SamplingData[[#This Row],[Winning Candidate]]-SamplingData[[#This Row],[Candidate 4]])/(SamplingData[[#Totals],[Winning Candidate]]-SamplingData[[#Totals],[Candidate 4]]), 0)</f>
        <v>0</v>
      </c>
      <c r="N502" s="100">
        <f>IF(AND(SamplingData[[#This Row],[Total]]&lt;&gt; 0, NOT(ISBLANK(SamplingData[[#This Row],[Candidate 5]]))),(SamplingData[[#This Row],[Total]]+SamplingData[[#This Row],[Winning Candidate]]-SamplingData[[#This Row],[Candidate 5]])/(SamplingData[[#Totals],[Winning Candidate]]-SamplingData[[#Totals],[Candidate 5]]), 0)</f>
        <v>0</v>
      </c>
      <c r="O502" s="100">
        <f>IF(AND(SamplingData[[#This Row],[Total]]&lt;&gt; 0, NOT(ISBLANK(SamplingData[[#This Row],[Candidate 6]]))),(SamplingData[[#This Row],[Total]]+SamplingData[[#This Row],[Winning Candidate]]-SamplingData[[#This Row],[Candidate 6]])/(SamplingData[[#Totals],[Winning Candidate]]-SamplingData[[#Totals],[Candidate 6]]), 0)</f>
        <v>0</v>
      </c>
      <c r="P502" s="100">
        <f>MAX(SamplingData[[#This Row],[Error Bound (up) - Max. possible relative overstatement - Losing Candidate]:[Error Bound (up) - Max. possible relative overstatement - Candidate 6]])</f>
        <v>0</v>
      </c>
      <c r="Q502" s="100">
        <f>IF(SamplingData[[#This Row],[Max Error Bound (up)]] = 0,0,SamplingData[[#This Row],[Max Error Bound (up)]]/SamplingData[[#Totals],[Max Error Bound (up)]])</f>
        <v>0</v>
      </c>
      <c r="R502" s="101">
        <f>SUM($Q$5:Q502)</f>
        <v>0.18376486992381894</v>
      </c>
      <c r="S502" s="100" t="str">
        <f t="array" ref="S502">IF(SamplingData[[#This Row],[up/U Selection Probability]] = 0, "Zero", TEXT(SamplingData[[#This Row],[Lower Range]], REPT("0",LEN('General Info'!$B$40))) &amp; " - " &amp; TEXT(SamplingData[[#This Row],[Upper Range]], REPT("0",LEN('General Info'!$B$40))))</f>
        <v>Zero</v>
      </c>
      <c r="T502" s="100">
        <f>SamplingData[[#This Row],[Upper Range]]-SamplingData[[#This Row],[Span]]</f>
        <v>18376.486992381895</v>
      </c>
      <c r="U502" s="100">
        <f>IF(ISNUMBER('General Info'!$B$40), ((SamplingData[[#This Row],[up/U Selection Probability]]) * 'General Info'!$B$40) - 1, 0)</f>
        <v>-1</v>
      </c>
      <c r="V502" s="100">
        <f>IF(ISNUMBER('General Info'!$B$40), (SamplingData[[#This Row],[Running (cumulative) sum]] * ('General Info'!$B$40 -'General Info'!$B$41 + 1)) + 'General Info'!$B$41 - 1, 0)</f>
        <v>18375.486992381895</v>
      </c>
      <c r="W502" s="100" t="str">
        <f>IF(ISERROR(MATCH(SamplingData[[#This Row],[Batch by Type (p)]],SelectedPrecincts[Batch Name], 0)), "", INDEX(SelectedPrecincts[Draw], MATCH(SamplingData[[#This Row],[Batch by Type (p)]],SelectedPrecincts[Batch Name], 0)))</f>
        <v/>
      </c>
      <c r="X502" s="102">
        <f>IF(COUNTIF(SelectedPrecincts[Batch Name],SamplingData[[#This Row],[Batch by Type (p)]]) &lt;&gt; 0, COUNTIF(SelectedPrecincts[Batch Name],SamplingData[[#This Row],[Batch by Type (p)]]), 0)</f>
        <v>0</v>
      </c>
    </row>
    <row r="503" spans="1:24" ht="15" customHeight="1">
      <c r="A503" s="18" t="s">
        <v>679</v>
      </c>
      <c r="B503" s="18">
        <v>0</v>
      </c>
      <c r="C503" s="18">
        <v>0</v>
      </c>
      <c r="D503" s="16">
        <v>0</v>
      </c>
      <c r="E503" s="16">
        <v>0</v>
      </c>
      <c r="F503" s="37">
        <v>0</v>
      </c>
      <c r="G503" s="37">
        <v>0</v>
      </c>
      <c r="H503" s="17">
        <v>0</v>
      </c>
      <c r="I503" s="17">
        <v>0</v>
      </c>
      <c r="J503" s="99">
        <f>SUM(SamplingData[[#This Row],[Losing Candidate]:[Under Votes]])</f>
        <v>0</v>
      </c>
      <c r="K503" s="100">
        <f>IF(AND(SamplingData[[#This Row],[Total]]&lt;&gt; 0, NOT(ISBLANK(SamplingData[[#This Row],[Losing Candidate]]))),(SamplingData[[#This Row],[Total]]+SamplingData[[#This Row],[Winning Candidate]]-SamplingData[[#This Row],[Losing Candidate]])/(SamplingData[[#Totals],[Winning Candidate]]-SamplingData[[#Totals],[Losing Candidate]]), 0)</f>
        <v>0</v>
      </c>
      <c r="L503" s="100">
        <f>IF(AND(SamplingData[[#This Row],[Total]]&lt;&gt; 0, NOT(ISBLANK(SamplingData[[#This Row],[Candidate 3]]))),(SamplingData[[#This Row],[Total]]+SamplingData[[#This Row],[Winning Candidate]]-SamplingData[[#This Row],[Candidate 3]])/(SamplingData[[#Totals],[Winning Candidate]]-SamplingData[[#Totals],[Candidate 3]]), 0)</f>
        <v>0</v>
      </c>
      <c r="M503" s="100">
        <f>IF(AND(SamplingData[[#This Row],[Total]]&lt;&gt; 0, NOT(ISBLANK(SamplingData[[#This Row],[Candidate 4]]))),(SamplingData[[#This Row],[Total]]+SamplingData[[#This Row],[Winning Candidate]]-SamplingData[[#This Row],[Candidate 4]])/(SamplingData[[#Totals],[Winning Candidate]]-SamplingData[[#Totals],[Candidate 4]]), 0)</f>
        <v>0</v>
      </c>
      <c r="N503" s="100">
        <f>IF(AND(SamplingData[[#This Row],[Total]]&lt;&gt; 0, NOT(ISBLANK(SamplingData[[#This Row],[Candidate 5]]))),(SamplingData[[#This Row],[Total]]+SamplingData[[#This Row],[Winning Candidate]]-SamplingData[[#This Row],[Candidate 5]])/(SamplingData[[#Totals],[Winning Candidate]]-SamplingData[[#Totals],[Candidate 5]]), 0)</f>
        <v>0</v>
      </c>
      <c r="O503" s="100">
        <f>IF(AND(SamplingData[[#This Row],[Total]]&lt;&gt; 0, NOT(ISBLANK(SamplingData[[#This Row],[Candidate 6]]))),(SamplingData[[#This Row],[Total]]+SamplingData[[#This Row],[Winning Candidate]]-SamplingData[[#This Row],[Candidate 6]])/(SamplingData[[#Totals],[Winning Candidate]]-SamplingData[[#Totals],[Candidate 6]]), 0)</f>
        <v>0</v>
      </c>
      <c r="P503" s="100">
        <f>MAX(SamplingData[[#This Row],[Error Bound (up) - Max. possible relative overstatement - Losing Candidate]:[Error Bound (up) - Max. possible relative overstatement - Candidate 6]])</f>
        <v>0</v>
      </c>
      <c r="Q503" s="100">
        <f>IF(SamplingData[[#This Row],[Max Error Bound (up)]] = 0,0,SamplingData[[#This Row],[Max Error Bound (up)]]/SamplingData[[#Totals],[Max Error Bound (up)]])</f>
        <v>0</v>
      </c>
      <c r="R503" s="101">
        <f>SUM($Q$5:Q503)</f>
        <v>0.18376486992381894</v>
      </c>
      <c r="S503" s="100" t="str">
        <f t="array" ref="S503">IF(SamplingData[[#This Row],[up/U Selection Probability]] = 0, "Zero", TEXT(SamplingData[[#This Row],[Lower Range]], REPT("0",LEN('General Info'!$B$40))) &amp; " - " &amp; TEXT(SamplingData[[#This Row],[Upper Range]], REPT("0",LEN('General Info'!$B$40))))</f>
        <v>Zero</v>
      </c>
      <c r="T503" s="100">
        <f>SamplingData[[#This Row],[Upper Range]]-SamplingData[[#This Row],[Span]]</f>
        <v>18376.486992381895</v>
      </c>
      <c r="U503" s="100">
        <f>IF(ISNUMBER('General Info'!$B$40), ((SamplingData[[#This Row],[up/U Selection Probability]]) * 'General Info'!$B$40) - 1, 0)</f>
        <v>-1</v>
      </c>
      <c r="V503" s="100">
        <f>IF(ISNUMBER('General Info'!$B$40), (SamplingData[[#This Row],[Running (cumulative) sum]] * ('General Info'!$B$40 -'General Info'!$B$41 + 1)) + 'General Info'!$B$41 - 1, 0)</f>
        <v>18375.486992381895</v>
      </c>
      <c r="W503" s="100" t="str">
        <f>IF(ISERROR(MATCH(SamplingData[[#This Row],[Batch by Type (p)]],SelectedPrecincts[Batch Name], 0)), "", INDEX(SelectedPrecincts[Draw], MATCH(SamplingData[[#This Row],[Batch by Type (p)]],SelectedPrecincts[Batch Name], 0)))</f>
        <v/>
      </c>
      <c r="X503" s="102">
        <f>IF(COUNTIF(SelectedPrecincts[Batch Name],SamplingData[[#This Row],[Batch by Type (p)]]) &lt;&gt; 0, COUNTIF(SelectedPrecincts[Batch Name],SamplingData[[#This Row],[Batch by Type (p)]]), 0)</f>
        <v>0</v>
      </c>
    </row>
    <row r="504" spans="1:24" ht="15" customHeight="1">
      <c r="A504" s="18" t="s">
        <v>680</v>
      </c>
      <c r="B504" s="18">
        <v>1</v>
      </c>
      <c r="C504" s="18">
        <v>0</v>
      </c>
      <c r="D504" s="18">
        <v>0</v>
      </c>
      <c r="E504" s="18">
        <v>0</v>
      </c>
      <c r="F504" s="18">
        <v>0</v>
      </c>
      <c r="G504" s="18">
        <v>0</v>
      </c>
      <c r="H504" s="18">
        <v>0</v>
      </c>
      <c r="I504" s="18">
        <v>0</v>
      </c>
      <c r="J504" s="99">
        <f>SUM(SamplingData[[#This Row],[Losing Candidate]:[Under Votes]])</f>
        <v>1</v>
      </c>
      <c r="K504" s="100">
        <f>IF(AND(SamplingData[[#This Row],[Total]]&lt;&gt; 0, NOT(ISBLANK(SamplingData[[#This Row],[Losing Candidate]]))),(SamplingData[[#This Row],[Total]]+SamplingData[[#This Row],[Winning Candidate]]-SamplingData[[#This Row],[Losing Candidate]])/(SamplingData[[#Totals],[Winning Candidate]]-SamplingData[[#Totals],[Losing Candidate]]), 0)</f>
        <v>0</v>
      </c>
      <c r="L504" s="100">
        <f>IF(AND(SamplingData[[#This Row],[Total]]&lt;&gt; 0, NOT(ISBLANK(SamplingData[[#This Row],[Candidate 3]]))),(SamplingData[[#This Row],[Total]]+SamplingData[[#This Row],[Winning Candidate]]-SamplingData[[#This Row],[Candidate 3]])/(SamplingData[[#Totals],[Winning Candidate]]-SamplingData[[#Totals],[Candidate 3]]), 0)</f>
        <v>3.2261186566441917E-5</v>
      </c>
      <c r="M504" s="100">
        <f>IF(AND(SamplingData[[#This Row],[Total]]&lt;&gt; 0, NOT(ISBLANK(SamplingData[[#This Row],[Candidate 4]]))),(SamplingData[[#This Row],[Total]]+SamplingData[[#This Row],[Winning Candidate]]-SamplingData[[#This Row],[Candidate 4]])/(SamplingData[[#Totals],[Winning Candidate]]-SamplingData[[#Totals],[Candidate 4]]), 0)</f>
        <v>2.923207343096846E-5</v>
      </c>
      <c r="N504" s="100">
        <f>IF(AND(SamplingData[[#This Row],[Total]]&lt;&gt; 0, NOT(ISBLANK(SamplingData[[#This Row],[Candidate 5]]))),(SamplingData[[#This Row],[Total]]+SamplingData[[#This Row],[Winning Candidate]]-SamplingData[[#This Row],[Candidate 5]])/(SamplingData[[#Totals],[Winning Candidate]]-SamplingData[[#Totals],[Candidate 5]]), 0)</f>
        <v>2.4324981756263683E-5</v>
      </c>
      <c r="O504" s="100">
        <f>IF(AND(SamplingData[[#This Row],[Total]]&lt;&gt; 0, NOT(ISBLANK(SamplingData[[#This Row],[Candidate 6]]))),(SamplingData[[#This Row],[Total]]+SamplingData[[#This Row],[Winning Candidate]]-SamplingData[[#This Row],[Candidate 6]])/(SamplingData[[#Totals],[Winning Candidate]]-SamplingData[[#Totals],[Candidate 6]]), 0)</f>
        <v>2.431788337143135E-5</v>
      </c>
      <c r="P504" s="100">
        <f>MAX(SamplingData[[#This Row],[Error Bound (up) - Max. possible relative overstatement - Losing Candidate]:[Error Bound (up) - Max. possible relative overstatement - Candidate 6]])</f>
        <v>3.2261186566441917E-5</v>
      </c>
      <c r="Q504" s="100">
        <f>IF(SamplingData[[#This Row],[Max Error Bound (up)]] = 0,0,SamplingData[[#This Row],[Max Error Bound (up)]]/SamplingData[[#Totals],[Max Error Bound (up)]])</f>
        <v>5.1058637768320663E-6</v>
      </c>
      <c r="R504" s="101">
        <f>SUM($Q$5:Q504)</f>
        <v>0.18376997578759577</v>
      </c>
      <c r="S504" s="100" t="str">
        <f t="array" ref="S504">IF(SamplingData[[#This Row],[up/U Selection Probability]] = 0, "Zero", TEXT(SamplingData[[#This Row],[Lower Range]], REPT("0",LEN('General Info'!$B$40))) &amp; " - " &amp; TEXT(SamplingData[[#This Row],[Upper Range]], REPT("0",LEN('General Info'!$B$40))))</f>
        <v>18376 - 18376</v>
      </c>
      <c r="T504" s="100">
        <f>SamplingData[[#This Row],[Upper Range]]-SamplingData[[#This Row],[Span]]</f>
        <v>18376.486997487755</v>
      </c>
      <c r="U504" s="100">
        <f>IF(ISNUMBER('General Info'!$B$40), ((SamplingData[[#This Row],[up/U Selection Probability]]) * 'General Info'!$B$40) - 1, 0)</f>
        <v>-0.4894187281805702</v>
      </c>
      <c r="V504" s="100">
        <f>IF(ISNUMBER('General Info'!$B$40), (SamplingData[[#This Row],[Running (cumulative) sum]] * ('General Info'!$B$40 -'General Info'!$B$41 + 1)) + 'General Info'!$B$41 - 1, 0)</f>
        <v>18375.997578759576</v>
      </c>
      <c r="W504" s="100" t="str">
        <f>IF(ISERROR(MATCH(SamplingData[[#This Row],[Batch by Type (p)]],SelectedPrecincts[Batch Name], 0)), "", INDEX(SelectedPrecincts[Draw], MATCH(SamplingData[[#This Row],[Batch by Type (p)]],SelectedPrecincts[Batch Name], 0)))</f>
        <v/>
      </c>
      <c r="X504" s="102">
        <f>IF(COUNTIF(SelectedPrecincts[Batch Name],SamplingData[[#This Row],[Batch by Type (p)]]) &lt;&gt; 0, COUNTIF(SelectedPrecincts[Batch Name],SamplingData[[#This Row],[Batch by Type (p)]]), 0)</f>
        <v>0</v>
      </c>
    </row>
    <row r="505" spans="1:24" ht="15" customHeight="1">
      <c r="A505" s="18" t="s">
        <v>681</v>
      </c>
      <c r="B505" s="18">
        <v>0</v>
      </c>
      <c r="C505" s="18">
        <v>0</v>
      </c>
      <c r="D505" s="16">
        <v>1</v>
      </c>
      <c r="E505" s="16">
        <v>0</v>
      </c>
      <c r="F505" s="37">
        <v>0</v>
      </c>
      <c r="G505" s="37">
        <v>0</v>
      </c>
      <c r="H505" s="17">
        <v>0</v>
      </c>
      <c r="I505" s="17">
        <v>0</v>
      </c>
      <c r="J505" s="99">
        <f>SUM(SamplingData[[#This Row],[Losing Candidate]:[Under Votes]])</f>
        <v>1</v>
      </c>
      <c r="K505"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05" s="100">
        <f>IF(AND(SamplingData[[#This Row],[Total]]&lt;&gt; 0, NOT(ISBLANK(SamplingData[[#This Row],[Candidate 3]]))),(SamplingData[[#This Row],[Total]]+SamplingData[[#This Row],[Winning Candidate]]-SamplingData[[#This Row],[Candidate 3]])/(SamplingData[[#Totals],[Winning Candidate]]-SamplingData[[#Totals],[Candidate 3]]), 0)</f>
        <v>0</v>
      </c>
      <c r="M505" s="100">
        <f>IF(AND(SamplingData[[#This Row],[Total]]&lt;&gt; 0, NOT(ISBLANK(SamplingData[[#This Row],[Candidate 4]]))),(SamplingData[[#This Row],[Total]]+SamplingData[[#This Row],[Winning Candidate]]-SamplingData[[#This Row],[Candidate 4]])/(SamplingData[[#Totals],[Winning Candidate]]-SamplingData[[#Totals],[Candidate 4]]), 0)</f>
        <v>2.923207343096846E-5</v>
      </c>
      <c r="N505" s="100">
        <f>IF(AND(SamplingData[[#This Row],[Total]]&lt;&gt; 0, NOT(ISBLANK(SamplingData[[#This Row],[Candidate 5]]))),(SamplingData[[#This Row],[Total]]+SamplingData[[#This Row],[Winning Candidate]]-SamplingData[[#This Row],[Candidate 5]])/(SamplingData[[#Totals],[Winning Candidate]]-SamplingData[[#Totals],[Candidate 5]]), 0)</f>
        <v>2.4324981756263683E-5</v>
      </c>
      <c r="O505" s="100">
        <f>IF(AND(SamplingData[[#This Row],[Total]]&lt;&gt; 0, NOT(ISBLANK(SamplingData[[#This Row],[Candidate 6]]))),(SamplingData[[#This Row],[Total]]+SamplingData[[#This Row],[Winning Candidate]]-SamplingData[[#This Row],[Candidate 6]])/(SamplingData[[#Totals],[Winning Candidate]]-SamplingData[[#Totals],[Candidate 6]]), 0)</f>
        <v>2.431788337143135E-5</v>
      </c>
      <c r="P505" s="100">
        <f>MAX(SamplingData[[#This Row],[Error Bound (up) - Max. possible relative overstatement - Losing Candidate]:[Error Bound (up) - Max. possible relative overstatement - Candidate 6]])</f>
        <v>6.1244487996080352E-5</v>
      </c>
      <c r="Q505" s="100">
        <f>IF(SamplingData[[#This Row],[Max Error Bound (up)]] = 0,0,SamplingData[[#This Row],[Max Error Bound (up)]]/SamplingData[[#Totals],[Max Error Bound (up)]])</f>
        <v>9.6929482784458315E-6</v>
      </c>
      <c r="R505" s="101">
        <f>SUM($Q$5:Q505)</f>
        <v>0.1837796687358742</v>
      </c>
      <c r="S505" s="100" t="str">
        <f t="array" ref="S505">IF(SamplingData[[#This Row],[up/U Selection Probability]] = 0, "Zero", TEXT(SamplingData[[#This Row],[Lower Range]], REPT("0",LEN('General Info'!$B$40))) &amp; " - " &amp; TEXT(SamplingData[[#This Row],[Upper Range]], REPT("0",LEN('General Info'!$B$40))))</f>
        <v>18377 - 18377</v>
      </c>
      <c r="T505" s="100">
        <f>SamplingData[[#This Row],[Upper Range]]-SamplingData[[#This Row],[Span]]</f>
        <v>18376.997588452527</v>
      </c>
      <c r="U505" s="100">
        <f>IF(ISNUMBER('General Info'!$B$40), ((SamplingData[[#This Row],[up/U Selection Probability]]) * 'General Info'!$B$40) - 1, 0)</f>
        <v>-3.0714865103695255E-2</v>
      </c>
      <c r="V505" s="100">
        <f>IF(ISNUMBER('General Info'!$B$40), (SamplingData[[#This Row],[Running (cumulative) sum]] * ('General Info'!$B$40 -'General Info'!$B$41 + 1)) + 'General Info'!$B$41 - 1, 0)</f>
        <v>18376.966873587422</v>
      </c>
      <c r="W505" s="100" t="str">
        <f>IF(ISERROR(MATCH(SamplingData[[#This Row],[Batch by Type (p)]],SelectedPrecincts[Batch Name], 0)), "", INDEX(SelectedPrecincts[Draw], MATCH(SamplingData[[#This Row],[Batch by Type (p)]],SelectedPrecincts[Batch Name], 0)))</f>
        <v/>
      </c>
      <c r="X505" s="102">
        <f>IF(COUNTIF(SelectedPrecincts[Batch Name],SamplingData[[#This Row],[Batch by Type (p)]]) &lt;&gt; 0, COUNTIF(SelectedPrecincts[Batch Name],SamplingData[[#This Row],[Batch by Type (p)]]), 0)</f>
        <v>0</v>
      </c>
    </row>
    <row r="506" spans="1:24" ht="15" customHeight="1">
      <c r="A506" s="18" t="s">
        <v>682</v>
      </c>
      <c r="B506" s="18">
        <v>0</v>
      </c>
      <c r="C506" s="18">
        <v>0</v>
      </c>
      <c r="D506" s="18">
        <v>0</v>
      </c>
      <c r="E506" s="18">
        <v>0</v>
      </c>
      <c r="F506" s="18">
        <v>0</v>
      </c>
      <c r="G506" s="18">
        <v>0</v>
      </c>
      <c r="H506" s="18">
        <v>0</v>
      </c>
      <c r="I506" s="18">
        <v>0</v>
      </c>
      <c r="J506" s="99">
        <f>SUM(SamplingData[[#This Row],[Losing Candidate]:[Under Votes]])</f>
        <v>0</v>
      </c>
      <c r="K506" s="100">
        <f>IF(AND(SamplingData[[#This Row],[Total]]&lt;&gt; 0, NOT(ISBLANK(SamplingData[[#This Row],[Losing Candidate]]))),(SamplingData[[#This Row],[Total]]+SamplingData[[#This Row],[Winning Candidate]]-SamplingData[[#This Row],[Losing Candidate]])/(SamplingData[[#Totals],[Winning Candidate]]-SamplingData[[#Totals],[Losing Candidate]]), 0)</f>
        <v>0</v>
      </c>
      <c r="L506" s="100">
        <f>IF(AND(SamplingData[[#This Row],[Total]]&lt;&gt; 0, NOT(ISBLANK(SamplingData[[#This Row],[Candidate 3]]))),(SamplingData[[#This Row],[Total]]+SamplingData[[#This Row],[Winning Candidate]]-SamplingData[[#This Row],[Candidate 3]])/(SamplingData[[#Totals],[Winning Candidate]]-SamplingData[[#Totals],[Candidate 3]]), 0)</f>
        <v>0</v>
      </c>
      <c r="M506" s="100">
        <f>IF(AND(SamplingData[[#This Row],[Total]]&lt;&gt; 0, NOT(ISBLANK(SamplingData[[#This Row],[Candidate 4]]))),(SamplingData[[#This Row],[Total]]+SamplingData[[#This Row],[Winning Candidate]]-SamplingData[[#This Row],[Candidate 4]])/(SamplingData[[#Totals],[Winning Candidate]]-SamplingData[[#Totals],[Candidate 4]]), 0)</f>
        <v>0</v>
      </c>
      <c r="N506" s="100">
        <f>IF(AND(SamplingData[[#This Row],[Total]]&lt;&gt; 0, NOT(ISBLANK(SamplingData[[#This Row],[Candidate 5]]))),(SamplingData[[#This Row],[Total]]+SamplingData[[#This Row],[Winning Candidate]]-SamplingData[[#This Row],[Candidate 5]])/(SamplingData[[#Totals],[Winning Candidate]]-SamplingData[[#Totals],[Candidate 5]]), 0)</f>
        <v>0</v>
      </c>
      <c r="O506" s="100">
        <f>IF(AND(SamplingData[[#This Row],[Total]]&lt;&gt; 0, NOT(ISBLANK(SamplingData[[#This Row],[Candidate 6]]))),(SamplingData[[#This Row],[Total]]+SamplingData[[#This Row],[Winning Candidate]]-SamplingData[[#This Row],[Candidate 6]])/(SamplingData[[#Totals],[Winning Candidate]]-SamplingData[[#Totals],[Candidate 6]]), 0)</f>
        <v>0</v>
      </c>
      <c r="P506" s="100">
        <f>MAX(SamplingData[[#This Row],[Error Bound (up) - Max. possible relative overstatement - Losing Candidate]:[Error Bound (up) - Max. possible relative overstatement - Candidate 6]])</f>
        <v>0</v>
      </c>
      <c r="Q506" s="100">
        <f>IF(SamplingData[[#This Row],[Max Error Bound (up)]] = 0,0,SamplingData[[#This Row],[Max Error Bound (up)]]/SamplingData[[#Totals],[Max Error Bound (up)]])</f>
        <v>0</v>
      </c>
      <c r="R506" s="101">
        <f>SUM($Q$5:Q506)</f>
        <v>0.1837796687358742</v>
      </c>
      <c r="S506" s="100" t="str">
        <f t="array" ref="S506">IF(SamplingData[[#This Row],[up/U Selection Probability]] = 0, "Zero", TEXT(SamplingData[[#This Row],[Lower Range]], REPT("0",LEN('General Info'!$B$40))) &amp; " - " &amp; TEXT(SamplingData[[#This Row],[Upper Range]], REPT("0",LEN('General Info'!$B$40))))</f>
        <v>Zero</v>
      </c>
      <c r="T506" s="100">
        <f>SamplingData[[#This Row],[Upper Range]]-SamplingData[[#This Row],[Span]]</f>
        <v>18377.966873587422</v>
      </c>
      <c r="U506" s="100">
        <f>IF(ISNUMBER('General Info'!$B$40), ((SamplingData[[#This Row],[up/U Selection Probability]]) * 'General Info'!$B$40) - 1, 0)</f>
        <v>-1</v>
      </c>
      <c r="V506" s="100">
        <f>IF(ISNUMBER('General Info'!$B$40), (SamplingData[[#This Row],[Running (cumulative) sum]] * ('General Info'!$B$40 -'General Info'!$B$41 + 1)) + 'General Info'!$B$41 - 1, 0)</f>
        <v>18376.966873587422</v>
      </c>
      <c r="W506" s="100" t="str">
        <f>IF(ISERROR(MATCH(SamplingData[[#This Row],[Batch by Type (p)]],SelectedPrecincts[Batch Name], 0)), "", INDEX(SelectedPrecincts[Draw], MATCH(SamplingData[[#This Row],[Batch by Type (p)]],SelectedPrecincts[Batch Name], 0)))</f>
        <v/>
      </c>
      <c r="X506" s="102">
        <f>IF(COUNTIF(SelectedPrecincts[Batch Name],SamplingData[[#This Row],[Batch by Type (p)]]) &lt;&gt; 0, COUNTIF(SelectedPrecincts[Batch Name],SamplingData[[#This Row],[Batch by Type (p)]]), 0)</f>
        <v>0</v>
      </c>
    </row>
    <row r="507" spans="1:24" ht="15" customHeight="1">
      <c r="A507" s="18" t="s">
        <v>683</v>
      </c>
      <c r="B507" s="18">
        <v>1</v>
      </c>
      <c r="C507" s="18">
        <v>0</v>
      </c>
      <c r="D507" s="16">
        <v>0</v>
      </c>
      <c r="E507" s="16">
        <v>0</v>
      </c>
      <c r="F507" s="37">
        <v>0</v>
      </c>
      <c r="G507" s="37">
        <v>1</v>
      </c>
      <c r="H507" s="17">
        <v>0</v>
      </c>
      <c r="I507" s="17">
        <v>0</v>
      </c>
      <c r="J507" s="99">
        <f>SUM(SamplingData[[#This Row],[Losing Candidate]:[Under Votes]])</f>
        <v>2</v>
      </c>
      <c r="K507"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07" s="100">
        <f>IF(AND(SamplingData[[#This Row],[Total]]&lt;&gt; 0, NOT(ISBLANK(SamplingData[[#This Row],[Candidate 3]]))),(SamplingData[[#This Row],[Total]]+SamplingData[[#This Row],[Winning Candidate]]-SamplingData[[#This Row],[Candidate 3]])/(SamplingData[[#Totals],[Winning Candidate]]-SamplingData[[#Totals],[Candidate 3]]), 0)</f>
        <v>6.4522373132883833E-5</v>
      </c>
      <c r="M507" s="100">
        <f>IF(AND(SamplingData[[#This Row],[Total]]&lt;&gt; 0, NOT(ISBLANK(SamplingData[[#This Row],[Candidate 4]]))),(SamplingData[[#This Row],[Total]]+SamplingData[[#This Row],[Winning Candidate]]-SamplingData[[#This Row],[Candidate 4]])/(SamplingData[[#Totals],[Winning Candidate]]-SamplingData[[#Totals],[Candidate 4]]), 0)</f>
        <v>5.846414686193692E-5</v>
      </c>
      <c r="N507" s="100">
        <f>IF(AND(SamplingData[[#This Row],[Total]]&lt;&gt; 0, NOT(ISBLANK(SamplingData[[#This Row],[Candidate 5]]))),(SamplingData[[#This Row],[Total]]+SamplingData[[#This Row],[Winning Candidate]]-SamplingData[[#This Row],[Candidate 5]])/(SamplingData[[#Totals],[Winning Candidate]]-SamplingData[[#Totals],[Candidate 5]]), 0)</f>
        <v>4.8649963512527367E-5</v>
      </c>
      <c r="O507" s="100">
        <f>IF(AND(SamplingData[[#This Row],[Total]]&lt;&gt; 0, NOT(ISBLANK(SamplingData[[#This Row],[Candidate 6]]))),(SamplingData[[#This Row],[Total]]+SamplingData[[#This Row],[Winning Candidate]]-SamplingData[[#This Row],[Candidate 6]])/(SamplingData[[#Totals],[Winning Candidate]]-SamplingData[[#Totals],[Candidate 6]]), 0)</f>
        <v>2.431788337143135E-5</v>
      </c>
      <c r="P507" s="100">
        <f>MAX(SamplingData[[#This Row],[Error Bound (up) - Max. possible relative overstatement - Losing Candidate]:[Error Bound (up) - Max. possible relative overstatement - Candidate 6]])</f>
        <v>6.4522373132883833E-5</v>
      </c>
      <c r="Q507" s="100">
        <f>IF(SamplingData[[#This Row],[Max Error Bound (up)]] = 0,0,SamplingData[[#This Row],[Max Error Bound (up)]]/SamplingData[[#Totals],[Max Error Bound (up)]])</f>
        <v>1.0211727553664133E-5</v>
      </c>
      <c r="R507" s="101">
        <f>SUM($Q$5:Q507)</f>
        <v>0.18378988046342787</v>
      </c>
      <c r="S507" s="100" t="str">
        <f t="array" ref="S507">IF(SamplingData[[#This Row],[up/U Selection Probability]] = 0, "Zero", TEXT(SamplingData[[#This Row],[Lower Range]], REPT("0",LEN('General Info'!$B$40))) &amp; " - " &amp; TEXT(SamplingData[[#This Row],[Upper Range]], REPT("0",LEN('General Info'!$B$40))))</f>
        <v>18378 - 18378</v>
      </c>
      <c r="T507" s="100">
        <f>SamplingData[[#This Row],[Upper Range]]-SamplingData[[#This Row],[Span]]</f>
        <v>18377.966883799148</v>
      </c>
      <c r="U507" s="100">
        <f>IF(ISNUMBER('General Info'!$B$40), ((SamplingData[[#This Row],[up/U Selection Probability]]) * 'General Info'!$B$40) - 1, 0)</f>
        <v>2.116254363885961E-2</v>
      </c>
      <c r="V507" s="100">
        <f>IF(ISNUMBER('General Info'!$B$40), (SamplingData[[#This Row],[Running (cumulative) sum]] * ('General Info'!$B$40 -'General Info'!$B$41 + 1)) + 'General Info'!$B$41 - 1, 0)</f>
        <v>18377.988046342787</v>
      </c>
      <c r="W507" s="100" t="str">
        <f>IF(ISERROR(MATCH(SamplingData[[#This Row],[Batch by Type (p)]],SelectedPrecincts[Batch Name], 0)), "", INDEX(SelectedPrecincts[Draw], MATCH(SamplingData[[#This Row],[Batch by Type (p)]],SelectedPrecincts[Batch Name], 0)))</f>
        <v/>
      </c>
      <c r="X507" s="102">
        <f>IF(COUNTIF(SelectedPrecincts[Batch Name],SamplingData[[#This Row],[Batch by Type (p)]]) &lt;&gt; 0, COUNTIF(SelectedPrecincts[Batch Name],SamplingData[[#This Row],[Batch by Type (p)]]), 0)</f>
        <v>0</v>
      </c>
    </row>
    <row r="508" spans="1:24" ht="15" customHeight="1">
      <c r="A508" s="18" t="s">
        <v>684</v>
      </c>
      <c r="B508" s="18">
        <v>0</v>
      </c>
      <c r="C508" s="18">
        <v>0</v>
      </c>
      <c r="D508" s="18">
        <v>0</v>
      </c>
      <c r="E508" s="18">
        <v>0</v>
      </c>
      <c r="F508" s="18">
        <v>0</v>
      </c>
      <c r="G508" s="18">
        <v>0</v>
      </c>
      <c r="H508" s="18">
        <v>0</v>
      </c>
      <c r="I508" s="18">
        <v>0</v>
      </c>
      <c r="J508" s="99">
        <f>SUM(SamplingData[[#This Row],[Losing Candidate]:[Under Votes]])</f>
        <v>0</v>
      </c>
      <c r="K508" s="100">
        <f>IF(AND(SamplingData[[#This Row],[Total]]&lt;&gt; 0, NOT(ISBLANK(SamplingData[[#This Row],[Losing Candidate]]))),(SamplingData[[#This Row],[Total]]+SamplingData[[#This Row],[Winning Candidate]]-SamplingData[[#This Row],[Losing Candidate]])/(SamplingData[[#Totals],[Winning Candidate]]-SamplingData[[#Totals],[Losing Candidate]]), 0)</f>
        <v>0</v>
      </c>
      <c r="L508" s="100">
        <f>IF(AND(SamplingData[[#This Row],[Total]]&lt;&gt; 0, NOT(ISBLANK(SamplingData[[#This Row],[Candidate 3]]))),(SamplingData[[#This Row],[Total]]+SamplingData[[#This Row],[Winning Candidate]]-SamplingData[[#This Row],[Candidate 3]])/(SamplingData[[#Totals],[Winning Candidate]]-SamplingData[[#Totals],[Candidate 3]]), 0)</f>
        <v>0</v>
      </c>
      <c r="M508" s="100">
        <f>IF(AND(SamplingData[[#This Row],[Total]]&lt;&gt; 0, NOT(ISBLANK(SamplingData[[#This Row],[Candidate 4]]))),(SamplingData[[#This Row],[Total]]+SamplingData[[#This Row],[Winning Candidate]]-SamplingData[[#This Row],[Candidate 4]])/(SamplingData[[#Totals],[Winning Candidate]]-SamplingData[[#Totals],[Candidate 4]]), 0)</f>
        <v>0</v>
      </c>
      <c r="N508" s="100">
        <f>IF(AND(SamplingData[[#This Row],[Total]]&lt;&gt; 0, NOT(ISBLANK(SamplingData[[#This Row],[Candidate 5]]))),(SamplingData[[#This Row],[Total]]+SamplingData[[#This Row],[Winning Candidate]]-SamplingData[[#This Row],[Candidate 5]])/(SamplingData[[#Totals],[Winning Candidate]]-SamplingData[[#Totals],[Candidate 5]]), 0)</f>
        <v>0</v>
      </c>
      <c r="O508" s="100">
        <f>IF(AND(SamplingData[[#This Row],[Total]]&lt;&gt; 0, NOT(ISBLANK(SamplingData[[#This Row],[Candidate 6]]))),(SamplingData[[#This Row],[Total]]+SamplingData[[#This Row],[Winning Candidate]]-SamplingData[[#This Row],[Candidate 6]])/(SamplingData[[#Totals],[Winning Candidate]]-SamplingData[[#Totals],[Candidate 6]]), 0)</f>
        <v>0</v>
      </c>
      <c r="P508" s="100">
        <f>MAX(SamplingData[[#This Row],[Error Bound (up) - Max. possible relative overstatement - Losing Candidate]:[Error Bound (up) - Max. possible relative overstatement - Candidate 6]])</f>
        <v>0</v>
      </c>
      <c r="Q508" s="100">
        <f>IF(SamplingData[[#This Row],[Max Error Bound (up)]] = 0,0,SamplingData[[#This Row],[Max Error Bound (up)]]/SamplingData[[#Totals],[Max Error Bound (up)]])</f>
        <v>0</v>
      </c>
      <c r="R508" s="101">
        <f>SUM($Q$5:Q508)</f>
        <v>0.18378988046342787</v>
      </c>
      <c r="S508" s="100" t="str">
        <f t="array" ref="S508">IF(SamplingData[[#This Row],[up/U Selection Probability]] = 0, "Zero", TEXT(SamplingData[[#This Row],[Lower Range]], REPT("0",LEN('General Info'!$B$40))) &amp; " - " &amp; TEXT(SamplingData[[#This Row],[Upper Range]], REPT("0",LEN('General Info'!$B$40))))</f>
        <v>Zero</v>
      </c>
      <c r="T508" s="100">
        <f>SamplingData[[#This Row],[Upper Range]]-SamplingData[[#This Row],[Span]]</f>
        <v>18378.988046342787</v>
      </c>
      <c r="U508" s="100">
        <f>IF(ISNUMBER('General Info'!$B$40), ((SamplingData[[#This Row],[up/U Selection Probability]]) * 'General Info'!$B$40) - 1, 0)</f>
        <v>-1</v>
      </c>
      <c r="V508" s="100">
        <f>IF(ISNUMBER('General Info'!$B$40), (SamplingData[[#This Row],[Running (cumulative) sum]] * ('General Info'!$B$40 -'General Info'!$B$41 + 1)) + 'General Info'!$B$41 - 1, 0)</f>
        <v>18377.988046342787</v>
      </c>
      <c r="W508" s="100" t="str">
        <f>IF(ISERROR(MATCH(SamplingData[[#This Row],[Batch by Type (p)]],SelectedPrecincts[Batch Name], 0)), "", INDEX(SelectedPrecincts[Draw], MATCH(SamplingData[[#This Row],[Batch by Type (p)]],SelectedPrecincts[Batch Name], 0)))</f>
        <v/>
      </c>
      <c r="X508" s="102">
        <f>IF(COUNTIF(SelectedPrecincts[Batch Name],SamplingData[[#This Row],[Batch by Type (p)]]) &lt;&gt; 0, COUNTIF(SelectedPrecincts[Batch Name],SamplingData[[#This Row],[Batch by Type (p)]]), 0)</f>
        <v>0</v>
      </c>
    </row>
    <row r="509" spans="1:24" ht="15" customHeight="1">
      <c r="A509" s="18" t="s">
        <v>685</v>
      </c>
      <c r="B509" s="18">
        <v>0</v>
      </c>
      <c r="C509" s="18">
        <v>0</v>
      </c>
      <c r="D509" s="16">
        <v>0</v>
      </c>
      <c r="E509" s="16">
        <v>0</v>
      </c>
      <c r="F509" s="37">
        <v>0</v>
      </c>
      <c r="G509" s="37">
        <v>0</v>
      </c>
      <c r="H509" s="17">
        <v>0</v>
      </c>
      <c r="I509" s="17">
        <v>0</v>
      </c>
      <c r="J509" s="99">
        <f>SUM(SamplingData[[#This Row],[Losing Candidate]:[Under Votes]])</f>
        <v>0</v>
      </c>
      <c r="K509" s="100">
        <f>IF(AND(SamplingData[[#This Row],[Total]]&lt;&gt; 0, NOT(ISBLANK(SamplingData[[#This Row],[Losing Candidate]]))),(SamplingData[[#This Row],[Total]]+SamplingData[[#This Row],[Winning Candidate]]-SamplingData[[#This Row],[Losing Candidate]])/(SamplingData[[#Totals],[Winning Candidate]]-SamplingData[[#Totals],[Losing Candidate]]), 0)</f>
        <v>0</v>
      </c>
      <c r="L509" s="100">
        <f>IF(AND(SamplingData[[#This Row],[Total]]&lt;&gt; 0, NOT(ISBLANK(SamplingData[[#This Row],[Candidate 3]]))),(SamplingData[[#This Row],[Total]]+SamplingData[[#This Row],[Winning Candidate]]-SamplingData[[#This Row],[Candidate 3]])/(SamplingData[[#Totals],[Winning Candidate]]-SamplingData[[#Totals],[Candidate 3]]), 0)</f>
        <v>0</v>
      </c>
      <c r="M509" s="100">
        <f>IF(AND(SamplingData[[#This Row],[Total]]&lt;&gt; 0, NOT(ISBLANK(SamplingData[[#This Row],[Candidate 4]]))),(SamplingData[[#This Row],[Total]]+SamplingData[[#This Row],[Winning Candidate]]-SamplingData[[#This Row],[Candidate 4]])/(SamplingData[[#Totals],[Winning Candidate]]-SamplingData[[#Totals],[Candidate 4]]), 0)</f>
        <v>0</v>
      </c>
      <c r="N509" s="100">
        <f>IF(AND(SamplingData[[#This Row],[Total]]&lt;&gt; 0, NOT(ISBLANK(SamplingData[[#This Row],[Candidate 5]]))),(SamplingData[[#This Row],[Total]]+SamplingData[[#This Row],[Winning Candidate]]-SamplingData[[#This Row],[Candidate 5]])/(SamplingData[[#Totals],[Winning Candidate]]-SamplingData[[#Totals],[Candidate 5]]), 0)</f>
        <v>0</v>
      </c>
      <c r="O509" s="100">
        <f>IF(AND(SamplingData[[#This Row],[Total]]&lt;&gt; 0, NOT(ISBLANK(SamplingData[[#This Row],[Candidate 6]]))),(SamplingData[[#This Row],[Total]]+SamplingData[[#This Row],[Winning Candidate]]-SamplingData[[#This Row],[Candidate 6]])/(SamplingData[[#Totals],[Winning Candidate]]-SamplingData[[#Totals],[Candidate 6]]), 0)</f>
        <v>0</v>
      </c>
      <c r="P509" s="100">
        <f>MAX(SamplingData[[#This Row],[Error Bound (up) - Max. possible relative overstatement - Losing Candidate]:[Error Bound (up) - Max. possible relative overstatement - Candidate 6]])</f>
        <v>0</v>
      </c>
      <c r="Q509" s="100">
        <f>IF(SamplingData[[#This Row],[Max Error Bound (up)]] = 0,0,SamplingData[[#This Row],[Max Error Bound (up)]]/SamplingData[[#Totals],[Max Error Bound (up)]])</f>
        <v>0</v>
      </c>
      <c r="R509" s="101">
        <f>SUM($Q$5:Q509)</f>
        <v>0.18378988046342787</v>
      </c>
      <c r="S509" s="100" t="str">
        <f t="array" ref="S509">IF(SamplingData[[#This Row],[up/U Selection Probability]] = 0, "Zero", TEXT(SamplingData[[#This Row],[Lower Range]], REPT("0",LEN('General Info'!$B$40))) &amp; " - " &amp; TEXT(SamplingData[[#This Row],[Upper Range]], REPT("0",LEN('General Info'!$B$40))))</f>
        <v>Zero</v>
      </c>
      <c r="T509" s="100">
        <f>SamplingData[[#This Row],[Upper Range]]-SamplingData[[#This Row],[Span]]</f>
        <v>18378.988046342787</v>
      </c>
      <c r="U509" s="100">
        <f>IF(ISNUMBER('General Info'!$B$40), ((SamplingData[[#This Row],[up/U Selection Probability]]) * 'General Info'!$B$40) - 1, 0)</f>
        <v>-1</v>
      </c>
      <c r="V509" s="100">
        <f>IF(ISNUMBER('General Info'!$B$40), (SamplingData[[#This Row],[Running (cumulative) sum]] * ('General Info'!$B$40 -'General Info'!$B$41 + 1)) + 'General Info'!$B$41 - 1, 0)</f>
        <v>18377.988046342787</v>
      </c>
      <c r="W509" s="100" t="str">
        <f>IF(ISERROR(MATCH(SamplingData[[#This Row],[Batch by Type (p)]],SelectedPrecincts[Batch Name], 0)), "", INDEX(SelectedPrecincts[Draw], MATCH(SamplingData[[#This Row],[Batch by Type (p)]],SelectedPrecincts[Batch Name], 0)))</f>
        <v/>
      </c>
      <c r="X509" s="102">
        <f>IF(COUNTIF(SelectedPrecincts[Batch Name],SamplingData[[#This Row],[Batch by Type (p)]]) &lt;&gt; 0, COUNTIF(SelectedPrecincts[Batch Name],SamplingData[[#This Row],[Batch by Type (p)]]), 0)</f>
        <v>0</v>
      </c>
    </row>
    <row r="510" spans="1:24" ht="15" customHeight="1">
      <c r="A510" s="18" t="s">
        <v>686</v>
      </c>
      <c r="B510" s="18">
        <v>0</v>
      </c>
      <c r="C510" s="18">
        <v>0</v>
      </c>
      <c r="D510" s="18">
        <v>0</v>
      </c>
      <c r="E510" s="18">
        <v>2</v>
      </c>
      <c r="F510" s="18">
        <v>0</v>
      </c>
      <c r="G510" s="18">
        <v>0</v>
      </c>
      <c r="H510" s="18">
        <v>0</v>
      </c>
      <c r="I510" s="18">
        <v>0</v>
      </c>
      <c r="J510" s="99">
        <f>SUM(SamplingData[[#This Row],[Losing Candidate]:[Under Votes]])</f>
        <v>2</v>
      </c>
      <c r="K51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10" s="100">
        <f>IF(AND(SamplingData[[#This Row],[Total]]&lt;&gt; 0, NOT(ISBLANK(SamplingData[[#This Row],[Candidate 3]]))),(SamplingData[[#This Row],[Total]]+SamplingData[[#This Row],[Winning Candidate]]-SamplingData[[#This Row],[Candidate 3]])/(SamplingData[[#Totals],[Winning Candidate]]-SamplingData[[#Totals],[Candidate 3]]), 0)</f>
        <v>6.4522373132883833E-5</v>
      </c>
      <c r="M510" s="100">
        <f>IF(AND(SamplingData[[#This Row],[Total]]&lt;&gt; 0, NOT(ISBLANK(SamplingData[[#This Row],[Candidate 4]]))),(SamplingData[[#This Row],[Total]]+SamplingData[[#This Row],[Winning Candidate]]-SamplingData[[#This Row],[Candidate 4]])/(SamplingData[[#Totals],[Winning Candidate]]-SamplingData[[#Totals],[Candidate 4]]), 0)</f>
        <v>0</v>
      </c>
      <c r="N510" s="100">
        <f>IF(AND(SamplingData[[#This Row],[Total]]&lt;&gt; 0, NOT(ISBLANK(SamplingData[[#This Row],[Candidate 5]]))),(SamplingData[[#This Row],[Total]]+SamplingData[[#This Row],[Winning Candidate]]-SamplingData[[#This Row],[Candidate 5]])/(SamplingData[[#Totals],[Winning Candidate]]-SamplingData[[#Totals],[Candidate 5]]), 0)</f>
        <v>4.8649963512527367E-5</v>
      </c>
      <c r="O510" s="100">
        <f>IF(AND(SamplingData[[#This Row],[Total]]&lt;&gt; 0, NOT(ISBLANK(SamplingData[[#This Row],[Candidate 6]]))),(SamplingData[[#This Row],[Total]]+SamplingData[[#This Row],[Winning Candidate]]-SamplingData[[#This Row],[Candidate 6]])/(SamplingData[[#Totals],[Winning Candidate]]-SamplingData[[#Totals],[Candidate 6]]), 0)</f>
        <v>4.8635766742862701E-5</v>
      </c>
      <c r="P510" s="100">
        <f>MAX(SamplingData[[#This Row],[Error Bound (up) - Max. possible relative overstatement - Losing Candidate]:[Error Bound (up) - Max. possible relative overstatement - Candidate 6]])</f>
        <v>1.224889759921607E-4</v>
      </c>
      <c r="Q510" s="100">
        <f>IF(SamplingData[[#This Row],[Max Error Bound (up)]] = 0,0,SamplingData[[#This Row],[Max Error Bound (up)]]/SamplingData[[#Totals],[Max Error Bound (up)]])</f>
        <v>1.9385896556891663E-5</v>
      </c>
      <c r="R510" s="101">
        <f>SUM($Q$5:Q510)</f>
        <v>0.18380926635998476</v>
      </c>
      <c r="S510" s="100" t="str">
        <f t="array" ref="S510">IF(SamplingData[[#This Row],[up/U Selection Probability]] = 0, "Zero", TEXT(SamplingData[[#This Row],[Lower Range]], REPT("0",LEN('General Info'!$B$40))) &amp; " - " &amp; TEXT(SamplingData[[#This Row],[Upper Range]], REPT("0",LEN('General Info'!$B$40))))</f>
        <v>18379 - 18380</v>
      </c>
      <c r="T510" s="100">
        <f>SamplingData[[#This Row],[Upper Range]]-SamplingData[[#This Row],[Span]]</f>
        <v>18378.988065728685</v>
      </c>
      <c r="U510" s="100">
        <f>IF(ISNUMBER('General Info'!$B$40), ((SamplingData[[#This Row],[up/U Selection Probability]]) * 'General Info'!$B$40) - 1, 0)</f>
        <v>0.93857026979260949</v>
      </c>
      <c r="V510" s="100">
        <f>IF(ISNUMBER('General Info'!$B$40), (SamplingData[[#This Row],[Running (cumulative) sum]] * ('General Info'!$B$40 -'General Info'!$B$41 + 1)) + 'General Info'!$B$41 - 1, 0)</f>
        <v>18379.926635998476</v>
      </c>
      <c r="W510" s="100" t="str">
        <f>IF(ISERROR(MATCH(SamplingData[[#This Row],[Batch by Type (p)]],SelectedPrecincts[Batch Name], 0)), "", INDEX(SelectedPrecincts[Draw], MATCH(SamplingData[[#This Row],[Batch by Type (p)]],SelectedPrecincts[Batch Name], 0)))</f>
        <v/>
      </c>
      <c r="X510" s="102">
        <f>IF(COUNTIF(SelectedPrecincts[Batch Name],SamplingData[[#This Row],[Batch by Type (p)]]) &lt;&gt; 0, COUNTIF(SelectedPrecincts[Batch Name],SamplingData[[#This Row],[Batch by Type (p)]]), 0)</f>
        <v>0</v>
      </c>
    </row>
    <row r="511" spans="1:24" ht="15" customHeight="1">
      <c r="A511" s="18" t="s">
        <v>687</v>
      </c>
      <c r="B511" s="18">
        <v>0</v>
      </c>
      <c r="C511" s="18">
        <v>1</v>
      </c>
      <c r="D511" s="16">
        <v>2</v>
      </c>
      <c r="E511" s="16">
        <v>0</v>
      </c>
      <c r="F511" s="37">
        <v>0</v>
      </c>
      <c r="G511" s="37">
        <v>0</v>
      </c>
      <c r="H511" s="17">
        <v>0</v>
      </c>
      <c r="I511" s="17">
        <v>0</v>
      </c>
      <c r="J511" s="99">
        <f>SUM(SamplingData[[#This Row],[Losing Candidate]:[Under Votes]])</f>
        <v>3</v>
      </c>
      <c r="K511"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511" s="100">
        <f>IF(AND(SamplingData[[#This Row],[Total]]&lt;&gt; 0, NOT(ISBLANK(SamplingData[[#This Row],[Candidate 3]]))),(SamplingData[[#This Row],[Total]]+SamplingData[[#This Row],[Winning Candidate]]-SamplingData[[#This Row],[Candidate 3]])/(SamplingData[[#Totals],[Winning Candidate]]-SamplingData[[#Totals],[Candidate 3]]), 0)</f>
        <v>6.4522373132883833E-5</v>
      </c>
      <c r="M511" s="100">
        <f>IF(AND(SamplingData[[#This Row],[Total]]&lt;&gt; 0, NOT(ISBLANK(SamplingData[[#This Row],[Candidate 4]]))),(SamplingData[[#This Row],[Total]]+SamplingData[[#This Row],[Winning Candidate]]-SamplingData[[#This Row],[Candidate 4]])/(SamplingData[[#Totals],[Winning Candidate]]-SamplingData[[#Totals],[Candidate 4]]), 0)</f>
        <v>1.1692829372387384E-4</v>
      </c>
      <c r="N511" s="100">
        <f>IF(AND(SamplingData[[#This Row],[Total]]&lt;&gt; 0, NOT(ISBLANK(SamplingData[[#This Row],[Candidate 5]]))),(SamplingData[[#This Row],[Total]]+SamplingData[[#This Row],[Winning Candidate]]-SamplingData[[#This Row],[Candidate 5]])/(SamplingData[[#Totals],[Winning Candidate]]-SamplingData[[#Totals],[Candidate 5]]), 0)</f>
        <v>9.7299927025054734E-5</v>
      </c>
      <c r="O511" s="100">
        <f>IF(AND(SamplingData[[#This Row],[Total]]&lt;&gt; 0, NOT(ISBLANK(SamplingData[[#This Row],[Candidate 6]]))),(SamplingData[[#This Row],[Total]]+SamplingData[[#This Row],[Winning Candidate]]-SamplingData[[#This Row],[Candidate 6]])/(SamplingData[[#Totals],[Winning Candidate]]-SamplingData[[#Totals],[Candidate 6]]), 0)</f>
        <v>9.7271533485725401E-5</v>
      </c>
      <c r="P511" s="100">
        <f>MAX(SamplingData[[#This Row],[Error Bound (up) - Max. possible relative overstatement - Losing Candidate]:[Error Bound (up) - Max. possible relative overstatement - Candidate 6]])</f>
        <v>2.4497795198432141E-4</v>
      </c>
      <c r="Q511" s="100">
        <f>IF(SamplingData[[#This Row],[Max Error Bound (up)]] = 0,0,SamplingData[[#This Row],[Max Error Bound (up)]]/SamplingData[[#Totals],[Max Error Bound (up)]])</f>
        <v>3.8771793113783326E-5</v>
      </c>
      <c r="R511" s="101">
        <f>SUM($Q$5:Q511)</f>
        <v>0.18384803815309855</v>
      </c>
      <c r="S511" s="100" t="str">
        <f t="array" ref="S511">IF(SamplingData[[#This Row],[up/U Selection Probability]] = 0, "Zero", TEXT(SamplingData[[#This Row],[Lower Range]], REPT("0",LEN('General Info'!$B$40))) &amp; " - " &amp; TEXT(SamplingData[[#This Row],[Upper Range]], REPT("0",LEN('General Info'!$B$40))))</f>
        <v>18381 - 18384</v>
      </c>
      <c r="T511" s="100">
        <f>SamplingData[[#This Row],[Upper Range]]-SamplingData[[#This Row],[Span]]</f>
        <v>18380.926674770271</v>
      </c>
      <c r="U511" s="100">
        <f>IF(ISNUMBER('General Info'!$B$40), ((SamplingData[[#This Row],[up/U Selection Probability]]) * 'General Info'!$B$40) - 1, 0)</f>
        <v>2.877140539585219</v>
      </c>
      <c r="V511" s="100">
        <f>IF(ISNUMBER('General Info'!$B$40), (SamplingData[[#This Row],[Running (cumulative) sum]] * ('General Info'!$B$40 -'General Info'!$B$41 + 1)) + 'General Info'!$B$41 - 1, 0)</f>
        <v>18383.803815309857</v>
      </c>
      <c r="W511" s="100" t="str">
        <f>IF(ISERROR(MATCH(SamplingData[[#This Row],[Batch by Type (p)]],SelectedPrecincts[Batch Name], 0)), "", INDEX(SelectedPrecincts[Draw], MATCH(SamplingData[[#This Row],[Batch by Type (p)]],SelectedPrecincts[Batch Name], 0)))</f>
        <v/>
      </c>
      <c r="X511" s="102">
        <f>IF(COUNTIF(SelectedPrecincts[Batch Name],SamplingData[[#This Row],[Batch by Type (p)]]) &lt;&gt; 0, COUNTIF(SelectedPrecincts[Batch Name],SamplingData[[#This Row],[Batch by Type (p)]]), 0)</f>
        <v>0</v>
      </c>
    </row>
    <row r="512" spans="1:24" ht="15" customHeight="1">
      <c r="A512" s="18" t="s">
        <v>688</v>
      </c>
      <c r="B512" s="18">
        <v>0</v>
      </c>
      <c r="C512" s="18">
        <v>0</v>
      </c>
      <c r="D512" s="18">
        <v>0</v>
      </c>
      <c r="E512" s="18">
        <v>0</v>
      </c>
      <c r="F512" s="18">
        <v>0</v>
      </c>
      <c r="G512" s="18">
        <v>0</v>
      </c>
      <c r="H512" s="18">
        <v>0</v>
      </c>
      <c r="I512" s="18">
        <v>0</v>
      </c>
      <c r="J512" s="99">
        <f>SUM(SamplingData[[#This Row],[Losing Candidate]:[Under Votes]])</f>
        <v>0</v>
      </c>
      <c r="K512" s="100">
        <f>IF(AND(SamplingData[[#This Row],[Total]]&lt;&gt; 0, NOT(ISBLANK(SamplingData[[#This Row],[Losing Candidate]]))),(SamplingData[[#This Row],[Total]]+SamplingData[[#This Row],[Winning Candidate]]-SamplingData[[#This Row],[Losing Candidate]])/(SamplingData[[#Totals],[Winning Candidate]]-SamplingData[[#Totals],[Losing Candidate]]), 0)</f>
        <v>0</v>
      </c>
      <c r="L512" s="100">
        <f>IF(AND(SamplingData[[#This Row],[Total]]&lt;&gt; 0, NOT(ISBLANK(SamplingData[[#This Row],[Candidate 3]]))),(SamplingData[[#This Row],[Total]]+SamplingData[[#This Row],[Winning Candidate]]-SamplingData[[#This Row],[Candidate 3]])/(SamplingData[[#Totals],[Winning Candidate]]-SamplingData[[#Totals],[Candidate 3]]), 0)</f>
        <v>0</v>
      </c>
      <c r="M512" s="100">
        <f>IF(AND(SamplingData[[#This Row],[Total]]&lt;&gt; 0, NOT(ISBLANK(SamplingData[[#This Row],[Candidate 4]]))),(SamplingData[[#This Row],[Total]]+SamplingData[[#This Row],[Winning Candidate]]-SamplingData[[#This Row],[Candidate 4]])/(SamplingData[[#Totals],[Winning Candidate]]-SamplingData[[#Totals],[Candidate 4]]), 0)</f>
        <v>0</v>
      </c>
      <c r="N512" s="100">
        <f>IF(AND(SamplingData[[#This Row],[Total]]&lt;&gt; 0, NOT(ISBLANK(SamplingData[[#This Row],[Candidate 5]]))),(SamplingData[[#This Row],[Total]]+SamplingData[[#This Row],[Winning Candidate]]-SamplingData[[#This Row],[Candidate 5]])/(SamplingData[[#Totals],[Winning Candidate]]-SamplingData[[#Totals],[Candidate 5]]), 0)</f>
        <v>0</v>
      </c>
      <c r="O512" s="100">
        <f>IF(AND(SamplingData[[#This Row],[Total]]&lt;&gt; 0, NOT(ISBLANK(SamplingData[[#This Row],[Candidate 6]]))),(SamplingData[[#This Row],[Total]]+SamplingData[[#This Row],[Winning Candidate]]-SamplingData[[#This Row],[Candidate 6]])/(SamplingData[[#Totals],[Winning Candidate]]-SamplingData[[#Totals],[Candidate 6]]), 0)</f>
        <v>0</v>
      </c>
      <c r="P512" s="100">
        <f>MAX(SamplingData[[#This Row],[Error Bound (up) - Max. possible relative overstatement - Losing Candidate]:[Error Bound (up) - Max. possible relative overstatement - Candidate 6]])</f>
        <v>0</v>
      </c>
      <c r="Q512" s="100">
        <f>IF(SamplingData[[#This Row],[Max Error Bound (up)]] = 0,0,SamplingData[[#This Row],[Max Error Bound (up)]]/SamplingData[[#Totals],[Max Error Bound (up)]])</f>
        <v>0</v>
      </c>
      <c r="R512" s="101">
        <f>SUM($Q$5:Q512)</f>
        <v>0.18384803815309855</v>
      </c>
      <c r="S512" s="100" t="str">
        <f t="array" ref="S512">IF(SamplingData[[#This Row],[up/U Selection Probability]] = 0, "Zero", TEXT(SamplingData[[#This Row],[Lower Range]], REPT("0",LEN('General Info'!$B$40))) &amp; " - " &amp; TEXT(SamplingData[[#This Row],[Upper Range]], REPT("0",LEN('General Info'!$B$40))))</f>
        <v>Zero</v>
      </c>
      <c r="T512" s="100">
        <f>SamplingData[[#This Row],[Upper Range]]-SamplingData[[#This Row],[Span]]</f>
        <v>18384.803815309857</v>
      </c>
      <c r="U512" s="100">
        <f>IF(ISNUMBER('General Info'!$B$40), ((SamplingData[[#This Row],[up/U Selection Probability]]) * 'General Info'!$B$40) - 1, 0)</f>
        <v>-1</v>
      </c>
      <c r="V512" s="100">
        <f>IF(ISNUMBER('General Info'!$B$40), (SamplingData[[#This Row],[Running (cumulative) sum]] * ('General Info'!$B$40 -'General Info'!$B$41 + 1)) + 'General Info'!$B$41 - 1, 0)</f>
        <v>18383.803815309857</v>
      </c>
      <c r="W512" s="100" t="str">
        <f>IF(ISERROR(MATCH(SamplingData[[#This Row],[Batch by Type (p)]],SelectedPrecincts[Batch Name], 0)), "", INDEX(SelectedPrecincts[Draw], MATCH(SamplingData[[#This Row],[Batch by Type (p)]],SelectedPrecincts[Batch Name], 0)))</f>
        <v/>
      </c>
      <c r="X512" s="102">
        <f>IF(COUNTIF(SelectedPrecincts[Batch Name],SamplingData[[#This Row],[Batch by Type (p)]]) &lt;&gt; 0, COUNTIF(SelectedPrecincts[Batch Name],SamplingData[[#This Row],[Batch by Type (p)]]), 0)</f>
        <v>0</v>
      </c>
    </row>
    <row r="513" spans="1:24" ht="15" customHeight="1">
      <c r="A513" s="18" t="s">
        <v>689</v>
      </c>
      <c r="B513" s="18">
        <v>1</v>
      </c>
      <c r="C513" s="18">
        <v>0</v>
      </c>
      <c r="D513" s="16">
        <v>0</v>
      </c>
      <c r="E513" s="16">
        <v>0</v>
      </c>
      <c r="F513" s="37">
        <v>0</v>
      </c>
      <c r="G513" s="37">
        <v>0</v>
      </c>
      <c r="H513" s="17">
        <v>0</v>
      </c>
      <c r="I513" s="17">
        <v>0</v>
      </c>
      <c r="J513" s="99">
        <f>SUM(SamplingData[[#This Row],[Losing Candidate]:[Under Votes]])</f>
        <v>1</v>
      </c>
      <c r="K513" s="100">
        <f>IF(AND(SamplingData[[#This Row],[Total]]&lt;&gt; 0, NOT(ISBLANK(SamplingData[[#This Row],[Losing Candidate]]))),(SamplingData[[#This Row],[Total]]+SamplingData[[#This Row],[Winning Candidate]]-SamplingData[[#This Row],[Losing Candidate]])/(SamplingData[[#Totals],[Winning Candidate]]-SamplingData[[#Totals],[Losing Candidate]]), 0)</f>
        <v>0</v>
      </c>
      <c r="L513" s="100">
        <f>IF(AND(SamplingData[[#This Row],[Total]]&lt;&gt; 0, NOT(ISBLANK(SamplingData[[#This Row],[Candidate 3]]))),(SamplingData[[#This Row],[Total]]+SamplingData[[#This Row],[Winning Candidate]]-SamplingData[[#This Row],[Candidate 3]])/(SamplingData[[#Totals],[Winning Candidate]]-SamplingData[[#Totals],[Candidate 3]]), 0)</f>
        <v>3.2261186566441917E-5</v>
      </c>
      <c r="M513" s="100">
        <f>IF(AND(SamplingData[[#This Row],[Total]]&lt;&gt; 0, NOT(ISBLANK(SamplingData[[#This Row],[Candidate 4]]))),(SamplingData[[#This Row],[Total]]+SamplingData[[#This Row],[Winning Candidate]]-SamplingData[[#This Row],[Candidate 4]])/(SamplingData[[#Totals],[Winning Candidate]]-SamplingData[[#Totals],[Candidate 4]]), 0)</f>
        <v>2.923207343096846E-5</v>
      </c>
      <c r="N513" s="100">
        <f>IF(AND(SamplingData[[#This Row],[Total]]&lt;&gt; 0, NOT(ISBLANK(SamplingData[[#This Row],[Candidate 5]]))),(SamplingData[[#This Row],[Total]]+SamplingData[[#This Row],[Winning Candidate]]-SamplingData[[#This Row],[Candidate 5]])/(SamplingData[[#Totals],[Winning Candidate]]-SamplingData[[#Totals],[Candidate 5]]), 0)</f>
        <v>2.4324981756263683E-5</v>
      </c>
      <c r="O513" s="100">
        <f>IF(AND(SamplingData[[#This Row],[Total]]&lt;&gt; 0, NOT(ISBLANK(SamplingData[[#This Row],[Candidate 6]]))),(SamplingData[[#This Row],[Total]]+SamplingData[[#This Row],[Winning Candidate]]-SamplingData[[#This Row],[Candidate 6]])/(SamplingData[[#Totals],[Winning Candidate]]-SamplingData[[#Totals],[Candidate 6]]), 0)</f>
        <v>2.431788337143135E-5</v>
      </c>
      <c r="P513" s="100">
        <f>MAX(SamplingData[[#This Row],[Error Bound (up) - Max. possible relative overstatement - Losing Candidate]:[Error Bound (up) - Max. possible relative overstatement - Candidate 6]])</f>
        <v>3.2261186566441917E-5</v>
      </c>
      <c r="Q513" s="100">
        <f>IF(SamplingData[[#This Row],[Max Error Bound (up)]] = 0,0,SamplingData[[#This Row],[Max Error Bound (up)]]/SamplingData[[#Totals],[Max Error Bound (up)]])</f>
        <v>5.1058637768320663E-6</v>
      </c>
      <c r="R513" s="101">
        <f>SUM($Q$5:Q513)</f>
        <v>0.18385314401687539</v>
      </c>
      <c r="S513" s="100" t="str">
        <f t="array" ref="S513">IF(SamplingData[[#This Row],[up/U Selection Probability]] = 0, "Zero", TEXT(SamplingData[[#This Row],[Lower Range]], REPT("0",LEN('General Info'!$B$40))) &amp; " - " &amp; TEXT(SamplingData[[#This Row],[Upper Range]], REPT("0",LEN('General Info'!$B$40))))</f>
        <v>18385 - 18384</v>
      </c>
      <c r="T513" s="100">
        <f>SamplingData[[#This Row],[Upper Range]]-SamplingData[[#This Row],[Span]]</f>
        <v>18384.803820415716</v>
      </c>
      <c r="U513" s="100">
        <f>IF(ISNUMBER('General Info'!$B$40), ((SamplingData[[#This Row],[up/U Selection Probability]]) * 'General Info'!$B$40) - 1, 0)</f>
        <v>-0.4894187281805702</v>
      </c>
      <c r="V513" s="100">
        <f>IF(ISNUMBER('General Info'!$B$40), (SamplingData[[#This Row],[Running (cumulative) sum]] * ('General Info'!$B$40 -'General Info'!$B$41 + 1)) + 'General Info'!$B$41 - 1, 0)</f>
        <v>18384.314401687538</v>
      </c>
      <c r="W513" s="100" t="str">
        <f>IF(ISERROR(MATCH(SamplingData[[#This Row],[Batch by Type (p)]],SelectedPrecincts[Batch Name], 0)), "", INDEX(SelectedPrecincts[Draw], MATCH(SamplingData[[#This Row],[Batch by Type (p)]],SelectedPrecincts[Batch Name], 0)))</f>
        <v/>
      </c>
      <c r="X513" s="102">
        <f>IF(COUNTIF(SelectedPrecincts[Batch Name],SamplingData[[#This Row],[Batch by Type (p)]]) &lt;&gt; 0, COUNTIF(SelectedPrecincts[Batch Name],SamplingData[[#This Row],[Batch by Type (p)]]), 0)</f>
        <v>0</v>
      </c>
    </row>
    <row r="514" spans="1:24" ht="15" customHeight="1">
      <c r="A514" s="18" t="s">
        <v>690</v>
      </c>
      <c r="B514" s="18">
        <v>0</v>
      </c>
      <c r="C514" s="18">
        <v>0</v>
      </c>
      <c r="D514" s="18">
        <v>0</v>
      </c>
      <c r="E514" s="18">
        <v>0</v>
      </c>
      <c r="F514" s="18">
        <v>0</v>
      </c>
      <c r="G514" s="18">
        <v>0</v>
      </c>
      <c r="H514" s="18">
        <v>0</v>
      </c>
      <c r="I514" s="18">
        <v>0</v>
      </c>
      <c r="J514" s="99">
        <f>SUM(SamplingData[[#This Row],[Losing Candidate]:[Under Votes]])</f>
        <v>0</v>
      </c>
      <c r="K514" s="100">
        <f>IF(AND(SamplingData[[#This Row],[Total]]&lt;&gt; 0, NOT(ISBLANK(SamplingData[[#This Row],[Losing Candidate]]))),(SamplingData[[#This Row],[Total]]+SamplingData[[#This Row],[Winning Candidate]]-SamplingData[[#This Row],[Losing Candidate]])/(SamplingData[[#Totals],[Winning Candidate]]-SamplingData[[#Totals],[Losing Candidate]]), 0)</f>
        <v>0</v>
      </c>
      <c r="L514" s="100">
        <f>IF(AND(SamplingData[[#This Row],[Total]]&lt;&gt; 0, NOT(ISBLANK(SamplingData[[#This Row],[Candidate 3]]))),(SamplingData[[#This Row],[Total]]+SamplingData[[#This Row],[Winning Candidate]]-SamplingData[[#This Row],[Candidate 3]])/(SamplingData[[#Totals],[Winning Candidate]]-SamplingData[[#Totals],[Candidate 3]]), 0)</f>
        <v>0</v>
      </c>
      <c r="M514" s="100">
        <f>IF(AND(SamplingData[[#This Row],[Total]]&lt;&gt; 0, NOT(ISBLANK(SamplingData[[#This Row],[Candidate 4]]))),(SamplingData[[#This Row],[Total]]+SamplingData[[#This Row],[Winning Candidate]]-SamplingData[[#This Row],[Candidate 4]])/(SamplingData[[#Totals],[Winning Candidate]]-SamplingData[[#Totals],[Candidate 4]]), 0)</f>
        <v>0</v>
      </c>
      <c r="N514" s="100">
        <f>IF(AND(SamplingData[[#This Row],[Total]]&lt;&gt; 0, NOT(ISBLANK(SamplingData[[#This Row],[Candidate 5]]))),(SamplingData[[#This Row],[Total]]+SamplingData[[#This Row],[Winning Candidate]]-SamplingData[[#This Row],[Candidate 5]])/(SamplingData[[#Totals],[Winning Candidate]]-SamplingData[[#Totals],[Candidate 5]]), 0)</f>
        <v>0</v>
      </c>
      <c r="O514" s="100">
        <f>IF(AND(SamplingData[[#This Row],[Total]]&lt;&gt; 0, NOT(ISBLANK(SamplingData[[#This Row],[Candidate 6]]))),(SamplingData[[#This Row],[Total]]+SamplingData[[#This Row],[Winning Candidate]]-SamplingData[[#This Row],[Candidate 6]])/(SamplingData[[#Totals],[Winning Candidate]]-SamplingData[[#Totals],[Candidate 6]]), 0)</f>
        <v>0</v>
      </c>
      <c r="P514" s="100">
        <f>MAX(SamplingData[[#This Row],[Error Bound (up) - Max. possible relative overstatement - Losing Candidate]:[Error Bound (up) - Max. possible relative overstatement - Candidate 6]])</f>
        <v>0</v>
      </c>
      <c r="Q514" s="100">
        <f>IF(SamplingData[[#This Row],[Max Error Bound (up)]] = 0,0,SamplingData[[#This Row],[Max Error Bound (up)]]/SamplingData[[#Totals],[Max Error Bound (up)]])</f>
        <v>0</v>
      </c>
      <c r="R514" s="101">
        <f>SUM($Q$5:Q514)</f>
        <v>0.18385314401687539</v>
      </c>
      <c r="S514" s="100" t="str">
        <f t="array" ref="S514">IF(SamplingData[[#This Row],[up/U Selection Probability]] = 0, "Zero", TEXT(SamplingData[[#This Row],[Lower Range]], REPT("0",LEN('General Info'!$B$40))) &amp; " - " &amp; TEXT(SamplingData[[#This Row],[Upper Range]], REPT("0",LEN('General Info'!$B$40))))</f>
        <v>Zero</v>
      </c>
      <c r="T514" s="100">
        <f>SamplingData[[#This Row],[Upper Range]]-SamplingData[[#This Row],[Span]]</f>
        <v>18385.314401687538</v>
      </c>
      <c r="U514" s="100">
        <f>IF(ISNUMBER('General Info'!$B$40), ((SamplingData[[#This Row],[up/U Selection Probability]]) * 'General Info'!$B$40) - 1, 0)</f>
        <v>-1</v>
      </c>
      <c r="V514" s="100">
        <f>IF(ISNUMBER('General Info'!$B$40), (SamplingData[[#This Row],[Running (cumulative) sum]] * ('General Info'!$B$40 -'General Info'!$B$41 + 1)) + 'General Info'!$B$41 - 1, 0)</f>
        <v>18384.314401687538</v>
      </c>
      <c r="W514" s="100" t="str">
        <f>IF(ISERROR(MATCH(SamplingData[[#This Row],[Batch by Type (p)]],SelectedPrecincts[Batch Name], 0)), "", INDEX(SelectedPrecincts[Draw], MATCH(SamplingData[[#This Row],[Batch by Type (p)]],SelectedPrecincts[Batch Name], 0)))</f>
        <v/>
      </c>
      <c r="X514" s="102">
        <f>IF(COUNTIF(SelectedPrecincts[Batch Name],SamplingData[[#This Row],[Batch by Type (p)]]) &lt;&gt; 0, COUNTIF(SelectedPrecincts[Batch Name],SamplingData[[#This Row],[Batch by Type (p)]]), 0)</f>
        <v>0</v>
      </c>
    </row>
    <row r="515" spans="1:24" ht="15" customHeight="1">
      <c r="A515" s="18" t="s">
        <v>691</v>
      </c>
      <c r="B515" s="18">
        <v>1</v>
      </c>
      <c r="C515" s="18">
        <v>0</v>
      </c>
      <c r="D515" s="16">
        <v>0</v>
      </c>
      <c r="E515" s="16">
        <v>0</v>
      </c>
      <c r="F515" s="37">
        <v>0</v>
      </c>
      <c r="G515" s="37">
        <v>0</v>
      </c>
      <c r="H515" s="17">
        <v>0</v>
      </c>
      <c r="I515" s="17">
        <v>0</v>
      </c>
      <c r="J515" s="99">
        <f>SUM(SamplingData[[#This Row],[Losing Candidate]:[Under Votes]])</f>
        <v>1</v>
      </c>
      <c r="K515" s="100">
        <f>IF(AND(SamplingData[[#This Row],[Total]]&lt;&gt; 0, NOT(ISBLANK(SamplingData[[#This Row],[Losing Candidate]]))),(SamplingData[[#This Row],[Total]]+SamplingData[[#This Row],[Winning Candidate]]-SamplingData[[#This Row],[Losing Candidate]])/(SamplingData[[#Totals],[Winning Candidate]]-SamplingData[[#Totals],[Losing Candidate]]), 0)</f>
        <v>0</v>
      </c>
      <c r="L515" s="100">
        <f>IF(AND(SamplingData[[#This Row],[Total]]&lt;&gt; 0, NOT(ISBLANK(SamplingData[[#This Row],[Candidate 3]]))),(SamplingData[[#This Row],[Total]]+SamplingData[[#This Row],[Winning Candidate]]-SamplingData[[#This Row],[Candidate 3]])/(SamplingData[[#Totals],[Winning Candidate]]-SamplingData[[#Totals],[Candidate 3]]), 0)</f>
        <v>3.2261186566441917E-5</v>
      </c>
      <c r="M515" s="100">
        <f>IF(AND(SamplingData[[#This Row],[Total]]&lt;&gt; 0, NOT(ISBLANK(SamplingData[[#This Row],[Candidate 4]]))),(SamplingData[[#This Row],[Total]]+SamplingData[[#This Row],[Winning Candidate]]-SamplingData[[#This Row],[Candidate 4]])/(SamplingData[[#Totals],[Winning Candidate]]-SamplingData[[#Totals],[Candidate 4]]), 0)</f>
        <v>2.923207343096846E-5</v>
      </c>
      <c r="N515" s="100">
        <f>IF(AND(SamplingData[[#This Row],[Total]]&lt;&gt; 0, NOT(ISBLANK(SamplingData[[#This Row],[Candidate 5]]))),(SamplingData[[#This Row],[Total]]+SamplingData[[#This Row],[Winning Candidate]]-SamplingData[[#This Row],[Candidate 5]])/(SamplingData[[#Totals],[Winning Candidate]]-SamplingData[[#Totals],[Candidate 5]]), 0)</f>
        <v>2.4324981756263683E-5</v>
      </c>
      <c r="O515" s="100">
        <f>IF(AND(SamplingData[[#This Row],[Total]]&lt;&gt; 0, NOT(ISBLANK(SamplingData[[#This Row],[Candidate 6]]))),(SamplingData[[#This Row],[Total]]+SamplingData[[#This Row],[Winning Candidate]]-SamplingData[[#This Row],[Candidate 6]])/(SamplingData[[#Totals],[Winning Candidate]]-SamplingData[[#Totals],[Candidate 6]]), 0)</f>
        <v>2.431788337143135E-5</v>
      </c>
      <c r="P515" s="100">
        <f>MAX(SamplingData[[#This Row],[Error Bound (up) - Max. possible relative overstatement - Losing Candidate]:[Error Bound (up) - Max. possible relative overstatement - Candidate 6]])</f>
        <v>3.2261186566441917E-5</v>
      </c>
      <c r="Q515" s="100">
        <f>IF(SamplingData[[#This Row],[Max Error Bound (up)]] = 0,0,SamplingData[[#This Row],[Max Error Bound (up)]]/SamplingData[[#Totals],[Max Error Bound (up)]])</f>
        <v>5.1058637768320663E-6</v>
      </c>
      <c r="R515" s="101">
        <f>SUM($Q$5:Q515)</f>
        <v>0.18385824988065222</v>
      </c>
      <c r="S515" s="100" t="str">
        <f t="array" ref="S515">IF(SamplingData[[#This Row],[up/U Selection Probability]] = 0, "Zero", TEXT(SamplingData[[#This Row],[Lower Range]], REPT("0",LEN('General Info'!$B$40))) &amp; " - " &amp; TEXT(SamplingData[[#This Row],[Upper Range]], REPT("0",LEN('General Info'!$B$40))))</f>
        <v>18385 - 18385</v>
      </c>
      <c r="T515" s="100">
        <f>SamplingData[[#This Row],[Upper Range]]-SamplingData[[#This Row],[Span]]</f>
        <v>18385.314406793401</v>
      </c>
      <c r="U515" s="100">
        <f>IF(ISNUMBER('General Info'!$B$40), ((SamplingData[[#This Row],[up/U Selection Probability]]) * 'General Info'!$B$40) - 1, 0)</f>
        <v>-0.4894187281805702</v>
      </c>
      <c r="V515" s="100">
        <f>IF(ISNUMBER('General Info'!$B$40), (SamplingData[[#This Row],[Running (cumulative) sum]] * ('General Info'!$B$40 -'General Info'!$B$41 + 1)) + 'General Info'!$B$41 - 1, 0)</f>
        <v>18384.824988065222</v>
      </c>
      <c r="W515" s="100" t="str">
        <f>IF(ISERROR(MATCH(SamplingData[[#This Row],[Batch by Type (p)]],SelectedPrecincts[Batch Name], 0)), "", INDEX(SelectedPrecincts[Draw], MATCH(SamplingData[[#This Row],[Batch by Type (p)]],SelectedPrecincts[Batch Name], 0)))</f>
        <v/>
      </c>
      <c r="X515" s="102">
        <f>IF(COUNTIF(SelectedPrecincts[Batch Name],SamplingData[[#This Row],[Batch by Type (p)]]) &lt;&gt; 0, COUNTIF(SelectedPrecincts[Batch Name],SamplingData[[#This Row],[Batch by Type (p)]]), 0)</f>
        <v>0</v>
      </c>
    </row>
    <row r="516" spans="1:24" ht="15" customHeight="1">
      <c r="A516" s="18" t="s">
        <v>692</v>
      </c>
      <c r="B516" s="18">
        <v>0</v>
      </c>
      <c r="C516" s="18">
        <v>0</v>
      </c>
      <c r="D516" s="18">
        <v>0</v>
      </c>
      <c r="E516" s="18">
        <v>0</v>
      </c>
      <c r="F516" s="18">
        <v>0</v>
      </c>
      <c r="G516" s="18">
        <v>0</v>
      </c>
      <c r="H516" s="18">
        <v>0</v>
      </c>
      <c r="I516" s="18">
        <v>0</v>
      </c>
      <c r="J516" s="99">
        <f>SUM(SamplingData[[#This Row],[Losing Candidate]:[Under Votes]])</f>
        <v>0</v>
      </c>
      <c r="K516" s="100">
        <f>IF(AND(SamplingData[[#This Row],[Total]]&lt;&gt; 0, NOT(ISBLANK(SamplingData[[#This Row],[Losing Candidate]]))),(SamplingData[[#This Row],[Total]]+SamplingData[[#This Row],[Winning Candidate]]-SamplingData[[#This Row],[Losing Candidate]])/(SamplingData[[#Totals],[Winning Candidate]]-SamplingData[[#Totals],[Losing Candidate]]), 0)</f>
        <v>0</v>
      </c>
      <c r="L516" s="100">
        <f>IF(AND(SamplingData[[#This Row],[Total]]&lt;&gt; 0, NOT(ISBLANK(SamplingData[[#This Row],[Candidate 3]]))),(SamplingData[[#This Row],[Total]]+SamplingData[[#This Row],[Winning Candidate]]-SamplingData[[#This Row],[Candidate 3]])/(SamplingData[[#Totals],[Winning Candidate]]-SamplingData[[#Totals],[Candidate 3]]), 0)</f>
        <v>0</v>
      </c>
      <c r="M516" s="100">
        <f>IF(AND(SamplingData[[#This Row],[Total]]&lt;&gt; 0, NOT(ISBLANK(SamplingData[[#This Row],[Candidate 4]]))),(SamplingData[[#This Row],[Total]]+SamplingData[[#This Row],[Winning Candidate]]-SamplingData[[#This Row],[Candidate 4]])/(SamplingData[[#Totals],[Winning Candidate]]-SamplingData[[#Totals],[Candidate 4]]), 0)</f>
        <v>0</v>
      </c>
      <c r="N516" s="100">
        <f>IF(AND(SamplingData[[#This Row],[Total]]&lt;&gt; 0, NOT(ISBLANK(SamplingData[[#This Row],[Candidate 5]]))),(SamplingData[[#This Row],[Total]]+SamplingData[[#This Row],[Winning Candidate]]-SamplingData[[#This Row],[Candidate 5]])/(SamplingData[[#Totals],[Winning Candidate]]-SamplingData[[#Totals],[Candidate 5]]), 0)</f>
        <v>0</v>
      </c>
      <c r="O516" s="100">
        <f>IF(AND(SamplingData[[#This Row],[Total]]&lt;&gt; 0, NOT(ISBLANK(SamplingData[[#This Row],[Candidate 6]]))),(SamplingData[[#This Row],[Total]]+SamplingData[[#This Row],[Winning Candidate]]-SamplingData[[#This Row],[Candidate 6]])/(SamplingData[[#Totals],[Winning Candidate]]-SamplingData[[#Totals],[Candidate 6]]), 0)</f>
        <v>0</v>
      </c>
      <c r="P516" s="100">
        <f>MAX(SamplingData[[#This Row],[Error Bound (up) - Max. possible relative overstatement - Losing Candidate]:[Error Bound (up) - Max. possible relative overstatement - Candidate 6]])</f>
        <v>0</v>
      </c>
      <c r="Q516" s="100">
        <f>IF(SamplingData[[#This Row],[Max Error Bound (up)]] = 0,0,SamplingData[[#This Row],[Max Error Bound (up)]]/SamplingData[[#Totals],[Max Error Bound (up)]])</f>
        <v>0</v>
      </c>
      <c r="R516" s="101">
        <f>SUM($Q$5:Q516)</f>
        <v>0.18385824988065222</v>
      </c>
      <c r="S516" s="100" t="str">
        <f t="array" ref="S516">IF(SamplingData[[#This Row],[up/U Selection Probability]] = 0, "Zero", TEXT(SamplingData[[#This Row],[Lower Range]], REPT("0",LEN('General Info'!$B$40))) &amp; " - " &amp; TEXT(SamplingData[[#This Row],[Upper Range]], REPT("0",LEN('General Info'!$B$40))))</f>
        <v>Zero</v>
      </c>
      <c r="T516" s="100">
        <f>SamplingData[[#This Row],[Upper Range]]-SamplingData[[#This Row],[Span]]</f>
        <v>18385.824988065222</v>
      </c>
      <c r="U516" s="100">
        <f>IF(ISNUMBER('General Info'!$B$40), ((SamplingData[[#This Row],[up/U Selection Probability]]) * 'General Info'!$B$40) - 1, 0)</f>
        <v>-1</v>
      </c>
      <c r="V516" s="100">
        <f>IF(ISNUMBER('General Info'!$B$40), (SamplingData[[#This Row],[Running (cumulative) sum]] * ('General Info'!$B$40 -'General Info'!$B$41 + 1)) + 'General Info'!$B$41 - 1, 0)</f>
        <v>18384.824988065222</v>
      </c>
      <c r="W516" s="100" t="str">
        <f>IF(ISERROR(MATCH(SamplingData[[#This Row],[Batch by Type (p)]],SelectedPrecincts[Batch Name], 0)), "", INDEX(SelectedPrecincts[Draw], MATCH(SamplingData[[#This Row],[Batch by Type (p)]],SelectedPrecincts[Batch Name], 0)))</f>
        <v/>
      </c>
      <c r="X516" s="102">
        <f>IF(COUNTIF(SelectedPrecincts[Batch Name],SamplingData[[#This Row],[Batch by Type (p)]]) &lt;&gt; 0, COUNTIF(SelectedPrecincts[Batch Name],SamplingData[[#This Row],[Batch by Type (p)]]), 0)</f>
        <v>0</v>
      </c>
    </row>
    <row r="517" spans="1:24" ht="15" customHeight="1">
      <c r="A517" s="18" t="s">
        <v>693</v>
      </c>
      <c r="B517" s="18">
        <v>4</v>
      </c>
      <c r="C517" s="18">
        <v>0</v>
      </c>
      <c r="D517" s="16">
        <v>2</v>
      </c>
      <c r="E517" s="16">
        <v>0</v>
      </c>
      <c r="F517" s="37">
        <v>0</v>
      </c>
      <c r="G517" s="37">
        <v>0</v>
      </c>
      <c r="H517" s="17">
        <v>0</v>
      </c>
      <c r="I517" s="17">
        <v>0</v>
      </c>
      <c r="J517" s="99">
        <f>SUM(SamplingData[[#This Row],[Losing Candidate]:[Under Votes]])</f>
        <v>6</v>
      </c>
      <c r="K517"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17" s="100">
        <f>IF(AND(SamplingData[[#This Row],[Total]]&lt;&gt; 0, NOT(ISBLANK(SamplingData[[#This Row],[Candidate 3]]))),(SamplingData[[#This Row],[Total]]+SamplingData[[#This Row],[Winning Candidate]]-SamplingData[[#This Row],[Candidate 3]])/(SamplingData[[#Totals],[Winning Candidate]]-SamplingData[[#Totals],[Candidate 3]]), 0)</f>
        <v>1.2904474626576767E-4</v>
      </c>
      <c r="M517" s="100">
        <f>IF(AND(SamplingData[[#This Row],[Total]]&lt;&gt; 0, NOT(ISBLANK(SamplingData[[#This Row],[Candidate 4]]))),(SamplingData[[#This Row],[Total]]+SamplingData[[#This Row],[Winning Candidate]]-SamplingData[[#This Row],[Candidate 4]])/(SamplingData[[#Totals],[Winning Candidate]]-SamplingData[[#Totals],[Candidate 4]]), 0)</f>
        <v>1.7539244058581075E-4</v>
      </c>
      <c r="N517" s="100">
        <f>IF(AND(SamplingData[[#This Row],[Total]]&lt;&gt; 0, NOT(ISBLANK(SamplingData[[#This Row],[Candidate 5]]))),(SamplingData[[#This Row],[Total]]+SamplingData[[#This Row],[Winning Candidate]]-SamplingData[[#This Row],[Candidate 5]])/(SamplingData[[#Totals],[Winning Candidate]]-SamplingData[[#Totals],[Candidate 5]]), 0)</f>
        <v>1.4594989053758211E-4</v>
      </c>
      <c r="O517" s="100">
        <f>IF(AND(SamplingData[[#This Row],[Total]]&lt;&gt; 0, NOT(ISBLANK(SamplingData[[#This Row],[Candidate 6]]))),(SamplingData[[#This Row],[Total]]+SamplingData[[#This Row],[Winning Candidate]]-SamplingData[[#This Row],[Candidate 6]])/(SamplingData[[#Totals],[Winning Candidate]]-SamplingData[[#Totals],[Candidate 6]]), 0)</f>
        <v>1.4590730022858811E-4</v>
      </c>
      <c r="P517" s="100">
        <f>MAX(SamplingData[[#This Row],[Error Bound (up) - Max. possible relative overstatement - Losing Candidate]:[Error Bound (up) - Max. possible relative overstatement - Candidate 6]])</f>
        <v>1.7539244058581075E-4</v>
      </c>
      <c r="Q517" s="100">
        <f>IF(SamplingData[[#This Row],[Max Error Bound (up)]] = 0,0,SamplingData[[#This Row],[Max Error Bound (up)]]/SamplingData[[#Totals],[Max Error Bound (up)]])</f>
        <v>2.7758740592907751E-5</v>
      </c>
      <c r="R517" s="101">
        <f>SUM($Q$5:Q517)</f>
        <v>0.18388600862124513</v>
      </c>
      <c r="S517" s="100" t="str">
        <f t="array" ref="S517">IF(SamplingData[[#This Row],[up/U Selection Probability]] = 0, "Zero", TEXT(SamplingData[[#This Row],[Lower Range]], REPT("0",LEN('General Info'!$B$40))) &amp; " - " &amp; TEXT(SamplingData[[#This Row],[Upper Range]], REPT("0",LEN('General Info'!$B$40))))</f>
        <v>18386 - 18388</v>
      </c>
      <c r="T517" s="100">
        <f>SamplingData[[#This Row],[Upper Range]]-SamplingData[[#This Row],[Span]]</f>
        <v>18385.825015823964</v>
      </c>
      <c r="U517" s="100">
        <f>IF(ISNUMBER('General Info'!$B$40), ((SamplingData[[#This Row],[up/U Selection Probability]]) * 'General Info'!$B$40) - 1, 0)</f>
        <v>1.7758463005501821</v>
      </c>
      <c r="V517" s="100">
        <f>IF(ISNUMBER('General Info'!$B$40), (SamplingData[[#This Row],[Running (cumulative) sum]] * ('General Info'!$B$40 -'General Info'!$B$41 + 1)) + 'General Info'!$B$41 - 1, 0)</f>
        <v>18387.600862124513</v>
      </c>
      <c r="W517" s="100" t="str">
        <f>IF(ISERROR(MATCH(SamplingData[[#This Row],[Batch by Type (p)]],SelectedPrecincts[Batch Name], 0)), "", INDEX(SelectedPrecincts[Draw], MATCH(SamplingData[[#This Row],[Batch by Type (p)]],SelectedPrecincts[Batch Name], 0)))</f>
        <v/>
      </c>
      <c r="X517" s="102">
        <f>IF(COUNTIF(SelectedPrecincts[Batch Name],SamplingData[[#This Row],[Batch by Type (p)]]) &lt;&gt; 0, COUNTIF(SelectedPrecincts[Batch Name],SamplingData[[#This Row],[Batch by Type (p)]]), 0)</f>
        <v>0</v>
      </c>
    </row>
    <row r="518" spans="1:24" ht="15" customHeight="1">
      <c r="A518" s="18" t="s">
        <v>694</v>
      </c>
      <c r="B518" s="18">
        <v>0</v>
      </c>
      <c r="C518" s="18">
        <v>2</v>
      </c>
      <c r="D518" s="18">
        <v>2</v>
      </c>
      <c r="E518" s="18">
        <v>2</v>
      </c>
      <c r="F518" s="18">
        <v>0</v>
      </c>
      <c r="G518" s="18">
        <v>0</v>
      </c>
      <c r="H518" s="18">
        <v>0</v>
      </c>
      <c r="I518" s="18">
        <v>0</v>
      </c>
      <c r="J518" s="99">
        <f>SUM(SamplingData[[#This Row],[Losing Candidate]:[Under Votes]])</f>
        <v>6</v>
      </c>
      <c r="K518"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518" s="100">
        <f>IF(AND(SamplingData[[#This Row],[Total]]&lt;&gt; 0, NOT(ISBLANK(SamplingData[[#This Row],[Candidate 3]]))),(SamplingData[[#This Row],[Total]]+SamplingData[[#This Row],[Winning Candidate]]-SamplingData[[#This Row],[Candidate 3]])/(SamplingData[[#Totals],[Winning Candidate]]-SamplingData[[#Totals],[Candidate 3]]), 0)</f>
        <v>1.9356711939865149E-4</v>
      </c>
      <c r="M518" s="100">
        <f>IF(AND(SamplingData[[#This Row],[Total]]&lt;&gt; 0, NOT(ISBLANK(SamplingData[[#This Row],[Candidate 4]]))),(SamplingData[[#This Row],[Total]]+SamplingData[[#This Row],[Winning Candidate]]-SamplingData[[#This Row],[Candidate 4]])/(SamplingData[[#Totals],[Winning Candidate]]-SamplingData[[#Totals],[Candidate 4]]), 0)</f>
        <v>1.7539244058581075E-4</v>
      </c>
      <c r="N518" s="100">
        <f>IF(AND(SamplingData[[#This Row],[Total]]&lt;&gt; 0, NOT(ISBLANK(SamplingData[[#This Row],[Candidate 5]]))),(SamplingData[[#This Row],[Total]]+SamplingData[[#This Row],[Winning Candidate]]-SamplingData[[#This Row],[Candidate 5]])/(SamplingData[[#Totals],[Winning Candidate]]-SamplingData[[#Totals],[Candidate 5]]), 0)</f>
        <v>1.9459985405010947E-4</v>
      </c>
      <c r="O518" s="100">
        <f>IF(AND(SamplingData[[#This Row],[Total]]&lt;&gt; 0, NOT(ISBLANK(SamplingData[[#This Row],[Candidate 6]]))),(SamplingData[[#This Row],[Total]]+SamplingData[[#This Row],[Winning Candidate]]-SamplingData[[#This Row],[Candidate 6]])/(SamplingData[[#Totals],[Winning Candidate]]-SamplingData[[#Totals],[Candidate 6]]), 0)</f>
        <v>1.945430669714508E-4</v>
      </c>
      <c r="P518" s="100">
        <f>MAX(SamplingData[[#This Row],[Error Bound (up) - Max. possible relative overstatement - Losing Candidate]:[Error Bound (up) - Max. possible relative overstatement - Candidate 6]])</f>
        <v>4.8995590396864281E-4</v>
      </c>
      <c r="Q518" s="100">
        <f>IF(SamplingData[[#This Row],[Max Error Bound (up)]] = 0,0,SamplingData[[#This Row],[Max Error Bound (up)]]/SamplingData[[#Totals],[Max Error Bound (up)]])</f>
        <v>7.7543586227566652E-5</v>
      </c>
      <c r="R518" s="101">
        <f>SUM($Q$5:Q518)</f>
        <v>0.18396355220747271</v>
      </c>
      <c r="S518" s="100" t="str">
        <f t="array" ref="S518">IF(SamplingData[[#This Row],[up/U Selection Probability]] = 0, "Zero", TEXT(SamplingData[[#This Row],[Lower Range]], REPT("0",LEN('General Info'!$B$40))) &amp; " - " &amp; TEXT(SamplingData[[#This Row],[Upper Range]], REPT("0",LEN('General Info'!$B$40))))</f>
        <v>18389 - 18395</v>
      </c>
      <c r="T518" s="100">
        <f>SamplingData[[#This Row],[Upper Range]]-SamplingData[[#This Row],[Span]]</f>
        <v>18388.6009396681</v>
      </c>
      <c r="U518" s="100">
        <f>IF(ISNUMBER('General Info'!$B$40), ((SamplingData[[#This Row],[up/U Selection Probability]]) * 'General Info'!$B$40) - 1, 0)</f>
        <v>6.754281079170438</v>
      </c>
      <c r="V518" s="100">
        <f>IF(ISNUMBER('General Info'!$B$40), (SamplingData[[#This Row],[Running (cumulative) sum]] * ('General Info'!$B$40 -'General Info'!$B$41 + 1)) + 'General Info'!$B$41 - 1, 0)</f>
        <v>18395.355220747271</v>
      </c>
      <c r="W518" s="100" t="str">
        <f>IF(ISERROR(MATCH(SamplingData[[#This Row],[Batch by Type (p)]],SelectedPrecincts[Batch Name], 0)), "", INDEX(SelectedPrecincts[Draw], MATCH(SamplingData[[#This Row],[Batch by Type (p)]],SelectedPrecincts[Batch Name], 0)))</f>
        <v/>
      </c>
      <c r="X518" s="102">
        <f>IF(COUNTIF(SelectedPrecincts[Batch Name],SamplingData[[#This Row],[Batch by Type (p)]]) &lt;&gt; 0, COUNTIF(SelectedPrecincts[Batch Name],SamplingData[[#This Row],[Batch by Type (p)]]), 0)</f>
        <v>0</v>
      </c>
    </row>
    <row r="519" spans="1:24" ht="15" customHeight="1">
      <c r="A519" s="18" t="s">
        <v>695</v>
      </c>
      <c r="B519" s="18">
        <v>0</v>
      </c>
      <c r="C519" s="18">
        <v>0</v>
      </c>
      <c r="D519" s="16">
        <v>0</v>
      </c>
      <c r="E519" s="16">
        <v>0</v>
      </c>
      <c r="F519" s="37">
        <v>0</v>
      </c>
      <c r="G519" s="37">
        <v>0</v>
      </c>
      <c r="H519" s="17">
        <v>0</v>
      </c>
      <c r="I519" s="17">
        <v>0</v>
      </c>
      <c r="J519" s="99">
        <f>SUM(SamplingData[[#This Row],[Losing Candidate]:[Under Votes]])</f>
        <v>0</v>
      </c>
      <c r="K519" s="100">
        <f>IF(AND(SamplingData[[#This Row],[Total]]&lt;&gt; 0, NOT(ISBLANK(SamplingData[[#This Row],[Losing Candidate]]))),(SamplingData[[#This Row],[Total]]+SamplingData[[#This Row],[Winning Candidate]]-SamplingData[[#This Row],[Losing Candidate]])/(SamplingData[[#Totals],[Winning Candidate]]-SamplingData[[#Totals],[Losing Candidate]]), 0)</f>
        <v>0</v>
      </c>
      <c r="L519" s="100">
        <f>IF(AND(SamplingData[[#This Row],[Total]]&lt;&gt; 0, NOT(ISBLANK(SamplingData[[#This Row],[Candidate 3]]))),(SamplingData[[#This Row],[Total]]+SamplingData[[#This Row],[Winning Candidate]]-SamplingData[[#This Row],[Candidate 3]])/(SamplingData[[#Totals],[Winning Candidate]]-SamplingData[[#Totals],[Candidate 3]]), 0)</f>
        <v>0</v>
      </c>
      <c r="M519" s="100">
        <f>IF(AND(SamplingData[[#This Row],[Total]]&lt;&gt; 0, NOT(ISBLANK(SamplingData[[#This Row],[Candidate 4]]))),(SamplingData[[#This Row],[Total]]+SamplingData[[#This Row],[Winning Candidate]]-SamplingData[[#This Row],[Candidate 4]])/(SamplingData[[#Totals],[Winning Candidate]]-SamplingData[[#Totals],[Candidate 4]]), 0)</f>
        <v>0</v>
      </c>
      <c r="N519" s="100">
        <f>IF(AND(SamplingData[[#This Row],[Total]]&lt;&gt; 0, NOT(ISBLANK(SamplingData[[#This Row],[Candidate 5]]))),(SamplingData[[#This Row],[Total]]+SamplingData[[#This Row],[Winning Candidate]]-SamplingData[[#This Row],[Candidate 5]])/(SamplingData[[#Totals],[Winning Candidate]]-SamplingData[[#Totals],[Candidate 5]]), 0)</f>
        <v>0</v>
      </c>
      <c r="O519" s="100">
        <f>IF(AND(SamplingData[[#This Row],[Total]]&lt;&gt; 0, NOT(ISBLANK(SamplingData[[#This Row],[Candidate 6]]))),(SamplingData[[#This Row],[Total]]+SamplingData[[#This Row],[Winning Candidate]]-SamplingData[[#This Row],[Candidate 6]])/(SamplingData[[#Totals],[Winning Candidate]]-SamplingData[[#Totals],[Candidate 6]]), 0)</f>
        <v>0</v>
      </c>
      <c r="P519" s="100">
        <f>MAX(SamplingData[[#This Row],[Error Bound (up) - Max. possible relative overstatement - Losing Candidate]:[Error Bound (up) - Max. possible relative overstatement - Candidate 6]])</f>
        <v>0</v>
      </c>
      <c r="Q519" s="100">
        <f>IF(SamplingData[[#This Row],[Max Error Bound (up)]] = 0,0,SamplingData[[#This Row],[Max Error Bound (up)]]/SamplingData[[#Totals],[Max Error Bound (up)]])</f>
        <v>0</v>
      </c>
      <c r="R519" s="101">
        <f>SUM($Q$5:Q519)</f>
        <v>0.18396355220747271</v>
      </c>
      <c r="S519" s="100" t="str">
        <f t="array" ref="S519">IF(SamplingData[[#This Row],[up/U Selection Probability]] = 0, "Zero", TEXT(SamplingData[[#This Row],[Lower Range]], REPT("0",LEN('General Info'!$B$40))) &amp; " - " &amp; TEXT(SamplingData[[#This Row],[Upper Range]], REPT("0",LEN('General Info'!$B$40))))</f>
        <v>Zero</v>
      </c>
      <c r="T519" s="100">
        <f>SamplingData[[#This Row],[Upper Range]]-SamplingData[[#This Row],[Span]]</f>
        <v>18396.355220747271</v>
      </c>
      <c r="U519" s="100">
        <f>IF(ISNUMBER('General Info'!$B$40), ((SamplingData[[#This Row],[up/U Selection Probability]]) * 'General Info'!$B$40) - 1, 0)</f>
        <v>-1</v>
      </c>
      <c r="V519" s="100">
        <f>IF(ISNUMBER('General Info'!$B$40), (SamplingData[[#This Row],[Running (cumulative) sum]] * ('General Info'!$B$40 -'General Info'!$B$41 + 1)) + 'General Info'!$B$41 - 1, 0)</f>
        <v>18395.355220747271</v>
      </c>
      <c r="W519" s="100" t="str">
        <f>IF(ISERROR(MATCH(SamplingData[[#This Row],[Batch by Type (p)]],SelectedPrecincts[Batch Name], 0)), "", INDEX(SelectedPrecincts[Draw], MATCH(SamplingData[[#This Row],[Batch by Type (p)]],SelectedPrecincts[Batch Name], 0)))</f>
        <v/>
      </c>
      <c r="X519" s="102">
        <f>IF(COUNTIF(SelectedPrecincts[Batch Name],SamplingData[[#This Row],[Batch by Type (p)]]) &lt;&gt; 0, COUNTIF(SelectedPrecincts[Batch Name],SamplingData[[#This Row],[Batch by Type (p)]]), 0)</f>
        <v>0</v>
      </c>
    </row>
    <row r="520" spans="1:24" ht="15" customHeight="1">
      <c r="A520" s="18" t="s">
        <v>696</v>
      </c>
      <c r="B520" s="18">
        <v>0</v>
      </c>
      <c r="C520" s="18">
        <v>0</v>
      </c>
      <c r="D520" s="18">
        <v>2</v>
      </c>
      <c r="E520" s="18">
        <v>0</v>
      </c>
      <c r="F520" s="18">
        <v>0</v>
      </c>
      <c r="G520" s="18">
        <v>0</v>
      </c>
      <c r="H520" s="18">
        <v>0</v>
      </c>
      <c r="I520" s="18">
        <v>0</v>
      </c>
      <c r="J520" s="99">
        <f>SUM(SamplingData[[#This Row],[Losing Candidate]:[Under Votes]])</f>
        <v>2</v>
      </c>
      <c r="K52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20" s="100">
        <f>IF(AND(SamplingData[[#This Row],[Total]]&lt;&gt; 0, NOT(ISBLANK(SamplingData[[#This Row],[Candidate 3]]))),(SamplingData[[#This Row],[Total]]+SamplingData[[#This Row],[Winning Candidate]]-SamplingData[[#This Row],[Candidate 3]])/(SamplingData[[#Totals],[Winning Candidate]]-SamplingData[[#Totals],[Candidate 3]]), 0)</f>
        <v>0</v>
      </c>
      <c r="M520" s="100">
        <f>IF(AND(SamplingData[[#This Row],[Total]]&lt;&gt; 0, NOT(ISBLANK(SamplingData[[#This Row],[Candidate 4]]))),(SamplingData[[#This Row],[Total]]+SamplingData[[#This Row],[Winning Candidate]]-SamplingData[[#This Row],[Candidate 4]])/(SamplingData[[#Totals],[Winning Candidate]]-SamplingData[[#Totals],[Candidate 4]]), 0)</f>
        <v>5.846414686193692E-5</v>
      </c>
      <c r="N520" s="100">
        <f>IF(AND(SamplingData[[#This Row],[Total]]&lt;&gt; 0, NOT(ISBLANK(SamplingData[[#This Row],[Candidate 5]]))),(SamplingData[[#This Row],[Total]]+SamplingData[[#This Row],[Winning Candidate]]-SamplingData[[#This Row],[Candidate 5]])/(SamplingData[[#Totals],[Winning Candidate]]-SamplingData[[#Totals],[Candidate 5]]), 0)</f>
        <v>4.8649963512527367E-5</v>
      </c>
      <c r="O520" s="100">
        <f>IF(AND(SamplingData[[#This Row],[Total]]&lt;&gt; 0, NOT(ISBLANK(SamplingData[[#This Row],[Candidate 6]]))),(SamplingData[[#This Row],[Total]]+SamplingData[[#This Row],[Winning Candidate]]-SamplingData[[#This Row],[Candidate 6]])/(SamplingData[[#Totals],[Winning Candidate]]-SamplingData[[#Totals],[Candidate 6]]), 0)</f>
        <v>4.8635766742862701E-5</v>
      </c>
      <c r="P520" s="100">
        <f>MAX(SamplingData[[#This Row],[Error Bound (up) - Max. possible relative overstatement - Losing Candidate]:[Error Bound (up) - Max. possible relative overstatement - Candidate 6]])</f>
        <v>1.224889759921607E-4</v>
      </c>
      <c r="Q520" s="100">
        <f>IF(SamplingData[[#This Row],[Max Error Bound (up)]] = 0,0,SamplingData[[#This Row],[Max Error Bound (up)]]/SamplingData[[#Totals],[Max Error Bound (up)]])</f>
        <v>1.9385896556891663E-5</v>
      </c>
      <c r="R520" s="101">
        <f>SUM($Q$5:Q520)</f>
        <v>0.1839829381040296</v>
      </c>
      <c r="S520" s="100" t="str">
        <f t="array" ref="S520">IF(SamplingData[[#This Row],[up/U Selection Probability]] = 0, "Zero", TEXT(SamplingData[[#This Row],[Lower Range]], REPT("0",LEN('General Info'!$B$40))) &amp; " - " &amp; TEXT(SamplingData[[#This Row],[Upper Range]], REPT("0",LEN('General Info'!$B$40))))</f>
        <v>18396 - 18397</v>
      </c>
      <c r="T520" s="100">
        <f>SamplingData[[#This Row],[Upper Range]]-SamplingData[[#This Row],[Span]]</f>
        <v>18396.355240133169</v>
      </c>
      <c r="U520" s="100">
        <f>IF(ISNUMBER('General Info'!$B$40), ((SamplingData[[#This Row],[up/U Selection Probability]]) * 'General Info'!$B$40) - 1, 0)</f>
        <v>0.93857026979260949</v>
      </c>
      <c r="V520" s="100">
        <f>IF(ISNUMBER('General Info'!$B$40), (SamplingData[[#This Row],[Running (cumulative) sum]] * ('General Info'!$B$40 -'General Info'!$B$41 + 1)) + 'General Info'!$B$41 - 1, 0)</f>
        <v>18397.29381040296</v>
      </c>
      <c r="W520" s="100" t="str">
        <f>IF(ISERROR(MATCH(SamplingData[[#This Row],[Batch by Type (p)]],SelectedPrecincts[Batch Name], 0)), "", INDEX(SelectedPrecincts[Draw], MATCH(SamplingData[[#This Row],[Batch by Type (p)]],SelectedPrecincts[Batch Name], 0)))</f>
        <v/>
      </c>
      <c r="X520" s="102">
        <f>IF(COUNTIF(SelectedPrecincts[Batch Name],SamplingData[[#This Row],[Batch by Type (p)]]) &lt;&gt; 0, COUNTIF(SelectedPrecincts[Batch Name],SamplingData[[#This Row],[Batch by Type (p)]]), 0)</f>
        <v>0</v>
      </c>
    </row>
    <row r="521" spans="1:24" ht="15" customHeight="1">
      <c r="A521" s="18" t="s">
        <v>697</v>
      </c>
      <c r="B521" s="18">
        <v>0</v>
      </c>
      <c r="C521" s="18">
        <v>0</v>
      </c>
      <c r="D521" s="16">
        <v>0</v>
      </c>
      <c r="E521" s="16">
        <v>1</v>
      </c>
      <c r="F521" s="37">
        <v>0</v>
      </c>
      <c r="G521" s="37">
        <v>0</v>
      </c>
      <c r="H521" s="17">
        <v>0</v>
      </c>
      <c r="I521" s="17">
        <v>2</v>
      </c>
      <c r="J521" s="99">
        <f>SUM(SamplingData[[#This Row],[Losing Candidate]:[Under Votes]])</f>
        <v>3</v>
      </c>
      <c r="K521"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521" s="100">
        <f>IF(AND(SamplingData[[#This Row],[Total]]&lt;&gt; 0, NOT(ISBLANK(SamplingData[[#This Row],[Candidate 3]]))),(SamplingData[[#This Row],[Total]]+SamplingData[[#This Row],[Winning Candidate]]-SamplingData[[#This Row],[Candidate 3]])/(SamplingData[[#Totals],[Winning Candidate]]-SamplingData[[#Totals],[Candidate 3]]), 0)</f>
        <v>9.6783559699325743E-5</v>
      </c>
      <c r="M521" s="100">
        <f>IF(AND(SamplingData[[#This Row],[Total]]&lt;&gt; 0, NOT(ISBLANK(SamplingData[[#This Row],[Candidate 4]]))),(SamplingData[[#This Row],[Total]]+SamplingData[[#This Row],[Winning Candidate]]-SamplingData[[#This Row],[Candidate 4]])/(SamplingData[[#Totals],[Winning Candidate]]-SamplingData[[#Totals],[Candidate 4]]), 0)</f>
        <v>5.846414686193692E-5</v>
      </c>
      <c r="N521" s="100">
        <f>IF(AND(SamplingData[[#This Row],[Total]]&lt;&gt; 0, NOT(ISBLANK(SamplingData[[#This Row],[Candidate 5]]))),(SamplingData[[#This Row],[Total]]+SamplingData[[#This Row],[Winning Candidate]]-SamplingData[[#This Row],[Candidate 5]])/(SamplingData[[#Totals],[Winning Candidate]]-SamplingData[[#Totals],[Candidate 5]]), 0)</f>
        <v>7.2974945268791054E-5</v>
      </c>
      <c r="O521" s="100">
        <f>IF(AND(SamplingData[[#This Row],[Total]]&lt;&gt; 0, NOT(ISBLANK(SamplingData[[#This Row],[Candidate 6]]))),(SamplingData[[#This Row],[Total]]+SamplingData[[#This Row],[Winning Candidate]]-SamplingData[[#This Row],[Candidate 6]])/(SamplingData[[#Totals],[Winning Candidate]]-SamplingData[[#Totals],[Candidate 6]]), 0)</f>
        <v>7.2953650114294054E-5</v>
      </c>
      <c r="P521" s="100">
        <f>MAX(SamplingData[[#This Row],[Error Bound (up) - Max. possible relative overstatement - Losing Candidate]:[Error Bound (up) - Max. possible relative overstatement - Candidate 6]])</f>
        <v>1.8373346398824106E-4</v>
      </c>
      <c r="Q521" s="100">
        <f>IF(SamplingData[[#This Row],[Max Error Bound (up)]] = 0,0,SamplingData[[#This Row],[Max Error Bound (up)]]/SamplingData[[#Totals],[Max Error Bound (up)]])</f>
        <v>2.9078844835337493E-5</v>
      </c>
      <c r="R521" s="101">
        <f>SUM($Q$5:Q521)</f>
        <v>0.18401201694886493</v>
      </c>
      <c r="S521" s="100" t="str">
        <f t="array" ref="S521">IF(SamplingData[[#This Row],[up/U Selection Probability]] = 0, "Zero", TEXT(SamplingData[[#This Row],[Lower Range]], REPT("0",LEN('General Info'!$B$40))) &amp; " - " &amp; TEXT(SamplingData[[#This Row],[Upper Range]], REPT("0",LEN('General Info'!$B$40))))</f>
        <v>18398 - 18400</v>
      </c>
      <c r="T521" s="100">
        <f>SamplingData[[#This Row],[Upper Range]]-SamplingData[[#This Row],[Span]]</f>
        <v>18398.293839481805</v>
      </c>
      <c r="U521" s="100">
        <f>IF(ISNUMBER('General Info'!$B$40), ((SamplingData[[#This Row],[up/U Selection Probability]]) * 'General Info'!$B$40) - 1, 0)</f>
        <v>1.907855404688914</v>
      </c>
      <c r="V521" s="100">
        <f>IF(ISNUMBER('General Info'!$B$40), (SamplingData[[#This Row],[Running (cumulative) sum]] * ('General Info'!$B$40 -'General Info'!$B$41 + 1)) + 'General Info'!$B$41 - 1, 0)</f>
        <v>18400.201694886495</v>
      </c>
      <c r="W521" s="100" t="str">
        <f>IF(ISERROR(MATCH(SamplingData[[#This Row],[Batch by Type (p)]],SelectedPrecincts[Batch Name], 0)), "", INDEX(SelectedPrecincts[Draw], MATCH(SamplingData[[#This Row],[Batch by Type (p)]],SelectedPrecincts[Batch Name], 0)))</f>
        <v/>
      </c>
      <c r="X521" s="102">
        <f>IF(COUNTIF(SelectedPrecincts[Batch Name],SamplingData[[#This Row],[Batch by Type (p)]]) &lt;&gt; 0, COUNTIF(SelectedPrecincts[Batch Name],SamplingData[[#This Row],[Batch by Type (p)]]), 0)</f>
        <v>0</v>
      </c>
    </row>
    <row r="522" spans="1:24" ht="15" customHeight="1">
      <c r="A522" s="18" t="s">
        <v>698</v>
      </c>
      <c r="B522" s="18">
        <v>0</v>
      </c>
      <c r="C522" s="18">
        <v>0</v>
      </c>
      <c r="D522" s="18">
        <v>0</v>
      </c>
      <c r="E522" s="18">
        <v>0</v>
      </c>
      <c r="F522" s="18">
        <v>0</v>
      </c>
      <c r="G522" s="18">
        <v>0</v>
      </c>
      <c r="H522" s="18">
        <v>0</v>
      </c>
      <c r="I522" s="18">
        <v>0</v>
      </c>
      <c r="J522" s="99">
        <f>SUM(SamplingData[[#This Row],[Losing Candidate]:[Under Votes]])</f>
        <v>0</v>
      </c>
      <c r="K522" s="100">
        <f>IF(AND(SamplingData[[#This Row],[Total]]&lt;&gt; 0, NOT(ISBLANK(SamplingData[[#This Row],[Losing Candidate]]))),(SamplingData[[#This Row],[Total]]+SamplingData[[#This Row],[Winning Candidate]]-SamplingData[[#This Row],[Losing Candidate]])/(SamplingData[[#Totals],[Winning Candidate]]-SamplingData[[#Totals],[Losing Candidate]]), 0)</f>
        <v>0</v>
      </c>
      <c r="L522" s="100">
        <f>IF(AND(SamplingData[[#This Row],[Total]]&lt;&gt; 0, NOT(ISBLANK(SamplingData[[#This Row],[Candidate 3]]))),(SamplingData[[#This Row],[Total]]+SamplingData[[#This Row],[Winning Candidate]]-SamplingData[[#This Row],[Candidate 3]])/(SamplingData[[#Totals],[Winning Candidate]]-SamplingData[[#Totals],[Candidate 3]]), 0)</f>
        <v>0</v>
      </c>
      <c r="M522" s="100">
        <f>IF(AND(SamplingData[[#This Row],[Total]]&lt;&gt; 0, NOT(ISBLANK(SamplingData[[#This Row],[Candidate 4]]))),(SamplingData[[#This Row],[Total]]+SamplingData[[#This Row],[Winning Candidate]]-SamplingData[[#This Row],[Candidate 4]])/(SamplingData[[#Totals],[Winning Candidate]]-SamplingData[[#Totals],[Candidate 4]]), 0)</f>
        <v>0</v>
      </c>
      <c r="N522" s="100">
        <f>IF(AND(SamplingData[[#This Row],[Total]]&lt;&gt; 0, NOT(ISBLANK(SamplingData[[#This Row],[Candidate 5]]))),(SamplingData[[#This Row],[Total]]+SamplingData[[#This Row],[Winning Candidate]]-SamplingData[[#This Row],[Candidate 5]])/(SamplingData[[#Totals],[Winning Candidate]]-SamplingData[[#Totals],[Candidate 5]]), 0)</f>
        <v>0</v>
      </c>
      <c r="O522" s="100">
        <f>IF(AND(SamplingData[[#This Row],[Total]]&lt;&gt; 0, NOT(ISBLANK(SamplingData[[#This Row],[Candidate 6]]))),(SamplingData[[#This Row],[Total]]+SamplingData[[#This Row],[Winning Candidate]]-SamplingData[[#This Row],[Candidate 6]])/(SamplingData[[#Totals],[Winning Candidate]]-SamplingData[[#Totals],[Candidate 6]]), 0)</f>
        <v>0</v>
      </c>
      <c r="P522" s="100">
        <f>MAX(SamplingData[[#This Row],[Error Bound (up) - Max. possible relative overstatement - Losing Candidate]:[Error Bound (up) - Max. possible relative overstatement - Candidate 6]])</f>
        <v>0</v>
      </c>
      <c r="Q522" s="100">
        <f>IF(SamplingData[[#This Row],[Max Error Bound (up)]] = 0,0,SamplingData[[#This Row],[Max Error Bound (up)]]/SamplingData[[#Totals],[Max Error Bound (up)]])</f>
        <v>0</v>
      </c>
      <c r="R522" s="101">
        <f>SUM($Q$5:Q522)</f>
        <v>0.18401201694886493</v>
      </c>
      <c r="S522" s="100" t="str">
        <f t="array" ref="S522">IF(SamplingData[[#This Row],[up/U Selection Probability]] = 0, "Zero", TEXT(SamplingData[[#This Row],[Lower Range]], REPT("0",LEN('General Info'!$B$40))) &amp; " - " &amp; TEXT(SamplingData[[#This Row],[Upper Range]], REPT("0",LEN('General Info'!$B$40))))</f>
        <v>Zero</v>
      </c>
      <c r="T522" s="100">
        <f>SamplingData[[#This Row],[Upper Range]]-SamplingData[[#This Row],[Span]]</f>
        <v>18401.201694886495</v>
      </c>
      <c r="U522" s="100">
        <f>IF(ISNUMBER('General Info'!$B$40), ((SamplingData[[#This Row],[up/U Selection Probability]]) * 'General Info'!$B$40) - 1, 0)</f>
        <v>-1</v>
      </c>
      <c r="V522" s="100">
        <f>IF(ISNUMBER('General Info'!$B$40), (SamplingData[[#This Row],[Running (cumulative) sum]] * ('General Info'!$B$40 -'General Info'!$B$41 + 1)) + 'General Info'!$B$41 - 1, 0)</f>
        <v>18400.201694886495</v>
      </c>
      <c r="W522" s="100" t="str">
        <f>IF(ISERROR(MATCH(SamplingData[[#This Row],[Batch by Type (p)]],SelectedPrecincts[Batch Name], 0)), "", INDEX(SelectedPrecincts[Draw], MATCH(SamplingData[[#This Row],[Batch by Type (p)]],SelectedPrecincts[Batch Name], 0)))</f>
        <v/>
      </c>
      <c r="X522" s="102">
        <f>IF(COUNTIF(SelectedPrecincts[Batch Name],SamplingData[[#This Row],[Batch by Type (p)]]) &lt;&gt; 0, COUNTIF(SelectedPrecincts[Batch Name],SamplingData[[#This Row],[Batch by Type (p)]]), 0)</f>
        <v>0</v>
      </c>
    </row>
    <row r="523" spans="1:24" ht="15" customHeight="1">
      <c r="A523" s="18" t="s">
        <v>699</v>
      </c>
      <c r="B523" s="18">
        <v>0</v>
      </c>
      <c r="C523" s="18">
        <v>1</v>
      </c>
      <c r="D523" s="16">
        <v>0</v>
      </c>
      <c r="E523" s="16">
        <v>0</v>
      </c>
      <c r="F523" s="37">
        <v>0</v>
      </c>
      <c r="G523" s="37">
        <v>0</v>
      </c>
      <c r="H523" s="17">
        <v>0</v>
      </c>
      <c r="I523" s="17">
        <v>0</v>
      </c>
      <c r="J523" s="99">
        <f>SUM(SamplingData[[#This Row],[Losing Candidate]:[Under Votes]])</f>
        <v>1</v>
      </c>
      <c r="K523"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23" s="100">
        <f>IF(AND(SamplingData[[#This Row],[Total]]&lt;&gt; 0, NOT(ISBLANK(SamplingData[[#This Row],[Candidate 3]]))),(SamplingData[[#This Row],[Total]]+SamplingData[[#This Row],[Winning Candidate]]-SamplingData[[#This Row],[Candidate 3]])/(SamplingData[[#Totals],[Winning Candidate]]-SamplingData[[#Totals],[Candidate 3]]), 0)</f>
        <v>6.4522373132883833E-5</v>
      </c>
      <c r="M523" s="100">
        <f>IF(AND(SamplingData[[#This Row],[Total]]&lt;&gt; 0, NOT(ISBLANK(SamplingData[[#This Row],[Candidate 4]]))),(SamplingData[[#This Row],[Total]]+SamplingData[[#This Row],[Winning Candidate]]-SamplingData[[#This Row],[Candidate 4]])/(SamplingData[[#Totals],[Winning Candidate]]-SamplingData[[#Totals],[Candidate 4]]), 0)</f>
        <v>5.846414686193692E-5</v>
      </c>
      <c r="N523" s="100">
        <f>IF(AND(SamplingData[[#This Row],[Total]]&lt;&gt; 0, NOT(ISBLANK(SamplingData[[#This Row],[Candidate 5]]))),(SamplingData[[#This Row],[Total]]+SamplingData[[#This Row],[Winning Candidate]]-SamplingData[[#This Row],[Candidate 5]])/(SamplingData[[#Totals],[Winning Candidate]]-SamplingData[[#Totals],[Candidate 5]]), 0)</f>
        <v>4.8649963512527367E-5</v>
      </c>
      <c r="O523" s="100">
        <f>IF(AND(SamplingData[[#This Row],[Total]]&lt;&gt; 0, NOT(ISBLANK(SamplingData[[#This Row],[Candidate 6]]))),(SamplingData[[#This Row],[Total]]+SamplingData[[#This Row],[Winning Candidate]]-SamplingData[[#This Row],[Candidate 6]])/(SamplingData[[#Totals],[Winning Candidate]]-SamplingData[[#Totals],[Candidate 6]]), 0)</f>
        <v>4.8635766742862701E-5</v>
      </c>
      <c r="P523" s="100">
        <f>MAX(SamplingData[[#This Row],[Error Bound (up) - Max. possible relative overstatement - Losing Candidate]:[Error Bound (up) - Max. possible relative overstatement - Candidate 6]])</f>
        <v>1.224889759921607E-4</v>
      </c>
      <c r="Q523" s="100">
        <f>IF(SamplingData[[#This Row],[Max Error Bound (up)]] = 0,0,SamplingData[[#This Row],[Max Error Bound (up)]]/SamplingData[[#Totals],[Max Error Bound (up)]])</f>
        <v>1.9385896556891663E-5</v>
      </c>
      <c r="R523" s="101">
        <f>SUM($Q$5:Q523)</f>
        <v>0.18403140284542183</v>
      </c>
      <c r="S523" s="100" t="str">
        <f t="array" ref="S523">IF(SamplingData[[#This Row],[up/U Selection Probability]] = 0, "Zero", TEXT(SamplingData[[#This Row],[Lower Range]], REPT("0",LEN('General Info'!$B$40))) &amp; " - " &amp; TEXT(SamplingData[[#This Row],[Upper Range]], REPT("0",LEN('General Info'!$B$40))))</f>
        <v>18401 - 18402</v>
      </c>
      <c r="T523" s="100">
        <f>SamplingData[[#This Row],[Upper Range]]-SamplingData[[#This Row],[Span]]</f>
        <v>18401.201714272393</v>
      </c>
      <c r="U523" s="100">
        <f>IF(ISNUMBER('General Info'!$B$40), ((SamplingData[[#This Row],[up/U Selection Probability]]) * 'General Info'!$B$40) - 1, 0)</f>
        <v>0.93857026979260949</v>
      </c>
      <c r="V523" s="100">
        <f>IF(ISNUMBER('General Info'!$B$40), (SamplingData[[#This Row],[Running (cumulative) sum]] * ('General Info'!$B$40 -'General Info'!$B$41 + 1)) + 'General Info'!$B$41 - 1, 0)</f>
        <v>18402.140284542184</v>
      </c>
      <c r="W523" s="100" t="str">
        <f>IF(ISERROR(MATCH(SamplingData[[#This Row],[Batch by Type (p)]],SelectedPrecincts[Batch Name], 0)), "", INDEX(SelectedPrecincts[Draw], MATCH(SamplingData[[#This Row],[Batch by Type (p)]],SelectedPrecincts[Batch Name], 0)))</f>
        <v/>
      </c>
      <c r="X523" s="102">
        <f>IF(COUNTIF(SelectedPrecincts[Batch Name],SamplingData[[#This Row],[Batch by Type (p)]]) &lt;&gt; 0, COUNTIF(SelectedPrecincts[Batch Name],SamplingData[[#This Row],[Batch by Type (p)]]), 0)</f>
        <v>0</v>
      </c>
    </row>
    <row r="524" spans="1:24" ht="15" customHeight="1">
      <c r="A524" s="18" t="s">
        <v>700</v>
      </c>
      <c r="B524" s="18">
        <v>0</v>
      </c>
      <c r="C524" s="18">
        <v>0</v>
      </c>
      <c r="D524" s="18">
        <v>2</v>
      </c>
      <c r="E524" s="18">
        <v>1</v>
      </c>
      <c r="F524" s="18">
        <v>0</v>
      </c>
      <c r="G524" s="18">
        <v>0</v>
      </c>
      <c r="H524" s="18">
        <v>0</v>
      </c>
      <c r="I524" s="18">
        <v>0</v>
      </c>
      <c r="J524" s="99">
        <f>SUM(SamplingData[[#This Row],[Losing Candidate]:[Under Votes]])</f>
        <v>3</v>
      </c>
      <c r="K524"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524" s="100">
        <f>IF(AND(SamplingData[[#This Row],[Total]]&lt;&gt; 0, NOT(ISBLANK(SamplingData[[#This Row],[Candidate 3]]))),(SamplingData[[#This Row],[Total]]+SamplingData[[#This Row],[Winning Candidate]]-SamplingData[[#This Row],[Candidate 3]])/(SamplingData[[#Totals],[Winning Candidate]]-SamplingData[[#Totals],[Candidate 3]]), 0)</f>
        <v>3.2261186566441917E-5</v>
      </c>
      <c r="M524" s="100">
        <f>IF(AND(SamplingData[[#This Row],[Total]]&lt;&gt; 0, NOT(ISBLANK(SamplingData[[#This Row],[Candidate 4]]))),(SamplingData[[#This Row],[Total]]+SamplingData[[#This Row],[Winning Candidate]]-SamplingData[[#This Row],[Candidate 4]])/(SamplingData[[#Totals],[Winning Candidate]]-SamplingData[[#Totals],[Candidate 4]]), 0)</f>
        <v>5.846414686193692E-5</v>
      </c>
      <c r="N524" s="100">
        <f>IF(AND(SamplingData[[#This Row],[Total]]&lt;&gt; 0, NOT(ISBLANK(SamplingData[[#This Row],[Candidate 5]]))),(SamplingData[[#This Row],[Total]]+SamplingData[[#This Row],[Winning Candidate]]-SamplingData[[#This Row],[Candidate 5]])/(SamplingData[[#Totals],[Winning Candidate]]-SamplingData[[#Totals],[Candidate 5]]), 0)</f>
        <v>7.2974945268791054E-5</v>
      </c>
      <c r="O524" s="100">
        <f>IF(AND(SamplingData[[#This Row],[Total]]&lt;&gt; 0, NOT(ISBLANK(SamplingData[[#This Row],[Candidate 6]]))),(SamplingData[[#This Row],[Total]]+SamplingData[[#This Row],[Winning Candidate]]-SamplingData[[#This Row],[Candidate 6]])/(SamplingData[[#Totals],[Winning Candidate]]-SamplingData[[#Totals],[Candidate 6]]), 0)</f>
        <v>7.2953650114294054E-5</v>
      </c>
      <c r="P524" s="100">
        <f>MAX(SamplingData[[#This Row],[Error Bound (up) - Max. possible relative overstatement - Losing Candidate]:[Error Bound (up) - Max. possible relative overstatement - Candidate 6]])</f>
        <v>1.8373346398824106E-4</v>
      </c>
      <c r="Q524" s="100">
        <f>IF(SamplingData[[#This Row],[Max Error Bound (up)]] = 0,0,SamplingData[[#This Row],[Max Error Bound (up)]]/SamplingData[[#Totals],[Max Error Bound (up)]])</f>
        <v>2.9078844835337493E-5</v>
      </c>
      <c r="R524" s="101">
        <f>SUM($Q$5:Q524)</f>
        <v>0.18406048169025715</v>
      </c>
      <c r="S524" s="100" t="str">
        <f t="array" ref="S524">IF(SamplingData[[#This Row],[up/U Selection Probability]] = 0, "Zero", TEXT(SamplingData[[#This Row],[Lower Range]], REPT("0",LEN('General Info'!$B$40))) &amp; " - " &amp; TEXT(SamplingData[[#This Row],[Upper Range]], REPT("0",LEN('General Info'!$B$40))))</f>
        <v>18403 - 18405</v>
      </c>
      <c r="T524" s="100">
        <f>SamplingData[[#This Row],[Upper Range]]-SamplingData[[#This Row],[Span]]</f>
        <v>18403.140313621025</v>
      </c>
      <c r="U524" s="100">
        <f>IF(ISNUMBER('General Info'!$B$40), ((SamplingData[[#This Row],[up/U Selection Probability]]) * 'General Info'!$B$40) - 1, 0)</f>
        <v>1.907855404688914</v>
      </c>
      <c r="V524" s="100">
        <f>IF(ISNUMBER('General Info'!$B$40), (SamplingData[[#This Row],[Running (cumulative) sum]] * ('General Info'!$B$40 -'General Info'!$B$41 + 1)) + 'General Info'!$B$41 - 1, 0)</f>
        <v>18405.048169025715</v>
      </c>
      <c r="W524" s="100" t="str">
        <f>IF(ISERROR(MATCH(SamplingData[[#This Row],[Batch by Type (p)]],SelectedPrecincts[Batch Name], 0)), "", INDEX(SelectedPrecincts[Draw], MATCH(SamplingData[[#This Row],[Batch by Type (p)]],SelectedPrecincts[Batch Name], 0)))</f>
        <v/>
      </c>
      <c r="X524" s="102">
        <f>IF(COUNTIF(SelectedPrecincts[Batch Name],SamplingData[[#This Row],[Batch by Type (p)]]) &lt;&gt; 0, COUNTIF(SelectedPrecincts[Batch Name],SamplingData[[#This Row],[Batch by Type (p)]]), 0)</f>
        <v>0</v>
      </c>
    </row>
    <row r="525" spans="1:24" ht="15" customHeight="1">
      <c r="A525" s="18" t="s">
        <v>701</v>
      </c>
      <c r="B525" s="18">
        <v>1</v>
      </c>
      <c r="C525" s="18">
        <v>0</v>
      </c>
      <c r="D525" s="16">
        <v>0</v>
      </c>
      <c r="E525" s="16">
        <v>1</v>
      </c>
      <c r="F525" s="37">
        <v>0</v>
      </c>
      <c r="G525" s="37">
        <v>0</v>
      </c>
      <c r="H525" s="17">
        <v>0</v>
      </c>
      <c r="I525" s="17">
        <v>0</v>
      </c>
      <c r="J525" s="99">
        <f>SUM(SamplingData[[#This Row],[Losing Candidate]:[Under Votes]])</f>
        <v>2</v>
      </c>
      <c r="K525"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25" s="100">
        <f>IF(AND(SamplingData[[#This Row],[Total]]&lt;&gt; 0, NOT(ISBLANK(SamplingData[[#This Row],[Candidate 3]]))),(SamplingData[[#This Row],[Total]]+SamplingData[[#This Row],[Winning Candidate]]-SamplingData[[#This Row],[Candidate 3]])/(SamplingData[[#Totals],[Winning Candidate]]-SamplingData[[#Totals],[Candidate 3]]), 0)</f>
        <v>6.4522373132883833E-5</v>
      </c>
      <c r="M525" s="100">
        <f>IF(AND(SamplingData[[#This Row],[Total]]&lt;&gt; 0, NOT(ISBLANK(SamplingData[[#This Row],[Candidate 4]]))),(SamplingData[[#This Row],[Total]]+SamplingData[[#This Row],[Winning Candidate]]-SamplingData[[#This Row],[Candidate 4]])/(SamplingData[[#Totals],[Winning Candidate]]-SamplingData[[#Totals],[Candidate 4]]), 0)</f>
        <v>2.923207343096846E-5</v>
      </c>
      <c r="N525" s="100">
        <f>IF(AND(SamplingData[[#This Row],[Total]]&lt;&gt; 0, NOT(ISBLANK(SamplingData[[#This Row],[Candidate 5]]))),(SamplingData[[#This Row],[Total]]+SamplingData[[#This Row],[Winning Candidate]]-SamplingData[[#This Row],[Candidate 5]])/(SamplingData[[#Totals],[Winning Candidate]]-SamplingData[[#Totals],[Candidate 5]]), 0)</f>
        <v>4.8649963512527367E-5</v>
      </c>
      <c r="O525" s="100">
        <f>IF(AND(SamplingData[[#This Row],[Total]]&lt;&gt; 0, NOT(ISBLANK(SamplingData[[#This Row],[Candidate 6]]))),(SamplingData[[#This Row],[Total]]+SamplingData[[#This Row],[Winning Candidate]]-SamplingData[[#This Row],[Candidate 6]])/(SamplingData[[#Totals],[Winning Candidate]]-SamplingData[[#Totals],[Candidate 6]]), 0)</f>
        <v>4.8635766742862701E-5</v>
      </c>
      <c r="P525" s="100">
        <f>MAX(SamplingData[[#This Row],[Error Bound (up) - Max. possible relative overstatement - Losing Candidate]:[Error Bound (up) - Max. possible relative overstatement - Candidate 6]])</f>
        <v>6.4522373132883833E-5</v>
      </c>
      <c r="Q525" s="100">
        <f>IF(SamplingData[[#This Row],[Max Error Bound (up)]] = 0,0,SamplingData[[#This Row],[Max Error Bound (up)]]/SamplingData[[#Totals],[Max Error Bound (up)]])</f>
        <v>1.0211727553664133E-5</v>
      </c>
      <c r="R525" s="101">
        <f>SUM($Q$5:Q525)</f>
        <v>0.18407069341781082</v>
      </c>
      <c r="S525" s="100" t="str">
        <f t="array" ref="S525">IF(SamplingData[[#This Row],[up/U Selection Probability]] = 0, "Zero", TEXT(SamplingData[[#This Row],[Lower Range]], REPT("0",LEN('General Info'!$B$40))) &amp; " - " &amp; TEXT(SamplingData[[#This Row],[Upper Range]], REPT("0",LEN('General Info'!$B$40))))</f>
        <v>18406 - 18406</v>
      </c>
      <c r="T525" s="100">
        <f>SamplingData[[#This Row],[Upper Range]]-SamplingData[[#This Row],[Span]]</f>
        <v>18406.048179237445</v>
      </c>
      <c r="U525" s="100">
        <f>IF(ISNUMBER('General Info'!$B$40), ((SamplingData[[#This Row],[up/U Selection Probability]]) * 'General Info'!$B$40) - 1, 0)</f>
        <v>2.116254363885961E-2</v>
      </c>
      <c r="V525" s="100">
        <f>IF(ISNUMBER('General Info'!$B$40), (SamplingData[[#This Row],[Running (cumulative) sum]] * ('General Info'!$B$40 -'General Info'!$B$41 + 1)) + 'General Info'!$B$41 - 1, 0)</f>
        <v>18406.069341781083</v>
      </c>
      <c r="W525" s="100" t="str">
        <f>IF(ISERROR(MATCH(SamplingData[[#This Row],[Batch by Type (p)]],SelectedPrecincts[Batch Name], 0)), "", INDEX(SelectedPrecincts[Draw], MATCH(SamplingData[[#This Row],[Batch by Type (p)]],SelectedPrecincts[Batch Name], 0)))</f>
        <v/>
      </c>
      <c r="X525" s="102">
        <f>IF(COUNTIF(SelectedPrecincts[Batch Name],SamplingData[[#This Row],[Batch by Type (p)]]) &lt;&gt; 0, COUNTIF(SelectedPrecincts[Batch Name],SamplingData[[#This Row],[Batch by Type (p)]]), 0)</f>
        <v>0</v>
      </c>
    </row>
    <row r="526" spans="1:24" ht="15" customHeight="1">
      <c r="A526" s="18" t="s">
        <v>702</v>
      </c>
      <c r="B526" s="18">
        <v>0</v>
      </c>
      <c r="C526" s="18">
        <v>0</v>
      </c>
      <c r="D526" s="18">
        <v>0</v>
      </c>
      <c r="E526" s="18">
        <v>0</v>
      </c>
      <c r="F526" s="18">
        <v>0</v>
      </c>
      <c r="G526" s="18">
        <v>0</v>
      </c>
      <c r="H526" s="18">
        <v>0</v>
      </c>
      <c r="I526" s="18">
        <v>0</v>
      </c>
      <c r="J526" s="99">
        <f>SUM(SamplingData[[#This Row],[Losing Candidate]:[Under Votes]])</f>
        <v>0</v>
      </c>
      <c r="K526" s="100">
        <f>IF(AND(SamplingData[[#This Row],[Total]]&lt;&gt; 0, NOT(ISBLANK(SamplingData[[#This Row],[Losing Candidate]]))),(SamplingData[[#This Row],[Total]]+SamplingData[[#This Row],[Winning Candidate]]-SamplingData[[#This Row],[Losing Candidate]])/(SamplingData[[#Totals],[Winning Candidate]]-SamplingData[[#Totals],[Losing Candidate]]), 0)</f>
        <v>0</v>
      </c>
      <c r="L526" s="100">
        <f>IF(AND(SamplingData[[#This Row],[Total]]&lt;&gt; 0, NOT(ISBLANK(SamplingData[[#This Row],[Candidate 3]]))),(SamplingData[[#This Row],[Total]]+SamplingData[[#This Row],[Winning Candidate]]-SamplingData[[#This Row],[Candidate 3]])/(SamplingData[[#Totals],[Winning Candidate]]-SamplingData[[#Totals],[Candidate 3]]), 0)</f>
        <v>0</v>
      </c>
      <c r="M526" s="100">
        <f>IF(AND(SamplingData[[#This Row],[Total]]&lt;&gt; 0, NOT(ISBLANK(SamplingData[[#This Row],[Candidate 4]]))),(SamplingData[[#This Row],[Total]]+SamplingData[[#This Row],[Winning Candidate]]-SamplingData[[#This Row],[Candidate 4]])/(SamplingData[[#Totals],[Winning Candidate]]-SamplingData[[#Totals],[Candidate 4]]), 0)</f>
        <v>0</v>
      </c>
      <c r="N526" s="100">
        <f>IF(AND(SamplingData[[#This Row],[Total]]&lt;&gt; 0, NOT(ISBLANK(SamplingData[[#This Row],[Candidate 5]]))),(SamplingData[[#This Row],[Total]]+SamplingData[[#This Row],[Winning Candidate]]-SamplingData[[#This Row],[Candidate 5]])/(SamplingData[[#Totals],[Winning Candidate]]-SamplingData[[#Totals],[Candidate 5]]), 0)</f>
        <v>0</v>
      </c>
      <c r="O526" s="100">
        <f>IF(AND(SamplingData[[#This Row],[Total]]&lt;&gt; 0, NOT(ISBLANK(SamplingData[[#This Row],[Candidate 6]]))),(SamplingData[[#This Row],[Total]]+SamplingData[[#This Row],[Winning Candidate]]-SamplingData[[#This Row],[Candidate 6]])/(SamplingData[[#Totals],[Winning Candidate]]-SamplingData[[#Totals],[Candidate 6]]), 0)</f>
        <v>0</v>
      </c>
      <c r="P526" s="100">
        <f>MAX(SamplingData[[#This Row],[Error Bound (up) - Max. possible relative overstatement - Losing Candidate]:[Error Bound (up) - Max. possible relative overstatement - Candidate 6]])</f>
        <v>0</v>
      </c>
      <c r="Q526" s="100">
        <f>IF(SamplingData[[#This Row],[Max Error Bound (up)]] = 0,0,SamplingData[[#This Row],[Max Error Bound (up)]]/SamplingData[[#Totals],[Max Error Bound (up)]])</f>
        <v>0</v>
      </c>
      <c r="R526" s="101">
        <f>SUM($Q$5:Q526)</f>
        <v>0.18407069341781082</v>
      </c>
      <c r="S526" s="100" t="str">
        <f t="array" ref="S526">IF(SamplingData[[#This Row],[up/U Selection Probability]] = 0, "Zero", TEXT(SamplingData[[#This Row],[Lower Range]], REPT("0",LEN('General Info'!$B$40))) &amp; " - " &amp; TEXT(SamplingData[[#This Row],[Upper Range]], REPT("0",LEN('General Info'!$B$40))))</f>
        <v>Zero</v>
      </c>
      <c r="T526" s="100">
        <f>SamplingData[[#This Row],[Upper Range]]-SamplingData[[#This Row],[Span]]</f>
        <v>18407.069341781083</v>
      </c>
      <c r="U526" s="100">
        <f>IF(ISNUMBER('General Info'!$B$40), ((SamplingData[[#This Row],[up/U Selection Probability]]) * 'General Info'!$B$40) - 1, 0)</f>
        <v>-1</v>
      </c>
      <c r="V526" s="100">
        <f>IF(ISNUMBER('General Info'!$B$40), (SamplingData[[#This Row],[Running (cumulative) sum]] * ('General Info'!$B$40 -'General Info'!$B$41 + 1)) + 'General Info'!$B$41 - 1, 0)</f>
        <v>18406.069341781083</v>
      </c>
      <c r="W526" s="100" t="str">
        <f>IF(ISERROR(MATCH(SamplingData[[#This Row],[Batch by Type (p)]],SelectedPrecincts[Batch Name], 0)), "", INDEX(SelectedPrecincts[Draw], MATCH(SamplingData[[#This Row],[Batch by Type (p)]],SelectedPrecincts[Batch Name], 0)))</f>
        <v/>
      </c>
      <c r="X526" s="102">
        <f>IF(COUNTIF(SelectedPrecincts[Batch Name],SamplingData[[#This Row],[Batch by Type (p)]]) &lt;&gt; 0, COUNTIF(SelectedPrecincts[Batch Name],SamplingData[[#This Row],[Batch by Type (p)]]), 0)</f>
        <v>0</v>
      </c>
    </row>
    <row r="527" spans="1:24" ht="15" customHeight="1">
      <c r="A527" s="18" t="s">
        <v>703</v>
      </c>
      <c r="B527" s="18">
        <v>1</v>
      </c>
      <c r="C527" s="18">
        <v>1</v>
      </c>
      <c r="D527" s="16">
        <v>1</v>
      </c>
      <c r="E527" s="16">
        <v>0</v>
      </c>
      <c r="F527" s="37">
        <v>0</v>
      </c>
      <c r="G527" s="37">
        <v>0</v>
      </c>
      <c r="H527" s="17">
        <v>0</v>
      </c>
      <c r="I527" s="17">
        <v>1</v>
      </c>
      <c r="J527" s="99">
        <f>SUM(SamplingData[[#This Row],[Losing Candidate]:[Under Votes]])</f>
        <v>4</v>
      </c>
      <c r="K527"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527" s="100">
        <f>IF(AND(SamplingData[[#This Row],[Total]]&lt;&gt; 0, NOT(ISBLANK(SamplingData[[#This Row],[Candidate 3]]))),(SamplingData[[#This Row],[Total]]+SamplingData[[#This Row],[Winning Candidate]]-SamplingData[[#This Row],[Candidate 3]])/(SamplingData[[#Totals],[Winning Candidate]]-SamplingData[[#Totals],[Candidate 3]]), 0)</f>
        <v>1.2904474626576767E-4</v>
      </c>
      <c r="M527" s="100">
        <f>IF(AND(SamplingData[[#This Row],[Total]]&lt;&gt; 0, NOT(ISBLANK(SamplingData[[#This Row],[Candidate 4]]))),(SamplingData[[#This Row],[Total]]+SamplingData[[#This Row],[Winning Candidate]]-SamplingData[[#This Row],[Candidate 4]])/(SamplingData[[#Totals],[Winning Candidate]]-SamplingData[[#Totals],[Candidate 4]]), 0)</f>
        <v>1.4616036715484231E-4</v>
      </c>
      <c r="N527" s="100">
        <f>IF(AND(SamplingData[[#This Row],[Total]]&lt;&gt; 0, NOT(ISBLANK(SamplingData[[#This Row],[Candidate 5]]))),(SamplingData[[#This Row],[Total]]+SamplingData[[#This Row],[Winning Candidate]]-SamplingData[[#This Row],[Candidate 5]])/(SamplingData[[#Totals],[Winning Candidate]]-SamplingData[[#Totals],[Candidate 5]]), 0)</f>
        <v>1.2162490878131841E-4</v>
      </c>
      <c r="O527" s="100">
        <f>IF(AND(SamplingData[[#This Row],[Total]]&lt;&gt; 0, NOT(ISBLANK(SamplingData[[#This Row],[Candidate 6]]))),(SamplingData[[#This Row],[Total]]+SamplingData[[#This Row],[Winning Candidate]]-SamplingData[[#This Row],[Candidate 6]])/(SamplingData[[#Totals],[Winning Candidate]]-SamplingData[[#Totals],[Candidate 6]]), 0)</f>
        <v>1.2158941685715675E-4</v>
      </c>
      <c r="P527" s="100">
        <f>MAX(SamplingData[[#This Row],[Error Bound (up) - Max. possible relative overstatement - Losing Candidate]:[Error Bound (up) - Max. possible relative overstatement - Candidate 6]])</f>
        <v>2.4497795198432141E-4</v>
      </c>
      <c r="Q527" s="100">
        <f>IF(SamplingData[[#This Row],[Max Error Bound (up)]] = 0,0,SamplingData[[#This Row],[Max Error Bound (up)]]/SamplingData[[#Totals],[Max Error Bound (up)]])</f>
        <v>3.8771793113783326E-5</v>
      </c>
      <c r="R527" s="101">
        <f>SUM($Q$5:Q527)</f>
        <v>0.18410946521092461</v>
      </c>
      <c r="S527" s="100" t="str">
        <f t="array" ref="S527">IF(SamplingData[[#This Row],[up/U Selection Probability]] = 0, "Zero", TEXT(SamplingData[[#This Row],[Lower Range]], REPT("0",LEN('General Info'!$B$40))) &amp; " - " &amp; TEXT(SamplingData[[#This Row],[Upper Range]], REPT("0",LEN('General Info'!$B$40))))</f>
        <v>18407 - 18410</v>
      </c>
      <c r="T527" s="100">
        <f>SamplingData[[#This Row],[Upper Range]]-SamplingData[[#This Row],[Span]]</f>
        <v>18407.069380552875</v>
      </c>
      <c r="U527" s="100">
        <f>IF(ISNUMBER('General Info'!$B$40), ((SamplingData[[#This Row],[up/U Selection Probability]]) * 'General Info'!$B$40) - 1, 0)</f>
        <v>2.877140539585219</v>
      </c>
      <c r="V527" s="100">
        <f>IF(ISNUMBER('General Info'!$B$40), (SamplingData[[#This Row],[Running (cumulative) sum]] * ('General Info'!$B$40 -'General Info'!$B$41 + 1)) + 'General Info'!$B$41 - 1, 0)</f>
        <v>18409.946521092461</v>
      </c>
      <c r="W527" s="100" t="str">
        <f>IF(ISERROR(MATCH(SamplingData[[#This Row],[Batch by Type (p)]],SelectedPrecincts[Batch Name], 0)), "", INDEX(SelectedPrecincts[Draw], MATCH(SamplingData[[#This Row],[Batch by Type (p)]],SelectedPrecincts[Batch Name], 0)))</f>
        <v/>
      </c>
      <c r="X527" s="102">
        <f>IF(COUNTIF(SelectedPrecincts[Batch Name],SamplingData[[#This Row],[Batch by Type (p)]]) &lt;&gt; 0, COUNTIF(SelectedPrecincts[Batch Name],SamplingData[[#This Row],[Batch by Type (p)]]), 0)</f>
        <v>0</v>
      </c>
    </row>
    <row r="528" spans="1:24" ht="15" customHeight="1">
      <c r="A528" s="18" t="s">
        <v>704</v>
      </c>
      <c r="B528" s="18">
        <v>0</v>
      </c>
      <c r="C528" s="18">
        <v>0</v>
      </c>
      <c r="D528" s="18">
        <v>1</v>
      </c>
      <c r="E528" s="18">
        <v>0</v>
      </c>
      <c r="F528" s="18">
        <v>0</v>
      </c>
      <c r="G528" s="18">
        <v>0</v>
      </c>
      <c r="H528" s="18">
        <v>0</v>
      </c>
      <c r="I528" s="18">
        <v>0</v>
      </c>
      <c r="J528" s="99">
        <f>SUM(SamplingData[[#This Row],[Losing Candidate]:[Under Votes]])</f>
        <v>1</v>
      </c>
      <c r="K52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28" s="100">
        <f>IF(AND(SamplingData[[#This Row],[Total]]&lt;&gt; 0, NOT(ISBLANK(SamplingData[[#This Row],[Candidate 3]]))),(SamplingData[[#This Row],[Total]]+SamplingData[[#This Row],[Winning Candidate]]-SamplingData[[#This Row],[Candidate 3]])/(SamplingData[[#Totals],[Winning Candidate]]-SamplingData[[#Totals],[Candidate 3]]), 0)</f>
        <v>0</v>
      </c>
      <c r="M528" s="100">
        <f>IF(AND(SamplingData[[#This Row],[Total]]&lt;&gt; 0, NOT(ISBLANK(SamplingData[[#This Row],[Candidate 4]]))),(SamplingData[[#This Row],[Total]]+SamplingData[[#This Row],[Winning Candidate]]-SamplingData[[#This Row],[Candidate 4]])/(SamplingData[[#Totals],[Winning Candidate]]-SamplingData[[#Totals],[Candidate 4]]), 0)</f>
        <v>2.923207343096846E-5</v>
      </c>
      <c r="N528" s="100">
        <f>IF(AND(SamplingData[[#This Row],[Total]]&lt;&gt; 0, NOT(ISBLANK(SamplingData[[#This Row],[Candidate 5]]))),(SamplingData[[#This Row],[Total]]+SamplingData[[#This Row],[Winning Candidate]]-SamplingData[[#This Row],[Candidate 5]])/(SamplingData[[#Totals],[Winning Candidate]]-SamplingData[[#Totals],[Candidate 5]]), 0)</f>
        <v>2.4324981756263683E-5</v>
      </c>
      <c r="O528" s="100">
        <f>IF(AND(SamplingData[[#This Row],[Total]]&lt;&gt; 0, NOT(ISBLANK(SamplingData[[#This Row],[Candidate 6]]))),(SamplingData[[#This Row],[Total]]+SamplingData[[#This Row],[Winning Candidate]]-SamplingData[[#This Row],[Candidate 6]])/(SamplingData[[#Totals],[Winning Candidate]]-SamplingData[[#Totals],[Candidate 6]]), 0)</f>
        <v>2.431788337143135E-5</v>
      </c>
      <c r="P528" s="100">
        <f>MAX(SamplingData[[#This Row],[Error Bound (up) - Max. possible relative overstatement - Losing Candidate]:[Error Bound (up) - Max. possible relative overstatement - Candidate 6]])</f>
        <v>6.1244487996080352E-5</v>
      </c>
      <c r="Q528" s="100">
        <f>IF(SamplingData[[#This Row],[Max Error Bound (up)]] = 0,0,SamplingData[[#This Row],[Max Error Bound (up)]]/SamplingData[[#Totals],[Max Error Bound (up)]])</f>
        <v>9.6929482784458315E-6</v>
      </c>
      <c r="R528" s="101">
        <f>SUM($Q$5:Q528)</f>
        <v>0.18411915815920304</v>
      </c>
      <c r="S528" s="100" t="str">
        <f t="array" ref="S528">IF(SamplingData[[#This Row],[up/U Selection Probability]] = 0, "Zero", TEXT(SamplingData[[#This Row],[Lower Range]], REPT("0",LEN('General Info'!$B$40))) &amp; " - " &amp; TEXT(SamplingData[[#This Row],[Upper Range]], REPT("0",LEN('General Info'!$B$40))))</f>
        <v>18411 - 18411</v>
      </c>
      <c r="T528" s="100">
        <f>SamplingData[[#This Row],[Upper Range]]-SamplingData[[#This Row],[Span]]</f>
        <v>18410.946530785408</v>
      </c>
      <c r="U528" s="100">
        <f>IF(ISNUMBER('General Info'!$B$40), ((SamplingData[[#This Row],[up/U Selection Probability]]) * 'General Info'!$B$40) - 1, 0)</f>
        <v>-3.0714865103695255E-2</v>
      </c>
      <c r="V528" s="100">
        <f>IF(ISNUMBER('General Info'!$B$40), (SamplingData[[#This Row],[Running (cumulative) sum]] * ('General Info'!$B$40 -'General Info'!$B$41 + 1)) + 'General Info'!$B$41 - 1, 0)</f>
        <v>18410.915815920303</v>
      </c>
      <c r="W528" s="100" t="str">
        <f>IF(ISERROR(MATCH(SamplingData[[#This Row],[Batch by Type (p)]],SelectedPrecincts[Batch Name], 0)), "", INDEX(SelectedPrecincts[Draw], MATCH(SamplingData[[#This Row],[Batch by Type (p)]],SelectedPrecincts[Batch Name], 0)))</f>
        <v/>
      </c>
      <c r="X528" s="102">
        <f>IF(COUNTIF(SelectedPrecincts[Batch Name],SamplingData[[#This Row],[Batch by Type (p)]]) &lt;&gt; 0, COUNTIF(SelectedPrecincts[Batch Name],SamplingData[[#This Row],[Batch by Type (p)]]), 0)</f>
        <v>0</v>
      </c>
    </row>
    <row r="529" spans="1:24" ht="15" customHeight="1">
      <c r="A529" s="18" t="s">
        <v>705</v>
      </c>
      <c r="B529" s="18">
        <v>0</v>
      </c>
      <c r="C529" s="18">
        <v>1</v>
      </c>
      <c r="D529" s="16">
        <v>0</v>
      </c>
      <c r="E529" s="16">
        <v>0</v>
      </c>
      <c r="F529" s="37">
        <v>0</v>
      </c>
      <c r="G529" s="37">
        <v>0</v>
      </c>
      <c r="H529" s="17">
        <v>0</v>
      </c>
      <c r="I529" s="17">
        <v>1</v>
      </c>
      <c r="J529" s="99">
        <f>SUM(SamplingData[[#This Row],[Losing Candidate]:[Under Votes]])</f>
        <v>2</v>
      </c>
      <c r="K529"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529" s="100">
        <f>IF(AND(SamplingData[[#This Row],[Total]]&lt;&gt; 0, NOT(ISBLANK(SamplingData[[#This Row],[Candidate 3]]))),(SamplingData[[#This Row],[Total]]+SamplingData[[#This Row],[Winning Candidate]]-SamplingData[[#This Row],[Candidate 3]])/(SamplingData[[#Totals],[Winning Candidate]]-SamplingData[[#Totals],[Candidate 3]]), 0)</f>
        <v>9.6783559699325743E-5</v>
      </c>
      <c r="M529" s="100">
        <f>IF(AND(SamplingData[[#This Row],[Total]]&lt;&gt; 0, NOT(ISBLANK(SamplingData[[#This Row],[Candidate 4]]))),(SamplingData[[#This Row],[Total]]+SamplingData[[#This Row],[Winning Candidate]]-SamplingData[[#This Row],[Candidate 4]])/(SamplingData[[#Totals],[Winning Candidate]]-SamplingData[[#Totals],[Candidate 4]]), 0)</f>
        <v>8.7696220292905373E-5</v>
      </c>
      <c r="N529" s="100">
        <f>IF(AND(SamplingData[[#This Row],[Total]]&lt;&gt; 0, NOT(ISBLANK(SamplingData[[#This Row],[Candidate 5]]))),(SamplingData[[#This Row],[Total]]+SamplingData[[#This Row],[Winning Candidate]]-SamplingData[[#This Row],[Candidate 5]])/(SamplingData[[#Totals],[Winning Candidate]]-SamplingData[[#Totals],[Candidate 5]]), 0)</f>
        <v>7.2974945268791054E-5</v>
      </c>
      <c r="O529" s="100">
        <f>IF(AND(SamplingData[[#This Row],[Total]]&lt;&gt; 0, NOT(ISBLANK(SamplingData[[#This Row],[Candidate 6]]))),(SamplingData[[#This Row],[Total]]+SamplingData[[#This Row],[Winning Candidate]]-SamplingData[[#This Row],[Candidate 6]])/(SamplingData[[#Totals],[Winning Candidate]]-SamplingData[[#Totals],[Candidate 6]]), 0)</f>
        <v>7.2953650114294054E-5</v>
      </c>
      <c r="P529" s="100">
        <f>MAX(SamplingData[[#This Row],[Error Bound (up) - Max. possible relative overstatement - Losing Candidate]:[Error Bound (up) - Max. possible relative overstatement - Candidate 6]])</f>
        <v>1.8373346398824106E-4</v>
      </c>
      <c r="Q529" s="100">
        <f>IF(SamplingData[[#This Row],[Max Error Bound (up)]] = 0,0,SamplingData[[#This Row],[Max Error Bound (up)]]/SamplingData[[#Totals],[Max Error Bound (up)]])</f>
        <v>2.9078844835337493E-5</v>
      </c>
      <c r="R529" s="101">
        <f>SUM($Q$5:Q529)</f>
        <v>0.18414823700403837</v>
      </c>
      <c r="S529" s="100" t="str">
        <f t="array" ref="S529">IF(SamplingData[[#This Row],[up/U Selection Probability]] = 0, "Zero", TEXT(SamplingData[[#This Row],[Lower Range]], REPT("0",LEN('General Info'!$B$40))) &amp; " - " &amp; TEXT(SamplingData[[#This Row],[Upper Range]], REPT("0",LEN('General Info'!$B$40))))</f>
        <v>18412 - 18414</v>
      </c>
      <c r="T529" s="100">
        <f>SamplingData[[#This Row],[Upper Range]]-SamplingData[[#This Row],[Span]]</f>
        <v>18411.915844999148</v>
      </c>
      <c r="U529" s="100">
        <f>IF(ISNUMBER('General Info'!$B$40), ((SamplingData[[#This Row],[up/U Selection Probability]]) * 'General Info'!$B$40) - 1, 0)</f>
        <v>1.907855404688914</v>
      </c>
      <c r="V529" s="100">
        <f>IF(ISNUMBER('General Info'!$B$40), (SamplingData[[#This Row],[Running (cumulative) sum]] * ('General Info'!$B$40 -'General Info'!$B$41 + 1)) + 'General Info'!$B$41 - 1, 0)</f>
        <v>18413.823700403838</v>
      </c>
      <c r="W529" s="100" t="str">
        <f>IF(ISERROR(MATCH(SamplingData[[#This Row],[Batch by Type (p)]],SelectedPrecincts[Batch Name], 0)), "", INDEX(SelectedPrecincts[Draw], MATCH(SamplingData[[#This Row],[Batch by Type (p)]],SelectedPrecincts[Batch Name], 0)))</f>
        <v/>
      </c>
      <c r="X529" s="102">
        <f>IF(COUNTIF(SelectedPrecincts[Batch Name],SamplingData[[#This Row],[Batch by Type (p)]]) &lt;&gt; 0, COUNTIF(SelectedPrecincts[Batch Name],SamplingData[[#This Row],[Batch by Type (p)]]), 0)</f>
        <v>0</v>
      </c>
    </row>
    <row r="530" spans="1:24" ht="15" customHeight="1">
      <c r="A530" s="18" t="s">
        <v>706</v>
      </c>
      <c r="B530" s="18">
        <v>0</v>
      </c>
      <c r="C530" s="18">
        <v>0</v>
      </c>
      <c r="D530" s="18">
        <v>1</v>
      </c>
      <c r="E530" s="18">
        <v>2</v>
      </c>
      <c r="F530" s="18">
        <v>0</v>
      </c>
      <c r="G530" s="18">
        <v>0</v>
      </c>
      <c r="H530" s="18">
        <v>0</v>
      </c>
      <c r="I530" s="18">
        <v>0</v>
      </c>
      <c r="J530" s="99">
        <f>SUM(SamplingData[[#This Row],[Losing Candidate]:[Under Votes]])</f>
        <v>3</v>
      </c>
      <c r="K53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530" s="100">
        <f>IF(AND(SamplingData[[#This Row],[Total]]&lt;&gt; 0, NOT(ISBLANK(SamplingData[[#This Row],[Candidate 3]]))),(SamplingData[[#This Row],[Total]]+SamplingData[[#This Row],[Winning Candidate]]-SamplingData[[#This Row],[Candidate 3]])/(SamplingData[[#Totals],[Winning Candidate]]-SamplingData[[#Totals],[Candidate 3]]), 0)</f>
        <v>6.4522373132883833E-5</v>
      </c>
      <c r="M530" s="100">
        <f>IF(AND(SamplingData[[#This Row],[Total]]&lt;&gt; 0, NOT(ISBLANK(SamplingData[[#This Row],[Candidate 4]]))),(SamplingData[[#This Row],[Total]]+SamplingData[[#This Row],[Winning Candidate]]-SamplingData[[#This Row],[Candidate 4]])/(SamplingData[[#Totals],[Winning Candidate]]-SamplingData[[#Totals],[Candidate 4]]), 0)</f>
        <v>2.923207343096846E-5</v>
      </c>
      <c r="N530" s="100">
        <f>IF(AND(SamplingData[[#This Row],[Total]]&lt;&gt; 0, NOT(ISBLANK(SamplingData[[#This Row],[Candidate 5]]))),(SamplingData[[#This Row],[Total]]+SamplingData[[#This Row],[Winning Candidate]]-SamplingData[[#This Row],[Candidate 5]])/(SamplingData[[#Totals],[Winning Candidate]]-SamplingData[[#Totals],[Candidate 5]]), 0)</f>
        <v>7.2974945268791054E-5</v>
      </c>
      <c r="O530" s="100">
        <f>IF(AND(SamplingData[[#This Row],[Total]]&lt;&gt; 0, NOT(ISBLANK(SamplingData[[#This Row],[Candidate 6]]))),(SamplingData[[#This Row],[Total]]+SamplingData[[#This Row],[Winning Candidate]]-SamplingData[[#This Row],[Candidate 6]])/(SamplingData[[#Totals],[Winning Candidate]]-SamplingData[[#Totals],[Candidate 6]]), 0)</f>
        <v>7.2953650114294054E-5</v>
      </c>
      <c r="P530" s="100">
        <f>MAX(SamplingData[[#This Row],[Error Bound (up) - Max. possible relative overstatement - Losing Candidate]:[Error Bound (up) - Max. possible relative overstatement - Candidate 6]])</f>
        <v>1.8373346398824106E-4</v>
      </c>
      <c r="Q530" s="100">
        <f>IF(SamplingData[[#This Row],[Max Error Bound (up)]] = 0,0,SamplingData[[#This Row],[Max Error Bound (up)]]/SamplingData[[#Totals],[Max Error Bound (up)]])</f>
        <v>2.9078844835337493E-5</v>
      </c>
      <c r="R530" s="101">
        <f>SUM($Q$5:Q530)</f>
        <v>0.1841773158488737</v>
      </c>
      <c r="S530" s="100" t="str">
        <f t="array" ref="S530">IF(SamplingData[[#This Row],[up/U Selection Probability]] = 0, "Zero", TEXT(SamplingData[[#This Row],[Lower Range]], REPT("0",LEN('General Info'!$B$40))) &amp; " - " &amp; TEXT(SamplingData[[#This Row],[Upper Range]], REPT("0",LEN('General Info'!$B$40))))</f>
        <v>18415 - 18417</v>
      </c>
      <c r="T530" s="100">
        <f>SamplingData[[#This Row],[Upper Range]]-SamplingData[[#This Row],[Span]]</f>
        <v>18414.823729482679</v>
      </c>
      <c r="U530" s="100">
        <f>IF(ISNUMBER('General Info'!$B$40), ((SamplingData[[#This Row],[up/U Selection Probability]]) * 'General Info'!$B$40) - 1, 0)</f>
        <v>1.907855404688914</v>
      </c>
      <c r="V530" s="100">
        <f>IF(ISNUMBER('General Info'!$B$40), (SamplingData[[#This Row],[Running (cumulative) sum]] * ('General Info'!$B$40 -'General Info'!$B$41 + 1)) + 'General Info'!$B$41 - 1, 0)</f>
        <v>18416.73158488737</v>
      </c>
      <c r="W530" s="100" t="str">
        <f>IF(ISERROR(MATCH(SamplingData[[#This Row],[Batch by Type (p)]],SelectedPrecincts[Batch Name], 0)), "", INDEX(SelectedPrecincts[Draw], MATCH(SamplingData[[#This Row],[Batch by Type (p)]],SelectedPrecincts[Batch Name], 0)))</f>
        <v/>
      </c>
      <c r="X530" s="102">
        <f>IF(COUNTIF(SelectedPrecincts[Batch Name],SamplingData[[#This Row],[Batch by Type (p)]]) &lt;&gt; 0, COUNTIF(SelectedPrecincts[Batch Name],SamplingData[[#This Row],[Batch by Type (p)]]), 0)</f>
        <v>0</v>
      </c>
    </row>
    <row r="531" spans="1:24" ht="15" customHeight="1">
      <c r="A531" s="18" t="s">
        <v>707</v>
      </c>
      <c r="B531" s="18">
        <v>1</v>
      </c>
      <c r="C531" s="18">
        <v>1</v>
      </c>
      <c r="D531" s="16">
        <v>3</v>
      </c>
      <c r="E531" s="16">
        <v>1</v>
      </c>
      <c r="F531" s="37">
        <v>0</v>
      </c>
      <c r="G531" s="37">
        <v>0</v>
      </c>
      <c r="H531" s="17">
        <v>0</v>
      </c>
      <c r="I531" s="17">
        <v>0</v>
      </c>
      <c r="J531" s="99">
        <f>SUM(SamplingData[[#This Row],[Losing Candidate]:[Under Votes]])</f>
        <v>6</v>
      </c>
      <c r="K531"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531" s="100">
        <f>IF(AND(SamplingData[[#This Row],[Total]]&lt;&gt; 0, NOT(ISBLANK(SamplingData[[#This Row],[Candidate 3]]))),(SamplingData[[#This Row],[Total]]+SamplingData[[#This Row],[Winning Candidate]]-SamplingData[[#This Row],[Candidate 3]])/(SamplingData[[#Totals],[Winning Candidate]]-SamplingData[[#Totals],[Candidate 3]]), 0)</f>
        <v>1.2904474626576767E-4</v>
      </c>
      <c r="M531" s="100">
        <f>IF(AND(SamplingData[[#This Row],[Total]]&lt;&gt; 0, NOT(ISBLANK(SamplingData[[#This Row],[Candidate 4]]))),(SamplingData[[#This Row],[Total]]+SamplingData[[#This Row],[Winning Candidate]]-SamplingData[[#This Row],[Candidate 4]])/(SamplingData[[#Totals],[Winning Candidate]]-SamplingData[[#Totals],[Candidate 4]]), 0)</f>
        <v>1.7539244058581075E-4</v>
      </c>
      <c r="N531" s="100">
        <f>IF(AND(SamplingData[[#This Row],[Total]]&lt;&gt; 0, NOT(ISBLANK(SamplingData[[#This Row],[Candidate 5]]))),(SamplingData[[#This Row],[Total]]+SamplingData[[#This Row],[Winning Candidate]]-SamplingData[[#This Row],[Candidate 5]])/(SamplingData[[#Totals],[Winning Candidate]]-SamplingData[[#Totals],[Candidate 5]]), 0)</f>
        <v>1.7027487229384579E-4</v>
      </c>
      <c r="O531" s="100">
        <f>IF(AND(SamplingData[[#This Row],[Total]]&lt;&gt; 0, NOT(ISBLANK(SamplingData[[#This Row],[Candidate 6]]))),(SamplingData[[#This Row],[Total]]+SamplingData[[#This Row],[Winning Candidate]]-SamplingData[[#This Row],[Candidate 6]])/(SamplingData[[#Totals],[Winning Candidate]]-SamplingData[[#Totals],[Candidate 6]]), 0)</f>
        <v>1.7022518360001944E-4</v>
      </c>
      <c r="P531" s="100">
        <f>MAX(SamplingData[[#This Row],[Error Bound (up) - Max. possible relative overstatement - Losing Candidate]:[Error Bound (up) - Max. possible relative overstatement - Candidate 6]])</f>
        <v>3.6746692797648211E-4</v>
      </c>
      <c r="Q531" s="100">
        <f>IF(SamplingData[[#This Row],[Max Error Bound (up)]] = 0,0,SamplingData[[#This Row],[Max Error Bound (up)]]/SamplingData[[#Totals],[Max Error Bound (up)]])</f>
        <v>5.8157689670674986E-5</v>
      </c>
      <c r="R531" s="101">
        <f>SUM($Q$5:Q531)</f>
        <v>0.18423547353854439</v>
      </c>
      <c r="S531" s="100" t="str">
        <f t="array" ref="S531">IF(SamplingData[[#This Row],[up/U Selection Probability]] = 0, "Zero", TEXT(SamplingData[[#This Row],[Lower Range]], REPT("0",LEN('General Info'!$B$40))) &amp; " - " &amp; TEXT(SamplingData[[#This Row],[Upper Range]], REPT("0",LEN('General Info'!$B$40))))</f>
        <v>18418 - 18423</v>
      </c>
      <c r="T531" s="100">
        <f>SamplingData[[#This Row],[Upper Range]]-SamplingData[[#This Row],[Span]]</f>
        <v>18417.731643045063</v>
      </c>
      <c r="U531" s="100">
        <f>IF(ISNUMBER('General Info'!$B$40), ((SamplingData[[#This Row],[up/U Selection Probability]]) * 'General Info'!$B$40) - 1, 0)</f>
        <v>4.815710809377828</v>
      </c>
      <c r="V531" s="100">
        <f>IF(ISNUMBER('General Info'!$B$40), (SamplingData[[#This Row],[Running (cumulative) sum]] * ('General Info'!$B$40 -'General Info'!$B$41 + 1)) + 'General Info'!$B$41 - 1, 0)</f>
        <v>18422.547353854439</v>
      </c>
      <c r="W531" s="100" t="str">
        <f>IF(ISERROR(MATCH(SamplingData[[#This Row],[Batch by Type (p)]],SelectedPrecincts[Batch Name], 0)), "", INDEX(SelectedPrecincts[Draw], MATCH(SamplingData[[#This Row],[Batch by Type (p)]],SelectedPrecincts[Batch Name], 0)))</f>
        <v/>
      </c>
      <c r="X531" s="102">
        <f>IF(COUNTIF(SelectedPrecincts[Batch Name],SamplingData[[#This Row],[Batch by Type (p)]]) &lt;&gt; 0, COUNTIF(SelectedPrecincts[Batch Name],SamplingData[[#This Row],[Batch by Type (p)]]), 0)</f>
        <v>0</v>
      </c>
    </row>
    <row r="532" spans="1:24" ht="15" customHeight="1">
      <c r="A532" s="18" t="s">
        <v>708</v>
      </c>
      <c r="B532" s="18">
        <v>1</v>
      </c>
      <c r="C532" s="18">
        <v>1</v>
      </c>
      <c r="D532" s="18">
        <v>0</v>
      </c>
      <c r="E532" s="18">
        <v>0</v>
      </c>
      <c r="F532" s="18">
        <v>0</v>
      </c>
      <c r="G532" s="18">
        <v>0</v>
      </c>
      <c r="H532" s="18">
        <v>0</v>
      </c>
      <c r="I532" s="18">
        <v>0</v>
      </c>
      <c r="J532" s="99">
        <f>SUM(SamplingData[[#This Row],[Losing Candidate]:[Under Votes]])</f>
        <v>2</v>
      </c>
      <c r="K53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32" s="100">
        <f>IF(AND(SamplingData[[#This Row],[Total]]&lt;&gt; 0, NOT(ISBLANK(SamplingData[[#This Row],[Candidate 3]]))),(SamplingData[[#This Row],[Total]]+SamplingData[[#This Row],[Winning Candidate]]-SamplingData[[#This Row],[Candidate 3]])/(SamplingData[[#Totals],[Winning Candidate]]-SamplingData[[#Totals],[Candidate 3]]), 0)</f>
        <v>9.6783559699325743E-5</v>
      </c>
      <c r="M532" s="100">
        <f>IF(AND(SamplingData[[#This Row],[Total]]&lt;&gt; 0, NOT(ISBLANK(SamplingData[[#This Row],[Candidate 4]]))),(SamplingData[[#This Row],[Total]]+SamplingData[[#This Row],[Winning Candidate]]-SamplingData[[#This Row],[Candidate 4]])/(SamplingData[[#Totals],[Winning Candidate]]-SamplingData[[#Totals],[Candidate 4]]), 0)</f>
        <v>8.7696220292905373E-5</v>
      </c>
      <c r="N532" s="100">
        <f>IF(AND(SamplingData[[#This Row],[Total]]&lt;&gt; 0, NOT(ISBLANK(SamplingData[[#This Row],[Candidate 5]]))),(SamplingData[[#This Row],[Total]]+SamplingData[[#This Row],[Winning Candidate]]-SamplingData[[#This Row],[Candidate 5]])/(SamplingData[[#Totals],[Winning Candidate]]-SamplingData[[#Totals],[Candidate 5]]), 0)</f>
        <v>7.2974945268791054E-5</v>
      </c>
      <c r="O532" s="100">
        <f>IF(AND(SamplingData[[#This Row],[Total]]&lt;&gt; 0, NOT(ISBLANK(SamplingData[[#This Row],[Candidate 6]]))),(SamplingData[[#This Row],[Total]]+SamplingData[[#This Row],[Winning Candidate]]-SamplingData[[#This Row],[Candidate 6]])/(SamplingData[[#Totals],[Winning Candidate]]-SamplingData[[#Totals],[Candidate 6]]), 0)</f>
        <v>7.2953650114294054E-5</v>
      </c>
      <c r="P532" s="100">
        <f>MAX(SamplingData[[#This Row],[Error Bound (up) - Max. possible relative overstatement - Losing Candidate]:[Error Bound (up) - Max. possible relative overstatement - Candidate 6]])</f>
        <v>1.224889759921607E-4</v>
      </c>
      <c r="Q532" s="100">
        <f>IF(SamplingData[[#This Row],[Max Error Bound (up)]] = 0,0,SamplingData[[#This Row],[Max Error Bound (up)]]/SamplingData[[#Totals],[Max Error Bound (up)]])</f>
        <v>1.9385896556891663E-5</v>
      </c>
      <c r="R532" s="101">
        <f>SUM($Q$5:Q532)</f>
        <v>0.18425485943510128</v>
      </c>
      <c r="S532" s="100" t="str">
        <f t="array" ref="S532">IF(SamplingData[[#This Row],[up/U Selection Probability]] = 0, "Zero", TEXT(SamplingData[[#This Row],[Lower Range]], REPT("0",LEN('General Info'!$B$40))) &amp; " - " &amp; TEXT(SamplingData[[#This Row],[Upper Range]], REPT("0",LEN('General Info'!$B$40))))</f>
        <v>18424 - 18424</v>
      </c>
      <c r="T532" s="100">
        <f>SamplingData[[#This Row],[Upper Range]]-SamplingData[[#This Row],[Span]]</f>
        <v>18423.547373240337</v>
      </c>
      <c r="U532" s="100">
        <f>IF(ISNUMBER('General Info'!$B$40), ((SamplingData[[#This Row],[up/U Selection Probability]]) * 'General Info'!$B$40) - 1, 0)</f>
        <v>0.93857026979260949</v>
      </c>
      <c r="V532" s="100">
        <f>IF(ISNUMBER('General Info'!$B$40), (SamplingData[[#This Row],[Running (cumulative) sum]] * ('General Info'!$B$40 -'General Info'!$B$41 + 1)) + 'General Info'!$B$41 - 1, 0)</f>
        <v>18424.485943510128</v>
      </c>
      <c r="W532" s="100" t="str">
        <f>IF(ISERROR(MATCH(SamplingData[[#This Row],[Batch by Type (p)]],SelectedPrecincts[Batch Name], 0)), "", INDEX(SelectedPrecincts[Draw], MATCH(SamplingData[[#This Row],[Batch by Type (p)]],SelectedPrecincts[Batch Name], 0)))</f>
        <v/>
      </c>
      <c r="X532" s="102">
        <f>IF(COUNTIF(SelectedPrecincts[Batch Name],SamplingData[[#This Row],[Batch by Type (p)]]) &lt;&gt; 0, COUNTIF(SelectedPrecincts[Batch Name],SamplingData[[#This Row],[Batch by Type (p)]]), 0)</f>
        <v>0</v>
      </c>
    </row>
    <row r="533" spans="1:24" ht="15" customHeight="1">
      <c r="A533" s="18" t="s">
        <v>709</v>
      </c>
      <c r="B533" s="18">
        <v>1</v>
      </c>
      <c r="C533" s="18">
        <v>6</v>
      </c>
      <c r="D533" s="16">
        <v>0</v>
      </c>
      <c r="E533" s="16">
        <v>1</v>
      </c>
      <c r="F533" s="37">
        <v>0</v>
      </c>
      <c r="G533" s="37">
        <v>0</v>
      </c>
      <c r="H533" s="17">
        <v>0</v>
      </c>
      <c r="I533" s="17">
        <v>0</v>
      </c>
      <c r="J533" s="99">
        <f>SUM(SamplingData[[#This Row],[Losing Candidate]:[Under Votes]])</f>
        <v>8</v>
      </c>
      <c r="K533"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533" s="100">
        <f>IF(AND(SamplingData[[#This Row],[Total]]&lt;&gt; 0, NOT(ISBLANK(SamplingData[[#This Row],[Candidate 3]]))),(SamplingData[[#This Row],[Total]]+SamplingData[[#This Row],[Winning Candidate]]-SamplingData[[#This Row],[Candidate 3]])/(SamplingData[[#Totals],[Winning Candidate]]-SamplingData[[#Totals],[Candidate 3]]), 0)</f>
        <v>4.5165661193018679E-4</v>
      </c>
      <c r="M533" s="100">
        <f>IF(AND(SamplingData[[#This Row],[Total]]&lt;&gt; 0, NOT(ISBLANK(SamplingData[[#This Row],[Candidate 4]]))),(SamplingData[[#This Row],[Total]]+SamplingData[[#This Row],[Winning Candidate]]-SamplingData[[#This Row],[Candidate 4]])/(SamplingData[[#Totals],[Winning Candidate]]-SamplingData[[#Totals],[Candidate 4]]), 0)</f>
        <v>3.8001695460258996E-4</v>
      </c>
      <c r="N533" s="100">
        <f>IF(AND(SamplingData[[#This Row],[Total]]&lt;&gt; 0, NOT(ISBLANK(SamplingData[[#This Row],[Candidate 5]]))),(SamplingData[[#This Row],[Total]]+SamplingData[[#This Row],[Winning Candidate]]-SamplingData[[#This Row],[Candidate 5]])/(SamplingData[[#Totals],[Winning Candidate]]-SamplingData[[#Totals],[Candidate 5]]), 0)</f>
        <v>3.4054974458769157E-4</v>
      </c>
      <c r="O533" s="100">
        <f>IF(AND(SamplingData[[#This Row],[Total]]&lt;&gt; 0, NOT(ISBLANK(SamplingData[[#This Row],[Candidate 6]]))),(SamplingData[[#This Row],[Total]]+SamplingData[[#This Row],[Winning Candidate]]-SamplingData[[#This Row],[Candidate 6]])/(SamplingData[[#Totals],[Winning Candidate]]-SamplingData[[#Totals],[Candidate 6]]), 0)</f>
        <v>3.4045036720003888E-4</v>
      </c>
      <c r="P533" s="100">
        <f>MAX(SamplingData[[#This Row],[Error Bound (up) - Max. possible relative overstatement - Losing Candidate]:[Error Bound (up) - Max. possible relative overstatement - Candidate 6]])</f>
        <v>7.9617834394904463E-4</v>
      </c>
      <c r="Q533" s="100">
        <f>IF(SamplingData[[#This Row],[Max Error Bound (up)]] = 0,0,SamplingData[[#This Row],[Max Error Bound (up)]]/SamplingData[[#Totals],[Max Error Bound (up)]])</f>
        <v>1.2600832761979581E-4</v>
      </c>
      <c r="R533" s="101">
        <f>SUM($Q$5:Q533)</f>
        <v>0.18438086776272108</v>
      </c>
      <c r="S533" s="100" t="str">
        <f t="array" ref="S533">IF(SamplingData[[#This Row],[up/U Selection Probability]] = 0, "Zero", TEXT(SamplingData[[#This Row],[Lower Range]], REPT("0",LEN('General Info'!$B$40))) &amp; " - " &amp; TEXT(SamplingData[[#This Row],[Upper Range]], REPT("0",LEN('General Info'!$B$40))))</f>
        <v>18425 - 18437</v>
      </c>
      <c r="T533" s="100">
        <f>SamplingData[[#This Row],[Upper Range]]-SamplingData[[#This Row],[Span]]</f>
        <v>18425.486069518458</v>
      </c>
      <c r="U533" s="100">
        <f>IF(ISNUMBER('General Info'!$B$40), ((SamplingData[[#This Row],[up/U Selection Probability]]) * 'General Info'!$B$40) - 1, 0)</f>
        <v>11.600706753651961</v>
      </c>
      <c r="V533" s="100">
        <f>IF(ISNUMBER('General Info'!$B$40), (SamplingData[[#This Row],[Running (cumulative) sum]] * ('General Info'!$B$40 -'General Info'!$B$41 + 1)) + 'General Info'!$B$41 - 1, 0)</f>
        <v>18437.08677627211</v>
      </c>
      <c r="W533" s="100" t="str">
        <f>IF(ISERROR(MATCH(SamplingData[[#This Row],[Batch by Type (p)]],SelectedPrecincts[Batch Name], 0)), "", INDEX(SelectedPrecincts[Draw], MATCH(SamplingData[[#This Row],[Batch by Type (p)]],SelectedPrecincts[Batch Name], 0)))</f>
        <v/>
      </c>
      <c r="X533" s="102">
        <f>IF(COUNTIF(SelectedPrecincts[Batch Name],SamplingData[[#This Row],[Batch by Type (p)]]) &lt;&gt; 0, COUNTIF(SelectedPrecincts[Batch Name],SamplingData[[#This Row],[Batch by Type (p)]]), 0)</f>
        <v>0</v>
      </c>
    </row>
    <row r="534" spans="1:24" ht="15" customHeight="1">
      <c r="A534" s="18" t="s">
        <v>710</v>
      </c>
      <c r="B534" s="18">
        <v>5</v>
      </c>
      <c r="C534" s="18">
        <v>1</v>
      </c>
      <c r="D534" s="18">
        <v>0</v>
      </c>
      <c r="E534" s="18">
        <v>1</v>
      </c>
      <c r="F534" s="18">
        <v>0</v>
      </c>
      <c r="G534" s="18">
        <v>0</v>
      </c>
      <c r="H534" s="18">
        <v>1</v>
      </c>
      <c r="I534" s="18">
        <v>0</v>
      </c>
      <c r="J534" s="99">
        <f>SUM(SamplingData[[#This Row],[Losing Candidate]:[Under Votes]])</f>
        <v>8</v>
      </c>
      <c r="K534"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534" s="100">
        <f>IF(AND(SamplingData[[#This Row],[Total]]&lt;&gt; 0, NOT(ISBLANK(SamplingData[[#This Row],[Candidate 3]]))),(SamplingData[[#This Row],[Total]]+SamplingData[[#This Row],[Winning Candidate]]-SamplingData[[#This Row],[Candidate 3]])/(SamplingData[[#Totals],[Winning Candidate]]-SamplingData[[#Totals],[Candidate 3]]), 0)</f>
        <v>2.9035067909797722E-4</v>
      </c>
      <c r="M534" s="100">
        <f>IF(AND(SamplingData[[#This Row],[Total]]&lt;&gt; 0, NOT(ISBLANK(SamplingData[[#This Row],[Candidate 4]]))),(SamplingData[[#This Row],[Total]]+SamplingData[[#This Row],[Winning Candidate]]-SamplingData[[#This Row],[Candidate 4]])/(SamplingData[[#Totals],[Winning Candidate]]-SamplingData[[#Totals],[Candidate 4]]), 0)</f>
        <v>2.3385658744774768E-4</v>
      </c>
      <c r="N534" s="100">
        <f>IF(AND(SamplingData[[#This Row],[Total]]&lt;&gt; 0, NOT(ISBLANK(SamplingData[[#This Row],[Candidate 5]]))),(SamplingData[[#This Row],[Total]]+SamplingData[[#This Row],[Winning Candidate]]-SamplingData[[#This Row],[Candidate 5]])/(SamplingData[[#Totals],[Winning Candidate]]-SamplingData[[#Totals],[Candidate 5]]), 0)</f>
        <v>2.1892483580637315E-4</v>
      </c>
      <c r="O534" s="100">
        <f>IF(AND(SamplingData[[#This Row],[Total]]&lt;&gt; 0, NOT(ISBLANK(SamplingData[[#This Row],[Candidate 6]]))),(SamplingData[[#This Row],[Total]]+SamplingData[[#This Row],[Winning Candidate]]-SamplingData[[#This Row],[Candidate 6]])/(SamplingData[[#Totals],[Winning Candidate]]-SamplingData[[#Totals],[Candidate 6]]), 0)</f>
        <v>2.1886095034288216E-4</v>
      </c>
      <c r="P534" s="100">
        <f>MAX(SamplingData[[#This Row],[Error Bound (up) - Max. possible relative overstatement - Losing Candidate]:[Error Bound (up) - Max. possible relative overstatement - Candidate 6]])</f>
        <v>2.9035067909797722E-4</v>
      </c>
      <c r="Q534" s="100">
        <f>IF(SamplingData[[#This Row],[Max Error Bound (up)]] = 0,0,SamplingData[[#This Row],[Max Error Bound (up)]]/SamplingData[[#Totals],[Max Error Bound (up)]])</f>
        <v>4.5952773991488593E-5</v>
      </c>
      <c r="R534" s="101">
        <f>SUM($Q$5:Q534)</f>
        <v>0.18442682053671258</v>
      </c>
      <c r="S534" s="100" t="str">
        <f t="array" ref="S534">IF(SamplingData[[#This Row],[up/U Selection Probability]] = 0, "Zero", TEXT(SamplingData[[#This Row],[Lower Range]], REPT("0",LEN('General Info'!$B$40))) &amp; " - " &amp; TEXT(SamplingData[[#This Row],[Upper Range]], REPT("0",LEN('General Info'!$B$40))))</f>
        <v>18438 - 18442</v>
      </c>
      <c r="T534" s="100">
        <f>SamplingData[[#This Row],[Upper Range]]-SamplingData[[#This Row],[Span]]</f>
        <v>18438.086822224883</v>
      </c>
      <c r="U534" s="100">
        <f>IF(ISNUMBER('General Info'!$B$40), ((SamplingData[[#This Row],[up/U Selection Probability]]) * 'General Info'!$B$40) - 1, 0)</f>
        <v>3.5952314463748678</v>
      </c>
      <c r="V534" s="100">
        <f>IF(ISNUMBER('General Info'!$B$40), (SamplingData[[#This Row],[Running (cumulative) sum]] * ('General Info'!$B$40 -'General Info'!$B$41 + 1)) + 'General Info'!$B$41 - 1, 0)</f>
        <v>18441.682053671258</v>
      </c>
      <c r="W534" s="100" t="str">
        <f>IF(ISERROR(MATCH(SamplingData[[#This Row],[Batch by Type (p)]],SelectedPrecincts[Batch Name], 0)), "", INDEX(SelectedPrecincts[Draw], MATCH(SamplingData[[#This Row],[Batch by Type (p)]],SelectedPrecincts[Batch Name], 0)))</f>
        <v/>
      </c>
      <c r="X534" s="102">
        <f>IF(COUNTIF(SelectedPrecincts[Batch Name],SamplingData[[#This Row],[Batch by Type (p)]]) &lt;&gt; 0, COUNTIF(SelectedPrecincts[Batch Name],SamplingData[[#This Row],[Batch by Type (p)]]), 0)</f>
        <v>0</v>
      </c>
    </row>
    <row r="535" spans="1:24" ht="15" customHeight="1">
      <c r="A535" s="18" t="s">
        <v>711</v>
      </c>
      <c r="B535" s="18">
        <v>1</v>
      </c>
      <c r="C535" s="18">
        <v>2</v>
      </c>
      <c r="D535" s="16">
        <v>0</v>
      </c>
      <c r="E535" s="16">
        <v>1</v>
      </c>
      <c r="F535" s="37">
        <v>0</v>
      </c>
      <c r="G535" s="37">
        <v>0</v>
      </c>
      <c r="H535" s="17">
        <v>0</v>
      </c>
      <c r="I535" s="17">
        <v>0</v>
      </c>
      <c r="J535" s="99">
        <f>SUM(SamplingData[[#This Row],[Losing Candidate]:[Under Votes]])</f>
        <v>4</v>
      </c>
      <c r="K535"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535" s="100">
        <f>IF(AND(SamplingData[[#This Row],[Total]]&lt;&gt; 0, NOT(ISBLANK(SamplingData[[#This Row],[Candidate 3]]))),(SamplingData[[#This Row],[Total]]+SamplingData[[#This Row],[Winning Candidate]]-SamplingData[[#This Row],[Candidate 3]])/(SamplingData[[#Totals],[Winning Candidate]]-SamplingData[[#Totals],[Candidate 3]]), 0)</f>
        <v>1.9356711939865149E-4</v>
      </c>
      <c r="M535" s="100">
        <f>IF(AND(SamplingData[[#This Row],[Total]]&lt;&gt; 0, NOT(ISBLANK(SamplingData[[#This Row],[Candidate 4]]))),(SamplingData[[#This Row],[Total]]+SamplingData[[#This Row],[Winning Candidate]]-SamplingData[[#This Row],[Candidate 4]])/(SamplingData[[#Totals],[Winning Candidate]]-SamplingData[[#Totals],[Candidate 4]]), 0)</f>
        <v>1.4616036715484231E-4</v>
      </c>
      <c r="N535" s="100">
        <f>IF(AND(SamplingData[[#This Row],[Total]]&lt;&gt; 0, NOT(ISBLANK(SamplingData[[#This Row],[Candidate 5]]))),(SamplingData[[#This Row],[Total]]+SamplingData[[#This Row],[Winning Candidate]]-SamplingData[[#This Row],[Candidate 5]])/(SamplingData[[#Totals],[Winning Candidate]]-SamplingData[[#Totals],[Candidate 5]]), 0)</f>
        <v>1.4594989053758211E-4</v>
      </c>
      <c r="O535" s="100">
        <f>IF(AND(SamplingData[[#This Row],[Total]]&lt;&gt; 0, NOT(ISBLANK(SamplingData[[#This Row],[Candidate 6]]))),(SamplingData[[#This Row],[Total]]+SamplingData[[#This Row],[Winning Candidate]]-SamplingData[[#This Row],[Candidate 6]])/(SamplingData[[#Totals],[Winning Candidate]]-SamplingData[[#Totals],[Candidate 6]]), 0)</f>
        <v>1.4590730022858811E-4</v>
      </c>
      <c r="P535" s="100">
        <f>MAX(SamplingData[[#This Row],[Error Bound (up) - Max. possible relative overstatement - Losing Candidate]:[Error Bound (up) - Max. possible relative overstatement - Candidate 6]])</f>
        <v>3.0622243998040176E-4</v>
      </c>
      <c r="Q535" s="100">
        <f>IF(SamplingData[[#This Row],[Max Error Bound (up)]] = 0,0,SamplingData[[#This Row],[Max Error Bound (up)]]/SamplingData[[#Totals],[Max Error Bound (up)]])</f>
        <v>4.8464741392229159E-5</v>
      </c>
      <c r="R535" s="101">
        <f>SUM($Q$5:Q535)</f>
        <v>0.18447528527810481</v>
      </c>
      <c r="S535" s="100" t="str">
        <f t="array" ref="S535">IF(SamplingData[[#This Row],[up/U Selection Probability]] = 0, "Zero", TEXT(SamplingData[[#This Row],[Lower Range]], REPT("0",LEN('General Info'!$B$40))) &amp; " - " &amp; TEXT(SamplingData[[#This Row],[Upper Range]], REPT("0",LEN('General Info'!$B$40))))</f>
        <v>18443 - 18447</v>
      </c>
      <c r="T535" s="100">
        <f>SamplingData[[#This Row],[Upper Range]]-SamplingData[[#This Row],[Span]]</f>
        <v>18442.682102136001</v>
      </c>
      <c r="U535" s="100">
        <f>IF(ISNUMBER('General Info'!$B$40), ((SamplingData[[#This Row],[up/U Selection Probability]]) * 'General Info'!$B$40) - 1, 0)</f>
        <v>3.8464256744815239</v>
      </c>
      <c r="V535" s="100">
        <f>IF(ISNUMBER('General Info'!$B$40), (SamplingData[[#This Row],[Running (cumulative) sum]] * ('General Info'!$B$40 -'General Info'!$B$41 + 1)) + 'General Info'!$B$41 - 1, 0)</f>
        <v>18446.528527810482</v>
      </c>
      <c r="W535" s="100" t="str">
        <f>IF(ISERROR(MATCH(SamplingData[[#This Row],[Batch by Type (p)]],SelectedPrecincts[Batch Name], 0)), "", INDEX(SelectedPrecincts[Draw], MATCH(SamplingData[[#This Row],[Batch by Type (p)]],SelectedPrecincts[Batch Name], 0)))</f>
        <v/>
      </c>
      <c r="X535" s="102">
        <f>IF(COUNTIF(SelectedPrecincts[Batch Name],SamplingData[[#This Row],[Batch by Type (p)]]) &lt;&gt; 0, COUNTIF(SelectedPrecincts[Batch Name],SamplingData[[#This Row],[Batch by Type (p)]]), 0)</f>
        <v>0</v>
      </c>
    </row>
    <row r="536" spans="1:24" ht="15" customHeight="1">
      <c r="A536" s="18" t="s">
        <v>712</v>
      </c>
      <c r="B536" s="18">
        <v>0</v>
      </c>
      <c r="C536" s="18">
        <v>0</v>
      </c>
      <c r="D536" s="18">
        <v>0</v>
      </c>
      <c r="E536" s="18">
        <v>0</v>
      </c>
      <c r="F536" s="18">
        <v>0</v>
      </c>
      <c r="G536" s="18">
        <v>0</v>
      </c>
      <c r="H536" s="18">
        <v>0</v>
      </c>
      <c r="I536" s="18">
        <v>0</v>
      </c>
      <c r="J536" s="99">
        <f>SUM(SamplingData[[#This Row],[Losing Candidate]:[Under Votes]])</f>
        <v>0</v>
      </c>
      <c r="K536" s="100">
        <f>IF(AND(SamplingData[[#This Row],[Total]]&lt;&gt; 0, NOT(ISBLANK(SamplingData[[#This Row],[Losing Candidate]]))),(SamplingData[[#This Row],[Total]]+SamplingData[[#This Row],[Winning Candidate]]-SamplingData[[#This Row],[Losing Candidate]])/(SamplingData[[#Totals],[Winning Candidate]]-SamplingData[[#Totals],[Losing Candidate]]), 0)</f>
        <v>0</v>
      </c>
      <c r="L536" s="100">
        <f>IF(AND(SamplingData[[#This Row],[Total]]&lt;&gt; 0, NOT(ISBLANK(SamplingData[[#This Row],[Candidate 3]]))),(SamplingData[[#This Row],[Total]]+SamplingData[[#This Row],[Winning Candidate]]-SamplingData[[#This Row],[Candidate 3]])/(SamplingData[[#Totals],[Winning Candidate]]-SamplingData[[#Totals],[Candidate 3]]), 0)</f>
        <v>0</v>
      </c>
      <c r="M536" s="100">
        <f>IF(AND(SamplingData[[#This Row],[Total]]&lt;&gt; 0, NOT(ISBLANK(SamplingData[[#This Row],[Candidate 4]]))),(SamplingData[[#This Row],[Total]]+SamplingData[[#This Row],[Winning Candidate]]-SamplingData[[#This Row],[Candidate 4]])/(SamplingData[[#Totals],[Winning Candidate]]-SamplingData[[#Totals],[Candidate 4]]), 0)</f>
        <v>0</v>
      </c>
      <c r="N536" s="100">
        <f>IF(AND(SamplingData[[#This Row],[Total]]&lt;&gt; 0, NOT(ISBLANK(SamplingData[[#This Row],[Candidate 5]]))),(SamplingData[[#This Row],[Total]]+SamplingData[[#This Row],[Winning Candidate]]-SamplingData[[#This Row],[Candidate 5]])/(SamplingData[[#Totals],[Winning Candidate]]-SamplingData[[#Totals],[Candidate 5]]), 0)</f>
        <v>0</v>
      </c>
      <c r="O536" s="100">
        <f>IF(AND(SamplingData[[#This Row],[Total]]&lt;&gt; 0, NOT(ISBLANK(SamplingData[[#This Row],[Candidate 6]]))),(SamplingData[[#This Row],[Total]]+SamplingData[[#This Row],[Winning Candidate]]-SamplingData[[#This Row],[Candidate 6]])/(SamplingData[[#Totals],[Winning Candidate]]-SamplingData[[#Totals],[Candidate 6]]), 0)</f>
        <v>0</v>
      </c>
      <c r="P536" s="100">
        <f>MAX(SamplingData[[#This Row],[Error Bound (up) - Max. possible relative overstatement - Losing Candidate]:[Error Bound (up) - Max. possible relative overstatement - Candidate 6]])</f>
        <v>0</v>
      </c>
      <c r="Q536" s="100">
        <f>IF(SamplingData[[#This Row],[Max Error Bound (up)]] = 0,0,SamplingData[[#This Row],[Max Error Bound (up)]]/SamplingData[[#Totals],[Max Error Bound (up)]])</f>
        <v>0</v>
      </c>
      <c r="R536" s="101">
        <f>SUM($Q$5:Q536)</f>
        <v>0.18447528527810481</v>
      </c>
      <c r="S536" s="100" t="str">
        <f t="array" ref="S536">IF(SamplingData[[#This Row],[up/U Selection Probability]] = 0, "Zero", TEXT(SamplingData[[#This Row],[Lower Range]], REPT("0",LEN('General Info'!$B$40))) &amp; " - " &amp; TEXT(SamplingData[[#This Row],[Upper Range]], REPT("0",LEN('General Info'!$B$40))))</f>
        <v>Zero</v>
      </c>
      <c r="T536" s="100">
        <f>SamplingData[[#This Row],[Upper Range]]-SamplingData[[#This Row],[Span]]</f>
        <v>18447.528527810482</v>
      </c>
      <c r="U536" s="100">
        <f>IF(ISNUMBER('General Info'!$B$40), ((SamplingData[[#This Row],[up/U Selection Probability]]) * 'General Info'!$B$40) - 1, 0)</f>
        <v>-1</v>
      </c>
      <c r="V536" s="100">
        <f>IF(ISNUMBER('General Info'!$B$40), (SamplingData[[#This Row],[Running (cumulative) sum]] * ('General Info'!$B$40 -'General Info'!$B$41 + 1)) + 'General Info'!$B$41 - 1, 0)</f>
        <v>18446.528527810482</v>
      </c>
      <c r="W536" s="100" t="str">
        <f>IF(ISERROR(MATCH(SamplingData[[#This Row],[Batch by Type (p)]],SelectedPrecincts[Batch Name], 0)), "", INDEX(SelectedPrecincts[Draw], MATCH(SamplingData[[#This Row],[Batch by Type (p)]],SelectedPrecincts[Batch Name], 0)))</f>
        <v/>
      </c>
      <c r="X536" s="102">
        <f>IF(COUNTIF(SelectedPrecincts[Batch Name],SamplingData[[#This Row],[Batch by Type (p)]]) &lt;&gt; 0, COUNTIF(SelectedPrecincts[Batch Name],SamplingData[[#This Row],[Batch by Type (p)]]), 0)</f>
        <v>0</v>
      </c>
    </row>
    <row r="537" spans="1:24" ht="15" customHeight="1">
      <c r="A537" s="18" t="s">
        <v>713</v>
      </c>
      <c r="B537" s="18">
        <v>5</v>
      </c>
      <c r="C537" s="18">
        <v>4</v>
      </c>
      <c r="D537" s="16">
        <v>1</v>
      </c>
      <c r="E537" s="16">
        <v>3</v>
      </c>
      <c r="F537" s="37">
        <v>0</v>
      </c>
      <c r="G537" s="37">
        <v>0</v>
      </c>
      <c r="H537" s="17">
        <v>0</v>
      </c>
      <c r="I537" s="17">
        <v>1</v>
      </c>
      <c r="J537" s="99">
        <f>SUM(SamplingData[[#This Row],[Losing Candidate]:[Under Votes]])</f>
        <v>14</v>
      </c>
      <c r="K537"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537" s="100">
        <f>IF(AND(SamplingData[[#This Row],[Total]]&lt;&gt; 0, NOT(ISBLANK(SamplingData[[#This Row],[Candidate 3]]))),(SamplingData[[#This Row],[Total]]+SamplingData[[#This Row],[Winning Candidate]]-SamplingData[[#This Row],[Candidate 3]])/(SamplingData[[#Totals],[Winning Candidate]]-SamplingData[[#Totals],[Candidate 3]]), 0)</f>
        <v>5.4844017162951255E-4</v>
      </c>
      <c r="M537" s="100">
        <f>IF(AND(SamplingData[[#This Row],[Total]]&lt;&gt; 0, NOT(ISBLANK(SamplingData[[#This Row],[Candidate 4]]))),(SamplingData[[#This Row],[Total]]+SamplingData[[#This Row],[Winning Candidate]]-SamplingData[[#This Row],[Candidate 4]])/(SamplingData[[#Totals],[Winning Candidate]]-SamplingData[[#Totals],[Candidate 4]]), 0)</f>
        <v>4.3848110146452689E-4</v>
      </c>
      <c r="N537" s="100">
        <f>IF(AND(SamplingData[[#This Row],[Total]]&lt;&gt; 0, NOT(ISBLANK(SamplingData[[#This Row],[Candidate 5]]))),(SamplingData[[#This Row],[Total]]+SamplingData[[#This Row],[Winning Candidate]]-SamplingData[[#This Row],[Candidate 5]])/(SamplingData[[#Totals],[Winning Candidate]]-SamplingData[[#Totals],[Candidate 5]]), 0)</f>
        <v>4.3784967161274629E-4</v>
      </c>
      <c r="O537" s="100">
        <f>IF(AND(SamplingData[[#This Row],[Total]]&lt;&gt; 0, NOT(ISBLANK(SamplingData[[#This Row],[Candidate 6]]))),(SamplingData[[#This Row],[Total]]+SamplingData[[#This Row],[Winning Candidate]]-SamplingData[[#This Row],[Candidate 6]])/(SamplingData[[#Totals],[Winning Candidate]]-SamplingData[[#Totals],[Candidate 6]]), 0)</f>
        <v>4.3772190068576433E-4</v>
      </c>
      <c r="P537" s="100">
        <f>MAX(SamplingData[[#This Row],[Error Bound (up) - Max. possible relative overstatement - Losing Candidate]:[Error Bound (up) - Max. possible relative overstatement - Candidate 6]])</f>
        <v>7.9617834394904463E-4</v>
      </c>
      <c r="Q537" s="100">
        <f>IF(SamplingData[[#This Row],[Max Error Bound (up)]] = 0,0,SamplingData[[#This Row],[Max Error Bound (up)]]/SamplingData[[#Totals],[Max Error Bound (up)]])</f>
        <v>1.2600832761979581E-4</v>
      </c>
      <c r="R537" s="101">
        <f>SUM($Q$5:Q537)</f>
        <v>0.18460129360572461</v>
      </c>
      <c r="S537" s="100" t="str">
        <f t="array" ref="S537">IF(SamplingData[[#This Row],[up/U Selection Probability]] = 0, "Zero", TEXT(SamplingData[[#This Row],[Lower Range]], REPT("0",LEN('General Info'!$B$40))) &amp; " - " &amp; TEXT(SamplingData[[#This Row],[Upper Range]], REPT("0",LEN('General Info'!$B$40))))</f>
        <v>18448 - 18459</v>
      </c>
      <c r="T537" s="100">
        <f>SamplingData[[#This Row],[Upper Range]]-SamplingData[[#This Row],[Span]]</f>
        <v>18447.528653818808</v>
      </c>
      <c r="U537" s="100">
        <f>IF(ISNUMBER('General Info'!$B$40), ((SamplingData[[#This Row],[up/U Selection Probability]]) * 'General Info'!$B$40) - 1, 0)</f>
        <v>11.600706753651961</v>
      </c>
      <c r="V537" s="100">
        <f>IF(ISNUMBER('General Info'!$B$40), (SamplingData[[#This Row],[Running (cumulative) sum]] * ('General Info'!$B$40 -'General Info'!$B$41 + 1)) + 'General Info'!$B$41 - 1, 0)</f>
        <v>18459.12936057246</v>
      </c>
      <c r="W537" s="100" t="str">
        <f>IF(ISERROR(MATCH(SamplingData[[#This Row],[Batch by Type (p)]],SelectedPrecincts[Batch Name], 0)), "", INDEX(SelectedPrecincts[Draw], MATCH(SamplingData[[#This Row],[Batch by Type (p)]],SelectedPrecincts[Batch Name], 0)))</f>
        <v/>
      </c>
      <c r="X537" s="102">
        <f>IF(COUNTIF(SelectedPrecincts[Batch Name],SamplingData[[#This Row],[Batch by Type (p)]]) &lt;&gt; 0, COUNTIF(SelectedPrecincts[Batch Name],SamplingData[[#This Row],[Batch by Type (p)]]), 0)</f>
        <v>0</v>
      </c>
    </row>
    <row r="538" spans="1:24" ht="15" customHeight="1">
      <c r="A538" s="18" t="s">
        <v>714</v>
      </c>
      <c r="B538" s="18">
        <v>6</v>
      </c>
      <c r="C538" s="18">
        <v>2</v>
      </c>
      <c r="D538" s="18">
        <v>2</v>
      </c>
      <c r="E538" s="18">
        <v>2</v>
      </c>
      <c r="F538" s="18">
        <v>0</v>
      </c>
      <c r="G538" s="18">
        <v>0</v>
      </c>
      <c r="H538" s="18">
        <v>0</v>
      </c>
      <c r="I538" s="18">
        <v>0</v>
      </c>
      <c r="J538" s="99">
        <f>SUM(SamplingData[[#This Row],[Losing Candidate]:[Under Votes]])</f>
        <v>12</v>
      </c>
      <c r="K538"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538" s="100">
        <f>IF(AND(SamplingData[[#This Row],[Total]]&lt;&gt; 0, NOT(ISBLANK(SamplingData[[#This Row],[Candidate 3]]))),(SamplingData[[#This Row],[Total]]+SamplingData[[#This Row],[Winning Candidate]]-SamplingData[[#This Row],[Candidate 3]])/(SamplingData[[#Totals],[Winning Candidate]]-SamplingData[[#Totals],[Candidate 3]]), 0)</f>
        <v>3.8713423879730297E-4</v>
      </c>
      <c r="M538" s="100">
        <f>IF(AND(SamplingData[[#This Row],[Total]]&lt;&gt; 0, NOT(ISBLANK(SamplingData[[#This Row],[Candidate 4]]))),(SamplingData[[#This Row],[Total]]+SamplingData[[#This Row],[Winning Candidate]]-SamplingData[[#This Row],[Candidate 4]])/(SamplingData[[#Totals],[Winning Candidate]]-SamplingData[[#Totals],[Candidate 4]]), 0)</f>
        <v>3.5078488117162149E-4</v>
      </c>
      <c r="N538" s="100">
        <f>IF(AND(SamplingData[[#This Row],[Total]]&lt;&gt; 0, NOT(ISBLANK(SamplingData[[#This Row],[Candidate 5]]))),(SamplingData[[#This Row],[Total]]+SamplingData[[#This Row],[Winning Candidate]]-SamplingData[[#This Row],[Candidate 5]])/(SamplingData[[#Totals],[Winning Candidate]]-SamplingData[[#Totals],[Candidate 5]]), 0)</f>
        <v>3.4054974458769157E-4</v>
      </c>
      <c r="O538" s="100">
        <f>IF(AND(SamplingData[[#This Row],[Total]]&lt;&gt; 0, NOT(ISBLANK(SamplingData[[#This Row],[Candidate 6]]))),(SamplingData[[#This Row],[Total]]+SamplingData[[#This Row],[Winning Candidate]]-SamplingData[[#This Row],[Candidate 6]])/(SamplingData[[#Totals],[Winning Candidate]]-SamplingData[[#Totals],[Candidate 6]]), 0)</f>
        <v>3.4045036720003888E-4</v>
      </c>
      <c r="P538" s="100">
        <f>MAX(SamplingData[[#This Row],[Error Bound (up) - Max. possible relative overstatement - Losing Candidate]:[Error Bound (up) - Max. possible relative overstatement - Candidate 6]])</f>
        <v>4.8995590396864281E-4</v>
      </c>
      <c r="Q538" s="100">
        <f>IF(SamplingData[[#This Row],[Max Error Bound (up)]] = 0,0,SamplingData[[#This Row],[Max Error Bound (up)]]/SamplingData[[#Totals],[Max Error Bound (up)]])</f>
        <v>7.7543586227566652E-5</v>
      </c>
      <c r="R538" s="101">
        <f>SUM($Q$5:Q538)</f>
        <v>0.18467883719195219</v>
      </c>
      <c r="S538" s="100" t="str">
        <f t="array" ref="S538">IF(SamplingData[[#This Row],[up/U Selection Probability]] = 0, "Zero", TEXT(SamplingData[[#This Row],[Lower Range]], REPT("0",LEN('General Info'!$B$40))) &amp; " - " &amp; TEXT(SamplingData[[#This Row],[Upper Range]], REPT("0",LEN('General Info'!$B$40))))</f>
        <v>18460 - 18467</v>
      </c>
      <c r="T538" s="100">
        <f>SamplingData[[#This Row],[Upper Range]]-SamplingData[[#This Row],[Span]]</f>
        <v>18460.129438116048</v>
      </c>
      <c r="U538" s="100">
        <f>IF(ISNUMBER('General Info'!$B$40), ((SamplingData[[#This Row],[up/U Selection Probability]]) * 'General Info'!$B$40) - 1, 0)</f>
        <v>6.754281079170438</v>
      </c>
      <c r="V538" s="100">
        <f>IF(ISNUMBER('General Info'!$B$40), (SamplingData[[#This Row],[Running (cumulative) sum]] * ('General Info'!$B$40 -'General Info'!$B$41 + 1)) + 'General Info'!$B$41 - 1, 0)</f>
        <v>18466.883719195219</v>
      </c>
      <c r="W538" s="100" t="str">
        <f>IF(ISERROR(MATCH(SamplingData[[#This Row],[Batch by Type (p)]],SelectedPrecincts[Batch Name], 0)), "", INDEX(SelectedPrecincts[Draw], MATCH(SamplingData[[#This Row],[Batch by Type (p)]],SelectedPrecincts[Batch Name], 0)))</f>
        <v/>
      </c>
      <c r="X538" s="102">
        <f>IF(COUNTIF(SelectedPrecincts[Batch Name],SamplingData[[#This Row],[Batch by Type (p)]]) &lt;&gt; 0, COUNTIF(SelectedPrecincts[Batch Name],SamplingData[[#This Row],[Batch by Type (p)]]), 0)</f>
        <v>0</v>
      </c>
    </row>
    <row r="539" spans="1:24" ht="15" customHeight="1">
      <c r="A539" s="18" t="s">
        <v>715</v>
      </c>
      <c r="B539" s="18">
        <v>0</v>
      </c>
      <c r="C539" s="18">
        <v>0</v>
      </c>
      <c r="D539" s="16">
        <v>0</v>
      </c>
      <c r="E539" s="16">
        <v>0</v>
      </c>
      <c r="F539" s="37">
        <v>0</v>
      </c>
      <c r="G539" s="37">
        <v>0</v>
      </c>
      <c r="H539" s="17">
        <v>0</v>
      </c>
      <c r="I539" s="17">
        <v>0</v>
      </c>
      <c r="J539" s="99">
        <f>SUM(SamplingData[[#This Row],[Losing Candidate]:[Under Votes]])</f>
        <v>0</v>
      </c>
      <c r="K539" s="100">
        <f>IF(AND(SamplingData[[#This Row],[Total]]&lt;&gt; 0, NOT(ISBLANK(SamplingData[[#This Row],[Losing Candidate]]))),(SamplingData[[#This Row],[Total]]+SamplingData[[#This Row],[Winning Candidate]]-SamplingData[[#This Row],[Losing Candidate]])/(SamplingData[[#Totals],[Winning Candidate]]-SamplingData[[#Totals],[Losing Candidate]]), 0)</f>
        <v>0</v>
      </c>
      <c r="L539" s="100">
        <f>IF(AND(SamplingData[[#This Row],[Total]]&lt;&gt; 0, NOT(ISBLANK(SamplingData[[#This Row],[Candidate 3]]))),(SamplingData[[#This Row],[Total]]+SamplingData[[#This Row],[Winning Candidate]]-SamplingData[[#This Row],[Candidate 3]])/(SamplingData[[#Totals],[Winning Candidate]]-SamplingData[[#Totals],[Candidate 3]]), 0)</f>
        <v>0</v>
      </c>
      <c r="M539" s="100">
        <f>IF(AND(SamplingData[[#This Row],[Total]]&lt;&gt; 0, NOT(ISBLANK(SamplingData[[#This Row],[Candidate 4]]))),(SamplingData[[#This Row],[Total]]+SamplingData[[#This Row],[Winning Candidate]]-SamplingData[[#This Row],[Candidate 4]])/(SamplingData[[#Totals],[Winning Candidate]]-SamplingData[[#Totals],[Candidate 4]]), 0)</f>
        <v>0</v>
      </c>
      <c r="N539" s="100">
        <f>IF(AND(SamplingData[[#This Row],[Total]]&lt;&gt; 0, NOT(ISBLANK(SamplingData[[#This Row],[Candidate 5]]))),(SamplingData[[#This Row],[Total]]+SamplingData[[#This Row],[Winning Candidate]]-SamplingData[[#This Row],[Candidate 5]])/(SamplingData[[#Totals],[Winning Candidate]]-SamplingData[[#Totals],[Candidate 5]]), 0)</f>
        <v>0</v>
      </c>
      <c r="O539" s="100">
        <f>IF(AND(SamplingData[[#This Row],[Total]]&lt;&gt; 0, NOT(ISBLANK(SamplingData[[#This Row],[Candidate 6]]))),(SamplingData[[#This Row],[Total]]+SamplingData[[#This Row],[Winning Candidate]]-SamplingData[[#This Row],[Candidate 6]])/(SamplingData[[#Totals],[Winning Candidate]]-SamplingData[[#Totals],[Candidate 6]]), 0)</f>
        <v>0</v>
      </c>
      <c r="P539" s="100">
        <f>MAX(SamplingData[[#This Row],[Error Bound (up) - Max. possible relative overstatement - Losing Candidate]:[Error Bound (up) - Max. possible relative overstatement - Candidate 6]])</f>
        <v>0</v>
      </c>
      <c r="Q539" s="100">
        <f>IF(SamplingData[[#This Row],[Max Error Bound (up)]] = 0,0,SamplingData[[#This Row],[Max Error Bound (up)]]/SamplingData[[#Totals],[Max Error Bound (up)]])</f>
        <v>0</v>
      </c>
      <c r="R539" s="101">
        <f>SUM($Q$5:Q539)</f>
        <v>0.18467883719195219</v>
      </c>
      <c r="S539" s="100" t="str">
        <f t="array" ref="S539">IF(SamplingData[[#This Row],[up/U Selection Probability]] = 0, "Zero", TEXT(SamplingData[[#This Row],[Lower Range]], REPT("0",LEN('General Info'!$B$40))) &amp; " - " &amp; TEXT(SamplingData[[#This Row],[Upper Range]], REPT("0",LEN('General Info'!$B$40))))</f>
        <v>Zero</v>
      </c>
      <c r="T539" s="100">
        <f>SamplingData[[#This Row],[Upper Range]]-SamplingData[[#This Row],[Span]]</f>
        <v>18467.883719195219</v>
      </c>
      <c r="U539" s="100">
        <f>IF(ISNUMBER('General Info'!$B$40), ((SamplingData[[#This Row],[up/U Selection Probability]]) * 'General Info'!$B$40) - 1, 0)</f>
        <v>-1</v>
      </c>
      <c r="V539" s="100">
        <f>IF(ISNUMBER('General Info'!$B$40), (SamplingData[[#This Row],[Running (cumulative) sum]] * ('General Info'!$B$40 -'General Info'!$B$41 + 1)) + 'General Info'!$B$41 - 1, 0)</f>
        <v>18466.883719195219</v>
      </c>
      <c r="W539" s="100" t="str">
        <f>IF(ISERROR(MATCH(SamplingData[[#This Row],[Batch by Type (p)]],SelectedPrecincts[Batch Name], 0)), "", INDEX(SelectedPrecincts[Draw], MATCH(SamplingData[[#This Row],[Batch by Type (p)]],SelectedPrecincts[Batch Name], 0)))</f>
        <v/>
      </c>
      <c r="X539" s="102">
        <f>IF(COUNTIF(SelectedPrecincts[Batch Name],SamplingData[[#This Row],[Batch by Type (p)]]) &lt;&gt; 0, COUNTIF(SelectedPrecincts[Batch Name],SamplingData[[#This Row],[Batch by Type (p)]]), 0)</f>
        <v>0</v>
      </c>
    </row>
    <row r="540" spans="1:24" ht="15" customHeight="1">
      <c r="A540" s="18" t="s">
        <v>716</v>
      </c>
      <c r="B540" s="18">
        <v>0</v>
      </c>
      <c r="C540" s="18">
        <v>0</v>
      </c>
      <c r="D540" s="18">
        <v>1</v>
      </c>
      <c r="E540" s="18">
        <v>1</v>
      </c>
      <c r="F540" s="18">
        <v>0</v>
      </c>
      <c r="G540" s="18">
        <v>0</v>
      </c>
      <c r="H540" s="18">
        <v>0</v>
      </c>
      <c r="I540" s="18">
        <v>0</v>
      </c>
      <c r="J540" s="99">
        <f>SUM(SamplingData[[#This Row],[Losing Candidate]:[Under Votes]])</f>
        <v>2</v>
      </c>
      <c r="K54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40" s="100">
        <f>IF(AND(SamplingData[[#This Row],[Total]]&lt;&gt; 0, NOT(ISBLANK(SamplingData[[#This Row],[Candidate 3]]))),(SamplingData[[#This Row],[Total]]+SamplingData[[#This Row],[Winning Candidate]]-SamplingData[[#This Row],[Candidate 3]])/(SamplingData[[#Totals],[Winning Candidate]]-SamplingData[[#Totals],[Candidate 3]]), 0)</f>
        <v>3.2261186566441917E-5</v>
      </c>
      <c r="M540" s="100">
        <f>IF(AND(SamplingData[[#This Row],[Total]]&lt;&gt; 0, NOT(ISBLANK(SamplingData[[#This Row],[Candidate 4]]))),(SamplingData[[#This Row],[Total]]+SamplingData[[#This Row],[Winning Candidate]]-SamplingData[[#This Row],[Candidate 4]])/(SamplingData[[#Totals],[Winning Candidate]]-SamplingData[[#Totals],[Candidate 4]]), 0)</f>
        <v>2.923207343096846E-5</v>
      </c>
      <c r="N540" s="100">
        <f>IF(AND(SamplingData[[#This Row],[Total]]&lt;&gt; 0, NOT(ISBLANK(SamplingData[[#This Row],[Candidate 5]]))),(SamplingData[[#This Row],[Total]]+SamplingData[[#This Row],[Winning Candidate]]-SamplingData[[#This Row],[Candidate 5]])/(SamplingData[[#Totals],[Winning Candidate]]-SamplingData[[#Totals],[Candidate 5]]), 0)</f>
        <v>4.8649963512527367E-5</v>
      </c>
      <c r="O540" s="100">
        <f>IF(AND(SamplingData[[#This Row],[Total]]&lt;&gt; 0, NOT(ISBLANK(SamplingData[[#This Row],[Candidate 6]]))),(SamplingData[[#This Row],[Total]]+SamplingData[[#This Row],[Winning Candidate]]-SamplingData[[#This Row],[Candidate 6]])/(SamplingData[[#Totals],[Winning Candidate]]-SamplingData[[#Totals],[Candidate 6]]), 0)</f>
        <v>4.8635766742862701E-5</v>
      </c>
      <c r="P540" s="100">
        <f>MAX(SamplingData[[#This Row],[Error Bound (up) - Max. possible relative overstatement - Losing Candidate]:[Error Bound (up) - Max. possible relative overstatement - Candidate 6]])</f>
        <v>1.224889759921607E-4</v>
      </c>
      <c r="Q540" s="100">
        <f>IF(SamplingData[[#This Row],[Max Error Bound (up)]] = 0,0,SamplingData[[#This Row],[Max Error Bound (up)]]/SamplingData[[#Totals],[Max Error Bound (up)]])</f>
        <v>1.9385896556891663E-5</v>
      </c>
      <c r="R540" s="101">
        <f>SUM($Q$5:Q540)</f>
        <v>0.18469822308850908</v>
      </c>
      <c r="S540" s="100" t="str">
        <f t="array" ref="S540">IF(SamplingData[[#This Row],[up/U Selection Probability]] = 0, "Zero", TEXT(SamplingData[[#This Row],[Lower Range]], REPT("0",LEN('General Info'!$B$40))) &amp; " - " &amp; TEXT(SamplingData[[#This Row],[Upper Range]], REPT("0",LEN('General Info'!$B$40))))</f>
        <v>18468 - 18469</v>
      </c>
      <c r="T540" s="100">
        <f>SamplingData[[#This Row],[Upper Range]]-SamplingData[[#This Row],[Span]]</f>
        <v>18467.883738581117</v>
      </c>
      <c r="U540" s="100">
        <f>IF(ISNUMBER('General Info'!$B$40), ((SamplingData[[#This Row],[up/U Selection Probability]]) * 'General Info'!$B$40) - 1, 0)</f>
        <v>0.93857026979260949</v>
      </c>
      <c r="V540" s="100">
        <f>IF(ISNUMBER('General Info'!$B$40), (SamplingData[[#This Row],[Running (cumulative) sum]] * ('General Info'!$B$40 -'General Info'!$B$41 + 1)) + 'General Info'!$B$41 - 1, 0)</f>
        <v>18468.822308850908</v>
      </c>
      <c r="W540" s="100" t="str">
        <f>IF(ISERROR(MATCH(SamplingData[[#This Row],[Batch by Type (p)]],SelectedPrecincts[Batch Name], 0)), "", INDEX(SelectedPrecincts[Draw], MATCH(SamplingData[[#This Row],[Batch by Type (p)]],SelectedPrecincts[Batch Name], 0)))</f>
        <v/>
      </c>
      <c r="X540" s="102">
        <f>IF(COUNTIF(SelectedPrecincts[Batch Name],SamplingData[[#This Row],[Batch by Type (p)]]) &lt;&gt; 0, COUNTIF(SelectedPrecincts[Batch Name],SamplingData[[#This Row],[Batch by Type (p)]]), 0)</f>
        <v>0</v>
      </c>
    </row>
    <row r="541" spans="1:24" ht="15" customHeight="1">
      <c r="A541" s="18" t="s">
        <v>717</v>
      </c>
      <c r="B541" s="18">
        <v>0</v>
      </c>
      <c r="C541" s="18">
        <v>0</v>
      </c>
      <c r="D541" s="16">
        <v>0</v>
      </c>
      <c r="E541" s="16">
        <v>0</v>
      </c>
      <c r="F541" s="37">
        <v>0</v>
      </c>
      <c r="G541" s="37">
        <v>0</v>
      </c>
      <c r="H541" s="17">
        <v>0</v>
      </c>
      <c r="I541" s="17">
        <v>1</v>
      </c>
      <c r="J541" s="99">
        <f>SUM(SamplingData[[#This Row],[Losing Candidate]:[Under Votes]])</f>
        <v>1</v>
      </c>
      <c r="K541"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41" s="100">
        <f>IF(AND(SamplingData[[#This Row],[Total]]&lt;&gt; 0, NOT(ISBLANK(SamplingData[[#This Row],[Candidate 3]]))),(SamplingData[[#This Row],[Total]]+SamplingData[[#This Row],[Winning Candidate]]-SamplingData[[#This Row],[Candidate 3]])/(SamplingData[[#Totals],[Winning Candidate]]-SamplingData[[#Totals],[Candidate 3]]), 0)</f>
        <v>3.2261186566441917E-5</v>
      </c>
      <c r="M541" s="100">
        <f>IF(AND(SamplingData[[#This Row],[Total]]&lt;&gt; 0, NOT(ISBLANK(SamplingData[[#This Row],[Candidate 4]]))),(SamplingData[[#This Row],[Total]]+SamplingData[[#This Row],[Winning Candidate]]-SamplingData[[#This Row],[Candidate 4]])/(SamplingData[[#Totals],[Winning Candidate]]-SamplingData[[#Totals],[Candidate 4]]), 0)</f>
        <v>2.923207343096846E-5</v>
      </c>
      <c r="N541" s="100">
        <f>IF(AND(SamplingData[[#This Row],[Total]]&lt;&gt; 0, NOT(ISBLANK(SamplingData[[#This Row],[Candidate 5]]))),(SamplingData[[#This Row],[Total]]+SamplingData[[#This Row],[Winning Candidate]]-SamplingData[[#This Row],[Candidate 5]])/(SamplingData[[#Totals],[Winning Candidate]]-SamplingData[[#Totals],[Candidate 5]]), 0)</f>
        <v>2.4324981756263683E-5</v>
      </c>
      <c r="O541" s="100">
        <f>IF(AND(SamplingData[[#This Row],[Total]]&lt;&gt; 0, NOT(ISBLANK(SamplingData[[#This Row],[Candidate 6]]))),(SamplingData[[#This Row],[Total]]+SamplingData[[#This Row],[Winning Candidate]]-SamplingData[[#This Row],[Candidate 6]])/(SamplingData[[#Totals],[Winning Candidate]]-SamplingData[[#Totals],[Candidate 6]]), 0)</f>
        <v>2.431788337143135E-5</v>
      </c>
      <c r="P541" s="100">
        <f>MAX(SamplingData[[#This Row],[Error Bound (up) - Max. possible relative overstatement - Losing Candidate]:[Error Bound (up) - Max. possible relative overstatement - Candidate 6]])</f>
        <v>6.1244487996080352E-5</v>
      </c>
      <c r="Q541" s="100">
        <f>IF(SamplingData[[#This Row],[Max Error Bound (up)]] = 0,0,SamplingData[[#This Row],[Max Error Bound (up)]]/SamplingData[[#Totals],[Max Error Bound (up)]])</f>
        <v>9.6929482784458315E-6</v>
      </c>
      <c r="R541" s="101">
        <f>SUM($Q$5:Q541)</f>
        <v>0.18470791603678752</v>
      </c>
      <c r="S541" s="100" t="str">
        <f t="array" ref="S541">IF(SamplingData[[#This Row],[up/U Selection Probability]] = 0, "Zero", TEXT(SamplingData[[#This Row],[Lower Range]], REPT("0",LEN('General Info'!$B$40))) &amp; " - " &amp; TEXT(SamplingData[[#This Row],[Upper Range]], REPT("0",LEN('General Info'!$B$40))))</f>
        <v>18470 - 18470</v>
      </c>
      <c r="T541" s="100">
        <f>SamplingData[[#This Row],[Upper Range]]-SamplingData[[#This Row],[Span]]</f>
        <v>18469.822318543855</v>
      </c>
      <c r="U541" s="100">
        <f>IF(ISNUMBER('General Info'!$B$40), ((SamplingData[[#This Row],[up/U Selection Probability]]) * 'General Info'!$B$40) - 1, 0)</f>
        <v>-3.0714865103695255E-2</v>
      </c>
      <c r="V541" s="100">
        <f>IF(ISNUMBER('General Info'!$B$40), (SamplingData[[#This Row],[Running (cumulative) sum]] * ('General Info'!$B$40 -'General Info'!$B$41 + 1)) + 'General Info'!$B$41 - 1, 0)</f>
        <v>18469.79160367875</v>
      </c>
      <c r="W541" s="100" t="str">
        <f>IF(ISERROR(MATCH(SamplingData[[#This Row],[Batch by Type (p)]],SelectedPrecincts[Batch Name], 0)), "", INDEX(SelectedPrecincts[Draw], MATCH(SamplingData[[#This Row],[Batch by Type (p)]],SelectedPrecincts[Batch Name], 0)))</f>
        <v/>
      </c>
      <c r="X541" s="102">
        <f>IF(COUNTIF(SelectedPrecincts[Batch Name],SamplingData[[#This Row],[Batch by Type (p)]]) &lt;&gt; 0, COUNTIF(SelectedPrecincts[Batch Name],SamplingData[[#This Row],[Batch by Type (p)]]), 0)</f>
        <v>0</v>
      </c>
    </row>
    <row r="542" spans="1:24" ht="15" customHeight="1">
      <c r="A542" s="18" t="s">
        <v>718</v>
      </c>
      <c r="B542" s="18">
        <v>0</v>
      </c>
      <c r="C542" s="18">
        <v>0</v>
      </c>
      <c r="D542" s="18">
        <v>0</v>
      </c>
      <c r="E542" s="18">
        <v>0</v>
      </c>
      <c r="F542" s="18">
        <v>0</v>
      </c>
      <c r="G542" s="18">
        <v>0</v>
      </c>
      <c r="H542" s="18">
        <v>0</v>
      </c>
      <c r="I542" s="18">
        <v>0</v>
      </c>
      <c r="J542" s="99">
        <f>SUM(SamplingData[[#This Row],[Losing Candidate]:[Under Votes]])</f>
        <v>0</v>
      </c>
      <c r="K542" s="100">
        <f>IF(AND(SamplingData[[#This Row],[Total]]&lt;&gt; 0, NOT(ISBLANK(SamplingData[[#This Row],[Losing Candidate]]))),(SamplingData[[#This Row],[Total]]+SamplingData[[#This Row],[Winning Candidate]]-SamplingData[[#This Row],[Losing Candidate]])/(SamplingData[[#Totals],[Winning Candidate]]-SamplingData[[#Totals],[Losing Candidate]]), 0)</f>
        <v>0</v>
      </c>
      <c r="L542" s="100">
        <f>IF(AND(SamplingData[[#This Row],[Total]]&lt;&gt; 0, NOT(ISBLANK(SamplingData[[#This Row],[Candidate 3]]))),(SamplingData[[#This Row],[Total]]+SamplingData[[#This Row],[Winning Candidate]]-SamplingData[[#This Row],[Candidate 3]])/(SamplingData[[#Totals],[Winning Candidate]]-SamplingData[[#Totals],[Candidate 3]]), 0)</f>
        <v>0</v>
      </c>
      <c r="M542" s="100">
        <f>IF(AND(SamplingData[[#This Row],[Total]]&lt;&gt; 0, NOT(ISBLANK(SamplingData[[#This Row],[Candidate 4]]))),(SamplingData[[#This Row],[Total]]+SamplingData[[#This Row],[Winning Candidate]]-SamplingData[[#This Row],[Candidate 4]])/(SamplingData[[#Totals],[Winning Candidate]]-SamplingData[[#Totals],[Candidate 4]]), 0)</f>
        <v>0</v>
      </c>
      <c r="N542" s="100">
        <f>IF(AND(SamplingData[[#This Row],[Total]]&lt;&gt; 0, NOT(ISBLANK(SamplingData[[#This Row],[Candidate 5]]))),(SamplingData[[#This Row],[Total]]+SamplingData[[#This Row],[Winning Candidate]]-SamplingData[[#This Row],[Candidate 5]])/(SamplingData[[#Totals],[Winning Candidate]]-SamplingData[[#Totals],[Candidate 5]]), 0)</f>
        <v>0</v>
      </c>
      <c r="O542" s="100">
        <f>IF(AND(SamplingData[[#This Row],[Total]]&lt;&gt; 0, NOT(ISBLANK(SamplingData[[#This Row],[Candidate 6]]))),(SamplingData[[#This Row],[Total]]+SamplingData[[#This Row],[Winning Candidate]]-SamplingData[[#This Row],[Candidate 6]])/(SamplingData[[#Totals],[Winning Candidate]]-SamplingData[[#Totals],[Candidate 6]]), 0)</f>
        <v>0</v>
      </c>
      <c r="P542" s="100">
        <f>MAX(SamplingData[[#This Row],[Error Bound (up) - Max. possible relative overstatement - Losing Candidate]:[Error Bound (up) - Max. possible relative overstatement - Candidate 6]])</f>
        <v>0</v>
      </c>
      <c r="Q542" s="100">
        <f>IF(SamplingData[[#This Row],[Max Error Bound (up)]] = 0,0,SamplingData[[#This Row],[Max Error Bound (up)]]/SamplingData[[#Totals],[Max Error Bound (up)]])</f>
        <v>0</v>
      </c>
      <c r="R542" s="101">
        <f>SUM($Q$5:Q542)</f>
        <v>0.18470791603678752</v>
      </c>
      <c r="S542" s="100" t="str">
        <f t="array" ref="S542">IF(SamplingData[[#This Row],[up/U Selection Probability]] = 0, "Zero", TEXT(SamplingData[[#This Row],[Lower Range]], REPT("0",LEN('General Info'!$B$40))) &amp; " - " &amp; TEXT(SamplingData[[#This Row],[Upper Range]], REPT("0",LEN('General Info'!$B$40))))</f>
        <v>Zero</v>
      </c>
      <c r="T542" s="100">
        <f>SamplingData[[#This Row],[Upper Range]]-SamplingData[[#This Row],[Span]]</f>
        <v>18470.79160367875</v>
      </c>
      <c r="U542" s="100">
        <f>IF(ISNUMBER('General Info'!$B$40), ((SamplingData[[#This Row],[up/U Selection Probability]]) * 'General Info'!$B$40) - 1, 0)</f>
        <v>-1</v>
      </c>
      <c r="V542" s="100">
        <f>IF(ISNUMBER('General Info'!$B$40), (SamplingData[[#This Row],[Running (cumulative) sum]] * ('General Info'!$B$40 -'General Info'!$B$41 + 1)) + 'General Info'!$B$41 - 1, 0)</f>
        <v>18469.79160367875</v>
      </c>
      <c r="W542" s="100" t="str">
        <f>IF(ISERROR(MATCH(SamplingData[[#This Row],[Batch by Type (p)]],SelectedPrecincts[Batch Name], 0)), "", INDEX(SelectedPrecincts[Draw], MATCH(SamplingData[[#This Row],[Batch by Type (p)]],SelectedPrecincts[Batch Name], 0)))</f>
        <v/>
      </c>
      <c r="X542" s="102">
        <f>IF(COUNTIF(SelectedPrecincts[Batch Name],SamplingData[[#This Row],[Batch by Type (p)]]) &lt;&gt; 0, COUNTIF(SelectedPrecincts[Batch Name],SamplingData[[#This Row],[Batch by Type (p)]]), 0)</f>
        <v>0</v>
      </c>
    </row>
    <row r="543" spans="1:24" ht="15" customHeight="1">
      <c r="A543" s="18" t="s">
        <v>719</v>
      </c>
      <c r="B543" s="18">
        <v>1</v>
      </c>
      <c r="C543" s="18">
        <v>0</v>
      </c>
      <c r="D543" s="16">
        <v>0</v>
      </c>
      <c r="E543" s="16">
        <v>0</v>
      </c>
      <c r="F543" s="37">
        <v>0</v>
      </c>
      <c r="G543" s="37">
        <v>0</v>
      </c>
      <c r="H543" s="17">
        <v>0</v>
      </c>
      <c r="I543" s="17">
        <v>0</v>
      </c>
      <c r="J543" s="99">
        <f>SUM(SamplingData[[#This Row],[Losing Candidate]:[Under Votes]])</f>
        <v>1</v>
      </c>
      <c r="K543" s="100">
        <f>IF(AND(SamplingData[[#This Row],[Total]]&lt;&gt; 0, NOT(ISBLANK(SamplingData[[#This Row],[Losing Candidate]]))),(SamplingData[[#This Row],[Total]]+SamplingData[[#This Row],[Winning Candidate]]-SamplingData[[#This Row],[Losing Candidate]])/(SamplingData[[#Totals],[Winning Candidate]]-SamplingData[[#Totals],[Losing Candidate]]), 0)</f>
        <v>0</v>
      </c>
      <c r="L543" s="100">
        <f>IF(AND(SamplingData[[#This Row],[Total]]&lt;&gt; 0, NOT(ISBLANK(SamplingData[[#This Row],[Candidate 3]]))),(SamplingData[[#This Row],[Total]]+SamplingData[[#This Row],[Winning Candidate]]-SamplingData[[#This Row],[Candidate 3]])/(SamplingData[[#Totals],[Winning Candidate]]-SamplingData[[#Totals],[Candidate 3]]), 0)</f>
        <v>3.2261186566441917E-5</v>
      </c>
      <c r="M543" s="100">
        <f>IF(AND(SamplingData[[#This Row],[Total]]&lt;&gt; 0, NOT(ISBLANK(SamplingData[[#This Row],[Candidate 4]]))),(SamplingData[[#This Row],[Total]]+SamplingData[[#This Row],[Winning Candidate]]-SamplingData[[#This Row],[Candidate 4]])/(SamplingData[[#Totals],[Winning Candidate]]-SamplingData[[#Totals],[Candidate 4]]), 0)</f>
        <v>2.923207343096846E-5</v>
      </c>
      <c r="N543" s="100">
        <f>IF(AND(SamplingData[[#This Row],[Total]]&lt;&gt; 0, NOT(ISBLANK(SamplingData[[#This Row],[Candidate 5]]))),(SamplingData[[#This Row],[Total]]+SamplingData[[#This Row],[Winning Candidate]]-SamplingData[[#This Row],[Candidate 5]])/(SamplingData[[#Totals],[Winning Candidate]]-SamplingData[[#Totals],[Candidate 5]]), 0)</f>
        <v>2.4324981756263683E-5</v>
      </c>
      <c r="O543" s="100">
        <f>IF(AND(SamplingData[[#This Row],[Total]]&lt;&gt; 0, NOT(ISBLANK(SamplingData[[#This Row],[Candidate 6]]))),(SamplingData[[#This Row],[Total]]+SamplingData[[#This Row],[Winning Candidate]]-SamplingData[[#This Row],[Candidate 6]])/(SamplingData[[#Totals],[Winning Candidate]]-SamplingData[[#Totals],[Candidate 6]]), 0)</f>
        <v>2.431788337143135E-5</v>
      </c>
      <c r="P543" s="100">
        <f>MAX(SamplingData[[#This Row],[Error Bound (up) - Max. possible relative overstatement - Losing Candidate]:[Error Bound (up) - Max. possible relative overstatement - Candidate 6]])</f>
        <v>3.2261186566441917E-5</v>
      </c>
      <c r="Q543" s="100">
        <f>IF(SamplingData[[#This Row],[Max Error Bound (up)]] = 0,0,SamplingData[[#This Row],[Max Error Bound (up)]]/SamplingData[[#Totals],[Max Error Bound (up)]])</f>
        <v>5.1058637768320663E-6</v>
      </c>
      <c r="R543" s="101">
        <f>SUM($Q$5:Q543)</f>
        <v>0.18471302190056435</v>
      </c>
      <c r="S543" s="100" t="str">
        <f t="array" ref="S543">IF(SamplingData[[#This Row],[up/U Selection Probability]] = 0, "Zero", TEXT(SamplingData[[#This Row],[Lower Range]], REPT("0",LEN('General Info'!$B$40))) &amp; " - " &amp; TEXT(SamplingData[[#This Row],[Upper Range]], REPT("0",LEN('General Info'!$B$40))))</f>
        <v>18471 - 18470</v>
      </c>
      <c r="T543" s="100">
        <f>SamplingData[[#This Row],[Upper Range]]-SamplingData[[#This Row],[Span]]</f>
        <v>18470.791608784613</v>
      </c>
      <c r="U543" s="100">
        <f>IF(ISNUMBER('General Info'!$B$40), ((SamplingData[[#This Row],[up/U Selection Probability]]) * 'General Info'!$B$40) - 1, 0)</f>
        <v>-0.4894187281805702</v>
      </c>
      <c r="V543" s="100">
        <f>IF(ISNUMBER('General Info'!$B$40), (SamplingData[[#This Row],[Running (cumulative) sum]] * ('General Info'!$B$40 -'General Info'!$B$41 + 1)) + 'General Info'!$B$41 - 1, 0)</f>
        <v>18470.302190056434</v>
      </c>
      <c r="W543" s="100" t="str">
        <f>IF(ISERROR(MATCH(SamplingData[[#This Row],[Batch by Type (p)]],SelectedPrecincts[Batch Name], 0)), "", INDEX(SelectedPrecincts[Draw], MATCH(SamplingData[[#This Row],[Batch by Type (p)]],SelectedPrecincts[Batch Name], 0)))</f>
        <v/>
      </c>
      <c r="X543" s="102">
        <f>IF(COUNTIF(SelectedPrecincts[Batch Name],SamplingData[[#This Row],[Batch by Type (p)]]) &lt;&gt; 0, COUNTIF(SelectedPrecincts[Batch Name],SamplingData[[#This Row],[Batch by Type (p)]]), 0)</f>
        <v>0</v>
      </c>
    </row>
    <row r="544" spans="1:24" ht="15" customHeight="1">
      <c r="A544" s="18" t="s">
        <v>720</v>
      </c>
      <c r="B544" s="18">
        <v>0</v>
      </c>
      <c r="C544" s="18">
        <v>1</v>
      </c>
      <c r="D544" s="18">
        <v>0</v>
      </c>
      <c r="E544" s="18">
        <v>0</v>
      </c>
      <c r="F544" s="18">
        <v>1</v>
      </c>
      <c r="G544" s="18">
        <v>0</v>
      </c>
      <c r="H544" s="18">
        <v>0</v>
      </c>
      <c r="I544" s="18">
        <v>0</v>
      </c>
      <c r="J544" s="99">
        <f>SUM(SamplingData[[#This Row],[Losing Candidate]:[Under Votes]])</f>
        <v>2</v>
      </c>
      <c r="K544"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544" s="100">
        <f>IF(AND(SamplingData[[#This Row],[Total]]&lt;&gt; 0, NOT(ISBLANK(SamplingData[[#This Row],[Candidate 3]]))),(SamplingData[[#This Row],[Total]]+SamplingData[[#This Row],[Winning Candidate]]-SamplingData[[#This Row],[Candidate 3]])/(SamplingData[[#Totals],[Winning Candidate]]-SamplingData[[#Totals],[Candidate 3]]), 0)</f>
        <v>9.6783559699325743E-5</v>
      </c>
      <c r="M544" s="100">
        <f>IF(AND(SamplingData[[#This Row],[Total]]&lt;&gt; 0, NOT(ISBLANK(SamplingData[[#This Row],[Candidate 4]]))),(SamplingData[[#This Row],[Total]]+SamplingData[[#This Row],[Winning Candidate]]-SamplingData[[#This Row],[Candidate 4]])/(SamplingData[[#Totals],[Winning Candidate]]-SamplingData[[#Totals],[Candidate 4]]), 0)</f>
        <v>8.7696220292905373E-5</v>
      </c>
      <c r="N544" s="100">
        <f>IF(AND(SamplingData[[#This Row],[Total]]&lt;&gt; 0, NOT(ISBLANK(SamplingData[[#This Row],[Candidate 5]]))),(SamplingData[[#This Row],[Total]]+SamplingData[[#This Row],[Winning Candidate]]-SamplingData[[#This Row],[Candidate 5]])/(SamplingData[[#Totals],[Winning Candidate]]-SamplingData[[#Totals],[Candidate 5]]), 0)</f>
        <v>4.8649963512527367E-5</v>
      </c>
      <c r="O544" s="100">
        <f>IF(AND(SamplingData[[#This Row],[Total]]&lt;&gt; 0, NOT(ISBLANK(SamplingData[[#This Row],[Candidate 6]]))),(SamplingData[[#This Row],[Total]]+SamplingData[[#This Row],[Winning Candidate]]-SamplingData[[#This Row],[Candidate 6]])/(SamplingData[[#Totals],[Winning Candidate]]-SamplingData[[#Totals],[Candidate 6]]), 0)</f>
        <v>7.2953650114294054E-5</v>
      </c>
      <c r="P544" s="100">
        <f>MAX(SamplingData[[#This Row],[Error Bound (up) - Max. possible relative overstatement - Losing Candidate]:[Error Bound (up) - Max. possible relative overstatement - Candidate 6]])</f>
        <v>1.8373346398824106E-4</v>
      </c>
      <c r="Q544" s="100">
        <f>IF(SamplingData[[#This Row],[Max Error Bound (up)]] = 0,0,SamplingData[[#This Row],[Max Error Bound (up)]]/SamplingData[[#Totals],[Max Error Bound (up)]])</f>
        <v>2.9078844835337493E-5</v>
      </c>
      <c r="R544" s="101">
        <f>SUM($Q$5:Q544)</f>
        <v>0.18474210074539968</v>
      </c>
      <c r="S544" s="100" t="str">
        <f t="array" ref="S544">IF(SamplingData[[#This Row],[up/U Selection Probability]] = 0, "Zero", TEXT(SamplingData[[#This Row],[Lower Range]], REPT("0",LEN('General Info'!$B$40))) &amp; " - " &amp; TEXT(SamplingData[[#This Row],[Upper Range]], REPT("0",LEN('General Info'!$B$40))))</f>
        <v>18471 - 18473</v>
      </c>
      <c r="T544" s="100">
        <f>SamplingData[[#This Row],[Upper Range]]-SamplingData[[#This Row],[Span]]</f>
        <v>18471.302219135279</v>
      </c>
      <c r="U544" s="100">
        <f>IF(ISNUMBER('General Info'!$B$40), ((SamplingData[[#This Row],[up/U Selection Probability]]) * 'General Info'!$B$40) - 1, 0)</f>
        <v>1.907855404688914</v>
      </c>
      <c r="V544" s="100">
        <f>IF(ISNUMBER('General Info'!$B$40), (SamplingData[[#This Row],[Running (cumulative) sum]] * ('General Info'!$B$40 -'General Info'!$B$41 + 1)) + 'General Info'!$B$41 - 1, 0)</f>
        <v>18473.210074539969</v>
      </c>
      <c r="W544" s="100" t="str">
        <f>IF(ISERROR(MATCH(SamplingData[[#This Row],[Batch by Type (p)]],SelectedPrecincts[Batch Name], 0)), "", INDEX(SelectedPrecincts[Draw], MATCH(SamplingData[[#This Row],[Batch by Type (p)]],SelectedPrecincts[Batch Name], 0)))</f>
        <v/>
      </c>
      <c r="X544" s="102">
        <f>IF(COUNTIF(SelectedPrecincts[Batch Name],SamplingData[[#This Row],[Batch by Type (p)]]) &lt;&gt; 0, COUNTIF(SelectedPrecincts[Batch Name],SamplingData[[#This Row],[Batch by Type (p)]]), 0)</f>
        <v>0</v>
      </c>
    </row>
    <row r="545" spans="1:24" ht="15" customHeight="1">
      <c r="A545" s="18" t="s">
        <v>721</v>
      </c>
      <c r="B545" s="18">
        <v>0</v>
      </c>
      <c r="C545" s="18">
        <v>0</v>
      </c>
      <c r="D545" s="16">
        <v>0</v>
      </c>
      <c r="E545" s="16">
        <v>0</v>
      </c>
      <c r="F545" s="37">
        <v>0</v>
      </c>
      <c r="G545" s="37">
        <v>0</v>
      </c>
      <c r="H545" s="17">
        <v>0</v>
      </c>
      <c r="I545" s="17">
        <v>0</v>
      </c>
      <c r="J545" s="99">
        <f>SUM(SamplingData[[#This Row],[Losing Candidate]:[Under Votes]])</f>
        <v>0</v>
      </c>
      <c r="K545" s="100">
        <f>IF(AND(SamplingData[[#This Row],[Total]]&lt;&gt; 0, NOT(ISBLANK(SamplingData[[#This Row],[Losing Candidate]]))),(SamplingData[[#This Row],[Total]]+SamplingData[[#This Row],[Winning Candidate]]-SamplingData[[#This Row],[Losing Candidate]])/(SamplingData[[#Totals],[Winning Candidate]]-SamplingData[[#Totals],[Losing Candidate]]), 0)</f>
        <v>0</v>
      </c>
      <c r="L545" s="100">
        <f>IF(AND(SamplingData[[#This Row],[Total]]&lt;&gt; 0, NOT(ISBLANK(SamplingData[[#This Row],[Candidate 3]]))),(SamplingData[[#This Row],[Total]]+SamplingData[[#This Row],[Winning Candidate]]-SamplingData[[#This Row],[Candidate 3]])/(SamplingData[[#Totals],[Winning Candidate]]-SamplingData[[#Totals],[Candidate 3]]), 0)</f>
        <v>0</v>
      </c>
      <c r="M545" s="100">
        <f>IF(AND(SamplingData[[#This Row],[Total]]&lt;&gt; 0, NOT(ISBLANK(SamplingData[[#This Row],[Candidate 4]]))),(SamplingData[[#This Row],[Total]]+SamplingData[[#This Row],[Winning Candidate]]-SamplingData[[#This Row],[Candidate 4]])/(SamplingData[[#Totals],[Winning Candidate]]-SamplingData[[#Totals],[Candidate 4]]), 0)</f>
        <v>0</v>
      </c>
      <c r="N545" s="100">
        <f>IF(AND(SamplingData[[#This Row],[Total]]&lt;&gt; 0, NOT(ISBLANK(SamplingData[[#This Row],[Candidate 5]]))),(SamplingData[[#This Row],[Total]]+SamplingData[[#This Row],[Winning Candidate]]-SamplingData[[#This Row],[Candidate 5]])/(SamplingData[[#Totals],[Winning Candidate]]-SamplingData[[#Totals],[Candidate 5]]), 0)</f>
        <v>0</v>
      </c>
      <c r="O545" s="100">
        <f>IF(AND(SamplingData[[#This Row],[Total]]&lt;&gt; 0, NOT(ISBLANK(SamplingData[[#This Row],[Candidate 6]]))),(SamplingData[[#This Row],[Total]]+SamplingData[[#This Row],[Winning Candidate]]-SamplingData[[#This Row],[Candidate 6]])/(SamplingData[[#Totals],[Winning Candidate]]-SamplingData[[#Totals],[Candidate 6]]), 0)</f>
        <v>0</v>
      </c>
      <c r="P545" s="100">
        <f>MAX(SamplingData[[#This Row],[Error Bound (up) - Max. possible relative overstatement - Losing Candidate]:[Error Bound (up) - Max. possible relative overstatement - Candidate 6]])</f>
        <v>0</v>
      </c>
      <c r="Q545" s="100">
        <f>IF(SamplingData[[#This Row],[Max Error Bound (up)]] = 0,0,SamplingData[[#This Row],[Max Error Bound (up)]]/SamplingData[[#Totals],[Max Error Bound (up)]])</f>
        <v>0</v>
      </c>
      <c r="R545" s="101">
        <f>SUM($Q$5:Q545)</f>
        <v>0.18474210074539968</v>
      </c>
      <c r="S545" s="100" t="str">
        <f t="array" ref="S545">IF(SamplingData[[#This Row],[up/U Selection Probability]] = 0, "Zero", TEXT(SamplingData[[#This Row],[Lower Range]], REPT("0",LEN('General Info'!$B$40))) &amp; " - " &amp; TEXT(SamplingData[[#This Row],[Upper Range]], REPT("0",LEN('General Info'!$B$40))))</f>
        <v>Zero</v>
      </c>
      <c r="T545" s="100">
        <f>SamplingData[[#This Row],[Upper Range]]-SamplingData[[#This Row],[Span]]</f>
        <v>18474.210074539969</v>
      </c>
      <c r="U545" s="100">
        <f>IF(ISNUMBER('General Info'!$B$40), ((SamplingData[[#This Row],[up/U Selection Probability]]) * 'General Info'!$B$40) - 1, 0)</f>
        <v>-1</v>
      </c>
      <c r="V545" s="100">
        <f>IF(ISNUMBER('General Info'!$B$40), (SamplingData[[#This Row],[Running (cumulative) sum]] * ('General Info'!$B$40 -'General Info'!$B$41 + 1)) + 'General Info'!$B$41 - 1, 0)</f>
        <v>18473.210074539969</v>
      </c>
      <c r="W545" s="100" t="str">
        <f>IF(ISERROR(MATCH(SamplingData[[#This Row],[Batch by Type (p)]],SelectedPrecincts[Batch Name], 0)), "", INDEX(SelectedPrecincts[Draw], MATCH(SamplingData[[#This Row],[Batch by Type (p)]],SelectedPrecincts[Batch Name], 0)))</f>
        <v/>
      </c>
      <c r="X545" s="102">
        <f>IF(COUNTIF(SelectedPrecincts[Batch Name],SamplingData[[#This Row],[Batch by Type (p)]]) &lt;&gt; 0, COUNTIF(SelectedPrecincts[Batch Name],SamplingData[[#This Row],[Batch by Type (p)]]), 0)</f>
        <v>0</v>
      </c>
    </row>
    <row r="546" spans="1:24" ht="15" customHeight="1">
      <c r="A546" s="18" t="s">
        <v>722</v>
      </c>
      <c r="B546" s="18">
        <v>0</v>
      </c>
      <c r="C546" s="18">
        <v>0</v>
      </c>
      <c r="D546" s="18">
        <v>0</v>
      </c>
      <c r="E546" s="18">
        <v>0</v>
      </c>
      <c r="F546" s="18">
        <v>0</v>
      </c>
      <c r="G546" s="18">
        <v>0</v>
      </c>
      <c r="H546" s="18">
        <v>0</v>
      </c>
      <c r="I546" s="18">
        <v>0</v>
      </c>
      <c r="J546" s="99">
        <f>SUM(SamplingData[[#This Row],[Losing Candidate]:[Under Votes]])</f>
        <v>0</v>
      </c>
      <c r="K546" s="100">
        <f>IF(AND(SamplingData[[#This Row],[Total]]&lt;&gt; 0, NOT(ISBLANK(SamplingData[[#This Row],[Losing Candidate]]))),(SamplingData[[#This Row],[Total]]+SamplingData[[#This Row],[Winning Candidate]]-SamplingData[[#This Row],[Losing Candidate]])/(SamplingData[[#Totals],[Winning Candidate]]-SamplingData[[#Totals],[Losing Candidate]]), 0)</f>
        <v>0</v>
      </c>
      <c r="L546" s="100">
        <f>IF(AND(SamplingData[[#This Row],[Total]]&lt;&gt; 0, NOT(ISBLANK(SamplingData[[#This Row],[Candidate 3]]))),(SamplingData[[#This Row],[Total]]+SamplingData[[#This Row],[Winning Candidate]]-SamplingData[[#This Row],[Candidate 3]])/(SamplingData[[#Totals],[Winning Candidate]]-SamplingData[[#Totals],[Candidate 3]]), 0)</f>
        <v>0</v>
      </c>
      <c r="M546" s="100">
        <f>IF(AND(SamplingData[[#This Row],[Total]]&lt;&gt; 0, NOT(ISBLANK(SamplingData[[#This Row],[Candidate 4]]))),(SamplingData[[#This Row],[Total]]+SamplingData[[#This Row],[Winning Candidate]]-SamplingData[[#This Row],[Candidate 4]])/(SamplingData[[#Totals],[Winning Candidate]]-SamplingData[[#Totals],[Candidate 4]]), 0)</f>
        <v>0</v>
      </c>
      <c r="N546" s="100">
        <f>IF(AND(SamplingData[[#This Row],[Total]]&lt;&gt; 0, NOT(ISBLANK(SamplingData[[#This Row],[Candidate 5]]))),(SamplingData[[#This Row],[Total]]+SamplingData[[#This Row],[Winning Candidate]]-SamplingData[[#This Row],[Candidate 5]])/(SamplingData[[#Totals],[Winning Candidate]]-SamplingData[[#Totals],[Candidate 5]]), 0)</f>
        <v>0</v>
      </c>
      <c r="O546" s="100">
        <f>IF(AND(SamplingData[[#This Row],[Total]]&lt;&gt; 0, NOT(ISBLANK(SamplingData[[#This Row],[Candidate 6]]))),(SamplingData[[#This Row],[Total]]+SamplingData[[#This Row],[Winning Candidate]]-SamplingData[[#This Row],[Candidate 6]])/(SamplingData[[#Totals],[Winning Candidate]]-SamplingData[[#Totals],[Candidate 6]]), 0)</f>
        <v>0</v>
      </c>
      <c r="P546" s="100">
        <f>MAX(SamplingData[[#This Row],[Error Bound (up) - Max. possible relative overstatement - Losing Candidate]:[Error Bound (up) - Max. possible relative overstatement - Candidate 6]])</f>
        <v>0</v>
      </c>
      <c r="Q546" s="100">
        <f>IF(SamplingData[[#This Row],[Max Error Bound (up)]] = 0,0,SamplingData[[#This Row],[Max Error Bound (up)]]/SamplingData[[#Totals],[Max Error Bound (up)]])</f>
        <v>0</v>
      </c>
      <c r="R546" s="101">
        <f>SUM($Q$5:Q546)</f>
        <v>0.18474210074539968</v>
      </c>
      <c r="S546" s="100" t="str">
        <f t="array" ref="S546">IF(SamplingData[[#This Row],[up/U Selection Probability]] = 0, "Zero", TEXT(SamplingData[[#This Row],[Lower Range]], REPT("0",LEN('General Info'!$B$40))) &amp; " - " &amp; TEXT(SamplingData[[#This Row],[Upper Range]], REPT("0",LEN('General Info'!$B$40))))</f>
        <v>Zero</v>
      </c>
      <c r="T546" s="100">
        <f>SamplingData[[#This Row],[Upper Range]]-SamplingData[[#This Row],[Span]]</f>
        <v>18474.210074539969</v>
      </c>
      <c r="U546" s="100">
        <f>IF(ISNUMBER('General Info'!$B$40), ((SamplingData[[#This Row],[up/U Selection Probability]]) * 'General Info'!$B$40) - 1, 0)</f>
        <v>-1</v>
      </c>
      <c r="V546" s="100">
        <f>IF(ISNUMBER('General Info'!$B$40), (SamplingData[[#This Row],[Running (cumulative) sum]] * ('General Info'!$B$40 -'General Info'!$B$41 + 1)) + 'General Info'!$B$41 - 1, 0)</f>
        <v>18473.210074539969</v>
      </c>
      <c r="W546" s="100" t="str">
        <f>IF(ISERROR(MATCH(SamplingData[[#This Row],[Batch by Type (p)]],SelectedPrecincts[Batch Name], 0)), "", INDEX(SelectedPrecincts[Draw], MATCH(SamplingData[[#This Row],[Batch by Type (p)]],SelectedPrecincts[Batch Name], 0)))</f>
        <v/>
      </c>
      <c r="X546" s="102">
        <f>IF(COUNTIF(SelectedPrecincts[Batch Name],SamplingData[[#This Row],[Batch by Type (p)]]) &lt;&gt; 0, COUNTIF(SelectedPrecincts[Batch Name],SamplingData[[#This Row],[Batch by Type (p)]]), 0)</f>
        <v>0</v>
      </c>
    </row>
    <row r="547" spans="1:24" ht="15" customHeight="1">
      <c r="A547" s="18" t="s">
        <v>723</v>
      </c>
      <c r="B547" s="18">
        <v>1</v>
      </c>
      <c r="C547" s="18">
        <v>0</v>
      </c>
      <c r="D547" s="16">
        <v>0</v>
      </c>
      <c r="E547" s="16">
        <v>0</v>
      </c>
      <c r="F547" s="37">
        <v>0</v>
      </c>
      <c r="G547" s="37">
        <v>0</v>
      </c>
      <c r="H547" s="17">
        <v>0</v>
      </c>
      <c r="I547" s="17">
        <v>0</v>
      </c>
      <c r="J547" s="99">
        <f>SUM(SamplingData[[#This Row],[Losing Candidate]:[Under Votes]])</f>
        <v>1</v>
      </c>
      <c r="K547" s="100">
        <f>IF(AND(SamplingData[[#This Row],[Total]]&lt;&gt; 0, NOT(ISBLANK(SamplingData[[#This Row],[Losing Candidate]]))),(SamplingData[[#This Row],[Total]]+SamplingData[[#This Row],[Winning Candidate]]-SamplingData[[#This Row],[Losing Candidate]])/(SamplingData[[#Totals],[Winning Candidate]]-SamplingData[[#Totals],[Losing Candidate]]), 0)</f>
        <v>0</v>
      </c>
      <c r="L547" s="100">
        <f>IF(AND(SamplingData[[#This Row],[Total]]&lt;&gt; 0, NOT(ISBLANK(SamplingData[[#This Row],[Candidate 3]]))),(SamplingData[[#This Row],[Total]]+SamplingData[[#This Row],[Winning Candidate]]-SamplingData[[#This Row],[Candidate 3]])/(SamplingData[[#Totals],[Winning Candidate]]-SamplingData[[#Totals],[Candidate 3]]), 0)</f>
        <v>3.2261186566441917E-5</v>
      </c>
      <c r="M547" s="100">
        <f>IF(AND(SamplingData[[#This Row],[Total]]&lt;&gt; 0, NOT(ISBLANK(SamplingData[[#This Row],[Candidate 4]]))),(SamplingData[[#This Row],[Total]]+SamplingData[[#This Row],[Winning Candidate]]-SamplingData[[#This Row],[Candidate 4]])/(SamplingData[[#Totals],[Winning Candidate]]-SamplingData[[#Totals],[Candidate 4]]), 0)</f>
        <v>2.923207343096846E-5</v>
      </c>
      <c r="N547" s="100">
        <f>IF(AND(SamplingData[[#This Row],[Total]]&lt;&gt; 0, NOT(ISBLANK(SamplingData[[#This Row],[Candidate 5]]))),(SamplingData[[#This Row],[Total]]+SamplingData[[#This Row],[Winning Candidate]]-SamplingData[[#This Row],[Candidate 5]])/(SamplingData[[#Totals],[Winning Candidate]]-SamplingData[[#Totals],[Candidate 5]]), 0)</f>
        <v>2.4324981756263683E-5</v>
      </c>
      <c r="O547" s="100">
        <f>IF(AND(SamplingData[[#This Row],[Total]]&lt;&gt; 0, NOT(ISBLANK(SamplingData[[#This Row],[Candidate 6]]))),(SamplingData[[#This Row],[Total]]+SamplingData[[#This Row],[Winning Candidate]]-SamplingData[[#This Row],[Candidate 6]])/(SamplingData[[#Totals],[Winning Candidate]]-SamplingData[[#Totals],[Candidate 6]]), 0)</f>
        <v>2.431788337143135E-5</v>
      </c>
      <c r="P547" s="100">
        <f>MAX(SamplingData[[#This Row],[Error Bound (up) - Max. possible relative overstatement - Losing Candidate]:[Error Bound (up) - Max. possible relative overstatement - Candidate 6]])</f>
        <v>3.2261186566441917E-5</v>
      </c>
      <c r="Q547" s="100">
        <f>IF(SamplingData[[#This Row],[Max Error Bound (up)]] = 0,0,SamplingData[[#This Row],[Max Error Bound (up)]]/SamplingData[[#Totals],[Max Error Bound (up)]])</f>
        <v>5.1058637768320663E-6</v>
      </c>
      <c r="R547" s="101">
        <f>SUM($Q$5:Q547)</f>
        <v>0.18474720660917651</v>
      </c>
      <c r="S547" s="100" t="str">
        <f t="array" ref="S547">IF(SamplingData[[#This Row],[up/U Selection Probability]] = 0, "Zero", TEXT(SamplingData[[#This Row],[Lower Range]], REPT("0",LEN('General Info'!$B$40))) &amp; " - " &amp; TEXT(SamplingData[[#This Row],[Upper Range]], REPT("0",LEN('General Info'!$B$40))))</f>
        <v>18474 - 18474</v>
      </c>
      <c r="T547" s="100">
        <f>SamplingData[[#This Row],[Upper Range]]-SamplingData[[#This Row],[Span]]</f>
        <v>18474.210079645829</v>
      </c>
      <c r="U547" s="100">
        <f>IF(ISNUMBER('General Info'!$B$40), ((SamplingData[[#This Row],[up/U Selection Probability]]) * 'General Info'!$B$40) - 1, 0)</f>
        <v>-0.4894187281805702</v>
      </c>
      <c r="V547" s="100">
        <f>IF(ISNUMBER('General Info'!$B$40), (SamplingData[[#This Row],[Running (cumulative) sum]] * ('General Info'!$B$40 -'General Info'!$B$41 + 1)) + 'General Info'!$B$41 - 1, 0)</f>
        <v>18473.72066091765</v>
      </c>
      <c r="W547" s="100" t="str">
        <f>IF(ISERROR(MATCH(SamplingData[[#This Row],[Batch by Type (p)]],SelectedPrecincts[Batch Name], 0)), "", INDEX(SelectedPrecincts[Draw], MATCH(SamplingData[[#This Row],[Batch by Type (p)]],SelectedPrecincts[Batch Name], 0)))</f>
        <v/>
      </c>
      <c r="X547" s="102">
        <f>IF(COUNTIF(SelectedPrecincts[Batch Name],SamplingData[[#This Row],[Batch by Type (p)]]) &lt;&gt; 0, COUNTIF(SelectedPrecincts[Batch Name],SamplingData[[#This Row],[Batch by Type (p)]]), 0)</f>
        <v>0</v>
      </c>
    </row>
    <row r="548" spans="1:24" ht="15" customHeight="1">
      <c r="A548" s="18" t="s">
        <v>724</v>
      </c>
      <c r="B548" s="18">
        <v>1</v>
      </c>
      <c r="C548" s="18">
        <v>1</v>
      </c>
      <c r="D548" s="18">
        <v>0</v>
      </c>
      <c r="E548" s="18">
        <v>0</v>
      </c>
      <c r="F548" s="18">
        <v>0</v>
      </c>
      <c r="G548" s="18">
        <v>0</v>
      </c>
      <c r="H548" s="18">
        <v>0</v>
      </c>
      <c r="I548" s="18">
        <v>0</v>
      </c>
      <c r="J548" s="99">
        <f>SUM(SamplingData[[#This Row],[Losing Candidate]:[Under Votes]])</f>
        <v>2</v>
      </c>
      <c r="K54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48" s="100">
        <f>IF(AND(SamplingData[[#This Row],[Total]]&lt;&gt; 0, NOT(ISBLANK(SamplingData[[#This Row],[Candidate 3]]))),(SamplingData[[#This Row],[Total]]+SamplingData[[#This Row],[Winning Candidate]]-SamplingData[[#This Row],[Candidate 3]])/(SamplingData[[#Totals],[Winning Candidate]]-SamplingData[[#Totals],[Candidate 3]]), 0)</f>
        <v>9.6783559699325743E-5</v>
      </c>
      <c r="M548" s="100">
        <f>IF(AND(SamplingData[[#This Row],[Total]]&lt;&gt; 0, NOT(ISBLANK(SamplingData[[#This Row],[Candidate 4]]))),(SamplingData[[#This Row],[Total]]+SamplingData[[#This Row],[Winning Candidate]]-SamplingData[[#This Row],[Candidate 4]])/(SamplingData[[#Totals],[Winning Candidate]]-SamplingData[[#Totals],[Candidate 4]]), 0)</f>
        <v>8.7696220292905373E-5</v>
      </c>
      <c r="N548" s="100">
        <f>IF(AND(SamplingData[[#This Row],[Total]]&lt;&gt; 0, NOT(ISBLANK(SamplingData[[#This Row],[Candidate 5]]))),(SamplingData[[#This Row],[Total]]+SamplingData[[#This Row],[Winning Candidate]]-SamplingData[[#This Row],[Candidate 5]])/(SamplingData[[#Totals],[Winning Candidate]]-SamplingData[[#Totals],[Candidate 5]]), 0)</f>
        <v>7.2974945268791054E-5</v>
      </c>
      <c r="O548" s="100">
        <f>IF(AND(SamplingData[[#This Row],[Total]]&lt;&gt; 0, NOT(ISBLANK(SamplingData[[#This Row],[Candidate 6]]))),(SamplingData[[#This Row],[Total]]+SamplingData[[#This Row],[Winning Candidate]]-SamplingData[[#This Row],[Candidate 6]])/(SamplingData[[#Totals],[Winning Candidate]]-SamplingData[[#Totals],[Candidate 6]]), 0)</f>
        <v>7.2953650114294054E-5</v>
      </c>
      <c r="P548" s="100">
        <f>MAX(SamplingData[[#This Row],[Error Bound (up) - Max. possible relative overstatement - Losing Candidate]:[Error Bound (up) - Max. possible relative overstatement - Candidate 6]])</f>
        <v>1.224889759921607E-4</v>
      </c>
      <c r="Q548" s="100">
        <f>IF(SamplingData[[#This Row],[Max Error Bound (up)]] = 0,0,SamplingData[[#This Row],[Max Error Bound (up)]]/SamplingData[[#Totals],[Max Error Bound (up)]])</f>
        <v>1.9385896556891663E-5</v>
      </c>
      <c r="R548" s="101">
        <f>SUM($Q$5:Q548)</f>
        <v>0.18476659250573341</v>
      </c>
      <c r="S548" s="100" t="str">
        <f t="array" ref="S548">IF(SamplingData[[#This Row],[up/U Selection Probability]] = 0, "Zero", TEXT(SamplingData[[#This Row],[Lower Range]], REPT("0",LEN('General Info'!$B$40))) &amp; " - " &amp; TEXT(SamplingData[[#This Row],[Upper Range]], REPT("0",LEN('General Info'!$B$40))))</f>
        <v>18475 - 18476</v>
      </c>
      <c r="T548" s="100">
        <f>SamplingData[[#This Row],[Upper Range]]-SamplingData[[#This Row],[Span]]</f>
        <v>18474.720680303551</v>
      </c>
      <c r="U548" s="100">
        <f>IF(ISNUMBER('General Info'!$B$40), ((SamplingData[[#This Row],[up/U Selection Probability]]) * 'General Info'!$B$40) - 1, 0)</f>
        <v>0.93857026979260949</v>
      </c>
      <c r="V548" s="100">
        <f>IF(ISNUMBER('General Info'!$B$40), (SamplingData[[#This Row],[Running (cumulative) sum]] * ('General Info'!$B$40 -'General Info'!$B$41 + 1)) + 'General Info'!$B$41 - 1, 0)</f>
        <v>18475.659250573342</v>
      </c>
      <c r="W548" s="100" t="str">
        <f>IF(ISERROR(MATCH(SamplingData[[#This Row],[Batch by Type (p)]],SelectedPrecincts[Batch Name], 0)), "", INDEX(SelectedPrecincts[Draw], MATCH(SamplingData[[#This Row],[Batch by Type (p)]],SelectedPrecincts[Batch Name], 0)))</f>
        <v/>
      </c>
      <c r="X548" s="102">
        <f>IF(COUNTIF(SelectedPrecincts[Batch Name],SamplingData[[#This Row],[Batch by Type (p)]]) &lt;&gt; 0, COUNTIF(SelectedPrecincts[Batch Name],SamplingData[[#This Row],[Batch by Type (p)]]), 0)</f>
        <v>0</v>
      </c>
    </row>
    <row r="549" spans="1:24" ht="15" customHeight="1">
      <c r="A549" s="18" t="s">
        <v>725</v>
      </c>
      <c r="B549" s="18">
        <v>0</v>
      </c>
      <c r="C549" s="18">
        <v>1</v>
      </c>
      <c r="D549" s="16">
        <v>0</v>
      </c>
      <c r="E549" s="16">
        <v>0</v>
      </c>
      <c r="F549" s="37">
        <v>0</v>
      </c>
      <c r="G549" s="37">
        <v>0</v>
      </c>
      <c r="H549" s="17">
        <v>0</v>
      </c>
      <c r="I549" s="17">
        <v>0</v>
      </c>
      <c r="J549" s="99">
        <f>SUM(SamplingData[[#This Row],[Losing Candidate]:[Under Votes]])</f>
        <v>1</v>
      </c>
      <c r="K549"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49" s="100">
        <f>IF(AND(SamplingData[[#This Row],[Total]]&lt;&gt; 0, NOT(ISBLANK(SamplingData[[#This Row],[Candidate 3]]))),(SamplingData[[#This Row],[Total]]+SamplingData[[#This Row],[Winning Candidate]]-SamplingData[[#This Row],[Candidate 3]])/(SamplingData[[#Totals],[Winning Candidate]]-SamplingData[[#Totals],[Candidate 3]]), 0)</f>
        <v>6.4522373132883833E-5</v>
      </c>
      <c r="M549" s="100">
        <f>IF(AND(SamplingData[[#This Row],[Total]]&lt;&gt; 0, NOT(ISBLANK(SamplingData[[#This Row],[Candidate 4]]))),(SamplingData[[#This Row],[Total]]+SamplingData[[#This Row],[Winning Candidate]]-SamplingData[[#This Row],[Candidate 4]])/(SamplingData[[#Totals],[Winning Candidate]]-SamplingData[[#Totals],[Candidate 4]]), 0)</f>
        <v>5.846414686193692E-5</v>
      </c>
      <c r="N549" s="100">
        <f>IF(AND(SamplingData[[#This Row],[Total]]&lt;&gt; 0, NOT(ISBLANK(SamplingData[[#This Row],[Candidate 5]]))),(SamplingData[[#This Row],[Total]]+SamplingData[[#This Row],[Winning Candidate]]-SamplingData[[#This Row],[Candidate 5]])/(SamplingData[[#Totals],[Winning Candidate]]-SamplingData[[#Totals],[Candidate 5]]), 0)</f>
        <v>4.8649963512527367E-5</v>
      </c>
      <c r="O549" s="100">
        <f>IF(AND(SamplingData[[#This Row],[Total]]&lt;&gt; 0, NOT(ISBLANK(SamplingData[[#This Row],[Candidate 6]]))),(SamplingData[[#This Row],[Total]]+SamplingData[[#This Row],[Winning Candidate]]-SamplingData[[#This Row],[Candidate 6]])/(SamplingData[[#Totals],[Winning Candidate]]-SamplingData[[#Totals],[Candidate 6]]), 0)</f>
        <v>4.8635766742862701E-5</v>
      </c>
      <c r="P549" s="100">
        <f>MAX(SamplingData[[#This Row],[Error Bound (up) - Max. possible relative overstatement - Losing Candidate]:[Error Bound (up) - Max. possible relative overstatement - Candidate 6]])</f>
        <v>1.224889759921607E-4</v>
      </c>
      <c r="Q549" s="100">
        <f>IF(SamplingData[[#This Row],[Max Error Bound (up)]] = 0,0,SamplingData[[#This Row],[Max Error Bound (up)]]/SamplingData[[#Totals],[Max Error Bound (up)]])</f>
        <v>1.9385896556891663E-5</v>
      </c>
      <c r="R549" s="101">
        <f>SUM($Q$5:Q549)</f>
        <v>0.1847859784022903</v>
      </c>
      <c r="S549" s="100" t="str">
        <f t="array" ref="S549">IF(SamplingData[[#This Row],[up/U Selection Probability]] = 0, "Zero", TEXT(SamplingData[[#This Row],[Lower Range]], REPT("0",LEN('General Info'!$B$40))) &amp; " - " &amp; TEXT(SamplingData[[#This Row],[Upper Range]], REPT("0",LEN('General Info'!$B$40))))</f>
        <v>18477 - 18478</v>
      </c>
      <c r="T549" s="100">
        <f>SamplingData[[#This Row],[Upper Range]]-SamplingData[[#This Row],[Span]]</f>
        <v>18476.65926995924</v>
      </c>
      <c r="U549" s="100">
        <f>IF(ISNUMBER('General Info'!$B$40), ((SamplingData[[#This Row],[up/U Selection Probability]]) * 'General Info'!$B$40) - 1, 0)</f>
        <v>0.93857026979260949</v>
      </c>
      <c r="V549" s="100">
        <f>IF(ISNUMBER('General Info'!$B$40), (SamplingData[[#This Row],[Running (cumulative) sum]] * ('General Info'!$B$40 -'General Info'!$B$41 + 1)) + 'General Info'!$B$41 - 1, 0)</f>
        <v>18477.597840229031</v>
      </c>
      <c r="W549" s="100" t="str">
        <f>IF(ISERROR(MATCH(SamplingData[[#This Row],[Batch by Type (p)]],SelectedPrecincts[Batch Name], 0)), "", INDEX(SelectedPrecincts[Draw], MATCH(SamplingData[[#This Row],[Batch by Type (p)]],SelectedPrecincts[Batch Name], 0)))</f>
        <v/>
      </c>
      <c r="X549" s="102">
        <f>IF(COUNTIF(SelectedPrecincts[Batch Name],SamplingData[[#This Row],[Batch by Type (p)]]) &lt;&gt; 0, COUNTIF(SelectedPrecincts[Batch Name],SamplingData[[#This Row],[Batch by Type (p)]]), 0)</f>
        <v>0</v>
      </c>
    </row>
    <row r="550" spans="1:24" ht="15" customHeight="1">
      <c r="A550" s="18" t="s">
        <v>726</v>
      </c>
      <c r="B550" s="18">
        <v>0</v>
      </c>
      <c r="C550" s="18">
        <v>1</v>
      </c>
      <c r="D550" s="18">
        <v>0</v>
      </c>
      <c r="E550" s="18">
        <v>0</v>
      </c>
      <c r="F550" s="18">
        <v>0</v>
      </c>
      <c r="G550" s="18">
        <v>0</v>
      </c>
      <c r="H550" s="18">
        <v>0</v>
      </c>
      <c r="I550" s="18">
        <v>0</v>
      </c>
      <c r="J550" s="99">
        <f>SUM(SamplingData[[#This Row],[Losing Candidate]:[Under Votes]])</f>
        <v>1</v>
      </c>
      <c r="K55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50" s="100">
        <f>IF(AND(SamplingData[[#This Row],[Total]]&lt;&gt; 0, NOT(ISBLANK(SamplingData[[#This Row],[Candidate 3]]))),(SamplingData[[#This Row],[Total]]+SamplingData[[#This Row],[Winning Candidate]]-SamplingData[[#This Row],[Candidate 3]])/(SamplingData[[#Totals],[Winning Candidate]]-SamplingData[[#Totals],[Candidate 3]]), 0)</f>
        <v>6.4522373132883833E-5</v>
      </c>
      <c r="M550" s="100">
        <f>IF(AND(SamplingData[[#This Row],[Total]]&lt;&gt; 0, NOT(ISBLANK(SamplingData[[#This Row],[Candidate 4]]))),(SamplingData[[#This Row],[Total]]+SamplingData[[#This Row],[Winning Candidate]]-SamplingData[[#This Row],[Candidate 4]])/(SamplingData[[#Totals],[Winning Candidate]]-SamplingData[[#Totals],[Candidate 4]]), 0)</f>
        <v>5.846414686193692E-5</v>
      </c>
      <c r="N550" s="100">
        <f>IF(AND(SamplingData[[#This Row],[Total]]&lt;&gt; 0, NOT(ISBLANK(SamplingData[[#This Row],[Candidate 5]]))),(SamplingData[[#This Row],[Total]]+SamplingData[[#This Row],[Winning Candidate]]-SamplingData[[#This Row],[Candidate 5]])/(SamplingData[[#Totals],[Winning Candidate]]-SamplingData[[#Totals],[Candidate 5]]), 0)</f>
        <v>4.8649963512527367E-5</v>
      </c>
      <c r="O550" s="100">
        <f>IF(AND(SamplingData[[#This Row],[Total]]&lt;&gt; 0, NOT(ISBLANK(SamplingData[[#This Row],[Candidate 6]]))),(SamplingData[[#This Row],[Total]]+SamplingData[[#This Row],[Winning Candidate]]-SamplingData[[#This Row],[Candidate 6]])/(SamplingData[[#Totals],[Winning Candidate]]-SamplingData[[#Totals],[Candidate 6]]), 0)</f>
        <v>4.8635766742862701E-5</v>
      </c>
      <c r="P550" s="100">
        <f>MAX(SamplingData[[#This Row],[Error Bound (up) - Max. possible relative overstatement - Losing Candidate]:[Error Bound (up) - Max. possible relative overstatement - Candidate 6]])</f>
        <v>1.224889759921607E-4</v>
      </c>
      <c r="Q550" s="100">
        <f>IF(SamplingData[[#This Row],[Max Error Bound (up)]] = 0,0,SamplingData[[#This Row],[Max Error Bound (up)]]/SamplingData[[#Totals],[Max Error Bound (up)]])</f>
        <v>1.9385896556891663E-5</v>
      </c>
      <c r="R550" s="101">
        <f>SUM($Q$5:Q550)</f>
        <v>0.1848053642988472</v>
      </c>
      <c r="S550" s="100" t="str">
        <f t="array" ref="S550">IF(SamplingData[[#This Row],[up/U Selection Probability]] = 0, "Zero", TEXT(SamplingData[[#This Row],[Lower Range]], REPT("0",LEN('General Info'!$B$40))) &amp; " - " &amp; TEXT(SamplingData[[#This Row],[Upper Range]], REPT("0",LEN('General Info'!$B$40))))</f>
        <v>18479 - 18480</v>
      </c>
      <c r="T550" s="100">
        <f>SamplingData[[#This Row],[Upper Range]]-SamplingData[[#This Row],[Span]]</f>
        <v>18478.597859614929</v>
      </c>
      <c r="U550" s="100">
        <f>IF(ISNUMBER('General Info'!$B$40), ((SamplingData[[#This Row],[up/U Selection Probability]]) * 'General Info'!$B$40) - 1, 0)</f>
        <v>0.93857026979260949</v>
      </c>
      <c r="V550" s="100">
        <f>IF(ISNUMBER('General Info'!$B$40), (SamplingData[[#This Row],[Running (cumulative) sum]] * ('General Info'!$B$40 -'General Info'!$B$41 + 1)) + 'General Info'!$B$41 - 1, 0)</f>
        <v>18479.53642988472</v>
      </c>
      <c r="W550" s="100" t="str">
        <f>IF(ISERROR(MATCH(SamplingData[[#This Row],[Batch by Type (p)]],SelectedPrecincts[Batch Name], 0)), "", INDEX(SelectedPrecincts[Draw], MATCH(SamplingData[[#This Row],[Batch by Type (p)]],SelectedPrecincts[Batch Name], 0)))</f>
        <v/>
      </c>
      <c r="X550" s="102">
        <f>IF(COUNTIF(SelectedPrecincts[Batch Name],SamplingData[[#This Row],[Batch by Type (p)]]) &lt;&gt; 0, COUNTIF(SelectedPrecincts[Batch Name],SamplingData[[#This Row],[Batch by Type (p)]]), 0)</f>
        <v>0</v>
      </c>
    </row>
    <row r="551" spans="1:24" ht="15" customHeight="1">
      <c r="A551" s="18" t="s">
        <v>727</v>
      </c>
      <c r="B551" s="18">
        <v>0</v>
      </c>
      <c r="C551" s="18">
        <v>0</v>
      </c>
      <c r="D551" s="16">
        <v>0</v>
      </c>
      <c r="E551" s="16">
        <v>2</v>
      </c>
      <c r="F551" s="37">
        <v>0</v>
      </c>
      <c r="G551" s="37">
        <v>0</v>
      </c>
      <c r="H551" s="17">
        <v>0</v>
      </c>
      <c r="I551" s="17">
        <v>0</v>
      </c>
      <c r="J551" s="99">
        <f>SUM(SamplingData[[#This Row],[Losing Candidate]:[Under Votes]])</f>
        <v>2</v>
      </c>
      <c r="K551"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51" s="100">
        <f>IF(AND(SamplingData[[#This Row],[Total]]&lt;&gt; 0, NOT(ISBLANK(SamplingData[[#This Row],[Candidate 3]]))),(SamplingData[[#This Row],[Total]]+SamplingData[[#This Row],[Winning Candidate]]-SamplingData[[#This Row],[Candidate 3]])/(SamplingData[[#Totals],[Winning Candidate]]-SamplingData[[#Totals],[Candidate 3]]), 0)</f>
        <v>6.4522373132883833E-5</v>
      </c>
      <c r="M551" s="100">
        <f>IF(AND(SamplingData[[#This Row],[Total]]&lt;&gt; 0, NOT(ISBLANK(SamplingData[[#This Row],[Candidate 4]]))),(SamplingData[[#This Row],[Total]]+SamplingData[[#This Row],[Winning Candidate]]-SamplingData[[#This Row],[Candidate 4]])/(SamplingData[[#Totals],[Winning Candidate]]-SamplingData[[#Totals],[Candidate 4]]), 0)</f>
        <v>0</v>
      </c>
      <c r="N551" s="100">
        <f>IF(AND(SamplingData[[#This Row],[Total]]&lt;&gt; 0, NOT(ISBLANK(SamplingData[[#This Row],[Candidate 5]]))),(SamplingData[[#This Row],[Total]]+SamplingData[[#This Row],[Winning Candidate]]-SamplingData[[#This Row],[Candidate 5]])/(SamplingData[[#Totals],[Winning Candidate]]-SamplingData[[#Totals],[Candidate 5]]), 0)</f>
        <v>4.8649963512527367E-5</v>
      </c>
      <c r="O551" s="100">
        <f>IF(AND(SamplingData[[#This Row],[Total]]&lt;&gt; 0, NOT(ISBLANK(SamplingData[[#This Row],[Candidate 6]]))),(SamplingData[[#This Row],[Total]]+SamplingData[[#This Row],[Winning Candidate]]-SamplingData[[#This Row],[Candidate 6]])/(SamplingData[[#Totals],[Winning Candidate]]-SamplingData[[#Totals],[Candidate 6]]), 0)</f>
        <v>4.8635766742862701E-5</v>
      </c>
      <c r="P551" s="100">
        <f>MAX(SamplingData[[#This Row],[Error Bound (up) - Max. possible relative overstatement - Losing Candidate]:[Error Bound (up) - Max. possible relative overstatement - Candidate 6]])</f>
        <v>1.224889759921607E-4</v>
      </c>
      <c r="Q551" s="100">
        <f>IF(SamplingData[[#This Row],[Max Error Bound (up)]] = 0,0,SamplingData[[#This Row],[Max Error Bound (up)]]/SamplingData[[#Totals],[Max Error Bound (up)]])</f>
        <v>1.9385896556891663E-5</v>
      </c>
      <c r="R551" s="101">
        <f>SUM($Q$5:Q551)</f>
        <v>0.18482475019540409</v>
      </c>
      <c r="S551" s="100" t="str">
        <f t="array" ref="S551">IF(SamplingData[[#This Row],[up/U Selection Probability]] = 0, "Zero", TEXT(SamplingData[[#This Row],[Lower Range]], REPT("0",LEN('General Info'!$B$40))) &amp; " - " &amp; TEXT(SamplingData[[#This Row],[Upper Range]], REPT("0",LEN('General Info'!$B$40))))</f>
        <v>18481 - 18481</v>
      </c>
      <c r="T551" s="100">
        <f>SamplingData[[#This Row],[Upper Range]]-SamplingData[[#This Row],[Span]]</f>
        <v>18480.536449270618</v>
      </c>
      <c r="U551" s="100">
        <f>IF(ISNUMBER('General Info'!$B$40), ((SamplingData[[#This Row],[up/U Selection Probability]]) * 'General Info'!$B$40) - 1, 0)</f>
        <v>0.93857026979260949</v>
      </c>
      <c r="V551" s="100">
        <f>IF(ISNUMBER('General Info'!$B$40), (SamplingData[[#This Row],[Running (cumulative) sum]] * ('General Info'!$B$40 -'General Info'!$B$41 + 1)) + 'General Info'!$B$41 - 1, 0)</f>
        <v>18481.475019540409</v>
      </c>
      <c r="W551" s="100" t="str">
        <f>IF(ISERROR(MATCH(SamplingData[[#This Row],[Batch by Type (p)]],SelectedPrecincts[Batch Name], 0)), "", INDEX(SelectedPrecincts[Draw], MATCH(SamplingData[[#This Row],[Batch by Type (p)]],SelectedPrecincts[Batch Name], 0)))</f>
        <v/>
      </c>
      <c r="X551" s="102">
        <f>IF(COUNTIF(SelectedPrecincts[Batch Name],SamplingData[[#This Row],[Batch by Type (p)]]) &lt;&gt; 0, COUNTIF(SelectedPrecincts[Batch Name],SamplingData[[#This Row],[Batch by Type (p)]]), 0)</f>
        <v>0</v>
      </c>
    </row>
    <row r="552" spans="1:24" ht="15" customHeight="1">
      <c r="A552" s="18" t="s">
        <v>728</v>
      </c>
      <c r="B552" s="18">
        <v>0</v>
      </c>
      <c r="C552" s="18">
        <v>0</v>
      </c>
      <c r="D552" s="18">
        <v>0</v>
      </c>
      <c r="E552" s="18">
        <v>0</v>
      </c>
      <c r="F552" s="18">
        <v>0</v>
      </c>
      <c r="G552" s="18">
        <v>0</v>
      </c>
      <c r="H552" s="18">
        <v>0</v>
      </c>
      <c r="I552" s="18">
        <v>0</v>
      </c>
      <c r="J552" s="99">
        <f>SUM(SamplingData[[#This Row],[Losing Candidate]:[Under Votes]])</f>
        <v>0</v>
      </c>
      <c r="K552" s="100">
        <f>IF(AND(SamplingData[[#This Row],[Total]]&lt;&gt; 0, NOT(ISBLANK(SamplingData[[#This Row],[Losing Candidate]]))),(SamplingData[[#This Row],[Total]]+SamplingData[[#This Row],[Winning Candidate]]-SamplingData[[#This Row],[Losing Candidate]])/(SamplingData[[#Totals],[Winning Candidate]]-SamplingData[[#Totals],[Losing Candidate]]), 0)</f>
        <v>0</v>
      </c>
      <c r="L552" s="100">
        <f>IF(AND(SamplingData[[#This Row],[Total]]&lt;&gt; 0, NOT(ISBLANK(SamplingData[[#This Row],[Candidate 3]]))),(SamplingData[[#This Row],[Total]]+SamplingData[[#This Row],[Winning Candidate]]-SamplingData[[#This Row],[Candidate 3]])/(SamplingData[[#Totals],[Winning Candidate]]-SamplingData[[#Totals],[Candidate 3]]), 0)</f>
        <v>0</v>
      </c>
      <c r="M552" s="100">
        <f>IF(AND(SamplingData[[#This Row],[Total]]&lt;&gt; 0, NOT(ISBLANK(SamplingData[[#This Row],[Candidate 4]]))),(SamplingData[[#This Row],[Total]]+SamplingData[[#This Row],[Winning Candidate]]-SamplingData[[#This Row],[Candidate 4]])/(SamplingData[[#Totals],[Winning Candidate]]-SamplingData[[#Totals],[Candidate 4]]), 0)</f>
        <v>0</v>
      </c>
      <c r="N552" s="100">
        <f>IF(AND(SamplingData[[#This Row],[Total]]&lt;&gt; 0, NOT(ISBLANK(SamplingData[[#This Row],[Candidate 5]]))),(SamplingData[[#This Row],[Total]]+SamplingData[[#This Row],[Winning Candidate]]-SamplingData[[#This Row],[Candidate 5]])/(SamplingData[[#Totals],[Winning Candidate]]-SamplingData[[#Totals],[Candidate 5]]), 0)</f>
        <v>0</v>
      </c>
      <c r="O552" s="100">
        <f>IF(AND(SamplingData[[#This Row],[Total]]&lt;&gt; 0, NOT(ISBLANK(SamplingData[[#This Row],[Candidate 6]]))),(SamplingData[[#This Row],[Total]]+SamplingData[[#This Row],[Winning Candidate]]-SamplingData[[#This Row],[Candidate 6]])/(SamplingData[[#Totals],[Winning Candidate]]-SamplingData[[#Totals],[Candidate 6]]), 0)</f>
        <v>0</v>
      </c>
      <c r="P552" s="100">
        <f>MAX(SamplingData[[#This Row],[Error Bound (up) - Max. possible relative overstatement - Losing Candidate]:[Error Bound (up) - Max. possible relative overstatement - Candidate 6]])</f>
        <v>0</v>
      </c>
      <c r="Q552" s="100">
        <f>IF(SamplingData[[#This Row],[Max Error Bound (up)]] = 0,0,SamplingData[[#This Row],[Max Error Bound (up)]]/SamplingData[[#Totals],[Max Error Bound (up)]])</f>
        <v>0</v>
      </c>
      <c r="R552" s="101">
        <f>SUM($Q$5:Q552)</f>
        <v>0.18482475019540409</v>
      </c>
      <c r="S552" s="100" t="str">
        <f t="array" ref="S552">IF(SamplingData[[#This Row],[up/U Selection Probability]] = 0, "Zero", TEXT(SamplingData[[#This Row],[Lower Range]], REPT("0",LEN('General Info'!$B$40))) &amp; " - " &amp; TEXT(SamplingData[[#This Row],[Upper Range]], REPT("0",LEN('General Info'!$B$40))))</f>
        <v>Zero</v>
      </c>
      <c r="T552" s="100">
        <f>SamplingData[[#This Row],[Upper Range]]-SamplingData[[#This Row],[Span]]</f>
        <v>18482.475019540409</v>
      </c>
      <c r="U552" s="100">
        <f>IF(ISNUMBER('General Info'!$B$40), ((SamplingData[[#This Row],[up/U Selection Probability]]) * 'General Info'!$B$40) - 1, 0)</f>
        <v>-1</v>
      </c>
      <c r="V552" s="100">
        <f>IF(ISNUMBER('General Info'!$B$40), (SamplingData[[#This Row],[Running (cumulative) sum]] * ('General Info'!$B$40 -'General Info'!$B$41 + 1)) + 'General Info'!$B$41 - 1, 0)</f>
        <v>18481.475019540409</v>
      </c>
      <c r="W552" s="100" t="str">
        <f>IF(ISERROR(MATCH(SamplingData[[#This Row],[Batch by Type (p)]],SelectedPrecincts[Batch Name], 0)), "", INDEX(SelectedPrecincts[Draw], MATCH(SamplingData[[#This Row],[Batch by Type (p)]],SelectedPrecincts[Batch Name], 0)))</f>
        <v/>
      </c>
      <c r="X552" s="102">
        <f>IF(COUNTIF(SelectedPrecincts[Batch Name],SamplingData[[#This Row],[Batch by Type (p)]]) &lt;&gt; 0, COUNTIF(SelectedPrecincts[Batch Name],SamplingData[[#This Row],[Batch by Type (p)]]), 0)</f>
        <v>0</v>
      </c>
    </row>
    <row r="553" spans="1:24" ht="15" customHeight="1">
      <c r="A553" s="18" t="s">
        <v>729</v>
      </c>
      <c r="B553" s="18">
        <v>0</v>
      </c>
      <c r="C553" s="18">
        <v>0</v>
      </c>
      <c r="D553" s="16">
        <v>1</v>
      </c>
      <c r="E553" s="16">
        <v>0</v>
      </c>
      <c r="F553" s="37">
        <v>0</v>
      </c>
      <c r="G553" s="37">
        <v>0</v>
      </c>
      <c r="H553" s="17">
        <v>0</v>
      </c>
      <c r="I553" s="17">
        <v>0</v>
      </c>
      <c r="J553" s="99">
        <f>SUM(SamplingData[[#This Row],[Losing Candidate]:[Under Votes]])</f>
        <v>1</v>
      </c>
      <c r="K553"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53" s="100">
        <f>IF(AND(SamplingData[[#This Row],[Total]]&lt;&gt; 0, NOT(ISBLANK(SamplingData[[#This Row],[Candidate 3]]))),(SamplingData[[#This Row],[Total]]+SamplingData[[#This Row],[Winning Candidate]]-SamplingData[[#This Row],[Candidate 3]])/(SamplingData[[#Totals],[Winning Candidate]]-SamplingData[[#Totals],[Candidate 3]]), 0)</f>
        <v>0</v>
      </c>
      <c r="M553" s="100">
        <f>IF(AND(SamplingData[[#This Row],[Total]]&lt;&gt; 0, NOT(ISBLANK(SamplingData[[#This Row],[Candidate 4]]))),(SamplingData[[#This Row],[Total]]+SamplingData[[#This Row],[Winning Candidate]]-SamplingData[[#This Row],[Candidate 4]])/(SamplingData[[#Totals],[Winning Candidate]]-SamplingData[[#Totals],[Candidate 4]]), 0)</f>
        <v>2.923207343096846E-5</v>
      </c>
      <c r="N553" s="100">
        <f>IF(AND(SamplingData[[#This Row],[Total]]&lt;&gt; 0, NOT(ISBLANK(SamplingData[[#This Row],[Candidate 5]]))),(SamplingData[[#This Row],[Total]]+SamplingData[[#This Row],[Winning Candidate]]-SamplingData[[#This Row],[Candidate 5]])/(SamplingData[[#Totals],[Winning Candidate]]-SamplingData[[#Totals],[Candidate 5]]), 0)</f>
        <v>2.4324981756263683E-5</v>
      </c>
      <c r="O553" s="100">
        <f>IF(AND(SamplingData[[#This Row],[Total]]&lt;&gt; 0, NOT(ISBLANK(SamplingData[[#This Row],[Candidate 6]]))),(SamplingData[[#This Row],[Total]]+SamplingData[[#This Row],[Winning Candidate]]-SamplingData[[#This Row],[Candidate 6]])/(SamplingData[[#Totals],[Winning Candidate]]-SamplingData[[#Totals],[Candidate 6]]), 0)</f>
        <v>2.431788337143135E-5</v>
      </c>
      <c r="P553" s="100">
        <f>MAX(SamplingData[[#This Row],[Error Bound (up) - Max. possible relative overstatement - Losing Candidate]:[Error Bound (up) - Max. possible relative overstatement - Candidate 6]])</f>
        <v>6.1244487996080352E-5</v>
      </c>
      <c r="Q553" s="100">
        <f>IF(SamplingData[[#This Row],[Max Error Bound (up)]] = 0,0,SamplingData[[#This Row],[Max Error Bound (up)]]/SamplingData[[#Totals],[Max Error Bound (up)]])</f>
        <v>9.6929482784458315E-6</v>
      </c>
      <c r="R553" s="101">
        <f>SUM($Q$5:Q553)</f>
        <v>0.18483444314368253</v>
      </c>
      <c r="S553" s="100" t="str">
        <f t="array" ref="S553">IF(SamplingData[[#This Row],[up/U Selection Probability]] = 0, "Zero", TEXT(SamplingData[[#This Row],[Lower Range]], REPT("0",LEN('General Info'!$B$40))) &amp; " - " &amp; TEXT(SamplingData[[#This Row],[Upper Range]], REPT("0",LEN('General Info'!$B$40))))</f>
        <v>18482 - 18482</v>
      </c>
      <c r="T553" s="100">
        <f>SamplingData[[#This Row],[Upper Range]]-SamplingData[[#This Row],[Span]]</f>
        <v>18482.475029233356</v>
      </c>
      <c r="U553" s="100">
        <f>IF(ISNUMBER('General Info'!$B$40), ((SamplingData[[#This Row],[up/U Selection Probability]]) * 'General Info'!$B$40) - 1, 0)</f>
        <v>-3.0714865103695255E-2</v>
      </c>
      <c r="V553" s="100">
        <f>IF(ISNUMBER('General Info'!$B$40), (SamplingData[[#This Row],[Running (cumulative) sum]] * ('General Info'!$B$40 -'General Info'!$B$41 + 1)) + 'General Info'!$B$41 - 1, 0)</f>
        <v>18482.444314368251</v>
      </c>
      <c r="W553" s="100" t="str">
        <f>IF(ISERROR(MATCH(SamplingData[[#This Row],[Batch by Type (p)]],SelectedPrecincts[Batch Name], 0)), "", INDEX(SelectedPrecincts[Draw], MATCH(SamplingData[[#This Row],[Batch by Type (p)]],SelectedPrecincts[Batch Name], 0)))</f>
        <v/>
      </c>
      <c r="X553" s="102">
        <f>IF(COUNTIF(SelectedPrecincts[Batch Name],SamplingData[[#This Row],[Batch by Type (p)]]) &lt;&gt; 0, COUNTIF(SelectedPrecincts[Batch Name],SamplingData[[#This Row],[Batch by Type (p)]]), 0)</f>
        <v>0</v>
      </c>
    </row>
    <row r="554" spans="1:24" ht="15" customHeight="1">
      <c r="A554" s="18" t="s">
        <v>730</v>
      </c>
      <c r="B554" s="18">
        <v>0</v>
      </c>
      <c r="C554" s="18">
        <v>1</v>
      </c>
      <c r="D554" s="18">
        <v>0</v>
      </c>
      <c r="E554" s="18">
        <v>0</v>
      </c>
      <c r="F554" s="18">
        <v>0</v>
      </c>
      <c r="G554" s="18">
        <v>0</v>
      </c>
      <c r="H554" s="18">
        <v>0</v>
      </c>
      <c r="I554" s="18">
        <v>0</v>
      </c>
      <c r="J554" s="99">
        <f>SUM(SamplingData[[#This Row],[Losing Candidate]:[Under Votes]])</f>
        <v>1</v>
      </c>
      <c r="K55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54" s="100">
        <f>IF(AND(SamplingData[[#This Row],[Total]]&lt;&gt; 0, NOT(ISBLANK(SamplingData[[#This Row],[Candidate 3]]))),(SamplingData[[#This Row],[Total]]+SamplingData[[#This Row],[Winning Candidate]]-SamplingData[[#This Row],[Candidate 3]])/(SamplingData[[#Totals],[Winning Candidate]]-SamplingData[[#Totals],[Candidate 3]]), 0)</f>
        <v>6.4522373132883833E-5</v>
      </c>
      <c r="M554" s="100">
        <f>IF(AND(SamplingData[[#This Row],[Total]]&lt;&gt; 0, NOT(ISBLANK(SamplingData[[#This Row],[Candidate 4]]))),(SamplingData[[#This Row],[Total]]+SamplingData[[#This Row],[Winning Candidate]]-SamplingData[[#This Row],[Candidate 4]])/(SamplingData[[#Totals],[Winning Candidate]]-SamplingData[[#Totals],[Candidate 4]]), 0)</f>
        <v>5.846414686193692E-5</v>
      </c>
      <c r="N554" s="100">
        <f>IF(AND(SamplingData[[#This Row],[Total]]&lt;&gt; 0, NOT(ISBLANK(SamplingData[[#This Row],[Candidate 5]]))),(SamplingData[[#This Row],[Total]]+SamplingData[[#This Row],[Winning Candidate]]-SamplingData[[#This Row],[Candidate 5]])/(SamplingData[[#Totals],[Winning Candidate]]-SamplingData[[#Totals],[Candidate 5]]), 0)</f>
        <v>4.8649963512527367E-5</v>
      </c>
      <c r="O554" s="100">
        <f>IF(AND(SamplingData[[#This Row],[Total]]&lt;&gt; 0, NOT(ISBLANK(SamplingData[[#This Row],[Candidate 6]]))),(SamplingData[[#This Row],[Total]]+SamplingData[[#This Row],[Winning Candidate]]-SamplingData[[#This Row],[Candidate 6]])/(SamplingData[[#Totals],[Winning Candidate]]-SamplingData[[#Totals],[Candidate 6]]), 0)</f>
        <v>4.8635766742862701E-5</v>
      </c>
      <c r="P554" s="100">
        <f>MAX(SamplingData[[#This Row],[Error Bound (up) - Max. possible relative overstatement - Losing Candidate]:[Error Bound (up) - Max. possible relative overstatement - Candidate 6]])</f>
        <v>1.224889759921607E-4</v>
      </c>
      <c r="Q554" s="100">
        <f>IF(SamplingData[[#This Row],[Max Error Bound (up)]] = 0,0,SamplingData[[#This Row],[Max Error Bound (up)]]/SamplingData[[#Totals],[Max Error Bound (up)]])</f>
        <v>1.9385896556891663E-5</v>
      </c>
      <c r="R554" s="101">
        <f>SUM($Q$5:Q554)</f>
        <v>0.18485382904023942</v>
      </c>
      <c r="S554" s="100" t="str">
        <f t="array" ref="S554">IF(SamplingData[[#This Row],[up/U Selection Probability]] = 0, "Zero", TEXT(SamplingData[[#This Row],[Lower Range]], REPT("0",LEN('General Info'!$B$40))) &amp; " - " &amp; TEXT(SamplingData[[#This Row],[Upper Range]], REPT("0",LEN('General Info'!$B$40))))</f>
        <v>18483 - 18484</v>
      </c>
      <c r="T554" s="100">
        <f>SamplingData[[#This Row],[Upper Range]]-SamplingData[[#This Row],[Span]]</f>
        <v>18483.444333754152</v>
      </c>
      <c r="U554" s="100">
        <f>IF(ISNUMBER('General Info'!$B$40), ((SamplingData[[#This Row],[up/U Selection Probability]]) * 'General Info'!$B$40) - 1, 0)</f>
        <v>0.93857026979260949</v>
      </c>
      <c r="V554" s="100">
        <f>IF(ISNUMBER('General Info'!$B$40), (SamplingData[[#This Row],[Running (cumulative) sum]] * ('General Info'!$B$40 -'General Info'!$B$41 + 1)) + 'General Info'!$B$41 - 1, 0)</f>
        <v>18484.382904023943</v>
      </c>
      <c r="W554" s="100" t="str">
        <f>IF(ISERROR(MATCH(SamplingData[[#This Row],[Batch by Type (p)]],SelectedPrecincts[Batch Name], 0)), "", INDEX(SelectedPrecincts[Draw], MATCH(SamplingData[[#This Row],[Batch by Type (p)]],SelectedPrecincts[Batch Name], 0)))</f>
        <v/>
      </c>
      <c r="X554" s="102">
        <f>IF(COUNTIF(SelectedPrecincts[Batch Name],SamplingData[[#This Row],[Batch by Type (p)]]) &lt;&gt; 0, COUNTIF(SelectedPrecincts[Batch Name],SamplingData[[#This Row],[Batch by Type (p)]]), 0)</f>
        <v>0</v>
      </c>
    </row>
    <row r="555" spans="1:24" ht="15" customHeight="1">
      <c r="A555" s="18" t="s">
        <v>731</v>
      </c>
      <c r="B555" s="18">
        <v>0</v>
      </c>
      <c r="C555" s="18">
        <v>1</v>
      </c>
      <c r="D555" s="16">
        <v>0</v>
      </c>
      <c r="E555" s="16">
        <v>0</v>
      </c>
      <c r="F555" s="37">
        <v>0</v>
      </c>
      <c r="G555" s="37">
        <v>0</v>
      </c>
      <c r="H555" s="17">
        <v>0</v>
      </c>
      <c r="I555" s="17">
        <v>0</v>
      </c>
      <c r="J555" s="99">
        <f>SUM(SamplingData[[#This Row],[Losing Candidate]:[Under Votes]])</f>
        <v>1</v>
      </c>
      <c r="K555"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55" s="100">
        <f>IF(AND(SamplingData[[#This Row],[Total]]&lt;&gt; 0, NOT(ISBLANK(SamplingData[[#This Row],[Candidate 3]]))),(SamplingData[[#This Row],[Total]]+SamplingData[[#This Row],[Winning Candidate]]-SamplingData[[#This Row],[Candidate 3]])/(SamplingData[[#Totals],[Winning Candidate]]-SamplingData[[#Totals],[Candidate 3]]), 0)</f>
        <v>6.4522373132883833E-5</v>
      </c>
      <c r="M555" s="100">
        <f>IF(AND(SamplingData[[#This Row],[Total]]&lt;&gt; 0, NOT(ISBLANK(SamplingData[[#This Row],[Candidate 4]]))),(SamplingData[[#This Row],[Total]]+SamplingData[[#This Row],[Winning Candidate]]-SamplingData[[#This Row],[Candidate 4]])/(SamplingData[[#Totals],[Winning Candidate]]-SamplingData[[#Totals],[Candidate 4]]), 0)</f>
        <v>5.846414686193692E-5</v>
      </c>
      <c r="N555" s="100">
        <f>IF(AND(SamplingData[[#This Row],[Total]]&lt;&gt; 0, NOT(ISBLANK(SamplingData[[#This Row],[Candidate 5]]))),(SamplingData[[#This Row],[Total]]+SamplingData[[#This Row],[Winning Candidate]]-SamplingData[[#This Row],[Candidate 5]])/(SamplingData[[#Totals],[Winning Candidate]]-SamplingData[[#Totals],[Candidate 5]]), 0)</f>
        <v>4.8649963512527367E-5</v>
      </c>
      <c r="O555" s="100">
        <f>IF(AND(SamplingData[[#This Row],[Total]]&lt;&gt; 0, NOT(ISBLANK(SamplingData[[#This Row],[Candidate 6]]))),(SamplingData[[#This Row],[Total]]+SamplingData[[#This Row],[Winning Candidate]]-SamplingData[[#This Row],[Candidate 6]])/(SamplingData[[#Totals],[Winning Candidate]]-SamplingData[[#Totals],[Candidate 6]]), 0)</f>
        <v>4.8635766742862701E-5</v>
      </c>
      <c r="P555" s="100">
        <f>MAX(SamplingData[[#This Row],[Error Bound (up) - Max. possible relative overstatement - Losing Candidate]:[Error Bound (up) - Max. possible relative overstatement - Candidate 6]])</f>
        <v>1.224889759921607E-4</v>
      </c>
      <c r="Q555" s="100">
        <f>IF(SamplingData[[#This Row],[Max Error Bound (up)]] = 0,0,SamplingData[[#This Row],[Max Error Bound (up)]]/SamplingData[[#Totals],[Max Error Bound (up)]])</f>
        <v>1.9385896556891663E-5</v>
      </c>
      <c r="R555" s="101">
        <f>SUM($Q$5:Q555)</f>
        <v>0.18487321493679632</v>
      </c>
      <c r="S555" s="100" t="str">
        <f t="array" ref="S555">IF(SamplingData[[#This Row],[up/U Selection Probability]] = 0, "Zero", TEXT(SamplingData[[#This Row],[Lower Range]], REPT("0",LEN('General Info'!$B$40))) &amp; " - " &amp; TEXT(SamplingData[[#This Row],[Upper Range]], REPT("0",LEN('General Info'!$B$40))))</f>
        <v>18485 - 18486</v>
      </c>
      <c r="T555" s="100">
        <f>SamplingData[[#This Row],[Upper Range]]-SamplingData[[#This Row],[Span]]</f>
        <v>18485.382923409841</v>
      </c>
      <c r="U555" s="100">
        <f>IF(ISNUMBER('General Info'!$B$40), ((SamplingData[[#This Row],[up/U Selection Probability]]) * 'General Info'!$B$40) - 1, 0)</f>
        <v>0.93857026979260949</v>
      </c>
      <c r="V555" s="100">
        <f>IF(ISNUMBER('General Info'!$B$40), (SamplingData[[#This Row],[Running (cumulative) sum]] * ('General Info'!$B$40 -'General Info'!$B$41 + 1)) + 'General Info'!$B$41 - 1, 0)</f>
        <v>18486.321493679632</v>
      </c>
      <c r="W555" s="100" t="str">
        <f>IF(ISERROR(MATCH(SamplingData[[#This Row],[Batch by Type (p)]],SelectedPrecincts[Batch Name], 0)), "", INDEX(SelectedPrecincts[Draw], MATCH(SamplingData[[#This Row],[Batch by Type (p)]],SelectedPrecincts[Batch Name], 0)))</f>
        <v/>
      </c>
      <c r="X555" s="102">
        <f>IF(COUNTIF(SelectedPrecincts[Batch Name],SamplingData[[#This Row],[Batch by Type (p)]]) &lt;&gt; 0, COUNTIF(SelectedPrecincts[Batch Name],SamplingData[[#This Row],[Batch by Type (p)]]), 0)</f>
        <v>0</v>
      </c>
    </row>
    <row r="556" spans="1:24" ht="15" customHeight="1">
      <c r="A556" s="18" t="s">
        <v>732</v>
      </c>
      <c r="B556" s="18">
        <v>0</v>
      </c>
      <c r="C556" s="18">
        <v>0</v>
      </c>
      <c r="D556" s="18">
        <v>0</v>
      </c>
      <c r="E556" s="18">
        <v>0</v>
      </c>
      <c r="F556" s="18">
        <v>0</v>
      </c>
      <c r="G556" s="18">
        <v>0</v>
      </c>
      <c r="H556" s="18">
        <v>0</v>
      </c>
      <c r="I556" s="18">
        <v>0</v>
      </c>
      <c r="J556" s="99">
        <f>SUM(SamplingData[[#This Row],[Losing Candidate]:[Under Votes]])</f>
        <v>0</v>
      </c>
      <c r="K556" s="100">
        <f>IF(AND(SamplingData[[#This Row],[Total]]&lt;&gt; 0, NOT(ISBLANK(SamplingData[[#This Row],[Losing Candidate]]))),(SamplingData[[#This Row],[Total]]+SamplingData[[#This Row],[Winning Candidate]]-SamplingData[[#This Row],[Losing Candidate]])/(SamplingData[[#Totals],[Winning Candidate]]-SamplingData[[#Totals],[Losing Candidate]]), 0)</f>
        <v>0</v>
      </c>
      <c r="L556" s="100">
        <f>IF(AND(SamplingData[[#This Row],[Total]]&lt;&gt; 0, NOT(ISBLANK(SamplingData[[#This Row],[Candidate 3]]))),(SamplingData[[#This Row],[Total]]+SamplingData[[#This Row],[Winning Candidate]]-SamplingData[[#This Row],[Candidate 3]])/(SamplingData[[#Totals],[Winning Candidate]]-SamplingData[[#Totals],[Candidate 3]]), 0)</f>
        <v>0</v>
      </c>
      <c r="M556" s="100">
        <f>IF(AND(SamplingData[[#This Row],[Total]]&lt;&gt; 0, NOT(ISBLANK(SamplingData[[#This Row],[Candidate 4]]))),(SamplingData[[#This Row],[Total]]+SamplingData[[#This Row],[Winning Candidate]]-SamplingData[[#This Row],[Candidate 4]])/(SamplingData[[#Totals],[Winning Candidate]]-SamplingData[[#Totals],[Candidate 4]]), 0)</f>
        <v>0</v>
      </c>
      <c r="N556" s="100">
        <f>IF(AND(SamplingData[[#This Row],[Total]]&lt;&gt; 0, NOT(ISBLANK(SamplingData[[#This Row],[Candidate 5]]))),(SamplingData[[#This Row],[Total]]+SamplingData[[#This Row],[Winning Candidate]]-SamplingData[[#This Row],[Candidate 5]])/(SamplingData[[#Totals],[Winning Candidate]]-SamplingData[[#Totals],[Candidate 5]]), 0)</f>
        <v>0</v>
      </c>
      <c r="O556" s="100">
        <f>IF(AND(SamplingData[[#This Row],[Total]]&lt;&gt; 0, NOT(ISBLANK(SamplingData[[#This Row],[Candidate 6]]))),(SamplingData[[#This Row],[Total]]+SamplingData[[#This Row],[Winning Candidate]]-SamplingData[[#This Row],[Candidate 6]])/(SamplingData[[#Totals],[Winning Candidate]]-SamplingData[[#Totals],[Candidate 6]]), 0)</f>
        <v>0</v>
      </c>
      <c r="P556" s="100">
        <f>MAX(SamplingData[[#This Row],[Error Bound (up) - Max. possible relative overstatement - Losing Candidate]:[Error Bound (up) - Max. possible relative overstatement - Candidate 6]])</f>
        <v>0</v>
      </c>
      <c r="Q556" s="100">
        <f>IF(SamplingData[[#This Row],[Max Error Bound (up)]] = 0,0,SamplingData[[#This Row],[Max Error Bound (up)]]/SamplingData[[#Totals],[Max Error Bound (up)]])</f>
        <v>0</v>
      </c>
      <c r="R556" s="101">
        <f>SUM($Q$5:Q556)</f>
        <v>0.18487321493679632</v>
      </c>
      <c r="S556" s="100" t="str">
        <f t="array" ref="S556">IF(SamplingData[[#This Row],[up/U Selection Probability]] = 0, "Zero", TEXT(SamplingData[[#This Row],[Lower Range]], REPT("0",LEN('General Info'!$B$40))) &amp; " - " &amp; TEXT(SamplingData[[#This Row],[Upper Range]], REPT("0",LEN('General Info'!$B$40))))</f>
        <v>Zero</v>
      </c>
      <c r="T556" s="100">
        <f>SamplingData[[#This Row],[Upper Range]]-SamplingData[[#This Row],[Span]]</f>
        <v>18487.321493679632</v>
      </c>
      <c r="U556" s="100">
        <f>IF(ISNUMBER('General Info'!$B$40), ((SamplingData[[#This Row],[up/U Selection Probability]]) * 'General Info'!$B$40) - 1, 0)</f>
        <v>-1</v>
      </c>
      <c r="V556" s="100">
        <f>IF(ISNUMBER('General Info'!$B$40), (SamplingData[[#This Row],[Running (cumulative) sum]] * ('General Info'!$B$40 -'General Info'!$B$41 + 1)) + 'General Info'!$B$41 - 1, 0)</f>
        <v>18486.321493679632</v>
      </c>
      <c r="W556" s="100" t="str">
        <f>IF(ISERROR(MATCH(SamplingData[[#This Row],[Batch by Type (p)]],SelectedPrecincts[Batch Name], 0)), "", INDEX(SelectedPrecincts[Draw], MATCH(SamplingData[[#This Row],[Batch by Type (p)]],SelectedPrecincts[Batch Name], 0)))</f>
        <v/>
      </c>
      <c r="X556" s="102">
        <f>IF(COUNTIF(SelectedPrecincts[Batch Name],SamplingData[[#This Row],[Batch by Type (p)]]) &lt;&gt; 0, COUNTIF(SelectedPrecincts[Batch Name],SamplingData[[#This Row],[Batch by Type (p)]]), 0)</f>
        <v>0</v>
      </c>
    </row>
    <row r="557" spans="1:24" ht="15" customHeight="1">
      <c r="A557" s="18" t="s">
        <v>733</v>
      </c>
      <c r="B557" s="18">
        <v>0</v>
      </c>
      <c r="C557" s="18">
        <v>0</v>
      </c>
      <c r="D557" s="16">
        <v>0</v>
      </c>
      <c r="E557" s="16">
        <v>0</v>
      </c>
      <c r="F557" s="37">
        <v>0</v>
      </c>
      <c r="G557" s="37">
        <v>0</v>
      </c>
      <c r="H557" s="17">
        <v>0</v>
      </c>
      <c r="I557" s="17">
        <v>0</v>
      </c>
      <c r="J557" s="99">
        <f>SUM(SamplingData[[#This Row],[Losing Candidate]:[Under Votes]])</f>
        <v>0</v>
      </c>
      <c r="K557" s="100">
        <f>IF(AND(SamplingData[[#This Row],[Total]]&lt;&gt; 0, NOT(ISBLANK(SamplingData[[#This Row],[Losing Candidate]]))),(SamplingData[[#This Row],[Total]]+SamplingData[[#This Row],[Winning Candidate]]-SamplingData[[#This Row],[Losing Candidate]])/(SamplingData[[#Totals],[Winning Candidate]]-SamplingData[[#Totals],[Losing Candidate]]), 0)</f>
        <v>0</v>
      </c>
      <c r="L557" s="100">
        <f>IF(AND(SamplingData[[#This Row],[Total]]&lt;&gt; 0, NOT(ISBLANK(SamplingData[[#This Row],[Candidate 3]]))),(SamplingData[[#This Row],[Total]]+SamplingData[[#This Row],[Winning Candidate]]-SamplingData[[#This Row],[Candidate 3]])/(SamplingData[[#Totals],[Winning Candidate]]-SamplingData[[#Totals],[Candidate 3]]), 0)</f>
        <v>0</v>
      </c>
      <c r="M557" s="100">
        <f>IF(AND(SamplingData[[#This Row],[Total]]&lt;&gt; 0, NOT(ISBLANK(SamplingData[[#This Row],[Candidate 4]]))),(SamplingData[[#This Row],[Total]]+SamplingData[[#This Row],[Winning Candidate]]-SamplingData[[#This Row],[Candidate 4]])/(SamplingData[[#Totals],[Winning Candidate]]-SamplingData[[#Totals],[Candidate 4]]), 0)</f>
        <v>0</v>
      </c>
      <c r="N557" s="100">
        <f>IF(AND(SamplingData[[#This Row],[Total]]&lt;&gt; 0, NOT(ISBLANK(SamplingData[[#This Row],[Candidate 5]]))),(SamplingData[[#This Row],[Total]]+SamplingData[[#This Row],[Winning Candidate]]-SamplingData[[#This Row],[Candidate 5]])/(SamplingData[[#Totals],[Winning Candidate]]-SamplingData[[#Totals],[Candidate 5]]), 0)</f>
        <v>0</v>
      </c>
      <c r="O557" s="100">
        <f>IF(AND(SamplingData[[#This Row],[Total]]&lt;&gt; 0, NOT(ISBLANK(SamplingData[[#This Row],[Candidate 6]]))),(SamplingData[[#This Row],[Total]]+SamplingData[[#This Row],[Winning Candidate]]-SamplingData[[#This Row],[Candidate 6]])/(SamplingData[[#Totals],[Winning Candidate]]-SamplingData[[#Totals],[Candidate 6]]), 0)</f>
        <v>0</v>
      </c>
      <c r="P557" s="100">
        <f>MAX(SamplingData[[#This Row],[Error Bound (up) - Max. possible relative overstatement - Losing Candidate]:[Error Bound (up) - Max. possible relative overstatement - Candidate 6]])</f>
        <v>0</v>
      </c>
      <c r="Q557" s="100">
        <f>IF(SamplingData[[#This Row],[Max Error Bound (up)]] = 0,0,SamplingData[[#This Row],[Max Error Bound (up)]]/SamplingData[[#Totals],[Max Error Bound (up)]])</f>
        <v>0</v>
      </c>
      <c r="R557" s="101">
        <f>SUM($Q$5:Q557)</f>
        <v>0.18487321493679632</v>
      </c>
      <c r="S557" s="100" t="str">
        <f t="array" ref="S557">IF(SamplingData[[#This Row],[up/U Selection Probability]] = 0, "Zero", TEXT(SamplingData[[#This Row],[Lower Range]], REPT("0",LEN('General Info'!$B$40))) &amp; " - " &amp; TEXT(SamplingData[[#This Row],[Upper Range]], REPT("0",LEN('General Info'!$B$40))))</f>
        <v>Zero</v>
      </c>
      <c r="T557" s="100">
        <f>SamplingData[[#This Row],[Upper Range]]-SamplingData[[#This Row],[Span]]</f>
        <v>18487.321493679632</v>
      </c>
      <c r="U557" s="100">
        <f>IF(ISNUMBER('General Info'!$B$40), ((SamplingData[[#This Row],[up/U Selection Probability]]) * 'General Info'!$B$40) - 1, 0)</f>
        <v>-1</v>
      </c>
      <c r="V557" s="100">
        <f>IF(ISNUMBER('General Info'!$B$40), (SamplingData[[#This Row],[Running (cumulative) sum]] * ('General Info'!$B$40 -'General Info'!$B$41 + 1)) + 'General Info'!$B$41 - 1, 0)</f>
        <v>18486.321493679632</v>
      </c>
      <c r="W557" s="100" t="str">
        <f>IF(ISERROR(MATCH(SamplingData[[#This Row],[Batch by Type (p)]],SelectedPrecincts[Batch Name], 0)), "", INDEX(SelectedPrecincts[Draw], MATCH(SamplingData[[#This Row],[Batch by Type (p)]],SelectedPrecincts[Batch Name], 0)))</f>
        <v/>
      </c>
      <c r="X557" s="102">
        <f>IF(COUNTIF(SelectedPrecincts[Batch Name],SamplingData[[#This Row],[Batch by Type (p)]]) &lt;&gt; 0, COUNTIF(SelectedPrecincts[Batch Name],SamplingData[[#This Row],[Batch by Type (p)]]), 0)</f>
        <v>0</v>
      </c>
    </row>
    <row r="558" spans="1:24" ht="15" customHeight="1">
      <c r="A558" s="18" t="s">
        <v>734</v>
      </c>
      <c r="B558" s="18">
        <v>1</v>
      </c>
      <c r="C558" s="18">
        <v>0</v>
      </c>
      <c r="D558" s="18">
        <v>0</v>
      </c>
      <c r="E558" s="18">
        <v>0</v>
      </c>
      <c r="F558" s="18">
        <v>0</v>
      </c>
      <c r="G558" s="18">
        <v>0</v>
      </c>
      <c r="H558" s="18">
        <v>0</v>
      </c>
      <c r="I558" s="18">
        <v>0</v>
      </c>
      <c r="J558" s="99">
        <f>SUM(SamplingData[[#This Row],[Losing Candidate]:[Under Votes]])</f>
        <v>1</v>
      </c>
      <c r="K558" s="100">
        <f>IF(AND(SamplingData[[#This Row],[Total]]&lt;&gt; 0, NOT(ISBLANK(SamplingData[[#This Row],[Losing Candidate]]))),(SamplingData[[#This Row],[Total]]+SamplingData[[#This Row],[Winning Candidate]]-SamplingData[[#This Row],[Losing Candidate]])/(SamplingData[[#Totals],[Winning Candidate]]-SamplingData[[#Totals],[Losing Candidate]]), 0)</f>
        <v>0</v>
      </c>
      <c r="L558" s="100">
        <f>IF(AND(SamplingData[[#This Row],[Total]]&lt;&gt; 0, NOT(ISBLANK(SamplingData[[#This Row],[Candidate 3]]))),(SamplingData[[#This Row],[Total]]+SamplingData[[#This Row],[Winning Candidate]]-SamplingData[[#This Row],[Candidate 3]])/(SamplingData[[#Totals],[Winning Candidate]]-SamplingData[[#Totals],[Candidate 3]]), 0)</f>
        <v>3.2261186566441917E-5</v>
      </c>
      <c r="M558" s="100">
        <f>IF(AND(SamplingData[[#This Row],[Total]]&lt;&gt; 0, NOT(ISBLANK(SamplingData[[#This Row],[Candidate 4]]))),(SamplingData[[#This Row],[Total]]+SamplingData[[#This Row],[Winning Candidate]]-SamplingData[[#This Row],[Candidate 4]])/(SamplingData[[#Totals],[Winning Candidate]]-SamplingData[[#Totals],[Candidate 4]]), 0)</f>
        <v>2.923207343096846E-5</v>
      </c>
      <c r="N558" s="100">
        <f>IF(AND(SamplingData[[#This Row],[Total]]&lt;&gt; 0, NOT(ISBLANK(SamplingData[[#This Row],[Candidate 5]]))),(SamplingData[[#This Row],[Total]]+SamplingData[[#This Row],[Winning Candidate]]-SamplingData[[#This Row],[Candidate 5]])/(SamplingData[[#Totals],[Winning Candidate]]-SamplingData[[#Totals],[Candidate 5]]), 0)</f>
        <v>2.4324981756263683E-5</v>
      </c>
      <c r="O558" s="100">
        <f>IF(AND(SamplingData[[#This Row],[Total]]&lt;&gt; 0, NOT(ISBLANK(SamplingData[[#This Row],[Candidate 6]]))),(SamplingData[[#This Row],[Total]]+SamplingData[[#This Row],[Winning Candidate]]-SamplingData[[#This Row],[Candidate 6]])/(SamplingData[[#Totals],[Winning Candidate]]-SamplingData[[#Totals],[Candidate 6]]), 0)</f>
        <v>2.431788337143135E-5</v>
      </c>
      <c r="P558" s="100">
        <f>MAX(SamplingData[[#This Row],[Error Bound (up) - Max. possible relative overstatement - Losing Candidate]:[Error Bound (up) - Max. possible relative overstatement - Candidate 6]])</f>
        <v>3.2261186566441917E-5</v>
      </c>
      <c r="Q558" s="100">
        <f>IF(SamplingData[[#This Row],[Max Error Bound (up)]] = 0,0,SamplingData[[#This Row],[Max Error Bound (up)]]/SamplingData[[#Totals],[Max Error Bound (up)]])</f>
        <v>5.1058637768320663E-6</v>
      </c>
      <c r="R558" s="101">
        <f>SUM($Q$5:Q558)</f>
        <v>0.18487832080057315</v>
      </c>
      <c r="S558" s="100" t="str">
        <f t="array" ref="S558">IF(SamplingData[[#This Row],[up/U Selection Probability]] = 0, "Zero", TEXT(SamplingData[[#This Row],[Lower Range]], REPT("0",LEN('General Info'!$B$40))) &amp; " - " &amp; TEXT(SamplingData[[#This Row],[Upper Range]], REPT("0",LEN('General Info'!$B$40))))</f>
        <v>18487 - 18487</v>
      </c>
      <c r="T558" s="100">
        <f>SamplingData[[#This Row],[Upper Range]]-SamplingData[[#This Row],[Span]]</f>
        <v>18487.321498785495</v>
      </c>
      <c r="U558" s="100">
        <f>IF(ISNUMBER('General Info'!$B$40), ((SamplingData[[#This Row],[up/U Selection Probability]]) * 'General Info'!$B$40) - 1, 0)</f>
        <v>-0.4894187281805702</v>
      </c>
      <c r="V558" s="100">
        <f>IF(ISNUMBER('General Info'!$B$40), (SamplingData[[#This Row],[Running (cumulative) sum]] * ('General Info'!$B$40 -'General Info'!$B$41 + 1)) + 'General Info'!$B$41 - 1, 0)</f>
        <v>18486.832080057316</v>
      </c>
      <c r="W558" s="100" t="str">
        <f>IF(ISERROR(MATCH(SamplingData[[#This Row],[Batch by Type (p)]],SelectedPrecincts[Batch Name], 0)), "", INDEX(SelectedPrecincts[Draw], MATCH(SamplingData[[#This Row],[Batch by Type (p)]],SelectedPrecincts[Batch Name], 0)))</f>
        <v/>
      </c>
      <c r="X558" s="102">
        <f>IF(COUNTIF(SelectedPrecincts[Batch Name],SamplingData[[#This Row],[Batch by Type (p)]]) &lt;&gt; 0, COUNTIF(SelectedPrecincts[Batch Name],SamplingData[[#This Row],[Batch by Type (p)]]), 0)</f>
        <v>0</v>
      </c>
    </row>
    <row r="559" spans="1:24" ht="15" customHeight="1">
      <c r="A559" s="18" t="s">
        <v>735</v>
      </c>
      <c r="B559" s="18">
        <v>1</v>
      </c>
      <c r="C559" s="18">
        <v>0</v>
      </c>
      <c r="D559" s="16">
        <v>0</v>
      </c>
      <c r="E559" s="16">
        <v>0</v>
      </c>
      <c r="F559" s="37">
        <v>0</v>
      </c>
      <c r="G559" s="37">
        <v>1</v>
      </c>
      <c r="H559" s="17">
        <v>0</v>
      </c>
      <c r="I559" s="17">
        <v>0</v>
      </c>
      <c r="J559" s="99">
        <f>SUM(SamplingData[[#This Row],[Losing Candidate]:[Under Votes]])</f>
        <v>2</v>
      </c>
      <c r="K559"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59" s="100">
        <f>IF(AND(SamplingData[[#This Row],[Total]]&lt;&gt; 0, NOT(ISBLANK(SamplingData[[#This Row],[Candidate 3]]))),(SamplingData[[#This Row],[Total]]+SamplingData[[#This Row],[Winning Candidate]]-SamplingData[[#This Row],[Candidate 3]])/(SamplingData[[#Totals],[Winning Candidate]]-SamplingData[[#Totals],[Candidate 3]]), 0)</f>
        <v>6.4522373132883833E-5</v>
      </c>
      <c r="M559" s="100">
        <f>IF(AND(SamplingData[[#This Row],[Total]]&lt;&gt; 0, NOT(ISBLANK(SamplingData[[#This Row],[Candidate 4]]))),(SamplingData[[#This Row],[Total]]+SamplingData[[#This Row],[Winning Candidate]]-SamplingData[[#This Row],[Candidate 4]])/(SamplingData[[#Totals],[Winning Candidate]]-SamplingData[[#Totals],[Candidate 4]]), 0)</f>
        <v>5.846414686193692E-5</v>
      </c>
      <c r="N559" s="100">
        <f>IF(AND(SamplingData[[#This Row],[Total]]&lt;&gt; 0, NOT(ISBLANK(SamplingData[[#This Row],[Candidate 5]]))),(SamplingData[[#This Row],[Total]]+SamplingData[[#This Row],[Winning Candidate]]-SamplingData[[#This Row],[Candidate 5]])/(SamplingData[[#Totals],[Winning Candidate]]-SamplingData[[#Totals],[Candidate 5]]), 0)</f>
        <v>4.8649963512527367E-5</v>
      </c>
      <c r="O559" s="100">
        <f>IF(AND(SamplingData[[#This Row],[Total]]&lt;&gt; 0, NOT(ISBLANK(SamplingData[[#This Row],[Candidate 6]]))),(SamplingData[[#This Row],[Total]]+SamplingData[[#This Row],[Winning Candidate]]-SamplingData[[#This Row],[Candidate 6]])/(SamplingData[[#Totals],[Winning Candidate]]-SamplingData[[#Totals],[Candidate 6]]), 0)</f>
        <v>2.431788337143135E-5</v>
      </c>
      <c r="P559" s="100">
        <f>MAX(SamplingData[[#This Row],[Error Bound (up) - Max. possible relative overstatement - Losing Candidate]:[Error Bound (up) - Max. possible relative overstatement - Candidate 6]])</f>
        <v>6.4522373132883833E-5</v>
      </c>
      <c r="Q559" s="100">
        <f>IF(SamplingData[[#This Row],[Max Error Bound (up)]] = 0,0,SamplingData[[#This Row],[Max Error Bound (up)]]/SamplingData[[#Totals],[Max Error Bound (up)]])</f>
        <v>1.0211727553664133E-5</v>
      </c>
      <c r="R559" s="101">
        <f>SUM($Q$5:Q559)</f>
        <v>0.18488853252812681</v>
      </c>
      <c r="S559" s="100" t="str">
        <f t="array" ref="S559">IF(SamplingData[[#This Row],[up/U Selection Probability]] = 0, "Zero", TEXT(SamplingData[[#This Row],[Lower Range]], REPT("0",LEN('General Info'!$B$40))) &amp; " - " &amp; TEXT(SamplingData[[#This Row],[Upper Range]], REPT("0",LEN('General Info'!$B$40))))</f>
        <v>18488 - 18488</v>
      </c>
      <c r="T559" s="100">
        <f>SamplingData[[#This Row],[Upper Range]]-SamplingData[[#This Row],[Span]]</f>
        <v>18487.832090269043</v>
      </c>
      <c r="U559" s="100">
        <f>IF(ISNUMBER('General Info'!$B$40), ((SamplingData[[#This Row],[up/U Selection Probability]]) * 'General Info'!$B$40) - 1, 0)</f>
        <v>2.116254363885961E-2</v>
      </c>
      <c r="V559" s="100">
        <f>IF(ISNUMBER('General Info'!$B$40), (SamplingData[[#This Row],[Running (cumulative) sum]] * ('General Info'!$B$40 -'General Info'!$B$41 + 1)) + 'General Info'!$B$41 - 1, 0)</f>
        <v>18487.853252812682</v>
      </c>
      <c r="W559" s="100" t="str">
        <f>IF(ISERROR(MATCH(SamplingData[[#This Row],[Batch by Type (p)]],SelectedPrecincts[Batch Name], 0)), "", INDEX(SelectedPrecincts[Draw], MATCH(SamplingData[[#This Row],[Batch by Type (p)]],SelectedPrecincts[Batch Name], 0)))</f>
        <v/>
      </c>
      <c r="X559" s="102">
        <f>IF(COUNTIF(SelectedPrecincts[Batch Name],SamplingData[[#This Row],[Batch by Type (p)]]) &lt;&gt; 0, COUNTIF(SelectedPrecincts[Batch Name],SamplingData[[#This Row],[Batch by Type (p)]]), 0)</f>
        <v>0</v>
      </c>
    </row>
    <row r="560" spans="1:24" ht="15" customHeight="1">
      <c r="A560" s="18" t="s">
        <v>736</v>
      </c>
      <c r="B560" s="18">
        <v>0</v>
      </c>
      <c r="C560" s="18">
        <v>1</v>
      </c>
      <c r="D560" s="18">
        <v>0</v>
      </c>
      <c r="E560" s="18">
        <v>0</v>
      </c>
      <c r="F560" s="18">
        <v>0</v>
      </c>
      <c r="G560" s="18">
        <v>0</v>
      </c>
      <c r="H560" s="18">
        <v>0</v>
      </c>
      <c r="I560" s="18">
        <v>0</v>
      </c>
      <c r="J560" s="99">
        <f>SUM(SamplingData[[#This Row],[Losing Candidate]:[Under Votes]])</f>
        <v>1</v>
      </c>
      <c r="K56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60" s="100">
        <f>IF(AND(SamplingData[[#This Row],[Total]]&lt;&gt; 0, NOT(ISBLANK(SamplingData[[#This Row],[Candidate 3]]))),(SamplingData[[#This Row],[Total]]+SamplingData[[#This Row],[Winning Candidate]]-SamplingData[[#This Row],[Candidate 3]])/(SamplingData[[#Totals],[Winning Candidate]]-SamplingData[[#Totals],[Candidate 3]]), 0)</f>
        <v>6.4522373132883833E-5</v>
      </c>
      <c r="M560" s="100">
        <f>IF(AND(SamplingData[[#This Row],[Total]]&lt;&gt; 0, NOT(ISBLANK(SamplingData[[#This Row],[Candidate 4]]))),(SamplingData[[#This Row],[Total]]+SamplingData[[#This Row],[Winning Candidate]]-SamplingData[[#This Row],[Candidate 4]])/(SamplingData[[#Totals],[Winning Candidate]]-SamplingData[[#Totals],[Candidate 4]]), 0)</f>
        <v>5.846414686193692E-5</v>
      </c>
      <c r="N560" s="100">
        <f>IF(AND(SamplingData[[#This Row],[Total]]&lt;&gt; 0, NOT(ISBLANK(SamplingData[[#This Row],[Candidate 5]]))),(SamplingData[[#This Row],[Total]]+SamplingData[[#This Row],[Winning Candidate]]-SamplingData[[#This Row],[Candidate 5]])/(SamplingData[[#Totals],[Winning Candidate]]-SamplingData[[#Totals],[Candidate 5]]), 0)</f>
        <v>4.8649963512527367E-5</v>
      </c>
      <c r="O560" s="100">
        <f>IF(AND(SamplingData[[#This Row],[Total]]&lt;&gt; 0, NOT(ISBLANK(SamplingData[[#This Row],[Candidate 6]]))),(SamplingData[[#This Row],[Total]]+SamplingData[[#This Row],[Winning Candidate]]-SamplingData[[#This Row],[Candidate 6]])/(SamplingData[[#Totals],[Winning Candidate]]-SamplingData[[#Totals],[Candidate 6]]), 0)</f>
        <v>4.8635766742862701E-5</v>
      </c>
      <c r="P560" s="100">
        <f>MAX(SamplingData[[#This Row],[Error Bound (up) - Max. possible relative overstatement - Losing Candidate]:[Error Bound (up) - Max. possible relative overstatement - Candidate 6]])</f>
        <v>1.224889759921607E-4</v>
      </c>
      <c r="Q560" s="100">
        <f>IF(SamplingData[[#This Row],[Max Error Bound (up)]] = 0,0,SamplingData[[#This Row],[Max Error Bound (up)]]/SamplingData[[#Totals],[Max Error Bound (up)]])</f>
        <v>1.9385896556891663E-5</v>
      </c>
      <c r="R560" s="101">
        <f>SUM($Q$5:Q560)</f>
        <v>0.18490791842468371</v>
      </c>
      <c r="S560" s="100" t="str">
        <f t="array" ref="S560">IF(SamplingData[[#This Row],[up/U Selection Probability]] = 0, "Zero", TEXT(SamplingData[[#This Row],[Lower Range]], REPT("0",LEN('General Info'!$B$40))) &amp; " - " &amp; TEXT(SamplingData[[#This Row],[Upper Range]], REPT("0",LEN('General Info'!$B$40))))</f>
        <v>18489 - 18490</v>
      </c>
      <c r="T560" s="100">
        <f>SamplingData[[#This Row],[Upper Range]]-SamplingData[[#This Row],[Span]]</f>
        <v>18488.853272198579</v>
      </c>
      <c r="U560" s="100">
        <f>IF(ISNUMBER('General Info'!$B$40), ((SamplingData[[#This Row],[up/U Selection Probability]]) * 'General Info'!$B$40) - 1, 0)</f>
        <v>0.93857026979260949</v>
      </c>
      <c r="V560" s="100">
        <f>IF(ISNUMBER('General Info'!$B$40), (SamplingData[[#This Row],[Running (cumulative) sum]] * ('General Info'!$B$40 -'General Info'!$B$41 + 1)) + 'General Info'!$B$41 - 1, 0)</f>
        <v>18489.79184246837</v>
      </c>
      <c r="W560" s="100" t="str">
        <f>IF(ISERROR(MATCH(SamplingData[[#This Row],[Batch by Type (p)]],SelectedPrecincts[Batch Name], 0)), "", INDEX(SelectedPrecincts[Draw], MATCH(SamplingData[[#This Row],[Batch by Type (p)]],SelectedPrecincts[Batch Name], 0)))</f>
        <v/>
      </c>
      <c r="X560" s="102">
        <f>IF(COUNTIF(SelectedPrecincts[Batch Name],SamplingData[[#This Row],[Batch by Type (p)]]) &lt;&gt; 0, COUNTIF(SelectedPrecincts[Batch Name],SamplingData[[#This Row],[Batch by Type (p)]]), 0)</f>
        <v>0</v>
      </c>
    </row>
    <row r="561" spans="1:24" ht="15" customHeight="1">
      <c r="A561" s="18" t="s">
        <v>737</v>
      </c>
      <c r="B561" s="18">
        <v>1</v>
      </c>
      <c r="C561" s="18">
        <v>0</v>
      </c>
      <c r="D561" s="16">
        <v>0</v>
      </c>
      <c r="E561" s="16">
        <v>0</v>
      </c>
      <c r="F561" s="37">
        <v>0</v>
      </c>
      <c r="G561" s="37">
        <v>0</v>
      </c>
      <c r="H561" s="17">
        <v>0</v>
      </c>
      <c r="I561" s="17">
        <v>0</v>
      </c>
      <c r="J561" s="99">
        <f>SUM(SamplingData[[#This Row],[Losing Candidate]:[Under Votes]])</f>
        <v>1</v>
      </c>
      <c r="K561" s="100">
        <f>IF(AND(SamplingData[[#This Row],[Total]]&lt;&gt; 0, NOT(ISBLANK(SamplingData[[#This Row],[Losing Candidate]]))),(SamplingData[[#This Row],[Total]]+SamplingData[[#This Row],[Winning Candidate]]-SamplingData[[#This Row],[Losing Candidate]])/(SamplingData[[#Totals],[Winning Candidate]]-SamplingData[[#Totals],[Losing Candidate]]), 0)</f>
        <v>0</v>
      </c>
      <c r="L561" s="100">
        <f>IF(AND(SamplingData[[#This Row],[Total]]&lt;&gt; 0, NOT(ISBLANK(SamplingData[[#This Row],[Candidate 3]]))),(SamplingData[[#This Row],[Total]]+SamplingData[[#This Row],[Winning Candidate]]-SamplingData[[#This Row],[Candidate 3]])/(SamplingData[[#Totals],[Winning Candidate]]-SamplingData[[#Totals],[Candidate 3]]), 0)</f>
        <v>3.2261186566441917E-5</v>
      </c>
      <c r="M561" s="100">
        <f>IF(AND(SamplingData[[#This Row],[Total]]&lt;&gt; 0, NOT(ISBLANK(SamplingData[[#This Row],[Candidate 4]]))),(SamplingData[[#This Row],[Total]]+SamplingData[[#This Row],[Winning Candidate]]-SamplingData[[#This Row],[Candidate 4]])/(SamplingData[[#Totals],[Winning Candidate]]-SamplingData[[#Totals],[Candidate 4]]), 0)</f>
        <v>2.923207343096846E-5</v>
      </c>
      <c r="N561" s="100">
        <f>IF(AND(SamplingData[[#This Row],[Total]]&lt;&gt; 0, NOT(ISBLANK(SamplingData[[#This Row],[Candidate 5]]))),(SamplingData[[#This Row],[Total]]+SamplingData[[#This Row],[Winning Candidate]]-SamplingData[[#This Row],[Candidate 5]])/(SamplingData[[#Totals],[Winning Candidate]]-SamplingData[[#Totals],[Candidate 5]]), 0)</f>
        <v>2.4324981756263683E-5</v>
      </c>
      <c r="O561" s="100">
        <f>IF(AND(SamplingData[[#This Row],[Total]]&lt;&gt; 0, NOT(ISBLANK(SamplingData[[#This Row],[Candidate 6]]))),(SamplingData[[#This Row],[Total]]+SamplingData[[#This Row],[Winning Candidate]]-SamplingData[[#This Row],[Candidate 6]])/(SamplingData[[#Totals],[Winning Candidate]]-SamplingData[[#Totals],[Candidate 6]]), 0)</f>
        <v>2.431788337143135E-5</v>
      </c>
      <c r="P561" s="100">
        <f>MAX(SamplingData[[#This Row],[Error Bound (up) - Max. possible relative overstatement - Losing Candidate]:[Error Bound (up) - Max. possible relative overstatement - Candidate 6]])</f>
        <v>3.2261186566441917E-5</v>
      </c>
      <c r="Q561" s="100">
        <f>IF(SamplingData[[#This Row],[Max Error Bound (up)]] = 0,0,SamplingData[[#This Row],[Max Error Bound (up)]]/SamplingData[[#Totals],[Max Error Bound (up)]])</f>
        <v>5.1058637768320663E-6</v>
      </c>
      <c r="R561" s="101">
        <f>SUM($Q$5:Q561)</f>
        <v>0.18491302428846054</v>
      </c>
      <c r="S561" s="100" t="str">
        <f t="array" ref="S561">IF(SamplingData[[#This Row],[up/U Selection Probability]] = 0, "Zero", TEXT(SamplingData[[#This Row],[Lower Range]], REPT("0",LEN('General Info'!$B$40))) &amp; " - " &amp; TEXT(SamplingData[[#This Row],[Upper Range]], REPT("0",LEN('General Info'!$B$40))))</f>
        <v>18491 - 18490</v>
      </c>
      <c r="T561" s="100">
        <f>SamplingData[[#This Row],[Upper Range]]-SamplingData[[#This Row],[Span]]</f>
        <v>18490.791847574234</v>
      </c>
      <c r="U561" s="100">
        <f>IF(ISNUMBER('General Info'!$B$40), ((SamplingData[[#This Row],[up/U Selection Probability]]) * 'General Info'!$B$40) - 1, 0)</f>
        <v>-0.4894187281805702</v>
      </c>
      <c r="V561" s="100">
        <f>IF(ISNUMBER('General Info'!$B$40), (SamplingData[[#This Row],[Running (cumulative) sum]] * ('General Info'!$B$40 -'General Info'!$B$41 + 1)) + 'General Info'!$B$41 - 1, 0)</f>
        <v>18490.302428846055</v>
      </c>
      <c r="W561" s="100" t="str">
        <f>IF(ISERROR(MATCH(SamplingData[[#This Row],[Batch by Type (p)]],SelectedPrecincts[Batch Name], 0)), "", INDEX(SelectedPrecincts[Draw], MATCH(SamplingData[[#This Row],[Batch by Type (p)]],SelectedPrecincts[Batch Name], 0)))</f>
        <v/>
      </c>
      <c r="X561" s="102">
        <f>IF(COUNTIF(SelectedPrecincts[Batch Name],SamplingData[[#This Row],[Batch by Type (p)]]) &lt;&gt; 0, COUNTIF(SelectedPrecincts[Batch Name],SamplingData[[#This Row],[Batch by Type (p)]]), 0)</f>
        <v>0</v>
      </c>
    </row>
    <row r="562" spans="1:24" ht="15" customHeight="1">
      <c r="A562" s="18" t="s">
        <v>738</v>
      </c>
      <c r="B562" s="18">
        <v>0</v>
      </c>
      <c r="C562" s="18">
        <v>0</v>
      </c>
      <c r="D562" s="18">
        <v>0</v>
      </c>
      <c r="E562" s="18">
        <v>1</v>
      </c>
      <c r="F562" s="18">
        <v>0</v>
      </c>
      <c r="G562" s="18">
        <v>0</v>
      </c>
      <c r="H562" s="18">
        <v>0</v>
      </c>
      <c r="I562" s="18">
        <v>1</v>
      </c>
      <c r="J562" s="99">
        <f>SUM(SamplingData[[#This Row],[Losing Candidate]:[Under Votes]])</f>
        <v>2</v>
      </c>
      <c r="K56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62" s="100">
        <f>IF(AND(SamplingData[[#This Row],[Total]]&lt;&gt; 0, NOT(ISBLANK(SamplingData[[#This Row],[Candidate 3]]))),(SamplingData[[#This Row],[Total]]+SamplingData[[#This Row],[Winning Candidate]]-SamplingData[[#This Row],[Candidate 3]])/(SamplingData[[#Totals],[Winning Candidate]]-SamplingData[[#Totals],[Candidate 3]]), 0)</f>
        <v>6.4522373132883833E-5</v>
      </c>
      <c r="M562" s="100">
        <f>IF(AND(SamplingData[[#This Row],[Total]]&lt;&gt; 0, NOT(ISBLANK(SamplingData[[#This Row],[Candidate 4]]))),(SamplingData[[#This Row],[Total]]+SamplingData[[#This Row],[Winning Candidate]]-SamplingData[[#This Row],[Candidate 4]])/(SamplingData[[#Totals],[Winning Candidate]]-SamplingData[[#Totals],[Candidate 4]]), 0)</f>
        <v>2.923207343096846E-5</v>
      </c>
      <c r="N562" s="100">
        <f>IF(AND(SamplingData[[#This Row],[Total]]&lt;&gt; 0, NOT(ISBLANK(SamplingData[[#This Row],[Candidate 5]]))),(SamplingData[[#This Row],[Total]]+SamplingData[[#This Row],[Winning Candidate]]-SamplingData[[#This Row],[Candidate 5]])/(SamplingData[[#Totals],[Winning Candidate]]-SamplingData[[#Totals],[Candidate 5]]), 0)</f>
        <v>4.8649963512527367E-5</v>
      </c>
      <c r="O562" s="100">
        <f>IF(AND(SamplingData[[#This Row],[Total]]&lt;&gt; 0, NOT(ISBLANK(SamplingData[[#This Row],[Candidate 6]]))),(SamplingData[[#This Row],[Total]]+SamplingData[[#This Row],[Winning Candidate]]-SamplingData[[#This Row],[Candidate 6]])/(SamplingData[[#Totals],[Winning Candidate]]-SamplingData[[#Totals],[Candidate 6]]), 0)</f>
        <v>4.8635766742862701E-5</v>
      </c>
      <c r="P562" s="100">
        <f>MAX(SamplingData[[#This Row],[Error Bound (up) - Max. possible relative overstatement - Losing Candidate]:[Error Bound (up) - Max. possible relative overstatement - Candidate 6]])</f>
        <v>1.224889759921607E-4</v>
      </c>
      <c r="Q562" s="100">
        <f>IF(SamplingData[[#This Row],[Max Error Bound (up)]] = 0,0,SamplingData[[#This Row],[Max Error Bound (up)]]/SamplingData[[#Totals],[Max Error Bound (up)]])</f>
        <v>1.9385896556891663E-5</v>
      </c>
      <c r="R562" s="101">
        <f>SUM($Q$5:Q562)</f>
        <v>0.18493241018501744</v>
      </c>
      <c r="S562" s="100" t="str">
        <f t="array" ref="S562">IF(SamplingData[[#This Row],[up/U Selection Probability]] = 0, "Zero", TEXT(SamplingData[[#This Row],[Lower Range]], REPT("0",LEN('General Info'!$B$40))) &amp; " - " &amp; TEXT(SamplingData[[#This Row],[Upper Range]], REPT("0",LEN('General Info'!$B$40))))</f>
        <v>18491 - 18492</v>
      </c>
      <c r="T562" s="100">
        <f>SamplingData[[#This Row],[Upper Range]]-SamplingData[[#This Row],[Span]]</f>
        <v>18491.302448231952</v>
      </c>
      <c r="U562" s="100">
        <f>IF(ISNUMBER('General Info'!$B$40), ((SamplingData[[#This Row],[up/U Selection Probability]]) * 'General Info'!$B$40) - 1, 0)</f>
        <v>0.93857026979260949</v>
      </c>
      <c r="V562" s="100">
        <f>IF(ISNUMBER('General Info'!$B$40), (SamplingData[[#This Row],[Running (cumulative) sum]] * ('General Info'!$B$40 -'General Info'!$B$41 + 1)) + 'General Info'!$B$41 - 1, 0)</f>
        <v>18492.241018501743</v>
      </c>
      <c r="W562" s="100" t="str">
        <f>IF(ISERROR(MATCH(SamplingData[[#This Row],[Batch by Type (p)]],SelectedPrecincts[Batch Name], 0)), "", INDEX(SelectedPrecincts[Draw], MATCH(SamplingData[[#This Row],[Batch by Type (p)]],SelectedPrecincts[Batch Name], 0)))</f>
        <v/>
      </c>
      <c r="X562" s="102">
        <f>IF(COUNTIF(SelectedPrecincts[Batch Name],SamplingData[[#This Row],[Batch by Type (p)]]) &lt;&gt; 0, COUNTIF(SelectedPrecincts[Batch Name],SamplingData[[#This Row],[Batch by Type (p)]]), 0)</f>
        <v>0</v>
      </c>
    </row>
    <row r="563" spans="1:24" ht="15" customHeight="1">
      <c r="A563" s="18" t="s">
        <v>739</v>
      </c>
      <c r="B563" s="18">
        <v>0</v>
      </c>
      <c r="C563" s="18">
        <v>0</v>
      </c>
      <c r="D563" s="16">
        <v>0</v>
      </c>
      <c r="E563" s="16">
        <v>0</v>
      </c>
      <c r="F563" s="37">
        <v>0</v>
      </c>
      <c r="G563" s="37">
        <v>0</v>
      </c>
      <c r="H563" s="17">
        <v>0</v>
      </c>
      <c r="I563" s="17">
        <v>0</v>
      </c>
      <c r="J563" s="99">
        <f>SUM(SamplingData[[#This Row],[Losing Candidate]:[Under Votes]])</f>
        <v>0</v>
      </c>
      <c r="K563" s="100">
        <f>IF(AND(SamplingData[[#This Row],[Total]]&lt;&gt; 0, NOT(ISBLANK(SamplingData[[#This Row],[Losing Candidate]]))),(SamplingData[[#This Row],[Total]]+SamplingData[[#This Row],[Winning Candidate]]-SamplingData[[#This Row],[Losing Candidate]])/(SamplingData[[#Totals],[Winning Candidate]]-SamplingData[[#Totals],[Losing Candidate]]), 0)</f>
        <v>0</v>
      </c>
      <c r="L563" s="100">
        <f>IF(AND(SamplingData[[#This Row],[Total]]&lt;&gt; 0, NOT(ISBLANK(SamplingData[[#This Row],[Candidate 3]]))),(SamplingData[[#This Row],[Total]]+SamplingData[[#This Row],[Winning Candidate]]-SamplingData[[#This Row],[Candidate 3]])/(SamplingData[[#Totals],[Winning Candidate]]-SamplingData[[#Totals],[Candidate 3]]), 0)</f>
        <v>0</v>
      </c>
      <c r="M563" s="100">
        <f>IF(AND(SamplingData[[#This Row],[Total]]&lt;&gt; 0, NOT(ISBLANK(SamplingData[[#This Row],[Candidate 4]]))),(SamplingData[[#This Row],[Total]]+SamplingData[[#This Row],[Winning Candidate]]-SamplingData[[#This Row],[Candidate 4]])/(SamplingData[[#Totals],[Winning Candidate]]-SamplingData[[#Totals],[Candidate 4]]), 0)</f>
        <v>0</v>
      </c>
      <c r="N563" s="100">
        <f>IF(AND(SamplingData[[#This Row],[Total]]&lt;&gt; 0, NOT(ISBLANK(SamplingData[[#This Row],[Candidate 5]]))),(SamplingData[[#This Row],[Total]]+SamplingData[[#This Row],[Winning Candidate]]-SamplingData[[#This Row],[Candidate 5]])/(SamplingData[[#Totals],[Winning Candidate]]-SamplingData[[#Totals],[Candidate 5]]), 0)</f>
        <v>0</v>
      </c>
      <c r="O563" s="100">
        <f>IF(AND(SamplingData[[#This Row],[Total]]&lt;&gt; 0, NOT(ISBLANK(SamplingData[[#This Row],[Candidate 6]]))),(SamplingData[[#This Row],[Total]]+SamplingData[[#This Row],[Winning Candidate]]-SamplingData[[#This Row],[Candidate 6]])/(SamplingData[[#Totals],[Winning Candidate]]-SamplingData[[#Totals],[Candidate 6]]), 0)</f>
        <v>0</v>
      </c>
      <c r="P563" s="100">
        <f>MAX(SamplingData[[#This Row],[Error Bound (up) - Max. possible relative overstatement - Losing Candidate]:[Error Bound (up) - Max. possible relative overstatement - Candidate 6]])</f>
        <v>0</v>
      </c>
      <c r="Q563" s="100">
        <f>IF(SamplingData[[#This Row],[Max Error Bound (up)]] = 0,0,SamplingData[[#This Row],[Max Error Bound (up)]]/SamplingData[[#Totals],[Max Error Bound (up)]])</f>
        <v>0</v>
      </c>
      <c r="R563" s="101">
        <f>SUM($Q$5:Q563)</f>
        <v>0.18493241018501744</v>
      </c>
      <c r="S563" s="100" t="str">
        <f t="array" ref="S563">IF(SamplingData[[#This Row],[up/U Selection Probability]] = 0, "Zero", TEXT(SamplingData[[#This Row],[Lower Range]], REPT("0",LEN('General Info'!$B$40))) &amp; " - " &amp; TEXT(SamplingData[[#This Row],[Upper Range]], REPT("0",LEN('General Info'!$B$40))))</f>
        <v>Zero</v>
      </c>
      <c r="T563" s="100">
        <f>SamplingData[[#This Row],[Upper Range]]-SamplingData[[#This Row],[Span]]</f>
        <v>18493.241018501743</v>
      </c>
      <c r="U563" s="100">
        <f>IF(ISNUMBER('General Info'!$B$40), ((SamplingData[[#This Row],[up/U Selection Probability]]) * 'General Info'!$B$40) - 1, 0)</f>
        <v>-1</v>
      </c>
      <c r="V563" s="100">
        <f>IF(ISNUMBER('General Info'!$B$40), (SamplingData[[#This Row],[Running (cumulative) sum]] * ('General Info'!$B$40 -'General Info'!$B$41 + 1)) + 'General Info'!$B$41 - 1, 0)</f>
        <v>18492.241018501743</v>
      </c>
      <c r="W563" s="100" t="str">
        <f>IF(ISERROR(MATCH(SamplingData[[#This Row],[Batch by Type (p)]],SelectedPrecincts[Batch Name], 0)), "", INDEX(SelectedPrecincts[Draw], MATCH(SamplingData[[#This Row],[Batch by Type (p)]],SelectedPrecincts[Batch Name], 0)))</f>
        <v/>
      </c>
      <c r="X563" s="102">
        <f>IF(COUNTIF(SelectedPrecincts[Batch Name],SamplingData[[#This Row],[Batch by Type (p)]]) &lt;&gt; 0, COUNTIF(SelectedPrecincts[Batch Name],SamplingData[[#This Row],[Batch by Type (p)]]), 0)</f>
        <v>0</v>
      </c>
    </row>
    <row r="564" spans="1:24" ht="15" customHeight="1">
      <c r="A564" s="18" t="s">
        <v>740</v>
      </c>
      <c r="B564" s="18">
        <v>0</v>
      </c>
      <c r="C564" s="18">
        <v>0</v>
      </c>
      <c r="D564" s="18">
        <v>0</v>
      </c>
      <c r="E564" s="18">
        <v>0</v>
      </c>
      <c r="F564" s="18">
        <v>0</v>
      </c>
      <c r="G564" s="18">
        <v>0</v>
      </c>
      <c r="H564" s="18">
        <v>0</v>
      </c>
      <c r="I564" s="18">
        <v>0</v>
      </c>
      <c r="J564" s="99">
        <f>SUM(SamplingData[[#This Row],[Losing Candidate]:[Under Votes]])</f>
        <v>0</v>
      </c>
      <c r="K564" s="100">
        <f>IF(AND(SamplingData[[#This Row],[Total]]&lt;&gt; 0, NOT(ISBLANK(SamplingData[[#This Row],[Losing Candidate]]))),(SamplingData[[#This Row],[Total]]+SamplingData[[#This Row],[Winning Candidate]]-SamplingData[[#This Row],[Losing Candidate]])/(SamplingData[[#Totals],[Winning Candidate]]-SamplingData[[#Totals],[Losing Candidate]]), 0)</f>
        <v>0</v>
      </c>
      <c r="L564" s="100">
        <f>IF(AND(SamplingData[[#This Row],[Total]]&lt;&gt; 0, NOT(ISBLANK(SamplingData[[#This Row],[Candidate 3]]))),(SamplingData[[#This Row],[Total]]+SamplingData[[#This Row],[Winning Candidate]]-SamplingData[[#This Row],[Candidate 3]])/(SamplingData[[#Totals],[Winning Candidate]]-SamplingData[[#Totals],[Candidate 3]]), 0)</f>
        <v>0</v>
      </c>
      <c r="M564" s="100">
        <f>IF(AND(SamplingData[[#This Row],[Total]]&lt;&gt; 0, NOT(ISBLANK(SamplingData[[#This Row],[Candidate 4]]))),(SamplingData[[#This Row],[Total]]+SamplingData[[#This Row],[Winning Candidate]]-SamplingData[[#This Row],[Candidate 4]])/(SamplingData[[#Totals],[Winning Candidate]]-SamplingData[[#Totals],[Candidate 4]]), 0)</f>
        <v>0</v>
      </c>
      <c r="N564" s="100">
        <f>IF(AND(SamplingData[[#This Row],[Total]]&lt;&gt; 0, NOT(ISBLANK(SamplingData[[#This Row],[Candidate 5]]))),(SamplingData[[#This Row],[Total]]+SamplingData[[#This Row],[Winning Candidate]]-SamplingData[[#This Row],[Candidate 5]])/(SamplingData[[#Totals],[Winning Candidate]]-SamplingData[[#Totals],[Candidate 5]]), 0)</f>
        <v>0</v>
      </c>
      <c r="O564" s="100">
        <f>IF(AND(SamplingData[[#This Row],[Total]]&lt;&gt; 0, NOT(ISBLANK(SamplingData[[#This Row],[Candidate 6]]))),(SamplingData[[#This Row],[Total]]+SamplingData[[#This Row],[Winning Candidate]]-SamplingData[[#This Row],[Candidate 6]])/(SamplingData[[#Totals],[Winning Candidate]]-SamplingData[[#Totals],[Candidate 6]]), 0)</f>
        <v>0</v>
      </c>
      <c r="P564" s="100">
        <f>MAX(SamplingData[[#This Row],[Error Bound (up) - Max. possible relative overstatement - Losing Candidate]:[Error Bound (up) - Max. possible relative overstatement - Candidate 6]])</f>
        <v>0</v>
      </c>
      <c r="Q564" s="100">
        <f>IF(SamplingData[[#This Row],[Max Error Bound (up)]] = 0,0,SamplingData[[#This Row],[Max Error Bound (up)]]/SamplingData[[#Totals],[Max Error Bound (up)]])</f>
        <v>0</v>
      </c>
      <c r="R564" s="101">
        <f>SUM($Q$5:Q564)</f>
        <v>0.18493241018501744</v>
      </c>
      <c r="S564" s="100" t="str">
        <f t="array" ref="S564">IF(SamplingData[[#This Row],[up/U Selection Probability]] = 0, "Zero", TEXT(SamplingData[[#This Row],[Lower Range]], REPT("0",LEN('General Info'!$B$40))) &amp; " - " &amp; TEXT(SamplingData[[#This Row],[Upper Range]], REPT("0",LEN('General Info'!$B$40))))</f>
        <v>Zero</v>
      </c>
      <c r="T564" s="100">
        <f>SamplingData[[#This Row],[Upper Range]]-SamplingData[[#This Row],[Span]]</f>
        <v>18493.241018501743</v>
      </c>
      <c r="U564" s="100">
        <f>IF(ISNUMBER('General Info'!$B$40), ((SamplingData[[#This Row],[up/U Selection Probability]]) * 'General Info'!$B$40) - 1, 0)</f>
        <v>-1</v>
      </c>
      <c r="V564" s="100">
        <f>IF(ISNUMBER('General Info'!$B$40), (SamplingData[[#This Row],[Running (cumulative) sum]] * ('General Info'!$B$40 -'General Info'!$B$41 + 1)) + 'General Info'!$B$41 - 1, 0)</f>
        <v>18492.241018501743</v>
      </c>
      <c r="W564" s="100" t="str">
        <f>IF(ISERROR(MATCH(SamplingData[[#This Row],[Batch by Type (p)]],SelectedPrecincts[Batch Name], 0)), "", INDEX(SelectedPrecincts[Draw], MATCH(SamplingData[[#This Row],[Batch by Type (p)]],SelectedPrecincts[Batch Name], 0)))</f>
        <v/>
      </c>
      <c r="X564" s="102">
        <f>IF(COUNTIF(SelectedPrecincts[Batch Name],SamplingData[[#This Row],[Batch by Type (p)]]) &lt;&gt; 0, COUNTIF(SelectedPrecincts[Batch Name],SamplingData[[#This Row],[Batch by Type (p)]]), 0)</f>
        <v>0</v>
      </c>
    </row>
    <row r="565" spans="1:24" ht="15" customHeight="1">
      <c r="A565" s="18" t="s">
        <v>741</v>
      </c>
      <c r="B565" s="18">
        <v>0</v>
      </c>
      <c r="C565" s="18">
        <v>1</v>
      </c>
      <c r="D565" s="16">
        <v>0</v>
      </c>
      <c r="E565" s="16">
        <v>0</v>
      </c>
      <c r="F565" s="37">
        <v>0</v>
      </c>
      <c r="G565" s="37">
        <v>0</v>
      </c>
      <c r="H565" s="17">
        <v>0</v>
      </c>
      <c r="I565" s="17">
        <v>2</v>
      </c>
      <c r="J565" s="99">
        <f>SUM(SamplingData[[#This Row],[Losing Candidate]:[Under Votes]])</f>
        <v>3</v>
      </c>
      <c r="K565"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565" s="100">
        <f>IF(AND(SamplingData[[#This Row],[Total]]&lt;&gt; 0, NOT(ISBLANK(SamplingData[[#This Row],[Candidate 3]]))),(SamplingData[[#This Row],[Total]]+SamplingData[[#This Row],[Winning Candidate]]-SamplingData[[#This Row],[Candidate 3]])/(SamplingData[[#Totals],[Winning Candidate]]-SamplingData[[#Totals],[Candidate 3]]), 0)</f>
        <v>1.2904474626576767E-4</v>
      </c>
      <c r="M565" s="100">
        <f>IF(AND(SamplingData[[#This Row],[Total]]&lt;&gt; 0, NOT(ISBLANK(SamplingData[[#This Row],[Candidate 4]]))),(SamplingData[[#This Row],[Total]]+SamplingData[[#This Row],[Winning Candidate]]-SamplingData[[#This Row],[Candidate 4]])/(SamplingData[[#Totals],[Winning Candidate]]-SamplingData[[#Totals],[Candidate 4]]), 0)</f>
        <v>1.1692829372387384E-4</v>
      </c>
      <c r="N565" s="100">
        <f>IF(AND(SamplingData[[#This Row],[Total]]&lt;&gt; 0, NOT(ISBLANK(SamplingData[[#This Row],[Candidate 5]]))),(SamplingData[[#This Row],[Total]]+SamplingData[[#This Row],[Winning Candidate]]-SamplingData[[#This Row],[Candidate 5]])/(SamplingData[[#Totals],[Winning Candidate]]-SamplingData[[#Totals],[Candidate 5]]), 0)</f>
        <v>9.7299927025054734E-5</v>
      </c>
      <c r="O565" s="100">
        <f>IF(AND(SamplingData[[#This Row],[Total]]&lt;&gt; 0, NOT(ISBLANK(SamplingData[[#This Row],[Candidate 6]]))),(SamplingData[[#This Row],[Total]]+SamplingData[[#This Row],[Winning Candidate]]-SamplingData[[#This Row],[Candidate 6]])/(SamplingData[[#Totals],[Winning Candidate]]-SamplingData[[#Totals],[Candidate 6]]), 0)</f>
        <v>9.7271533485725401E-5</v>
      </c>
      <c r="P565" s="100">
        <f>MAX(SamplingData[[#This Row],[Error Bound (up) - Max. possible relative overstatement - Losing Candidate]:[Error Bound (up) - Max. possible relative overstatement - Candidate 6]])</f>
        <v>2.4497795198432141E-4</v>
      </c>
      <c r="Q565" s="100">
        <f>IF(SamplingData[[#This Row],[Max Error Bound (up)]] = 0,0,SamplingData[[#This Row],[Max Error Bound (up)]]/SamplingData[[#Totals],[Max Error Bound (up)]])</f>
        <v>3.8771793113783326E-5</v>
      </c>
      <c r="R565" s="101">
        <f>SUM($Q$5:Q565)</f>
        <v>0.18497118197813123</v>
      </c>
      <c r="S565" s="100" t="str">
        <f t="array" ref="S565">IF(SamplingData[[#This Row],[up/U Selection Probability]] = 0, "Zero", TEXT(SamplingData[[#This Row],[Lower Range]], REPT("0",LEN('General Info'!$B$40))) &amp; " - " &amp; TEXT(SamplingData[[#This Row],[Upper Range]], REPT("0",LEN('General Info'!$B$40))))</f>
        <v>18493 - 18496</v>
      </c>
      <c r="T565" s="100">
        <f>SamplingData[[#This Row],[Upper Range]]-SamplingData[[#This Row],[Span]]</f>
        <v>18493.241057273539</v>
      </c>
      <c r="U565" s="100">
        <f>IF(ISNUMBER('General Info'!$B$40), ((SamplingData[[#This Row],[up/U Selection Probability]]) * 'General Info'!$B$40) - 1, 0)</f>
        <v>2.877140539585219</v>
      </c>
      <c r="V565" s="100">
        <f>IF(ISNUMBER('General Info'!$B$40), (SamplingData[[#This Row],[Running (cumulative) sum]] * ('General Info'!$B$40 -'General Info'!$B$41 + 1)) + 'General Info'!$B$41 - 1, 0)</f>
        <v>18496.118197813124</v>
      </c>
      <c r="W565" s="100" t="str">
        <f>IF(ISERROR(MATCH(SamplingData[[#This Row],[Batch by Type (p)]],SelectedPrecincts[Batch Name], 0)), "", INDEX(SelectedPrecincts[Draw], MATCH(SamplingData[[#This Row],[Batch by Type (p)]],SelectedPrecincts[Batch Name], 0)))</f>
        <v/>
      </c>
      <c r="X565" s="102">
        <f>IF(COUNTIF(SelectedPrecincts[Batch Name],SamplingData[[#This Row],[Batch by Type (p)]]) &lt;&gt; 0, COUNTIF(SelectedPrecincts[Batch Name],SamplingData[[#This Row],[Batch by Type (p)]]), 0)</f>
        <v>0</v>
      </c>
    </row>
    <row r="566" spans="1:24" ht="15" customHeight="1">
      <c r="A566" s="18" t="s">
        <v>742</v>
      </c>
      <c r="B566" s="18">
        <v>0</v>
      </c>
      <c r="C566" s="18">
        <v>0</v>
      </c>
      <c r="D566" s="18">
        <v>0</v>
      </c>
      <c r="E566" s="18">
        <v>0</v>
      </c>
      <c r="F566" s="18">
        <v>0</v>
      </c>
      <c r="G566" s="18">
        <v>0</v>
      </c>
      <c r="H566" s="18">
        <v>0</v>
      </c>
      <c r="I566" s="18">
        <v>0</v>
      </c>
      <c r="J566" s="99">
        <f>SUM(SamplingData[[#This Row],[Losing Candidate]:[Under Votes]])</f>
        <v>0</v>
      </c>
      <c r="K566" s="100">
        <f>IF(AND(SamplingData[[#This Row],[Total]]&lt;&gt; 0, NOT(ISBLANK(SamplingData[[#This Row],[Losing Candidate]]))),(SamplingData[[#This Row],[Total]]+SamplingData[[#This Row],[Winning Candidate]]-SamplingData[[#This Row],[Losing Candidate]])/(SamplingData[[#Totals],[Winning Candidate]]-SamplingData[[#Totals],[Losing Candidate]]), 0)</f>
        <v>0</v>
      </c>
      <c r="L566" s="100">
        <f>IF(AND(SamplingData[[#This Row],[Total]]&lt;&gt; 0, NOT(ISBLANK(SamplingData[[#This Row],[Candidate 3]]))),(SamplingData[[#This Row],[Total]]+SamplingData[[#This Row],[Winning Candidate]]-SamplingData[[#This Row],[Candidate 3]])/(SamplingData[[#Totals],[Winning Candidate]]-SamplingData[[#Totals],[Candidate 3]]), 0)</f>
        <v>0</v>
      </c>
      <c r="M566" s="100">
        <f>IF(AND(SamplingData[[#This Row],[Total]]&lt;&gt; 0, NOT(ISBLANK(SamplingData[[#This Row],[Candidate 4]]))),(SamplingData[[#This Row],[Total]]+SamplingData[[#This Row],[Winning Candidate]]-SamplingData[[#This Row],[Candidate 4]])/(SamplingData[[#Totals],[Winning Candidate]]-SamplingData[[#Totals],[Candidate 4]]), 0)</f>
        <v>0</v>
      </c>
      <c r="N566" s="100">
        <f>IF(AND(SamplingData[[#This Row],[Total]]&lt;&gt; 0, NOT(ISBLANK(SamplingData[[#This Row],[Candidate 5]]))),(SamplingData[[#This Row],[Total]]+SamplingData[[#This Row],[Winning Candidate]]-SamplingData[[#This Row],[Candidate 5]])/(SamplingData[[#Totals],[Winning Candidate]]-SamplingData[[#Totals],[Candidate 5]]), 0)</f>
        <v>0</v>
      </c>
      <c r="O566" s="100">
        <f>IF(AND(SamplingData[[#This Row],[Total]]&lt;&gt; 0, NOT(ISBLANK(SamplingData[[#This Row],[Candidate 6]]))),(SamplingData[[#This Row],[Total]]+SamplingData[[#This Row],[Winning Candidate]]-SamplingData[[#This Row],[Candidate 6]])/(SamplingData[[#Totals],[Winning Candidate]]-SamplingData[[#Totals],[Candidate 6]]), 0)</f>
        <v>0</v>
      </c>
      <c r="P566" s="100">
        <f>MAX(SamplingData[[#This Row],[Error Bound (up) - Max. possible relative overstatement - Losing Candidate]:[Error Bound (up) - Max. possible relative overstatement - Candidate 6]])</f>
        <v>0</v>
      </c>
      <c r="Q566" s="100">
        <f>IF(SamplingData[[#This Row],[Max Error Bound (up)]] = 0,0,SamplingData[[#This Row],[Max Error Bound (up)]]/SamplingData[[#Totals],[Max Error Bound (up)]])</f>
        <v>0</v>
      </c>
      <c r="R566" s="101">
        <f>SUM($Q$5:Q566)</f>
        <v>0.18497118197813123</v>
      </c>
      <c r="S566" s="100" t="str">
        <f t="array" ref="S566">IF(SamplingData[[#This Row],[up/U Selection Probability]] = 0, "Zero", TEXT(SamplingData[[#This Row],[Lower Range]], REPT("0",LEN('General Info'!$B$40))) &amp; " - " &amp; TEXT(SamplingData[[#This Row],[Upper Range]], REPT("0",LEN('General Info'!$B$40))))</f>
        <v>Zero</v>
      </c>
      <c r="T566" s="100">
        <f>SamplingData[[#This Row],[Upper Range]]-SamplingData[[#This Row],[Span]]</f>
        <v>18497.118197813124</v>
      </c>
      <c r="U566" s="100">
        <f>IF(ISNUMBER('General Info'!$B$40), ((SamplingData[[#This Row],[up/U Selection Probability]]) * 'General Info'!$B$40) - 1, 0)</f>
        <v>-1</v>
      </c>
      <c r="V566" s="100">
        <f>IF(ISNUMBER('General Info'!$B$40), (SamplingData[[#This Row],[Running (cumulative) sum]] * ('General Info'!$B$40 -'General Info'!$B$41 + 1)) + 'General Info'!$B$41 - 1, 0)</f>
        <v>18496.118197813124</v>
      </c>
      <c r="W566" s="100" t="str">
        <f>IF(ISERROR(MATCH(SamplingData[[#This Row],[Batch by Type (p)]],SelectedPrecincts[Batch Name], 0)), "", INDEX(SelectedPrecincts[Draw], MATCH(SamplingData[[#This Row],[Batch by Type (p)]],SelectedPrecincts[Batch Name], 0)))</f>
        <v/>
      </c>
      <c r="X566" s="102">
        <f>IF(COUNTIF(SelectedPrecincts[Batch Name],SamplingData[[#This Row],[Batch by Type (p)]]) &lt;&gt; 0, COUNTIF(SelectedPrecincts[Batch Name],SamplingData[[#This Row],[Batch by Type (p)]]), 0)</f>
        <v>0</v>
      </c>
    </row>
    <row r="567" spans="1:24" ht="15" customHeight="1">
      <c r="A567" s="18" t="s">
        <v>743</v>
      </c>
      <c r="B567" s="18">
        <v>1</v>
      </c>
      <c r="C567" s="18">
        <v>2</v>
      </c>
      <c r="D567" s="16">
        <v>0</v>
      </c>
      <c r="E567" s="16">
        <v>3</v>
      </c>
      <c r="F567" s="37">
        <v>0</v>
      </c>
      <c r="G567" s="37">
        <v>0</v>
      </c>
      <c r="H567" s="17">
        <v>0</v>
      </c>
      <c r="I567" s="17">
        <v>0</v>
      </c>
      <c r="J567" s="99">
        <f>SUM(SamplingData[[#This Row],[Losing Candidate]:[Under Votes]])</f>
        <v>6</v>
      </c>
      <c r="K567"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567" s="100">
        <f>IF(AND(SamplingData[[#This Row],[Total]]&lt;&gt; 0, NOT(ISBLANK(SamplingData[[#This Row],[Candidate 3]]))),(SamplingData[[#This Row],[Total]]+SamplingData[[#This Row],[Winning Candidate]]-SamplingData[[#This Row],[Candidate 3]])/(SamplingData[[#Totals],[Winning Candidate]]-SamplingData[[#Totals],[Candidate 3]]), 0)</f>
        <v>2.5808949253153533E-4</v>
      </c>
      <c r="M567" s="100">
        <f>IF(AND(SamplingData[[#This Row],[Total]]&lt;&gt; 0, NOT(ISBLANK(SamplingData[[#This Row],[Candidate 4]]))),(SamplingData[[#This Row],[Total]]+SamplingData[[#This Row],[Winning Candidate]]-SamplingData[[#This Row],[Candidate 4]])/(SamplingData[[#Totals],[Winning Candidate]]-SamplingData[[#Totals],[Candidate 4]]), 0)</f>
        <v>1.4616036715484231E-4</v>
      </c>
      <c r="N567" s="100">
        <f>IF(AND(SamplingData[[#This Row],[Total]]&lt;&gt; 0, NOT(ISBLANK(SamplingData[[#This Row],[Candidate 5]]))),(SamplingData[[#This Row],[Total]]+SamplingData[[#This Row],[Winning Candidate]]-SamplingData[[#This Row],[Candidate 5]])/(SamplingData[[#Totals],[Winning Candidate]]-SamplingData[[#Totals],[Candidate 5]]), 0)</f>
        <v>1.9459985405010947E-4</v>
      </c>
      <c r="O567" s="100">
        <f>IF(AND(SamplingData[[#This Row],[Total]]&lt;&gt; 0, NOT(ISBLANK(SamplingData[[#This Row],[Candidate 6]]))),(SamplingData[[#This Row],[Total]]+SamplingData[[#This Row],[Winning Candidate]]-SamplingData[[#This Row],[Candidate 6]])/(SamplingData[[#Totals],[Winning Candidate]]-SamplingData[[#Totals],[Candidate 6]]), 0)</f>
        <v>1.945430669714508E-4</v>
      </c>
      <c r="P567" s="100">
        <f>MAX(SamplingData[[#This Row],[Error Bound (up) - Max. possible relative overstatement - Losing Candidate]:[Error Bound (up) - Max. possible relative overstatement - Candidate 6]])</f>
        <v>4.2871141597256246E-4</v>
      </c>
      <c r="Q567" s="100">
        <f>IF(SamplingData[[#This Row],[Max Error Bound (up)]] = 0,0,SamplingData[[#This Row],[Max Error Bound (up)]]/SamplingData[[#Totals],[Max Error Bound (up)]])</f>
        <v>6.7850637949120826E-5</v>
      </c>
      <c r="R567" s="101">
        <f>SUM($Q$5:Q567)</f>
        <v>0.18503903261608035</v>
      </c>
      <c r="S567" s="100" t="str">
        <f t="array" ref="S567">IF(SamplingData[[#This Row],[up/U Selection Probability]] = 0, "Zero", TEXT(SamplingData[[#This Row],[Lower Range]], REPT("0",LEN('General Info'!$B$40))) &amp; " - " &amp; TEXT(SamplingData[[#This Row],[Upper Range]], REPT("0",LEN('General Info'!$B$40))))</f>
        <v>18497 - 18503</v>
      </c>
      <c r="T567" s="100">
        <f>SamplingData[[#This Row],[Upper Range]]-SamplingData[[#This Row],[Span]]</f>
        <v>18497.118265663757</v>
      </c>
      <c r="U567" s="100">
        <f>IF(ISNUMBER('General Info'!$B$40), ((SamplingData[[#This Row],[up/U Selection Probability]]) * 'General Info'!$B$40) - 1, 0)</f>
        <v>5.7849959442741339</v>
      </c>
      <c r="V567" s="100">
        <f>IF(ISNUMBER('General Info'!$B$40), (SamplingData[[#This Row],[Running (cumulative) sum]] * ('General Info'!$B$40 -'General Info'!$B$41 + 1)) + 'General Info'!$B$41 - 1, 0)</f>
        <v>18502.903261608033</v>
      </c>
      <c r="W567" s="100" t="str">
        <f>IF(ISERROR(MATCH(SamplingData[[#This Row],[Batch by Type (p)]],SelectedPrecincts[Batch Name], 0)), "", INDEX(SelectedPrecincts[Draw], MATCH(SamplingData[[#This Row],[Batch by Type (p)]],SelectedPrecincts[Batch Name], 0)))</f>
        <v/>
      </c>
      <c r="X567" s="102">
        <f>IF(COUNTIF(SelectedPrecincts[Batch Name],SamplingData[[#This Row],[Batch by Type (p)]]) &lt;&gt; 0, COUNTIF(SelectedPrecincts[Batch Name],SamplingData[[#This Row],[Batch by Type (p)]]), 0)</f>
        <v>0</v>
      </c>
    </row>
    <row r="568" spans="1:24" ht="15" customHeight="1">
      <c r="A568" s="18" t="s">
        <v>744</v>
      </c>
      <c r="B568" s="18">
        <v>1</v>
      </c>
      <c r="C568" s="18">
        <v>1</v>
      </c>
      <c r="D568" s="18">
        <v>0</v>
      </c>
      <c r="E568" s="18">
        <v>0</v>
      </c>
      <c r="F568" s="18">
        <v>0</v>
      </c>
      <c r="G568" s="18">
        <v>0</v>
      </c>
      <c r="H568" s="18">
        <v>0</v>
      </c>
      <c r="I568" s="18">
        <v>0</v>
      </c>
      <c r="J568" s="99">
        <f>SUM(SamplingData[[#This Row],[Losing Candidate]:[Under Votes]])</f>
        <v>2</v>
      </c>
      <c r="K56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68" s="100">
        <f>IF(AND(SamplingData[[#This Row],[Total]]&lt;&gt; 0, NOT(ISBLANK(SamplingData[[#This Row],[Candidate 3]]))),(SamplingData[[#This Row],[Total]]+SamplingData[[#This Row],[Winning Candidate]]-SamplingData[[#This Row],[Candidate 3]])/(SamplingData[[#Totals],[Winning Candidate]]-SamplingData[[#Totals],[Candidate 3]]), 0)</f>
        <v>9.6783559699325743E-5</v>
      </c>
      <c r="M568" s="100">
        <f>IF(AND(SamplingData[[#This Row],[Total]]&lt;&gt; 0, NOT(ISBLANK(SamplingData[[#This Row],[Candidate 4]]))),(SamplingData[[#This Row],[Total]]+SamplingData[[#This Row],[Winning Candidate]]-SamplingData[[#This Row],[Candidate 4]])/(SamplingData[[#Totals],[Winning Candidate]]-SamplingData[[#Totals],[Candidate 4]]), 0)</f>
        <v>8.7696220292905373E-5</v>
      </c>
      <c r="N568" s="100">
        <f>IF(AND(SamplingData[[#This Row],[Total]]&lt;&gt; 0, NOT(ISBLANK(SamplingData[[#This Row],[Candidate 5]]))),(SamplingData[[#This Row],[Total]]+SamplingData[[#This Row],[Winning Candidate]]-SamplingData[[#This Row],[Candidate 5]])/(SamplingData[[#Totals],[Winning Candidate]]-SamplingData[[#Totals],[Candidate 5]]), 0)</f>
        <v>7.2974945268791054E-5</v>
      </c>
      <c r="O568" s="100">
        <f>IF(AND(SamplingData[[#This Row],[Total]]&lt;&gt; 0, NOT(ISBLANK(SamplingData[[#This Row],[Candidate 6]]))),(SamplingData[[#This Row],[Total]]+SamplingData[[#This Row],[Winning Candidate]]-SamplingData[[#This Row],[Candidate 6]])/(SamplingData[[#Totals],[Winning Candidate]]-SamplingData[[#Totals],[Candidate 6]]), 0)</f>
        <v>7.2953650114294054E-5</v>
      </c>
      <c r="P568" s="100">
        <f>MAX(SamplingData[[#This Row],[Error Bound (up) - Max. possible relative overstatement - Losing Candidate]:[Error Bound (up) - Max. possible relative overstatement - Candidate 6]])</f>
        <v>1.224889759921607E-4</v>
      </c>
      <c r="Q568" s="100">
        <f>IF(SamplingData[[#This Row],[Max Error Bound (up)]] = 0,0,SamplingData[[#This Row],[Max Error Bound (up)]]/SamplingData[[#Totals],[Max Error Bound (up)]])</f>
        <v>1.9385896556891663E-5</v>
      </c>
      <c r="R568" s="101">
        <f>SUM($Q$5:Q568)</f>
        <v>0.18505841851263724</v>
      </c>
      <c r="S568" s="100" t="str">
        <f t="array" ref="S568">IF(SamplingData[[#This Row],[up/U Selection Probability]] = 0, "Zero", TEXT(SamplingData[[#This Row],[Lower Range]], REPT("0",LEN('General Info'!$B$40))) &amp; " - " &amp; TEXT(SamplingData[[#This Row],[Upper Range]], REPT("0",LEN('General Info'!$B$40))))</f>
        <v>18504 - 18505</v>
      </c>
      <c r="T568" s="100">
        <f>SamplingData[[#This Row],[Upper Range]]-SamplingData[[#This Row],[Span]]</f>
        <v>18503.903280993934</v>
      </c>
      <c r="U568" s="100">
        <f>IF(ISNUMBER('General Info'!$B$40), ((SamplingData[[#This Row],[up/U Selection Probability]]) * 'General Info'!$B$40) - 1, 0)</f>
        <v>0.93857026979260949</v>
      </c>
      <c r="V568" s="100">
        <f>IF(ISNUMBER('General Info'!$B$40), (SamplingData[[#This Row],[Running (cumulative) sum]] * ('General Info'!$B$40 -'General Info'!$B$41 + 1)) + 'General Info'!$B$41 - 1, 0)</f>
        <v>18504.841851263725</v>
      </c>
      <c r="W568" s="100" t="str">
        <f>IF(ISERROR(MATCH(SamplingData[[#This Row],[Batch by Type (p)]],SelectedPrecincts[Batch Name], 0)), "", INDEX(SelectedPrecincts[Draw], MATCH(SamplingData[[#This Row],[Batch by Type (p)]],SelectedPrecincts[Batch Name], 0)))</f>
        <v/>
      </c>
      <c r="X568" s="102">
        <f>IF(COUNTIF(SelectedPrecincts[Batch Name],SamplingData[[#This Row],[Batch by Type (p)]]) &lt;&gt; 0, COUNTIF(SelectedPrecincts[Batch Name],SamplingData[[#This Row],[Batch by Type (p)]]), 0)</f>
        <v>0</v>
      </c>
    </row>
    <row r="569" spans="1:24" ht="15" customHeight="1">
      <c r="A569" s="18" t="s">
        <v>745</v>
      </c>
      <c r="B569" s="18">
        <v>2</v>
      </c>
      <c r="C569" s="18">
        <v>4</v>
      </c>
      <c r="D569" s="16">
        <v>0</v>
      </c>
      <c r="E569" s="16">
        <v>0</v>
      </c>
      <c r="F569" s="37">
        <v>0</v>
      </c>
      <c r="G569" s="37">
        <v>0</v>
      </c>
      <c r="H569" s="17">
        <v>0</v>
      </c>
      <c r="I569" s="17">
        <v>0</v>
      </c>
      <c r="J569" s="99">
        <f>SUM(SamplingData[[#This Row],[Losing Candidate]:[Under Votes]])</f>
        <v>6</v>
      </c>
      <c r="K569"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569" s="100">
        <f>IF(AND(SamplingData[[#This Row],[Total]]&lt;&gt; 0, NOT(ISBLANK(SamplingData[[#This Row],[Candidate 3]]))),(SamplingData[[#This Row],[Total]]+SamplingData[[#This Row],[Winning Candidate]]-SamplingData[[#This Row],[Candidate 3]])/(SamplingData[[#Totals],[Winning Candidate]]-SamplingData[[#Totals],[Candidate 3]]), 0)</f>
        <v>3.2261186566441915E-4</v>
      </c>
      <c r="M569" s="100">
        <f>IF(AND(SamplingData[[#This Row],[Total]]&lt;&gt; 0, NOT(ISBLANK(SamplingData[[#This Row],[Candidate 4]]))),(SamplingData[[#This Row],[Total]]+SamplingData[[#This Row],[Winning Candidate]]-SamplingData[[#This Row],[Candidate 4]])/(SamplingData[[#Totals],[Winning Candidate]]-SamplingData[[#Totals],[Candidate 4]]), 0)</f>
        <v>2.9232073430968461E-4</v>
      </c>
      <c r="N569" s="100">
        <f>IF(AND(SamplingData[[#This Row],[Total]]&lt;&gt; 0, NOT(ISBLANK(SamplingData[[#This Row],[Candidate 5]]))),(SamplingData[[#This Row],[Total]]+SamplingData[[#This Row],[Winning Candidate]]-SamplingData[[#This Row],[Candidate 5]])/(SamplingData[[#Totals],[Winning Candidate]]-SamplingData[[#Totals],[Candidate 5]]), 0)</f>
        <v>2.4324981756263683E-4</v>
      </c>
      <c r="O569" s="100">
        <f>IF(AND(SamplingData[[#This Row],[Total]]&lt;&gt; 0, NOT(ISBLANK(SamplingData[[#This Row],[Candidate 6]]))),(SamplingData[[#This Row],[Total]]+SamplingData[[#This Row],[Winning Candidate]]-SamplingData[[#This Row],[Candidate 6]])/(SamplingData[[#Totals],[Winning Candidate]]-SamplingData[[#Totals],[Candidate 6]]), 0)</f>
        <v>2.431788337143135E-4</v>
      </c>
      <c r="P569" s="100">
        <f>MAX(SamplingData[[#This Row],[Error Bound (up) - Max. possible relative overstatement - Losing Candidate]:[Error Bound (up) - Max. possible relative overstatement - Candidate 6]])</f>
        <v>4.8995590396864281E-4</v>
      </c>
      <c r="Q569" s="100">
        <f>IF(SamplingData[[#This Row],[Max Error Bound (up)]] = 0,0,SamplingData[[#This Row],[Max Error Bound (up)]]/SamplingData[[#Totals],[Max Error Bound (up)]])</f>
        <v>7.7543586227566652E-5</v>
      </c>
      <c r="R569" s="101">
        <f>SUM($Q$5:Q569)</f>
        <v>0.18513596209886482</v>
      </c>
      <c r="S569" s="100" t="str">
        <f t="array" ref="S569">IF(SamplingData[[#This Row],[up/U Selection Probability]] = 0, "Zero", TEXT(SamplingData[[#This Row],[Lower Range]], REPT("0",LEN('General Info'!$B$40))) &amp; " - " &amp; TEXT(SamplingData[[#This Row],[Upper Range]], REPT("0",LEN('General Info'!$B$40))))</f>
        <v>18506 - 18513</v>
      </c>
      <c r="T569" s="100">
        <f>SamplingData[[#This Row],[Upper Range]]-SamplingData[[#This Row],[Span]]</f>
        <v>18505.841928807309</v>
      </c>
      <c r="U569" s="100">
        <f>IF(ISNUMBER('General Info'!$B$40), ((SamplingData[[#This Row],[up/U Selection Probability]]) * 'General Info'!$B$40) - 1, 0)</f>
        <v>6.754281079170438</v>
      </c>
      <c r="V569" s="100">
        <f>IF(ISNUMBER('General Info'!$B$40), (SamplingData[[#This Row],[Running (cumulative) sum]] * ('General Info'!$B$40 -'General Info'!$B$41 + 1)) + 'General Info'!$B$41 - 1, 0)</f>
        <v>18512.59620988648</v>
      </c>
      <c r="W569" s="100" t="str">
        <f>IF(ISERROR(MATCH(SamplingData[[#This Row],[Batch by Type (p)]],SelectedPrecincts[Batch Name], 0)), "", INDEX(SelectedPrecincts[Draw], MATCH(SamplingData[[#This Row],[Batch by Type (p)]],SelectedPrecincts[Batch Name], 0)))</f>
        <v/>
      </c>
      <c r="X569" s="102">
        <f>IF(COUNTIF(SelectedPrecincts[Batch Name],SamplingData[[#This Row],[Batch by Type (p)]]) &lt;&gt; 0, COUNTIF(SelectedPrecincts[Batch Name],SamplingData[[#This Row],[Batch by Type (p)]]), 0)</f>
        <v>0</v>
      </c>
    </row>
    <row r="570" spans="1:24" ht="15" customHeight="1">
      <c r="A570" s="18" t="s">
        <v>746</v>
      </c>
      <c r="B570" s="18">
        <v>2</v>
      </c>
      <c r="C570" s="18">
        <v>4</v>
      </c>
      <c r="D570" s="18">
        <v>1</v>
      </c>
      <c r="E570" s="18">
        <v>1</v>
      </c>
      <c r="F570" s="18">
        <v>0</v>
      </c>
      <c r="G570" s="18">
        <v>0</v>
      </c>
      <c r="H570" s="18">
        <v>0</v>
      </c>
      <c r="I570" s="18">
        <v>0</v>
      </c>
      <c r="J570" s="99">
        <f>SUM(SamplingData[[#This Row],[Losing Candidate]:[Under Votes]])</f>
        <v>8</v>
      </c>
      <c r="K570"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570" s="100">
        <f>IF(AND(SamplingData[[#This Row],[Total]]&lt;&gt; 0, NOT(ISBLANK(SamplingData[[#This Row],[Candidate 3]]))),(SamplingData[[#This Row],[Total]]+SamplingData[[#This Row],[Winning Candidate]]-SamplingData[[#This Row],[Candidate 3]])/(SamplingData[[#Totals],[Winning Candidate]]-SamplingData[[#Totals],[Candidate 3]]), 0)</f>
        <v>3.5487305223086104E-4</v>
      </c>
      <c r="M570" s="100">
        <f>IF(AND(SamplingData[[#This Row],[Total]]&lt;&gt; 0, NOT(ISBLANK(SamplingData[[#This Row],[Candidate 4]]))),(SamplingData[[#This Row],[Total]]+SamplingData[[#This Row],[Winning Candidate]]-SamplingData[[#This Row],[Candidate 4]])/(SamplingData[[#Totals],[Winning Candidate]]-SamplingData[[#Totals],[Candidate 4]]), 0)</f>
        <v>3.2155280774065302E-4</v>
      </c>
      <c r="N570" s="100">
        <f>IF(AND(SamplingData[[#This Row],[Total]]&lt;&gt; 0, NOT(ISBLANK(SamplingData[[#This Row],[Candidate 5]]))),(SamplingData[[#This Row],[Total]]+SamplingData[[#This Row],[Winning Candidate]]-SamplingData[[#This Row],[Candidate 5]])/(SamplingData[[#Totals],[Winning Candidate]]-SamplingData[[#Totals],[Candidate 5]]), 0)</f>
        <v>2.9189978107516421E-4</v>
      </c>
      <c r="O570" s="100">
        <f>IF(AND(SamplingData[[#This Row],[Total]]&lt;&gt; 0, NOT(ISBLANK(SamplingData[[#This Row],[Candidate 6]]))),(SamplingData[[#This Row],[Total]]+SamplingData[[#This Row],[Winning Candidate]]-SamplingData[[#This Row],[Candidate 6]])/(SamplingData[[#Totals],[Winning Candidate]]-SamplingData[[#Totals],[Candidate 6]]), 0)</f>
        <v>2.9181460045717622E-4</v>
      </c>
      <c r="P570" s="100">
        <f>MAX(SamplingData[[#This Row],[Error Bound (up) - Max. possible relative overstatement - Losing Candidate]:[Error Bound (up) - Max. possible relative overstatement - Candidate 6]])</f>
        <v>6.1244487996080352E-4</v>
      </c>
      <c r="Q570" s="100">
        <f>IF(SamplingData[[#This Row],[Max Error Bound (up)]] = 0,0,SamplingData[[#This Row],[Max Error Bound (up)]]/SamplingData[[#Totals],[Max Error Bound (up)]])</f>
        <v>9.6929482784458319E-5</v>
      </c>
      <c r="R570" s="101">
        <f>SUM($Q$5:Q570)</f>
        <v>0.18523289158164927</v>
      </c>
      <c r="S570" s="100" t="str">
        <f t="array" ref="S570">IF(SamplingData[[#This Row],[up/U Selection Probability]] = 0, "Zero", TEXT(SamplingData[[#This Row],[Lower Range]], REPT("0",LEN('General Info'!$B$40))) &amp; " - " &amp; TEXT(SamplingData[[#This Row],[Upper Range]], REPT("0",LEN('General Info'!$B$40))))</f>
        <v>18514 - 18522</v>
      </c>
      <c r="T570" s="100">
        <f>SamplingData[[#This Row],[Upper Range]]-SamplingData[[#This Row],[Span]]</f>
        <v>18513.596306815965</v>
      </c>
      <c r="U570" s="100">
        <f>IF(ISNUMBER('General Info'!$B$40), ((SamplingData[[#This Row],[up/U Selection Probability]]) * 'General Info'!$B$40) - 1, 0)</f>
        <v>8.6928513489630479</v>
      </c>
      <c r="V570" s="100">
        <f>IF(ISNUMBER('General Info'!$B$40), (SamplingData[[#This Row],[Running (cumulative) sum]] * ('General Info'!$B$40 -'General Info'!$B$41 + 1)) + 'General Info'!$B$41 - 1, 0)</f>
        <v>18522.289158164927</v>
      </c>
      <c r="W570" s="100" t="str">
        <f>IF(ISERROR(MATCH(SamplingData[[#This Row],[Batch by Type (p)]],SelectedPrecincts[Batch Name], 0)), "", INDEX(SelectedPrecincts[Draw], MATCH(SamplingData[[#This Row],[Batch by Type (p)]],SelectedPrecincts[Batch Name], 0)))</f>
        <v/>
      </c>
      <c r="X570" s="102">
        <f>IF(COUNTIF(SelectedPrecincts[Batch Name],SamplingData[[#This Row],[Batch by Type (p)]]) &lt;&gt; 0, COUNTIF(SelectedPrecincts[Batch Name],SamplingData[[#This Row],[Batch by Type (p)]]), 0)</f>
        <v>0</v>
      </c>
    </row>
    <row r="571" spans="1:24" ht="15" customHeight="1">
      <c r="A571" s="18" t="s">
        <v>747</v>
      </c>
      <c r="B571" s="18">
        <v>0</v>
      </c>
      <c r="C571" s="18">
        <v>0</v>
      </c>
      <c r="D571" s="16">
        <v>0</v>
      </c>
      <c r="E571" s="16">
        <v>0</v>
      </c>
      <c r="F571" s="37">
        <v>0</v>
      </c>
      <c r="G571" s="37">
        <v>0</v>
      </c>
      <c r="H571" s="17">
        <v>0</v>
      </c>
      <c r="I571" s="17">
        <v>0</v>
      </c>
      <c r="J571" s="99">
        <f>SUM(SamplingData[[#This Row],[Losing Candidate]:[Under Votes]])</f>
        <v>0</v>
      </c>
      <c r="K571" s="100">
        <f>IF(AND(SamplingData[[#This Row],[Total]]&lt;&gt; 0, NOT(ISBLANK(SamplingData[[#This Row],[Losing Candidate]]))),(SamplingData[[#This Row],[Total]]+SamplingData[[#This Row],[Winning Candidate]]-SamplingData[[#This Row],[Losing Candidate]])/(SamplingData[[#Totals],[Winning Candidate]]-SamplingData[[#Totals],[Losing Candidate]]), 0)</f>
        <v>0</v>
      </c>
      <c r="L571" s="100">
        <f>IF(AND(SamplingData[[#This Row],[Total]]&lt;&gt; 0, NOT(ISBLANK(SamplingData[[#This Row],[Candidate 3]]))),(SamplingData[[#This Row],[Total]]+SamplingData[[#This Row],[Winning Candidate]]-SamplingData[[#This Row],[Candidate 3]])/(SamplingData[[#Totals],[Winning Candidate]]-SamplingData[[#Totals],[Candidate 3]]), 0)</f>
        <v>0</v>
      </c>
      <c r="M571" s="100">
        <f>IF(AND(SamplingData[[#This Row],[Total]]&lt;&gt; 0, NOT(ISBLANK(SamplingData[[#This Row],[Candidate 4]]))),(SamplingData[[#This Row],[Total]]+SamplingData[[#This Row],[Winning Candidate]]-SamplingData[[#This Row],[Candidate 4]])/(SamplingData[[#Totals],[Winning Candidate]]-SamplingData[[#Totals],[Candidate 4]]), 0)</f>
        <v>0</v>
      </c>
      <c r="N571" s="100">
        <f>IF(AND(SamplingData[[#This Row],[Total]]&lt;&gt; 0, NOT(ISBLANK(SamplingData[[#This Row],[Candidate 5]]))),(SamplingData[[#This Row],[Total]]+SamplingData[[#This Row],[Winning Candidate]]-SamplingData[[#This Row],[Candidate 5]])/(SamplingData[[#Totals],[Winning Candidate]]-SamplingData[[#Totals],[Candidate 5]]), 0)</f>
        <v>0</v>
      </c>
      <c r="O571" s="100">
        <f>IF(AND(SamplingData[[#This Row],[Total]]&lt;&gt; 0, NOT(ISBLANK(SamplingData[[#This Row],[Candidate 6]]))),(SamplingData[[#This Row],[Total]]+SamplingData[[#This Row],[Winning Candidate]]-SamplingData[[#This Row],[Candidate 6]])/(SamplingData[[#Totals],[Winning Candidate]]-SamplingData[[#Totals],[Candidate 6]]), 0)</f>
        <v>0</v>
      </c>
      <c r="P571" s="100">
        <f>MAX(SamplingData[[#This Row],[Error Bound (up) - Max. possible relative overstatement - Losing Candidate]:[Error Bound (up) - Max. possible relative overstatement - Candidate 6]])</f>
        <v>0</v>
      </c>
      <c r="Q571" s="100">
        <f>IF(SamplingData[[#This Row],[Max Error Bound (up)]] = 0,0,SamplingData[[#This Row],[Max Error Bound (up)]]/SamplingData[[#Totals],[Max Error Bound (up)]])</f>
        <v>0</v>
      </c>
      <c r="R571" s="101">
        <f>SUM($Q$5:Q571)</f>
        <v>0.18523289158164927</v>
      </c>
      <c r="S571" s="100" t="str">
        <f t="array" ref="S571">IF(SamplingData[[#This Row],[up/U Selection Probability]] = 0, "Zero", TEXT(SamplingData[[#This Row],[Lower Range]], REPT("0",LEN('General Info'!$B$40))) &amp; " - " &amp; TEXT(SamplingData[[#This Row],[Upper Range]], REPT("0",LEN('General Info'!$B$40))))</f>
        <v>Zero</v>
      </c>
      <c r="T571" s="100">
        <f>SamplingData[[#This Row],[Upper Range]]-SamplingData[[#This Row],[Span]]</f>
        <v>18523.289158164927</v>
      </c>
      <c r="U571" s="100">
        <f>IF(ISNUMBER('General Info'!$B$40), ((SamplingData[[#This Row],[up/U Selection Probability]]) * 'General Info'!$B$40) - 1, 0)</f>
        <v>-1</v>
      </c>
      <c r="V571" s="100">
        <f>IF(ISNUMBER('General Info'!$B$40), (SamplingData[[#This Row],[Running (cumulative) sum]] * ('General Info'!$B$40 -'General Info'!$B$41 + 1)) + 'General Info'!$B$41 - 1, 0)</f>
        <v>18522.289158164927</v>
      </c>
      <c r="W571" s="100" t="str">
        <f>IF(ISERROR(MATCH(SamplingData[[#This Row],[Batch by Type (p)]],SelectedPrecincts[Batch Name], 0)), "", INDEX(SelectedPrecincts[Draw], MATCH(SamplingData[[#This Row],[Batch by Type (p)]],SelectedPrecincts[Batch Name], 0)))</f>
        <v/>
      </c>
      <c r="X571" s="102">
        <f>IF(COUNTIF(SelectedPrecincts[Batch Name],SamplingData[[#This Row],[Batch by Type (p)]]) &lt;&gt; 0, COUNTIF(SelectedPrecincts[Batch Name],SamplingData[[#This Row],[Batch by Type (p)]]), 0)</f>
        <v>0</v>
      </c>
    </row>
    <row r="572" spans="1:24" ht="15" customHeight="1">
      <c r="A572" s="18" t="s">
        <v>748</v>
      </c>
      <c r="B572" s="18">
        <v>0</v>
      </c>
      <c r="C572" s="18">
        <v>0</v>
      </c>
      <c r="D572" s="18">
        <v>0</v>
      </c>
      <c r="E572" s="18">
        <v>0</v>
      </c>
      <c r="F572" s="18">
        <v>0</v>
      </c>
      <c r="G572" s="18">
        <v>0</v>
      </c>
      <c r="H572" s="18">
        <v>0</v>
      </c>
      <c r="I572" s="18">
        <v>1</v>
      </c>
      <c r="J572" s="99">
        <f>SUM(SamplingData[[#This Row],[Losing Candidate]:[Under Votes]])</f>
        <v>1</v>
      </c>
      <c r="K57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72" s="100">
        <f>IF(AND(SamplingData[[#This Row],[Total]]&lt;&gt; 0, NOT(ISBLANK(SamplingData[[#This Row],[Candidate 3]]))),(SamplingData[[#This Row],[Total]]+SamplingData[[#This Row],[Winning Candidate]]-SamplingData[[#This Row],[Candidate 3]])/(SamplingData[[#Totals],[Winning Candidate]]-SamplingData[[#Totals],[Candidate 3]]), 0)</f>
        <v>3.2261186566441917E-5</v>
      </c>
      <c r="M572" s="100">
        <f>IF(AND(SamplingData[[#This Row],[Total]]&lt;&gt; 0, NOT(ISBLANK(SamplingData[[#This Row],[Candidate 4]]))),(SamplingData[[#This Row],[Total]]+SamplingData[[#This Row],[Winning Candidate]]-SamplingData[[#This Row],[Candidate 4]])/(SamplingData[[#Totals],[Winning Candidate]]-SamplingData[[#Totals],[Candidate 4]]), 0)</f>
        <v>2.923207343096846E-5</v>
      </c>
      <c r="N572" s="100">
        <f>IF(AND(SamplingData[[#This Row],[Total]]&lt;&gt; 0, NOT(ISBLANK(SamplingData[[#This Row],[Candidate 5]]))),(SamplingData[[#This Row],[Total]]+SamplingData[[#This Row],[Winning Candidate]]-SamplingData[[#This Row],[Candidate 5]])/(SamplingData[[#Totals],[Winning Candidate]]-SamplingData[[#Totals],[Candidate 5]]), 0)</f>
        <v>2.4324981756263683E-5</v>
      </c>
      <c r="O572" s="100">
        <f>IF(AND(SamplingData[[#This Row],[Total]]&lt;&gt; 0, NOT(ISBLANK(SamplingData[[#This Row],[Candidate 6]]))),(SamplingData[[#This Row],[Total]]+SamplingData[[#This Row],[Winning Candidate]]-SamplingData[[#This Row],[Candidate 6]])/(SamplingData[[#Totals],[Winning Candidate]]-SamplingData[[#Totals],[Candidate 6]]), 0)</f>
        <v>2.431788337143135E-5</v>
      </c>
      <c r="P572" s="100">
        <f>MAX(SamplingData[[#This Row],[Error Bound (up) - Max. possible relative overstatement - Losing Candidate]:[Error Bound (up) - Max. possible relative overstatement - Candidate 6]])</f>
        <v>6.1244487996080352E-5</v>
      </c>
      <c r="Q572" s="100">
        <f>IF(SamplingData[[#This Row],[Max Error Bound (up)]] = 0,0,SamplingData[[#This Row],[Max Error Bound (up)]]/SamplingData[[#Totals],[Max Error Bound (up)]])</f>
        <v>9.6929482784458315E-6</v>
      </c>
      <c r="R572" s="101">
        <f>SUM($Q$5:Q572)</f>
        <v>0.1852425845299277</v>
      </c>
      <c r="S572" s="100" t="str">
        <f t="array" ref="S572">IF(SamplingData[[#This Row],[up/U Selection Probability]] = 0, "Zero", TEXT(SamplingData[[#This Row],[Lower Range]], REPT("0",LEN('General Info'!$B$40))) &amp; " - " &amp; TEXT(SamplingData[[#This Row],[Upper Range]], REPT("0",LEN('General Info'!$B$40))))</f>
        <v>18523 - 18523</v>
      </c>
      <c r="T572" s="100">
        <f>SamplingData[[#This Row],[Upper Range]]-SamplingData[[#This Row],[Span]]</f>
        <v>18523.289167857874</v>
      </c>
      <c r="U572" s="100">
        <f>IF(ISNUMBER('General Info'!$B$40), ((SamplingData[[#This Row],[up/U Selection Probability]]) * 'General Info'!$B$40) - 1, 0)</f>
        <v>-3.0714865103695255E-2</v>
      </c>
      <c r="V572" s="100">
        <f>IF(ISNUMBER('General Info'!$B$40), (SamplingData[[#This Row],[Running (cumulative) sum]] * ('General Info'!$B$40 -'General Info'!$B$41 + 1)) + 'General Info'!$B$41 - 1, 0)</f>
        <v>18523.25845299277</v>
      </c>
      <c r="W572" s="100" t="str">
        <f>IF(ISERROR(MATCH(SamplingData[[#This Row],[Batch by Type (p)]],SelectedPrecincts[Batch Name], 0)), "", INDEX(SelectedPrecincts[Draw], MATCH(SamplingData[[#This Row],[Batch by Type (p)]],SelectedPrecincts[Batch Name], 0)))</f>
        <v/>
      </c>
      <c r="X572" s="102">
        <f>IF(COUNTIF(SelectedPrecincts[Batch Name],SamplingData[[#This Row],[Batch by Type (p)]]) &lt;&gt; 0, COUNTIF(SelectedPrecincts[Batch Name],SamplingData[[#This Row],[Batch by Type (p)]]), 0)</f>
        <v>0</v>
      </c>
    </row>
    <row r="573" spans="1:24" ht="15" customHeight="1">
      <c r="A573" s="18" t="s">
        <v>749</v>
      </c>
      <c r="B573" s="18">
        <v>0</v>
      </c>
      <c r="C573" s="18">
        <v>0</v>
      </c>
      <c r="D573" s="16">
        <v>0</v>
      </c>
      <c r="E573" s="16">
        <v>0</v>
      </c>
      <c r="F573" s="37">
        <v>0</v>
      </c>
      <c r="G573" s="37">
        <v>0</v>
      </c>
      <c r="H573" s="17">
        <v>0</v>
      </c>
      <c r="I573" s="17">
        <v>0</v>
      </c>
      <c r="J573" s="99">
        <f>SUM(SamplingData[[#This Row],[Losing Candidate]:[Under Votes]])</f>
        <v>0</v>
      </c>
      <c r="K573" s="100">
        <f>IF(AND(SamplingData[[#This Row],[Total]]&lt;&gt; 0, NOT(ISBLANK(SamplingData[[#This Row],[Losing Candidate]]))),(SamplingData[[#This Row],[Total]]+SamplingData[[#This Row],[Winning Candidate]]-SamplingData[[#This Row],[Losing Candidate]])/(SamplingData[[#Totals],[Winning Candidate]]-SamplingData[[#Totals],[Losing Candidate]]), 0)</f>
        <v>0</v>
      </c>
      <c r="L573" s="100">
        <f>IF(AND(SamplingData[[#This Row],[Total]]&lt;&gt; 0, NOT(ISBLANK(SamplingData[[#This Row],[Candidate 3]]))),(SamplingData[[#This Row],[Total]]+SamplingData[[#This Row],[Winning Candidate]]-SamplingData[[#This Row],[Candidate 3]])/(SamplingData[[#Totals],[Winning Candidate]]-SamplingData[[#Totals],[Candidate 3]]), 0)</f>
        <v>0</v>
      </c>
      <c r="M573" s="100">
        <f>IF(AND(SamplingData[[#This Row],[Total]]&lt;&gt; 0, NOT(ISBLANK(SamplingData[[#This Row],[Candidate 4]]))),(SamplingData[[#This Row],[Total]]+SamplingData[[#This Row],[Winning Candidate]]-SamplingData[[#This Row],[Candidate 4]])/(SamplingData[[#Totals],[Winning Candidate]]-SamplingData[[#Totals],[Candidate 4]]), 0)</f>
        <v>0</v>
      </c>
      <c r="N573" s="100">
        <f>IF(AND(SamplingData[[#This Row],[Total]]&lt;&gt; 0, NOT(ISBLANK(SamplingData[[#This Row],[Candidate 5]]))),(SamplingData[[#This Row],[Total]]+SamplingData[[#This Row],[Winning Candidate]]-SamplingData[[#This Row],[Candidate 5]])/(SamplingData[[#Totals],[Winning Candidate]]-SamplingData[[#Totals],[Candidate 5]]), 0)</f>
        <v>0</v>
      </c>
      <c r="O573" s="100">
        <f>IF(AND(SamplingData[[#This Row],[Total]]&lt;&gt; 0, NOT(ISBLANK(SamplingData[[#This Row],[Candidate 6]]))),(SamplingData[[#This Row],[Total]]+SamplingData[[#This Row],[Winning Candidate]]-SamplingData[[#This Row],[Candidate 6]])/(SamplingData[[#Totals],[Winning Candidate]]-SamplingData[[#Totals],[Candidate 6]]), 0)</f>
        <v>0</v>
      </c>
      <c r="P573" s="100">
        <f>MAX(SamplingData[[#This Row],[Error Bound (up) - Max. possible relative overstatement - Losing Candidate]:[Error Bound (up) - Max. possible relative overstatement - Candidate 6]])</f>
        <v>0</v>
      </c>
      <c r="Q573" s="100">
        <f>IF(SamplingData[[#This Row],[Max Error Bound (up)]] = 0,0,SamplingData[[#This Row],[Max Error Bound (up)]]/SamplingData[[#Totals],[Max Error Bound (up)]])</f>
        <v>0</v>
      </c>
      <c r="R573" s="101">
        <f>SUM($Q$5:Q573)</f>
        <v>0.1852425845299277</v>
      </c>
      <c r="S573" s="100" t="str">
        <f t="array" ref="S573">IF(SamplingData[[#This Row],[up/U Selection Probability]] = 0, "Zero", TEXT(SamplingData[[#This Row],[Lower Range]], REPT("0",LEN('General Info'!$B$40))) &amp; " - " &amp; TEXT(SamplingData[[#This Row],[Upper Range]], REPT("0",LEN('General Info'!$B$40))))</f>
        <v>Zero</v>
      </c>
      <c r="T573" s="100">
        <f>SamplingData[[#This Row],[Upper Range]]-SamplingData[[#This Row],[Span]]</f>
        <v>18524.25845299277</v>
      </c>
      <c r="U573" s="100">
        <f>IF(ISNUMBER('General Info'!$B$40), ((SamplingData[[#This Row],[up/U Selection Probability]]) * 'General Info'!$B$40) - 1, 0)</f>
        <v>-1</v>
      </c>
      <c r="V573" s="100">
        <f>IF(ISNUMBER('General Info'!$B$40), (SamplingData[[#This Row],[Running (cumulative) sum]] * ('General Info'!$B$40 -'General Info'!$B$41 + 1)) + 'General Info'!$B$41 - 1, 0)</f>
        <v>18523.25845299277</v>
      </c>
      <c r="W573" s="100" t="str">
        <f>IF(ISERROR(MATCH(SamplingData[[#This Row],[Batch by Type (p)]],SelectedPrecincts[Batch Name], 0)), "", INDEX(SelectedPrecincts[Draw], MATCH(SamplingData[[#This Row],[Batch by Type (p)]],SelectedPrecincts[Batch Name], 0)))</f>
        <v/>
      </c>
      <c r="X573" s="102">
        <f>IF(COUNTIF(SelectedPrecincts[Batch Name],SamplingData[[#This Row],[Batch by Type (p)]]) &lt;&gt; 0, COUNTIF(SelectedPrecincts[Batch Name],SamplingData[[#This Row],[Batch by Type (p)]]), 0)</f>
        <v>0</v>
      </c>
    </row>
    <row r="574" spans="1:24" ht="15" customHeight="1">
      <c r="A574" s="18" t="s">
        <v>750</v>
      </c>
      <c r="B574" s="18">
        <v>0</v>
      </c>
      <c r="C574" s="18">
        <v>0</v>
      </c>
      <c r="D574" s="18">
        <v>0</v>
      </c>
      <c r="E574" s="18">
        <v>0</v>
      </c>
      <c r="F574" s="18">
        <v>0</v>
      </c>
      <c r="G574" s="18">
        <v>0</v>
      </c>
      <c r="H574" s="18">
        <v>0</v>
      </c>
      <c r="I574" s="18">
        <v>0</v>
      </c>
      <c r="J574" s="99">
        <f>SUM(SamplingData[[#This Row],[Losing Candidate]:[Under Votes]])</f>
        <v>0</v>
      </c>
      <c r="K574" s="100">
        <f>IF(AND(SamplingData[[#This Row],[Total]]&lt;&gt; 0, NOT(ISBLANK(SamplingData[[#This Row],[Losing Candidate]]))),(SamplingData[[#This Row],[Total]]+SamplingData[[#This Row],[Winning Candidate]]-SamplingData[[#This Row],[Losing Candidate]])/(SamplingData[[#Totals],[Winning Candidate]]-SamplingData[[#Totals],[Losing Candidate]]), 0)</f>
        <v>0</v>
      </c>
      <c r="L574" s="100">
        <f>IF(AND(SamplingData[[#This Row],[Total]]&lt;&gt; 0, NOT(ISBLANK(SamplingData[[#This Row],[Candidate 3]]))),(SamplingData[[#This Row],[Total]]+SamplingData[[#This Row],[Winning Candidate]]-SamplingData[[#This Row],[Candidate 3]])/(SamplingData[[#Totals],[Winning Candidate]]-SamplingData[[#Totals],[Candidate 3]]), 0)</f>
        <v>0</v>
      </c>
      <c r="M574" s="100">
        <f>IF(AND(SamplingData[[#This Row],[Total]]&lt;&gt; 0, NOT(ISBLANK(SamplingData[[#This Row],[Candidate 4]]))),(SamplingData[[#This Row],[Total]]+SamplingData[[#This Row],[Winning Candidate]]-SamplingData[[#This Row],[Candidate 4]])/(SamplingData[[#Totals],[Winning Candidate]]-SamplingData[[#Totals],[Candidate 4]]), 0)</f>
        <v>0</v>
      </c>
      <c r="N574" s="100">
        <f>IF(AND(SamplingData[[#This Row],[Total]]&lt;&gt; 0, NOT(ISBLANK(SamplingData[[#This Row],[Candidate 5]]))),(SamplingData[[#This Row],[Total]]+SamplingData[[#This Row],[Winning Candidate]]-SamplingData[[#This Row],[Candidate 5]])/(SamplingData[[#Totals],[Winning Candidate]]-SamplingData[[#Totals],[Candidate 5]]), 0)</f>
        <v>0</v>
      </c>
      <c r="O574" s="100">
        <f>IF(AND(SamplingData[[#This Row],[Total]]&lt;&gt; 0, NOT(ISBLANK(SamplingData[[#This Row],[Candidate 6]]))),(SamplingData[[#This Row],[Total]]+SamplingData[[#This Row],[Winning Candidate]]-SamplingData[[#This Row],[Candidate 6]])/(SamplingData[[#Totals],[Winning Candidate]]-SamplingData[[#Totals],[Candidate 6]]), 0)</f>
        <v>0</v>
      </c>
      <c r="P574" s="100">
        <f>MAX(SamplingData[[#This Row],[Error Bound (up) - Max. possible relative overstatement - Losing Candidate]:[Error Bound (up) - Max. possible relative overstatement - Candidate 6]])</f>
        <v>0</v>
      </c>
      <c r="Q574" s="100">
        <f>IF(SamplingData[[#This Row],[Max Error Bound (up)]] = 0,0,SamplingData[[#This Row],[Max Error Bound (up)]]/SamplingData[[#Totals],[Max Error Bound (up)]])</f>
        <v>0</v>
      </c>
      <c r="R574" s="101">
        <f>SUM($Q$5:Q574)</f>
        <v>0.1852425845299277</v>
      </c>
      <c r="S574" s="100" t="str">
        <f t="array" ref="S574">IF(SamplingData[[#This Row],[up/U Selection Probability]] = 0, "Zero", TEXT(SamplingData[[#This Row],[Lower Range]], REPT("0",LEN('General Info'!$B$40))) &amp; " - " &amp; TEXT(SamplingData[[#This Row],[Upper Range]], REPT("0",LEN('General Info'!$B$40))))</f>
        <v>Zero</v>
      </c>
      <c r="T574" s="100">
        <f>SamplingData[[#This Row],[Upper Range]]-SamplingData[[#This Row],[Span]]</f>
        <v>18524.25845299277</v>
      </c>
      <c r="U574" s="100">
        <f>IF(ISNUMBER('General Info'!$B$40), ((SamplingData[[#This Row],[up/U Selection Probability]]) * 'General Info'!$B$40) - 1, 0)</f>
        <v>-1</v>
      </c>
      <c r="V574" s="100">
        <f>IF(ISNUMBER('General Info'!$B$40), (SamplingData[[#This Row],[Running (cumulative) sum]] * ('General Info'!$B$40 -'General Info'!$B$41 + 1)) + 'General Info'!$B$41 - 1, 0)</f>
        <v>18523.25845299277</v>
      </c>
      <c r="W574" s="100" t="str">
        <f>IF(ISERROR(MATCH(SamplingData[[#This Row],[Batch by Type (p)]],SelectedPrecincts[Batch Name], 0)), "", INDEX(SelectedPrecincts[Draw], MATCH(SamplingData[[#This Row],[Batch by Type (p)]],SelectedPrecincts[Batch Name], 0)))</f>
        <v/>
      </c>
      <c r="X574" s="102">
        <f>IF(COUNTIF(SelectedPrecincts[Batch Name],SamplingData[[#This Row],[Batch by Type (p)]]) &lt;&gt; 0, COUNTIF(SelectedPrecincts[Batch Name],SamplingData[[#This Row],[Batch by Type (p)]]), 0)</f>
        <v>0</v>
      </c>
    </row>
    <row r="575" spans="1:24" ht="15" customHeight="1">
      <c r="A575" s="18" t="s">
        <v>751</v>
      </c>
      <c r="B575" s="18">
        <v>0</v>
      </c>
      <c r="C575" s="18">
        <v>0</v>
      </c>
      <c r="D575" s="16">
        <v>0</v>
      </c>
      <c r="E575" s="16">
        <v>0</v>
      </c>
      <c r="F575" s="37">
        <v>0</v>
      </c>
      <c r="G575" s="37">
        <v>0</v>
      </c>
      <c r="H575" s="17">
        <v>0</v>
      </c>
      <c r="I575" s="17">
        <v>0</v>
      </c>
      <c r="J575" s="99">
        <f>SUM(SamplingData[[#This Row],[Losing Candidate]:[Under Votes]])</f>
        <v>0</v>
      </c>
      <c r="K575" s="100">
        <f>IF(AND(SamplingData[[#This Row],[Total]]&lt;&gt; 0, NOT(ISBLANK(SamplingData[[#This Row],[Losing Candidate]]))),(SamplingData[[#This Row],[Total]]+SamplingData[[#This Row],[Winning Candidate]]-SamplingData[[#This Row],[Losing Candidate]])/(SamplingData[[#Totals],[Winning Candidate]]-SamplingData[[#Totals],[Losing Candidate]]), 0)</f>
        <v>0</v>
      </c>
      <c r="L575" s="100">
        <f>IF(AND(SamplingData[[#This Row],[Total]]&lt;&gt; 0, NOT(ISBLANK(SamplingData[[#This Row],[Candidate 3]]))),(SamplingData[[#This Row],[Total]]+SamplingData[[#This Row],[Winning Candidate]]-SamplingData[[#This Row],[Candidate 3]])/(SamplingData[[#Totals],[Winning Candidate]]-SamplingData[[#Totals],[Candidate 3]]), 0)</f>
        <v>0</v>
      </c>
      <c r="M575" s="100">
        <f>IF(AND(SamplingData[[#This Row],[Total]]&lt;&gt; 0, NOT(ISBLANK(SamplingData[[#This Row],[Candidate 4]]))),(SamplingData[[#This Row],[Total]]+SamplingData[[#This Row],[Winning Candidate]]-SamplingData[[#This Row],[Candidate 4]])/(SamplingData[[#Totals],[Winning Candidate]]-SamplingData[[#Totals],[Candidate 4]]), 0)</f>
        <v>0</v>
      </c>
      <c r="N575" s="100">
        <f>IF(AND(SamplingData[[#This Row],[Total]]&lt;&gt; 0, NOT(ISBLANK(SamplingData[[#This Row],[Candidate 5]]))),(SamplingData[[#This Row],[Total]]+SamplingData[[#This Row],[Winning Candidate]]-SamplingData[[#This Row],[Candidate 5]])/(SamplingData[[#Totals],[Winning Candidate]]-SamplingData[[#Totals],[Candidate 5]]), 0)</f>
        <v>0</v>
      </c>
      <c r="O575" s="100">
        <f>IF(AND(SamplingData[[#This Row],[Total]]&lt;&gt; 0, NOT(ISBLANK(SamplingData[[#This Row],[Candidate 6]]))),(SamplingData[[#This Row],[Total]]+SamplingData[[#This Row],[Winning Candidate]]-SamplingData[[#This Row],[Candidate 6]])/(SamplingData[[#Totals],[Winning Candidate]]-SamplingData[[#Totals],[Candidate 6]]), 0)</f>
        <v>0</v>
      </c>
      <c r="P575" s="100">
        <f>MAX(SamplingData[[#This Row],[Error Bound (up) - Max. possible relative overstatement - Losing Candidate]:[Error Bound (up) - Max. possible relative overstatement - Candidate 6]])</f>
        <v>0</v>
      </c>
      <c r="Q575" s="100">
        <f>IF(SamplingData[[#This Row],[Max Error Bound (up)]] = 0,0,SamplingData[[#This Row],[Max Error Bound (up)]]/SamplingData[[#Totals],[Max Error Bound (up)]])</f>
        <v>0</v>
      </c>
      <c r="R575" s="101">
        <f>SUM($Q$5:Q575)</f>
        <v>0.1852425845299277</v>
      </c>
      <c r="S575" s="100" t="str">
        <f t="array" ref="S575">IF(SamplingData[[#This Row],[up/U Selection Probability]] = 0, "Zero", TEXT(SamplingData[[#This Row],[Lower Range]], REPT("0",LEN('General Info'!$B$40))) &amp; " - " &amp; TEXT(SamplingData[[#This Row],[Upper Range]], REPT("0",LEN('General Info'!$B$40))))</f>
        <v>Zero</v>
      </c>
      <c r="T575" s="100">
        <f>SamplingData[[#This Row],[Upper Range]]-SamplingData[[#This Row],[Span]]</f>
        <v>18524.25845299277</v>
      </c>
      <c r="U575" s="100">
        <f>IF(ISNUMBER('General Info'!$B$40), ((SamplingData[[#This Row],[up/U Selection Probability]]) * 'General Info'!$B$40) - 1, 0)</f>
        <v>-1</v>
      </c>
      <c r="V575" s="100">
        <f>IF(ISNUMBER('General Info'!$B$40), (SamplingData[[#This Row],[Running (cumulative) sum]] * ('General Info'!$B$40 -'General Info'!$B$41 + 1)) + 'General Info'!$B$41 - 1, 0)</f>
        <v>18523.25845299277</v>
      </c>
      <c r="W575" s="100" t="str">
        <f>IF(ISERROR(MATCH(SamplingData[[#This Row],[Batch by Type (p)]],SelectedPrecincts[Batch Name], 0)), "", INDEX(SelectedPrecincts[Draw], MATCH(SamplingData[[#This Row],[Batch by Type (p)]],SelectedPrecincts[Batch Name], 0)))</f>
        <v/>
      </c>
      <c r="X575" s="102">
        <f>IF(COUNTIF(SelectedPrecincts[Batch Name],SamplingData[[#This Row],[Batch by Type (p)]]) &lt;&gt; 0, COUNTIF(SelectedPrecincts[Batch Name],SamplingData[[#This Row],[Batch by Type (p)]]), 0)</f>
        <v>0</v>
      </c>
    </row>
    <row r="576" spans="1:24" ht="15" customHeight="1">
      <c r="A576" s="18" t="s">
        <v>752</v>
      </c>
      <c r="B576" s="18">
        <v>1</v>
      </c>
      <c r="C576" s="18">
        <v>0</v>
      </c>
      <c r="D576" s="18">
        <v>0</v>
      </c>
      <c r="E576" s="18">
        <v>0</v>
      </c>
      <c r="F576" s="18">
        <v>0</v>
      </c>
      <c r="G576" s="18">
        <v>0</v>
      </c>
      <c r="H576" s="18">
        <v>0</v>
      </c>
      <c r="I576" s="18">
        <v>0</v>
      </c>
      <c r="J576" s="99">
        <f>SUM(SamplingData[[#This Row],[Losing Candidate]:[Under Votes]])</f>
        <v>1</v>
      </c>
      <c r="K576" s="100">
        <f>IF(AND(SamplingData[[#This Row],[Total]]&lt;&gt; 0, NOT(ISBLANK(SamplingData[[#This Row],[Losing Candidate]]))),(SamplingData[[#This Row],[Total]]+SamplingData[[#This Row],[Winning Candidate]]-SamplingData[[#This Row],[Losing Candidate]])/(SamplingData[[#Totals],[Winning Candidate]]-SamplingData[[#Totals],[Losing Candidate]]), 0)</f>
        <v>0</v>
      </c>
      <c r="L576" s="100">
        <f>IF(AND(SamplingData[[#This Row],[Total]]&lt;&gt; 0, NOT(ISBLANK(SamplingData[[#This Row],[Candidate 3]]))),(SamplingData[[#This Row],[Total]]+SamplingData[[#This Row],[Winning Candidate]]-SamplingData[[#This Row],[Candidate 3]])/(SamplingData[[#Totals],[Winning Candidate]]-SamplingData[[#Totals],[Candidate 3]]), 0)</f>
        <v>3.2261186566441917E-5</v>
      </c>
      <c r="M576" s="100">
        <f>IF(AND(SamplingData[[#This Row],[Total]]&lt;&gt; 0, NOT(ISBLANK(SamplingData[[#This Row],[Candidate 4]]))),(SamplingData[[#This Row],[Total]]+SamplingData[[#This Row],[Winning Candidate]]-SamplingData[[#This Row],[Candidate 4]])/(SamplingData[[#Totals],[Winning Candidate]]-SamplingData[[#Totals],[Candidate 4]]), 0)</f>
        <v>2.923207343096846E-5</v>
      </c>
      <c r="N576" s="100">
        <f>IF(AND(SamplingData[[#This Row],[Total]]&lt;&gt; 0, NOT(ISBLANK(SamplingData[[#This Row],[Candidate 5]]))),(SamplingData[[#This Row],[Total]]+SamplingData[[#This Row],[Winning Candidate]]-SamplingData[[#This Row],[Candidate 5]])/(SamplingData[[#Totals],[Winning Candidate]]-SamplingData[[#Totals],[Candidate 5]]), 0)</f>
        <v>2.4324981756263683E-5</v>
      </c>
      <c r="O576" s="100">
        <f>IF(AND(SamplingData[[#This Row],[Total]]&lt;&gt; 0, NOT(ISBLANK(SamplingData[[#This Row],[Candidate 6]]))),(SamplingData[[#This Row],[Total]]+SamplingData[[#This Row],[Winning Candidate]]-SamplingData[[#This Row],[Candidate 6]])/(SamplingData[[#Totals],[Winning Candidate]]-SamplingData[[#Totals],[Candidate 6]]), 0)</f>
        <v>2.431788337143135E-5</v>
      </c>
      <c r="P576" s="100">
        <f>MAX(SamplingData[[#This Row],[Error Bound (up) - Max. possible relative overstatement - Losing Candidate]:[Error Bound (up) - Max. possible relative overstatement - Candidate 6]])</f>
        <v>3.2261186566441917E-5</v>
      </c>
      <c r="Q576" s="100">
        <f>IF(SamplingData[[#This Row],[Max Error Bound (up)]] = 0,0,SamplingData[[#This Row],[Max Error Bound (up)]]/SamplingData[[#Totals],[Max Error Bound (up)]])</f>
        <v>5.1058637768320663E-6</v>
      </c>
      <c r="R576" s="101">
        <f>SUM($Q$5:Q576)</f>
        <v>0.18524769039370453</v>
      </c>
      <c r="S576" s="100" t="str">
        <f t="array" ref="S576">IF(SamplingData[[#This Row],[up/U Selection Probability]] = 0, "Zero", TEXT(SamplingData[[#This Row],[Lower Range]], REPT("0",LEN('General Info'!$B$40))) &amp; " - " &amp; TEXT(SamplingData[[#This Row],[Upper Range]], REPT("0",LEN('General Info'!$B$40))))</f>
        <v>18524 - 18524</v>
      </c>
      <c r="T576" s="100">
        <f>SamplingData[[#This Row],[Upper Range]]-SamplingData[[#This Row],[Span]]</f>
        <v>18524.258458098633</v>
      </c>
      <c r="U576" s="100">
        <f>IF(ISNUMBER('General Info'!$B$40), ((SamplingData[[#This Row],[up/U Selection Probability]]) * 'General Info'!$B$40) - 1, 0)</f>
        <v>-0.4894187281805702</v>
      </c>
      <c r="V576" s="100">
        <f>IF(ISNUMBER('General Info'!$B$40), (SamplingData[[#This Row],[Running (cumulative) sum]] * ('General Info'!$B$40 -'General Info'!$B$41 + 1)) + 'General Info'!$B$41 - 1, 0)</f>
        <v>18523.769039370454</v>
      </c>
      <c r="W576" s="100" t="str">
        <f>IF(ISERROR(MATCH(SamplingData[[#This Row],[Batch by Type (p)]],SelectedPrecincts[Batch Name], 0)), "", INDEX(SelectedPrecincts[Draw], MATCH(SamplingData[[#This Row],[Batch by Type (p)]],SelectedPrecincts[Batch Name], 0)))</f>
        <v/>
      </c>
      <c r="X576" s="102">
        <f>IF(COUNTIF(SelectedPrecincts[Batch Name],SamplingData[[#This Row],[Batch by Type (p)]]) &lt;&gt; 0, COUNTIF(SelectedPrecincts[Batch Name],SamplingData[[#This Row],[Batch by Type (p)]]), 0)</f>
        <v>0</v>
      </c>
    </row>
    <row r="577" spans="1:24" ht="15" customHeight="1">
      <c r="A577" s="18" t="s">
        <v>753</v>
      </c>
      <c r="B577" s="18">
        <v>0</v>
      </c>
      <c r="C577" s="18">
        <v>0</v>
      </c>
      <c r="D577" s="16">
        <v>0</v>
      </c>
      <c r="E577" s="16">
        <v>0</v>
      </c>
      <c r="F577" s="37">
        <v>0</v>
      </c>
      <c r="G577" s="37">
        <v>0</v>
      </c>
      <c r="H577" s="17">
        <v>0</v>
      </c>
      <c r="I577" s="17">
        <v>0</v>
      </c>
      <c r="J577" s="99">
        <f>SUM(SamplingData[[#This Row],[Losing Candidate]:[Under Votes]])</f>
        <v>0</v>
      </c>
      <c r="K577" s="100">
        <f>IF(AND(SamplingData[[#This Row],[Total]]&lt;&gt; 0, NOT(ISBLANK(SamplingData[[#This Row],[Losing Candidate]]))),(SamplingData[[#This Row],[Total]]+SamplingData[[#This Row],[Winning Candidate]]-SamplingData[[#This Row],[Losing Candidate]])/(SamplingData[[#Totals],[Winning Candidate]]-SamplingData[[#Totals],[Losing Candidate]]), 0)</f>
        <v>0</v>
      </c>
      <c r="L577" s="100">
        <f>IF(AND(SamplingData[[#This Row],[Total]]&lt;&gt; 0, NOT(ISBLANK(SamplingData[[#This Row],[Candidate 3]]))),(SamplingData[[#This Row],[Total]]+SamplingData[[#This Row],[Winning Candidate]]-SamplingData[[#This Row],[Candidate 3]])/(SamplingData[[#Totals],[Winning Candidate]]-SamplingData[[#Totals],[Candidate 3]]), 0)</f>
        <v>0</v>
      </c>
      <c r="M577" s="100">
        <f>IF(AND(SamplingData[[#This Row],[Total]]&lt;&gt; 0, NOT(ISBLANK(SamplingData[[#This Row],[Candidate 4]]))),(SamplingData[[#This Row],[Total]]+SamplingData[[#This Row],[Winning Candidate]]-SamplingData[[#This Row],[Candidate 4]])/(SamplingData[[#Totals],[Winning Candidate]]-SamplingData[[#Totals],[Candidate 4]]), 0)</f>
        <v>0</v>
      </c>
      <c r="N577" s="100">
        <f>IF(AND(SamplingData[[#This Row],[Total]]&lt;&gt; 0, NOT(ISBLANK(SamplingData[[#This Row],[Candidate 5]]))),(SamplingData[[#This Row],[Total]]+SamplingData[[#This Row],[Winning Candidate]]-SamplingData[[#This Row],[Candidate 5]])/(SamplingData[[#Totals],[Winning Candidate]]-SamplingData[[#Totals],[Candidate 5]]), 0)</f>
        <v>0</v>
      </c>
      <c r="O577" s="100">
        <f>IF(AND(SamplingData[[#This Row],[Total]]&lt;&gt; 0, NOT(ISBLANK(SamplingData[[#This Row],[Candidate 6]]))),(SamplingData[[#This Row],[Total]]+SamplingData[[#This Row],[Winning Candidate]]-SamplingData[[#This Row],[Candidate 6]])/(SamplingData[[#Totals],[Winning Candidate]]-SamplingData[[#Totals],[Candidate 6]]), 0)</f>
        <v>0</v>
      </c>
      <c r="P577" s="100">
        <f>MAX(SamplingData[[#This Row],[Error Bound (up) - Max. possible relative overstatement - Losing Candidate]:[Error Bound (up) - Max. possible relative overstatement - Candidate 6]])</f>
        <v>0</v>
      </c>
      <c r="Q577" s="100">
        <f>IF(SamplingData[[#This Row],[Max Error Bound (up)]] = 0,0,SamplingData[[#This Row],[Max Error Bound (up)]]/SamplingData[[#Totals],[Max Error Bound (up)]])</f>
        <v>0</v>
      </c>
      <c r="R577" s="101">
        <f>SUM($Q$5:Q577)</f>
        <v>0.18524769039370453</v>
      </c>
      <c r="S577" s="100" t="str">
        <f t="array" ref="S577">IF(SamplingData[[#This Row],[up/U Selection Probability]] = 0, "Zero", TEXT(SamplingData[[#This Row],[Lower Range]], REPT("0",LEN('General Info'!$B$40))) &amp; " - " &amp; TEXT(SamplingData[[#This Row],[Upper Range]], REPT("0",LEN('General Info'!$B$40))))</f>
        <v>Zero</v>
      </c>
      <c r="T577" s="100">
        <f>SamplingData[[#This Row],[Upper Range]]-SamplingData[[#This Row],[Span]]</f>
        <v>18524.769039370454</v>
      </c>
      <c r="U577" s="100">
        <f>IF(ISNUMBER('General Info'!$B$40), ((SamplingData[[#This Row],[up/U Selection Probability]]) * 'General Info'!$B$40) - 1, 0)</f>
        <v>-1</v>
      </c>
      <c r="V577" s="100">
        <f>IF(ISNUMBER('General Info'!$B$40), (SamplingData[[#This Row],[Running (cumulative) sum]] * ('General Info'!$B$40 -'General Info'!$B$41 + 1)) + 'General Info'!$B$41 - 1, 0)</f>
        <v>18523.769039370454</v>
      </c>
      <c r="W577" s="100" t="str">
        <f>IF(ISERROR(MATCH(SamplingData[[#This Row],[Batch by Type (p)]],SelectedPrecincts[Batch Name], 0)), "", INDEX(SelectedPrecincts[Draw], MATCH(SamplingData[[#This Row],[Batch by Type (p)]],SelectedPrecincts[Batch Name], 0)))</f>
        <v/>
      </c>
      <c r="X577" s="102">
        <f>IF(COUNTIF(SelectedPrecincts[Batch Name],SamplingData[[#This Row],[Batch by Type (p)]]) &lt;&gt; 0, COUNTIF(SelectedPrecincts[Batch Name],SamplingData[[#This Row],[Batch by Type (p)]]), 0)</f>
        <v>0</v>
      </c>
    </row>
    <row r="578" spans="1:24" ht="15" customHeight="1">
      <c r="A578" s="18" t="s">
        <v>754</v>
      </c>
      <c r="B578" s="18">
        <v>0</v>
      </c>
      <c r="C578" s="18">
        <v>0</v>
      </c>
      <c r="D578" s="18">
        <v>0</v>
      </c>
      <c r="E578" s="18">
        <v>0</v>
      </c>
      <c r="F578" s="18">
        <v>0</v>
      </c>
      <c r="G578" s="18">
        <v>0</v>
      </c>
      <c r="H578" s="18">
        <v>0</v>
      </c>
      <c r="I578" s="18">
        <v>0</v>
      </c>
      <c r="J578" s="99">
        <f>SUM(SamplingData[[#This Row],[Losing Candidate]:[Under Votes]])</f>
        <v>0</v>
      </c>
      <c r="K578" s="100">
        <f>IF(AND(SamplingData[[#This Row],[Total]]&lt;&gt; 0, NOT(ISBLANK(SamplingData[[#This Row],[Losing Candidate]]))),(SamplingData[[#This Row],[Total]]+SamplingData[[#This Row],[Winning Candidate]]-SamplingData[[#This Row],[Losing Candidate]])/(SamplingData[[#Totals],[Winning Candidate]]-SamplingData[[#Totals],[Losing Candidate]]), 0)</f>
        <v>0</v>
      </c>
      <c r="L578" s="100">
        <f>IF(AND(SamplingData[[#This Row],[Total]]&lt;&gt; 0, NOT(ISBLANK(SamplingData[[#This Row],[Candidate 3]]))),(SamplingData[[#This Row],[Total]]+SamplingData[[#This Row],[Winning Candidate]]-SamplingData[[#This Row],[Candidate 3]])/(SamplingData[[#Totals],[Winning Candidate]]-SamplingData[[#Totals],[Candidate 3]]), 0)</f>
        <v>0</v>
      </c>
      <c r="M578" s="100">
        <f>IF(AND(SamplingData[[#This Row],[Total]]&lt;&gt; 0, NOT(ISBLANK(SamplingData[[#This Row],[Candidate 4]]))),(SamplingData[[#This Row],[Total]]+SamplingData[[#This Row],[Winning Candidate]]-SamplingData[[#This Row],[Candidate 4]])/(SamplingData[[#Totals],[Winning Candidate]]-SamplingData[[#Totals],[Candidate 4]]), 0)</f>
        <v>0</v>
      </c>
      <c r="N578" s="100">
        <f>IF(AND(SamplingData[[#This Row],[Total]]&lt;&gt; 0, NOT(ISBLANK(SamplingData[[#This Row],[Candidate 5]]))),(SamplingData[[#This Row],[Total]]+SamplingData[[#This Row],[Winning Candidate]]-SamplingData[[#This Row],[Candidate 5]])/(SamplingData[[#Totals],[Winning Candidate]]-SamplingData[[#Totals],[Candidate 5]]), 0)</f>
        <v>0</v>
      </c>
      <c r="O578" s="100">
        <f>IF(AND(SamplingData[[#This Row],[Total]]&lt;&gt; 0, NOT(ISBLANK(SamplingData[[#This Row],[Candidate 6]]))),(SamplingData[[#This Row],[Total]]+SamplingData[[#This Row],[Winning Candidate]]-SamplingData[[#This Row],[Candidate 6]])/(SamplingData[[#Totals],[Winning Candidate]]-SamplingData[[#Totals],[Candidate 6]]), 0)</f>
        <v>0</v>
      </c>
      <c r="P578" s="100">
        <f>MAX(SamplingData[[#This Row],[Error Bound (up) - Max. possible relative overstatement - Losing Candidate]:[Error Bound (up) - Max. possible relative overstatement - Candidate 6]])</f>
        <v>0</v>
      </c>
      <c r="Q578" s="100">
        <f>IF(SamplingData[[#This Row],[Max Error Bound (up)]] = 0,0,SamplingData[[#This Row],[Max Error Bound (up)]]/SamplingData[[#Totals],[Max Error Bound (up)]])</f>
        <v>0</v>
      </c>
      <c r="R578" s="101">
        <f>SUM($Q$5:Q578)</f>
        <v>0.18524769039370453</v>
      </c>
      <c r="S578" s="100" t="str">
        <f t="array" ref="S578">IF(SamplingData[[#This Row],[up/U Selection Probability]] = 0, "Zero", TEXT(SamplingData[[#This Row],[Lower Range]], REPT("0",LEN('General Info'!$B$40))) &amp; " - " &amp; TEXT(SamplingData[[#This Row],[Upper Range]], REPT("0",LEN('General Info'!$B$40))))</f>
        <v>Zero</v>
      </c>
      <c r="T578" s="100">
        <f>SamplingData[[#This Row],[Upper Range]]-SamplingData[[#This Row],[Span]]</f>
        <v>18524.769039370454</v>
      </c>
      <c r="U578" s="100">
        <f>IF(ISNUMBER('General Info'!$B$40), ((SamplingData[[#This Row],[up/U Selection Probability]]) * 'General Info'!$B$40) - 1, 0)</f>
        <v>-1</v>
      </c>
      <c r="V578" s="100">
        <f>IF(ISNUMBER('General Info'!$B$40), (SamplingData[[#This Row],[Running (cumulative) sum]] * ('General Info'!$B$40 -'General Info'!$B$41 + 1)) + 'General Info'!$B$41 - 1, 0)</f>
        <v>18523.769039370454</v>
      </c>
      <c r="W578" s="100" t="str">
        <f>IF(ISERROR(MATCH(SamplingData[[#This Row],[Batch by Type (p)]],SelectedPrecincts[Batch Name], 0)), "", INDEX(SelectedPrecincts[Draw], MATCH(SamplingData[[#This Row],[Batch by Type (p)]],SelectedPrecincts[Batch Name], 0)))</f>
        <v/>
      </c>
      <c r="X578" s="102">
        <f>IF(COUNTIF(SelectedPrecincts[Batch Name],SamplingData[[#This Row],[Batch by Type (p)]]) &lt;&gt; 0, COUNTIF(SelectedPrecincts[Batch Name],SamplingData[[#This Row],[Batch by Type (p)]]), 0)</f>
        <v>0</v>
      </c>
    </row>
    <row r="579" spans="1:24" ht="15" customHeight="1">
      <c r="A579" s="18" t="s">
        <v>755</v>
      </c>
      <c r="B579" s="18">
        <v>0</v>
      </c>
      <c r="C579" s="18">
        <v>0</v>
      </c>
      <c r="D579" s="16">
        <v>0</v>
      </c>
      <c r="E579" s="16">
        <v>0</v>
      </c>
      <c r="F579" s="37">
        <v>0</v>
      </c>
      <c r="G579" s="37">
        <v>0</v>
      </c>
      <c r="H579" s="17">
        <v>0</v>
      </c>
      <c r="I579" s="17">
        <v>0</v>
      </c>
      <c r="J579" s="99">
        <f>SUM(SamplingData[[#This Row],[Losing Candidate]:[Under Votes]])</f>
        <v>0</v>
      </c>
      <c r="K579" s="100">
        <f>IF(AND(SamplingData[[#This Row],[Total]]&lt;&gt; 0, NOT(ISBLANK(SamplingData[[#This Row],[Losing Candidate]]))),(SamplingData[[#This Row],[Total]]+SamplingData[[#This Row],[Winning Candidate]]-SamplingData[[#This Row],[Losing Candidate]])/(SamplingData[[#Totals],[Winning Candidate]]-SamplingData[[#Totals],[Losing Candidate]]), 0)</f>
        <v>0</v>
      </c>
      <c r="L579" s="100">
        <f>IF(AND(SamplingData[[#This Row],[Total]]&lt;&gt; 0, NOT(ISBLANK(SamplingData[[#This Row],[Candidate 3]]))),(SamplingData[[#This Row],[Total]]+SamplingData[[#This Row],[Winning Candidate]]-SamplingData[[#This Row],[Candidate 3]])/(SamplingData[[#Totals],[Winning Candidate]]-SamplingData[[#Totals],[Candidate 3]]), 0)</f>
        <v>0</v>
      </c>
      <c r="M579" s="100">
        <f>IF(AND(SamplingData[[#This Row],[Total]]&lt;&gt; 0, NOT(ISBLANK(SamplingData[[#This Row],[Candidate 4]]))),(SamplingData[[#This Row],[Total]]+SamplingData[[#This Row],[Winning Candidate]]-SamplingData[[#This Row],[Candidate 4]])/(SamplingData[[#Totals],[Winning Candidate]]-SamplingData[[#Totals],[Candidate 4]]), 0)</f>
        <v>0</v>
      </c>
      <c r="N579" s="100">
        <f>IF(AND(SamplingData[[#This Row],[Total]]&lt;&gt; 0, NOT(ISBLANK(SamplingData[[#This Row],[Candidate 5]]))),(SamplingData[[#This Row],[Total]]+SamplingData[[#This Row],[Winning Candidate]]-SamplingData[[#This Row],[Candidate 5]])/(SamplingData[[#Totals],[Winning Candidate]]-SamplingData[[#Totals],[Candidate 5]]), 0)</f>
        <v>0</v>
      </c>
      <c r="O579" s="100">
        <f>IF(AND(SamplingData[[#This Row],[Total]]&lt;&gt; 0, NOT(ISBLANK(SamplingData[[#This Row],[Candidate 6]]))),(SamplingData[[#This Row],[Total]]+SamplingData[[#This Row],[Winning Candidate]]-SamplingData[[#This Row],[Candidate 6]])/(SamplingData[[#Totals],[Winning Candidate]]-SamplingData[[#Totals],[Candidate 6]]), 0)</f>
        <v>0</v>
      </c>
      <c r="P579" s="100">
        <f>MAX(SamplingData[[#This Row],[Error Bound (up) - Max. possible relative overstatement - Losing Candidate]:[Error Bound (up) - Max. possible relative overstatement - Candidate 6]])</f>
        <v>0</v>
      </c>
      <c r="Q579" s="100">
        <f>IF(SamplingData[[#This Row],[Max Error Bound (up)]] = 0,0,SamplingData[[#This Row],[Max Error Bound (up)]]/SamplingData[[#Totals],[Max Error Bound (up)]])</f>
        <v>0</v>
      </c>
      <c r="R579" s="101">
        <f>SUM($Q$5:Q579)</f>
        <v>0.18524769039370453</v>
      </c>
      <c r="S579" s="100" t="str">
        <f t="array" ref="S579">IF(SamplingData[[#This Row],[up/U Selection Probability]] = 0, "Zero", TEXT(SamplingData[[#This Row],[Lower Range]], REPT("0",LEN('General Info'!$B$40))) &amp; " - " &amp; TEXT(SamplingData[[#This Row],[Upper Range]], REPT("0",LEN('General Info'!$B$40))))</f>
        <v>Zero</v>
      </c>
      <c r="T579" s="100">
        <f>SamplingData[[#This Row],[Upper Range]]-SamplingData[[#This Row],[Span]]</f>
        <v>18524.769039370454</v>
      </c>
      <c r="U579" s="100">
        <f>IF(ISNUMBER('General Info'!$B$40), ((SamplingData[[#This Row],[up/U Selection Probability]]) * 'General Info'!$B$40) - 1, 0)</f>
        <v>-1</v>
      </c>
      <c r="V579" s="100">
        <f>IF(ISNUMBER('General Info'!$B$40), (SamplingData[[#This Row],[Running (cumulative) sum]] * ('General Info'!$B$40 -'General Info'!$B$41 + 1)) + 'General Info'!$B$41 - 1, 0)</f>
        <v>18523.769039370454</v>
      </c>
      <c r="W579" s="100" t="str">
        <f>IF(ISERROR(MATCH(SamplingData[[#This Row],[Batch by Type (p)]],SelectedPrecincts[Batch Name], 0)), "", INDEX(SelectedPrecincts[Draw], MATCH(SamplingData[[#This Row],[Batch by Type (p)]],SelectedPrecincts[Batch Name], 0)))</f>
        <v/>
      </c>
      <c r="X579" s="102">
        <f>IF(COUNTIF(SelectedPrecincts[Batch Name],SamplingData[[#This Row],[Batch by Type (p)]]) &lt;&gt; 0, COUNTIF(SelectedPrecincts[Batch Name],SamplingData[[#This Row],[Batch by Type (p)]]), 0)</f>
        <v>0</v>
      </c>
    </row>
    <row r="580" spans="1:24" ht="15" customHeight="1">
      <c r="A580" s="18" t="s">
        <v>756</v>
      </c>
      <c r="B580" s="18">
        <v>0</v>
      </c>
      <c r="C580" s="18">
        <v>0</v>
      </c>
      <c r="D580" s="18">
        <v>0</v>
      </c>
      <c r="E580" s="18">
        <v>0</v>
      </c>
      <c r="F580" s="18">
        <v>0</v>
      </c>
      <c r="G580" s="18">
        <v>0</v>
      </c>
      <c r="H580" s="18">
        <v>0</v>
      </c>
      <c r="I580" s="18">
        <v>0</v>
      </c>
      <c r="J580" s="99">
        <f>SUM(SamplingData[[#This Row],[Losing Candidate]:[Under Votes]])</f>
        <v>0</v>
      </c>
      <c r="K580" s="100">
        <f>IF(AND(SamplingData[[#This Row],[Total]]&lt;&gt; 0, NOT(ISBLANK(SamplingData[[#This Row],[Losing Candidate]]))),(SamplingData[[#This Row],[Total]]+SamplingData[[#This Row],[Winning Candidate]]-SamplingData[[#This Row],[Losing Candidate]])/(SamplingData[[#Totals],[Winning Candidate]]-SamplingData[[#Totals],[Losing Candidate]]), 0)</f>
        <v>0</v>
      </c>
      <c r="L580" s="100">
        <f>IF(AND(SamplingData[[#This Row],[Total]]&lt;&gt; 0, NOT(ISBLANK(SamplingData[[#This Row],[Candidate 3]]))),(SamplingData[[#This Row],[Total]]+SamplingData[[#This Row],[Winning Candidate]]-SamplingData[[#This Row],[Candidate 3]])/(SamplingData[[#Totals],[Winning Candidate]]-SamplingData[[#Totals],[Candidate 3]]), 0)</f>
        <v>0</v>
      </c>
      <c r="M580" s="100">
        <f>IF(AND(SamplingData[[#This Row],[Total]]&lt;&gt; 0, NOT(ISBLANK(SamplingData[[#This Row],[Candidate 4]]))),(SamplingData[[#This Row],[Total]]+SamplingData[[#This Row],[Winning Candidate]]-SamplingData[[#This Row],[Candidate 4]])/(SamplingData[[#Totals],[Winning Candidate]]-SamplingData[[#Totals],[Candidate 4]]), 0)</f>
        <v>0</v>
      </c>
      <c r="N580" s="100">
        <f>IF(AND(SamplingData[[#This Row],[Total]]&lt;&gt; 0, NOT(ISBLANK(SamplingData[[#This Row],[Candidate 5]]))),(SamplingData[[#This Row],[Total]]+SamplingData[[#This Row],[Winning Candidate]]-SamplingData[[#This Row],[Candidate 5]])/(SamplingData[[#Totals],[Winning Candidate]]-SamplingData[[#Totals],[Candidate 5]]), 0)</f>
        <v>0</v>
      </c>
      <c r="O580" s="100">
        <f>IF(AND(SamplingData[[#This Row],[Total]]&lt;&gt; 0, NOT(ISBLANK(SamplingData[[#This Row],[Candidate 6]]))),(SamplingData[[#This Row],[Total]]+SamplingData[[#This Row],[Winning Candidate]]-SamplingData[[#This Row],[Candidate 6]])/(SamplingData[[#Totals],[Winning Candidate]]-SamplingData[[#Totals],[Candidate 6]]), 0)</f>
        <v>0</v>
      </c>
      <c r="P580" s="100">
        <f>MAX(SamplingData[[#This Row],[Error Bound (up) - Max. possible relative overstatement - Losing Candidate]:[Error Bound (up) - Max. possible relative overstatement - Candidate 6]])</f>
        <v>0</v>
      </c>
      <c r="Q580" s="100">
        <f>IF(SamplingData[[#This Row],[Max Error Bound (up)]] = 0,0,SamplingData[[#This Row],[Max Error Bound (up)]]/SamplingData[[#Totals],[Max Error Bound (up)]])</f>
        <v>0</v>
      </c>
      <c r="R580" s="101">
        <f>SUM($Q$5:Q580)</f>
        <v>0.18524769039370453</v>
      </c>
      <c r="S580" s="100" t="str">
        <f t="array" ref="S580">IF(SamplingData[[#This Row],[up/U Selection Probability]] = 0, "Zero", TEXT(SamplingData[[#This Row],[Lower Range]], REPT("0",LEN('General Info'!$B$40))) &amp; " - " &amp; TEXT(SamplingData[[#This Row],[Upper Range]], REPT("0",LEN('General Info'!$B$40))))</f>
        <v>Zero</v>
      </c>
      <c r="T580" s="100">
        <f>SamplingData[[#This Row],[Upper Range]]-SamplingData[[#This Row],[Span]]</f>
        <v>18524.769039370454</v>
      </c>
      <c r="U580" s="100">
        <f>IF(ISNUMBER('General Info'!$B$40), ((SamplingData[[#This Row],[up/U Selection Probability]]) * 'General Info'!$B$40) - 1, 0)</f>
        <v>-1</v>
      </c>
      <c r="V580" s="100">
        <f>IF(ISNUMBER('General Info'!$B$40), (SamplingData[[#This Row],[Running (cumulative) sum]] * ('General Info'!$B$40 -'General Info'!$B$41 + 1)) + 'General Info'!$B$41 - 1, 0)</f>
        <v>18523.769039370454</v>
      </c>
      <c r="W580" s="100" t="str">
        <f>IF(ISERROR(MATCH(SamplingData[[#This Row],[Batch by Type (p)]],SelectedPrecincts[Batch Name], 0)), "", INDEX(SelectedPrecincts[Draw], MATCH(SamplingData[[#This Row],[Batch by Type (p)]],SelectedPrecincts[Batch Name], 0)))</f>
        <v/>
      </c>
      <c r="X580" s="102">
        <f>IF(COUNTIF(SelectedPrecincts[Batch Name],SamplingData[[#This Row],[Batch by Type (p)]]) &lt;&gt; 0, COUNTIF(SelectedPrecincts[Batch Name],SamplingData[[#This Row],[Batch by Type (p)]]), 0)</f>
        <v>0</v>
      </c>
    </row>
    <row r="581" spans="1:24" ht="15" customHeight="1">
      <c r="A581" s="18" t="s">
        <v>757</v>
      </c>
      <c r="B581" s="18">
        <v>1</v>
      </c>
      <c r="C581" s="18">
        <v>0</v>
      </c>
      <c r="D581" s="16">
        <v>0</v>
      </c>
      <c r="E581" s="16">
        <v>0</v>
      </c>
      <c r="F581" s="37">
        <v>0</v>
      </c>
      <c r="G581" s="37">
        <v>0</v>
      </c>
      <c r="H581" s="17">
        <v>0</v>
      </c>
      <c r="I581" s="17">
        <v>0</v>
      </c>
      <c r="J581" s="99">
        <f>SUM(SamplingData[[#This Row],[Losing Candidate]:[Under Votes]])</f>
        <v>1</v>
      </c>
      <c r="K581" s="100">
        <f>IF(AND(SamplingData[[#This Row],[Total]]&lt;&gt; 0, NOT(ISBLANK(SamplingData[[#This Row],[Losing Candidate]]))),(SamplingData[[#This Row],[Total]]+SamplingData[[#This Row],[Winning Candidate]]-SamplingData[[#This Row],[Losing Candidate]])/(SamplingData[[#Totals],[Winning Candidate]]-SamplingData[[#Totals],[Losing Candidate]]), 0)</f>
        <v>0</v>
      </c>
      <c r="L581" s="100">
        <f>IF(AND(SamplingData[[#This Row],[Total]]&lt;&gt; 0, NOT(ISBLANK(SamplingData[[#This Row],[Candidate 3]]))),(SamplingData[[#This Row],[Total]]+SamplingData[[#This Row],[Winning Candidate]]-SamplingData[[#This Row],[Candidate 3]])/(SamplingData[[#Totals],[Winning Candidate]]-SamplingData[[#Totals],[Candidate 3]]), 0)</f>
        <v>3.2261186566441917E-5</v>
      </c>
      <c r="M581" s="100">
        <f>IF(AND(SamplingData[[#This Row],[Total]]&lt;&gt; 0, NOT(ISBLANK(SamplingData[[#This Row],[Candidate 4]]))),(SamplingData[[#This Row],[Total]]+SamplingData[[#This Row],[Winning Candidate]]-SamplingData[[#This Row],[Candidate 4]])/(SamplingData[[#Totals],[Winning Candidate]]-SamplingData[[#Totals],[Candidate 4]]), 0)</f>
        <v>2.923207343096846E-5</v>
      </c>
      <c r="N581" s="100">
        <f>IF(AND(SamplingData[[#This Row],[Total]]&lt;&gt; 0, NOT(ISBLANK(SamplingData[[#This Row],[Candidate 5]]))),(SamplingData[[#This Row],[Total]]+SamplingData[[#This Row],[Winning Candidate]]-SamplingData[[#This Row],[Candidate 5]])/(SamplingData[[#Totals],[Winning Candidate]]-SamplingData[[#Totals],[Candidate 5]]), 0)</f>
        <v>2.4324981756263683E-5</v>
      </c>
      <c r="O581" s="100">
        <f>IF(AND(SamplingData[[#This Row],[Total]]&lt;&gt; 0, NOT(ISBLANK(SamplingData[[#This Row],[Candidate 6]]))),(SamplingData[[#This Row],[Total]]+SamplingData[[#This Row],[Winning Candidate]]-SamplingData[[#This Row],[Candidate 6]])/(SamplingData[[#Totals],[Winning Candidate]]-SamplingData[[#Totals],[Candidate 6]]), 0)</f>
        <v>2.431788337143135E-5</v>
      </c>
      <c r="P581" s="100">
        <f>MAX(SamplingData[[#This Row],[Error Bound (up) - Max. possible relative overstatement - Losing Candidate]:[Error Bound (up) - Max. possible relative overstatement - Candidate 6]])</f>
        <v>3.2261186566441917E-5</v>
      </c>
      <c r="Q581" s="100">
        <f>IF(SamplingData[[#This Row],[Max Error Bound (up)]] = 0,0,SamplingData[[#This Row],[Max Error Bound (up)]]/SamplingData[[#Totals],[Max Error Bound (up)]])</f>
        <v>5.1058637768320663E-6</v>
      </c>
      <c r="R581" s="101">
        <f>SUM($Q$5:Q581)</f>
        <v>0.18525279625748137</v>
      </c>
      <c r="S581" s="100" t="str">
        <f t="array" ref="S581">IF(SamplingData[[#This Row],[up/U Selection Probability]] = 0, "Zero", TEXT(SamplingData[[#This Row],[Lower Range]], REPT("0",LEN('General Info'!$B$40))) &amp; " - " &amp; TEXT(SamplingData[[#This Row],[Upper Range]], REPT("0",LEN('General Info'!$B$40))))</f>
        <v>18525 - 18524</v>
      </c>
      <c r="T581" s="100">
        <f>SamplingData[[#This Row],[Upper Range]]-SamplingData[[#This Row],[Span]]</f>
        <v>18524.769044476314</v>
      </c>
      <c r="U581" s="100">
        <f>IF(ISNUMBER('General Info'!$B$40), ((SamplingData[[#This Row],[up/U Selection Probability]]) * 'General Info'!$B$40) - 1, 0)</f>
        <v>-0.4894187281805702</v>
      </c>
      <c r="V581" s="100">
        <f>IF(ISNUMBER('General Info'!$B$40), (SamplingData[[#This Row],[Running (cumulative) sum]] * ('General Info'!$B$40 -'General Info'!$B$41 + 1)) + 'General Info'!$B$41 - 1, 0)</f>
        <v>18524.279625748135</v>
      </c>
      <c r="W581" s="100" t="str">
        <f>IF(ISERROR(MATCH(SamplingData[[#This Row],[Batch by Type (p)]],SelectedPrecincts[Batch Name], 0)), "", INDEX(SelectedPrecincts[Draw], MATCH(SamplingData[[#This Row],[Batch by Type (p)]],SelectedPrecincts[Batch Name], 0)))</f>
        <v/>
      </c>
      <c r="X581" s="102">
        <f>IF(COUNTIF(SelectedPrecincts[Batch Name],SamplingData[[#This Row],[Batch by Type (p)]]) &lt;&gt; 0, COUNTIF(SelectedPrecincts[Batch Name],SamplingData[[#This Row],[Batch by Type (p)]]), 0)</f>
        <v>0</v>
      </c>
    </row>
    <row r="582" spans="1:24" ht="15" customHeight="1">
      <c r="A582" s="18" t="s">
        <v>758</v>
      </c>
      <c r="B582" s="18">
        <v>0</v>
      </c>
      <c r="C582" s="18">
        <v>0</v>
      </c>
      <c r="D582" s="18">
        <v>0</v>
      </c>
      <c r="E582" s="18">
        <v>0</v>
      </c>
      <c r="F582" s="18">
        <v>0</v>
      </c>
      <c r="G582" s="18">
        <v>0</v>
      </c>
      <c r="H582" s="18">
        <v>0</v>
      </c>
      <c r="I582" s="18">
        <v>0</v>
      </c>
      <c r="J582" s="99">
        <f>SUM(SamplingData[[#This Row],[Losing Candidate]:[Under Votes]])</f>
        <v>0</v>
      </c>
      <c r="K582" s="100">
        <f>IF(AND(SamplingData[[#This Row],[Total]]&lt;&gt; 0, NOT(ISBLANK(SamplingData[[#This Row],[Losing Candidate]]))),(SamplingData[[#This Row],[Total]]+SamplingData[[#This Row],[Winning Candidate]]-SamplingData[[#This Row],[Losing Candidate]])/(SamplingData[[#Totals],[Winning Candidate]]-SamplingData[[#Totals],[Losing Candidate]]), 0)</f>
        <v>0</v>
      </c>
      <c r="L582" s="100">
        <f>IF(AND(SamplingData[[#This Row],[Total]]&lt;&gt; 0, NOT(ISBLANK(SamplingData[[#This Row],[Candidate 3]]))),(SamplingData[[#This Row],[Total]]+SamplingData[[#This Row],[Winning Candidate]]-SamplingData[[#This Row],[Candidate 3]])/(SamplingData[[#Totals],[Winning Candidate]]-SamplingData[[#Totals],[Candidate 3]]), 0)</f>
        <v>0</v>
      </c>
      <c r="M582" s="100">
        <f>IF(AND(SamplingData[[#This Row],[Total]]&lt;&gt; 0, NOT(ISBLANK(SamplingData[[#This Row],[Candidate 4]]))),(SamplingData[[#This Row],[Total]]+SamplingData[[#This Row],[Winning Candidate]]-SamplingData[[#This Row],[Candidate 4]])/(SamplingData[[#Totals],[Winning Candidate]]-SamplingData[[#Totals],[Candidate 4]]), 0)</f>
        <v>0</v>
      </c>
      <c r="N582" s="100">
        <f>IF(AND(SamplingData[[#This Row],[Total]]&lt;&gt; 0, NOT(ISBLANK(SamplingData[[#This Row],[Candidate 5]]))),(SamplingData[[#This Row],[Total]]+SamplingData[[#This Row],[Winning Candidate]]-SamplingData[[#This Row],[Candidate 5]])/(SamplingData[[#Totals],[Winning Candidate]]-SamplingData[[#Totals],[Candidate 5]]), 0)</f>
        <v>0</v>
      </c>
      <c r="O582" s="100">
        <f>IF(AND(SamplingData[[#This Row],[Total]]&lt;&gt; 0, NOT(ISBLANK(SamplingData[[#This Row],[Candidate 6]]))),(SamplingData[[#This Row],[Total]]+SamplingData[[#This Row],[Winning Candidate]]-SamplingData[[#This Row],[Candidate 6]])/(SamplingData[[#Totals],[Winning Candidate]]-SamplingData[[#Totals],[Candidate 6]]), 0)</f>
        <v>0</v>
      </c>
      <c r="P582" s="100">
        <f>MAX(SamplingData[[#This Row],[Error Bound (up) - Max. possible relative overstatement - Losing Candidate]:[Error Bound (up) - Max. possible relative overstatement - Candidate 6]])</f>
        <v>0</v>
      </c>
      <c r="Q582" s="100">
        <f>IF(SamplingData[[#This Row],[Max Error Bound (up)]] = 0,0,SamplingData[[#This Row],[Max Error Bound (up)]]/SamplingData[[#Totals],[Max Error Bound (up)]])</f>
        <v>0</v>
      </c>
      <c r="R582" s="101">
        <f>SUM($Q$5:Q582)</f>
        <v>0.18525279625748137</v>
      </c>
      <c r="S582" s="100" t="str">
        <f t="array" ref="S582">IF(SamplingData[[#This Row],[up/U Selection Probability]] = 0, "Zero", TEXT(SamplingData[[#This Row],[Lower Range]], REPT("0",LEN('General Info'!$B$40))) &amp; " - " &amp; TEXT(SamplingData[[#This Row],[Upper Range]], REPT("0",LEN('General Info'!$B$40))))</f>
        <v>Zero</v>
      </c>
      <c r="T582" s="100">
        <f>SamplingData[[#This Row],[Upper Range]]-SamplingData[[#This Row],[Span]]</f>
        <v>18525.279625748135</v>
      </c>
      <c r="U582" s="100">
        <f>IF(ISNUMBER('General Info'!$B$40), ((SamplingData[[#This Row],[up/U Selection Probability]]) * 'General Info'!$B$40) - 1, 0)</f>
        <v>-1</v>
      </c>
      <c r="V582" s="100">
        <f>IF(ISNUMBER('General Info'!$B$40), (SamplingData[[#This Row],[Running (cumulative) sum]] * ('General Info'!$B$40 -'General Info'!$B$41 + 1)) + 'General Info'!$B$41 - 1, 0)</f>
        <v>18524.279625748135</v>
      </c>
      <c r="W582" s="100" t="str">
        <f>IF(ISERROR(MATCH(SamplingData[[#This Row],[Batch by Type (p)]],SelectedPrecincts[Batch Name], 0)), "", INDEX(SelectedPrecincts[Draw], MATCH(SamplingData[[#This Row],[Batch by Type (p)]],SelectedPrecincts[Batch Name], 0)))</f>
        <v/>
      </c>
      <c r="X582" s="102">
        <f>IF(COUNTIF(SelectedPrecincts[Batch Name],SamplingData[[#This Row],[Batch by Type (p)]]) &lt;&gt; 0, COUNTIF(SelectedPrecincts[Batch Name],SamplingData[[#This Row],[Batch by Type (p)]]), 0)</f>
        <v>0</v>
      </c>
    </row>
    <row r="583" spans="1:24" ht="15" customHeight="1">
      <c r="A583" s="18" t="s">
        <v>759</v>
      </c>
      <c r="B583" s="18">
        <v>1</v>
      </c>
      <c r="C583" s="18">
        <v>0</v>
      </c>
      <c r="D583" s="16">
        <v>0</v>
      </c>
      <c r="E583" s="16">
        <v>0</v>
      </c>
      <c r="F583" s="37">
        <v>0</v>
      </c>
      <c r="G583" s="37">
        <v>0</v>
      </c>
      <c r="H583" s="17">
        <v>0</v>
      </c>
      <c r="I583" s="17">
        <v>0</v>
      </c>
      <c r="J583" s="99">
        <f>SUM(SamplingData[[#This Row],[Losing Candidate]:[Under Votes]])</f>
        <v>1</v>
      </c>
      <c r="K583" s="100">
        <f>IF(AND(SamplingData[[#This Row],[Total]]&lt;&gt; 0, NOT(ISBLANK(SamplingData[[#This Row],[Losing Candidate]]))),(SamplingData[[#This Row],[Total]]+SamplingData[[#This Row],[Winning Candidate]]-SamplingData[[#This Row],[Losing Candidate]])/(SamplingData[[#Totals],[Winning Candidate]]-SamplingData[[#Totals],[Losing Candidate]]), 0)</f>
        <v>0</v>
      </c>
      <c r="L583" s="100">
        <f>IF(AND(SamplingData[[#This Row],[Total]]&lt;&gt; 0, NOT(ISBLANK(SamplingData[[#This Row],[Candidate 3]]))),(SamplingData[[#This Row],[Total]]+SamplingData[[#This Row],[Winning Candidate]]-SamplingData[[#This Row],[Candidate 3]])/(SamplingData[[#Totals],[Winning Candidate]]-SamplingData[[#Totals],[Candidate 3]]), 0)</f>
        <v>3.2261186566441917E-5</v>
      </c>
      <c r="M583" s="100">
        <f>IF(AND(SamplingData[[#This Row],[Total]]&lt;&gt; 0, NOT(ISBLANK(SamplingData[[#This Row],[Candidate 4]]))),(SamplingData[[#This Row],[Total]]+SamplingData[[#This Row],[Winning Candidate]]-SamplingData[[#This Row],[Candidate 4]])/(SamplingData[[#Totals],[Winning Candidate]]-SamplingData[[#Totals],[Candidate 4]]), 0)</f>
        <v>2.923207343096846E-5</v>
      </c>
      <c r="N583" s="100">
        <f>IF(AND(SamplingData[[#This Row],[Total]]&lt;&gt; 0, NOT(ISBLANK(SamplingData[[#This Row],[Candidate 5]]))),(SamplingData[[#This Row],[Total]]+SamplingData[[#This Row],[Winning Candidate]]-SamplingData[[#This Row],[Candidate 5]])/(SamplingData[[#Totals],[Winning Candidate]]-SamplingData[[#Totals],[Candidate 5]]), 0)</f>
        <v>2.4324981756263683E-5</v>
      </c>
      <c r="O583" s="100">
        <f>IF(AND(SamplingData[[#This Row],[Total]]&lt;&gt; 0, NOT(ISBLANK(SamplingData[[#This Row],[Candidate 6]]))),(SamplingData[[#This Row],[Total]]+SamplingData[[#This Row],[Winning Candidate]]-SamplingData[[#This Row],[Candidate 6]])/(SamplingData[[#Totals],[Winning Candidate]]-SamplingData[[#Totals],[Candidate 6]]), 0)</f>
        <v>2.431788337143135E-5</v>
      </c>
      <c r="P583" s="100">
        <f>MAX(SamplingData[[#This Row],[Error Bound (up) - Max. possible relative overstatement - Losing Candidate]:[Error Bound (up) - Max. possible relative overstatement - Candidate 6]])</f>
        <v>3.2261186566441917E-5</v>
      </c>
      <c r="Q583" s="100">
        <f>IF(SamplingData[[#This Row],[Max Error Bound (up)]] = 0,0,SamplingData[[#This Row],[Max Error Bound (up)]]/SamplingData[[#Totals],[Max Error Bound (up)]])</f>
        <v>5.1058637768320663E-6</v>
      </c>
      <c r="R583" s="101">
        <f>SUM($Q$5:Q583)</f>
        <v>0.1852579021212582</v>
      </c>
      <c r="S583" s="100" t="str">
        <f t="array" ref="S583">IF(SamplingData[[#This Row],[up/U Selection Probability]] = 0, "Zero", TEXT(SamplingData[[#This Row],[Lower Range]], REPT("0",LEN('General Info'!$B$40))) &amp; " - " &amp; TEXT(SamplingData[[#This Row],[Upper Range]], REPT("0",LEN('General Info'!$B$40))))</f>
        <v>18525 - 18525</v>
      </c>
      <c r="T583" s="100">
        <f>SamplingData[[#This Row],[Upper Range]]-SamplingData[[#This Row],[Span]]</f>
        <v>18525.279630853998</v>
      </c>
      <c r="U583" s="100">
        <f>IF(ISNUMBER('General Info'!$B$40), ((SamplingData[[#This Row],[up/U Selection Probability]]) * 'General Info'!$B$40) - 1, 0)</f>
        <v>-0.4894187281805702</v>
      </c>
      <c r="V583" s="100">
        <f>IF(ISNUMBER('General Info'!$B$40), (SamplingData[[#This Row],[Running (cumulative) sum]] * ('General Info'!$B$40 -'General Info'!$B$41 + 1)) + 'General Info'!$B$41 - 1, 0)</f>
        <v>18524.790212125819</v>
      </c>
      <c r="W583" s="100" t="str">
        <f>IF(ISERROR(MATCH(SamplingData[[#This Row],[Batch by Type (p)]],SelectedPrecincts[Batch Name], 0)), "", INDEX(SelectedPrecincts[Draw], MATCH(SamplingData[[#This Row],[Batch by Type (p)]],SelectedPrecincts[Batch Name], 0)))</f>
        <v/>
      </c>
      <c r="X583" s="102">
        <f>IF(COUNTIF(SelectedPrecincts[Batch Name],SamplingData[[#This Row],[Batch by Type (p)]]) &lt;&gt; 0, COUNTIF(SelectedPrecincts[Batch Name],SamplingData[[#This Row],[Batch by Type (p)]]), 0)</f>
        <v>0</v>
      </c>
    </row>
    <row r="584" spans="1:24" ht="15" customHeight="1">
      <c r="A584" s="18" t="s">
        <v>760</v>
      </c>
      <c r="B584" s="18">
        <v>0</v>
      </c>
      <c r="C584" s="18">
        <v>0</v>
      </c>
      <c r="D584" s="18">
        <v>0</v>
      </c>
      <c r="E584" s="18">
        <v>0</v>
      </c>
      <c r="F584" s="18">
        <v>0</v>
      </c>
      <c r="G584" s="18">
        <v>0</v>
      </c>
      <c r="H584" s="18">
        <v>0</v>
      </c>
      <c r="I584" s="18">
        <v>0</v>
      </c>
      <c r="J584" s="99">
        <f>SUM(SamplingData[[#This Row],[Losing Candidate]:[Under Votes]])</f>
        <v>0</v>
      </c>
      <c r="K584" s="100">
        <f>IF(AND(SamplingData[[#This Row],[Total]]&lt;&gt; 0, NOT(ISBLANK(SamplingData[[#This Row],[Losing Candidate]]))),(SamplingData[[#This Row],[Total]]+SamplingData[[#This Row],[Winning Candidate]]-SamplingData[[#This Row],[Losing Candidate]])/(SamplingData[[#Totals],[Winning Candidate]]-SamplingData[[#Totals],[Losing Candidate]]), 0)</f>
        <v>0</v>
      </c>
      <c r="L584" s="100">
        <f>IF(AND(SamplingData[[#This Row],[Total]]&lt;&gt; 0, NOT(ISBLANK(SamplingData[[#This Row],[Candidate 3]]))),(SamplingData[[#This Row],[Total]]+SamplingData[[#This Row],[Winning Candidate]]-SamplingData[[#This Row],[Candidate 3]])/(SamplingData[[#Totals],[Winning Candidate]]-SamplingData[[#Totals],[Candidate 3]]), 0)</f>
        <v>0</v>
      </c>
      <c r="M584" s="100">
        <f>IF(AND(SamplingData[[#This Row],[Total]]&lt;&gt; 0, NOT(ISBLANK(SamplingData[[#This Row],[Candidate 4]]))),(SamplingData[[#This Row],[Total]]+SamplingData[[#This Row],[Winning Candidate]]-SamplingData[[#This Row],[Candidate 4]])/(SamplingData[[#Totals],[Winning Candidate]]-SamplingData[[#Totals],[Candidate 4]]), 0)</f>
        <v>0</v>
      </c>
      <c r="N584" s="100">
        <f>IF(AND(SamplingData[[#This Row],[Total]]&lt;&gt; 0, NOT(ISBLANK(SamplingData[[#This Row],[Candidate 5]]))),(SamplingData[[#This Row],[Total]]+SamplingData[[#This Row],[Winning Candidate]]-SamplingData[[#This Row],[Candidate 5]])/(SamplingData[[#Totals],[Winning Candidate]]-SamplingData[[#Totals],[Candidate 5]]), 0)</f>
        <v>0</v>
      </c>
      <c r="O584" s="100">
        <f>IF(AND(SamplingData[[#This Row],[Total]]&lt;&gt; 0, NOT(ISBLANK(SamplingData[[#This Row],[Candidate 6]]))),(SamplingData[[#This Row],[Total]]+SamplingData[[#This Row],[Winning Candidate]]-SamplingData[[#This Row],[Candidate 6]])/(SamplingData[[#Totals],[Winning Candidate]]-SamplingData[[#Totals],[Candidate 6]]), 0)</f>
        <v>0</v>
      </c>
      <c r="P584" s="100">
        <f>MAX(SamplingData[[#This Row],[Error Bound (up) - Max. possible relative overstatement - Losing Candidate]:[Error Bound (up) - Max. possible relative overstatement - Candidate 6]])</f>
        <v>0</v>
      </c>
      <c r="Q584" s="100">
        <f>IF(SamplingData[[#This Row],[Max Error Bound (up)]] = 0,0,SamplingData[[#This Row],[Max Error Bound (up)]]/SamplingData[[#Totals],[Max Error Bound (up)]])</f>
        <v>0</v>
      </c>
      <c r="R584" s="101">
        <f>SUM($Q$5:Q584)</f>
        <v>0.1852579021212582</v>
      </c>
      <c r="S584" s="100" t="str">
        <f t="array" ref="S584">IF(SamplingData[[#This Row],[up/U Selection Probability]] = 0, "Zero", TEXT(SamplingData[[#This Row],[Lower Range]], REPT("0",LEN('General Info'!$B$40))) &amp; " - " &amp; TEXT(SamplingData[[#This Row],[Upper Range]], REPT("0",LEN('General Info'!$B$40))))</f>
        <v>Zero</v>
      </c>
      <c r="T584" s="100">
        <f>SamplingData[[#This Row],[Upper Range]]-SamplingData[[#This Row],[Span]]</f>
        <v>18525.790212125819</v>
      </c>
      <c r="U584" s="100">
        <f>IF(ISNUMBER('General Info'!$B$40), ((SamplingData[[#This Row],[up/U Selection Probability]]) * 'General Info'!$B$40) - 1, 0)</f>
        <v>-1</v>
      </c>
      <c r="V584" s="100">
        <f>IF(ISNUMBER('General Info'!$B$40), (SamplingData[[#This Row],[Running (cumulative) sum]] * ('General Info'!$B$40 -'General Info'!$B$41 + 1)) + 'General Info'!$B$41 - 1, 0)</f>
        <v>18524.790212125819</v>
      </c>
      <c r="W584" s="100" t="str">
        <f>IF(ISERROR(MATCH(SamplingData[[#This Row],[Batch by Type (p)]],SelectedPrecincts[Batch Name], 0)), "", INDEX(SelectedPrecincts[Draw], MATCH(SamplingData[[#This Row],[Batch by Type (p)]],SelectedPrecincts[Batch Name], 0)))</f>
        <v/>
      </c>
      <c r="X584" s="102">
        <f>IF(COUNTIF(SelectedPrecincts[Batch Name],SamplingData[[#This Row],[Batch by Type (p)]]) &lt;&gt; 0, COUNTIF(SelectedPrecincts[Batch Name],SamplingData[[#This Row],[Batch by Type (p)]]), 0)</f>
        <v>0</v>
      </c>
    </row>
    <row r="585" spans="1:24" ht="15" customHeight="1">
      <c r="A585" s="18" t="s">
        <v>761</v>
      </c>
      <c r="B585" s="18">
        <v>4</v>
      </c>
      <c r="C585" s="18">
        <v>0</v>
      </c>
      <c r="D585" s="16">
        <v>0</v>
      </c>
      <c r="E585" s="16">
        <v>1</v>
      </c>
      <c r="F585" s="37">
        <v>1</v>
      </c>
      <c r="G585" s="37">
        <v>0</v>
      </c>
      <c r="H585" s="17">
        <v>0</v>
      </c>
      <c r="I585" s="17">
        <v>0</v>
      </c>
      <c r="J585" s="99">
        <f>SUM(SamplingData[[#This Row],[Losing Candidate]:[Under Votes]])</f>
        <v>6</v>
      </c>
      <c r="K585"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85" s="100">
        <f>IF(AND(SamplingData[[#This Row],[Total]]&lt;&gt; 0, NOT(ISBLANK(SamplingData[[#This Row],[Candidate 3]]))),(SamplingData[[#This Row],[Total]]+SamplingData[[#This Row],[Winning Candidate]]-SamplingData[[#This Row],[Candidate 3]])/(SamplingData[[#Totals],[Winning Candidate]]-SamplingData[[#Totals],[Candidate 3]]), 0)</f>
        <v>1.9356711939865149E-4</v>
      </c>
      <c r="M585" s="100">
        <f>IF(AND(SamplingData[[#This Row],[Total]]&lt;&gt; 0, NOT(ISBLANK(SamplingData[[#This Row],[Candidate 4]]))),(SamplingData[[#This Row],[Total]]+SamplingData[[#This Row],[Winning Candidate]]-SamplingData[[#This Row],[Candidate 4]])/(SamplingData[[#Totals],[Winning Candidate]]-SamplingData[[#Totals],[Candidate 4]]), 0)</f>
        <v>1.4616036715484231E-4</v>
      </c>
      <c r="N585" s="100">
        <f>IF(AND(SamplingData[[#This Row],[Total]]&lt;&gt; 0, NOT(ISBLANK(SamplingData[[#This Row],[Candidate 5]]))),(SamplingData[[#This Row],[Total]]+SamplingData[[#This Row],[Winning Candidate]]-SamplingData[[#This Row],[Candidate 5]])/(SamplingData[[#Totals],[Winning Candidate]]-SamplingData[[#Totals],[Candidate 5]]), 0)</f>
        <v>1.2162490878131841E-4</v>
      </c>
      <c r="O585" s="100">
        <f>IF(AND(SamplingData[[#This Row],[Total]]&lt;&gt; 0, NOT(ISBLANK(SamplingData[[#This Row],[Candidate 6]]))),(SamplingData[[#This Row],[Total]]+SamplingData[[#This Row],[Winning Candidate]]-SamplingData[[#This Row],[Candidate 6]])/(SamplingData[[#Totals],[Winning Candidate]]-SamplingData[[#Totals],[Candidate 6]]), 0)</f>
        <v>1.4590730022858811E-4</v>
      </c>
      <c r="P585" s="100">
        <f>MAX(SamplingData[[#This Row],[Error Bound (up) - Max. possible relative overstatement - Losing Candidate]:[Error Bound (up) - Max. possible relative overstatement - Candidate 6]])</f>
        <v>1.9356711939865149E-4</v>
      </c>
      <c r="Q585" s="100">
        <f>IF(SamplingData[[#This Row],[Max Error Bound (up)]] = 0,0,SamplingData[[#This Row],[Max Error Bound (up)]]/SamplingData[[#Totals],[Max Error Bound (up)]])</f>
        <v>3.0635182660992398E-5</v>
      </c>
      <c r="R585" s="101">
        <f>SUM($Q$5:Q585)</f>
        <v>0.1852885373039192</v>
      </c>
      <c r="S585" s="100" t="str">
        <f t="array" ref="S585">IF(SamplingData[[#This Row],[up/U Selection Probability]] = 0, "Zero", TEXT(SamplingData[[#This Row],[Lower Range]], REPT("0",LEN('General Info'!$B$40))) &amp; " - " &amp; TEXT(SamplingData[[#This Row],[Upper Range]], REPT("0",LEN('General Info'!$B$40))))</f>
        <v>18526 - 18528</v>
      </c>
      <c r="T585" s="100">
        <f>SamplingData[[#This Row],[Upper Range]]-SamplingData[[#This Row],[Span]]</f>
        <v>18525.790242761002</v>
      </c>
      <c r="U585" s="100">
        <f>IF(ISNUMBER('General Info'!$B$40), ((SamplingData[[#This Row],[up/U Selection Probability]]) * 'General Info'!$B$40) - 1, 0)</f>
        <v>2.0634876309165788</v>
      </c>
      <c r="V585" s="100">
        <f>IF(ISNUMBER('General Info'!$B$40), (SamplingData[[#This Row],[Running (cumulative) sum]] * ('General Info'!$B$40 -'General Info'!$B$41 + 1)) + 'General Info'!$B$41 - 1, 0)</f>
        <v>18527.853730391918</v>
      </c>
      <c r="W585" s="100" t="str">
        <f>IF(ISERROR(MATCH(SamplingData[[#This Row],[Batch by Type (p)]],SelectedPrecincts[Batch Name], 0)), "", INDEX(SelectedPrecincts[Draw], MATCH(SamplingData[[#This Row],[Batch by Type (p)]],SelectedPrecincts[Batch Name], 0)))</f>
        <v/>
      </c>
      <c r="X585" s="102">
        <f>IF(COUNTIF(SelectedPrecincts[Batch Name],SamplingData[[#This Row],[Batch by Type (p)]]) &lt;&gt; 0, COUNTIF(SelectedPrecincts[Batch Name],SamplingData[[#This Row],[Batch by Type (p)]]), 0)</f>
        <v>0</v>
      </c>
    </row>
    <row r="586" spans="1:24" ht="15" customHeight="1">
      <c r="A586" s="18" t="s">
        <v>762</v>
      </c>
      <c r="B586" s="18">
        <v>0</v>
      </c>
      <c r="C586" s="18">
        <v>0</v>
      </c>
      <c r="D586" s="18">
        <v>0</v>
      </c>
      <c r="E586" s="18">
        <v>0</v>
      </c>
      <c r="F586" s="18">
        <v>0</v>
      </c>
      <c r="G586" s="18">
        <v>0</v>
      </c>
      <c r="H586" s="18">
        <v>0</v>
      </c>
      <c r="I586" s="18">
        <v>0</v>
      </c>
      <c r="J586" s="99">
        <f>SUM(SamplingData[[#This Row],[Losing Candidate]:[Under Votes]])</f>
        <v>0</v>
      </c>
      <c r="K586" s="100">
        <f>IF(AND(SamplingData[[#This Row],[Total]]&lt;&gt; 0, NOT(ISBLANK(SamplingData[[#This Row],[Losing Candidate]]))),(SamplingData[[#This Row],[Total]]+SamplingData[[#This Row],[Winning Candidate]]-SamplingData[[#This Row],[Losing Candidate]])/(SamplingData[[#Totals],[Winning Candidate]]-SamplingData[[#Totals],[Losing Candidate]]), 0)</f>
        <v>0</v>
      </c>
      <c r="L586" s="100">
        <f>IF(AND(SamplingData[[#This Row],[Total]]&lt;&gt; 0, NOT(ISBLANK(SamplingData[[#This Row],[Candidate 3]]))),(SamplingData[[#This Row],[Total]]+SamplingData[[#This Row],[Winning Candidate]]-SamplingData[[#This Row],[Candidate 3]])/(SamplingData[[#Totals],[Winning Candidate]]-SamplingData[[#Totals],[Candidate 3]]), 0)</f>
        <v>0</v>
      </c>
      <c r="M586" s="100">
        <f>IF(AND(SamplingData[[#This Row],[Total]]&lt;&gt; 0, NOT(ISBLANK(SamplingData[[#This Row],[Candidate 4]]))),(SamplingData[[#This Row],[Total]]+SamplingData[[#This Row],[Winning Candidate]]-SamplingData[[#This Row],[Candidate 4]])/(SamplingData[[#Totals],[Winning Candidate]]-SamplingData[[#Totals],[Candidate 4]]), 0)</f>
        <v>0</v>
      </c>
      <c r="N586" s="100">
        <f>IF(AND(SamplingData[[#This Row],[Total]]&lt;&gt; 0, NOT(ISBLANK(SamplingData[[#This Row],[Candidate 5]]))),(SamplingData[[#This Row],[Total]]+SamplingData[[#This Row],[Winning Candidate]]-SamplingData[[#This Row],[Candidate 5]])/(SamplingData[[#Totals],[Winning Candidate]]-SamplingData[[#Totals],[Candidate 5]]), 0)</f>
        <v>0</v>
      </c>
      <c r="O586" s="100">
        <f>IF(AND(SamplingData[[#This Row],[Total]]&lt;&gt; 0, NOT(ISBLANK(SamplingData[[#This Row],[Candidate 6]]))),(SamplingData[[#This Row],[Total]]+SamplingData[[#This Row],[Winning Candidate]]-SamplingData[[#This Row],[Candidate 6]])/(SamplingData[[#Totals],[Winning Candidate]]-SamplingData[[#Totals],[Candidate 6]]), 0)</f>
        <v>0</v>
      </c>
      <c r="P586" s="100">
        <f>MAX(SamplingData[[#This Row],[Error Bound (up) - Max. possible relative overstatement - Losing Candidate]:[Error Bound (up) - Max. possible relative overstatement - Candidate 6]])</f>
        <v>0</v>
      </c>
      <c r="Q586" s="100">
        <f>IF(SamplingData[[#This Row],[Max Error Bound (up)]] = 0,0,SamplingData[[#This Row],[Max Error Bound (up)]]/SamplingData[[#Totals],[Max Error Bound (up)]])</f>
        <v>0</v>
      </c>
      <c r="R586" s="101">
        <f>SUM($Q$5:Q586)</f>
        <v>0.1852885373039192</v>
      </c>
      <c r="S586" s="100" t="str">
        <f t="array" ref="S586">IF(SamplingData[[#This Row],[up/U Selection Probability]] = 0, "Zero", TEXT(SamplingData[[#This Row],[Lower Range]], REPT("0",LEN('General Info'!$B$40))) &amp; " - " &amp; TEXT(SamplingData[[#This Row],[Upper Range]], REPT("0",LEN('General Info'!$B$40))))</f>
        <v>Zero</v>
      </c>
      <c r="T586" s="100">
        <f>SamplingData[[#This Row],[Upper Range]]-SamplingData[[#This Row],[Span]]</f>
        <v>18528.853730391918</v>
      </c>
      <c r="U586" s="100">
        <f>IF(ISNUMBER('General Info'!$B$40), ((SamplingData[[#This Row],[up/U Selection Probability]]) * 'General Info'!$B$40) - 1, 0)</f>
        <v>-1</v>
      </c>
      <c r="V586" s="100">
        <f>IF(ISNUMBER('General Info'!$B$40), (SamplingData[[#This Row],[Running (cumulative) sum]] * ('General Info'!$B$40 -'General Info'!$B$41 + 1)) + 'General Info'!$B$41 - 1, 0)</f>
        <v>18527.853730391918</v>
      </c>
      <c r="W586" s="100" t="str">
        <f>IF(ISERROR(MATCH(SamplingData[[#This Row],[Batch by Type (p)]],SelectedPrecincts[Batch Name], 0)), "", INDEX(SelectedPrecincts[Draw], MATCH(SamplingData[[#This Row],[Batch by Type (p)]],SelectedPrecincts[Batch Name], 0)))</f>
        <v/>
      </c>
      <c r="X586" s="102">
        <f>IF(COUNTIF(SelectedPrecincts[Batch Name],SamplingData[[#This Row],[Batch by Type (p)]]) &lt;&gt; 0, COUNTIF(SelectedPrecincts[Batch Name],SamplingData[[#This Row],[Batch by Type (p)]]), 0)</f>
        <v>0</v>
      </c>
    </row>
    <row r="587" spans="1:24" ht="15" customHeight="1">
      <c r="A587" s="18" t="s">
        <v>763</v>
      </c>
      <c r="B587" s="18">
        <v>0</v>
      </c>
      <c r="C587" s="18">
        <v>0</v>
      </c>
      <c r="D587" s="16">
        <v>0</v>
      </c>
      <c r="E587" s="16">
        <v>0</v>
      </c>
      <c r="F587" s="37">
        <v>0</v>
      </c>
      <c r="G587" s="37">
        <v>0</v>
      </c>
      <c r="H587" s="17">
        <v>0</v>
      </c>
      <c r="I587" s="17">
        <v>0</v>
      </c>
      <c r="J587" s="99">
        <f>SUM(SamplingData[[#This Row],[Losing Candidate]:[Under Votes]])</f>
        <v>0</v>
      </c>
      <c r="K587" s="100">
        <f>IF(AND(SamplingData[[#This Row],[Total]]&lt;&gt; 0, NOT(ISBLANK(SamplingData[[#This Row],[Losing Candidate]]))),(SamplingData[[#This Row],[Total]]+SamplingData[[#This Row],[Winning Candidate]]-SamplingData[[#This Row],[Losing Candidate]])/(SamplingData[[#Totals],[Winning Candidate]]-SamplingData[[#Totals],[Losing Candidate]]), 0)</f>
        <v>0</v>
      </c>
      <c r="L587" s="100">
        <f>IF(AND(SamplingData[[#This Row],[Total]]&lt;&gt; 0, NOT(ISBLANK(SamplingData[[#This Row],[Candidate 3]]))),(SamplingData[[#This Row],[Total]]+SamplingData[[#This Row],[Winning Candidate]]-SamplingData[[#This Row],[Candidate 3]])/(SamplingData[[#Totals],[Winning Candidate]]-SamplingData[[#Totals],[Candidate 3]]), 0)</f>
        <v>0</v>
      </c>
      <c r="M587" s="100">
        <f>IF(AND(SamplingData[[#This Row],[Total]]&lt;&gt; 0, NOT(ISBLANK(SamplingData[[#This Row],[Candidate 4]]))),(SamplingData[[#This Row],[Total]]+SamplingData[[#This Row],[Winning Candidate]]-SamplingData[[#This Row],[Candidate 4]])/(SamplingData[[#Totals],[Winning Candidate]]-SamplingData[[#Totals],[Candidate 4]]), 0)</f>
        <v>0</v>
      </c>
      <c r="N587" s="100">
        <f>IF(AND(SamplingData[[#This Row],[Total]]&lt;&gt; 0, NOT(ISBLANK(SamplingData[[#This Row],[Candidate 5]]))),(SamplingData[[#This Row],[Total]]+SamplingData[[#This Row],[Winning Candidate]]-SamplingData[[#This Row],[Candidate 5]])/(SamplingData[[#Totals],[Winning Candidate]]-SamplingData[[#Totals],[Candidate 5]]), 0)</f>
        <v>0</v>
      </c>
      <c r="O587" s="100">
        <f>IF(AND(SamplingData[[#This Row],[Total]]&lt;&gt; 0, NOT(ISBLANK(SamplingData[[#This Row],[Candidate 6]]))),(SamplingData[[#This Row],[Total]]+SamplingData[[#This Row],[Winning Candidate]]-SamplingData[[#This Row],[Candidate 6]])/(SamplingData[[#Totals],[Winning Candidate]]-SamplingData[[#Totals],[Candidate 6]]), 0)</f>
        <v>0</v>
      </c>
      <c r="P587" s="100">
        <f>MAX(SamplingData[[#This Row],[Error Bound (up) - Max. possible relative overstatement - Losing Candidate]:[Error Bound (up) - Max. possible relative overstatement - Candidate 6]])</f>
        <v>0</v>
      </c>
      <c r="Q587" s="100">
        <f>IF(SamplingData[[#This Row],[Max Error Bound (up)]] = 0,0,SamplingData[[#This Row],[Max Error Bound (up)]]/SamplingData[[#Totals],[Max Error Bound (up)]])</f>
        <v>0</v>
      </c>
      <c r="R587" s="101">
        <f>SUM($Q$5:Q587)</f>
        <v>0.1852885373039192</v>
      </c>
      <c r="S587" s="100" t="str">
        <f t="array" ref="S587">IF(SamplingData[[#This Row],[up/U Selection Probability]] = 0, "Zero", TEXT(SamplingData[[#This Row],[Lower Range]], REPT("0",LEN('General Info'!$B$40))) &amp; " - " &amp; TEXT(SamplingData[[#This Row],[Upper Range]], REPT("0",LEN('General Info'!$B$40))))</f>
        <v>Zero</v>
      </c>
      <c r="T587" s="100">
        <f>SamplingData[[#This Row],[Upper Range]]-SamplingData[[#This Row],[Span]]</f>
        <v>18528.853730391918</v>
      </c>
      <c r="U587" s="100">
        <f>IF(ISNUMBER('General Info'!$B$40), ((SamplingData[[#This Row],[up/U Selection Probability]]) * 'General Info'!$B$40) - 1, 0)</f>
        <v>-1</v>
      </c>
      <c r="V587" s="100">
        <f>IF(ISNUMBER('General Info'!$B$40), (SamplingData[[#This Row],[Running (cumulative) sum]] * ('General Info'!$B$40 -'General Info'!$B$41 + 1)) + 'General Info'!$B$41 - 1, 0)</f>
        <v>18527.853730391918</v>
      </c>
      <c r="W587" s="100" t="str">
        <f>IF(ISERROR(MATCH(SamplingData[[#This Row],[Batch by Type (p)]],SelectedPrecincts[Batch Name], 0)), "", INDEX(SelectedPrecincts[Draw], MATCH(SamplingData[[#This Row],[Batch by Type (p)]],SelectedPrecincts[Batch Name], 0)))</f>
        <v/>
      </c>
      <c r="X587" s="102">
        <f>IF(COUNTIF(SelectedPrecincts[Batch Name],SamplingData[[#This Row],[Batch by Type (p)]]) &lt;&gt; 0, COUNTIF(SelectedPrecincts[Batch Name],SamplingData[[#This Row],[Batch by Type (p)]]), 0)</f>
        <v>0</v>
      </c>
    </row>
    <row r="588" spans="1:24" ht="15" customHeight="1">
      <c r="A588" s="18" t="s">
        <v>764</v>
      </c>
      <c r="B588" s="18">
        <v>0</v>
      </c>
      <c r="C588" s="18">
        <v>0</v>
      </c>
      <c r="D588" s="18">
        <v>0</v>
      </c>
      <c r="E588" s="18">
        <v>0</v>
      </c>
      <c r="F588" s="18">
        <v>0</v>
      </c>
      <c r="G588" s="18">
        <v>0</v>
      </c>
      <c r="H588" s="18">
        <v>0</v>
      </c>
      <c r="I588" s="18">
        <v>0</v>
      </c>
      <c r="J588" s="99">
        <f>SUM(SamplingData[[#This Row],[Losing Candidate]:[Under Votes]])</f>
        <v>0</v>
      </c>
      <c r="K588" s="100">
        <f>IF(AND(SamplingData[[#This Row],[Total]]&lt;&gt; 0, NOT(ISBLANK(SamplingData[[#This Row],[Losing Candidate]]))),(SamplingData[[#This Row],[Total]]+SamplingData[[#This Row],[Winning Candidate]]-SamplingData[[#This Row],[Losing Candidate]])/(SamplingData[[#Totals],[Winning Candidate]]-SamplingData[[#Totals],[Losing Candidate]]), 0)</f>
        <v>0</v>
      </c>
      <c r="L588" s="100">
        <f>IF(AND(SamplingData[[#This Row],[Total]]&lt;&gt; 0, NOT(ISBLANK(SamplingData[[#This Row],[Candidate 3]]))),(SamplingData[[#This Row],[Total]]+SamplingData[[#This Row],[Winning Candidate]]-SamplingData[[#This Row],[Candidate 3]])/(SamplingData[[#Totals],[Winning Candidate]]-SamplingData[[#Totals],[Candidate 3]]), 0)</f>
        <v>0</v>
      </c>
      <c r="M588" s="100">
        <f>IF(AND(SamplingData[[#This Row],[Total]]&lt;&gt; 0, NOT(ISBLANK(SamplingData[[#This Row],[Candidate 4]]))),(SamplingData[[#This Row],[Total]]+SamplingData[[#This Row],[Winning Candidate]]-SamplingData[[#This Row],[Candidate 4]])/(SamplingData[[#Totals],[Winning Candidate]]-SamplingData[[#Totals],[Candidate 4]]), 0)</f>
        <v>0</v>
      </c>
      <c r="N588" s="100">
        <f>IF(AND(SamplingData[[#This Row],[Total]]&lt;&gt; 0, NOT(ISBLANK(SamplingData[[#This Row],[Candidate 5]]))),(SamplingData[[#This Row],[Total]]+SamplingData[[#This Row],[Winning Candidate]]-SamplingData[[#This Row],[Candidate 5]])/(SamplingData[[#Totals],[Winning Candidate]]-SamplingData[[#Totals],[Candidate 5]]), 0)</f>
        <v>0</v>
      </c>
      <c r="O588" s="100">
        <f>IF(AND(SamplingData[[#This Row],[Total]]&lt;&gt; 0, NOT(ISBLANK(SamplingData[[#This Row],[Candidate 6]]))),(SamplingData[[#This Row],[Total]]+SamplingData[[#This Row],[Winning Candidate]]-SamplingData[[#This Row],[Candidate 6]])/(SamplingData[[#Totals],[Winning Candidate]]-SamplingData[[#Totals],[Candidate 6]]), 0)</f>
        <v>0</v>
      </c>
      <c r="P588" s="100">
        <f>MAX(SamplingData[[#This Row],[Error Bound (up) - Max. possible relative overstatement - Losing Candidate]:[Error Bound (up) - Max. possible relative overstatement - Candidate 6]])</f>
        <v>0</v>
      </c>
      <c r="Q588" s="100">
        <f>IF(SamplingData[[#This Row],[Max Error Bound (up)]] = 0,0,SamplingData[[#This Row],[Max Error Bound (up)]]/SamplingData[[#Totals],[Max Error Bound (up)]])</f>
        <v>0</v>
      </c>
      <c r="R588" s="101">
        <f>SUM($Q$5:Q588)</f>
        <v>0.1852885373039192</v>
      </c>
      <c r="S588" s="100" t="str">
        <f t="array" ref="S588">IF(SamplingData[[#This Row],[up/U Selection Probability]] = 0, "Zero", TEXT(SamplingData[[#This Row],[Lower Range]], REPT("0",LEN('General Info'!$B$40))) &amp; " - " &amp; TEXT(SamplingData[[#This Row],[Upper Range]], REPT("0",LEN('General Info'!$B$40))))</f>
        <v>Zero</v>
      </c>
      <c r="T588" s="100">
        <f>SamplingData[[#This Row],[Upper Range]]-SamplingData[[#This Row],[Span]]</f>
        <v>18528.853730391918</v>
      </c>
      <c r="U588" s="100">
        <f>IF(ISNUMBER('General Info'!$B$40), ((SamplingData[[#This Row],[up/U Selection Probability]]) * 'General Info'!$B$40) - 1, 0)</f>
        <v>-1</v>
      </c>
      <c r="V588" s="100">
        <f>IF(ISNUMBER('General Info'!$B$40), (SamplingData[[#This Row],[Running (cumulative) sum]] * ('General Info'!$B$40 -'General Info'!$B$41 + 1)) + 'General Info'!$B$41 - 1, 0)</f>
        <v>18527.853730391918</v>
      </c>
      <c r="W588" s="100" t="str">
        <f>IF(ISERROR(MATCH(SamplingData[[#This Row],[Batch by Type (p)]],SelectedPrecincts[Batch Name], 0)), "", INDEX(SelectedPrecincts[Draw], MATCH(SamplingData[[#This Row],[Batch by Type (p)]],SelectedPrecincts[Batch Name], 0)))</f>
        <v/>
      </c>
      <c r="X588" s="102">
        <f>IF(COUNTIF(SelectedPrecincts[Batch Name],SamplingData[[#This Row],[Batch by Type (p)]]) &lt;&gt; 0, COUNTIF(SelectedPrecincts[Batch Name],SamplingData[[#This Row],[Batch by Type (p)]]), 0)</f>
        <v>0</v>
      </c>
    </row>
    <row r="589" spans="1:24" ht="15" customHeight="1">
      <c r="A589" s="18" t="s">
        <v>765</v>
      </c>
      <c r="B589" s="18">
        <v>1</v>
      </c>
      <c r="C589" s="18">
        <v>1</v>
      </c>
      <c r="D589" s="16">
        <v>0</v>
      </c>
      <c r="E589" s="16">
        <v>0</v>
      </c>
      <c r="F589" s="37">
        <v>0</v>
      </c>
      <c r="G589" s="37">
        <v>0</v>
      </c>
      <c r="H589" s="17">
        <v>0</v>
      </c>
      <c r="I589" s="17">
        <v>0</v>
      </c>
      <c r="J589" s="99">
        <f>SUM(SamplingData[[#This Row],[Losing Candidate]:[Under Votes]])</f>
        <v>2</v>
      </c>
      <c r="K589"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589" s="100">
        <f>IF(AND(SamplingData[[#This Row],[Total]]&lt;&gt; 0, NOT(ISBLANK(SamplingData[[#This Row],[Candidate 3]]))),(SamplingData[[#This Row],[Total]]+SamplingData[[#This Row],[Winning Candidate]]-SamplingData[[#This Row],[Candidate 3]])/(SamplingData[[#Totals],[Winning Candidate]]-SamplingData[[#Totals],[Candidate 3]]), 0)</f>
        <v>9.6783559699325743E-5</v>
      </c>
      <c r="M589" s="100">
        <f>IF(AND(SamplingData[[#This Row],[Total]]&lt;&gt; 0, NOT(ISBLANK(SamplingData[[#This Row],[Candidate 4]]))),(SamplingData[[#This Row],[Total]]+SamplingData[[#This Row],[Winning Candidate]]-SamplingData[[#This Row],[Candidate 4]])/(SamplingData[[#Totals],[Winning Candidate]]-SamplingData[[#Totals],[Candidate 4]]), 0)</f>
        <v>8.7696220292905373E-5</v>
      </c>
      <c r="N589" s="100">
        <f>IF(AND(SamplingData[[#This Row],[Total]]&lt;&gt; 0, NOT(ISBLANK(SamplingData[[#This Row],[Candidate 5]]))),(SamplingData[[#This Row],[Total]]+SamplingData[[#This Row],[Winning Candidate]]-SamplingData[[#This Row],[Candidate 5]])/(SamplingData[[#Totals],[Winning Candidate]]-SamplingData[[#Totals],[Candidate 5]]), 0)</f>
        <v>7.2974945268791054E-5</v>
      </c>
      <c r="O589" s="100">
        <f>IF(AND(SamplingData[[#This Row],[Total]]&lt;&gt; 0, NOT(ISBLANK(SamplingData[[#This Row],[Candidate 6]]))),(SamplingData[[#This Row],[Total]]+SamplingData[[#This Row],[Winning Candidate]]-SamplingData[[#This Row],[Candidate 6]])/(SamplingData[[#Totals],[Winning Candidate]]-SamplingData[[#Totals],[Candidate 6]]), 0)</f>
        <v>7.2953650114294054E-5</v>
      </c>
      <c r="P589" s="100">
        <f>MAX(SamplingData[[#This Row],[Error Bound (up) - Max. possible relative overstatement - Losing Candidate]:[Error Bound (up) - Max. possible relative overstatement - Candidate 6]])</f>
        <v>1.224889759921607E-4</v>
      </c>
      <c r="Q589" s="100">
        <f>IF(SamplingData[[#This Row],[Max Error Bound (up)]] = 0,0,SamplingData[[#This Row],[Max Error Bound (up)]]/SamplingData[[#Totals],[Max Error Bound (up)]])</f>
        <v>1.9385896556891663E-5</v>
      </c>
      <c r="R589" s="101">
        <f>SUM($Q$5:Q589)</f>
        <v>0.18530792320047609</v>
      </c>
      <c r="S589" s="100" t="str">
        <f t="array" ref="S589">IF(SamplingData[[#This Row],[up/U Selection Probability]] = 0, "Zero", TEXT(SamplingData[[#This Row],[Lower Range]], REPT("0",LEN('General Info'!$B$40))) &amp; " - " &amp; TEXT(SamplingData[[#This Row],[Upper Range]], REPT("0",LEN('General Info'!$B$40))))</f>
        <v>18529 - 18530</v>
      </c>
      <c r="T589" s="100">
        <f>SamplingData[[#This Row],[Upper Range]]-SamplingData[[#This Row],[Span]]</f>
        <v>18528.85374977782</v>
      </c>
      <c r="U589" s="100">
        <f>IF(ISNUMBER('General Info'!$B$40), ((SamplingData[[#This Row],[up/U Selection Probability]]) * 'General Info'!$B$40) - 1, 0)</f>
        <v>0.93857026979260949</v>
      </c>
      <c r="V589" s="100">
        <f>IF(ISNUMBER('General Info'!$B$40), (SamplingData[[#This Row],[Running (cumulative) sum]] * ('General Info'!$B$40 -'General Info'!$B$41 + 1)) + 'General Info'!$B$41 - 1, 0)</f>
        <v>18529.792320047611</v>
      </c>
      <c r="W589" s="100" t="str">
        <f>IF(ISERROR(MATCH(SamplingData[[#This Row],[Batch by Type (p)]],SelectedPrecincts[Batch Name], 0)), "", INDEX(SelectedPrecincts[Draw], MATCH(SamplingData[[#This Row],[Batch by Type (p)]],SelectedPrecincts[Batch Name], 0)))</f>
        <v/>
      </c>
      <c r="X589" s="102">
        <f>IF(COUNTIF(SelectedPrecincts[Batch Name],SamplingData[[#This Row],[Batch by Type (p)]]) &lt;&gt; 0, COUNTIF(SelectedPrecincts[Batch Name],SamplingData[[#This Row],[Batch by Type (p)]]), 0)</f>
        <v>0</v>
      </c>
    </row>
    <row r="590" spans="1:24" ht="15" customHeight="1">
      <c r="A590" s="18" t="s">
        <v>766</v>
      </c>
      <c r="B590" s="18">
        <v>0</v>
      </c>
      <c r="C590" s="18">
        <v>0</v>
      </c>
      <c r="D590" s="18">
        <v>1</v>
      </c>
      <c r="E590" s="18">
        <v>0</v>
      </c>
      <c r="F590" s="18">
        <v>0</v>
      </c>
      <c r="G590" s="18">
        <v>0</v>
      </c>
      <c r="H590" s="18">
        <v>0</v>
      </c>
      <c r="I590" s="18">
        <v>0</v>
      </c>
      <c r="J590" s="99">
        <f>SUM(SamplingData[[#This Row],[Losing Candidate]:[Under Votes]])</f>
        <v>1</v>
      </c>
      <c r="K590"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90" s="100">
        <f>IF(AND(SamplingData[[#This Row],[Total]]&lt;&gt; 0, NOT(ISBLANK(SamplingData[[#This Row],[Candidate 3]]))),(SamplingData[[#This Row],[Total]]+SamplingData[[#This Row],[Winning Candidate]]-SamplingData[[#This Row],[Candidate 3]])/(SamplingData[[#Totals],[Winning Candidate]]-SamplingData[[#Totals],[Candidate 3]]), 0)</f>
        <v>0</v>
      </c>
      <c r="M590" s="100">
        <f>IF(AND(SamplingData[[#This Row],[Total]]&lt;&gt; 0, NOT(ISBLANK(SamplingData[[#This Row],[Candidate 4]]))),(SamplingData[[#This Row],[Total]]+SamplingData[[#This Row],[Winning Candidate]]-SamplingData[[#This Row],[Candidate 4]])/(SamplingData[[#Totals],[Winning Candidate]]-SamplingData[[#Totals],[Candidate 4]]), 0)</f>
        <v>2.923207343096846E-5</v>
      </c>
      <c r="N590" s="100">
        <f>IF(AND(SamplingData[[#This Row],[Total]]&lt;&gt; 0, NOT(ISBLANK(SamplingData[[#This Row],[Candidate 5]]))),(SamplingData[[#This Row],[Total]]+SamplingData[[#This Row],[Winning Candidate]]-SamplingData[[#This Row],[Candidate 5]])/(SamplingData[[#Totals],[Winning Candidate]]-SamplingData[[#Totals],[Candidate 5]]), 0)</f>
        <v>2.4324981756263683E-5</v>
      </c>
      <c r="O590" s="100">
        <f>IF(AND(SamplingData[[#This Row],[Total]]&lt;&gt; 0, NOT(ISBLANK(SamplingData[[#This Row],[Candidate 6]]))),(SamplingData[[#This Row],[Total]]+SamplingData[[#This Row],[Winning Candidate]]-SamplingData[[#This Row],[Candidate 6]])/(SamplingData[[#Totals],[Winning Candidate]]-SamplingData[[#Totals],[Candidate 6]]), 0)</f>
        <v>2.431788337143135E-5</v>
      </c>
      <c r="P590" s="100">
        <f>MAX(SamplingData[[#This Row],[Error Bound (up) - Max. possible relative overstatement - Losing Candidate]:[Error Bound (up) - Max. possible relative overstatement - Candidate 6]])</f>
        <v>6.1244487996080352E-5</v>
      </c>
      <c r="Q590" s="100">
        <f>IF(SamplingData[[#This Row],[Max Error Bound (up)]] = 0,0,SamplingData[[#This Row],[Max Error Bound (up)]]/SamplingData[[#Totals],[Max Error Bound (up)]])</f>
        <v>9.6929482784458315E-6</v>
      </c>
      <c r="R590" s="101">
        <f>SUM($Q$5:Q590)</f>
        <v>0.18531761614875453</v>
      </c>
      <c r="S590" s="100" t="str">
        <f t="array" ref="S590">IF(SamplingData[[#This Row],[up/U Selection Probability]] = 0, "Zero", TEXT(SamplingData[[#This Row],[Lower Range]], REPT("0",LEN('General Info'!$B$40))) &amp; " - " &amp; TEXT(SamplingData[[#This Row],[Upper Range]], REPT("0",LEN('General Info'!$B$40))))</f>
        <v>18531 - 18531</v>
      </c>
      <c r="T590" s="100">
        <f>SamplingData[[#This Row],[Upper Range]]-SamplingData[[#This Row],[Span]]</f>
        <v>18530.792329740558</v>
      </c>
      <c r="U590" s="100">
        <f>IF(ISNUMBER('General Info'!$B$40), ((SamplingData[[#This Row],[up/U Selection Probability]]) * 'General Info'!$B$40) - 1, 0)</f>
        <v>-3.0714865103695255E-2</v>
      </c>
      <c r="V590" s="100">
        <f>IF(ISNUMBER('General Info'!$B$40), (SamplingData[[#This Row],[Running (cumulative) sum]] * ('General Info'!$B$40 -'General Info'!$B$41 + 1)) + 'General Info'!$B$41 - 1, 0)</f>
        <v>18530.761614875453</v>
      </c>
      <c r="W590" s="100" t="str">
        <f>IF(ISERROR(MATCH(SamplingData[[#This Row],[Batch by Type (p)]],SelectedPrecincts[Batch Name], 0)), "", INDEX(SelectedPrecincts[Draw], MATCH(SamplingData[[#This Row],[Batch by Type (p)]],SelectedPrecincts[Batch Name], 0)))</f>
        <v/>
      </c>
      <c r="X590" s="102">
        <f>IF(COUNTIF(SelectedPrecincts[Batch Name],SamplingData[[#This Row],[Batch by Type (p)]]) &lt;&gt; 0, COUNTIF(SelectedPrecincts[Batch Name],SamplingData[[#This Row],[Batch by Type (p)]]), 0)</f>
        <v>0</v>
      </c>
    </row>
    <row r="591" spans="1:24" ht="15" customHeight="1">
      <c r="A591" s="18" t="s">
        <v>767</v>
      </c>
      <c r="B591" s="18">
        <v>1</v>
      </c>
      <c r="C591" s="18">
        <v>0</v>
      </c>
      <c r="D591" s="16">
        <v>0</v>
      </c>
      <c r="E591" s="16">
        <v>0</v>
      </c>
      <c r="F591" s="37">
        <v>0</v>
      </c>
      <c r="G591" s="37">
        <v>0</v>
      </c>
      <c r="H591" s="17">
        <v>0</v>
      </c>
      <c r="I591" s="17">
        <v>0</v>
      </c>
      <c r="J591" s="99">
        <f>SUM(SamplingData[[#This Row],[Losing Candidate]:[Under Votes]])</f>
        <v>1</v>
      </c>
      <c r="K591" s="100">
        <f>IF(AND(SamplingData[[#This Row],[Total]]&lt;&gt; 0, NOT(ISBLANK(SamplingData[[#This Row],[Losing Candidate]]))),(SamplingData[[#This Row],[Total]]+SamplingData[[#This Row],[Winning Candidate]]-SamplingData[[#This Row],[Losing Candidate]])/(SamplingData[[#Totals],[Winning Candidate]]-SamplingData[[#Totals],[Losing Candidate]]), 0)</f>
        <v>0</v>
      </c>
      <c r="L591" s="100">
        <f>IF(AND(SamplingData[[#This Row],[Total]]&lt;&gt; 0, NOT(ISBLANK(SamplingData[[#This Row],[Candidate 3]]))),(SamplingData[[#This Row],[Total]]+SamplingData[[#This Row],[Winning Candidate]]-SamplingData[[#This Row],[Candidate 3]])/(SamplingData[[#Totals],[Winning Candidate]]-SamplingData[[#Totals],[Candidate 3]]), 0)</f>
        <v>3.2261186566441917E-5</v>
      </c>
      <c r="M591" s="100">
        <f>IF(AND(SamplingData[[#This Row],[Total]]&lt;&gt; 0, NOT(ISBLANK(SamplingData[[#This Row],[Candidate 4]]))),(SamplingData[[#This Row],[Total]]+SamplingData[[#This Row],[Winning Candidate]]-SamplingData[[#This Row],[Candidate 4]])/(SamplingData[[#Totals],[Winning Candidate]]-SamplingData[[#Totals],[Candidate 4]]), 0)</f>
        <v>2.923207343096846E-5</v>
      </c>
      <c r="N591" s="100">
        <f>IF(AND(SamplingData[[#This Row],[Total]]&lt;&gt; 0, NOT(ISBLANK(SamplingData[[#This Row],[Candidate 5]]))),(SamplingData[[#This Row],[Total]]+SamplingData[[#This Row],[Winning Candidate]]-SamplingData[[#This Row],[Candidate 5]])/(SamplingData[[#Totals],[Winning Candidate]]-SamplingData[[#Totals],[Candidate 5]]), 0)</f>
        <v>2.4324981756263683E-5</v>
      </c>
      <c r="O591" s="100">
        <f>IF(AND(SamplingData[[#This Row],[Total]]&lt;&gt; 0, NOT(ISBLANK(SamplingData[[#This Row],[Candidate 6]]))),(SamplingData[[#This Row],[Total]]+SamplingData[[#This Row],[Winning Candidate]]-SamplingData[[#This Row],[Candidate 6]])/(SamplingData[[#Totals],[Winning Candidate]]-SamplingData[[#Totals],[Candidate 6]]), 0)</f>
        <v>2.431788337143135E-5</v>
      </c>
      <c r="P591" s="100">
        <f>MAX(SamplingData[[#This Row],[Error Bound (up) - Max. possible relative overstatement - Losing Candidate]:[Error Bound (up) - Max. possible relative overstatement - Candidate 6]])</f>
        <v>3.2261186566441917E-5</v>
      </c>
      <c r="Q591" s="100">
        <f>IF(SamplingData[[#This Row],[Max Error Bound (up)]] = 0,0,SamplingData[[#This Row],[Max Error Bound (up)]]/SamplingData[[#Totals],[Max Error Bound (up)]])</f>
        <v>5.1058637768320663E-6</v>
      </c>
      <c r="R591" s="101">
        <f>SUM($Q$5:Q591)</f>
        <v>0.18532272201253136</v>
      </c>
      <c r="S591" s="100" t="str">
        <f t="array" ref="S591">IF(SamplingData[[#This Row],[up/U Selection Probability]] = 0, "Zero", TEXT(SamplingData[[#This Row],[Lower Range]], REPT("0",LEN('General Info'!$B$40))) &amp; " - " &amp; TEXT(SamplingData[[#This Row],[Upper Range]], REPT("0",LEN('General Info'!$B$40))))</f>
        <v>18532 - 18531</v>
      </c>
      <c r="T591" s="100">
        <f>SamplingData[[#This Row],[Upper Range]]-SamplingData[[#This Row],[Span]]</f>
        <v>18531.761619981316</v>
      </c>
      <c r="U591" s="100">
        <f>IF(ISNUMBER('General Info'!$B$40), ((SamplingData[[#This Row],[up/U Selection Probability]]) * 'General Info'!$B$40) - 1, 0)</f>
        <v>-0.4894187281805702</v>
      </c>
      <c r="V591" s="100">
        <f>IF(ISNUMBER('General Info'!$B$40), (SamplingData[[#This Row],[Running (cumulative) sum]] * ('General Info'!$B$40 -'General Info'!$B$41 + 1)) + 'General Info'!$B$41 - 1, 0)</f>
        <v>18531.272201253138</v>
      </c>
      <c r="W591" s="100" t="str">
        <f>IF(ISERROR(MATCH(SamplingData[[#This Row],[Batch by Type (p)]],SelectedPrecincts[Batch Name], 0)), "", INDEX(SelectedPrecincts[Draw], MATCH(SamplingData[[#This Row],[Batch by Type (p)]],SelectedPrecincts[Batch Name], 0)))</f>
        <v/>
      </c>
      <c r="X591" s="102">
        <f>IF(COUNTIF(SelectedPrecincts[Batch Name],SamplingData[[#This Row],[Batch by Type (p)]]) &lt;&gt; 0, COUNTIF(SelectedPrecincts[Batch Name],SamplingData[[#This Row],[Batch by Type (p)]]), 0)</f>
        <v>0</v>
      </c>
    </row>
    <row r="592" spans="1:24" ht="15" customHeight="1">
      <c r="A592" s="18" t="s">
        <v>768</v>
      </c>
      <c r="B592" s="18">
        <v>1</v>
      </c>
      <c r="C592" s="18">
        <v>0</v>
      </c>
      <c r="D592" s="18">
        <v>1</v>
      </c>
      <c r="E592" s="18">
        <v>0</v>
      </c>
      <c r="F592" s="18">
        <v>0</v>
      </c>
      <c r="G592" s="18">
        <v>0</v>
      </c>
      <c r="H592" s="18">
        <v>0</v>
      </c>
      <c r="I592" s="18">
        <v>0</v>
      </c>
      <c r="J592" s="99">
        <f>SUM(SamplingData[[#This Row],[Losing Candidate]:[Under Votes]])</f>
        <v>2</v>
      </c>
      <c r="K59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92" s="100">
        <f>IF(AND(SamplingData[[#This Row],[Total]]&lt;&gt; 0, NOT(ISBLANK(SamplingData[[#This Row],[Candidate 3]]))),(SamplingData[[#This Row],[Total]]+SamplingData[[#This Row],[Winning Candidate]]-SamplingData[[#This Row],[Candidate 3]])/(SamplingData[[#Totals],[Winning Candidate]]-SamplingData[[#Totals],[Candidate 3]]), 0)</f>
        <v>3.2261186566441917E-5</v>
      </c>
      <c r="M592" s="100">
        <f>IF(AND(SamplingData[[#This Row],[Total]]&lt;&gt; 0, NOT(ISBLANK(SamplingData[[#This Row],[Candidate 4]]))),(SamplingData[[#This Row],[Total]]+SamplingData[[#This Row],[Winning Candidate]]-SamplingData[[#This Row],[Candidate 4]])/(SamplingData[[#Totals],[Winning Candidate]]-SamplingData[[#Totals],[Candidate 4]]), 0)</f>
        <v>5.846414686193692E-5</v>
      </c>
      <c r="N592" s="100">
        <f>IF(AND(SamplingData[[#This Row],[Total]]&lt;&gt; 0, NOT(ISBLANK(SamplingData[[#This Row],[Candidate 5]]))),(SamplingData[[#This Row],[Total]]+SamplingData[[#This Row],[Winning Candidate]]-SamplingData[[#This Row],[Candidate 5]])/(SamplingData[[#Totals],[Winning Candidate]]-SamplingData[[#Totals],[Candidate 5]]), 0)</f>
        <v>4.8649963512527367E-5</v>
      </c>
      <c r="O592" s="100">
        <f>IF(AND(SamplingData[[#This Row],[Total]]&lt;&gt; 0, NOT(ISBLANK(SamplingData[[#This Row],[Candidate 6]]))),(SamplingData[[#This Row],[Total]]+SamplingData[[#This Row],[Winning Candidate]]-SamplingData[[#This Row],[Candidate 6]])/(SamplingData[[#Totals],[Winning Candidate]]-SamplingData[[#Totals],[Candidate 6]]), 0)</f>
        <v>4.8635766742862701E-5</v>
      </c>
      <c r="P592" s="100">
        <f>MAX(SamplingData[[#This Row],[Error Bound (up) - Max. possible relative overstatement - Losing Candidate]:[Error Bound (up) - Max. possible relative overstatement - Candidate 6]])</f>
        <v>6.1244487996080352E-5</v>
      </c>
      <c r="Q592" s="100">
        <f>IF(SamplingData[[#This Row],[Max Error Bound (up)]] = 0,0,SamplingData[[#This Row],[Max Error Bound (up)]]/SamplingData[[#Totals],[Max Error Bound (up)]])</f>
        <v>9.6929482784458315E-6</v>
      </c>
      <c r="R592" s="101">
        <f>SUM($Q$5:Q592)</f>
        <v>0.18533241496080979</v>
      </c>
      <c r="S592" s="100" t="str">
        <f t="array" ref="S592">IF(SamplingData[[#This Row],[up/U Selection Probability]] = 0, "Zero", TEXT(SamplingData[[#This Row],[Lower Range]], REPT("0",LEN('General Info'!$B$40))) &amp; " - " &amp; TEXT(SamplingData[[#This Row],[Upper Range]], REPT("0",LEN('General Info'!$B$40))))</f>
        <v>18532 - 18532</v>
      </c>
      <c r="T592" s="100">
        <f>SamplingData[[#This Row],[Upper Range]]-SamplingData[[#This Row],[Span]]</f>
        <v>18532.272210946085</v>
      </c>
      <c r="U592" s="100">
        <f>IF(ISNUMBER('General Info'!$B$40), ((SamplingData[[#This Row],[up/U Selection Probability]]) * 'General Info'!$B$40) - 1, 0)</f>
        <v>-3.0714865103695255E-2</v>
      </c>
      <c r="V592" s="100">
        <f>IF(ISNUMBER('General Info'!$B$40), (SamplingData[[#This Row],[Running (cumulative) sum]] * ('General Info'!$B$40 -'General Info'!$B$41 + 1)) + 'General Info'!$B$41 - 1, 0)</f>
        <v>18532.24149608098</v>
      </c>
      <c r="W592" s="100" t="str">
        <f>IF(ISERROR(MATCH(SamplingData[[#This Row],[Batch by Type (p)]],SelectedPrecincts[Batch Name], 0)), "", INDEX(SelectedPrecincts[Draw], MATCH(SamplingData[[#This Row],[Batch by Type (p)]],SelectedPrecincts[Batch Name], 0)))</f>
        <v/>
      </c>
      <c r="X592" s="102">
        <f>IF(COUNTIF(SelectedPrecincts[Batch Name],SamplingData[[#This Row],[Batch by Type (p)]]) &lt;&gt; 0, COUNTIF(SelectedPrecincts[Batch Name],SamplingData[[#This Row],[Batch by Type (p)]]), 0)</f>
        <v>0</v>
      </c>
    </row>
    <row r="593" spans="1:24" ht="15" customHeight="1">
      <c r="A593" s="18" t="s">
        <v>769</v>
      </c>
      <c r="B593" s="18">
        <v>2</v>
      </c>
      <c r="C593" s="18">
        <v>0</v>
      </c>
      <c r="D593" s="16">
        <v>0</v>
      </c>
      <c r="E593" s="16">
        <v>1</v>
      </c>
      <c r="F593" s="37">
        <v>0</v>
      </c>
      <c r="G593" s="37">
        <v>0</v>
      </c>
      <c r="H593" s="17">
        <v>0</v>
      </c>
      <c r="I593" s="17">
        <v>0</v>
      </c>
      <c r="J593" s="99">
        <f>SUM(SamplingData[[#This Row],[Losing Candidate]:[Under Votes]])</f>
        <v>3</v>
      </c>
      <c r="K593"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593" s="100">
        <f>IF(AND(SamplingData[[#This Row],[Total]]&lt;&gt; 0, NOT(ISBLANK(SamplingData[[#This Row],[Candidate 3]]))),(SamplingData[[#This Row],[Total]]+SamplingData[[#This Row],[Winning Candidate]]-SamplingData[[#This Row],[Candidate 3]])/(SamplingData[[#Totals],[Winning Candidate]]-SamplingData[[#Totals],[Candidate 3]]), 0)</f>
        <v>9.6783559699325743E-5</v>
      </c>
      <c r="M593" s="100">
        <f>IF(AND(SamplingData[[#This Row],[Total]]&lt;&gt; 0, NOT(ISBLANK(SamplingData[[#This Row],[Candidate 4]]))),(SamplingData[[#This Row],[Total]]+SamplingData[[#This Row],[Winning Candidate]]-SamplingData[[#This Row],[Candidate 4]])/(SamplingData[[#Totals],[Winning Candidate]]-SamplingData[[#Totals],[Candidate 4]]), 0)</f>
        <v>5.846414686193692E-5</v>
      </c>
      <c r="N593" s="100">
        <f>IF(AND(SamplingData[[#This Row],[Total]]&lt;&gt; 0, NOT(ISBLANK(SamplingData[[#This Row],[Candidate 5]]))),(SamplingData[[#This Row],[Total]]+SamplingData[[#This Row],[Winning Candidate]]-SamplingData[[#This Row],[Candidate 5]])/(SamplingData[[#Totals],[Winning Candidate]]-SamplingData[[#Totals],[Candidate 5]]), 0)</f>
        <v>7.2974945268791054E-5</v>
      </c>
      <c r="O593" s="100">
        <f>IF(AND(SamplingData[[#This Row],[Total]]&lt;&gt; 0, NOT(ISBLANK(SamplingData[[#This Row],[Candidate 6]]))),(SamplingData[[#This Row],[Total]]+SamplingData[[#This Row],[Winning Candidate]]-SamplingData[[#This Row],[Candidate 6]])/(SamplingData[[#Totals],[Winning Candidate]]-SamplingData[[#Totals],[Candidate 6]]), 0)</f>
        <v>7.2953650114294054E-5</v>
      </c>
      <c r="P593" s="100">
        <f>MAX(SamplingData[[#This Row],[Error Bound (up) - Max. possible relative overstatement - Losing Candidate]:[Error Bound (up) - Max. possible relative overstatement - Candidate 6]])</f>
        <v>9.6783559699325743E-5</v>
      </c>
      <c r="Q593" s="100">
        <f>IF(SamplingData[[#This Row],[Max Error Bound (up)]] = 0,0,SamplingData[[#This Row],[Max Error Bound (up)]]/SamplingData[[#Totals],[Max Error Bound (up)]])</f>
        <v>1.5317591330496199E-5</v>
      </c>
      <c r="R593" s="101">
        <f>SUM($Q$5:Q593)</f>
        <v>0.18534773255214029</v>
      </c>
      <c r="S593" s="100" t="str">
        <f t="array" ref="S593">IF(SamplingData[[#This Row],[up/U Selection Probability]] = 0, "Zero", TEXT(SamplingData[[#This Row],[Lower Range]], REPT("0",LEN('General Info'!$B$40))) &amp; " - " &amp; TEXT(SamplingData[[#This Row],[Upper Range]], REPT("0",LEN('General Info'!$B$40))))</f>
        <v>18533 - 18534</v>
      </c>
      <c r="T593" s="100">
        <f>SamplingData[[#This Row],[Upper Range]]-SamplingData[[#This Row],[Span]]</f>
        <v>18533.24151139857</v>
      </c>
      <c r="U593" s="100">
        <f>IF(ISNUMBER('General Info'!$B$40), ((SamplingData[[#This Row],[up/U Selection Probability]]) * 'General Info'!$B$40) - 1, 0)</f>
        <v>0.53174381545828941</v>
      </c>
      <c r="V593" s="100">
        <f>IF(ISNUMBER('General Info'!$B$40), (SamplingData[[#This Row],[Running (cumulative) sum]] * ('General Info'!$B$40 -'General Info'!$B$41 + 1)) + 'General Info'!$B$41 - 1, 0)</f>
        <v>18533.77325521403</v>
      </c>
      <c r="W593" s="100" t="str">
        <f>IF(ISERROR(MATCH(SamplingData[[#This Row],[Batch by Type (p)]],SelectedPrecincts[Batch Name], 0)), "", INDEX(SelectedPrecincts[Draw], MATCH(SamplingData[[#This Row],[Batch by Type (p)]],SelectedPrecincts[Batch Name], 0)))</f>
        <v/>
      </c>
      <c r="X593" s="102">
        <f>IF(COUNTIF(SelectedPrecincts[Batch Name],SamplingData[[#This Row],[Batch by Type (p)]]) &lt;&gt; 0, COUNTIF(SelectedPrecincts[Batch Name],SamplingData[[#This Row],[Batch by Type (p)]]), 0)</f>
        <v>0</v>
      </c>
    </row>
    <row r="594" spans="1:24" ht="15" customHeight="1">
      <c r="A594" s="18" t="s">
        <v>770</v>
      </c>
      <c r="B594" s="18">
        <v>0</v>
      </c>
      <c r="C594" s="18">
        <v>3</v>
      </c>
      <c r="D594" s="18">
        <v>0</v>
      </c>
      <c r="E594" s="18">
        <v>0</v>
      </c>
      <c r="F594" s="18">
        <v>0</v>
      </c>
      <c r="G594" s="18">
        <v>0</v>
      </c>
      <c r="H594" s="18">
        <v>0</v>
      </c>
      <c r="I594" s="18">
        <v>0</v>
      </c>
      <c r="J594" s="99">
        <f>SUM(SamplingData[[#This Row],[Losing Candidate]:[Under Votes]])</f>
        <v>3</v>
      </c>
      <c r="K594"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594" s="100">
        <f>IF(AND(SamplingData[[#This Row],[Total]]&lt;&gt; 0, NOT(ISBLANK(SamplingData[[#This Row],[Candidate 3]]))),(SamplingData[[#This Row],[Total]]+SamplingData[[#This Row],[Winning Candidate]]-SamplingData[[#This Row],[Candidate 3]])/(SamplingData[[#Totals],[Winning Candidate]]-SamplingData[[#Totals],[Candidate 3]]), 0)</f>
        <v>1.9356711939865149E-4</v>
      </c>
      <c r="M594" s="100">
        <f>IF(AND(SamplingData[[#This Row],[Total]]&lt;&gt; 0, NOT(ISBLANK(SamplingData[[#This Row],[Candidate 4]]))),(SamplingData[[#This Row],[Total]]+SamplingData[[#This Row],[Winning Candidate]]-SamplingData[[#This Row],[Candidate 4]])/(SamplingData[[#Totals],[Winning Candidate]]-SamplingData[[#Totals],[Candidate 4]]), 0)</f>
        <v>1.7539244058581075E-4</v>
      </c>
      <c r="N594" s="100">
        <f>IF(AND(SamplingData[[#This Row],[Total]]&lt;&gt; 0, NOT(ISBLANK(SamplingData[[#This Row],[Candidate 5]]))),(SamplingData[[#This Row],[Total]]+SamplingData[[#This Row],[Winning Candidate]]-SamplingData[[#This Row],[Candidate 5]])/(SamplingData[[#Totals],[Winning Candidate]]-SamplingData[[#Totals],[Candidate 5]]), 0)</f>
        <v>1.4594989053758211E-4</v>
      </c>
      <c r="O594" s="100">
        <f>IF(AND(SamplingData[[#This Row],[Total]]&lt;&gt; 0, NOT(ISBLANK(SamplingData[[#This Row],[Candidate 6]]))),(SamplingData[[#This Row],[Total]]+SamplingData[[#This Row],[Winning Candidate]]-SamplingData[[#This Row],[Candidate 6]])/(SamplingData[[#Totals],[Winning Candidate]]-SamplingData[[#Totals],[Candidate 6]]), 0)</f>
        <v>1.4590730022858811E-4</v>
      </c>
      <c r="P594" s="100">
        <f>MAX(SamplingData[[#This Row],[Error Bound (up) - Max. possible relative overstatement - Losing Candidate]:[Error Bound (up) - Max. possible relative overstatement - Candidate 6]])</f>
        <v>3.6746692797648211E-4</v>
      </c>
      <c r="Q594" s="100">
        <f>IF(SamplingData[[#This Row],[Max Error Bound (up)]] = 0,0,SamplingData[[#This Row],[Max Error Bound (up)]]/SamplingData[[#Totals],[Max Error Bound (up)]])</f>
        <v>5.8157689670674986E-5</v>
      </c>
      <c r="R594" s="101">
        <f>SUM($Q$5:Q594)</f>
        <v>0.18540589024181098</v>
      </c>
      <c r="S594" s="100" t="str">
        <f t="array" ref="S594">IF(SamplingData[[#This Row],[up/U Selection Probability]] = 0, "Zero", TEXT(SamplingData[[#This Row],[Lower Range]], REPT("0",LEN('General Info'!$B$40))) &amp; " - " &amp; TEXT(SamplingData[[#This Row],[Upper Range]], REPT("0",LEN('General Info'!$B$40))))</f>
        <v>18535 - 18540</v>
      </c>
      <c r="T594" s="100">
        <f>SamplingData[[#This Row],[Upper Range]]-SamplingData[[#This Row],[Span]]</f>
        <v>18534.773313371723</v>
      </c>
      <c r="U594" s="100">
        <f>IF(ISNUMBER('General Info'!$B$40), ((SamplingData[[#This Row],[up/U Selection Probability]]) * 'General Info'!$B$40) - 1, 0)</f>
        <v>4.815710809377828</v>
      </c>
      <c r="V594" s="100">
        <f>IF(ISNUMBER('General Info'!$B$40), (SamplingData[[#This Row],[Running (cumulative) sum]] * ('General Info'!$B$40 -'General Info'!$B$41 + 1)) + 'General Info'!$B$41 - 1, 0)</f>
        <v>18539.589024181099</v>
      </c>
      <c r="W594" s="100" t="str">
        <f>IF(ISERROR(MATCH(SamplingData[[#This Row],[Batch by Type (p)]],SelectedPrecincts[Batch Name], 0)), "", INDEX(SelectedPrecincts[Draw], MATCH(SamplingData[[#This Row],[Batch by Type (p)]],SelectedPrecincts[Batch Name], 0)))</f>
        <v/>
      </c>
      <c r="X594" s="102">
        <f>IF(COUNTIF(SelectedPrecincts[Batch Name],SamplingData[[#This Row],[Batch by Type (p)]]) &lt;&gt; 0, COUNTIF(SelectedPrecincts[Batch Name],SamplingData[[#This Row],[Batch by Type (p)]]), 0)</f>
        <v>0</v>
      </c>
    </row>
    <row r="595" spans="1:24" ht="15" customHeight="1">
      <c r="A595" s="18" t="s">
        <v>771</v>
      </c>
      <c r="B595" s="18">
        <v>10</v>
      </c>
      <c r="C595" s="18">
        <v>11</v>
      </c>
      <c r="D595" s="16">
        <v>5</v>
      </c>
      <c r="E595" s="16">
        <v>11</v>
      </c>
      <c r="F595" s="37">
        <v>0</v>
      </c>
      <c r="G595" s="37">
        <v>0</v>
      </c>
      <c r="H595" s="17">
        <v>0</v>
      </c>
      <c r="I595" s="17">
        <v>0</v>
      </c>
      <c r="J595" s="99">
        <f>SUM(SamplingData[[#This Row],[Losing Candidate]:[Under Votes]])</f>
        <v>37</v>
      </c>
      <c r="K595"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595" s="100">
        <f>IF(AND(SamplingData[[#This Row],[Total]]&lt;&gt; 0, NOT(ISBLANK(SamplingData[[#This Row],[Candidate 3]]))),(SamplingData[[#This Row],[Total]]+SamplingData[[#This Row],[Winning Candidate]]-SamplingData[[#This Row],[Candidate 3]])/(SamplingData[[#Totals],[Winning Candidate]]-SamplingData[[#Totals],[Candidate 3]]), 0)</f>
        <v>1.3872310223570024E-3</v>
      </c>
      <c r="M595" s="100">
        <f>IF(AND(SamplingData[[#This Row],[Total]]&lt;&gt; 0, NOT(ISBLANK(SamplingData[[#This Row],[Candidate 4]]))),(SamplingData[[#This Row],[Total]]+SamplingData[[#This Row],[Winning Candidate]]-SamplingData[[#This Row],[Candidate 4]])/(SamplingData[[#Totals],[Winning Candidate]]-SamplingData[[#Totals],[Candidate 4]]), 0)</f>
        <v>1.081586716945833E-3</v>
      </c>
      <c r="N595" s="100">
        <f>IF(AND(SamplingData[[#This Row],[Total]]&lt;&gt; 0, NOT(ISBLANK(SamplingData[[#This Row],[Candidate 5]]))),(SamplingData[[#This Row],[Total]]+SamplingData[[#This Row],[Winning Candidate]]-SamplingData[[#This Row],[Candidate 5]])/(SamplingData[[#Totals],[Winning Candidate]]-SamplingData[[#Totals],[Candidate 5]]), 0)</f>
        <v>1.1675991243006569E-3</v>
      </c>
      <c r="O595" s="100">
        <f>IF(AND(SamplingData[[#This Row],[Total]]&lt;&gt; 0, NOT(ISBLANK(SamplingData[[#This Row],[Candidate 6]]))),(SamplingData[[#This Row],[Total]]+SamplingData[[#This Row],[Winning Candidate]]-SamplingData[[#This Row],[Candidate 6]])/(SamplingData[[#Totals],[Winning Candidate]]-SamplingData[[#Totals],[Candidate 6]]), 0)</f>
        <v>1.1672584018287049E-3</v>
      </c>
      <c r="P595" s="100">
        <f>MAX(SamplingData[[#This Row],[Error Bound (up) - Max. possible relative overstatement - Losing Candidate]:[Error Bound (up) - Max. possible relative overstatement - Candidate 6]])</f>
        <v>2.3272905438510533E-3</v>
      </c>
      <c r="Q595" s="100">
        <f>IF(SamplingData[[#This Row],[Max Error Bound (up)]] = 0,0,SamplingData[[#This Row],[Max Error Bound (up)]]/SamplingData[[#Totals],[Max Error Bound (up)]])</f>
        <v>3.683320345809416E-4</v>
      </c>
      <c r="R595" s="101">
        <f>SUM($Q$5:Q595)</f>
        <v>0.18577422227639193</v>
      </c>
      <c r="S595" s="100" t="str">
        <f t="array" ref="S595">IF(SamplingData[[#This Row],[up/U Selection Probability]] = 0, "Zero", TEXT(SamplingData[[#This Row],[Lower Range]], REPT("0",LEN('General Info'!$B$40))) &amp; " - " &amp; TEXT(SamplingData[[#This Row],[Upper Range]], REPT("0",LEN('General Info'!$B$40))))</f>
        <v>18541 - 18576</v>
      </c>
      <c r="T595" s="100">
        <f>SamplingData[[#This Row],[Upper Range]]-SamplingData[[#This Row],[Span]]</f>
        <v>18540.589392513131</v>
      </c>
      <c r="U595" s="100">
        <f>IF(ISNUMBER('General Info'!$B$40), ((SamplingData[[#This Row],[up/U Selection Probability]]) * 'General Info'!$B$40) - 1, 0)</f>
        <v>35.832835126059578</v>
      </c>
      <c r="V595" s="100">
        <f>IF(ISNUMBER('General Info'!$B$40), (SamplingData[[#This Row],[Running (cumulative) sum]] * ('General Info'!$B$40 -'General Info'!$B$41 + 1)) + 'General Info'!$B$41 - 1, 0)</f>
        <v>18576.422227639192</v>
      </c>
      <c r="W595" s="100" t="str">
        <f>IF(ISERROR(MATCH(SamplingData[[#This Row],[Batch by Type (p)]],SelectedPrecincts[Batch Name], 0)), "", INDEX(SelectedPrecincts[Draw], MATCH(SamplingData[[#This Row],[Batch by Type (p)]],SelectedPrecincts[Batch Name], 0)))</f>
        <v/>
      </c>
      <c r="X595" s="102">
        <f>IF(COUNTIF(SelectedPrecincts[Batch Name],SamplingData[[#This Row],[Batch by Type (p)]]) &lt;&gt; 0, COUNTIF(SelectedPrecincts[Batch Name],SamplingData[[#This Row],[Batch by Type (p)]]), 0)</f>
        <v>0</v>
      </c>
    </row>
    <row r="596" spans="1:24" ht="15" customHeight="1">
      <c r="A596" s="18" t="s">
        <v>772</v>
      </c>
      <c r="B596" s="18">
        <v>4</v>
      </c>
      <c r="C596" s="18">
        <v>4</v>
      </c>
      <c r="D596" s="18">
        <v>0</v>
      </c>
      <c r="E596" s="18">
        <v>2</v>
      </c>
      <c r="F596" s="18">
        <v>0</v>
      </c>
      <c r="G596" s="18">
        <v>0</v>
      </c>
      <c r="H596" s="18">
        <v>0</v>
      </c>
      <c r="I596" s="18">
        <v>0</v>
      </c>
      <c r="J596" s="99">
        <f>SUM(SamplingData[[#This Row],[Losing Candidate]:[Under Votes]])</f>
        <v>10</v>
      </c>
      <c r="K59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596" s="100">
        <f>IF(AND(SamplingData[[#This Row],[Total]]&lt;&gt; 0, NOT(ISBLANK(SamplingData[[#This Row],[Candidate 3]]))),(SamplingData[[#This Row],[Total]]+SamplingData[[#This Row],[Winning Candidate]]-SamplingData[[#This Row],[Candidate 3]])/(SamplingData[[#Totals],[Winning Candidate]]-SamplingData[[#Totals],[Candidate 3]]), 0)</f>
        <v>4.5165661193018679E-4</v>
      </c>
      <c r="M596" s="100">
        <f>IF(AND(SamplingData[[#This Row],[Total]]&lt;&gt; 0, NOT(ISBLANK(SamplingData[[#This Row],[Candidate 4]]))),(SamplingData[[#This Row],[Total]]+SamplingData[[#This Row],[Winning Candidate]]-SamplingData[[#This Row],[Candidate 4]])/(SamplingData[[#Totals],[Winning Candidate]]-SamplingData[[#Totals],[Candidate 4]]), 0)</f>
        <v>3.5078488117162149E-4</v>
      </c>
      <c r="N596" s="100">
        <f>IF(AND(SamplingData[[#This Row],[Total]]&lt;&gt; 0, NOT(ISBLANK(SamplingData[[#This Row],[Candidate 5]]))),(SamplingData[[#This Row],[Total]]+SamplingData[[#This Row],[Winning Candidate]]-SamplingData[[#This Row],[Candidate 5]])/(SamplingData[[#Totals],[Winning Candidate]]-SamplingData[[#Totals],[Candidate 5]]), 0)</f>
        <v>3.4054974458769157E-4</v>
      </c>
      <c r="O596" s="100">
        <f>IF(AND(SamplingData[[#This Row],[Total]]&lt;&gt; 0, NOT(ISBLANK(SamplingData[[#This Row],[Candidate 6]]))),(SamplingData[[#This Row],[Total]]+SamplingData[[#This Row],[Winning Candidate]]-SamplingData[[#This Row],[Candidate 6]])/(SamplingData[[#Totals],[Winning Candidate]]-SamplingData[[#Totals],[Candidate 6]]), 0)</f>
        <v>3.4045036720003888E-4</v>
      </c>
      <c r="P596" s="100">
        <f>MAX(SamplingData[[#This Row],[Error Bound (up) - Max. possible relative overstatement - Losing Candidate]:[Error Bound (up) - Max. possible relative overstatement - Candidate 6]])</f>
        <v>6.1244487996080352E-4</v>
      </c>
      <c r="Q596" s="100">
        <f>IF(SamplingData[[#This Row],[Max Error Bound (up)]] = 0,0,SamplingData[[#This Row],[Max Error Bound (up)]]/SamplingData[[#Totals],[Max Error Bound (up)]])</f>
        <v>9.6929482784458319E-5</v>
      </c>
      <c r="R596" s="101">
        <f>SUM($Q$5:Q596)</f>
        <v>0.18587115175917637</v>
      </c>
      <c r="S596" s="100" t="str">
        <f t="array" ref="S596">IF(SamplingData[[#This Row],[up/U Selection Probability]] = 0, "Zero", TEXT(SamplingData[[#This Row],[Lower Range]], REPT("0",LEN('General Info'!$B$40))) &amp; " - " &amp; TEXT(SamplingData[[#This Row],[Upper Range]], REPT("0",LEN('General Info'!$B$40))))</f>
        <v>18577 - 18586</v>
      </c>
      <c r="T596" s="100">
        <f>SamplingData[[#This Row],[Upper Range]]-SamplingData[[#This Row],[Span]]</f>
        <v>18577.422324568674</v>
      </c>
      <c r="U596" s="100">
        <f>IF(ISNUMBER('General Info'!$B$40), ((SamplingData[[#This Row],[up/U Selection Probability]]) * 'General Info'!$B$40) - 1, 0)</f>
        <v>8.6928513489630479</v>
      </c>
      <c r="V596" s="100">
        <f>IF(ISNUMBER('General Info'!$B$40), (SamplingData[[#This Row],[Running (cumulative) sum]] * ('General Info'!$B$40 -'General Info'!$B$41 + 1)) + 'General Info'!$B$41 - 1, 0)</f>
        <v>18586.115175917635</v>
      </c>
      <c r="W596" s="100" t="str">
        <f>IF(ISERROR(MATCH(SamplingData[[#This Row],[Batch by Type (p)]],SelectedPrecincts[Batch Name], 0)), "", INDEX(SelectedPrecincts[Draw], MATCH(SamplingData[[#This Row],[Batch by Type (p)]],SelectedPrecincts[Batch Name], 0)))</f>
        <v/>
      </c>
      <c r="X596" s="102">
        <f>IF(COUNTIF(SelectedPrecincts[Batch Name],SamplingData[[#This Row],[Batch by Type (p)]]) &lt;&gt; 0, COUNTIF(SelectedPrecincts[Batch Name],SamplingData[[#This Row],[Batch by Type (p)]]), 0)</f>
        <v>0</v>
      </c>
    </row>
    <row r="597" spans="1:24" ht="15" customHeight="1">
      <c r="A597" s="18" t="s">
        <v>773</v>
      </c>
      <c r="B597" s="18">
        <v>11</v>
      </c>
      <c r="C597" s="18">
        <v>9</v>
      </c>
      <c r="D597" s="16">
        <v>4</v>
      </c>
      <c r="E597" s="16">
        <v>4</v>
      </c>
      <c r="F597" s="37">
        <v>0</v>
      </c>
      <c r="G597" s="37">
        <v>1</v>
      </c>
      <c r="H597" s="17">
        <v>0</v>
      </c>
      <c r="I597" s="17">
        <v>0</v>
      </c>
      <c r="J597" s="99">
        <f>SUM(SamplingData[[#This Row],[Losing Candidate]:[Under Votes]])</f>
        <v>29</v>
      </c>
      <c r="K597"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597" s="100">
        <f>IF(AND(SamplingData[[#This Row],[Total]]&lt;&gt; 0, NOT(ISBLANK(SamplingData[[#This Row],[Candidate 3]]))),(SamplingData[[#This Row],[Total]]+SamplingData[[#This Row],[Winning Candidate]]-SamplingData[[#This Row],[Candidate 3]])/(SamplingData[[#Totals],[Winning Candidate]]-SamplingData[[#Totals],[Candidate 3]]), 0)</f>
        <v>1.0968803432590251E-3</v>
      </c>
      <c r="M597" s="100">
        <f>IF(AND(SamplingData[[#This Row],[Total]]&lt;&gt; 0, NOT(ISBLANK(SamplingData[[#This Row],[Candidate 4]]))),(SamplingData[[#This Row],[Total]]+SamplingData[[#This Row],[Winning Candidate]]-SamplingData[[#This Row],[Candidate 4]])/(SamplingData[[#Totals],[Winning Candidate]]-SamplingData[[#Totals],[Candidate 4]]), 0)</f>
        <v>9.9389049665292765E-4</v>
      </c>
      <c r="N597" s="100">
        <f>IF(AND(SamplingData[[#This Row],[Total]]&lt;&gt; 0, NOT(ISBLANK(SamplingData[[#This Row],[Candidate 5]]))),(SamplingData[[#This Row],[Total]]+SamplingData[[#This Row],[Winning Candidate]]-SamplingData[[#This Row],[Candidate 5]])/(SamplingData[[#Totals],[Winning Candidate]]-SamplingData[[#Totals],[Candidate 5]]), 0)</f>
        <v>9.2434930673801995E-4</v>
      </c>
      <c r="O597" s="100">
        <f>IF(AND(SamplingData[[#This Row],[Total]]&lt;&gt; 0, NOT(ISBLANK(SamplingData[[#This Row],[Candidate 6]]))),(SamplingData[[#This Row],[Total]]+SamplingData[[#This Row],[Winning Candidate]]-SamplingData[[#This Row],[Candidate 6]])/(SamplingData[[#Totals],[Winning Candidate]]-SamplingData[[#Totals],[Candidate 6]]), 0)</f>
        <v>8.9976168474295993E-4</v>
      </c>
      <c r="P597" s="100">
        <f>MAX(SamplingData[[#This Row],[Error Bound (up) - Max. possible relative overstatement - Losing Candidate]:[Error Bound (up) - Max. possible relative overstatement - Candidate 6]])</f>
        <v>1.6536011758941694E-3</v>
      </c>
      <c r="Q597" s="100">
        <f>IF(SamplingData[[#This Row],[Max Error Bound (up)]] = 0,0,SamplingData[[#This Row],[Max Error Bound (up)]]/SamplingData[[#Totals],[Max Error Bound (up)]])</f>
        <v>2.6170960351803746E-4</v>
      </c>
      <c r="R597" s="101">
        <f>SUM($Q$5:Q597)</f>
        <v>0.18613286136269441</v>
      </c>
      <c r="S597" s="100" t="str">
        <f t="array" ref="S597">IF(SamplingData[[#This Row],[up/U Selection Probability]] = 0, "Zero", TEXT(SamplingData[[#This Row],[Lower Range]], REPT("0",LEN('General Info'!$B$40))) &amp; " - " &amp; TEXT(SamplingData[[#This Row],[Upper Range]], REPT("0",LEN('General Info'!$B$40))))</f>
        <v>18587 - 18612</v>
      </c>
      <c r="T597" s="100">
        <f>SamplingData[[#This Row],[Upper Range]]-SamplingData[[#This Row],[Span]]</f>
        <v>18587.115437627242</v>
      </c>
      <c r="U597" s="100">
        <f>IF(ISNUMBER('General Info'!$B$40), ((SamplingData[[#This Row],[up/U Selection Probability]]) * 'General Info'!$B$40) - 1, 0)</f>
        <v>25.170698642200229</v>
      </c>
      <c r="V597" s="100">
        <f>IF(ISNUMBER('General Info'!$B$40), (SamplingData[[#This Row],[Running (cumulative) sum]] * ('General Info'!$B$40 -'General Info'!$B$41 + 1)) + 'General Info'!$B$41 - 1, 0)</f>
        <v>18612.286136269442</v>
      </c>
      <c r="W597" s="100" t="str">
        <f>IF(ISERROR(MATCH(SamplingData[[#This Row],[Batch by Type (p)]],SelectedPrecincts[Batch Name], 0)), "", INDEX(SelectedPrecincts[Draw], MATCH(SamplingData[[#This Row],[Batch by Type (p)]],SelectedPrecincts[Batch Name], 0)))</f>
        <v/>
      </c>
      <c r="X597" s="102">
        <f>IF(COUNTIF(SelectedPrecincts[Batch Name],SamplingData[[#This Row],[Batch by Type (p)]]) &lt;&gt; 0, COUNTIF(SelectedPrecincts[Batch Name],SamplingData[[#This Row],[Batch by Type (p)]]), 0)</f>
        <v>0</v>
      </c>
    </row>
    <row r="598" spans="1:24" ht="15" customHeight="1">
      <c r="A598" s="18" t="s">
        <v>774</v>
      </c>
      <c r="B598" s="18">
        <v>1</v>
      </c>
      <c r="C598" s="18">
        <v>3</v>
      </c>
      <c r="D598" s="18">
        <v>0</v>
      </c>
      <c r="E598" s="18">
        <v>0</v>
      </c>
      <c r="F598" s="18">
        <v>0</v>
      </c>
      <c r="G598" s="18">
        <v>0</v>
      </c>
      <c r="H598" s="18">
        <v>0</v>
      </c>
      <c r="I598" s="18">
        <v>0</v>
      </c>
      <c r="J598" s="99">
        <f>SUM(SamplingData[[#This Row],[Losing Candidate]:[Under Votes]])</f>
        <v>4</v>
      </c>
      <c r="K598"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598" s="100">
        <f>IF(AND(SamplingData[[#This Row],[Total]]&lt;&gt; 0, NOT(ISBLANK(SamplingData[[#This Row],[Candidate 3]]))),(SamplingData[[#This Row],[Total]]+SamplingData[[#This Row],[Winning Candidate]]-SamplingData[[#This Row],[Candidate 3]])/(SamplingData[[#Totals],[Winning Candidate]]-SamplingData[[#Totals],[Candidate 3]]), 0)</f>
        <v>2.258283059650934E-4</v>
      </c>
      <c r="M598" s="100">
        <f>IF(AND(SamplingData[[#This Row],[Total]]&lt;&gt; 0, NOT(ISBLANK(SamplingData[[#This Row],[Candidate 4]]))),(SamplingData[[#This Row],[Total]]+SamplingData[[#This Row],[Winning Candidate]]-SamplingData[[#This Row],[Candidate 4]])/(SamplingData[[#Totals],[Winning Candidate]]-SamplingData[[#Totals],[Candidate 4]]), 0)</f>
        <v>2.0462451401677921E-4</v>
      </c>
      <c r="N598" s="100">
        <f>IF(AND(SamplingData[[#This Row],[Total]]&lt;&gt; 0, NOT(ISBLANK(SamplingData[[#This Row],[Candidate 5]]))),(SamplingData[[#This Row],[Total]]+SamplingData[[#This Row],[Winning Candidate]]-SamplingData[[#This Row],[Candidate 5]])/(SamplingData[[#Totals],[Winning Candidate]]-SamplingData[[#Totals],[Candidate 5]]), 0)</f>
        <v>1.7027487229384579E-4</v>
      </c>
      <c r="O598" s="100">
        <f>IF(AND(SamplingData[[#This Row],[Total]]&lt;&gt; 0, NOT(ISBLANK(SamplingData[[#This Row],[Candidate 6]]))),(SamplingData[[#This Row],[Total]]+SamplingData[[#This Row],[Winning Candidate]]-SamplingData[[#This Row],[Candidate 6]])/(SamplingData[[#Totals],[Winning Candidate]]-SamplingData[[#Totals],[Candidate 6]]), 0)</f>
        <v>1.7022518360001944E-4</v>
      </c>
      <c r="P598" s="100">
        <f>MAX(SamplingData[[#This Row],[Error Bound (up) - Max. possible relative overstatement - Losing Candidate]:[Error Bound (up) - Max. possible relative overstatement - Candidate 6]])</f>
        <v>3.6746692797648211E-4</v>
      </c>
      <c r="Q598" s="100">
        <f>IF(SamplingData[[#This Row],[Max Error Bound (up)]] = 0,0,SamplingData[[#This Row],[Max Error Bound (up)]]/SamplingData[[#Totals],[Max Error Bound (up)]])</f>
        <v>5.8157689670674986E-5</v>
      </c>
      <c r="R598" s="101">
        <f>SUM($Q$5:Q598)</f>
        <v>0.1861910190523651</v>
      </c>
      <c r="S598" s="100" t="str">
        <f t="array" ref="S598">IF(SamplingData[[#This Row],[up/U Selection Probability]] = 0, "Zero", TEXT(SamplingData[[#This Row],[Lower Range]], REPT("0",LEN('General Info'!$B$40))) &amp; " - " &amp; TEXT(SamplingData[[#This Row],[Upper Range]], REPT("0",LEN('General Info'!$B$40))))</f>
        <v>18613 - 18618</v>
      </c>
      <c r="T598" s="100">
        <f>SamplingData[[#This Row],[Upper Range]]-SamplingData[[#This Row],[Span]]</f>
        <v>18613.286194427132</v>
      </c>
      <c r="U598" s="100">
        <f>IF(ISNUMBER('General Info'!$B$40), ((SamplingData[[#This Row],[up/U Selection Probability]]) * 'General Info'!$B$40) - 1, 0)</f>
        <v>4.815710809377828</v>
      </c>
      <c r="V598" s="100">
        <f>IF(ISNUMBER('General Info'!$B$40), (SamplingData[[#This Row],[Running (cumulative) sum]] * ('General Info'!$B$40 -'General Info'!$B$41 + 1)) + 'General Info'!$B$41 - 1, 0)</f>
        <v>18618.101905236508</v>
      </c>
      <c r="W598" s="100" t="str">
        <f>IF(ISERROR(MATCH(SamplingData[[#This Row],[Batch by Type (p)]],SelectedPrecincts[Batch Name], 0)), "", INDEX(SelectedPrecincts[Draw], MATCH(SamplingData[[#This Row],[Batch by Type (p)]],SelectedPrecincts[Batch Name], 0)))</f>
        <v/>
      </c>
      <c r="X598" s="102">
        <f>IF(COUNTIF(SelectedPrecincts[Batch Name],SamplingData[[#This Row],[Batch by Type (p)]]) &lt;&gt; 0, COUNTIF(SelectedPrecincts[Batch Name],SamplingData[[#This Row],[Batch by Type (p)]]), 0)</f>
        <v>0</v>
      </c>
    </row>
    <row r="599" spans="1:24" ht="15" customHeight="1">
      <c r="A599" s="18" t="s">
        <v>775</v>
      </c>
      <c r="B599" s="18">
        <v>5</v>
      </c>
      <c r="C599" s="18">
        <v>3</v>
      </c>
      <c r="D599" s="16">
        <v>1</v>
      </c>
      <c r="E599" s="16">
        <v>3</v>
      </c>
      <c r="F599" s="37">
        <v>0</v>
      </c>
      <c r="G599" s="37">
        <v>1</v>
      </c>
      <c r="H599" s="17">
        <v>0</v>
      </c>
      <c r="I599" s="17">
        <v>0</v>
      </c>
      <c r="J599" s="99">
        <f>SUM(SamplingData[[#This Row],[Losing Candidate]:[Under Votes]])</f>
        <v>13</v>
      </c>
      <c r="K599"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599" s="100">
        <f>IF(AND(SamplingData[[#This Row],[Total]]&lt;&gt; 0, NOT(ISBLANK(SamplingData[[#This Row],[Candidate 3]]))),(SamplingData[[#This Row],[Total]]+SamplingData[[#This Row],[Winning Candidate]]-SamplingData[[#This Row],[Candidate 3]])/(SamplingData[[#Totals],[Winning Candidate]]-SamplingData[[#Totals],[Candidate 3]]), 0)</f>
        <v>4.8391779849662873E-4</v>
      </c>
      <c r="M599" s="100">
        <f>IF(AND(SamplingData[[#This Row],[Total]]&lt;&gt; 0, NOT(ISBLANK(SamplingData[[#This Row],[Candidate 4]]))),(SamplingData[[#This Row],[Total]]+SamplingData[[#This Row],[Winning Candidate]]-SamplingData[[#This Row],[Candidate 4]])/(SamplingData[[#Totals],[Winning Candidate]]-SamplingData[[#Totals],[Candidate 4]]), 0)</f>
        <v>3.8001695460258996E-4</v>
      </c>
      <c r="N599" s="100">
        <f>IF(AND(SamplingData[[#This Row],[Total]]&lt;&gt; 0, NOT(ISBLANK(SamplingData[[#This Row],[Candidate 5]]))),(SamplingData[[#This Row],[Total]]+SamplingData[[#This Row],[Winning Candidate]]-SamplingData[[#This Row],[Candidate 5]])/(SamplingData[[#Totals],[Winning Candidate]]-SamplingData[[#Totals],[Candidate 5]]), 0)</f>
        <v>3.8919970810021893E-4</v>
      </c>
      <c r="O599" s="100">
        <f>IF(AND(SamplingData[[#This Row],[Total]]&lt;&gt; 0, NOT(ISBLANK(SamplingData[[#This Row],[Candidate 6]]))),(SamplingData[[#This Row],[Total]]+SamplingData[[#This Row],[Winning Candidate]]-SamplingData[[#This Row],[Candidate 6]])/(SamplingData[[#Totals],[Winning Candidate]]-SamplingData[[#Totals],[Candidate 6]]), 0)</f>
        <v>3.6476825057147027E-4</v>
      </c>
      <c r="P599" s="100">
        <f>MAX(SamplingData[[#This Row],[Error Bound (up) - Max. possible relative overstatement - Losing Candidate]:[Error Bound (up) - Max. possible relative overstatement - Candidate 6]])</f>
        <v>6.7368936795688392E-4</v>
      </c>
      <c r="Q599" s="100">
        <f>IF(SamplingData[[#This Row],[Max Error Bound (up)]] = 0,0,SamplingData[[#This Row],[Max Error Bound (up)]]/SamplingData[[#Totals],[Max Error Bound (up)]])</f>
        <v>1.0662243106290416E-4</v>
      </c>
      <c r="R599" s="101">
        <f>SUM($Q$5:Q599)</f>
        <v>0.18629764148342801</v>
      </c>
      <c r="S599" s="100" t="str">
        <f t="array" ref="S599">IF(SamplingData[[#This Row],[up/U Selection Probability]] = 0, "Zero", TEXT(SamplingData[[#This Row],[Lower Range]], REPT("0",LEN('General Info'!$B$40))) &amp; " - " &amp; TEXT(SamplingData[[#This Row],[Upper Range]], REPT("0",LEN('General Info'!$B$40))))</f>
        <v>18619 - 18629</v>
      </c>
      <c r="T599" s="100">
        <f>SamplingData[[#This Row],[Upper Range]]-SamplingData[[#This Row],[Span]]</f>
        <v>18619.10201185894</v>
      </c>
      <c r="U599" s="100">
        <f>IF(ISNUMBER('General Info'!$B$40), ((SamplingData[[#This Row],[up/U Selection Probability]]) * 'General Info'!$B$40) - 1, 0)</f>
        <v>9.6621364838593529</v>
      </c>
      <c r="V599" s="100">
        <f>IF(ISNUMBER('General Info'!$B$40), (SamplingData[[#This Row],[Running (cumulative) sum]] * ('General Info'!$B$40 -'General Info'!$B$41 + 1)) + 'General Info'!$B$41 - 1, 0)</f>
        <v>18628.764148342801</v>
      </c>
      <c r="W599" s="100" t="str">
        <f>IF(ISERROR(MATCH(SamplingData[[#This Row],[Batch by Type (p)]],SelectedPrecincts[Batch Name], 0)), "", INDEX(SelectedPrecincts[Draw], MATCH(SamplingData[[#This Row],[Batch by Type (p)]],SelectedPrecincts[Batch Name], 0)))</f>
        <v/>
      </c>
      <c r="X599" s="102">
        <f>IF(COUNTIF(SelectedPrecincts[Batch Name],SamplingData[[#This Row],[Batch by Type (p)]]) &lt;&gt; 0, COUNTIF(SelectedPrecincts[Batch Name],SamplingData[[#This Row],[Batch by Type (p)]]), 0)</f>
        <v>0</v>
      </c>
    </row>
    <row r="600" spans="1:24" ht="15" customHeight="1">
      <c r="A600" s="18" t="s">
        <v>776</v>
      </c>
      <c r="B600" s="18">
        <v>1</v>
      </c>
      <c r="C600" s="18">
        <v>0</v>
      </c>
      <c r="D600" s="18">
        <v>2</v>
      </c>
      <c r="E600" s="18">
        <v>0</v>
      </c>
      <c r="F600" s="18">
        <v>0</v>
      </c>
      <c r="G600" s="18">
        <v>0</v>
      </c>
      <c r="H600" s="18">
        <v>0</v>
      </c>
      <c r="I600" s="18">
        <v>0</v>
      </c>
      <c r="J600" s="99">
        <f>SUM(SamplingData[[#This Row],[Losing Candidate]:[Under Votes]])</f>
        <v>3</v>
      </c>
      <c r="K60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00" s="100">
        <f>IF(AND(SamplingData[[#This Row],[Total]]&lt;&gt; 0, NOT(ISBLANK(SamplingData[[#This Row],[Candidate 3]]))),(SamplingData[[#This Row],[Total]]+SamplingData[[#This Row],[Winning Candidate]]-SamplingData[[#This Row],[Candidate 3]])/(SamplingData[[#Totals],[Winning Candidate]]-SamplingData[[#Totals],[Candidate 3]]), 0)</f>
        <v>3.2261186566441917E-5</v>
      </c>
      <c r="M600" s="100">
        <f>IF(AND(SamplingData[[#This Row],[Total]]&lt;&gt; 0, NOT(ISBLANK(SamplingData[[#This Row],[Candidate 4]]))),(SamplingData[[#This Row],[Total]]+SamplingData[[#This Row],[Winning Candidate]]-SamplingData[[#This Row],[Candidate 4]])/(SamplingData[[#Totals],[Winning Candidate]]-SamplingData[[#Totals],[Candidate 4]]), 0)</f>
        <v>8.7696220292905373E-5</v>
      </c>
      <c r="N600" s="100">
        <f>IF(AND(SamplingData[[#This Row],[Total]]&lt;&gt; 0, NOT(ISBLANK(SamplingData[[#This Row],[Candidate 5]]))),(SamplingData[[#This Row],[Total]]+SamplingData[[#This Row],[Winning Candidate]]-SamplingData[[#This Row],[Candidate 5]])/(SamplingData[[#Totals],[Winning Candidate]]-SamplingData[[#Totals],[Candidate 5]]), 0)</f>
        <v>7.2974945268791054E-5</v>
      </c>
      <c r="O600" s="100">
        <f>IF(AND(SamplingData[[#This Row],[Total]]&lt;&gt; 0, NOT(ISBLANK(SamplingData[[#This Row],[Candidate 6]]))),(SamplingData[[#This Row],[Total]]+SamplingData[[#This Row],[Winning Candidate]]-SamplingData[[#This Row],[Candidate 6]])/(SamplingData[[#Totals],[Winning Candidate]]-SamplingData[[#Totals],[Candidate 6]]), 0)</f>
        <v>7.2953650114294054E-5</v>
      </c>
      <c r="P600" s="100">
        <f>MAX(SamplingData[[#This Row],[Error Bound (up) - Max. possible relative overstatement - Losing Candidate]:[Error Bound (up) - Max. possible relative overstatement - Candidate 6]])</f>
        <v>1.224889759921607E-4</v>
      </c>
      <c r="Q600" s="100">
        <f>IF(SamplingData[[#This Row],[Max Error Bound (up)]] = 0,0,SamplingData[[#This Row],[Max Error Bound (up)]]/SamplingData[[#Totals],[Max Error Bound (up)]])</f>
        <v>1.9385896556891663E-5</v>
      </c>
      <c r="R600" s="101">
        <f>SUM($Q$5:Q600)</f>
        <v>0.1863170273799849</v>
      </c>
      <c r="S600" s="100" t="str">
        <f t="array" ref="S600">IF(SamplingData[[#This Row],[up/U Selection Probability]] = 0, "Zero", TEXT(SamplingData[[#This Row],[Lower Range]], REPT("0",LEN('General Info'!$B$40))) &amp; " - " &amp; TEXT(SamplingData[[#This Row],[Upper Range]], REPT("0",LEN('General Info'!$B$40))))</f>
        <v>18630 - 18631</v>
      </c>
      <c r="T600" s="100">
        <f>SamplingData[[#This Row],[Upper Range]]-SamplingData[[#This Row],[Span]]</f>
        <v>18629.764167728699</v>
      </c>
      <c r="U600" s="100">
        <f>IF(ISNUMBER('General Info'!$B$40), ((SamplingData[[#This Row],[up/U Selection Probability]]) * 'General Info'!$B$40) - 1, 0)</f>
        <v>0.93857026979260949</v>
      </c>
      <c r="V600" s="100">
        <f>IF(ISNUMBER('General Info'!$B$40), (SamplingData[[#This Row],[Running (cumulative) sum]] * ('General Info'!$B$40 -'General Info'!$B$41 + 1)) + 'General Info'!$B$41 - 1, 0)</f>
        <v>18630.70273799849</v>
      </c>
      <c r="W600" s="100" t="str">
        <f>IF(ISERROR(MATCH(SamplingData[[#This Row],[Batch by Type (p)]],SelectedPrecincts[Batch Name], 0)), "", INDEX(SelectedPrecincts[Draw], MATCH(SamplingData[[#This Row],[Batch by Type (p)]],SelectedPrecincts[Batch Name], 0)))</f>
        <v/>
      </c>
      <c r="X600" s="102">
        <f>IF(COUNTIF(SelectedPrecincts[Batch Name],SamplingData[[#This Row],[Batch by Type (p)]]) &lt;&gt; 0, COUNTIF(SelectedPrecincts[Batch Name],SamplingData[[#This Row],[Batch by Type (p)]]), 0)</f>
        <v>0</v>
      </c>
    </row>
    <row r="601" spans="1:24" ht="15" customHeight="1">
      <c r="A601" s="18" t="s">
        <v>777</v>
      </c>
      <c r="B601" s="18">
        <v>3</v>
      </c>
      <c r="C601" s="18">
        <v>0</v>
      </c>
      <c r="D601" s="16">
        <v>0</v>
      </c>
      <c r="E601" s="16">
        <v>3</v>
      </c>
      <c r="F601" s="37">
        <v>0</v>
      </c>
      <c r="G601" s="37">
        <v>0</v>
      </c>
      <c r="H601" s="17">
        <v>0</v>
      </c>
      <c r="I601" s="17">
        <v>0</v>
      </c>
      <c r="J601" s="99">
        <f>SUM(SamplingData[[#This Row],[Losing Candidate]:[Under Votes]])</f>
        <v>6</v>
      </c>
      <c r="K601"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601" s="100">
        <f>IF(AND(SamplingData[[#This Row],[Total]]&lt;&gt; 0, NOT(ISBLANK(SamplingData[[#This Row],[Candidate 3]]))),(SamplingData[[#This Row],[Total]]+SamplingData[[#This Row],[Winning Candidate]]-SamplingData[[#This Row],[Candidate 3]])/(SamplingData[[#Totals],[Winning Candidate]]-SamplingData[[#Totals],[Candidate 3]]), 0)</f>
        <v>1.9356711939865149E-4</v>
      </c>
      <c r="M601" s="100">
        <f>IF(AND(SamplingData[[#This Row],[Total]]&lt;&gt; 0, NOT(ISBLANK(SamplingData[[#This Row],[Candidate 4]]))),(SamplingData[[#This Row],[Total]]+SamplingData[[#This Row],[Winning Candidate]]-SamplingData[[#This Row],[Candidate 4]])/(SamplingData[[#Totals],[Winning Candidate]]-SamplingData[[#Totals],[Candidate 4]]), 0)</f>
        <v>8.7696220292905373E-5</v>
      </c>
      <c r="N601" s="100">
        <f>IF(AND(SamplingData[[#This Row],[Total]]&lt;&gt; 0, NOT(ISBLANK(SamplingData[[#This Row],[Candidate 5]]))),(SamplingData[[#This Row],[Total]]+SamplingData[[#This Row],[Winning Candidate]]-SamplingData[[#This Row],[Candidate 5]])/(SamplingData[[#Totals],[Winning Candidate]]-SamplingData[[#Totals],[Candidate 5]]), 0)</f>
        <v>1.4594989053758211E-4</v>
      </c>
      <c r="O601" s="100">
        <f>IF(AND(SamplingData[[#This Row],[Total]]&lt;&gt; 0, NOT(ISBLANK(SamplingData[[#This Row],[Candidate 6]]))),(SamplingData[[#This Row],[Total]]+SamplingData[[#This Row],[Winning Candidate]]-SamplingData[[#This Row],[Candidate 6]])/(SamplingData[[#Totals],[Winning Candidate]]-SamplingData[[#Totals],[Candidate 6]]), 0)</f>
        <v>1.4590730022858811E-4</v>
      </c>
      <c r="P601" s="100">
        <f>MAX(SamplingData[[#This Row],[Error Bound (up) - Max. possible relative overstatement - Losing Candidate]:[Error Bound (up) - Max. possible relative overstatement - Candidate 6]])</f>
        <v>1.9356711939865149E-4</v>
      </c>
      <c r="Q601" s="100">
        <f>IF(SamplingData[[#This Row],[Max Error Bound (up)]] = 0,0,SamplingData[[#This Row],[Max Error Bound (up)]]/SamplingData[[#Totals],[Max Error Bound (up)]])</f>
        <v>3.0635182660992398E-5</v>
      </c>
      <c r="R601" s="101">
        <f>SUM($Q$5:Q601)</f>
        <v>0.1863476625626459</v>
      </c>
      <c r="S601" s="100" t="str">
        <f t="array" ref="S601">IF(SamplingData[[#This Row],[up/U Selection Probability]] = 0, "Zero", TEXT(SamplingData[[#This Row],[Lower Range]], REPT("0",LEN('General Info'!$B$40))) &amp; " - " &amp; TEXT(SamplingData[[#This Row],[Upper Range]], REPT("0",LEN('General Info'!$B$40))))</f>
        <v>18632 - 18634</v>
      </c>
      <c r="T601" s="100">
        <f>SamplingData[[#This Row],[Upper Range]]-SamplingData[[#This Row],[Span]]</f>
        <v>18631.702768633673</v>
      </c>
      <c r="U601" s="100">
        <f>IF(ISNUMBER('General Info'!$B$40), ((SamplingData[[#This Row],[up/U Selection Probability]]) * 'General Info'!$B$40) - 1, 0)</f>
        <v>2.0634876309165788</v>
      </c>
      <c r="V601" s="100">
        <f>IF(ISNUMBER('General Info'!$B$40), (SamplingData[[#This Row],[Running (cumulative) sum]] * ('General Info'!$B$40 -'General Info'!$B$41 + 1)) + 'General Info'!$B$41 - 1, 0)</f>
        <v>18633.766256264589</v>
      </c>
      <c r="W601" s="100" t="str">
        <f>IF(ISERROR(MATCH(SamplingData[[#This Row],[Batch by Type (p)]],SelectedPrecincts[Batch Name], 0)), "", INDEX(SelectedPrecincts[Draw], MATCH(SamplingData[[#This Row],[Batch by Type (p)]],SelectedPrecincts[Batch Name], 0)))</f>
        <v/>
      </c>
      <c r="X601" s="102">
        <f>IF(COUNTIF(SelectedPrecincts[Batch Name],SamplingData[[#This Row],[Batch by Type (p)]]) &lt;&gt; 0, COUNTIF(SelectedPrecincts[Batch Name],SamplingData[[#This Row],[Batch by Type (p)]]), 0)</f>
        <v>0</v>
      </c>
    </row>
    <row r="602" spans="1:24" ht="15" customHeight="1">
      <c r="A602" s="18" t="s">
        <v>778</v>
      </c>
      <c r="B602" s="18">
        <v>0</v>
      </c>
      <c r="C602" s="18">
        <v>1</v>
      </c>
      <c r="D602" s="18">
        <v>0</v>
      </c>
      <c r="E602" s="18">
        <v>0</v>
      </c>
      <c r="F602" s="18">
        <v>0</v>
      </c>
      <c r="G602" s="18">
        <v>0</v>
      </c>
      <c r="H602" s="18">
        <v>0</v>
      </c>
      <c r="I602" s="18">
        <v>0</v>
      </c>
      <c r="J602" s="99">
        <f>SUM(SamplingData[[#This Row],[Losing Candidate]:[Under Votes]])</f>
        <v>1</v>
      </c>
      <c r="K60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02" s="100">
        <f>IF(AND(SamplingData[[#This Row],[Total]]&lt;&gt; 0, NOT(ISBLANK(SamplingData[[#This Row],[Candidate 3]]))),(SamplingData[[#This Row],[Total]]+SamplingData[[#This Row],[Winning Candidate]]-SamplingData[[#This Row],[Candidate 3]])/(SamplingData[[#Totals],[Winning Candidate]]-SamplingData[[#Totals],[Candidate 3]]), 0)</f>
        <v>6.4522373132883833E-5</v>
      </c>
      <c r="M602" s="100">
        <f>IF(AND(SamplingData[[#This Row],[Total]]&lt;&gt; 0, NOT(ISBLANK(SamplingData[[#This Row],[Candidate 4]]))),(SamplingData[[#This Row],[Total]]+SamplingData[[#This Row],[Winning Candidate]]-SamplingData[[#This Row],[Candidate 4]])/(SamplingData[[#Totals],[Winning Candidate]]-SamplingData[[#Totals],[Candidate 4]]), 0)</f>
        <v>5.846414686193692E-5</v>
      </c>
      <c r="N602" s="100">
        <f>IF(AND(SamplingData[[#This Row],[Total]]&lt;&gt; 0, NOT(ISBLANK(SamplingData[[#This Row],[Candidate 5]]))),(SamplingData[[#This Row],[Total]]+SamplingData[[#This Row],[Winning Candidate]]-SamplingData[[#This Row],[Candidate 5]])/(SamplingData[[#Totals],[Winning Candidate]]-SamplingData[[#Totals],[Candidate 5]]), 0)</f>
        <v>4.8649963512527367E-5</v>
      </c>
      <c r="O602" s="100">
        <f>IF(AND(SamplingData[[#This Row],[Total]]&lt;&gt; 0, NOT(ISBLANK(SamplingData[[#This Row],[Candidate 6]]))),(SamplingData[[#This Row],[Total]]+SamplingData[[#This Row],[Winning Candidate]]-SamplingData[[#This Row],[Candidate 6]])/(SamplingData[[#Totals],[Winning Candidate]]-SamplingData[[#Totals],[Candidate 6]]), 0)</f>
        <v>4.8635766742862701E-5</v>
      </c>
      <c r="P602" s="100">
        <f>MAX(SamplingData[[#This Row],[Error Bound (up) - Max. possible relative overstatement - Losing Candidate]:[Error Bound (up) - Max. possible relative overstatement - Candidate 6]])</f>
        <v>1.224889759921607E-4</v>
      </c>
      <c r="Q602" s="100">
        <f>IF(SamplingData[[#This Row],[Max Error Bound (up)]] = 0,0,SamplingData[[#This Row],[Max Error Bound (up)]]/SamplingData[[#Totals],[Max Error Bound (up)]])</f>
        <v>1.9385896556891663E-5</v>
      </c>
      <c r="R602" s="101">
        <f>SUM($Q$5:Q602)</f>
        <v>0.18636704845920279</v>
      </c>
      <c r="S602" s="100" t="str">
        <f t="array" ref="S602">IF(SamplingData[[#This Row],[up/U Selection Probability]] = 0, "Zero", TEXT(SamplingData[[#This Row],[Lower Range]], REPT("0",LEN('General Info'!$B$40))) &amp; " - " &amp; TEXT(SamplingData[[#This Row],[Upper Range]], REPT("0",LEN('General Info'!$B$40))))</f>
        <v>18635 - 18636</v>
      </c>
      <c r="T602" s="100">
        <f>SamplingData[[#This Row],[Upper Range]]-SamplingData[[#This Row],[Span]]</f>
        <v>18634.766275650487</v>
      </c>
      <c r="U602" s="100">
        <f>IF(ISNUMBER('General Info'!$B$40), ((SamplingData[[#This Row],[up/U Selection Probability]]) * 'General Info'!$B$40) - 1, 0)</f>
        <v>0.93857026979260949</v>
      </c>
      <c r="V602" s="100">
        <f>IF(ISNUMBER('General Info'!$B$40), (SamplingData[[#This Row],[Running (cumulative) sum]] * ('General Info'!$B$40 -'General Info'!$B$41 + 1)) + 'General Info'!$B$41 - 1, 0)</f>
        <v>18635.704845920278</v>
      </c>
      <c r="W602" s="100" t="str">
        <f>IF(ISERROR(MATCH(SamplingData[[#This Row],[Batch by Type (p)]],SelectedPrecincts[Batch Name], 0)), "", INDEX(SelectedPrecincts[Draw], MATCH(SamplingData[[#This Row],[Batch by Type (p)]],SelectedPrecincts[Batch Name], 0)))</f>
        <v/>
      </c>
      <c r="X602" s="102">
        <f>IF(COUNTIF(SelectedPrecincts[Batch Name],SamplingData[[#This Row],[Batch by Type (p)]]) &lt;&gt; 0, COUNTIF(SelectedPrecincts[Batch Name],SamplingData[[#This Row],[Batch by Type (p)]]), 0)</f>
        <v>0</v>
      </c>
    </row>
    <row r="603" spans="1:24" ht="15" customHeight="1">
      <c r="A603" s="18" t="s">
        <v>779</v>
      </c>
      <c r="B603" s="18">
        <v>0</v>
      </c>
      <c r="C603" s="18">
        <v>0</v>
      </c>
      <c r="D603" s="16">
        <v>0</v>
      </c>
      <c r="E603" s="16">
        <v>0</v>
      </c>
      <c r="F603" s="37">
        <v>0</v>
      </c>
      <c r="G603" s="37">
        <v>0</v>
      </c>
      <c r="H603" s="17">
        <v>0</v>
      </c>
      <c r="I603" s="17">
        <v>0</v>
      </c>
      <c r="J603" s="99">
        <f>SUM(SamplingData[[#This Row],[Losing Candidate]:[Under Votes]])</f>
        <v>0</v>
      </c>
      <c r="K603" s="100">
        <f>IF(AND(SamplingData[[#This Row],[Total]]&lt;&gt; 0, NOT(ISBLANK(SamplingData[[#This Row],[Losing Candidate]]))),(SamplingData[[#This Row],[Total]]+SamplingData[[#This Row],[Winning Candidate]]-SamplingData[[#This Row],[Losing Candidate]])/(SamplingData[[#Totals],[Winning Candidate]]-SamplingData[[#Totals],[Losing Candidate]]), 0)</f>
        <v>0</v>
      </c>
      <c r="L603" s="100">
        <f>IF(AND(SamplingData[[#This Row],[Total]]&lt;&gt; 0, NOT(ISBLANK(SamplingData[[#This Row],[Candidate 3]]))),(SamplingData[[#This Row],[Total]]+SamplingData[[#This Row],[Winning Candidate]]-SamplingData[[#This Row],[Candidate 3]])/(SamplingData[[#Totals],[Winning Candidate]]-SamplingData[[#Totals],[Candidate 3]]), 0)</f>
        <v>0</v>
      </c>
      <c r="M603" s="100">
        <f>IF(AND(SamplingData[[#This Row],[Total]]&lt;&gt; 0, NOT(ISBLANK(SamplingData[[#This Row],[Candidate 4]]))),(SamplingData[[#This Row],[Total]]+SamplingData[[#This Row],[Winning Candidate]]-SamplingData[[#This Row],[Candidate 4]])/(SamplingData[[#Totals],[Winning Candidate]]-SamplingData[[#Totals],[Candidate 4]]), 0)</f>
        <v>0</v>
      </c>
      <c r="N603" s="100">
        <f>IF(AND(SamplingData[[#This Row],[Total]]&lt;&gt; 0, NOT(ISBLANK(SamplingData[[#This Row],[Candidate 5]]))),(SamplingData[[#This Row],[Total]]+SamplingData[[#This Row],[Winning Candidate]]-SamplingData[[#This Row],[Candidate 5]])/(SamplingData[[#Totals],[Winning Candidate]]-SamplingData[[#Totals],[Candidate 5]]), 0)</f>
        <v>0</v>
      </c>
      <c r="O603" s="100">
        <f>IF(AND(SamplingData[[#This Row],[Total]]&lt;&gt; 0, NOT(ISBLANK(SamplingData[[#This Row],[Candidate 6]]))),(SamplingData[[#This Row],[Total]]+SamplingData[[#This Row],[Winning Candidate]]-SamplingData[[#This Row],[Candidate 6]])/(SamplingData[[#Totals],[Winning Candidate]]-SamplingData[[#Totals],[Candidate 6]]), 0)</f>
        <v>0</v>
      </c>
      <c r="P603" s="100">
        <f>MAX(SamplingData[[#This Row],[Error Bound (up) - Max. possible relative overstatement - Losing Candidate]:[Error Bound (up) - Max. possible relative overstatement - Candidate 6]])</f>
        <v>0</v>
      </c>
      <c r="Q603" s="100">
        <f>IF(SamplingData[[#This Row],[Max Error Bound (up)]] = 0,0,SamplingData[[#This Row],[Max Error Bound (up)]]/SamplingData[[#Totals],[Max Error Bound (up)]])</f>
        <v>0</v>
      </c>
      <c r="R603" s="101">
        <f>SUM($Q$5:Q603)</f>
        <v>0.18636704845920279</v>
      </c>
      <c r="S603" s="100" t="str">
        <f t="array" ref="S603">IF(SamplingData[[#This Row],[up/U Selection Probability]] = 0, "Zero", TEXT(SamplingData[[#This Row],[Lower Range]], REPT("0",LEN('General Info'!$B$40))) &amp; " - " &amp; TEXT(SamplingData[[#This Row],[Upper Range]], REPT("0",LEN('General Info'!$B$40))))</f>
        <v>Zero</v>
      </c>
      <c r="T603" s="100">
        <f>SamplingData[[#This Row],[Upper Range]]-SamplingData[[#This Row],[Span]]</f>
        <v>18636.704845920278</v>
      </c>
      <c r="U603" s="100">
        <f>IF(ISNUMBER('General Info'!$B$40), ((SamplingData[[#This Row],[up/U Selection Probability]]) * 'General Info'!$B$40) - 1, 0)</f>
        <v>-1</v>
      </c>
      <c r="V603" s="100">
        <f>IF(ISNUMBER('General Info'!$B$40), (SamplingData[[#This Row],[Running (cumulative) sum]] * ('General Info'!$B$40 -'General Info'!$B$41 + 1)) + 'General Info'!$B$41 - 1, 0)</f>
        <v>18635.704845920278</v>
      </c>
      <c r="W603" s="100" t="str">
        <f>IF(ISERROR(MATCH(SamplingData[[#This Row],[Batch by Type (p)]],SelectedPrecincts[Batch Name], 0)), "", INDEX(SelectedPrecincts[Draw], MATCH(SamplingData[[#This Row],[Batch by Type (p)]],SelectedPrecincts[Batch Name], 0)))</f>
        <v/>
      </c>
      <c r="X603" s="102">
        <f>IF(COUNTIF(SelectedPrecincts[Batch Name],SamplingData[[#This Row],[Batch by Type (p)]]) &lt;&gt; 0, COUNTIF(SelectedPrecincts[Batch Name],SamplingData[[#This Row],[Batch by Type (p)]]), 0)</f>
        <v>0</v>
      </c>
    </row>
    <row r="604" spans="1:24" ht="15" customHeight="1">
      <c r="A604" s="18" t="s">
        <v>780</v>
      </c>
      <c r="B604" s="18">
        <v>0</v>
      </c>
      <c r="C604" s="18">
        <v>0</v>
      </c>
      <c r="D604" s="18">
        <v>0</v>
      </c>
      <c r="E604" s="18">
        <v>0</v>
      </c>
      <c r="F604" s="18">
        <v>0</v>
      </c>
      <c r="G604" s="18">
        <v>0</v>
      </c>
      <c r="H604" s="18">
        <v>0</v>
      </c>
      <c r="I604" s="18">
        <v>0</v>
      </c>
      <c r="J604" s="99">
        <f>SUM(SamplingData[[#This Row],[Losing Candidate]:[Under Votes]])</f>
        <v>0</v>
      </c>
      <c r="K604" s="100">
        <f>IF(AND(SamplingData[[#This Row],[Total]]&lt;&gt; 0, NOT(ISBLANK(SamplingData[[#This Row],[Losing Candidate]]))),(SamplingData[[#This Row],[Total]]+SamplingData[[#This Row],[Winning Candidate]]-SamplingData[[#This Row],[Losing Candidate]])/(SamplingData[[#Totals],[Winning Candidate]]-SamplingData[[#Totals],[Losing Candidate]]), 0)</f>
        <v>0</v>
      </c>
      <c r="L604" s="100">
        <f>IF(AND(SamplingData[[#This Row],[Total]]&lt;&gt; 0, NOT(ISBLANK(SamplingData[[#This Row],[Candidate 3]]))),(SamplingData[[#This Row],[Total]]+SamplingData[[#This Row],[Winning Candidate]]-SamplingData[[#This Row],[Candidate 3]])/(SamplingData[[#Totals],[Winning Candidate]]-SamplingData[[#Totals],[Candidate 3]]), 0)</f>
        <v>0</v>
      </c>
      <c r="M604" s="100">
        <f>IF(AND(SamplingData[[#This Row],[Total]]&lt;&gt; 0, NOT(ISBLANK(SamplingData[[#This Row],[Candidate 4]]))),(SamplingData[[#This Row],[Total]]+SamplingData[[#This Row],[Winning Candidate]]-SamplingData[[#This Row],[Candidate 4]])/(SamplingData[[#Totals],[Winning Candidate]]-SamplingData[[#Totals],[Candidate 4]]), 0)</f>
        <v>0</v>
      </c>
      <c r="N604" s="100">
        <f>IF(AND(SamplingData[[#This Row],[Total]]&lt;&gt; 0, NOT(ISBLANK(SamplingData[[#This Row],[Candidate 5]]))),(SamplingData[[#This Row],[Total]]+SamplingData[[#This Row],[Winning Candidate]]-SamplingData[[#This Row],[Candidate 5]])/(SamplingData[[#Totals],[Winning Candidate]]-SamplingData[[#Totals],[Candidate 5]]), 0)</f>
        <v>0</v>
      </c>
      <c r="O604" s="100">
        <f>IF(AND(SamplingData[[#This Row],[Total]]&lt;&gt; 0, NOT(ISBLANK(SamplingData[[#This Row],[Candidate 6]]))),(SamplingData[[#This Row],[Total]]+SamplingData[[#This Row],[Winning Candidate]]-SamplingData[[#This Row],[Candidate 6]])/(SamplingData[[#Totals],[Winning Candidate]]-SamplingData[[#Totals],[Candidate 6]]), 0)</f>
        <v>0</v>
      </c>
      <c r="P604" s="100">
        <f>MAX(SamplingData[[#This Row],[Error Bound (up) - Max. possible relative overstatement - Losing Candidate]:[Error Bound (up) - Max. possible relative overstatement - Candidate 6]])</f>
        <v>0</v>
      </c>
      <c r="Q604" s="100">
        <f>IF(SamplingData[[#This Row],[Max Error Bound (up)]] = 0,0,SamplingData[[#This Row],[Max Error Bound (up)]]/SamplingData[[#Totals],[Max Error Bound (up)]])</f>
        <v>0</v>
      </c>
      <c r="R604" s="101">
        <f>SUM($Q$5:Q604)</f>
        <v>0.18636704845920279</v>
      </c>
      <c r="S604" s="100" t="str">
        <f t="array" ref="S604">IF(SamplingData[[#This Row],[up/U Selection Probability]] = 0, "Zero", TEXT(SamplingData[[#This Row],[Lower Range]], REPT("0",LEN('General Info'!$B$40))) &amp; " - " &amp; TEXT(SamplingData[[#This Row],[Upper Range]], REPT("0",LEN('General Info'!$B$40))))</f>
        <v>Zero</v>
      </c>
      <c r="T604" s="100">
        <f>SamplingData[[#This Row],[Upper Range]]-SamplingData[[#This Row],[Span]]</f>
        <v>18636.704845920278</v>
      </c>
      <c r="U604" s="100">
        <f>IF(ISNUMBER('General Info'!$B$40), ((SamplingData[[#This Row],[up/U Selection Probability]]) * 'General Info'!$B$40) - 1, 0)</f>
        <v>-1</v>
      </c>
      <c r="V604" s="100">
        <f>IF(ISNUMBER('General Info'!$B$40), (SamplingData[[#This Row],[Running (cumulative) sum]] * ('General Info'!$B$40 -'General Info'!$B$41 + 1)) + 'General Info'!$B$41 - 1, 0)</f>
        <v>18635.704845920278</v>
      </c>
      <c r="W604" s="100" t="str">
        <f>IF(ISERROR(MATCH(SamplingData[[#This Row],[Batch by Type (p)]],SelectedPrecincts[Batch Name], 0)), "", INDEX(SelectedPrecincts[Draw], MATCH(SamplingData[[#This Row],[Batch by Type (p)]],SelectedPrecincts[Batch Name], 0)))</f>
        <v/>
      </c>
      <c r="X604" s="102">
        <f>IF(COUNTIF(SelectedPrecincts[Batch Name],SamplingData[[#This Row],[Batch by Type (p)]]) &lt;&gt; 0, COUNTIF(SelectedPrecincts[Batch Name],SamplingData[[#This Row],[Batch by Type (p)]]), 0)</f>
        <v>0</v>
      </c>
    </row>
    <row r="605" spans="1:24" ht="15" customHeight="1">
      <c r="A605" s="18" t="s">
        <v>781</v>
      </c>
      <c r="B605" s="18">
        <v>2</v>
      </c>
      <c r="C605" s="18">
        <v>1</v>
      </c>
      <c r="D605" s="16">
        <v>1</v>
      </c>
      <c r="E605" s="16">
        <v>1</v>
      </c>
      <c r="F605" s="37">
        <v>0</v>
      </c>
      <c r="G605" s="37">
        <v>0</v>
      </c>
      <c r="H605" s="17">
        <v>0</v>
      </c>
      <c r="I605" s="17">
        <v>0</v>
      </c>
      <c r="J605" s="99">
        <f>SUM(SamplingData[[#This Row],[Losing Candidate]:[Under Votes]])</f>
        <v>5</v>
      </c>
      <c r="K605"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605" s="100">
        <f>IF(AND(SamplingData[[#This Row],[Total]]&lt;&gt; 0, NOT(ISBLANK(SamplingData[[#This Row],[Candidate 3]]))),(SamplingData[[#This Row],[Total]]+SamplingData[[#This Row],[Winning Candidate]]-SamplingData[[#This Row],[Candidate 3]])/(SamplingData[[#Totals],[Winning Candidate]]-SamplingData[[#Totals],[Candidate 3]]), 0)</f>
        <v>1.6130593283220958E-4</v>
      </c>
      <c r="M605" s="100">
        <f>IF(AND(SamplingData[[#This Row],[Total]]&lt;&gt; 0, NOT(ISBLANK(SamplingData[[#This Row],[Candidate 4]]))),(SamplingData[[#This Row],[Total]]+SamplingData[[#This Row],[Winning Candidate]]-SamplingData[[#This Row],[Candidate 4]])/(SamplingData[[#Totals],[Winning Candidate]]-SamplingData[[#Totals],[Candidate 4]]), 0)</f>
        <v>1.4616036715484231E-4</v>
      </c>
      <c r="N605" s="100">
        <f>IF(AND(SamplingData[[#This Row],[Total]]&lt;&gt; 0, NOT(ISBLANK(SamplingData[[#This Row],[Candidate 5]]))),(SamplingData[[#This Row],[Total]]+SamplingData[[#This Row],[Winning Candidate]]-SamplingData[[#This Row],[Candidate 5]])/(SamplingData[[#Totals],[Winning Candidate]]-SamplingData[[#Totals],[Candidate 5]]), 0)</f>
        <v>1.4594989053758211E-4</v>
      </c>
      <c r="O605" s="100">
        <f>IF(AND(SamplingData[[#This Row],[Total]]&lt;&gt; 0, NOT(ISBLANK(SamplingData[[#This Row],[Candidate 6]]))),(SamplingData[[#This Row],[Total]]+SamplingData[[#This Row],[Winning Candidate]]-SamplingData[[#This Row],[Candidate 6]])/(SamplingData[[#Totals],[Winning Candidate]]-SamplingData[[#Totals],[Candidate 6]]), 0)</f>
        <v>1.4590730022858811E-4</v>
      </c>
      <c r="P605" s="100">
        <f>MAX(SamplingData[[#This Row],[Error Bound (up) - Max. possible relative overstatement - Losing Candidate]:[Error Bound (up) - Max. possible relative overstatement - Candidate 6]])</f>
        <v>2.4497795198432141E-4</v>
      </c>
      <c r="Q605" s="100">
        <f>IF(SamplingData[[#This Row],[Max Error Bound (up)]] = 0,0,SamplingData[[#This Row],[Max Error Bound (up)]]/SamplingData[[#Totals],[Max Error Bound (up)]])</f>
        <v>3.8771793113783326E-5</v>
      </c>
      <c r="R605" s="101">
        <f>SUM($Q$5:Q605)</f>
        <v>0.18640582025231658</v>
      </c>
      <c r="S605" s="100" t="str">
        <f t="array" ref="S605">IF(SamplingData[[#This Row],[up/U Selection Probability]] = 0, "Zero", TEXT(SamplingData[[#This Row],[Lower Range]], REPT("0",LEN('General Info'!$B$40))) &amp; " - " &amp; TEXT(SamplingData[[#This Row],[Upper Range]], REPT("0",LEN('General Info'!$B$40))))</f>
        <v>18637 - 18640</v>
      </c>
      <c r="T605" s="100">
        <f>SamplingData[[#This Row],[Upper Range]]-SamplingData[[#This Row],[Span]]</f>
        <v>18636.704884692073</v>
      </c>
      <c r="U605" s="100">
        <f>IF(ISNUMBER('General Info'!$B$40), ((SamplingData[[#This Row],[up/U Selection Probability]]) * 'General Info'!$B$40) - 1, 0)</f>
        <v>2.877140539585219</v>
      </c>
      <c r="V605" s="100">
        <f>IF(ISNUMBER('General Info'!$B$40), (SamplingData[[#This Row],[Running (cumulative) sum]] * ('General Info'!$B$40 -'General Info'!$B$41 + 1)) + 'General Info'!$B$41 - 1, 0)</f>
        <v>18639.582025231659</v>
      </c>
      <c r="W605" s="100" t="str">
        <f>IF(ISERROR(MATCH(SamplingData[[#This Row],[Batch by Type (p)]],SelectedPrecincts[Batch Name], 0)), "", INDEX(SelectedPrecincts[Draw], MATCH(SamplingData[[#This Row],[Batch by Type (p)]],SelectedPrecincts[Batch Name], 0)))</f>
        <v/>
      </c>
      <c r="X605" s="102">
        <f>IF(COUNTIF(SelectedPrecincts[Batch Name],SamplingData[[#This Row],[Batch by Type (p)]]) &lt;&gt; 0, COUNTIF(SelectedPrecincts[Batch Name],SamplingData[[#This Row],[Batch by Type (p)]]), 0)</f>
        <v>0</v>
      </c>
    </row>
    <row r="606" spans="1:24" ht="15" customHeight="1">
      <c r="A606" s="18" t="s">
        <v>782</v>
      </c>
      <c r="B606" s="18">
        <v>0</v>
      </c>
      <c r="C606" s="18">
        <v>0</v>
      </c>
      <c r="D606" s="18">
        <v>0</v>
      </c>
      <c r="E606" s="18">
        <v>0</v>
      </c>
      <c r="F606" s="18">
        <v>0</v>
      </c>
      <c r="G606" s="18">
        <v>0</v>
      </c>
      <c r="H606" s="18">
        <v>0</v>
      </c>
      <c r="I606" s="18">
        <v>0</v>
      </c>
      <c r="J606" s="99">
        <f>SUM(SamplingData[[#This Row],[Losing Candidate]:[Under Votes]])</f>
        <v>0</v>
      </c>
      <c r="K606" s="100">
        <f>IF(AND(SamplingData[[#This Row],[Total]]&lt;&gt; 0, NOT(ISBLANK(SamplingData[[#This Row],[Losing Candidate]]))),(SamplingData[[#This Row],[Total]]+SamplingData[[#This Row],[Winning Candidate]]-SamplingData[[#This Row],[Losing Candidate]])/(SamplingData[[#Totals],[Winning Candidate]]-SamplingData[[#Totals],[Losing Candidate]]), 0)</f>
        <v>0</v>
      </c>
      <c r="L606" s="100">
        <f>IF(AND(SamplingData[[#This Row],[Total]]&lt;&gt; 0, NOT(ISBLANK(SamplingData[[#This Row],[Candidate 3]]))),(SamplingData[[#This Row],[Total]]+SamplingData[[#This Row],[Winning Candidate]]-SamplingData[[#This Row],[Candidate 3]])/(SamplingData[[#Totals],[Winning Candidate]]-SamplingData[[#Totals],[Candidate 3]]), 0)</f>
        <v>0</v>
      </c>
      <c r="M606" s="100">
        <f>IF(AND(SamplingData[[#This Row],[Total]]&lt;&gt; 0, NOT(ISBLANK(SamplingData[[#This Row],[Candidate 4]]))),(SamplingData[[#This Row],[Total]]+SamplingData[[#This Row],[Winning Candidate]]-SamplingData[[#This Row],[Candidate 4]])/(SamplingData[[#Totals],[Winning Candidate]]-SamplingData[[#Totals],[Candidate 4]]), 0)</f>
        <v>0</v>
      </c>
      <c r="N606" s="100">
        <f>IF(AND(SamplingData[[#This Row],[Total]]&lt;&gt; 0, NOT(ISBLANK(SamplingData[[#This Row],[Candidate 5]]))),(SamplingData[[#This Row],[Total]]+SamplingData[[#This Row],[Winning Candidate]]-SamplingData[[#This Row],[Candidate 5]])/(SamplingData[[#Totals],[Winning Candidate]]-SamplingData[[#Totals],[Candidate 5]]), 0)</f>
        <v>0</v>
      </c>
      <c r="O606" s="100">
        <f>IF(AND(SamplingData[[#This Row],[Total]]&lt;&gt; 0, NOT(ISBLANK(SamplingData[[#This Row],[Candidate 6]]))),(SamplingData[[#This Row],[Total]]+SamplingData[[#This Row],[Winning Candidate]]-SamplingData[[#This Row],[Candidate 6]])/(SamplingData[[#Totals],[Winning Candidate]]-SamplingData[[#Totals],[Candidate 6]]), 0)</f>
        <v>0</v>
      </c>
      <c r="P606" s="100">
        <f>MAX(SamplingData[[#This Row],[Error Bound (up) - Max. possible relative overstatement - Losing Candidate]:[Error Bound (up) - Max. possible relative overstatement - Candidate 6]])</f>
        <v>0</v>
      </c>
      <c r="Q606" s="100">
        <f>IF(SamplingData[[#This Row],[Max Error Bound (up)]] = 0,0,SamplingData[[#This Row],[Max Error Bound (up)]]/SamplingData[[#Totals],[Max Error Bound (up)]])</f>
        <v>0</v>
      </c>
      <c r="R606" s="101">
        <f>SUM($Q$5:Q606)</f>
        <v>0.18640582025231658</v>
      </c>
      <c r="S606" s="100" t="str">
        <f t="array" ref="S606">IF(SamplingData[[#This Row],[up/U Selection Probability]] = 0, "Zero", TEXT(SamplingData[[#This Row],[Lower Range]], REPT("0",LEN('General Info'!$B$40))) &amp; " - " &amp; TEXT(SamplingData[[#This Row],[Upper Range]], REPT("0",LEN('General Info'!$B$40))))</f>
        <v>Zero</v>
      </c>
      <c r="T606" s="100">
        <f>SamplingData[[#This Row],[Upper Range]]-SamplingData[[#This Row],[Span]]</f>
        <v>18640.582025231659</v>
      </c>
      <c r="U606" s="100">
        <f>IF(ISNUMBER('General Info'!$B$40), ((SamplingData[[#This Row],[up/U Selection Probability]]) * 'General Info'!$B$40) - 1, 0)</f>
        <v>-1</v>
      </c>
      <c r="V606" s="100">
        <f>IF(ISNUMBER('General Info'!$B$40), (SamplingData[[#This Row],[Running (cumulative) sum]] * ('General Info'!$B$40 -'General Info'!$B$41 + 1)) + 'General Info'!$B$41 - 1, 0)</f>
        <v>18639.582025231659</v>
      </c>
      <c r="W606" s="100" t="str">
        <f>IF(ISERROR(MATCH(SamplingData[[#This Row],[Batch by Type (p)]],SelectedPrecincts[Batch Name], 0)), "", INDEX(SelectedPrecincts[Draw], MATCH(SamplingData[[#This Row],[Batch by Type (p)]],SelectedPrecincts[Batch Name], 0)))</f>
        <v/>
      </c>
      <c r="X606" s="102">
        <f>IF(COUNTIF(SelectedPrecincts[Batch Name],SamplingData[[#This Row],[Batch by Type (p)]]) &lt;&gt; 0, COUNTIF(SelectedPrecincts[Batch Name],SamplingData[[#This Row],[Batch by Type (p)]]), 0)</f>
        <v>0</v>
      </c>
    </row>
    <row r="607" spans="1:24" ht="15" customHeight="1">
      <c r="A607" s="18" t="s">
        <v>783</v>
      </c>
      <c r="B607" s="18">
        <v>0</v>
      </c>
      <c r="C607" s="18">
        <v>0</v>
      </c>
      <c r="D607" s="16">
        <v>0</v>
      </c>
      <c r="E607" s="16">
        <v>0</v>
      </c>
      <c r="F607" s="37">
        <v>0</v>
      </c>
      <c r="G607" s="37">
        <v>0</v>
      </c>
      <c r="H607" s="17">
        <v>0</v>
      </c>
      <c r="I607" s="17">
        <v>0</v>
      </c>
      <c r="J607" s="99">
        <f>SUM(SamplingData[[#This Row],[Losing Candidate]:[Under Votes]])</f>
        <v>0</v>
      </c>
      <c r="K607" s="100">
        <f>IF(AND(SamplingData[[#This Row],[Total]]&lt;&gt; 0, NOT(ISBLANK(SamplingData[[#This Row],[Losing Candidate]]))),(SamplingData[[#This Row],[Total]]+SamplingData[[#This Row],[Winning Candidate]]-SamplingData[[#This Row],[Losing Candidate]])/(SamplingData[[#Totals],[Winning Candidate]]-SamplingData[[#Totals],[Losing Candidate]]), 0)</f>
        <v>0</v>
      </c>
      <c r="L607" s="100">
        <f>IF(AND(SamplingData[[#This Row],[Total]]&lt;&gt; 0, NOT(ISBLANK(SamplingData[[#This Row],[Candidate 3]]))),(SamplingData[[#This Row],[Total]]+SamplingData[[#This Row],[Winning Candidate]]-SamplingData[[#This Row],[Candidate 3]])/(SamplingData[[#Totals],[Winning Candidate]]-SamplingData[[#Totals],[Candidate 3]]), 0)</f>
        <v>0</v>
      </c>
      <c r="M607" s="100">
        <f>IF(AND(SamplingData[[#This Row],[Total]]&lt;&gt; 0, NOT(ISBLANK(SamplingData[[#This Row],[Candidate 4]]))),(SamplingData[[#This Row],[Total]]+SamplingData[[#This Row],[Winning Candidate]]-SamplingData[[#This Row],[Candidate 4]])/(SamplingData[[#Totals],[Winning Candidate]]-SamplingData[[#Totals],[Candidate 4]]), 0)</f>
        <v>0</v>
      </c>
      <c r="N607" s="100">
        <f>IF(AND(SamplingData[[#This Row],[Total]]&lt;&gt; 0, NOT(ISBLANK(SamplingData[[#This Row],[Candidate 5]]))),(SamplingData[[#This Row],[Total]]+SamplingData[[#This Row],[Winning Candidate]]-SamplingData[[#This Row],[Candidate 5]])/(SamplingData[[#Totals],[Winning Candidate]]-SamplingData[[#Totals],[Candidate 5]]), 0)</f>
        <v>0</v>
      </c>
      <c r="O607" s="100">
        <f>IF(AND(SamplingData[[#This Row],[Total]]&lt;&gt; 0, NOT(ISBLANK(SamplingData[[#This Row],[Candidate 6]]))),(SamplingData[[#This Row],[Total]]+SamplingData[[#This Row],[Winning Candidate]]-SamplingData[[#This Row],[Candidate 6]])/(SamplingData[[#Totals],[Winning Candidate]]-SamplingData[[#Totals],[Candidate 6]]), 0)</f>
        <v>0</v>
      </c>
      <c r="P607" s="100">
        <f>MAX(SamplingData[[#This Row],[Error Bound (up) - Max. possible relative overstatement - Losing Candidate]:[Error Bound (up) - Max. possible relative overstatement - Candidate 6]])</f>
        <v>0</v>
      </c>
      <c r="Q607" s="100">
        <f>IF(SamplingData[[#This Row],[Max Error Bound (up)]] = 0,0,SamplingData[[#This Row],[Max Error Bound (up)]]/SamplingData[[#Totals],[Max Error Bound (up)]])</f>
        <v>0</v>
      </c>
      <c r="R607" s="101">
        <f>SUM($Q$5:Q607)</f>
        <v>0.18640582025231658</v>
      </c>
      <c r="S607" s="100" t="str">
        <f t="array" ref="S607">IF(SamplingData[[#This Row],[up/U Selection Probability]] = 0, "Zero", TEXT(SamplingData[[#This Row],[Lower Range]], REPT("0",LEN('General Info'!$B$40))) &amp; " - " &amp; TEXT(SamplingData[[#This Row],[Upper Range]], REPT("0",LEN('General Info'!$B$40))))</f>
        <v>Zero</v>
      </c>
      <c r="T607" s="100">
        <f>SamplingData[[#This Row],[Upper Range]]-SamplingData[[#This Row],[Span]]</f>
        <v>18640.582025231659</v>
      </c>
      <c r="U607" s="100">
        <f>IF(ISNUMBER('General Info'!$B$40), ((SamplingData[[#This Row],[up/U Selection Probability]]) * 'General Info'!$B$40) - 1, 0)</f>
        <v>-1</v>
      </c>
      <c r="V607" s="100">
        <f>IF(ISNUMBER('General Info'!$B$40), (SamplingData[[#This Row],[Running (cumulative) sum]] * ('General Info'!$B$40 -'General Info'!$B$41 + 1)) + 'General Info'!$B$41 - 1, 0)</f>
        <v>18639.582025231659</v>
      </c>
      <c r="W607" s="100" t="str">
        <f>IF(ISERROR(MATCH(SamplingData[[#This Row],[Batch by Type (p)]],SelectedPrecincts[Batch Name], 0)), "", INDEX(SelectedPrecincts[Draw], MATCH(SamplingData[[#This Row],[Batch by Type (p)]],SelectedPrecincts[Batch Name], 0)))</f>
        <v/>
      </c>
      <c r="X607" s="102">
        <f>IF(COUNTIF(SelectedPrecincts[Batch Name],SamplingData[[#This Row],[Batch by Type (p)]]) &lt;&gt; 0, COUNTIF(SelectedPrecincts[Batch Name],SamplingData[[#This Row],[Batch by Type (p)]]), 0)</f>
        <v>0</v>
      </c>
    </row>
    <row r="608" spans="1:24" ht="15" customHeight="1">
      <c r="A608" s="18" t="s">
        <v>784</v>
      </c>
      <c r="B608" s="18">
        <v>0</v>
      </c>
      <c r="C608" s="18">
        <v>0</v>
      </c>
      <c r="D608" s="18">
        <v>0</v>
      </c>
      <c r="E608" s="18">
        <v>0</v>
      </c>
      <c r="F608" s="18">
        <v>0</v>
      </c>
      <c r="G608" s="18">
        <v>0</v>
      </c>
      <c r="H608" s="18">
        <v>0</v>
      </c>
      <c r="I608" s="18">
        <v>0</v>
      </c>
      <c r="J608" s="99">
        <f>SUM(SamplingData[[#This Row],[Losing Candidate]:[Under Votes]])</f>
        <v>0</v>
      </c>
      <c r="K608" s="100">
        <f>IF(AND(SamplingData[[#This Row],[Total]]&lt;&gt; 0, NOT(ISBLANK(SamplingData[[#This Row],[Losing Candidate]]))),(SamplingData[[#This Row],[Total]]+SamplingData[[#This Row],[Winning Candidate]]-SamplingData[[#This Row],[Losing Candidate]])/(SamplingData[[#Totals],[Winning Candidate]]-SamplingData[[#Totals],[Losing Candidate]]), 0)</f>
        <v>0</v>
      </c>
      <c r="L608" s="100">
        <f>IF(AND(SamplingData[[#This Row],[Total]]&lt;&gt; 0, NOT(ISBLANK(SamplingData[[#This Row],[Candidate 3]]))),(SamplingData[[#This Row],[Total]]+SamplingData[[#This Row],[Winning Candidate]]-SamplingData[[#This Row],[Candidate 3]])/(SamplingData[[#Totals],[Winning Candidate]]-SamplingData[[#Totals],[Candidate 3]]), 0)</f>
        <v>0</v>
      </c>
      <c r="M608" s="100">
        <f>IF(AND(SamplingData[[#This Row],[Total]]&lt;&gt; 0, NOT(ISBLANK(SamplingData[[#This Row],[Candidate 4]]))),(SamplingData[[#This Row],[Total]]+SamplingData[[#This Row],[Winning Candidate]]-SamplingData[[#This Row],[Candidate 4]])/(SamplingData[[#Totals],[Winning Candidate]]-SamplingData[[#Totals],[Candidate 4]]), 0)</f>
        <v>0</v>
      </c>
      <c r="N608" s="100">
        <f>IF(AND(SamplingData[[#This Row],[Total]]&lt;&gt; 0, NOT(ISBLANK(SamplingData[[#This Row],[Candidate 5]]))),(SamplingData[[#This Row],[Total]]+SamplingData[[#This Row],[Winning Candidate]]-SamplingData[[#This Row],[Candidate 5]])/(SamplingData[[#Totals],[Winning Candidate]]-SamplingData[[#Totals],[Candidate 5]]), 0)</f>
        <v>0</v>
      </c>
      <c r="O608" s="100">
        <f>IF(AND(SamplingData[[#This Row],[Total]]&lt;&gt; 0, NOT(ISBLANK(SamplingData[[#This Row],[Candidate 6]]))),(SamplingData[[#This Row],[Total]]+SamplingData[[#This Row],[Winning Candidate]]-SamplingData[[#This Row],[Candidate 6]])/(SamplingData[[#Totals],[Winning Candidate]]-SamplingData[[#Totals],[Candidate 6]]), 0)</f>
        <v>0</v>
      </c>
      <c r="P608" s="100">
        <f>MAX(SamplingData[[#This Row],[Error Bound (up) - Max. possible relative overstatement - Losing Candidate]:[Error Bound (up) - Max. possible relative overstatement - Candidate 6]])</f>
        <v>0</v>
      </c>
      <c r="Q608" s="100">
        <f>IF(SamplingData[[#This Row],[Max Error Bound (up)]] = 0,0,SamplingData[[#This Row],[Max Error Bound (up)]]/SamplingData[[#Totals],[Max Error Bound (up)]])</f>
        <v>0</v>
      </c>
      <c r="R608" s="101">
        <f>SUM($Q$5:Q608)</f>
        <v>0.18640582025231658</v>
      </c>
      <c r="S608" s="100" t="str">
        <f t="array" ref="S608">IF(SamplingData[[#This Row],[up/U Selection Probability]] = 0, "Zero", TEXT(SamplingData[[#This Row],[Lower Range]], REPT("0",LEN('General Info'!$B$40))) &amp; " - " &amp; TEXT(SamplingData[[#This Row],[Upper Range]], REPT("0",LEN('General Info'!$B$40))))</f>
        <v>Zero</v>
      </c>
      <c r="T608" s="100">
        <f>SamplingData[[#This Row],[Upper Range]]-SamplingData[[#This Row],[Span]]</f>
        <v>18640.582025231659</v>
      </c>
      <c r="U608" s="100">
        <f>IF(ISNUMBER('General Info'!$B$40), ((SamplingData[[#This Row],[up/U Selection Probability]]) * 'General Info'!$B$40) - 1, 0)</f>
        <v>-1</v>
      </c>
      <c r="V608" s="100">
        <f>IF(ISNUMBER('General Info'!$B$40), (SamplingData[[#This Row],[Running (cumulative) sum]] * ('General Info'!$B$40 -'General Info'!$B$41 + 1)) + 'General Info'!$B$41 - 1, 0)</f>
        <v>18639.582025231659</v>
      </c>
      <c r="W608" s="100" t="str">
        <f>IF(ISERROR(MATCH(SamplingData[[#This Row],[Batch by Type (p)]],SelectedPrecincts[Batch Name], 0)), "", INDEX(SelectedPrecincts[Draw], MATCH(SamplingData[[#This Row],[Batch by Type (p)]],SelectedPrecincts[Batch Name], 0)))</f>
        <v/>
      </c>
      <c r="X608" s="102">
        <f>IF(COUNTIF(SelectedPrecincts[Batch Name],SamplingData[[#This Row],[Batch by Type (p)]]) &lt;&gt; 0, COUNTIF(SelectedPrecincts[Batch Name],SamplingData[[#This Row],[Batch by Type (p)]]), 0)</f>
        <v>0</v>
      </c>
    </row>
    <row r="609" spans="1:24" ht="15" customHeight="1">
      <c r="A609" s="18" t="s">
        <v>785</v>
      </c>
      <c r="B609" s="18">
        <v>0</v>
      </c>
      <c r="C609" s="18">
        <v>0</v>
      </c>
      <c r="D609" s="16">
        <v>0</v>
      </c>
      <c r="E609" s="16">
        <v>0</v>
      </c>
      <c r="F609" s="37">
        <v>0</v>
      </c>
      <c r="G609" s="37">
        <v>0</v>
      </c>
      <c r="H609" s="17">
        <v>0</v>
      </c>
      <c r="I609" s="17">
        <v>0</v>
      </c>
      <c r="J609" s="99">
        <f>SUM(SamplingData[[#This Row],[Losing Candidate]:[Under Votes]])</f>
        <v>0</v>
      </c>
      <c r="K609" s="100">
        <f>IF(AND(SamplingData[[#This Row],[Total]]&lt;&gt; 0, NOT(ISBLANK(SamplingData[[#This Row],[Losing Candidate]]))),(SamplingData[[#This Row],[Total]]+SamplingData[[#This Row],[Winning Candidate]]-SamplingData[[#This Row],[Losing Candidate]])/(SamplingData[[#Totals],[Winning Candidate]]-SamplingData[[#Totals],[Losing Candidate]]), 0)</f>
        <v>0</v>
      </c>
      <c r="L609" s="100">
        <f>IF(AND(SamplingData[[#This Row],[Total]]&lt;&gt; 0, NOT(ISBLANK(SamplingData[[#This Row],[Candidate 3]]))),(SamplingData[[#This Row],[Total]]+SamplingData[[#This Row],[Winning Candidate]]-SamplingData[[#This Row],[Candidate 3]])/(SamplingData[[#Totals],[Winning Candidate]]-SamplingData[[#Totals],[Candidate 3]]), 0)</f>
        <v>0</v>
      </c>
      <c r="M609" s="100">
        <f>IF(AND(SamplingData[[#This Row],[Total]]&lt;&gt; 0, NOT(ISBLANK(SamplingData[[#This Row],[Candidate 4]]))),(SamplingData[[#This Row],[Total]]+SamplingData[[#This Row],[Winning Candidate]]-SamplingData[[#This Row],[Candidate 4]])/(SamplingData[[#Totals],[Winning Candidate]]-SamplingData[[#Totals],[Candidate 4]]), 0)</f>
        <v>0</v>
      </c>
      <c r="N609" s="100">
        <f>IF(AND(SamplingData[[#This Row],[Total]]&lt;&gt; 0, NOT(ISBLANK(SamplingData[[#This Row],[Candidate 5]]))),(SamplingData[[#This Row],[Total]]+SamplingData[[#This Row],[Winning Candidate]]-SamplingData[[#This Row],[Candidate 5]])/(SamplingData[[#Totals],[Winning Candidate]]-SamplingData[[#Totals],[Candidate 5]]), 0)</f>
        <v>0</v>
      </c>
      <c r="O609" s="100">
        <f>IF(AND(SamplingData[[#This Row],[Total]]&lt;&gt; 0, NOT(ISBLANK(SamplingData[[#This Row],[Candidate 6]]))),(SamplingData[[#This Row],[Total]]+SamplingData[[#This Row],[Winning Candidate]]-SamplingData[[#This Row],[Candidate 6]])/(SamplingData[[#Totals],[Winning Candidate]]-SamplingData[[#Totals],[Candidate 6]]), 0)</f>
        <v>0</v>
      </c>
      <c r="P609" s="100">
        <f>MAX(SamplingData[[#This Row],[Error Bound (up) - Max. possible relative overstatement - Losing Candidate]:[Error Bound (up) - Max. possible relative overstatement - Candidate 6]])</f>
        <v>0</v>
      </c>
      <c r="Q609" s="100">
        <f>IF(SamplingData[[#This Row],[Max Error Bound (up)]] = 0,0,SamplingData[[#This Row],[Max Error Bound (up)]]/SamplingData[[#Totals],[Max Error Bound (up)]])</f>
        <v>0</v>
      </c>
      <c r="R609" s="101">
        <f>SUM($Q$5:Q609)</f>
        <v>0.18640582025231658</v>
      </c>
      <c r="S609" s="100" t="str">
        <f t="array" ref="S609">IF(SamplingData[[#This Row],[up/U Selection Probability]] = 0, "Zero", TEXT(SamplingData[[#This Row],[Lower Range]], REPT("0",LEN('General Info'!$B$40))) &amp; " - " &amp; TEXT(SamplingData[[#This Row],[Upper Range]], REPT("0",LEN('General Info'!$B$40))))</f>
        <v>Zero</v>
      </c>
      <c r="T609" s="100">
        <f>SamplingData[[#This Row],[Upper Range]]-SamplingData[[#This Row],[Span]]</f>
        <v>18640.582025231659</v>
      </c>
      <c r="U609" s="100">
        <f>IF(ISNUMBER('General Info'!$B$40), ((SamplingData[[#This Row],[up/U Selection Probability]]) * 'General Info'!$B$40) - 1, 0)</f>
        <v>-1</v>
      </c>
      <c r="V609" s="100">
        <f>IF(ISNUMBER('General Info'!$B$40), (SamplingData[[#This Row],[Running (cumulative) sum]] * ('General Info'!$B$40 -'General Info'!$B$41 + 1)) + 'General Info'!$B$41 - 1, 0)</f>
        <v>18639.582025231659</v>
      </c>
      <c r="W609" s="100" t="str">
        <f>IF(ISERROR(MATCH(SamplingData[[#This Row],[Batch by Type (p)]],SelectedPrecincts[Batch Name], 0)), "", INDEX(SelectedPrecincts[Draw], MATCH(SamplingData[[#This Row],[Batch by Type (p)]],SelectedPrecincts[Batch Name], 0)))</f>
        <v/>
      </c>
      <c r="X609" s="102">
        <f>IF(COUNTIF(SelectedPrecincts[Batch Name],SamplingData[[#This Row],[Batch by Type (p)]]) &lt;&gt; 0, COUNTIF(SelectedPrecincts[Batch Name],SamplingData[[#This Row],[Batch by Type (p)]]), 0)</f>
        <v>0</v>
      </c>
    </row>
    <row r="610" spans="1:24" ht="15" customHeight="1">
      <c r="A610" s="18" t="s">
        <v>786</v>
      </c>
      <c r="B610" s="18">
        <v>0</v>
      </c>
      <c r="C610" s="18">
        <v>0</v>
      </c>
      <c r="D610" s="18">
        <v>0</v>
      </c>
      <c r="E610" s="18">
        <v>0</v>
      </c>
      <c r="F610" s="18">
        <v>0</v>
      </c>
      <c r="G610" s="18">
        <v>0</v>
      </c>
      <c r="H610" s="18">
        <v>0</v>
      </c>
      <c r="I610" s="18">
        <v>0</v>
      </c>
      <c r="J610" s="99">
        <f>SUM(SamplingData[[#This Row],[Losing Candidate]:[Under Votes]])</f>
        <v>0</v>
      </c>
      <c r="K610" s="100">
        <f>IF(AND(SamplingData[[#This Row],[Total]]&lt;&gt; 0, NOT(ISBLANK(SamplingData[[#This Row],[Losing Candidate]]))),(SamplingData[[#This Row],[Total]]+SamplingData[[#This Row],[Winning Candidate]]-SamplingData[[#This Row],[Losing Candidate]])/(SamplingData[[#Totals],[Winning Candidate]]-SamplingData[[#Totals],[Losing Candidate]]), 0)</f>
        <v>0</v>
      </c>
      <c r="L610" s="100">
        <f>IF(AND(SamplingData[[#This Row],[Total]]&lt;&gt; 0, NOT(ISBLANK(SamplingData[[#This Row],[Candidate 3]]))),(SamplingData[[#This Row],[Total]]+SamplingData[[#This Row],[Winning Candidate]]-SamplingData[[#This Row],[Candidate 3]])/(SamplingData[[#Totals],[Winning Candidate]]-SamplingData[[#Totals],[Candidate 3]]), 0)</f>
        <v>0</v>
      </c>
      <c r="M610" s="100">
        <f>IF(AND(SamplingData[[#This Row],[Total]]&lt;&gt; 0, NOT(ISBLANK(SamplingData[[#This Row],[Candidate 4]]))),(SamplingData[[#This Row],[Total]]+SamplingData[[#This Row],[Winning Candidate]]-SamplingData[[#This Row],[Candidate 4]])/(SamplingData[[#Totals],[Winning Candidate]]-SamplingData[[#Totals],[Candidate 4]]), 0)</f>
        <v>0</v>
      </c>
      <c r="N610" s="100">
        <f>IF(AND(SamplingData[[#This Row],[Total]]&lt;&gt; 0, NOT(ISBLANK(SamplingData[[#This Row],[Candidate 5]]))),(SamplingData[[#This Row],[Total]]+SamplingData[[#This Row],[Winning Candidate]]-SamplingData[[#This Row],[Candidate 5]])/(SamplingData[[#Totals],[Winning Candidate]]-SamplingData[[#Totals],[Candidate 5]]), 0)</f>
        <v>0</v>
      </c>
      <c r="O610" s="100">
        <f>IF(AND(SamplingData[[#This Row],[Total]]&lt;&gt; 0, NOT(ISBLANK(SamplingData[[#This Row],[Candidate 6]]))),(SamplingData[[#This Row],[Total]]+SamplingData[[#This Row],[Winning Candidate]]-SamplingData[[#This Row],[Candidate 6]])/(SamplingData[[#Totals],[Winning Candidate]]-SamplingData[[#Totals],[Candidate 6]]), 0)</f>
        <v>0</v>
      </c>
      <c r="P610" s="100">
        <f>MAX(SamplingData[[#This Row],[Error Bound (up) - Max. possible relative overstatement - Losing Candidate]:[Error Bound (up) - Max. possible relative overstatement - Candidate 6]])</f>
        <v>0</v>
      </c>
      <c r="Q610" s="100">
        <f>IF(SamplingData[[#This Row],[Max Error Bound (up)]] = 0,0,SamplingData[[#This Row],[Max Error Bound (up)]]/SamplingData[[#Totals],[Max Error Bound (up)]])</f>
        <v>0</v>
      </c>
      <c r="R610" s="101">
        <f>SUM($Q$5:Q610)</f>
        <v>0.18640582025231658</v>
      </c>
      <c r="S610" s="100" t="str">
        <f t="array" ref="S610">IF(SamplingData[[#This Row],[up/U Selection Probability]] = 0, "Zero", TEXT(SamplingData[[#This Row],[Lower Range]], REPT("0",LEN('General Info'!$B$40))) &amp; " - " &amp; TEXT(SamplingData[[#This Row],[Upper Range]], REPT("0",LEN('General Info'!$B$40))))</f>
        <v>Zero</v>
      </c>
      <c r="T610" s="100">
        <f>SamplingData[[#This Row],[Upper Range]]-SamplingData[[#This Row],[Span]]</f>
        <v>18640.582025231659</v>
      </c>
      <c r="U610" s="100">
        <f>IF(ISNUMBER('General Info'!$B$40), ((SamplingData[[#This Row],[up/U Selection Probability]]) * 'General Info'!$B$40) - 1, 0)</f>
        <v>-1</v>
      </c>
      <c r="V610" s="100">
        <f>IF(ISNUMBER('General Info'!$B$40), (SamplingData[[#This Row],[Running (cumulative) sum]] * ('General Info'!$B$40 -'General Info'!$B$41 + 1)) + 'General Info'!$B$41 - 1, 0)</f>
        <v>18639.582025231659</v>
      </c>
      <c r="W610" s="100" t="str">
        <f>IF(ISERROR(MATCH(SamplingData[[#This Row],[Batch by Type (p)]],SelectedPrecincts[Batch Name], 0)), "", INDEX(SelectedPrecincts[Draw], MATCH(SamplingData[[#This Row],[Batch by Type (p)]],SelectedPrecincts[Batch Name], 0)))</f>
        <v/>
      </c>
      <c r="X610" s="102">
        <f>IF(COUNTIF(SelectedPrecincts[Batch Name],SamplingData[[#This Row],[Batch by Type (p)]]) &lt;&gt; 0, COUNTIF(SelectedPrecincts[Batch Name],SamplingData[[#This Row],[Batch by Type (p)]]), 0)</f>
        <v>0</v>
      </c>
    </row>
    <row r="611" spans="1:24" ht="15" customHeight="1">
      <c r="A611" s="18" t="s">
        <v>787</v>
      </c>
      <c r="B611" s="18">
        <v>2</v>
      </c>
      <c r="C611" s="18">
        <v>2</v>
      </c>
      <c r="D611" s="16">
        <v>0</v>
      </c>
      <c r="E611" s="16">
        <v>1</v>
      </c>
      <c r="F611" s="37">
        <v>0</v>
      </c>
      <c r="G611" s="37">
        <v>0</v>
      </c>
      <c r="H611" s="17">
        <v>0</v>
      </c>
      <c r="I611" s="17">
        <v>0</v>
      </c>
      <c r="J611" s="99">
        <f>SUM(SamplingData[[#This Row],[Losing Candidate]:[Under Votes]])</f>
        <v>5</v>
      </c>
      <c r="K611"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611" s="100">
        <f>IF(AND(SamplingData[[#This Row],[Total]]&lt;&gt; 0, NOT(ISBLANK(SamplingData[[#This Row],[Candidate 3]]))),(SamplingData[[#This Row],[Total]]+SamplingData[[#This Row],[Winning Candidate]]-SamplingData[[#This Row],[Candidate 3]])/(SamplingData[[#Totals],[Winning Candidate]]-SamplingData[[#Totals],[Candidate 3]]), 0)</f>
        <v>2.258283059650934E-4</v>
      </c>
      <c r="M611" s="100">
        <f>IF(AND(SamplingData[[#This Row],[Total]]&lt;&gt; 0, NOT(ISBLANK(SamplingData[[#This Row],[Candidate 4]]))),(SamplingData[[#This Row],[Total]]+SamplingData[[#This Row],[Winning Candidate]]-SamplingData[[#This Row],[Candidate 4]])/(SamplingData[[#Totals],[Winning Candidate]]-SamplingData[[#Totals],[Candidate 4]]), 0)</f>
        <v>1.7539244058581075E-4</v>
      </c>
      <c r="N611" s="100">
        <f>IF(AND(SamplingData[[#This Row],[Total]]&lt;&gt; 0, NOT(ISBLANK(SamplingData[[#This Row],[Candidate 5]]))),(SamplingData[[#This Row],[Total]]+SamplingData[[#This Row],[Winning Candidate]]-SamplingData[[#This Row],[Candidate 5]])/(SamplingData[[#Totals],[Winning Candidate]]-SamplingData[[#Totals],[Candidate 5]]), 0)</f>
        <v>1.7027487229384579E-4</v>
      </c>
      <c r="O611" s="100">
        <f>IF(AND(SamplingData[[#This Row],[Total]]&lt;&gt; 0, NOT(ISBLANK(SamplingData[[#This Row],[Candidate 6]]))),(SamplingData[[#This Row],[Total]]+SamplingData[[#This Row],[Winning Candidate]]-SamplingData[[#This Row],[Candidate 6]])/(SamplingData[[#Totals],[Winning Candidate]]-SamplingData[[#Totals],[Candidate 6]]), 0)</f>
        <v>1.7022518360001944E-4</v>
      </c>
      <c r="P611" s="100">
        <f>MAX(SamplingData[[#This Row],[Error Bound (up) - Max. possible relative overstatement - Losing Candidate]:[Error Bound (up) - Max. possible relative overstatement - Candidate 6]])</f>
        <v>3.0622243998040176E-4</v>
      </c>
      <c r="Q611" s="100">
        <f>IF(SamplingData[[#This Row],[Max Error Bound (up)]] = 0,0,SamplingData[[#This Row],[Max Error Bound (up)]]/SamplingData[[#Totals],[Max Error Bound (up)]])</f>
        <v>4.8464741392229159E-5</v>
      </c>
      <c r="R611" s="101">
        <f>SUM($Q$5:Q611)</f>
        <v>0.18645428499370881</v>
      </c>
      <c r="S611" s="100" t="str">
        <f t="array" ref="S611">IF(SamplingData[[#This Row],[up/U Selection Probability]] = 0, "Zero", TEXT(SamplingData[[#This Row],[Lower Range]], REPT("0",LEN('General Info'!$B$40))) &amp; " - " &amp; TEXT(SamplingData[[#This Row],[Upper Range]], REPT("0",LEN('General Info'!$B$40))))</f>
        <v>18641 - 18644</v>
      </c>
      <c r="T611" s="100">
        <f>SamplingData[[#This Row],[Upper Range]]-SamplingData[[#This Row],[Span]]</f>
        <v>18640.582073696401</v>
      </c>
      <c r="U611" s="100">
        <f>IF(ISNUMBER('General Info'!$B$40), ((SamplingData[[#This Row],[up/U Selection Probability]]) * 'General Info'!$B$40) - 1, 0)</f>
        <v>3.8464256744815239</v>
      </c>
      <c r="V611" s="100">
        <f>IF(ISNUMBER('General Info'!$B$40), (SamplingData[[#This Row],[Running (cumulative) sum]] * ('General Info'!$B$40 -'General Info'!$B$41 + 1)) + 'General Info'!$B$41 - 1, 0)</f>
        <v>18644.428499370882</v>
      </c>
      <c r="W611" s="100" t="str">
        <f>IF(ISERROR(MATCH(SamplingData[[#This Row],[Batch by Type (p)]],SelectedPrecincts[Batch Name], 0)), "", INDEX(SelectedPrecincts[Draw], MATCH(SamplingData[[#This Row],[Batch by Type (p)]],SelectedPrecincts[Batch Name], 0)))</f>
        <v/>
      </c>
      <c r="X611" s="102">
        <f>IF(COUNTIF(SelectedPrecincts[Batch Name],SamplingData[[#This Row],[Batch by Type (p)]]) &lt;&gt; 0, COUNTIF(SelectedPrecincts[Batch Name],SamplingData[[#This Row],[Batch by Type (p)]]), 0)</f>
        <v>0</v>
      </c>
    </row>
    <row r="612" spans="1:24" ht="15" customHeight="1">
      <c r="A612" s="18" t="s">
        <v>788</v>
      </c>
      <c r="B612" s="18">
        <v>0</v>
      </c>
      <c r="C612" s="18">
        <v>0</v>
      </c>
      <c r="D612" s="18">
        <v>2</v>
      </c>
      <c r="E612" s="18">
        <v>0</v>
      </c>
      <c r="F612" s="18">
        <v>0</v>
      </c>
      <c r="G612" s="18">
        <v>0</v>
      </c>
      <c r="H612" s="18">
        <v>0</v>
      </c>
      <c r="I612" s="18">
        <v>0</v>
      </c>
      <c r="J612" s="99">
        <f>SUM(SamplingData[[#This Row],[Losing Candidate]:[Under Votes]])</f>
        <v>2</v>
      </c>
      <c r="K61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12" s="100">
        <f>IF(AND(SamplingData[[#This Row],[Total]]&lt;&gt; 0, NOT(ISBLANK(SamplingData[[#This Row],[Candidate 3]]))),(SamplingData[[#This Row],[Total]]+SamplingData[[#This Row],[Winning Candidate]]-SamplingData[[#This Row],[Candidate 3]])/(SamplingData[[#Totals],[Winning Candidate]]-SamplingData[[#Totals],[Candidate 3]]), 0)</f>
        <v>0</v>
      </c>
      <c r="M612" s="100">
        <f>IF(AND(SamplingData[[#This Row],[Total]]&lt;&gt; 0, NOT(ISBLANK(SamplingData[[#This Row],[Candidate 4]]))),(SamplingData[[#This Row],[Total]]+SamplingData[[#This Row],[Winning Candidate]]-SamplingData[[#This Row],[Candidate 4]])/(SamplingData[[#Totals],[Winning Candidate]]-SamplingData[[#Totals],[Candidate 4]]), 0)</f>
        <v>5.846414686193692E-5</v>
      </c>
      <c r="N612" s="100">
        <f>IF(AND(SamplingData[[#This Row],[Total]]&lt;&gt; 0, NOT(ISBLANK(SamplingData[[#This Row],[Candidate 5]]))),(SamplingData[[#This Row],[Total]]+SamplingData[[#This Row],[Winning Candidate]]-SamplingData[[#This Row],[Candidate 5]])/(SamplingData[[#Totals],[Winning Candidate]]-SamplingData[[#Totals],[Candidate 5]]), 0)</f>
        <v>4.8649963512527367E-5</v>
      </c>
      <c r="O612" s="100">
        <f>IF(AND(SamplingData[[#This Row],[Total]]&lt;&gt; 0, NOT(ISBLANK(SamplingData[[#This Row],[Candidate 6]]))),(SamplingData[[#This Row],[Total]]+SamplingData[[#This Row],[Winning Candidate]]-SamplingData[[#This Row],[Candidate 6]])/(SamplingData[[#Totals],[Winning Candidate]]-SamplingData[[#Totals],[Candidate 6]]), 0)</f>
        <v>4.8635766742862701E-5</v>
      </c>
      <c r="P612" s="100">
        <f>MAX(SamplingData[[#This Row],[Error Bound (up) - Max. possible relative overstatement - Losing Candidate]:[Error Bound (up) - Max. possible relative overstatement - Candidate 6]])</f>
        <v>1.224889759921607E-4</v>
      </c>
      <c r="Q612" s="100">
        <f>IF(SamplingData[[#This Row],[Max Error Bound (up)]] = 0,0,SamplingData[[#This Row],[Max Error Bound (up)]]/SamplingData[[#Totals],[Max Error Bound (up)]])</f>
        <v>1.9385896556891663E-5</v>
      </c>
      <c r="R612" s="101">
        <f>SUM($Q$5:Q612)</f>
        <v>0.1864736708902657</v>
      </c>
      <c r="S612" s="100" t="str">
        <f t="array" ref="S612">IF(SamplingData[[#This Row],[up/U Selection Probability]] = 0, "Zero", TEXT(SamplingData[[#This Row],[Lower Range]], REPT("0",LEN('General Info'!$B$40))) &amp; " - " &amp; TEXT(SamplingData[[#This Row],[Upper Range]], REPT("0",LEN('General Info'!$B$40))))</f>
        <v>18645 - 18646</v>
      </c>
      <c r="T612" s="100">
        <f>SamplingData[[#This Row],[Upper Range]]-SamplingData[[#This Row],[Span]]</f>
        <v>18645.42851875678</v>
      </c>
      <c r="U612" s="100">
        <f>IF(ISNUMBER('General Info'!$B$40), ((SamplingData[[#This Row],[up/U Selection Probability]]) * 'General Info'!$B$40) - 1, 0)</f>
        <v>0.93857026979260949</v>
      </c>
      <c r="V612" s="100">
        <f>IF(ISNUMBER('General Info'!$B$40), (SamplingData[[#This Row],[Running (cumulative) sum]] * ('General Info'!$B$40 -'General Info'!$B$41 + 1)) + 'General Info'!$B$41 - 1, 0)</f>
        <v>18646.367089026571</v>
      </c>
      <c r="W612" s="100" t="str">
        <f>IF(ISERROR(MATCH(SamplingData[[#This Row],[Batch by Type (p)]],SelectedPrecincts[Batch Name], 0)), "", INDEX(SelectedPrecincts[Draw], MATCH(SamplingData[[#This Row],[Batch by Type (p)]],SelectedPrecincts[Batch Name], 0)))</f>
        <v/>
      </c>
      <c r="X612" s="102">
        <f>IF(COUNTIF(SelectedPrecincts[Batch Name],SamplingData[[#This Row],[Batch by Type (p)]]) &lt;&gt; 0, COUNTIF(SelectedPrecincts[Batch Name],SamplingData[[#This Row],[Batch by Type (p)]]), 0)</f>
        <v>0</v>
      </c>
    </row>
    <row r="613" spans="1:24" ht="15" customHeight="1">
      <c r="A613" s="18" t="s">
        <v>789</v>
      </c>
      <c r="B613" s="18">
        <v>1</v>
      </c>
      <c r="C613" s="18">
        <v>0</v>
      </c>
      <c r="D613" s="16">
        <v>0</v>
      </c>
      <c r="E613" s="16">
        <v>1</v>
      </c>
      <c r="F613" s="37">
        <v>0</v>
      </c>
      <c r="G613" s="37">
        <v>0</v>
      </c>
      <c r="H613" s="17">
        <v>0</v>
      </c>
      <c r="I613" s="17">
        <v>0</v>
      </c>
      <c r="J613" s="99">
        <f>SUM(SamplingData[[#This Row],[Losing Candidate]:[Under Votes]])</f>
        <v>2</v>
      </c>
      <c r="K613"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613" s="100">
        <f>IF(AND(SamplingData[[#This Row],[Total]]&lt;&gt; 0, NOT(ISBLANK(SamplingData[[#This Row],[Candidate 3]]))),(SamplingData[[#This Row],[Total]]+SamplingData[[#This Row],[Winning Candidate]]-SamplingData[[#This Row],[Candidate 3]])/(SamplingData[[#Totals],[Winning Candidate]]-SamplingData[[#Totals],[Candidate 3]]), 0)</f>
        <v>6.4522373132883833E-5</v>
      </c>
      <c r="M613" s="100">
        <f>IF(AND(SamplingData[[#This Row],[Total]]&lt;&gt; 0, NOT(ISBLANK(SamplingData[[#This Row],[Candidate 4]]))),(SamplingData[[#This Row],[Total]]+SamplingData[[#This Row],[Winning Candidate]]-SamplingData[[#This Row],[Candidate 4]])/(SamplingData[[#Totals],[Winning Candidate]]-SamplingData[[#Totals],[Candidate 4]]), 0)</f>
        <v>2.923207343096846E-5</v>
      </c>
      <c r="N613" s="100">
        <f>IF(AND(SamplingData[[#This Row],[Total]]&lt;&gt; 0, NOT(ISBLANK(SamplingData[[#This Row],[Candidate 5]]))),(SamplingData[[#This Row],[Total]]+SamplingData[[#This Row],[Winning Candidate]]-SamplingData[[#This Row],[Candidate 5]])/(SamplingData[[#Totals],[Winning Candidate]]-SamplingData[[#Totals],[Candidate 5]]), 0)</f>
        <v>4.8649963512527367E-5</v>
      </c>
      <c r="O613" s="100">
        <f>IF(AND(SamplingData[[#This Row],[Total]]&lt;&gt; 0, NOT(ISBLANK(SamplingData[[#This Row],[Candidate 6]]))),(SamplingData[[#This Row],[Total]]+SamplingData[[#This Row],[Winning Candidate]]-SamplingData[[#This Row],[Candidate 6]])/(SamplingData[[#Totals],[Winning Candidate]]-SamplingData[[#Totals],[Candidate 6]]), 0)</f>
        <v>4.8635766742862701E-5</v>
      </c>
      <c r="P613" s="100">
        <f>MAX(SamplingData[[#This Row],[Error Bound (up) - Max. possible relative overstatement - Losing Candidate]:[Error Bound (up) - Max. possible relative overstatement - Candidate 6]])</f>
        <v>6.4522373132883833E-5</v>
      </c>
      <c r="Q613" s="100">
        <f>IF(SamplingData[[#This Row],[Max Error Bound (up)]] = 0,0,SamplingData[[#This Row],[Max Error Bound (up)]]/SamplingData[[#Totals],[Max Error Bound (up)]])</f>
        <v>1.0211727553664133E-5</v>
      </c>
      <c r="R613" s="101">
        <f>SUM($Q$5:Q613)</f>
        <v>0.18648388261781937</v>
      </c>
      <c r="S613" s="100" t="str">
        <f t="array" ref="S613">IF(SamplingData[[#This Row],[up/U Selection Probability]] = 0, "Zero", TEXT(SamplingData[[#This Row],[Lower Range]], REPT("0",LEN('General Info'!$B$40))) &amp; " - " &amp; TEXT(SamplingData[[#This Row],[Upper Range]], REPT("0",LEN('General Info'!$B$40))))</f>
        <v>18647 - 18647</v>
      </c>
      <c r="T613" s="100">
        <f>SamplingData[[#This Row],[Upper Range]]-SamplingData[[#This Row],[Span]]</f>
        <v>18647.367099238298</v>
      </c>
      <c r="U613" s="100">
        <f>IF(ISNUMBER('General Info'!$B$40), ((SamplingData[[#This Row],[up/U Selection Probability]]) * 'General Info'!$B$40) - 1, 0)</f>
        <v>2.116254363885961E-2</v>
      </c>
      <c r="V613" s="100">
        <f>IF(ISNUMBER('General Info'!$B$40), (SamplingData[[#This Row],[Running (cumulative) sum]] * ('General Info'!$B$40 -'General Info'!$B$41 + 1)) + 'General Info'!$B$41 - 1, 0)</f>
        <v>18647.388261781936</v>
      </c>
      <c r="W613" s="100" t="str">
        <f>IF(ISERROR(MATCH(SamplingData[[#This Row],[Batch by Type (p)]],SelectedPrecincts[Batch Name], 0)), "", INDEX(SelectedPrecincts[Draw], MATCH(SamplingData[[#This Row],[Batch by Type (p)]],SelectedPrecincts[Batch Name], 0)))</f>
        <v/>
      </c>
      <c r="X613" s="102">
        <f>IF(COUNTIF(SelectedPrecincts[Batch Name],SamplingData[[#This Row],[Batch by Type (p)]]) &lt;&gt; 0, COUNTIF(SelectedPrecincts[Batch Name],SamplingData[[#This Row],[Batch by Type (p)]]), 0)</f>
        <v>0</v>
      </c>
    </row>
    <row r="614" spans="1:24" ht="15" customHeight="1">
      <c r="A614" s="18" t="s">
        <v>790</v>
      </c>
      <c r="B614" s="18">
        <v>0</v>
      </c>
      <c r="C614" s="18">
        <v>1</v>
      </c>
      <c r="D614" s="18">
        <v>0</v>
      </c>
      <c r="E614" s="18">
        <v>0</v>
      </c>
      <c r="F614" s="18">
        <v>0</v>
      </c>
      <c r="G614" s="18">
        <v>0</v>
      </c>
      <c r="H614" s="18">
        <v>0</v>
      </c>
      <c r="I614" s="18">
        <v>0</v>
      </c>
      <c r="J614" s="99">
        <f>SUM(SamplingData[[#This Row],[Losing Candidate]:[Under Votes]])</f>
        <v>1</v>
      </c>
      <c r="K61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14" s="100">
        <f>IF(AND(SamplingData[[#This Row],[Total]]&lt;&gt; 0, NOT(ISBLANK(SamplingData[[#This Row],[Candidate 3]]))),(SamplingData[[#This Row],[Total]]+SamplingData[[#This Row],[Winning Candidate]]-SamplingData[[#This Row],[Candidate 3]])/(SamplingData[[#Totals],[Winning Candidate]]-SamplingData[[#Totals],[Candidate 3]]), 0)</f>
        <v>6.4522373132883833E-5</v>
      </c>
      <c r="M614" s="100">
        <f>IF(AND(SamplingData[[#This Row],[Total]]&lt;&gt; 0, NOT(ISBLANK(SamplingData[[#This Row],[Candidate 4]]))),(SamplingData[[#This Row],[Total]]+SamplingData[[#This Row],[Winning Candidate]]-SamplingData[[#This Row],[Candidate 4]])/(SamplingData[[#Totals],[Winning Candidate]]-SamplingData[[#Totals],[Candidate 4]]), 0)</f>
        <v>5.846414686193692E-5</v>
      </c>
      <c r="N614" s="100">
        <f>IF(AND(SamplingData[[#This Row],[Total]]&lt;&gt; 0, NOT(ISBLANK(SamplingData[[#This Row],[Candidate 5]]))),(SamplingData[[#This Row],[Total]]+SamplingData[[#This Row],[Winning Candidate]]-SamplingData[[#This Row],[Candidate 5]])/(SamplingData[[#Totals],[Winning Candidate]]-SamplingData[[#Totals],[Candidate 5]]), 0)</f>
        <v>4.8649963512527367E-5</v>
      </c>
      <c r="O614" s="100">
        <f>IF(AND(SamplingData[[#This Row],[Total]]&lt;&gt; 0, NOT(ISBLANK(SamplingData[[#This Row],[Candidate 6]]))),(SamplingData[[#This Row],[Total]]+SamplingData[[#This Row],[Winning Candidate]]-SamplingData[[#This Row],[Candidate 6]])/(SamplingData[[#Totals],[Winning Candidate]]-SamplingData[[#Totals],[Candidate 6]]), 0)</f>
        <v>4.8635766742862701E-5</v>
      </c>
      <c r="P614" s="100">
        <f>MAX(SamplingData[[#This Row],[Error Bound (up) - Max. possible relative overstatement - Losing Candidate]:[Error Bound (up) - Max. possible relative overstatement - Candidate 6]])</f>
        <v>1.224889759921607E-4</v>
      </c>
      <c r="Q614" s="100">
        <f>IF(SamplingData[[#This Row],[Max Error Bound (up)]] = 0,0,SamplingData[[#This Row],[Max Error Bound (up)]]/SamplingData[[#Totals],[Max Error Bound (up)]])</f>
        <v>1.9385896556891663E-5</v>
      </c>
      <c r="R614" s="101">
        <f>SUM($Q$5:Q614)</f>
        <v>0.18650326851437626</v>
      </c>
      <c r="S614" s="100" t="str">
        <f t="array" ref="S614">IF(SamplingData[[#This Row],[up/U Selection Probability]] = 0, "Zero", TEXT(SamplingData[[#This Row],[Lower Range]], REPT("0",LEN('General Info'!$B$40))) &amp; " - " &amp; TEXT(SamplingData[[#This Row],[Upper Range]], REPT("0",LEN('General Info'!$B$40))))</f>
        <v>18648 - 18649</v>
      </c>
      <c r="T614" s="100">
        <f>SamplingData[[#This Row],[Upper Range]]-SamplingData[[#This Row],[Span]]</f>
        <v>18648.388281167834</v>
      </c>
      <c r="U614" s="100">
        <f>IF(ISNUMBER('General Info'!$B$40), ((SamplingData[[#This Row],[up/U Selection Probability]]) * 'General Info'!$B$40) - 1, 0)</f>
        <v>0.93857026979260949</v>
      </c>
      <c r="V614" s="100">
        <f>IF(ISNUMBER('General Info'!$B$40), (SamplingData[[#This Row],[Running (cumulative) sum]] * ('General Info'!$B$40 -'General Info'!$B$41 + 1)) + 'General Info'!$B$41 - 1, 0)</f>
        <v>18649.326851437625</v>
      </c>
      <c r="W614" s="100" t="str">
        <f>IF(ISERROR(MATCH(SamplingData[[#This Row],[Batch by Type (p)]],SelectedPrecincts[Batch Name], 0)), "", INDEX(SelectedPrecincts[Draw], MATCH(SamplingData[[#This Row],[Batch by Type (p)]],SelectedPrecincts[Batch Name], 0)))</f>
        <v/>
      </c>
      <c r="X614" s="102">
        <f>IF(COUNTIF(SelectedPrecincts[Batch Name],SamplingData[[#This Row],[Batch by Type (p)]]) &lt;&gt; 0, COUNTIF(SelectedPrecincts[Batch Name],SamplingData[[#This Row],[Batch by Type (p)]]), 0)</f>
        <v>0</v>
      </c>
    </row>
    <row r="615" spans="1:24" ht="15" customHeight="1">
      <c r="A615" s="18" t="s">
        <v>791</v>
      </c>
      <c r="B615" s="18">
        <v>0</v>
      </c>
      <c r="C615" s="18">
        <v>1</v>
      </c>
      <c r="D615" s="16">
        <v>0</v>
      </c>
      <c r="E615" s="16">
        <v>0</v>
      </c>
      <c r="F615" s="37">
        <v>0</v>
      </c>
      <c r="G615" s="37">
        <v>0</v>
      </c>
      <c r="H615" s="17">
        <v>0</v>
      </c>
      <c r="I615" s="17">
        <v>1</v>
      </c>
      <c r="J615" s="99">
        <f>SUM(SamplingData[[#This Row],[Losing Candidate]:[Under Votes]])</f>
        <v>2</v>
      </c>
      <c r="K615"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615" s="100">
        <f>IF(AND(SamplingData[[#This Row],[Total]]&lt;&gt; 0, NOT(ISBLANK(SamplingData[[#This Row],[Candidate 3]]))),(SamplingData[[#This Row],[Total]]+SamplingData[[#This Row],[Winning Candidate]]-SamplingData[[#This Row],[Candidate 3]])/(SamplingData[[#Totals],[Winning Candidate]]-SamplingData[[#Totals],[Candidate 3]]), 0)</f>
        <v>9.6783559699325743E-5</v>
      </c>
      <c r="M615" s="100">
        <f>IF(AND(SamplingData[[#This Row],[Total]]&lt;&gt; 0, NOT(ISBLANK(SamplingData[[#This Row],[Candidate 4]]))),(SamplingData[[#This Row],[Total]]+SamplingData[[#This Row],[Winning Candidate]]-SamplingData[[#This Row],[Candidate 4]])/(SamplingData[[#Totals],[Winning Candidate]]-SamplingData[[#Totals],[Candidate 4]]), 0)</f>
        <v>8.7696220292905373E-5</v>
      </c>
      <c r="N615" s="100">
        <f>IF(AND(SamplingData[[#This Row],[Total]]&lt;&gt; 0, NOT(ISBLANK(SamplingData[[#This Row],[Candidate 5]]))),(SamplingData[[#This Row],[Total]]+SamplingData[[#This Row],[Winning Candidate]]-SamplingData[[#This Row],[Candidate 5]])/(SamplingData[[#Totals],[Winning Candidate]]-SamplingData[[#Totals],[Candidate 5]]), 0)</f>
        <v>7.2974945268791054E-5</v>
      </c>
      <c r="O615" s="100">
        <f>IF(AND(SamplingData[[#This Row],[Total]]&lt;&gt; 0, NOT(ISBLANK(SamplingData[[#This Row],[Candidate 6]]))),(SamplingData[[#This Row],[Total]]+SamplingData[[#This Row],[Winning Candidate]]-SamplingData[[#This Row],[Candidate 6]])/(SamplingData[[#Totals],[Winning Candidate]]-SamplingData[[#Totals],[Candidate 6]]), 0)</f>
        <v>7.2953650114294054E-5</v>
      </c>
      <c r="P615" s="100">
        <f>MAX(SamplingData[[#This Row],[Error Bound (up) - Max. possible relative overstatement - Losing Candidate]:[Error Bound (up) - Max. possible relative overstatement - Candidate 6]])</f>
        <v>1.8373346398824106E-4</v>
      </c>
      <c r="Q615" s="100">
        <f>IF(SamplingData[[#This Row],[Max Error Bound (up)]] = 0,0,SamplingData[[#This Row],[Max Error Bound (up)]]/SamplingData[[#Totals],[Max Error Bound (up)]])</f>
        <v>2.9078844835337493E-5</v>
      </c>
      <c r="R615" s="101">
        <f>SUM($Q$5:Q615)</f>
        <v>0.18653234735921159</v>
      </c>
      <c r="S615" s="100" t="str">
        <f t="array" ref="S615">IF(SamplingData[[#This Row],[up/U Selection Probability]] = 0, "Zero", TEXT(SamplingData[[#This Row],[Lower Range]], REPT("0",LEN('General Info'!$B$40))) &amp; " - " &amp; TEXT(SamplingData[[#This Row],[Upper Range]], REPT("0",LEN('General Info'!$B$40))))</f>
        <v>18650 - 18652</v>
      </c>
      <c r="T615" s="100">
        <f>SamplingData[[#This Row],[Upper Range]]-SamplingData[[#This Row],[Span]]</f>
        <v>18650.32688051647</v>
      </c>
      <c r="U615" s="100">
        <f>IF(ISNUMBER('General Info'!$B$40), ((SamplingData[[#This Row],[up/U Selection Probability]]) * 'General Info'!$B$40) - 1, 0)</f>
        <v>1.907855404688914</v>
      </c>
      <c r="V615" s="100">
        <f>IF(ISNUMBER('General Info'!$B$40), (SamplingData[[#This Row],[Running (cumulative) sum]] * ('General Info'!$B$40 -'General Info'!$B$41 + 1)) + 'General Info'!$B$41 - 1, 0)</f>
        <v>18652.23473592116</v>
      </c>
      <c r="W615" s="100" t="str">
        <f>IF(ISERROR(MATCH(SamplingData[[#This Row],[Batch by Type (p)]],SelectedPrecincts[Batch Name], 0)), "", INDEX(SelectedPrecincts[Draw], MATCH(SamplingData[[#This Row],[Batch by Type (p)]],SelectedPrecincts[Batch Name], 0)))</f>
        <v/>
      </c>
      <c r="X615" s="102">
        <f>IF(COUNTIF(SelectedPrecincts[Batch Name],SamplingData[[#This Row],[Batch by Type (p)]]) &lt;&gt; 0, COUNTIF(SelectedPrecincts[Batch Name],SamplingData[[#This Row],[Batch by Type (p)]]), 0)</f>
        <v>0</v>
      </c>
    </row>
    <row r="616" spans="1:24" ht="15" customHeight="1">
      <c r="A616" s="18" t="s">
        <v>792</v>
      </c>
      <c r="B616" s="18">
        <v>0</v>
      </c>
      <c r="C616" s="18">
        <v>4</v>
      </c>
      <c r="D616" s="18">
        <v>0</v>
      </c>
      <c r="E616" s="18">
        <v>0</v>
      </c>
      <c r="F616" s="18">
        <v>0</v>
      </c>
      <c r="G616" s="18">
        <v>0</v>
      </c>
      <c r="H616" s="18">
        <v>0</v>
      </c>
      <c r="I616" s="18">
        <v>0</v>
      </c>
      <c r="J616" s="99">
        <f>SUM(SamplingData[[#This Row],[Losing Candidate]:[Under Votes]])</f>
        <v>4</v>
      </c>
      <c r="K616"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616" s="100">
        <f>IF(AND(SamplingData[[#This Row],[Total]]&lt;&gt; 0, NOT(ISBLANK(SamplingData[[#This Row],[Candidate 3]]))),(SamplingData[[#This Row],[Total]]+SamplingData[[#This Row],[Winning Candidate]]-SamplingData[[#This Row],[Candidate 3]])/(SamplingData[[#Totals],[Winning Candidate]]-SamplingData[[#Totals],[Candidate 3]]), 0)</f>
        <v>2.5808949253153533E-4</v>
      </c>
      <c r="M616" s="100">
        <f>IF(AND(SamplingData[[#This Row],[Total]]&lt;&gt; 0, NOT(ISBLANK(SamplingData[[#This Row],[Candidate 4]]))),(SamplingData[[#This Row],[Total]]+SamplingData[[#This Row],[Winning Candidate]]-SamplingData[[#This Row],[Candidate 4]])/(SamplingData[[#Totals],[Winning Candidate]]-SamplingData[[#Totals],[Candidate 4]]), 0)</f>
        <v>2.3385658744774768E-4</v>
      </c>
      <c r="N616" s="100">
        <f>IF(AND(SamplingData[[#This Row],[Total]]&lt;&gt; 0, NOT(ISBLANK(SamplingData[[#This Row],[Candidate 5]]))),(SamplingData[[#This Row],[Total]]+SamplingData[[#This Row],[Winning Candidate]]-SamplingData[[#This Row],[Candidate 5]])/(SamplingData[[#Totals],[Winning Candidate]]-SamplingData[[#Totals],[Candidate 5]]), 0)</f>
        <v>1.9459985405010947E-4</v>
      </c>
      <c r="O616" s="100">
        <f>IF(AND(SamplingData[[#This Row],[Total]]&lt;&gt; 0, NOT(ISBLANK(SamplingData[[#This Row],[Candidate 6]]))),(SamplingData[[#This Row],[Total]]+SamplingData[[#This Row],[Winning Candidate]]-SamplingData[[#This Row],[Candidate 6]])/(SamplingData[[#Totals],[Winning Candidate]]-SamplingData[[#Totals],[Candidate 6]]), 0)</f>
        <v>1.945430669714508E-4</v>
      </c>
      <c r="P616" s="100">
        <f>MAX(SamplingData[[#This Row],[Error Bound (up) - Max. possible relative overstatement - Losing Candidate]:[Error Bound (up) - Max. possible relative overstatement - Candidate 6]])</f>
        <v>4.8995590396864281E-4</v>
      </c>
      <c r="Q616" s="100">
        <f>IF(SamplingData[[#This Row],[Max Error Bound (up)]] = 0,0,SamplingData[[#This Row],[Max Error Bound (up)]]/SamplingData[[#Totals],[Max Error Bound (up)]])</f>
        <v>7.7543586227566652E-5</v>
      </c>
      <c r="R616" s="101">
        <f>SUM($Q$5:Q616)</f>
        <v>0.18660989094543917</v>
      </c>
      <c r="S616" s="100" t="str">
        <f t="array" ref="S616">IF(SamplingData[[#This Row],[up/U Selection Probability]] = 0, "Zero", TEXT(SamplingData[[#This Row],[Lower Range]], REPT("0",LEN('General Info'!$B$40))) &amp; " - " &amp; TEXT(SamplingData[[#This Row],[Upper Range]], REPT("0",LEN('General Info'!$B$40))))</f>
        <v>18653 - 18660</v>
      </c>
      <c r="T616" s="100">
        <f>SamplingData[[#This Row],[Upper Range]]-SamplingData[[#This Row],[Span]]</f>
        <v>18653.234813464747</v>
      </c>
      <c r="U616" s="100">
        <f>IF(ISNUMBER('General Info'!$B$40), ((SamplingData[[#This Row],[up/U Selection Probability]]) * 'General Info'!$B$40) - 1, 0)</f>
        <v>6.754281079170438</v>
      </c>
      <c r="V616" s="100">
        <f>IF(ISNUMBER('General Info'!$B$40), (SamplingData[[#This Row],[Running (cumulative) sum]] * ('General Info'!$B$40 -'General Info'!$B$41 + 1)) + 'General Info'!$B$41 - 1, 0)</f>
        <v>18659.989094543918</v>
      </c>
      <c r="W616" s="100" t="str">
        <f>IF(ISERROR(MATCH(SamplingData[[#This Row],[Batch by Type (p)]],SelectedPrecincts[Batch Name], 0)), "", INDEX(SelectedPrecincts[Draw], MATCH(SamplingData[[#This Row],[Batch by Type (p)]],SelectedPrecincts[Batch Name], 0)))</f>
        <v/>
      </c>
      <c r="X616" s="102">
        <f>IF(COUNTIF(SelectedPrecincts[Batch Name],SamplingData[[#This Row],[Batch by Type (p)]]) &lt;&gt; 0, COUNTIF(SelectedPrecincts[Batch Name],SamplingData[[#This Row],[Batch by Type (p)]]), 0)</f>
        <v>0</v>
      </c>
    </row>
    <row r="617" spans="1:24" ht="15" customHeight="1">
      <c r="A617" s="18" t="s">
        <v>793</v>
      </c>
      <c r="B617" s="18">
        <v>1</v>
      </c>
      <c r="C617" s="18">
        <v>0</v>
      </c>
      <c r="D617" s="16">
        <v>1</v>
      </c>
      <c r="E617" s="16">
        <v>0</v>
      </c>
      <c r="F617" s="37">
        <v>1</v>
      </c>
      <c r="G617" s="37">
        <v>0</v>
      </c>
      <c r="H617" s="17">
        <v>0</v>
      </c>
      <c r="I617" s="17">
        <v>0</v>
      </c>
      <c r="J617" s="99">
        <f>SUM(SamplingData[[#This Row],[Losing Candidate]:[Under Votes]])</f>
        <v>3</v>
      </c>
      <c r="K617"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17" s="100">
        <f>IF(AND(SamplingData[[#This Row],[Total]]&lt;&gt; 0, NOT(ISBLANK(SamplingData[[#This Row],[Candidate 3]]))),(SamplingData[[#This Row],[Total]]+SamplingData[[#This Row],[Winning Candidate]]-SamplingData[[#This Row],[Candidate 3]])/(SamplingData[[#Totals],[Winning Candidate]]-SamplingData[[#Totals],[Candidate 3]]), 0)</f>
        <v>6.4522373132883833E-5</v>
      </c>
      <c r="M617" s="100">
        <f>IF(AND(SamplingData[[#This Row],[Total]]&lt;&gt; 0, NOT(ISBLANK(SamplingData[[#This Row],[Candidate 4]]))),(SamplingData[[#This Row],[Total]]+SamplingData[[#This Row],[Winning Candidate]]-SamplingData[[#This Row],[Candidate 4]])/(SamplingData[[#Totals],[Winning Candidate]]-SamplingData[[#Totals],[Candidate 4]]), 0)</f>
        <v>8.7696220292905373E-5</v>
      </c>
      <c r="N617" s="100">
        <f>IF(AND(SamplingData[[#This Row],[Total]]&lt;&gt; 0, NOT(ISBLANK(SamplingData[[#This Row],[Candidate 5]]))),(SamplingData[[#This Row],[Total]]+SamplingData[[#This Row],[Winning Candidate]]-SamplingData[[#This Row],[Candidate 5]])/(SamplingData[[#Totals],[Winning Candidate]]-SamplingData[[#Totals],[Candidate 5]]), 0)</f>
        <v>4.8649963512527367E-5</v>
      </c>
      <c r="O617" s="100">
        <f>IF(AND(SamplingData[[#This Row],[Total]]&lt;&gt; 0, NOT(ISBLANK(SamplingData[[#This Row],[Candidate 6]]))),(SamplingData[[#This Row],[Total]]+SamplingData[[#This Row],[Winning Candidate]]-SamplingData[[#This Row],[Candidate 6]])/(SamplingData[[#Totals],[Winning Candidate]]-SamplingData[[#Totals],[Candidate 6]]), 0)</f>
        <v>7.2953650114294054E-5</v>
      </c>
      <c r="P617" s="100">
        <f>MAX(SamplingData[[#This Row],[Error Bound (up) - Max. possible relative overstatement - Losing Candidate]:[Error Bound (up) - Max. possible relative overstatement - Candidate 6]])</f>
        <v>1.224889759921607E-4</v>
      </c>
      <c r="Q617" s="100">
        <f>IF(SamplingData[[#This Row],[Max Error Bound (up)]] = 0,0,SamplingData[[#This Row],[Max Error Bound (up)]]/SamplingData[[#Totals],[Max Error Bound (up)]])</f>
        <v>1.9385896556891663E-5</v>
      </c>
      <c r="R617" s="101">
        <f>SUM($Q$5:Q617)</f>
        <v>0.18662927684199607</v>
      </c>
      <c r="S617" s="100" t="str">
        <f t="array" ref="S617">IF(SamplingData[[#This Row],[up/U Selection Probability]] = 0, "Zero", TEXT(SamplingData[[#This Row],[Lower Range]], REPT("0",LEN('General Info'!$B$40))) &amp; " - " &amp; TEXT(SamplingData[[#This Row],[Upper Range]], REPT("0",LEN('General Info'!$B$40))))</f>
        <v>18661 - 18662</v>
      </c>
      <c r="T617" s="100">
        <f>SamplingData[[#This Row],[Upper Range]]-SamplingData[[#This Row],[Span]]</f>
        <v>18660.989113929816</v>
      </c>
      <c r="U617" s="100">
        <f>IF(ISNUMBER('General Info'!$B$40), ((SamplingData[[#This Row],[up/U Selection Probability]]) * 'General Info'!$B$40) - 1, 0)</f>
        <v>0.93857026979260949</v>
      </c>
      <c r="V617" s="100">
        <f>IF(ISNUMBER('General Info'!$B$40), (SamplingData[[#This Row],[Running (cumulative) sum]] * ('General Info'!$B$40 -'General Info'!$B$41 + 1)) + 'General Info'!$B$41 - 1, 0)</f>
        <v>18661.927684199607</v>
      </c>
      <c r="W617" s="100" t="str">
        <f>IF(ISERROR(MATCH(SamplingData[[#This Row],[Batch by Type (p)]],SelectedPrecincts[Batch Name], 0)), "", INDEX(SelectedPrecincts[Draw], MATCH(SamplingData[[#This Row],[Batch by Type (p)]],SelectedPrecincts[Batch Name], 0)))</f>
        <v/>
      </c>
      <c r="X617" s="102">
        <f>IF(COUNTIF(SelectedPrecincts[Batch Name],SamplingData[[#This Row],[Batch by Type (p)]]) &lt;&gt; 0, COUNTIF(SelectedPrecincts[Batch Name],SamplingData[[#This Row],[Batch by Type (p)]]), 0)</f>
        <v>0</v>
      </c>
    </row>
    <row r="618" spans="1:24" ht="15" customHeight="1">
      <c r="A618" s="18" t="s">
        <v>794</v>
      </c>
      <c r="B618" s="18">
        <v>0</v>
      </c>
      <c r="C618" s="18">
        <v>0</v>
      </c>
      <c r="D618" s="18">
        <v>0</v>
      </c>
      <c r="E618" s="18">
        <v>0</v>
      </c>
      <c r="F618" s="18">
        <v>0</v>
      </c>
      <c r="G618" s="18">
        <v>0</v>
      </c>
      <c r="H618" s="18">
        <v>0</v>
      </c>
      <c r="I618" s="18">
        <v>0</v>
      </c>
      <c r="J618" s="99">
        <f>SUM(SamplingData[[#This Row],[Losing Candidate]:[Under Votes]])</f>
        <v>0</v>
      </c>
      <c r="K618" s="100">
        <f>IF(AND(SamplingData[[#This Row],[Total]]&lt;&gt; 0, NOT(ISBLANK(SamplingData[[#This Row],[Losing Candidate]]))),(SamplingData[[#This Row],[Total]]+SamplingData[[#This Row],[Winning Candidate]]-SamplingData[[#This Row],[Losing Candidate]])/(SamplingData[[#Totals],[Winning Candidate]]-SamplingData[[#Totals],[Losing Candidate]]), 0)</f>
        <v>0</v>
      </c>
      <c r="L618" s="100">
        <f>IF(AND(SamplingData[[#This Row],[Total]]&lt;&gt; 0, NOT(ISBLANK(SamplingData[[#This Row],[Candidate 3]]))),(SamplingData[[#This Row],[Total]]+SamplingData[[#This Row],[Winning Candidate]]-SamplingData[[#This Row],[Candidate 3]])/(SamplingData[[#Totals],[Winning Candidate]]-SamplingData[[#Totals],[Candidate 3]]), 0)</f>
        <v>0</v>
      </c>
      <c r="M618" s="100">
        <f>IF(AND(SamplingData[[#This Row],[Total]]&lt;&gt; 0, NOT(ISBLANK(SamplingData[[#This Row],[Candidate 4]]))),(SamplingData[[#This Row],[Total]]+SamplingData[[#This Row],[Winning Candidate]]-SamplingData[[#This Row],[Candidate 4]])/(SamplingData[[#Totals],[Winning Candidate]]-SamplingData[[#Totals],[Candidate 4]]), 0)</f>
        <v>0</v>
      </c>
      <c r="N618" s="100">
        <f>IF(AND(SamplingData[[#This Row],[Total]]&lt;&gt; 0, NOT(ISBLANK(SamplingData[[#This Row],[Candidate 5]]))),(SamplingData[[#This Row],[Total]]+SamplingData[[#This Row],[Winning Candidate]]-SamplingData[[#This Row],[Candidate 5]])/(SamplingData[[#Totals],[Winning Candidate]]-SamplingData[[#Totals],[Candidate 5]]), 0)</f>
        <v>0</v>
      </c>
      <c r="O618" s="100">
        <f>IF(AND(SamplingData[[#This Row],[Total]]&lt;&gt; 0, NOT(ISBLANK(SamplingData[[#This Row],[Candidate 6]]))),(SamplingData[[#This Row],[Total]]+SamplingData[[#This Row],[Winning Candidate]]-SamplingData[[#This Row],[Candidate 6]])/(SamplingData[[#Totals],[Winning Candidate]]-SamplingData[[#Totals],[Candidate 6]]), 0)</f>
        <v>0</v>
      </c>
      <c r="P618" s="100">
        <f>MAX(SamplingData[[#This Row],[Error Bound (up) - Max. possible relative overstatement - Losing Candidate]:[Error Bound (up) - Max. possible relative overstatement - Candidate 6]])</f>
        <v>0</v>
      </c>
      <c r="Q618" s="100">
        <f>IF(SamplingData[[#This Row],[Max Error Bound (up)]] = 0,0,SamplingData[[#This Row],[Max Error Bound (up)]]/SamplingData[[#Totals],[Max Error Bound (up)]])</f>
        <v>0</v>
      </c>
      <c r="R618" s="101">
        <f>SUM($Q$5:Q618)</f>
        <v>0.18662927684199607</v>
      </c>
      <c r="S618" s="100" t="str">
        <f t="array" ref="S618">IF(SamplingData[[#This Row],[up/U Selection Probability]] = 0, "Zero", TEXT(SamplingData[[#This Row],[Lower Range]], REPT("0",LEN('General Info'!$B$40))) &amp; " - " &amp; TEXT(SamplingData[[#This Row],[Upper Range]], REPT("0",LEN('General Info'!$B$40))))</f>
        <v>Zero</v>
      </c>
      <c r="T618" s="100">
        <f>SamplingData[[#This Row],[Upper Range]]-SamplingData[[#This Row],[Span]]</f>
        <v>18662.927684199607</v>
      </c>
      <c r="U618" s="100">
        <f>IF(ISNUMBER('General Info'!$B$40), ((SamplingData[[#This Row],[up/U Selection Probability]]) * 'General Info'!$B$40) - 1, 0)</f>
        <v>-1</v>
      </c>
      <c r="V618" s="100">
        <f>IF(ISNUMBER('General Info'!$B$40), (SamplingData[[#This Row],[Running (cumulative) sum]] * ('General Info'!$B$40 -'General Info'!$B$41 + 1)) + 'General Info'!$B$41 - 1, 0)</f>
        <v>18661.927684199607</v>
      </c>
      <c r="W618" s="100" t="str">
        <f>IF(ISERROR(MATCH(SamplingData[[#This Row],[Batch by Type (p)]],SelectedPrecincts[Batch Name], 0)), "", INDEX(SelectedPrecincts[Draw], MATCH(SamplingData[[#This Row],[Batch by Type (p)]],SelectedPrecincts[Batch Name], 0)))</f>
        <v/>
      </c>
      <c r="X618" s="102">
        <f>IF(COUNTIF(SelectedPrecincts[Batch Name],SamplingData[[#This Row],[Batch by Type (p)]]) &lt;&gt; 0, COUNTIF(SelectedPrecincts[Batch Name],SamplingData[[#This Row],[Batch by Type (p)]]), 0)</f>
        <v>0</v>
      </c>
    </row>
    <row r="619" spans="1:24" ht="15" customHeight="1">
      <c r="A619" s="18" t="s">
        <v>795</v>
      </c>
      <c r="B619" s="18">
        <v>0</v>
      </c>
      <c r="C619" s="18">
        <v>0</v>
      </c>
      <c r="D619" s="16">
        <v>0</v>
      </c>
      <c r="E619" s="16">
        <v>0</v>
      </c>
      <c r="F619" s="37">
        <v>0</v>
      </c>
      <c r="G619" s="37">
        <v>0</v>
      </c>
      <c r="H619" s="17">
        <v>0</v>
      </c>
      <c r="I619" s="17">
        <v>0</v>
      </c>
      <c r="J619" s="99">
        <f>SUM(SamplingData[[#This Row],[Losing Candidate]:[Under Votes]])</f>
        <v>0</v>
      </c>
      <c r="K619" s="100">
        <f>IF(AND(SamplingData[[#This Row],[Total]]&lt;&gt; 0, NOT(ISBLANK(SamplingData[[#This Row],[Losing Candidate]]))),(SamplingData[[#This Row],[Total]]+SamplingData[[#This Row],[Winning Candidate]]-SamplingData[[#This Row],[Losing Candidate]])/(SamplingData[[#Totals],[Winning Candidate]]-SamplingData[[#Totals],[Losing Candidate]]), 0)</f>
        <v>0</v>
      </c>
      <c r="L619" s="100">
        <f>IF(AND(SamplingData[[#This Row],[Total]]&lt;&gt; 0, NOT(ISBLANK(SamplingData[[#This Row],[Candidate 3]]))),(SamplingData[[#This Row],[Total]]+SamplingData[[#This Row],[Winning Candidate]]-SamplingData[[#This Row],[Candidate 3]])/(SamplingData[[#Totals],[Winning Candidate]]-SamplingData[[#Totals],[Candidate 3]]), 0)</f>
        <v>0</v>
      </c>
      <c r="M619" s="100">
        <f>IF(AND(SamplingData[[#This Row],[Total]]&lt;&gt; 0, NOT(ISBLANK(SamplingData[[#This Row],[Candidate 4]]))),(SamplingData[[#This Row],[Total]]+SamplingData[[#This Row],[Winning Candidate]]-SamplingData[[#This Row],[Candidate 4]])/(SamplingData[[#Totals],[Winning Candidate]]-SamplingData[[#Totals],[Candidate 4]]), 0)</f>
        <v>0</v>
      </c>
      <c r="N619" s="100">
        <f>IF(AND(SamplingData[[#This Row],[Total]]&lt;&gt; 0, NOT(ISBLANK(SamplingData[[#This Row],[Candidate 5]]))),(SamplingData[[#This Row],[Total]]+SamplingData[[#This Row],[Winning Candidate]]-SamplingData[[#This Row],[Candidate 5]])/(SamplingData[[#Totals],[Winning Candidate]]-SamplingData[[#Totals],[Candidate 5]]), 0)</f>
        <v>0</v>
      </c>
      <c r="O619" s="100">
        <f>IF(AND(SamplingData[[#This Row],[Total]]&lt;&gt; 0, NOT(ISBLANK(SamplingData[[#This Row],[Candidate 6]]))),(SamplingData[[#This Row],[Total]]+SamplingData[[#This Row],[Winning Candidate]]-SamplingData[[#This Row],[Candidate 6]])/(SamplingData[[#Totals],[Winning Candidate]]-SamplingData[[#Totals],[Candidate 6]]), 0)</f>
        <v>0</v>
      </c>
      <c r="P619" s="100">
        <f>MAX(SamplingData[[#This Row],[Error Bound (up) - Max. possible relative overstatement - Losing Candidate]:[Error Bound (up) - Max. possible relative overstatement - Candidate 6]])</f>
        <v>0</v>
      </c>
      <c r="Q619" s="100">
        <f>IF(SamplingData[[#This Row],[Max Error Bound (up)]] = 0,0,SamplingData[[#This Row],[Max Error Bound (up)]]/SamplingData[[#Totals],[Max Error Bound (up)]])</f>
        <v>0</v>
      </c>
      <c r="R619" s="101">
        <f>SUM($Q$5:Q619)</f>
        <v>0.18662927684199607</v>
      </c>
      <c r="S619" s="100" t="str">
        <f t="array" ref="S619">IF(SamplingData[[#This Row],[up/U Selection Probability]] = 0, "Zero", TEXT(SamplingData[[#This Row],[Lower Range]], REPT("0",LEN('General Info'!$B$40))) &amp; " - " &amp; TEXT(SamplingData[[#This Row],[Upper Range]], REPT("0",LEN('General Info'!$B$40))))</f>
        <v>Zero</v>
      </c>
      <c r="T619" s="100">
        <f>SamplingData[[#This Row],[Upper Range]]-SamplingData[[#This Row],[Span]]</f>
        <v>18662.927684199607</v>
      </c>
      <c r="U619" s="100">
        <f>IF(ISNUMBER('General Info'!$B$40), ((SamplingData[[#This Row],[up/U Selection Probability]]) * 'General Info'!$B$40) - 1, 0)</f>
        <v>-1</v>
      </c>
      <c r="V619" s="100">
        <f>IF(ISNUMBER('General Info'!$B$40), (SamplingData[[#This Row],[Running (cumulative) sum]] * ('General Info'!$B$40 -'General Info'!$B$41 + 1)) + 'General Info'!$B$41 - 1, 0)</f>
        <v>18661.927684199607</v>
      </c>
      <c r="W619" s="100" t="str">
        <f>IF(ISERROR(MATCH(SamplingData[[#This Row],[Batch by Type (p)]],SelectedPrecincts[Batch Name], 0)), "", INDEX(SelectedPrecincts[Draw], MATCH(SamplingData[[#This Row],[Batch by Type (p)]],SelectedPrecincts[Batch Name], 0)))</f>
        <v/>
      </c>
      <c r="X619" s="102">
        <f>IF(COUNTIF(SelectedPrecincts[Batch Name],SamplingData[[#This Row],[Batch by Type (p)]]) &lt;&gt; 0, COUNTIF(SelectedPrecincts[Batch Name],SamplingData[[#This Row],[Batch by Type (p)]]), 0)</f>
        <v>0</v>
      </c>
    </row>
    <row r="620" spans="1:24" ht="15" customHeight="1">
      <c r="A620" s="18" t="s">
        <v>796</v>
      </c>
      <c r="B620" s="18">
        <v>0</v>
      </c>
      <c r="C620" s="18">
        <v>0</v>
      </c>
      <c r="D620" s="18">
        <v>0</v>
      </c>
      <c r="E620" s="18">
        <v>0</v>
      </c>
      <c r="F620" s="18">
        <v>0</v>
      </c>
      <c r="G620" s="18">
        <v>0</v>
      </c>
      <c r="H620" s="18">
        <v>0</v>
      </c>
      <c r="I620" s="18">
        <v>0</v>
      </c>
      <c r="J620" s="99">
        <f>SUM(SamplingData[[#This Row],[Losing Candidate]:[Under Votes]])</f>
        <v>0</v>
      </c>
      <c r="K620" s="100">
        <f>IF(AND(SamplingData[[#This Row],[Total]]&lt;&gt; 0, NOT(ISBLANK(SamplingData[[#This Row],[Losing Candidate]]))),(SamplingData[[#This Row],[Total]]+SamplingData[[#This Row],[Winning Candidate]]-SamplingData[[#This Row],[Losing Candidate]])/(SamplingData[[#Totals],[Winning Candidate]]-SamplingData[[#Totals],[Losing Candidate]]), 0)</f>
        <v>0</v>
      </c>
      <c r="L620" s="100">
        <f>IF(AND(SamplingData[[#This Row],[Total]]&lt;&gt; 0, NOT(ISBLANK(SamplingData[[#This Row],[Candidate 3]]))),(SamplingData[[#This Row],[Total]]+SamplingData[[#This Row],[Winning Candidate]]-SamplingData[[#This Row],[Candidate 3]])/(SamplingData[[#Totals],[Winning Candidate]]-SamplingData[[#Totals],[Candidate 3]]), 0)</f>
        <v>0</v>
      </c>
      <c r="M620" s="100">
        <f>IF(AND(SamplingData[[#This Row],[Total]]&lt;&gt; 0, NOT(ISBLANK(SamplingData[[#This Row],[Candidate 4]]))),(SamplingData[[#This Row],[Total]]+SamplingData[[#This Row],[Winning Candidate]]-SamplingData[[#This Row],[Candidate 4]])/(SamplingData[[#Totals],[Winning Candidate]]-SamplingData[[#Totals],[Candidate 4]]), 0)</f>
        <v>0</v>
      </c>
      <c r="N620" s="100">
        <f>IF(AND(SamplingData[[#This Row],[Total]]&lt;&gt; 0, NOT(ISBLANK(SamplingData[[#This Row],[Candidate 5]]))),(SamplingData[[#This Row],[Total]]+SamplingData[[#This Row],[Winning Candidate]]-SamplingData[[#This Row],[Candidate 5]])/(SamplingData[[#Totals],[Winning Candidate]]-SamplingData[[#Totals],[Candidate 5]]), 0)</f>
        <v>0</v>
      </c>
      <c r="O620" s="100">
        <f>IF(AND(SamplingData[[#This Row],[Total]]&lt;&gt; 0, NOT(ISBLANK(SamplingData[[#This Row],[Candidate 6]]))),(SamplingData[[#This Row],[Total]]+SamplingData[[#This Row],[Winning Candidate]]-SamplingData[[#This Row],[Candidate 6]])/(SamplingData[[#Totals],[Winning Candidate]]-SamplingData[[#Totals],[Candidate 6]]), 0)</f>
        <v>0</v>
      </c>
      <c r="P620" s="100">
        <f>MAX(SamplingData[[#This Row],[Error Bound (up) - Max. possible relative overstatement - Losing Candidate]:[Error Bound (up) - Max. possible relative overstatement - Candidate 6]])</f>
        <v>0</v>
      </c>
      <c r="Q620" s="100">
        <f>IF(SamplingData[[#This Row],[Max Error Bound (up)]] = 0,0,SamplingData[[#This Row],[Max Error Bound (up)]]/SamplingData[[#Totals],[Max Error Bound (up)]])</f>
        <v>0</v>
      </c>
      <c r="R620" s="101">
        <f>SUM($Q$5:Q620)</f>
        <v>0.18662927684199607</v>
      </c>
      <c r="S620" s="100" t="str">
        <f t="array" ref="S620">IF(SamplingData[[#This Row],[up/U Selection Probability]] = 0, "Zero", TEXT(SamplingData[[#This Row],[Lower Range]], REPT("0",LEN('General Info'!$B$40))) &amp; " - " &amp; TEXT(SamplingData[[#This Row],[Upper Range]], REPT("0",LEN('General Info'!$B$40))))</f>
        <v>Zero</v>
      </c>
      <c r="T620" s="100">
        <f>SamplingData[[#This Row],[Upper Range]]-SamplingData[[#This Row],[Span]]</f>
        <v>18662.927684199607</v>
      </c>
      <c r="U620" s="100">
        <f>IF(ISNUMBER('General Info'!$B$40), ((SamplingData[[#This Row],[up/U Selection Probability]]) * 'General Info'!$B$40) - 1, 0)</f>
        <v>-1</v>
      </c>
      <c r="V620" s="100">
        <f>IF(ISNUMBER('General Info'!$B$40), (SamplingData[[#This Row],[Running (cumulative) sum]] * ('General Info'!$B$40 -'General Info'!$B$41 + 1)) + 'General Info'!$B$41 - 1, 0)</f>
        <v>18661.927684199607</v>
      </c>
      <c r="W620" s="100" t="str">
        <f>IF(ISERROR(MATCH(SamplingData[[#This Row],[Batch by Type (p)]],SelectedPrecincts[Batch Name], 0)), "", INDEX(SelectedPrecincts[Draw], MATCH(SamplingData[[#This Row],[Batch by Type (p)]],SelectedPrecincts[Batch Name], 0)))</f>
        <v/>
      </c>
      <c r="X620" s="102">
        <f>IF(COUNTIF(SelectedPrecincts[Batch Name],SamplingData[[#This Row],[Batch by Type (p)]]) &lt;&gt; 0, COUNTIF(SelectedPrecincts[Batch Name],SamplingData[[#This Row],[Batch by Type (p)]]), 0)</f>
        <v>0</v>
      </c>
    </row>
    <row r="621" spans="1:24" ht="15" customHeight="1">
      <c r="A621" s="18" t="s">
        <v>797</v>
      </c>
      <c r="B621" s="18">
        <v>0</v>
      </c>
      <c r="C621" s="18">
        <v>0</v>
      </c>
      <c r="D621" s="16">
        <v>1</v>
      </c>
      <c r="E621" s="16">
        <v>0</v>
      </c>
      <c r="F621" s="37">
        <v>0</v>
      </c>
      <c r="G621" s="37">
        <v>0</v>
      </c>
      <c r="H621" s="17">
        <v>0</v>
      </c>
      <c r="I621" s="17">
        <v>0</v>
      </c>
      <c r="J621" s="99">
        <f>SUM(SamplingData[[#This Row],[Losing Candidate]:[Under Votes]])</f>
        <v>1</v>
      </c>
      <c r="K621"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621" s="100">
        <f>IF(AND(SamplingData[[#This Row],[Total]]&lt;&gt; 0, NOT(ISBLANK(SamplingData[[#This Row],[Candidate 3]]))),(SamplingData[[#This Row],[Total]]+SamplingData[[#This Row],[Winning Candidate]]-SamplingData[[#This Row],[Candidate 3]])/(SamplingData[[#Totals],[Winning Candidate]]-SamplingData[[#Totals],[Candidate 3]]), 0)</f>
        <v>0</v>
      </c>
      <c r="M621" s="100">
        <f>IF(AND(SamplingData[[#This Row],[Total]]&lt;&gt; 0, NOT(ISBLANK(SamplingData[[#This Row],[Candidate 4]]))),(SamplingData[[#This Row],[Total]]+SamplingData[[#This Row],[Winning Candidate]]-SamplingData[[#This Row],[Candidate 4]])/(SamplingData[[#Totals],[Winning Candidate]]-SamplingData[[#Totals],[Candidate 4]]), 0)</f>
        <v>2.923207343096846E-5</v>
      </c>
      <c r="N621" s="100">
        <f>IF(AND(SamplingData[[#This Row],[Total]]&lt;&gt; 0, NOT(ISBLANK(SamplingData[[#This Row],[Candidate 5]]))),(SamplingData[[#This Row],[Total]]+SamplingData[[#This Row],[Winning Candidate]]-SamplingData[[#This Row],[Candidate 5]])/(SamplingData[[#Totals],[Winning Candidate]]-SamplingData[[#Totals],[Candidate 5]]), 0)</f>
        <v>2.4324981756263683E-5</v>
      </c>
      <c r="O621" s="100">
        <f>IF(AND(SamplingData[[#This Row],[Total]]&lt;&gt; 0, NOT(ISBLANK(SamplingData[[#This Row],[Candidate 6]]))),(SamplingData[[#This Row],[Total]]+SamplingData[[#This Row],[Winning Candidate]]-SamplingData[[#This Row],[Candidate 6]])/(SamplingData[[#Totals],[Winning Candidate]]-SamplingData[[#Totals],[Candidate 6]]), 0)</f>
        <v>2.431788337143135E-5</v>
      </c>
      <c r="P621" s="100">
        <f>MAX(SamplingData[[#This Row],[Error Bound (up) - Max. possible relative overstatement - Losing Candidate]:[Error Bound (up) - Max. possible relative overstatement - Candidate 6]])</f>
        <v>6.1244487996080352E-5</v>
      </c>
      <c r="Q621" s="100">
        <f>IF(SamplingData[[#This Row],[Max Error Bound (up)]] = 0,0,SamplingData[[#This Row],[Max Error Bound (up)]]/SamplingData[[#Totals],[Max Error Bound (up)]])</f>
        <v>9.6929482784458315E-6</v>
      </c>
      <c r="R621" s="101">
        <f>SUM($Q$5:Q621)</f>
        <v>0.1866389697902745</v>
      </c>
      <c r="S621" s="100" t="str">
        <f t="array" ref="S621">IF(SamplingData[[#This Row],[up/U Selection Probability]] = 0, "Zero", TEXT(SamplingData[[#This Row],[Lower Range]], REPT("0",LEN('General Info'!$B$40))) &amp; " - " &amp; TEXT(SamplingData[[#This Row],[Upper Range]], REPT("0",LEN('General Info'!$B$40))))</f>
        <v>18663 - 18663</v>
      </c>
      <c r="T621" s="100">
        <f>SamplingData[[#This Row],[Upper Range]]-SamplingData[[#This Row],[Span]]</f>
        <v>18662.927693892554</v>
      </c>
      <c r="U621" s="100">
        <f>IF(ISNUMBER('General Info'!$B$40), ((SamplingData[[#This Row],[up/U Selection Probability]]) * 'General Info'!$B$40) - 1, 0)</f>
        <v>-3.0714865103695255E-2</v>
      </c>
      <c r="V621" s="100">
        <f>IF(ISNUMBER('General Info'!$B$40), (SamplingData[[#This Row],[Running (cumulative) sum]] * ('General Info'!$B$40 -'General Info'!$B$41 + 1)) + 'General Info'!$B$41 - 1, 0)</f>
        <v>18662.89697902745</v>
      </c>
      <c r="W621" s="100" t="str">
        <f>IF(ISERROR(MATCH(SamplingData[[#This Row],[Batch by Type (p)]],SelectedPrecincts[Batch Name], 0)), "", INDEX(SelectedPrecincts[Draw], MATCH(SamplingData[[#This Row],[Batch by Type (p)]],SelectedPrecincts[Batch Name], 0)))</f>
        <v/>
      </c>
      <c r="X621" s="102">
        <f>IF(COUNTIF(SelectedPrecincts[Batch Name],SamplingData[[#This Row],[Batch by Type (p)]]) &lt;&gt; 0, COUNTIF(SelectedPrecincts[Batch Name],SamplingData[[#This Row],[Batch by Type (p)]]), 0)</f>
        <v>0</v>
      </c>
    </row>
    <row r="622" spans="1:24" ht="15" customHeight="1">
      <c r="A622" s="18" t="s">
        <v>798</v>
      </c>
      <c r="B622" s="18">
        <v>0</v>
      </c>
      <c r="C622" s="18">
        <v>0</v>
      </c>
      <c r="D622" s="18">
        <v>0</v>
      </c>
      <c r="E622" s="18">
        <v>0</v>
      </c>
      <c r="F622" s="18">
        <v>0</v>
      </c>
      <c r="G622" s="18">
        <v>0</v>
      </c>
      <c r="H622" s="18">
        <v>0</v>
      </c>
      <c r="I622" s="18">
        <v>0</v>
      </c>
      <c r="J622" s="99">
        <f>SUM(SamplingData[[#This Row],[Losing Candidate]:[Under Votes]])</f>
        <v>0</v>
      </c>
      <c r="K622" s="100">
        <f>IF(AND(SamplingData[[#This Row],[Total]]&lt;&gt; 0, NOT(ISBLANK(SamplingData[[#This Row],[Losing Candidate]]))),(SamplingData[[#This Row],[Total]]+SamplingData[[#This Row],[Winning Candidate]]-SamplingData[[#This Row],[Losing Candidate]])/(SamplingData[[#Totals],[Winning Candidate]]-SamplingData[[#Totals],[Losing Candidate]]), 0)</f>
        <v>0</v>
      </c>
      <c r="L622" s="100">
        <f>IF(AND(SamplingData[[#This Row],[Total]]&lt;&gt; 0, NOT(ISBLANK(SamplingData[[#This Row],[Candidate 3]]))),(SamplingData[[#This Row],[Total]]+SamplingData[[#This Row],[Winning Candidate]]-SamplingData[[#This Row],[Candidate 3]])/(SamplingData[[#Totals],[Winning Candidate]]-SamplingData[[#Totals],[Candidate 3]]), 0)</f>
        <v>0</v>
      </c>
      <c r="M622" s="100">
        <f>IF(AND(SamplingData[[#This Row],[Total]]&lt;&gt; 0, NOT(ISBLANK(SamplingData[[#This Row],[Candidate 4]]))),(SamplingData[[#This Row],[Total]]+SamplingData[[#This Row],[Winning Candidate]]-SamplingData[[#This Row],[Candidate 4]])/(SamplingData[[#Totals],[Winning Candidate]]-SamplingData[[#Totals],[Candidate 4]]), 0)</f>
        <v>0</v>
      </c>
      <c r="N622" s="100">
        <f>IF(AND(SamplingData[[#This Row],[Total]]&lt;&gt; 0, NOT(ISBLANK(SamplingData[[#This Row],[Candidate 5]]))),(SamplingData[[#This Row],[Total]]+SamplingData[[#This Row],[Winning Candidate]]-SamplingData[[#This Row],[Candidate 5]])/(SamplingData[[#Totals],[Winning Candidate]]-SamplingData[[#Totals],[Candidate 5]]), 0)</f>
        <v>0</v>
      </c>
      <c r="O622" s="100">
        <f>IF(AND(SamplingData[[#This Row],[Total]]&lt;&gt; 0, NOT(ISBLANK(SamplingData[[#This Row],[Candidate 6]]))),(SamplingData[[#This Row],[Total]]+SamplingData[[#This Row],[Winning Candidate]]-SamplingData[[#This Row],[Candidate 6]])/(SamplingData[[#Totals],[Winning Candidate]]-SamplingData[[#Totals],[Candidate 6]]), 0)</f>
        <v>0</v>
      </c>
      <c r="P622" s="100">
        <f>MAX(SamplingData[[#This Row],[Error Bound (up) - Max. possible relative overstatement - Losing Candidate]:[Error Bound (up) - Max. possible relative overstatement - Candidate 6]])</f>
        <v>0</v>
      </c>
      <c r="Q622" s="100">
        <f>IF(SamplingData[[#This Row],[Max Error Bound (up)]] = 0,0,SamplingData[[#This Row],[Max Error Bound (up)]]/SamplingData[[#Totals],[Max Error Bound (up)]])</f>
        <v>0</v>
      </c>
      <c r="R622" s="101">
        <f>SUM($Q$5:Q622)</f>
        <v>0.1866389697902745</v>
      </c>
      <c r="S622" s="100" t="str">
        <f t="array" ref="S622">IF(SamplingData[[#This Row],[up/U Selection Probability]] = 0, "Zero", TEXT(SamplingData[[#This Row],[Lower Range]], REPT("0",LEN('General Info'!$B$40))) &amp; " - " &amp; TEXT(SamplingData[[#This Row],[Upper Range]], REPT("0",LEN('General Info'!$B$40))))</f>
        <v>Zero</v>
      </c>
      <c r="T622" s="100">
        <f>SamplingData[[#This Row],[Upper Range]]-SamplingData[[#This Row],[Span]]</f>
        <v>18663.89697902745</v>
      </c>
      <c r="U622" s="100">
        <f>IF(ISNUMBER('General Info'!$B$40), ((SamplingData[[#This Row],[up/U Selection Probability]]) * 'General Info'!$B$40) - 1, 0)</f>
        <v>-1</v>
      </c>
      <c r="V622" s="100">
        <f>IF(ISNUMBER('General Info'!$B$40), (SamplingData[[#This Row],[Running (cumulative) sum]] * ('General Info'!$B$40 -'General Info'!$B$41 + 1)) + 'General Info'!$B$41 - 1, 0)</f>
        <v>18662.89697902745</v>
      </c>
      <c r="W622" s="100" t="str">
        <f>IF(ISERROR(MATCH(SamplingData[[#This Row],[Batch by Type (p)]],SelectedPrecincts[Batch Name], 0)), "", INDEX(SelectedPrecincts[Draw], MATCH(SamplingData[[#This Row],[Batch by Type (p)]],SelectedPrecincts[Batch Name], 0)))</f>
        <v/>
      </c>
      <c r="X622" s="102">
        <f>IF(COUNTIF(SelectedPrecincts[Batch Name],SamplingData[[#This Row],[Batch by Type (p)]]) &lt;&gt; 0, COUNTIF(SelectedPrecincts[Batch Name],SamplingData[[#This Row],[Batch by Type (p)]]), 0)</f>
        <v>0</v>
      </c>
    </row>
    <row r="623" spans="1:24" ht="15" customHeight="1">
      <c r="A623" s="18" t="s">
        <v>799</v>
      </c>
      <c r="B623" s="18">
        <v>0</v>
      </c>
      <c r="C623" s="18">
        <v>0</v>
      </c>
      <c r="D623" s="16">
        <v>0</v>
      </c>
      <c r="E623" s="16">
        <v>0</v>
      </c>
      <c r="F623" s="37">
        <v>0</v>
      </c>
      <c r="G623" s="37">
        <v>0</v>
      </c>
      <c r="H623" s="17">
        <v>0</v>
      </c>
      <c r="I623" s="17">
        <v>0</v>
      </c>
      <c r="J623" s="99">
        <f>SUM(SamplingData[[#This Row],[Losing Candidate]:[Under Votes]])</f>
        <v>0</v>
      </c>
      <c r="K623" s="100">
        <f>IF(AND(SamplingData[[#This Row],[Total]]&lt;&gt; 0, NOT(ISBLANK(SamplingData[[#This Row],[Losing Candidate]]))),(SamplingData[[#This Row],[Total]]+SamplingData[[#This Row],[Winning Candidate]]-SamplingData[[#This Row],[Losing Candidate]])/(SamplingData[[#Totals],[Winning Candidate]]-SamplingData[[#Totals],[Losing Candidate]]), 0)</f>
        <v>0</v>
      </c>
      <c r="L623" s="100">
        <f>IF(AND(SamplingData[[#This Row],[Total]]&lt;&gt; 0, NOT(ISBLANK(SamplingData[[#This Row],[Candidate 3]]))),(SamplingData[[#This Row],[Total]]+SamplingData[[#This Row],[Winning Candidate]]-SamplingData[[#This Row],[Candidate 3]])/(SamplingData[[#Totals],[Winning Candidate]]-SamplingData[[#Totals],[Candidate 3]]), 0)</f>
        <v>0</v>
      </c>
      <c r="M623" s="100">
        <f>IF(AND(SamplingData[[#This Row],[Total]]&lt;&gt; 0, NOT(ISBLANK(SamplingData[[#This Row],[Candidate 4]]))),(SamplingData[[#This Row],[Total]]+SamplingData[[#This Row],[Winning Candidate]]-SamplingData[[#This Row],[Candidate 4]])/(SamplingData[[#Totals],[Winning Candidate]]-SamplingData[[#Totals],[Candidate 4]]), 0)</f>
        <v>0</v>
      </c>
      <c r="N623" s="100">
        <f>IF(AND(SamplingData[[#This Row],[Total]]&lt;&gt; 0, NOT(ISBLANK(SamplingData[[#This Row],[Candidate 5]]))),(SamplingData[[#This Row],[Total]]+SamplingData[[#This Row],[Winning Candidate]]-SamplingData[[#This Row],[Candidate 5]])/(SamplingData[[#Totals],[Winning Candidate]]-SamplingData[[#Totals],[Candidate 5]]), 0)</f>
        <v>0</v>
      </c>
      <c r="O623" s="100">
        <f>IF(AND(SamplingData[[#This Row],[Total]]&lt;&gt; 0, NOT(ISBLANK(SamplingData[[#This Row],[Candidate 6]]))),(SamplingData[[#This Row],[Total]]+SamplingData[[#This Row],[Winning Candidate]]-SamplingData[[#This Row],[Candidate 6]])/(SamplingData[[#Totals],[Winning Candidate]]-SamplingData[[#Totals],[Candidate 6]]), 0)</f>
        <v>0</v>
      </c>
      <c r="P623" s="100">
        <f>MAX(SamplingData[[#This Row],[Error Bound (up) - Max. possible relative overstatement - Losing Candidate]:[Error Bound (up) - Max. possible relative overstatement - Candidate 6]])</f>
        <v>0</v>
      </c>
      <c r="Q623" s="100">
        <f>IF(SamplingData[[#This Row],[Max Error Bound (up)]] = 0,0,SamplingData[[#This Row],[Max Error Bound (up)]]/SamplingData[[#Totals],[Max Error Bound (up)]])</f>
        <v>0</v>
      </c>
      <c r="R623" s="101">
        <f>SUM($Q$5:Q623)</f>
        <v>0.1866389697902745</v>
      </c>
      <c r="S623" s="100" t="str">
        <f t="array" ref="S623">IF(SamplingData[[#This Row],[up/U Selection Probability]] = 0, "Zero", TEXT(SamplingData[[#This Row],[Lower Range]], REPT("0",LEN('General Info'!$B$40))) &amp; " - " &amp; TEXT(SamplingData[[#This Row],[Upper Range]], REPT("0",LEN('General Info'!$B$40))))</f>
        <v>Zero</v>
      </c>
      <c r="T623" s="100">
        <f>SamplingData[[#This Row],[Upper Range]]-SamplingData[[#This Row],[Span]]</f>
        <v>18663.89697902745</v>
      </c>
      <c r="U623" s="100">
        <f>IF(ISNUMBER('General Info'!$B$40), ((SamplingData[[#This Row],[up/U Selection Probability]]) * 'General Info'!$B$40) - 1, 0)</f>
        <v>-1</v>
      </c>
      <c r="V623" s="100">
        <f>IF(ISNUMBER('General Info'!$B$40), (SamplingData[[#This Row],[Running (cumulative) sum]] * ('General Info'!$B$40 -'General Info'!$B$41 + 1)) + 'General Info'!$B$41 - 1, 0)</f>
        <v>18662.89697902745</v>
      </c>
      <c r="W623" s="100" t="str">
        <f>IF(ISERROR(MATCH(SamplingData[[#This Row],[Batch by Type (p)]],SelectedPrecincts[Batch Name], 0)), "", INDEX(SelectedPrecincts[Draw], MATCH(SamplingData[[#This Row],[Batch by Type (p)]],SelectedPrecincts[Batch Name], 0)))</f>
        <v/>
      </c>
      <c r="X623" s="102">
        <f>IF(COUNTIF(SelectedPrecincts[Batch Name],SamplingData[[#This Row],[Batch by Type (p)]]) &lt;&gt; 0, COUNTIF(SelectedPrecincts[Batch Name],SamplingData[[#This Row],[Batch by Type (p)]]), 0)</f>
        <v>0</v>
      </c>
    </row>
    <row r="624" spans="1:24" ht="15" customHeight="1">
      <c r="A624" s="18" t="s">
        <v>800</v>
      </c>
      <c r="B624" s="18">
        <v>0</v>
      </c>
      <c r="C624" s="18">
        <v>1</v>
      </c>
      <c r="D624" s="18">
        <v>0</v>
      </c>
      <c r="E624" s="18">
        <v>0</v>
      </c>
      <c r="F624" s="18">
        <v>0</v>
      </c>
      <c r="G624" s="18">
        <v>0</v>
      </c>
      <c r="H624" s="18">
        <v>0</v>
      </c>
      <c r="I624" s="18">
        <v>0</v>
      </c>
      <c r="J624" s="99">
        <f>SUM(SamplingData[[#This Row],[Losing Candidate]:[Under Votes]])</f>
        <v>1</v>
      </c>
      <c r="K62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24" s="100">
        <f>IF(AND(SamplingData[[#This Row],[Total]]&lt;&gt; 0, NOT(ISBLANK(SamplingData[[#This Row],[Candidate 3]]))),(SamplingData[[#This Row],[Total]]+SamplingData[[#This Row],[Winning Candidate]]-SamplingData[[#This Row],[Candidate 3]])/(SamplingData[[#Totals],[Winning Candidate]]-SamplingData[[#Totals],[Candidate 3]]), 0)</f>
        <v>6.4522373132883833E-5</v>
      </c>
      <c r="M624" s="100">
        <f>IF(AND(SamplingData[[#This Row],[Total]]&lt;&gt; 0, NOT(ISBLANK(SamplingData[[#This Row],[Candidate 4]]))),(SamplingData[[#This Row],[Total]]+SamplingData[[#This Row],[Winning Candidate]]-SamplingData[[#This Row],[Candidate 4]])/(SamplingData[[#Totals],[Winning Candidate]]-SamplingData[[#Totals],[Candidate 4]]), 0)</f>
        <v>5.846414686193692E-5</v>
      </c>
      <c r="N624" s="100">
        <f>IF(AND(SamplingData[[#This Row],[Total]]&lt;&gt; 0, NOT(ISBLANK(SamplingData[[#This Row],[Candidate 5]]))),(SamplingData[[#This Row],[Total]]+SamplingData[[#This Row],[Winning Candidate]]-SamplingData[[#This Row],[Candidate 5]])/(SamplingData[[#Totals],[Winning Candidate]]-SamplingData[[#Totals],[Candidate 5]]), 0)</f>
        <v>4.8649963512527367E-5</v>
      </c>
      <c r="O624" s="100">
        <f>IF(AND(SamplingData[[#This Row],[Total]]&lt;&gt; 0, NOT(ISBLANK(SamplingData[[#This Row],[Candidate 6]]))),(SamplingData[[#This Row],[Total]]+SamplingData[[#This Row],[Winning Candidate]]-SamplingData[[#This Row],[Candidate 6]])/(SamplingData[[#Totals],[Winning Candidate]]-SamplingData[[#Totals],[Candidate 6]]), 0)</f>
        <v>4.8635766742862701E-5</v>
      </c>
      <c r="P624" s="100">
        <f>MAX(SamplingData[[#This Row],[Error Bound (up) - Max. possible relative overstatement - Losing Candidate]:[Error Bound (up) - Max. possible relative overstatement - Candidate 6]])</f>
        <v>1.224889759921607E-4</v>
      </c>
      <c r="Q624" s="100">
        <f>IF(SamplingData[[#This Row],[Max Error Bound (up)]] = 0,0,SamplingData[[#This Row],[Max Error Bound (up)]]/SamplingData[[#Totals],[Max Error Bound (up)]])</f>
        <v>1.9385896556891663E-5</v>
      </c>
      <c r="R624" s="101">
        <f>SUM($Q$5:Q624)</f>
        <v>0.1866583556868314</v>
      </c>
      <c r="S624" s="100" t="str">
        <f t="array" ref="S624">IF(SamplingData[[#This Row],[up/U Selection Probability]] = 0, "Zero", TEXT(SamplingData[[#This Row],[Lower Range]], REPT("0",LEN('General Info'!$B$40))) &amp; " - " &amp; TEXT(SamplingData[[#This Row],[Upper Range]], REPT("0",LEN('General Info'!$B$40))))</f>
        <v>18664 - 18665</v>
      </c>
      <c r="T624" s="100">
        <f>SamplingData[[#This Row],[Upper Range]]-SamplingData[[#This Row],[Span]]</f>
        <v>18663.896998413347</v>
      </c>
      <c r="U624" s="100">
        <f>IF(ISNUMBER('General Info'!$B$40), ((SamplingData[[#This Row],[up/U Selection Probability]]) * 'General Info'!$B$40) - 1, 0)</f>
        <v>0.93857026979260949</v>
      </c>
      <c r="V624" s="100">
        <f>IF(ISNUMBER('General Info'!$B$40), (SamplingData[[#This Row],[Running (cumulative) sum]] * ('General Info'!$B$40 -'General Info'!$B$41 + 1)) + 'General Info'!$B$41 - 1, 0)</f>
        <v>18664.835568683138</v>
      </c>
      <c r="W624" s="100" t="str">
        <f>IF(ISERROR(MATCH(SamplingData[[#This Row],[Batch by Type (p)]],SelectedPrecincts[Batch Name], 0)), "", INDEX(SelectedPrecincts[Draw], MATCH(SamplingData[[#This Row],[Batch by Type (p)]],SelectedPrecincts[Batch Name], 0)))</f>
        <v/>
      </c>
      <c r="X624" s="102">
        <f>IF(COUNTIF(SelectedPrecincts[Batch Name],SamplingData[[#This Row],[Batch by Type (p)]]) &lt;&gt; 0, COUNTIF(SelectedPrecincts[Batch Name],SamplingData[[#This Row],[Batch by Type (p)]]), 0)</f>
        <v>0</v>
      </c>
    </row>
    <row r="625" spans="1:24" ht="15" customHeight="1">
      <c r="A625" s="18" t="s">
        <v>801</v>
      </c>
      <c r="B625" s="18">
        <v>1</v>
      </c>
      <c r="C625" s="18">
        <v>0</v>
      </c>
      <c r="D625" s="16">
        <v>0</v>
      </c>
      <c r="E625" s="16">
        <v>0</v>
      </c>
      <c r="F625" s="37">
        <v>0</v>
      </c>
      <c r="G625" s="37">
        <v>0</v>
      </c>
      <c r="H625" s="17">
        <v>0</v>
      </c>
      <c r="I625" s="17">
        <v>0</v>
      </c>
      <c r="J625" s="99">
        <f>SUM(SamplingData[[#This Row],[Losing Candidate]:[Under Votes]])</f>
        <v>1</v>
      </c>
      <c r="K625" s="100">
        <f>IF(AND(SamplingData[[#This Row],[Total]]&lt;&gt; 0, NOT(ISBLANK(SamplingData[[#This Row],[Losing Candidate]]))),(SamplingData[[#This Row],[Total]]+SamplingData[[#This Row],[Winning Candidate]]-SamplingData[[#This Row],[Losing Candidate]])/(SamplingData[[#Totals],[Winning Candidate]]-SamplingData[[#Totals],[Losing Candidate]]), 0)</f>
        <v>0</v>
      </c>
      <c r="L625" s="100">
        <f>IF(AND(SamplingData[[#This Row],[Total]]&lt;&gt; 0, NOT(ISBLANK(SamplingData[[#This Row],[Candidate 3]]))),(SamplingData[[#This Row],[Total]]+SamplingData[[#This Row],[Winning Candidate]]-SamplingData[[#This Row],[Candidate 3]])/(SamplingData[[#Totals],[Winning Candidate]]-SamplingData[[#Totals],[Candidate 3]]), 0)</f>
        <v>3.2261186566441917E-5</v>
      </c>
      <c r="M625" s="100">
        <f>IF(AND(SamplingData[[#This Row],[Total]]&lt;&gt; 0, NOT(ISBLANK(SamplingData[[#This Row],[Candidate 4]]))),(SamplingData[[#This Row],[Total]]+SamplingData[[#This Row],[Winning Candidate]]-SamplingData[[#This Row],[Candidate 4]])/(SamplingData[[#Totals],[Winning Candidate]]-SamplingData[[#Totals],[Candidate 4]]), 0)</f>
        <v>2.923207343096846E-5</v>
      </c>
      <c r="N625" s="100">
        <f>IF(AND(SamplingData[[#This Row],[Total]]&lt;&gt; 0, NOT(ISBLANK(SamplingData[[#This Row],[Candidate 5]]))),(SamplingData[[#This Row],[Total]]+SamplingData[[#This Row],[Winning Candidate]]-SamplingData[[#This Row],[Candidate 5]])/(SamplingData[[#Totals],[Winning Candidate]]-SamplingData[[#Totals],[Candidate 5]]), 0)</f>
        <v>2.4324981756263683E-5</v>
      </c>
      <c r="O625" s="100">
        <f>IF(AND(SamplingData[[#This Row],[Total]]&lt;&gt; 0, NOT(ISBLANK(SamplingData[[#This Row],[Candidate 6]]))),(SamplingData[[#This Row],[Total]]+SamplingData[[#This Row],[Winning Candidate]]-SamplingData[[#This Row],[Candidate 6]])/(SamplingData[[#Totals],[Winning Candidate]]-SamplingData[[#Totals],[Candidate 6]]), 0)</f>
        <v>2.431788337143135E-5</v>
      </c>
      <c r="P625" s="100">
        <f>MAX(SamplingData[[#This Row],[Error Bound (up) - Max. possible relative overstatement - Losing Candidate]:[Error Bound (up) - Max. possible relative overstatement - Candidate 6]])</f>
        <v>3.2261186566441917E-5</v>
      </c>
      <c r="Q625" s="100">
        <f>IF(SamplingData[[#This Row],[Max Error Bound (up)]] = 0,0,SamplingData[[#This Row],[Max Error Bound (up)]]/SamplingData[[#Totals],[Max Error Bound (up)]])</f>
        <v>5.1058637768320663E-6</v>
      </c>
      <c r="R625" s="101">
        <f>SUM($Q$5:Q625)</f>
        <v>0.18666346155060823</v>
      </c>
      <c r="S625" s="100" t="str">
        <f t="array" ref="S625">IF(SamplingData[[#This Row],[up/U Selection Probability]] = 0, "Zero", TEXT(SamplingData[[#This Row],[Lower Range]], REPT("0",LEN('General Info'!$B$40))) &amp; " - " &amp; TEXT(SamplingData[[#This Row],[Upper Range]], REPT("0",LEN('General Info'!$B$40))))</f>
        <v>18666 - 18665</v>
      </c>
      <c r="T625" s="100">
        <f>SamplingData[[#This Row],[Upper Range]]-SamplingData[[#This Row],[Span]]</f>
        <v>18665.835573789002</v>
      </c>
      <c r="U625" s="100">
        <f>IF(ISNUMBER('General Info'!$B$40), ((SamplingData[[#This Row],[up/U Selection Probability]]) * 'General Info'!$B$40) - 1, 0)</f>
        <v>-0.4894187281805702</v>
      </c>
      <c r="V625" s="100">
        <f>IF(ISNUMBER('General Info'!$B$40), (SamplingData[[#This Row],[Running (cumulative) sum]] * ('General Info'!$B$40 -'General Info'!$B$41 + 1)) + 'General Info'!$B$41 - 1, 0)</f>
        <v>18665.346155060823</v>
      </c>
      <c r="W625" s="100" t="str">
        <f>IF(ISERROR(MATCH(SamplingData[[#This Row],[Batch by Type (p)]],SelectedPrecincts[Batch Name], 0)), "", INDEX(SelectedPrecincts[Draw], MATCH(SamplingData[[#This Row],[Batch by Type (p)]],SelectedPrecincts[Batch Name], 0)))</f>
        <v/>
      </c>
      <c r="X625" s="102">
        <f>IF(COUNTIF(SelectedPrecincts[Batch Name],SamplingData[[#This Row],[Batch by Type (p)]]) &lt;&gt; 0, COUNTIF(SelectedPrecincts[Batch Name],SamplingData[[#This Row],[Batch by Type (p)]]), 0)</f>
        <v>0</v>
      </c>
    </row>
    <row r="626" spans="1:24" ht="15" customHeight="1">
      <c r="A626" s="18" t="s">
        <v>802</v>
      </c>
      <c r="B626" s="18">
        <v>1</v>
      </c>
      <c r="C626" s="18">
        <v>0</v>
      </c>
      <c r="D626" s="18">
        <v>0</v>
      </c>
      <c r="E626" s="18">
        <v>0</v>
      </c>
      <c r="F626" s="18">
        <v>0</v>
      </c>
      <c r="G626" s="18">
        <v>0</v>
      </c>
      <c r="H626" s="18">
        <v>0</v>
      </c>
      <c r="I626" s="18">
        <v>0</v>
      </c>
      <c r="J626" s="99">
        <f>SUM(SamplingData[[#This Row],[Losing Candidate]:[Under Votes]])</f>
        <v>1</v>
      </c>
      <c r="K626" s="100">
        <f>IF(AND(SamplingData[[#This Row],[Total]]&lt;&gt; 0, NOT(ISBLANK(SamplingData[[#This Row],[Losing Candidate]]))),(SamplingData[[#This Row],[Total]]+SamplingData[[#This Row],[Winning Candidate]]-SamplingData[[#This Row],[Losing Candidate]])/(SamplingData[[#Totals],[Winning Candidate]]-SamplingData[[#Totals],[Losing Candidate]]), 0)</f>
        <v>0</v>
      </c>
      <c r="L626" s="100">
        <f>IF(AND(SamplingData[[#This Row],[Total]]&lt;&gt; 0, NOT(ISBLANK(SamplingData[[#This Row],[Candidate 3]]))),(SamplingData[[#This Row],[Total]]+SamplingData[[#This Row],[Winning Candidate]]-SamplingData[[#This Row],[Candidate 3]])/(SamplingData[[#Totals],[Winning Candidate]]-SamplingData[[#Totals],[Candidate 3]]), 0)</f>
        <v>3.2261186566441917E-5</v>
      </c>
      <c r="M626" s="100">
        <f>IF(AND(SamplingData[[#This Row],[Total]]&lt;&gt; 0, NOT(ISBLANK(SamplingData[[#This Row],[Candidate 4]]))),(SamplingData[[#This Row],[Total]]+SamplingData[[#This Row],[Winning Candidate]]-SamplingData[[#This Row],[Candidate 4]])/(SamplingData[[#Totals],[Winning Candidate]]-SamplingData[[#Totals],[Candidate 4]]), 0)</f>
        <v>2.923207343096846E-5</v>
      </c>
      <c r="N626" s="100">
        <f>IF(AND(SamplingData[[#This Row],[Total]]&lt;&gt; 0, NOT(ISBLANK(SamplingData[[#This Row],[Candidate 5]]))),(SamplingData[[#This Row],[Total]]+SamplingData[[#This Row],[Winning Candidate]]-SamplingData[[#This Row],[Candidate 5]])/(SamplingData[[#Totals],[Winning Candidate]]-SamplingData[[#Totals],[Candidate 5]]), 0)</f>
        <v>2.4324981756263683E-5</v>
      </c>
      <c r="O626" s="100">
        <f>IF(AND(SamplingData[[#This Row],[Total]]&lt;&gt; 0, NOT(ISBLANK(SamplingData[[#This Row],[Candidate 6]]))),(SamplingData[[#This Row],[Total]]+SamplingData[[#This Row],[Winning Candidate]]-SamplingData[[#This Row],[Candidate 6]])/(SamplingData[[#Totals],[Winning Candidate]]-SamplingData[[#Totals],[Candidate 6]]), 0)</f>
        <v>2.431788337143135E-5</v>
      </c>
      <c r="P626" s="100">
        <f>MAX(SamplingData[[#This Row],[Error Bound (up) - Max. possible relative overstatement - Losing Candidate]:[Error Bound (up) - Max. possible relative overstatement - Candidate 6]])</f>
        <v>3.2261186566441917E-5</v>
      </c>
      <c r="Q626" s="100">
        <f>IF(SamplingData[[#This Row],[Max Error Bound (up)]] = 0,0,SamplingData[[#This Row],[Max Error Bound (up)]]/SamplingData[[#Totals],[Max Error Bound (up)]])</f>
        <v>5.1058637768320663E-6</v>
      </c>
      <c r="R626" s="101">
        <f>SUM($Q$5:Q626)</f>
        <v>0.18666856741438506</v>
      </c>
      <c r="S626" s="100" t="str">
        <f t="array" ref="S626">IF(SamplingData[[#This Row],[up/U Selection Probability]] = 0, "Zero", TEXT(SamplingData[[#This Row],[Lower Range]], REPT("0",LEN('General Info'!$B$40))) &amp; " - " &amp; TEXT(SamplingData[[#This Row],[Upper Range]], REPT("0",LEN('General Info'!$B$40))))</f>
        <v>18666 - 18666</v>
      </c>
      <c r="T626" s="100">
        <f>SamplingData[[#This Row],[Upper Range]]-SamplingData[[#This Row],[Span]]</f>
        <v>18666.346160166686</v>
      </c>
      <c r="U626" s="100">
        <f>IF(ISNUMBER('General Info'!$B$40), ((SamplingData[[#This Row],[up/U Selection Probability]]) * 'General Info'!$B$40) - 1, 0)</f>
        <v>-0.4894187281805702</v>
      </c>
      <c r="V626" s="100">
        <f>IF(ISNUMBER('General Info'!$B$40), (SamplingData[[#This Row],[Running (cumulative) sum]] * ('General Info'!$B$40 -'General Info'!$B$41 + 1)) + 'General Info'!$B$41 - 1, 0)</f>
        <v>18665.856741438507</v>
      </c>
      <c r="W626" s="100" t="str">
        <f>IF(ISERROR(MATCH(SamplingData[[#This Row],[Batch by Type (p)]],SelectedPrecincts[Batch Name], 0)), "", INDEX(SelectedPrecincts[Draw], MATCH(SamplingData[[#This Row],[Batch by Type (p)]],SelectedPrecincts[Batch Name], 0)))</f>
        <v/>
      </c>
      <c r="X626" s="102">
        <f>IF(COUNTIF(SelectedPrecincts[Batch Name],SamplingData[[#This Row],[Batch by Type (p)]]) &lt;&gt; 0, COUNTIF(SelectedPrecincts[Batch Name],SamplingData[[#This Row],[Batch by Type (p)]]), 0)</f>
        <v>0</v>
      </c>
    </row>
    <row r="627" spans="1:24" ht="15" customHeight="1">
      <c r="A627" s="18" t="s">
        <v>803</v>
      </c>
      <c r="B627" s="18">
        <v>0</v>
      </c>
      <c r="C627" s="18">
        <v>1</v>
      </c>
      <c r="D627" s="16">
        <v>0</v>
      </c>
      <c r="E627" s="16">
        <v>0</v>
      </c>
      <c r="F627" s="37">
        <v>0</v>
      </c>
      <c r="G627" s="37">
        <v>0</v>
      </c>
      <c r="H627" s="17">
        <v>0</v>
      </c>
      <c r="I627" s="17">
        <v>0</v>
      </c>
      <c r="J627" s="99">
        <f>SUM(SamplingData[[#This Row],[Losing Candidate]:[Under Votes]])</f>
        <v>1</v>
      </c>
      <c r="K627"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27" s="100">
        <f>IF(AND(SamplingData[[#This Row],[Total]]&lt;&gt; 0, NOT(ISBLANK(SamplingData[[#This Row],[Candidate 3]]))),(SamplingData[[#This Row],[Total]]+SamplingData[[#This Row],[Winning Candidate]]-SamplingData[[#This Row],[Candidate 3]])/(SamplingData[[#Totals],[Winning Candidate]]-SamplingData[[#Totals],[Candidate 3]]), 0)</f>
        <v>6.4522373132883833E-5</v>
      </c>
      <c r="M627" s="100">
        <f>IF(AND(SamplingData[[#This Row],[Total]]&lt;&gt; 0, NOT(ISBLANK(SamplingData[[#This Row],[Candidate 4]]))),(SamplingData[[#This Row],[Total]]+SamplingData[[#This Row],[Winning Candidate]]-SamplingData[[#This Row],[Candidate 4]])/(SamplingData[[#Totals],[Winning Candidate]]-SamplingData[[#Totals],[Candidate 4]]), 0)</f>
        <v>5.846414686193692E-5</v>
      </c>
      <c r="N627" s="100">
        <f>IF(AND(SamplingData[[#This Row],[Total]]&lt;&gt; 0, NOT(ISBLANK(SamplingData[[#This Row],[Candidate 5]]))),(SamplingData[[#This Row],[Total]]+SamplingData[[#This Row],[Winning Candidate]]-SamplingData[[#This Row],[Candidate 5]])/(SamplingData[[#Totals],[Winning Candidate]]-SamplingData[[#Totals],[Candidate 5]]), 0)</f>
        <v>4.8649963512527367E-5</v>
      </c>
      <c r="O627" s="100">
        <f>IF(AND(SamplingData[[#This Row],[Total]]&lt;&gt; 0, NOT(ISBLANK(SamplingData[[#This Row],[Candidate 6]]))),(SamplingData[[#This Row],[Total]]+SamplingData[[#This Row],[Winning Candidate]]-SamplingData[[#This Row],[Candidate 6]])/(SamplingData[[#Totals],[Winning Candidate]]-SamplingData[[#Totals],[Candidate 6]]), 0)</f>
        <v>4.8635766742862701E-5</v>
      </c>
      <c r="P627" s="100">
        <f>MAX(SamplingData[[#This Row],[Error Bound (up) - Max. possible relative overstatement - Losing Candidate]:[Error Bound (up) - Max. possible relative overstatement - Candidate 6]])</f>
        <v>1.224889759921607E-4</v>
      </c>
      <c r="Q627" s="100">
        <f>IF(SamplingData[[#This Row],[Max Error Bound (up)]] = 0,0,SamplingData[[#This Row],[Max Error Bound (up)]]/SamplingData[[#Totals],[Max Error Bound (up)]])</f>
        <v>1.9385896556891663E-5</v>
      </c>
      <c r="R627" s="101">
        <f>SUM($Q$5:Q627)</f>
        <v>0.18668795331094196</v>
      </c>
      <c r="S627" s="100" t="str">
        <f t="array" ref="S627">IF(SamplingData[[#This Row],[up/U Selection Probability]] = 0, "Zero", TEXT(SamplingData[[#This Row],[Lower Range]], REPT("0",LEN('General Info'!$B$40))) &amp; " - " &amp; TEXT(SamplingData[[#This Row],[Upper Range]], REPT("0",LEN('General Info'!$B$40))))</f>
        <v>18667 - 18668</v>
      </c>
      <c r="T627" s="100">
        <f>SamplingData[[#This Row],[Upper Range]]-SamplingData[[#This Row],[Span]]</f>
        <v>18666.856760824405</v>
      </c>
      <c r="U627" s="100">
        <f>IF(ISNUMBER('General Info'!$B$40), ((SamplingData[[#This Row],[up/U Selection Probability]]) * 'General Info'!$B$40) - 1, 0)</f>
        <v>0.93857026979260949</v>
      </c>
      <c r="V627" s="100">
        <f>IF(ISNUMBER('General Info'!$B$40), (SamplingData[[#This Row],[Running (cumulative) sum]] * ('General Info'!$B$40 -'General Info'!$B$41 + 1)) + 'General Info'!$B$41 - 1, 0)</f>
        <v>18667.795331094196</v>
      </c>
      <c r="W627" s="100" t="str">
        <f>IF(ISERROR(MATCH(SamplingData[[#This Row],[Batch by Type (p)]],SelectedPrecincts[Batch Name], 0)), "", INDEX(SelectedPrecincts[Draw], MATCH(SamplingData[[#This Row],[Batch by Type (p)]],SelectedPrecincts[Batch Name], 0)))</f>
        <v/>
      </c>
      <c r="X627" s="102">
        <f>IF(COUNTIF(SelectedPrecincts[Batch Name],SamplingData[[#This Row],[Batch by Type (p)]]) &lt;&gt; 0, COUNTIF(SelectedPrecincts[Batch Name],SamplingData[[#This Row],[Batch by Type (p)]]), 0)</f>
        <v>0</v>
      </c>
    </row>
    <row r="628" spans="1:24" ht="15" customHeight="1">
      <c r="A628" s="18" t="s">
        <v>804</v>
      </c>
      <c r="B628" s="18">
        <v>0</v>
      </c>
      <c r="C628" s="18">
        <v>0</v>
      </c>
      <c r="D628" s="18">
        <v>0</v>
      </c>
      <c r="E628" s="18">
        <v>0</v>
      </c>
      <c r="F628" s="18">
        <v>0</v>
      </c>
      <c r="G628" s="18">
        <v>0</v>
      </c>
      <c r="H628" s="18">
        <v>0</v>
      </c>
      <c r="I628" s="18">
        <v>0</v>
      </c>
      <c r="J628" s="99">
        <f>SUM(SamplingData[[#This Row],[Losing Candidate]:[Under Votes]])</f>
        <v>0</v>
      </c>
      <c r="K628" s="100">
        <f>IF(AND(SamplingData[[#This Row],[Total]]&lt;&gt; 0, NOT(ISBLANK(SamplingData[[#This Row],[Losing Candidate]]))),(SamplingData[[#This Row],[Total]]+SamplingData[[#This Row],[Winning Candidate]]-SamplingData[[#This Row],[Losing Candidate]])/(SamplingData[[#Totals],[Winning Candidate]]-SamplingData[[#Totals],[Losing Candidate]]), 0)</f>
        <v>0</v>
      </c>
      <c r="L628" s="100">
        <f>IF(AND(SamplingData[[#This Row],[Total]]&lt;&gt; 0, NOT(ISBLANK(SamplingData[[#This Row],[Candidate 3]]))),(SamplingData[[#This Row],[Total]]+SamplingData[[#This Row],[Winning Candidate]]-SamplingData[[#This Row],[Candidate 3]])/(SamplingData[[#Totals],[Winning Candidate]]-SamplingData[[#Totals],[Candidate 3]]), 0)</f>
        <v>0</v>
      </c>
      <c r="M628" s="100">
        <f>IF(AND(SamplingData[[#This Row],[Total]]&lt;&gt; 0, NOT(ISBLANK(SamplingData[[#This Row],[Candidate 4]]))),(SamplingData[[#This Row],[Total]]+SamplingData[[#This Row],[Winning Candidate]]-SamplingData[[#This Row],[Candidate 4]])/(SamplingData[[#Totals],[Winning Candidate]]-SamplingData[[#Totals],[Candidate 4]]), 0)</f>
        <v>0</v>
      </c>
      <c r="N628" s="100">
        <f>IF(AND(SamplingData[[#This Row],[Total]]&lt;&gt; 0, NOT(ISBLANK(SamplingData[[#This Row],[Candidate 5]]))),(SamplingData[[#This Row],[Total]]+SamplingData[[#This Row],[Winning Candidate]]-SamplingData[[#This Row],[Candidate 5]])/(SamplingData[[#Totals],[Winning Candidate]]-SamplingData[[#Totals],[Candidate 5]]), 0)</f>
        <v>0</v>
      </c>
      <c r="O628" s="100">
        <f>IF(AND(SamplingData[[#This Row],[Total]]&lt;&gt; 0, NOT(ISBLANK(SamplingData[[#This Row],[Candidate 6]]))),(SamplingData[[#This Row],[Total]]+SamplingData[[#This Row],[Winning Candidate]]-SamplingData[[#This Row],[Candidate 6]])/(SamplingData[[#Totals],[Winning Candidate]]-SamplingData[[#Totals],[Candidate 6]]), 0)</f>
        <v>0</v>
      </c>
      <c r="P628" s="100">
        <f>MAX(SamplingData[[#This Row],[Error Bound (up) - Max. possible relative overstatement - Losing Candidate]:[Error Bound (up) - Max. possible relative overstatement - Candidate 6]])</f>
        <v>0</v>
      </c>
      <c r="Q628" s="100">
        <f>IF(SamplingData[[#This Row],[Max Error Bound (up)]] = 0,0,SamplingData[[#This Row],[Max Error Bound (up)]]/SamplingData[[#Totals],[Max Error Bound (up)]])</f>
        <v>0</v>
      </c>
      <c r="R628" s="101">
        <f>SUM($Q$5:Q628)</f>
        <v>0.18668795331094196</v>
      </c>
      <c r="S628" s="100" t="str">
        <f t="array" ref="S628">IF(SamplingData[[#This Row],[up/U Selection Probability]] = 0, "Zero", TEXT(SamplingData[[#This Row],[Lower Range]], REPT("0",LEN('General Info'!$B$40))) &amp; " - " &amp; TEXT(SamplingData[[#This Row],[Upper Range]], REPT("0",LEN('General Info'!$B$40))))</f>
        <v>Zero</v>
      </c>
      <c r="T628" s="100">
        <f>SamplingData[[#This Row],[Upper Range]]-SamplingData[[#This Row],[Span]]</f>
        <v>18668.795331094196</v>
      </c>
      <c r="U628" s="100">
        <f>IF(ISNUMBER('General Info'!$B$40), ((SamplingData[[#This Row],[up/U Selection Probability]]) * 'General Info'!$B$40) - 1, 0)</f>
        <v>-1</v>
      </c>
      <c r="V628" s="100">
        <f>IF(ISNUMBER('General Info'!$B$40), (SamplingData[[#This Row],[Running (cumulative) sum]] * ('General Info'!$B$40 -'General Info'!$B$41 + 1)) + 'General Info'!$B$41 - 1, 0)</f>
        <v>18667.795331094196</v>
      </c>
      <c r="W628" s="100" t="str">
        <f>IF(ISERROR(MATCH(SamplingData[[#This Row],[Batch by Type (p)]],SelectedPrecincts[Batch Name], 0)), "", INDEX(SelectedPrecincts[Draw], MATCH(SamplingData[[#This Row],[Batch by Type (p)]],SelectedPrecincts[Batch Name], 0)))</f>
        <v/>
      </c>
      <c r="X628" s="102">
        <f>IF(COUNTIF(SelectedPrecincts[Batch Name],SamplingData[[#This Row],[Batch by Type (p)]]) &lt;&gt; 0, COUNTIF(SelectedPrecincts[Batch Name],SamplingData[[#This Row],[Batch by Type (p)]]), 0)</f>
        <v>0</v>
      </c>
    </row>
    <row r="629" spans="1:24" ht="15" customHeight="1">
      <c r="A629" s="18" t="s">
        <v>805</v>
      </c>
      <c r="B629" s="18">
        <v>0</v>
      </c>
      <c r="C629" s="18">
        <v>1</v>
      </c>
      <c r="D629" s="16">
        <v>0</v>
      </c>
      <c r="E629" s="16">
        <v>0</v>
      </c>
      <c r="F629" s="37">
        <v>0</v>
      </c>
      <c r="G629" s="37">
        <v>0</v>
      </c>
      <c r="H629" s="17">
        <v>0</v>
      </c>
      <c r="I629" s="17">
        <v>0</v>
      </c>
      <c r="J629" s="99">
        <f>SUM(SamplingData[[#This Row],[Losing Candidate]:[Under Votes]])</f>
        <v>1</v>
      </c>
      <c r="K629"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29" s="100">
        <f>IF(AND(SamplingData[[#This Row],[Total]]&lt;&gt; 0, NOT(ISBLANK(SamplingData[[#This Row],[Candidate 3]]))),(SamplingData[[#This Row],[Total]]+SamplingData[[#This Row],[Winning Candidate]]-SamplingData[[#This Row],[Candidate 3]])/(SamplingData[[#Totals],[Winning Candidate]]-SamplingData[[#Totals],[Candidate 3]]), 0)</f>
        <v>6.4522373132883833E-5</v>
      </c>
      <c r="M629" s="100">
        <f>IF(AND(SamplingData[[#This Row],[Total]]&lt;&gt; 0, NOT(ISBLANK(SamplingData[[#This Row],[Candidate 4]]))),(SamplingData[[#This Row],[Total]]+SamplingData[[#This Row],[Winning Candidate]]-SamplingData[[#This Row],[Candidate 4]])/(SamplingData[[#Totals],[Winning Candidate]]-SamplingData[[#Totals],[Candidate 4]]), 0)</f>
        <v>5.846414686193692E-5</v>
      </c>
      <c r="N629" s="100">
        <f>IF(AND(SamplingData[[#This Row],[Total]]&lt;&gt; 0, NOT(ISBLANK(SamplingData[[#This Row],[Candidate 5]]))),(SamplingData[[#This Row],[Total]]+SamplingData[[#This Row],[Winning Candidate]]-SamplingData[[#This Row],[Candidate 5]])/(SamplingData[[#Totals],[Winning Candidate]]-SamplingData[[#Totals],[Candidate 5]]), 0)</f>
        <v>4.8649963512527367E-5</v>
      </c>
      <c r="O629" s="100">
        <f>IF(AND(SamplingData[[#This Row],[Total]]&lt;&gt; 0, NOT(ISBLANK(SamplingData[[#This Row],[Candidate 6]]))),(SamplingData[[#This Row],[Total]]+SamplingData[[#This Row],[Winning Candidate]]-SamplingData[[#This Row],[Candidate 6]])/(SamplingData[[#Totals],[Winning Candidate]]-SamplingData[[#Totals],[Candidate 6]]), 0)</f>
        <v>4.8635766742862701E-5</v>
      </c>
      <c r="P629" s="100">
        <f>MAX(SamplingData[[#This Row],[Error Bound (up) - Max. possible relative overstatement - Losing Candidate]:[Error Bound (up) - Max. possible relative overstatement - Candidate 6]])</f>
        <v>1.224889759921607E-4</v>
      </c>
      <c r="Q629" s="100">
        <f>IF(SamplingData[[#This Row],[Max Error Bound (up)]] = 0,0,SamplingData[[#This Row],[Max Error Bound (up)]]/SamplingData[[#Totals],[Max Error Bound (up)]])</f>
        <v>1.9385896556891663E-5</v>
      </c>
      <c r="R629" s="101">
        <f>SUM($Q$5:Q629)</f>
        <v>0.18670733920749885</v>
      </c>
      <c r="S629" s="100" t="str">
        <f t="array" ref="S629">IF(SamplingData[[#This Row],[up/U Selection Probability]] = 0, "Zero", TEXT(SamplingData[[#This Row],[Lower Range]], REPT("0",LEN('General Info'!$B$40))) &amp; " - " &amp; TEXT(SamplingData[[#This Row],[Upper Range]], REPT("0",LEN('General Info'!$B$40))))</f>
        <v>18669 - 18670</v>
      </c>
      <c r="T629" s="100">
        <f>SamplingData[[#This Row],[Upper Range]]-SamplingData[[#This Row],[Span]]</f>
        <v>18668.795350480093</v>
      </c>
      <c r="U629" s="100">
        <f>IF(ISNUMBER('General Info'!$B$40), ((SamplingData[[#This Row],[up/U Selection Probability]]) * 'General Info'!$B$40) - 1, 0)</f>
        <v>0.93857026979260949</v>
      </c>
      <c r="V629" s="100">
        <f>IF(ISNUMBER('General Info'!$B$40), (SamplingData[[#This Row],[Running (cumulative) sum]] * ('General Info'!$B$40 -'General Info'!$B$41 + 1)) + 'General Info'!$B$41 - 1, 0)</f>
        <v>18669.733920749884</v>
      </c>
      <c r="W629" s="100" t="str">
        <f>IF(ISERROR(MATCH(SamplingData[[#This Row],[Batch by Type (p)]],SelectedPrecincts[Batch Name], 0)), "", INDEX(SelectedPrecincts[Draw], MATCH(SamplingData[[#This Row],[Batch by Type (p)]],SelectedPrecincts[Batch Name], 0)))</f>
        <v/>
      </c>
      <c r="X629" s="102">
        <f>IF(COUNTIF(SelectedPrecincts[Batch Name],SamplingData[[#This Row],[Batch by Type (p)]]) &lt;&gt; 0, COUNTIF(SelectedPrecincts[Batch Name],SamplingData[[#This Row],[Batch by Type (p)]]), 0)</f>
        <v>0</v>
      </c>
    </row>
    <row r="630" spans="1:24" ht="15" customHeight="1">
      <c r="A630" s="18" t="s">
        <v>806</v>
      </c>
      <c r="B630" s="18">
        <v>0</v>
      </c>
      <c r="C630" s="18">
        <v>0</v>
      </c>
      <c r="D630" s="18">
        <v>0</v>
      </c>
      <c r="E630" s="18">
        <v>0</v>
      </c>
      <c r="F630" s="18">
        <v>0</v>
      </c>
      <c r="G630" s="18">
        <v>1</v>
      </c>
      <c r="H630" s="18">
        <v>0</v>
      </c>
      <c r="I630" s="18">
        <v>0</v>
      </c>
      <c r="J630" s="99">
        <f>SUM(SamplingData[[#This Row],[Losing Candidate]:[Under Votes]])</f>
        <v>1</v>
      </c>
      <c r="K630"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630" s="100">
        <f>IF(AND(SamplingData[[#This Row],[Total]]&lt;&gt; 0, NOT(ISBLANK(SamplingData[[#This Row],[Candidate 3]]))),(SamplingData[[#This Row],[Total]]+SamplingData[[#This Row],[Winning Candidate]]-SamplingData[[#This Row],[Candidate 3]])/(SamplingData[[#Totals],[Winning Candidate]]-SamplingData[[#Totals],[Candidate 3]]), 0)</f>
        <v>3.2261186566441917E-5</v>
      </c>
      <c r="M630" s="100">
        <f>IF(AND(SamplingData[[#This Row],[Total]]&lt;&gt; 0, NOT(ISBLANK(SamplingData[[#This Row],[Candidate 4]]))),(SamplingData[[#This Row],[Total]]+SamplingData[[#This Row],[Winning Candidate]]-SamplingData[[#This Row],[Candidate 4]])/(SamplingData[[#Totals],[Winning Candidate]]-SamplingData[[#Totals],[Candidate 4]]), 0)</f>
        <v>2.923207343096846E-5</v>
      </c>
      <c r="N630" s="100">
        <f>IF(AND(SamplingData[[#This Row],[Total]]&lt;&gt; 0, NOT(ISBLANK(SamplingData[[#This Row],[Candidate 5]]))),(SamplingData[[#This Row],[Total]]+SamplingData[[#This Row],[Winning Candidate]]-SamplingData[[#This Row],[Candidate 5]])/(SamplingData[[#Totals],[Winning Candidate]]-SamplingData[[#Totals],[Candidate 5]]), 0)</f>
        <v>2.4324981756263683E-5</v>
      </c>
      <c r="O630" s="100">
        <f>IF(AND(SamplingData[[#This Row],[Total]]&lt;&gt; 0, NOT(ISBLANK(SamplingData[[#This Row],[Candidate 6]]))),(SamplingData[[#This Row],[Total]]+SamplingData[[#This Row],[Winning Candidate]]-SamplingData[[#This Row],[Candidate 6]])/(SamplingData[[#Totals],[Winning Candidate]]-SamplingData[[#Totals],[Candidate 6]]), 0)</f>
        <v>0</v>
      </c>
      <c r="P630" s="100">
        <f>MAX(SamplingData[[#This Row],[Error Bound (up) - Max. possible relative overstatement - Losing Candidate]:[Error Bound (up) - Max. possible relative overstatement - Candidate 6]])</f>
        <v>6.1244487996080352E-5</v>
      </c>
      <c r="Q630" s="100">
        <f>IF(SamplingData[[#This Row],[Max Error Bound (up)]] = 0,0,SamplingData[[#This Row],[Max Error Bound (up)]]/SamplingData[[#Totals],[Max Error Bound (up)]])</f>
        <v>9.6929482784458315E-6</v>
      </c>
      <c r="R630" s="101">
        <f>SUM($Q$5:Q630)</f>
        <v>0.18671703215577728</v>
      </c>
      <c r="S630" s="100" t="str">
        <f t="array" ref="S630">IF(SamplingData[[#This Row],[up/U Selection Probability]] = 0, "Zero", TEXT(SamplingData[[#This Row],[Lower Range]], REPT("0",LEN('General Info'!$B$40))) &amp; " - " &amp; TEXT(SamplingData[[#This Row],[Upper Range]], REPT("0",LEN('General Info'!$B$40))))</f>
        <v>18671 - 18671</v>
      </c>
      <c r="T630" s="100">
        <f>SamplingData[[#This Row],[Upper Range]]-SamplingData[[#This Row],[Span]]</f>
        <v>18670.733930442831</v>
      </c>
      <c r="U630" s="100">
        <f>IF(ISNUMBER('General Info'!$B$40), ((SamplingData[[#This Row],[up/U Selection Probability]]) * 'General Info'!$B$40) - 1, 0)</f>
        <v>-3.0714865103695255E-2</v>
      </c>
      <c r="V630" s="100">
        <f>IF(ISNUMBER('General Info'!$B$40), (SamplingData[[#This Row],[Running (cumulative) sum]] * ('General Info'!$B$40 -'General Info'!$B$41 + 1)) + 'General Info'!$B$41 - 1, 0)</f>
        <v>18670.703215577727</v>
      </c>
      <c r="W630" s="100" t="str">
        <f>IF(ISERROR(MATCH(SamplingData[[#This Row],[Batch by Type (p)]],SelectedPrecincts[Batch Name], 0)), "", INDEX(SelectedPrecincts[Draw], MATCH(SamplingData[[#This Row],[Batch by Type (p)]],SelectedPrecincts[Batch Name], 0)))</f>
        <v/>
      </c>
      <c r="X630" s="102">
        <f>IF(COUNTIF(SelectedPrecincts[Batch Name],SamplingData[[#This Row],[Batch by Type (p)]]) &lt;&gt; 0, COUNTIF(SelectedPrecincts[Batch Name],SamplingData[[#This Row],[Batch by Type (p)]]), 0)</f>
        <v>0</v>
      </c>
    </row>
    <row r="631" spans="1:24" ht="15" customHeight="1">
      <c r="A631" s="18" t="s">
        <v>807</v>
      </c>
      <c r="B631" s="18">
        <v>1</v>
      </c>
      <c r="C631" s="18">
        <v>0</v>
      </c>
      <c r="D631" s="16">
        <v>0</v>
      </c>
      <c r="E631" s="16">
        <v>0</v>
      </c>
      <c r="F631" s="37">
        <v>0</v>
      </c>
      <c r="G631" s="37">
        <v>0</v>
      </c>
      <c r="H631" s="17">
        <v>0</v>
      </c>
      <c r="I631" s="17">
        <v>0</v>
      </c>
      <c r="J631" s="99">
        <f>SUM(SamplingData[[#This Row],[Losing Candidate]:[Under Votes]])</f>
        <v>1</v>
      </c>
      <c r="K631" s="100">
        <f>IF(AND(SamplingData[[#This Row],[Total]]&lt;&gt; 0, NOT(ISBLANK(SamplingData[[#This Row],[Losing Candidate]]))),(SamplingData[[#This Row],[Total]]+SamplingData[[#This Row],[Winning Candidate]]-SamplingData[[#This Row],[Losing Candidate]])/(SamplingData[[#Totals],[Winning Candidate]]-SamplingData[[#Totals],[Losing Candidate]]), 0)</f>
        <v>0</v>
      </c>
      <c r="L631" s="100">
        <f>IF(AND(SamplingData[[#This Row],[Total]]&lt;&gt; 0, NOT(ISBLANK(SamplingData[[#This Row],[Candidate 3]]))),(SamplingData[[#This Row],[Total]]+SamplingData[[#This Row],[Winning Candidate]]-SamplingData[[#This Row],[Candidate 3]])/(SamplingData[[#Totals],[Winning Candidate]]-SamplingData[[#Totals],[Candidate 3]]), 0)</f>
        <v>3.2261186566441917E-5</v>
      </c>
      <c r="M631" s="100">
        <f>IF(AND(SamplingData[[#This Row],[Total]]&lt;&gt; 0, NOT(ISBLANK(SamplingData[[#This Row],[Candidate 4]]))),(SamplingData[[#This Row],[Total]]+SamplingData[[#This Row],[Winning Candidate]]-SamplingData[[#This Row],[Candidate 4]])/(SamplingData[[#Totals],[Winning Candidate]]-SamplingData[[#Totals],[Candidate 4]]), 0)</f>
        <v>2.923207343096846E-5</v>
      </c>
      <c r="N631" s="100">
        <f>IF(AND(SamplingData[[#This Row],[Total]]&lt;&gt; 0, NOT(ISBLANK(SamplingData[[#This Row],[Candidate 5]]))),(SamplingData[[#This Row],[Total]]+SamplingData[[#This Row],[Winning Candidate]]-SamplingData[[#This Row],[Candidate 5]])/(SamplingData[[#Totals],[Winning Candidate]]-SamplingData[[#Totals],[Candidate 5]]), 0)</f>
        <v>2.4324981756263683E-5</v>
      </c>
      <c r="O631" s="100">
        <f>IF(AND(SamplingData[[#This Row],[Total]]&lt;&gt; 0, NOT(ISBLANK(SamplingData[[#This Row],[Candidate 6]]))),(SamplingData[[#This Row],[Total]]+SamplingData[[#This Row],[Winning Candidate]]-SamplingData[[#This Row],[Candidate 6]])/(SamplingData[[#Totals],[Winning Candidate]]-SamplingData[[#Totals],[Candidate 6]]), 0)</f>
        <v>2.431788337143135E-5</v>
      </c>
      <c r="P631" s="100">
        <f>MAX(SamplingData[[#This Row],[Error Bound (up) - Max. possible relative overstatement - Losing Candidate]:[Error Bound (up) - Max. possible relative overstatement - Candidate 6]])</f>
        <v>3.2261186566441917E-5</v>
      </c>
      <c r="Q631" s="100">
        <f>IF(SamplingData[[#This Row],[Max Error Bound (up)]] = 0,0,SamplingData[[#This Row],[Max Error Bound (up)]]/SamplingData[[#Totals],[Max Error Bound (up)]])</f>
        <v>5.1058637768320663E-6</v>
      </c>
      <c r="R631" s="101">
        <f>SUM($Q$5:Q631)</f>
        <v>0.18672213801955412</v>
      </c>
      <c r="S631" s="100" t="str">
        <f t="array" ref="S631">IF(SamplingData[[#This Row],[up/U Selection Probability]] = 0, "Zero", TEXT(SamplingData[[#This Row],[Lower Range]], REPT("0",LEN('General Info'!$B$40))) &amp; " - " &amp; TEXT(SamplingData[[#This Row],[Upper Range]], REPT("0",LEN('General Info'!$B$40))))</f>
        <v>18672 - 18671</v>
      </c>
      <c r="T631" s="100">
        <f>SamplingData[[#This Row],[Upper Range]]-SamplingData[[#This Row],[Span]]</f>
        <v>18671.70322068359</v>
      </c>
      <c r="U631" s="100">
        <f>IF(ISNUMBER('General Info'!$B$40), ((SamplingData[[#This Row],[up/U Selection Probability]]) * 'General Info'!$B$40) - 1, 0)</f>
        <v>-0.4894187281805702</v>
      </c>
      <c r="V631" s="100">
        <f>IF(ISNUMBER('General Info'!$B$40), (SamplingData[[#This Row],[Running (cumulative) sum]] * ('General Info'!$B$40 -'General Info'!$B$41 + 1)) + 'General Info'!$B$41 - 1, 0)</f>
        <v>18671.213801955411</v>
      </c>
      <c r="W631" s="100" t="str">
        <f>IF(ISERROR(MATCH(SamplingData[[#This Row],[Batch by Type (p)]],SelectedPrecincts[Batch Name], 0)), "", INDEX(SelectedPrecincts[Draw], MATCH(SamplingData[[#This Row],[Batch by Type (p)]],SelectedPrecincts[Batch Name], 0)))</f>
        <v/>
      </c>
      <c r="X631" s="102">
        <f>IF(COUNTIF(SelectedPrecincts[Batch Name],SamplingData[[#This Row],[Batch by Type (p)]]) &lt;&gt; 0, COUNTIF(SelectedPrecincts[Batch Name],SamplingData[[#This Row],[Batch by Type (p)]]), 0)</f>
        <v>0</v>
      </c>
    </row>
    <row r="632" spans="1:24" ht="15" customHeight="1">
      <c r="A632" s="18" t="s">
        <v>808</v>
      </c>
      <c r="B632" s="18">
        <v>0</v>
      </c>
      <c r="C632" s="18">
        <v>0</v>
      </c>
      <c r="D632" s="18">
        <v>0</v>
      </c>
      <c r="E632" s="18">
        <v>0</v>
      </c>
      <c r="F632" s="18">
        <v>0</v>
      </c>
      <c r="G632" s="18">
        <v>0</v>
      </c>
      <c r="H632" s="18">
        <v>0</v>
      </c>
      <c r="I632" s="18">
        <v>0</v>
      </c>
      <c r="J632" s="99">
        <f>SUM(SamplingData[[#This Row],[Losing Candidate]:[Under Votes]])</f>
        <v>0</v>
      </c>
      <c r="K632" s="100">
        <f>IF(AND(SamplingData[[#This Row],[Total]]&lt;&gt; 0, NOT(ISBLANK(SamplingData[[#This Row],[Losing Candidate]]))),(SamplingData[[#This Row],[Total]]+SamplingData[[#This Row],[Winning Candidate]]-SamplingData[[#This Row],[Losing Candidate]])/(SamplingData[[#Totals],[Winning Candidate]]-SamplingData[[#Totals],[Losing Candidate]]), 0)</f>
        <v>0</v>
      </c>
      <c r="L632" s="100">
        <f>IF(AND(SamplingData[[#This Row],[Total]]&lt;&gt; 0, NOT(ISBLANK(SamplingData[[#This Row],[Candidate 3]]))),(SamplingData[[#This Row],[Total]]+SamplingData[[#This Row],[Winning Candidate]]-SamplingData[[#This Row],[Candidate 3]])/(SamplingData[[#Totals],[Winning Candidate]]-SamplingData[[#Totals],[Candidate 3]]), 0)</f>
        <v>0</v>
      </c>
      <c r="M632" s="100">
        <f>IF(AND(SamplingData[[#This Row],[Total]]&lt;&gt; 0, NOT(ISBLANK(SamplingData[[#This Row],[Candidate 4]]))),(SamplingData[[#This Row],[Total]]+SamplingData[[#This Row],[Winning Candidate]]-SamplingData[[#This Row],[Candidate 4]])/(SamplingData[[#Totals],[Winning Candidate]]-SamplingData[[#Totals],[Candidate 4]]), 0)</f>
        <v>0</v>
      </c>
      <c r="N632" s="100">
        <f>IF(AND(SamplingData[[#This Row],[Total]]&lt;&gt; 0, NOT(ISBLANK(SamplingData[[#This Row],[Candidate 5]]))),(SamplingData[[#This Row],[Total]]+SamplingData[[#This Row],[Winning Candidate]]-SamplingData[[#This Row],[Candidate 5]])/(SamplingData[[#Totals],[Winning Candidate]]-SamplingData[[#Totals],[Candidate 5]]), 0)</f>
        <v>0</v>
      </c>
      <c r="O632" s="100">
        <f>IF(AND(SamplingData[[#This Row],[Total]]&lt;&gt; 0, NOT(ISBLANK(SamplingData[[#This Row],[Candidate 6]]))),(SamplingData[[#This Row],[Total]]+SamplingData[[#This Row],[Winning Candidate]]-SamplingData[[#This Row],[Candidate 6]])/(SamplingData[[#Totals],[Winning Candidate]]-SamplingData[[#Totals],[Candidate 6]]), 0)</f>
        <v>0</v>
      </c>
      <c r="P632" s="100">
        <f>MAX(SamplingData[[#This Row],[Error Bound (up) - Max. possible relative overstatement - Losing Candidate]:[Error Bound (up) - Max. possible relative overstatement - Candidate 6]])</f>
        <v>0</v>
      </c>
      <c r="Q632" s="100">
        <f>IF(SamplingData[[#This Row],[Max Error Bound (up)]] = 0,0,SamplingData[[#This Row],[Max Error Bound (up)]]/SamplingData[[#Totals],[Max Error Bound (up)]])</f>
        <v>0</v>
      </c>
      <c r="R632" s="101">
        <f>SUM($Q$5:Q632)</f>
        <v>0.18672213801955412</v>
      </c>
      <c r="S632" s="100" t="str">
        <f t="array" ref="S632">IF(SamplingData[[#This Row],[up/U Selection Probability]] = 0, "Zero", TEXT(SamplingData[[#This Row],[Lower Range]], REPT("0",LEN('General Info'!$B$40))) &amp; " - " &amp; TEXT(SamplingData[[#This Row],[Upper Range]], REPT("0",LEN('General Info'!$B$40))))</f>
        <v>Zero</v>
      </c>
      <c r="T632" s="100">
        <f>SamplingData[[#This Row],[Upper Range]]-SamplingData[[#This Row],[Span]]</f>
        <v>18672.213801955411</v>
      </c>
      <c r="U632" s="100">
        <f>IF(ISNUMBER('General Info'!$B$40), ((SamplingData[[#This Row],[up/U Selection Probability]]) * 'General Info'!$B$40) - 1, 0)</f>
        <v>-1</v>
      </c>
      <c r="V632" s="100">
        <f>IF(ISNUMBER('General Info'!$B$40), (SamplingData[[#This Row],[Running (cumulative) sum]] * ('General Info'!$B$40 -'General Info'!$B$41 + 1)) + 'General Info'!$B$41 - 1, 0)</f>
        <v>18671.213801955411</v>
      </c>
      <c r="W632" s="100" t="str">
        <f>IF(ISERROR(MATCH(SamplingData[[#This Row],[Batch by Type (p)]],SelectedPrecincts[Batch Name], 0)), "", INDEX(SelectedPrecincts[Draw], MATCH(SamplingData[[#This Row],[Batch by Type (p)]],SelectedPrecincts[Batch Name], 0)))</f>
        <v/>
      </c>
      <c r="X632" s="102">
        <f>IF(COUNTIF(SelectedPrecincts[Batch Name],SamplingData[[#This Row],[Batch by Type (p)]]) &lt;&gt; 0, COUNTIF(SelectedPrecincts[Batch Name],SamplingData[[#This Row],[Batch by Type (p)]]), 0)</f>
        <v>0</v>
      </c>
    </row>
    <row r="633" spans="1:24" ht="15" customHeight="1">
      <c r="A633" s="18" t="s">
        <v>809</v>
      </c>
      <c r="B633" s="18">
        <v>0</v>
      </c>
      <c r="C633" s="18">
        <v>0</v>
      </c>
      <c r="D633" s="16">
        <v>0</v>
      </c>
      <c r="E633" s="16">
        <v>0</v>
      </c>
      <c r="F633" s="37">
        <v>0</v>
      </c>
      <c r="G633" s="37">
        <v>0</v>
      </c>
      <c r="H633" s="17">
        <v>0</v>
      </c>
      <c r="I633" s="17">
        <v>0</v>
      </c>
      <c r="J633" s="99">
        <f>SUM(SamplingData[[#This Row],[Losing Candidate]:[Under Votes]])</f>
        <v>0</v>
      </c>
      <c r="K633" s="100">
        <f>IF(AND(SamplingData[[#This Row],[Total]]&lt;&gt; 0, NOT(ISBLANK(SamplingData[[#This Row],[Losing Candidate]]))),(SamplingData[[#This Row],[Total]]+SamplingData[[#This Row],[Winning Candidate]]-SamplingData[[#This Row],[Losing Candidate]])/(SamplingData[[#Totals],[Winning Candidate]]-SamplingData[[#Totals],[Losing Candidate]]), 0)</f>
        <v>0</v>
      </c>
      <c r="L633" s="100">
        <f>IF(AND(SamplingData[[#This Row],[Total]]&lt;&gt; 0, NOT(ISBLANK(SamplingData[[#This Row],[Candidate 3]]))),(SamplingData[[#This Row],[Total]]+SamplingData[[#This Row],[Winning Candidate]]-SamplingData[[#This Row],[Candidate 3]])/(SamplingData[[#Totals],[Winning Candidate]]-SamplingData[[#Totals],[Candidate 3]]), 0)</f>
        <v>0</v>
      </c>
      <c r="M633" s="100">
        <f>IF(AND(SamplingData[[#This Row],[Total]]&lt;&gt; 0, NOT(ISBLANK(SamplingData[[#This Row],[Candidate 4]]))),(SamplingData[[#This Row],[Total]]+SamplingData[[#This Row],[Winning Candidate]]-SamplingData[[#This Row],[Candidate 4]])/(SamplingData[[#Totals],[Winning Candidate]]-SamplingData[[#Totals],[Candidate 4]]), 0)</f>
        <v>0</v>
      </c>
      <c r="N633" s="100">
        <f>IF(AND(SamplingData[[#This Row],[Total]]&lt;&gt; 0, NOT(ISBLANK(SamplingData[[#This Row],[Candidate 5]]))),(SamplingData[[#This Row],[Total]]+SamplingData[[#This Row],[Winning Candidate]]-SamplingData[[#This Row],[Candidate 5]])/(SamplingData[[#Totals],[Winning Candidate]]-SamplingData[[#Totals],[Candidate 5]]), 0)</f>
        <v>0</v>
      </c>
      <c r="O633" s="100">
        <f>IF(AND(SamplingData[[#This Row],[Total]]&lt;&gt; 0, NOT(ISBLANK(SamplingData[[#This Row],[Candidate 6]]))),(SamplingData[[#This Row],[Total]]+SamplingData[[#This Row],[Winning Candidate]]-SamplingData[[#This Row],[Candidate 6]])/(SamplingData[[#Totals],[Winning Candidate]]-SamplingData[[#Totals],[Candidate 6]]), 0)</f>
        <v>0</v>
      </c>
      <c r="P633" s="100">
        <f>MAX(SamplingData[[#This Row],[Error Bound (up) - Max. possible relative overstatement - Losing Candidate]:[Error Bound (up) - Max. possible relative overstatement - Candidate 6]])</f>
        <v>0</v>
      </c>
      <c r="Q633" s="100">
        <f>IF(SamplingData[[#This Row],[Max Error Bound (up)]] = 0,0,SamplingData[[#This Row],[Max Error Bound (up)]]/SamplingData[[#Totals],[Max Error Bound (up)]])</f>
        <v>0</v>
      </c>
      <c r="R633" s="101">
        <f>SUM($Q$5:Q633)</f>
        <v>0.18672213801955412</v>
      </c>
      <c r="S633" s="100" t="str">
        <f t="array" ref="S633">IF(SamplingData[[#This Row],[up/U Selection Probability]] = 0, "Zero", TEXT(SamplingData[[#This Row],[Lower Range]], REPT("0",LEN('General Info'!$B$40))) &amp; " - " &amp; TEXT(SamplingData[[#This Row],[Upper Range]], REPT("0",LEN('General Info'!$B$40))))</f>
        <v>Zero</v>
      </c>
      <c r="T633" s="100">
        <f>SamplingData[[#This Row],[Upper Range]]-SamplingData[[#This Row],[Span]]</f>
        <v>18672.213801955411</v>
      </c>
      <c r="U633" s="100">
        <f>IF(ISNUMBER('General Info'!$B$40), ((SamplingData[[#This Row],[up/U Selection Probability]]) * 'General Info'!$B$40) - 1, 0)</f>
        <v>-1</v>
      </c>
      <c r="V633" s="100">
        <f>IF(ISNUMBER('General Info'!$B$40), (SamplingData[[#This Row],[Running (cumulative) sum]] * ('General Info'!$B$40 -'General Info'!$B$41 + 1)) + 'General Info'!$B$41 - 1, 0)</f>
        <v>18671.213801955411</v>
      </c>
      <c r="W633" s="100" t="str">
        <f>IF(ISERROR(MATCH(SamplingData[[#This Row],[Batch by Type (p)]],SelectedPrecincts[Batch Name], 0)), "", INDEX(SelectedPrecincts[Draw], MATCH(SamplingData[[#This Row],[Batch by Type (p)]],SelectedPrecincts[Batch Name], 0)))</f>
        <v/>
      </c>
      <c r="X633" s="102">
        <f>IF(COUNTIF(SelectedPrecincts[Batch Name],SamplingData[[#This Row],[Batch by Type (p)]]) &lt;&gt; 0, COUNTIF(SelectedPrecincts[Batch Name],SamplingData[[#This Row],[Batch by Type (p)]]), 0)</f>
        <v>0</v>
      </c>
    </row>
    <row r="634" spans="1:24" ht="15" customHeight="1">
      <c r="A634" s="18" t="s">
        <v>810</v>
      </c>
      <c r="B634" s="18">
        <v>0</v>
      </c>
      <c r="C634" s="18">
        <v>0</v>
      </c>
      <c r="D634" s="18">
        <v>0</v>
      </c>
      <c r="E634" s="18">
        <v>0</v>
      </c>
      <c r="F634" s="18">
        <v>0</v>
      </c>
      <c r="G634" s="18">
        <v>0</v>
      </c>
      <c r="H634" s="18">
        <v>0</v>
      </c>
      <c r="I634" s="18">
        <v>0</v>
      </c>
      <c r="J634" s="99">
        <f>SUM(SamplingData[[#This Row],[Losing Candidate]:[Under Votes]])</f>
        <v>0</v>
      </c>
      <c r="K634" s="100">
        <f>IF(AND(SamplingData[[#This Row],[Total]]&lt;&gt; 0, NOT(ISBLANK(SamplingData[[#This Row],[Losing Candidate]]))),(SamplingData[[#This Row],[Total]]+SamplingData[[#This Row],[Winning Candidate]]-SamplingData[[#This Row],[Losing Candidate]])/(SamplingData[[#Totals],[Winning Candidate]]-SamplingData[[#Totals],[Losing Candidate]]), 0)</f>
        <v>0</v>
      </c>
      <c r="L634" s="100">
        <f>IF(AND(SamplingData[[#This Row],[Total]]&lt;&gt; 0, NOT(ISBLANK(SamplingData[[#This Row],[Candidate 3]]))),(SamplingData[[#This Row],[Total]]+SamplingData[[#This Row],[Winning Candidate]]-SamplingData[[#This Row],[Candidate 3]])/(SamplingData[[#Totals],[Winning Candidate]]-SamplingData[[#Totals],[Candidate 3]]), 0)</f>
        <v>0</v>
      </c>
      <c r="M634" s="100">
        <f>IF(AND(SamplingData[[#This Row],[Total]]&lt;&gt; 0, NOT(ISBLANK(SamplingData[[#This Row],[Candidate 4]]))),(SamplingData[[#This Row],[Total]]+SamplingData[[#This Row],[Winning Candidate]]-SamplingData[[#This Row],[Candidate 4]])/(SamplingData[[#Totals],[Winning Candidate]]-SamplingData[[#Totals],[Candidate 4]]), 0)</f>
        <v>0</v>
      </c>
      <c r="N634" s="100">
        <f>IF(AND(SamplingData[[#This Row],[Total]]&lt;&gt; 0, NOT(ISBLANK(SamplingData[[#This Row],[Candidate 5]]))),(SamplingData[[#This Row],[Total]]+SamplingData[[#This Row],[Winning Candidate]]-SamplingData[[#This Row],[Candidate 5]])/(SamplingData[[#Totals],[Winning Candidate]]-SamplingData[[#Totals],[Candidate 5]]), 0)</f>
        <v>0</v>
      </c>
      <c r="O634" s="100">
        <f>IF(AND(SamplingData[[#This Row],[Total]]&lt;&gt; 0, NOT(ISBLANK(SamplingData[[#This Row],[Candidate 6]]))),(SamplingData[[#This Row],[Total]]+SamplingData[[#This Row],[Winning Candidate]]-SamplingData[[#This Row],[Candidate 6]])/(SamplingData[[#Totals],[Winning Candidate]]-SamplingData[[#Totals],[Candidate 6]]), 0)</f>
        <v>0</v>
      </c>
      <c r="P634" s="100">
        <f>MAX(SamplingData[[#This Row],[Error Bound (up) - Max. possible relative overstatement - Losing Candidate]:[Error Bound (up) - Max. possible relative overstatement - Candidate 6]])</f>
        <v>0</v>
      </c>
      <c r="Q634" s="100">
        <f>IF(SamplingData[[#This Row],[Max Error Bound (up)]] = 0,0,SamplingData[[#This Row],[Max Error Bound (up)]]/SamplingData[[#Totals],[Max Error Bound (up)]])</f>
        <v>0</v>
      </c>
      <c r="R634" s="101">
        <f>SUM($Q$5:Q634)</f>
        <v>0.18672213801955412</v>
      </c>
      <c r="S634" s="100" t="str">
        <f t="array" ref="S634">IF(SamplingData[[#This Row],[up/U Selection Probability]] = 0, "Zero", TEXT(SamplingData[[#This Row],[Lower Range]], REPT("0",LEN('General Info'!$B$40))) &amp; " - " &amp; TEXT(SamplingData[[#This Row],[Upper Range]], REPT("0",LEN('General Info'!$B$40))))</f>
        <v>Zero</v>
      </c>
      <c r="T634" s="100">
        <f>SamplingData[[#This Row],[Upper Range]]-SamplingData[[#This Row],[Span]]</f>
        <v>18672.213801955411</v>
      </c>
      <c r="U634" s="100">
        <f>IF(ISNUMBER('General Info'!$B$40), ((SamplingData[[#This Row],[up/U Selection Probability]]) * 'General Info'!$B$40) - 1, 0)</f>
        <v>-1</v>
      </c>
      <c r="V634" s="100">
        <f>IF(ISNUMBER('General Info'!$B$40), (SamplingData[[#This Row],[Running (cumulative) sum]] * ('General Info'!$B$40 -'General Info'!$B$41 + 1)) + 'General Info'!$B$41 - 1, 0)</f>
        <v>18671.213801955411</v>
      </c>
      <c r="W634" s="100" t="str">
        <f>IF(ISERROR(MATCH(SamplingData[[#This Row],[Batch by Type (p)]],SelectedPrecincts[Batch Name], 0)), "", INDEX(SelectedPrecincts[Draw], MATCH(SamplingData[[#This Row],[Batch by Type (p)]],SelectedPrecincts[Batch Name], 0)))</f>
        <v/>
      </c>
      <c r="X634" s="102">
        <f>IF(COUNTIF(SelectedPrecincts[Batch Name],SamplingData[[#This Row],[Batch by Type (p)]]) &lt;&gt; 0, COUNTIF(SelectedPrecincts[Batch Name],SamplingData[[#This Row],[Batch by Type (p)]]), 0)</f>
        <v>0</v>
      </c>
    </row>
    <row r="635" spans="1:24" ht="15" customHeight="1">
      <c r="A635" s="18" t="s">
        <v>811</v>
      </c>
      <c r="B635" s="18">
        <v>0</v>
      </c>
      <c r="C635" s="18">
        <v>0</v>
      </c>
      <c r="D635" s="16">
        <v>0</v>
      </c>
      <c r="E635" s="16">
        <v>0</v>
      </c>
      <c r="F635" s="37">
        <v>0</v>
      </c>
      <c r="G635" s="37">
        <v>0</v>
      </c>
      <c r="H635" s="17">
        <v>0</v>
      </c>
      <c r="I635" s="17">
        <v>0</v>
      </c>
      <c r="J635" s="99">
        <f>SUM(SamplingData[[#This Row],[Losing Candidate]:[Under Votes]])</f>
        <v>0</v>
      </c>
      <c r="K635" s="100">
        <f>IF(AND(SamplingData[[#This Row],[Total]]&lt;&gt; 0, NOT(ISBLANK(SamplingData[[#This Row],[Losing Candidate]]))),(SamplingData[[#This Row],[Total]]+SamplingData[[#This Row],[Winning Candidate]]-SamplingData[[#This Row],[Losing Candidate]])/(SamplingData[[#Totals],[Winning Candidate]]-SamplingData[[#Totals],[Losing Candidate]]), 0)</f>
        <v>0</v>
      </c>
      <c r="L635" s="100">
        <f>IF(AND(SamplingData[[#This Row],[Total]]&lt;&gt; 0, NOT(ISBLANK(SamplingData[[#This Row],[Candidate 3]]))),(SamplingData[[#This Row],[Total]]+SamplingData[[#This Row],[Winning Candidate]]-SamplingData[[#This Row],[Candidate 3]])/(SamplingData[[#Totals],[Winning Candidate]]-SamplingData[[#Totals],[Candidate 3]]), 0)</f>
        <v>0</v>
      </c>
      <c r="M635" s="100">
        <f>IF(AND(SamplingData[[#This Row],[Total]]&lt;&gt; 0, NOT(ISBLANK(SamplingData[[#This Row],[Candidate 4]]))),(SamplingData[[#This Row],[Total]]+SamplingData[[#This Row],[Winning Candidate]]-SamplingData[[#This Row],[Candidate 4]])/(SamplingData[[#Totals],[Winning Candidate]]-SamplingData[[#Totals],[Candidate 4]]), 0)</f>
        <v>0</v>
      </c>
      <c r="N635" s="100">
        <f>IF(AND(SamplingData[[#This Row],[Total]]&lt;&gt; 0, NOT(ISBLANK(SamplingData[[#This Row],[Candidate 5]]))),(SamplingData[[#This Row],[Total]]+SamplingData[[#This Row],[Winning Candidate]]-SamplingData[[#This Row],[Candidate 5]])/(SamplingData[[#Totals],[Winning Candidate]]-SamplingData[[#Totals],[Candidate 5]]), 0)</f>
        <v>0</v>
      </c>
      <c r="O635" s="100">
        <f>IF(AND(SamplingData[[#This Row],[Total]]&lt;&gt; 0, NOT(ISBLANK(SamplingData[[#This Row],[Candidate 6]]))),(SamplingData[[#This Row],[Total]]+SamplingData[[#This Row],[Winning Candidate]]-SamplingData[[#This Row],[Candidate 6]])/(SamplingData[[#Totals],[Winning Candidate]]-SamplingData[[#Totals],[Candidate 6]]), 0)</f>
        <v>0</v>
      </c>
      <c r="P635" s="100">
        <f>MAX(SamplingData[[#This Row],[Error Bound (up) - Max. possible relative overstatement - Losing Candidate]:[Error Bound (up) - Max. possible relative overstatement - Candidate 6]])</f>
        <v>0</v>
      </c>
      <c r="Q635" s="100">
        <f>IF(SamplingData[[#This Row],[Max Error Bound (up)]] = 0,0,SamplingData[[#This Row],[Max Error Bound (up)]]/SamplingData[[#Totals],[Max Error Bound (up)]])</f>
        <v>0</v>
      </c>
      <c r="R635" s="101">
        <f>SUM($Q$5:Q635)</f>
        <v>0.18672213801955412</v>
      </c>
      <c r="S635" s="100" t="str">
        <f t="array" ref="S635">IF(SamplingData[[#This Row],[up/U Selection Probability]] = 0, "Zero", TEXT(SamplingData[[#This Row],[Lower Range]], REPT("0",LEN('General Info'!$B$40))) &amp; " - " &amp; TEXT(SamplingData[[#This Row],[Upper Range]], REPT("0",LEN('General Info'!$B$40))))</f>
        <v>Zero</v>
      </c>
      <c r="T635" s="100">
        <f>SamplingData[[#This Row],[Upper Range]]-SamplingData[[#This Row],[Span]]</f>
        <v>18672.213801955411</v>
      </c>
      <c r="U635" s="100">
        <f>IF(ISNUMBER('General Info'!$B$40), ((SamplingData[[#This Row],[up/U Selection Probability]]) * 'General Info'!$B$40) - 1, 0)</f>
        <v>-1</v>
      </c>
      <c r="V635" s="100">
        <f>IF(ISNUMBER('General Info'!$B$40), (SamplingData[[#This Row],[Running (cumulative) sum]] * ('General Info'!$B$40 -'General Info'!$B$41 + 1)) + 'General Info'!$B$41 - 1, 0)</f>
        <v>18671.213801955411</v>
      </c>
      <c r="W635" s="100" t="str">
        <f>IF(ISERROR(MATCH(SamplingData[[#This Row],[Batch by Type (p)]],SelectedPrecincts[Batch Name], 0)), "", INDEX(SelectedPrecincts[Draw], MATCH(SamplingData[[#This Row],[Batch by Type (p)]],SelectedPrecincts[Batch Name], 0)))</f>
        <v/>
      </c>
      <c r="X635" s="102">
        <f>IF(COUNTIF(SelectedPrecincts[Batch Name],SamplingData[[#This Row],[Batch by Type (p)]]) &lt;&gt; 0, COUNTIF(SelectedPrecincts[Batch Name],SamplingData[[#This Row],[Batch by Type (p)]]), 0)</f>
        <v>0</v>
      </c>
    </row>
    <row r="636" spans="1:24" ht="15" customHeight="1">
      <c r="A636" s="18" t="s">
        <v>812</v>
      </c>
      <c r="B636" s="18">
        <v>1</v>
      </c>
      <c r="C636" s="18">
        <v>1</v>
      </c>
      <c r="D636" s="18">
        <v>0</v>
      </c>
      <c r="E636" s="18">
        <v>0</v>
      </c>
      <c r="F636" s="18">
        <v>0</v>
      </c>
      <c r="G636" s="18">
        <v>0</v>
      </c>
      <c r="H636" s="18">
        <v>0</v>
      </c>
      <c r="I636" s="18">
        <v>0</v>
      </c>
      <c r="J636" s="99">
        <f>SUM(SamplingData[[#This Row],[Losing Candidate]:[Under Votes]])</f>
        <v>2</v>
      </c>
      <c r="K63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36" s="100">
        <f>IF(AND(SamplingData[[#This Row],[Total]]&lt;&gt; 0, NOT(ISBLANK(SamplingData[[#This Row],[Candidate 3]]))),(SamplingData[[#This Row],[Total]]+SamplingData[[#This Row],[Winning Candidate]]-SamplingData[[#This Row],[Candidate 3]])/(SamplingData[[#Totals],[Winning Candidate]]-SamplingData[[#Totals],[Candidate 3]]), 0)</f>
        <v>9.6783559699325743E-5</v>
      </c>
      <c r="M636" s="100">
        <f>IF(AND(SamplingData[[#This Row],[Total]]&lt;&gt; 0, NOT(ISBLANK(SamplingData[[#This Row],[Candidate 4]]))),(SamplingData[[#This Row],[Total]]+SamplingData[[#This Row],[Winning Candidate]]-SamplingData[[#This Row],[Candidate 4]])/(SamplingData[[#Totals],[Winning Candidate]]-SamplingData[[#Totals],[Candidate 4]]), 0)</f>
        <v>8.7696220292905373E-5</v>
      </c>
      <c r="N636" s="100">
        <f>IF(AND(SamplingData[[#This Row],[Total]]&lt;&gt; 0, NOT(ISBLANK(SamplingData[[#This Row],[Candidate 5]]))),(SamplingData[[#This Row],[Total]]+SamplingData[[#This Row],[Winning Candidate]]-SamplingData[[#This Row],[Candidate 5]])/(SamplingData[[#Totals],[Winning Candidate]]-SamplingData[[#Totals],[Candidate 5]]), 0)</f>
        <v>7.2974945268791054E-5</v>
      </c>
      <c r="O636" s="100">
        <f>IF(AND(SamplingData[[#This Row],[Total]]&lt;&gt; 0, NOT(ISBLANK(SamplingData[[#This Row],[Candidate 6]]))),(SamplingData[[#This Row],[Total]]+SamplingData[[#This Row],[Winning Candidate]]-SamplingData[[#This Row],[Candidate 6]])/(SamplingData[[#Totals],[Winning Candidate]]-SamplingData[[#Totals],[Candidate 6]]), 0)</f>
        <v>7.2953650114294054E-5</v>
      </c>
      <c r="P636" s="100">
        <f>MAX(SamplingData[[#This Row],[Error Bound (up) - Max. possible relative overstatement - Losing Candidate]:[Error Bound (up) - Max. possible relative overstatement - Candidate 6]])</f>
        <v>1.224889759921607E-4</v>
      </c>
      <c r="Q636" s="100">
        <f>IF(SamplingData[[#This Row],[Max Error Bound (up)]] = 0,0,SamplingData[[#This Row],[Max Error Bound (up)]]/SamplingData[[#Totals],[Max Error Bound (up)]])</f>
        <v>1.9385896556891663E-5</v>
      </c>
      <c r="R636" s="101">
        <f>SUM($Q$5:Q636)</f>
        <v>0.18674152391611101</v>
      </c>
      <c r="S636" s="100" t="str">
        <f t="array" ref="S636">IF(SamplingData[[#This Row],[up/U Selection Probability]] = 0, "Zero", TEXT(SamplingData[[#This Row],[Lower Range]], REPT("0",LEN('General Info'!$B$40))) &amp; " - " &amp; TEXT(SamplingData[[#This Row],[Upper Range]], REPT("0",LEN('General Info'!$B$40))))</f>
        <v>18672 - 18673</v>
      </c>
      <c r="T636" s="100">
        <f>SamplingData[[#This Row],[Upper Range]]-SamplingData[[#This Row],[Span]]</f>
        <v>18672.213821341309</v>
      </c>
      <c r="U636" s="100">
        <f>IF(ISNUMBER('General Info'!$B$40), ((SamplingData[[#This Row],[up/U Selection Probability]]) * 'General Info'!$B$40) - 1, 0)</f>
        <v>0.93857026979260949</v>
      </c>
      <c r="V636" s="100">
        <f>IF(ISNUMBER('General Info'!$B$40), (SamplingData[[#This Row],[Running (cumulative) sum]] * ('General Info'!$B$40 -'General Info'!$B$41 + 1)) + 'General Info'!$B$41 - 1, 0)</f>
        <v>18673.1523916111</v>
      </c>
      <c r="W636" s="100" t="str">
        <f>IF(ISERROR(MATCH(SamplingData[[#This Row],[Batch by Type (p)]],SelectedPrecincts[Batch Name], 0)), "", INDEX(SelectedPrecincts[Draw], MATCH(SamplingData[[#This Row],[Batch by Type (p)]],SelectedPrecincts[Batch Name], 0)))</f>
        <v/>
      </c>
      <c r="X636" s="102">
        <f>IF(COUNTIF(SelectedPrecincts[Batch Name],SamplingData[[#This Row],[Batch by Type (p)]]) &lt;&gt; 0, COUNTIF(SelectedPrecincts[Batch Name],SamplingData[[#This Row],[Batch by Type (p)]]), 0)</f>
        <v>0</v>
      </c>
    </row>
    <row r="637" spans="1:24" ht="15" customHeight="1">
      <c r="A637" s="18" t="s">
        <v>813</v>
      </c>
      <c r="B637" s="18">
        <v>0</v>
      </c>
      <c r="C637" s="18">
        <v>0</v>
      </c>
      <c r="D637" s="16">
        <v>0</v>
      </c>
      <c r="E637" s="16">
        <v>0</v>
      </c>
      <c r="F637" s="37">
        <v>0</v>
      </c>
      <c r="G637" s="37">
        <v>0</v>
      </c>
      <c r="H637" s="17">
        <v>0</v>
      </c>
      <c r="I637" s="17">
        <v>0</v>
      </c>
      <c r="J637" s="99">
        <f>SUM(SamplingData[[#This Row],[Losing Candidate]:[Under Votes]])</f>
        <v>0</v>
      </c>
      <c r="K637" s="100">
        <f>IF(AND(SamplingData[[#This Row],[Total]]&lt;&gt; 0, NOT(ISBLANK(SamplingData[[#This Row],[Losing Candidate]]))),(SamplingData[[#This Row],[Total]]+SamplingData[[#This Row],[Winning Candidate]]-SamplingData[[#This Row],[Losing Candidate]])/(SamplingData[[#Totals],[Winning Candidate]]-SamplingData[[#Totals],[Losing Candidate]]), 0)</f>
        <v>0</v>
      </c>
      <c r="L637" s="100">
        <f>IF(AND(SamplingData[[#This Row],[Total]]&lt;&gt; 0, NOT(ISBLANK(SamplingData[[#This Row],[Candidate 3]]))),(SamplingData[[#This Row],[Total]]+SamplingData[[#This Row],[Winning Candidate]]-SamplingData[[#This Row],[Candidate 3]])/(SamplingData[[#Totals],[Winning Candidate]]-SamplingData[[#Totals],[Candidate 3]]), 0)</f>
        <v>0</v>
      </c>
      <c r="M637" s="100">
        <f>IF(AND(SamplingData[[#This Row],[Total]]&lt;&gt; 0, NOT(ISBLANK(SamplingData[[#This Row],[Candidate 4]]))),(SamplingData[[#This Row],[Total]]+SamplingData[[#This Row],[Winning Candidate]]-SamplingData[[#This Row],[Candidate 4]])/(SamplingData[[#Totals],[Winning Candidate]]-SamplingData[[#Totals],[Candidate 4]]), 0)</f>
        <v>0</v>
      </c>
      <c r="N637" s="100">
        <f>IF(AND(SamplingData[[#This Row],[Total]]&lt;&gt; 0, NOT(ISBLANK(SamplingData[[#This Row],[Candidate 5]]))),(SamplingData[[#This Row],[Total]]+SamplingData[[#This Row],[Winning Candidate]]-SamplingData[[#This Row],[Candidate 5]])/(SamplingData[[#Totals],[Winning Candidate]]-SamplingData[[#Totals],[Candidate 5]]), 0)</f>
        <v>0</v>
      </c>
      <c r="O637" s="100">
        <f>IF(AND(SamplingData[[#This Row],[Total]]&lt;&gt; 0, NOT(ISBLANK(SamplingData[[#This Row],[Candidate 6]]))),(SamplingData[[#This Row],[Total]]+SamplingData[[#This Row],[Winning Candidate]]-SamplingData[[#This Row],[Candidate 6]])/(SamplingData[[#Totals],[Winning Candidate]]-SamplingData[[#Totals],[Candidate 6]]), 0)</f>
        <v>0</v>
      </c>
      <c r="P637" s="100">
        <f>MAX(SamplingData[[#This Row],[Error Bound (up) - Max. possible relative overstatement - Losing Candidate]:[Error Bound (up) - Max. possible relative overstatement - Candidate 6]])</f>
        <v>0</v>
      </c>
      <c r="Q637" s="100">
        <f>IF(SamplingData[[#This Row],[Max Error Bound (up)]] = 0,0,SamplingData[[#This Row],[Max Error Bound (up)]]/SamplingData[[#Totals],[Max Error Bound (up)]])</f>
        <v>0</v>
      </c>
      <c r="R637" s="101">
        <f>SUM($Q$5:Q637)</f>
        <v>0.18674152391611101</v>
      </c>
      <c r="S637" s="100" t="str">
        <f t="array" ref="S637">IF(SamplingData[[#This Row],[up/U Selection Probability]] = 0, "Zero", TEXT(SamplingData[[#This Row],[Lower Range]], REPT("0",LEN('General Info'!$B$40))) &amp; " - " &amp; TEXT(SamplingData[[#This Row],[Upper Range]], REPT("0",LEN('General Info'!$B$40))))</f>
        <v>Zero</v>
      </c>
      <c r="T637" s="100">
        <f>SamplingData[[#This Row],[Upper Range]]-SamplingData[[#This Row],[Span]]</f>
        <v>18674.1523916111</v>
      </c>
      <c r="U637" s="100">
        <f>IF(ISNUMBER('General Info'!$B$40), ((SamplingData[[#This Row],[up/U Selection Probability]]) * 'General Info'!$B$40) - 1, 0)</f>
        <v>-1</v>
      </c>
      <c r="V637" s="100">
        <f>IF(ISNUMBER('General Info'!$B$40), (SamplingData[[#This Row],[Running (cumulative) sum]] * ('General Info'!$B$40 -'General Info'!$B$41 + 1)) + 'General Info'!$B$41 - 1, 0)</f>
        <v>18673.1523916111</v>
      </c>
      <c r="W637" s="100" t="str">
        <f>IF(ISERROR(MATCH(SamplingData[[#This Row],[Batch by Type (p)]],SelectedPrecincts[Batch Name], 0)), "", INDEX(SelectedPrecincts[Draw], MATCH(SamplingData[[#This Row],[Batch by Type (p)]],SelectedPrecincts[Batch Name], 0)))</f>
        <v/>
      </c>
      <c r="X637" s="102">
        <f>IF(COUNTIF(SelectedPrecincts[Batch Name],SamplingData[[#This Row],[Batch by Type (p)]]) &lt;&gt; 0, COUNTIF(SelectedPrecincts[Batch Name],SamplingData[[#This Row],[Batch by Type (p)]]), 0)</f>
        <v>0</v>
      </c>
    </row>
    <row r="638" spans="1:24" ht="15" customHeight="1">
      <c r="A638" s="18" t="s">
        <v>814</v>
      </c>
      <c r="B638" s="18">
        <v>0</v>
      </c>
      <c r="C638" s="18">
        <v>0</v>
      </c>
      <c r="D638" s="18">
        <v>0</v>
      </c>
      <c r="E638" s="18">
        <v>0</v>
      </c>
      <c r="F638" s="18">
        <v>0</v>
      </c>
      <c r="G638" s="18">
        <v>0</v>
      </c>
      <c r="H638" s="18">
        <v>0</v>
      </c>
      <c r="I638" s="18">
        <v>0</v>
      </c>
      <c r="J638" s="99">
        <f>SUM(SamplingData[[#This Row],[Losing Candidate]:[Under Votes]])</f>
        <v>0</v>
      </c>
      <c r="K638" s="100">
        <f>IF(AND(SamplingData[[#This Row],[Total]]&lt;&gt; 0, NOT(ISBLANK(SamplingData[[#This Row],[Losing Candidate]]))),(SamplingData[[#This Row],[Total]]+SamplingData[[#This Row],[Winning Candidate]]-SamplingData[[#This Row],[Losing Candidate]])/(SamplingData[[#Totals],[Winning Candidate]]-SamplingData[[#Totals],[Losing Candidate]]), 0)</f>
        <v>0</v>
      </c>
      <c r="L638" s="100">
        <f>IF(AND(SamplingData[[#This Row],[Total]]&lt;&gt; 0, NOT(ISBLANK(SamplingData[[#This Row],[Candidate 3]]))),(SamplingData[[#This Row],[Total]]+SamplingData[[#This Row],[Winning Candidate]]-SamplingData[[#This Row],[Candidate 3]])/(SamplingData[[#Totals],[Winning Candidate]]-SamplingData[[#Totals],[Candidate 3]]), 0)</f>
        <v>0</v>
      </c>
      <c r="M638" s="100">
        <f>IF(AND(SamplingData[[#This Row],[Total]]&lt;&gt; 0, NOT(ISBLANK(SamplingData[[#This Row],[Candidate 4]]))),(SamplingData[[#This Row],[Total]]+SamplingData[[#This Row],[Winning Candidate]]-SamplingData[[#This Row],[Candidate 4]])/(SamplingData[[#Totals],[Winning Candidate]]-SamplingData[[#Totals],[Candidate 4]]), 0)</f>
        <v>0</v>
      </c>
      <c r="N638" s="100">
        <f>IF(AND(SamplingData[[#This Row],[Total]]&lt;&gt; 0, NOT(ISBLANK(SamplingData[[#This Row],[Candidate 5]]))),(SamplingData[[#This Row],[Total]]+SamplingData[[#This Row],[Winning Candidate]]-SamplingData[[#This Row],[Candidate 5]])/(SamplingData[[#Totals],[Winning Candidate]]-SamplingData[[#Totals],[Candidate 5]]), 0)</f>
        <v>0</v>
      </c>
      <c r="O638" s="100">
        <f>IF(AND(SamplingData[[#This Row],[Total]]&lt;&gt; 0, NOT(ISBLANK(SamplingData[[#This Row],[Candidate 6]]))),(SamplingData[[#This Row],[Total]]+SamplingData[[#This Row],[Winning Candidate]]-SamplingData[[#This Row],[Candidate 6]])/(SamplingData[[#Totals],[Winning Candidate]]-SamplingData[[#Totals],[Candidate 6]]), 0)</f>
        <v>0</v>
      </c>
      <c r="P638" s="100">
        <f>MAX(SamplingData[[#This Row],[Error Bound (up) - Max. possible relative overstatement - Losing Candidate]:[Error Bound (up) - Max. possible relative overstatement - Candidate 6]])</f>
        <v>0</v>
      </c>
      <c r="Q638" s="100">
        <f>IF(SamplingData[[#This Row],[Max Error Bound (up)]] = 0,0,SamplingData[[#This Row],[Max Error Bound (up)]]/SamplingData[[#Totals],[Max Error Bound (up)]])</f>
        <v>0</v>
      </c>
      <c r="R638" s="101">
        <f>SUM($Q$5:Q638)</f>
        <v>0.18674152391611101</v>
      </c>
      <c r="S638" s="100" t="str">
        <f t="array" ref="S638">IF(SamplingData[[#This Row],[up/U Selection Probability]] = 0, "Zero", TEXT(SamplingData[[#This Row],[Lower Range]], REPT("0",LEN('General Info'!$B$40))) &amp; " - " &amp; TEXT(SamplingData[[#This Row],[Upper Range]], REPT("0",LEN('General Info'!$B$40))))</f>
        <v>Zero</v>
      </c>
      <c r="T638" s="100">
        <f>SamplingData[[#This Row],[Upper Range]]-SamplingData[[#This Row],[Span]]</f>
        <v>18674.1523916111</v>
      </c>
      <c r="U638" s="100">
        <f>IF(ISNUMBER('General Info'!$B$40), ((SamplingData[[#This Row],[up/U Selection Probability]]) * 'General Info'!$B$40) - 1, 0)</f>
        <v>-1</v>
      </c>
      <c r="V638" s="100">
        <f>IF(ISNUMBER('General Info'!$B$40), (SamplingData[[#This Row],[Running (cumulative) sum]] * ('General Info'!$B$40 -'General Info'!$B$41 + 1)) + 'General Info'!$B$41 - 1, 0)</f>
        <v>18673.1523916111</v>
      </c>
      <c r="W638" s="100" t="str">
        <f>IF(ISERROR(MATCH(SamplingData[[#This Row],[Batch by Type (p)]],SelectedPrecincts[Batch Name], 0)), "", INDEX(SelectedPrecincts[Draw], MATCH(SamplingData[[#This Row],[Batch by Type (p)]],SelectedPrecincts[Batch Name], 0)))</f>
        <v/>
      </c>
      <c r="X638" s="102">
        <f>IF(COUNTIF(SelectedPrecincts[Batch Name],SamplingData[[#This Row],[Batch by Type (p)]]) &lt;&gt; 0, COUNTIF(SelectedPrecincts[Batch Name],SamplingData[[#This Row],[Batch by Type (p)]]), 0)</f>
        <v>0</v>
      </c>
    </row>
    <row r="639" spans="1:24" ht="15" customHeight="1">
      <c r="A639" s="18" t="s">
        <v>815</v>
      </c>
      <c r="B639" s="18">
        <v>0</v>
      </c>
      <c r="C639" s="18">
        <v>1</v>
      </c>
      <c r="D639" s="16">
        <v>0</v>
      </c>
      <c r="E639" s="16">
        <v>0</v>
      </c>
      <c r="F639" s="37">
        <v>0</v>
      </c>
      <c r="G639" s="37">
        <v>0</v>
      </c>
      <c r="H639" s="17">
        <v>0</v>
      </c>
      <c r="I639" s="17">
        <v>0</v>
      </c>
      <c r="J639" s="99">
        <f>SUM(SamplingData[[#This Row],[Losing Candidate]:[Under Votes]])</f>
        <v>1</v>
      </c>
      <c r="K639"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39" s="100">
        <f>IF(AND(SamplingData[[#This Row],[Total]]&lt;&gt; 0, NOT(ISBLANK(SamplingData[[#This Row],[Candidate 3]]))),(SamplingData[[#This Row],[Total]]+SamplingData[[#This Row],[Winning Candidate]]-SamplingData[[#This Row],[Candidate 3]])/(SamplingData[[#Totals],[Winning Candidate]]-SamplingData[[#Totals],[Candidate 3]]), 0)</f>
        <v>6.4522373132883833E-5</v>
      </c>
      <c r="M639" s="100">
        <f>IF(AND(SamplingData[[#This Row],[Total]]&lt;&gt; 0, NOT(ISBLANK(SamplingData[[#This Row],[Candidate 4]]))),(SamplingData[[#This Row],[Total]]+SamplingData[[#This Row],[Winning Candidate]]-SamplingData[[#This Row],[Candidate 4]])/(SamplingData[[#Totals],[Winning Candidate]]-SamplingData[[#Totals],[Candidate 4]]), 0)</f>
        <v>5.846414686193692E-5</v>
      </c>
      <c r="N639" s="100">
        <f>IF(AND(SamplingData[[#This Row],[Total]]&lt;&gt; 0, NOT(ISBLANK(SamplingData[[#This Row],[Candidate 5]]))),(SamplingData[[#This Row],[Total]]+SamplingData[[#This Row],[Winning Candidate]]-SamplingData[[#This Row],[Candidate 5]])/(SamplingData[[#Totals],[Winning Candidate]]-SamplingData[[#Totals],[Candidate 5]]), 0)</f>
        <v>4.8649963512527367E-5</v>
      </c>
      <c r="O639" s="100">
        <f>IF(AND(SamplingData[[#This Row],[Total]]&lt;&gt; 0, NOT(ISBLANK(SamplingData[[#This Row],[Candidate 6]]))),(SamplingData[[#This Row],[Total]]+SamplingData[[#This Row],[Winning Candidate]]-SamplingData[[#This Row],[Candidate 6]])/(SamplingData[[#Totals],[Winning Candidate]]-SamplingData[[#Totals],[Candidate 6]]), 0)</f>
        <v>4.8635766742862701E-5</v>
      </c>
      <c r="P639" s="100">
        <f>MAX(SamplingData[[#This Row],[Error Bound (up) - Max. possible relative overstatement - Losing Candidate]:[Error Bound (up) - Max. possible relative overstatement - Candidate 6]])</f>
        <v>1.224889759921607E-4</v>
      </c>
      <c r="Q639" s="100">
        <f>IF(SamplingData[[#This Row],[Max Error Bound (up)]] = 0,0,SamplingData[[#This Row],[Max Error Bound (up)]]/SamplingData[[#Totals],[Max Error Bound (up)]])</f>
        <v>1.9385896556891663E-5</v>
      </c>
      <c r="R639" s="101">
        <f>SUM($Q$5:Q639)</f>
        <v>0.18676090981266791</v>
      </c>
      <c r="S639" s="100" t="str">
        <f t="array" ref="S639">IF(SamplingData[[#This Row],[up/U Selection Probability]] = 0, "Zero", TEXT(SamplingData[[#This Row],[Lower Range]], REPT("0",LEN('General Info'!$B$40))) &amp; " - " &amp; TEXT(SamplingData[[#This Row],[Upper Range]], REPT("0",LEN('General Info'!$B$40))))</f>
        <v>18674 - 18675</v>
      </c>
      <c r="T639" s="100">
        <f>SamplingData[[#This Row],[Upper Range]]-SamplingData[[#This Row],[Span]]</f>
        <v>18674.152410997001</v>
      </c>
      <c r="U639" s="100">
        <f>IF(ISNUMBER('General Info'!$B$40), ((SamplingData[[#This Row],[up/U Selection Probability]]) * 'General Info'!$B$40) - 1, 0)</f>
        <v>0.93857026979260949</v>
      </c>
      <c r="V639" s="100">
        <f>IF(ISNUMBER('General Info'!$B$40), (SamplingData[[#This Row],[Running (cumulative) sum]] * ('General Info'!$B$40 -'General Info'!$B$41 + 1)) + 'General Info'!$B$41 - 1, 0)</f>
        <v>18675.090981266792</v>
      </c>
      <c r="W639" s="100" t="str">
        <f>IF(ISERROR(MATCH(SamplingData[[#This Row],[Batch by Type (p)]],SelectedPrecincts[Batch Name], 0)), "", INDEX(SelectedPrecincts[Draw], MATCH(SamplingData[[#This Row],[Batch by Type (p)]],SelectedPrecincts[Batch Name], 0)))</f>
        <v/>
      </c>
      <c r="X639" s="102">
        <f>IF(COUNTIF(SelectedPrecincts[Batch Name],SamplingData[[#This Row],[Batch by Type (p)]]) &lt;&gt; 0, COUNTIF(SelectedPrecincts[Batch Name],SamplingData[[#This Row],[Batch by Type (p)]]), 0)</f>
        <v>0</v>
      </c>
    </row>
    <row r="640" spans="1:24" ht="15" customHeight="1">
      <c r="A640" s="18" t="s">
        <v>816</v>
      </c>
      <c r="B640" s="18">
        <v>0</v>
      </c>
      <c r="C640" s="18">
        <v>1</v>
      </c>
      <c r="D640" s="18">
        <v>0</v>
      </c>
      <c r="E640" s="18">
        <v>0</v>
      </c>
      <c r="F640" s="18">
        <v>0</v>
      </c>
      <c r="G640" s="18">
        <v>0</v>
      </c>
      <c r="H640" s="18">
        <v>0</v>
      </c>
      <c r="I640" s="18">
        <v>0</v>
      </c>
      <c r="J640" s="99">
        <f>SUM(SamplingData[[#This Row],[Losing Candidate]:[Under Votes]])</f>
        <v>1</v>
      </c>
      <c r="K64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40" s="100">
        <f>IF(AND(SamplingData[[#This Row],[Total]]&lt;&gt; 0, NOT(ISBLANK(SamplingData[[#This Row],[Candidate 3]]))),(SamplingData[[#This Row],[Total]]+SamplingData[[#This Row],[Winning Candidate]]-SamplingData[[#This Row],[Candidate 3]])/(SamplingData[[#Totals],[Winning Candidate]]-SamplingData[[#Totals],[Candidate 3]]), 0)</f>
        <v>6.4522373132883833E-5</v>
      </c>
      <c r="M640" s="100">
        <f>IF(AND(SamplingData[[#This Row],[Total]]&lt;&gt; 0, NOT(ISBLANK(SamplingData[[#This Row],[Candidate 4]]))),(SamplingData[[#This Row],[Total]]+SamplingData[[#This Row],[Winning Candidate]]-SamplingData[[#This Row],[Candidate 4]])/(SamplingData[[#Totals],[Winning Candidate]]-SamplingData[[#Totals],[Candidate 4]]), 0)</f>
        <v>5.846414686193692E-5</v>
      </c>
      <c r="N640" s="100">
        <f>IF(AND(SamplingData[[#This Row],[Total]]&lt;&gt; 0, NOT(ISBLANK(SamplingData[[#This Row],[Candidate 5]]))),(SamplingData[[#This Row],[Total]]+SamplingData[[#This Row],[Winning Candidate]]-SamplingData[[#This Row],[Candidate 5]])/(SamplingData[[#Totals],[Winning Candidate]]-SamplingData[[#Totals],[Candidate 5]]), 0)</f>
        <v>4.8649963512527367E-5</v>
      </c>
      <c r="O640" s="100">
        <f>IF(AND(SamplingData[[#This Row],[Total]]&lt;&gt; 0, NOT(ISBLANK(SamplingData[[#This Row],[Candidate 6]]))),(SamplingData[[#This Row],[Total]]+SamplingData[[#This Row],[Winning Candidate]]-SamplingData[[#This Row],[Candidate 6]])/(SamplingData[[#Totals],[Winning Candidate]]-SamplingData[[#Totals],[Candidate 6]]), 0)</f>
        <v>4.8635766742862701E-5</v>
      </c>
      <c r="P640" s="100">
        <f>MAX(SamplingData[[#This Row],[Error Bound (up) - Max. possible relative overstatement - Losing Candidate]:[Error Bound (up) - Max. possible relative overstatement - Candidate 6]])</f>
        <v>1.224889759921607E-4</v>
      </c>
      <c r="Q640" s="100">
        <f>IF(SamplingData[[#This Row],[Max Error Bound (up)]] = 0,0,SamplingData[[#This Row],[Max Error Bound (up)]]/SamplingData[[#Totals],[Max Error Bound (up)]])</f>
        <v>1.9385896556891663E-5</v>
      </c>
      <c r="R640" s="101">
        <f>SUM($Q$5:Q640)</f>
        <v>0.1867802957092248</v>
      </c>
      <c r="S640" s="100" t="str">
        <f t="array" ref="S640">IF(SamplingData[[#This Row],[up/U Selection Probability]] = 0, "Zero", TEXT(SamplingData[[#This Row],[Lower Range]], REPT("0",LEN('General Info'!$B$40))) &amp; " - " &amp; TEXT(SamplingData[[#This Row],[Upper Range]], REPT("0",LEN('General Info'!$B$40))))</f>
        <v>18676 - 18677</v>
      </c>
      <c r="T640" s="100">
        <f>SamplingData[[#This Row],[Upper Range]]-SamplingData[[#This Row],[Span]]</f>
        <v>18676.09100065269</v>
      </c>
      <c r="U640" s="100">
        <f>IF(ISNUMBER('General Info'!$B$40), ((SamplingData[[#This Row],[up/U Selection Probability]]) * 'General Info'!$B$40) - 1, 0)</f>
        <v>0.93857026979260949</v>
      </c>
      <c r="V640" s="100">
        <f>IF(ISNUMBER('General Info'!$B$40), (SamplingData[[#This Row],[Running (cumulative) sum]] * ('General Info'!$B$40 -'General Info'!$B$41 + 1)) + 'General Info'!$B$41 - 1, 0)</f>
        <v>18677.029570922481</v>
      </c>
      <c r="W640" s="100" t="str">
        <f>IF(ISERROR(MATCH(SamplingData[[#This Row],[Batch by Type (p)]],SelectedPrecincts[Batch Name], 0)), "", INDEX(SelectedPrecincts[Draw], MATCH(SamplingData[[#This Row],[Batch by Type (p)]],SelectedPrecincts[Batch Name], 0)))</f>
        <v/>
      </c>
      <c r="X640" s="102">
        <f>IF(COUNTIF(SelectedPrecincts[Batch Name],SamplingData[[#This Row],[Batch by Type (p)]]) &lt;&gt; 0, COUNTIF(SelectedPrecincts[Batch Name],SamplingData[[#This Row],[Batch by Type (p)]]), 0)</f>
        <v>0</v>
      </c>
    </row>
    <row r="641" spans="1:24" ht="15" customHeight="1">
      <c r="A641" s="18" t="s">
        <v>817</v>
      </c>
      <c r="B641" s="18">
        <v>1</v>
      </c>
      <c r="C641" s="18">
        <v>3</v>
      </c>
      <c r="D641" s="16">
        <v>0</v>
      </c>
      <c r="E641" s="16">
        <v>1</v>
      </c>
      <c r="F641" s="37">
        <v>0</v>
      </c>
      <c r="G641" s="37">
        <v>0</v>
      </c>
      <c r="H641" s="17">
        <v>0</v>
      </c>
      <c r="I641" s="17">
        <v>0</v>
      </c>
      <c r="J641" s="99">
        <f>SUM(SamplingData[[#This Row],[Losing Candidate]:[Under Votes]])</f>
        <v>5</v>
      </c>
      <c r="K641"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641" s="100">
        <f>IF(AND(SamplingData[[#This Row],[Total]]&lt;&gt; 0, NOT(ISBLANK(SamplingData[[#This Row],[Candidate 3]]))),(SamplingData[[#This Row],[Total]]+SamplingData[[#This Row],[Winning Candidate]]-SamplingData[[#This Row],[Candidate 3]])/(SamplingData[[#Totals],[Winning Candidate]]-SamplingData[[#Totals],[Candidate 3]]), 0)</f>
        <v>2.5808949253153533E-4</v>
      </c>
      <c r="M641" s="100">
        <f>IF(AND(SamplingData[[#This Row],[Total]]&lt;&gt; 0, NOT(ISBLANK(SamplingData[[#This Row],[Candidate 4]]))),(SamplingData[[#This Row],[Total]]+SamplingData[[#This Row],[Winning Candidate]]-SamplingData[[#This Row],[Candidate 4]])/(SamplingData[[#Totals],[Winning Candidate]]-SamplingData[[#Totals],[Candidate 4]]), 0)</f>
        <v>2.0462451401677921E-4</v>
      </c>
      <c r="N641" s="100">
        <f>IF(AND(SamplingData[[#This Row],[Total]]&lt;&gt; 0, NOT(ISBLANK(SamplingData[[#This Row],[Candidate 5]]))),(SamplingData[[#This Row],[Total]]+SamplingData[[#This Row],[Winning Candidate]]-SamplingData[[#This Row],[Candidate 5]])/(SamplingData[[#Totals],[Winning Candidate]]-SamplingData[[#Totals],[Candidate 5]]), 0)</f>
        <v>1.9459985405010947E-4</v>
      </c>
      <c r="O641" s="100">
        <f>IF(AND(SamplingData[[#This Row],[Total]]&lt;&gt; 0, NOT(ISBLANK(SamplingData[[#This Row],[Candidate 6]]))),(SamplingData[[#This Row],[Total]]+SamplingData[[#This Row],[Winning Candidate]]-SamplingData[[#This Row],[Candidate 6]])/(SamplingData[[#Totals],[Winning Candidate]]-SamplingData[[#Totals],[Candidate 6]]), 0)</f>
        <v>1.945430669714508E-4</v>
      </c>
      <c r="P641" s="100">
        <f>MAX(SamplingData[[#This Row],[Error Bound (up) - Max. possible relative overstatement - Losing Candidate]:[Error Bound (up) - Max. possible relative overstatement - Candidate 6]])</f>
        <v>4.2871141597256246E-4</v>
      </c>
      <c r="Q641" s="100">
        <f>IF(SamplingData[[#This Row],[Max Error Bound (up)]] = 0,0,SamplingData[[#This Row],[Max Error Bound (up)]]/SamplingData[[#Totals],[Max Error Bound (up)]])</f>
        <v>6.7850637949120826E-5</v>
      </c>
      <c r="R641" s="101">
        <f>SUM($Q$5:Q641)</f>
        <v>0.18684814634717392</v>
      </c>
      <c r="S641" s="100" t="str">
        <f t="array" ref="S641">IF(SamplingData[[#This Row],[up/U Selection Probability]] = 0, "Zero", TEXT(SamplingData[[#This Row],[Lower Range]], REPT("0",LEN('General Info'!$B$40))) &amp; " - " &amp; TEXT(SamplingData[[#This Row],[Upper Range]], REPT("0",LEN('General Info'!$B$40))))</f>
        <v>18678 - 18684</v>
      </c>
      <c r="T641" s="100">
        <f>SamplingData[[#This Row],[Upper Range]]-SamplingData[[#This Row],[Span]]</f>
        <v>18678.029638773118</v>
      </c>
      <c r="U641" s="100">
        <f>IF(ISNUMBER('General Info'!$B$40), ((SamplingData[[#This Row],[up/U Selection Probability]]) * 'General Info'!$B$40) - 1, 0)</f>
        <v>5.7849959442741339</v>
      </c>
      <c r="V641" s="100">
        <f>IF(ISNUMBER('General Info'!$B$40), (SamplingData[[#This Row],[Running (cumulative) sum]] * ('General Info'!$B$40 -'General Info'!$B$41 + 1)) + 'General Info'!$B$41 - 1, 0)</f>
        <v>18683.814634717393</v>
      </c>
      <c r="W641" s="100" t="str">
        <f>IF(ISERROR(MATCH(SamplingData[[#This Row],[Batch by Type (p)]],SelectedPrecincts[Batch Name], 0)), "", INDEX(SelectedPrecincts[Draw], MATCH(SamplingData[[#This Row],[Batch by Type (p)]],SelectedPrecincts[Batch Name], 0)))</f>
        <v/>
      </c>
      <c r="X641" s="102">
        <f>IF(COUNTIF(SelectedPrecincts[Batch Name],SamplingData[[#This Row],[Batch by Type (p)]]) &lt;&gt; 0, COUNTIF(SelectedPrecincts[Batch Name],SamplingData[[#This Row],[Batch by Type (p)]]), 0)</f>
        <v>0</v>
      </c>
    </row>
    <row r="642" spans="1:24" ht="15" customHeight="1">
      <c r="A642" s="18" t="s">
        <v>818</v>
      </c>
      <c r="B642" s="18">
        <v>0</v>
      </c>
      <c r="C642" s="18">
        <v>1</v>
      </c>
      <c r="D642" s="18">
        <v>0</v>
      </c>
      <c r="E642" s="18">
        <v>0</v>
      </c>
      <c r="F642" s="18">
        <v>0</v>
      </c>
      <c r="G642" s="18">
        <v>0</v>
      </c>
      <c r="H642" s="18">
        <v>0</v>
      </c>
      <c r="I642" s="18">
        <v>0</v>
      </c>
      <c r="J642" s="99">
        <f>SUM(SamplingData[[#This Row],[Losing Candidate]:[Under Votes]])</f>
        <v>1</v>
      </c>
      <c r="K64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42" s="100">
        <f>IF(AND(SamplingData[[#This Row],[Total]]&lt;&gt; 0, NOT(ISBLANK(SamplingData[[#This Row],[Candidate 3]]))),(SamplingData[[#This Row],[Total]]+SamplingData[[#This Row],[Winning Candidate]]-SamplingData[[#This Row],[Candidate 3]])/(SamplingData[[#Totals],[Winning Candidate]]-SamplingData[[#Totals],[Candidate 3]]), 0)</f>
        <v>6.4522373132883833E-5</v>
      </c>
      <c r="M642" s="100">
        <f>IF(AND(SamplingData[[#This Row],[Total]]&lt;&gt; 0, NOT(ISBLANK(SamplingData[[#This Row],[Candidate 4]]))),(SamplingData[[#This Row],[Total]]+SamplingData[[#This Row],[Winning Candidate]]-SamplingData[[#This Row],[Candidate 4]])/(SamplingData[[#Totals],[Winning Candidate]]-SamplingData[[#Totals],[Candidate 4]]), 0)</f>
        <v>5.846414686193692E-5</v>
      </c>
      <c r="N642" s="100">
        <f>IF(AND(SamplingData[[#This Row],[Total]]&lt;&gt; 0, NOT(ISBLANK(SamplingData[[#This Row],[Candidate 5]]))),(SamplingData[[#This Row],[Total]]+SamplingData[[#This Row],[Winning Candidate]]-SamplingData[[#This Row],[Candidate 5]])/(SamplingData[[#Totals],[Winning Candidate]]-SamplingData[[#Totals],[Candidate 5]]), 0)</f>
        <v>4.8649963512527367E-5</v>
      </c>
      <c r="O642" s="100">
        <f>IF(AND(SamplingData[[#This Row],[Total]]&lt;&gt; 0, NOT(ISBLANK(SamplingData[[#This Row],[Candidate 6]]))),(SamplingData[[#This Row],[Total]]+SamplingData[[#This Row],[Winning Candidate]]-SamplingData[[#This Row],[Candidate 6]])/(SamplingData[[#Totals],[Winning Candidate]]-SamplingData[[#Totals],[Candidate 6]]), 0)</f>
        <v>4.8635766742862701E-5</v>
      </c>
      <c r="P642" s="100">
        <f>MAX(SamplingData[[#This Row],[Error Bound (up) - Max. possible relative overstatement - Losing Candidate]:[Error Bound (up) - Max. possible relative overstatement - Candidate 6]])</f>
        <v>1.224889759921607E-4</v>
      </c>
      <c r="Q642" s="100">
        <f>IF(SamplingData[[#This Row],[Max Error Bound (up)]] = 0,0,SamplingData[[#This Row],[Max Error Bound (up)]]/SamplingData[[#Totals],[Max Error Bound (up)]])</f>
        <v>1.9385896556891663E-5</v>
      </c>
      <c r="R642" s="101">
        <f>SUM($Q$5:Q642)</f>
        <v>0.18686753224373082</v>
      </c>
      <c r="S642" s="100" t="str">
        <f t="array" ref="S642">IF(SamplingData[[#This Row],[up/U Selection Probability]] = 0, "Zero", TEXT(SamplingData[[#This Row],[Lower Range]], REPT("0",LEN('General Info'!$B$40))) &amp; " - " &amp; TEXT(SamplingData[[#This Row],[Upper Range]], REPT("0",LEN('General Info'!$B$40))))</f>
        <v>18685 - 18686</v>
      </c>
      <c r="T642" s="100">
        <f>SamplingData[[#This Row],[Upper Range]]-SamplingData[[#This Row],[Span]]</f>
        <v>18684.814654103291</v>
      </c>
      <c r="U642" s="100">
        <f>IF(ISNUMBER('General Info'!$B$40), ((SamplingData[[#This Row],[up/U Selection Probability]]) * 'General Info'!$B$40) - 1, 0)</f>
        <v>0.93857026979260949</v>
      </c>
      <c r="V642" s="100">
        <f>IF(ISNUMBER('General Info'!$B$40), (SamplingData[[#This Row],[Running (cumulative) sum]] * ('General Info'!$B$40 -'General Info'!$B$41 + 1)) + 'General Info'!$B$41 - 1, 0)</f>
        <v>18685.753224373082</v>
      </c>
      <c r="W642" s="100" t="str">
        <f>IF(ISERROR(MATCH(SamplingData[[#This Row],[Batch by Type (p)]],SelectedPrecincts[Batch Name], 0)), "", INDEX(SelectedPrecincts[Draw], MATCH(SamplingData[[#This Row],[Batch by Type (p)]],SelectedPrecincts[Batch Name], 0)))</f>
        <v/>
      </c>
      <c r="X642" s="102">
        <f>IF(COUNTIF(SelectedPrecincts[Batch Name],SamplingData[[#This Row],[Batch by Type (p)]]) &lt;&gt; 0, COUNTIF(SelectedPrecincts[Batch Name],SamplingData[[#This Row],[Batch by Type (p)]]), 0)</f>
        <v>0</v>
      </c>
    </row>
    <row r="643" spans="1:24" ht="15" customHeight="1">
      <c r="A643" s="18" t="s">
        <v>819</v>
      </c>
      <c r="B643" s="18">
        <v>0</v>
      </c>
      <c r="C643" s="18">
        <v>0</v>
      </c>
      <c r="D643" s="16">
        <v>1</v>
      </c>
      <c r="E643" s="16">
        <v>1</v>
      </c>
      <c r="F643" s="37">
        <v>0</v>
      </c>
      <c r="G643" s="37">
        <v>0</v>
      </c>
      <c r="H643" s="17">
        <v>0</v>
      </c>
      <c r="I643" s="17">
        <v>0</v>
      </c>
      <c r="J643" s="99">
        <f>SUM(SamplingData[[#This Row],[Losing Candidate]:[Under Votes]])</f>
        <v>2</v>
      </c>
      <c r="K643"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43" s="100">
        <f>IF(AND(SamplingData[[#This Row],[Total]]&lt;&gt; 0, NOT(ISBLANK(SamplingData[[#This Row],[Candidate 3]]))),(SamplingData[[#This Row],[Total]]+SamplingData[[#This Row],[Winning Candidate]]-SamplingData[[#This Row],[Candidate 3]])/(SamplingData[[#Totals],[Winning Candidate]]-SamplingData[[#Totals],[Candidate 3]]), 0)</f>
        <v>3.2261186566441917E-5</v>
      </c>
      <c r="M643" s="100">
        <f>IF(AND(SamplingData[[#This Row],[Total]]&lt;&gt; 0, NOT(ISBLANK(SamplingData[[#This Row],[Candidate 4]]))),(SamplingData[[#This Row],[Total]]+SamplingData[[#This Row],[Winning Candidate]]-SamplingData[[#This Row],[Candidate 4]])/(SamplingData[[#Totals],[Winning Candidate]]-SamplingData[[#Totals],[Candidate 4]]), 0)</f>
        <v>2.923207343096846E-5</v>
      </c>
      <c r="N643" s="100">
        <f>IF(AND(SamplingData[[#This Row],[Total]]&lt;&gt; 0, NOT(ISBLANK(SamplingData[[#This Row],[Candidate 5]]))),(SamplingData[[#This Row],[Total]]+SamplingData[[#This Row],[Winning Candidate]]-SamplingData[[#This Row],[Candidate 5]])/(SamplingData[[#Totals],[Winning Candidate]]-SamplingData[[#Totals],[Candidate 5]]), 0)</f>
        <v>4.8649963512527367E-5</v>
      </c>
      <c r="O643" s="100">
        <f>IF(AND(SamplingData[[#This Row],[Total]]&lt;&gt; 0, NOT(ISBLANK(SamplingData[[#This Row],[Candidate 6]]))),(SamplingData[[#This Row],[Total]]+SamplingData[[#This Row],[Winning Candidate]]-SamplingData[[#This Row],[Candidate 6]])/(SamplingData[[#Totals],[Winning Candidate]]-SamplingData[[#Totals],[Candidate 6]]), 0)</f>
        <v>4.8635766742862701E-5</v>
      </c>
      <c r="P643" s="100">
        <f>MAX(SamplingData[[#This Row],[Error Bound (up) - Max. possible relative overstatement - Losing Candidate]:[Error Bound (up) - Max. possible relative overstatement - Candidate 6]])</f>
        <v>1.224889759921607E-4</v>
      </c>
      <c r="Q643" s="100">
        <f>IF(SamplingData[[#This Row],[Max Error Bound (up)]] = 0,0,SamplingData[[#This Row],[Max Error Bound (up)]]/SamplingData[[#Totals],[Max Error Bound (up)]])</f>
        <v>1.9385896556891663E-5</v>
      </c>
      <c r="R643" s="101">
        <f>SUM($Q$5:Q643)</f>
        <v>0.18688691814028771</v>
      </c>
      <c r="S643" s="100" t="str">
        <f t="array" ref="S643">IF(SamplingData[[#This Row],[up/U Selection Probability]] = 0, "Zero", TEXT(SamplingData[[#This Row],[Lower Range]], REPT("0",LEN('General Info'!$B$40))) &amp; " - " &amp; TEXT(SamplingData[[#This Row],[Upper Range]], REPT("0",LEN('General Info'!$B$40))))</f>
        <v>18687 - 18688</v>
      </c>
      <c r="T643" s="100">
        <f>SamplingData[[#This Row],[Upper Range]]-SamplingData[[#This Row],[Span]]</f>
        <v>18686.75324375898</v>
      </c>
      <c r="U643" s="100">
        <f>IF(ISNUMBER('General Info'!$B$40), ((SamplingData[[#This Row],[up/U Selection Probability]]) * 'General Info'!$B$40) - 1, 0)</f>
        <v>0.93857026979260949</v>
      </c>
      <c r="V643" s="100">
        <f>IF(ISNUMBER('General Info'!$B$40), (SamplingData[[#This Row],[Running (cumulative) sum]] * ('General Info'!$B$40 -'General Info'!$B$41 + 1)) + 'General Info'!$B$41 - 1, 0)</f>
        <v>18687.691814028771</v>
      </c>
      <c r="W643" s="100" t="str">
        <f>IF(ISERROR(MATCH(SamplingData[[#This Row],[Batch by Type (p)]],SelectedPrecincts[Batch Name], 0)), "", INDEX(SelectedPrecincts[Draw], MATCH(SamplingData[[#This Row],[Batch by Type (p)]],SelectedPrecincts[Batch Name], 0)))</f>
        <v/>
      </c>
      <c r="X643" s="102">
        <f>IF(COUNTIF(SelectedPrecincts[Batch Name],SamplingData[[#This Row],[Batch by Type (p)]]) &lt;&gt; 0, COUNTIF(SelectedPrecincts[Batch Name],SamplingData[[#This Row],[Batch by Type (p)]]), 0)</f>
        <v>0</v>
      </c>
    </row>
    <row r="644" spans="1:24" ht="15" customHeight="1">
      <c r="A644" s="18" t="s">
        <v>820</v>
      </c>
      <c r="B644" s="18">
        <v>1</v>
      </c>
      <c r="C644" s="18">
        <v>0</v>
      </c>
      <c r="D644" s="18">
        <v>0</v>
      </c>
      <c r="E644" s="18">
        <v>0</v>
      </c>
      <c r="F644" s="18">
        <v>0</v>
      </c>
      <c r="G644" s="18">
        <v>0</v>
      </c>
      <c r="H644" s="18">
        <v>0</v>
      </c>
      <c r="I644" s="18">
        <v>0</v>
      </c>
      <c r="J644" s="99">
        <f>SUM(SamplingData[[#This Row],[Losing Candidate]:[Under Votes]])</f>
        <v>1</v>
      </c>
      <c r="K644" s="100">
        <f>IF(AND(SamplingData[[#This Row],[Total]]&lt;&gt; 0, NOT(ISBLANK(SamplingData[[#This Row],[Losing Candidate]]))),(SamplingData[[#This Row],[Total]]+SamplingData[[#This Row],[Winning Candidate]]-SamplingData[[#This Row],[Losing Candidate]])/(SamplingData[[#Totals],[Winning Candidate]]-SamplingData[[#Totals],[Losing Candidate]]), 0)</f>
        <v>0</v>
      </c>
      <c r="L644" s="100">
        <f>IF(AND(SamplingData[[#This Row],[Total]]&lt;&gt; 0, NOT(ISBLANK(SamplingData[[#This Row],[Candidate 3]]))),(SamplingData[[#This Row],[Total]]+SamplingData[[#This Row],[Winning Candidate]]-SamplingData[[#This Row],[Candidate 3]])/(SamplingData[[#Totals],[Winning Candidate]]-SamplingData[[#Totals],[Candidate 3]]), 0)</f>
        <v>3.2261186566441917E-5</v>
      </c>
      <c r="M644" s="100">
        <f>IF(AND(SamplingData[[#This Row],[Total]]&lt;&gt; 0, NOT(ISBLANK(SamplingData[[#This Row],[Candidate 4]]))),(SamplingData[[#This Row],[Total]]+SamplingData[[#This Row],[Winning Candidate]]-SamplingData[[#This Row],[Candidate 4]])/(SamplingData[[#Totals],[Winning Candidate]]-SamplingData[[#Totals],[Candidate 4]]), 0)</f>
        <v>2.923207343096846E-5</v>
      </c>
      <c r="N644" s="100">
        <f>IF(AND(SamplingData[[#This Row],[Total]]&lt;&gt; 0, NOT(ISBLANK(SamplingData[[#This Row],[Candidate 5]]))),(SamplingData[[#This Row],[Total]]+SamplingData[[#This Row],[Winning Candidate]]-SamplingData[[#This Row],[Candidate 5]])/(SamplingData[[#Totals],[Winning Candidate]]-SamplingData[[#Totals],[Candidate 5]]), 0)</f>
        <v>2.4324981756263683E-5</v>
      </c>
      <c r="O644" s="100">
        <f>IF(AND(SamplingData[[#This Row],[Total]]&lt;&gt; 0, NOT(ISBLANK(SamplingData[[#This Row],[Candidate 6]]))),(SamplingData[[#This Row],[Total]]+SamplingData[[#This Row],[Winning Candidate]]-SamplingData[[#This Row],[Candidate 6]])/(SamplingData[[#Totals],[Winning Candidate]]-SamplingData[[#Totals],[Candidate 6]]), 0)</f>
        <v>2.431788337143135E-5</v>
      </c>
      <c r="P644" s="100">
        <f>MAX(SamplingData[[#This Row],[Error Bound (up) - Max. possible relative overstatement - Losing Candidate]:[Error Bound (up) - Max. possible relative overstatement - Candidate 6]])</f>
        <v>3.2261186566441917E-5</v>
      </c>
      <c r="Q644" s="100">
        <f>IF(SamplingData[[#This Row],[Max Error Bound (up)]] = 0,0,SamplingData[[#This Row],[Max Error Bound (up)]]/SamplingData[[#Totals],[Max Error Bound (up)]])</f>
        <v>5.1058637768320663E-6</v>
      </c>
      <c r="R644" s="101">
        <f>SUM($Q$5:Q644)</f>
        <v>0.18689202400406454</v>
      </c>
      <c r="S644" s="100" t="str">
        <f t="array" ref="S644">IF(SamplingData[[#This Row],[up/U Selection Probability]] = 0, "Zero", TEXT(SamplingData[[#This Row],[Lower Range]], REPT("0",LEN('General Info'!$B$40))) &amp; " - " &amp; TEXT(SamplingData[[#This Row],[Upper Range]], REPT("0",LEN('General Info'!$B$40))))</f>
        <v>18689 - 18688</v>
      </c>
      <c r="T644" s="100">
        <f>SamplingData[[#This Row],[Upper Range]]-SamplingData[[#This Row],[Span]]</f>
        <v>18688.691819134634</v>
      </c>
      <c r="U644" s="100">
        <f>IF(ISNUMBER('General Info'!$B$40), ((SamplingData[[#This Row],[up/U Selection Probability]]) * 'General Info'!$B$40) - 1, 0)</f>
        <v>-0.4894187281805702</v>
      </c>
      <c r="V644" s="100">
        <f>IF(ISNUMBER('General Info'!$B$40), (SamplingData[[#This Row],[Running (cumulative) sum]] * ('General Info'!$B$40 -'General Info'!$B$41 + 1)) + 'General Info'!$B$41 - 1, 0)</f>
        <v>18688.202400406455</v>
      </c>
      <c r="W644" s="100" t="str">
        <f>IF(ISERROR(MATCH(SamplingData[[#This Row],[Batch by Type (p)]],SelectedPrecincts[Batch Name], 0)), "", INDEX(SelectedPrecincts[Draw], MATCH(SamplingData[[#This Row],[Batch by Type (p)]],SelectedPrecincts[Batch Name], 0)))</f>
        <v/>
      </c>
      <c r="X644" s="102">
        <f>IF(COUNTIF(SelectedPrecincts[Batch Name],SamplingData[[#This Row],[Batch by Type (p)]]) &lt;&gt; 0, COUNTIF(SelectedPrecincts[Batch Name],SamplingData[[#This Row],[Batch by Type (p)]]), 0)</f>
        <v>0</v>
      </c>
    </row>
    <row r="645" spans="1:24" ht="15" customHeight="1">
      <c r="A645" s="18" t="s">
        <v>821</v>
      </c>
      <c r="B645" s="18">
        <v>17</v>
      </c>
      <c r="C645" s="18">
        <v>21</v>
      </c>
      <c r="D645" s="16">
        <v>3</v>
      </c>
      <c r="E645" s="16">
        <v>10</v>
      </c>
      <c r="F645" s="37">
        <v>0</v>
      </c>
      <c r="G645" s="37">
        <v>0</v>
      </c>
      <c r="H645" s="17">
        <v>0</v>
      </c>
      <c r="I645" s="17">
        <v>2</v>
      </c>
      <c r="J645" s="99">
        <f>SUM(SamplingData[[#This Row],[Losing Candidate]:[Under Votes]])</f>
        <v>53</v>
      </c>
      <c r="K645" s="100">
        <f>IF(AND(SamplingData[[#This Row],[Total]]&lt;&gt; 0, NOT(ISBLANK(SamplingData[[#This Row],[Losing Candidate]]))),(SamplingData[[#This Row],[Total]]+SamplingData[[#This Row],[Winning Candidate]]-SamplingData[[#This Row],[Losing Candidate]])/(SamplingData[[#Totals],[Winning Candidate]]-SamplingData[[#Totals],[Losing Candidate]]), 0)</f>
        <v>3.4909358157765801E-3</v>
      </c>
      <c r="L645" s="100">
        <f>IF(AND(SamplingData[[#This Row],[Total]]&lt;&gt; 0, NOT(ISBLANK(SamplingData[[#This Row],[Candidate 3]]))),(SamplingData[[#This Row],[Total]]+SamplingData[[#This Row],[Winning Candidate]]-SamplingData[[#This Row],[Candidate 3]])/(SamplingData[[#Totals],[Winning Candidate]]-SamplingData[[#Totals],[Candidate 3]]), 0)</f>
        <v>2.2905442462173757E-3</v>
      </c>
      <c r="M645" s="100">
        <f>IF(AND(SamplingData[[#This Row],[Total]]&lt;&gt; 0, NOT(ISBLANK(SamplingData[[#This Row],[Candidate 4]]))),(SamplingData[[#This Row],[Total]]+SamplingData[[#This Row],[Winning Candidate]]-SamplingData[[#This Row],[Candidate 4]])/(SamplingData[[#Totals],[Winning Candidate]]-SamplingData[[#Totals],[Candidate 4]]), 0)</f>
        <v>1.8708526995819814E-3</v>
      </c>
      <c r="N645" s="100">
        <f>IF(AND(SamplingData[[#This Row],[Total]]&lt;&gt; 0, NOT(ISBLANK(SamplingData[[#This Row],[Candidate 5]]))),(SamplingData[[#This Row],[Total]]+SamplingData[[#This Row],[Winning Candidate]]-SamplingData[[#This Row],[Candidate 5]])/(SamplingData[[#Totals],[Winning Candidate]]-SamplingData[[#Totals],[Candidate 5]]), 0)</f>
        <v>1.8000486499635125E-3</v>
      </c>
      <c r="O645" s="100">
        <f>IF(AND(SamplingData[[#This Row],[Total]]&lt;&gt; 0, NOT(ISBLANK(SamplingData[[#This Row],[Candidate 6]]))),(SamplingData[[#This Row],[Total]]+SamplingData[[#This Row],[Winning Candidate]]-SamplingData[[#This Row],[Candidate 6]])/(SamplingData[[#Totals],[Winning Candidate]]-SamplingData[[#Totals],[Candidate 6]]), 0)</f>
        <v>1.7995233694859199E-3</v>
      </c>
      <c r="P645" s="100">
        <f>MAX(SamplingData[[#This Row],[Error Bound (up) - Max. possible relative overstatement - Losing Candidate]:[Error Bound (up) - Max. possible relative overstatement - Candidate 6]])</f>
        <v>3.4909358157765801E-3</v>
      </c>
      <c r="Q645" s="100">
        <f>IF(SamplingData[[#This Row],[Max Error Bound (up)]] = 0,0,SamplingData[[#This Row],[Max Error Bound (up)]]/SamplingData[[#Totals],[Max Error Bound (up)]])</f>
        <v>5.5249805187141245E-4</v>
      </c>
      <c r="R645" s="101">
        <f>SUM($Q$5:Q645)</f>
        <v>0.18744452205593595</v>
      </c>
      <c r="S645" s="100" t="str">
        <f t="array" ref="S645">IF(SamplingData[[#This Row],[up/U Selection Probability]] = 0, "Zero", TEXT(SamplingData[[#This Row],[Lower Range]], REPT("0",LEN('General Info'!$B$40))) &amp; " - " &amp; TEXT(SamplingData[[#This Row],[Upper Range]], REPT("0",LEN('General Info'!$B$40))))</f>
        <v>18689 - 18743</v>
      </c>
      <c r="T645" s="100">
        <f>SamplingData[[#This Row],[Upper Range]]-SamplingData[[#This Row],[Span]]</f>
        <v>18689.202952904507</v>
      </c>
      <c r="U645" s="100">
        <f>IF(ISNUMBER('General Info'!$B$40), ((SamplingData[[#This Row],[up/U Selection Probability]]) * 'General Info'!$B$40) - 1, 0)</f>
        <v>54.249252689089374</v>
      </c>
      <c r="V645" s="100">
        <f>IF(ISNUMBER('General Info'!$B$40), (SamplingData[[#This Row],[Running (cumulative) sum]] * ('General Info'!$B$40 -'General Info'!$B$41 + 1)) + 'General Info'!$B$41 - 1, 0)</f>
        <v>18743.452205593596</v>
      </c>
      <c r="W645" s="100" t="str">
        <f>IF(ISERROR(MATCH(SamplingData[[#This Row],[Batch by Type (p)]],SelectedPrecincts[Batch Name], 0)), "", INDEX(SelectedPrecincts[Draw], MATCH(SamplingData[[#This Row],[Batch by Type (p)]],SelectedPrecincts[Batch Name], 0)))</f>
        <v/>
      </c>
      <c r="X645" s="102">
        <f>IF(COUNTIF(SelectedPrecincts[Batch Name],SamplingData[[#This Row],[Batch by Type (p)]]) &lt;&gt; 0, COUNTIF(SelectedPrecincts[Batch Name],SamplingData[[#This Row],[Batch by Type (p)]]), 0)</f>
        <v>0</v>
      </c>
    </row>
    <row r="646" spans="1:24" ht="15" customHeight="1">
      <c r="A646" s="18" t="s">
        <v>822</v>
      </c>
      <c r="B646" s="18">
        <v>9</v>
      </c>
      <c r="C646" s="18">
        <v>5</v>
      </c>
      <c r="D646" s="18">
        <v>6</v>
      </c>
      <c r="E646" s="18">
        <v>2</v>
      </c>
      <c r="F646" s="18">
        <v>0</v>
      </c>
      <c r="G646" s="18">
        <v>0</v>
      </c>
      <c r="H646" s="18">
        <v>0</v>
      </c>
      <c r="I646" s="18">
        <v>0</v>
      </c>
      <c r="J646" s="99">
        <f>SUM(SamplingData[[#This Row],[Losing Candidate]:[Under Votes]])</f>
        <v>22</v>
      </c>
      <c r="K646"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646" s="100">
        <f>IF(AND(SamplingData[[#This Row],[Total]]&lt;&gt; 0, NOT(ISBLANK(SamplingData[[#This Row],[Candidate 3]]))),(SamplingData[[#This Row],[Total]]+SamplingData[[#This Row],[Winning Candidate]]-SamplingData[[#This Row],[Candidate 3]])/(SamplingData[[#Totals],[Winning Candidate]]-SamplingData[[#Totals],[Candidate 3]]), 0)</f>
        <v>6.7748491789528019E-4</v>
      </c>
      <c r="M646" s="100">
        <f>IF(AND(SamplingData[[#This Row],[Total]]&lt;&gt; 0, NOT(ISBLANK(SamplingData[[#This Row],[Candidate 4]]))),(SamplingData[[#This Row],[Total]]+SamplingData[[#This Row],[Winning Candidate]]-SamplingData[[#This Row],[Candidate 4]])/(SamplingData[[#Totals],[Winning Candidate]]-SamplingData[[#Totals],[Candidate 4]]), 0)</f>
        <v>7.3080183577421145E-4</v>
      </c>
      <c r="N646" s="100">
        <f>IF(AND(SamplingData[[#This Row],[Total]]&lt;&gt; 0, NOT(ISBLANK(SamplingData[[#This Row],[Candidate 5]]))),(SamplingData[[#This Row],[Total]]+SamplingData[[#This Row],[Winning Candidate]]-SamplingData[[#This Row],[Candidate 5]])/(SamplingData[[#Totals],[Winning Candidate]]-SamplingData[[#Totals],[Candidate 5]]), 0)</f>
        <v>6.5677450741911947E-4</v>
      </c>
      <c r="O646" s="100">
        <f>IF(AND(SamplingData[[#This Row],[Total]]&lt;&gt; 0, NOT(ISBLANK(SamplingData[[#This Row],[Candidate 6]]))),(SamplingData[[#This Row],[Total]]+SamplingData[[#This Row],[Winning Candidate]]-SamplingData[[#This Row],[Candidate 6]])/(SamplingData[[#Totals],[Winning Candidate]]-SamplingData[[#Totals],[Candidate 6]]), 0)</f>
        <v>6.5658285102864649E-4</v>
      </c>
      <c r="P646" s="100">
        <f>MAX(SamplingData[[#This Row],[Error Bound (up) - Max. possible relative overstatement - Losing Candidate]:[Error Bound (up) - Max. possible relative overstatement - Candidate 6]])</f>
        <v>1.1024007839294464E-3</v>
      </c>
      <c r="Q646" s="100">
        <f>IF(SamplingData[[#This Row],[Max Error Bound (up)]] = 0,0,SamplingData[[#This Row],[Max Error Bound (up)]]/SamplingData[[#Totals],[Max Error Bound (up)]])</f>
        <v>1.7447306901202498E-4</v>
      </c>
      <c r="R646" s="101">
        <f>SUM($Q$5:Q646)</f>
        <v>0.18761899512494798</v>
      </c>
      <c r="S646" s="100" t="str">
        <f t="array" ref="S646">IF(SamplingData[[#This Row],[up/U Selection Probability]] = 0, "Zero", TEXT(SamplingData[[#This Row],[Lower Range]], REPT("0",LEN('General Info'!$B$40))) &amp; " - " &amp; TEXT(SamplingData[[#This Row],[Upper Range]], REPT("0",LEN('General Info'!$B$40))))</f>
        <v>18744 - 18761</v>
      </c>
      <c r="T646" s="100">
        <f>SamplingData[[#This Row],[Upper Range]]-SamplingData[[#This Row],[Span]]</f>
        <v>18744.452380066665</v>
      </c>
      <c r="U646" s="100">
        <f>IF(ISNUMBER('General Info'!$B$40), ((SamplingData[[#This Row],[up/U Selection Probability]]) * 'General Info'!$B$40) - 1, 0)</f>
        <v>16.447132428133486</v>
      </c>
      <c r="V646" s="100">
        <f>IF(ISNUMBER('General Info'!$B$40), (SamplingData[[#This Row],[Running (cumulative) sum]] * ('General Info'!$B$40 -'General Info'!$B$41 + 1)) + 'General Info'!$B$41 - 1, 0)</f>
        <v>18760.899512494798</v>
      </c>
      <c r="W646" s="100" t="str">
        <f>IF(ISERROR(MATCH(SamplingData[[#This Row],[Batch by Type (p)]],SelectedPrecincts[Batch Name], 0)), "", INDEX(SelectedPrecincts[Draw], MATCH(SamplingData[[#This Row],[Batch by Type (p)]],SelectedPrecincts[Batch Name], 0)))</f>
        <v/>
      </c>
      <c r="X646" s="102">
        <f>IF(COUNTIF(SelectedPrecincts[Batch Name],SamplingData[[#This Row],[Batch by Type (p)]]) &lt;&gt; 0, COUNTIF(SelectedPrecincts[Batch Name],SamplingData[[#This Row],[Batch by Type (p)]]), 0)</f>
        <v>0</v>
      </c>
    </row>
    <row r="647" spans="1:24" ht="15" customHeight="1">
      <c r="A647" s="18" t="s">
        <v>823</v>
      </c>
      <c r="B647" s="18">
        <v>24</v>
      </c>
      <c r="C647" s="18">
        <v>25</v>
      </c>
      <c r="D647" s="16">
        <v>10</v>
      </c>
      <c r="E647" s="16">
        <v>3</v>
      </c>
      <c r="F647" s="37">
        <v>1</v>
      </c>
      <c r="G647" s="37">
        <v>0</v>
      </c>
      <c r="H647" s="17">
        <v>0</v>
      </c>
      <c r="I647" s="17">
        <v>2</v>
      </c>
      <c r="J647" s="99">
        <f>SUM(SamplingData[[#This Row],[Losing Candidate]:[Under Votes]])</f>
        <v>65</v>
      </c>
      <c r="K647" s="100">
        <f>IF(AND(SamplingData[[#This Row],[Total]]&lt;&gt; 0, NOT(ISBLANK(SamplingData[[#This Row],[Losing Candidate]]))),(SamplingData[[#This Row],[Total]]+SamplingData[[#This Row],[Winning Candidate]]-SamplingData[[#This Row],[Losing Candidate]])/(SamplingData[[#Totals],[Winning Candidate]]-SamplingData[[#Totals],[Losing Candidate]]), 0)</f>
        <v>4.0421362077413033E-3</v>
      </c>
      <c r="L647" s="100">
        <f>IF(AND(SamplingData[[#This Row],[Total]]&lt;&gt; 0, NOT(ISBLANK(SamplingData[[#This Row],[Candidate 3]]))),(SamplingData[[#This Row],[Total]]+SamplingData[[#This Row],[Winning Candidate]]-SamplingData[[#This Row],[Candidate 3]])/(SamplingData[[#Totals],[Winning Candidate]]-SamplingData[[#Totals],[Candidate 3]]), 0)</f>
        <v>2.5808949253153532E-3</v>
      </c>
      <c r="M647" s="100">
        <f>IF(AND(SamplingData[[#This Row],[Total]]&lt;&gt; 0, NOT(ISBLANK(SamplingData[[#This Row],[Candidate 4]]))),(SamplingData[[#This Row],[Total]]+SamplingData[[#This Row],[Winning Candidate]]-SamplingData[[#This Row],[Candidate 4]])/(SamplingData[[#Totals],[Winning Candidate]]-SamplingData[[#Totals],[Candidate 4]]), 0)</f>
        <v>2.5431903884942557E-3</v>
      </c>
      <c r="N647" s="100">
        <f>IF(AND(SamplingData[[#This Row],[Total]]&lt;&gt; 0, NOT(ISBLANK(SamplingData[[#This Row],[Candidate 5]]))),(SamplingData[[#This Row],[Total]]+SamplingData[[#This Row],[Winning Candidate]]-SamplingData[[#This Row],[Candidate 5]])/(SamplingData[[#Totals],[Winning Candidate]]-SamplingData[[#Totals],[Candidate 5]]), 0)</f>
        <v>2.1649233763074678E-3</v>
      </c>
      <c r="O647" s="100">
        <f>IF(AND(SamplingData[[#This Row],[Total]]&lt;&gt; 0, NOT(ISBLANK(SamplingData[[#This Row],[Candidate 6]]))),(SamplingData[[#This Row],[Total]]+SamplingData[[#This Row],[Winning Candidate]]-SamplingData[[#This Row],[Candidate 6]])/(SamplingData[[#Totals],[Winning Candidate]]-SamplingData[[#Totals],[Candidate 6]]), 0)</f>
        <v>2.1886095034288214E-3</v>
      </c>
      <c r="P647" s="100">
        <f>MAX(SamplingData[[#This Row],[Error Bound (up) - Max. possible relative overstatement - Losing Candidate]:[Error Bound (up) - Max. possible relative overstatement - Candidate 6]])</f>
        <v>4.0421362077413033E-3</v>
      </c>
      <c r="Q647" s="100">
        <f>IF(SamplingData[[#This Row],[Max Error Bound (up)]] = 0,0,SamplingData[[#This Row],[Max Error Bound (up)]]/SamplingData[[#Totals],[Max Error Bound (up)]])</f>
        <v>6.397345863774249E-4</v>
      </c>
      <c r="R647" s="101">
        <f>SUM($Q$5:Q647)</f>
        <v>0.1882587297113254</v>
      </c>
      <c r="S647" s="100" t="str">
        <f t="array" ref="S647">IF(SamplingData[[#This Row],[up/U Selection Probability]] = 0, "Zero", TEXT(SamplingData[[#This Row],[Lower Range]], REPT("0",LEN('General Info'!$B$40))) &amp; " - " &amp; TEXT(SamplingData[[#This Row],[Upper Range]], REPT("0",LEN('General Info'!$B$40))))</f>
        <v>18762 - 18825</v>
      </c>
      <c r="T647" s="100">
        <f>SamplingData[[#This Row],[Upper Range]]-SamplingData[[#This Row],[Span]]</f>
        <v>18761.900152229384</v>
      </c>
      <c r="U647" s="100">
        <f>IF(ISNUMBER('General Info'!$B$40), ((SamplingData[[#This Row],[up/U Selection Probability]]) * 'General Info'!$B$40) - 1, 0)</f>
        <v>62.97281890315611</v>
      </c>
      <c r="V647" s="100">
        <f>IF(ISNUMBER('General Info'!$B$40), (SamplingData[[#This Row],[Running (cumulative) sum]] * ('General Info'!$B$40 -'General Info'!$B$41 + 1)) + 'General Info'!$B$41 - 1, 0)</f>
        <v>18824.87297113254</v>
      </c>
      <c r="W647" s="100" t="str">
        <f>IF(ISERROR(MATCH(SamplingData[[#This Row],[Batch by Type (p)]],SelectedPrecincts[Batch Name], 0)), "", INDEX(SelectedPrecincts[Draw], MATCH(SamplingData[[#This Row],[Batch by Type (p)]],SelectedPrecincts[Batch Name], 0)))</f>
        <v/>
      </c>
      <c r="X647" s="102">
        <f>IF(COUNTIF(SelectedPrecincts[Batch Name],SamplingData[[#This Row],[Batch by Type (p)]]) &lt;&gt; 0, COUNTIF(SelectedPrecincts[Batch Name],SamplingData[[#This Row],[Batch by Type (p)]]), 0)</f>
        <v>0</v>
      </c>
    </row>
    <row r="648" spans="1:24" ht="15" customHeight="1">
      <c r="A648" s="18" t="s">
        <v>824</v>
      </c>
      <c r="B648" s="18">
        <v>2</v>
      </c>
      <c r="C648" s="18">
        <v>9</v>
      </c>
      <c r="D648" s="18">
        <v>2</v>
      </c>
      <c r="E648" s="18">
        <v>1</v>
      </c>
      <c r="F648" s="18">
        <v>0</v>
      </c>
      <c r="G648" s="18">
        <v>0</v>
      </c>
      <c r="H648" s="18">
        <v>0</v>
      </c>
      <c r="I648" s="18">
        <v>0</v>
      </c>
      <c r="J648" s="99">
        <f>SUM(SamplingData[[#This Row],[Losing Candidate]:[Under Votes]])</f>
        <v>14</v>
      </c>
      <c r="K648"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648" s="100">
        <f>IF(AND(SamplingData[[#This Row],[Total]]&lt;&gt; 0, NOT(ISBLANK(SamplingData[[#This Row],[Candidate 3]]))),(SamplingData[[#This Row],[Total]]+SamplingData[[#This Row],[Winning Candidate]]-SamplingData[[#This Row],[Candidate 3]])/(SamplingData[[#Totals],[Winning Candidate]]-SamplingData[[#Totals],[Candidate 3]]), 0)</f>
        <v>6.7748491789528019E-4</v>
      </c>
      <c r="M648" s="100">
        <f>IF(AND(SamplingData[[#This Row],[Total]]&lt;&gt; 0, NOT(ISBLANK(SamplingData[[#This Row],[Candidate 4]]))),(SamplingData[[#This Row],[Total]]+SamplingData[[#This Row],[Winning Candidate]]-SamplingData[[#This Row],[Candidate 4]])/(SamplingData[[#Totals],[Winning Candidate]]-SamplingData[[#Totals],[Candidate 4]]), 0)</f>
        <v>6.4310561548130605E-4</v>
      </c>
      <c r="N648" s="100">
        <f>IF(AND(SamplingData[[#This Row],[Total]]&lt;&gt; 0, NOT(ISBLANK(SamplingData[[#This Row],[Candidate 5]]))),(SamplingData[[#This Row],[Total]]+SamplingData[[#This Row],[Winning Candidate]]-SamplingData[[#This Row],[Candidate 5]])/(SamplingData[[#Totals],[Winning Candidate]]-SamplingData[[#Totals],[Candidate 5]]), 0)</f>
        <v>5.5947458039406475E-4</v>
      </c>
      <c r="O648" s="100">
        <f>IF(AND(SamplingData[[#This Row],[Total]]&lt;&gt; 0, NOT(ISBLANK(SamplingData[[#This Row],[Candidate 6]]))),(SamplingData[[#This Row],[Total]]+SamplingData[[#This Row],[Winning Candidate]]-SamplingData[[#This Row],[Candidate 6]])/(SamplingData[[#Totals],[Winning Candidate]]-SamplingData[[#Totals],[Candidate 6]]), 0)</f>
        <v>5.5931131754292105E-4</v>
      </c>
      <c r="P648" s="100">
        <f>MAX(SamplingData[[#This Row],[Error Bound (up) - Max. possible relative overstatement - Losing Candidate]:[Error Bound (up) - Max. possible relative overstatement - Candidate 6]])</f>
        <v>1.2861342479176874E-3</v>
      </c>
      <c r="Q648" s="100">
        <f>IF(SamplingData[[#This Row],[Max Error Bound (up)]] = 0,0,SamplingData[[#This Row],[Max Error Bound (up)]]/SamplingData[[#Totals],[Max Error Bound (up)]])</f>
        <v>2.0355191384736248E-4</v>
      </c>
      <c r="R648" s="101">
        <f>SUM($Q$5:Q648)</f>
        <v>0.18846228162517276</v>
      </c>
      <c r="S648" s="100" t="str">
        <f t="array" ref="S648">IF(SamplingData[[#This Row],[up/U Selection Probability]] = 0, "Zero", TEXT(SamplingData[[#This Row],[Lower Range]], REPT("0",LEN('General Info'!$B$40))) &amp; " - " &amp; TEXT(SamplingData[[#This Row],[Upper Range]], REPT("0",LEN('General Info'!$B$40))))</f>
        <v>18826 - 18845</v>
      </c>
      <c r="T648" s="100">
        <f>SamplingData[[#This Row],[Upper Range]]-SamplingData[[#This Row],[Span]]</f>
        <v>18825.873174684453</v>
      </c>
      <c r="U648" s="100">
        <f>IF(ISNUMBER('General Info'!$B$40), ((SamplingData[[#This Row],[up/U Selection Probability]]) * 'General Info'!$B$40) - 1, 0)</f>
        <v>19.354987832822399</v>
      </c>
      <c r="V648" s="100">
        <f>IF(ISNUMBER('General Info'!$B$40), (SamplingData[[#This Row],[Running (cumulative) sum]] * ('General Info'!$B$40 -'General Info'!$B$41 + 1)) + 'General Info'!$B$41 - 1, 0)</f>
        <v>18845.228162517276</v>
      </c>
      <c r="W648" s="100" t="str">
        <f>IF(ISERROR(MATCH(SamplingData[[#This Row],[Batch by Type (p)]],SelectedPrecincts[Batch Name], 0)), "", INDEX(SelectedPrecincts[Draw], MATCH(SamplingData[[#This Row],[Batch by Type (p)]],SelectedPrecincts[Batch Name], 0)))</f>
        <v/>
      </c>
      <c r="X648" s="102">
        <f>IF(COUNTIF(SelectedPrecincts[Batch Name],SamplingData[[#This Row],[Batch by Type (p)]]) &lt;&gt; 0, COUNTIF(SelectedPrecincts[Batch Name],SamplingData[[#This Row],[Batch by Type (p)]]), 0)</f>
        <v>0</v>
      </c>
    </row>
    <row r="649" spans="1:24" ht="15" customHeight="1">
      <c r="A649" s="18" t="s">
        <v>825</v>
      </c>
      <c r="B649" s="18">
        <v>6</v>
      </c>
      <c r="C649" s="18">
        <v>7</v>
      </c>
      <c r="D649" s="16">
        <v>3</v>
      </c>
      <c r="E649" s="16">
        <v>6</v>
      </c>
      <c r="F649" s="37">
        <v>0</v>
      </c>
      <c r="G649" s="37">
        <v>0</v>
      </c>
      <c r="H649" s="17">
        <v>0</v>
      </c>
      <c r="I649" s="17">
        <v>1</v>
      </c>
      <c r="J649" s="99">
        <f>SUM(SamplingData[[#This Row],[Losing Candidate]:[Under Votes]])</f>
        <v>23</v>
      </c>
      <c r="K649"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649" s="100">
        <f>IF(AND(SamplingData[[#This Row],[Total]]&lt;&gt; 0, NOT(ISBLANK(SamplingData[[#This Row],[Candidate 3]]))),(SamplingData[[#This Row],[Total]]+SamplingData[[#This Row],[Winning Candidate]]-SamplingData[[#This Row],[Candidate 3]])/(SamplingData[[#Totals],[Winning Candidate]]-SamplingData[[#Totals],[Candidate 3]]), 0)</f>
        <v>8.710520372939317E-4</v>
      </c>
      <c r="M649" s="100">
        <f>IF(AND(SamplingData[[#This Row],[Total]]&lt;&gt; 0, NOT(ISBLANK(SamplingData[[#This Row],[Candidate 4]]))),(SamplingData[[#This Row],[Total]]+SamplingData[[#This Row],[Winning Candidate]]-SamplingData[[#This Row],[Candidate 4]])/(SamplingData[[#Totals],[Winning Candidate]]-SamplingData[[#Totals],[Candidate 4]]), 0)</f>
        <v>7.0156976234324298E-4</v>
      </c>
      <c r="N649" s="100">
        <f>IF(AND(SamplingData[[#This Row],[Total]]&lt;&gt; 0, NOT(ISBLANK(SamplingData[[#This Row],[Candidate 5]]))),(SamplingData[[#This Row],[Total]]+SamplingData[[#This Row],[Winning Candidate]]-SamplingData[[#This Row],[Candidate 5]])/(SamplingData[[#Totals],[Winning Candidate]]-SamplingData[[#Totals],[Candidate 5]]), 0)</f>
        <v>7.2974945268791051E-4</v>
      </c>
      <c r="O649" s="100">
        <f>IF(AND(SamplingData[[#This Row],[Total]]&lt;&gt; 0, NOT(ISBLANK(SamplingData[[#This Row],[Candidate 6]]))),(SamplingData[[#This Row],[Total]]+SamplingData[[#This Row],[Winning Candidate]]-SamplingData[[#This Row],[Candidate 6]])/(SamplingData[[#Totals],[Winning Candidate]]-SamplingData[[#Totals],[Candidate 6]]), 0)</f>
        <v>7.2953650114294054E-4</v>
      </c>
      <c r="P649" s="100">
        <f>MAX(SamplingData[[#This Row],[Error Bound (up) - Max. possible relative overstatement - Losing Candidate]:[Error Bound (up) - Max. possible relative overstatement - Candidate 6]])</f>
        <v>1.4698677119059284E-3</v>
      </c>
      <c r="Q649" s="100">
        <f>IF(SamplingData[[#This Row],[Max Error Bound (up)]] = 0,0,SamplingData[[#This Row],[Max Error Bound (up)]]/SamplingData[[#Totals],[Max Error Bound (up)]])</f>
        <v>2.3263075868269994E-4</v>
      </c>
      <c r="R649" s="101">
        <f>SUM($Q$5:Q649)</f>
        <v>0.18869491238385547</v>
      </c>
      <c r="S649" s="100" t="str">
        <f t="array" ref="S649">IF(SamplingData[[#This Row],[up/U Selection Probability]] = 0, "Zero", TEXT(SamplingData[[#This Row],[Lower Range]], REPT("0",LEN('General Info'!$B$40))) &amp; " - " &amp; TEXT(SamplingData[[#This Row],[Upper Range]], REPT("0",LEN('General Info'!$B$40))))</f>
        <v>18846 - 18868</v>
      </c>
      <c r="T649" s="100">
        <f>SamplingData[[#This Row],[Upper Range]]-SamplingData[[#This Row],[Span]]</f>
        <v>18846.228395148039</v>
      </c>
      <c r="U649" s="100">
        <f>IF(ISNUMBER('General Info'!$B$40), ((SamplingData[[#This Row],[up/U Selection Probability]]) * 'General Info'!$B$40) - 1, 0)</f>
        <v>22.262843237511312</v>
      </c>
      <c r="V649" s="100">
        <f>IF(ISNUMBER('General Info'!$B$40), (SamplingData[[#This Row],[Running (cumulative) sum]] * ('General Info'!$B$40 -'General Info'!$B$41 + 1)) + 'General Info'!$B$41 - 1, 0)</f>
        <v>18868.491238385548</v>
      </c>
      <c r="W649" s="100" t="str">
        <f>IF(ISERROR(MATCH(SamplingData[[#This Row],[Batch by Type (p)]],SelectedPrecincts[Batch Name], 0)), "", INDEX(SelectedPrecincts[Draw], MATCH(SamplingData[[#This Row],[Batch by Type (p)]],SelectedPrecincts[Batch Name], 0)))</f>
        <v/>
      </c>
      <c r="X649" s="102">
        <f>IF(COUNTIF(SelectedPrecincts[Batch Name],SamplingData[[#This Row],[Batch by Type (p)]]) &lt;&gt; 0, COUNTIF(SelectedPrecincts[Batch Name],SamplingData[[#This Row],[Batch by Type (p)]]), 0)</f>
        <v>0</v>
      </c>
    </row>
    <row r="650" spans="1:24" ht="15" customHeight="1">
      <c r="A650" s="18" t="s">
        <v>826</v>
      </c>
      <c r="B650" s="18">
        <v>3</v>
      </c>
      <c r="C650" s="18">
        <v>9</v>
      </c>
      <c r="D650" s="18">
        <v>2</v>
      </c>
      <c r="E650" s="18">
        <v>1</v>
      </c>
      <c r="F650" s="18">
        <v>0</v>
      </c>
      <c r="G650" s="18">
        <v>0</v>
      </c>
      <c r="H650" s="18">
        <v>0</v>
      </c>
      <c r="I650" s="18">
        <v>0</v>
      </c>
      <c r="J650" s="99">
        <f>SUM(SamplingData[[#This Row],[Losing Candidate]:[Under Votes]])</f>
        <v>15</v>
      </c>
      <c r="K650"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650" s="100">
        <f>IF(AND(SamplingData[[#This Row],[Total]]&lt;&gt; 0, NOT(ISBLANK(SamplingData[[#This Row],[Candidate 3]]))),(SamplingData[[#This Row],[Total]]+SamplingData[[#This Row],[Winning Candidate]]-SamplingData[[#This Row],[Candidate 3]])/(SamplingData[[#Totals],[Winning Candidate]]-SamplingData[[#Totals],[Candidate 3]]), 0)</f>
        <v>7.0974610446172207E-4</v>
      </c>
      <c r="M650" s="100">
        <f>IF(AND(SamplingData[[#This Row],[Total]]&lt;&gt; 0, NOT(ISBLANK(SamplingData[[#This Row],[Candidate 4]]))),(SamplingData[[#This Row],[Total]]+SamplingData[[#This Row],[Winning Candidate]]-SamplingData[[#This Row],[Candidate 4]])/(SamplingData[[#Totals],[Winning Candidate]]-SamplingData[[#Totals],[Candidate 4]]), 0)</f>
        <v>6.7233768891227451E-4</v>
      </c>
      <c r="N650" s="100">
        <f>IF(AND(SamplingData[[#This Row],[Total]]&lt;&gt; 0, NOT(ISBLANK(SamplingData[[#This Row],[Candidate 5]]))),(SamplingData[[#This Row],[Total]]+SamplingData[[#This Row],[Winning Candidate]]-SamplingData[[#This Row],[Candidate 5]])/(SamplingData[[#Totals],[Winning Candidate]]-SamplingData[[#Totals],[Candidate 5]]), 0)</f>
        <v>5.8379956215032843E-4</v>
      </c>
      <c r="O650" s="100">
        <f>IF(AND(SamplingData[[#This Row],[Total]]&lt;&gt; 0, NOT(ISBLANK(SamplingData[[#This Row],[Candidate 6]]))),(SamplingData[[#This Row],[Total]]+SamplingData[[#This Row],[Winning Candidate]]-SamplingData[[#This Row],[Candidate 6]])/(SamplingData[[#Totals],[Winning Candidate]]-SamplingData[[#Totals],[Candidate 6]]), 0)</f>
        <v>5.8362920091435243E-4</v>
      </c>
      <c r="P650" s="100">
        <f>MAX(SamplingData[[#This Row],[Error Bound (up) - Max. possible relative overstatement - Losing Candidate]:[Error Bound (up) - Max. possible relative overstatement - Candidate 6]])</f>
        <v>1.2861342479176874E-3</v>
      </c>
      <c r="Q650" s="100">
        <f>IF(SamplingData[[#This Row],[Max Error Bound (up)]] = 0,0,SamplingData[[#This Row],[Max Error Bound (up)]]/SamplingData[[#Totals],[Max Error Bound (up)]])</f>
        <v>2.0355191384736248E-4</v>
      </c>
      <c r="R650" s="101">
        <f>SUM($Q$5:Q650)</f>
        <v>0.18889846429770282</v>
      </c>
      <c r="S650" s="100" t="str">
        <f t="array" ref="S650">IF(SamplingData[[#This Row],[up/U Selection Probability]] = 0, "Zero", TEXT(SamplingData[[#This Row],[Lower Range]], REPT("0",LEN('General Info'!$B$40))) &amp; " - " &amp; TEXT(SamplingData[[#This Row],[Upper Range]], REPT("0",LEN('General Info'!$B$40))))</f>
        <v>18869 - 18889</v>
      </c>
      <c r="T650" s="100">
        <f>SamplingData[[#This Row],[Upper Range]]-SamplingData[[#This Row],[Span]]</f>
        <v>18869.491441937458</v>
      </c>
      <c r="U650" s="100">
        <f>IF(ISNUMBER('General Info'!$B$40), ((SamplingData[[#This Row],[up/U Selection Probability]]) * 'General Info'!$B$40) - 1, 0)</f>
        <v>19.354987832822399</v>
      </c>
      <c r="V650" s="100">
        <f>IF(ISNUMBER('General Info'!$B$40), (SamplingData[[#This Row],[Running (cumulative) sum]] * ('General Info'!$B$40 -'General Info'!$B$41 + 1)) + 'General Info'!$B$41 - 1, 0)</f>
        <v>18888.846429770281</v>
      </c>
      <c r="W650" s="100" t="str">
        <f>IF(ISERROR(MATCH(SamplingData[[#This Row],[Batch by Type (p)]],SelectedPrecincts[Batch Name], 0)), "", INDEX(SelectedPrecincts[Draw], MATCH(SamplingData[[#This Row],[Batch by Type (p)]],SelectedPrecincts[Batch Name], 0)))</f>
        <v/>
      </c>
      <c r="X650" s="102">
        <f>IF(COUNTIF(SelectedPrecincts[Batch Name],SamplingData[[#This Row],[Batch by Type (p)]]) &lt;&gt; 0, COUNTIF(SelectedPrecincts[Batch Name],SamplingData[[#This Row],[Batch by Type (p)]]), 0)</f>
        <v>0</v>
      </c>
    </row>
    <row r="651" spans="1:24" ht="15" customHeight="1">
      <c r="A651" s="18" t="s">
        <v>827</v>
      </c>
      <c r="B651" s="18">
        <v>2</v>
      </c>
      <c r="C651" s="18">
        <v>0</v>
      </c>
      <c r="D651" s="16">
        <v>1</v>
      </c>
      <c r="E651" s="16">
        <v>1</v>
      </c>
      <c r="F651" s="37">
        <v>0</v>
      </c>
      <c r="G651" s="37">
        <v>0</v>
      </c>
      <c r="H651" s="17">
        <v>0</v>
      </c>
      <c r="I651" s="17">
        <v>0</v>
      </c>
      <c r="J651" s="99">
        <f>SUM(SamplingData[[#This Row],[Losing Candidate]:[Under Votes]])</f>
        <v>4</v>
      </c>
      <c r="K651"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51" s="100">
        <f>IF(AND(SamplingData[[#This Row],[Total]]&lt;&gt; 0, NOT(ISBLANK(SamplingData[[#This Row],[Candidate 3]]))),(SamplingData[[#This Row],[Total]]+SamplingData[[#This Row],[Winning Candidate]]-SamplingData[[#This Row],[Candidate 3]])/(SamplingData[[#Totals],[Winning Candidate]]-SamplingData[[#Totals],[Candidate 3]]), 0)</f>
        <v>9.6783559699325743E-5</v>
      </c>
      <c r="M651" s="100">
        <f>IF(AND(SamplingData[[#This Row],[Total]]&lt;&gt; 0, NOT(ISBLANK(SamplingData[[#This Row],[Candidate 4]]))),(SamplingData[[#This Row],[Total]]+SamplingData[[#This Row],[Winning Candidate]]-SamplingData[[#This Row],[Candidate 4]])/(SamplingData[[#Totals],[Winning Candidate]]-SamplingData[[#Totals],[Candidate 4]]), 0)</f>
        <v>8.7696220292905373E-5</v>
      </c>
      <c r="N651" s="100">
        <f>IF(AND(SamplingData[[#This Row],[Total]]&lt;&gt; 0, NOT(ISBLANK(SamplingData[[#This Row],[Candidate 5]]))),(SamplingData[[#This Row],[Total]]+SamplingData[[#This Row],[Winning Candidate]]-SamplingData[[#This Row],[Candidate 5]])/(SamplingData[[#Totals],[Winning Candidate]]-SamplingData[[#Totals],[Candidate 5]]), 0)</f>
        <v>9.7299927025054734E-5</v>
      </c>
      <c r="O651" s="100">
        <f>IF(AND(SamplingData[[#This Row],[Total]]&lt;&gt; 0, NOT(ISBLANK(SamplingData[[#This Row],[Candidate 6]]))),(SamplingData[[#This Row],[Total]]+SamplingData[[#This Row],[Winning Candidate]]-SamplingData[[#This Row],[Candidate 6]])/(SamplingData[[#Totals],[Winning Candidate]]-SamplingData[[#Totals],[Candidate 6]]), 0)</f>
        <v>9.7271533485725401E-5</v>
      </c>
      <c r="P651" s="100">
        <f>MAX(SamplingData[[#This Row],[Error Bound (up) - Max. possible relative overstatement - Losing Candidate]:[Error Bound (up) - Max. possible relative overstatement - Candidate 6]])</f>
        <v>1.224889759921607E-4</v>
      </c>
      <c r="Q651" s="100">
        <f>IF(SamplingData[[#This Row],[Max Error Bound (up)]] = 0,0,SamplingData[[#This Row],[Max Error Bound (up)]]/SamplingData[[#Totals],[Max Error Bound (up)]])</f>
        <v>1.9385896556891663E-5</v>
      </c>
      <c r="R651" s="101">
        <f>SUM($Q$5:Q651)</f>
        <v>0.18891785019425972</v>
      </c>
      <c r="S651" s="100" t="str">
        <f t="array" ref="S651">IF(SamplingData[[#This Row],[up/U Selection Probability]] = 0, "Zero", TEXT(SamplingData[[#This Row],[Lower Range]], REPT("0",LEN('General Info'!$B$40))) &amp; " - " &amp; TEXT(SamplingData[[#This Row],[Upper Range]], REPT("0",LEN('General Info'!$B$40))))</f>
        <v>18890 - 18891</v>
      </c>
      <c r="T651" s="100">
        <f>SamplingData[[#This Row],[Upper Range]]-SamplingData[[#This Row],[Span]]</f>
        <v>18889.846449156183</v>
      </c>
      <c r="U651" s="100">
        <f>IF(ISNUMBER('General Info'!$B$40), ((SamplingData[[#This Row],[up/U Selection Probability]]) * 'General Info'!$B$40) - 1, 0)</f>
        <v>0.93857026979260949</v>
      </c>
      <c r="V651" s="100">
        <f>IF(ISNUMBER('General Info'!$B$40), (SamplingData[[#This Row],[Running (cumulative) sum]] * ('General Info'!$B$40 -'General Info'!$B$41 + 1)) + 'General Info'!$B$41 - 1, 0)</f>
        <v>18890.785019425974</v>
      </c>
      <c r="W651" s="100" t="str">
        <f>IF(ISERROR(MATCH(SamplingData[[#This Row],[Batch by Type (p)]],SelectedPrecincts[Batch Name], 0)), "", INDEX(SelectedPrecincts[Draw], MATCH(SamplingData[[#This Row],[Batch by Type (p)]],SelectedPrecincts[Batch Name], 0)))</f>
        <v/>
      </c>
      <c r="X651" s="102">
        <f>IF(COUNTIF(SelectedPrecincts[Batch Name],SamplingData[[#This Row],[Batch by Type (p)]]) &lt;&gt; 0, COUNTIF(SelectedPrecincts[Batch Name],SamplingData[[#This Row],[Batch by Type (p)]]), 0)</f>
        <v>0</v>
      </c>
    </row>
    <row r="652" spans="1:24" ht="15" customHeight="1">
      <c r="A652" s="18" t="s">
        <v>828</v>
      </c>
      <c r="B652" s="18">
        <v>1</v>
      </c>
      <c r="C652" s="18">
        <v>4</v>
      </c>
      <c r="D652" s="18">
        <v>0</v>
      </c>
      <c r="E652" s="18">
        <v>0</v>
      </c>
      <c r="F652" s="18">
        <v>0</v>
      </c>
      <c r="G652" s="18">
        <v>0</v>
      </c>
      <c r="H652" s="18">
        <v>0</v>
      </c>
      <c r="I652" s="18">
        <v>0</v>
      </c>
      <c r="J652" s="99">
        <f>SUM(SamplingData[[#This Row],[Losing Candidate]:[Under Votes]])</f>
        <v>5</v>
      </c>
      <c r="K652"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652" s="100">
        <f>IF(AND(SamplingData[[#This Row],[Total]]&lt;&gt; 0, NOT(ISBLANK(SamplingData[[#This Row],[Candidate 3]]))),(SamplingData[[#This Row],[Total]]+SamplingData[[#This Row],[Winning Candidate]]-SamplingData[[#This Row],[Candidate 3]])/(SamplingData[[#Totals],[Winning Candidate]]-SamplingData[[#Totals],[Candidate 3]]), 0)</f>
        <v>2.9035067909797722E-4</v>
      </c>
      <c r="M652" s="100">
        <f>IF(AND(SamplingData[[#This Row],[Total]]&lt;&gt; 0, NOT(ISBLANK(SamplingData[[#This Row],[Candidate 4]]))),(SamplingData[[#This Row],[Total]]+SamplingData[[#This Row],[Winning Candidate]]-SamplingData[[#This Row],[Candidate 4]])/(SamplingData[[#Totals],[Winning Candidate]]-SamplingData[[#Totals],[Candidate 4]]), 0)</f>
        <v>2.6308866087871614E-4</v>
      </c>
      <c r="N652" s="100">
        <f>IF(AND(SamplingData[[#This Row],[Total]]&lt;&gt; 0, NOT(ISBLANK(SamplingData[[#This Row],[Candidate 5]]))),(SamplingData[[#This Row],[Total]]+SamplingData[[#This Row],[Winning Candidate]]-SamplingData[[#This Row],[Candidate 5]])/(SamplingData[[#Totals],[Winning Candidate]]-SamplingData[[#Totals],[Candidate 5]]), 0)</f>
        <v>2.1892483580637315E-4</v>
      </c>
      <c r="O652" s="100">
        <f>IF(AND(SamplingData[[#This Row],[Total]]&lt;&gt; 0, NOT(ISBLANK(SamplingData[[#This Row],[Candidate 6]]))),(SamplingData[[#This Row],[Total]]+SamplingData[[#This Row],[Winning Candidate]]-SamplingData[[#This Row],[Candidate 6]])/(SamplingData[[#Totals],[Winning Candidate]]-SamplingData[[#Totals],[Candidate 6]]), 0)</f>
        <v>2.1886095034288216E-4</v>
      </c>
      <c r="P652" s="100">
        <f>MAX(SamplingData[[#This Row],[Error Bound (up) - Max. possible relative overstatement - Losing Candidate]:[Error Bound (up) - Max. possible relative overstatement - Candidate 6]])</f>
        <v>4.8995590396864281E-4</v>
      </c>
      <c r="Q652" s="100">
        <f>IF(SamplingData[[#This Row],[Max Error Bound (up)]] = 0,0,SamplingData[[#This Row],[Max Error Bound (up)]]/SamplingData[[#Totals],[Max Error Bound (up)]])</f>
        <v>7.7543586227566652E-5</v>
      </c>
      <c r="R652" s="101">
        <f>SUM($Q$5:Q652)</f>
        <v>0.1889953937804873</v>
      </c>
      <c r="S652" s="100" t="str">
        <f t="array" ref="S652">IF(SamplingData[[#This Row],[up/U Selection Probability]] = 0, "Zero", TEXT(SamplingData[[#This Row],[Lower Range]], REPT("0",LEN('General Info'!$B$40))) &amp; " - " &amp; TEXT(SamplingData[[#This Row],[Upper Range]], REPT("0",LEN('General Info'!$B$40))))</f>
        <v>18892 - 18899</v>
      </c>
      <c r="T652" s="100">
        <f>SamplingData[[#This Row],[Upper Range]]-SamplingData[[#This Row],[Span]]</f>
        <v>18891.785096969557</v>
      </c>
      <c r="U652" s="100">
        <f>IF(ISNUMBER('General Info'!$B$40), ((SamplingData[[#This Row],[up/U Selection Probability]]) * 'General Info'!$B$40) - 1, 0)</f>
        <v>6.754281079170438</v>
      </c>
      <c r="V652" s="100">
        <f>IF(ISNUMBER('General Info'!$B$40), (SamplingData[[#This Row],[Running (cumulative) sum]] * ('General Info'!$B$40 -'General Info'!$B$41 + 1)) + 'General Info'!$B$41 - 1, 0)</f>
        <v>18898.539378048728</v>
      </c>
      <c r="W652" s="100" t="str">
        <f>IF(ISERROR(MATCH(SamplingData[[#This Row],[Batch by Type (p)]],SelectedPrecincts[Batch Name], 0)), "", INDEX(SelectedPrecincts[Draw], MATCH(SamplingData[[#This Row],[Batch by Type (p)]],SelectedPrecincts[Batch Name], 0)))</f>
        <v/>
      </c>
      <c r="X652" s="102">
        <f>IF(COUNTIF(SelectedPrecincts[Batch Name],SamplingData[[#This Row],[Batch by Type (p)]]) &lt;&gt; 0, COUNTIF(SelectedPrecincts[Batch Name],SamplingData[[#This Row],[Batch by Type (p)]]), 0)</f>
        <v>0</v>
      </c>
    </row>
    <row r="653" spans="1:24" ht="15" customHeight="1">
      <c r="A653" s="18" t="s">
        <v>829</v>
      </c>
      <c r="B653" s="18">
        <v>1</v>
      </c>
      <c r="C653" s="18">
        <v>6</v>
      </c>
      <c r="D653" s="16">
        <v>3</v>
      </c>
      <c r="E653" s="16">
        <v>2</v>
      </c>
      <c r="F653" s="37">
        <v>0</v>
      </c>
      <c r="G653" s="37">
        <v>0</v>
      </c>
      <c r="H653" s="17">
        <v>0</v>
      </c>
      <c r="I653" s="17">
        <v>0</v>
      </c>
      <c r="J653" s="99">
        <f>SUM(SamplingData[[#This Row],[Losing Candidate]:[Under Votes]])</f>
        <v>12</v>
      </c>
      <c r="K653"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653" s="100">
        <f>IF(AND(SamplingData[[#This Row],[Total]]&lt;&gt; 0, NOT(ISBLANK(SamplingData[[#This Row],[Candidate 3]]))),(SamplingData[[#This Row],[Total]]+SamplingData[[#This Row],[Winning Candidate]]-SamplingData[[#This Row],[Candidate 3]])/(SamplingData[[#Totals],[Winning Candidate]]-SamplingData[[#Totals],[Candidate 3]]), 0)</f>
        <v>4.8391779849662873E-4</v>
      </c>
      <c r="M653" s="100">
        <f>IF(AND(SamplingData[[#This Row],[Total]]&lt;&gt; 0, NOT(ISBLANK(SamplingData[[#This Row],[Candidate 4]]))),(SamplingData[[#This Row],[Total]]+SamplingData[[#This Row],[Winning Candidate]]-SamplingData[[#This Row],[Candidate 4]])/(SamplingData[[#Totals],[Winning Candidate]]-SamplingData[[#Totals],[Candidate 4]]), 0)</f>
        <v>4.6771317489549536E-4</v>
      </c>
      <c r="N653" s="100">
        <f>IF(AND(SamplingData[[#This Row],[Total]]&lt;&gt; 0, NOT(ISBLANK(SamplingData[[#This Row],[Candidate 5]]))),(SamplingData[[#This Row],[Total]]+SamplingData[[#This Row],[Winning Candidate]]-SamplingData[[#This Row],[Candidate 5]])/(SamplingData[[#Totals],[Winning Candidate]]-SamplingData[[#Totals],[Candidate 5]]), 0)</f>
        <v>4.3784967161274629E-4</v>
      </c>
      <c r="O653" s="100">
        <f>IF(AND(SamplingData[[#This Row],[Total]]&lt;&gt; 0, NOT(ISBLANK(SamplingData[[#This Row],[Candidate 6]]))),(SamplingData[[#This Row],[Total]]+SamplingData[[#This Row],[Winning Candidate]]-SamplingData[[#This Row],[Candidate 6]])/(SamplingData[[#Totals],[Winning Candidate]]-SamplingData[[#Totals],[Candidate 6]]), 0)</f>
        <v>4.3772190068576433E-4</v>
      </c>
      <c r="P653" s="100">
        <f>MAX(SamplingData[[#This Row],[Error Bound (up) - Max. possible relative overstatement - Losing Candidate]:[Error Bound (up) - Max. possible relative overstatement - Candidate 6]])</f>
        <v>1.041156295933366E-3</v>
      </c>
      <c r="Q653" s="100">
        <f>IF(SamplingData[[#This Row],[Max Error Bound (up)]] = 0,0,SamplingData[[#This Row],[Max Error Bound (up)]]/SamplingData[[#Totals],[Max Error Bound (up)]])</f>
        <v>1.6478012073357914E-4</v>
      </c>
      <c r="R653" s="101">
        <f>SUM($Q$5:Q653)</f>
        <v>0.18916017390122086</v>
      </c>
      <c r="S653" s="100" t="str">
        <f t="array" ref="S653">IF(SamplingData[[#This Row],[up/U Selection Probability]] = 0, "Zero", TEXT(SamplingData[[#This Row],[Lower Range]], REPT("0",LEN('General Info'!$B$40))) &amp; " - " &amp; TEXT(SamplingData[[#This Row],[Upper Range]], REPT("0",LEN('General Info'!$B$40))))</f>
        <v>18900 - 18915</v>
      </c>
      <c r="T653" s="100">
        <f>SamplingData[[#This Row],[Upper Range]]-SamplingData[[#This Row],[Span]]</f>
        <v>18899.53954282885</v>
      </c>
      <c r="U653" s="100">
        <f>IF(ISNUMBER('General Info'!$B$40), ((SamplingData[[#This Row],[up/U Selection Probability]]) * 'General Info'!$B$40) - 1, 0)</f>
        <v>15.477847293237179</v>
      </c>
      <c r="V653" s="100">
        <f>IF(ISNUMBER('General Info'!$B$40), (SamplingData[[#This Row],[Running (cumulative) sum]] * ('General Info'!$B$40 -'General Info'!$B$41 + 1)) + 'General Info'!$B$41 - 1, 0)</f>
        <v>18915.017390122088</v>
      </c>
      <c r="W653" s="100" t="str">
        <f>IF(ISERROR(MATCH(SamplingData[[#This Row],[Batch by Type (p)]],SelectedPrecincts[Batch Name], 0)), "", INDEX(SelectedPrecincts[Draw], MATCH(SamplingData[[#This Row],[Batch by Type (p)]],SelectedPrecincts[Batch Name], 0)))</f>
        <v/>
      </c>
      <c r="X653" s="102">
        <f>IF(COUNTIF(SelectedPrecincts[Batch Name],SamplingData[[#This Row],[Batch by Type (p)]]) &lt;&gt; 0, COUNTIF(SelectedPrecincts[Batch Name],SamplingData[[#This Row],[Batch by Type (p)]]), 0)</f>
        <v>0</v>
      </c>
    </row>
    <row r="654" spans="1:24" ht="15" customHeight="1">
      <c r="A654" s="18" t="s">
        <v>830</v>
      </c>
      <c r="B654" s="18">
        <v>2</v>
      </c>
      <c r="C654" s="18">
        <v>1</v>
      </c>
      <c r="D654" s="18">
        <v>2</v>
      </c>
      <c r="E654" s="18">
        <v>0</v>
      </c>
      <c r="F654" s="18">
        <v>0</v>
      </c>
      <c r="G654" s="18">
        <v>0</v>
      </c>
      <c r="H654" s="18">
        <v>0</v>
      </c>
      <c r="I654" s="18">
        <v>0</v>
      </c>
      <c r="J654" s="99">
        <f>SUM(SamplingData[[#This Row],[Losing Candidate]:[Under Votes]])</f>
        <v>5</v>
      </c>
      <c r="K654"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654" s="100">
        <f>IF(AND(SamplingData[[#This Row],[Total]]&lt;&gt; 0, NOT(ISBLANK(SamplingData[[#This Row],[Candidate 3]]))),(SamplingData[[#This Row],[Total]]+SamplingData[[#This Row],[Winning Candidate]]-SamplingData[[#This Row],[Candidate 3]])/(SamplingData[[#Totals],[Winning Candidate]]-SamplingData[[#Totals],[Candidate 3]]), 0)</f>
        <v>1.2904474626576767E-4</v>
      </c>
      <c r="M654" s="100">
        <f>IF(AND(SamplingData[[#This Row],[Total]]&lt;&gt; 0, NOT(ISBLANK(SamplingData[[#This Row],[Candidate 4]]))),(SamplingData[[#This Row],[Total]]+SamplingData[[#This Row],[Winning Candidate]]-SamplingData[[#This Row],[Candidate 4]])/(SamplingData[[#Totals],[Winning Candidate]]-SamplingData[[#Totals],[Candidate 4]]), 0)</f>
        <v>1.7539244058581075E-4</v>
      </c>
      <c r="N654" s="100">
        <f>IF(AND(SamplingData[[#This Row],[Total]]&lt;&gt; 0, NOT(ISBLANK(SamplingData[[#This Row],[Candidate 5]]))),(SamplingData[[#This Row],[Total]]+SamplingData[[#This Row],[Winning Candidate]]-SamplingData[[#This Row],[Candidate 5]])/(SamplingData[[#Totals],[Winning Candidate]]-SamplingData[[#Totals],[Candidate 5]]), 0)</f>
        <v>1.4594989053758211E-4</v>
      </c>
      <c r="O654" s="100">
        <f>IF(AND(SamplingData[[#This Row],[Total]]&lt;&gt; 0, NOT(ISBLANK(SamplingData[[#This Row],[Candidate 6]]))),(SamplingData[[#This Row],[Total]]+SamplingData[[#This Row],[Winning Candidate]]-SamplingData[[#This Row],[Candidate 6]])/(SamplingData[[#Totals],[Winning Candidate]]-SamplingData[[#Totals],[Candidate 6]]), 0)</f>
        <v>1.4590730022858811E-4</v>
      </c>
      <c r="P654" s="100">
        <f>MAX(SamplingData[[#This Row],[Error Bound (up) - Max. possible relative overstatement - Losing Candidate]:[Error Bound (up) - Max. possible relative overstatement - Candidate 6]])</f>
        <v>2.4497795198432141E-4</v>
      </c>
      <c r="Q654" s="100">
        <f>IF(SamplingData[[#This Row],[Max Error Bound (up)]] = 0,0,SamplingData[[#This Row],[Max Error Bound (up)]]/SamplingData[[#Totals],[Max Error Bound (up)]])</f>
        <v>3.8771793113783326E-5</v>
      </c>
      <c r="R654" s="101">
        <f>SUM($Q$5:Q654)</f>
        <v>0.18919894569433465</v>
      </c>
      <c r="S654" s="100" t="str">
        <f t="array" ref="S654">IF(SamplingData[[#This Row],[up/U Selection Probability]] = 0, "Zero", TEXT(SamplingData[[#This Row],[Lower Range]], REPT("0",LEN('General Info'!$B$40))) &amp; " - " &amp; TEXT(SamplingData[[#This Row],[Upper Range]], REPT("0",LEN('General Info'!$B$40))))</f>
        <v>18916 - 18919</v>
      </c>
      <c r="T654" s="100">
        <f>SamplingData[[#This Row],[Upper Range]]-SamplingData[[#This Row],[Span]]</f>
        <v>18916.01742889388</v>
      </c>
      <c r="U654" s="100">
        <f>IF(ISNUMBER('General Info'!$B$40), ((SamplingData[[#This Row],[up/U Selection Probability]]) * 'General Info'!$B$40) - 1, 0)</f>
        <v>2.877140539585219</v>
      </c>
      <c r="V654" s="100">
        <f>IF(ISNUMBER('General Info'!$B$40), (SamplingData[[#This Row],[Running (cumulative) sum]] * ('General Info'!$B$40 -'General Info'!$B$41 + 1)) + 'General Info'!$B$41 - 1, 0)</f>
        <v>18918.894569433465</v>
      </c>
      <c r="W654" s="100" t="str">
        <f>IF(ISERROR(MATCH(SamplingData[[#This Row],[Batch by Type (p)]],SelectedPrecincts[Batch Name], 0)), "", INDEX(SelectedPrecincts[Draw], MATCH(SamplingData[[#This Row],[Batch by Type (p)]],SelectedPrecincts[Batch Name], 0)))</f>
        <v/>
      </c>
      <c r="X654" s="102">
        <f>IF(COUNTIF(SelectedPrecincts[Batch Name],SamplingData[[#This Row],[Batch by Type (p)]]) &lt;&gt; 0, COUNTIF(SelectedPrecincts[Batch Name],SamplingData[[#This Row],[Batch by Type (p)]]), 0)</f>
        <v>0</v>
      </c>
    </row>
    <row r="655" spans="1:24" ht="15" customHeight="1">
      <c r="A655" s="18" t="s">
        <v>831</v>
      </c>
      <c r="B655" s="18">
        <v>0</v>
      </c>
      <c r="C655" s="18">
        <v>1</v>
      </c>
      <c r="D655" s="16">
        <v>2</v>
      </c>
      <c r="E655" s="16">
        <v>0</v>
      </c>
      <c r="F655" s="37">
        <v>0</v>
      </c>
      <c r="G655" s="37">
        <v>0</v>
      </c>
      <c r="H655" s="17">
        <v>0</v>
      </c>
      <c r="I655" s="17">
        <v>0</v>
      </c>
      <c r="J655" s="99">
        <f>SUM(SamplingData[[#This Row],[Losing Candidate]:[Under Votes]])</f>
        <v>3</v>
      </c>
      <c r="K655"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655" s="100">
        <f>IF(AND(SamplingData[[#This Row],[Total]]&lt;&gt; 0, NOT(ISBLANK(SamplingData[[#This Row],[Candidate 3]]))),(SamplingData[[#This Row],[Total]]+SamplingData[[#This Row],[Winning Candidate]]-SamplingData[[#This Row],[Candidate 3]])/(SamplingData[[#Totals],[Winning Candidate]]-SamplingData[[#Totals],[Candidate 3]]), 0)</f>
        <v>6.4522373132883833E-5</v>
      </c>
      <c r="M655" s="100">
        <f>IF(AND(SamplingData[[#This Row],[Total]]&lt;&gt; 0, NOT(ISBLANK(SamplingData[[#This Row],[Candidate 4]]))),(SamplingData[[#This Row],[Total]]+SamplingData[[#This Row],[Winning Candidate]]-SamplingData[[#This Row],[Candidate 4]])/(SamplingData[[#Totals],[Winning Candidate]]-SamplingData[[#Totals],[Candidate 4]]), 0)</f>
        <v>1.1692829372387384E-4</v>
      </c>
      <c r="N655" s="100">
        <f>IF(AND(SamplingData[[#This Row],[Total]]&lt;&gt; 0, NOT(ISBLANK(SamplingData[[#This Row],[Candidate 5]]))),(SamplingData[[#This Row],[Total]]+SamplingData[[#This Row],[Winning Candidate]]-SamplingData[[#This Row],[Candidate 5]])/(SamplingData[[#Totals],[Winning Candidate]]-SamplingData[[#Totals],[Candidate 5]]), 0)</f>
        <v>9.7299927025054734E-5</v>
      </c>
      <c r="O655" s="100">
        <f>IF(AND(SamplingData[[#This Row],[Total]]&lt;&gt; 0, NOT(ISBLANK(SamplingData[[#This Row],[Candidate 6]]))),(SamplingData[[#This Row],[Total]]+SamplingData[[#This Row],[Winning Candidate]]-SamplingData[[#This Row],[Candidate 6]])/(SamplingData[[#Totals],[Winning Candidate]]-SamplingData[[#Totals],[Candidate 6]]), 0)</f>
        <v>9.7271533485725401E-5</v>
      </c>
      <c r="P655" s="100">
        <f>MAX(SamplingData[[#This Row],[Error Bound (up) - Max. possible relative overstatement - Losing Candidate]:[Error Bound (up) - Max. possible relative overstatement - Candidate 6]])</f>
        <v>2.4497795198432141E-4</v>
      </c>
      <c r="Q655" s="100">
        <f>IF(SamplingData[[#This Row],[Max Error Bound (up)]] = 0,0,SamplingData[[#This Row],[Max Error Bound (up)]]/SamplingData[[#Totals],[Max Error Bound (up)]])</f>
        <v>3.8771793113783326E-5</v>
      </c>
      <c r="R655" s="101">
        <f>SUM($Q$5:Q655)</f>
        <v>0.18923771748744844</v>
      </c>
      <c r="S655" s="100" t="str">
        <f t="array" ref="S655">IF(SamplingData[[#This Row],[up/U Selection Probability]] = 0, "Zero", TEXT(SamplingData[[#This Row],[Lower Range]], REPT("0",LEN('General Info'!$B$40))) &amp; " - " &amp; TEXT(SamplingData[[#This Row],[Upper Range]], REPT("0",LEN('General Info'!$B$40))))</f>
        <v>18920 - 18923</v>
      </c>
      <c r="T655" s="100">
        <f>SamplingData[[#This Row],[Upper Range]]-SamplingData[[#This Row],[Span]]</f>
        <v>18919.894608205257</v>
      </c>
      <c r="U655" s="100">
        <f>IF(ISNUMBER('General Info'!$B$40), ((SamplingData[[#This Row],[up/U Selection Probability]]) * 'General Info'!$B$40) - 1, 0)</f>
        <v>2.877140539585219</v>
      </c>
      <c r="V655" s="100">
        <f>IF(ISNUMBER('General Info'!$B$40), (SamplingData[[#This Row],[Running (cumulative) sum]] * ('General Info'!$B$40 -'General Info'!$B$41 + 1)) + 'General Info'!$B$41 - 1, 0)</f>
        <v>18922.771748744843</v>
      </c>
      <c r="W655" s="100" t="str">
        <f>IF(ISERROR(MATCH(SamplingData[[#This Row],[Batch by Type (p)]],SelectedPrecincts[Batch Name], 0)), "", INDEX(SelectedPrecincts[Draw], MATCH(SamplingData[[#This Row],[Batch by Type (p)]],SelectedPrecincts[Batch Name], 0)))</f>
        <v/>
      </c>
      <c r="X655" s="102">
        <f>IF(COUNTIF(SelectedPrecincts[Batch Name],SamplingData[[#This Row],[Batch by Type (p)]]) &lt;&gt; 0, COUNTIF(SelectedPrecincts[Batch Name],SamplingData[[#This Row],[Batch by Type (p)]]), 0)</f>
        <v>0</v>
      </c>
    </row>
    <row r="656" spans="1:24" ht="15" customHeight="1">
      <c r="A656" s="18" t="s">
        <v>832</v>
      </c>
      <c r="B656" s="18">
        <v>0</v>
      </c>
      <c r="C656" s="18">
        <v>0</v>
      </c>
      <c r="D656" s="18">
        <v>0</v>
      </c>
      <c r="E656" s="18">
        <v>1</v>
      </c>
      <c r="F656" s="18">
        <v>1</v>
      </c>
      <c r="G656" s="18">
        <v>0</v>
      </c>
      <c r="H656" s="18">
        <v>0</v>
      </c>
      <c r="I656" s="18">
        <v>0</v>
      </c>
      <c r="J656" s="99">
        <f>SUM(SamplingData[[#This Row],[Losing Candidate]:[Under Votes]])</f>
        <v>2</v>
      </c>
      <c r="K65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56" s="100">
        <f>IF(AND(SamplingData[[#This Row],[Total]]&lt;&gt; 0, NOT(ISBLANK(SamplingData[[#This Row],[Candidate 3]]))),(SamplingData[[#This Row],[Total]]+SamplingData[[#This Row],[Winning Candidate]]-SamplingData[[#This Row],[Candidate 3]])/(SamplingData[[#Totals],[Winning Candidate]]-SamplingData[[#Totals],[Candidate 3]]), 0)</f>
        <v>6.4522373132883833E-5</v>
      </c>
      <c r="M656" s="100">
        <f>IF(AND(SamplingData[[#This Row],[Total]]&lt;&gt; 0, NOT(ISBLANK(SamplingData[[#This Row],[Candidate 4]]))),(SamplingData[[#This Row],[Total]]+SamplingData[[#This Row],[Winning Candidate]]-SamplingData[[#This Row],[Candidate 4]])/(SamplingData[[#Totals],[Winning Candidate]]-SamplingData[[#Totals],[Candidate 4]]), 0)</f>
        <v>2.923207343096846E-5</v>
      </c>
      <c r="N656" s="100">
        <f>IF(AND(SamplingData[[#This Row],[Total]]&lt;&gt; 0, NOT(ISBLANK(SamplingData[[#This Row],[Candidate 5]]))),(SamplingData[[#This Row],[Total]]+SamplingData[[#This Row],[Winning Candidate]]-SamplingData[[#This Row],[Candidate 5]])/(SamplingData[[#Totals],[Winning Candidate]]-SamplingData[[#Totals],[Candidate 5]]), 0)</f>
        <v>2.4324981756263683E-5</v>
      </c>
      <c r="O656" s="100">
        <f>IF(AND(SamplingData[[#This Row],[Total]]&lt;&gt; 0, NOT(ISBLANK(SamplingData[[#This Row],[Candidate 6]]))),(SamplingData[[#This Row],[Total]]+SamplingData[[#This Row],[Winning Candidate]]-SamplingData[[#This Row],[Candidate 6]])/(SamplingData[[#Totals],[Winning Candidate]]-SamplingData[[#Totals],[Candidate 6]]), 0)</f>
        <v>4.8635766742862701E-5</v>
      </c>
      <c r="P656" s="100">
        <f>MAX(SamplingData[[#This Row],[Error Bound (up) - Max. possible relative overstatement - Losing Candidate]:[Error Bound (up) - Max. possible relative overstatement - Candidate 6]])</f>
        <v>1.224889759921607E-4</v>
      </c>
      <c r="Q656" s="100">
        <f>IF(SamplingData[[#This Row],[Max Error Bound (up)]] = 0,0,SamplingData[[#This Row],[Max Error Bound (up)]]/SamplingData[[#Totals],[Max Error Bound (up)]])</f>
        <v>1.9385896556891663E-5</v>
      </c>
      <c r="R656" s="101">
        <f>SUM($Q$5:Q656)</f>
        <v>0.18925710338400534</v>
      </c>
      <c r="S656" s="100" t="str">
        <f t="array" ref="S656">IF(SamplingData[[#This Row],[up/U Selection Probability]] = 0, "Zero", TEXT(SamplingData[[#This Row],[Lower Range]], REPT("0",LEN('General Info'!$B$40))) &amp; " - " &amp; TEXT(SamplingData[[#This Row],[Upper Range]], REPT("0",LEN('General Info'!$B$40))))</f>
        <v>18924 - 18925</v>
      </c>
      <c r="T656" s="100">
        <f>SamplingData[[#This Row],[Upper Range]]-SamplingData[[#This Row],[Span]]</f>
        <v>18923.771768130744</v>
      </c>
      <c r="U656" s="100">
        <f>IF(ISNUMBER('General Info'!$B$40), ((SamplingData[[#This Row],[up/U Selection Probability]]) * 'General Info'!$B$40) - 1, 0)</f>
        <v>0.93857026979260949</v>
      </c>
      <c r="V656" s="100">
        <f>IF(ISNUMBER('General Info'!$B$40), (SamplingData[[#This Row],[Running (cumulative) sum]] * ('General Info'!$B$40 -'General Info'!$B$41 + 1)) + 'General Info'!$B$41 - 1, 0)</f>
        <v>18924.710338400535</v>
      </c>
      <c r="W656" s="100" t="str">
        <f>IF(ISERROR(MATCH(SamplingData[[#This Row],[Batch by Type (p)]],SelectedPrecincts[Batch Name], 0)), "", INDEX(SelectedPrecincts[Draw], MATCH(SamplingData[[#This Row],[Batch by Type (p)]],SelectedPrecincts[Batch Name], 0)))</f>
        <v/>
      </c>
      <c r="X656" s="102">
        <f>IF(COUNTIF(SelectedPrecincts[Batch Name],SamplingData[[#This Row],[Batch by Type (p)]]) &lt;&gt; 0, COUNTIF(SelectedPrecincts[Batch Name],SamplingData[[#This Row],[Batch by Type (p)]]), 0)</f>
        <v>0</v>
      </c>
    </row>
    <row r="657" spans="1:24" ht="15" customHeight="1">
      <c r="A657" s="18" t="s">
        <v>833</v>
      </c>
      <c r="B657" s="18">
        <v>8</v>
      </c>
      <c r="C657" s="18">
        <v>6</v>
      </c>
      <c r="D657" s="16">
        <v>3</v>
      </c>
      <c r="E657" s="16">
        <v>1</v>
      </c>
      <c r="F657" s="37">
        <v>0</v>
      </c>
      <c r="G657" s="37">
        <v>0</v>
      </c>
      <c r="H657" s="17">
        <v>0</v>
      </c>
      <c r="I657" s="17">
        <v>0</v>
      </c>
      <c r="J657" s="99">
        <f>SUM(SamplingData[[#This Row],[Losing Candidate]:[Under Votes]])</f>
        <v>18</v>
      </c>
      <c r="K657"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657" s="100">
        <f>IF(AND(SamplingData[[#This Row],[Total]]&lt;&gt; 0, NOT(ISBLANK(SamplingData[[#This Row],[Candidate 3]]))),(SamplingData[[#This Row],[Total]]+SamplingData[[#This Row],[Winning Candidate]]-SamplingData[[#This Row],[Candidate 3]])/(SamplingData[[#Totals],[Winning Candidate]]-SamplingData[[#Totals],[Candidate 3]]), 0)</f>
        <v>6.7748491789528019E-4</v>
      </c>
      <c r="M657" s="100">
        <f>IF(AND(SamplingData[[#This Row],[Total]]&lt;&gt; 0, NOT(ISBLANK(SamplingData[[#This Row],[Candidate 4]]))),(SamplingData[[#This Row],[Total]]+SamplingData[[#This Row],[Winning Candidate]]-SamplingData[[#This Row],[Candidate 4]])/(SamplingData[[#Totals],[Winning Candidate]]-SamplingData[[#Totals],[Candidate 4]]), 0)</f>
        <v>6.7233768891227451E-4</v>
      </c>
      <c r="N657" s="100">
        <f>IF(AND(SamplingData[[#This Row],[Total]]&lt;&gt; 0, NOT(ISBLANK(SamplingData[[#This Row],[Candidate 5]]))),(SamplingData[[#This Row],[Total]]+SamplingData[[#This Row],[Winning Candidate]]-SamplingData[[#This Row],[Candidate 5]])/(SamplingData[[#Totals],[Winning Candidate]]-SamplingData[[#Totals],[Candidate 5]]), 0)</f>
        <v>5.8379956215032843E-4</v>
      </c>
      <c r="O657" s="100">
        <f>IF(AND(SamplingData[[#This Row],[Total]]&lt;&gt; 0, NOT(ISBLANK(SamplingData[[#This Row],[Candidate 6]]))),(SamplingData[[#This Row],[Total]]+SamplingData[[#This Row],[Winning Candidate]]-SamplingData[[#This Row],[Candidate 6]])/(SamplingData[[#Totals],[Winning Candidate]]-SamplingData[[#Totals],[Candidate 6]]), 0)</f>
        <v>5.8362920091435243E-4</v>
      </c>
      <c r="P657" s="100">
        <f>MAX(SamplingData[[#This Row],[Error Bound (up) - Max. possible relative overstatement - Losing Candidate]:[Error Bound (up) - Max. possible relative overstatement - Candidate 6]])</f>
        <v>9.7991180793728563E-4</v>
      </c>
      <c r="Q657" s="100">
        <f>IF(SamplingData[[#This Row],[Max Error Bound (up)]] = 0,0,SamplingData[[#This Row],[Max Error Bound (up)]]/SamplingData[[#Totals],[Max Error Bound (up)]])</f>
        <v>1.550871724551333E-4</v>
      </c>
      <c r="R657" s="101">
        <f>SUM($Q$5:Q657)</f>
        <v>0.18941219055646047</v>
      </c>
      <c r="S657" s="100" t="str">
        <f t="array" ref="S657">IF(SamplingData[[#This Row],[up/U Selection Probability]] = 0, "Zero", TEXT(SamplingData[[#This Row],[Lower Range]], REPT("0",LEN('General Info'!$B$40))) &amp; " - " &amp; TEXT(SamplingData[[#This Row],[Upper Range]], REPT("0",LEN('General Info'!$B$40))))</f>
        <v>18926 - 18940</v>
      </c>
      <c r="T657" s="100">
        <f>SamplingData[[#This Row],[Upper Range]]-SamplingData[[#This Row],[Span]]</f>
        <v>18925.710493487706</v>
      </c>
      <c r="U657" s="100">
        <f>IF(ISNUMBER('General Info'!$B$40), ((SamplingData[[#This Row],[up/U Selection Probability]]) * 'General Info'!$B$40) - 1, 0)</f>
        <v>14.508562158340876</v>
      </c>
      <c r="V657" s="100">
        <f>IF(ISNUMBER('General Info'!$B$40), (SamplingData[[#This Row],[Running (cumulative) sum]] * ('General Info'!$B$40 -'General Info'!$B$41 + 1)) + 'General Info'!$B$41 - 1, 0)</f>
        <v>18940.219055646048</v>
      </c>
      <c r="W657" s="100" t="str">
        <f>IF(ISERROR(MATCH(SamplingData[[#This Row],[Batch by Type (p)]],SelectedPrecincts[Batch Name], 0)), "", INDEX(SelectedPrecincts[Draw], MATCH(SamplingData[[#This Row],[Batch by Type (p)]],SelectedPrecincts[Batch Name], 0)))</f>
        <v/>
      </c>
      <c r="X657" s="102">
        <f>IF(COUNTIF(SelectedPrecincts[Batch Name],SamplingData[[#This Row],[Batch by Type (p)]]) &lt;&gt; 0, COUNTIF(SelectedPrecincts[Batch Name],SamplingData[[#This Row],[Batch by Type (p)]]), 0)</f>
        <v>0</v>
      </c>
    </row>
    <row r="658" spans="1:24" ht="15" customHeight="1">
      <c r="A658" s="18" t="s">
        <v>834</v>
      </c>
      <c r="B658" s="18">
        <v>6</v>
      </c>
      <c r="C658" s="18">
        <v>2</v>
      </c>
      <c r="D658" s="18">
        <v>2</v>
      </c>
      <c r="E658" s="18">
        <v>3</v>
      </c>
      <c r="F658" s="18">
        <v>0</v>
      </c>
      <c r="G658" s="18">
        <v>0</v>
      </c>
      <c r="H658" s="18">
        <v>0</v>
      </c>
      <c r="I658" s="18">
        <v>0</v>
      </c>
      <c r="J658" s="99">
        <f>SUM(SamplingData[[#This Row],[Losing Candidate]:[Under Votes]])</f>
        <v>13</v>
      </c>
      <c r="K658"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658" s="100">
        <f>IF(AND(SamplingData[[#This Row],[Total]]&lt;&gt; 0, NOT(ISBLANK(SamplingData[[#This Row],[Candidate 3]]))),(SamplingData[[#This Row],[Total]]+SamplingData[[#This Row],[Winning Candidate]]-SamplingData[[#This Row],[Candidate 3]])/(SamplingData[[#Totals],[Winning Candidate]]-SamplingData[[#Totals],[Candidate 3]]), 0)</f>
        <v>4.1939542536374486E-4</v>
      </c>
      <c r="M658" s="100">
        <f>IF(AND(SamplingData[[#This Row],[Total]]&lt;&gt; 0, NOT(ISBLANK(SamplingData[[#This Row],[Candidate 4]]))),(SamplingData[[#This Row],[Total]]+SamplingData[[#This Row],[Winning Candidate]]-SamplingData[[#This Row],[Candidate 4]])/(SamplingData[[#Totals],[Winning Candidate]]-SamplingData[[#Totals],[Candidate 4]]), 0)</f>
        <v>3.5078488117162149E-4</v>
      </c>
      <c r="N658" s="100">
        <f>IF(AND(SamplingData[[#This Row],[Total]]&lt;&gt; 0, NOT(ISBLANK(SamplingData[[#This Row],[Candidate 5]]))),(SamplingData[[#This Row],[Total]]+SamplingData[[#This Row],[Winning Candidate]]-SamplingData[[#This Row],[Candidate 5]])/(SamplingData[[#Totals],[Winning Candidate]]-SamplingData[[#Totals],[Candidate 5]]), 0)</f>
        <v>3.6487472634395525E-4</v>
      </c>
      <c r="O658" s="100">
        <f>IF(AND(SamplingData[[#This Row],[Total]]&lt;&gt; 0, NOT(ISBLANK(SamplingData[[#This Row],[Candidate 6]]))),(SamplingData[[#This Row],[Total]]+SamplingData[[#This Row],[Winning Candidate]]-SamplingData[[#This Row],[Candidate 6]])/(SamplingData[[#Totals],[Winning Candidate]]-SamplingData[[#Totals],[Candidate 6]]), 0)</f>
        <v>3.6476825057147027E-4</v>
      </c>
      <c r="P658" s="100">
        <f>MAX(SamplingData[[#This Row],[Error Bound (up) - Max. possible relative overstatement - Losing Candidate]:[Error Bound (up) - Max. possible relative overstatement - Candidate 6]])</f>
        <v>5.5120039196472322E-4</v>
      </c>
      <c r="Q658" s="100">
        <f>IF(SamplingData[[#This Row],[Max Error Bound (up)]] = 0,0,SamplingData[[#This Row],[Max Error Bound (up)]]/SamplingData[[#Totals],[Max Error Bound (up)]])</f>
        <v>8.7236534506012492E-5</v>
      </c>
      <c r="R658" s="101">
        <f>SUM($Q$5:Q658)</f>
        <v>0.18949942709096648</v>
      </c>
      <c r="S658" s="100" t="str">
        <f t="array" ref="S658">IF(SamplingData[[#This Row],[up/U Selection Probability]] = 0, "Zero", TEXT(SamplingData[[#This Row],[Lower Range]], REPT("0",LEN('General Info'!$B$40))) &amp; " - " &amp; TEXT(SamplingData[[#This Row],[Upper Range]], REPT("0",LEN('General Info'!$B$40))))</f>
        <v>18941 - 18949</v>
      </c>
      <c r="T658" s="100">
        <f>SamplingData[[#This Row],[Upper Range]]-SamplingData[[#This Row],[Span]]</f>
        <v>18941.219142882583</v>
      </c>
      <c r="U658" s="100">
        <f>IF(ISNUMBER('General Info'!$B$40), ((SamplingData[[#This Row],[up/U Selection Probability]]) * 'General Info'!$B$40) - 1, 0)</f>
        <v>7.7235662140667429</v>
      </c>
      <c r="V658" s="100">
        <f>IF(ISNUMBER('General Info'!$B$40), (SamplingData[[#This Row],[Running (cumulative) sum]] * ('General Info'!$B$40 -'General Info'!$B$41 + 1)) + 'General Info'!$B$41 - 1, 0)</f>
        <v>18948.942709096649</v>
      </c>
      <c r="W658" s="100" t="str">
        <f>IF(ISERROR(MATCH(SamplingData[[#This Row],[Batch by Type (p)]],SelectedPrecincts[Batch Name], 0)), "", INDEX(SelectedPrecincts[Draw], MATCH(SamplingData[[#This Row],[Batch by Type (p)]],SelectedPrecincts[Batch Name], 0)))</f>
        <v/>
      </c>
      <c r="X658" s="102">
        <f>IF(COUNTIF(SelectedPrecincts[Batch Name],SamplingData[[#This Row],[Batch by Type (p)]]) &lt;&gt; 0, COUNTIF(SelectedPrecincts[Batch Name],SamplingData[[#This Row],[Batch by Type (p)]]), 0)</f>
        <v>0</v>
      </c>
    </row>
    <row r="659" spans="1:24" ht="15" customHeight="1">
      <c r="A659" s="18" t="s">
        <v>835</v>
      </c>
      <c r="B659" s="18">
        <v>5</v>
      </c>
      <c r="C659" s="18">
        <v>2</v>
      </c>
      <c r="D659" s="16">
        <v>1</v>
      </c>
      <c r="E659" s="16">
        <v>3</v>
      </c>
      <c r="F659" s="37">
        <v>0</v>
      </c>
      <c r="G659" s="37">
        <v>0</v>
      </c>
      <c r="H659" s="17">
        <v>0</v>
      </c>
      <c r="I659" s="17">
        <v>0</v>
      </c>
      <c r="J659" s="99">
        <f>SUM(SamplingData[[#This Row],[Losing Candidate]:[Under Votes]])</f>
        <v>11</v>
      </c>
      <c r="K659"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659" s="100">
        <f>IF(AND(SamplingData[[#This Row],[Total]]&lt;&gt; 0, NOT(ISBLANK(SamplingData[[#This Row],[Candidate 3]]))),(SamplingData[[#This Row],[Total]]+SamplingData[[#This Row],[Winning Candidate]]-SamplingData[[#This Row],[Candidate 3]])/(SamplingData[[#Totals],[Winning Candidate]]-SamplingData[[#Totals],[Candidate 3]]), 0)</f>
        <v>3.8713423879730297E-4</v>
      </c>
      <c r="M659" s="100">
        <f>IF(AND(SamplingData[[#This Row],[Total]]&lt;&gt; 0, NOT(ISBLANK(SamplingData[[#This Row],[Candidate 4]]))),(SamplingData[[#This Row],[Total]]+SamplingData[[#This Row],[Winning Candidate]]-SamplingData[[#This Row],[Candidate 4]])/(SamplingData[[#Totals],[Winning Candidate]]-SamplingData[[#Totals],[Candidate 4]]), 0)</f>
        <v>2.9232073430968461E-4</v>
      </c>
      <c r="N659" s="100">
        <f>IF(AND(SamplingData[[#This Row],[Total]]&lt;&gt; 0, NOT(ISBLANK(SamplingData[[#This Row],[Candidate 5]]))),(SamplingData[[#This Row],[Total]]+SamplingData[[#This Row],[Winning Candidate]]-SamplingData[[#This Row],[Candidate 5]])/(SamplingData[[#Totals],[Winning Candidate]]-SamplingData[[#Totals],[Candidate 5]]), 0)</f>
        <v>3.1622476283142789E-4</v>
      </c>
      <c r="O659" s="100">
        <f>IF(AND(SamplingData[[#This Row],[Total]]&lt;&gt; 0, NOT(ISBLANK(SamplingData[[#This Row],[Candidate 6]]))),(SamplingData[[#This Row],[Total]]+SamplingData[[#This Row],[Winning Candidate]]-SamplingData[[#This Row],[Candidate 6]])/(SamplingData[[#Totals],[Winning Candidate]]-SamplingData[[#Totals],[Candidate 6]]), 0)</f>
        <v>3.1613248382860755E-4</v>
      </c>
      <c r="P659" s="100">
        <f>MAX(SamplingData[[#This Row],[Error Bound (up) - Max. possible relative overstatement - Losing Candidate]:[Error Bound (up) - Max. possible relative overstatement - Candidate 6]])</f>
        <v>4.8995590396864281E-4</v>
      </c>
      <c r="Q659" s="100">
        <f>IF(SamplingData[[#This Row],[Max Error Bound (up)]] = 0,0,SamplingData[[#This Row],[Max Error Bound (up)]]/SamplingData[[#Totals],[Max Error Bound (up)]])</f>
        <v>7.7543586227566652E-5</v>
      </c>
      <c r="R659" s="101">
        <f>SUM($Q$5:Q659)</f>
        <v>0.18957697067719406</v>
      </c>
      <c r="S659" s="100" t="str">
        <f t="array" ref="S659">IF(SamplingData[[#This Row],[up/U Selection Probability]] = 0, "Zero", TEXT(SamplingData[[#This Row],[Lower Range]], REPT("0",LEN('General Info'!$B$40))) &amp; " - " &amp; TEXT(SamplingData[[#This Row],[Upper Range]], REPT("0",LEN('General Info'!$B$40))))</f>
        <v>18950 - 18957</v>
      </c>
      <c r="T659" s="100">
        <f>SamplingData[[#This Row],[Upper Range]]-SamplingData[[#This Row],[Span]]</f>
        <v>18949.942786640237</v>
      </c>
      <c r="U659" s="100">
        <f>IF(ISNUMBER('General Info'!$B$40), ((SamplingData[[#This Row],[up/U Selection Probability]]) * 'General Info'!$B$40) - 1, 0)</f>
        <v>6.754281079170438</v>
      </c>
      <c r="V659" s="100">
        <f>IF(ISNUMBER('General Info'!$B$40), (SamplingData[[#This Row],[Running (cumulative) sum]] * ('General Info'!$B$40 -'General Info'!$B$41 + 1)) + 'General Info'!$B$41 - 1, 0)</f>
        <v>18956.697067719408</v>
      </c>
      <c r="W659" s="100" t="str">
        <f>IF(ISERROR(MATCH(SamplingData[[#This Row],[Batch by Type (p)]],SelectedPrecincts[Batch Name], 0)), "", INDEX(SelectedPrecincts[Draw], MATCH(SamplingData[[#This Row],[Batch by Type (p)]],SelectedPrecincts[Batch Name], 0)))</f>
        <v/>
      </c>
      <c r="X659" s="102">
        <f>IF(COUNTIF(SelectedPrecincts[Batch Name],SamplingData[[#This Row],[Batch by Type (p)]]) &lt;&gt; 0, COUNTIF(SelectedPrecincts[Batch Name],SamplingData[[#This Row],[Batch by Type (p)]]), 0)</f>
        <v>0</v>
      </c>
    </row>
    <row r="660" spans="1:24" ht="15" customHeight="1">
      <c r="A660" s="18" t="s">
        <v>836</v>
      </c>
      <c r="B660" s="18">
        <v>0</v>
      </c>
      <c r="C660" s="18">
        <v>1</v>
      </c>
      <c r="D660" s="18">
        <v>3</v>
      </c>
      <c r="E660" s="18">
        <v>0</v>
      </c>
      <c r="F660" s="18">
        <v>0</v>
      </c>
      <c r="G660" s="18">
        <v>0</v>
      </c>
      <c r="H660" s="18">
        <v>0</v>
      </c>
      <c r="I660" s="18">
        <v>0</v>
      </c>
      <c r="J660" s="99">
        <f>SUM(SamplingData[[#This Row],[Losing Candidate]:[Under Votes]])</f>
        <v>4</v>
      </c>
      <c r="K660"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660" s="100">
        <f>IF(AND(SamplingData[[#This Row],[Total]]&lt;&gt; 0, NOT(ISBLANK(SamplingData[[#This Row],[Candidate 3]]))),(SamplingData[[#This Row],[Total]]+SamplingData[[#This Row],[Winning Candidate]]-SamplingData[[#This Row],[Candidate 3]])/(SamplingData[[#Totals],[Winning Candidate]]-SamplingData[[#Totals],[Candidate 3]]), 0)</f>
        <v>6.4522373132883833E-5</v>
      </c>
      <c r="M660" s="100">
        <f>IF(AND(SamplingData[[#This Row],[Total]]&lt;&gt; 0, NOT(ISBLANK(SamplingData[[#This Row],[Candidate 4]]))),(SamplingData[[#This Row],[Total]]+SamplingData[[#This Row],[Winning Candidate]]-SamplingData[[#This Row],[Candidate 4]])/(SamplingData[[#Totals],[Winning Candidate]]-SamplingData[[#Totals],[Candidate 4]]), 0)</f>
        <v>1.4616036715484231E-4</v>
      </c>
      <c r="N660" s="100">
        <f>IF(AND(SamplingData[[#This Row],[Total]]&lt;&gt; 0, NOT(ISBLANK(SamplingData[[#This Row],[Candidate 5]]))),(SamplingData[[#This Row],[Total]]+SamplingData[[#This Row],[Winning Candidate]]-SamplingData[[#This Row],[Candidate 5]])/(SamplingData[[#Totals],[Winning Candidate]]-SamplingData[[#Totals],[Candidate 5]]), 0)</f>
        <v>1.2162490878131841E-4</v>
      </c>
      <c r="O660" s="100">
        <f>IF(AND(SamplingData[[#This Row],[Total]]&lt;&gt; 0, NOT(ISBLANK(SamplingData[[#This Row],[Candidate 6]]))),(SamplingData[[#This Row],[Total]]+SamplingData[[#This Row],[Winning Candidate]]-SamplingData[[#This Row],[Candidate 6]])/(SamplingData[[#Totals],[Winning Candidate]]-SamplingData[[#Totals],[Candidate 6]]), 0)</f>
        <v>1.2158941685715675E-4</v>
      </c>
      <c r="P660" s="100">
        <f>MAX(SamplingData[[#This Row],[Error Bound (up) - Max. possible relative overstatement - Losing Candidate]:[Error Bound (up) - Max. possible relative overstatement - Candidate 6]])</f>
        <v>3.0622243998040176E-4</v>
      </c>
      <c r="Q660" s="100">
        <f>IF(SamplingData[[#This Row],[Max Error Bound (up)]] = 0,0,SamplingData[[#This Row],[Max Error Bound (up)]]/SamplingData[[#Totals],[Max Error Bound (up)]])</f>
        <v>4.8464741392229159E-5</v>
      </c>
      <c r="R660" s="101">
        <f>SUM($Q$5:Q660)</f>
        <v>0.18962543541858629</v>
      </c>
      <c r="S660" s="100" t="str">
        <f t="array" ref="S660">IF(SamplingData[[#This Row],[up/U Selection Probability]] = 0, "Zero", TEXT(SamplingData[[#This Row],[Lower Range]], REPT("0",LEN('General Info'!$B$40))) &amp; " - " &amp; TEXT(SamplingData[[#This Row],[Upper Range]], REPT("0",LEN('General Info'!$B$40))))</f>
        <v>18958 - 18962</v>
      </c>
      <c r="T660" s="100">
        <f>SamplingData[[#This Row],[Upper Range]]-SamplingData[[#This Row],[Span]]</f>
        <v>18957.697116184147</v>
      </c>
      <c r="U660" s="100">
        <f>IF(ISNUMBER('General Info'!$B$40), ((SamplingData[[#This Row],[up/U Selection Probability]]) * 'General Info'!$B$40) - 1, 0)</f>
        <v>3.8464256744815239</v>
      </c>
      <c r="V660" s="100">
        <f>IF(ISNUMBER('General Info'!$B$40), (SamplingData[[#This Row],[Running (cumulative) sum]] * ('General Info'!$B$40 -'General Info'!$B$41 + 1)) + 'General Info'!$B$41 - 1, 0)</f>
        <v>18961.543541858628</v>
      </c>
      <c r="W660" s="100" t="str">
        <f>IF(ISERROR(MATCH(SamplingData[[#This Row],[Batch by Type (p)]],SelectedPrecincts[Batch Name], 0)), "", INDEX(SelectedPrecincts[Draw], MATCH(SamplingData[[#This Row],[Batch by Type (p)]],SelectedPrecincts[Batch Name], 0)))</f>
        <v/>
      </c>
      <c r="X660" s="102">
        <f>IF(COUNTIF(SelectedPrecincts[Batch Name],SamplingData[[#This Row],[Batch by Type (p)]]) &lt;&gt; 0, COUNTIF(SelectedPrecincts[Batch Name],SamplingData[[#This Row],[Batch by Type (p)]]), 0)</f>
        <v>0</v>
      </c>
    </row>
    <row r="661" spans="1:24" ht="15" customHeight="1">
      <c r="A661" s="18" t="s">
        <v>837</v>
      </c>
      <c r="B661" s="18">
        <v>4</v>
      </c>
      <c r="C661" s="18">
        <v>0</v>
      </c>
      <c r="D661" s="16">
        <v>1</v>
      </c>
      <c r="E661" s="16">
        <v>0</v>
      </c>
      <c r="F661" s="37">
        <v>0</v>
      </c>
      <c r="G661" s="37">
        <v>0</v>
      </c>
      <c r="H661" s="17">
        <v>0</v>
      </c>
      <c r="I661" s="17">
        <v>0</v>
      </c>
      <c r="J661" s="99">
        <f>SUM(SamplingData[[#This Row],[Losing Candidate]:[Under Votes]])</f>
        <v>5</v>
      </c>
      <c r="K661"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661" s="100">
        <f>IF(AND(SamplingData[[#This Row],[Total]]&lt;&gt; 0, NOT(ISBLANK(SamplingData[[#This Row],[Candidate 3]]))),(SamplingData[[#This Row],[Total]]+SamplingData[[#This Row],[Winning Candidate]]-SamplingData[[#This Row],[Candidate 3]])/(SamplingData[[#Totals],[Winning Candidate]]-SamplingData[[#Totals],[Candidate 3]]), 0)</f>
        <v>1.2904474626576767E-4</v>
      </c>
      <c r="M661" s="100">
        <f>IF(AND(SamplingData[[#This Row],[Total]]&lt;&gt; 0, NOT(ISBLANK(SamplingData[[#This Row],[Candidate 4]]))),(SamplingData[[#This Row],[Total]]+SamplingData[[#This Row],[Winning Candidate]]-SamplingData[[#This Row],[Candidate 4]])/(SamplingData[[#Totals],[Winning Candidate]]-SamplingData[[#Totals],[Candidate 4]]), 0)</f>
        <v>1.4616036715484231E-4</v>
      </c>
      <c r="N661" s="100">
        <f>IF(AND(SamplingData[[#This Row],[Total]]&lt;&gt; 0, NOT(ISBLANK(SamplingData[[#This Row],[Candidate 5]]))),(SamplingData[[#This Row],[Total]]+SamplingData[[#This Row],[Winning Candidate]]-SamplingData[[#This Row],[Candidate 5]])/(SamplingData[[#Totals],[Winning Candidate]]-SamplingData[[#Totals],[Candidate 5]]), 0)</f>
        <v>1.2162490878131841E-4</v>
      </c>
      <c r="O661" s="100">
        <f>IF(AND(SamplingData[[#This Row],[Total]]&lt;&gt; 0, NOT(ISBLANK(SamplingData[[#This Row],[Candidate 6]]))),(SamplingData[[#This Row],[Total]]+SamplingData[[#This Row],[Winning Candidate]]-SamplingData[[#This Row],[Candidate 6]])/(SamplingData[[#Totals],[Winning Candidate]]-SamplingData[[#Totals],[Candidate 6]]), 0)</f>
        <v>1.2158941685715675E-4</v>
      </c>
      <c r="P661" s="100">
        <f>MAX(SamplingData[[#This Row],[Error Bound (up) - Max. possible relative overstatement - Losing Candidate]:[Error Bound (up) - Max. possible relative overstatement - Candidate 6]])</f>
        <v>1.4616036715484231E-4</v>
      </c>
      <c r="Q661" s="100">
        <f>IF(SamplingData[[#This Row],[Max Error Bound (up)]] = 0,0,SamplingData[[#This Row],[Max Error Bound (up)]]/SamplingData[[#Totals],[Max Error Bound (up)]])</f>
        <v>2.3132283827423127E-5</v>
      </c>
      <c r="R661" s="101">
        <f>SUM($Q$5:Q661)</f>
        <v>0.1896485677024137</v>
      </c>
      <c r="S661" s="100" t="str">
        <f t="array" ref="S661">IF(SamplingData[[#This Row],[up/U Selection Probability]] = 0, "Zero", TEXT(SamplingData[[#This Row],[Lower Range]], REPT("0",LEN('General Info'!$B$40))) &amp; " - " &amp; TEXT(SamplingData[[#This Row],[Upper Range]], REPT("0",LEN('General Info'!$B$40))))</f>
        <v>18963 - 18964</v>
      </c>
      <c r="T661" s="100">
        <f>SamplingData[[#This Row],[Upper Range]]-SamplingData[[#This Row],[Span]]</f>
        <v>18962.543564990912</v>
      </c>
      <c r="U661" s="100">
        <f>IF(ISNUMBER('General Info'!$B$40), ((SamplingData[[#This Row],[up/U Selection Probability]]) * 'General Info'!$B$40) - 1, 0)</f>
        <v>1.3132052504584855</v>
      </c>
      <c r="V661" s="100">
        <f>IF(ISNUMBER('General Info'!$B$40), (SamplingData[[#This Row],[Running (cumulative) sum]] * ('General Info'!$B$40 -'General Info'!$B$41 + 1)) + 'General Info'!$B$41 - 1, 0)</f>
        <v>18963.856770241371</v>
      </c>
      <c r="W661" s="100" t="str">
        <f>IF(ISERROR(MATCH(SamplingData[[#This Row],[Batch by Type (p)]],SelectedPrecincts[Batch Name], 0)), "", INDEX(SelectedPrecincts[Draw], MATCH(SamplingData[[#This Row],[Batch by Type (p)]],SelectedPrecincts[Batch Name], 0)))</f>
        <v/>
      </c>
      <c r="X661" s="102">
        <f>IF(COUNTIF(SelectedPrecincts[Batch Name],SamplingData[[#This Row],[Batch by Type (p)]]) &lt;&gt; 0, COUNTIF(SelectedPrecincts[Batch Name],SamplingData[[#This Row],[Batch by Type (p)]]), 0)</f>
        <v>0</v>
      </c>
    </row>
    <row r="662" spans="1:24" ht="15" customHeight="1">
      <c r="A662" s="18" t="s">
        <v>838</v>
      </c>
      <c r="B662" s="18">
        <v>3</v>
      </c>
      <c r="C662" s="18">
        <v>0</v>
      </c>
      <c r="D662" s="18">
        <v>1</v>
      </c>
      <c r="E662" s="18">
        <v>1</v>
      </c>
      <c r="F662" s="18">
        <v>0</v>
      </c>
      <c r="G662" s="18">
        <v>0</v>
      </c>
      <c r="H662" s="18">
        <v>0</v>
      </c>
      <c r="I662" s="18">
        <v>0</v>
      </c>
      <c r="J662" s="99">
        <f>SUM(SamplingData[[#This Row],[Losing Candidate]:[Under Votes]])</f>
        <v>5</v>
      </c>
      <c r="K66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62" s="100">
        <f>IF(AND(SamplingData[[#This Row],[Total]]&lt;&gt; 0, NOT(ISBLANK(SamplingData[[#This Row],[Candidate 3]]))),(SamplingData[[#This Row],[Total]]+SamplingData[[#This Row],[Winning Candidate]]-SamplingData[[#This Row],[Candidate 3]])/(SamplingData[[#Totals],[Winning Candidate]]-SamplingData[[#Totals],[Candidate 3]]), 0)</f>
        <v>1.2904474626576767E-4</v>
      </c>
      <c r="M662" s="100">
        <f>IF(AND(SamplingData[[#This Row],[Total]]&lt;&gt; 0, NOT(ISBLANK(SamplingData[[#This Row],[Candidate 4]]))),(SamplingData[[#This Row],[Total]]+SamplingData[[#This Row],[Winning Candidate]]-SamplingData[[#This Row],[Candidate 4]])/(SamplingData[[#Totals],[Winning Candidate]]-SamplingData[[#Totals],[Candidate 4]]), 0)</f>
        <v>1.1692829372387384E-4</v>
      </c>
      <c r="N662" s="100">
        <f>IF(AND(SamplingData[[#This Row],[Total]]&lt;&gt; 0, NOT(ISBLANK(SamplingData[[#This Row],[Candidate 5]]))),(SamplingData[[#This Row],[Total]]+SamplingData[[#This Row],[Winning Candidate]]-SamplingData[[#This Row],[Candidate 5]])/(SamplingData[[#Totals],[Winning Candidate]]-SamplingData[[#Totals],[Candidate 5]]), 0)</f>
        <v>1.2162490878131841E-4</v>
      </c>
      <c r="O662" s="100">
        <f>IF(AND(SamplingData[[#This Row],[Total]]&lt;&gt; 0, NOT(ISBLANK(SamplingData[[#This Row],[Candidate 6]]))),(SamplingData[[#This Row],[Total]]+SamplingData[[#This Row],[Winning Candidate]]-SamplingData[[#This Row],[Candidate 6]])/(SamplingData[[#Totals],[Winning Candidate]]-SamplingData[[#Totals],[Candidate 6]]), 0)</f>
        <v>1.2158941685715675E-4</v>
      </c>
      <c r="P662" s="100">
        <f>MAX(SamplingData[[#This Row],[Error Bound (up) - Max. possible relative overstatement - Losing Candidate]:[Error Bound (up) - Max. possible relative overstatement - Candidate 6]])</f>
        <v>1.2904474626576767E-4</v>
      </c>
      <c r="Q662" s="100">
        <f>IF(SamplingData[[#This Row],[Max Error Bound (up)]] = 0,0,SamplingData[[#This Row],[Max Error Bound (up)]]/SamplingData[[#Totals],[Max Error Bound (up)]])</f>
        <v>2.0423455107328265E-5</v>
      </c>
      <c r="R662" s="101">
        <f>SUM($Q$5:Q662)</f>
        <v>0.18966899115752103</v>
      </c>
      <c r="S662" s="100" t="str">
        <f t="array" ref="S662">IF(SamplingData[[#This Row],[up/U Selection Probability]] = 0, "Zero", TEXT(SamplingData[[#This Row],[Lower Range]], REPT("0",LEN('General Info'!$B$40))) &amp; " - " &amp; TEXT(SamplingData[[#This Row],[Upper Range]], REPT("0",LEN('General Info'!$B$40))))</f>
        <v>18965 - 18966</v>
      </c>
      <c r="T662" s="100">
        <f>SamplingData[[#This Row],[Upper Range]]-SamplingData[[#This Row],[Span]]</f>
        <v>18964.856790664828</v>
      </c>
      <c r="U662" s="100">
        <f>IF(ISNUMBER('General Info'!$B$40), ((SamplingData[[#This Row],[up/U Selection Probability]]) * 'General Info'!$B$40) - 1, 0)</f>
        <v>1.0423250872777192</v>
      </c>
      <c r="V662" s="100">
        <f>IF(ISNUMBER('General Info'!$B$40), (SamplingData[[#This Row],[Running (cumulative) sum]] * ('General Info'!$B$40 -'General Info'!$B$41 + 1)) + 'General Info'!$B$41 - 1, 0)</f>
        <v>18965.899115752105</v>
      </c>
      <c r="W662" s="100" t="str">
        <f>IF(ISERROR(MATCH(SamplingData[[#This Row],[Batch by Type (p)]],SelectedPrecincts[Batch Name], 0)), "", INDEX(SelectedPrecincts[Draw], MATCH(SamplingData[[#This Row],[Batch by Type (p)]],SelectedPrecincts[Batch Name], 0)))</f>
        <v/>
      </c>
      <c r="X662" s="102">
        <f>IF(COUNTIF(SelectedPrecincts[Batch Name],SamplingData[[#This Row],[Batch by Type (p)]]) &lt;&gt; 0, COUNTIF(SelectedPrecincts[Batch Name],SamplingData[[#This Row],[Batch by Type (p)]]), 0)</f>
        <v>0</v>
      </c>
    </row>
    <row r="663" spans="1:24" ht="15" customHeight="1">
      <c r="A663" s="18" t="s">
        <v>839</v>
      </c>
      <c r="B663" s="18">
        <v>9</v>
      </c>
      <c r="C663" s="18">
        <v>8</v>
      </c>
      <c r="D663" s="16">
        <v>2</v>
      </c>
      <c r="E663" s="16">
        <v>4</v>
      </c>
      <c r="F663" s="37">
        <v>0</v>
      </c>
      <c r="G663" s="37">
        <v>0</v>
      </c>
      <c r="H663" s="17">
        <v>0</v>
      </c>
      <c r="I663" s="17">
        <v>0</v>
      </c>
      <c r="J663" s="99">
        <f>SUM(SamplingData[[#This Row],[Losing Candidate]:[Under Votes]])</f>
        <v>23</v>
      </c>
      <c r="K663"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663" s="100">
        <f>IF(AND(SamplingData[[#This Row],[Total]]&lt;&gt; 0, NOT(ISBLANK(SamplingData[[#This Row],[Candidate 3]]))),(SamplingData[[#This Row],[Total]]+SamplingData[[#This Row],[Winning Candidate]]-SamplingData[[#This Row],[Candidate 3]])/(SamplingData[[#Totals],[Winning Candidate]]-SamplingData[[#Totals],[Candidate 3]]), 0)</f>
        <v>9.3557441042681547E-4</v>
      </c>
      <c r="M663" s="100">
        <f>IF(AND(SamplingData[[#This Row],[Total]]&lt;&gt; 0, NOT(ISBLANK(SamplingData[[#This Row],[Candidate 4]]))),(SamplingData[[#This Row],[Total]]+SamplingData[[#This Row],[Winning Candidate]]-SamplingData[[#This Row],[Candidate 4]])/(SamplingData[[#Totals],[Winning Candidate]]-SamplingData[[#Totals],[Candidate 4]]), 0)</f>
        <v>7.8926598263614838E-4</v>
      </c>
      <c r="N663" s="100">
        <f>IF(AND(SamplingData[[#This Row],[Total]]&lt;&gt; 0, NOT(ISBLANK(SamplingData[[#This Row],[Candidate 5]]))),(SamplingData[[#This Row],[Total]]+SamplingData[[#This Row],[Winning Candidate]]-SamplingData[[#This Row],[Candidate 5]])/(SamplingData[[#Totals],[Winning Candidate]]-SamplingData[[#Totals],[Candidate 5]]), 0)</f>
        <v>7.5407443444417419E-4</v>
      </c>
      <c r="O663" s="100">
        <f>IF(AND(SamplingData[[#This Row],[Total]]&lt;&gt; 0, NOT(ISBLANK(SamplingData[[#This Row],[Candidate 6]]))),(SamplingData[[#This Row],[Total]]+SamplingData[[#This Row],[Winning Candidate]]-SamplingData[[#This Row],[Candidate 6]])/(SamplingData[[#Totals],[Winning Candidate]]-SamplingData[[#Totals],[Candidate 6]]), 0)</f>
        <v>7.5385438451437182E-4</v>
      </c>
      <c r="P663" s="100">
        <f>MAX(SamplingData[[#This Row],[Error Bound (up) - Max. possible relative overstatement - Losing Candidate]:[Error Bound (up) - Max. possible relative overstatement - Candidate 6]])</f>
        <v>1.3473787359137678E-3</v>
      </c>
      <c r="Q663" s="100">
        <f>IF(SamplingData[[#This Row],[Max Error Bound (up)]] = 0,0,SamplingData[[#This Row],[Max Error Bound (up)]]/SamplingData[[#Totals],[Max Error Bound (up)]])</f>
        <v>2.1324486212580832E-4</v>
      </c>
      <c r="R663" s="101">
        <f>SUM($Q$5:Q663)</f>
        <v>0.18988223601964685</v>
      </c>
      <c r="S663" s="100" t="str">
        <f t="array" ref="S663">IF(SamplingData[[#This Row],[up/U Selection Probability]] = 0, "Zero", TEXT(SamplingData[[#This Row],[Lower Range]], REPT("0",LEN('General Info'!$B$40))) &amp; " - " &amp; TEXT(SamplingData[[#This Row],[Upper Range]], REPT("0",LEN('General Info'!$B$40))))</f>
        <v>18967 - 18987</v>
      </c>
      <c r="T663" s="100">
        <f>SamplingData[[#This Row],[Upper Range]]-SamplingData[[#This Row],[Span]]</f>
        <v>18966.899328996966</v>
      </c>
      <c r="U663" s="100">
        <f>IF(ISNUMBER('General Info'!$B$40), ((SamplingData[[#This Row],[up/U Selection Probability]]) * 'General Info'!$B$40) - 1, 0)</f>
        <v>20.324272967718706</v>
      </c>
      <c r="V663" s="100">
        <f>IF(ISNUMBER('General Info'!$B$40), (SamplingData[[#This Row],[Running (cumulative) sum]] * ('General Info'!$B$40 -'General Info'!$B$41 + 1)) + 'General Info'!$B$41 - 1, 0)</f>
        <v>18987.223601964684</v>
      </c>
      <c r="W663" s="100" t="str">
        <f>IF(ISERROR(MATCH(SamplingData[[#This Row],[Batch by Type (p)]],SelectedPrecincts[Batch Name], 0)), "", INDEX(SelectedPrecincts[Draw], MATCH(SamplingData[[#This Row],[Batch by Type (p)]],SelectedPrecincts[Batch Name], 0)))</f>
        <v/>
      </c>
      <c r="X663" s="102">
        <f>IF(COUNTIF(SelectedPrecincts[Batch Name],SamplingData[[#This Row],[Batch by Type (p)]]) &lt;&gt; 0, COUNTIF(SelectedPrecincts[Batch Name],SamplingData[[#This Row],[Batch by Type (p)]]), 0)</f>
        <v>0</v>
      </c>
    </row>
    <row r="664" spans="1:24" ht="15" customHeight="1">
      <c r="A664" s="18" t="s">
        <v>840</v>
      </c>
      <c r="B664" s="18">
        <v>4</v>
      </c>
      <c r="C664" s="18">
        <v>2</v>
      </c>
      <c r="D664" s="18">
        <v>2</v>
      </c>
      <c r="E664" s="18">
        <v>0</v>
      </c>
      <c r="F664" s="18">
        <v>0</v>
      </c>
      <c r="G664" s="18">
        <v>0</v>
      </c>
      <c r="H664" s="18">
        <v>0</v>
      </c>
      <c r="I664" s="18">
        <v>1</v>
      </c>
      <c r="J664" s="99">
        <f>SUM(SamplingData[[#This Row],[Losing Candidate]:[Under Votes]])</f>
        <v>9</v>
      </c>
      <c r="K664"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664" s="100">
        <f>IF(AND(SamplingData[[#This Row],[Total]]&lt;&gt; 0, NOT(ISBLANK(SamplingData[[#This Row],[Candidate 3]]))),(SamplingData[[#This Row],[Total]]+SamplingData[[#This Row],[Winning Candidate]]-SamplingData[[#This Row],[Candidate 3]])/(SamplingData[[#Totals],[Winning Candidate]]-SamplingData[[#Totals],[Candidate 3]]), 0)</f>
        <v>2.9035067909797722E-4</v>
      </c>
      <c r="M664" s="100">
        <f>IF(AND(SamplingData[[#This Row],[Total]]&lt;&gt; 0, NOT(ISBLANK(SamplingData[[#This Row],[Candidate 4]]))),(SamplingData[[#This Row],[Total]]+SamplingData[[#This Row],[Winning Candidate]]-SamplingData[[#This Row],[Candidate 4]])/(SamplingData[[#Totals],[Winning Candidate]]-SamplingData[[#Totals],[Candidate 4]]), 0)</f>
        <v>3.2155280774065302E-4</v>
      </c>
      <c r="N664" s="100">
        <f>IF(AND(SamplingData[[#This Row],[Total]]&lt;&gt; 0, NOT(ISBLANK(SamplingData[[#This Row],[Candidate 5]]))),(SamplingData[[#This Row],[Total]]+SamplingData[[#This Row],[Winning Candidate]]-SamplingData[[#This Row],[Candidate 5]])/(SamplingData[[#Totals],[Winning Candidate]]-SamplingData[[#Totals],[Candidate 5]]), 0)</f>
        <v>2.6757479931890053E-4</v>
      </c>
      <c r="O664" s="100">
        <f>IF(AND(SamplingData[[#This Row],[Total]]&lt;&gt; 0, NOT(ISBLANK(SamplingData[[#This Row],[Candidate 6]]))),(SamplingData[[#This Row],[Total]]+SamplingData[[#This Row],[Winning Candidate]]-SamplingData[[#This Row],[Candidate 6]])/(SamplingData[[#Totals],[Winning Candidate]]-SamplingData[[#Totals],[Candidate 6]]), 0)</f>
        <v>2.6749671708574483E-4</v>
      </c>
      <c r="P664" s="100">
        <f>MAX(SamplingData[[#This Row],[Error Bound (up) - Max. possible relative overstatement - Losing Candidate]:[Error Bound (up) - Max. possible relative overstatement - Candidate 6]])</f>
        <v>4.2871141597256246E-4</v>
      </c>
      <c r="Q664" s="100">
        <f>IF(SamplingData[[#This Row],[Max Error Bound (up)]] = 0,0,SamplingData[[#This Row],[Max Error Bound (up)]]/SamplingData[[#Totals],[Max Error Bound (up)]])</f>
        <v>6.7850637949120826E-5</v>
      </c>
      <c r="R664" s="101">
        <f>SUM($Q$5:Q664)</f>
        <v>0.18995008665759597</v>
      </c>
      <c r="S664" s="100" t="str">
        <f t="array" ref="S664">IF(SamplingData[[#This Row],[up/U Selection Probability]] = 0, "Zero", TEXT(SamplingData[[#This Row],[Lower Range]], REPT("0",LEN('General Info'!$B$40))) &amp; " - " &amp; TEXT(SamplingData[[#This Row],[Upper Range]], REPT("0",LEN('General Info'!$B$40))))</f>
        <v>18988 - 18994</v>
      </c>
      <c r="T664" s="100">
        <f>SamplingData[[#This Row],[Upper Range]]-SamplingData[[#This Row],[Span]]</f>
        <v>18988.223669815321</v>
      </c>
      <c r="U664" s="100">
        <f>IF(ISNUMBER('General Info'!$B$40), ((SamplingData[[#This Row],[up/U Selection Probability]]) * 'General Info'!$B$40) - 1, 0)</f>
        <v>5.7849959442741339</v>
      </c>
      <c r="V664" s="100">
        <f>IF(ISNUMBER('General Info'!$B$40), (SamplingData[[#This Row],[Running (cumulative) sum]] * ('General Info'!$B$40 -'General Info'!$B$41 + 1)) + 'General Info'!$B$41 - 1, 0)</f>
        <v>18994.008665759597</v>
      </c>
      <c r="W664" s="100" t="str">
        <f>IF(ISERROR(MATCH(SamplingData[[#This Row],[Batch by Type (p)]],SelectedPrecincts[Batch Name], 0)), "", INDEX(SelectedPrecincts[Draw], MATCH(SamplingData[[#This Row],[Batch by Type (p)]],SelectedPrecincts[Batch Name], 0)))</f>
        <v/>
      </c>
      <c r="X664" s="102">
        <f>IF(COUNTIF(SelectedPrecincts[Batch Name],SamplingData[[#This Row],[Batch by Type (p)]]) &lt;&gt; 0, COUNTIF(SelectedPrecincts[Batch Name],SamplingData[[#This Row],[Batch by Type (p)]]), 0)</f>
        <v>0</v>
      </c>
    </row>
    <row r="665" spans="1:24" ht="15" customHeight="1">
      <c r="A665" s="18" t="s">
        <v>841</v>
      </c>
      <c r="B665" s="18">
        <v>1</v>
      </c>
      <c r="C665" s="18">
        <v>7</v>
      </c>
      <c r="D665" s="16">
        <v>2</v>
      </c>
      <c r="E665" s="16">
        <v>1</v>
      </c>
      <c r="F665" s="37">
        <v>0</v>
      </c>
      <c r="G665" s="37">
        <v>0</v>
      </c>
      <c r="H665" s="17">
        <v>0</v>
      </c>
      <c r="I665" s="17">
        <v>0</v>
      </c>
      <c r="J665" s="99">
        <f>SUM(SamplingData[[#This Row],[Losing Candidate]:[Under Votes]])</f>
        <v>11</v>
      </c>
      <c r="K665"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665" s="100">
        <f>IF(AND(SamplingData[[#This Row],[Total]]&lt;&gt; 0, NOT(ISBLANK(SamplingData[[#This Row],[Candidate 3]]))),(SamplingData[[#This Row],[Total]]+SamplingData[[#This Row],[Winning Candidate]]-SamplingData[[#This Row],[Candidate 3]])/(SamplingData[[#Totals],[Winning Candidate]]-SamplingData[[#Totals],[Candidate 3]]), 0)</f>
        <v>5.1617898506307067E-4</v>
      </c>
      <c r="M665" s="100">
        <f>IF(AND(SamplingData[[#This Row],[Total]]&lt;&gt; 0, NOT(ISBLANK(SamplingData[[#This Row],[Candidate 4]]))),(SamplingData[[#This Row],[Total]]+SamplingData[[#This Row],[Winning Candidate]]-SamplingData[[#This Row],[Candidate 4]])/(SamplingData[[#Totals],[Winning Candidate]]-SamplingData[[#Totals],[Candidate 4]]), 0)</f>
        <v>4.9694524832646382E-4</v>
      </c>
      <c r="N665" s="100">
        <f>IF(AND(SamplingData[[#This Row],[Total]]&lt;&gt; 0, NOT(ISBLANK(SamplingData[[#This Row],[Candidate 5]]))),(SamplingData[[#This Row],[Total]]+SamplingData[[#This Row],[Winning Candidate]]-SamplingData[[#This Row],[Candidate 5]])/(SamplingData[[#Totals],[Winning Candidate]]-SamplingData[[#Totals],[Candidate 5]]), 0)</f>
        <v>4.3784967161274629E-4</v>
      </c>
      <c r="O665" s="100">
        <f>IF(AND(SamplingData[[#This Row],[Total]]&lt;&gt; 0, NOT(ISBLANK(SamplingData[[#This Row],[Candidate 6]]))),(SamplingData[[#This Row],[Total]]+SamplingData[[#This Row],[Winning Candidate]]-SamplingData[[#This Row],[Candidate 6]])/(SamplingData[[#Totals],[Winning Candidate]]-SamplingData[[#Totals],[Candidate 6]]), 0)</f>
        <v>4.3772190068576433E-4</v>
      </c>
      <c r="P665" s="100">
        <f>MAX(SamplingData[[#This Row],[Error Bound (up) - Max. possible relative overstatement - Losing Candidate]:[Error Bound (up) - Max. possible relative overstatement - Candidate 6]])</f>
        <v>1.041156295933366E-3</v>
      </c>
      <c r="Q665" s="100">
        <f>IF(SamplingData[[#This Row],[Max Error Bound (up)]] = 0,0,SamplingData[[#This Row],[Max Error Bound (up)]]/SamplingData[[#Totals],[Max Error Bound (up)]])</f>
        <v>1.6478012073357914E-4</v>
      </c>
      <c r="R665" s="101">
        <f>SUM($Q$5:Q665)</f>
        <v>0.19011486677832953</v>
      </c>
      <c r="S665" s="100" t="str">
        <f t="array" ref="S665">IF(SamplingData[[#This Row],[up/U Selection Probability]] = 0, "Zero", TEXT(SamplingData[[#This Row],[Lower Range]], REPT("0",LEN('General Info'!$B$40))) &amp; " - " &amp; TEXT(SamplingData[[#This Row],[Upper Range]], REPT("0",LEN('General Info'!$B$40))))</f>
        <v>18995 - 19010</v>
      </c>
      <c r="T665" s="100">
        <f>SamplingData[[#This Row],[Upper Range]]-SamplingData[[#This Row],[Span]]</f>
        <v>18995.008830539715</v>
      </c>
      <c r="U665" s="100">
        <f>IF(ISNUMBER('General Info'!$B$40), ((SamplingData[[#This Row],[up/U Selection Probability]]) * 'General Info'!$B$40) - 1, 0)</f>
        <v>15.477847293237179</v>
      </c>
      <c r="V665" s="100">
        <f>IF(ISNUMBER('General Info'!$B$40), (SamplingData[[#This Row],[Running (cumulative) sum]] * ('General Info'!$B$40 -'General Info'!$B$41 + 1)) + 'General Info'!$B$41 - 1, 0)</f>
        <v>19010.486677832952</v>
      </c>
      <c r="W665" s="100" t="str">
        <f>IF(ISERROR(MATCH(SamplingData[[#This Row],[Batch by Type (p)]],SelectedPrecincts[Batch Name], 0)), "", INDEX(SelectedPrecincts[Draw], MATCH(SamplingData[[#This Row],[Batch by Type (p)]],SelectedPrecincts[Batch Name], 0)))</f>
        <v/>
      </c>
      <c r="X665" s="102">
        <f>IF(COUNTIF(SelectedPrecincts[Batch Name],SamplingData[[#This Row],[Batch by Type (p)]]) &lt;&gt; 0, COUNTIF(SelectedPrecincts[Batch Name],SamplingData[[#This Row],[Batch by Type (p)]]), 0)</f>
        <v>0</v>
      </c>
    </row>
    <row r="666" spans="1:24" ht="15" customHeight="1">
      <c r="A666" s="18" t="s">
        <v>842</v>
      </c>
      <c r="B666" s="18">
        <v>3</v>
      </c>
      <c r="C666" s="18">
        <v>1</v>
      </c>
      <c r="D666" s="18">
        <v>1</v>
      </c>
      <c r="E666" s="18">
        <v>4</v>
      </c>
      <c r="F666" s="18">
        <v>0</v>
      </c>
      <c r="G666" s="18">
        <v>0</v>
      </c>
      <c r="H666" s="18">
        <v>0</v>
      </c>
      <c r="I666" s="18">
        <v>0</v>
      </c>
      <c r="J666" s="99">
        <f>SUM(SamplingData[[#This Row],[Losing Candidate]:[Under Votes]])</f>
        <v>9</v>
      </c>
      <c r="K666"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666" s="100">
        <f>IF(AND(SamplingData[[#This Row],[Total]]&lt;&gt; 0, NOT(ISBLANK(SamplingData[[#This Row],[Candidate 3]]))),(SamplingData[[#This Row],[Total]]+SamplingData[[#This Row],[Winning Candidate]]-SamplingData[[#This Row],[Candidate 3]])/(SamplingData[[#Totals],[Winning Candidate]]-SamplingData[[#Totals],[Candidate 3]]), 0)</f>
        <v>2.9035067909797722E-4</v>
      </c>
      <c r="M666" s="100">
        <f>IF(AND(SamplingData[[#This Row],[Total]]&lt;&gt; 0, NOT(ISBLANK(SamplingData[[#This Row],[Candidate 4]]))),(SamplingData[[#This Row],[Total]]+SamplingData[[#This Row],[Winning Candidate]]-SamplingData[[#This Row],[Candidate 4]])/(SamplingData[[#Totals],[Winning Candidate]]-SamplingData[[#Totals],[Candidate 4]]), 0)</f>
        <v>1.7539244058581075E-4</v>
      </c>
      <c r="N666" s="100">
        <f>IF(AND(SamplingData[[#This Row],[Total]]&lt;&gt; 0, NOT(ISBLANK(SamplingData[[#This Row],[Candidate 5]]))),(SamplingData[[#This Row],[Total]]+SamplingData[[#This Row],[Winning Candidate]]-SamplingData[[#This Row],[Candidate 5]])/(SamplingData[[#Totals],[Winning Candidate]]-SamplingData[[#Totals],[Candidate 5]]), 0)</f>
        <v>2.4324981756263683E-4</v>
      </c>
      <c r="O666" s="100">
        <f>IF(AND(SamplingData[[#This Row],[Total]]&lt;&gt; 0, NOT(ISBLANK(SamplingData[[#This Row],[Candidate 6]]))),(SamplingData[[#This Row],[Total]]+SamplingData[[#This Row],[Winning Candidate]]-SamplingData[[#This Row],[Candidate 6]])/(SamplingData[[#Totals],[Winning Candidate]]-SamplingData[[#Totals],[Candidate 6]]), 0)</f>
        <v>2.431788337143135E-4</v>
      </c>
      <c r="P666" s="100">
        <f>MAX(SamplingData[[#This Row],[Error Bound (up) - Max. possible relative overstatement - Losing Candidate]:[Error Bound (up) - Max. possible relative overstatement - Candidate 6]])</f>
        <v>4.2871141597256246E-4</v>
      </c>
      <c r="Q666" s="100">
        <f>IF(SamplingData[[#This Row],[Max Error Bound (up)]] = 0,0,SamplingData[[#This Row],[Max Error Bound (up)]]/SamplingData[[#Totals],[Max Error Bound (up)]])</f>
        <v>6.7850637949120826E-5</v>
      </c>
      <c r="R666" s="101">
        <f>SUM($Q$5:Q666)</f>
        <v>0.19018271741627865</v>
      </c>
      <c r="S666" s="100" t="str">
        <f t="array" ref="S666">IF(SamplingData[[#This Row],[up/U Selection Probability]] = 0, "Zero", TEXT(SamplingData[[#This Row],[Lower Range]], REPT("0",LEN('General Info'!$B$40))) &amp; " - " &amp; TEXT(SamplingData[[#This Row],[Upper Range]], REPT("0",LEN('General Info'!$B$40))))</f>
        <v>19011 - 19017</v>
      </c>
      <c r="T666" s="100">
        <f>SamplingData[[#This Row],[Upper Range]]-SamplingData[[#This Row],[Span]]</f>
        <v>19011.486745683589</v>
      </c>
      <c r="U666" s="100">
        <f>IF(ISNUMBER('General Info'!$B$40), ((SamplingData[[#This Row],[up/U Selection Probability]]) * 'General Info'!$B$40) - 1, 0)</f>
        <v>5.7849959442741339</v>
      </c>
      <c r="V666" s="100">
        <f>IF(ISNUMBER('General Info'!$B$40), (SamplingData[[#This Row],[Running (cumulative) sum]] * ('General Info'!$B$40 -'General Info'!$B$41 + 1)) + 'General Info'!$B$41 - 1, 0)</f>
        <v>19017.271741627865</v>
      </c>
      <c r="W666" s="100" t="str">
        <f>IF(ISERROR(MATCH(SamplingData[[#This Row],[Batch by Type (p)]],SelectedPrecincts[Batch Name], 0)), "", INDEX(SelectedPrecincts[Draw], MATCH(SamplingData[[#This Row],[Batch by Type (p)]],SelectedPrecincts[Batch Name], 0)))</f>
        <v/>
      </c>
      <c r="X666" s="102">
        <f>IF(COUNTIF(SelectedPrecincts[Batch Name],SamplingData[[#This Row],[Batch by Type (p)]]) &lt;&gt; 0, COUNTIF(SelectedPrecincts[Batch Name],SamplingData[[#This Row],[Batch by Type (p)]]), 0)</f>
        <v>0</v>
      </c>
    </row>
    <row r="667" spans="1:24" ht="15" customHeight="1">
      <c r="A667" s="18" t="s">
        <v>843</v>
      </c>
      <c r="B667" s="18">
        <v>14</v>
      </c>
      <c r="C667" s="18">
        <v>5</v>
      </c>
      <c r="D667" s="16">
        <v>1</v>
      </c>
      <c r="E667" s="16">
        <v>4</v>
      </c>
      <c r="F667" s="37">
        <v>0</v>
      </c>
      <c r="G667" s="37">
        <v>0</v>
      </c>
      <c r="H667" s="17">
        <v>0</v>
      </c>
      <c r="I667" s="17">
        <v>0</v>
      </c>
      <c r="J667" s="99">
        <f>SUM(SamplingData[[#This Row],[Losing Candidate]:[Under Votes]])</f>
        <v>24</v>
      </c>
      <c r="K667"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667" s="100">
        <f>IF(AND(SamplingData[[#This Row],[Total]]&lt;&gt; 0, NOT(ISBLANK(SamplingData[[#This Row],[Candidate 3]]))),(SamplingData[[#This Row],[Total]]+SamplingData[[#This Row],[Winning Candidate]]-SamplingData[[#This Row],[Candidate 3]])/(SamplingData[[#Totals],[Winning Candidate]]-SamplingData[[#Totals],[Candidate 3]]), 0)</f>
        <v>9.0331322386037359E-4</v>
      </c>
      <c r="M667" s="100">
        <f>IF(AND(SamplingData[[#This Row],[Total]]&lt;&gt; 0, NOT(ISBLANK(SamplingData[[#This Row],[Candidate 4]]))),(SamplingData[[#This Row],[Total]]+SamplingData[[#This Row],[Winning Candidate]]-SamplingData[[#This Row],[Candidate 4]])/(SamplingData[[#Totals],[Winning Candidate]]-SamplingData[[#Totals],[Candidate 4]]), 0)</f>
        <v>7.3080183577421145E-4</v>
      </c>
      <c r="N667" s="100">
        <f>IF(AND(SamplingData[[#This Row],[Total]]&lt;&gt; 0, NOT(ISBLANK(SamplingData[[#This Row],[Candidate 5]]))),(SamplingData[[#This Row],[Total]]+SamplingData[[#This Row],[Winning Candidate]]-SamplingData[[#This Row],[Candidate 5]])/(SamplingData[[#Totals],[Winning Candidate]]-SamplingData[[#Totals],[Candidate 5]]), 0)</f>
        <v>7.0542447093164683E-4</v>
      </c>
      <c r="O667" s="100">
        <f>IF(AND(SamplingData[[#This Row],[Total]]&lt;&gt; 0, NOT(ISBLANK(SamplingData[[#This Row],[Candidate 6]]))),(SamplingData[[#This Row],[Total]]+SamplingData[[#This Row],[Winning Candidate]]-SamplingData[[#This Row],[Candidate 6]])/(SamplingData[[#Totals],[Winning Candidate]]-SamplingData[[#Totals],[Candidate 6]]), 0)</f>
        <v>7.0521861777150916E-4</v>
      </c>
      <c r="P667" s="100">
        <f>MAX(SamplingData[[#This Row],[Error Bound (up) - Max. possible relative overstatement - Losing Candidate]:[Error Bound (up) - Max. possible relative overstatement - Candidate 6]])</f>
        <v>9.1866731994120533E-4</v>
      </c>
      <c r="Q667" s="100">
        <f>IF(SamplingData[[#This Row],[Max Error Bound (up)]] = 0,0,SamplingData[[#This Row],[Max Error Bound (up)]]/SamplingData[[#Totals],[Max Error Bound (up)]])</f>
        <v>1.4539422417668749E-4</v>
      </c>
      <c r="R667" s="101">
        <f>SUM($Q$5:Q667)</f>
        <v>0.19032811164045535</v>
      </c>
      <c r="S667" s="100" t="str">
        <f t="array" ref="S667">IF(SamplingData[[#This Row],[up/U Selection Probability]] = 0, "Zero", TEXT(SamplingData[[#This Row],[Lower Range]], REPT("0",LEN('General Info'!$B$40))) &amp; " - " &amp; TEXT(SamplingData[[#This Row],[Upper Range]], REPT("0",LEN('General Info'!$B$40))))</f>
        <v>19018 - 19032</v>
      </c>
      <c r="T667" s="100">
        <f>SamplingData[[#This Row],[Upper Range]]-SamplingData[[#This Row],[Span]]</f>
        <v>19018.271887022092</v>
      </c>
      <c r="U667" s="100">
        <f>IF(ISNUMBER('General Info'!$B$40), ((SamplingData[[#This Row],[up/U Selection Probability]]) * 'General Info'!$B$40) - 1, 0)</f>
        <v>13.539277023444573</v>
      </c>
      <c r="V667" s="100">
        <f>IF(ISNUMBER('General Info'!$B$40), (SamplingData[[#This Row],[Running (cumulative) sum]] * ('General Info'!$B$40 -'General Info'!$B$41 + 1)) + 'General Info'!$B$41 - 1, 0)</f>
        <v>19031.811164045535</v>
      </c>
      <c r="W667" s="100" t="str">
        <f>IF(ISERROR(MATCH(SamplingData[[#This Row],[Batch by Type (p)]],SelectedPrecincts[Batch Name], 0)), "", INDEX(SelectedPrecincts[Draw], MATCH(SamplingData[[#This Row],[Batch by Type (p)]],SelectedPrecincts[Batch Name], 0)))</f>
        <v/>
      </c>
      <c r="X667" s="102">
        <f>IF(COUNTIF(SelectedPrecincts[Batch Name],SamplingData[[#This Row],[Batch by Type (p)]]) &lt;&gt; 0, COUNTIF(SelectedPrecincts[Batch Name],SamplingData[[#This Row],[Batch by Type (p)]]), 0)</f>
        <v>0</v>
      </c>
    </row>
    <row r="668" spans="1:24" ht="15" customHeight="1">
      <c r="A668" s="18" t="s">
        <v>844</v>
      </c>
      <c r="B668" s="18">
        <v>8</v>
      </c>
      <c r="C668" s="18">
        <v>1</v>
      </c>
      <c r="D668" s="18">
        <v>0</v>
      </c>
      <c r="E668" s="18">
        <v>0</v>
      </c>
      <c r="F668" s="18">
        <v>0</v>
      </c>
      <c r="G668" s="18">
        <v>0</v>
      </c>
      <c r="H668" s="18">
        <v>0</v>
      </c>
      <c r="I668" s="18">
        <v>0</v>
      </c>
      <c r="J668" s="99">
        <f>SUM(SamplingData[[#This Row],[Losing Candidate]:[Under Votes]])</f>
        <v>9</v>
      </c>
      <c r="K66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68" s="100">
        <f>IF(AND(SamplingData[[#This Row],[Total]]&lt;&gt; 0, NOT(ISBLANK(SamplingData[[#This Row],[Candidate 3]]))),(SamplingData[[#This Row],[Total]]+SamplingData[[#This Row],[Winning Candidate]]-SamplingData[[#This Row],[Candidate 3]])/(SamplingData[[#Totals],[Winning Candidate]]-SamplingData[[#Totals],[Candidate 3]]), 0)</f>
        <v>3.2261186566441915E-4</v>
      </c>
      <c r="M668" s="100">
        <f>IF(AND(SamplingData[[#This Row],[Total]]&lt;&gt; 0, NOT(ISBLANK(SamplingData[[#This Row],[Candidate 4]]))),(SamplingData[[#This Row],[Total]]+SamplingData[[#This Row],[Winning Candidate]]-SamplingData[[#This Row],[Candidate 4]])/(SamplingData[[#Totals],[Winning Candidate]]-SamplingData[[#Totals],[Candidate 4]]), 0)</f>
        <v>2.9232073430968461E-4</v>
      </c>
      <c r="N668" s="100">
        <f>IF(AND(SamplingData[[#This Row],[Total]]&lt;&gt; 0, NOT(ISBLANK(SamplingData[[#This Row],[Candidate 5]]))),(SamplingData[[#This Row],[Total]]+SamplingData[[#This Row],[Winning Candidate]]-SamplingData[[#This Row],[Candidate 5]])/(SamplingData[[#Totals],[Winning Candidate]]-SamplingData[[#Totals],[Candidate 5]]), 0)</f>
        <v>2.4324981756263683E-4</v>
      </c>
      <c r="O668" s="100">
        <f>IF(AND(SamplingData[[#This Row],[Total]]&lt;&gt; 0, NOT(ISBLANK(SamplingData[[#This Row],[Candidate 6]]))),(SamplingData[[#This Row],[Total]]+SamplingData[[#This Row],[Winning Candidate]]-SamplingData[[#This Row],[Candidate 6]])/(SamplingData[[#Totals],[Winning Candidate]]-SamplingData[[#Totals],[Candidate 6]]), 0)</f>
        <v>2.431788337143135E-4</v>
      </c>
      <c r="P668" s="100">
        <f>MAX(SamplingData[[#This Row],[Error Bound (up) - Max. possible relative overstatement - Losing Candidate]:[Error Bound (up) - Max. possible relative overstatement - Candidate 6]])</f>
        <v>3.2261186566441915E-4</v>
      </c>
      <c r="Q668" s="100">
        <f>IF(SamplingData[[#This Row],[Max Error Bound (up)]] = 0,0,SamplingData[[#This Row],[Max Error Bound (up)]]/SamplingData[[#Totals],[Max Error Bound (up)]])</f>
        <v>5.1058637768320656E-5</v>
      </c>
      <c r="R668" s="101">
        <f>SUM($Q$5:Q668)</f>
        <v>0.19037917027822368</v>
      </c>
      <c r="S668" s="100" t="str">
        <f t="array" ref="S668">IF(SamplingData[[#This Row],[up/U Selection Probability]] = 0, "Zero", TEXT(SamplingData[[#This Row],[Lower Range]], REPT("0",LEN('General Info'!$B$40))) &amp; " - " &amp; TEXT(SamplingData[[#This Row],[Upper Range]], REPT("0",LEN('General Info'!$B$40))))</f>
        <v>19033 - 19037</v>
      </c>
      <c r="T668" s="100">
        <f>SamplingData[[#This Row],[Upper Range]]-SamplingData[[#This Row],[Span]]</f>
        <v>19032.811215104175</v>
      </c>
      <c r="U668" s="100">
        <f>IF(ISNUMBER('General Info'!$B$40), ((SamplingData[[#This Row],[up/U Selection Probability]]) * 'General Info'!$B$40) - 1, 0)</f>
        <v>4.1058127181942972</v>
      </c>
      <c r="V668" s="100">
        <f>IF(ISNUMBER('General Info'!$B$40), (SamplingData[[#This Row],[Running (cumulative) sum]] * ('General Info'!$B$40 -'General Info'!$B$41 + 1)) + 'General Info'!$B$41 - 1, 0)</f>
        <v>19036.917027822368</v>
      </c>
      <c r="W668" s="100" t="str">
        <f>IF(ISERROR(MATCH(SamplingData[[#This Row],[Batch by Type (p)]],SelectedPrecincts[Batch Name], 0)), "", INDEX(SelectedPrecincts[Draw], MATCH(SamplingData[[#This Row],[Batch by Type (p)]],SelectedPrecincts[Batch Name], 0)))</f>
        <v/>
      </c>
      <c r="X668" s="102">
        <f>IF(COUNTIF(SelectedPrecincts[Batch Name],SamplingData[[#This Row],[Batch by Type (p)]]) &lt;&gt; 0, COUNTIF(SelectedPrecincts[Batch Name],SamplingData[[#This Row],[Batch by Type (p)]]), 0)</f>
        <v>0</v>
      </c>
    </row>
    <row r="669" spans="1:24" ht="15" customHeight="1">
      <c r="A669" s="18" t="s">
        <v>845</v>
      </c>
      <c r="B669" s="18">
        <v>5</v>
      </c>
      <c r="C669" s="18">
        <v>3</v>
      </c>
      <c r="D669" s="16">
        <v>1</v>
      </c>
      <c r="E669" s="16">
        <v>0</v>
      </c>
      <c r="F669" s="37">
        <v>0</v>
      </c>
      <c r="G669" s="37">
        <v>0</v>
      </c>
      <c r="H669" s="17">
        <v>0</v>
      </c>
      <c r="I669" s="17">
        <v>1</v>
      </c>
      <c r="J669" s="99">
        <f>SUM(SamplingData[[#This Row],[Losing Candidate]:[Under Votes]])</f>
        <v>10</v>
      </c>
      <c r="K669"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669" s="100">
        <f>IF(AND(SamplingData[[#This Row],[Total]]&lt;&gt; 0, NOT(ISBLANK(SamplingData[[#This Row],[Candidate 3]]))),(SamplingData[[#This Row],[Total]]+SamplingData[[#This Row],[Winning Candidate]]-SamplingData[[#This Row],[Candidate 3]])/(SamplingData[[#Totals],[Winning Candidate]]-SamplingData[[#Totals],[Candidate 3]]), 0)</f>
        <v>3.8713423879730297E-4</v>
      </c>
      <c r="M669" s="100">
        <f>IF(AND(SamplingData[[#This Row],[Total]]&lt;&gt; 0, NOT(ISBLANK(SamplingData[[#This Row],[Candidate 4]]))),(SamplingData[[#This Row],[Total]]+SamplingData[[#This Row],[Winning Candidate]]-SamplingData[[#This Row],[Candidate 4]])/(SamplingData[[#Totals],[Winning Candidate]]-SamplingData[[#Totals],[Candidate 4]]), 0)</f>
        <v>3.8001695460258996E-4</v>
      </c>
      <c r="N669" s="100">
        <f>IF(AND(SamplingData[[#This Row],[Total]]&lt;&gt; 0, NOT(ISBLANK(SamplingData[[#This Row],[Candidate 5]]))),(SamplingData[[#This Row],[Total]]+SamplingData[[#This Row],[Winning Candidate]]-SamplingData[[#This Row],[Candidate 5]])/(SamplingData[[#Totals],[Winning Candidate]]-SamplingData[[#Totals],[Candidate 5]]), 0)</f>
        <v>3.1622476283142789E-4</v>
      </c>
      <c r="O669" s="100">
        <f>IF(AND(SamplingData[[#This Row],[Total]]&lt;&gt; 0, NOT(ISBLANK(SamplingData[[#This Row],[Candidate 6]]))),(SamplingData[[#This Row],[Total]]+SamplingData[[#This Row],[Winning Candidate]]-SamplingData[[#This Row],[Candidate 6]])/(SamplingData[[#Totals],[Winning Candidate]]-SamplingData[[#Totals],[Candidate 6]]), 0)</f>
        <v>3.1613248382860755E-4</v>
      </c>
      <c r="P669" s="100">
        <f>MAX(SamplingData[[#This Row],[Error Bound (up) - Max. possible relative overstatement - Losing Candidate]:[Error Bound (up) - Max. possible relative overstatement - Candidate 6]])</f>
        <v>4.8995590396864281E-4</v>
      </c>
      <c r="Q669" s="100">
        <f>IF(SamplingData[[#This Row],[Max Error Bound (up)]] = 0,0,SamplingData[[#This Row],[Max Error Bound (up)]]/SamplingData[[#Totals],[Max Error Bound (up)]])</f>
        <v>7.7543586227566652E-5</v>
      </c>
      <c r="R669" s="101">
        <f>SUM($Q$5:Q669)</f>
        <v>0.19045671386445126</v>
      </c>
      <c r="S669" s="100" t="str">
        <f t="array" ref="S669">IF(SamplingData[[#This Row],[up/U Selection Probability]] = 0, "Zero", TEXT(SamplingData[[#This Row],[Lower Range]], REPT("0",LEN('General Info'!$B$40))) &amp; " - " &amp; TEXT(SamplingData[[#This Row],[Upper Range]], REPT("0",LEN('General Info'!$B$40))))</f>
        <v>19038 - 19045</v>
      </c>
      <c r="T669" s="100">
        <f>SamplingData[[#This Row],[Upper Range]]-SamplingData[[#This Row],[Span]]</f>
        <v>19037.917105365956</v>
      </c>
      <c r="U669" s="100">
        <f>IF(ISNUMBER('General Info'!$B$40), ((SamplingData[[#This Row],[up/U Selection Probability]]) * 'General Info'!$B$40) - 1, 0)</f>
        <v>6.754281079170438</v>
      </c>
      <c r="V669" s="100">
        <f>IF(ISNUMBER('General Info'!$B$40), (SamplingData[[#This Row],[Running (cumulative) sum]] * ('General Info'!$B$40 -'General Info'!$B$41 + 1)) + 'General Info'!$B$41 - 1, 0)</f>
        <v>19044.671386445127</v>
      </c>
      <c r="W669" s="100" t="str">
        <f>IF(ISERROR(MATCH(SamplingData[[#This Row],[Batch by Type (p)]],SelectedPrecincts[Batch Name], 0)), "", INDEX(SelectedPrecincts[Draw], MATCH(SamplingData[[#This Row],[Batch by Type (p)]],SelectedPrecincts[Batch Name], 0)))</f>
        <v/>
      </c>
      <c r="X669" s="102">
        <f>IF(COUNTIF(SelectedPrecincts[Batch Name],SamplingData[[#This Row],[Batch by Type (p)]]) &lt;&gt; 0, COUNTIF(SelectedPrecincts[Batch Name],SamplingData[[#This Row],[Batch by Type (p)]]), 0)</f>
        <v>0</v>
      </c>
    </row>
    <row r="670" spans="1:24" ht="15" customHeight="1">
      <c r="A670" s="18" t="s">
        <v>846</v>
      </c>
      <c r="B670" s="18">
        <v>0</v>
      </c>
      <c r="C670" s="18">
        <v>2</v>
      </c>
      <c r="D670" s="18">
        <v>1</v>
      </c>
      <c r="E670" s="18">
        <v>1</v>
      </c>
      <c r="F670" s="18">
        <v>0</v>
      </c>
      <c r="G670" s="18">
        <v>0</v>
      </c>
      <c r="H670" s="18">
        <v>0</v>
      </c>
      <c r="I670" s="18">
        <v>0</v>
      </c>
      <c r="J670" s="99">
        <f>SUM(SamplingData[[#This Row],[Losing Candidate]:[Under Votes]])</f>
        <v>4</v>
      </c>
      <c r="K670"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670" s="100">
        <f>IF(AND(SamplingData[[#This Row],[Total]]&lt;&gt; 0, NOT(ISBLANK(SamplingData[[#This Row],[Candidate 3]]))),(SamplingData[[#This Row],[Total]]+SamplingData[[#This Row],[Winning Candidate]]-SamplingData[[#This Row],[Candidate 3]])/(SamplingData[[#Totals],[Winning Candidate]]-SamplingData[[#Totals],[Candidate 3]]), 0)</f>
        <v>1.6130593283220958E-4</v>
      </c>
      <c r="M670" s="100">
        <f>IF(AND(SamplingData[[#This Row],[Total]]&lt;&gt; 0, NOT(ISBLANK(SamplingData[[#This Row],[Candidate 4]]))),(SamplingData[[#This Row],[Total]]+SamplingData[[#This Row],[Winning Candidate]]-SamplingData[[#This Row],[Candidate 4]])/(SamplingData[[#Totals],[Winning Candidate]]-SamplingData[[#Totals],[Candidate 4]]), 0)</f>
        <v>1.4616036715484231E-4</v>
      </c>
      <c r="N670" s="100">
        <f>IF(AND(SamplingData[[#This Row],[Total]]&lt;&gt; 0, NOT(ISBLANK(SamplingData[[#This Row],[Candidate 5]]))),(SamplingData[[#This Row],[Total]]+SamplingData[[#This Row],[Winning Candidate]]-SamplingData[[#This Row],[Candidate 5]])/(SamplingData[[#Totals],[Winning Candidate]]-SamplingData[[#Totals],[Candidate 5]]), 0)</f>
        <v>1.4594989053758211E-4</v>
      </c>
      <c r="O670" s="100">
        <f>IF(AND(SamplingData[[#This Row],[Total]]&lt;&gt; 0, NOT(ISBLANK(SamplingData[[#This Row],[Candidate 6]]))),(SamplingData[[#This Row],[Total]]+SamplingData[[#This Row],[Winning Candidate]]-SamplingData[[#This Row],[Candidate 6]])/(SamplingData[[#Totals],[Winning Candidate]]-SamplingData[[#Totals],[Candidate 6]]), 0)</f>
        <v>1.4590730022858811E-4</v>
      </c>
      <c r="P670" s="100">
        <f>MAX(SamplingData[[#This Row],[Error Bound (up) - Max. possible relative overstatement - Losing Candidate]:[Error Bound (up) - Max. possible relative overstatement - Candidate 6]])</f>
        <v>3.6746692797648211E-4</v>
      </c>
      <c r="Q670" s="100">
        <f>IF(SamplingData[[#This Row],[Max Error Bound (up)]] = 0,0,SamplingData[[#This Row],[Max Error Bound (up)]]/SamplingData[[#Totals],[Max Error Bound (up)]])</f>
        <v>5.8157689670674986E-5</v>
      </c>
      <c r="R670" s="101">
        <f>SUM($Q$5:Q670)</f>
        <v>0.19051487155412195</v>
      </c>
      <c r="S670" s="100" t="str">
        <f t="array" ref="S670">IF(SamplingData[[#This Row],[up/U Selection Probability]] = 0, "Zero", TEXT(SamplingData[[#This Row],[Lower Range]], REPT("0",LEN('General Info'!$B$40))) &amp; " - " &amp; TEXT(SamplingData[[#This Row],[Upper Range]], REPT("0",LEN('General Info'!$B$40))))</f>
        <v>19046 - 19050</v>
      </c>
      <c r="T670" s="100">
        <f>SamplingData[[#This Row],[Upper Range]]-SamplingData[[#This Row],[Span]]</f>
        <v>19045.671444602816</v>
      </c>
      <c r="U670" s="100">
        <f>IF(ISNUMBER('General Info'!$B$40), ((SamplingData[[#This Row],[up/U Selection Probability]]) * 'General Info'!$B$40) - 1, 0)</f>
        <v>4.815710809377828</v>
      </c>
      <c r="V670" s="100">
        <f>IF(ISNUMBER('General Info'!$B$40), (SamplingData[[#This Row],[Running (cumulative) sum]] * ('General Info'!$B$40 -'General Info'!$B$41 + 1)) + 'General Info'!$B$41 - 1, 0)</f>
        <v>19050.487155412193</v>
      </c>
      <c r="W670" s="100" t="str">
        <f>IF(ISERROR(MATCH(SamplingData[[#This Row],[Batch by Type (p)]],SelectedPrecincts[Batch Name], 0)), "", INDEX(SelectedPrecincts[Draw], MATCH(SamplingData[[#This Row],[Batch by Type (p)]],SelectedPrecincts[Batch Name], 0)))</f>
        <v/>
      </c>
      <c r="X670" s="102">
        <f>IF(COUNTIF(SelectedPrecincts[Batch Name],SamplingData[[#This Row],[Batch by Type (p)]]) &lt;&gt; 0, COUNTIF(SelectedPrecincts[Batch Name],SamplingData[[#This Row],[Batch by Type (p)]]), 0)</f>
        <v>0</v>
      </c>
    </row>
    <row r="671" spans="1:24" ht="15" customHeight="1">
      <c r="A671" s="18" t="s">
        <v>847</v>
      </c>
      <c r="B671" s="18">
        <v>3</v>
      </c>
      <c r="C671" s="18">
        <v>2</v>
      </c>
      <c r="D671" s="16">
        <v>1</v>
      </c>
      <c r="E671" s="16">
        <v>1</v>
      </c>
      <c r="F671" s="37">
        <v>0</v>
      </c>
      <c r="G671" s="37">
        <v>0</v>
      </c>
      <c r="H671" s="17">
        <v>0</v>
      </c>
      <c r="I671" s="17">
        <v>0</v>
      </c>
      <c r="J671" s="99">
        <f>SUM(SamplingData[[#This Row],[Losing Candidate]:[Under Votes]])</f>
        <v>7</v>
      </c>
      <c r="K671"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671" s="100">
        <f>IF(AND(SamplingData[[#This Row],[Total]]&lt;&gt; 0, NOT(ISBLANK(SamplingData[[#This Row],[Candidate 3]]))),(SamplingData[[#This Row],[Total]]+SamplingData[[#This Row],[Winning Candidate]]-SamplingData[[#This Row],[Candidate 3]])/(SamplingData[[#Totals],[Winning Candidate]]-SamplingData[[#Totals],[Candidate 3]]), 0)</f>
        <v>2.5808949253153533E-4</v>
      </c>
      <c r="M671" s="100">
        <f>IF(AND(SamplingData[[#This Row],[Total]]&lt;&gt; 0, NOT(ISBLANK(SamplingData[[#This Row],[Candidate 4]]))),(SamplingData[[#This Row],[Total]]+SamplingData[[#This Row],[Winning Candidate]]-SamplingData[[#This Row],[Candidate 4]])/(SamplingData[[#Totals],[Winning Candidate]]-SamplingData[[#Totals],[Candidate 4]]), 0)</f>
        <v>2.3385658744774768E-4</v>
      </c>
      <c r="N671" s="100">
        <f>IF(AND(SamplingData[[#This Row],[Total]]&lt;&gt; 0, NOT(ISBLANK(SamplingData[[#This Row],[Candidate 5]]))),(SamplingData[[#This Row],[Total]]+SamplingData[[#This Row],[Winning Candidate]]-SamplingData[[#This Row],[Candidate 5]])/(SamplingData[[#Totals],[Winning Candidate]]-SamplingData[[#Totals],[Candidate 5]]), 0)</f>
        <v>2.1892483580637315E-4</v>
      </c>
      <c r="O671" s="100">
        <f>IF(AND(SamplingData[[#This Row],[Total]]&lt;&gt; 0, NOT(ISBLANK(SamplingData[[#This Row],[Candidate 6]]))),(SamplingData[[#This Row],[Total]]+SamplingData[[#This Row],[Winning Candidate]]-SamplingData[[#This Row],[Candidate 6]])/(SamplingData[[#Totals],[Winning Candidate]]-SamplingData[[#Totals],[Candidate 6]]), 0)</f>
        <v>2.1886095034288216E-4</v>
      </c>
      <c r="P671" s="100">
        <f>MAX(SamplingData[[#This Row],[Error Bound (up) - Max. possible relative overstatement - Losing Candidate]:[Error Bound (up) - Max. possible relative overstatement - Candidate 6]])</f>
        <v>3.6746692797648211E-4</v>
      </c>
      <c r="Q671" s="100">
        <f>IF(SamplingData[[#This Row],[Max Error Bound (up)]] = 0,0,SamplingData[[#This Row],[Max Error Bound (up)]]/SamplingData[[#Totals],[Max Error Bound (up)]])</f>
        <v>5.8157689670674986E-5</v>
      </c>
      <c r="R671" s="101">
        <f>SUM($Q$5:Q671)</f>
        <v>0.19057302924379263</v>
      </c>
      <c r="S671" s="100" t="str">
        <f t="array" ref="S671">IF(SamplingData[[#This Row],[up/U Selection Probability]] = 0, "Zero", TEXT(SamplingData[[#This Row],[Lower Range]], REPT("0",LEN('General Info'!$B$40))) &amp; " - " &amp; TEXT(SamplingData[[#This Row],[Upper Range]], REPT("0",LEN('General Info'!$B$40))))</f>
        <v>19051 - 19056</v>
      </c>
      <c r="T671" s="100">
        <f>SamplingData[[#This Row],[Upper Range]]-SamplingData[[#This Row],[Span]]</f>
        <v>19051.487213569886</v>
      </c>
      <c r="U671" s="100">
        <f>IF(ISNUMBER('General Info'!$B$40), ((SamplingData[[#This Row],[up/U Selection Probability]]) * 'General Info'!$B$40) - 1, 0)</f>
        <v>4.815710809377828</v>
      </c>
      <c r="V671" s="100">
        <f>IF(ISNUMBER('General Info'!$B$40), (SamplingData[[#This Row],[Running (cumulative) sum]] * ('General Info'!$B$40 -'General Info'!$B$41 + 1)) + 'General Info'!$B$41 - 1, 0)</f>
        <v>19056.302924379263</v>
      </c>
      <c r="W671" s="100" t="str">
        <f>IF(ISERROR(MATCH(SamplingData[[#This Row],[Batch by Type (p)]],SelectedPrecincts[Batch Name], 0)), "", INDEX(SelectedPrecincts[Draw], MATCH(SamplingData[[#This Row],[Batch by Type (p)]],SelectedPrecincts[Batch Name], 0)))</f>
        <v/>
      </c>
      <c r="X671" s="102">
        <f>IF(COUNTIF(SelectedPrecincts[Batch Name],SamplingData[[#This Row],[Batch by Type (p)]]) &lt;&gt; 0, COUNTIF(SelectedPrecincts[Batch Name],SamplingData[[#This Row],[Batch by Type (p)]]), 0)</f>
        <v>0</v>
      </c>
    </row>
    <row r="672" spans="1:24" ht="15" customHeight="1">
      <c r="A672" s="18" t="s">
        <v>848</v>
      </c>
      <c r="B672" s="18">
        <v>4</v>
      </c>
      <c r="C672" s="18">
        <v>2</v>
      </c>
      <c r="D672" s="18">
        <v>0</v>
      </c>
      <c r="E672" s="18">
        <v>0</v>
      </c>
      <c r="F672" s="18">
        <v>0</v>
      </c>
      <c r="G672" s="18">
        <v>0</v>
      </c>
      <c r="H672" s="18">
        <v>0</v>
      </c>
      <c r="I672" s="18">
        <v>0</v>
      </c>
      <c r="J672" s="99">
        <f>SUM(SamplingData[[#This Row],[Losing Candidate]:[Under Votes]])</f>
        <v>6</v>
      </c>
      <c r="K672"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672" s="100">
        <f>IF(AND(SamplingData[[#This Row],[Total]]&lt;&gt; 0, NOT(ISBLANK(SamplingData[[#This Row],[Candidate 3]]))),(SamplingData[[#This Row],[Total]]+SamplingData[[#This Row],[Winning Candidate]]-SamplingData[[#This Row],[Candidate 3]])/(SamplingData[[#Totals],[Winning Candidate]]-SamplingData[[#Totals],[Candidate 3]]), 0)</f>
        <v>2.5808949253153533E-4</v>
      </c>
      <c r="M672" s="100">
        <f>IF(AND(SamplingData[[#This Row],[Total]]&lt;&gt; 0, NOT(ISBLANK(SamplingData[[#This Row],[Candidate 4]]))),(SamplingData[[#This Row],[Total]]+SamplingData[[#This Row],[Winning Candidate]]-SamplingData[[#This Row],[Candidate 4]])/(SamplingData[[#Totals],[Winning Candidate]]-SamplingData[[#Totals],[Candidate 4]]), 0)</f>
        <v>2.3385658744774768E-4</v>
      </c>
      <c r="N672" s="100">
        <f>IF(AND(SamplingData[[#This Row],[Total]]&lt;&gt; 0, NOT(ISBLANK(SamplingData[[#This Row],[Candidate 5]]))),(SamplingData[[#This Row],[Total]]+SamplingData[[#This Row],[Winning Candidate]]-SamplingData[[#This Row],[Candidate 5]])/(SamplingData[[#Totals],[Winning Candidate]]-SamplingData[[#Totals],[Candidate 5]]), 0)</f>
        <v>1.9459985405010947E-4</v>
      </c>
      <c r="O672" s="100">
        <f>IF(AND(SamplingData[[#This Row],[Total]]&lt;&gt; 0, NOT(ISBLANK(SamplingData[[#This Row],[Candidate 6]]))),(SamplingData[[#This Row],[Total]]+SamplingData[[#This Row],[Winning Candidate]]-SamplingData[[#This Row],[Candidate 6]])/(SamplingData[[#Totals],[Winning Candidate]]-SamplingData[[#Totals],[Candidate 6]]), 0)</f>
        <v>1.945430669714508E-4</v>
      </c>
      <c r="P672" s="100">
        <f>MAX(SamplingData[[#This Row],[Error Bound (up) - Max. possible relative overstatement - Losing Candidate]:[Error Bound (up) - Max. possible relative overstatement - Candidate 6]])</f>
        <v>2.5808949253153533E-4</v>
      </c>
      <c r="Q672" s="100">
        <f>IF(SamplingData[[#This Row],[Max Error Bound (up)]] = 0,0,SamplingData[[#This Row],[Max Error Bound (up)]]/SamplingData[[#Totals],[Max Error Bound (up)]])</f>
        <v>4.084691021465653E-5</v>
      </c>
      <c r="R672" s="101">
        <f>SUM($Q$5:Q672)</f>
        <v>0.19061387615400729</v>
      </c>
      <c r="S672" s="100" t="str">
        <f t="array" ref="S672">IF(SamplingData[[#This Row],[up/U Selection Probability]] = 0, "Zero", TEXT(SamplingData[[#This Row],[Lower Range]], REPT("0",LEN('General Info'!$B$40))) &amp; " - " &amp; TEXT(SamplingData[[#This Row],[Upper Range]], REPT("0",LEN('General Info'!$B$40))))</f>
        <v>19057 - 19060</v>
      </c>
      <c r="T672" s="100">
        <f>SamplingData[[#This Row],[Upper Range]]-SamplingData[[#This Row],[Span]]</f>
        <v>19057.302965226176</v>
      </c>
      <c r="U672" s="100">
        <f>IF(ISNUMBER('General Info'!$B$40), ((SamplingData[[#This Row],[up/U Selection Probability]]) * 'General Info'!$B$40) - 1, 0)</f>
        <v>3.0846501745554384</v>
      </c>
      <c r="V672" s="100">
        <f>IF(ISNUMBER('General Info'!$B$40), (SamplingData[[#This Row],[Running (cumulative) sum]] * ('General Info'!$B$40 -'General Info'!$B$41 + 1)) + 'General Info'!$B$41 - 1, 0)</f>
        <v>19060.38761540073</v>
      </c>
      <c r="W672" s="100" t="str">
        <f>IF(ISERROR(MATCH(SamplingData[[#This Row],[Batch by Type (p)]],SelectedPrecincts[Batch Name], 0)), "", INDEX(SelectedPrecincts[Draw], MATCH(SamplingData[[#This Row],[Batch by Type (p)]],SelectedPrecincts[Batch Name], 0)))</f>
        <v/>
      </c>
      <c r="X672" s="102">
        <f>IF(COUNTIF(SelectedPrecincts[Batch Name],SamplingData[[#This Row],[Batch by Type (p)]]) &lt;&gt; 0, COUNTIF(SelectedPrecincts[Batch Name],SamplingData[[#This Row],[Batch by Type (p)]]), 0)</f>
        <v>0</v>
      </c>
    </row>
    <row r="673" spans="1:24" ht="15" customHeight="1">
      <c r="A673" s="18" t="s">
        <v>849</v>
      </c>
      <c r="B673" s="18">
        <v>1</v>
      </c>
      <c r="C673" s="18">
        <v>3</v>
      </c>
      <c r="D673" s="16">
        <v>0</v>
      </c>
      <c r="E673" s="16">
        <v>2</v>
      </c>
      <c r="F673" s="37">
        <v>0</v>
      </c>
      <c r="G673" s="37">
        <v>0</v>
      </c>
      <c r="H673" s="17">
        <v>0</v>
      </c>
      <c r="I673" s="17">
        <v>0</v>
      </c>
      <c r="J673" s="99">
        <f>SUM(SamplingData[[#This Row],[Losing Candidate]:[Under Votes]])</f>
        <v>6</v>
      </c>
      <c r="K673"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673" s="100">
        <f>IF(AND(SamplingData[[#This Row],[Total]]&lt;&gt; 0, NOT(ISBLANK(SamplingData[[#This Row],[Candidate 3]]))),(SamplingData[[#This Row],[Total]]+SamplingData[[#This Row],[Winning Candidate]]-SamplingData[[#This Row],[Candidate 3]])/(SamplingData[[#Totals],[Winning Candidate]]-SamplingData[[#Totals],[Candidate 3]]), 0)</f>
        <v>2.9035067909797722E-4</v>
      </c>
      <c r="M673" s="100">
        <f>IF(AND(SamplingData[[#This Row],[Total]]&lt;&gt; 0, NOT(ISBLANK(SamplingData[[#This Row],[Candidate 4]]))),(SamplingData[[#This Row],[Total]]+SamplingData[[#This Row],[Winning Candidate]]-SamplingData[[#This Row],[Candidate 4]])/(SamplingData[[#Totals],[Winning Candidate]]-SamplingData[[#Totals],[Candidate 4]]), 0)</f>
        <v>2.0462451401677921E-4</v>
      </c>
      <c r="N673" s="100">
        <f>IF(AND(SamplingData[[#This Row],[Total]]&lt;&gt; 0, NOT(ISBLANK(SamplingData[[#This Row],[Candidate 5]]))),(SamplingData[[#This Row],[Total]]+SamplingData[[#This Row],[Winning Candidate]]-SamplingData[[#This Row],[Candidate 5]])/(SamplingData[[#Totals],[Winning Candidate]]-SamplingData[[#Totals],[Candidate 5]]), 0)</f>
        <v>2.1892483580637315E-4</v>
      </c>
      <c r="O673" s="100">
        <f>IF(AND(SamplingData[[#This Row],[Total]]&lt;&gt; 0, NOT(ISBLANK(SamplingData[[#This Row],[Candidate 6]]))),(SamplingData[[#This Row],[Total]]+SamplingData[[#This Row],[Winning Candidate]]-SamplingData[[#This Row],[Candidate 6]])/(SamplingData[[#Totals],[Winning Candidate]]-SamplingData[[#Totals],[Candidate 6]]), 0)</f>
        <v>2.1886095034288216E-4</v>
      </c>
      <c r="P673" s="100">
        <f>MAX(SamplingData[[#This Row],[Error Bound (up) - Max. possible relative overstatement - Losing Candidate]:[Error Bound (up) - Max. possible relative overstatement - Candidate 6]])</f>
        <v>4.8995590396864281E-4</v>
      </c>
      <c r="Q673" s="100">
        <f>IF(SamplingData[[#This Row],[Max Error Bound (up)]] = 0,0,SamplingData[[#This Row],[Max Error Bound (up)]]/SamplingData[[#Totals],[Max Error Bound (up)]])</f>
        <v>7.7543586227566652E-5</v>
      </c>
      <c r="R673" s="101">
        <f>SUM($Q$5:Q673)</f>
        <v>0.19069141974023487</v>
      </c>
      <c r="S673" s="100" t="str">
        <f t="array" ref="S673">IF(SamplingData[[#This Row],[up/U Selection Probability]] = 0, "Zero", TEXT(SamplingData[[#This Row],[Lower Range]], REPT("0",LEN('General Info'!$B$40))) &amp; " - " &amp; TEXT(SamplingData[[#This Row],[Upper Range]], REPT("0",LEN('General Info'!$B$40))))</f>
        <v>19061 - 19068</v>
      </c>
      <c r="T673" s="100">
        <f>SamplingData[[#This Row],[Upper Range]]-SamplingData[[#This Row],[Span]]</f>
        <v>19061.387692944318</v>
      </c>
      <c r="U673" s="100">
        <f>IF(ISNUMBER('General Info'!$B$40), ((SamplingData[[#This Row],[up/U Selection Probability]]) * 'General Info'!$B$40) - 1, 0)</f>
        <v>6.754281079170438</v>
      </c>
      <c r="V673" s="100">
        <f>IF(ISNUMBER('General Info'!$B$40), (SamplingData[[#This Row],[Running (cumulative) sum]] * ('General Info'!$B$40 -'General Info'!$B$41 + 1)) + 'General Info'!$B$41 - 1, 0)</f>
        <v>19068.141974023489</v>
      </c>
      <c r="W673" s="100" t="str">
        <f>IF(ISERROR(MATCH(SamplingData[[#This Row],[Batch by Type (p)]],SelectedPrecincts[Batch Name], 0)), "", INDEX(SelectedPrecincts[Draw], MATCH(SamplingData[[#This Row],[Batch by Type (p)]],SelectedPrecincts[Batch Name], 0)))</f>
        <v/>
      </c>
      <c r="X673" s="102">
        <f>IF(COUNTIF(SelectedPrecincts[Batch Name],SamplingData[[#This Row],[Batch by Type (p)]]) &lt;&gt; 0, COUNTIF(SelectedPrecincts[Batch Name],SamplingData[[#This Row],[Batch by Type (p)]]), 0)</f>
        <v>0</v>
      </c>
    </row>
    <row r="674" spans="1:24" ht="15" customHeight="1">
      <c r="A674" s="18" t="s">
        <v>850</v>
      </c>
      <c r="B674" s="18">
        <v>0</v>
      </c>
      <c r="C674" s="18">
        <v>0</v>
      </c>
      <c r="D674" s="18">
        <v>0</v>
      </c>
      <c r="E674" s="18">
        <v>2</v>
      </c>
      <c r="F674" s="18">
        <v>0</v>
      </c>
      <c r="G674" s="18">
        <v>0</v>
      </c>
      <c r="H674" s="18">
        <v>0</v>
      </c>
      <c r="I674" s="18">
        <v>1</v>
      </c>
      <c r="J674" s="99">
        <f>SUM(SamplingData[[#This Row],[Losing Candidate]:[Under Votes]])</f>
        <v>3</v>
      </c>
      <c r="K674"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674" s="100">
        <f>IF(AND(SamplingData[[#This Row],[Total]]&lt;&gt; 0, NOT(ISBLANK(SamplingData[[#This Row],[Candidate 3]]))),(SamplingData[[#This Row],[Total]]+SamplingData[[#This Row],[Winning Candidate]]-SamplingData[[#This Row],[Candidate 3]])/(SamplingData[[#Totals],[Winning Candidate]]-SamplingData[[#Totals],[Candidate 3]]), 0)</f>
        <v>9.6783559699325743E-5</v>
      </c>
      <c r="M674" s="100">
        <f>IF(AND(SamplingData[[#This Row],[Total]]&lt;&gt; 0, NOT(ISBLANK(SamplingData[[#This Row],[Candidate 4]]))),(SamplingData[[#This Row],[Total]]+SamplingData[[#This Row],[Winning Candidate]]-SamplingData[[#This Row],[Candidate 4]])/(SamplingData[[#Totals],[Winning Candidate]]-SamplingData[[#Totals],[Candidate 4]]), 0)</f>
        <v>2.923207343096846E-5</v>
      </c>
      <c r="N674" s="100">
        <f>IF(AND(SamplingData[[#This Row],[Total]]&lt;&gt; 0, NOT(ISBLANK(SamplingData[[#This Row],[Candidate 5]]))),(SamplingData[[#This Row],[Total]]+SamplingData[[#This Row],[Winning Candidate]]-SamplingData[[#This Row],[Candidate 5]])/(SamplingData[[#Totals],[Winning Candidate]]-SamplingData[[#Totals],[Candidate 5]]), 0)</f>
        <v>7.2974945268791054E-5</v>
      </c>
      <c r="O674" s="100">
        <f>IF(AND(SamplingData[[#This Row],[Total]]&lt;&gt; 0, NOT(ISBLANK(SamplingData[[#This Row],[Candidate 6]]))),(SamplingData[[#This Row],[Total]]+SamplingData[[#This Row],[Winning Candidate]]-SamplingData[[#This Row],[Candidate 6]])/(SamplingData[[#Totals],[Winning Candidate]]-SamplingData[[#Totals],[Candidate 6]]), 0)</f>
        <v>7.2953650114294054E-5</v>
      </c>
      <c r="P674" s="100">
        <f>MAX(SamplingData[[#This Row],[Error Bound (up) - Max. possible relative overstatement - Losing Candidate]:[Error Bound (up) - Max. possible relative overstatement - Candidate 6]])</f>
        <v>1.8373346398824106E-4</v>
      </c>
      <c r="Q674" s="100">
        <f>IF(SamplingData[[#This Row],[Max Error Bound (up)]] = 0,0,SamplingData[[#This Row],[Max Error Bound (up)]]/SamplingData[[#Totals],[Max Error Bound (up)]])</f>
        <v>2.9078844835337493E-5</v>
      </c>
      <c r="R674" s="101">
        <f>SUM($Q$5:Q674)</f>
        <v>0.1907204985850702</v>
      </c>
      <c r="S674" s="100" t="str">
        <f t="array" ref="S674">IF(SamplingData[[#This Row],[up/U Selection Probability]] = 0, "Zero", TEXT(SamplingData[[#This Row],[Lower Range]], REPT("0",LEN('General Info'!$B$40))) &amp; " - " &amp; TEXT(SamplingData[[#This Row],[Upper Range]], REPT("0",LEN('General Info'!$B$40))))</f>
        <v>19069 - 19071</v>
      </c>
      <c r="T674" s="100">
        <f>SamplingData[[#This Row],[Upper Range]]-SamplingData[[#This Row],[Span]]</f>
        <v>19069.14200310233</v>
      </c>
      <c r="U674" s="100">
        <f>IF(ISNUMBER('General Info'!$B$40), ((SamplingData[[#This Row],[up/U Selection Probability]]) * 'General Info'!$B$40) - 1, 0)</f>
        <v>1.907855404688914</v>
      </c>
      <c r="V674" s="100">
        <f>IF(ISNUMBER('General Info'!$B$40), (SamplingData[[#This Row],[Running (cumulative) sum]] * ('General Info'!$B$40 -'General Info'!$B$41 + 1)) + 'General Info'!$B$41 - 1, 0)</f>
        <v>19071.04985850702</v>
      </c>
      <c r="W674" s="100" t="str">
        <f>IF(ISERROR(MATCH(SamplingData[[#This Row],[Batch by Type (p)]],SelectedPrecincts[Batch Name], 0)), "", INDEX(SelectedPrecincts[Draw], MATCH(SamplingData[[#This Row],[Batch by Type (p)]],SelectedPrecincts[Batch Name], 0)))</f>
        <v/>
      </c>
      <c r="X674" s="102">
        <f>IF(COUNTIF(SelectedPrecincts[Batch Name],SamplingData[[#This Row],[Batch by Type (p)]]) &lt;&gt; 0, COUNTIF(SelectedPrecincts[Batch Name],SamplingData[[#This Row],[Batch by Type (p)]]), 0)</f>
        <v>0</v>
      </c>
    </row>
    <row r="675" spans="1:24" ht="15" customHeight="1">
      <c r="A675" s="18" t="s">
        <v>851</v>
      </c>
      <c r="B675" s="18">
        <v>3</v>
      </c>
      <c r="C675" s="18">
        <v>2</v>
      </c>
      <c r="D675" s="16">
        <v>1</v>
      </c>
      <c r="E675" s="16">
        <v>3</v>
      </c>
      <c r="F675" s="37">
        <v>0</v>
      </c>
      <c r="G675" s="37">
        <v>0</v>
      </c>
      <c r="H675" s="17">
        <v>0</v>
      </c>
      <c r="I675" s="17">
        <v>0</v>
      </c>
      <c r="J675" s="99">
        <f>SUM(SamplingData[[#This Row],[Losing Candidate]:[Under Votes]])</f>
        <v>9</v>
      </c>
      <c r="K675"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675" s="100">
        <f>IF(AND(SamplingData[[#This Row],[Total]]&lt;&gt; 0, NOT(ISBLANK(SamplingData[[#This Row],[Candidate 3]]))),(SamplingData[[#This Row],[Total]]+SamplingData[[#This Row],[Winning Candidate]]-SamplingData[[#This Row],[Candidate 3]])/(SamplingData[[#Totals],[Winning Candidate]]-SamplingData[[#Totals],[Candidate 3]]), 0)</f>
        <v>3.2261186566441915E-4</v>
      </c>
      <c r="M675" s="100">
        <f>IF(AND(SamplingData[[#This Row],[Total]]&lt;&gt; 0, NOT(ISBLANK(SamplingData[[#This Row],[Candidate 4]]))),(SamplingData[[#This Row],[Total]]+SamplingData[[#This Row],[Winning Candidate]]-SamplingData[[#This Row],[Candidate 4]])/(SamplingData[[#Totals],[Winning Candidate]]-SamplingData[[#Totals],[Candidate 4]]), 0)</f>
        <v>2.3385658744774768E-4</v>
      </c>
      <c r="N675" s="100">
        <f>IF(AND(SamplingData[[#This Row],[Total]]&lt;&gt; 0, NOT(ISBLANK(SamplingData[[#This Row],[Candidate 5]]))),(SamplingData[[#This Row],[Total]]+SamplingData[[#This Row],[Winning Candidate]]-SamplingData[[#This Row],[Candidate 5]])/(SamplingData[[#Totals],[Winning Candidate]]-SamplingData[[#Totals],[Candidate 5]]), 0)</f>
        <v>2.6757479931890053E-4</v>
      </c>
      <c r="O675" s="100">
        <f>IF(AND(SamplingData[[#This Row],[Total]]&lt;&gt; 0, NOT(ISBLANK(SamplingData[[#This Row],[Candidate 6]]))),(SamplingData[[#This Row],[Total]]+SamplingData[[#This Row],[Winning Candidate]]-SamplingData[[#This Row],[Candidate 6]])/(SamplingData[[#Totals],[Winning Candidate]]-SamplingData[[#Totals],[Candidate 6]]), 0)</f>
        <v>2.6749671708574483E-4</v>
      </c>
      <c r="P675" s="100">
        <f>MAX(SamplingData[[#This Row],[Error Bound (up) - Max. possible relative overstatement - Losing Candidate]:[Error Bound (up) - Max. possible relative overstatement - Candidate 6]])</f>
        <v>4.8995590396864281E-4</v>
      </c>
      <c r="Q675" s="100">
        <f>IF(SamplingData[[#This Row],[Max Error Bound (up)]] = 0,0,SamplingData[[#This Row],[Max Error Bound (up)]]/SamplingData[[#Totals],[Max Error Bound (up)]])</f>
        <v>7.7543586227566652E-5</v>
      </c>
      <c r="R675" s="101">
        <f>SUM($Q$5:Q675)</f>
        <v>0.19079804217129778</v>
      </c>
      <c r="S675" s="100" t="str">
        <f t="array" ref="S675">IF(SamplingData[[#This Row],[up/U Selection Probability]] = 0, "Zero", TEXT(SamplingData[[#This Row],[Lower Range]], REPT("0",LEN('General Info'!$B$40))) &amp; " - " &amp; TEXT(SamplingData[[#This Row],[Upper Range]], REPT("0",LEN('General Info'!$B$40))))</f>
        <v>19072 - 19079</v>
      </c>
      <c r="T675" s="100">
        <f>SamplingData[[#This Row],[Upper Range]]-SamplingData[[#This Row],[Span]]</f>
        <v>19072.049936050607</v>
      </c>
      <c r="U675" s="100">
        <f>IF(ISNUMBER('General Info'!$B$40), ((SamplingData[[#This Row],[up/U Selection Probability]]) * 'General Info'!$B$40) - 1, 0)</f>
        <v>6.754281079170438</v>
      </c>
      <c r="V675" s="100">
        <f>IF(ISNUMBER('General Info'!$B$40), (SamplingData[[#This Row],[Running (cumulative) sum]] * ('General Info'!$B$40 -'General Info'!$B$41 + 1)) + 'General Info'!$B$41 - 1, 0)</f>
        <v>19078.804217129778</v>
      </c>
      <c r="W675" s="100" t="str">
        <f>IF(ISERROR(MATCH(SamplingData[[#This Row],[Batch by Type (p)]],SelectedPrecincts[Batch Name], 0)), "", INDEX(SelectedPrecincts[Draw], MATCH(SamplingData[[#This Row],[Batch by Type (p)]],SelectedPrecincts[Batch Name], 0)))</f>
        <v/>
      </c>
      <c r="X675" s="102">
        <f>IF(COUNTIF(SelectedPrecincts[Batch Name],SamplingData[[#This Row],[Batch by Type (p)]]) &lt;&gt; 0, COUNTIF(SelectedPrecincts[Batch Name],SamplingData[[#This Row],[Batch by Type (p)]]), 0)</f>
        <v>0</v>
      </c>
    </row>
    <row r="676" spans="1:24" ht="15" customHeight="1">
      <c r="A676" s="18" t="s">
        <v>852</v>
      </c>
      <c r="B676" s="18">
        <v>1</v>
      </c>
      <c r="C676" s="18">
        <v>0</v>
      </c>
      <c r="D676" s="18">
        <v>0</v>
      </c>
      <c r="E676" s="18">
        <v>1</v>
      </c>
      <c r="F676" s="18">
        <v>0</v>
      </c>
      <c r="G676" s="18">
        <v>0</v>
      </c>
      <c r="H676" s="18">
        <v>0</v>
      </c>
      <c r="I676" s="18">
        <v>1</v>
      </c>
      <c r="J676" s="99">
        <f>SUM(SamplingData[[#This Row],[Losing Candidate]:[Under Votes]])</f>
        <v>3</v>
      </c>
      <c r="K67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76" s="100">
        <f>IF(AND(SamplingData[[#This Row],[Total]]&lt;&gt; 0, NOT(ISBLANK(SamplingData[[#This Row],[Candidate 3]]))),(SamplingData[[#This Row],[Total]]+SamplingData[[#This Row],[Winning Candidate]]-SamplingData[[#This Row],[Candidate 3]])/(SamplingData[[#Totals],[Winning Candidate]]-SamplingData[[#Totals],[Candidate 3]]), 0)</f>
        <v>9.6783559699325743E-5</v>
      </c>
      <c r="M676" s="100">
        <f>IF(AND(SamplingData[[#This Row],[Total]]&lt;&gt; 0, NOT(ISBLANK(SamplingData[[#This Row],[Candidate 4]]))),(SamplingData[[#This Row],[Total]]+SamplingData[[#This Row],[Winning Candidate]]-SamplingData[[#This Row],[Candidate 4]])/(SamplingData[[#Totals],[Winning Candidate]]-SamplingData[[#Totals],[Candidate 4]]), 0)</f>
        <v>5.846414686193692E-5</v>
      </c>
      <c r="N676" s="100">
        <f>IF(AND(SamplingData[[#This Row],[Total]]&lt;&gt; 0, NOT(ISBLANK(SamplingData[[#This Row],[Candidate 5]]))),(SamplingData[[#This Row],[Total]]+SamplingData[[#This Row],[Winning Candidate]]-SamplingData[[#This Row],[Candidate 5]])/(SamplingData[[#Totals],[Winning Candidate]]-SamplingData[[#Totals],[Candidate 5]]), 0)</f>
        <v>7.2974945268791054E-5</v>
      </c>
      <c r="O676" s="100">
        <f>IF(AND(SamplingData[[#This Row],[Total]]&lt;&gt; 0, NOT(ISBLANK(SamplingData[[#This Row],[Candidate 6]]))),(SamplingData[[#This Row],[Total]]+SamplingData[[#This Row],[Winning Candidate]]-SamplingData[[#This Row],[Candidate 6]])/(SamplingData[[#Totals],[Winning Candidate]]-SamplingData[[#Totals],[Candidate 6]]), 0)</f>
        <v>7.2953650114294054E-5</v>
      </c>
      <c r="P676" s="100">
        <f>MAX(SamplingData[[#This Row],[Error Bound (up) - Max. possible relative overstatement - Losing Candidate]:[Error Bound (up) - Max. possible relative overstatement - Candidate 6]])</f>
        <v>1.224889759921607E-4</v>
      </c>
      <c r="Q676" s="100">
        <f>IF(SamplingData[[#This Row],[Max Error Bound (up)]] = 0,0,SamplingData[[#This Row],[Max Error Bound (up)]]/SamplingData[[#Totals],[Max Error Bound (up)]])</f>
        <v>1.9385896556891663E-5</v>
      </c>
      <c r="R676" s="101">
        <f>SUM($Q$5:Q676)</f>
        <v>0.19081742806785468</v>
      </c>
      <c r="S676" s="100" t="str">
        <f t="array" ref="S676">IF(SamplingData[[#This Row],[up/U Selection Probability]] = 0, "Zero", TEXT(SamplingData[[#This Row],[Lower Range]], REPT("0",LEN('General Info'!$B$40))) &amp; " - " &amp; TEXT(SamplingData[[#This Row],[Upper Range]], REPT("0",LEN('General Info'!$B$40))))</f>
        <v>19080 - 19081</v>
      </c>
      <c r="T676" s="100">
        <f>SamplingData[[#This Row],[Upper Range]]-SamplingData[[#This Row],[Span]]</f>
        <v>19079.804236515676</v>
      </c>
      <c r="U676" s="100">
        <f>IF(ISNUMBER('General Info'!$B$40), ((SamplingData[[#This Row],[up/U Selection Probability]]) * 'General Info'!$B$40) - 1, 0)</f>
        <v>0.93857026979260949</v>
      </c>
      <c r="V676" s="100">
        <f>IF(ISNUMBER('General Info'!$B$40), (SamplingData[[#This Row],[Running (cumulative) sum]] * ('General Info'!$B$40 -'General Info'!$B$41 + 1)) + 'General Info'!$B$41 - 1, 0)</f>
        <v>19080.742806785467</v>
      </c>
      <c r="W676" s="100" t="str">
        <f>IF(ISERROR(MATCH(SamplingData[[#This Row],[Batch by Type (p)]],SelectedPrecincts[Batch Name], 0)), "", INDEX(SelectedPrecincts[Draw], MATCH(SamplingData[[#This Row],[Batch by Type (p)]],SelectedPrecincts[Batch Name], 0)))</f>
        <v/>
      </c>
      <c r="X676" s="102">
        <f>IF(COUNTIF(SelectedPrecincts[Batch Name],SamplingData[[#This Row],[Batch by Type (p)]]) &lt;&gt; 0, COUNTIF(SelectedPrecincts[Batch Name],SamplingData[[#This Row],[Batch by Type (p)]]), 0)</f>
        <v>0</v>
      </c>
    </row>
    <row r="677" spans="1:24" ht="15" customHeight="1">
      <c r="A677" s="18" t="s">
        <v>853</v>
      </c>
      <c r="B677" s="18">
        <v>2</v>
      </c>
      <c r="C677" s="18">
        <v>2</v>
      </c>
      <c r="D677" s="16">
        <v>0</v>
      </c>
      <c r="E677" s="16">
        <v>0</v>
      </c>
      <c r="F677" s="37">
        <v>0</v>
      </c>
      <c r="G677" s="37">
        <v>0</v>
      </c>
      <c r="H677" s="17">
        <v>0</v>
      </c>
      <c r="I677" s="17">
        <v>0</v>
      </c>
      <c r="J677" s="99">
        <f>SUM(SamplingData[[#This Row],[Losing Candidate]:[Under Votes]])</f>
        <v>4</v>
      </c>
      <c r="K677"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677" s="100">
        <f>IF(AND(SamplingData[[#This Row],[Total]]&lt;&gt; 0, NOT(ISBLANK(SamplingData[[#This Row],[Candidate 3]]))),(SamplingData[[#This Row],[Total]]+SamplingData[[#This Row],[Winning Candidate]]-SamplingData[[#This Row],[Candidate 3]])/(SamplingData[[#Totals],[Winning Candidate]]-SamplingData[[#Totals],[Candidate 3]]), 0)</f>
        <v>1.9356711939865149E-4</v>
      </c>
      <c r="M677" s="100">
        <f>IF(AND(SamplingData[[#This Row],[Total]]&lt;&gt; 0, NOT(ISBLANK(SamplingData[[#This Row],[Candidate 4]]))),(SamplingData[[#This Row],[Total]]+SamplingData[[#This Row],[Winning Candidate]]-SamplingData[[#This Row],[Candidate 4]])/(SamplingData[[#Totals],[Winning Candidate]]-SamplingData[[#Totals],[Candidate 4]]), 0)</f>
        <v>1.7539244058581075E-4</v>
      </c>
      <c r="N677" s="100">
        <f>IF(AND(SamplingData[[#This Row],[Total]]&lt;&gt; 0, NOT(ISBLANK(SamplingData[[#This Row],[Candidate 5]]))),(SamplingData[[#This Row],[Total]]+SamplingData[[#This Row],[Winning Candidate]]-SamplingData[[#This Row],[Candidate 5]])/(SamplingData[[#Totals],[Winning Candidate]]-SamplingData[[#Totals],[Candidate 5]]), 0)</f>
        <v>1.4594989053758211E-4</v>
      </c>
      <c r="O677" s="100">
        <f>IF(AND(SamplingData[[#This Row],[Total]]&lt;&gt; 0, NOT(ISBLANK(SamplingData[[#This Row],[Candidate 6]]))),(SamplingData[[#This Row],[Total]]+SamplingData[[#This Row],[Winning Candidate]]-SamplingData[[#This Row],[Candidate 6]])/(SamplingData[[#Totals],[Winning Candidate]]-SamplingData[[#Totals],[Candidate 6]]), 0)</f>
        <v>1.4590730022858811E-4</v>
      </c>
      <c r="P677" s="100">
        <f>MAX(SamplingData[[#This Row],[Error Bound (up) - Max. possible relative overstatement - Losing Candidate]:[Error Bound (up) - Max. possible relative overstatement - Candidate 6]])</f>
        <v>2.4497795198432141E-4</v>
      </c>
      <c r="Q677" s="100">
        <f>IF(SamplingData[[#This Row],[Max Error Bound (up)]] = 0,0,SamplingData[[#This Row],[Max Error Bound (up)]]/SamplingData[[#Totals],[Max Error Bound (up)]])</f>
        <v>3.8771793113783326E-5</v>
      </c>
      <c r="R677" s="101">
        <f>SUM($Q$5:Q677)</f>
        <v>0.19085619986096847</v>
      </c>
      <c r="S677" s="100" t="str">
        <f t="array" ref="S677">IF(SamplingData[[#This Row],[up/U Selection Probability]] = 0, "Zero", TEXT(SamplingData[[#This Row],[Lower Range]], REPT("0",LEN('General Info'!$B$40))) &amp; " - " &amp; TEXT(SamplingData[[#This Row],[Upper Range]], REPT("0",LEN('General Info'!$B$40))))</f>
        <v>19082 - 19085</v>
      </c>
      <c r="T677" s="100">
        <f>SamplingData[[#This Row],[Upper Range]]-SamplingData[[#This Row],[Span]]</f>
        <v>19081.742845557263</v>
      </c>
      <c r="U677" s="100">
        <f>IF(ISNUMBER('General Info'!$B$40), ((SamplingData[[#This Row],[up/U Selection Probability]]) * 'General Info'!$B$40) - 1, 0)</f>
        <v>2.877140539585219</v>
      </c>
      <c r="V677" s="100">
        <f>IF(ISNUMBER('General Info'!$B$40), (SamplingData[[#This Row],[Running (cumulative) sum]] * ('General Info'!$B$40 -'General Info'!$B$41 + 1)) + 'General Info'!$B$41 - 1, 0)</f>
        <v>19084.619986096848</v>
      </c>
      <c r="W677" s="100" t="str">
        <f>IF(ISERROR(MATCH(SamplingData[[#This Row],[Batch by Type (p)]],SelectedPrecincts[Batch Name], 0)), "", INDEX(SelectedPrecincts[Draw], MATCH(SamplingData[[#This Row],[Batch by Type (p)]],SelectedPrecincts[Batch Name], 0)))</f>
        <v/>
      </c>
      <c r="X677" s="102">
        <f>IF(COUNTIF(SelectedPrecincts[Batch Name],SamplingData[[#This Row],[Batch by Type (p)]]) &lt;&gt; 0, COUNTIF(SelectedPrecincts[Batch Name],SamplingData[[#This Row],[Batch by Type (p)]]), 0)</f>
        <v>0</v>
      </c>
    </row>
    <row r="678" spans="1:24" ht="15" customHeight="1">
      <c r="A678" s="18" t="s">
        <v>854</v>
      </c>
      <c r="B678" s="18">
        <v>1</v>
      </c>
      <c r="C678" s="18">
        <v>2</v>
      </c>
      <c r="D678" s="18">
        <v>1</v>
      </c>
      <c r="E678" s="18">
        <v>0</v>
      </c>
      <c r="F678" s="18">
        <v>0</v>
      </c>
      <c r="G678" s="18">
        <v>0</v>
      </c>
      <c r="H678" s="18">
        <v>0</v>
      </c>
      <c r="I678" s="18">
        <v>0</v>
      </c>
      <c r="J678" s="99">
        <f>SUM(SamplingData[[#This Row],[Losing Candidate]:[Under Votes]])</f>
        <v>4</v>
      </c>
      <c r="K678"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678" s="100">
        <f>IF(AND(SamplingData[[#This Row],[Total]]&lt;&gt; 0, NOT(ISBLANK(SamplingData[[#This Row],[Candidate 3]]))),(SamplingData[[#This Row],[Total]]+SamplingData[[#This Row],[Winning Candidate]]-SamplingData[[#This Row],[Candidate 3]])/(SamplingData[[#Totals],[Winning Candidate]]-SamplingData[[#Totals],[Candidate 3]]), 0)</f>
        <v>1.6130593283220958E-4</v>
      </c>
      <c r="M678" s="100">
        <f>IF(AND(SamplingData[[#This Row],[Total]]&lt;&gt; 0, NOT(ISBLANK(SamplingData[[#This Row],[Candidate 4]]))),(SamplingData[[#This Row],[Total]]+SamplingData[[#This Row],[Winning Candidate]]-SamplingData[[#This Row],[Candidate 4]])/(SamplingData[[#Totals],[Winning Candidate]]-SamplingData[[#Totals],[Candidate 4]]), 0)</f>
        <v>1.7539244058581075E-4</v>
      </c>
      <c r="N678" s="100">
        <f>IF(AND(SamplingData[[#This Row],[Total]]&lt;&gt; 0, NOT(ISBLANK(SamplingData[[#This Row],[Candidate 5]]))),(SamplingData[[#This Row],[Total]]+SamplingData[[#This Row],[Winning Candidate]]-SamplingData[[#This Row],[Candidate 5]])/(SamplingData[[#Totals],[Winning Candidate]]-SamplingData[[#Totals],[Candidate 5]]), 0)</f>
        <v>1.4594989053758211E-4</v>
      </c>
      <c r="O678" s="100">
        <f>IF(AND(SamplingData[[#This Row],[Total]]&lt;&gt; 0, NOT(ISBLANK(SamplingData[[#This Row],[Candidate 6]]))),(SamplingData[[#This Row],[Total]]+SamplingData[[#This Row],[Winning Candidate]]-SamplingData[[#This Row],[Candidate 6]])/(SamplingData[[#Totals],[Winning Candidate]]-SamplingData[[#Totals],[Candidate 6]]), 0)</f>
        <v>1.4590730022858811E-4</v>
      </c>
      <c r="P678" s="100">
        <f>MAX(SamplingData[[#This Row],[Error Bound (up) - Max. possible relative overstatement - Losing Candidate]:[Error Bound (up) - Max. possible relative overstatement - Candidate 6]])</f>
        <v>3.0622243998040176E-4</v>
      </c>
      <c r="Q678" s="100">
        <f>IF(SamplingData[[#This Row],[Max Error Bound (up)]] = 0,0,SamplingData[[#This Row],[Max Error Bound (up)]]/SamplingData[[#Totals],[Max Error Bound (up)]])</f>
        <v>4.8464741392229159E-5</v>
      </c>
      <c r="R678" s="101">
        <f>SUM($Q$5:Q678)</f>
        <v>0.19090466460236069</v>
      </c>
      <c r="S678" s="100" t="str">
        <f t="array" ref="S678">IF(SamplingData[[#This Row],[up/U Selection Probability]] = 0, "Zero", TEXT(SamplingData[[#This Row],[Lower Range]], REPT("0",LEN('General Info'!$B$40))) &amp; " - " &amp; TEXT(SamplingData[[#This Row],[Upper Range]], REPT("0",LEN('General Info'!$B$40))))</f>
        <v>19086 - 19089</v>
      </c>
      <c r="T678" s="100">
        <f>SamplingData[[#This Row],[Upper Range]]-SamplingData[[#This Row],[Span]]</f>
        <v>19085.620034561587</v>
      </c>
      <c r="U678" s="100">
        <f>IF(ISNUMBER('General Info'!$B$40), ((SamplingData[[#This Row],[up/U Selection Probability]]) * 'General Info'!$B$40) - 1, 0)</f>
        <v>3.8464256744815239</v>
      </c>
      <c r="V678" s="100">
        <f>IF(ISNUMBER('General Info'!$B$40), (SamplingData[[#This Row],[Running (cumulative) sum]] * ('General Info'!$B$40 -'General Info'!$B$41 + 1)) + 'General Info'!$B$41 - 1, 0)</f>
        <v>19089.466460236068</v>
      </c>
      <c r="W678" s="100" t="str">
        <f>IF(ISERROR(MATCH(SamplingData[[#This Row],[Batch by Type (p)]],SelectedPrecincts[Batch Name], 0)), "", INDEX(SelectedPrecincts[Draw], MATCH(SamplingData[[#This Row],[Batch by Type (p)]],SelectedPrecincts[Batch Name], 0)))</f>
        <v/>
      </c>
      <c r="X678" s="102">
        <f>IF(COUNTIF(SelectedPrecincts[Batch Name],SamplingData[[#This Row],[Batch by Type (p)]]) &lt;&gt; 0, COUNTIF(SelectedPrecincts[Batch Name],SamplingData[[#This Row],[Batch by Type (p)]]), 0)</f>
        <v>0</v>
      </c>
    </row>
    <row r="679" spans="1:24" ht="15" customHeight="1">
      <c r="A679" s="18" t="s">
        <v>855</v>
      </c>
      <c r="B679" s="18">
        <v>2</v>
      </c>
      <c r="C679" s="18">
        <v>0</v>
      </c>
      <c r="D679" s="16">
        <v>1</v>
      </c>
      <c r="E679" s="16">
        <v>0</v>
      </c>
      <c r="F679" s="37">
        <v>0</v>
      </c>
      <c r="G679" s="37">
        <v>0</v>
      </c>
      <c r="H679" s="17">
        <v>0</v>
      </c>
      <c r="I679" s="17">
        <v>0</v>
      </c>
      <c r="J679" s="99">
        <f>SUM(SamplingData[[#This Row],[Losing Candidate]:[Under Votes]])</f>
        <v>3</v>
      </c>
      <c r="K679"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679" s="100">
        <f>IF(AND(SamplingData[[#This Row],[Total]]&lt;&gt; 0, NOT(ISBLANK(SamplingData[[#This Row],[Candidate 3]]))),(SamplingData[[#This Row],[Total]]+SamplingData[[#This Row],[Winning Candidate]]-SamplingData[[#This Row],[Candidate 3]])/(SamplingData[[#Totals],[Winning Candidate]]-SamplingData[[#Totals],[Candidate 3]]), 0)</f>
        <v>6.4522373132883833E-5</v>
      </c>
      <c r="M679" s="100">
        <f>IF(AND(SamplingData[[#This Row],[Total]]&lt;&gt; 0, NOT(ISBLANK(SamplingData[[#This Row],[Candidate 4]]))),(SamplingData[[#This Row],[Total]]+SamplingData[[#This Row],[Winning Candidate]]-SamplingData[[#This Row],[Candidate 4]])/(SamplingData[[#Totals],[Winning Candidate]]-SamplingData[[#Totals],[Candidate 4]]), 0)</f>
        <v>8.7696220292905373E-5</v>
      </c>
      <c r="N679" s="100">
        <f>IF(AND(SamplingData[[#This Row],[Total]]&lt;&gt; 0, NOT(ISBLANK(SamplingData[[#This Row],[Candidate 5]]))),(SamplingData[[#This Row],[Total]]+SamplingData[[#This Row],[Winning Candidate]]-SamplingData[[#This Row],[Candidate 5]])/(SamplingData[[#Totals],[Winning Candidate]]-SamplingData[[#Totals],[Candidate 5]]), 0)</f>
        <v>7.2974945268791054E-5</v>
      </c>
      <c r="O679" s="100">
        <f>IF(AND(SamplingData[[#This Row],[Total]]&lt;&gt; 0, NOT(ISBLANK(SamplingData[[#This Row],[Candidate 6]]))),(SamplingData[[#This Row],[Total]]+SamplingData[[#This Row],[Winning Candidate]]-SamplingData[[#This Row],[Candidate 6]])/(SamplingData[[#Totals],[Winning Candidate]]-SamplingData[[#Totals],[Candidate 6]]), 0)</f>
        <v>7.2953650114294054E-5</v>
      </c>
      <c r="P679" s="100">
        <f>MAX(SamplingData[[#This Row],[Error Bound (up) - Max. possible relative overstatement - Losing Candidate]:[Error Bound (up) - Max. possible relative overstatement - Candidate 6]])</f>
        <v>8.7696220292905373E-5</v>
      </c>
      <c r="Q679" s="100">
        <f>IF(SamplingData[[#This Row],[Max Error Bound (up)]] = 0,0,SamplingData[[#This Row],[Max Error Bound (up)]]/SamplingData[[#Totals],[Max Error Bound (up)]])</f>
        <v>1.3879370296453875E-5</v>
      </c>
      <c r="R679" s="101">
        <f>SUM($Q$5:Q679)</f>
        <v>0.19091854397265715</v>
      </c>
      <c r="S679" s="100" t="str">
        <f t="array" ref="S679">IF(SamplingData[[#This Row],[up/U Selection Probability]] = 0, "Zero", TEXT(SamplingData[[#This Row],[Lower Range]], REPT("0",LEN('General Info'!$B$40))) &amp; " - " &amp; TEXT(SamplingData[[#This Row],[Upper Range]], REPT("0",LEN('General Info'!$B$40))))</f>
        <v>19090 - 19091</v>
      </c>
      <c r="T679" s="100">
        <f>SamplingData[[#This Row],[Upper Range]]-SamplingData[[#This Row],[Span]]</f>
        <v>19090.466474115437</v>
      </c>
      <c r="U679" s="100">
        <f>IF(ISNUMBER('General Info'!$B$40), ((SamplingData[[#This Row],[up/U Selection Probability]]) * 'General Info'!$B$40) - 1, 0)</f>
        <v>0.38792315027509106</v>
      </c>
      <c r="V679" s="100">
        <f>IF(ISNUMBER('General Info'!$B$40), (SamplingData[[#This Row],[Running (cumulative) sum]] * ('General Info'!$B$40 -'General Info'!$B$41 + 1)) + 'General Info'!$B$41 - 1, 0)</f>
        <v>19090.854397265713</v>
      </c>
      <c r="W679" s="100" t="str">
        <f>IF(ISERROR(MATCH(SamplingData[[#This Row],[Batch by Type (p)]],SelectedPrecincts[Batch Name], 0)), "", INDEX(SelectedPrecincts[Draw], MATCH(SamplingData[[#This Row],[Batch by Type (p)]],SelectedPrecincts[Batch Name], 0)))</f>
        <v/>
      </c>
      <c r="X679" s="102">
        <f>IF(COUNTIF(SelectedPrecincts[Batch Name],SamplingData[[#This Row],[Batch by Type (p)]]) &lt;&gt; 0, COUNTIF(SelectedPrecincts[Batch Name],SamplingData[[#This Row],[Batch by Type (p)]]), 0)</f>
        <v>0</v>
      </c>
    </row>
    <row r="680" spans="1:24" ht="15" customHeight="1">
      <c r="A680" s="18" t="s">
        <v>856</v>
      </c>
      <c r="B680" s="18">
        <v>3</v>
      </c>
      <c r="C680" s="18">
        <v>0</v>
      </c>
      <c r="D680" s="18">
        <v>3</v>
      </c>
      <c r="E680" s="18">
        <v>0</v>
      </c>
      <c r="F680" s="18">
        <v>0</v>
      </c>
      <c r="G680" s="18">
        <v>0</v>
      </c>
      <c r="H680" s="18">
        <v>0</v>
      </c>
      <c r="I680" s="18">
        <v>0</v>
      </c>
      <c r="J680" s="99">
        <f>SUM(SamplingData[[#This Row],[Losing Candidate]:[Under Votes]])</f>
        <v>6</v>
      </c>
      <c r="K68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680" s="100">
        <f>IF(AND(SamplingData[[#This Row],[Total]]&lt;&gt; 0, NOT(ISBLANK(SamplingData[[#This Row],[Candidate 3]]))),(SamplingData[[#This Row],[Total]]+SamplingData[[#This Row],[Winning Candidate]]-SamplingData[[#This Row],[Candidate 3]])/(SamplingData[[#Totals],[Winning Candidate]]-SamplingData[[#Totals],[Candidate 3]]), 0)</f>
        <v>9.6783559699325743E-5</v>
      </c>
      <c r="M680" s="100">
        <f>IF(AND(SamplingData[[#This Row],[Total]]&lt;&gt; 0, NOT(ISBLANK(SamplingData[[#This Row],[Candidate 4]]))),(SamplingData[[#This Row],[Total]]+SamplingData[[#This Row],[Winning Candidate]]-SamplingData[[#This Row],[Candidate 4]])/(SamplingData[[#Totals],[Winning Candidate]]-SamplingData[[#Totals],[Candidate 4]]), 0)</f>
        <v>1.7539244058581075E-4</v>
      </c>
      <c r="N680" s="100">
        <f>IF(AND(SamplingData[[#This Row],[Total]]&lt;&gt; 0, NOT(ISBLANK(SamplingData[[#This Row],[Candidate 5]]))),(SamplingData[[#This Row],[Total]]+SamplingData[[#This Row],[Winning Candidate]]-SamplingData[[#This Row],[Candidate 5]])/(SamplingData[[#Totals],[Winning Candidate]]-SamplingData[[#Totals],[Candidate 5]]), 0)</f>
        <v>1.4594989053758211E-4</v>
      </c>
      <c r="O680" s="100">
        <f>IF(AND(SamplingData[[#This Row],[Total]]&lt;&gt; 0, NOT(ISBLANK(SamplingData[[#This Row],[Candidate 6]]))),(SamplingData[[#This Row],[Total]]+SamplingData[[#This Row],[Winning Candidate]]-SamplingData[[#This Row],[Candidate 6]])/(SamplingData[[#Totals],[Winning Candidate]]-SamplingData[[#Totals],[Candidate 6]]), 0)</f>
        <v>1.4590730022858811E-4</v>
      </c>
      <c r="P680" s="100">
        <f>MAX(SamplingData[[#This Row],[Error Bound (up) - Max. possible relative overstatement - Losing Candidate]:[Error Bound (up) - Max. possible relative overstatement - Candidate 6]])</f>
        <v>1.8373346398824106E-4</v>
      </c>
      <c r="Q680" s="100">
        <f>IF(SamplingData[[#This Row],[Max Error Bound (up)]] = 0,0,SamplingData[[#This Row],[Max Error Bound (up)]]/SamplingData[[#Totals],[Max Error Bound (up)]])</f>
        <v>2.9078844835337493E-5</v>
      </c>
      <c r="R680" s="101">
        <f>SUM($Q$5:Q680)</f>
        <v>0.19094762281749247</v>
      </c>
      <c r="S680" s="100" t="str">
        <f t="array" ref="S680">IF(SamplingData[[#This Row],[up/U Selection Probability]] = 0, "Zero", TEXT(SamplingData[[#This Row],[Lower Range]], REPT("0",LEN('General Info'!$B$40))) &amp; " - " &amp; TEXT(SamplingData[[#This Row],[Upper Range]], REPT("0",LEN('General Info'!$B$40))))</f>
        <v>19092 - 19094</v>
      </c>
      <c r="T680" s="100">
        <f>SamplingData[[#This Row],[Upper Range]]-SamplingData[[#This Row],[Span]]</f>
        <v>19091.854426344558</v>
      </c>
      <c r="U680" s="100">
        <f>IF(ISNUMBER('General Info'!$B$40), ((SamplingData[[#This Row],[up/U Selection Probability]]) * 'General Info'!$B$40) - 1, 0)</f>
        <v>1.907855404688914</v>
      </c>
      <c r="V680" s="100">
        <f>IF(ISNUMBER('General Info'!$B$40), (SamplingData[[#This Row],[Running (cumulative) sum]] * ('General Info'!$B$40 -'General Info'!$B$41 + 1)) + 'General Info'!$B$41 - 1, 0)</f>
        <v>19093.762281749248</v>
      </c>
      <c r="W680" s="100" t="str">
        <f>IF(ISERROR(MATCH(SamplingData[[#This Row],[Batch by Type (p)]],SelectedPrecincts[Batch Name], 0)), "", INDEX(SelectedPrecincts[Draw], MATCH(SamplingData[[#This Row],[Batch by Type (p)]],SelectedPrecincts[Batch Name], 0)))</f>
        <v/>
      </c>
      <c r="X680" s="102">
        <f>IF(COUNTIF(SelectedPrecincts[Batch Name],SamplingData[[#This Row],[Batch by Type (p)]]) &lt;&gt; 0, COUNTIF(SelectedPrecincts[Batch Name],SamplingData[[#This Row],[Batch by Type (p)]]), 0)</f>
        <v>0</v>
      </c>
    </row>
    <row r="681" spans="1:24" ht="15" customHeight="1">
      <c r="A681" s="18" t="s">
        <v>857</v>
      </c>
      <c r="B681" s="18">
        <v>2</v>
      </c>
      <c r="C681" s="18">
        <v>0</v>
      </c>
      <c r="D681" s="16">
        <v>1</v>
      </c>
      <c r="E681" s="16">
        <v>0</v>
      </c>
      <c r="F681" s="37">
        <v>1</v>
      </c>
      <c r="G681" s="37">
        <v>0</v>
      </c>
      <c r="H681" s="17">
        <v>0</v>
      </c>
      <c r="I681" s="17">
        <v>0</v>
      </c>
      <c r="J681" s="99">
        <f>SUM(SamplingData[[#This Row],[Losing Candidate]:[Under Votes]])</f>
        <v>4</v>
      </c>
      <c r="K681"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81" s="100">
        <f>IF(AND(SamplingData[[#This Row],[Total]]&lt;&gt; 0, NOT(ISBLANK(SamplingData[[#This Row],[Candidate 3]]))),(SamplingData[[#This Row],[Total]]+SamplingData[[#This Row],[Winning Candidate]]-SamplingData[[#This Row],[Candidate 3]])/(SamplingData[[#Totals],[Winning Candidate]]-SamplingData[[#Totals],[Candidate 3]]), 0)</f>
        <v>9.6783559699325743E-5</v>
      </c>
      <c r="M681" s="100">
        <f>IF(AND(SamplingData[[#This Row],[Total]]&lt;&gt; 0, NOT(ISBLANK(SamplingData[[#This Row],[Candidate 4]]))),(SamplingData[[#This Row],[Total]]+SamplingData[[#This Row],[Winning Candidate]]-SamplingData[[#This Row],[Candidate 4]])/(SamplingData[[#Totals],[Winning Candidate]]-SamplingData[[#Totals],[Candidate 4]]), 0)</f>
        <v>1.1692829372387384E-4</v>
      </c>
      <c r="N681" s="100">
        <f>IF(AND(SamplingData[[#This Row],[Total]]&lt;&gt; 0, NOT(ISBLANK(SamplingData[[#This Row],[Candidate 5]]))),(SamplingData[[#This Row],[Total]]+SamplingData[[#This Row],[Winning Candidate]]-SamplingData[[#This Row],[Candidate 5]])/(SamplingData[[#Totals],[Winning Candidate]]-SamplingData[[#Totals],[Candidate 5]]), 0)</f>
        <v>7.2974945268791054E-5</v>
      </c>
      <c r="O681" s="100">
        <f>IF(AND(SamplingData[[#This Row],[Total]]&lt;&gt; 0, NOT(ISBLANK(SamplingData[[#This Row],[Candidate 6]]))),(SamplingData[[#This Row],[Total]]+SamplingData[[#This Row],[Winning Candidate]]-SamplingData[[#This Row],[Candidate 6]])/(SamplingData[[#Totals],[Winning Candidate]]-SamplingData[[#Totals],[Candidate 6]]), 0)</f>
        <v>9.7271533485725401E-5</v>
      </c>
      <c r="P681" s="100">
        <f>MAX(SamplingData[[#This Row],[Error Bound (up) - Max. possible relative overstatement - Losing Candidate]:[Error Bound (up) - Max. possible relative overstatement - Candidate 6]])</f>
        <v>1.224889759921607E-4</v>
      </c>
      <c r="Q681" s="100">
        <f>IF(SamplingData[[#This Row],[Max Error Bound (up)]] = 0,0,SamplingData[[#This Row],[Max Error Bound (up)]]/SamplingData[[#Totals],[Max Error Bound (up)]])</f>
        <v>1.9385896556891663E-5</v>
      </c>
      <c r="R681" s="101">
        <f>SUM($Q$5:Q681)</f>
        <v>0.19096700871404937</v>
      </c>
      <c r="S681" s="100" t="str">
        <f t="array" ref="S681">IF(SamplingData[[#This Row],[up/U Selection Probability]] = 0, "Zero", TEXT(SamplingData[[#This Row],[Lower Range]], REPT("0",LEN('General Info'!$B$40))) &amp; " - " &amp; TEXT(SamplingData[[#This Row],[Upper Range]], REPT("0",LEN('General Info'!$B$40))))</f>
        <v>19095 - 19096</v>
      </c>
      <c r="T681" s="100">
        <f>SamplingData[[#This Row],[Upper Range]]-SamplingData[[#This Row],[Span]]</f>
        <v>19094.762301135146</v>
      </c>
      <c r="U681" s="100">
        <f>IF(ISNUMBER('General Info'!$B$40), ((SamplingData[[#This Row],[up/U Selection Probability]]) * 'General Info'!$B$40) - 1, 0)</f>
        <v>0.93857026979260949</v>
      </c>
      <c r="V681" s="100">
        <f>IF(ISNUMBER('General Info'!$B$40), (SamplingData[[#This Row],[Running (cumulative) sum]] * ('General Info'!$B$40 -'General Info'!$B$41 + 1)) + 'General Info'!$B$41 - 1, 0)</f>
        <v>19095.700871404937</v>
      </c>
      <c r="W681" s="100" t="str">
        <f>IF(ISERROR(MATCH(SamplingData[[#This Row],[Batch by Type (p)]],SelectedPrecincts[Batch Name], 0)), "", INDEX(SelectedPrecincts[Draw], MATCH(SamplingData[[#This Row],[Batch by Type (p)]],SelectedPrecincts[Batch Name], 0)))</f>
        <v/>
      </c>
      <c r="X681" s="102">
        <f>IF(COUNTIF(SelectedPrecincts[Batch Name],SamplingData[[#This Row],[Batch by Type (p)]]) &lt;&gt; 0, COUNTIF(SelectedPrecincts[Batch Name],SamplingData[[#This Row],[Batch by Type (p)]]), 0)</f>
        <v>0</v>
      </c>
    </row>
    <row r="682" spans="1:24" ht="15" customHeight="1">
      <c r="A682" s="18" t="s">
        <v>858</v>
      </c>
      <c r="B682" s="18">
        <v>0</v>
      </c>
      <c r="C682" s="18">
        <v>2</v>
      </c>
      <c r="D682" s="18">
        <v>0</v>
      </c>
      <c r="E682" s="18">
        <v>0</v>
      </c>
      <c r="F682" s="18">
        <v>0</v>
      </c>
      <c r="G682" s="18">
        <v>0</v>
      </c>
      <c r="H682" s="18">
        <v>0</v>
      </c>
      <c r="I682" s="18">
        <v>0</v>
      </c>
      <c r="J682" s="99">
        <f>SUM(SamplingData[[#This Row],[Losing Candidate]:[Under Votes]])</f>
        <v>2</v>
      </c>
      <c r="K682"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682" s="100">
        <f>IF(AND(SamplingData[[#This Row],[Total]]&lt;&gt; 0, NOT(ISBLANK(SamplingData[[#This Row],[Candidate 3]]))),(SamplingData[[#This Row],[Total]]+SamplingData[[#This Row],[Winning Candidate]]-SamplingData[[#This Row],[Candidate 3]])/(SamplingData[[#Totals],[Winning Candidate]]-SamplingData[[#Totals],[Candidate 3]]), 0)</f>
        <v>1.2904474626576767E-4</v>
      </c>
      <c r="M682" s="100">
        <f>IF(AND(SamplingData[[#This Row],[Total]]&lt;&gt; 0, NOT(ISBLANK(SamplingData[[#This Row],[Candidate 4]]))),(SamplingData[[#This Row],[Total]]+SamplingData[[#This Row],[Winning Candidate]]-SamplingData[[#This Row],[Candidate 4]])/(SamplingData[[#Totals],[Winning Candidate]]-SamplingData[[#Totals],[Candidate 4]]), 0)</f>
        <v>1.1692829372387384E-4</v>
      </c>
      <c r="N682" s="100">
        <f>IF(AND(SamplingData[[#This Row],[Total]]&lt;&gt; 0, NOT(ISBLANK(SamplingData[[#This Row],[Candidate 5]]))),(SamplingData[[#This Row],[Total]]+SamplingData[[#This Row],[Winning Candidate]]-SamplingData[[#This Row],[Candidate 5]])/(SamplingData[[#Totals],[Winning Candidate]]-SamplingData[[#Totals],[Candidate 5]]), 0)</f>
        <v>9.7299927025054734E-5</v>
      </c>
      <c r="O682" s="100">
        <f>IF(AND(SamplingData[[#This Row],[Total]]&lt;&gt; 0, NOT(ISBLANK(SamplingData[[#This Row],[Candidate 6]]))),(SamplingData[[#This Row],[Total]]+SamplingData[[#This Row],[Winning Candidate]]-SamplingData[[#This Row],[Candidate 6]])/(SamplingData[[#Totals],[Winning Candidate]]-SamplingData[[#Totals],[Candidate 6]]), 0)</f>
        <v>9.7271533485725401E-5</v>
      </c>
      <c r="P682" s="100">
        <f>MAX(SamplingData[[#This Row],[Error Bound (up) - Max. possible relative overstatement - Losing Candidate]:[Error Bound (up) - Max. possible relative overstatement - Candidate 6]])</f>
        <v>2.4497795198432141E-4</v>
      </c>
      <c r="Q682" s="100">
        <f>IF(SamplingData[[#This Row],[Max Error Bound (up)]] = 0,0,SamplingData[[#This Row],[Max Error Bound (up)]]/SamplingData[[#Totals],[Max Error Bound (up)]])</f>
        <v>3.8771793113783326E-5</v>
      </c>
      <c r="R682" s="101">
        <f>SUM($Q$5:Q682)</f>
        <v>0.19100578050716316</v>
      </c>
      <c r="S682" s="100" t="str">
        <f t="array" ref="S682">IF(SamplingData[[#This Row],[up/U Selection Probability]] = 0, "Zero", TEXT(SamplingData[[#This Row],[Lower Range]], REPT("0",LEN('General Info'!$B$40))) &amp; " - " &amp; TEXT(SamplingData[[#This Row],[Upper Range]], REPT("0",LEN('General Info'!$B$40))))</f>
        <v>19097 - 19100</v>
      </c>
      <c r="T682" s="100">
        <f>SamplingData[[#This Row],[Upper Range]]-SamplingData[[#This Row],[Span]]</f>
        <v>19096.700910176729</v>
      </c>
      <c r="U682" s="100">
        <f>IF(ISNUMBER('General Info'!$B$40), ((SamplingData[[#This Row],[up/U Selection Probability]]) * 'General Info'!$B$40) - 1, 0)</f>
        <v>2.877140539585219</v>
      </c>
      <c r="V682" s="100">
        <f>IF(ISNUMBER('General Info'!$B$40), (SamplingData[[#This Row],[Running (cumulative) sum]] * ('General Info'!$B$40 -'General Info'!$B$41 + 1)) + 'General Info'!$B$41 - 1, 0)</f>
        <v>19099.578050716314</v>
      </c>
      <c r="W682" s="100" t="str">
        <f>IF(ISERROR(MATCH(SamplingData[[#This Row],[Batch by Type (p)]],SelectedPrecincts[Batch Name], 0)), "", INDEX(SelectedPrecincts[Draw], MATCH(SamplingData[[#This Row],[Batch by Type (p)]],SelectedPrecincts[Batch Name], 0)))</f>
        <v/>
      </c>
      <c r="X682" s="102">
        <f>IF(COUNTIF(SelectedPrecincts[Batch Name],SamplingData[[#This Row],[Batch by Type (p)]]) &lt;&gt; 0, COUNTIF(SelectedPrecincts[Batch Name],SamplingData[[#This Row],[Batch by Type (p)]]), 0)</f>
        <v>0</v>
      </c>
    </row>
    <row r="683" spans="1:24" ht="15" customHeight="1">
      <c r="A683" s="18" t="s">
        <v>859</v>
      </c>
      <c r="B683" s="18">
        <v>5</v>
      </c>
      <c r="C683" s="18">
        <v>4</v>
      </c>
      <c r="D683" s="16">
        <v>1</v>
      </c>
      <c r="E683" s="16">
        <v>3</v>
      </c>
      <c r="F683" s="37">
        <v>0</v>
      </c>
      <c r="G683" s="37">
        <v>0</v>
      </c>
      <c r="H683" s="17">
        <v>0</v>
      </c>
      <c r="I683" s="17">
        <v>0</v>
      </c>
      <c r="J683" s="99">
        <f>SUM(SamplingData[[#This Row],[Losing Candidate]:[Under Votes]])</f>
        <v>13</v>
      </c>
      <c r="K683"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683" s="100">
        <f>IF(AND(SamplingData[[#This Row],[Total]]&lt;&gt; 0, NOT(ISBLANK(SamplingData[[#This Row],[Candidate 3]]))),(SamplingData[[#This Row],[Total]]+SamplingData[[#This Row],[Winning Candidate]]-SamplingData[[#This Row],[Candidate 3]])/(SamplingData[[#Totals],[Winning Candidate]]-SamplingData[[#Totals],[Candidate 3]]), 0)</f>
        <v>5.1617898506307067E-4</v>
      </c>
      <c r="M683" s="100">
        <f>IF(AND(SamplingData[[#This Row],[Total]]&lt;&gt; 0, NOT(ISBLANK(SamplingData[[#This Row],[Candidate 4]]))),(SamplingData[[#This Row],[Total]]+SamplingData[[#This Row],[Winning Candidate]]-SamplingData[[#This Row],[Candidate 4]])/(SamplingData[[#Totals],[Winning Candidate]]-SamplingData[[#Totals],[Candidate 4]]), 0)</f>
        <v>4.0924902803355842E-4</v>
      </c>
      <c r="N683" s="100">
        <f>IF(AND(SamplingData[[#This Row],[Total]]&lt;&gt; 0, NOT(ISBLANK(SamplingData[[#This Row],[Candidate 5]]))),(SamplingData[[#This Row],[Total]]+SamplingData[[#This Row],[Winning Candidate]]-SamplingData[[#This Row],[Candidate 5]])/(SamplingData[[#Totals],[Winning Candidate]]-SamplingData[[#Totals],[Candidate 5]]), 0)</f>
        <v>4.1352468985648261E-4</v>
      </c>
      <c r="O683" s="100">
        <f>IF(AND(SamplingData[[#This Row],[Total]]&lt;&gt; 0, NOT(ISBLANK(SamplingData[[#This Row],[Candidate 6]]))),(SamplingData[[#This Row],[Total]]+SamplingData[[#This Row],[Winning Candidate]]-SamplingData[[#This Row],[Candidate 6]])/(SamplingData[[#Totals],[Winning Candidate]]-SamplingData[[#Totals],[Candidate 6]]), 0)</f>
        <v>4.1340401731433294E-4</v>
      </c>
      <c r="P683" s="100">
        <f>MAX(SamplingData[[#This Row],[Error Bound (up) - Max. possible relative overstatement - Losing Candidate]:[Error Bound (up) - Max. possible relative overstatement - Candidate 6]])</f>
        <v>7.3493385595296422E-4</v>
      </c>
      <c r="Q683" s="100">
        <f>IF(SamplingData[[#This Row],[Max Error Bound (up)]] = 0,0,SamplingData[[#This Row],[Max Error Bound (up)]]/SamplingData[[#Totals],[Max Error Bound (up)]])</f>
        <v>1.1631537934134997E-4</v>
      </c>
      <c r="R683" s="101">
        <f>SUM($Q$5:Q683)</f>
        <v>0.1911220958865045</v>
      </c>
      <c r="S683" s="100" t="str">
        <f t="array" ref="S683">IF(SamplingData[[#This Row],[up/U Selection Probability]] = 0, "Zero", TEXT(SamplingData[[#This Row],[Lower Range]], REPT("0",LEN('General Info'!$B$40))) &amp; " - " &amp; TEXT(SamplingData[[#This Row],[Upper Range]], REPT("0",LEN('General Info'!$B$40))))</f>
        <v>19101 - 19111</v>
      </c>
      <c r="T683" s="100">
        <f>SamplingData[[#This Row],[Upper Range]]-SamplingData[[#This Row],[Span]]</f>
        <v>19100.578167031694</v>
      </c>
      <c r="U683" s="100">
        <f>IF(ISNUMBER('General Info'!$B$40), ((SamplingData[[#This Row],[up/U Selection Probability]]) * 'General Info'!$B$40) - 1, 0)</f>
        <v>10.631421618755656</v>
      </c>
      <c r="V683" s="100">
        <f>IF(ISNUMBER('General Info'!$B$40), (SamplingData[[#This Row],[Running (cumulative) sum]] * ('General Info'!$B$40 -'General Info'!$B$41 + 1)) + 'General Info'!$B$41 - 1, 0)</f>
        <v>19111.20958865045</v>
      </c>
      <c r="W683" s="100" t="str">
        <f>IF(ISERROR(MATCH(SamplingData[[#This Row],[Batch by Type (p)]],SelectedPrecincts[Batch Name], 0)), "", INDEX(SelectedPrecincts[Draw], MATCH(SamplingData[[#This Row],[Batch by Type (p)]],SelectedPrecincts[Batch Name], 0)))</f>
        <v/>
      </c>
      <c r="X683" s="102">
        <f>IF(COUNTIF(SelectedPrecincts[Batch Name],SamplingData[[#This Row],[Batch by Type (p)]]) &lt;&gt; 0, COUNTIF(SelectedPrecincts[Batch Name],SamplingData[[#This Row],[Batch by Type (p)]]), 0)</f>
        <v>0</v>
      </c>
    </row>
    <row r="684" spans="1:24" ht="15" customHeight="1">
      <c r="A684" s="18" t="s">
        <v>860</v>
      </c>
      <c r="B684" s="18">
        <v>0</v>
      </c>
      <c r="C684" s="18">
        <v>0</v>
      </c>
      <c r="D684" s="18">
        <v>0</v>
      </c>
      <c r="E684" s="18">
        <v>0</v>
      </c>
      <c r="F684" s="18">
        <v>0</v>
      </c>
      <c r="G684" s="18">
        <v>1</v>
      </c>
      <c r="H684" s="18">
        <v>0</v>
      </c>
      <c r="I684" s="18">
        <v>0</v>
      </c>
      <c r="J684" s="99">
        <f>SUM(SamplingData[[#This Row],[Losing Candidate]:[Under Votes]])</f>
        <v>1</v>
      </c>
      <c r="K68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684" s="100">
        <f>IF(AND(SamplingData[[#This Row],[Total]]&lt;&gt; 0, NOT(ISBLANK(SamplingData[[#This Row],[Candidate 3]]))),(SamplingData[[#This Row],[Total]]+SamplingData[[#This Row],[Winning Candidate]]-SamplingData[[#This Row],[Candidate 3]])/(SamplingData[[#Totals],[Winning Candidate]]-SamplingData[[#Totals],[Candidate 3]]), 0)</f>
        <v>3.2261186566441917E-5</v>
      </c>
      <c r="M684" s="100">
        <f>IF(AND(SamplingData[[#This Row],[Total]]&lt;&gt; 0, NOT(ISBLANK(SamplingData[[#This Row],[Candidate 4]]))),(SamplingData[[#This Row],[Total]]+SamplingData[[#This Row],[Winning Candidate]]-SamplingData[[#This Row],[Candidate 4]])/(SamplingData[[#Totals],[Winning Candidate]]-SamplingData[[#Totals],[Candidate 4]]), 0)</f>
        <v>2.923207343096846E-5</v>
      </c>
      <c r="N684" s="100">
        <f>IF(AND(SamplingData[[#This Row],[Total]]&lt;&gt; 0, NOT(ISBLANK(SamplingData[[#This Row],[Candidate 5]]))),(SamplingData[[#This Row],[Total]]+SamplingData[[#This Row],[Winning Candidate]]-SamplingData[[#This Row],[Candidate 5]])/(SamplingData[[#Totals],[Winning Candidate]]-SamplingData[[#Totals],[Candidate 5]]), 0)</f>
        <v>2.4324981756263683E-5</v>
      </c>
      <c r="O684" s="100">
        <f>IF(AND(SamplingData[[#This Row],[Total]]&lt;&gt; 0, NOT(ISBLANK(SamplingData[[#This Row],[Candidate 6]]))),(SamplingData[[#This Row],[Total]]+SamplingData[[#This Row],[Winning Candidate]]-SamplingData[[#This Row],[Candidate 6]])/(SamplingData[[#Totals],[Winning Candidate]]-SamplingData[[#Totals],[Candidate 6]]), 0)</f>
        <v>0</v>
      </c>
      <c r="P684" s="100">
        <f>MAX(SamplingData[[#This Row],[Error Bound (up) - Max. possible relative overstatement - Losing Candidate]:[Error Bound (up) - Max. possible relative overstatement - Candidate 6]])</f>
        <v>6.1244487996080352E-5</v>
      </c>
      <c r="Q684" s="100">
        <f>IF(SamplingData[[#This Row],[Max Error Bound (up)]] = 0,0,SamplingData[[#This Row],[Max Error Bound (up)]]/SamplingData[[#Totals],[Max Error Bound (up)]])</f>
        <v>9.6929482784458315E-6</v>
      </c>
      <c r="R684" s="101">
        <f>SUM($Q$5:Q684)</f>
        <v>0.19113178883478293</v>
      </c>
      <c r="S684" s="100" t="str">
        <f t="array" ref="S684">IF(SamplingData[[#This Row],[up/U Selection Probability]] = 0, "Zero", TEXT(SamplingData[[#This Row],[Lower Range]], REPT("0",LEN('General Info'!$B$40))) &amp; " - " &amp; TEXT(SamplingData[[#This Row],[Upper Range]], REPT("0",LEN('General Info'!$B$40))))</f>
        <v>19112 - 19112</v>
      </c>
      <c r="T684" s="100">
        <f>SamplingData[[#This Row],[Upper Range]]-SamplingData[[#This Row],[Span]]</f>
        <v>19112.209598343397</v>
      </c>
      <c r="U684" s="100">
        <f>IF(ISNUMBER('General Info'!$B$40), ((SamplingData[[#This Row],[up/U Selection Probability]]) * 'General Info'!$B$40) - 1, 0)</f>
        <v>-3.0714865103695255E-2</v>
      </c>
      <c r="V684" s="100">
        <f>IF(ISNUMBER('General Info'!$B$40), (SamplingData[[#This Row],[Running (cumulative) sum]] * ('General Info'!$B$40 -'General Info'!$B$41 + 1)) + 'General Info'!$B$41 - 1, 0)</f>
        <v>19112.178883478293</v>
      </c>
      <c r="W684" s="100" t="str">
        <f>IF(ISERROR(MATCH(SamplingData[[#This Row],[Batch by Type (p)]],SelectedPrecincts[Batch Name], 0)), "", INDEX(SelectedPrecincts[Draw], MATCH(SamplingData[[#This Row],[Batch by Type (p)]],SelectedPrecincts[Batch Name], 0)))</f>
        <v/>
      </c>
      <c r="X684" s="102">
        <f>IF(COUNTIF(SelectedPrecincts[Batch Name],SamplingData[[#This Row],[Batch by Type (p)]]) &lt;&gt; 0, COUNTIF(SelectedPrecincts[Batch Name],SamplingData[[#This Row],[Batch by Type (p)]]), 0)</f>
        <v>0</v>
      </c>
    </row>
    <row r="685" spans="1:24" ht="15" customHeight="1">
      <c r="A685" s="18" t="s">
        <v>861</v>
      </c>
      <c r="B685" s="18">
        <v>5</v>
      </c>
      <c r="C685" s="18">
        <v>2</v>
      </c>
      <c r="D685" s="16">
        <v>1</v>
      </c>
      <c r="E685" s="16">
        <v>0</v>
      </c>
      <c r="F685" s="37">
        <v>0</v>
      </c>
      <c r="G685" s="37">
        <v>0</v>
      </c>
      <c r="H685" s="17">
        <v>0</v>
      </c>
      <c r="I685" s="17">
        <v>0</v>
      </c>
      <c r="J685" s="99">
        <f>SUM(SamplingData[[#This Row],[Losing Candidate]:[Under Votes]])</f>
        <v>8</v>
      </c>
      <c r="K685"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685" s="100">
        <f>IF(AND(SamplingData[[#This Row],[Total]]&lt;&gt; 0, NOT(ISBLANK(SamplingData[[#This Row],[Candidate 3]]))),(SamplingData[[#This Row],[Total]]+SamplingData[[#This Row],[Winning Candidate]]-SamplingData[[#This Row],[Candidate 3]])/(SamplingData[[#Totals],[Winning Candidate]]-SamplingData[[#Totals],[Candidate 3]]), 0)</f>
        <v>2.9035067909797722E-4</v>
      </c>
      <c r="M685" s="100">
        <f>IF(AND(SamplingData[[#This Row],[Total]]&lt;&gt; 0, NOT(ISBLANK(SamplingData[[#This Row],[Candidate 4]]))),(SamplingData[[#This Row],[Total]]+SamplingData[[#This Row],[Winning Candidate]]-SamplingData[[#This Row],[Candidate 4]])/(SamplingData[[#Totals],[Winning Candidate]]-SamplingData[[#Totals],[Candidate 4]]), 0)</f>
        <v>2.9232073430968461E-4</v>
      </c>
      <c r="N685" s="100">
        <f>IF(AND(SamplingData[[#This Row],[Total]]&lt;&gt; 0, NOT(ISBLANK(SamplingData[[#This Row],[Candidate 5]]))),(SamplingData[[#This Row],[Total]]+SamplingData[[#This Row],[Winning Candidate]]-SamplingData[[#This Row],[Candidate 5]])/(SamplingData[[#Totals],[Winning Candidate]]-SamplingData[[#Totals],[Candidate 5]]), 0)</f>
        <v>2.4324981756263683E-4</v>
      </c>
      <c r="O685" s="100">
        <f>IF(AND(SamplingData[[#This Row],[Total]]&lt;&gt; 0, NOT(ISBLANK(SamplingData[[#This Row],[Candidate 6]]))),(SamplingData[[#This Row],[Total]]+SamplingData[[#This Row],[Winning Candidate]]-SamplingData[[#This Row],[Candidate 6]])/(SamplingData[[#Totals],[Winning Candidate]]-SamplingData[[#Totals],[Candidate 6]]), 0)</f>
        <v>2.431788337143135E-4</v>
      </c>
      <c r="P685" s="100">
        <f>MAX(SamplingData[[#This Row],[Error Bound (up) - Max. possible relative overstatement - Losing Candidate]:[Error Bound (up) - Max. possible relative overstatement - Candidate 6]])</f>
        <v>3.0622243998040176E-4</v>
      </c>
      <c r="Q685" s="100">
        <f>IF(SamplingData[[#This Row],[Max Error Bound (up)]] = 0,0,SamplingData[[#This Row],[Max Error Bound (up)]]/SamplingData[[#Totals],[Max Error Bound (up)]])</f>
        <v>4.8464741392229159E-5</v>
      </c>
      <c r="R685" s="101">
        <f>SUM($Q$5:Q685)</f>
        <v>0.19118025357617516</v>
      </c>
      <c r="S685" s="100" t="str">
        <f t="array" ref="S685">IF(SamplingData[[#This Row],[up/U Selection Probability]] = 0, "Zero", TEXT(SamplingData[[#This Row],[Lower Range]], REPT("0",LEN('General Info'!$B$40))) &amp; " - " &amp; TEXT(SamplingData[[#This Row],[Upper Range]], REPT("0",LEN('General Info'!$B$40))))</f>
        <v>19113 - 19117</v>
      </c>
      <c r="T685" s="100">
        <f>SamplingData[[#This Row],[Upper Range]]-SamplingData[[#This Row],[Span]]</f>
        <v>19113.178931943035</v>
      </c>
      <c r="U685" s="100">
        <f>IF(ISNUMBER('General Info'!$B$40), ((SamplingData[[#This Row],[up/U Selection Probability]]) * 'General Info'!$B$40) - 1, 0)</f>
        <v>3.8464256744815239</v>
      </c>
      <c r="V685" s="100">
        <f>IF(ISNUMBER('General Info'!$B$40), (SamplingData[[#This Row],[Running (cumulative) sum]] * ('General Info'!$B$40 -'General Info'!$B$41 + 1)) + 'General Info'!$B$41 - 1, 0)</f>
        <v>19117.025357617516</v>
      </c>
      <c r="W685" s="100" t="str">
        <f>IF(ISERROR(MATCH(SamplingData[[#This Row],[Batch by Type (p)]],SelectedPrecincts[Batch Name], 0)), "", INDEX(SelectedPrecincts[Draw], MATCH(SamplingData[[#This Row],[Batch by Type (p)]],SelectedPrecincts[Batch Name], 0)))</f>
        <v/>
      </c>
      <c r="X685" s="102">
        <f>IF(COUNTIF(SelectedPrecincts[Batch Name],SamplingData[[#This Row],[Batch by Type (p)]]) &lt;&gt; 0, COUNTIF(SelectedPrecincts[Batch Name],SamplingData[[#This Row],[Batch by Type (p)]]), 0)</f>
        <v>0</v>
      </c>
    </row>
    <row r="686" spans="1:24" ht="15" customHeight="1">
      <c r="A686" s="18" t="s">
        <v>862</v>
      </c>
      <c r="B686" s="18">
        <v>0</v>
      </c>
      <c r="C686" s="18">
        <v>0</v>
      </c>
      <c r="D686" s="18">
        <v>0</v>
      </c>
      <c r="E686" s="18">
        <v>0</v>
      </c>
      <c r="F686" s="18">
        <v>0</v>
      </c>
      <c r="G686" s="18">
        <v>0</v>
      </c>
      <c r="H686" s="18">
        <v>0</v>
      </c>
      <c r="I686" s="18">
        <v>0</v>
      </c>
      <c r="J686" s="99">
        <f>SUM(SamplingData[[#This Row],[Losing Candidate]:[Under Votes]])</f>
        <v>0</v>
      </c>
      <c r="K686" s="100">
        <f>IF(AND(SamplingData[[#This Row],[Total]]&lt;&gt; 0, NOT(ISBLANK(SamplingData[[#This Row],[Losing Candidate]]))),(SamplingData[[#This Row],[Total]]+SamplingData[[#This Row],[Winning Candidate]]-SamplingData[[#This Row],[Losing Candidate]])/(SamplingData[[#Totals],[Winning Candidate]]-SamplingData[[#Totals],[Losing Candidate]]), 0)</f>
        <v>0</v>
      </c>
      <c r="L686" s="100">
        <f>IF(AND(SamplingData[[#This Row],[Total]]&lt;&gt; 0, NOT(ISBLANK(SamplingData[[#This Row],[Candidate 3]]))),(SamplingData[[#This Row],[Total]]+SamplingData[[#This Row],[Winning Candidate]]-SamplingData[[#This Row],[Candidate 3]])/(SamplingData[[#Totals],[Winning Candidate]]-SamplingData[[#Totals],[Candidate 3]]), 0)</f>
        <v>0</v>
      </c>
      <c r="M686" s="100">
        <f>IF(AND(SamplingData[[#This Row],[Total]]&lt;&gt; 0, NOT(ISBLANK(SamplingData[[#This Row],[Candidate 4]]))),(SamplingData[[#This Row],[Total]]+SamplingData[[#This Row],[Winning Candidate]]-SamplingData[[#This Row],[Candidate 4]])/(SamplingData[[#Totals],[Winning Candidate]]-SamplingData[[#Totals],[Candidate 4]]), 0)</f>
        <v>0</v>
      </c>
      <c r="N686" s="100">
        <f>IF(AND(SamplingData[[#This Row],[Total]]&lt;&gt; 0, NOT(ISBLANK(SamplingData[[#This Row],[Candidate 5]]))),(SamplingData[[#This Row],[Total]]+SamplingData[[#This Row],[Winning Candidate]]-SamplingData[[#This Row],[Candidate 5]])/(SamplingData[[#Totals],[Winning Candidate]]-SamplingData[[#Totals],[Candidate 5]]), 0)</f>
        <v>0</v>
      </c>
      <c r="O686" s="100">
        <f>IF(AND(SamplingData[[#This Row],[Total]]&lt;&gt; 0, NOT(ISBLANK(SamplingData[[#This Row],[Candidate 6]]))),(SamplingData[[#This Row],[Total]]+SamplingData[[#This Row],[Winning Candidate]]-SamplingData[[#This Row],[Candidate 6]])/(SamplingData[[#Totals],[Winning Candidate]]-SamplingData[[#Totals],[Candidate 6]]), 0)</f>
        <v>0</v>
      </c>
      <c r="P686" s="100">
        <f>MAX(SamplingData[[#This Row],[Error Bound (up) - Max. possible relative overstatement - Losing Candidate]:[Error Bound (up) - Max. possible relative overstatement - Candidate 6]])</f>
        <v>0</v>
      </c>
      <c r="Q686" s="100">
        <f>IF(SamplingData[[#This Row],[Max Error Bound (up)]] = 0,0,SamplingData[[#This Row],[Max Error Bound (up)]]/SamplingData[[#Totals],[Max Error Bound (up)]])</f>
        <v>0</v>
      </c>
      <c r="R686" s="101">
        <f>SUM($Q$5:Q686)</f>
        <v>0.19118025357617516</v>
      </c>
      <c r="S686" s="100" t="str">
        <f t="array" ref="S686">IF(SamplingData[[#This Row],[up/U Selection Probability]] = 0, "Zero", TEXT(SamplingData[[#This Row],[Lower Range]], REPT("0",LEN('General Info'!$B$40))) &amp; " - " &amp; TEXT(SamplingData[[#This Row],[Upper Range]], REPT("0",LEN('General Info'!$B$40))))</f>
        <v>Zero</v>
      </c>
      <c r="T686" s="100">
        <f>SamplingData[[#This Row],[Upper Range]]-SamplingData[[#This Row],[Span]]</f>
        <v>19118.025357617516</v>
      </c>
      <c r="U686" s="100">
        <f>IF(ISNUMBER('General Info'!$B$40), ((SamplingData[[#This Row],[up/U Selection Probability]]) * 'General Info'!$B$40) - 1, 0)</f>
        <v>-1</v>
      </c>
      <c r="V686" s="100">
        <f>IF(ISNUMBER('General Info'!$B$40), (SamplingData[[#This Row],[Running (cumulative) sum]] * ('General Info'!$B$40 -'General Info'!$B$41 + 1)) + 'General Info'!$B$41 - 1, 0)</f>
        <v>19117.025357617516</v>
      </c>
      <c r="W686" s="100" t="str">
        <f>IF(ISERROR(MATCH(SamplingData[[#This Row],[Batch by Type (p)]],SelectedPrecincts[Batch Name], 0)), "", INDEX(SelectedPrecincts[Draw], MATCH(SamplingData[[#This Row],[Batch by Type (p)]],SelectedPrecincts[Batch Name], 0)))</f>
        <v/>
      </c>
      <c r="X686" s="102">
        <f>IF(COUNTIF(SelectedPrecincts[Batch Name],SamplingData[[#This Row],[Batch by Type (p)]]) &lt;&gt; 0, COUNTIF(SelectedPrecincts[Batch Name],SamplingData[[#This Row],[Batch by Type (p)]]), 0)</f>
        <v>0</v>
      </c>
    </row>
    <row r="687" spans="1:24" ht="15" customHeight="1">
      <c r="A687" s="18" t="s">
        <v>863</v>
      </c>
      <c r="B687" s="18">
        <v>5</v>
      </c>
      <c r="C687" s="18">
        <v>4</v>
      </c>
      <c r="D687" s="16">
        <v>3</v>
      </c>
      <c r="E687" s="16">
        <v>4</v>
      </c>
      <c r="F687" s="37">
        <v>0</v>
      </c>
      <c r="G687" s="37">
        <v>0</v>
      </c>
      <c r="H687" s="17">
        <v>0</v>
      </c>
      <c r="I687" s="17">
        <v>1</v>
      </c>
      <c r="J687" s="99">
        <f>SUM(SamplingData[[#This Row],[Losing Candidate]:[Under Votes]])</f>
        <v>17</v>
      </c>
      <c r="K687"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687" s="100">
        <f>IF(AND(SamplingData[[#This Row],[Total]]&lt;&gt; 0, NOT(ISBLANK(SamplingData[[#This Row],[Candidate 3]]))),(SamplingData[[#This Row],[Total]]+SamplingData[[#This Row],[Winning Candidate]]-SamplingData[[#This Row],[Candidate 3]])/(SamplingData[[#Totals],[Winning Candidate]]-SamplingData[[#Totals],[Candidate 3]]), 0)</f>
        <v>5.8070135819595443E-4</v>
      </c>
      <c r="M687" s="100">
        <f>IF(AND(SamplingData[[#This Row],[Total]]&lt;&gt; 0, NOT(ISBLANK(SamplingData[[#This Row],[Candidate 4]]))),(SamplingData[[#This Row],[Total]]+SamplingData[[#This Row],[Winning Candidate]]-SamplingData[[#This Row],[Candidate 4]])/(SamplingData[[#Totals],[Winning Candidate]]-SamplingData[[#Totals],[Candidate 4]]), 0)</f>
        <v>4.9694524832646382E-4</v>
      </c>
      <c r="N687" s="100">
        <f>IF(AND(SamplingData[[#This Row],[Total]]&lt;&gt; 0, NOT(ISBLANK(SamplingData[[#This Row],[Candidate 5]]))),(SamplingData[[#This Row],[Total]]+SamplingData[[#This Row],[Winning Candidate]]-SamplingData[[#This Row],[Candidate 5]])/(SamplingData[[#Totals],[Winning Candidate]]-SamplingData[[#Totals],[Candidate 5]]), 0)</f>
        <v>5.1082461688153739E-4</v>
      </c>
      <c r="O687" s="100">
        <f>IF(AND(SamplingData[[#This Row],[Total]]&lt;&gt; 0, NOT(ISBLANK(SamplingData[[#This Row],[Candidate 6]]))),(SamplingData[[#This Row],[Total]]+SamplingData[[#This Row],[Winning Candidate]]-SamplingData[[#This Row],[Candidate 6]])/(SamplingData[[#Totals],[Winning Candidate]]-SamplingData[[#Totals],[Candidate 6]]), 0)</f>
        <v>5.1067555080005838E-4</v>
      </c>
      <c r="P687" s="100">
        <f>MAX(SamplingData[[#This Row],[Error Bound (up) - Max. possible relative overstatement - Losing Candidate]:[Error Bound (up) - Max. possible relative overstatement - Candidate 6]])</f>
        <v>9.7991180793728563E-4</v>
      </c>
      <c r="Q687" s="100">
        <f>IF(SamplingData[[#This Row],[Max Error Bound (up)]] = 0,0,SamplingData[[#This Row],[Max Error Bound (up)]]/SamplingData[[#Totals],[Max Error Bound (up)]])</f>
        <v>1.550871724551333E-4</v>
      </c>
      <c r="R687" s="101">
        <f>SUM($Q$5:Q687)</f>
        <v>0.19133534074863029</v>
      </c>
      <c r="S687" s="100" t="str">
        <f t="array" ref="S687">IF(SamplingData[[#This Row],[up/U Selection Probability]] = 0, "Zero", TEXT(SamplingData[[#This Row],[Lower Range]], REPT("0",LEN('General Info'!$B$40))) &amp; " - " &amp; TEXT(SamplingData[[#This Row],[Upper Range]], REPT("0",LEN('General Info'!$B$40))))</f>
        <v>19118 - 19133</v>
      </c>
      <c r="T687" s="100">
        <f>SamplingData[[#This Row],[Upper Range]]-SamplingData[[#This Row],[Span]]</f>
        <v>19118.025512704688</v>
      </c>
      <c r="U687" s="100">
        <f>IF(ISNUMBER('General Info'!$B$40), ((SamplingData[[#This Row],[up/U Selection Probability]]) * 'General Info'!$B$40) - 1, 0)</f>
        <v>14.508562158340876</v>
      </c>
      <c r="V687" s="100">
        <f>IF(ISNUMBER('General Info'!$B$40), (SamplingData[[#This Row],[Running (cumulative) sum]] * ('General Info'!$B$40 -'General Info'!$B$41 + 1)) + 'General Info'!$B$41 - 1, 0)</f>
        <v>19132.53407486303</v>
      </c>
      <c r="W687" s="100" t="str">
        <f>IF(ISERROR(MATCH(SamplingData[[#This Row],[Batch by Type (p)]],SelectedPrecincts[Batch Name], 0)), "", INDEX(SelectedPrecincts[Draw], MATCH(SamplingData[[#This Row],[Batch by Type (p)]],SelectedPrecincts[Batch Name], 0)))</f>
        <v/>
      </c>
      <c r="X687" s="102">
        <f>IF(COUNTIF(SelectedPrecincts[Batch Name],SamplingData[[#This Row],[Batch by Type (p)]]) &lt;&gt; 0, COUNTIF(SelectedPrecincts[Batch Name],SamplingData[[#This Row],[Batch by Type (p)]]), 0)</f>
        <v>0</v>
      </c>
    </row>
    <row r="688" spans="1:24" ht="15" customHeight="1">
      <c r="A688" s="18" t="s">
        <v>864</v>
      </c>
      <c r="B688" s="18">
        <v>4</v>
      </c>
      <c r="C688" s="18">
        <v>0</v>
      </c>
      <c r="D688" s="18">
        <v>1</v>
      </c>
      <c r="E688" s="18">
        <v>0</v>
      </c>
      <c r="F688" s="18">
        <v>0</v>
      </c>
      <c r="G688" s="18">
        <v>0</v>
      </c>
      <c r="H688" s="18">
        <v>0</v>
      </c>
      <c r="I688" s="18">
        <v>0</v>
      </c>
      <c r="J688" s="99">
        <f>SUM(SamplingData[[#This Row],[Losing Candidate]:[Under Votes]])</f>
        <v>5</v>
      </c>
      <c r="K68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688" s="100">
        <f>IF(AND(SamplingData[[#This Row],[Total]]&lt;&gt; 0, NOT(ISBLANK(SamplingData[[#This Row],[Candidate 3]]))),(SamplingData[[#This Row],[Total]]+SamplingData[[#This Row],[Winning Candidate]]-SamplingData[[#This Row],[Candidate 3]])/(SamplingData[[#Totals],[Winning Candidate]]-SamplingData[[#Totals],[Candidate 3]]), 0)</f>
        <v>1.2904474626576767E-4</v>
      </c>
      <c r="M688" s="100">
        <f>IF(AND(SamplingData[[#This Row],[Total]]&lt;&gt; 0, NOT(ISBLANK(SamplingData[[#This Row],[Candidate 4]]))),(SamplingData[[#This Row],[Total]]+SamplingData[[#This Row],[Winning Candidate]]-SamplingData[[#This Row],[Candidate 4]])/(SamplingData[[#Totals],[Winning Candidate]]-SamplingData[[#Totals],[Candidate 4]]), 0)</f>
        <v>1.4616036715484231E-4</v>
      </c>
      <c r="N688" s="100">
        <f>IF(AND(SamplingData[[#This Row],[Total]]&lt;&gt; 0, NOT(ISBLANK(SamplingData[[#This Row],[Candidate 5]]))),(SamplingData[[#This Row],[Total]]+SamplingData[[#This Row],[Winning Candidate]]-SamplingData[[#This Row],[Candidate 5]])/(SamplingData[[#Totals],[Winning Candidate]]-SamplingData[[#Totals],[Candidate 5]]), 0)</f>
        <v>1.2162490878131841E-4</v>
      </c>
      <c r="O688" s="100">
        <f>IF(AND(SamplingData[[#This Row],[Total]]&lt;&gt; 0, NOT(ISBLANK(SamplingData[[#This Row],[Candidate 6]]))),(SamplingData[[#This Row],[Total]]+SamplingData[[#This Row],[Winning Candidate]]-SamplingData[[#This Row],[Candidate 6]])/(SamplingData[[#Totals],[Winning Candidate]]-SamplingData[[#Totals],[Candidate 6]]), 0)</f>
        <v>1.2158941685715675E-4</v>
      </c>
      <c r="P688" s="100">
        <f>MAX(SamplingData[[#This Row],[Error Bound (up) - Max. possible relative overstatement - Losing Candidate]:[Error Bound (up) - Max. possible relative overstatement - Candidate 6]])</f>
        <v>1.4616036715484231E-4</v>
      </c>
      <c r="Q688" s="100">
        <f>IF(SamplingData[[#This Row],[Max Error Bound (up)]] = 0,0,SamplingData[[#This Row],[Max Error Bound (up)]]/SamplingData[[#Totals],[Max Error Bound (up)]])</f>
        <v>2.3132283827423127E-5</v>
      </c>
      <c r="R688" s="101">
        <f>SUM($Q$5:Q688)</f>
        <v>0.1913584730324577</v>
      </c>
      <c r="S688" s="100" t="str">
        <f t="array" ref="S688">IF(SamplingData[[#This Row],[up/U Selection Probability]] = 0, "Zero", TEXT(SamplingData[[#This Row],[Lower Range]], REPT("0",LEN('General Info'!$B$40))) &amp; " - " &amp; TEXT(SamplingData[[#This Row],[Upper Range]], REPT("0",LEN('General Info'!$B$40))))</f>
        <v>19134 - 19135</v>
      </c>
      <c r="T688" s="100">
        <f>SamplingData[[#This Row],[Upper Range]]-SamplingData[[#This Row],[Span]]</f>
        <v>19133.534097995311</v>
      </c>
      <c r="U688" s="100">
        <f>IF(ISNUMBER('General Info'!$B$40), ((SamplingData[[#This Row],[up/U Selection Probability]]) * 'General Info'!$B$40) - 1, 0)</f>
        <v>1.3132052504584855</v>
      </c>
      <c r="V688" s="100">
        <f>IF(ISNUMBER('General Info'!$B$40), (SamplingData[[#This Row],[Running (cumulative) sum]] * ('General Info'!$B$40 -'General Info'!$B$41 + 1)) + 'General Info'!$B$41 - 1, 0)</f>
        <v>19134.84730324577</v>
      </c>
      <c r="W688" s="100" t="str">
        <f>IF(ISERROR(MATCH(SamplingData[[#This Row],[Batch by Type (p)]],SelectedPrecincts[Batch Name], 0)), "", INDEX(SelectedPrecincts[Draw], MATCH(SamplingData[[#This Row],[Batch by Type (p)]],SelectedPrecincts[Batch Name], 0)))</f>
        <v/>
      </c>
      <c r="X688" s="102">
        <f>IF(COUNTIF(SelectedPrecincts[Batch Name],SamplingData[[#This Row],[Batch by Type (p)]]) &lt;&gt; 0, COUNTIF(SelectedPrecincts[Batch Name],SamplingData[[#This Row],[Batch by Type (p)]]), 0)</f>
        <v>0</v>
      </c>
    </row>
    <row r="689" spans="1:24" ht="15" customHeight="1">
      <c r="A689" s="18" t="s">
        <v>865</v>
      </c>
      <c r="B689" s="18">
        <v>3</v>
      </c>
      <c r="C689" s="18">
        <v>3</v>
      </c>
      <c r="D689" s="16">
        <v>3</v>
      </c>
      <c r="E689" s="16">
        <v>3</v>
      </c>
      <c r="F689" s="37">
        <v>0</v>
      </c>
      <c r="G689" s="37">
        <v>0</v>
      </c>
      <c r="H689" s="17">
        <v>0</v>
      </c>
      <c r="I689" s="17">
        <v>1</v>
      </c>
      <c r="J689" s="99">
        <f>SUM(SamplingData[[#This Row],[Losing Candidate]:[Under Votes]])</f>
        <v>13</v>
      </c>
      <c r="K689"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689" s="100">
        <f>IF(AND(SamplingData[[#This Row],[Total]]&lt;&gt; 0, NOT(ISBLANK(SamplingData[[#This Row],[Candidate 3]]))),(SamplingData[[#This Row],[Total]]+SamplingData[[#This Row],[Winning Candidate]]-SamplingData[[#This Row],[Candidate 3]])/(SamplingData[[#Totals],[Winning Candidate]]-SamplingData[[#Totals],[Candidate 3]]), 0)</f>
        <v>4.1939542536374486E-4</v>
      </c>
      <c r="M689" s="100">
        <f>IF(AND(SamplingData[[#This Row],[Total]]&lt;&gt; 0, NOT(ISBLANK(SamplingData[[#This Row],[Candidate 4]]))),(SamplingData[[#This Row],[Total]]+SamplingData[[#This Row],[Winning Candidate]]-SamplingData[[#This Row],[Candidate 4]])/(SamplingData[[#Totals],[Winning Candidate]]-SamplingData[[#Totals],[Candidate 4]]), 0)</f>
        <v>3.8001695460258996E-4</v>
      </c>
      <c r="N689" s="100">
        <f>IF(AND(SamplingData[[#This Row],[Total]]&lt;&gt; 0, NOT(ISBLANK(SamplingData[[#This Row],[Candidate 5]]))),(SamplingData[[#This Row],[Total]]+SamplingData[[#This Row],[Winning Candidate]]-SamplingData[[#This Row],[Candidate 5]])/(SamplingData[[#Totals],[Winning Candidate]]-SamplingData[[#Totals],[Candidate 5]]), 0)</f>
        <v>3.8919970810021893E-4</v>
      </c>
      <c r="O689" s="100">
        <f>IF(AND(SamplingData[[#This Row],[Total]]&lt;&gt; 0, NOT(ISBLANK(SamplingData[[#This Row],[Candidate 6]]))),(SamplingData[[#This Row],[Total]]+SamplingData[[#This Row],[Winning Candidate]]-SamplingData[[#This Row],[Candidate 6]])/(SamplingData[[#Totals],[Winning Candidate]]-SamplingData[[#Totals],[Candidate 6]]), 0)</f>
        <v>3.8908613394290161E-4</v>
      </c>
      <c r="P689" s="100">
        <f>MAX(SamplingData[[#This Row],[Error Bound (up) - Max. possible relative overstatement - Losing Candidate]:[Error Bound (up) - Max. possible relative overstatement - Candidate 6]])</f>
        <v>7.9617834394904463E-4</v>
      </c>
      <c r="Q689" s="100">
        <f>IF(SamplingData[[#This Row],[Max Error Bound (up)]] = 0,0,SamplingData[[#This Row],[Max Error Bound (up)]]/SamplingData[[#Totals],[Max Error Bound (up)]])</f>
        <v>1.2600832761979581E-4</v>
      </c>
      <c r="R689" s="101">
        <f>SUM($Q$5:Q689)</f>
        <v>0.19148448136007751</v>
      </c>
      <c r="S689" s="100" t="str">
        <f t="array" ref="S689">IF(SamplingData[[#This Row],[up/U Selection Probability]] = 0, "Zero", TEXT(SamplingData[[#This Row],[Lower Range]], REPT("0",LEN('General Info'!$B$40))) &amp; " - " &amp; TEXT(SamplingData[[#This Row],[Upper Range]], REPT("0",LEN('General Info'!$B$40))))</f>
        <v>19136 - 19147</v>
      </c>
      <c r="T689" s="100">
        <f>SamplingData[[#This Row],[Upper Range]]-SamplingData[[#This Row],[Span]]</f>
        <v>19135.8474292541</v>
      </c>
      <c r="U689" s="100">
        <f>IF(ISNUMBER('General Info'!$B$40), ((SamplingData[[#This Row],[up/U Selection Probability]]) * 'General Info'!$B$40) - 1, 0)</f>
        <v>11.600706753651961</v>
      </c>
      <c r="V689" s="100">
        <f>IF(ISNUMBER('General Info'!$B$40), (SamplingData[[#This Row],[Running (cumulative) sum]] * ('General Info'!$B$40 -'General Info'!$B$41 + 1)) + 'General Info'!$B$41 - 1, 0)</f>
        <v>19147.448136007752</v>
      </c>
      <c r="W689" s="100" t="str">
        <f>IF(ISERROR(MATCH(SamplingData[[#This Row],[Batch by Type (p)]],SelectedPrecincts[Batch Name], 0)), "", INDEX(SelectedPrecincts[Draw], MATCH(SamplingData[[#This Row],[Batch by Type (p)]],SelectedPrecincts[Batch Name], 0)))</f>
        <v/>
      </c>
      <c r="X689" s="102">
        <f>IF(COUNTIF(SelectedPrecincts[Batch Name],SamplingData[[#This Row],[Batch by Type (p)]]) &lt;&gt; 0, COUNTIF(SelectedPrecincts[Batch Name],SamplingData[[#This Row],[Batch by Type (p)]]), 0)</f>
        <v>0</v>
      </c>
    </row>
    <row r="690" spans="1:24" ht="15" customHeight="1">
      <c r="A690" s="18" t="s">
        <v>866</v>
      </c>
      <c r="B690" s="18">
        <v>1</v>
      </c>
      <c r="C690" s="18">
        <v>0</v>
      </c>
      <c r="D690" s="18">
        <v>3</v>
      </c>
      <c r="E690" s="18">
        <v>0</v>
      </c>
      <c r="F690" s="18">
        <v>0</v>
      </c>
      <c r="G690" s="18">
        <v>0</v>
      </c>
      <c r="H690" s="18">
        <v>0</v>
      </c>
      <c r="I690" s="18">
        <v>0</v>
      </c>
      <c r="J690" s="99">
        <f>SUM(SamplingData[[#This Row],[Losing Candidate]:[Under Votes]])</f>
        <v>4</v>
      </c>
      <c r="K69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690" s="100">
        <f>IF(AND(SamplingData[[#This Row],[Total]]&lt;&gt; 0, NOT(ISBLANK(SamplingData[[#This Row],[Candidate 3]]))),(SamplingData[[#This Row],[Total]]+SamplingData[[#This Row],[Winning Candidate]]-SamplingData[[#This Row],[Candidate 3]])/(SamplingData[[#Totals],[Winning Candidate]]-SamplingData[[#Totals],[Candidate 3]]), 0)</f>
        <v>3.2261186566441917E-5</v>
      </c>
      <c r="M690" s="100">
        <f>IF(AND(SamplingData[[#This Row],[Total]]&lt;&gt; 0, NOT(ISBLANK(SamplingData[[#This Row],[Candidate 4]]))),(SamplingData[[#This Row],[Total]]+SamplingData[[#This Row],[Winning Candidate]]-SamplingData[[#This Row],[Candidate 4]])/(SamplingData[[#Totals],[Winning Candidate]]-SamplingData[[#Totals],[Candidate 4]]), 0)</f>
        <v>1.1692829372387384E-4</v>
      </c>
      <c r="N690" s="100">
        <f>IF(AND(SamplingData[[#This Row],[Total]]&lt;&gt; 0, NOT(ISBLANK(SamplingData[[#This Row],[Candidate 5]]))),(SamplingData[[#This Row],[Total]]+SamplingData[[#This Row],[Winning Candidate]]-SamplingData[[#This Row],[Candidate 5]])/(SamplingData[[#Totals],[Winning Candidate]]-SamplingData[[#Totals],[Candidate 5]]), 0)</f>
        <v>9.7299927025054734E-5</v>
      </c>
      <c r="O690" s="100">
        <f>IF(AND(SamplingData[[#This Row],[Total]]&lt;&gt; 0, NOT(ISBLANK(SamplingData[[#This Row],[Candidate 6]]))),(SamplingData[[#This Row],[Total]]+SamplingData[[#This Row],[Winning Candidate]]-SamplingData[[#This Row],[Candidate 6]])/(SamplingData[[#Totals],[Winning Candidate]]-SamplingData[[#Totals],[Candidate 6]]), 0)</f>
        <v>9.7271533485725401E-5</v>
      </c>
      <c r="P690" s="100">
        <f>MAX(SamplingData[[#This Row],[Error Bound (up) - Max. possible relative overstatement - Losing Candidate]:[Error Bound (up) - Max. possible relative overstatement - Candidate 6]])</f>
        <v>1.8373346398824106E-4</v>
      </c>
      <c r="Q690" s="100">
        <f>IF(SamplingData[[#This Row],[Max Error Bound (up)]] = 0,0,SamplingData[[#This Row],[Max Error Bound (up)]]/SamplingData[[#Totals],[Max Error Bound (up)]])</f>
        <v>2.9078844835337493E-5</v>
      </c>
      <c r="R690" s="101">
        <f>SUM($Q$5:Q690)</f>
        <v>0.19151356020491284</v>
      </c>
      <c r="S690" s="100" t="str">
        <f t="array" ref="S690">IF(SamplingData[[#This Row],[up/U Selection Probability]] = 0, "Zero", TEXT(SamplingData[[#This Row],[Lower Range]], REPT("0",LEN('General Info'!$B$40))) &amp; " - " &amp; TEXT(SamplingData[[#This Row],[Upper Range]], REPT("0",LEN('General Info'!$B$40))))</f>
        <v>19148 - 19150</v>
      </c>
      <c r="T690" s="100">
        <f>SamplingData[[#This Row],[Upper Range]]-SamplingData[[#This Row],[Span]]</f>
        <v>19148.448165086593</v>
      </c>
      <c r="U690" s="100">
        <f>IF(ISNUMBER('General Info'!$B$40), ((SamplingData[[#This Row],[up/U Selection Probability]]) * 'General Info'!$B$40) - 1, 0)</f>
        <v>1.907855404688914</v>
      </c>
      <c r="V690" s="100">
        <f>IF(ISNUMBER('General Info'!$B$40), (SamplingData[[#This Row],[Running (cumulative) sum]] * ('General Info'!$B$40 -'General Info'!$B$41 + 1)) + 'General Info'!$B$41 - 1, 0)</f>
        <v>19150.356020491283</v>
      </c>
      <c r="W690" s="100" t="str">
        <f>IF(ISERROR(MATCH(SamplingData[[#This Row],[Batch by Type (p)]],SelectedPrecincts[Batch Name], 0)), "", INDEX(SelectedPrecincts[Draw], MATCH(SamplingData[[#This Row],[Batch by Type (p)]],SelectedPrecincts[Batch Name], 0)))</f>
        <v/>
      </c>
      <c r="X690" s="102">
        <f>IF(COUNTIF(SelectedPrecincts[Batch Name],SamplingData[[#This Row],[Batch by Type (p)]]) &lt;&gt; 0, COUNTIF(SelectedPrecincts[Batch Name],SamplingData[[#This Row],[Batch by Type (p)]]), 0)</f>
        <v>0</v>
      </c>
    </row>
    <row r="691" spans="1:24" ht="15" customHeight="1">
      <c r="A691" s="18" t="s">
        <v>867</v>
      </c>
      <c r="B691" s="18">
        <v>5</v>
      </c>
      <c r="C691" s="18">
        <v>6</v>
      </c>
      <c r="D691" s="16">
        <v>2</v>
      </c>
      <c r="E691" s="16">
        <v>1</v>
      </c>
      <c r="F691" s="37">
        <v>0</v>
      </c>
      <c r="G691" s="37">
        <v>0</v>
      </c>
      <c r="H691" s="17">
        <v>0</v>
      </c>
      <c r="I691" s="17">
        <v>0</v>
      </c>
      <c r="J691" s="99">
        <f>SUM(SamplingData[[#This Row],[Losing Candidate]:[Under Votes]])</f>
        <v>14</v>
      </c>
      <c r="K691"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691" s="100">
        <f>IF(AND(SamplingData[[#This Row],[Total]]&lt;&gt; 0, NOT(ISBLANK(SamplingData[[#This Row],[Candidate 3]]))),(SamplingData[[#This Row],[Total]]+SamplingData[[#This Row],[Winning Candidate]]-SamplingData[[#This Row],[Candidate 3]])/(SamplingData[[#Totals],[Winning Candidate]]-SamplingData[[#Totals],[Candidate 3]]), 0)</f>
        <v>5.8070135819595443E-4</v>
      </c>
      <c r="M691" s="100">
        <f>IF(AND(SamplingData[[#This Row],[Total]]&lt;&gt; 0, NOT(ISBLANK(SamplingData[[#This Row],[Candidate 4]]))),(SamplingData[[#This Row],[Total]]+SamplingData[[#This Row],[Winning Candidate]]-SamplingData[[#This Row],[Candidate 4]])/(SamplingData[[#Totals],[Winning Candidate]]-SamplingData[[#Totals],[Candidate 4]]), 0)</f>
        <v>5.5540939518840076E-4</v>
      </c>
      <c r="N691" s="100">
        <f>IF(AND(SamplingData[[#This Row],[Total]]&lt;&gt; 0, NOT(ISBLANK(SamplingData[[#This Row],[Candidate 5]]))),(SamplingData[[#This Row],[Total]]+SamplingData[[#This Row],[Winning Candidate]]-SamplingData[[#This Row],[Candidate 5]])/(SamplingData[[#Totals],[Winning Candidate]]-SamplingData[[#Totals],[Candidate 5]]), 0)</f>
        <v>4.8649963512527365E-4</v>
      </c>
      <c r="O691" s="100">
        <f>IF(AND(SamplingData[[#This Row],[Total]]&lt;&gt; 0, NOT(ISBLANK(SamplingData[[#This Row],[Candidate 6]]))),(SamplingData[[#This Row],[Total]]+SamplingData[[#This Row],[Winning Candidate]]-SamplingData[[#This Row],[Candidate 6]])/(SamplingData[[#Totals],[Winning Candidate]]-SamplingData[[#Totals],[Candidate 6]]), 0)</f>
        <v>4.8635766742862699E-4</v>
      </c>
      <c r="P691" s="100">
        <f>MAX(SamplingData[[#This Row],[Error Bound (up) - Max. possible relative overstatement - Losing Candidate]:[Error Bound (up) - Max. possible relative overstatement - Candidate 6]])</f>
        <v>9.1866731994120533E-4</v>
      </c>
      <c r="Q691" s="100">
        <f>IF(SamplingData[[#This Row],[Max Error Bound (up)]] = 0,0,SamplingData[[#This Row],[Max Error Bound (up)]]/SamplingData[[#Totals],[Max Error Bound (up)]])</f>
        <v>1.4539422417668749E-4</v>
      </c>
      <c r="R691" s="101">
        <f>SUM($Q$5:Q691)</f>
        <v>0.19165895442908953</v>
      </c>
      <c r="S691" s="100" t="str">
        <f t="array" ref="S691">IF(SamplingData[[#This Row],[up/U Selection Probability]] = 0, "Zero", TEXT(SamplingData[[#This Row],[Lower Range]], REPT("0",LEN('General Info'!$B$40))) &amp; " - " &amp; TEXT(SamplingData[[#This Row],[Upper Range]], REPT("0",LEN('General Info'!$B$40))))</f>
        <v>19151 - 19165</v>
      </c>
      <c r="T691" s="100">
        <f>SamplingData[[#This Row],[Upper Range]]-SamplingData[[#This Row],[Span]]</f>
        <v>19151.356165885511</v>
      </c>
      <c r="U691" s="100">
        <f>IF(ISNUMBER('General Info'!$B$40), ((SamplingData[[#This Row],[up/U Selection Probability]]) * 'General Info'!$B$40) - 1, 0)</f>
        <v>13.539277023444573</v>
      </c>
      <c r="V691" s="100">
        <f>IF(ISNUMBER('General Info'!$B$40), (SamplingData[[#This Row],[Running (cumulative) sum]] * ('General Info'!$B$40 -'General Info'!$B$41 + 1)) + 'General Info'!$B$41 - 1, 0)</f>
        <v>19164.895442908954</v>
      </c>
      <c r="W691" s="100" t="str">
        <f>IF(ISERROR(MATCH(SamplingData[[#This Row],[Batch by Type (p)]],SelectedPrecincts[Batch Name], 0)), "", INDEX(SelectedPrecincts[Draw], MATCH(SamplingData[[#This Row],[Batch by Type (p)]],SelectedPrecincts[Batch Name], 0)))</f>
        <v/>
      </c>
      <c r="X691" s="102">
        <f>IF(COUNTIF(SelectedPrecincts[Batch Name],SamplingData[[#This Row],[Batch by Type (p)]]) &lt;&gt; 0, COUNTIF(SelectedPrecincts[Batch Name],SamplingData[[#This Row],[Batch by Type (p)]]), 0)</f>
        <v>0</v>
      </c>
    </row>
    <row r="692" spans="1:24" ht="15" customHeight="1">
      <c r="A692" s="18" t="s">
        <v>868</v>
      </c>
      <c r="B692" s="18">
        <v>3</v>
      </c>
      <c r="C692" s="18">
        <v>4</v>
      </c>
      <c r="D692" s="18">
        <v>2</v>
      </c>
      <c r="E692" s="18">
        <v>0</v>
      </c>
      <c r="F692" s="18">
        <v>0</v>
      </c>
      <c r="G692" s="18">
        <v>1</v>
      </c>
      <c r="H692" s="18">
        <v>0</v>
      </c>
      <c r="I692" s="18">
        <v>0</v>
      </c>
      <c r="J692" s="99">
        <f>SUM(SamplingData[[#This Row],[Losing Candidate]:[Under Votes]])</f>
        <v>10</v>
      </c>
      <c r="K692"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692" s="100">
        <f>IF(AND(SamplingData[[#This Row],[Total]]&lt;&gt; 0, NOT(ISBLANK(SamplingData[[#This Row],[Candidate 3]]))),(SamplingData[[#This Row],[Total]]+SamplingData[[#This Row],[Winning Candidate]]-SamplingData[[#This Row],[Candidate 3]])/(SamplingData[[#Totals],[Winning Candidate]]-SamplingData[[#Totals],[Candidate 3]]), 0)</f>
        <v>3.8713423879730297E-4</v>
      </c>
      <c r="M692" s="100">
        <f>IF(AND(SamplingData[[#This Row],[Total]]&lt;&gt; 0, NOT(ISBLANK(SamplingData[[#This Row],[Candidate 4]]))),(SamplingData[[#This Row],[Total]]+SamplingData[[#This Row],[Winning Candidate]]-SamplingData[[#This Row],[Candidate 4]])/(SamplingData[[#Totals],[Winning Candidate]]-SamplingData[[#Totals],[Candidate 4]]), 0)</f>
        <v>4.0924902803355842E-4</v>
      </c>
      <c r="N692" s="100">
        <f>IF(AND(SamplingData[[#This Row],[Total]]&lt;&gt; 0, NOT(ISBLANK(SamplingData[[#This Row],[Candidate 5]]))),(SamplingData[[#This Row],[Total]]+SamplingData[[#This Row],[Winning Candidate]]-SamplingData[[#This Row],[Candidate 5]])/(SamplingData[[#Totals],[Winning Candidate]]-SamplingData[[#Totals],[Candidate 5]]), 0)</f>
        <v>3.4054974458769157E-4</v>
      </c>
      <c r="O692" s="100">
        <f>IF(AND(SamplingData[[#This Row],[Total]]&lt;&gt; 0, NOT(ISBLANK(SamplingData[[#This Row],[Candidate 6]]))),(SamplingData[[#This Row],[Total]]+SamplingData[[#This Row],[Winning Candidate]]-SamplingData[[#This Row],[Candidate 6]])/(SamplingData[[#Totals],[Winning Candidate]]-SamplingData[[#Totals],[Candidate 6]]), 0)</f>
        <v>3.1613248382860755E-4</v>
      </c>
      <c r="P692" s="100">
        <f>MAX(SamplingData[[#This Row],[Error Bound (up) - Max. possible relative overstatement - Losing Candidate]:[Error Bound (up) - Max. possible relative overstatement - Candidate 6]])</f>
        <v>6.7368936795688392E-4</v>
      </c>
      <c r="Q692" s="100">
        <f>IF(SamplingData[[#This Row],[Max Error Bound (up)]] = 0,0,SamplingData[[#This Row],[Max Error Bound (up)]]/SamplingData[[#Totals],[Max Error Bound (up)]])</f>
        <v>1.0662243106290416E-4</v>
      </c>
      <c r="R692" s="101">
        <f>SUM($Q$5:Q692)</f>
        <v>0.19176557686015244</v>
      </c>
      <c r="S692" s="100" t="str">
        <f t="array" ref="S692">IF(SamplingData[[#This Row],[up/U Selection Probability]] = 0, "Zero", TEXT(SamplingData[[#This Row],[Lower Range]], REPT("0",LEN('General Info'!$B$40))) &amp; " - " &amp; TEXT(SamplingData[[#This Row],[Upper Range]], REPT("0",LEN('General Info'!$B$40))))</f>
        <v>19166 - 19176</v>
      </c>
      <c r="T692" s="100">
        <f>SamplingData[[#This Row],[Upper Range]]-SamplingData[[#This Row],[Span]]</f>
        <v>19165.895549531382</v>
      </c>
      <c r="U692" s="100">
        <f>IF(ISNUMBER('General Info'!$B$40), ((SamplingData[[#This Row],[up/U Selection Probability]]) * 'General Info'!$B$40) - 1, 0)</f>
        <v>9.6621364838593529</v>
      </c>
      <c r="V692" s="100">
        <f>IF(ISNUMBER('General Info'!$B$40), (SamplingData[[#This Row],[Running (cumulative) sum]] * ('General Info'!$B$40 -'General Info'!$B$41 + 1)) + 'General Info'!$B$41 - 1, 0)</f>
        <v>19175.557686015243</v>
      </c>
      <c r="W692" s="100" t="str">
        <f>IF(ISERROR(MATCH(SamplingData[[#This Row],[Batch by Type (p)]],SelectedPrecincts[Batch Name], 0)), "", INDEX(SelectedPrecincts[Draw], MATCH(SamplingData[[#This Row],[Batch by Type (p)]],SelectedPrecincts[Batch Name], 0)))</f>
        <v/>
      </c>
      <c r="X692" s="102">
        <f>IF(COUNTIF(SelectedPrecincts[Batch Name],SamplingData[[#This Row],[Batch by Type (p)]]) &lt;&gt; 0, COUNTIF(SelectedPrecincts[Batch Name],SamplingData[[#This Row],[Batch by Type (p)]]), 0)</f>
        <v>0</v>
      </c>
    </row>
    <row r="693" spans="1:24" ht="15" customHeight="1">
      <c r="A693" s="18" t="s">
        <v>869</v>
      </c>
      <c r="B693" s="18">
        <v>10</v>
      </c>
      <c r="C693" s="18">
        <v>3</v>
      </c>
      <c r="D693" s="16">
        <v>1</v>
      </c>
      <c r="E693" s="16">
        <v>3</v>
      </c>
      <c r="F693" s="37">
        <v>0</v>
      </c>
      <c r="G693" s="37">
        <v>1</v>
      </c>
      <c r="H693" s="17">
        <v>0</v>
      </c>
      <c r="I693" s="17">
        <v>0</v>
      </c>
      <c r="J693" s="99">
        <f>SUM(SamplingData[[#This Row],[Losing Candidate]:[Under Votes]])</f>
        <v>18</v>
      </c>
      <c r="K693"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693" s="100">
        <f>IF(AND(SamplingData[[#This Row],[Total]]&lt;&gt; 0, NOT(ISBLANK(SamplingData[[#This Row],[Candidate 3]]))),(SamplingData[[#This Row],[Total]]+SamplingData[[#This Row],[Winning Candidate]]-SamplingData[[#This Row],[Candidate 3]])/(SamplingData[[#Totals],[Winning Candidate]]-SamplingData[[#Totals],[Candidate 3]]), 0)</f>
        <v>6.4522373132883831E-4</v>
      </c>
      <c r="M693" s="100">
        <f>IF(AND(SamplingData[[#This Row],[Total]]&lt;&gt; 0, NOT(ISBLANK(SamplingData[[#This Row],[Candidate 4]]))),(SamplingData[[#This Row],[Total]]+SamplingData[[#This Row],[Winning Candidate]]-SamplingData[[#This Row],[Candidate 4]])/(SamplingData[[#Totals],[Winning Candidate]]-SamplingData[[#Totals],[Candidate 4]]), 0)</f>
        <v>5.2617732175743229E-4</v>
      </c>
      <c r="N693" s="100">
        <f>IF(AND(SamplingData[[#This Row],[Total]]&lt;&gt; 0, NOT(ISBLANK(SamplingData[[#This Row],[Candidate 5]]))),(SamplingData[[#This Row],[Total]]+SamplingData[[#This Row],[Winning Candidate]]-SamplingData[[#This Row],[Candidate 5]])/(SamplingData[[#Totals],[Winning Candidate]]-SamplingData[[#Totals],[Candidate 5]]), 0)</f>
        <v>5.1082461688153739E-4</v>
      </c>
      <c r="O693" s="100">
        <f>IF(AND(SamplingData[[#This Row],[Total]]&lt;&gt; 0, NOT(ISBLANK(SamplingData[[#This Row],[Candidate 6]]))),(SamplingData[[#This Row],[Total]]+SamplingData[[#This Row],[Winning Candidate]]-SamplingData[[#This Row],[Candidate 6]])/(SamplingData[[#Totals],[Winning Candidate]]-SamplingData[[#Totals],[Candidate 6]]), 0)</f>
        <v>4.8635766742862699E-4</v>
      </c>
      <c r="P693" s="100">
        <f>MAX(SamplingData[[#This Row],[Error Bound (up) - Max. possible relative overstatement - Losing Candidate]:[Error Bound (up) - Max. possible relative overstatement - Candidate 6]])</f>
        <v>6.7368936795688392E-4</v>
      </c>
      <c r="Q693" s="100">
        <f>IF(SamplingData[[#This Row],[Max Error Bound (up)]] = 0,0,SamplingData[[#This Row],[Max Error Bound (up)]]/SamplingData[[#Totals],[Max Error Bound (up)]])</f>
        <v>1.0662243106290416E-4</v>
      </c>
      <c r="R693" s="101">
        <f>SUM($Q$5:Q693)</f>
        <v>0.19187219929121535</v>
      </c>
      <c r="S693" s="100" t="str">
        <f t="array" ref="S693">IF(SamplingData[[#This Row],[up/U Selection Probability]] = 0, "Zero", TEXT(SamplingData[[#This Row],[Lower Range]], REPT("0",LEN('General Info'!$B$40))) &amp; " - " &amp; TEXT(SamplingData[[#This Row],[Upper Range]], REPT("0",LEN('General Info'!$B$40))))</f>
        <v>19177 - 19186</v>
      </c>
      <c r="T693" s="100">
        <f>SamplingData[[#This Row],[Upper Range]]-SamplingData[[#This Row],[Span]]</f>
        <v>19176.557792637675</v>
      </c>
      <c r="U693" s="100">
        <f>IF(ISNUMBER('General Info'!$B$40), ((SamplingData[[#This Row],[up/U Selection Probability]]) * 'General Info'!$B$40) - 1, 0)</f>
        <v>9.6621364838593529</v>
      </c>
      <c r="V693" s="100">
        <f>IF(ISNUMBER('General Info'!$B$40), (SamplingData[[#This Row],[Running (cumulative) sum]] * ('General Info'!$B$40 -'General Info'!$B$41 + 1)) + 'General Info'!$B$41 - 1, 0)</f>
        <v>19186.219929121537</v>
      </c>
      <c r="W693" s="100" t="str">
        <f>IF(ISERROR(MATCH(SamplingData[[#This Row],[Batch by Type (p)]],SelectedPrecincts[Batch Name], 0)), "", INDEX(SelectedPrecincts[Draw], MATCH(SamplingData[[#This Row],[Batch by Type (p)]],SelectedPrecincts[Batch Name], 0)))</f>
        <v/>
      </c>
      <c r="X693" s="102">
        <f>IF(COUNTIF(SelectedPrecincts[Batch Name],SamplingData[[#This Row],[Batch by Type (p)]]) &lt;&gt; 0, COUNTIF(SelectedPrecincts[Batch Name],SamplingData[[#This Row],[Batch by Type (p)]]), 0)</f>
        <v>0</v>
      </c>
    </row>
    <row r="694" spans="1:24" ht="15" customHeight="1">
      <c r="A694" s="18" t="s">
        <v>870</v>
      </c>
      <c r="B694" s="18">
        <v>3</v>
      </c>
      <c r="C694" s="18">
        <v>7</v>
      </c>
      <c r="D694" s="18">
        <v>0</v>
      </c>
      <c r="E694" s="18">
        <v>1</v>
      </c>
      <c r="F694" s="18">
        <v>0</v>
      </c>
      <c r="G694" s="18">
        <v>0</v>
      </c>
      <c r="H694" s="18">
        <v>0</v>
      </c>
      <c r="I694" s="18">
        <v>0</v>
      </c>
      <c r="J694" s="99">
        <f>SUM(SamplingData[[#This Row],[Losing Candidate]:[Under Votes]])</f>
        <v>11</v>
      </c>
      <c r="K694"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694" s="100">
        <f>IF(AND(SamplingData[[#This Row],[Total]]&lt;&gt; 0, NOT(ISBLANK(SamplingData[[#This Row],[Candidate 3]]))),(SamplingData[[#This Row],[Total]]+SamplingData[[#This Row],[Winning Candidate]]-SamplingData[[#This Row],[Candidate 3]])/(SamplingData[[#Totals],[Winning Candidate]]-SamplingData[[#Totals],[Candidate 3]]), 0)</f>
        <v>5.8070135819595443E-4</v>
      </c>
      <c r="M694" s="100">
        <f>IF(AND(SamplingData[[#This Row],[Total]]&lt;&gt; 0, NOT(ISBLANK(SamplingData[[#This Row],[Candidate 4]]))),(SamplingData[[#This Row],[Total]]+SamplingData[[#This Row],[Winning Candidate]]-SamplingData[[#This Row],[Candidate 4]])/(SamplingData[[#Totals],[Winning Candidate]]-SamplingData[[#Totals],[Candidate 4]]), 0)</f>
        <v>4.9694524832646382E-4</v>
      </c>
      <c r="N694" s="100">
        <f>IF(AND(SamplingData[[#This Row],[Total]]&lt;&gt; 0, NOT(ISBLANK(SamplingData[[#This Row],[Candidate 5]]))),(SamplingData[[#This Row],[Total]]+SamplingData[[#This Row],[Winning Candidate]]-SamplingData[[#This Row],[Candidate 5]])/(SamplingData[[#Totals],[Winning Candidate]]-SamplingData[[#Totals],[Candidate 5]]), 0)</f>
        <v>4.3784967161274629E-4</v>
      </c>
      <c r="O694" s="100">
        <f>IF(AND(SamplingData[[#This Row],[Total]]&lt;&gt; 0, NOT(ISBLANK(SamplingData[[#This Row],[Candidate 6]]))),(SamplingData[[#This Row],[Total]]+SamplingData[[#This Row],[Winning Candidate]]-SamplingData[[#This Row],[Candidate 6]])/(SamplingData[[#Totals],[Winning Candidate]]-SamplingData[[#Totals],[Candidate 6]]), 0)</f>
        <v>4.3772190068576433E-4</v>
      </c>
      <c r="P694" s="100">
        <f>MAX(SamplingData[[#This Row],[Error Bound (up) - Max. possible relative overstatement - Losing Candidate]:[Error Bound (up) - Max. possible relative overstatement - Candidate 6]])</f>
        <v>9.1866731994120533E-4</v>
      </c>
      <c r="Q694" s="100">
        <f>IF(SamplingData[[#This Row],[Max Error Bound (up)]] = 0,0,SamplingData[[#This Row],[Max Error Bound (up)]]/SamplingData[[#Totals],[Max Error Bound (up)]])</f>
        <v>1.4539422417668749E-4</v>
      </c>
      <c r="R694" s="101">
        <f>SUM($Q$5:Q694)</f>
        <v>0.19201759351539205</v>
      </c>
      <c r="S694" s="100" t="str">
        <f t="array" ref="S694">IF(SamplingData[[#This Row],[up/U Selection Probability]] = 0, "Zero", TEXT(SamplingData[[#This Row],[Lower Range]], REPT("0",LEN('General Info'!$B$40))) &amp; " - " &amp; TEXT(SamplingData[[#This Row],[Upper Range]], REPT("0",LEN('General Info'!$B$40))))</f>
        <v>19187 - 19201</v>
      </c>
      <c r="T694" s="100">
        <f>SamplingData[[#This Row],[Upper Range]]-SamplingData[[#This Row],[Span]]</f>
        <v>19187.220074515761</v>
      </c>
      <c r="U694" s="100">
        <f>IF(ISNUMBER('General Info'!$B$40), ((SamplingData[[#This Row],[up/U Selection Probability]]) * 'General Info'!$B$40) - 1, 0)</f>
        <v>13.539277023444573</v>
      </c>
      <c r="V694" s="100">
        <f>IF(ISNUMBER('General Info'!$B$40), (SamplingData[[#This Row],[Running (cumulative) sum]] * ('General Info'!$B$40 -'General Info'!$B$41 + 1)) + 'General Info'!$B$41 - 1, 0)</f>
        <v>19200.759351539204</v>
      </c>
      <c r="W694" s="100" t="str">
        <f>IF(ISERROR(MATCH(SamplingData[[#This Row],[Batch by Type (p)]],SelectedPrecincts[Batch Name], 0)), "", INDEX(SelectedPrecincts[Draw], MATCH(SamplingData[[#This Row],[Batch by Type (p)]],SelectedPrecincts[Batch Name], 0)))</f>
        <v/>
      </c>
      <c r="X694" s="102">
        <f>IF(COUNTIF(SelectedPrecincts[Batch Name],SamplingData[[#This Row],[Batch by Type (p)]]) &lt;&gt; 0, COUNTIF(SelectedPrecincts[Batch Name],SamplingData[[#This Row],[Batch by Type (p)]]), 0)</f>
        <v>0</v>
      </c>
    </row>
    <row r="695" spans="1:24" ht="15" customHeight="1">
      <c r="A695" s="18" t="s">
        <v>871</v>
      </c>
      <c r="B695" s="18">
        <v>1</v>
      </c>
      <c r="C695" s="18">
        <v>5</v>
      </c>
      <c r="D695" s="16">
        <v>2</v>
      </c>
      <c r="E695" s="16">
        <v>1</v>
      </c>
      <c r="F695" s="37">
        <v>0</v>
      </c>
      <c r="G695" s="37">
        <v>0</v>
      </c>
      <c r="H695" s="17">
        <v>0</v>
      </c>
      <c r="I695" s="17">
        <v>0</v>
      </c>
      <c r="J695" s="99">
        <f>SUM(SamplingData[[#This Row],[Losing Candidate]:[Under Votes]])</f>
        <v>9</v>
      </c>
      <c r="K695"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695" s="100">
        <f>IF(AND(SamplingData[[#This Row],[Total]]&lt;&gt; 0, NOT(ISBLANK(SamplingData[[#This Row],[Candidate 3]]))),(SamplingData[[#This Row],[Total]]+SamplingData[[#This Row],[Winning Candidate]]-SamplingData[[#This Row],[Candidate 3]])/(SamplingData[[#Totals],[Winning Candidate]]-SamplingData[[#Totals],[Candidate 3]]), 0)</f>
        <v>3.8713423879730297E-4</v>
      </c>
      <c r="M695" s="100">
        <f>IF(AND(SamplingData[[#This Row],[Total]]&lt;&gt; 0, NOT(ISBLANK(SamplingData[[#This Row],[Candidate 4]]))),(SamplingData[[#This Row],[Total]]+SamplingData[[#This Row],[Winning Candidate]]-SamplingData[[#This Row],[Candidate 4]])/(SamplingData[[#Totals],[Winning Candidate]]-SamplingData[[#Totals],[Candidate 4]]), 0)</f>
        <v>3.8001695460258996E-4</v>
      </c>
      <c r="N695" s="100">
        <f>IF(AND(SamplingData[[#This Row],[Total]]&lt;&gt; 0, NOT(ISBLANK(SamplingData[[#This Row],[Candidate 5]]))),(SamplingData[[#This Row],[Total]]+SamplingData[[#This Row],[Winning Candidate]]-SamplingData[[#This Row],[Candidate 5]])/(SamplingData[[#Totals],[Winning Candidate]]-SamplingData[[#Totals],[Candidate 5]]), 0)</f>
        <v>3.4054974458769157E-4</v>
      </c>
      <c r="O695" s="100">
        <f>IF(AND(SamplingData[[#This Row],[Total]]&lt;&gt; 0, NOT(ISBLANK(SamplingData[[#This Row],[Candidate 6]]))),(SamplingData[[#This Row],[Total]]+SamplingData[[#This Row],[Winning Candidate]]-SamplingData[[#This Row],[Candidate 6]])/(SamplingData[[#Totals],[Winning Candidate]]-SamplingData[[#Totals],[Candidate 6]]), 0)</f>
        <v>3.4045036720003888E-4</v>
      </c>
      <c r="P695" s="100">
        <f>MAX(SamplingData[[#This Row],[Error Bound (up) - Max. possible relative overstatement - Losing Candidate]:[Error Bound (up) - Max. possible relative overstatement - Candidate 6]])</f>
        <v>7.9617834394904463E-4</v>
      </c>
      <c r="Q695" s="100">
        <f>IF(SamplingData[[#This Row],[Max Error Bound (up)]] = 0,0,SamplingData[[#This Row],[Max Error Bound (up)]]/SamplingData[[#Totals],[Max Error Bound (up)]])</f>
        <v>1.2600832761979581E-4</v>
      </c>
      <c r="R695" s="101">
        <f>SUM($Q$5:Q695)</f>
        <v>0.19214360184301185</v>
      </c>
      <c r="S695" s="100" t="str">
        <f t="array" ref="S695">IF(SamplingData[[#This Row],[up/U Selection Probability]] = 0, "Zero", TEXT(SamplingData[[#This Row],[Lower Range]], REPT("0",LEN('General Info'!$B$40))) &amp; " - " &amp; TEXT(SamplingData[[#This Row],[Upper Range]], REPT("0",LEN('General Info'!$B$40))))</f>
        <v>19202 - 19213</v>
      </c>
      <c r="T695" s="100">
        <f>SamplingData[[#This Row],[Upper Range]]-SamplingData[[#This Row],[Span]]</f>
        <v>19201.759477547534</v>
      </c>
      <c r="U695" s="100">
        <f>IF(ISNUMBER('General Info'!$B$40), ((SamplingData[[#This Row],[up/U Selection Probability]]) * 'General Info'!$B$40) - 1, 0)</f>
        <v>11.600706753651961</v>
      </c>
      <c r="V695" s="100">
        <f>IF(ISNUMBER('General Info'!$B$40), (SamplingData[[#This Row],[Running (cumulative) sum]] * ('General Info'!$B$40 -'General Info'!$B$41 + 1)) + 'General Info'!$B$41 - 1, 0)</f>
        <v>19213.360184301186</v>
      </c>
      <c r="W695" s="100" t="str">
        <f>IF(ISERROR(MATCH(SamplingData[[#This Row],[Batch by Type (p)]],SelectedPrecincts[Batch Name], 0)), "", INDEX(SelectedPrecincts[Draw], MATCH(SamplingData[[#This Row],[Batch by Type (p)]],SelectedPrecincts[Batch Name], 0)))</f>
        <v/>
      </c>
      <c r="X695" s="102">
        <f>IF(COUNTIF(SelectedPrecincts[Batch Name],SamplingData[[#This Row],[Batch by Type (p)]]) &lt;&gt; 0, COUNTIF(SelectedPrecincts[Batch Name],SamplingData[[#This Row],[Batch by Type (p)]]), 0)</f>
        <v>0</v>
      </c>
    </row>
    <row r="696" spans="1:24" ht="15" customHeight="1">
      <c r="A696" s="18" t="s">
        <v>872</v>
      </c>
      <c r="B696" s="18">
        <v>1</v>
      </c>
      <c r="C696" s="18">
        <v>0</v>
      </c>
      <c r="D696" s="18">
        <v>0</v>
      </c>
      <c r="E696" s="18">
        <v>1</v>
      </c>
      <c r="F696" s="18">
        <v>0</v>
      </c>
      <c r="G696" s="18">
        <v>0</v>
      </c>
      <c r="H696" s="18">
        <v>0</v>
      </c>
      <c r="I696" s="18">
        <v>0</v>
      </c>
      <c r="J696" s="99">
        <f>SUM(SamplingData[[#This Row],[Losing Candidate]:[Under Votes]])</f>
        <v>2</v>
      </c>
      <c r="K69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696" s="100">
        <f>IF(AND(SamplingData[[#This Row],[Total]]&lt;&gt; 0, NOT(ISBLANK(SamplingData[[#This Row],[Candidate 3]]))),(SamplingData[[#This Row],[Total]]+SamplingData[[#This Row],[Winning Candidate]]-SamplingData[[#This Row],[Candidate 3]])/(SamplingData[[#Totals],[Winning Candidate]]-SamplingData[[#Totals],[Candidate 3]]), 0)</f>
        <v>6.4522373132883833E-5</v>
      </c>
      <c r="M696" s="100">
        <f>IF(AND(SamplingData[[#This Row],[Total]]&lt;&gt; 0, NOT(ISBLANK(SamplingData[[#This Row],[Candidate 4]]))),(SamplingData[[#This Row],[Total]]+SamplingData[[#This Row],[Winning Candidate]]-SamplingData[[#This Row],[Candidate 4]])/(SamplingData[[#Totals],[Winning Candidate]]-SamplingData[[#Totals],[Candidate 4]]), 0)</f>
        <v>2.923207343096846E-5</v>
      </c>
      <c r="N696" s="100">
        <f>IF(AND(SamplingData[[#This Row],[Total]]&lt;&gt; 0, NOT(ISBLANK(SamplingData[[#This Row],[Candidate 5]]))),(SamplingData[[#This Row],[Total]]+SamplingData[[#This Row],[Winning Candidate]]-SamplingData[[#This Row],[Candidate 5]])/(SamplingData[[#Totals],[Winning Candidate]]-SamplingData[[#Totals],[Candidate 5]]), 0)</f>
        <v>4.8649963512527367E-5</v>
      </c>
      <c r="O696" s="100">
        <f>IF(AND(SamplingData[[#This Row],[Total]]&lt;&gt; 0, NOT(ISBLANK(SamplingData[[#This Row],[Candidate 6]]))),(SamplingData[[#This Row],[Total]]+SamplingData[[#This Row],[Winning Candidate]]-SamplingData[[#This Row],[Candidate 6]])/(SamplingData[[#Totals],[Winning Candidate]]-SamplingData[[#Totals],[Candidate 6]]), 0)</f>
        <v>4.8635766742862701E-5</v>
      </c>
      <c r="P696" s="100">
        <f>MAX(SamplingData[[#This Row],[Error Bound (up) - Max. possible relative overstatement - Losing Candidate]:[Error Bound (up) - Max. possible relative overstatement - Candidate 6]])</f>
        <v>6.4522373132883833E-5</v>
      </c>
      <c r="Q696" s="100">
        <f>IF(SamplingData[[#This Row],[Max Error Bound (up)]] = 0,0,SamplingData[[#This Row],[Max Error Bound (up)]]/SamplingData[[#Totals],[Max Error Bound (up)]])</f>
        <v>1.0211727553664133E-5</v>
      </c>
      <c r="R696" s="101">
        <f>SUM($Q$5:Q696)</f>
        <v>0.19215381357056552</v>
      </c>
      <c r="S696" s="100" t="str">
        <f t="array" ref="S696">IF(SamplingData[[#This Row],[up/U Selection Probability]] = 0, "Zero", TEXT(SamplingData[[#This Row],[Lower Range]], REPT("0",LEN('General Info'!$B$40))) &amp; " - " &amp; TEXT(SamplingData[[#This Row],[Upper Range]], REPT("0",LEN('General Info'!$B$40))))</f>
        <v>19214 - 19214</v>
      </c>
      <c r="T696" s="100">
        <f>SamplingData[[#This Row],[Upper Range]]-SamplingData[[#This Row],[Span]]</f>
        <v>19214.360194512912</v>
      </c>
      <c r="U696" s="100">
        <f>IF(ISNUMBER('General Info'!$B$40), ((SamplingData[[#This Row],[up/U Selection Probability]]) * 'General Info'!$B$40) - 1, 0)</f>
        <v>2.116254363885961E-2</v>
      </c>
      <c r="V696" s="100">
        <f>IF(ISNUMBER('General Info'!$B$40), (SamplingData[[#This Row],[Running (cumulative) sum]] * ('General Info'!$B$40 -'General Info'!$B$41 + 1)) + 'General Info'!$B$41 - 1, 0)</f>
        <v>19214.381357056551</v>
      </c>
      <c r="W696" s="100" t="str">
        <f>IF(ISERROR(MATCH(SamplingData[[#This Row],[Batch by Type (p)]],SelectedPrecincts[Batch Name], 0)), "", INDEX(SelectedPrecincts[Draw], MATCH(SamplingData[[#This Row],[Batch by Type (p)]],SelectedPrecincts[Batch Name], 0)))</f>
        <v/>
      </c>
      <c r="X696" s="102">
        <f>IF(COUNTIF(SelectedPrecincts[Batch Name],SamplingData[[#This Row],[Batch by Type (p)]]) &lt;&gt; 0, COUNTIF(SelectedPrecincts[Batch Name],SamplingData[[#This Row],[Batch by Type (p)]]), 0)</f>
        <v>0</v>
      </c>
    </row>
    <row r="697" spans="1:24" ht="15" customHeight="1">
      <c r="A697" s="18" t="s">
        <v>873</v>
      </c>
      <c r="B697" s="18">
        <v>10</v>
      </c>
      <c r="C697" s="18">
        <v>3</v>
      </c>
      <c r="D697" s="16">
        <v>5</v>
      </c>
      <c r="E697" s="16">
        <v>2</v>
      </c>
      <c r="F697" s="37">
        <v>0</v>
      </c>
      <c r="G697" s="37">
        <v>0</v>
      </c>
      <c r="H697" s="17">
        <v>0</v>
      </c>
      <c r="I697" s="17">
        <v>1</v>
      </c>
      <c r="J697" s="99">
        <f>SUM(SamplingData[[#This Row],[Losing Candidate]:[Under Votes]])</f>
        <v>21</v>
      </c>
      <c r="K697"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697" s="100">
        <f>IF(AND(SamplingData[[#This Row],[Total]]&lt;&gt; 0, NOT(ISBLANK(SamplingData[[#This Row],[Candidate 3]]))),(SamplingData[[#This Row],[Total]]+SamplingData[[#This Row],[Winning Candidate]]-SamplingData[[#This Row],[Candidate 3]])/(SamplingData[[#Totals],[Winning Candidate]]-SamplingData[[#Totals],[Candidate 3]]), 0)</f>
        <v>6.1296254476239632E-4</v>
      </c>
      <c r="M697" s="100">
        <f>IF(AND(SamplingData[[#This Row],[Total]]&lt;&gt; 0, NOT(ISBLANK(SamplingData[[#This Row],[Candidate 4]]))),(SamplingData[[#This Row],[Total]]+SamplingData[[#This Row],[Winning Candidate]]-SamplingData[[#This Row],[Candidate 4]])/(SamplingData[[#Totals],[Winning Candidate]]-SamplingData[[#Totals],[Candidate 4]]), 0)</f>
        <v>6.4310561548130605E-4</v>
      </c>
      <c r="N697" s="100">
        <f>IF(AND(SamplingData[[#This Row],[Total]]&lt;&gt; 0, NOT(ISBLANK(SamplingData[[#This Row],[Candidate 5]]))),(SamplingData[[#This Row],[Total]]+SamplingData[[#This Row],[Winning Candidate]]-SamplingData[[#This Row],[Candidate 5]])/(SamplingData[[#Totals],[Winning Candidate]]-SamplingData[[#Totals],[Candidate 5]]), 0)</f>
        <v>5.8379956215032843E-4</v>
      </c>
      <c r="O697" s="100">
        <f>IF(AND(SamplingData[[#This Row],[Total]]&lt;&gt; 0, NOT(ISBLANK(SamplingData[[#This Row],[Candidate 6]]))),(SamplingData[[#This Row],[Total]]+SamplingData[[#This Row],[Winning Candidate]]-SamplingData[[#This Row],[Candidate 6]])/(SamplingData[[#Totals],[Winning Candidate]]-SamplingData[[#Totals],[Candidate 6]]), 0)</f>
        <v>5.8362920091435243E-4</v>
      </c>
      <c r="P697" s="100">
        <f>MAX(SamplingData[[#This Row],[Error Bound (up) - Max. possible relative overstatement - Losing Candidate]:[Error Bound (up) - Max. possible relative overstatement - Candidate 6]])</f>
        <v>8.5742283194512492E-4</v>
      </c>
      <c r="Q697" s="100">
        <f>IF(SamplingData[[#This Row],[Max Error Bound (up)]] = 0,0,SamplingData[[#This Row],[Max Error Bound (up)]]/SamplingData[[#Totals],[Max Error Bound (up)]])</f>
        <v>1.3570127589824165E-4</v>
      </c>
      <c r="R697" s="101">
        <f>SUM($Q$5:Q697)</f>
        <v>0.19228951484646375</v>
      </c>
      <c r="S697" s="100" t="str">
        <f t="array" ref="S697">IF(SamplingData[[#This Row],[up/U Selection Probability]] = 0, "Zero", TEXT(SamplingData[[#This Row],[Lower Range]], REPT("0",LEN('General Info'!$B$40))) &amp; " - " &amp; TEXT(SamplingData[[#This Row],[Upper Range]], REPT("0",LEN('General Info'!$B$40))))</f>
        <v>19215 - 19228</v>
      </c>
      <c r="T697" s="100">
        <f>SamplingData[[#This Row],[Upper Range]]-SamplingData[[#This Row],[Span]]</f>
        <v>19215.381492757828</v>
      </c>
      <c r="U697" s="100">
        <f>IF(ISNUMBER('General Info'!$B$40), ((SamplingData[[#This Row],[up/U Selection Probability]]) * 'General Info'!$B$40) - 1, 0)</f>
        <v>12.569991888548268</v>
      </c>
      <c r="V697" s="100">
        <f>IF(ISNUMBER('General Info'!$B$40), (SamplingData[[#This Row],[Running (cumulative) sum]] * ('General Info'!$B$40 -'General Info'!$B$41 + 1)) + 'General Info'!$B$41 - 1, 0)</f>
        <v>19227.951484646375</v>
      </c>
      <c r="W697" s="100" t="str">
        <f>IF(ISERROR(MATCH(SamplingData[[#This Row],[Batch by Type (p)]],SelectedPrecincts[Batch Name], 0)), "", INDEX(SelectedPrecincts[Draw], MATCH(SamplingData[[#This Row],[Batch by Type (p)]],SelectedPrecincts[Batch Name], 0)))</f>
        <v/>
      </c>
      <c r="X697" s="102">
        <f>IF(COUNTIF(SelectedPrecincts[Batch Name],SamplingData[[#This Row],[Batch by Type (p)]]) &lt;&gt; 0, COUNTIF(SelectedPrecincts[Batch Name],SamplingData[[#This Row],[Batch by Type (p)]]), 0)</f>
        <v>0</v>
      </c>
    </row>
    <row r="698" spans="1:24" ht="15" customHeight="1">
      <c r="A698" s="18" t="s">
        <v>874</v>
      </c>
      <c r="B698" s="18">
        <v>1</v>
      </c>
      <c r="C698" s="18">
        <v>1</v>
      </c>
      <c r="D698" s="18">
        <v>0</v>
      </c>
      <c r="E698" s="18">
        <v>0</v>
      </c>
      <c r="F698" s="18">
        <v>0</v>
      </c>
      <c r="G698" s="18">
        <v>0</v>
      </c>
      <c r="H698" s="18">
        <v>0</v>
      </c>
      <c r="I698" s="18">
        <v>0</v>
      </c>
      <c r="J698" s="99">
        <f>SUM(SamplingData[[#This Row],[Losing Candidate]:[Under Votes]])</f>
        <v>2</v>
      </c>
      <c r="K69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698" s="100">
        <f>IF(AND(SamplingData[[#This Row],[Total]]&lt;&gt; 0, NOT(ISBLANK(SamplingData[[#This Row],[Candidate 3]]))),(SamplingData[[#This Row],[Total]]+SamplingData[[#This Row],[Winning Candidate]]-SamplingData[[#This Row],[Candidate 3]])/(SamplingData[[#Totals],[Winning Candidate]]-SamplingData[[#Totals],[Candidate 3]]), 0)</f>
        <v>9.6783559699325743E-5</v>
      </c>
      <c r="M698" s="100">
        <f>IF(AND(SamplingData[[#This Row],[Total]]&lt;&gt; 0, NOT(ISBLANK(SamplingData[[#This Row],[Candidate 4]]))),(SamplingData[[#This Row],[Total]]+SamplingData[[#This Row],[Winning Candidate]]-SamplingData[[#This Row],[Candidate 4]])/(SamplingData[[#Totals],[Winning Candidate]]-SamplingData[[#Totals],[Candidate 4]]), 0)</f>
        <v>8.7696220292905373E-5</v>
      </c>
      <c r="N698" s="100">
        <f>IF(AND(SamplingData[[#This Row],[Total]]&lt;&gt; 0, NOT(ISBLANK(SamplingData[[#This Row],[Candidate 5]]))),(SamplingData[[#This Row],[Total]]+SamplingData[[#This Row],[Winning Candidate]]-SamplingData[[#This Row],[Candidate 5]])/(SamplingData[[#Totals],[Winning Candidate]]-SamplingData[[#Totals],[Candidate 5]]), 0)</f>
        <v>7.2974945268791054E-5</v>
      </c>
      <c r="O698" s="100">
        <f>IF(AND(SamplingData[[#This Row],[Total]]&lt;&gt; 0, NOT(ISBLANK(SamplingData[[#This Row],[Candidate 6]]))),(SamplingData[[#This Row],[Total]]+SamplingData[[#This Row],[Winning Candidate]]-SamplingData[[#This Row],[Candidate 6]])/(SamplingData[[#Totals],[Winning Candidate]]-SamplingData[[#Totals],[Candidate 6]]), 0)</f>
        <v>7.2953650114294054E-5</v>
      </c>
      <c r="P698" s="100">
        <f>MAX(SamplingData[[#This Row],[Error Bound (up) - Max. possible relative overstatement - Losing Candidate]:[Error Bound (up) - Max. possible relative overstatement - Candidate 6]])</f>
        <v>1.224889759921607E-4</v>
      </c>
      <c r="Q698" s="100">
        <f>IF(SamplingData[[#This Row],[Max Error Bound (up)]] = 0,0,SamplingData[[#This Row],[Max Error Bound (up)]]/SamplingData[[#Totals],[Max Error Bound (up)]])</f>
        <v>1.9385896556891663E-5</v>
      </c>
      <c r="R698" s="101">
        <f>SUM($Q$5:Q698)</f>
        <v>0.19230890074302065</v>
      </c>
      <c r="S698" s="100" t="str">
        <f t="array" ref="S698">IF(SamplingData[[#This Row],[up/U Selection Probability]] = 0, "Zero", TEXT(SamplingData[[#This Row],[Lower Range]], REPT("0",LEN('General Info'!$B$40))) &amp; " - " &amp; TEXT(SamplingData[[#This Row],[Upper Range]], REPT("0",LEN('General Info'!$B$40))))</f>
        <v>19229 - 19230</v>
      </c>
      <c r="T698" s="100">
        <f>SamplingData[[#This Row],[Upper Range]]-SamplingData[[#This Row],[Span]]</f>
        <v>19228.951504032273</v>
      </c>
      <c r="U698" s="100">
        <f>IF(ISNUMBER('General Info'!$B$40), ((SamplingData[[#This Row],[up/U Selection Probability]]) * 'General Info'!$B$40) - 1, 0)</f>
        <v>0.93857026979260949</v>
      </c>
      <c r="V698" s="100">
        <f>IF(ISNUMBER('General Info'!$B$40), (SamplingData[[#This Row],[Running (cumulative) sum]] * ('General Info'!$B$40 -'General Info'!$B$41 + 1)) + 'General Info'!$B$41 - 1, 0)</f>
        <v>19229.890074302064</v>
      </c>
      <c r="W698" s="100" t="str">
        <f>IF(ISERROR(MATCH(SamplingData[[#This Row],[Batch by Type (p)]],SelectedPrecincts[Batch Name], 0)), "", INDEX(SelectedPrecincts[Draw], MATCH(SamplingData[[#This Row],[Batch by Type (p)]],SelectedPrecincts[Batch Name], 0)))</f>
        <v/>
      </c>
      <c r="X698" s="102">
        <f>IF(COUNTIF(SelectedPrecincts[Batch Name],SamplingData[[#This Row],[Batch by Type (p)]]) &lt;&gt; 0, COUNTIF(SelectedPrecincts[Batch Name],SamplingData[[#This Row],[Batch by Type (p)]]), 0)</f>
        <v>0</v>
      </c>
    </row>
    <row r="699" spans="1:24" ht="15" customHeight="1">
      <c r="A699" s="18" t="s">
        <v>875</v>
      </c>
      <c r="B699" s="18">
        <v>9</v>
      </c>
      <c r="C699" s="18">
        <v>7</v>
      </c>
      <c r="D699" s="16">
        <v>4</v>
      </c>
      <c r="E699" s="16">
        <v>4</v>
      </c>
      <c r="F699" s="37">
        <v>0</v>
      </c>
      <c r="G699" s="37">
        <v>0</v>
      </c>
      <c r="H699" s="17">
        <v>0</v>
      </c>
      <c r="I699" s="17">
        <v>0</v>
      </c>
      <c r="J699" s="99">
        <f>SUM(SamplingData[[#This Row],[Losing Candidate]:[Under Votes]])</f>
        <v>24</v>
      </c>
      <c r="K699"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699" s="100">
        <f>IF(AND(SamplingData[[#This Row],[Total]]&lt;&gt; 0, NOT(ISBLANK(SamplingData[[#This Row],[Candidate 3]]))),(SamplingData[[#This Row],[Total]]+SamplingData[[#This Row],[Winning Candidate]]-SamplingData[[#This Row],[Candidate 3]])/(SamplingData[[#Totals],[Winning Candidate]]-SamplingData[[#Totals],[Candidate 3]]), 0)</f>
        <v>8.710520372939317E-4</v>
      </c>
      <c r="M699" s="100">
        <f>IF(AND(SamplingData[[#This Row],[Total]]&lt;&gt; 0, NOT(ISBLANK(SamplingData[[#This Row],[Candidate 4]]))),(SamplingData[[#This Row],[Total]]+SamplingData[[#This Row],[Winning Candidate]]-SamplingData[[#This Row],[Candidate 4]])/(SamplingData[[#Totals],[Winning Candidate]]-SamplingData[[#Totals],[Candidate 4]]), 0)</f>
        <v>7.8926598263614838E-4</v>
      </c>
      <c r="N699" s="100">
        <f>IF(AND(SamplingData[[#This Row],[Total]]&lt;&gt; 0, NOT(ISBLANK(SamplingData[[#This Row],[Candidate 5]]))),(SamplingData[[#This Row],[Total]]+SamplingData[[#This Row],[Winning Candidate]]-SamplingData[[#This Row],[Candidate 5]])/(SamplingData[[#Totals],[Winning Candidate]]-SamplingData[[#Totals],[Candidate 5]]), 0)</f>
        <v>7.5407443444417419E-4</v>
      </c>
      <c r="O699" s="100">
        <f>IF(AND(SamplingData[[#This Row],[Total]]&lt;&gt; 0, NOT(ISBLANK(SamplingData[[#This Row],[Candidate 6]]))),(SamplingData[[#This Row],[Total]]+SamplingData[[#This Row],[Winning Candidate]]-SamplingData[[#This Row],[Candidate 6]])/(SamplingData[[#Totals],[Winning Candidate]]-SamplingData[[#Totals],[Candidate 6]]), 0)</f>
        <v>7.5385438451437182E-4</v>
      </c>
      <c r="P699" s="100">
        <f>MAX(SamplingData[[#This Row],[Error Bound (up) - Max. possible relative overstatement - Losing Candidate]:[Error Bound (up) - Max. possible relative overstatement - Candidate 6]])</f>
        <v>1.3473787359137678E-3</v>
      </c>
      <c r="Q699" s="100">
        <f>IF(SamplingData[[#This Row],[Max Error Bound (up)]] = 0,0,SamplingData[[#This Row],[Max Error Bound (up)]]/SamplingData[[#Totals],[Max Error Bound (up)]])</f>
        <v>2.1324486212580832E-4</v>
      </c>
      <c r="R699" s="101">
        <f>SUM($Q$5:Q699)</f>
        <v>0.19252214560514647</v>
      </c>
      <c r="S699" s="100" t="str">
        <f t="array" ref="S699">IF(SamplingData[[#This Row],[up/U Selection Probability]] = 0, "Zero", TEXT(SamplingData[[#This Row],[Lower Range]], REPT("0",LEN('General Info'!$B$40))) &amp; " - " &amp; TEXT(SamplingData[[#This Row],[Upper Range]], REPT("0",LEN('General Info'!$B$40))))</f>
        <v>19231 - 19251</v>
      </c>
      <c r="T699" s="100">
        <f>SamplingData[[#This Row],[Upper Range]]-SamplingData[[#This Row],[Span]]</f>
        <v>19230.890287546928</v>
      </c>
      <c r="U699" s="100">
        <f>IF(ISNUMBER('General Info'!$B$40), ((SamplingData[[#This Row],[up/U Selection Probability]]) * 'General Info'!$B$40) - 1, 0)</f>
        <v>20.324272967718706</v>
      </c>
      <c r="V699" s="100">
        <f>IF(ISNUMBER('General Info'!$B$40), (SamplingData[[#This Row],[Running (cumulative) sum]] * ('General Info'!$B$40 -'General Info'!$B$41 + 1)) + 'General Info'!$B$41 - 1, 0)</f>
        <v>19251.214560514647</v>
      </c>
      <c r="W699" s="100" t="str">
        <f>IF(ISERROR(MATCH(SamplingData[[#This Row],[Batch by Type (p)]],SelectedPrecincts[Batch Name], 0)), "", INDEX(SelectedPrecincts[Draw], MATCH(SamplingData[[#This Row],[Batch by Type (p)]],SelectedPrecincts[Batch Name], 0)))</f>
        <v/>
      </c>
      <c r="X699" s="102">
        <f>IF(COUNTIF(SelectedPrecincts[Batch Name],SamplingData[[#This Row],[Batch by Type (p)]]) &lt;&gt; 0, COUNTIF(SelectedPrecincts[Batch Name],SamplingData[[#This Row],[Batch by Type (p)]]), 0)</f>
        <v>0</v>
      </c>
    </row>
    <row r="700" spans="1:24" ht="15" customHeight="1">
      <c r="A700" s="18" t="s">
        <v>876</v>
      </c>
      <c r="B700" s="18">
        <v>2</v>
      </c>
      <c r="C700" s="18">
        <v>1</v>
      </c>
      <c r="D700" s="18">
        <v>1</v>
      </c>
      <c r="E700" s="18">
        <v>0</v>
      </c>
      <c r="F700" s="18">
        <v>0</v>
      </c>
      <c r="G700" s="18">
        <v>0</v>
      </c>
      <c r="H700" s="18">
        <v>0</v>
      </c>
      <c r="I700" s="18">
        <v>0</v>
      </c>
      <c r="J700" s="99">
        <f>SUM(SamplingData[[#This Row],[Losing Candidate]:[Under Votes]])</f>
        <v>4</v>
      </c>
      <c r="K70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700" s="100">
        <f>IF(AND(SamplingData[[#This Row],[Total]]&lt;&gt; 0, NOT(ISBLANK(SamplingData[[#This Row],[Candidate 3]]))),(SamplingData[[#This Row],[Total]]+SamplingData[[#This Row],[Winning Candidate]]-SamplingData[[#This Row],[Candidate 3]])/(SamplingData[[#Totals],[Winning Candidate]]-SamplingData[[#Totals],[Candidate 3]]), 0)</f>
        <v>1.2904474626576767E-4</v>
      </c>
      <c r="M700" s="100">
        <f>IF(AND(SamplingData[[#This Row],[Total]]&lt;&gt; 0, NOT(ISBLANK(SamplingData[[#This Row],[Candidate 4]]))),(SamplingData[[#This Row],[Total]]+SamplingData[[#This Row],[Winning Candidate]]-SamplingData[[#This Row],[Candidate 4]])/(SamplingData[[#Totals],[Winning Candidate]]-SamplingData[[#Totals],[Candidate 4]]), 0)</f>
        <v>1.4616036715484231E-4</v>
      </c>
      <c r="N700" s="100">
        <f>IF(AND(SamplingData[[#This Row],[Total]]&lt;&gt; 0, NOT(ISBLANK(SamplingData[[#This Row],[Candidate 5]]))),(SamplingData[[#This Row],[Total]]+SamplingData[[#This Row],[Winning Candidate]]-SamplingData[[#This Row],[Candidate 5]])/(SamplingData[[#Totals],[Winning Candidate]]-SamplingData[[#Totals],[Candidate 5]]), 0)</f>
        <v>1.2162490878131841E-4</v>
      </c>
      <c r="O700" s="100">
        <f>IF(AND(SamplingData[[#This Row],[Total]]&lt;&gt; 0, NOT(ISBLANK(SamplingData[[#This Row],[Candidate 6]]))),(SamplingData[[#This Row],[Total]]+SamplingData[[#This Row],[Winning Candidate]]-SamplingData[[#This Row],[Candidate 6]])/(SamplingData[[#Totals],[Winning Candidate]]-SamplingData[[#Totals],[Candidate 6]]), 0)</f>
        <v>1.2158941685715675E-4</v>
      </c>
      <c r="P700" s="100">
        <f>MAX(SamplingData[[#This Row],[Error Bound (up) - Max. possible relative overstatement - Losing Candidate]:[Error Bound (up) - Max. possible relative overstatement - Candidate 6]])</f>
        <v>1.8373346398824106E-4</v>
      </c>
      <c r="Q700" s="100">
        <f>IF(SamplingData[[#This Row],[Max Error Bound (up)]] = 0,0,SamplingData[[#This Row],[Max Error Bound (up)]]/SamplingData[[#Totals],[Max Error Bound (up)]])</f>
        <v>2.9078844835337493E-5</v>
      </c>
      <c r="R700" s="101">
        <f>SUM($Q$5:Q700)</f>
        <v>0.19255122444998179</v>
      </c>
      <c r="S700" s="100" t="str">
        <f t="array" ref="S700">IF(SamplingData[[#This Row],[up/U Selection Probability]] = 0, "Zero", TEXT(SamplingData[[#This Row],[Lower Range]], REPT("0",LEN('General Info'!$B$40))) &amp; " - " &amp; TEXT(SamplingData[[#This Row],[Upper Range]], REPT("0",LEN('General Info'!$B$40))))</f>
        <v>19252 - 19254</v>
      </c>
      <c r="T700" s="100">
        <f>SamplingData[[#This Row],[Upper Range]]-SamplingData[[#This Row],[Span]]</f>
        <v>19252.214589593488</v>
      </c>
      <c r="U700" s="100">
        <f>IF(ISNUMBER('General Info'!$B$40), ((SamplingData[[#This Row],[up/U Selection Probability]]) * 'General Info'!$B$40) - 1, 0)</f>
        <v>1.907855404688914</v>
      </c>
      <c r="V700" s="100">
        <f>IF(ISNUMBER('General Info'!$B$40), (SamplingData[[#This Row],[Running (cumulative) sum]] * ('General Info'!$B$40 -'General Info'!$B$41 + 1)) + 'General Info'!$B$41 - 1, 0)</f>
        <v>19254.122444998178</v>
      </c>
      <c r="W700" s="100" t="str">
        <f>IF(ISERROR(MATCH(SamplingData[[#This Row],[Batch by Type (p)]],SelectedPrecincts[Batch Name], 0)), "", INDEX(SelectedPrecincts[Draw], MATCH(SamplingData[[#This Row],[Batch by Type (p)]],SelectedPrecincts[Batch Name], 0)))</f>
        <v/>
      </c>
      <c r="X700" s="102">
        <f>IF(COUNTIF(SelectedPrecincts[Batch Name],SamplingData[[#This Row],[Batch by Type (p)]]) &lt;&gt; 0, COUNTIF(SelectedPrecincts[Batch Name],SamplingData[[#This Row],[Batch by Type (p)]]), 0)</f>
        <v>0</v>
      </c>
    </row>
    <row r="701" spans="1:24" ht="15" customHeight="1">
      <c r="A701" s="18" t="s">
        <v>877</v>
      </c>
      <c r="B701" s="18">
        <v>13</v>
      </c>
      <c r="C701" s="18">
        <v>30</v>
      </c>
      <c r="D701" s="16">
        <v>7</v>
      </c>
      <c r="E701" s="16">
        <v>9</v>
      </c>
      <c r="F701" s="37">
        <v>0</v>
      </c>
      <c r="G701" s="37">
        <v>0</v>
      </c>
      <c r="H701" s="17">
        <v>0</v>
      </c>
      <c r="I701" s="17">
        <v>0</v>
      </c>
      <c r="J701" s="99">
        <f>SUM(SamplingData[[#This Row],[Losing Candidate]:[Under Votes]])</f>
        <v>59</v>
      </c>
      <c r="K701" s="100">
        <f>IF(AND(SamplingData[[#This Row],[Total]]&lt;&gt; 0, NOT(ISBLANK(SamplingData[[#This Row],[Losing Candidate]]))),(SamplingData[[#This Row],[Total]]+SamplingData[[#This Row],[Winning Candidate]]-SamplingData[[#This Row],[Losing Candidate]])/(SamplingData[[#Totals],[Winning Candidate]]-SamplingData[[#Totals],[Losing Candidate]]), 0)</f>
        <v>4.6545810877021065E-3</v>
      </c>
      <c r="L701" s="100">
        <f>IF(AND(SamplingData[[#This Row],[Total]]&lt;&gt; 0, NOT(ISBLANK(SamplingData[[#This Row],[Candidate 3]]))),(SamplingData[[#This Row],[Total]]+SamplingData[[#This Row],[Winning Candidate]]-SamplingData[[#This Row],[Candidate 3]])/(SamplingData[[#Totals],[Winning Candidate]]-SamplingData[[#Totals],[Candidate 3]]), 0)</f>
        <v>2.6454172984482368E-3</v>
      </c>
      <c r="M701" s="100">
        <f>IF(AND(SamplingData[[#This Row],[Total]]&lt;&gt; 0, NOT(ISBLANK(SamplingData[[#This Row],[Candidate 4]]))),(SamplingData[[#This Row],[Total]]+SamplingData[[#This Row],[Winning Candidate]]-SamplingData[[#This Row],[Candidate 4]])/(SamplingData[[#Totals],[Winning Candidate]]-SamplingData[[#Totals],[Candidate 4]]), 0)</f>
        <v>2.3385658744774769E-3</v>
      </c>
      <c r="N701" s="100">
        <f>IF(AND(SamplingData[[#This Row],[Total]]&lt;&gt; 0, NOT(ISBLANK(SamplingData[[#This Row],[Candidate 5]]))),(SamplingData[[#This Row],[Total]]+SamplingData[[#This Row],[Winning Candidate]]-SamplingData[[#This Row],[Candidate 5]])/(SamplingData[[#Totals],[Winning Candidate]]-SamplingData[[#Totals],[Candidate 5]]), 0)</f>
        <v>2.1649233763074678E-3</v>
      </c>
      <c r="O701" s="100">
        <f>IF(AND(SamplingData[[#This Row],[Total]]&lt;&gt; 0, NOT(ISBLANK(SamplingData[[#This Row],[Candidate 6]]))),(SamplingData[[#This Row],[Total]]+SamplingData[[#This Row],[Winning Candidate]]-SamplingData[[#This Row],[Candidate 6]])/(SamplingData[[#Totals],[Winning Candidate]]-SamplingData[[#Totals],[Candidate 6]]), 0)</f>
        <v>2.16429162005739E-3</v>
      </c>
      <c r="P701" s="100">
        <f>MAX(SamplingData[[#This Row],[Error Bound (up) - Max. possible relative overstatement - Losing Candidate]:[Error Bound (up) - Max. possible relative overstatement - Candidate 6]])</f>
        <v>4.6545810877021065E-3</v>
      </c>
      <c r="Q701" s="100">
        <f>IF(SamplingData[[#This Row],[Max Error Bound (up)]] = 0,0,SamplingData[[#This Row],[Max Error Bound (up)]]/SamplingData[[#Totals],[Max Error Bound (up)]])</f>
        <v>7.3666406916188319E-4</v>
      </c>
      <c r="R701" s="101">
        <f>SUM($Q$5:Q701)</f>
        <v>0.19328788851914369</v>
      </c>
      <c r="S701" s="100" t="str">
        <f t="array" ref="S701">IF(SamplingData[[#This Row],[up/U Selection Probability]] = 0, "Zero", TEXT(SamplingData[[#This Row],[Lower Range]], REPT("0",LEN('General Info'!$B$40))) &amp; " - " &amp; TEXT(SamplingData[[#This Row],[Upper Range]], REPT("0",LEN('General Info'!$B$40))))</f>
        <v>19255 - 19328</v>
      </c>
      <c r="T701" s="100">
        <f>SamplingData[[#This Row],[Upper Range]]-SamplingData[[#This Row],[Span]]</f>
        <v>19255.123181662253</v>
      </c>
      <c r="U701" s="100">
        <f>IF(ISNUMBER('General Info'!$B$40), ((SamplingData[[#This Row],[up/U Selection Probability]]) * 'General Info'!$B$40) - 1, 0)</f>
        <v>72.665670252119156</v>
      </c>
      <c r="V701" s="100">
        <f>IF(ISNUMBER('General Info'!$B$40), (SamplingData[[#This Row],[Running (cumulative) sum]] * ('General Info'!$B$40 -'General Info'!$B$41 + 1)) + 'General Info'!$B$41 - 1, 0)</f>
        <v>19327.788851914371</v>
      </c>
      <c r="W701" s="100" t="str">
        <f>IF(ISERROR(MATCH(SamplingData[[#This Row],[Batch by Type (p)]],SelectedPrecincts[Batch Name], 0)), "", INDEX(SelectedPrecincts[Draw], MATCH(SamplingData[[#This Row],[Batch by Type (p)]],SelectedPrecincts[Batch Name], 0)))</f>
        <v/>
      </c>
      <c r="X701" s="102">
        <f>IF(COUNTIF(SelectedPrecincts[Batch Name],SamplingData[[#This Row],[Batch by Type (p)]]) &lt;&gt; 0, COUNTIF(SelectedPrecincts[Batch Name],SamplingData[[#This Row],[Batch by Type (p)]]), 0)</f>
        <v>0</v>
      </c>
    </row>
    <row r="702" spans="1:24" ht="15" customHeight="1">
      <c r="A702" s="18" t="s">
        <v>878</v>
      </c>
      <c r="B702" s="18">
        <v>7</v>
      </c>
      <c r="C702" s="18">
        <v>3</v>
      </c>
      <c r="D702" s="18">
        <v>2</v>
      </c>
      <c r="E702" s="18">
        <v>2</v>
      </c>
      <c r="F702" s="18">
        <v>0</v>
      </c>
      <c r="G702" s="18">
        <v>0</v>
      </c>
      <c r="H702" s="18">
        <v>0</v>
      </c>
      <c r="I702" s="18">
        <v>1</v>
      </c>
      <c r="J702" s="99">
        <f>SUM(SamplingData[[#This Row],[Losing Candidate]:[Under Votes]])</f>
        <v>15</v>
      </c>
      <c r="K702"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702" s="100">
        <f>IF(AND(SamplingData[[#This Row],[Total]]&lt;&gt; 0, NOT(ISBLANK(SamplingData[[#This Row],[Candidate 3]]))),(SamplingData[[#This Row],[Total]]+SamplingData[[#This Row],[Winning Candidate]]-SamplingData[[#This Row],[Candidate 3]])/(SamplingData[[#Totals],[Winning Candidate]]-SamplingData[[#Totals],[Candidate 3]]), 0)</f>
        <v>5.1617898506307067E-4</v>
      </c>
      <c r="M702" s="100">
        <f>IF(AND(SamplingData[[#This Row],[Total]]&lt;&gt; 0, NOT(ISBLANK(SamplingData[[#This Row],[Candidate 4]]))),(SamplingData[[#This Row],[Total]]+SamplingData[[#This Row],[Winning Candidate]]-SamplingData[[#This Row],[Candidate 4]])/(SamplingData[[#Totals],[Winning Candidate]]-SamplingData[[#Totals],[Candidate 4]]), 0)</f>
        <v>4.6771317489549536E-4</v>
      </c>
      <c r="N702" s="100">
        <f>IF(AND(SamplingData[[#This Row],[Total]]&lt;&gt; 0, NOT(ISBLANK(SamplingData[[#This Row],[Candidate 5]]))),(SamplingData[[#This Row],[Total]]+SamplingData[[#This Row],[Winning Candidate]]-SamplingData[[#This Row],[Candidate 5]])/(SamplingData[[#Totals],[Winning Candidate]]-SamplingData[[#Totals],[Candidate 5]]), 0)</f>
        <v>4.3784967161274629E-4</v>
      </c>
      <c r="O702" s="100">
        <f>IF(AND(SamplingData[[#This Row],[Total]]&lt;&gt; 0, NOT(ISBLANK(SamplingData[[#This Row],[Candidate 6]]))),(SamplingData[[#This Row],[Total]]+SamplingData[[#This Row],[Winning Candidate]]-SamplingData[[#This Row],[Candidate 6]])/(SamplingData[[#Totals],[Winning Candidate]]-SamplingData[[#Totals],[Candidate 6]]), 0)</f>
        <v>4.3772190068576433E-4</v>
      </c>
      <c r="P702" s="100">
        <f>MAX(SamplingData[[#This Row],[Error Bound (up) - Max. possible relative overstatement - Losing Candidate]:[Error Bound (up) - Max. possible relative overstatement - Candidate 6]])</f>
        <v>6.7368936795688392E-4</v>
      </c>
      <c r="Q702" s="100">
        <f>IF(SamplingData[[#This Row],[Max Error Bound (up)]] = 0,0,SamplingData[[#This Row],[Max Error Bound (up)]]/SamplingData[[#Totals],[Max Error Bound (up)]])</f>
        <v>1.0662243106290416E-4</v>
      </c>
      <c r="R702" s="101">
        <f>SUM($Q$5:Q702)</f>
        <v>0.1933945109502066</v>
      </c>
      <c r="S702" s="100" t="str">
        <f t="array" ref="S702">IF(SamplingData[[#This Row],[up/U Selection Probability]] = 0, "Zero", TEXT(SamplingData[[#This Row],[Lower Range]], REPT("0",LEN('General Info'!$B$40))) &amp; " - " &amp; TEXT(SamplingData[[#This Row],[Upper Range]], REPT("0",LEN('General Info'!$B$40))))</f>
        <v>19329 - 19338</v>
      </c>
      <c r="T702" s="100">
        <f>SamplingData[[#This Row],[Upper Range]]-SamplingData[[#This Row],[Span]]</f>
        <v>19328.788958536799</v>
      </c>
      <c r="U702" s="100">
        <f>IF(ISNUMBER('General Info'!$B$40), ((SamplingData[[#This Row],[up/U Selection Probability]]) * 'General Info'!$B$40) - 1, 0)</f>
        <v>9.6621364838593529</v>
      </c>
      <c r="V702" s="100">
        <f>IF(ISNUMBER('General Info'!$B$40), (SamplingData[[#This Row],[Running (cumulative) sum]] * ('General Info'!$B$40 -'General Info'!$B$41 + 1)) + 'General Info'!$B$41 - 1, 0)</f>
        <v>19338.45109502066</v>
      </c>
      <c r="W702" s="100" t="str">
        <f>IF(ISERROR(MATCH(SamplingData[[#This Row],[Batch by Type (p)]],SelectedPrecincts[Batch Name], 0)), "", INDEX(SelectedPrecincts[Draw], MATCH(SamplingData[[#This Row],[Batch by Type (p)]],SelectedPrecincts[Batch Name], 0)))</f>
        <v/>
      </c>
      <c r="X702" s="102">
        <f>IF(COUNTIF(SelectedPrecincts[Batch Name],SamplingData[[#This Row],[Batch by Type (p)]]) &lt;&gt; 0, COUNTIF(SelectedPrecincts[Batch Name],SamplingData[[#This Row],[Batch by Type (p)]]), 0)</f>
        <v>0</v>
      </c>
    </row>
    <row r="703" spans="1:24" ht="15" customHeight="1">
      <c r="A703" s="18" t="s">
        <v>879</v>
      </c>
      <c r="B703" s="18">
        <v>13</v>
      </c>
      <c r="C703" s="18">
        <v>7</v>
      </c>
      <c r="D703" s="16">
        <v>3</v>
      </c>
      <c r="E703" s="16">
        <v>4</v>
      </c>
      <c r="F703" s="37">
        <v>0</v>
      </c>
      <c r="G703" s="37">
        <v>0</v>
      </c>
      <c r="H703" s="17">
        <v>0</v>
      </c>
      <c r="I703" s="17">
        <v>2</v>
      </c>
      <c r="J703" s="99">
        <f>SUM(SamplingData[[#This Row],[Losing Candidate]:[Under Votes]])</f>
        <v>29</v>
      </c>
      <c r="K703"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703" s="100">
        <f>IF(AND(SamplingData[[#This Row],[Total]]&lt;&gt; 0, NOT(ISBLANK(SamplingData[[#This Row],[Candidate 3]]))),(SamplingData[[#This Row],[Total]]+SamplingData[[#This Row],[Winning Candidate]]-SamplingData[[#This Row],[Candidate 3]])/(SamplingData[[#Totals],[Winning Candidate]]-SamplingData[[#Totals],[Candidate 3]]), 0)</f>
        <v>1.0646191566925831E-3</v>
      </c>
      <c r="M703" s="100">
        <f>IF(AND(SamplingData[[#This Row],[Total]]&lt;&gt; 0, NOT(ISBLANK(SamplingData[[#This Row],[Candidate 4]]))),(SamplingData[[#This Row],[Total]]+SamplingData[[#This Row],[Winning Candidate]]-SamplingData[[#This Row],[Candidate 4]])/(SamplingData[[#Totals],[Winning Candidate]]-SamplingData[[#Totals],[Candidate 4]]), 0)</f>
        <v>9.3542634979099071E-4</v>
      </c>
      <c r="N703" s="100">
        <f>IF(AND(SamplingData[[#This Row],[Total]]&lt;&gt; 0, NOT(ISBLANK(SamplingData[[#This Row],[Candidate 5]]))),(SamplingData[[#This Row],[Total]]+SamplingData[[#This Row],[Winning Candidate]]-SamplingData[[#This Row],[Candidate 5]])/(SamplingData[[#Totals],[Winning Candidate]]-SamplingData[[#Totals],[Candidate 5]]), 0)</f>
        <v>8.7569934322549259E-4</v>
      </c>
      <c r="O703" s="100">
        <f>IF(AND(SamplingData[[#This Row],[Total]]&lt;&gt; 0, NOT(ISBLANK(SamplingData[[#This Row],[Candidate 6]]))),(SamplingData[[#This Row],[Total]]+SamplingData[[#This Row],[Winning Candidate]]-SamplingData[[#This Row],[Candidate 6]])/(SamplingData[[#Totals],[Winning Candidate]]-SamplingData[[#Totals],[Candidate 6]]), 0)</f>
        <v>8.7544380137152865E-4</v>
      </c>
      <c r="P703" s="100">
        <f>MAX(SamplingData[[#This Row],[Error Bound (up) - Max. possible relative overstatement - Losing Candidate]:[Error Bound (up) - Max. possible relative overstatement - Candidate 6]])</f>
        <v>1.408623223909848E-3</v>
      </c>
      <c r="Q703" s="100">
        <f>IF(SamplingData[[#This Row],[Max Error Bound (up)]] = 0,0,SamplingData[[#This Row],[Max Error Bound (up)]]/SamplingData[[#Totals],[Max Error Bound (up)]])</f>
        <v>2.229378104042541E-4</v>
      </c>
      <c r="R703" s="101">
        <f>SUM($Q$5:Q703)</f>
        <v>0.19361744876061085</v>
      </c>
      <c r="S703" s="100" t="str">
        <f t="array" ref="S703">IF(SamplingData[[#This Row],[up/U Selection Probability]] = 0, "Zero", TEXT(SamplingData[[#This Row],[Lower Range]], REPT("0",LEN('General Info'!$B$40))) &amp; " - " &amp; TEXT(SamplingData[[#This Row],[Upper Range]], REPT("0",LEN('General Info'!$B$40))))</f>
        <v>19339 - 19361</v>
      </c>
      <c r="T703" s="100">
        <f>SamplingData[[#This Row],[Upper Range]]-SamplingData[[#This Row],[Span]]</f>
        <v>19339.451317958472</v>
      </c>
      <c r="U703" s="100">
        <f>IF(ISNUMBER('General Info'!$B$40), ((SamplingData[[#This Row],[up/U Selection Probability]]) * 'General Info'!$B$40) - 1, 0)</f>
        <v>21.293558102615005</v>
      </c>
      <c r="V703" s="100">
        <f>IF(ISNUMBER('General Info'!$B$40), (SamplingData[[#This Row],[Running (cumulative) sum]] * ('General Info'!$B$40 -'General Info'!$B$41 + 1)) + 'General Info'!$B$41 - 1, 0)</f>
        <v>19360.744876061086</v>
      </c>
      <c r="W703" s="100" t="str">
        <f>IF(ISERROR(MATCH(SamplingData[[#This Row],[Batch by Type (p)]],SelectedPrecincts[Batch Name], 0)), "", INDEX(SelectedPrecincts[Draw], MATCH(SamplingData[[#This Row],[Batch by Type (p)]],SelectedPrecincts[Batch Name], 0)))</f>
        <v/>
      </c>
      <c r="X703" s="102">
        <f>IF(COUNTIF(SelectedPrecincts[Batch Name],SamplingData[[#This Row],[Batch by Type (p)]]) &lt;&gt; 0, COUNTIF(SelectedPrecincts[Batch Name],SamplingData[[#This Row],[Batch by Type (p)]]), 0)</f>
        <v>0</v>
      </c>
    </row>
    <row r="704" spans="1:24" ht="15" customHeight="1">
      <c r="A704" s="18" t="s">
        <v>880</v>
      </c>
      <c r="B704" s="18">
        <v>4</v>
      </c>
      <c r="C704" s="18">
        <v>2</v>
      </c>
      <c r="D704" s="18">
        <v>1</v>
      </c>
      <c r="E704" s="18">
        <v>1</v>
      </c>
      <c r="F704" s="18">
        <v>0</v>
      </c>
      <c r="G704" s="18">
        <v>0</v>
      </c>
      <c r="H704" s="18">
        <v>0</v>
      </c>
      <c r="I704" s="18">
        <v>0</v>
      </c>
      <c r="J704" s="99">
        <f>SUM(SamplingData[[#This Row],[Losing Candidate]:[Under Votes]])</f>
        <v>8</v>
      </c>
      <c r="K704"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704" s="100">
        <f>IF(AND(SamplingData[[#This Row],[Total]]&lt;&gt; 0, NOT(ISBLANK(SamplingData[[#This Row],[Candidate 3]]))),(SamplingData[[#This Row],[Total]]+SamplingData[[#This Row],[Winning Candidate]]-SamplingData[[#This Row],[Candidate 3]])/(SamplingData[[#Totals],[Winning Candidate]]-SamplingData[[#Totals],[Candidate 3]]), 0)</f>
        <v>2.9035067909797722E-4</v>
      </c>
      <c r="M704" s="100">
        <f>IF(AND(SamplingData[[#This Row],[Total]]&lt;&gt; 0, NOT(ISBLANK(SamplingData[[#This Row],[Candidate 4]]))),(SamplingData[[#This Row],[Total]]+SamplingData[[#This Row],[Winning Candidate]]-SamplingData[[#This Row],[Candidate 4]])/(SamplingData[[#Totals],[Winning Candidate]]-SamplingData[[#Totals],[Candidate 4]]), 0)</f>
        <v>2.6308866087871614E-4</v>
      </c>
      <c r="N704" s="100">
        <f>IF(AND(SamplingData[[#This Row],[Total]]&lt;&gt; 0, NOT(ISBLANK(SamplingData[[#This Row],[Candidate 5]]))),(SamplingData[[#This Row],[Total]]+SamplingData[[#This Row],[Winning Candidate]]-SamplingData[[#This Row],[Candidate 5]])/(SamplingData[[#Totals],[Winning Candidate]]-SamplingData[[#Totals],[Candidate 5]]), 0)</f>
        <v>2.4324981756263683E-4</v>
      </c>
      <c r="O704" s="100">
        <f>IF(AND(SamplingData[[#This Row],[Total]]&lt;&gt; 0, NOT(ISBLANK(SamplingData[[#This Row],[Candidate 6]]))),(SamplingData[[#This Row],[Total]]+SamplingData[[#This Row],[Winning Candidate]]-SamplingData[[#This Row],[Candidate 6]])/(SamplingData[[#Totals],[Winning Candidate]]-SamplingData[[#Totals],[Candidate 6]]), 0)</f>
        <v>2.431788337143135E-4</v>
      </c>
      <c r="P704" s="100">
        <f>MAX(SamplingData[[#This Row],[Error Bound (up) - Max. possible relative overstatement - Losing Candidate]:[Error Bound (up) - Max. possible relative overstatement - Candidate 6]])</f>
        <v>3.6746692797648211E-4</v>
      </c>
      <c r="Q704" s="100">
        <f>IF(SamplingData[[#This Row],[Max Error Bound (up)]] = 0,0,SamplingData[[#This Row],[Max Error Bound (up)]]/SamplingData[[#Totals],[Max Error Bound (up)]])</f>
        <v>5.8157689670674986E-5</v>
      </c>
      <c r="R704" s="101">
        <f>SUM($Q$5:Q704)</f>
        <v>0.19367560645028153</v>
      </c>
      <c r="S704" s="100" t="str">
        <f t="array" ref="S704">IF(SamplingData[[#This Row],[up/U Selection Probability]] = 0, "Zero", TEXT(SamplingData[[#This Row],[Lower Range]], REPT("0",LEN('General Info'!$B$40))) &amp; " - " &amp; TEXT(SamplingData[[#This Row],[Upper Range]], REPT("0",LEN('General Info'!$B$40))))</f>
        <v>19362 - 19367</v>
      </c>
      <c r="T704" s="100">
        <f>SamplingData[[#This Row],[Upper Range]]-SamplingData[[#This Row],[Span]]</f>
        <v>19361.744934218776</v>
      </c>
      <c r="U704" s="100">
        <f>IF(ISNUMBER('General Info'!$B$40), ((SamplingData[[#This Row],[up/U Selection Probability]]) * 'General Info'!$B$40) - 1, 0)</f>
        <v>4.815710809377828</v>
      </c>
      <c r="V704" s="100">
        <f>IF(ISNUMBER('General Info'!$B$40), (SamplingData[[#This Row],[Running (cumulative) sum]] * ('General Info'!$B$40 -'General Info'!$B$41 + 1)) + 'General Info'!$B$41 - 1, 0)</f>
        <v>19366.560645028152</v>
      </c>
      <c r="W704" s="100" t="str">
        <f>IF(ISERROR(MATCH(SamplingData[[#This Row],[Batch by Type (p)]],SelectedPrecincts[Batch Name], 0)), "", INDEX(SelectedPrecincts[Draw], MATCH(SamplingData[[#This Row],[Batch by Type (p)]],SelectedPrecincts[Batch Name], 0)))</f>
        <v/>
      </c>
      <c r="X704" s="102">
        <f>IF(COUNTIF(SelectedPrecincts[Batch Name],SamplingData[[#This Row],[Batch by Type (p)]]) &lt;&gt; 0, COUNTIF(SelectedPrecincts[Batch Name],SamplingData[[#This Row],[Batch by Type (p)]]), 0)</f>
        <v>0</v>
      </c>
    </row>
    <row r="705" spans="1:24" ht="15" customHeight="1">
      <c r="A705" s="18" t="s">
        <v>881</v>
      </c>
      <c r="B705" s="18">
        <v>19</v>
      </c>
      <c r="C705" s="18">
        <v>30</v>
      </c>
      <c r="D705" s="16">
        <v>7</v>
      </c>
      <c r="E705" s="16">
        <v>7</v>
      </c>
      <c r="F705" s="37">
        <v>0</v>
      </c>
      <c r="G705" s="37">
        <v>0</v>
      </c>
      <c r="H705" s="17">
        <v>1</v>
      </c>
      <c r="I705" s="17">
        <v>0</v>
      </c>
      <c r="J705" s="99">
        <f>SUM(SamplingData[[#This Row],[Losing Candidate]:[Under Votes]])</f>
        <v>64</v>
      </c>
      <c r="K705" s="100">
        <f>IF(AND(SamplingData[[#This Row],[Total]]&lt;&gt; 0, NOT(ISBLANK(SamplingData[[#This Row],[Losing Candidate]]))),(SamplingData[[#This Row],[Total]]+SamplingData[[#This Row],[Winning Candidate]]-SamplingData[[#This Row],[Losing Candidate]])/(SamplingData[[#Totals],[Winning Candidate]]-SamplingData[[#Totals],[Losing Candidate]]), 0)</f>
        <v>4.5933365997060261E-3</v>
      </c>
      <c r="L705" s="100">
        <f>IF(AND(SamplingData[[#This Row],[Total]]&lt;&gt; 0, NOT(ISBLANK(SamplingData[[#This Row],[Candidate 3]]))),(SamplingData[[#This Row],[Total]]+SamplingData[[#This Row],[Winning Candidate]]-SamplingData[[#This Row],[Candidate 3]])/(SamplingData[[#Totals],[Winning Candidate]]-SamplingData[[#Totals],[Candidate 3]]), 0)</f>
        <v>2.8067232312804463E-3</v>
      </c>
      <c r="M705" s="100">
        <f>IF(AND(SamplingData[[#This Row],[Total]]&lt;&gt; 0, NOT(ISBLANK(SamplingData[[#This Row],[Candidate 4]]))),(SamplingData[[#This Row],[Total]]+SamplingData[[#This Row],[Winning Candidate]]-SamplingData[[#This Row],[Candidate 4]])/(SamplingData[[#Totals],[Winning Candidate]]-SamplingData[[#Totals],[Candidate 4]]), 0)</f>
        <v>2.5431903884942557E-3</v>
      </c>
      <c r="N705" s="100">
        <f>IF(AND(SamplingData[[#This Row],[Total]]&lt;&gt; 0, NOT(ISBLANK(SamplingData[[#This Row],[Candidate 5]]))),(SamplingData[[#This Row],[Total]]+SamplingData[[#This Row],[Winning Candidate]]-SamplingData[[#This Row],[Candidate 5]])/(SamplingData[[#Totals],[Winning Candidate]]-SamplingData[[#Totals],[Candidate 5]]), 0)</f>
        <v>2.2865482850887861E-3</v>
      </c>
      <c r="O705" s="100">
        <f>IF(AND(SamplingData[[#This Row],[Total]]&lt;&gt; 0, NOT(ISBLANK(SamplingData[[#This Row],[Candidate 6]]))),(SamplingData[[#This Row],[Total]]+SamplingData[[#This Row],[Winning Candidate]]-SamplingData[[#This Row],[Candidate 6]])/(SamplingData[[#Totals],[Winning Candidate]]-SamplingData[[#Totals],[Candidate 6]]), 0)</f>
        <v>2.285881036914547E-3</v>
      </c>
      <c r="P705" s="100">
        <f>MAX(SamplingData[[#This Row],[Error Bound (up) - Max. possible relative overstatement - Losing Candidate]:[Error Bound (up) - Max. possible relative overstatement - Candidate 6]])</f>
        <v>4.5933365997060261E-3</v>
      </c>
      <c r="Q705" s="100">
        <f>IF(SamplingData[[#This Row],[Max Error Bound (up)]] = 0,0,SamplingData[[#This Row],[Max Error Bound (up)]]/SamplingData[[#Totals],[Max Error Bound (up)]])</f>
        <v>7.2697112088343735E-4</v>
      </c>
      <c r="R705" s="101">
        <f>SUM($Q$5:Q705)</f>
        <v>0.19440257757116497</v>
      </c>
      <c r="S705" s="100" t="str">
        <f t="array" ref="S705">IF(SamplingData[[#This Row],[up/U Selection Probability]] = 0, "Zero", TEXT(SamplingData[[#This Row],[Lower Range]], REPT("0",LEN('General Info'!$B$40))) &amp; " - " &amp; TEXT(SamplingData[[#This Row],[Upper Range]], REPT("0",LEN('General Info'!$B$40))))</f>
        <v>19368 - 19439</v>
      </c>
      <c r="T705" s="100">
        <f>SamplingData[[#This Row],[Upper Range]]-SamplingData[[#This Row],[Span]]</f>
        <v>19367.561371999276</v>
      </c>
      <c r="U705" s="100">
        <f>IF(ISNUMBER('General Info'!$B$40), ((SamplingData[[#This Row],[up/U Selection Probability]]) * 'General Info'!$B$40) - 1, 0)</f>
        <v>71.696385117222846</v>
      </c>
      <c r="V705" s="100">
        <f>IF(ISNUMBER('General Info'!$B$40), (SamplingData[[#This Row],[Running (cumulative) sum]] * ('General Info'!$B$40 -'General Info'!$B$41 + 1)) + 'General Info'!$B$41 - 1, 0)</f>
        <v>19439.257757116498</v>
      </c>
      <c r="W705" s="100" t="str">
        <f>IF(ISERROR(MATCH(SamplingData[[#This Row],[Batch by Type (p)]],SelectedPrecincts[Batch Name], 0)), "", INDEX(SelectedPrecincts[Draw], MATCH(SamplingData[[#This Row],[Batch by Type (p)]],SelectedPrecincts[Batch Name], 0)))</f>
        <v/>
      </c>
      <c r="X705" s="102">
        <f>IF(COUNTIF(SelectedPrecincts[Batch Name],SamplingData[[#This Row],[Batch by Type (p)]]) &lt;&gt; 0, COUNTIF(SelectedPrecincts[Batch Name],SamplingData[[#This Row],[Batch by Type (p)]]), 0)</f>
        <v>0</v>
      </c>
    </row>
    <row r="706" spans="1:24" ht="15" customHeight="1">
      <c r="A706" s="18" t="s">
        <v>882</v>
      </c>
      <c r="B706" s="18">
        <v>10</v>
      </c>
      <c r="C706" s="18">
        <v>8</v>
      </c>
      <c r="D706" s="18">
        <v>7</v>
      </c>
      <c r="E706" s="18">
        <v>2</v>
      </c>
      <c r="F706" s="18">
        <v>1</v>
      </c>
      <c r="G706" s="18">
        <v>0</v>
      </c>
      <c r="H706" s="18">
        <v>0</v>
      </c>
      <c r="I706" s="18">
        <v>0</v>
      </c>
      <c r="J706" s="99">
        <f>SUM(SamplingData[[#This Row],[Losing Candidate]:[Under Votes]])</f>
        <v>28</v>
      </c>
      <c r="K706"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706" s="100">
        <f>IF(AND(SamplingData[[#This Row],[Total]]&lt;&gt; 0, NOT(ISBLANK(SamplingData[[#This Row],[Candidate 3]]))),(SamplingData[[#This Row],[Total]]+SamplingData[[#This Row],[Winning Candidate]]-SamplingData[[#This Row],[Candidate 3]])/(SamplingData[[#Totals],[Winning Candidate]]-SamplingData[[#Totals],[Candidate 3]]), 0)</f>
        <v>9.3557441042681547E-4</v>
      </c>
      <c r="M706" s="100">
        <f>IF(AND(SamplingData[[#This Row],[Total]]&lt;&gt; 0, NOT(ISBLANK(SamplingData[[#This Row],[Candidate 4]]))),(SamplingData[[#This Row],[Total]]+SamplingData[[#This Row],[Winning Candidate]]-SamplingData[[#This Row],[Candidate 4]])/(SamplingData[[#Totals],[Winning Candidate]]-SamplingData[[#Totals],[Candidate 4]]), 0)</f>
        <v>9.9389049665292765E-4</v>
      </c>
      <c r="N706" s="100">
        <f>IF(AND(SamplingData[[#This Row],[Total]]&lt;&gt; 0, NOT(ISBLANK(SamplingData[[#This Row],[Candidate 5]]))),(SamplingData[[#This Row],[Total]]+SamplingData[[#This Row],[Winning Candidate]]-SamplingData[[#This Row],[Candidate 5]])/(SamplingData[[#Totals],[Winning Candidate]]-SamplingData[[#Totals],[Candidate 5]]), 0)</f>
        <v>8.5137436146922891E-4</v>
      </c>
      <c r="O706" s="100">
        <f>IF(AND(SamplingData[[#This Row],[Total]]&lt;&gt; 0, NOT(ISBLANK(SamplingData[[#This Row],[Candidate 6]]))),(SamplingData[[#This Row],[Total]]+SamplingData[[#This Row],[Winning Candidate]]-SamplingData[[#This Row],[Candidate 6]])/(SamplingData[[#Totals],[Winning Candidate]]-SamplingData[[#Totals],[Candidate 6]]), 0)</f>
        <v>8.7544380137152865E-4</v>
      </c>
      <c r="P706" s="100">
        <f>MAX(SamplingData[[#This Row],[Error Bound (up) - Max. possible relative overstatement - Losing Candidate]:[Error Bound (up) - Max. possible relative overstatement - Candidate 6]])</f>
        <v>1.5923566878980893E-3</v>
      </c>
      <c r="Q706" s="100">
        <f>IF(SamplingData[[#This Row],[Max Error Bound (up)]] = 0,0,SamplingData[[#This Row],[Max Error Bound (up)]]/SamplingData[[#Totals],[Max Error Bound (up)]])</f>
        <v>2.5201665523959162E-4</v>
      </c>
      <c r="R706" s="101">
        <f>SUM($Q$5:Q706)</f>
        <v>0.19465459422640455</v>
      </c>
      <c r="S706" s="100" t="str">
        <f t="array" ref="S706">IF(SamplingData[[#This Row],[up/U Selection Probability]] = 0, "Zero", TEXT(SamplingData[[#This Row],[Lower Range]], REPT("0",LEN('General Info'!$B$40))) &amp; " - " &amp; TEXT(SamplingData[[#This Row],[Upper Range]], REPT("0",LEN('General Info'!$B$40))))</f>
        <v>19440 - 19464</v>
      </c>
      <c r="T706" s="100">
        <f>SamplingData[[#This Row],[Upper Range]]-SamplingData[[#This Row],[Span]]</f>
        <v>19440.258009133151</v>
      </c>
      <c r="U706" s="100">
        <f>IF(ISNUMBER('General Info'!$B$40), ((SamplingData[[#This Row],[up/U Selection Probability]]) * 'General Info'!$B$40) - 1, 0)</f>
        <v>24.201413507303922</v>
      </c>
      <c r="V706" s="100">
        <f>IF(ISNUMBER('General Info'!$B$40), (SamplingData[[#This Row],[Running (cumulative) sum]] * ('General Info'!$B$40 -'General Info'!$B$41 + 1)) + 'General Info'!$B$41 - 1, 0)</f>
        <v>19464.459422640455</v>
      </c>
      <c r="W706" s="100" t="str">
        <f>IF(ISERROR(MATCH(SamplingData[[#This Row],[Batch by Type (p)]],SelectedPrecincts[Batch Name], 0)), "", INDEX(SelectedPrecincts[Draw], MATCH(SamplingData[[#This Row],[Batch by Type (p)]],SelectedPrecincts[Batch Name], 0)))</f>
        <v/>
      </c>
      <c r="X706" s="102">
        <f>IF(COUNTIF(SelectedPrecincts[Batch Name],SamplingData[[#This Row],[Batch by Type (p)]]) &lt;&gt; 0, COUNTIF(SelectedPrecincts[Batch Name],SamplingData[[#This Row],[Batch by Type (p)]]), 0)</f>
        <v>0</v>
      </c>
    </row>
    <row r="707" spans="1:24" ht="15" customHeight="1">
      <c r="A707" s="18" t="s">
        <v>883</v>
      </c>
      <c r="B707" s="18">
        <v>35</v>
      </c>
      <c r="C707" s="18">
        <v>38</v>
      </c>
      <c r="D707" s="16">
        <v>11</v>
      </c>
      <c r="E707" s="16">
        <v>13</v>
      </c>
      <c r="F707" s="37">
        <v>0</v>
      </c>
      <c r="G707" s="37">
        <v>2</v>
      </c>
      <c r="H707" s="17">
        <v>0</v>
      </c>
      <c r="I707" s="17">
        <v>1</v>
      </c>
      <c r="J707" s="99">
        <f>SUM(SamplingData[[#This Row],[Losing Candidate]:[Under Votes]])</f>
        <v>100</v>
      </c>
      <c r="K707" s="100">
        <f>IF(AND(SamplingData[[#This Row],[Total]]&lt;&gt; 0, NOT(ISBLANK(SamplingData[[#This Row],[Losing Candidate]]))),(SamplingData[[#This Row],[Total]]+SamplingData[[#This Row],[Winning Candidate]]-SamplingData[[#This Row],[Losing Candidate]])/(SamplingData[[#Totals],[Winning Candidate]]-SamplingData[[#Totals],[Losing Candidate]]), 0)</f>
        <v>6.3081822635962766E-3</v>
      </c>
      <c r="L707" s="100">
        <f>IF(AND(SamplingData[[#This Row],[Total]]&lt;&gt; 0, NOT(ISBLANK(SamplingData[[#This Row],[Candidate 3]]))),(SamplingData[[#This Row],[Total]]+SamplingData[[#This Row],[Winning Candidate]]-SamplingData[[#This Row],[Candidate 3]])/(SamplingData[[#Totals],[Winning Candidate]]-SamplingData[[#Totals],[Candidate 3]]), 0)</f>
        <v>4.0971706939381229E-3</v>
      </c>
      <c r="M707" s="100">
        <f>IF(AND(SamplingData[[#This Row],[Total]]&lt;&gt; 0, NOT(ISBLANK(SamplingData[[#This Row],[Candidate 4]]))),(SamplingData[[#This Row],[Total]]+SamplingData[[#This Row],[Winning Candidate]]-SamplingData[[#This Row],[Candidate 4]])/(SamplingData[[#Totals],[Winning Candidate]]-SamplingData[[#Totals],[Candidate 4]]), 0)</f>
        <v>3.6540091788710575E-3</v>
      </c>
      <c r="N707" s="100">
        <f>IF(AND(SamplingData[[#This Row],[Total]]&lt;&gt; 0, NOT(ISBLANK(SamplingData[[#This Row],[Candidate 5]]))),(SamplingData[[#This Row],[Total]]+SamplingData[[#This Row],[Winning Candidate]]-SamplingData[[#This Row],[Candidate 5]])/(SamplingData[[#Totals],[Winning Candidate]]-SamplingData[[#Totals],[Candidate 5]]), 0)</f>
        <v>3.3568474823643881E-3</v>
      </c>
      <c r="O707" s="100">
        <f>IF(AND(SamplingData[[#This Row],[Total]]&lt;&gt; 0, NOT(ISBLANK(SamplingData[[#This Row],[Candidate 6]]))),(SamplingData[[#This Row],[Total]]+SamplingData[[#This Row],[Winning Candidate]]-SamplingData[[#This Row],[Candidate 6]])/(SamplingData[[#Totals],[Winning Candidate]]-SamplingData[[#Totals],[Candidate 6]]), 0)</f>
        <v>3.3072321385146635E-3</v>
      </c>
      <c r="P707" s="100">
        <f>MAX(SamplingData[[#This Row],[Error Bound (up) - Max. possible relative overstatement - Losing Candidate]:[Error Bound (up) - Max. possible relative overstatement - Candidate 6]])</f>
        <v>6.3081822635962766E-3</v>
      </c>
      <c r="Q707" s="100">
        <f>IF(SamplingData[[#This Row],[Max Error Bound (up)]] = 0,0,SamplingData[[#This Row],[Max Error Bound (up)]]/SamplingData[[#Totals],[Max Error Bound (up)]])</f>
        <v>9.9837367267992076E-4</v>
      </c>
      <c r="R707" s="101">
        <f>SUM($Q$5:Q707)</f>
        <v>0.19565296789908446</v>
      </c>
      <c r="S707" s="100" t="str">
        <f t="array" ref="S707">IF(SamplingData[[#This Row],[up/U Selection Probability]] = 0, "Zero", TEXT(SamplingData[[#This Row],[Lower Range]], REPT("0",LEN('General Info'!$B$40))) &amp; " - " &amp; TEXT(SamplingData[[#This Row],[Upper Range]], REPT("0",LEN('General Info'!$B$40))))</f>
        <v>19465 - 19564</v>
      </c>
      <c r="T707" s="100">
        <f>SamplingData[[#This Row],[Upper Range]]-SamplingData[[#This Row],[Span]]</f>
        <v>19465.460421014126</v>
      </c>
      <c r="U707" s="100">
        <f>IF(ISNUMBER('General Info'!$B$40), ((SamplingData[[#This Row],[up/U Selection Probability]]) * 'General Info'!$B$40) - 1, 0)</f>
        <v>98.836368894319392</v>
      </c>
      <c r="V707" s="100">
        <f>IF(ISNUMBER('General Info'!$B$40), (SamplingData[[#This Row],[Running (cumulative) sum]] * ('General Info'!$B$40 -'General Info'!$B$41 + 1)) + 'General Info'!$B$41 - 1, 0)</f>
        <v>19564.296789908447</v>
      </c>
      <c r="W707" s="100" t="str">
        <f>IF(ISERROR(MATCH(SamplingData[[#This Row],[Batch by Type (p)]],SelectedPrecincts[Batch Name], 0)), "", INDEX(SelectedPrecincts[Draw], MATCH(SamplingData[[#This Row],[Batch by Type (p)]],SelectedPrecincts[Batch Name], 0)))</f>
        <v/>
      </c>
      <c r="X707" s="102">
        <f>IF(COUNTIF(SelectedPrecincts[Batch Name],SamplingData[[#This Row],[Batch by Type (p)]]) &lt;&gt; 0, COUNTIF(SelectedPrecincts[Batch Name],SamplingData[[#This Row],[Batch by Type (p)]]), 0)</f>
        <v>0</v>
      </c>
    </row>
    <row r="708" spans="1:24" ht="15" customHeight="1">
      <c r="A708" s="18" t="s">
        <v>884</v>
      </c>
      <c r="B708" s="18">
        <v>9</v>
      </c>
      <c r="C708" s="18">
        <v>12</v>
      </c>
      <c r="D708" s="18">
        <v>5</v>
      </c>
      <c r="E708" s="18">
        <v>2</v>
      </c>
      <c r="F708" s="18">
        <v>0</v>
      </c>
      <c r="G708" s="18">
        <v>1</v>
      </c>
      <c r="H708" s="18">
        <v>0</v>
      </c>
      <c r="I708" s="18">
        <v>0</v>
      </c>
      <c r="J708" s="99">
        <f>SUM(SamplingData[[#This Row],[Losing Candidate]:[Under Votes]])</f>
        <v>29</v>
      </c>
      <c r="K708"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708" s="100">
        <f>IF(AND(SamplingData[[#This Row],[Total]]&lt;&gt; 0, NOT(ISBLANK(SamplingData[[#This Row],[Candidate 3]]))),(SamplingData[[#This Row],[Total]]+SamplingData[[#This Row],[Winning Candidate]]-SamplingData[[#This Row],[Candidate 3]])/(SamplingData[[#Totals],[Winning Candidate]]-SamplingData[[#Totals],[Candidate 3]]), 0)</f>
        <v>1.1614027163919089E-3</v>
      </c>
      <c r="M708" s="100">
        <f>IF(AND(SamplingData[[#This Row],[Total]]&lt;&gt; 0, NOT(ISBLANK(SamplingData[[#This Row],[Candidate 4]]))),(SamplingData[[#This Row],[Total]]+SamplingData[[#This Row],[Winning Candidate]]-SamplingData[[#This Row],[Candidate 4]])/(SamplingData[[#Totals],[Winning Candidate]]-SamplingData[[#Totals],[Candidate 4]]), 0)</f>
        <v>1.14005086380777E-3</v>
      </c>
      <c r="N708" s="100">
        <f>IF(AND(SamplingData[[#This Row],[Total]]&lt;&gt; 0, NOT(ISBLANK(SamplingData[[#This Row],[Candidate 5]]))),(SamplingData[[#This Row],[Total]]+SamplingData[[#This Row],[Winning Candidate]]-SamplingData[[#This Row],[Candidate 5]])/(SamplingData[[#Totals],[Winning Candidate]]-SamplingData[[#Totals],[Candidate 5]]), 0)</f>
        <v>9.9732425200681099E-4</v>
      </c>
      <c r="O708" s="100">
        <f>IF(AND(SamplingData[[#This Row],[Total]]&lt;&gt; 0, NOT(ISBLANK(SamplingData[[#This Row],[Candidate 6]]))),(SamplingData[[#This Row],[Total]]+SamplingData[[#This Row],[Winning Candidate]]-SamplingData[[#This Row],[Candidate 6]])/(SamplingData[[#Totals],[Winning Candidate]]-SamplingData[[#Totals],[Candidate 6]]), 0)</f>
        <v>9.7271533485725399E-4</v>
      </c>
      <c r="P708" s="100">
        <f>MAX(SamplingData[[#This Row],[Error Bound (up) - Max. possible relative overstatement - Losing Candidate]:[Error Bound (up) - Max. possible relative overstatement - Candidate 6]])</f>
        <v>1.9598236158745713E-3</v>
      </c>
      <c r="Q708" s="100">
        <f>IF(SamplingData[[#This Row],[Max Error Bound (up)]] = 0,0,SamplingData[[#This Row],[Max Error Bound (up)]]/SamplingData[[#Totals],[Max Error Bound (up)]])</f>
        <v>3.1017434491026661E-4</v>
      </c>
      <c r="R708" s="101">
        <f>SUM($Q$5:Q708)</f>
        <v>0.19596314224399472</v>
      </c>
      <c r="S708" s="100" t="str">
        <f t="array" ref="S708">IF(SamplingData[[#This Row],[up/U Selection Probability]] = 0, "Zero", TEXT(SamplingData[[#This Row],[Lower Range]], REPT("0",LEN('General Info'!$B$40))) &amp; " - " &amp; TEXT(SamplingData[[#This Row],[Upper Range]], REPT("0",LEN('General Info'!$B$40))))</f>
        <v>19565 - 19595</v>
      </c>
      <c r="T708" s="100">
        <f>SamplingData[[#This Row],[Upper Range]]-SamplingData[[#This Row],[Span]]</f>
        <v>19565.297100082793</v>
      </c>
      <c r="U708" s="100">
        <f>IF(ISNUMBER('General Info'!$B$40), ((SamplingData[[#This Row],[up/U Selection Probability]]) * 'General Info'!$B$40) - 1, 0)</f>
        <v>30.017124316681752</v>
      </c>
      <c r="V708" s="100">
        <f>IF(ISNUMBER('General Info'!$B$40), (SamplingData[[#This Row],[Running (cumulative) sum]] * ('General Info'!$B$40 -'General Info'!$B$41 + 1)) + 'General Info'!$B$41 - 1, 0)</f>
        <v>19595.314224399473</v>
      </c>
      <c r="W708" s="100" t="str">
        <f>IF(ISERROR(MATCH(SamplingData[[#This Row],[Batch by Type (p)]],SelectedPrecincts[Batch Name], 0)), "", INDEX(SelectedPrecincts[Draw], MATCH(SamplingData[[#This Row],[Batch by Type (p)]],SelectedPrecincts[Batch Name], 0)))</f>
        <v/>
      </c>
      <c r="X708" s="102">
        <f>IF(COUNTIF(SelectedPrecincts[Batch Name],SamplingData[[#This Row],[Batch by Type (p)]]) &lt;&gt; 0, COUNTIF(SelectedPrecincts[Batch Name],SamplingData[[#This Row],[Batch by Type (p)]]), 0)</f>
        <v>0</v>
      </c>
    </row>
    <row r="709" spans="1:24" ht="15" customHeight="1">
      <c r="A709" s="18" t="s">
        <v>885</v>
      </c>
      <c r="B709" s="18">
        <v>29</v>
      </c>
      <c r="C709" s="18">
        <v>44</v>
      </c>
      <c r="D709" s="16">
        <v>7</v>
      </c>
      <c r="E709" s="16">
        <v>10</v>
      </c>
      <c r="F709" s="37">
        <v>2</v>
      </c>
      <c r="G709" s="37">
        <v>0</v>
      </c>
      <c r="H709" s="17">
        <v>0</v>
      </c>
      <c r="I709" s="17">
        <v>0</v>
      </c>
      <c r="J709" s="99">
        <f>SUM(SamplingData[[#This Row],[Losing Candidate]:[Under Votes]])</f>
        <v>92</v>
      </c>
      <c r="K709" s="100">
        <f>IF(AND(SamplingData[[#This Row],[Total]]&lt;&gt; 0, NOT(ISBLANK(SamplingData[[#This Row],[Losing Candidate]]))),(SamplingData[[#This Row],[Total]]+SamplingData[[#This Row],[Winning Candidate]]-SamplingData[[#This Row],[Losing Candidate]])/(SamplingData[[#Totals],[Winning Candidate]]-SamplingData[[#Totals],[Losing Candidate]]), 0)</f>
        <v>6.5531602155805974E-3</v>
      </c>
      <c r="L709" s="100">
        <f>IF(AND(SamplingData[[#This Row],[Total]]&lt;&gt; 0, NOT(ISBLANK(SamplingData[[#This Row],[Candidate 3]]))),(SamplingData[[#This Row],[Total]]+SamplingData[[#This Row],[Winning Candidate]]-SamplingData[[#This Row],[Candidate 3]])/(SamplingData[[#Totals],[Winning Candidate]]-SamplingData[[#Totals],[Candidate 3]]), 0)</f>
        <v>4.1616930670710069E-3</v>
      </c>
      <c r="M709" s="100">
        <f>IF(AND(SamplingData[[#This Row],[Total]]&lt;&gt; 0, NOT(ISBLANK(SamplingData[[#This Row],[Candidate 4]]))),(SamplingData[[#This Row],[Total]]+SamplingData[[#This Row],[Winning Candidate]]-SamplingData[[#This Row],[Candidate 4]])/(SamplingData[[#Totals],[Winning Candidate]]-SamplingData[[#Totals],[Candidate 4]]), 0)</f>
        <v>3.6832412523020259E-3</v>
      </c>
      <c r="N709" s="100">
        <f>IF(AND(SamplingData[[#This Row],[Total]]&lt;&gt; 0, NOT(ISBLANK(SamplingData[[#This Row],[Candidate 5]]))),(SamplingData[[#This Row],[Total]]+SamplingData[[#This Row],[Winning Candidate]]-SamplingData[[#This Row],[Candidate 5]])/(SamplingData[[#Totals],[Winning Candidate]]-SamplingData[[#Totals],[Candidate 5]]), 0)</f>
        <v>3.2595475553393333E-3</v>
      </c>
      <c r="O709" s="100">
        <f>IF(AND(SamplingData[[#This Row],[Total]]&lt;&gt; 0, NOT(ISBLANK(SamplingData[[#This Row],[Candidate 6]]))),(SamplingData[[#This Row],[Total]]+SamplingData[[#This Row],[Winning Candidate]]-SamplingData[[#This Row],[Candidate 6]])/(SamplingData[[#Totals],[Winning Candidate]]-SamplingData[[#Totals],[Candidate 6]]), 0)</f>
        <v>3.3072321385146635E-3</v>
      </c>
      <c r="P709" s="100">
        <f>MAX(SamplingData[[#This Row],[Error Bound (up) - Max. possible relative overstatement - Losing Candidate]:[Error Bound (up) - Max. possible relative overstatement - Candidate 6]])</f>
        <v>6.5531602155805974E-3</v>
      </c>
      <c r="Q709" s="100">
        <f>IF(SamplingData[[#This Row],[Max Error Bound (up)]] = 0,0,SamplingData[[#This Row],[Max Error Bound (up)]]/SamplingData[[#Totals],[Max Error Bound (up)]])</f>
        <v>1.0371454657937039E-3</v>
      </c>
      <c r="R709" s="101">
        <f>SUM($Q$5:Q709)</f>
        <v>0.19700028770978842</v>
      </c>
      <c r="S709" s="100" t="str">
        <f t="array" ref="S709">IF(SamplingData[[#This Row],[up/U Selection Probability]] = 0, "Zero", TEXT(SamplingData[[#This Row],[Lower Range]], REPT("0",LEN('General Info'!$B$40))) &amp; " - " &amp; TEXT(SamplingData[[#This Row],[Upper Range]], REPT("0",LEN('General Info'!$B$40))))</f>
        <v>19596 - 19699</v>
      </c>
      <c r="T709" s="100">
        <f>SamplingData[[#This Row],[Upper Range]]-SamplingData[[#This Row],[Span]]</f>
        <v>19596.31526154494</v>
      </c>
      <c r="U709" s="100">
        <f>IF(ISNUMBER('General Info'!$B$40), ((SamplingData[[#This Row],[up/U Selection Probability]]) * 'General Info'!$B$40) - 1, 0)</f>
        <v>102.71350943390459</v>
      </c>
      <c r="V709" s="100">
        <f>IF(ISNUMBER('General Info'!$B$40), (SamplingData[[#This Row],[Running (cumulative) sum]] * ('General Info'!$B$40 -'General Info'!$B$41 + 1)) + 'General Info'!$B$41 - 1, 0)</f>
        <v>19699.028770978843</v>
      </c>
      <c r="W709" s="100" t="str">
        <f>IF(ISERROR(MATCH(SamplingData[[#This Row],[Batch by Type (p)]],SelectedPrecincts[Batch Name], 0)), "", INDEX(SelectedPrecincts[Draw], MATCH(SamplingData[[#This Row],[Batch by Type (p)]],SelectedPrecincts[Batch Name], 0)))</f>
        <v/>
      </c>
      <c r="X709" s="102">
        <f>IF(COUNTIF(SelectedPrecincts[Batch Name],SamplingData[[#This Row],[Batch by Type (p)]]) &lt;&gt; 0, COUNTIF(SelectedPrecincts[Batch Name],SamplingData[[#This Row],[Batch by Type (p)]]), 0)</f>
        <v>0</v>
      </c>
    </row>
    <row r="710" spans="1:24" ht="15" customHeight="1">
      <c r="A710" s="18" t="s">
        <v>886</v>
      </c>
      <c r="B710" s="18">
        <v>11</v>
      </c>
      <c r="C710" s="18">
        <v>10</v>
      </c>
      <c r="D710" s="18">
        <v>2</v>
      </c>
      <c r="E710" s="18">
        <v>0</v>
      </c>
      <c r="F710" s="18">
        <v>0</v>
      </c>
      <c r="G710" s="18">
        <v>0</v>
      </c>
      <c r="H710" s="18">
        <v>0</v>
      </c>
      <c r="I710" s="18">
        <v>0</v>
      </c>
      <c r="J710" s="99">
        <f>SUM(SamplingData[[#This Row],[Losing Candidate]:[Under Votes]])</f>
        <v>23</v>
      </c>
      <c r="K710"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710" s="100">
        <f>IF(AND(SamplingData[[#This Row],[Total]]&lt;&gt; 0, NOT(ISBLANK(SamplingData[[#This Row],[Candidate 3]]))),(SamplingData[[#This Row],[Total]]+SamplingData[[#This Row],[Winning Candidate]]-SamplingData[[#This Row],[Candidate 3]])/(SamplingData[[#Totals],[Winning Candidate]]-SamplingData[[#Totals],[Candidate 3]]), 0)</f>
        <v>1.0000967835596993E-3</v>
      </c>
      <c r="M710" s="100">
        <f>IF(AND(SamplingData[[#This Row],[Total]]&lt;&gt; 0, NOT(ISBLANK(SamplingData[[#This Row],[Candidate 4]]))),(SamplingData[[#This Row],[Total]]+SamplingData[[#This Row],[Winning Candidate]]-SamplingData[[#This Row],[Candidate 4]])/(SamplingData[[#Totals],[Winning Candidate]]-SamplingData[[#Totals],[Candidate 4]]), 0)</f>
        <v>9.6465842322195918E-4</v>
      </c>
      <c r="N710" s="100">
        <f>IF(AND(SamplingData[[#This Row],[Total]]&lt;&gt; 0, NOT(ISBLANK(SamplingData[[#This Row],[Candidate 5]]))),(SamplingData[[#This Row],[Total]]+SamplingData[[#This Row],[Winning Candidate]]-SamplingData[[#This Row],[Candidate 5]])/(SamplingData[[#Totals],[Winning Candidate]]-SamplingData[[#Totals],[Candidate 5]]), 0)</f>
        <v>8.0272439795670155E-4</v>
      </c>
      <c r="O710" s="100">
        <f>IF(AND(SamplingData[[#This Row],[Total]]&lt;&gt; 0, NOT(ISBLANK(SamplingData[[#This Row],[Candidate 6]]))),(SamplingData[[#This Row],[Total]]+SamplingData[[#This Row],[Winning Candidate]]-SamplingData[[#This Row],[Candidate 6]])/(SamplingData[[#Totals],[Winning Candidate]]-SamplingData[[#Totals],[Candidate 6]]), 0)</f>
        <v>8.024901512572346E-4</v>
      </c>
      <c r="P710" s="100">
        <f>MAX(SamplingData[[#This Row],[Error Bound (up) - Max. possible relative overstatement - Losing Candidate]:[Error Bound (up) - Max. possible relative overstatement - Candidate 6]])</f>
        <v>1.3473787359137678E-3</v>
      </c>
      <c r="Q710" s="100">
        <f>IF(SamplingData[[#This Row],[Max Error Bound (up)]] = 0,0,SamplingData[[#This Row],[Max Error Bound (up)]]/SamplingData[[#Totals],[Max Error Bound (up)]])</f>
        <v>2.1324486212580832E-4</v>
      </c>
      <c r="R710" s="101">
        <f>SUM($Q$5:Q710)</f>
        <v>0.19721353257191424</v>
      </c>
      <c r="S710" s="100" t="str">
        <f t="array" ref="S710">IF(SamplingData[[#This Row],[up/U Selection Probability]] = 0, "Zero", TEXT(SamplingData[[#This Row],[Lower Range]], REPT("0",LEN('General Info'!$B$40))) &amp; " - " &amp; TEXT(SamplingData[[#This Row],[Upper Range]], REPT("0",LEN('General Info'!$B$40))))</f>
        <v>19700 - 19720</v>
      </c>
      <c r="T710" s="100">
        <f>SamplingData[[#This Row],[Upper Range]]-SamplingData[[#This Row],[Span]]</f>
        <v>19700.028984223703</v>
      </c>
      <c r="U710" s="100">
        <f>IF(ISNUMBER('General Info'!$B$40), ((SamplingData[[#This Row],[up/U Selection Probability]]) * 'General Info'!$B$40) - 1, 0)</f>
        <v>20.324272967718706</v>
      </c>
      <c r="V710" s="100">
        <f>IF(ISNUMBER('General Info'!$B$40), (SamplingData[[#This Row],[Running (cumulative) sum]] * ('General Info'!$B$40 -'General Info'!$B$41 + 1)) + 'General Info'!$B$41 - 1, 0)</f>
        <v>19720.353257191422</v>
      </c>
      <c r="W710" s="100" t="str">
        <f>IF(ISERROR(MATCH(SamplingData[[#This Row],[Batch by Type (p)]],SelectedPrecincts[Batch Name], 0)), "", INDEX(SelectedPrecincts[Draw], MATCH(SamplingData[[#This Row],[Batch by Type (p)]],SelectedPrecincts[Batch Name], 0)))</f>
        <v/>
      </c>
      <c r="X710" s="102">
        <f>IF(COUNTIF(SelectedPrecincts[Batch Name],SamplingData[[#This Row],[Batch by Type (p)]]) &lt;&gt; 0, COUNTIF(SelectedPrecincts[Batch Name],SamplingData[[#This Row],[Batch by Type (p)]]), 0)</f>
        <v>0</v>
      </c>
    </row>
    <row r="711" spans="1:24" ht="15" customHeight="1">
      <c r="A711" s="18" t="s">
        <v>887</v>
      </c>
      <c r="B711" s="18">
        <v>9</v>
      </c>
      <c r="C711" s="18">
        <v>14</v>
      </c>
      <c r="D711" s="16">
        <v>1</v>
      </c>
      <c r="E711" s="16">
        <v>6</v>
      </c>
      <c r="F711" s="37">
        <v>0</v>
      </c>
      <c r="G711" s="37">
        <v>1</v>
      </c>
      <c r="H711" s="17">
        <v>0</v>
      </c>
      <c r="I711" s="17">
        <v>0</v>
      </c>
      <c r="J711" s="99">
        <f>SUM(SamplingData[[#This Row],[Losing Candidate]:[Under Votes]])</f>
        <v>31</v>
      </c>
      <c r="K711" s="100">
        <f>IF(AND(SamplingData[[#This Row],[Total]]&lt;&gt; 0, NOT(ISBLANK(SamplingData[[#This Row],[Losing Candidate]]))),(SamplingData[[#This Row],[Total]]+SamplingData[[#This Row],[Winning Candidate]]-SamplingData[[#This Row],[Losing Candidate]])/(SamplingData[[#Totals],[Winning Candidate]]-SamplingData[[#Totals],[Losing Candidate]]), 0)</f>
        <v>2.2048015678588929E-3</v>
      </c>
      <c r="L711" s="100">
        <f>IF(AND(SamplingData[[#This Row],[Total]]&lt;&gt; 0, NOT(ISBLANK(SamplingData[[#This Row],[Candidate 3]]))),(SamplingData[[#This Row],[Total]]+SamplingData[[#This Row],[Winning Candidate]]-SamplingData[[#This Row],[Candidate 3]])/(SamplingData[[#Totals],[Winning Candidate]]-SamplingData[[#Totals],[Candidate 3]]), 0)</f>
        <v>1.4194922089234441E-3</v>
      </c>
      <c r="M711" s="100">
        <f>IF(AND(SamplingData[[#This Row],[Total]]&lt;&gt; 0, NOT(ISBLANK(SamplingData[[#This Row],[Candidate 4]]))),(SamplingData[[#This Row],[Total]]+SamplingData[[#This Row],[Winning Candidate]]-SamplingData[[#This Row],[Candidate 4]])/(SamplingData[[#Totals],[Winning Candidate]]-SamplingData[[#Totals],[Candidate 4]]), 0)</f>
        <v>1.14005086380777E-3</v>
      </c>
      <c r="N711" s="100">
        <f>IF(AND(SamplingData[[#This Row],[Total]]&lt;&gt; 0, NOT(ISBLANK(SamplingData[[#This Row],[Candidate 5]]))),(SamplingData[[#This Row],[Total]]+SamplingData[[#This Row],[Winning Candidate]]-SamplingData[[#This Row],[Candidate 5]])/(SamplingData[[#Totals],[Winning Candidate]]-SamplingData[[#Totals],[Candidate 5]]), 0)</f>
        <v>1.0946241790318657E-3</v>
      </c>
      <c r="O711" s="100">
        <f>IF(AND(SamplingData[[#This Row],[Total]]&lt;&gt; 0, NOT(ISBLANK(SamplingData[[#This Row],[Candidate 6]]))),(SamplingData[[#This Row],[Total]]+SamplingData[[#This Row],[Winning Candidate]]-SamplingData[[#This Row],[Candidate 6]])/(SamplingData[[#Totals],[Winning Candidate]]-SamplingData[[#Totals],[Candidate 6]]), 0)</f>
        <v>1.0699868683429793E-3</v>
      </c>
      <c r="P711" s="100">
        <f>MAX(SamplingData[[#This Row],[Error Bound (up) - Max. possible relative overstatement - Losing Candidate]:[Error Bound (up) - Max. possible relative overstatement - Candidate 6]])</f>
        <v>2.2048015678588929E-3</v>
      </c>
      <c r="Q711" s="100">
        <f>IF(SamplingData[[#This Row],[Max Error Bound (up)]] = 0,0,SamplingData[[#This Row],[Max Error Bound (up)]]/SamplingData[[#Totals],[Max Error Bound (up)]])</f>
        <v>3.4894613802404997E-4</v>
      </c>
      <c r="R711" s="101">
        <f>SUM($Q$5:Q711)</f>
        <v>0.19756247870993829</v>
      </c>
      <c r="S711" s="100" t="str">
        <f t="array" ref="S711">IF(SamplingData[[#This Row],[up/U Selection Probability]] = 0, "Zero", TEXT(SamplingData[[#This Row],[Lower Range]], REPT("0",LEN('General Info'!$B$40))) &amp; " - " &amp; TEXT(SamplingData[[#This Row],[Upper Range]], REPT("0",LEN('General Info'!$B$40))))</f>
        <v>19721 - 19755</v>
      </c>
      <c r="T711" s="100">
        <f>SamplingData[[#This Row],[Upper Range]]-SamplingData[[#This Row],[Span]]</f>
        <v>19721.353606137563</v>
      </c>
      <c r="U711" s="100">
        <f>IF(ISNUMBER('General Info'!$B$40), ((SamplingData[[#This Row],[up/U Selection Probability]]) * 'General Info'!$B$40) - 1, 0)</f>
        <v>33.894264856266972</v>
      </c>
      <c r="V711" s="100">
        <f>IF(ISNUMBER('General Info'!$B$40), (SamplingData[[#This Row],[Running (cumulative) sum]] * ('General Info'!$B$40 -'General Info'!$B$41 + 1)) + 'General Info'!$B$41 - 1, 0)</f>
        <v>19755.24787099383</v>
      </c>
      <c r="W711" s="100" t="str">
        <f>IF(ISERROR(MATCH(SamplingData[[#This Row],[Batch by Type (p)]],SelectedPrecincts[Batch Name], 0)), "", INDEX(SelectedPrecincts[Draw], MATCH(SamplingData[[#This Row],[Batch by Type (p)]],SelectedPrecincts[Batch Name], 0)))</f>
        <v/>
      </c>
      <c r="X711" s="102">
        <f>IF(COUNTIF(SelectedPrecincts[Batch Name],SamplingData[[#This Row],[Batch by Type (p)]]) &lt;&gt; 0, COUNTIF(SelectedPrecincts[Batch Name],SamplingData[[#This Row],[Batch by Type (p)]]), 0)</f>
        <v>0</v>
      </c>
    </row>
    <row r="712" spans="1:24" ht="15" customHeight="1">
      <c r="A712" s="18" t="s">
        <v>888</v>
      </c>
      <c r="B712" s="18">
        <v>7</v>
      </c>
      <c r="C712" s="18">
        <v>4</v>
      </c>
      <c r="D712" s="18">
        <v>0</v>
      </c>
      <c r="E712" s="18">
        <v>2</v>
      </c>
      <c r="F712" s="18">
        <v>0</v>
      </c>
      <c r="G712" s="18">
        <v>0</v>
      </c>
      <c r="H712" s="18">
        <v>0</v>
      </c>
      <c r="I712" s="18">
        <v>0</v>
      </c>
      <c r="J712" s="99">
        <f>SUM(SamplingData[[#This Row],[Losing Candidate]:[Under Votes]])</f>
        <v>13</v>
      </c>
      <c r="K71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712" s="100">
        <f>IF(AND(SamplingData[[#This Row],[Total]]&lt;&gt; 0, NOT(ISBLANK(SamplingData[[#This Row],[Candidate 3]]))),(SamplingData[[#This Row],[Total]]+SamplingData[[#This Row],[Winning Candidate]]-SamplingData[[#This Row],[Candidate 3]])/(SamplingData[[#Totals],[Winning Candidate]]-SamplingData[[#Totals],[Candidate 3]]), 0)</f>
        <v>5.4844017162951255E-4</v>
      </c>
      <c r="M712" s="100">
        <f>IF(AND(SamplingData[[#This Row],[Total]]&lt;&gt; 0, NOT(ISBLANK(SamplingData[[#This Row],[Candidate 4]]))),(SamplingData[[#This Row],[Total]]+SamplingData[[#This Row],[Winning Candidate]]-SamplingData[[#This Row],[Candidate 4]])/(SamplingData[[#Totals],[Winning Candidate]]-SamplingData[[#Totals],[Candidate 4]]), 0)</f>
        <v>4.3848110146452689E-4</v>
      </c>
      <c r="N712" s="100">
        <f>IF(AND(SamplingData[[#This Row],[Total]]&lt;&gt; 0, NOT(ISBLANK(SamplingData[[#This Row],[Candidate 5]]))),(SamplingData[[#This Row],[Total]]+SamplingData[[#This Row],[Winning Candidate]]-SamplingData[[#This Row],[Candidate 5]])/(SamplingData[[#Totals],[Winning Candidate]]-SamplingData[[#Totals],[Candidate 5]]), 0)</f>
        <v>4.1352468985648261E-4</v>
      </c>
      <c r="O712" s="100">
        <f>IF(AND(SamplingData[[#This Row],[Total]]&lt;&gt; 0, NOT(ISBLANK(SamplingData[[#This Row],[Candidate 6]]))),(SamplingData[[#This Row],[Total]]+SamplingData[[#This Row],[Winning Candidate]]-SamplingData[[#This Row],[Candidate 6]])/(SamplingData[[#Totals],[Winning Candidate]]-SamplingData[[#Totals],[Candidate 6]]), 0)</f>
        <v>4.1340401731433294E-4</v>
      </c>
      <c r="P712" s="100">
        <f>MAX(SamplingData[[#This Row],[Error Bound (up) - Max. possible relative overstatement - Losing Candidate]:[Error Bound (up) - Max. possible relative overstatement - Candidate 6]])</f>
        <v>6.1244487996080352E-4</v>
      </c>
      <c r="Q712" s="100">
        <f>IF(SamplingData[[#This Row],[Max Error Bound (up)]] = 0,0,SamplingData[[#This Row],[Max Error Bound (up)]]/SamplingData[[#Totals],[Max Error Bound (up)]])</f>
        <v>9.6929482784458319E-5</v>
      </c>
      <c r="R712" s="101">
        <f>SUM($Q$5:Q712)</f>
        <v>0.19765940819272274</v>
      </c>
      <c r="S712" s="100" t="str">
        <f t="array" ref="S712">IF(SamplingData[[#This Row],[up/U Selection Probability]] = 0, "Zero", TEXT(SamplingData[[#This Row],[Lower Range]], REPT("0",LEN('General Info'!$B$40))) &amp; " - " &amp; TEXT(SamplingData[[#This Row],[Upper Range]], REPT("0",LEN('General Info'!$B$40))))</f>
        <v>19756 - 19765</v>
      </c>
      <c r="T712" s="100">
        <f>SamplingData[[#This Row],[Upper Range]]-SamplingData[[#This Row],[Span]]</f>
        <v>19756.247967923311</v>
      </c>
      <c r="U712" s="100">
        <f>IF(ISNUMBER('General Info'!$B$40), ((SamplingData[[#This Row],[up/U Selection Probability]]) * 'General Info'!$B$40) - 1, 0)</f>
        <v>8.6928513489630479</v>
      </c>
      <c r="V712" s="100">
        <f>IF(ISNUMBER('General Info'!$B$40), (SamplingData[[#This Row],[Running (cumulative) sum]] * ('General Info'!$B$40 -'General Info'!$B$41 + 1)) + 'General Info'!$B$41 - 1, 0)</f>
        <v>19764.940819272273</v>
      </c>
      <c r="W712" s="100" t="str">
        <f>IF(ISERROR(MATCH(SamplingData[[#This Row],[Batch by Type (p)]],SelectedPrecincts[Batch Name], 0)), "", INDEX(SelectedPrecincts[Draw], MATCH(SamplingData[[#This Row],[Batch by Type (p)]],SelectedPrecincts[Batch Name], 0)))</f>
        <v/>
      </c>
      <c r="X712" s="102">
        <f>IF(COUNTIF(SelectedPrecincts[Batch Name],SamplingData[[#This Row],[Batch by Type (p)]]) &lt;&gt; 0, COUNTIF(SelectedPrecincts[Batch Name],SamplingData[[#This Row],[Batch by Type (p)]]), 0)</f>
        <v>0</v>
      </c>
    </row>
    <row r="713" spans="1:24" ht="15" customHeight="1">
      <c r="A713" s="18" t="s">
        <v>889</v>
      </c>
      <c r="B713" s="18">
        <v>8</v>
      </c>
      <c r="C713" s="18">
        <v>14</v>
      </c>
      <c r="D713" s="16">
        <v>3</v>
      </c>
      <c r="E713" s="16">
        <v>6</v>
      </c>
      <c r="F713" s="37">
        <v>0</v>
      </c>
      <c r="G713" s="37">
        <v>0</v>
      </c>
      <c r="H713" s="17">
        <v>0</v>
      </c>
      <c r="I713" s="17">
        <v>0</v>
      </c>
      <c r="J713" s="99">
        <f>SUM(SamplingData[[#This Row],[Losing Candidate]:[Under Votes]])</f>
        <v>31</v>
      </c>
      <c r="K713" s="100">
        <f>IF(AND(SamplingData[[#This Row],[Total]]&lt;&gt; 0, NOT(ISBLANK(SamplingData[[#This Row],[Losing Candidate]]))),(SamplingData[[#This Row],[Total]]+SamplingData[[#This Row],[Winning Candidate]]-SamplingData[[#This Row],[Losing Candidate]])/(SamplingData[[#Totals],[Winning Candidate]]-SamplingData[[#Totals],[Losing Candidate]]), 0)</f>
        <v>2.2660460558549728E-3</v>
      </c>
      <c r="L713" s="100">
        <f>IF(AND(SamplingData[[#This Row],[Total]]&lt;&gt; 0, NOT(ISBLANK(SamplingData[[#This Row],[Candidate 3]]))),(SamplingData[[#This Row],[Total]]+SamplingData[[#This Row],[Winning Candidate]]-SamplingData[[#This Row],[Candidate 3]])/(SamplingData[[#Totals],[Winning Candidate]]-SamplingData[[#Totals],[Candidate 3]]), 0)</f>
        <v>1.3549698357905604E-3</v>
      </c>
      <c r="M713" s="100">
        <f>IF(AND(SamplingData[[#This Row],[Total]]&lt;&gt; 0, NOT(ISBLANK(SamplingData[[#This Row],[Candidate 4]]))),(SamplingData[[#This Row],[Total]]+SamplingData[[#This Row],[Winning Candidate]]-SamplingData[[#This Row],[Candidate 4]])/(SamplingData[[#Totals],[Winning Candidate]]-SamplingData[[#Totals],[Candidate 4]]), 0)</f>
        <v>1.14005086380777E-3</v>
      </c>
      <c r="N713" s="100">
        <f>IF(AND(SamplingData[[#This Row],[Total]]&lt;&gt; 0, NOT(ISBLANK(SamplingData[[#This Row],[Candidate 5]]))),(SamplingData[[#This Row],[Total]]+SamplingData[[#This Row],[Winning Candidate]]-SamplingData[[#This Row],[Candidate 5]])/(SamplingData[[#Totals],[Winning Candidate]]-SamplingData[[#Totals],[Candidate 5]]), 0)</f>
        <v>1.0946241790318657E-3</v>
      </c>
      <c r="O713" s="100">
        <f>IF(AND(SamplingData[[#This Row],[Total]]&lt;&gt; 0, NOT(ISBLANK(SamplingData[[#This Row],[Candidate 6]]))),(SamplingData[[#This Row],[Total]]+SamplingData[[#This Row],[Winning Candidate]]-SamplingData[[#This Row],[Candidate 6]])/(SamplingData[[#Totals],[Winning Candidate]]-SamplingData[[#Totals],[Candidate 6]]), 0)</f>
        <v>1.0943047517144107E-3</v>
      </c>
      <c r="P713" s="100">
        <f>MAX(SamplingData[[#This Row],[Error Bound (up) - Max. possible relative overstatement - Losing Candidate]:[Error Bound (up) - Max. possible relative overstatement - Candidate 6]])</f>
        <v>2.2660460558549728E-3</v>
      </c>
      <c r="Q713" s="100">
        <f>IF(SamplingData[[#This Row],[Max Error Bound (up)]] = 0,0,SamplingData[[#This Row],[Max Error Bound (up)]]/SamplingData[[#Totals],[Max Error Bound (up)]])</f>
        <v>3.5863908630249576E-4</v>
      </c>
      <c r="R713" s="101">
        <f>SUM($Q$5:Q713)</f>
        <v>0.19801804727902522</v>
      </c>
      <c r="S713" s="100" t="str">
        <f t="array" ref="S713">IF(SamplingData[[#This Row],[up/U Selection Probability]] = 0, "Zero", TEXT(SamplingData[[#This Row],[Lower Range]], REPT("0",LEN('General Info'!$B$40))) &amp; " - " &amp; TEXT(SamplingData[[#This Row],[Upper Range]], REPT("0",LEN('General Info'!$B$40))))</f>
        <v>19766 - 19801</v>
      </c>
      <c r="T713" s="100">
        <f>SamplingData[[#This Row],[Upper Range]]-SamplingData[[#This Row],[Span]]</f>
        <v>19765.941177911362</v>
      </c>
      <c r="U713" s="100">
        <f>IF(ISNUMBER('General Info'!$B$40), ((SamplingData[[#This Row],[up/U Selection Probability]]) * 'General Info'!$B$40) - 1, 0)</f>
        <v>34.863549991163275</v>
      </c>
      <c r="V713" s="100">
        <f>IF(ISNUMBER('General Info'!$B$40), (SamplingData[[#This Row],[Running (cumulative) sum]] * ('General Info'!$B$40 -'General Info'!$B$41 + 1)) + 'General Info'!$B$41 - 1, 0)</f>
        <v>19800.804727902523</v>
      </c>
      <c r="W713" s="100" t="str">
        <f>IF(ISERROR(MATCH(SamplingData[[#This Row],[Batch by Type (p)]],SelectedPrecincts[Batch Name], 0)), "", INDEX(SelectedPrecincts[Draw], MATCH(SamplingData[[#This Row],[Batch by Type (p)]],SelectedPrecincts[Batch Name], 0)))</f>
        <v/>
      </c>
      <c r="X713" s="102">
        <f>IF(COUNTIF(SelectedPrecincts[Batch Name],SamplingData[[#This Row],[Batch by Type (p)]]) &lt;&gt; 0, COUNTIF(SelectedPrecincts[Batch Name],SamplingData[[#This Row],[Batch by Type (p)]]), 0)</f>
        <v>0</v>
      </c>
    </row>
    <row r="714" spans="1:24" ht="15" customHeight="1">
      <c r="A714" s="18" t="s">
        <v>890</v>
      </c>
      <c r="B714" s="18">
        <v>1</v>
      </c>
      <c r="C714" s="18">
        <v>10</v>
      </c>
      <c r="D714" s="18">
        <v>0</v>
      </c>
      <c r="E714" s="18">
        <v>0</v>
      </c>
      <c r="F714" s="18">
        <v>0</v>
      </c>
      <c r="G714" s="18">
        <v>0</v>
      </c>
      <c r="H714" s="18">
        <v>0</v>
      </c>
      <c r="I714" s="18">
        <v>0</v>
      </c>
      <c r="J714" s="99">
        <f>SUM(SamplingData[[#This Row],[Losing Candidate]:[Under Votes]])</f>
        <v>11</v>
      </c>
      <c r="K71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714" s="100">
        <f>IF(AND(SamplingData[[#This Row],[Total]]&lt;&gt; 0, NOT(ISBLANK(SamplingData[[#This Row],[Candidate 3]]))),(SamplingData[[#This Row],[Total]]+SamplingData[[#This Row],[Winning Candidate]]-SamplingData[[#This Row],[Candidate 3]])/(SamplingData[[#Totals],[Winning Candidate]]-SamplingData[[#Totals],[Candidate 3]]), 0)</f>
        <v>6.7748491789528019E-4</v>
      </c>
      <c r="M714" s="100">
        <f>IF(AND(SamplingData[[#This Row],[Total]]&lt;&gt; 0, NOT(ISBLANK(SamplingData[[#This Row],[Candidate 4]]))),(SamplingData[[#This Row],[Total]]+SamplingData[[#This Row],[Winning Candidate]]-SamplingData[[#This Row],[Candidate 4]])/(SamplingData[[#Totals],[Winning Candidate]]-SamplingData[[#Totals],[Candidate 4]]), 0)</f>
        <v>6.1387354205033758E-4</v>
      </c>
      <c r="N714" s="100">
        <f>IF(AND(SamplingData[[#This Row],[Total]]&lt;&gt; 0, NOT(ISBLANK(SamplingData[[#This Row],[Candidate 5]]))),(SamplingData[[#This Row],[Total]]+SamplingData[[#This Row],[Winning Candidate]]-SamplingData[[#This Row],[Candidate 5]])/(SamplingData[[#Totals],[Winning Candidate]]-SamplingData[[#Totals],[Candidate 5]]), 0)</f>
        <v>5.1082461688153739E-4</v>
      </c>
      <c r="O714" s="100">
        <f>IF(AND(SamplingData[[#This Row],[Total]]&lt;&gt; 0, NOT(ISBLANK(SamplingData[[#This Row],[Candidate 6]]))),(SamplingData[[#This Row],[Total]]+SamplingData[[#This Row],[Winning Candidate]]-SamplingData[[#This Row],[Candidate 6]])/(SamplingData[[#Totals],[Winning Candidate]]-SamplingData[[#Totals],[Candidate 6]]), 0)</f>
        <v>5.1067555080005838E-4</v>
      </c>
      <c r="P714" s="100">
        <f>MAX(SamplingData[[#This Row],[Error Bound (up) - Max. possible relative overstatement - Losing Candidate]:[Error Bound (up) - Max. possible relative overstatement - Candidate 6]])</f>
        <v>1.224889759921607E-3</v>
      </c>
      <c r="Q714" s="100">
        <f>IF(SamplingData[[#This Row],[Max Error Bound (up)]] = 0,0,SamplingData[[#This Row],[Max Error Bound (up)]]/SamplingData[[#Totals],[Max Error Bound (up)]])</f>
        <v>1.9385896556891664E-4</v>
      </c>
      <c r="R714" s="101">
        <f>SUM($Q$5:Q714)</f>
        <v>0.19821190624459414</v>
      </c>
      <c r="S714" s="100" t="str">
        <f t="array" ref="S714">IF(SamplingData[[#This Row],[up/U Selection Probability]] = 0, "Zero", TEXT(SamplingData[[#This Row],[Lower Range]], REPT("0",LEN('General Info'!$B$40))) &amp; " - " &amp; TEXT(SamplingData[[#This Row],[Upper Range]], REPT("0",LEN('General Info'!$B$40))))</f>
        <v>19802 - 19820</v>
      </c>
      <c r="T714" s="100">
        <f>SamplingData[[#This Row],[Upper Range]]-SamplingData[[#This Row],[Span]]</f>
        <v>19801.804921761486</v>
      </c>
      <c r="U714" s="100">
        <f>IF(ISNUMBER('General Info'!$B$40), ((SamplingData[[#This Row],[up/U Selection Probability]]) * 'General Info'!$B$40) - 1, 0)</f>
        <v>18.385702697926096</v>
      </c>
      <c r="V714" s="100">
        <f>IF(ISNUMBER('General Info'!$B$40), (SamplingData[[#This Row],[Running (cumulative) sum]] * ('General Info'!$B$40 -'General Info'!$B$41 + 1)) + 'General Info'!$B$41 - 1, 0)</f>
        <v>19820.190624459414</v>
      </c>
      <c r="W714" s="100" t="str">
        <f>IF(ISERROR(MATCH(SamplingData[[#This Row],[Batch by Type (p)]],SelectedPrecincts[Batch Name], 0)), "", INDEX(SelectedPrecincts[Draw], MATCH(SamplingData[[#This Row],[Batch by Type (p)]],SelectedPrecincts[Batch Name], 0)))</f>
        <v/>
      </c>
      <c r="X714" s="102">
        <f>IF(COUNTIF(SelectedPrecincts[Batch Name],SamplingData[[#This Row],[Batch by Type (p)]]) &lt;&gt; 0, COUNTIF(SelectedPrecincts[Batch Name],SamplingData[[#This Row],[Batch by Type (p)]]), 0)</f>
        <v>0</v>
      </c>
    </row>
    <row r="715" spans="1:24" ht="15" customHeight="1">
      <c r="A715" s="18" t="s">
        <v>891</v>
      </c>
      <c r="B715" s="18">
        <v>10</v>
      </c>
      <c r="C715" s="18">
        <v>6</v>
      </c>
      <c r="D715" s="16">
        <v>2</v>
      </c>
      <c r="E715" s="16">
        <v>4</v>
      </c>
      <c r="F715" s="37">
        <v>0</v>
      </c>
      <c r="G715" s="37">
        <v>0</v>
      </c>
      <c r="H715" s="17">
        <v>0</v>
      </c>
      <c r="I715" s="17">
        <v>0</v>
      </c>
      <c r="J715" s="99">
        <f>SUM(SamplingData[[#This Row],[Losing Candidate]:[Under Votes]])</f>
        <v>22</v>
      </c>
      <c r="K715"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715" s="100">
        <f>IF(AND(SamplingData[[#This Row],[Total]]&lt;&gt; 0, NOT(ISBLANK(SamplingData[[#This Row],[Candidate 3]]))),(SamplingData[[#This Row],[Total]]+SamplingData[[#This Row],[Winning Candidate]]-SamplingData[[#This Row],[Candidate 3]])/(SamplingData[[#Totals],[Winning Candidate]]-SamplingData[[#Totals],[Candidate 3]]), 0)</f>
        <v>8.3879085072748971E-4</v>
      </c>
      <c r="M715" s="100">
        <f>IF(AND(SamplingData[[#This Row],[Total]]&lt;&gt; 0, NOT(ISBLANK(SamplingData[[#This Row],[Candidate 4]]))),(SamplingData[[#This Row],[Total]]+SamplingData[[#This Row],[Winning Candidate]]-SamplingData[[#This Row],[Candidate 4]])/(SamplingData[[#Totals],[Winning Candidate]]-SamplingData[[#Totals],[Candidate 4]]), 0)</f>
        <v>7.0156976234324298E-4</v>
      </c>
      <c r="N715" s="100">
        <f>IF(AND(SamplingData[[#This Row],[Total]]&lt;&gt; 0, NOT(ISBLANK(SamplingData[[#This Row],[Candidate 5]]))),(SamplingData[[#This Row],[Total]]+SamplingData[[#This Row],[Winning Candidate]]-SamplingData[[#This Row],[Candidate 5]])/(SamplingData[[#Totals],[Winning Candidate]]-SamplingData[[#Totals],[Candidate 5]]), 0)</f>
        <v>6.8109948917538315E-4</v>
      </c>
      <c r="O715" s="100">
        <f>IF(AND(SamplingData[[#This Row],[Total]]&lt;&gt; 0, NOT(ISBLANK(SamplingData[[#This Row],[Candidate 6]]))),(SamplingData[[#This Row],[Total]]+SamplingData[[#This Row],[Winning Candidate]]-SamplingData[[#This Row],[Candidate 6]])/(SamplingData[[#Totals],[Winning Candidate]]-SamplingData[[#Totals],[Candidate 6]]), 0)</f>
        <v>6.8090073440007777E-4</v>
      </c>
      <c r="P715" s="100">
        <f>MAX(SamplingData[[#This Row],[Error Bound (up) - Max. possible relative overstatement - Losing Candidate]:[Error Bound (up) - Max. possible relative overstatement - Candidate 6]])</f>
        <v>1.1024007839294464E-3</v>
      </c>
      <c r="Q715" s="100">
        <f>IF(SamplingData[[#This Row],[Max Error Bound (up)]] = 0,0,SamplingData[[#This Row],[Max Error Bound (up)]]/SamplingData[[#Totals],[Max Error Bound (up)]])</f>
        <v>1.7447306901202498E-4</v>
      </c>
      <c r="R715" s="101">
        <f>SUM($Q$5:Q715)</f>
        <v>0.19838637931360617</v>
      </c>
      <c r="S715" s="100" t="str">
        <f t="array" ref="S715">IF(SamplingData[[#This Row],[up/U Selection Probability]] = 0, "Zero", TEXT(SamplingData[[#This Row],[Lower Range]], REPT("0",LEN('General Info'!$B$40))) &amp; " - " &amp; TEXT(SamplingData[[#This Row],[Upper Range]], REPT("0",LEN('General Info'!$B$40))))</f>
        <v>19821 - 19838</v>
      </c>
      <c r="T715" s="100">
        <f>SamplingData[[#This Row],[Upper Range]]-SamplingData[[#This Row],[Span]]</f>
        <v>19821.190798932483</v>
      </c>
      <c r="U715" s="100">
        <f>IF(ISNUMBER('General Info'!$B$40), ((SamplingData[[#This Row],[up/U Selection Probability]]) * 'General Info'!$B$40) - 1, 0)</f>
        <v>16.447132428133486</v>
      </c>
      <c r="V715" s="100">
        <f>IF(ISNUMBER('General Info'!$B$40), (SamplingData[[#This Row],[Running (cumulative) sum]] * ('General Info'!$B$40 -'General Info'!$B$41 + 1)) + 'General Info'!$B$41 - 1, 0)</f>
        <v>19837.637931360616</v>
      </c>
      <c r="W715" s="100" t="str">
        <f>IF(ISERROR(MATCH(SamplingData[[#This Row],[Batch by Type (p)]],SelectedPrecincts[Batch Name], 0)), "", INDEX(SelectedPrecincts[Draw], MATCH(SamplingData[[#This Row],[Batch by Type (p)]],SelectedPrecincts[Batch Name], 0)))</f>
        <v/>
      </c>
      <c r="X715" s="102">
        <f>IF(COUNTIF(SelectedPrecincts[Batch Name],SamplingData[[#This Row],[Batch by Type (p)]]) &lt;&gt; 0, COUNTIF(SelectedPrecincts[Batch Name],SamplingData[[#This Row],[Batch by Type (p)]]), 0)</f>
        <v>0</v>
      </c>
    </row>
    <row r="716" spans="1:24" ht="15" customHeight="1">
      <c r="A716" s="18" t="s">
        <v>892</v>
      </c>
      <c r="B716" s="18">
        <v>2</v>
      </c>
      <c r="C716" s="18">
        <v>2</v>
      </c>
      <c r="D716" s="18">
        <v>0</v>
      </c>
      <c r="E716" s="18">
        <v>2</v>
      </c>
      <c r="F716" s="18">
        <v>0</v>
      </c>
      <c r="G716" s="18">
        <v>0</v>
      </c>
      <c r="H716" s="18">
        <v>0</v>
      </c>
      <c r="I716" s="18">
        <v>0</v>
      </c>
      <c r="J716" s="99">
        <f>SUM(SamplingData[[#This Row],[Losing Candidate]:[Under Votes]])</f>
        <v>6</v>
      </c>
      <c r="K716"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716" s="100">
        <f>IF(AND(SamplingData[[#This Row],[Total]]&lt;&gt; 0, NOT(ISBLANK(SamplingData[[#This Row],[Candidate 3]]))),(SamplingData[[#This Row],[Total]]+SamplingData[[#This Row],[Winning Candidate]]-SamplingData[[#This Row],[Candidate 3]])/(SamplingData[[#Totals],[Winning Candidate]]-SamplingData[[#Totals],[Candidate 3]]), 0)</f>
        <v>2.5808949253153533E-4</v>
      </c>
      <c r="M716" s="100">
        <f>IF(AND(SamplingData[[#This Row],[Total]]&lt;&gt; 0, NOT(ISBLANK(SamplingData[[#This Row],[Candidate 4]]))),(SamplingData[[#This Row],[Total]]+SamplingData[[#This Row],[Winning Candidate]]-SamplingData[[#This Row],[Candidate 4]])/(SamplingData[[#Totals],[Winning Candidate]]-SamplingData[[#Totals],[Candidate 4]]), 0)</f>
        <v>1.7539244058581075E-4</v>
      </c>
      <c r="N716" s="100">
        <f>IF(AND(SamplingData[[#This Row],[Total]]&lt;&gt; 0, NOT(ISBLANK(SamplingData[[#This Row],[Candidate 5]]))),(SamplingData[[#This Row],[Total]]+SamplingData[[#This Row],[Winning Candidate]]-SamplingData[[#This Row],[Candidate 5]])/(SamplingData[[#Totals],[Winning Candidate]]-SamplingData[[#Totals],[Candidate 5]]), 0)</f>
        <v>1.9459985405010947E-4</v>
      </c>
      <c r="O716" s="100">
        <f>IF(AND(SamplingData[[#This Row],[Total]]&lt;&gt; 0, NOT(ISBLANK(SamplingData[[#This Row],[Candidate 6]]))),(SamplingData[[#This Row],[Total]]+SamplingData[[#This Row],[Winning Candidate]]-SamplingData[[#This Row],[Candidate 6]])/(SamplingData[[#Totals],[Winning Candidate]]-SamplingData[[#Totals],[Candidate 6]]), 0)</f>
        <v>1.945430669714508E-4</v>
      </c>
      <c r="P716" s="100">
        <f>MAX(SamplingData[[#This Row],[Error Bound (up) - Max. possible relative overstatement - Losing Candidate]:[Error Bound (up) - Max. possible relative overstatement - Candidate 6]])</f>
        <v>3.6746692797648211E-4</v>
      </c>
      <c r="Q716" s="100">
        <f>IF(SamplingData[[#This Row],[Max Error Bound (up)]] = 0,0,SamplingData[[#This Row],[Max Error Bound (up)]]/SamplingData[[#Totals],[Max Error Bound (up)]])</f>
        <v>5.8157689670674986E-5</v>
      </c>
      <c r="R716" s="101">
        <f>SUM($Q$5:Q716)</f>
        <v>0.19844453700327686</v>
      </c>
      <c r="S716" s="100" t="str">
        <f t="array" ref="S716">IF(SamplingData[[#This Row],[up/U Selection Probability]] = 0, "Zero", TEXT(SamplingData[[#This Row],[Lower Range]], REPT("0",LEN('General Info'!$B$40))) &amp; " - " &amp; TEXT(SamplingData[[#This Row],[Upper Range]], REPT("0",LEN('General Info'!$B$40))))</f>
        <v>19839 - 19843</v>
      </c>
      <c r="T716" s="100">
        <f>SamplingData[[#This Row],[Upper Range]]-SamplingData[[#This Row],[Span]]</f>
        <v>19838.637989518309</v>
      </c>
      <c r="U716" s="100">
        <f>IF(ISNUMBER('General Info'!$B$40), ((SamplingData[[#This Row],[up/U Selection Probability]]) * 'General Info'!$B$40) - 1, 0)</f>
        <v>4.815710809377828</v>
      </c>
      <c r="V716" s="100">
        <f>IF(ISNUMBER('General Info'!$B$40), (SamplingData[[#This Row],[Running (cumulative) sum]] * ('General Info'!$B$40 -'General Info'!$B$41 + 1)) + 'General Info'!$B$41 - 1, 0)</f>
        <v>19843.453700327686</v>
      </c>
      <c r="W716" s="100" t="str">
        <f>IF(ISERROR(MATCH(SamplingData[[#This Row],[Batch by Type (p)]],SelectedPrecincts[Batch Name], 0)), "", INDEX(SelectedPrecincts[Draw], MATCH(SamplingData[[#This Row],[Batch by Type (p)]],SelectedPrecincts[Batch Name], 0)))</f>
        <v/>
      </c>
      <c r="X716" s="102">
        <f>IF(COUNTIF(SelectedPrecincts[Batch Name],SamplingData[[#This Row],[Batch by Type (p)]]) &lt;&gt; 0, COUNTIF(SelectedPrecincts[Batch Name],SamplingData[[#This Row],[Batch by Type (p)]]), 0)</f>
        <v>0</v>
      </c>
    </row>
    <row r="717" spans="1:24" ht="15" customHeight="1">
      <c r="A717" s="18" t="s">
        <v>893</v>
      </c>
      <c r="B717" s="18">
        <v>14</v>
      </c>
      <c r="C717" s="18">
        <v>14</v>
      </c>
      <c r="D717" s="16">
        <v>9</v>
      </c>
      <c r="E717" s="16">
        <v>11</v>
      </c>
      <c r="F717" s="37">
        <v>0</v>
      </c>
      <c r="G717" s="37">
        <v>0</v>
      </c>
      <c r="H717" s="17">
        <v>0</v>
      </c>
      <c r="I717" s="17">
        <v>0</v>
      </c>
      <c r="J717" s="99">
        <f>SUM(SamplingData[[#This Row],[Losing Candidate]:[Under Votes]])</f>
        <v>48</v>
      </c>
      <c r="K717" s="100">
        <f>IF(AND(SamplingData[[#This Row],[Total]]&lt;&gt; 0, NOT(ISBLANK(SamplingData[[#This Row],[Losing Candidate]]))),(SamplingData[[#This Row],[Total]]+SamplingData[[#This Row],[Winning Candidate]]-SamplingData[[#This Row],[Losing Candidate]])/(SamplingData[[#Totals],[Winning Candidate]]-SamplingData[[#Totals],[Losing Candidate]]), 0)</f>
        <v>2.9397354238118569E-3</v>
      </c>
      <c r="L717" s="100">
        <f>IF(AND(SamplingData[[#This Row],[Total]]&lt;&gt; 0, NOT(ISBLANK(SamplingData[[#This Row],[Candidate 3]]))),(SamplingData[[#This Row],[Total]]+SamplingData[[#This Row],[Winning Candidate]]-SamplingData[[#This Row],[Candidate 3]])/(SamplingData[[#Totals],[Winning Candidate]]-SamplingData[[#Totals],[Candidate 3]]), 0)</f>
        <v>1.7098428880214214E-3</v>
      </c>
      <c r="M717" s="100">
        <f>IF(AND(SamplingData[[#This Row],[Total]]&lt;&gt; 0, NOT(ISBLANK(SamplingData[[#This Row],[Candidate 4]]))),(SamplingData[[#This Row],[Total]]+SamplingData[[#This Row],[Winning Candidate]]-SamplingData[[#This Row],[Candidate 4]])/(SamplingData[[#Totals],[Winning Candidate]]-SamplingData[[#Totals],[Candidate 4]]), 0)</f>
        <v>1.4908357449793914E-3</v>
      </c>
      <c r="N717" s="100">
        <f>IF(AND(SamplingData[[#This Row],[Total]]&lt;&gt; 0, NOT(ISBLANK(SamplingData[[#This Row],[Candidate 5]]))),(SamplingData[[#This Row],[Total]]+SamplingData[[#This Row],[Winning Candidate]]-SamplingData[[#This Row],[Candidate 5]])/(SamplingData[[#Totals],[Winning Candidate]]-SamplingData[[#Totals],[Candidate 5]]), 0)</f>
        <v>1.5081488688883484E-3</v>
      </c>
      <c r="O717" s="100">
        <f>IF(AND(SamplingData[[#This Row],[Total]]&lt;&gt; 0, NOT(ISBLANK(SamplingData[[#This Row],[Candidate 6]]))),(SamplingData[[#This Row],[Total]]+SamplingData[[#This Row],[Winning Candidate]]-SamplingData[[#This Row],[Candidate 6]])/(SamplingData[[#Totals],[Winning Candidate]]-SamplingData[[#Totals],[Candidate 6]]), 0)</f>
        <v>1.5077087690287436E-3</v>
      </c>
      <c r="P717" s="100">
        <f>MAX(SamplingData[[#This Row],[Error Bound (up) - Max. possible relative overstatement - Losing Candidate]:[Error Bound (up) - Max. possible relative overstatement - Candidate 6]])</f>
        <v>2.9397354238118569E-3</v>
      </c>
      <c r="Q717" s="100">
        <f>IF(SamplingData[[#This Row],[Max Error Bound (up)]] = 0,0,SamplingData[[#This Row],[Max Error Bound (up)]]/SamplingData[[#Totals],[Max Error Bound (up)]])</f>
        <v>4.6526151736539989E-4</v>
      </c>
      <c r="R717" s="101">
        <f>SUM($Q$5:Q717)</f>
        <v>0.19890979852064225</v>
      </c>
      <c r="S717" s="100" t="str">
        <f t="array" ref="S717">IF(SamplingData[[#This Row],[up/U Selection Probability]] = 0, "Zero", TEXT(SamplingData[[#This Row],[Lower Range]], REPT("0",LEN('General Info'!$B$40))) &amp; " - " &amp; TEXT(SamplingData[[#This Row],[Upper Range]], REPT("0",LEN('General Info'!$B$40))))</f>
        <v>19844 - 19890</v>
      </c>
      <c r="T717" s="100">
        <f>SamplingData[[#This Row],[Upper Range]]-SamplingData[[#This Row],[Span]]</f>
        <v>19844.454165589203</v>
      </c>
      <c r="U717" s="100">
        <f>IF(ISNUMBER('General Info'!$B$40), ((SamplingData[[#This Row],[up/U Selection Probability]]) * 'General Info'!$B$40) - 1, 0)</f>
        <v>45.525686475022624</v>
      </c>
      <c r="V717" s="100">
        <f>IF(ISNUMBER('General Info'!$B$40), (SamplingData[[#This Row],[Running (cumulative) sum]] * ('General Info'!$B$40 -'General Info'!$B$41 + 1)) + 'General Info'!$B$41 - 1, 0)</f>
        <v>19889.979852064225</v>
      </c>
      <c r="W717" s="100">
        <f>IF(ISERROR(MATCH(SamplingData[[#This Row],[Batch by Type (p)]],SelectedPrecincts[Batch Name], 0)), "", INDEX(SelectedPrecincts[Draw], MATCH(SamplingData[[#This Row],[Batch by Type (p)]],SelectedPrecincts[Batch Name], 0)))</f>
        <v>10</v>
      </c>
      <c r="X717" s="102">
        <f>IF(COUNTIF(SelectedPrecincts[Batch Name],SamplingData[[#This Row],[Batch by Type (p)]]) &lt;&gt; 0, COUNTIF(SelectedPrecincts[Batch Name],SamplingData[[#This Row],[Batch by Type (p)]]), 0)</f>
        <v>1</v>
      </c>
    </row>
    <row r="718" spans="1:24" ht="15" customHeight="1">
      <c r="A718" s="18" t="s">
        <v>894</v>
      </c>
      <c r="B718" s="18">
        <v>4</v>
      </c>
      <c r="C718" s="18">
        <v>5</v>
      </c>
      <c r="D718" s="18">
        <v>0</v>
      </c>
      <c r="E718" s="18">
        <v>2</v>
      </c>
      <c r="F718" s="18">
        <v>0</v>
      </c>
      <c r="G718" s="18">
        <v>1</v>
      </c>
      <c r="H718" s="18">
        <v>0</v>
      </c>
      <c r="I718" s="18">
        <v>0</v>
      </c>
      <c r="J718" s="99">
        <f>SUM(SamplingData[[#This Row],[Losing Candidate]:[Under Votes]])</f>
        <v>12</v>
      </c>
      <c r="K718"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718" s="100">
        <f>IF(AND(SamplingData[[#This Row],[Total]]&lt;&gt; 0, NOT(ISBLANK(SamplingData[[#This Row],[Candidate 3]]))),(SamplingData[[#This Row],[Total]]+SamplingData[[#This Row],[Winning Candidate]]-SamplingData[[#This Row],[Candidate 3]])/(SamplingData[[#Totals],[Winning Candidate]]-SamplingData[[#Totals],[Candidate 3]]), 0)</f>
        <v>5.4844017162951255E-4</v>
      </c>
      <c r="M718" s="100">
        <f>IF(AND(SamplingData[[#This Row],[Total]]&lt;&gt; 0, NOT(ISBLANK(SamplingData[[#This Row],[Candidate 4]]))),(SamplingData[[#This Row],[Total]]+SamplingData[[#This Row],[Winning Candidate]]-SamplingData[[#This Row],[Candidate 4]])/(SamplingData[[#Totals],[Winning Candidate]]-SamplingData[[#Totals],[Candidate 4]]), 0)</f>
        <v>4.3848110146452689E-4</v>
      </c>
      <c r="N718" s="100">
        <f>IF(AND(SamplingData[[#This Row],[Total]]&lt;&gt; 0, NOT(ISBLANK(SamplingData[[#This Row],[Candidate 5]]))),(SamplingData[[#This Row],[Total]]+SamplingData[[#This Row],[Winning Candidate]]-SamplingData[[#This Row],[Candidate 5]])/(SamplingData[[#Totals],[Winning Candidate]]-SamplingData[[#Totals],[Candidate 5]]), 0)</f>
        <v>4.1352468985648261E-4</v>
      </c>
      <c r="O718" s="100">
        <f>IF(AND(SamplingData[[#This Row],[Total]]&lt;&gt; 0, NOT(ISBLANK(SamplingData[[#This Row],[Candidate 6]]))),(SamplingData[[#This Row],[Total]]+SamplingData[[#This Row],[Winning Candidate]]-SamplingData[[#This Row],[Candidate 6]])/(SamplingData[[#Totals],[Winning Candidate]]-SamplingData[[#Totals],[Candidate 6]]), 0)</f>
        <v>3.8908613394290161E-4</v>
      </c>
      <c r="P718" s="100">
        <f>MAX(SamplingData[[#This Row],[Error Bound (up) - Max. possible relative overstatement - Losing Candidate]:[Error Bound (up) - Max. possible relative overstatement - Candidate 6]])</f>
        <v>7.9617834394904463E-4</v>
      </c>
      <c r="Q718" s="100">
        <f>IF(SamplingData[[#This Row],[Max Error Bound (up)]] = 0,0,SamplingData[[#This Row],[Max Error Bound (up)]]/SamplingData[[#Totals],[Max Error Bound (up)]])</f>
        <v>1.2600832761979581E-4</v>
      </c>
      <c r="R718" s="101">
        <f>SUM($Q$5:Q718)</f>
        <v>0.19903580684826205</v>
      </c>
      <c r="S718" s="100" t="str">
        <f t="array" ref="S718">IF(SamplingData[[#This Row],[up/U Selection Probability]] = 0, "Zero", TEXT(SamplingData[[#This Row],[Lower Range]], REPT("0",LEN('General Info'!$B$40))) &amp; " - " &amp; TEXT(SamplingData[[#This Row],[Upper Range]], REPT("0",LEN('General Info'!$B$40))))</f>
        <v>19891 - 19903</v>
      </c>
      <c r="T718" s="100">
        <f>SamplingData[[#This Row],[Upper Range]]-SamplingData[[#This Row],[Span]]</f>
        <v>19890.979978072552</v>
      </c>
      <c r="U718" s="100">
        <f>IF(ISNUMBER('General Info'!$B$40), ((SamplingData[[#This Row],[up/U Selection Probability]]) * 'General Info'!$B$40) - 1, 0)</f>
        <v>11.600706753651961</v>
      </c>
      <c r="V718" s="100">
        <f>IF(ISNUMBER('General Info'!$B$40), (SamplingData[[#This Row],[Running (cumulative) sum]] * ('General Info'!$B$40 -'General Info'!$B$41 + 1)) + 'General Info'!$B$41 - 1, 0)</f>
        <v>19902.580684826204</v>
      </c>
      <c r="W718" s="100" t="str">
        <f>IF(ISERROR(MATCH(SamplingData[[#This Row],[Batch by Type (p)]],SelectedPrecincts[Batch Name], 0)), "", INDEX(SelectedPrecincts[Draw], MATCH(SamplingData[[#This Row],[Batch by Type (p)]],SelectedPrecincts[Batch Name], 0)))</f>
        <v/>
      </c>
      <c r="X718" s="102">
        <f>IF(COUNTIF(SelectedPrecincts[Batch Name],SamplingData[[#This Row],[Batch by Type (p)]]) &lt;&gt; 0, COUNTIF(SelectedPrecincts[Batch Name],SamplingData[[#This Row],[Batch by Type (p)]]), 0)</f>
        <v>0</v>
      </c>
    </row>
    <row r="719" spans="1:24" ht="15" customHeight="1">
      <c r="A719" s="18" t="s">
        <v>895</v>
      </c>
      <c r="B719" s="18">
        <v>12</v>
      </c>
      <c r="C719" s="18">
        <v>12</v>
      </c>
      <c r="D719" s="16">
        <v>2</v>
      </c>
      <c r="E719" s="16">
        <v>10</v>
      </c>
      <c r="F719" s="37">
        <v>0</v>
      </c>
      <c r="G719" s="37">
        <v>2</v>
      </c>
      <c r="H719" s="17">
        <v>0</v>
      </c>
      <c r="I719" s="17">
        <v>1</v>
      </c>
      <c r="J719" s="99">
        <f>SUM(SamplingData[[#This Row],[Losing Candidate]:[Under Votes]])</f>
        <v>39</v>
      </c>
      <c r="K719"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719" s="100">
        <f>IF(AND(SamplingData[[#This Row],[Total]]&lt;&gt; 0, NOT(ISBLANK(SamplingData[[#This Row],[Candidate 3]]))),(SamplingData[[#This Row],[Total]]+SamplingData[[#This Row],[Winning Candidate]]-SamplingData[[#This Row],[Candidate 3]])/(SamplingData[[#Totals],[Winning Candidate]]-SamplingData[[#Totals],[Candidate 3]]), 0)</f>
        <v>1.5807981417556537E-3</v>
      </c>
      <c r="M719" s="100">
        <f>IF(AND(SamplingData[[#This Row],[Total]]&lt;&gt; 0, NOT(ISBLANK(SamplingData[[#This Row],[Candidate 4]]))),(SamplingData[[#This Row],[Total]]+SamplingData[[#This Row],[Winning Candidate]]-SamplingData[[#This Row],[Candidate 4]])/(SamplingData[[#Totals],[Winning Candidate]]-SamplingData[[#Totals],[Candidate 4]]), 0)</f>
        <v>1.1985150106697067E-3</v>
      </c>
      <c r="N719" s="100">
        <f>IF(AND(SamplingData[[#This Row],[Total]]&lt;&gt; 0, NOT(ISBLANK(SamplingData[[#This Row],[Candidate 5]]))),(SamplingData[[#This Row],[Total]]+SamplingData[[#This Row],[Winning Candidate]]-SamplingData[[#This Row],[Candidate 5]])/(SamplingData[[#Totals],[Winning Candidate]]-SamplingData[[#Totals],[Candidate 5]]), 0)</f>
        <v>1.2405740695694478E-3</v>
      </c>
      <c r="O719" s="100">
        <f>IF(AND(SamplingData[[#This Row],[Total]]&lt;&gt; 0, NOT(ISBLANK(SamplingData[[#This Row],[Candidate 6]]))),(SamplingData[[#This Row],[Total]]+SamplingData[[#This Row],[Winning Candidate]]-SamplingData[[#This Row],[Candidate 6]])/(SamplingData[[#Totals],[Winning Candidate]]-SamplingData[[#Totals],[Candidate 6]]), 0)</f>
        <v>1.1915762852001363E-3</v>
      </c>
      <c r="P719" s="100">
        <f>MAX(SamplingData[[#This Row],[Error Bound (up) - Max. possible relative overstatement - Losing Candidate]:[Error Bound (up) - Max. possible relative overstatement - Candidate 6]])</f>
        <v>2.3885350318471337E-3</v>
      </c>
      <c r="Q719" s="100">
        <f>IF(SamplingData[[#This Row],[Max Error Bound (up)]] = 0,0,SamplingData[[#This Row],[Max Error Bound (up)]]/SamplingData[[#Totals],[Max Error Bound (up)]])</f>
        <v>3.7802498285938744E-4</v>
      </c>
      <c r="R719" s="101">
        <f>SUM($Q$5:Q719)</f>
        <v>0.19941383183112144</v>
      </c>
      <c r="S719" s="100" t="str">
        <f t="array" ref="S719">IF(SamplingData[[#This Row],[up/U Selection Probability]] = 0, "Zero", TEXT(SamplingData[[#This Row],[Lower Range]], REPT("0",LEN('General Info'!$B$40))) &amp; " - " &amp; TEXT(SamplingData[[#This Row],[Upper Range]], REPT("0",LEN('General Info'!$B$40))))</f>
        <v>19904 - 19940</v>
      </c>
      <c r="T719" s="100">
        <f>SamplingData[[#This Row],[Upper Range]]-SamplingData[[#This Row],[Span]]</f>
        <v>19903.581062851186</v>
      </c>
      <c r="U719" s="100">
        <f>IF(ISNUMBER('General Info'!$B$40), ((SamplingData[[#This Row],[up/U Selection Probability]]) * 'General Info'!$B$40) - 1, 0)</f>
        <v>36.802120260955881</v>
      </c>
      <c r="V719" s="100">
        <f>IF(ISNUMBER('General Info'!$B$40), (SamplingData[[#This Row],[Running (cumulative) sum]] * ('General Info'!$B$40 -'General Info'!$B$41 + 1)) + 'General Info'!$B$41 - 1, 0)</f>
        <v>19940.383183112142</v>
      </c>
      <c r="W719" s="100" t="str">
        <f>IF(ISERROR(MATCH(SamplingData[[#This Row],[Batch by Type (p)]],SelectedPrecincts[Batch Name], 0)), "", INDEX(SelectedPrecincts[Draw], MATCH(SamplingData[[#This Row],[Batch by Type (p)]],SelectedPrecincts[Batch Name], 0)))</f>
        <v/>
      </c>
      <c r="X719" s="102">
        <f>IF(COUNTIF(SelectedPrecincts[Batch Name],SamplingData[[#This Row],[Batch by Type (p)]]) &lt;&gt; 0, COUNTIF(SelectedPrecincts[Batch Name],SamplingData[[#This Row],[Batch by Type (p)]]), 0)</f>
        <v>0</v>
      </c>
    </row>
    <row r="720" spans="1:24" ht="15" customHeight="1">
      <c r="A720" s="18" t="s">
        <v>896</v>
      </c>
      <c r="B720" s="18">
        <v>7</v>
      </c>
      <c r="C720" s="18">
        <v>3</v>
      </c>
      <c r="D720" s="18">
        <v>2</v>
      </c>
      <c r="E720" s="18">
        <v>2</v>
      </c>
      <c r="F720" s="18">
        <v>0</v>
      </c>
      <c r="G720" s="18">
        <v>0</v>
      </c>
      <c r="H720" s="18">
        <v>0</v>
      </c>
      <c r="I720" s="18">
        <v>0</v>
      </c>
      <c r="J720" s="99">
        <f>SUM(SamplingData[[#This Row],[Losing Candidate]:[Under Votes]])</f>
        <v>14</v>
      </c>
      <c r="K720"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720" s="100">
        <f>IF(AND(SamplingData[[#This Row],[Total]]&lt;&gt; 0, NOT(ISBLANK(SamplingData[[#This Row],[Candidate 3]]))),(SamplingData[[#This Row],[Total]]+SamplingData[[#This Row],[Winning Candidate]]-SamplingData[[#This Row],[Candidate 3]])/(SamplingData[[#Totals],[Winning Candidate]]-SamplingData[[#Totals],[Candidate 3]]), 0)</f>
        <v>4.8391779849662873E-4</v>
      </c>
      <c r="M720" s="100">
        <f>IF(AND(SamplingData[[#This Row],[Total]]&lt;&gt; 0, NOT(ISBLANK(SamplingData[[#This Row],[Candidate 4]]))),(SamplingData[[#This Row],[Total]]+SamplingData[[#This Row],[Winning Candidate]]-SamplingData[[#This Row],[Candidate 4]])/(SamplingData[[#Totals],[Winning Candidate]]-SamplingData[[#Totals],[Candidate 4]]), 0)</f>
        <v>4.3848110146452689E-4</v>
      </c>
      <c r="N720" s="100">
        <f>IF(AND(SamplingData[[#This Row],[Total]]&lt;&gt; 0, NOT(ISBLANK(SamplingData[[#This Row],[Candidate 5]]))),(SamplingData[[#This Row],[Total]]+SamplingData[[#This Row],[Winning Candidate]]-SamplingData[[#This Row],[Candidate 5]])/(SamplingData[[#Totals],[Winning Candidate]]-SamplingData[[#Totals],[Candidate 5]]), 0)</f>
        <v>4.1352468985648261E-4</v>
      </c>
      <c r="O720" s="100">
        <f>IF(AND(SamplingData[[#This Row],[Total]]&lt;&gt; 0, NOT(ISBLANK(SamplingData[[#This Row],[Candidate 6]]))),(SamplingData[[#This Row],[Total]]+SamplingData[[#This Row],[Winning Candidate]]-SamplingData[[#This Row],[Candidate 6]])/(SamplingData[[#Totals],[Winning Candidate]]-SamplingData[[#Totals],[Candidate 6]]), 0)</f>
        <v>4.1340401731433294E-4</v>
      </c>
      <c r="P720" s="100">
        <f>MAX(SamplingData[[#This Row],[Error Bound (up) - Max. possible relative overstatement - Losing Candidate]:[Error Bound (up) - Max. possible relative overstatement - Candidate 6]])</f>
        <v>6.1244487996080352E-4</v>
      </c>
      <c r="Q720" s="100">
        <f>IF(SamplingData[[#This Row],[Max Error Bound (up)]] = 0,0,SamplingData[[#This Row],[Max Error Bound (up)]]/SamplingData[[#Totals],[Max Error Bound (up)]])</f>
        <v>9.6929482784458319E-5</v>
      </c>
      <c r="R720" s="101">
        <f>SUM($Q$5:Q720)</f>
        <v>0.19951076131390588</v>
      </c>
      <c r="S720" s="100" t="str">
        <f t="array" ref="S720">IF(SamplingData[[#This Row],[up/U Selection Probability]] = 0, "Zero", TEXT(SamplingData[[#This Row],[Lower Range]], REPT("0",LEN('General Info'!$B$40))) &amp; " - " &amp; TEXT(SamplingData[[#This Row],[Upper Range]], REPT("0",LEN('General Info'!$B$40))))</f>
        <v>19941 - 19950</v>
      </c>
      <c r="T720" s="100">
        <f>SamplingData[[#This Row],[Upper Range]]-SamplingData[[#This Row],[Span]]</f>
        <v>19941.383280041628</v>
      </c>
      <c r="U720" s="100">
        <f>IF(ISNUMBER('General Info'!$B$40), ((SamplingData[[#This Row],[up/U Selection Probability]]) * 'General Info'!$B$40) - 1, 0)</f>
        <v>8.6928513489630479</v>
      </c>
      <c r="V720" s="100">
        <f>IF(ISNUMBER('General Info'!$B$40), (SamplingData[[#This Row],[Running (cumulative) sum]] * ('General Info'!$B$40 -'General Info'!$B$41 + 1)) + 'General Info'!$B$41 - 1, 0)</f>
        <v>19950.07613139059</v>
      </c>
      <c r="W720" s="100" t="str">
        <f>IF(ISERROR(MATCH(SamplingData[[#This Row],[Batch by Type (p)]],SelectedPrecincts[Batch Name], 0)), "", INDEX(SelectedPrecincts[Draw], MATCH(SamplingData[[#This Row],[Batch by Type (p)]],SelectedPrecincts[Batch Name], 0)))</f>
        <v/>
      </c>
      <c r="X720" s="102">
        <f>IF(COUNTIF(SelectedPrecincts[Batch Name],SamplingData[[#This Row],[Batch by Type (p)]]) &lt;&gt; 0, COUNTIF(SelectedPrecincts[Batch Name],SamplingData[[#This Row],[Batch by Type (p)]]), 0)</f>
        <v>0</v>
      </c>
    </row>
    <row r="721" spans="1:24" ht="15" customHeight="1">
      <c r="A721" s="18" t="s">
        <v>897</v>
      </c>
      <c r="B721" s="18">
        <v>21</v>
      </c>
      <c r="C721" s="18">
        <v>24</v>
      </c>
      <c r="D721" s="16">
        <v>3</v>
      </c>
      <c r="E721" s="16">
        <v>4</v>
      </c>
      <c r="F721" s="37">
        <v>0</v>
      </c>
      <c r="G721" s="37">
        <v>1</v>
      </c>
      <c r="H721" s="17">
        <v>0</v>
      </c>
      <c r="I721" s="17">
        <v>0</v>
      </c>
      <c r="J721" s="99">
        <f>SUM(SamplingData[[#This Row],[Losing Candidate]:[Under Votes]])</f>
        <v>53</v>
      </c>
      <c r="K721"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721" s="100">
        <f>IF(AND(SamplingData[[#This Row],[Total]]&lt;&gt; 0, NOT(ISBLANK(SamplingData[[#This Row],[Candidate 3]]))),(SamplingData[[#This Row],[Total]]+SamplingData[[#This Row],[Winning Candidate]]-SamplingData[[#This Row],[Candidate 3]])/(SamplingData[[#Totals],[Winning Candidate]]-SamplingData[[#Totals],[Candidate 3]]), 0)</f>
        <v>2.3873278059167017E-3</v>
      </c>
      <c r="M721" s="100">
        <f>IF(AND(SamplingData[[#This Row],[Total]]&lt;&gt; 0, NOT(ISBLANK(SamplingData[[#This Row],[Candidate 4]]))),(SamplingData[[#This Row],[Total]]+SamplingData[[#This Row],[Winning Candidate]]-SamplingData[[#This Row],[Candidate 4]])/(SamplingData[[#Totals],[Winning Candidate]]-SamplingData[[#Totals],[Candidate 4]]), 0)</f>
        <v>2.1339413604606976E-3</v>
      </c>
      <c r="N721" s="100">
        <f>IF(AND(SamplingData[[#This Row],[Total]]&lt;&gt; 0, NOT(ISBLANK(SamplingData[[#This Row],[Candidate 5]]))),(SamplingData[[#This Row],[Total]]+SamplingData[[#This Row],[Winning Candidate]]-SamplingData[[#This Row],[Candidate 5]])/(SamplingData[[#Totals],[Winning Candidate]]-SamplingData[[#Totals],[Candidate 5]]), 0)</f>
        <v>1.8730235952323035E-3</v>
      </c>
      <c r="O721" s="100">
        <f>IF(AND(SamplingData[[#This Row],[Total]]&lt;&gt; 0, NOT(ISBLANK(SamplingData[[#This Row],[Candidate 6]]))),(SamplingData[[#This Row],[Total]]+SamplingData[[#This Row],[Winning Candidate]]-SamplingData[[#This Row],[Candidate 6]])/(SamplingData[[#Totals],[Winning Candidate]]-SamplingData[[#Totals],[Candidate 6]]), 0)</f>
        <v>1.8481591362287826E-3</v>
      </c>
      <c r="P721" s="100">
        <f>MAX(SamplingData[[#This Row],[Error Bound (up) - Max. possible relative overstatement - Losing Candidate]:[Error Bound (up) - Max. possible relative overstatement - Candidate 6]])</f>
        <v>3.4296913277804997E-3</v>
      </c>
      <c r="Q721" s="100">
        <f>IF(SamplingData[[#This Row],[Max Error Bound (up)]] = 0,0,SamplingData[[#This Row],[Max Error Bound (up)]]/SamplingData[[#Totals],[Max Error Bound (up)]])</f>
        <v>5.4280510359296661E-4</v>
      </c>
      <c r="R721" s="101">
        <f>SUM($Q$5:Q721)</f>
        <v>0.20005356641749886</v>
      </c>
      <c r="S721" s="100" t="str">
        <f t="array" ref="S721">IF(SamplingData[[#This Row],[up/U Selection Probability]] = 0, "Zero", TEXT(SamplingData[[#This Row],[Lower Range]], REPT("0",LEN('General Info'!$B$40))) &amp; " - " &amp; TEXT(SamplingData[[#This Row],[Upper Range]], REPT("0",LEN('General Info'!$B$40))))</f>
        <v>19951 - 20004</v>
      </c>
      <c r="T721" s="100">
        <f>SamplingData[[#This Row],[Upper Range]]-SamplingData[[#This Row],[Span]]</f>
        <v>19951.07667419569</v>
      </c>
      <c r="U721" s="100">
        <f>IF(ISNUMBER('General Info'!$B$40), ((SamplingData[[#This Row],[up/U Selection Probability]]) * 'General Info'!$B$40) - 1, 0)</f>
        <v>53.279967554193071</v>
      </c>
      <c r="V721" s="100">
        <f>IF(ISNUMBER('General Info'!$B$40), (SamplingData[[#This Row],[Running (cumulative) sum]] * ('General Info'!$B$40 -'General Info'!$B$41 + 1)) + 'General Info'!$B$41 - 1, 0)</f>
        <v>20004.356641749884</v>
      </c>
      <c r="W721" s="100" t="str">
        <f>IF(ISERROR(MATCH(SamplingData[[#This Row],[Batch by Type (p)]],SelectedPrecincts[Batch Name], 0)), "", INDEX(SelectedPrecincts[Draw], MATCH(SamplingData[[#This Row],[Batch by Type (p)]],SelectedPrecincts[Batch Name], 0)))</f>
        <v/>
      </c>
      <c r="X721" s="102">
        <f>IF(COUNTIF(SelectedPrecincts[Batch Name],SamplingData[[#This Row],[Batch by Type (p)]]) &lt;&gt; 0, COUNTIF(SelectedPrecincts[Batch Name],SamplingData[[#This Row],[Batch by Type (p)]]), 0)</f>
        <v>0</v>
      </c>
    </row>
    <row r="722" spans="1:24" ht="15" customHeight="1">
      <c r="A722" s="18" t="s">
        <v>898</v>
      </c>
      <c r="B722" s="18">
        <v>7</v>
      </c>
      <c r="C722" s="18">
        <v>7</v>
      </c>
      <c r="D722" s="18">
        <v>1</v>
      </c>
      <c r="E722" s="18">
        <v>1</v>
      </c>
      <c r="F722" s="18">
        <v>0</v>
      </c>
      <c r="G722" s="18">
        <v>0</v>
      </c>
      <c r="H722" s="18">
        <v>0</v>
      </c>
      <c r="I722" s="18">
        <v>0</v>
      </c>
      <c r="J722" s="99">
        <f>SUM(SamplingData[[#This Row],[Losing Candidate]:[Under Votes]])</f>
        <v>16</v>
      </c>
      <c r="K722"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722" s="100">
        <f>IF(AND(SamplingData[[#This Row],[Total]]&lt;&gt; 0, NOT(ISBLANK(SamplingData[[#This Row],[Candidate 3]]))),(SamplingData[[#This Row],[Total]]+SamplingData[[#This Row],[Winning Candidate]]-SamplingData[[#This Row],[Candidate 3]])/(SamplingData[[#Totals],[Winning Candidate]]-SamplingData[[#Totals],[Candidate 3]]), 0)</f>
        <v>7.0974610446172207E-4</v>
      </c>
      <c r="M722" s="100">
        <f>IF(AND(SamplingData[[#This Row],[Total]]&lt;&gt; 0, NOT(ISBLANK(SamplingData[[#This Row],[Candidate 4]]))),(SamplingData[[#This Row],[Total]]+SamplingData[[#This Row],[Winning Candidate]]-SamplingData[[#This Row],[Candidate 4]])/(SamplingData[[#Totals],[Winning Candidate]]-SamplingData[[#Totals],[Candidate 4]]), 0)</f>
        <v>6.4310561548130605E-4</v>
      </c>
      <c r="N722" s="100">
        <f>IF(AND(SamplingData[[#This Row],[Total]]&lt;&gt; 0, NOT(ISBLANK(SamplingData[[#This Row],[Candidate 5]]))),(SamplingData[[#This Row],[Total]]+SamplingData[[#This Row],[Winning Candidate]]-SamplingData[[#This Row],[Candidate 5]])/(SamplingData[[#Totals],[Winning Candidate]]-SamplingData[[#Totals],[Candidate 5]]), 0)</f>
        <v>5.5947458039406475E-4</v>
      </c>
      <c r="O722" s="100">
        <f>IF(AND(SamplingData[[#This Row],[Total]]&lt;&gt; 0, NOT(ISBLANK(SamplingData[[#This Row],[Candidate 6]]))),(SamplingData[[#This Row],[Total]]+SamplingData[[#This Row],[Winning Candidate]]-SamplingData[[#This Row],[Candidate 6]])/(SamplingData[[#Totals],[Winning Candidate]]-SamplingData[[#Totals],[Candidate 6]]), 0)</f>
        <v>5.5931131754292105E-4</v>
      </c>
      <c r="P722" s="100">
        <f>MAX(SamplingData[[#This Row],[Error Bound (up) - Max. possible relative overstatement - Losing Candidate]:[Error Bound (up) - Max. possible relative overstatement - Candidate 6]])</f>
        <v>9.7991180793728563E-4</v>
      </c>
      <c r="Q722" s="100">
        <f>IF(SamplingData[[#This Row],[Max Error Bound (up)]] = 0,0,SamplingData[[#This Row],[Max Error Bound (up)]]/SamplingData[[#Totals],[Max Error Bound (up)]])</f>
        <v>1.550871724551333E-4</v>
      </c>
      <c r="R722" s="101">
        <f>SUM($Q$5:Q722)</f>
        <v>0.20020865358995399</v>
      </c>
      <c r="S722" s="100" t="str">
        <f t="array" ref="S722">IF(SamplingData[[#This Row],[up/U Selection Probability]] = 0, "Zero", TEXT(SamplingData[[#This Row],[Lower Range]], REPT("0",LEN('General Info'!$B$40))) &amp; " - " &amp; TEXT(SamplingData[[#This Row],[Upper Range]], REPT("0",LEN('General Info'!$B$40))))</f>
        <v>20005 - 20020</v>
      </c>
      <c r="T722" s="100">
        <f>SamplingData[[#This Row],[Upper Range]]-SamplingData[[#This Row],[Span]]</f>
        <v>20005.356796837055</v>
      </c>
      <c r="U722" s="100">
        <f>IF(ISNUMBER('General Info'!$B$40), ((SamplingData[[#This Row],[up/U Selection Probability]]) * 'General Info'!$B$40) - 1, 0)</f>
        <v>14.508562158340876</v>
      </c>
      <c r="V722" s="100">
        <f>IF(ISNUMBER('General Info'!$B$40), (SamplingData[[#This Row],[Running (cumulative) sum]] * ('General Info'!$B$40 -'General Info'!$B$41 + 1)) + 'General Info'!$B$41 - 1, 0)</f>
        <v>20019.865358995397</v>
      </c>
      <c r="W722" s="100" t="str">
        <f>IF(ISERROR(MATCH(SamplingData[[#This Row],[Batch by Type (p)]],SelectedPrecincts[Batch Name], 0)), "", INDEX(SelectedPrecincts[Draw], MATCH(SamplingData[[#This Row],[Batch by Type (p)]],SelectedPrecincts[Batch Name], 0)))</f>
        <v/>
      </c>
      <c r="X722" s="102">
        <f>IF(COUNTIF(SelectedPrecincts[Batch Name],SamplingData[[#This Row],[Batch by Type (p)]]) &lt;&gt; 0, COUNTIF(SelectedPrecincts[Batch Name],SamplingData[[#This Row],[Batch by Type (p)]]), 0)</f>
        <v>0</v>
      </c>
    </row>
    <row r="723" spans="1:24" ht="15" customHeight="1">
      <c r="A723" s="18" t="s">
        <v>899</v>
      </c>
      <c r="B723" s="18">
        <v>18</v>
      </c>
      <c r="C723" s="18">
        <v>18</v>
      </c>
      <c r="D723" s="16">
        <v>9</v>
      </c>
      <c r="E723" s="16">
        <v>6</v>
      </c>
      <c r="F723" s="37">
        <v>0</v>
      </c>
      <c r="G723" s="37">
        <v>0</v>
      </c>
      <c r="H723" s="17">
        <v>1</v>
      </c>
      <c r="I723" s="17">
        <v>0</v>
      </c>
      <c r="J723" s="99">
        <f>SUM(SamplingData[[#This Row],[Losing Candidate]:[Under Votes]])</f>
        <v>52</v>
      </c>
      <c r="K723"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723" s="100">
        <f>IF(AND(SamplingData[[#This Row],[Total]]&lt;&gt; 0, NOT(ISBLANK(SamplingData[[#This Row],[Candidate 3]]))),(SamplingData[[#This Row],[Total]]+SamplingData[[#This Row],[Winning Candidate]]-SamplingData[[#This Row],[Candidate 3]])/(SamplingData[[#Totals],[Winning Candidate]]-SamplingData[[#Totals],[Candidate 3]]), 0)</f>
        <v>1.9679323805529567E-3</v>
      </c>
      <c r="M723" s="100">
        <f>IF(AND(SamplingData[[#This Row],[Total]]&lt;&gt; 0, NOT(ISBLANK(SamplingData[[#This Row],[Candidate 4]]))),(SamplingData[[#This Row],[Total]]+SamplingData[[#This Row],[Winning Candidate]]-SamplingData[[#This Row],[Candidate 4]])/(SamplingData[[#Totals],[Winning Candidate]]-SamplingData[[#Totals],[Candidate 4]]), 0)</f>
        <v>1.8708526995819814E-3</v>
      </c>
      <c r="N723" s="100">
        <f>IF(AND(SamplingData[[#This Row],[Total]]&lt;&gt; 0, NOT(ISBLANK(SamplingData[[#This Row],[Candidate 5]]))),(SamplingData[[#This Row],[Total]]+SamplingData[[#This Row],[Winning Candidate]]-SamplingData[[#This Row],[Candidate 5]])/(SamplingData[[#Totals],[Winning Candidate]]-SamplingData[[#Totals],[Candidate 5]]), 0)</f>
        <v>1.7027487229384578E-3</v>
      </c>
      <c r="O723" s="100">
        <f>IF(AND(SamplingData[[#This Row],[Total]]&lt;&gt; 0, NOT(ISBLANK(SamplingData[[#This Row],[Candidate 6]]))),(SamplingData[[#This Row],[Total]]+SamplingData[[#This Row],[Winning Candidate]]-SamplingData[[#This Row],[Candidate 6]])/(SamplingData[[#Totals],[Winning Candidate]]-SamplingData[[#Totals],[Candidate 6]]), 0)</f>
        <v>1.7022518360001945E-3</v>
      </c>
      <c r="P723" s="100">
        <f>MAX(SamplingData[[#This Row],[Error Bound (up) - Max. possible relative overstatement - Losing Candidate]:[Error Bound (up) - Max. possible relative overstatement - Candidate 6]])</f>
        <v>3.1847133757961785E-3</v>
      </c>
      <c r="Q723" s="100">
        <f>IF(SamplingData[[#This Row],[Max Error Bound (up)]] = 0,0,SamplingData[[#This Row],[Max Error Bound (up)]]/SamplingData[[#Totals],[Max Error Bound (up)]])</f>
        <v>5.0403331047918325E-4</v>
      </c>
      <c r="R723" s="101">
        <f>SUM($Q$5:Q723)</f>
        <v>0.20071268690043317</v>
      </c>
      <c r="S723" s="100" t="str">
        <f t="array" ref="S723">IF(SamplingData[[#This Row],[up/U Selection Probability]] = 0, "Zero", TEXT(SamplingData[[#This Row],[Lower Range]], REPT("0",LEN('General Info'!$B$40))) &amp; " - " &amp; TEXT(SamplingData[[#This Row],[Upper Range]], REPT("0",LEN('General Info'!$B$40))))</f>
        <v>20021 - 20070</v>
      </c>
      <c r="T723" s="100">
        <f>SamplingData[[#This Row],[Upper Range]]-SamplingData[[#This Row],[Span]]</f>
        <v>20020.86586302871</v>
      </c>
      <c r="U723" s="100">
        <f>IF(ISNUMBER('General Info'!$B$40), ((SamplingData[[#This Row],[up/U Selection Probability]]) * 'General Info'!$B$40) - 1, 0)</f>
        <v>49.402827014607844</v>
      </c>
      <c r="V723" s="100">
        <f>IF(ISNUMBER('General Info'!$B$40), (SamplingData[[#This Row],[Running (cumulative) sum]] * ('General Info'!$B$40 -'General Info'!$B$41 + 1)) + 'General Info'!$B$41 - 1, 0)</f>
        <v>20070.268690043318</v>
      </c>
      <c r="W723" s="100" t="str">
        <f>IF(ISERROR(MATCH(SamplingData[[#This Row],[Batch by Type (p)]],SelectedPrecincts[Batch Name], 0)), "", INDEX(SelectedPrecincts[Draw], MATCH(SamplingData[[#This Row],[Batch by Type (p)]],SelectedPrecincts[Batch Name], 0)))</f>
        <v/>
      </c>
      <c r="X723" s="102">
        <f>IF(COUNTIF(SelectedPrecincts[Batch Name],SamplingData[[#This Row],[Batch by Type (p)]]) &lt;&gt; 0, COUNTIF(SelectedPrecincts[Batch Name],SamplingData[[#This Row],[Batch by Type (p)]]), 0)</f>
        <v>0</v>
      </c>
    </row>
    <row r="724" spans="1:24" ht="15" customHeight="1">
      <c r="A724" s="18" t="s">
        <v>900</v>
      </c>
      <c r="B724" s="18">
        <v>5</v>
      </c>
      <c r="C724" s="18">
        <v>4</v>
      </c>
      <c r="D724" s="18">
        <v>4</v>
      </c>
      <c r="E724" s="18">
        <v>6</v>
      </c>
      <c r="F724" s="18">
        <v>0</v>
      </c>
      <c r="G724" s="18">
        <v>0</v>
      </c>
      <c r="H724" s="18">
        <v>0</v>
      </c>
      <c r="I724" s="18">
        <v>1</v>
      </c>
      <c r="J724" s="99">
        <f>SUM(SamplingData[[#This Row],[Losing Candidate]:[Under Votes]])</f>
        <v>20</v>
      </c>
      <c r="K724"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724" s="100">
        <f>IF(AND(SamplingData[[#This Row],[Total]]&lt;&gt; 0, NOT(ISBLANK(SamplingData[[#This Row],[Candidate 3]]))),(SamplingData[[#This Row],[Total]]+SamplingData[[#This Row],[Winning Candidate]]-SamplingData[[#This Row],[Candidate 3]])/(SamplingData[[#Totals],[Winning Candidate]]-SamplingData[[#Totals],[Candidate 3]]), 0)</f>
        <v>6.4522373132883831E-4</v>
      </c>
      <c r="M724" s="100">
        <f>IF(AND(SamplingData[[#This Row],[Total]]&lt;&gt; 0, NOT(ISBLANK(SamplingData[[#This Row],[Candidate 4]]))),(SamplingData[[#This Row],[Total]]+SamplingData[[#This Row],[Winning Candidate]]-SamplingData[[#This Row],[Candidate 4]])/(SamplingData[[#Totals],[Winning Candidate]]-SamplingData[[#Totals],[Candidate 4]]), 0)</f>
        <v>5.2617732175743229E-4</v>
      </c>
      <c r="N724" s="100">
        <f>IF(AND(SamplingData[[#This Row],[Total]]&lt;&gt; 0, NOT(ISBLANK(SamplingData[[#This Row],[Candidate 5]]))),(SamplingData[[#This Row],[Total]]+SamplingData[[#This Row],[Winning Candidate]]-SamplingData[[#This Row],[Candidate 5]])/(SamplingData[[#Totals],[Winning Candidate]]-SamplingData[[#Totals],[Candidate 5]]), 0)</f>
        <v>5.8379956215032843E-4</v>
      </c>
      <c r="O724" s="100">
        <f>IF(AND(SamplingData[[#This Row],[Total]]&lt;&gt; 0, NOT(ISBLANK(SamplingData[[#This Row],[Candidate 6]]))),(SamplingData[[#This Row],[Total]]+SamplingData[[#This Row],[Winning Candidate]]-SamplingData[[#This Row],[Candidate 6]])/(SamplingData[[#Totals],[Winning Candidate]]-SamplingData[[#Totals],[Candidate 6]]), 0)</f>
        <v>5.8362920091435243E-4</v>
      </c>
      <c r="P724" s="100">
        <f>MAX(SamplingData[[#This Row],[Error Bound (up) - Max. possible relative overstatement - Losing Candidate]:[Error Bound (up) - Max. possible relative overstatement - Candidate 6]])</f>
        <v>1.1636452719255266E-3</v>
      </c>
      <c r="Q724" s="100">
        <f>IF(SamplingData[[#This Row],[Max Error Bound (up)]] = 0,0,SamplingData[[#This Row],[Max Error Bound (up)]]/SamplingData[[#Totals],[Max Error Bound (up)]])</f>
        <v>1.841660172904708E-4</v>
      </c>
      <c r="R724" s="101">
        <f>SUM($Q$5:Q724)</f>
        <v>0.20089685291772363</v>
      </c>
      <c r="S724" s="100" t="str">
        <f t="array" ref="S724">IF(SamplingData[[#This Row],[up/U Selection Probability]] = 0, "Zero", TEXT(SamplingData[[#This Row],[Lower Range]], REPT("0",LEN('General Info'!$B$40))) &amp; " - " &amp; TEXT(SamplingData[[#This Row],[Upper Range]], REPT("0",LEN('General Info'!$B$40))))</f>
        <v>20071 - 20089</v>
      </c>
      <c r="T724" s="100">
        <f>SamplingData[[#This Row],[Upper Range]]-SamplingData[[#This Row],[Span]]</f>
        <v>20071.268874209334</v>
      </c>
      <c r="U724" s="100">
        <f>IF(ISNUMBER('General Info'!$B$40), ((SamplingData[[#This Row],[up/U Selection Probability]]) * 'General Info'!$B$40) - 1, 0)</f>
        <v>17.416417563029789</v>
      </c>
      <c r="V724" s="100">
        <f>IF(ISNUMBER('General Info'!$B$40), (SamplingData[[#This Row],[Running (cumulative) sum]] * ('General Info'!$B$40 -'General Info'!$B$41 + 1)) + 'General Info'!$B$41 - 1, 0)</f>
        <v>20088.685291772363</v>
      </c>
      <c r="W724" s="100" t="str">
        <f>IF(ISERROR(MATCH(SamplingData[[#This Row],[Batch by Type (p)]],SelectedPrecincts[Batch Name], 0)), "", INDEX(SelectedPrecincts[Draw], MATCH(SamplingData[[#This Row],[Batch by Type (p)]],SelectedPrecincts[Batch Name], 0)))</f>
        <v/>
      </c>
      <c r="X724" s="102">
        <f>IF(COUNTIF(SelectedPrecincts[Batch Name],SamplingData[[#This Row],[Batch by Type (p)]]) &lt;&gt; 0, COUNTIF(SelectedPrecincts[Batch Name],SamplingData[[#This Row],[Batch by Type (p)]]), 0)</f>
        <v>0</v>
      </c>
    </row>
    <row r="725" spans="1:24" ht="15" customHeight="1">
      <c r="A725" s="18" t="s">
        <v>901</v>
      </c>
      <c r="B725" s="18">
        <v>16</v>
      </c>
      <c r="C725" s="18">
        <v>17</v>
      </c>
      <c r="D725" s="16">
        <v>10</v>
      </c>
      <c r="E725" s="16">
        <v>13</v>
      </c>
      <c r="F725" s="37">
        <v>0</v>
      </c>
      <c r="G725" s="37">
        <v>0</v>
      </c>
      <c r="H725" s="17">
        <v>0</v>
      </c>
      <c r="I725" s="17">
        <v>0</v>
      </c>
      <c r="J725" s="99">
        <f>SUM(SamplingData[[#This Row],[Losing Candidate]:[Under Votes]])</f>
        <v>56</v>
      </c>
      <c r="K725" s="100">
        <f>IF(AND(SamplingData[[#This Row],[Total]]&lt;&gt; 0, NOT(ISBLANK(SamplingData[[#This Row],[Losing Candidate]]))),(SamplingData[[#This Row],[Total]]+SamplingData[[#This Row],[Winning Candidate]]-SamplingData[[#This Row],[Losing Candidate]])/(SamplingData[[#Totals],[Winning Candidate]]-SamplingData[[#Totals],[Losing Candidate]]), 0)</f>
        <v>3.4909358157765801E-3</v>
      </c>
      <c r="L725" s="100">
        <f>IF(AND(SamplingData[[#This Row],[Total]]&lt;&gt; 0, NOT(ISBLANK(SamplingData[[#This Row],[Candidate 3]]))),(SamplingData[[#This Row],[Total]]+SamplingData[[#This Row],[Winning Candidate]]-SamplingData[[#This Row],[Candidate 3]])/(SamplingData[[#Totals],[Winning Candidate]]-SamplingData[[#Totals],[Candidate 3]]), 0)</f>
        <v>2.0324547536858407E-3</v>
      </c>
      <c r="M725" s="100">
        <f>IF(AND(SamplingData[[#This Row],[Total]]&lt;&gt; 0, NOT(ISBLANK(SamplingData[[#This Row],[Candidate 4]]))),(SamplingData[[#This Row],[Total]]+SamplingData[[#This Row],[Winning Candidate]]-SamplingData[[#This Row],[Candidate 4]])/(SamplingData[[#Totals],[Winning Candidate]]-SamplingData[[#Totals],[Candidate 4]]), 0)</f>
        <v>1.7539244058581076E-3</v>
      </c>
      <c r="N725" s="100">
        <f>IF(AND(SamplingData[[#This Row],[Total]]&lt;&gt; 0, NOT(ISBLANK(SamplingData[[#This Row],[Candidate 5]]))),(SamplingData[[#This Row],[Total]]+SamplingData[[#This Row],[Winning Candidate]]-SamplingData[[#This Row],[Candidate 5]])/(SamplingData[[#Totals],[Winning Candidate]]-SamplingData[[#Totals],[Candidate 5]]), 0)</f>
        <v>1.7757236682072487E-3</v>
      </c>
      <c r="O725" s="100">
        <f>IF(AND(SamplingData[[#This Row],[Total]]&lt;&gt; 0, NOT(ISBLANK(SamplingData[[#This Row],[Candidate 6]]))),(SamplingData[[#This Row],[Total]]+SamplingData[[#This Row],[Winning Candidate]]-SamplingData[[#This Row],[Candidate 6]])/(SamplingData[[#Totals],[Winning Candidate]]-SamplingData[[#Totals],[Candidate 6]]), 0)</f>
        <v>1.7752054861144887E-3</v>
      </c>
      <c r="P725" s="100">
        <f>MAX(SamplingData[[#This Row],[Error Bound (up) - Max. possible relative overstatement - Losing Candidate]:[Error Bound (up) - Max. possible relative overstatement - Candidate 6]])</f>
        <v>3.4909358157765801E-3</v>
      </c>
      <c r="Q725" s="100">
        <f>IF(SamplingData[[#This Row],[Max Error Bound (up)]] = 0,0,SamplingData[[#This Row],[Max Error Bound (up)]]/SamplingData[[#Totals],[Max Error Bound (up)]])</f>
        <v>5.5249805187141245E-4</v>
      </c>
      <c r="R725" s="101">
        <f>SUM($Q$5:Q725)</f>
        <v>0.20144935096959504</v>
      </c>
      <c r="S725" s="100" t="str">
        <f t="array" ref="S725">IF(SamplingData[[#This Row],[up/U Selection Probability]] = 0, "Zero", TEXT(SamplingData[[#This Row],[Lower Range]], REPT("0",LEN('General Info'!$B$40))) &amp; " - " &amp; TEXT(SamplingData[[#This Row],[Upper Range]], REPT("0",LEN('General Info'!$B$40))))</f>
        <v>20090 - 20144</v>
      </c>
      <c r="T725" s="100">
        <f>SamplingData[[#This Row],[Upper Range]]-SamplingData[[#This Row],[Span]]</f>
        <v>20089.685844270414</v>
      </c>
      <c r="U725" s="100">
        <f>IF(ISNUMBER('General Info'!$B$40), ((SamplingData[[#This Row],[up/U Selection Probability]]) * 'General Info'!$B$40) - 1, 0)</f>
        <v>54.249252689089374</v>
      </c>
      <c r="V725" s="100">
        <f>IF(ISNUMBER('General Info'!$B$40), (SamplingData[[#This Row],[Running (cumulative) sum]] * ('General Info'!$B$40 -'General Info'!$B$41 + 1)) + 'General Info'!$B$41 - 1, 0)</f>
        <v>20143.935096959503</v>
      </c>
      <c r="W725" s="100" t="str">
        <f>IF(ISERROR(MATCH(SamplingData[[#This Row],[Batch by Type (p)]],SelectedPrecincts[Batch Name], 0)), "", INDEX(SelectedPrecincts[Draw], MATCH(SamplingData[[#This Row],[Batch by Type (p)]],SelectedPrecincts[Batch Name], 0)))</f>
        <v/>
      </c>
      <c r="X725" s="102">
        <f>IF(COUNTIF(SelectedPrecincts[Batch Name],SamplingData[[#This Row],[Batch by Type (p)]]) &lt;&gt; 0, COUNTIF(SelectedPrecincts[Batch Name],SamplingData[[#This Row],[Batch by Type (p)]]), 0)</f>
        <v>0</v>
      </c>
    </row>
    <row r="726" spans="1:24" ht="15" customHeight="1">
      <c r="A726" s="18" t="s">
        <v>902</v>
      </c>
      <c r="B726" s="18">
        <v>7</v>
      </c>
      <c r="C726" s="18">
        <v>10</v>
      </c>
      <c r="D726" s="18">
        <v>3</v>
      </c>
      <c r="E726" s="18">
        <v>0</v>
      </c>
      <c r="F726" s="18">
        <v>0</v>
      </c>
      <c r="G726" s="18">
        <v>0</v>
      </c>
      <c r="H726" s="18">
        <v>0</v>
      </c>
      <c r="I726" s="18">
        <v>1</v>
      </c>
      <c r="J726" s="99">
        <f>SUM(SamplingData[[#This Row],[Losing Candidate]:[Under Votes]])</f>
        <v>21</v>
      </c>
      <c r="K726"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726" s="100">
        <f>IF(AND(SamplingData[[#This Row],[Total]]&lt;&gt; 0, NOT(ISBLANK(SamplingData[[#This Row],[Candidate 3]]))),(SamplingData[[#This Row],[Total]]+SamplingData[[#This Row],[Winning Candidate]]-SamplingData[[#This Row],[Candidate 3]])/(SamplingData[[#Totals],[Winning Candidate]]-SamplingData[[#Totals],[Candidate 3]]), 0)</f>
        <v>9.0331322386037359E-4</v>
      </c>
      <c r="M726" s="100">
        <f>IF(AND(SamplingData[[#This Row],[Total]]&lt;&gt; 0, NOT(ISBLANK(SamplingData[[#This Row],[Candidate 4]]))),(SamplingData[[#This Row],[Total]]+SamplingData[[#This Row],[Winning Candidate]]-SamplingData[[#This Row],[Candidate 4]])/(SamplingData[[#Totals],[Winning Candidate]]-SamplingData[[#Totals],[Candidate 4]]), 0)</f>
        <v>9.0619427636002225E-4</v>
      </c>
      <c r="N726" s="100">
        <f>IF(AND(SamplingData[[#This Row],[Total]]&lt;&gt; 0, NOT(ISBLANK(SamplingData[[#This Row],[Candidate 5]]))),(SamplingData[[#This Row],[Total]]+SamplingData[[#This Row],[Winning Candidate]]-SamplingData[[#This Row],[Candidate 5]])/(SamplingData[[#Totals],[Winning Candidate]]-SamplingData[[#Totals],[Candidate 5]]), 0)</f>
        <v>7.5407443444417419E-4</v>
      </c>
      <c r="O726" s="100">
        <f>IF(AND(SamplingData[[#This Row],[Total]]&lt;&gt; 0, NOT(ISBLANK(SamplingData[[#This Row],[Candidate 6]]))),(SamplingData[[#This Row],[Total]]+SamplingData[[#This Row],[Winning Candidate]]-SamplingData[[#This Row],[Candidate 6]])/(SamplingData[[#Totals],[Winning Candidate]]-SamplingData[[#Totals],[Candidate 6]]), 0)</f>
        <v>7.5385438451437182E-4</v>
      </c>
      <c r="P726" s="100">
        <f>MAX(SamplingData[[#This Row],[Error Bound (up) - Max. possible relative overstatement - Losing Candidate]:[Error Bound (up) - Max. possible relative overstatement - Candidate 6]])</f>
        <v>1.4698677119059284E-3</v>
      </c>
      <c r="Q726" s="100">
        <f>IF(SamplingData[[#This Row],[Max Error Bound (up)]] = 0,0,SamplingData[[#This Row],[Max Error Bound (up)]]/SamplingData[[#Totals],[Max Error Bound (up)]])</f>
        <v>2.3263075868269994E-4</v>
      </c>
      <c r="R726" s="101">
        <f>SUM($Q$5:Q726)</f>
        <v>0.20168198172827775</v>
      </c>
      <c r="S726" s="100" t="str">
        <f t="array" ref="S726">IF(SamplingData[[#This Row],[up/U Selection Probability]] = 0, "Zero", TEXT(SamplingData[[#This Row],[Lower Range]], REPT("0",LEN('General Info'!$B$40))) &amp; " - " &amp; TEXT(SamplingData[[#This Row],[Upper Range]], REPT("0",LEN('General Info'!$B$40))))</f>
        <v>20145 - 20167</v>
      </c>
      <c r="T726" s="100">
        <f>SamplingData[[#This Row],[Upper Range]]-SamplingData[[#This Row],[Span]]</f>
        <v>20144.935329590266</v>
      </c>
      <c r="U726" s="100">
        <f>IF(ISNUMBER('General Info'!$B$40), ((SamplingData[[#This Row],[up/U Selection Probability]]) * 'General Info'!$B$40) - 1, 0)</f>
        <v>22.262843237511312</v>
      </c>
      <c r="V726" s="100">
        <f>IF(ISNUMBER('General Info'!$B$40), (SamplingData[[#This Row],[Running (cumulative) sum]] * ('General Info'!$B$40 -'General Info'!$B$41 + 1)) + 'General Info'!$B$41 - 1, 0)</f>
        <v>20167.198172827775</v>
      </c>
      <c r="W726" s="100" t="str">
        <f>IF(ISERROR(MATCH(SamplingData[[#This Row],[Batch by Type (p)]],SelectedPrecincts[Batch Name], 0)), "", INDEX(SelectedPrecincts[Draw], MATCH(SamplingData[[#This Row],[Batch by Type (p)]],SelectedPrecincts[Batch Name], 0)))</f>
        <v/>
      </c>
      <c r="X726" s="102">
        <f>IF(COUNTIF(SelectedPrecincts[Batch Name],SamplingData[[#This Row],[Batch by Type (p)]]) &lt;&gt; 0, COUNTIF(SelectedPrecincts[Batch Name],SamplingData[[#This Row],[Batch by Type (p)]]), 0)</f>
        <v>0</v>
      </c>
    </row>
    <row r="727" spans="1:24" ht="15" customHeight="1">
      <c r="A727" s="18" t="s">
        <v>903</v>
      </c>
      <c r="B727" s="18">
        <v>24</v>
      </c>
      <c r="C727" s="18">
        <v>20</v>
      </c>
      <c r="D727" s="16">
        <v>4</v>
      </c>
      <c r="E727" s="16">
        <v>11</v>
      </c>
      <c r="F727" s="37">
        <v>0</v>
      </c>
      <c r="G727" s="37">
        <v>0</v>
      </c>
      <c r="H727" s="17">
        <v>0</v>
      </c>
      <c r="I727" s="17">
        <v>2</v>
      </c>
      <c r="J727" s="99">
        <f>SUM(SamplingData[[#This Row],[Losing Candidate]:[Under Votes]])</f>
        <v>61</v>
      </c>
      <c r="K727" s="100">
        <f>IF(AND(SamplingData[[#This Row],[Total]]&lt;&gt; 0, NOT(ISBLANK(SamplingData[[#This Row],[Losing Candidate]]))),(SamplingData[[#This Row],[Total]]+SamplingData[[#This Row],[Winning Candidate]]-SamplingData[[#This Row],[Losing Candidate]])/(SamplingData[[#Totals],[Winning Candidate]]-SamplingData[[#Totals],[Losing Candidate]]), 0)</f>
        <v>3.4909358157765801E-3</v>
      </c>
      <c r="L727" s="100">
        <f>IF(AND(SamplingData[[#This Row],[Total]]&lt;&gt; 0, NOT(ISBLANK(SamplingData[[#This Row],[Candidate 3]]))),(SamplingData[[#This Row],[Total]]+SamplingData[[#This Row],[Winning Candidate]]-SamplingData[[#This Row],[Candidate 3]])/(SamplingData[[#Totals],[Winning Candidate]]-SamplingData[[#Totals],[Candidate 3]]), 0)</f>
        <v>2.4841113656160273E-3</v>
      </c>
      <c r="M727" s="100">
        <f>IF(AND(SamplingData[[#This Row],[Total]]&lt;&gt; 0, NOT(ISBLANK(SamplingData[[#This Row],[Candidate 4]]))),(SamplingData[[#This Row],[Total]]+SamplingData[[#This Row],[Winning Candidate]]-SamplingData[[#This Row],[Candidate 4]])/(SamplingData[[#Totals],[Winning Candidate]]-SamplingData[[#Totals],[Candidate 4]]), 0)</f>
        <v>2.0462451401677922E-3</v>
      </c>
      <c r="N727" s="100">
        <f>IF(AND(SamplingData[[#This Row],[Total]]&lt;&gt; 0, NOT(ISBLANK(SamplingData[[#This Row],[Candidate 5]]))),(SamplingData[[#This Row],[Total]]+SamplingData[[#This Row],[Winning Candidate]]-SamplingData[[#This Row],[Candidate 5]])/(SamplingData[[#Totals],[Winning Candidate]]-SamplingData[[#Totals],[Candidate 5]]), 0)</f>
        <v>1.9703235222573584E-3</v>
      </c>
      <c r="O727" s="100">
        <f>IF(AND(SamplingData[[#This Row],[Total]]&lt;&gt; 0, NOT(ISBLANK(SamplingData[[#This Row],[Candidate 6]]))),(SamplingData[[#This Row],[Total]]+SamplingData[[#This Row],[Winning Candidate]]-SamplingData[[#This Row],[Candidate 6]])/(SamplingData[[#Totals],[Winning Candidate]]-SamplingData[[#Totals],[Candidate 6]]), 0)</f>
        <v>1.9697485530859394E-3</v>
      </c>
      <c r="P727" s="100">
        <f>MAX(SamplingData[[#This Row],[Error Bound (up) - Max. possible relative overstatement - Losing Candidate]:[Error Bound (up) - Max. possible relative overstatement - Candidate 6]])</f>
        <v>3.4909358157765801E-3</v>
      </c>
      <c r="Q727" s="100">
        <f>IF(SamplingData[[#This Row],[Max Error Bound (up)]] = 0,0,SamplingData[[#This Row],[Max Error Bound (up)]]/SamplingData[[#Totals],[Max Error Bound (up)]])</f>
        <v>5.5249805187141245E-4</v>
      </c>
      <c r="R727" s="101">
        <f>SUM($Q$5:Q727)</f>
        <v>0.20223447978014916</v>
      </c>
      <c r="S727" s="100" t="str">
        <f t="array" ref="S727">IF(SamplingData[[#This Row],[up/U Selection Probability]] = 0, "Zero", TEXT(SamplingData[[#This Row],[Lower Range]], REPT("0",LEN('General Info'!$B$40))) &amp; " - " &amp; TEXT(SamplingData[[#This Row],[Upper Range]], REPT("0",LEN('General Info'!$B$40))))</f>
        <v>20168 - 20222</v>
      </c>
      <c r="T727" s="100">
        <f>SamplingData[[#This Row],[Upper Range]]-SamplingData[[#This Row],[Span]]</f>
        <v>20168.198725325827</v>
      </c>
      <c r="U727" s="100">
        <f>IF(ISNUMBER('General Info'!$B$40), ((SamplingData[[#This Row],[up/U Selection Probability]]) * 'General Info'!$B$40) - 1, 0)</f>
        <v>54.249252689089374</v>
      </c>
      <c r="V727" s="100">
        <f>IF(ISNUMBER('General Info'!$B$40), (SamplingData[[#This Row],[Running (cumulative) sum]] * ('General Info'!$B$40 -'General Info'!$B$41 + 1)) + 'General Info'!$B$41 - 1, 0)</f>
        <v>20222.447978014916</v>
      </c>
      <c r="W727" s="100" t="str">
        <f>IF(ISERROR(MATCH(SamplingData[[#This Row],[Batch by Type (p)]],SelectedPrecincts[Batch Name], 0)), "", INDEX(SelectedPrecincts[Draw], MATCH(SamplingData[[#This Row],[Batch by Type (p)]],SelectedPrecincts[Batch Name], 0)))</f>
        <v/>
      </c>
      <c r="X727" s="102">
        <f>IF(COUNTIF(SelectedPrecincts[Batch Name],SamplingData[[#This Row],[Batch by Type (p)]]) &lt;&gt; 0, COUNTIF(SelectedPrecincts[Batch Name],SamplingData[[#This Row],[Batch by Type (p)]]), 0)</f>
        <v>0</v>
      </c>
    </row>
    <row r="728" spans="1:24" ht="15" customHeight="1">
      <c r="A728" s="18" t="s">
        <v>904</v>
      </c>
      <c r="B728" s="18">
        <v>5</v>
      </c>
      <c r="C728" s="18">
        <v>1</v>
      </c>
      <c r="D728" s="18">
        <v>3</v>
      </c>
      <c r="E728" s="18">
        <v>0</v>
      </c>
      <c r="F728" s="18">
        <v>0</v>
      </c>
      <c r="G728" s="18">
        <v>1</v>
      </c>
      <c r="H728" s="18">
        <v>0</v>
      </c>
      <c r="I728" s="18">
        <v>0</v>
      </c>
      <c r="J728" s="99">
        <f>SUM(SamplingData[[#This Row],[Losing Candidate]:[Under Votes]])</f>
        <v>10</v>
      </c>
      <c r="K728"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728" s="100">
        <f>IF(AND(SamplingData[[#This Row],[Total]]&lt;&gt; 0, NOT(ISBLANK(SamplingData[[#This Row],[Candidate 3]]))),(SamplingData[[#This Row],[Total]]+SamplingData[[#This Row],[Winning Candidate]]-SamplingData[[#This Row],[Candidate 3]])/(SamplingData[[#Totals],[Winning Candidate]]-SamplingData[[#Totals],[Candidate 3]]), 0)</f>
        <v>2.5808949253153533E-4</v>
      </c>
      <c r="M728" s="100">
        <f>IF(AND(SamplingData[[#This Row],[Total]]&lt;&gt; 0, NOT(ISBLANK(SamplingData[[#This Row],[Candidate 4]]))),(SamplingData[[#This Row],[Total]]+SamplingData[[#This Row],[Winning Candidate]]-SamplingData[[#This Row],[Candidate 4]])/(SamplingData[[#Totals],[Winning Candidate]]-SamplingData[[#Totals],[Candidate 4]]), 0)</f>
        <v>3.2155280774065302E-4</v>
      </c>
      <c r="N728" s="100">
        <f>IF(AND(SamplingData[[#This Row],[Total]]&lt;&gt; 0, NOT(ISBLANK(SamplingData[[#This Row],[Candidate 5]]))),(SamplingData[[#This Row],[Total]]+SamplingData[[#This Row],[Winning Candidate]]-SamplingData[[#This Row],[Candidate 5]])/(SamplingData[[#Totals],[Winning Candidate]]-SamplingData[[#Totals],[Candidate 5]]), 0)</f>
        <v>2.6757479931890053E-4</v>
      </c>
      <c r="O728" s="100">
        <f>IF(AND(SamplingData[[#This Row],[Total]]&lt;&gt; 0, NOT(ISBLANK(SamplingData[[#This Row],[Candidate 6]]))),(SamplingData[[#This Row],[Total]]+SamplingData[[#This Row],[Winning Candidate]]-SamplingData[[#This Row],[Candidate 6]])/(SamplingData[[#Totals],[Winning Candidate]]-SamplingData[[#Totals],[Candidate 6]]), 0)</f>
        <v>2.431788337143135E-4</v>
      </c>
      <c r="P728" s="100">
        <f>MAX(SamplingData[[#This Row],[Error Bound (up) - Max. possible relative overstatement - Losing Candidate]:[Error Bound (up) - Max. possible relative overstatement - Candidate 6]])</f>
        <v>3.6746692797648211E-4</v>
      </c>
      <c r="Q728" s="100">
        <f>IF(SamplingData[[#This Row],[Max Error Bound (up)]] = 0,0,SamplingData[[#This Row],[Max Error Bound (up)]]/SamplingData[[#Totals],[Max Error Bound (up)]])</f>
        <v>5.8157689670674986E-5</v>
      </c>
      <c r="R728" s="101">
        <f>SUM($Q$5:Q728)</f>
        <v>0.20229263746981985</v>
      </c>
      <c r="S728" s="100" t="str">
        <f t="array" ref="S728">IF(SamplingData[[#This Row],[up/U Selection Probability]] = 0, "Zero", TEXT(SamplingData[[#This Row],[Lower Range]], REPT("0",LEN('General Info'!$B$40))) &amp; " - " &amp; TEXT(SamplingData[[#This Row],[Upper Range]], REPT("0",LEN('General Info'!$B$40))))</f>
        <v>20223 - 20228</v>
      </c>
      <c r="T728" s="100">
        <f>SamplingData[[#This Row],[Upper Range]]-SamplingData[[#This Row],[Span]]</f>
        <v>20223.448036172609</v>
      </c>
      <c r="U728" s="100">
        <f>IF(ISNUMBER('General Info'!$B$40), ((SamplingData[[#This Row],[up/U Selection Probability]]) * 'General Info'!$B$40) - 1, 0)</f>
        <v>4.815710809377828</v>
      </c>
      <c r="V728" s="100">
        <f>IF(ISNUMBER('General Info'!$B$40), (SamplingData[[#This Row],[Running (cumulative) sum]] * ('General Info'!$B$40 -'General Info'!$B$41 + 1)) + 'General Info'!$B$41 - 1, 0)</f>
        <v>20228.263746981986</v>
      </c>
      <c r="W728" s="100" t="str">
        <f>IF(ISERROR(MATCH(SamplingData[[#This Row],[Batch by Type (p)]],SelectedPrecincts[Batch Name], 0)), "", INDEX(SelectedPrecincts[Draw], MATCH(SamplingData[[#This Row],[Batch by Type (p)]],SelectedPrecincts[Batch Name], 0)))</f>
        <v/>
      </c>
      <c r="X728" s="102">
        <f>IF(COUNTIF(SelectedPrecincts[Batch Name],SamplingData[[#This Row],[Batch by Type (p)]]) &lt;&gt; 0, COUNTIF(SelectedPrecincts[Batch Name],SamplingData[[#This Row],[Batch by Type (p)]]), 0)</f>
        <v>0</v>
      </c>
    </row>
    <row r="729" spans="1:24" ht="15" customHeight="1">
      <c r="A729" s="18" t="s">
        <v>905</v>
      </c>
      <c r="B729" s="18">
        <v>18</v>
      </c>
      <c r="C729" s="18">
        <v>8</v>
      </c>
      <c r="D729" s="16">
        <v>4</v>
      </c>
      <c r="E729" s="16">
        <v>8</v>
      </c>
      <c r="F729" s="37">
        <v>0</v>
      </c>
      <c r="G729" s="37">
        <v>1</v>
      </c>
      <c r="H729" s="17">
        <v>1</v>
      </c>
      <c r="I729" s="17">
        <v>0</v>
      </c>
      <c r="J729" s="99">
        <f>SUM(SamplingData[[#This Row],[Losing Candidate]:[Under Votes]])</f>
        <v>40</v>
      </c>
      <c r="K729"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729" s="100">
        <f>IF(AND(SamplingData[[#This Row],[Total]]&lt;&gt; 0, NOT(ISBLANK(SamplingData[[#This Row],[Candidate 3]]))),(SamplingData[[#This Row],[Total]]+SamplingData[[#This Row],[Winning Candidate]]-SamplingData[[#This Row],[Candidate 3]])/(SamplingData[[#Totals],[Winning Candidate]]-SamplingData[[#Totals],[Candidate 3]]), 0)</f>
        <v>1.4194922089234441E-3</v>
      </c>
      <c r="M729" s="100">
        <f>IF(AND(SamplingData[[#This Row],[Total]]&lt;&gt; 0, NOT(ISBLANK(SamplingData[[#This Row],[Candidate 4]]))),(SamplingData[[#This Row],[Total]]+SamplingData[[#This Row],[Winning Candidate]]-SamplingData[[#This Row],[Candidate 4]])/(SamplingData[[#Totals],[Winning Candidate]]-SamplingData[[#Totals],[Candidate 4]]), 0)</f>
        <v>1.1692829372387384E-3</v>
      </c>
      <c r="N729" s="100">
        <f>IF(AND(SamplingData[[#This Row],[Total]]&lt;&gt; 0, NOT(ISBLANK(SamplingData[[#This Row],[Candidate 5]]))),(SamplingData[[#This Row],[Total]]+SamplingData[[#This Row],[Winning Candidate]]-SamplingData[[#This Row],[Candidate 5]])/(SamplingData[[#Totals],[Winning Candidate]]-SamplingData[[#Totals],[Candidate 5]]), 0)</f>
        <v>1.1675991243006569E-3</v>
      </c>
      <c r="O729" s="100">
        <f>IF(AND(SamplingData[[#This Row],[Total]]&lt;&gt; 0, NOT(ISBLANK(SamplingData[[#This Row],[Candidate 6]]))),(SamplingData[[#This Row],[Total]]+SamplingData[[#This Row],[Winning Candidate]]-SamplingData[[#This Row],[Candidate 6]])/(SamplingData[[#Totals],[Winning Candidate]]-SamplingData[[#Totals],[Candidate 6]]), 0)</f>
        <v>1.1429405184572735E-3</v>
      </c>
      <c r="P729" s="100">
        <f>MAX(SamplingData[[#This Row],[Error Bound (up) - Max. possible relative overstatement - Losing Candidate]:[Error Bound (up) - Max. possible relative overstatement - Candidate 6]])</f>
        <v>1.8373346398824107E-3</v>
      </c>
      <c r="Q729" s="100">
        <f>IF(SamplingData[[#This Row],[Max Error Bound (up)]] = 0,0,SamplingData[[#This Row],[Max Error Bound (up)]]/SamplingData[[#Totals],[Max Error Bound (up)]])</f>
        <v>2.9078844835337498E-4</v>
      </c>
      <c r="R729" s="101">
        <f>SUM($Q$5:Q729)</f>
        <v>0.20258342591817322</v>
      </c>
      <c r="S729" s="100" t="str">
        <f t="array" ref="S729">IF(SamplingData[[#This Row],[up/U Selection Probability]] = 0, "Zero", TEXT(SamplingData[[#This Row],[Lower Range]], REPT("0",LEN('General Info'!$B$40))) &amp; " - " &amp; TEXT(SamplingData[[#This Row],[Upper Range]], REPT("0",LEN('General Info'!$B$40))))</f>
        <v>20229 - 20257</v>
      </c>
      <c r="T729" s="100">
        <f>SamplingData[[#This Row],[Upper Range]]-SamplingData[[#This Row],[Span]]</f>
        <v>20229.26403777043</v>
      </c>
      <c r="U729" s="100">
        <f>IF(ISNUMBER('General Info'!$B$40), ((SamplingData[[#This Row],[up/U Selection Probability]]) * 'General Info'!$B$40) - 1, 0)</f>
        <v>28.078554046889145</v>
      </c>
      <c r="V729" s="100">
        <f>IF(ISNUMBER('General Info'!$B$40), (SamplingData[[#This Row],[Running (cumulative) sum]] * ('General Info'!$B$40 -'General Info'!$B$41 + 1)) + 'General Info'!$B$41 - 1, 0)</f>
        <v>20257.34259181732</v>
      </c>
      <c r="W729" s="100" t="str">
        <f>IF(ISERROR(MATCH(SamplingData[[#This Row],[Batch by Type (p)]],SelectedPrecincts[Batch Name], 0)), "", INDEX(SelectedPrecincts[Draw], MATCH(SamplingData[[#This Row],[Batch by Type (p)]],SelectedPrecincts[Batch Name], 0)))</f>
        <v/>
      </c>
      <c r="X729" s="102">
        <f>IF(COUNTIF(SelectedPrecincts[Batch Name],SamplingData[[#This Row],[Batch by Type (p)]]) &lt;&gt; 0, COUNTIF(SelectedPrecincts[Batch Name],SamplingData[[#This Row],[Batch by Type (p)]]), 0)</f>
        <v>0</v>
      </c>
    </row>
    <row r="730" spans="1:24" ht="15" customHeight="1">
      <c r="A730" s="18" t="s">
        <v>906</v>
      </c>
      <c r="B730" s="18">
        <v>7</v>
      </c>
      <c r="C730" s="18">
        <v>12</v>
      </c>
      <c r="D730" s="18">
        <v>2</v>
      </c>
      <c r="E730" s="18">
        <v>3</v>
      </c>
      <c r="F730" s="18">
        <v>0</v>
      </c>
      <c r="G730" s="18">
        <v>0</v>
      </c>
      <c r="H730" s="18">
        <v>0</v>
      </c>
      <c r="I730" s="18">
        <v>0</v>
      </c>
      <c r="J730" s="99">
        <f>SUM(SamplingData[[#This Row],[Losing Candidate]:[Under Votes]])</f>
        <v>24</v>
      </c>
      <c r="K730"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730" s="100">
        <f>IF(AND(SamplingData[[#This Row],[Total]]&lt;&gt; 0, NOT(ISBLANK(SamplingData[[#This Row],[Candidate 3]]))),(SamplingData[[#This Row],[Total]]+SamplingData[[#This Row],[Winning Candidate]]-SamplingData[[#This Row],[Candidate 3]])/(SamplingData[[#Totals],[Winning Candidate]]-SamplingData[[#Totals],[Candidate 3]]), 0)</f>
        <v>1.0968803432590251E-3</v>
      </c>
      <c r="M730" s="100">
        <f>IF(AND(SamplingData[[#This Row],[Total]]&lt;&gt; 0, NOT(ISBLANK(SamplingData[[#This Row],[Candidate 4]]))),(SamplingData[[#This Row],[Total]]+SamplingData[[#This Row],[Winning Candidate]]-SamplingData[[#This Row],[Candidate 4]])/(SamplingData[[#Totals],[Winning Candidate]]-SamplingData[[#Totals],[Candidate 4]]), 0)</f>
        <v>9.6465842322195918E-4</v>
      </c>
      <c r="N730" s="100">
        <f>IF(AND(SamplingData[[#This Row],[Total]]&lt;&gt; 0, NOT(ISBLANK(SamplingData[[#This Row],[Candidate 5]]))),(SamplingData[[#This Row],[Total]]+SamplingData[[#This Row],[Winning Candidate]]-SamplingData[[#This Row],[Candidate 5]])/(SamplingData[[#Totals],[Winning Candidate]]-SamplingData[[#Totals],[Candidate 5]]), 0)</f>
        <v>8.7569934322549259E-4</v>
      </c>
      <c r="O730" s="100">
        <f>IF(AND(SamplingData[[#This Row],[Total]]&lt;&gt; 0, NOT(ISBLANK(SamplingData[[#This Row],[Candidate 6]]))),(SamplingData[[#This Row],[Total]]+SamplingData[[#This Row],[Winning Candidate]]-SamplingData[[#This Row],[Candidate 6]])/(SamplingData[[#Totals],[Winning Candidate]]-SamplingData[[#Totals],[Candidate 6]]), 0)</f>
        <v>8.7544380137152865E-4</v>
      </c>
      <c r="P730" s="100">
        <f>MAX(SamplingData[[#This Row],[Error Bound (up) - Max. possible relative overstatement - Losing Candidate]:[Error Bound (up) - Max. possible relative overstatement - Candidate 6]])</f>
        <v>1.7760901518863303E-3</v>
      </c>
      <c r="Q730" s="100">
        <f>IF(SamplingData[[#This Row],[Max Error Bound (up)]] = 0,0,SamplingData[[#This Row],[Max Error Bound (up)]]/SamplingData[[#Totals],[Max Error Bound (up)]])</f>
        <v>2.8109550007492914E-4</v>
      </c>
      <c r="R730" s="101">
        <f>SUM($Q$5:Q730)</f>
        <v>0.20286452141824815</v>
      </c>
      <c r="S730" s="100" t="str">
        <f t="array" ref="S730">IF(SamplingData[[#This Row],[up/U Selection Probability]] = 0, "Zero", TEXT(SamplingData[[#This Row],[Lower Range]], REPT("0",LEN('General Info'!$B$40))) &amp; " - " &amp; TEXT(SamplingData[[#This Row],[Upper Range]], REPT("0",LEN('General Info'!$B$40))))</f>
        <v>20258 - 20285</v>
      </c>
      <c r="T730" s="100">
        <f>SamplingData[[#This Row],[Upper Range]]-SamplingData[[#This Row],[Span]]</f>
        <v>20258.342872912821</v>
      </c>
      <c r="U730" s="100">
        <f>IF(ISNUMBER('General Info'!$B$40), ((SamplingData[[#This Row],[up/U Selection Probability]]) * 'General Info'!$B$40) - 1, 0)</f>
        <v>27.109268911992839</v>
      </c>
      <c r="V730" s="100">
        <f>IF(ISNUMBER('General Info'!$B$40), (SamplingData[[#This Row],[Running (cumulative) sum]] * ('General Info'!$B$40 -'General Info'!$B$41 + 1)) + 'General Info'!$B$41 - 1, 0)</f>
        <v>20285.452141824815</v>
      </c>
      <c r="W730" s="100" t="str">
        <f>IF(ISERROR(MATCH(SamplingData[[#This Row],[Batch by Type (p)]],SelectedPrecincts[Batch Name], 0)), "", INDEX(SelectedPrecincts[Draw], MATCH(SamplingData[[#This Row],[Batch by Type (p)]],SelectedPrecincts[Batch Name], 0)))</f>
        <v/>
      </c>
      <c r="X730" s="102">
        <f>IF(COUNTIF(SelectedPrecincts[Batch Name],SamplingData[[#This Row],[Batch by Type (p)]]) &lt;&gt; 0, COUNTIF(SelectedPrecincts[Batch Name],SamplingData[[#This Row],[Batch by Type (p)]]), 0)</f>
        <v>0</v>
      </c>
    </row>
    <row r="731" spans="1:24" ht="15" customHeight="1">
      <c r="A731" s="18" t="s">
        <v>907</v>
      </c>
      <c r="B731" s="18">
        <v>24</v>
      </c>
      <c r="C731" s="18">
        <v>7</v>
      </c>
      <c r="D731" s="16">
        <v>9</v>
      </c>
      <c r="E731" s="16">
        <v>2</v>
      </c>
      <c r="F731" s="37">
        <v>0</v>
      </c>
      <c r="G731" s="37">
        <v>1</v>
      </c>
      <c r="H731" s="17">
        <v>0</v>
      </c>
      <c r="I731" s="17">
        <v>0</v>
      </c>
      <c r="J731" s="99">
        <f>SUM(SamplingData[[#This Row],[Losing Candidate]:[Under Votes]])</f>
        <v>43</v>
      </c>
      <c r="K731"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731" s="100">
        <f>IF(AND(SamplingData[[#This Row],[Total]]&lt;&gt; 0, NOT(ISBLANK(SamplingData[[#This Row],[Candidate 3]]))),(SamplingData[[#This Row],[Total]]+SamplingData[[#This Row],[Winning Candidate]]-SamplingData[[#This Row],[Candidate 3]])/(SamplingData[[#Totals],[Winning Candidate]]-SamplingData[[#Totals],[Candidate 3]]), 0)</f>
        <v>1.3227086492241184E-3</v>
      </c>
      <c r="M731" s="100">
        <f>IF(AND(SamplingData[[#This Row],[Total]]&lt;&gt; 0, NOT(ISBLANK(SamplingData[[#This Row],[Candidate 4]]))),(SamplingData[[#This Row],[Total]]+SamplingData[[#This Row],[Winning Candidate]]-SamplingData[[#This Row],[Candidate 4]])/(SamplingData[[#Totals],[Winning Candidate]]-SamplingData[[#Totals],[Candidate 4]]), 0)</f>
        <v>1.403139524686486E-3</v>
      </c>
      <c r="N731" s="100">
        <f>IF(AND(SamplingData[[#This Row],[Total]]&lt;&gt; 0, NOT(ISBLANK(SamplingData[[#This Row],[Candidate 5]]))),(SamplingData[[#This Row],[Total]]+SamplingData[[#This Row],[Winning Candidate]]-SamplingData[[#This Row],[Candidate 5]])/(SamplingData[[#Totals],[Winning Candidate]]-SamplingData[[#Totals],[Candidate 5]]), 0)</f>
        <v>1.2162490878131842E-3</v>
      </c>
      <c r="O731" s="100">
        <f>IF(AND(SamplingData[[#This Row],[Total]]&lt;&gt; 0, NOT(ISBLANK(SamplingData[[#This Row],[Candidate 6]]))),(SamplingData[[#This Row],[Total]]+SamplingData[[#This Row],[Winning Candidate]]-SamplingData[[#This Row],[Candidate 6]])/(SamplingData[[#Totals],[Winning Candidate]]-SamplingData[[#Totals],[Candidate 6]]), 0)</f>
        <v>1.1915762852001363E-3</v>
      </c>
      <c r="P731" s="100">
        <f>MAX(SamplingData[[#This Row],[Error Bound (up) - Max. possible relative overstatement - Losing Candidate]:[Error Bound (up) - Max. possible relative overstatement - Candidate 6]])</f>
        <v>1.5923566878980893E-3</v>
      </c>
      <c r="Q731" s="100">
        <f>IF(SamplingData[[#This Row],[Max Error Bound (up)]] = 0,0,SamplingData[[#This Row],[Max Error Bound (up)]]/SamplingData[[#Totals],[Max Error Bound (up)]])</f>
        <v>2.5201665523959162E-4</v>
      </c>
      <c r="R731" s="101">
        <f>SUM($Q$5:Q731)</f>
        <v>0.20311653807348773</v>
      </c>
      <c r="S731" s="100" t="str">
        <f t="array" ref="S731">IF(SamplingData[[#This Row],[up/U Selection Probability]] = 0, "Zero", TEXT(SamplingData[[#This Row],[Lower Range]], REPT("0",LEN('General Info'!$B$40))) &amp; " - " &amp; TEXT(SamplingData[[#This Row],[Upper Range]], REPT("0",LEN('General Info'!$B$40))))</f>
        <v>20286 - 20311</v>
      </c>
      <c r="T731" s="100">
        <f>SamplingData[[#This Row],[Upper Range]]-SamplingData[[#This Row],[Span]]</f>
        <v>20286.452393841468</v>
      </c>
      <c r="U731" s="100">
        <f>IF(ISNUMBER('General Info'!$B$40), ((SamplingData[[#This Row],[up/U Selection Probability]]) * 'General Info'!$B$40) - 1, 0)</f>
        <v>24.201413507303922</v>
      </c>
      <c r="V731" s="100">
        <f>IF(ISNUMBER('General Info'!$B$40), (SamplingData[[#This Row],[Running (cumulative) sum]] * ('General Info'!$B$40 -'General Info'!$B$41 + 1)) + 'General Info'!$B$41 - 1, 0)</f>
        <v>20310.653807348772</v>
      </c>
      <c r="W731" s="100" t="str">
        <f>IF(ISERROR(MATCH(SamplingData[[#This Row],[Batch by Type (p)]],SelectedPrecincts[Batch Name], 0)), "", INDEX(SelectedPrecincts[Draw], MATCH(SamplingData[[#This Row],[Batch by Type (p)]],SelectedPrecincts[Batch Name], 0)))</f>
        <v/>
      </c>
      <c r="X731" s="102">
        <f>IF(COUNTIF(SelectedPrecincts[Batch Name],SamplingData[[#This Row],[Batch by Type (p)]]) &lt;&gt; 0, COUNTIF(SelectedPrecincts[Batch Name],SamplingData[[#This Row],[Batch by Type (p)]]), 0)</f>
        <v>0</v>
      </c>
    </row>
    <row r="732" spans="1:24" ht="15" customHeight="1">
      <c r="A732" s="18" t="s">
        <v>908</v>
      </c>
      <c r="B732" s="18">
        <v>6</v>
      </c>
      <c r="C732" s="18">
        <v>3</v>
      </c>
      <c r="D732" s="18">
        <v>10</v>
      </c>
      <c r="E732" s="18">
        <v>2</v>
      </c>
      <c r="F732" s="18">
        <v>0</v>
      </c>
      <c r="G732" s="18">
        <v>0</v>
      </c>
      <c r="H732" s="18">
        <v>0</v>
      </c>
      <c r="I732" s="18">
        <v>0</v>
      </c>
      <c r="J732" s="99">
        <f>SUM(SamplingData[[#This Row],[Losing Candidate]:[Under Votes]])</f>
        <v>21</v>
      </c>
      <c r="K732"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732" s="100">
        <f>IF(AND(SamplingData[[#This Row],[Total]]&lt;&gt; 0, NOT(ISBLANK(SamplingData[[#This Row],[Candidate 3]]))),(SamplingData[[#This Row],[Total]]+SamplingData[[#This Row],[Winning Candidate]]-SamplingData[[#This Row],[Candidate 3]])/(SamplingData[[#Totals],[Winning Candidate]]-SamplingData[[#Totals],[Candidate 3]]), 0)</f>
        <v>4.5165661193018679E-4</v>
      </c>
      <c r="M732" s="100">
        <f>IF(AND(SamplingData[[#This Row],[Total]]&lt;&gt; 0, NOT(ISBLANK(SamplingData[[#This Row],[Candidate 4]]))),(SamplingData[[#This Row],[Total]]+SamplingData[[#This Row],[Winning Candidate]]-SamplingData[[#This Row],[Candidate 4]])/(SamplingData[[#Totals],[Winning Candidate]]-SamplingData[[#Totals],[Candidate 4]]), 0)</f>
        <v>6.4310561548130605E-4</v>
      </c>
      <c r="N732" s="100">
        <f>IF(AND(SamplingData[[#This Row],[Total]]&lt;&gt; 0, NOT(ISBLANK(SamplingData[[#This Row],[Candidate 5]]))),(SamplingData[[#This Row],[Total]]+SamplingData[[#This Row],[Winning Candidate]]-SamplingData[[#This Row],[Candidate 5]])/(SamplingData[[#Totals],[Winning Candidate]]-SamplingData[[#Totals],[Candidate 5]]), 0)</f>
        <v>5.8379956215032843E-4</v>
      </c>
      <c r="O732" s="100">
        <f>IF(AND(SamplingData[[#This Row],[Total]]&lt;&gt; 0, NOT(ISBLANK(SamplingData[[#This Row],[Candidate 6]]))),(SamplingData[[#This Row],[Total]]+SamplingData[[#This Row],[Winning Candidate]]-SamplingData[[#This Row],[Candidate 6]])/(SamplingData[[#Totals],[Winning Candidate]]-SamplingData[[#Totals],[Candidate 6]]), 0)</f>
        <v>5.8362920091435243E-4</v>
      </c>
      <c r="P732" s="100">
        <f>MAX(SamplingData[[#This Row],[Error Bound (up) - Max. possible relative overstatement - Losing Candidate]:[Error Bound (up) - Max. possible relative overstatement - Candidate 6]])</f>
        <v>1.1024007839294464E-3</v>
      </c>
      <c r="Q732" s="100">
        <f>IF(SamplingData[[#This Row],[Max Error Bound (up)]] = 0,0,SamplingData[[#This Row],[Max Error Bound (up)]]/SamplingData[[#Totals],[Max Error Bound (up)]])</f>
        <v>1.7447306901202498E-4</v>
      </c>
      <c r="R732" s="101">
        <f>SUM($Q$5:Q732)</f>
        <v>0.20329101114249976</v>
      </c>
      <c r="S732" s="100" t="str">
        <f t="array" ref="S732">IF(SamplingData[[#This Row],[up/U Selection Probability]] = 0, "Zero", TEXT(SamplingData[[#This Row],[Lower Range]], REPT("0",LEN('General Info'!$B$40))) &amp; " - " &amp; TEXT(SamplingData[[#This Row],[Upper Range]], REPT("0",LEN('General Info'!$B$40))))</f>
        <v>20312 - 20328</v>
      </c>
      <c r="T732" s="100">
        <f>SamplingData[[#This Row],[Upper Range]]-SamplingData[[#This Row],[Span]]</f>
        <v>20311.653981821841</v>
      </c>
      <c r="U732" s="100">
        <f>IF(ISNUMBER('General Info'!$B$40), ((SamplingData[[#This Row],[up/U Selection Probability]]) * 'General Info'!$B$40) - 1, 0)</f>
        <v>16.447132428133486</v>
      </c>
      <c r="V732" s="100">
        <f>IF(ISNUMBER('General Info'!$B$40), (SamplingData[[#This Row],[Running (cumulative) sum]] * ('General Info'!$B$40 -'General Info'!$B$41 + 1)) + 'General Info'!$B$41 - 1, 0)</f>
        <v>20328.101114249974</v>
      </c>
      <c r="W732" s="100" t="str">
        <f>IF(ISERROR(MATCH(SamplingData[[#This Row],[Batch by Type (p)]],SelectedPrecincts[Batch Name], 0)), "", INDEX(SelectedPrecincts[Draw], MATCH(SamplingData[[#This Row],[Batch by Type (p)]],SelectedPrecincts[Batch Name], 0)))</f>
        <v/>
      </c>
      <c r="X732" s="102">
        <f>IF(COUNTIF(SelectedPrecincts[Batch Name],SamplingData[[#This Row],[Batch by Type (p)]]) &lt;&gt; 0, COUNTIF(SelectedPrecincts[Batch Name],SamplingData[[#This Row],[Batch by Type (p)]]), 0)</f>
        <v>0</v>
      </c>
    </row>
    <row r="733" spans="1:24" ht="15" customHeight="1">
      <c r="A733" s="18" t="s">
        <v>909</v>
      </c>
      <c r="B733" s="18">
        <v>17</v>
      </c>
      <c r="C733" s="18">
        <v>20</v>
      </c>
      <c r="D733" s="16">
        <v>13</v>
      </c>
      <c r="E733" s="16">
        <v>11</v>
      </c>
      <c r="F733" s="37">
        <v>0</v>
      </c>
      <c r="G733" s="37">
        <v>0</v>
      </c>
      <c r="H733" s="17">
        <v>0</v>
      </c>
      <c r="I733" s="17">
        <v>2</v>
      </c>
      <c r="J733" s="99">
        <f>SUM(SamplingData[[#This Row],[Losing Candidate]:[Under Votes]])</f>
        <v>63</v>
      </c>
      <c r="K733" s="100">
        <f>IF(AND(SamplingData[[#This Row],[Total]]&lt;&gt; 0, NOT(ISBLANK(SamplingData[[#This Row],[Losing Candidate]]))),(SamplingData[[#This Row],[Total]]+SamplingData[[#This Row],[Winning Candidate]]-SamplingData[[#This Row],[Losing Candidate]])/(SamplingData[[#Totals],[Winning Candidate]]-SamplingData[[#Totals],[Losing Candidate]]), 0)</f>
        <v>4.0421362077413033E-3</v>
      </c>
      <c r="L733" s="100">
        <f>IF(AND(SamplingData[[#This Row],[Total]]&lt;&gt; 0, NOT(ISBLANK(SamplingData[[#This Row],[Candidate 3]]))),(SamplingData[[#This Row],[Total]]+SamplingData[[#This Row],[Winning Candidate]]-SamplingData[[#This Row],[Candidate 3]])/(SamplingData[[#Totals],[Winning Candidate]]-SamplingData[[#Totals],[Candidate 3]]), 0)</f>
        <v>2.2582830596509338E-3</v>
      </c>
      <c r="M733" s="100">
        <f>IF(AND(SamplingData[[#This Row],[Total]]&lt;&gt; 0, NOT(ISBLANK(SamplingData[[#This Row],[Candidate 4]]))),(SamplingData[[#This Row],[Total]]+SamplingData[[#This Row],[Winning Candidate]]-SamplingData[[#This Row],[Candidate 4]])/(SamplingData[[#Totals],[Winning Candidate]]-SamplingData[[#Totals],[Candidate 4]]), 0)</f>
        <v>2.1047092870297292E-3</v>
      </c>
      <c r="N733" s="100">
        <f>IF(AND(SamplingData[[#This Row],[Total]]&lt;&gt; 0, NOT(ISBLANK(SamplingData[[#This Row],[Candidate 5]]))),(SamplingData[[#This Row],[Total]]+SamplingData[[#This Row],[Winning Candidate]]-SamplingData[[#This Row],[Candidate 5]])/(SamplingData[[#Totals],[Winning Candidate]]-SamplingData[[#Totals],[Candidate 5]]), 0)</f>
        <v>2.0189734857698855E-3</v>
      </c>
      <c r="O733" s="100">
        <f>IF(AND(SamplingData[[#This Row],[Total]]&lt;&gt; 0, NOT(ISBLANK(SamplingData[[#This Row],[Candidate 6]]))),(SamplingData[[#This Row],[Total]]+SamplingData[[#This Row],[Winning Candidate]]-SamplingData[[#This Row],[Candidate 6]])/(SamplingData[[#Totals],[Winning Candidate]]-SamplingData[[#Totals],[Candidate 6]]), 0)</f>
        <v>2.0183843198288021E-3</v>
      </c>
      <c r="P733" s="100">
        <f>MAX(SamplingData[[#This Row],[Error Bound (up) - Max. possible relative overstatement - Losing Candidate]:[Error Bound (up) - Max. possible relative overstatement - Candidate 6]])</f>
        <v>4.0421362077413033E-3</v>
      </c>
      <c r="Q733" s="100">
        <f>IF(SamplingData[[#This Row],[Max Error Bound (up)]] = 0,0,SamplingData[[#This Row],[Max Error Bound (up)]]/SamplingData[[#Totals],[Max Error Bound (up)]])</f>
        <v>6.397345863774249E-4</v>
      </c>
      <c r="R733" s="101">
        <f>SUM($Q$5:Q733)</f>
        <v>0.20393074572887718</v>
      </c>
      <c r="S733" s="100" t="str">
        <f t="array" ref="S733">IF(SamplingData[[#This Row],[up/U Selection Probability]] = 0, "Zero", TEXT(SamplingData[[#This Row],[Lower Range]], REPT("0",LEN('General Info'!$B$40))) &amp; " - " &amp; TEXT(SamplingData[[#This Row],[Upper Range]], REPT("0",LEN('General Info'!$B$40))))</f>
        <v>20329 - 20392</v>
      </c>
      <c r="T733" s="100">
        <f>SamplingData[[#This Row],[Upper Range]]-SamplingData[[#This Row],[Span]]</f>
        <v>20329.101753984563</v>
      </c>
      <c r="U733" s="100">
        <f>IF(ISNUMBER('General Info'!$B$40), ((SamplingData[[#This Row],[up/U Selection Probability]]) * 'General Info'!$B$40) - 1, 0)</f>
        <v>62.97281890315611</v>
      </c>
      <c r="V733" s="100">
        <f>IF(ISNUMBER('General Info'!$B$40), (SamplingData[[#This Row],[Running (cumulative) sum]] * ('General Info'!$B$40 -'General Info'!$B$41 + 1)) + 'General Info'!$B$41 - 1, 0)</f>
        <v>20392.074572887719</v>
      </c>
      <c r="W733" s="100" t="str">
        <f>IF(ISERROR(MATCH(SamplingData[[#This Row],[Batch by Type (p)]],SelectedPrecincts[Batch Name], 0)), "", INDEX(SelectedPrecincts[Draw], MATCH(SamplingData[[#This Row],[Batch by Type (p)]],SelectedPrecincts[Batch Name], 0)))</f>
        <v/>
      </c>
      <c r="X733" s="102">
        <f>IF(COUNTIF(SelectedPrecincts[Batch Name],SamplingData[[#This Row],[Batch by Type (p)]]) &lt;&gt; 0, COUNTIF(SelectedPrecincts[Batch Name],SamplingData[[#This Row],[Batch by Type (p)]]), 0)</f>
        <v>0</v>
      </c>
    </row>
    <row r="734" spans="1:24" ht="15" customHeight="1">
      <c r="A734" s="18" t="s">
        <v>910</v>
      </c>
      <c r="B734" s="18">
        <v>8</v>
      </c>
      <c r="C734" s="18">
        <v>7</v>
      </c>
      <c r="D734" s="18">
        <v>3</v>
      </c>
      <c r="E734" s="18">
        <v>1</v>
      </c>
      <c r="F734" s="18">
        <v>0</v>
      </c>
      <c r="G734" s="18">
        <v>0</v>
      </c>
      <c r="H734" s="18">
        <v>0</v>
      </c>
      <c r="I734" s="18">
        <v>0</v>
      </c>
      <c r="J734" s="99">
        <f>SUM(SamplingData[[#This Row],[Losing Candidate]:[Under Votes]])</f>
        <v>19</v>
      </c>
      <c r="K734"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734" s="100">
        <f>IF(AND(SamplingData[[#This Row],[Total]]&lt;&gt; 0, NOT(ISBLANK(SamplingData[[#This Row],[Candidate 3]]))),(SamplingData[[#This Row],[Total]]+SamplingData[[#This Row],[Winning Candidate]]-SamplingData[[#This Row],[Candidate 3]])/(SamplingData[[#Totals],[Winning Candidate]]-SamplingData[[#Totals],[Candidate 3]]), 0)</f>
        <v>7.4200729102816406E-4</v>
      </c>
      <c r="M734" s="100">
        <f>IF(AND(SamplingData[[#This Row],[Total]]&lt;&gt; 0, NOT(ISBLANK(SamplingData[[#This Row],[Candidate 4]]))),(SamplingData[[#This Row],[Total]]+SamplingData[[#This Row],[Winning Candidate]]-SamplingData[[#This Row],[Candidate 4]])/(SamplingData[[#Totals],[Winning Candidate]]-SamplingData[[#Totals],[Candidate 4]]), 0)</f>
        <v>7.3080183577421145E-4</v>
      </c>
      <c r="N734" s="100">
        <f>IF(AND(SamplingData[[#This Row],[Total]]&lt;&gt; 0, NOT(ISBLANK(SamplingData[[#This Row],[Candidate 5]]))),(SamplingData[[#This Row],[Total]]+SamplingData[[#This Row],[Winning Candidate]]-SamplingData[[#This Row],[Candidate 5]])/(SamplingData[[#Totals],[Winning Candidate]]-SamplingData[[#Totals],[Candidate 5]]), 0)</f>
        <v>6.3244952566285579E-4</v>
      </c>
      <c r="O734" s="100">
        <f>IF(AND(SamplingData[[#This Row],[Total]]&lt;&gt; 0, NOT(ISBLANK(SamplingData[[#This Row],[Candidate 6]]))),(SamplingData[[#This Row],[Total]]+SamplingData[[#This Row],[Winning Candidate]]-SamplingData[[#This Row],[Candidate 6]])/(SamplingData[[#Totals],[Winning Candidate]]-SamplingData[[#Totals],[Candidate 6]]), 0)</f>
        <v>6.322649676572151E-4</v>
      </c>
      <c r="P734" s="100">
        <f>MAX(SamplingData[[#This Row],[Error Bound (up) - Max. possible relative overstatement - Losing Candidate]:[Error Bound (up) - Max. possible relative overstatement - Candidate 6]])</f>
        <v>1.1024007839294464E-3</v>
      </c>
      <c r="Q734" s="100">
        <f>IF(SamplingData[[#This Row],[Max Error Bound (up)]] = 0,0,SamplingData[[#This Row],[Max Error Bound (up)]]/SamplingData[[#Totals],[Max Error Bound (up)]])</f>
        <v>1.7447306901202498E-4</v>
      </c>
      <c r="R734" s="101">
        <f>SUM($Q$5:Q734)</f>
        <v>0.2041052187978892</v>
      </c>
      <c r="S734" s="100" t="str">
        <f t="array" ref="S734">IF(SamplingData[[#This Row],[up/U Selection Probability]] = 0, "Zero", TEXT(SamplingData[[#This Row],[Lower Range]], REPT("0",LEN('General Info'!$B$40))) &amp; " - " &amp; TEXT(SamplingData[[#This Row],[Upper Range]], REPT("0",LEN('General Info'!$B$40))))</f>
        <v>20393 - 20410</v>
      </c>
      <c r="T734" s="100">
        <f>SamplingData[[#This Row],[Upper Range]]-SamplingData[[#This Row],[Span]]</f>
        <v>20393.074747360788</v>
      </c>
      <c r="U734" s="100">
        <f>IF(ISNUMBER('General Info'!$B$40), ((SamplingData[[#This Row],[up/U Selection Probability]]) * 'General Info'!$B$40) - 1, 0)</f>
        <v>16.447132428133486</v>
      </c>
      <c r="V734" s="100">
        <f>IF(ISNUMBER('General Info'!$B$40), (SamplingData[[#This Row],[Running (cumulative) sum]] * ('General Info'!$B$40 -'General Info'!$B$41 + 1)) + 'General Info'!$B$41 - 1, 0)</f>
        <v>20409.521879788921</v>
      </c>
      <c r="W734" s="100" t="str">
        <f>IF(ISERROR(MATCH(SamplingData[[#This Row],[Batch by Type (p)]],SelectedPrecincts[Batch Name], 0)), "", INDEX(SelectedPrecincts[Draw], MATCH(SamplingData[[#This Row],[Batch by Type (p)]],SelectedPrecincts[Batch Name], 0)))</f>
        <v/>
      </c>
      <c r="X734" s="102">
        <f>IF(COUNTIF(SelectedPrecincts[Batch Name],SamplingData[[#This Row],[Batch by Type (p)]]) &lt;&gt; 0, COUNTIF(SelectedPrecincts[Batch Name],SamplingData[[#This Row],[Batch by Type (p)]]), 0)</f>
        <v>0</v>
      </c>
    </row>
    <row r="735" spans="1:24" ht="15" customHeight="1">
      <c r="A735" s="18" t="s">
        <v>911</v>
      </c>
      <c r="B735" s="18">
        <v>45</v>
      </c>
      <c r="C735" s="18">
        <v>25</v>
      </c>
      <c r="D735" s="16">
        <v>6</v>
      </c>
      <c r="E735" s="16">
        <v>8</v>
      </c>
      <c r="F735" s="37">
        <v>0</v>
      </c>
      <c r="G735" s="37">
        <v>1</v>
      </c>
      <c r="H735" s="17">
        <v>0</v>
      </c>
      <c r="I735" s="17">
        <v>1</v>
      </c>
      <c r="J735" s="99">
        <f>SUM(SamplingData[[#This Row],[Losing Candidate]:[Under Votes]])</f>
        <v>86</v>
      </c>
      <c r="K735" s="100">
        <f>IF(AND(SamplingData[[#This Row],[Total]]&lt;&gt; 0, NOT(ISBLANK(SamplingData[[#This Row],[Losing Candidate]]))),(SamplingData[[#This Row],[Total]]+SamplingData[[#This Row],[Winning Candidate]]-SamplingData[[#This Row],[Losing Candidate]])/(SamplingData[[#Totals],[Winning Candidate]]-SamplingData[[#Totals],[Losing Candidate]]), 0)</f>
        <v>4.0421362077413033E-3</v>
      </c>
      <c r="L735" s="100">
        <f>IF(AND(SamplingData[[#This Row],[Total]]&lt;&gt; 0, NOT(ISBLANK(SamplingData[[#This Row],[Candidate 3]]))),(SamplingData[[#This Row],[Total]]+SamplingData[[#This Row],[Winning Candidate]]-SamplingData[[#This Row],[Candidate 3]])/(SamplingData[[#Totals],[Winning Candidate]]-SamplingData[[#Totals],[Candidate 3]]), 0)</f>
        <v>3.3874245894764008E-3</v>
      </c>
      <c r="M735" s="100">
        <f>IF(AND(SamplingData[[#This Row],[Total]]&lt;&gt; 0, NOT(ISBLANK(SamplingData[[#This Row],[Candidate 4]]))),(SamplingData[[#This Row],[Total]]+SamplingData[[#This Row],[Winning Candidate]]-SamplingData[[#This Row],[Candidate 4]])/(SamplingData[[#Totals],[Winning Candidate]]-SamplingData[[#Totals],[Candidate 4]]), 0)</f>
        <v>3.0109035633897512E-3</v>
      </c>
      <c r="N735" s="100">
        <f>IF(AND(SamplingData[[#This Row],[Total]]&lt;&gt; 0, NOT(ISBLANK(SamplingData[[#This Row],[Candidate 5]]))),(SamplingData[[#This Row],[Total]]+SamplingData[[#This Row],[Winning Candidate]]-SamplingData[[#This Row],[Candidate 5]])/(SamplingData[[#Totals],[Winning Candidate]]-SamplingData[[#Totals],[Candidate 5]]), 0)</f>
        <v>2.7000729749452686E-3</v>
      </c>
      <c r="O735" s="100">
        <f>IF(AND(SamplingData[[#This Row],[Total]]&lt;&gt; 0, NOT(ISBLANK(SamplingData[[#This Row],[Candidate 6]]))),(SamplingData[[#This Row],[Total]]+SamplingData[[#This Row],[Winning Candidate]]-SamplingData[[#This Row],[Candidate 6]])/(SamplingData[[#Totals],[Winning Candidate]]-SamplingData[[#Totals],[Candidate 6]]), 0)</f>
        <v>2.6749671708574487E-3</v>
      </c>
      <c r="P735" s="100">
        <f>MAX(SamplingData[[#This Row],[Error Bound (up) - Max. possible relative overstatement - Losing Candidate]:[Error Bound (up) - Max. possible relative overstatement - Candidate 6]])</f>
        <v>4.0421362077413033E-3</v>
      </c>
      <c r="Q735" s="100">
        <f>IF(SamplingData[[#This Row],[Max Error Bound (up)]] = 0,0,SamplingData[[#This Row],[Max Error Bound (up)]]/SamplingData[[#Totals],[Max Error Bound (up)]])</f>
        <v>6.397345863774249E-4</v>
      </c>
      <c r="R735" s="101">
        <f>SUM($Q$5:Q735)</f>
        <v>0.20474495338426663</v>
      </c>
      <c r="S735" s="100" t="str">
        <f t="array" ref="S735">IF(SamplingData[[#This Row],[up/U Selection Probability]] = 0, "Zero", TEXT(SamplingData[[#This Row],[Lower Range]], REPT("0",LEN('General Info'!$B$40))) &amp; " - " &amp; TEXT(SamplingData[[#This Row],[Upper Range]], REPT("0",LEN('General Info'!$B$40))))</f>
        <v>20411 - 20473</v>
      </c>
      <c r="T735" s="100">
        <f>SamplingData[[#This Row],[Upper Range]]-SamplingData[[#This Row],[Span]]</f>
        <v>20410.522519523507</v>
      </c>
      <c r="U735" s="100">
        <f>IF(ISNUMBER('General Info'!$B$40), ((SamplingData[[#This Row],[up/U Selection Probability]]) * 'General Info'!$B$40) - 1, 0)</f>
        <v>62.97281890315611</v>
      </c>
      <c r="V735" s="100">
        <f>IF(ISNUMBER('General Info'!$B$40), (SamplingData[[#This Row],[Running (cumulative) sum]] * ('General Info'!$B$40 -'General Info'!$B$41 + 1)) + 'General Info'!$B$41 - 1, 0)</f>
        <v>20473.495338426663</v>
      </c>
      <c r="W735" s="100" t="str">
        <f>IF(ISERROR(MATCH(SamplingData[[#This Row],[Batch by Type (p)]],SelectedPrecincts[Batch Name], 0)), "", INDEX(SelectedPrecincts[Draw], MATCH(SamplingData[[#This Row],[Batch by Type (p)]],SelectedPrecincts[Batch Name], 0)))</f>
        <v/>
      </c>
      <c r="X735" s="102">
        <f>IF(COUNTIF(SelectedPrecincts[Batch Name],SamplingData[[#This Row],[Batch by Type (p)]]) &lt;&gt; 0, COUNTIF(SelectedPrecincts[Batch Name],SamplingData[[#This Row],[Batch by Type (p)]]), 0)</f>
        <v>0</v>
      </c>
    </row>
    <row r="736" spans="1:24" ht="15" customHeight="1">
      <c r="A736" s="18" t="s">
        <v>912</v>
      </c>
      <c r="B736" s="18">
        <v>11</v>
      </c>
      <c r="C736" s="18">
        <v>5</v>
      </c>
      <c r="D736" s="18">
        <v>2</v>
      </c>
      <c r="E736" s="18">
        <v>4</v>
      </c>
      <c r="F736" s="18">
        <v>0</v>
      </c>
      <c r="G736" s="18">
        <v>1</v>
      </c>
      <c r="H736" s="18">
        <v>0</v>
      </c>
      <c r="I736" s="18">
        <v>0</v>
      </c>
      <c r="J736" s="99">
        <f>SUM(SamplingData[[#This Row],[Losing Candidate]:[Under Votes]])</f>
        <v>23</v>
      </c>
      <c r="K736"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736" s="100">
        <f>IF(AND(SamplingData[[#This Row],[Total]]&lt;&gt; 0, NOT(ISBLANK(SamplingData[[#This Row],[Candidate 3]]))),(SamplingData[[#This Row],[Total]]+SamplingData[[#This Row],[Winning Candidate]]-SamplingData[[#This Row],[Candidate 3]])/(SamplingData[[#Totals],[Winning Candidate]]-SamplingData[[#Totals],[Candidate 3]]), 0)</f>
        <v>8.3879085072748971E-4</v>
      </c>
      <c r="M736" s="100">
        <f>IF(AND(SamplingData[[#This Row],[Total]]&lt;&gt; 0, NOT(ISBLANK(SamplingData[[#This Row],[Candidate 4]]))),(SamplingData[[#This Row],[Total]]+SamplingData[[#This Row],[Winning Candidate]]-SamplingData[[#This Row],[Candidate 4]])/(SamplingData[[#Totals],[Winning Candidate]]-SamplingData[[#Totals],[Candidate 4]]), 0)</f>
        <v>7.0156976234324298E-4</v>
      </c>
      <c r="N736" s="100">
        <f>IF(AND(SamplingData[[#This Row],[Total]]&lt;&gt; 0, NOT(ISBLANK(SamplingData[[#This Row],[Candidate 5]]))),(SamplingData[[#This Row],[Total]]+SamplingData[[#This Row],[Winning Candidate]]-SamplingData[[#This Row],[Candidate 5]])/(SamplingData[[#Totals],[Winning Candidate]]-SamplingData[[#Totals],[Candidate 5]]), 0)</f>
        <v>6.8109948917538315E-4</v>
      </c>
      <c r="O736" s="100">
        <f>IF(AND(SamplingData[[#This Row],[Total]]&lt;&gt; 0, NOT(ISBLANK(SamplingData[[#This Row],[Candidate 6]]))),(SamplingData[[#This Row],[Total]]+SamplingData[[#This Row],[Winning Candidate]]-SamplingData[[#This Row],[Candidate 6]])/(SamplingData[[#Totals],[Winning Candidate]]-SamplingData[[#Totals],[Candidate 6]]), 0)</f>
        <v>6.5658285102864649E-4</v>
      </c>
      <c r="P736" s="100">
        <f>MAX(SamplingData[[#This Row],[Error Bound (up) - Max. possible relative overstatement - Losing Candidate]:[Error Bound (up) - Max. possible relative overstatement - Candidate 6]])</f>
        <v>1.041156295933366E-3</v>
      </c>
      <c r="Q736" s="100">
        <f>IF(SamplingData[[#This Row],[Max Error Bound (up)]] = 0,0,SamplingData[[#This Row],[Max Error Bound (up)]]/SamplingData[[#Totals],[Max Error Bound (up)]])</f>
        <v>1.6478012073357914E-4</v>
      </c>
      <c r="R736" s="101">
        <f>SUM($Q$5:Q736)</f>
        <v>0.20490973350500019</v>
      </c>
      <c r="S736" s="100" t="str">
        <f t="array" ref="S736">IF(SamplingData[[#This Row],[up/U Selection Probability]] = 0, "Zero", TEXT(SamplingData[[#This Row],[Lower Range]], REPT("0",LEN('General Info'!$B$40))) &amp; " - " &amp; TEXT(SamplingData[[#This Row],[Upper Range]], REPT("0",LEN('General Info'!$B$40))))</f>
        <v>20474 - 20490</v>
      </c>
      <c r="T736" s="100">
        <f>SamplingData[[#This Row],[Upper Range]]-SamplingData[[#This Row],[Span]]</f>
        <v>20474.495503206781</v>
      </c>
      <c r="U736" s="100">
        <f>IF(ISNUMBER('General Info'!$B$40), ((SamplingData[[#This Row],[up/U Selection Probability]]) * 'General Info'!$B$40) - 1, 0)</f>
        <v>15.477847293237179</v>
      </c>
      <c r="V736" s="100">
        <f>IF(ISNUMBER('General Info'!$B$40), (SamplingData[[#This Row],[Running (cumulative) sum]] * ('General Info'!$B$40 -'General Info'!$B$41 + 1)) + 'General Info'!$B$41 - 1, 0)</f>
        <v>20489.973350500019</v>
      </c>
      <c r="W736" s="100" t="str">
        <f>IF(ISERROR(MATCH(SamplingData[[#This Row],[Batch by Type (p)]],SelectedPrecincts[Batch Name], 0)), "", INDEX(SelectedPrecincts[Draw], MATCH(SamplingData[[#This Row],[Batch by Type (p)]],SelectedPrecincts[Batch Name], 0)))</f>
        <v/>
      </c>
      <c r="X736" s="102">
        <f>IF(COUNTIF(SelectedPrecincts[Batch Name],SamplingData[[#This Row],[Batch by Type (p)]]) &lt;&gt; 0, COUNTIF(SelectedPrecincts[Batch Name],SamplingData[[#This Row],[Batch by Type (p)]]), 0)</f>
        <v>0</v>
      </c>
    </row>
    <row r="737" spans="1:24" ht="15" customHeight="1">
      <c r="A737" s="18" t="s">
        <v>913</v>
      </c>
      <c r="B737" s="18">
        <v>38</v>
      </c>
      <c r="C737" s="18">
        <v>22</v>
      </c>
      <c r="D737" s="16">
        <v>8</v>
      </c>
      <c r="E737" s="16">
        <v>7</v>
      </c>
      <c r="F737" s="37">
        <v>0</v>
      </c>
      <c r="G737" s="37">
        <v>0</v>
      </c>
      <c r="H737" s="17">
        <v>0</v>
      </c>
      <c r="I737" s="17">
        <v>0</v>
      </c>
      <c r="J737" s="99">
        <f>SUM(SamplingData[[#This Row],[Losing Candidate]:[Under Votes]])</f>
        <v>75</v>
      </c>
      <c r="K737" s="100">
        <f>IF(AND(SamplingData[[#This Row],[Total]]&lt;&gt; 0, NOT(ISBLANK(SamplingData[[#This Row],[Losing Candidate]]))),(SamplingData[[#This Row],[Total]]+SamplingData[[#This Row],[Winning Candidate]]-SamplingData[[#This Row],[Losing Candidate]])/(SamplingData[[#Totals],[Winning Candidate]]-SamplingData[[#Totals],[Losing Candidate]]), 0)</f>
        <v>3.6134247917687409E-3</v>
      </c>
      <c r="L737" s="100">
        <f>IF(AND(SamplingData[[#This Row],[Total]]&lt;&gt; 0, NOT(ISBLANK(SamplingData[[#This Row],[Candidate 3]]))),(SamplingData[[#This Row],[Total]]+SamplingData[[#This Row],[Winning Candidate]]-SamplingData[[#This Row],[Candidate 3]])/(SamplingData[[#Totals],[Winning Candidate]]-SamplingData[[#Totals],[Candidate 3]]), 0)</f>
        <v>2.8712456044133303E-3</v>
      </c>
      <c r="M737" s="100">
        <f>IF(AND(SamplingData[[#This Row],[Total]]&lt;&gt; 0, NOT(ISBLANK(SamplingData[[#This Row],[Candidate 4]]))),(SamplingData[[#This Row],[Total]]+SamplingData[[#This Row],[Winning Candidate]]-SamplingData[[#This Row],[Candidate 4]])/(SamplingData[[#Totals],[Winning Candidate]]-SamplingData[[#Totals],[Candidate 4]]), 0)</f>
        <v>2.6308866087871611E-3</v>
      </c>
      <c r="N737" s="100">
        <f>IF(AND(SamplingData[[#This Row],[Total]]&lt;&gt; 0, NOT(ISBLANK(SamplingData[[#This Row],[Candidate 5]]))),(SamplingData[[#This Row],[Total]]+SamplingData[[#This Row],[Winning Candidate]]-SamplingData[[#This Row],[Candidate 5]])/(SamplingData[[#Totals],[Winning Candidate]]-SamplingData[[#Totals],[Candidate 5]]), 0)</f>
        <v>2.3595232303575773E-3</v>
      </c>
      <c r="O737" s="100">
        <f>IF(AND(SamplingData[[#This Row],[Total]]&lt;&gt; 0, NOT(ISBLANK(SamplingData[[#This Row],[Candidate 6]]))),(SamplingData[[#This Row],[Total]]+SamplingData[[#This Row],[Winning Candidate]]-SamplingData[[#This Row],[Candidate 6]])/(SamplingData[[#Totals],[Winning Candidate]]-SamplingData[[#Totals],[Candidate 6]]), 0)</f>
        <v>2.3588346870288411E-3</v>
      </c>
      <c r="P737" s="100">
        <f>MAX(SamplingData[[#This Row],[Error Bound (up) - Max. possible relative overstatement - Losing Candidate]:[Error Bound (up) - Max. possible relative overstatement - Candidate 6]])</f>
        <v>3.6134247917687409E-3</v>
      </c>
      <c r="Q737" s="100">
        <f>IF(SamplingData[[#This Row],[Max Error Bound (up)]] = 0,0,SamplingData[[#This Row],[Max Error Bound (up)]]/SamplingData[[#Totals],[Max Error Bound (up)]])</f>
        <v>5.7188394842830413E-4</v>
      </c>
      <c r="R737" s="101">
        <f>SUM($Q$5:Q737)</f>
        <v>0.20548161745342849</v>
      </c>
      <c r="S737" s="100" t="str">
        <f t="array" ref="S737">IF(SamplingData[[#This Row],[up/U Selection Probability]] = 0, "Zero", TEXT(SamplingData[[#This Row],[Lower Range]], REPT("0",LEN('General Info'!$B$40))) &amp; " - " &amp; TEXT(SamplingData[[#This Row],[Upper Range]], REPT("0",LEN('General Info'!$B$40))))</f>
        <v>20491 - 20547</v>
      </c>
      <c r="T737" s="100">
        <f>SamplingData[[#This Row],[Upper Range]]-SamplingData[[#This Row],[Span]]</f>
        <v>20490.973922383964</v>
      </c>
      <c r="U737" s="100">
        <f>IF(ISNUMBER('General Info'!$B$40), ((SamplingData[[#This Row],[up/U Selection Probability]]) * 'General Info'!$B$40) - 1, 0)</f>
        <v>56.187822958881988</v>
      </c>
      <c r="V737" s="100">
        <f>IF(ISNUMBER('General Info'!$B$40), (SamplingData[[#This Row],[Running (cumulative) sum]] * ('General Info'!$B$40 -'General Info'!$B$41 + 1)) + 'General Info'!$B$41 - 1, 0)</f>
        <v>20547.161745342848</v>
      </c>
      <c r="W737" s="100" t="str">
        <f>IF(ISERROR(MATCH(SamplingData[[#This Row],[Batch by Type (p)]],SelectedPrecincts[Batch Name], 0)), "", INDEX(SelectedPrecincts[Draw], MATCH(SamplingData[[#This Row],[Batch by Type (p)]],SelectedPrecincts[Batch Name], 0)))</f>
        <v/>
      </c>
      <c r="X737" s="102">
        <f>IF(COUNTIF(SelectedPrecincts[Batch Name],SamplingData[[#This Row],[Batch by Type (p)]]) &lt;&gt; 0, COUNTIF(SelectedPrecincts[Batch Name],SamplingData[[#This Row],[Batch by Type (p)]]), 0)</f>
        <v>0</v>
      </c>
    </row>
    <row r="738" spans="1:24" ht="15" customHeight="1">
      <c r="A738" s="18" t="s">
        <v>914</v>
      </c>
      <c r="B738" s="18">
        <v>11</v>
      </c>
      <c r="C738" s="18">
        <v>1</v>
      </c>
      <c r="D738" s="18">
        <v>5</v>
      </c>
      <c r="E738" s="18">
        <v>1</v>
      </c>
      <c r="F738" s="18">
        <v>0</v>
      </c>
      <c r="G738" s="18">
        <v>0</v>
      </c>
      <c r="H738" s="18">
        <v>0</v>
      </c>
      <c r="I738" s="18">
        <v>0</v>
      </c>
      <c r="J738" s="99">
        <f>SUM(SamplingData[[#This Row],[Losing Candidate]:[Under Votes]])</f>
        <v>18</v>
      </c>
      <c r="K738"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738" s="100">
        <f>IF(AND(SamplingData[[#This Row],[Total]]&lt;&gt; 0, NOT(ISBLANK(SamplingData[[#This Row],[Candidate 3]]))),(SamplingData[[#This Row],[Total]]+SamplingData[[#This Row],[Winning Candidate]]-SamplingData[[#This Row],[Candidate 3]])/(SamplingData[[#Totals],[Winning Candidate]]-SamplingData[[#Totals],[Candidate 3]]), 0)</f>
        <v>4.5165661193018679E-4</v>
      </c>
      <c r="M738" s="100">
        <f>IF(AND(SamplingData[[#This Row],[Total]]&lt;&gt; 0, NOT(ISBLANK(SamplingData[[#This Row],[Candidate 4]]))),(SamplingData[[#This Row],[Total]]+SamplingData[[#This Row],[Winning Candidate]]-SamplingData[[#This Row],[Candidate 4]])/(SamplingData[[#Totals],[Winning Candidate]]-SamplingData[[#Totals],[Candidate 4]]), 0)</f>
        <v>5.2617732175743229E-4</v>
      </c>
      <c r="N738" s="100">
        <f>IF(AND(SamplingData[[#This Row],[Total]]&lt;&gt; 0, NOT(ISBLANK(SamplingData[[#This Row],[Candidate 5]]))),(SamplingData[[#This Row],[Total]]+SamplingData[[#This Row],[Winning Candidate]]-SamplingData[[#This Row],[Candidate 5]])/(SamplingData[[#Totals],[Winning Candidate]]-SamplingData[[#Totals],[Candidate 5]]), 0)</f>
        <v>4.6217465336900997E-4</v>
      </c>
      <c r="O738" s="100">
        <f>IF(AND(SamplingData[[#This Row],[Total]]&lt;&gt; 0, NOT(ISBLANK(SamplingData[[#This Row],[Candidate 6]]))),(SamplingData[[#This Row],[Total]]+SamplingData[[#This Row],[Winning Candidate]]-SamplingData[[#This Row],[Candidate 6]])/(SamplingData[[#Totals],[Winning Candidate]]-SamplingData[[#Totals],[Candidate 6]]), 0)</f>
        <v>4.6203978405719566E-4</v>
      </c>
      <c r="P738" s="100">
        <f>MAX(SamplingData[[#This Row],[Error Bound (up) - Max. possible relative overstatement - Losing Candidate]:[Error Bound (up) - Max. possible relative overstatement - Candidate 6]])</f>
        <v>5.2617732175743229E-4</v>
      </c>
      <c r="Q738" s="100">
        <f>IF(SamplingData[[#This Row],[Max Error Bound (up)]] = 0,0,SamplingData[[#This Row],[Max Error Bound (up)]]/SamplingData[[#Totals],[Max Error Bound (up)]])</f>
        <v>8.3276221778723255E-5</v>
      </c>
      <c r="R738" s="101">
        <f>SUM($Q$5:Q738)</f>
        <v>0.20556489367520722</v>
      </c>
      <c r="S738" s="100" t="str">
        <f t="array" ref="S738">IF(SamplingData[[#This Row],[up/U Selection Probability]] = 0, "Zero", TEXT(SamplingData[[#This Row],[Lower Range]], REPT("0",LEN('General Info'!$B$40))) &amp; " - " &amp; TEXT(SamplingData[[#This Row],[Upper Range]], REPT("0",LEN('General Info'!$B$40))))</f>
        <v>20548 - 20555</v>
      </c>
      <c r="T738" s="100">
        <f>SamplingData[[#This Row],[Upper Range]]-SamplingData[[#This Row],[Span]]</f>
        <v>20548.161828619071</v>
      </c>
      <c r="U738" s="100">
        <f>IF(ISNUMBER('General Info'!$B$40), ((SamplingData[[#This Row],[up/U Selection Probability]]) * 'General Info'!$B$40) - 1, 0)</f>
        <v>7.3275389016505468</v>
      </c>
      <c r="V738" s="100">
        <f>IF(ISNUMBER('General Info'!$B$40), (SamplingData[[#This Row],[Running (cumulative) sum]] * ('General Info'!$B$40 -'General Info'!$B$41 + 1)) + 'General Info'!$B$41 - 1, 0)</f>
        <v>20555.48936752072</v>
      </c>
      <c r="W738" s="100" t="str">
        <f>IF(ISERROR(MATCH(SamplingData[[#This Row],[Batch by Type (p)]],SelectedPrecincts[Batch Name], 0)), "", INDEX(SelectedPrecincts[Draw], MATCH(SamplingData[[#This Row],[Batch by Type (p)]],SelectedPrecincts[Batch Name], 0)))</f>
        <v/>
      </c>
      <c r="X738" s="102">
        <f>IF(COUNTIF(SelectedPrecincts[Batch Name],SamplingData[[#This Row],[Batch by Type (p)]]) &lt;&gt; 0, COUNTIF(SelectedPrecincts[Batch Name],SamplingData[[#This Row],[Batch by Type (p)]]), 0)</f>
        <v>0</v>
      </c>
    </row>
    <row r="739" spans="1:24" ht="15" customHeight="1">
      <c r="A739" s="18" t="s">
        <v>915</v>
      </c>
      <c r="B739" s="18">
        <v>22</v>
      </c>
      <c r="C739" s="18">
        <v>25</v>
      </c>
      <c r="D739" s="16">
        <v>12</v>
      </c>
      <c r="E739" s="16">
        <v>12</v>
      </c>
      <c r="F739" s="37">
        <v>0</v>
      </c>
      <c r="G739" s="37">
        <v>0</v>
      </c>
      <c r="H739" s="17">
        <v>1</v>
      </c>
      <c r="I739" s="17">
        <v>0</v>
      </c>
      <c r="J739" s="99">
        <f>SUM(SamplingData[[#This Row],[Losing Candidate]:[Under Votes]])</f>
        <v>72</v>
      </c>
      <c r="K739" s="100">
        <f>IF(AND(SamplingData[[#This Row],[Total]]&lt;&gt; 0, NOT(ISBLANK(SamplingData[[#This Row],[Losing Candidate]]))),(SamplingData[[#This Row],[Total]]+SamplingData[[#This Row],[Winning Candidate]]-SamplingData[[#This Row],[Losing Candidate]])/(SamplingData[[#Totals],[Winning Candidate]]-SamplingData[[#Totals],[Losing Candidate]]), 0)</f>
        <v>4.5933365997060261E-3</v>
      </c>
      <c r="L739" s="100">
        <f>IF(AND(SamplingData[[#This Row],[Total]]&lt;&gt; 0, NOT(ISBLANK(SamplingData[[#This Row],[Candidate 3]]))),(SamplingData[[#This Row],[Total]]+SamplingData[[#This Row],[Winning Candidate]]-SamplingData[[#This Row],[Candidate 3]])/(SamplingData[[#Totals],[Winning Candidate]]-SamplingData[[#Totals],[Candidate 3]]), 0)</f>
        <v>2.7422008581475628E-3</v>
      </c>
      <c r="M739" s="100">
        <f>IF(AND(SamplingData[[#This Row],[Total]]&lt;&gt; 0, NOT(ISBLANK(SamplingData[[#This Row],[Candidate 4]]))),(SamplingData[[#This Row],[Total]]+SamplingData[[#This Row],[Winning Candidate]]-SamplingData[[#This Row],[Candidate 4]])/(SamplingData[[#Totals],[Winning Candidate]]-SamplingData[[#Totals],[Candidate 4]]), 0)</f>
        <v>2.4847262416323188E-3</v>
      </c>
      <c r="N739" s="100">
        <f>IF(AND(SamplingData[[#This Row],[Total]]&lt;&gt; 0, NOT(ISBLANK(SamplingData[[#This Row],[Candidate 5]]))),(SamplingData[[#This Row],[Total]]+SamplingData[[#This Row],[Winning Candidate]]-SamplingData[[#This Row],[Candidate 5]])/(SamplingData[[#Totals],[Winning Candidate]]-SamplingData[[#Totals],[Candidate 5]]), 0)</f>
        <v>2.3595232303575773E-3</v>
      </c>
      <c r="O739" s="100">
        <f>IF(AND(SamplingData[[#This Row],[Total]]&lt;&gt; 0, NOT(ISBLANK(SamplingData[[#This Row],[Candidate 6]]))),(SamplingData[[#This Row],[Total]]+SamplingData[[#This Row],[Winning Candidate]]-SamplingData[[#This Row],[Candidate 6]])/(SamplingData[[#Totals],[Winning Candidate]]-SamplingData[[#Totals],[Candidate 6]]), 0)</f>
        <v>2.3588346870288411E-3</v>
      </c>
      <c r="P739" s="100">
        <f>MAX(SamplingData[[#This Row],[Error Bound (up) - Max. possible relative overstatement - Losing Candidate]:[Error Bound (up) - Max. possible relative overstatement - Candidate 6]])</f>
        <v>4.5933365997060261E-3</v>
      </c>
      <c r="Q739" s="100">
        <f>IF(SamplingData[[#This Row],[Max Error Bound (up)]] = 0,0,SamplingData[[#This Row],[Max Error Bound (up)]]/SamplingData[[#Totals],[Max Error Bound (up)]])</f>
        <v>7.2697112088343735E-4</v>
      </c>
      <c r="R739" s="101">
        <f>SUM($Q$5:Q739)</f>
        <v>0.20629186479609066</v>
      </c>
      <c r="S739" s="100" t="str">
        <f t="array" ref="S739">IF(SamplingData[[#This Row],[up/U Selection Probability]] = 0, "Zero", TEXT(SamplingData[[#This Row],[Lower Range]], REPT("0",LEN('General Info'!$B$40))) &amp; " - " &amp; TEXT(SamplingData[[#This Row],[Upper Range]], REPT("0",LEN('General Info'!$B$40))))</f>
        <v>20556 - 20628</v>
      </c>
      <c r="T739" s="100">
        <f>SamplingData[[#This Row],[Upper Range]]-SamplingData[[#This Row],[Span]]</f>
        <v>20556.490094491845</v>
      </c>
      <c r="U739" s="100">
        <f>IF(ISNUMBER('General Info'!$B$40), ((SamplingData[[#This Row],[up/U Selection Probability]]) * 'General Info'!$B$40) - 1, 0)</f>
        <v>71.696385117222846</v>
      </c>
      <c r="V739" s="100">
        <f>IF(ISNUMBER('General Info'!$B$40), (SamplingData[[#This Row],[Running (cumulative) sum]] * ('General Info'!$B$40 -'General Info'!$B$41 + 1)) + 'General Info'!$B$41 - 1, 0)</f>
        <v>20628.186479609067</v>
      </c>
      <c r="W739" s="100" t="str">
        <f>IF(ISERROR(MATCH(SamplingData[[#This Row],[Batch by Type (p)]],SelectedPrecincts[Batch Name], 0)), "", INDEX(SelectedPrecincts[Draw], MATCH(SamplingData[[#This Row],[Batch by Type (p)]],SelectedPrecincts[Batch Name], 0)))</f>
        <v/>
      </c>
      <c r="X739" s="102">
        <f>IF(COUNTIF(SelectedPrecincts[Batch Name],SamplingData[[#This Row],[Batch by Type (p)]]) &lt;&gt; 0, COUNTIF(SelectedPrecincts[Batch Name],SamplingData[[#This Row],[Batch by Type (p)]]), 0)</f>
        <v>0</v>
      </c>
    </row>
    <row r="740" spans="1:24" ht="15" customHeight="1">
      <c r="A740" s="18" t="s">
        <v>916</v>
      </c>
      <c r="B740" s="18">
        <v>6</v>
      </c>
      <c r="C740" s="18">
        <v>9</v>
      </c>
      <c r="D740" s="18">
        <v>1</v>
      </c>
      <c r="E740" s="18">
        <v>2</v>
      </c>
      <c r="F740" s="18">
        <v>0</v>
      </c>
      <c r="G740" s="18">
        <v>1</v>
      </c>
      <c r="H740" s="18">
        <v>0</v>
      </c>
      <c r="I740" s="18">
        <v>1</v>
      </c>
      <c r="J740" s="99">
        <f>SUM(SamplingData[[#This Row],[Losing Candidate]:[Under Votes]])</f>
        <v>20</v>
      </c>
      <c r="K740"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740" s="100">
        <f>IF(AND(SamplingData[[#This Row],[Total]]&lt;&gt; 0, NOT(ISBLANK(SamplingData[[#This Row],[Candidate 3]]))),(SamplingData[[#This Row],[Total]]+SamplingData[[#This Row],[Winning Candidate]]-SamplingData[[#This Row],[Candidate 3]])/(SamplingData[[#Totals],[Winning Candidate]]-SamplingData[[#Totals],[Candidate 3]]), 0)</f>
        <v>9.0331322386037359E-4</v>
      </c>
      <c r="M740" s="100">
        <f>IF(AND(SamplingData[[#This Row],[Total]]&lt;&gt; 0, NOT(ISBLANK(SamplingData[[#This Row],[Candidate 4]]))),(SamplingData[[#This Row],[Total]]+SamplingData[[#This Row],[Winning Candidate]]-SamplingData[[#This Row],[Candidate 4]])/(SamplingData[[#Totals],[Winning Candidate]]-SamplingData[[#Totals],[Candidate 4]]), 0)</f>
        <v>7.8926598263614838E-4</v>
      </c>
      <c r="N740" s="100">
        <f>IF(AND(SamplingData[[#This Row],[Total]]&lt;&gt; 0, NOT(ISBLANK(SamplingData[[#This Row],[Candidate 5]]))),(SamplingData[[#This Row],[Total]]+SamplingData[[#This Row],[Winning Candidate]]-SamplingData[[#This Row],[Candidate 5]])/(SamplingData[[#Totals],[Winning Candidate]]-SamplingData[[#Totals],[Candidate 5]]), 0)</f>
        <v>7.0542447093164683E-4</v>
      </c>
      <c r="O740" s="100">
        <f>IF(AND(SamplingData[[#This Row],[Total]]&lt;&gt; 0, NOT(ISBLANK(SamplingData[[#This Row],[Candidate 6]]))),(SamplingData[[#This Row],[Total]]+SamplingData[[#This Row],[Winning Candidate]]-SamplingData[[#This Row],[Candidate 6]])/(SamplingData[[#Totals],[Winning Candidate]]-SamplingData[[#Totals],[Candidate 6]]), 0)</f>
        <v>6.8090073440007777E-4</v>
      </c>
      <c r="P740" s="100">
        <f>MAX(SamplingData[[#This Row],[Error Bound (up) - Max. possible relative overstatement - Losing Candidate]:[Error Bound (up) - Max. possible relative overstatement - Candidate 6]])</f>
        <v>1.408623223909848E-3</v>
      </c>
      <c r="Q740" s="100">
        <f>IF(SamplingData[[#This Row],[Max Error Bound (up)]] = 0,0,SamplingData[[#This Row],[Max Error Bound (up)]]/SamplingData[[#Totals],[Max Error Bound (up)]])</f>
        <v>2.229378104042541E-4</v>
      </c>
      <c r="R740" s="101">
        <f>SUM($Q$5:Q740)</f>
        <v>0.20651480260649491</v>
      </c>
      <c r="S740" s="100" t="str">
        <f t="array" ref="S740">IF(SamplingData[[#This Row],[up/U Selection Probability]] = 0, "Zero", TEXT(SamplingData[[#This Row],[Lower Range]], REPT("0",LEN('General Info'!$B$40))) &amp; " - " &amp; TEXT(SamplingData[[#This Row],[Upper Range]], REPT("0",LEN('General Info'!$B$40))))</f>
        <v>20629 - 20650</v>
      </c>
      <c r="T740" s="100">
        <f>SamplingData[[#This Row],[Upper Range]]-SamplingData[[#This Row],[Span]]</f>
        <v>20629.186702546878</v>
      </c>
      <c r="U740" s="100">
        <f>IF(ISNUMBER('General Info'!$B$40), ((SamplingData[[#This Row],[up/U Selection Probability]]) * 'General Info'!$B$40) - 1, 0)</f>
        <v>21.293558102615005</v>
      </c>
      <c r="V740" s="100">
        <f>IF(ISNUMBER('General Info'!$B$40), (SamplingData[[#This Row],[Running (cumulative) sum]] * ('General Info'!$B$40 -'General Info'!$B$41 + 1)) + 'General Info'!$B$41 - 1, 0)</f>
        <v>20650.480260649492</v>
      </c>
      <c r="W740" s="100" t="str">
        <f>IF(ISERROR(MATCH(SamplingData[[#This Row],[Batch by Type (p)]],SelectedPrecincts[Batch Name], 0)), "", INDEX(SelectedPrecincts[Draw], MATCH(SamplingData[[#This Row],[Batch by Type (p)]],SelectedPrecincts[Batch Name], 0)))</f>
        <v/>
      </c>
      <c r="X740" s="102">
        <f>IF(COUNTIF(SelectedPrecincts[Batch Name],SamplingData[[#This Row],[Batch by Type (p)]]) &lt;&gt; 0, COUNTIF(SelectedPrecincts[Batch Name],SamplingData[[#This Row],[Batch by Type (p)]]), 0)</f>
        <v>0</v>
      </c>
    </row>
    <row r="741" spans="1:24" ht="15" customHeight="1">
      <c r="A741" s="18" t="s">
        <v>917</v>
      </c>
      <c r="B741" s="18">
        <v>4</v>
      </c>
      <c r="C741" s="18">
        <v>5</v>
      </c>
      <c r="D741" s="16">
        <v>1</v>
      </c>
      <c r="E741" s="16">
        <v>3</v>
      </c>
      <c r="F741" s="37">
        <v>0</v>
      </c>
      <c r="G741" s="37">
        <v>0</v>
      </c>
      <c r="H741" s="17">
        <v>0</v>
      </c>
      <c r="I741" s="17">
        <v>0</v>
      </c>
      <c r="J741" s="99">
        <f>SUM(SamplingData[[#This Row],[Losing Candidate]:[Under Votes]])</f>
        <v>13</v>
      </c>
      <c r="K741"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741" s="100">
        <f>IF(AND(SamplingData[[#This Row],[Total]]&lt;&gt; 0, NOT(ISBLANK(SamplingData[[#This Row],[Candidate 3]]))),(SamplingData[[#This Row],[Total]]+SamplingData[[#This Row],[Winning Candidate]]-SamplingData[[#This Row],[Candidate 3]])/(SamplingData[[#Totals],[Winning Candidate]]-SamplingData[[#Totals],[Candidate 3]]), 0)</f>
        <v>5.4844017162951255E-4</v>
      </c>
      <c r="M741" s="100">
        <f>IF(AND(SamplingData[[#This Row],[Total]]&lt;&gt; 0, NOT(ISBLANK(SamplingData[[#This Row],[Candidate 4]]))),(SamplingData[[#This Row],[Total]]+SamplingData[[#This Row],[Winning Candidate]]-SamplingData[[#This Row],[Candidate 4]])/(SamplingData[[#Totals],[Winning Candidate]]-SamplingData[[#Totals],[Candidate 4]]), 0)</f>
        <v>4.3848110146452689E-4</v>
      </c>
      <c r="N741" s="100">
        <f>IF(AND(SamplingData[[#This Row],[Total]]&lt;&gt; 0, NOT(ISBLANK(SamplingData[[#This Row],[Candidate 5]]))),(SamplingData[[#This Row],[Total]]+SamplingData[[#This Row],[Winning Candidate]]-SamplingData[[#This Row],[Candidate 5]])/(SamplingData[[#Totals],[Winning Candidate]]-SamplingData[[#Totals],[Candidate 5]]), 0)</f>
        <v>4.3784967161274629E-4</v>
      </c>
      <c r="O741" s="100">
        <f>IF(AND(SamplingData[[#This Row],[Total]]&lt;&gt; 0, NOT(ISBLANK(SamplingData[[#This Row],[Candidate 6]]))),(SamplingData[[#This Row],[Total]]+SamplingData[[#This Row],[Winning Candidate]]-SamplingData[[#This Row],[Candidate 6]])/(SamplingData[[#Totals],[Winning Candidate]]-SamplingData[[#Totals],[Candidate 6]]), 0)</f>
        <v>4.3772190068576433E-4</v>
      </c>
      <c r="P741" s="100">
        <f>MAX(SamplingData[[#This Row],[Error Bound (up) - Max. possible relative overstatement - Losing Candidate]:[Error Bound (up) - Max. possible relative overstatement - Candidate 6]])</f>
        <v>8.5742283194512492E-4</v>
      </c>
      <c r="Q741" s="100">
        <f>IF(SamplingData[[#This Row],[Max Error Bound (up)]] = 0,0,SamplingData[[#This Row],[Max Error Bound (up)]]/SamplingData[[#Totals],[Max Error Bound (up)]])</f>
        <v>1.3570127589824165E-4</v>
      </c>
      <c r="R741" s="101">
        <f>SUM($Q$5:Q741)</f>
        <v>0.20665050388239314</v>
      </c>
      <c r="S741" s="100" t="str">
        <f t="array" ref="S741">IF(SamplingData[[#This Row],[up/U Selection Probability]] = 0, "Zero", TEXT(SamplingData[[#This Row],[Lower Range]], REPT("0",LEN('General Info'!$B$40))) &amp; " - " &amp; TEXT(SamplingData[[#This Row],[Upper Range]], REPT("0",LEN('General Info'!$B$40))))</f>
        <v>20651 - 20664</v>
      </c>
      <c r="T741" s="100">
        <f>SamplingData[[#This Row],[Upper Range]]-SamplingData[[#This Row],[Span]]</f>
        <v>20651.480396350766</v>
      </c>
      <c r="U741" s="100">
        <f>IF(ISNUMBER('General Info'!$B$40), ((SamplingData[[#This Row],[up/U Selection Probability]]) * 'General Info'!$B$40) - 1, 0)</f>
        <v>12.569991888548268</v>
      </c>
      <c r="V741" s="100">
        <f>IF(ISNUMBER('General Info'!$B$40), (SamplingData[[#This Row],[Running (cumulative) sum]] * ('General Info'!$B$40 -'General Info'!$B$41 + 1)) + 'General Info'!$B$41 - 1, 0)</f>
        <v>20664.050388239313</v>
      </c>
      <c r="W741" s="100" t="str">
        <f>IF(ISERROR(MATCH(SamplingData[[#This Row],[Batch by Type (p)]],SelectedPrecincts[Batch Name], 0)), "", INDEX(SelectedPrecincts[Draw], MATCH(SamplingData[[#This Row],[Batch by Type (p)]],SelectedPrecincts[Batch Name], 0)))</f>
        <v/>
      </c>
      <c r="X741" s="102">
        <f>IF(COUNTIF(SelectedPrecincts[Batch Name],SamplingData[[#This Row],[Batch by Type (p)]]) &lt;&gt; 0, COUNTIF(SelectedPrecincts[Batch Name],SamplingData[[#This Row],[Batch by Type (p)]]), 0)</f>
        <v>0</v>
      </c>
    </row>
    <row r="742" spans="1:24" ht="15" customHeight="1">
      <c r="A742" s="18" t="s">
        <v>918</v>
      </c>
      <c r="B742" s="18">
        <v>2</v>
      </c>
      <c r="C742" s="18">
        <v>6</v>
      </c>
      <c r="D742" s="18">
        <v>2</v>
      </c>
      <c r="E742" s="18">
        <v>0</v>
      </c>
      <c r="F742" s="18">
        <v>0</v>
      </c>
      <c r="G742" s="18">
        <v>0</v>
      </c>
      <c r="H742" s="18">
        <v>0</v>
      </c>
      <c r="I742" s="18">
        <v>0</v>
      </c>
      <c r="J742" s="99">
        <f>SUM(SamplingData[[#This Row],[Losing Candidate]:[Under Votes]])</f>
        <v>10</v>
      </c>
      <c r="K742"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742" s="100">
        <f>IF(AND(SamplingData[[#This Row],[Total]]&lt;&gt; 0, NOT(ISBLANK(SamplingData[[#This Row],[Candidate 3]]))),(SamplingData[[#This Row],[Total]]+SamplingData[[#This Row],[Winning Candidate]]-SamplingData[[#This Row],[Candidate 3]])/(SamplingData[[#Totals],[Winning Candidate]]-SamplingData[[#Totals],[Candidate 3]]), 0)</f>
        <v>4.5165661193018679E-4</v>
      </c>
      <c r="M742" s="100">
        <f>IF(AND(SamplingData[[#This Row],[Total]]&lt;&gt; 0, NOT(ISBLANK(SamplingData[[#This Row],[Candidate 4]]))),(SamplingData[[#This Row],[Total]]+SamplingData[[#This Row],[Winning Candidate]]-SamplingData[[#This Row],[Candidate 4]])/(SamplingData[[#Totals],[Winning Candidate]]-SamplingData[[#Totals],[Candidate 4]]), 0)</f>
        <v>4.6771317489549536E-4</v>
      </c>
      <c r="N742" s="100">
        <f>IF(AND(SamplingData[[#This Row],[Total]]&lt;&gt; 0, NOT(ISBLANK(SamplingData[[#This Row],[Candidate 5]]))),(SamplingData[[#This Row],[Total]]+SamplingData[[#This Row],[Winning Candidate]]-SamplingData[[#This Row],[Candidate 5]])/(SamplingData[[#Totals],[Winning Candidate]]-SamplingData[[#Totals],[Candidate 5]]), 0)</f>
        <v>3.8919970810021893E-4</v>
      </c>
      <c r="O742" s="100">
        <f>IF(AND(SamplingData[[#This Row],[Total]]&lt;&gt; 0, NOT(ISBLANK(SamplingData[[#This Row],[Candidate 6]]))),(SamplingData[[#This Row],[Total]]+SamplingData[[#This Row],[Winning Candidate]]-SamplingData[[#This Row],[Candidate 6]])/(SamplingData[[#Totals],[Winning Candidate]]-SamplingData[[#Totals],[Candidate 6]]), 0)</f>
        <v>3.8908613394290161E-4</v>
      </c>
      <c r="P742" s="100">
        <f>MAX(SamplingData[[#This Row],[Error Bound (up) - Max. possible relative overstatement - Losing Candidate]:[Error Bound (up) - Max. possible relative overstatement - Candidate 6]])</f>
        <v>8.5742283194512492E-4</v>
      </c>
      <c r="Q742" s="100">
        <f>IF(SamplingData[[#This Row],[Max Error Bound (up)]] = 0,0,SamplingData[[#This Row],[Max Error Bound (up)]]/SamplingData[[#Totals],[Max Error Bound (up)]])</f>
        <v>1.3570127589824165E-4</v>
      </c>
      <c r="R742" s="101">
        <f>SUM($Q$5:Q742)</f>
        <v>0.20678620515829138</v>
      </c>
      <c r="S742" s="100" t="str">
        <f t="array" ref="S742">IF(SamplingData[[#This Row],[up/U Selection Probability]] = 0, "Zero", TEXT(SamplingData[[#This Row],[Lower Range]], REPT("0",LEN('General Info'!$B$40))) &amp; " - " &amp; TEXT(SamplingData[[#This Row],[Upper Range]], REPT("0",LEN('General Info'!$B$40))))</f>
        <v>20665 - 20678</v>
      </c>
      <c r="T742" s="100">
        <f>SamplingData[[#This Row],[Upper Range]]-SamplingData[[#This Row],[Span]]</f>
        <v>20665.05052394059</v>
      </c>
      <c r="U742" s="100">
        <f>IF(ISNUMBER('General Info'!$B$40), ((SamplingData[[#This Row],[up/U Selection Probability]]) * 'General Info'!$B$40) - 1, 0)</f>
        <v>12.569991888548268</v>
      </c>
      <c r="V742" s="100">
        <f>IF(ISNUMBER('General Info'!$B$40), (SamplingData[[#This Row],[Running (cumulative) sum]] * ('General Info'!$B$40 -'General Info'!$B$41 + 1)) + 'General Info'!$B$41 - 1, 0)</f>
        <v>20677.620515829138</v>
      </c>
      <c r="W742" s="100" t="str">
        <f>IF(ISERROR(MATCH(SamplingData[[#This Row],[Batch by Type (p)]],SelectedPrecincts[Batch Name], 0)), "", INDEX(SelectedPrecincts[Draw], MATCH(SamplingData[[#This Row],[Batch by Type (p)]],SelectedPrecincts[Batch Name], 0)))</f>
        <v/>
      </c>
      <c r="X742" s="102">
        <f>IF(COUNTIF(SelectedPrecincts[Batch Name],SamplingData[[#This Row],[Batch by Type (p)]]) &lt;&gt; 0, COUNTIF(SelectedPrecincts[Batch Name],SamplingData[[#This Row],[Batch by Type (p)]]), 0)</f>
        <v>0</v>
      </c>
    </row>
    <row r="743" spans="1:24" ht="15" customHeight="1">
      <c r="A743" s="18" t="s">
        <v>919</v>
      </c>
      <c r="B743" s="18">
        <v>1</v>
      </c>
      <c r="C743" s="18">
        <v>3</v>
      </c>
      <c r="D743" s="16">
        <v>3</v>
      </c>
      <c r="E743" s="16">
        <v>1</v>
      </c>
      <c r="F743" s="37">
        <v>0</v>
      </c>
      <c r="G743" s="37">
        <v>0</v>
      </c>
      <c r="H743" s="17">
        <v>0</v>
      </c>
      <c r="I743" s="17">
        <v>0</v>
      </c>
      <c r="J743" s="99">
        <f>SUM(SamplingData[[#This Row],[Losing Candidate]:[Under Votes]])</f>
        <v>8</v>
      </c>
      <c r="K743"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743" s="100">
        <f>IF(AND(SamplingData[[#This Row],[Total]]&lt;&gt; 0, NOT(ISBLANK(SamplingData[[#This Row],[Candidate 3]]))),(SamplingData[[#This Row],[Total]]+SamplingData[[#This Row],[Winning Candidate]]-SamplingData[[#This Row],[Candidate 3]])/(SamplingData[[#Totals],[Winning Candidate]]-SamplingData[[#Totals],[Candidate 3]]), 0)</f>
        <v>2.5808949253153533E-4</v>
      </c>
      <c r="M743" s="100">
        <f>IF(AND(SamplingData[[#This Row],[Total]]&lt;&gt; 0, NOT(ISBLANK(SamplingData[[#This Row],[Candidate 4]]))),(SamplingData[[#This Row],[Total]]+SamplingData[[#This Row],[Winning Candidate]]-SamplingData[[#This Row],[Candidate 4]])/(SamplingData[[#Totals],[Winning Candidate]]-SamplingData[[#Totals],[Candidate 4]]), 0)</f>
        <v>2.9232073430968461E-4</v>
      </c>
      <c r="N743" s="100">
        <f>IF(AND(SamplingData[[#This Row],[Total]]&lt;&gt; 0, NOT(ISBLANK(SamplingData[[#This Row],[Candidate 5]]))),(SamplingData[[#This Row],[Total]]+SamplingData[[#This Row],[Winning Candidate]]-SamplingData[[#This Row],[Candidate 5]])/(SamplingData[[#Totals],[Winning Candidate]]-SamplingData[[#Totals],[Candidate 5]]), 0)</f>
        <v>2.6757479931890053E-4</v>
      </c>
      <c r="O743" s="100">
        <f>IF(AND(SamplingData[[#This Row],[Total]]&lt;&gt; 0, NOT(ISBLANK(SamplingData[[#This Row],[Candidate 6]]))),(SamplingData[[#This Row],[Total]]+SamplingData[[#This Row],[Winning Candidate]]-SamplingData[[#This Row],[Candidate 6]])/(SamplingData[[#Totals],[Winning Candidate]]-SamplingData[[#Totals],[Candidate 6]]), 0)</f>
        <v>2.6749671708574483E-4</v>
      </c>
      <c r="P743" s="100">
        <f>MAX(SamplingData[[#This Row],[Error Bound (up) - Max. possible relative overstatement - Losing Candidate]:[Error Bound (up) - Max. possible relative overstatement - Candidate 6]])</f>
        <v>6.1244487996080352E-4</v>
      </c>
      <c r="Q743" s="100">
        <f>IF(SamplingData[[#This Row],[Max Error Bound (up)]] = 0,0,SamplingData[[#This Row],[Max Error Bound (up)]]/SamplingData[[#Totals],[Max Error Bound (up)]])</f>
        <v>9.6929482784458319E-5</v>
      </c>
      <c r="R743" s="101">
        <f>SUM($Q$5:Q743)</f>
        <v>0.20688313464107583</v>
      </c>
      <c r="S743" s="100" t="str">
        <f t="array" ref="S743">IF(SamplingData[[#This Row],[up/U Selection Probability]] = 0, "Zero", TEXT(SamplingData[[#This Row],[Lower Range]], REPT("0",LEN('General Info'!$B$40))) &amp; " - " &amp; TEXT(SamplingData[[#This Row],[Upper Range]], REPT("0",LEN('General Info'!$B$40))))</f>
        <v>20679 - 20687</v>
      </c>
      <c r="T743" s="100">
        <f>SamplingData[[#This Row],[Upper Range]]-SamplingData[[#This Row],[Span]]</f>
        <v>20678.620612758619</v>
      </c>
      <c r="U743" s="100">
        <f>IF(ISNUMBER('General Info'!$B$40), ((SamplingData[[#This Row],[up/U Selection Probability]]) * 'General Info'!$B$40) - 1, 0)</f>
        <v>8.6928513489630479</v>
      </c>
      <c r="V743" s="100">
        <f>IF(ISNUMBER('General Info'!$B$40), (SamplingData[[#This Row],[Running (cumulative) sum]] * ('General Info'!$B$40 -'General Info'!$B$41 + 1)) + 'General Info'!$B$41 - 1, 0)</f>
        <v>20687.313464107581</v>
      </c>
      <c r="W743" s="100" t="str">
        <f>IF(ISERROR(MATCH(SamplingData[[#This Row],[Batch by Type (p)]],SelectedPrecincts[Batch Name], 0)), "", INDEX(SelectedPrecincts[Draw], MATCH(SamplingData[[#This Row],[Batch by Type (p)]],SelectedPrecincts[Batch Name], 0)))</f>
        <v/>
      </c>
      <c r="X743" s="102">
        <f>IF(COUNTIF(SelectedPrecincts[Batch Name],SamplingData[[#This Row],[Batch by Type (p)]]) &lt;&gt; 0, COUNTIF(SelectedPrecincts[Batch Name],SamplingData[[#This Row],[Batch by Type (p)]]), 0)</f>
        <v>0</v>
      </c>
    </row>
    <row r="744" spans="1:24" ht="15" customHeight="1">
      <c r="A744" s="18" t="s">
        <v>920</v>
      </c>
      <c r="B744" s="18">
        <v>2</v>
      </c>
      <c r="C744" s="18">
        <v>1</v>
      </c>
      <c r="D744" s="18">
        <v>0</v>
      </c>
      <c r="E744" s="18">
        <v>1</v>
      </c>
      <c r="F744" s="18">
        <v>0</v>
      </c>
      <c r="G744" s="18">
        <v>0</v>
      </c>
      <c r="H744" s="18">
        <v>0</v>
      </c>
      <c r="I744" s="18">
        <v>0</v>
      </c>
      <c r="J744" s="99">
        <f>SUM(SamplingData[[#This Row],[Losing Candidate]:[Under Votes]])</f>
        <v>4</v>
      </c>
      <c r="K744"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744" s="100">
        <f>IF(AND(SamplingData[[#This Row],[Total]]&lt;&gt; 0, NOT(ISBLANK(SamplingData[[#This Row],[Candidate 3]]))),(SamplingData[[#This Row],[Total]]+SamplingData[[#This Row],[Winning Candidate]]-SamplingData[[#This Row],[Candidate 3]])/(SamplingData[[#Totals],[Winning Candidate]]-SamplingData[[#Totals],[Candidate 3]]), 0)</f>
        <v>1.6130593283220958E-4</v>
      </c>
      <c r="M744" s="100">
        <f>IF(AND(SamplingData[[#This Row],[Total]]&lt;&gt; 0, NOT(ISBLANK(SamplingData[[#This Row],[Candidate 4]]))),(SamplingData[[#This Row],[Total]]+SamplingData[[#This Row],[Winning Candidate]]-SamplingData[[#This Row],[Candidate 4]])/(SamplingData[[#Totals],[Winning Candidate]]-SamplingData[[#Totals],[Candidate 4]]), 0)</f>
        <v>1.1692829372387384E-4</v>
      </c>
      <c r="N744" s="100">
        <f>IF(AND(SamplingData[[#This Row],[Total]]&lt;&gt; 0, NOT(ISBLANK(SamplingData[[#This Row],[Candidate 5]]))),(SamplingData[[#This Row],[Total]]+SamplingData[[#This Row],[Winning Candidate]]-SamplingData[[#This Row],[Candidate 5]])/(SamplingData[[#Totals],[Winning Candidate]]-SamplingData[[#Totals],[Candidate 5]]), 0)</f>
        <v>1.2162490878131841E-4</v>
      </c>
      <c r="O744" s="100">
        <f>IF(AND(SamplingData[[#This Row],[Total]]&lt;&gt; 0, NOT(ISBLANK(SamplingData[[#This Row],[Candidate 6]]))),(SamplingData[[#This Row],[Total]]+SamplingData[[#This Row],[Winning Candidate]]-SamplingData[[#This Row],[Candidate 6]])/(SamplingData[[#Totals],[Winning Candidate]]-SamplingData[[#Totals],[Candidate 6]]), 0)</f>
        <v>1.2158941685715675E-4</v>
      </c>
      <c r="P744" s="100">
        <f>MAX(SamplingData[[#This Row],[Error Bound (up) - Max. possible relative overstatement - Losing Candidate]:[Error Bound (up) - Max. possible relative overstatement - Candidate 6]])</f>
        <v>1.8373346398824106E-4</v>
      </c>
      <c r="Q744" s="100">
        <f>IF(SamplingData[[#This Row],[Max Error Bound (up)]] = 0,0,SamplingData[[#This Row],[Max Error Bound (up)]]/SamplingData[[#Totals],[Max Error Bound (up)]])</f>
        <v>2.9078844835337493E-5</v>
      </c>
      <c r="R744" s="101">
        <f>SUM($Q$5:Q744)</f>
        <v>0.20691221348591116</v>
      </c>
      <c r="S744" s="100" t="str">
        <f t="array" ref="S744">IF(SamplingData[[#This Row],[up/U Selection Probability]] = 0, "Zero", TEXT(SamplingData[[#This Row],[Lower Range]], REPT("0",LEN('General Info'!$B$40))) &amp; " - " &amp; TEXT(SamplingData[[#This Row],[Upper Range]], REPT("0",LEN('General Info'!$B$40))))</f>
        <v>20688 - 20690</v>
      </c>
      <c r="T744" s="100">
        <f>SamplingData[[#This Row],[Upper Range]]-SamplingData[[#This Row],[Span]]</f>
        <v>20688.313493186426</v>
      </c>
      <c r="U744" s="100">
        <f>IF(ISNUMBER('General Info'!$B$40), ((SamplingData[[#This Row],[up/U Selection Probability]]) * 'General Info'!$B$40) - 1, 0)</f>
        <v>1.907855404688914</v>
      </c>
      <c r="V744" s="100">
        <f>IF(ISNUMBER('General Info'!$B$40), (SamplingData[[#This Row],[Running (cumulative) sum]] * ('General Info'!$B$40 -'General Info'!$B$41 + 1)) + 'General Info'!$B$41 - 1, 0)</f>
        <v>20690.221348591116</v>
      </c>
      <c r="W744" s="100" t="str">
        <f>IF(ISERROR(MATCH(SamplingData[[#This Row],[Batch by Type (p)]],SelectedPrecincts[Batch Name], 0)), "", INDEX(SelectedPrecincts[Draw], MATCH(SamplingData[[#This Row],[Batch by Type (p)]],SelectedPrecincts[Batch Name], 0)))</f>
        <v/>
      </c>
      <c r="X744" s="102">
        <f>IF(COUNTIF(SelectedPrecincts[Batch Name],SamplingData[[#This Row],[Batch by Type (p)]]) &lt;&gt; 0, COUNTIF(SelectedPrecincts[Batch Name],SamplingData[[#This Row],[Batch by Type (p)]]), 0)</f>
        <v>0</v>
      </c>
    </row>
    <row r="745" spans="1:24" ht="15" customHeight="1">
      <c r="A745" s="18" t="s">
        <v>921</v>
      </c>
      <c r="B745" s="18">
        <v>7</v>
      </c>
      <c r="C745" s="18">
        <v>12</v>
      </c>
      <c r="D745" s="16">
        <v>3</v>
      </c>
      <c r="E745" s="16">
        <v>4</v>
      </c>
      <c r="F745" s="37">
        <v>0</v>
      </c>
      <c r="G745" s="37">
        <v>1</v>
      </c>
      <c r="H745" s="17">
        <v>0</v>
      </c>
      <c r="I745" s="17">
        <v>0</v>
      </c>
      <c r="J745" s="99">
        <f>SUM(SamplingData[[#This Row],[Losing Candidate]:[Under Votes]])</f>
        <v>27</v>
      </c>
      <c r="K745"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745" s="100">
        <f>IF(AND(SamplingData[[#This Row],[Total]]&lt;&gt; 0, NOT(ISBLANK(SamplingData[[#This Row],[Candidate 3]]))),(SamplingData[[#This Row],[Total]]+SamplingData[[#This Row],[Winning Candidate]]-SamplingData[[#This Row],[Candidate 3]])/(SamplingData[[#Totals],[Winning Candidate]]-SamplingData[[#Totals],[Candidate 3]]), 0)</f>
        <v>1.1614027163919089E-3</v>
      </c>
      <c r="M745" s="100">
        <f>IF(AND(SamplingData[[#This Row],[Total]]&lt;&gt; 0, NOT(ISBLANK(SamplingData[[#This Row],[Candidate 4]]))),(SamplingData[[#This Row],[Total]]+SamplingData[[#This Row],[Winning Candidate]]-SamplingData[[#This Row],[Candidate 4]])/(SamplingData[[#Totals],[Winning Candidate]]-SamplingData[[#Totals],[Candidate 4]]), 0)</f>
        <v>1.0231225700838961E-3</v>
      </c>
      <c r="N745" s="100">
        <f>IF(AND(SamplingData[[#This Row],[Total]]&lt;&gt; 0, NOT(ISBLANK(SamplingData[[#This Row],[Candidate 5]]))),(SamplingData[[#This Row],[Total]]+SamplingData[[#This Row],[Winning Candidate]]-SamplingData[[#This Row],[Candidate 5]])/(SamplingData[[#Totals],[Winning Candidate]]-SamplingData[[#Totals],[Candidate 5]]), 0)</f>
        <v>9.4867428849428363E-4</v>
      </c>
      <c r="O745" s="100">
        <f>IF(AND(SamplingData[[#This Row],[Total]]&lt;&gt; 0, NOT(ISBLANK(SamplingData[[#This Row],[Candidate 6]]))),(SamplingData[[#This Row],[Total]]+SamplingData[[#This Row],[Winning Candidate]]-SamplingData[[#This Row],[Candidate 6]])/(SamplingData[[#Totals],[Winning Candidate]]-SamplingData[[#Totals],[Candidate 6]]), 0)</f>
        <v>9.2407956811439132E-4</v>
      </c>
      <c r="P745" s="100">
        <f>MAX(SamplingData[[#This Row],[Error Bound (up) - Max. possible relative overstatement - Losing Candidate]:[Error Bound (up) - Max. possible relative overstatement - Candidate 6]])</f>
        <v>1.9598236158745713E-3</v>
      </c>
      <c r="Q745" s="100">
        <f>IF(SamplingData[[#This Row],[Max Error Bound (up)]] = 0,0,SamplingData[[#This Row],[Max Error Bound (up)]]/SamplingData[[#Totals],[Max Error Bound (up)]])</f>
        <v>3.1017434491026661E-4</v>
      </c>
      <c r="R745" s="101">
        <f>SUM($Q$5:Q745)</f>
        <v>0.20722238783082142</v>
      </c>
      <c r="S745" s="100" t="str">
        <f t="array" ref="S745">IF(SamplingData[[#This Row],[up/U Selection Probability]] = 0, "Zero", TEXT(SamplingData[[#This Row],[Lower Range]], REPT("0",LEN('General Info'!$B$40))) &amp; " - " &amp; TEXT(SamplingData[[#This Row],[Upper Range]], REPT("0",LEN('General Info'!$B$40))))</f>
        <v>20691 - 20721</v>
      </c>
      <c r="T745" s="100">
        <f>SamplingData[[#This Row],[Upper Range]]-SamplingData[[#This Row],[Span]]</f>
        <v>20691.221658765462</v>
      </c>
      <c r="U745" s="100">
        <f>IF(ISNUMBER('General Info'!$B$40), ((SamplingData[[#This Row],[up/U Selection Probability]]) * 'General Info'!$B$40) - 1, 0)</f>
        <v>30.017124316681752</v>
      </c>
      <c r="V745" s="100">
        <f>IF(ISNUMBER('General Info'!$B$40), (SamplingData[[#This Row],[Running (cumulative) sum]] * ('General Info'!$B$40 -'General Info'!$B$41 + 1)) + 'General Info'!$B$41 - 1, 0)</f>
        <v>20721.238783082143</v>
      </c>
      <c r="W745" s="100" t="str">
        <f>IF(ISERROR(MATCH(SamplingData[[#This Row],[Batch by Type (p)]],SelectedPrecincts[Batch Name], 0)), "", INDEX(SelectedPrecincts[Draw], MATCH(SamplingData[[#This Row],[Batch by Type (p)]],SelectedPrecincts[Batch Name], 0)))</f>
        <v/>
      </c>
      <c r="X745" s="102">
        <f>IF(COUNTIF(SelectedPrecincts[Batch Name],SamplingData[[#This Row],[Batch by Type (p)]]) &lt;&gt; 0, COUNTIF(SelectedPrecincts[Batch Name],SamplingData[[#This Row],[Batch by Type (p)]]), 0)</f>
        <v>0</v>
      </c>
    </row>
    <row r="746" spans="1:24" ht="15" customHeight="1">
      <c r="A746" s="18" t="s">
        <v>922</v>
      </c>
      <c r="B746" s="18">
        <v>4</v>
      </c>
      <c r="C746" s="18">
        <v>5</v>
      </c>
      <c r="D746" s="18">
        <v>0</v>
      </c>
      <c r="E746" s="18">
        <v>0</v>
      </c>
      <c r="F746" s="18">
        <v>0</v>
      </c>
      <c r="G746" s="18">
        <v>0</v>
      </c>
      <c r="H746" s="18">
        <v>0</v>
      </c>
      <c r="I746" s="18">
        <v>0</v>
      </c>
      <c r="J746" s="99">
        <f>SUM(SamplingData[[#This Row],[Losing Candidate]:[Under Votes]])</f>
        <v>9</v>
      </c>
      <c r="K74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746" s="100">
        <f>IF(AND(SamplingData[[#This Row],[Total]]&lt;&gt; 0, NOT(ISBLANK(SamplingData[[#This Row],[Candidate 3]]))),(SamplingData[[#This Row],[Total]]+SamplingData[[#This Row],[Winning Candidate]]-SamplingData[[#This Row],[Candidate 3]])/(SamplingData[[#Totals],[Winning Candidate]]-SamplingData[[#Totals],[Candidate 3]]), 0)</f>
        <v>4.5165661193018679E-4</v>
      </c>
      <c r="M746" s="100">
        <f>IF(AND(SamplingData[[#This Row],[Total]]&lt;&gt; 0, NOT(ISBLANK(SamplingData[[#This Row],[Candidate 4]]))),(SamplingData[[#This Row],[Total]]+SamplingData[[#This Row],[Winning Candidate]]-SamplingData[[#This Row],[Candidate 4]])/(SamplingData[[#Totals],[Winning Candidate]]-SamplingData[[#Totals],[Candidate 4]]), 0)</f>
        <v>4.0924902803355842E-4</v>
      </c>
      <c r="N746" s="100">
        <f>IF(AND(SamplingData[[#This Row],[Total]]&lt;&gt; 0, NOT(ISBLANK(SamplingData[[#This Row],[Candidate 5]]))),(SamplingData[[#This Row],[Total]]+SamplingData[[#This Row],[Winning Candidate]]-SamplingData[[#This Row],[Candidate 5]])/(SamplingData[[#Totals],[Winning Candidate]]-SamplingData[[#Totals],[Candidate 5]]), 0)</f>
        <v>3.4054974458769157E-4</v>
      </c>
      <c r="O746" s="100">
        <f>IF(AND(SamplingData[[#This Row],[Total]]&lt;&gt; 0, NOT(ISBLANK(SamplingData[[#This Row],[Candidate 6]]))),(SamplingData[[#This Row],[Total]]+SamplingData[[#This Row],[Winning Candidate]]-SamplingData[[#This Row],[Candidate 6]])/(SamplingData[[#Totals],[Winning Candidate]]-SamplingData[[#Totals],[Candidate 6]]), 0)</f>
        <v>3.4045036720003888E-4</v>
      </c>
      <c r="P746" s="100">
        <f>MAX(SamplingData[[#This Row],[Error Bound (up) - Max. possible relative overstatement - Losing Candidate]:[Error Bound (up) - Max. possible relative overstatement - Candidate 6]])</f>
        <v>6.1244487996080352E-4</v>
      </c>
      <c r="Q746" s="100">
        <f>IF(SamplingData[[#This Row],[Max Error Bound (up)]] = 0,0,SamplingData[[#This Row],[Max Error Bound (up)]]/SamplingData[[#Totals],[Max Error Bound (up)]])</f>
        <v>9.6929482784458319E-5</v>
      </c>
      <c r="R746" s="101">
        <f>SUM($Q$5:Q746)</f>
        <v>0.20731931731360587</v>
      </c>
      <c r="S746" s="100" t="str">
        <f t="array" ref="S746">IF(SamplingData[[#This Row],[up/U Selection Probability]] = 0, "Zero", TEXT(SamplingData[[#This Row],[Lower Range]], REPT("0",LEN('General Info'!$B$40))) &amp; " - " &amp; TEXT(SamplingData[[#This Row],[Upper Range]], REPT("0",LEN('General Info'!$B$40))))</f>
        <v>20722 - 20731</v>
      </c>
      <c r="T746" s="100">
        <f>SamplingData[[#This Row],[Upper Range]]-SamplingData[[#This Row],[Span]]</f>
        <v>20722.238880011624</v>
      </c>
      <c r="U746" s="100">
        <f>IF(ISNUMBER('General Info'!$B$40), ((SamplingData[[#This Row],[up/U Selection Probability]]) * 'General Info'!$B$40) - 1, 0)</f>
        <v>8.6928513489630479</v>
      </c>
      <c r="V746" s="100">
        <f>IF(ISNUMBER('General Info'!$B$40), (SamplingData[[#This Row],[Running (cumulative) sum]] * ('General Info'!$B$40 -'General Info'!$B$41 + 1)) + 'General Info'!$B$41 - 1, 0)</f>
        <v>20730.931731360586</v>
      </c>
      <c r="W746" s="100" t="str">
        <f>IF(ISERROR(MATCH(SamplingData[[#This Row],[Batch by Type (p)]],SelectedPrecincts[Batch Name], 0)), "", INDEX(SelectedPrecincts[Draw], MATCH(SamplingData[[#This Row],[Batch by Type (p)]],SelectedPrecincts[Batch Name], 0)))</f>
        <v/>
      </c>
      <c r="X746" s="102">
        <f>IF(COUNTIF(SelectedPrecincts[Batch Name],SamplingData[[#This Row],[Batch by Type (p)]]) &lt;&gt; 0, COUNTIF(SelectedPrecincts[Batch Name],SamplingData[[#This Row],[Batch by Type (p)]]), 0)</f>
        <v>0</v>
      </c>
    </row>
    <row r="747" spans="1:24" ht="15" customHeight="1">
      <c r="A747" s="18" t="s">
        <v>923</v>
      </c>
      <c r="B747" s="18">
        <v>3</v>
      </c>
      <c r="C747" s="18">
        <v>8</v>
      </c>
      <c r="D747" s="16">
        <v>2</v>
      </c>
      <c r="E747" s="16">
        <v>1</v>
      </c>
      <c r="F747" s="37">
        <v>0</v>
      </c>
      <c r="G747" s="37">
        <v>1</v>
      </c>
      <c r="H747" s="17">
        <v>0</v>
      </c>
      <c r="I747" s="17">
        <v>0</v>
      </c>
      <c r="J747" s="99">
        <f>SUM(SamplingData[[#This Row],[Losing Candidate]:[Under Votes]])</f>
        <v>15</v>
      </c>
      <c r="K747"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747" s="100">
        <f>IF(AND(SamplingData[[#This Row],[Total]]&lt;&gt; 0, NOT(ISBLANK(SamplingData[[#This Row],[Candidate 3]]))),(SamplingData[[#This Row],[Total]]+SamplingData[[#This Row],[Winning Candidate]]-SamplingData[[#This Row],[Candidate 3]])/(SamplingData[[#Totals],[Winning Candidate]]-SamplingData[[#Totals],[Candidate 3]]), 0)</f>
        <v>6.7748491789528019E-4</v>
      </c>
      <c r="M747" s="100">
        <f>IF(AND(SamplingData[[#This Row],[Total]]&lt;&gt; 0, NOT(ISBLANK(SamplingData[[#This Row],[Candidate 4]]))),(SamplingData[[#This Row],[Total]]+SamplingData[[#This Row],[Winning Candidate]]-SamplingData[[#This Row],[Candidate 4]])/(SamplingData[[#Totals],[Winning Candidate]]-SamplingData[[#Totals],[Candidate 4]]), 0)</f>
        <v>6.4310561548130605E-4</v>
      </c>
      <c r="N747" s="100">
        <f>IF(AND(SamplingData[[#This Row],[Total]]&lt;&gt; 0, NOT(ISBLANK(SamplingData[[#This Row],[Candidate 5]]))),(SamplingData[[#This Row],[Total]]+SamplingData[[#This Row],[Winning Candidate]]-SamplingData[[#This Row],[Candidate 5]])/(SamplingData[[#Totals],[Winning Candidate]]-SamplingData[[#Totals],[Candidate 5]]), 0)</f>
        <v>5.5947458039406475E-4</v>
      </c>
      <c r="O747" s="100">
        <f>IF(AND(SamplingData[[#This Row],[Total]]&lt;&gt; 0, NOT(ISBLANK(SamplingData[[#This Row],[Candidate 6]]))),(SamplingData[[#This Row],[Total]]+SamplingData[[#This Row],[Winning Candidate]]-SamplingData[[#This Row],[Candidate 6]])/(SamplingData[[#Totals],[Winning Candidate]]-SamplingData[[#Totals],[Candidate 6]]), 0)</f>
        <v>5.3499343417148966E-4</v>
      </c>
      <c r="P747" s="100">
        <f>MAX(SamplingData[[#This Row],[Error Bound (up) - Max. possible relative overstatement - Losing Candidate]:[Error Bound (up) - Max. possible relative overstatement - Candidate 6]])</f>
        <v>1.224889759921607E-3</v>
      </c>
      <c r="Q747" s="100">
        <f>IF(SamplingData[[#This Row],[Max Error Bound (up)]] = 0,0,SamplingData[[#This Row],[Max Error Bound (up)]]/SamplingData[[#Totals],[Max Error Bound (up)]])</f>
        <v>1.9385896556891664E-4</v>
      </c>
      <c r="R747" s="101">
        <f>SUM($Q$5:Q747)</f>
        <v>0.20751317627917479</v>
      </c>
      <c r="S747" s="100" t="str">
        <f t="array" ref="S747">IF(SamplingData[[#This Row],[up/U Selection Probability]] = 0, "Zero", TEXT(SamplingData[[#This Row],[Lower Range]], REPT("0",LEN('General Info'!$B$40))) &amp; " - " &amp; TEXT(SamplingData[[#This Row],[Upper Range]], REPT("0",LEN('General Info'!$B$40))))</f>
        <v>20732 - 20750</v>
      </c>
      <c r="T747" s="100">
        <f>SamplingData[[#This Row],[Upper Range]]-SamplingData[[#This Row],[Span]]</f>
        <v>20731.931925219553</v>
      </c>
      <c r="U747" s="100">
        <f>IF(ISNUMBER('General Info'!$B$40), ((SamplingData[[#This Row],[up/U Selection Probability]]) * 'General Info'!$B$40) - 1, 0)</f>
        <v>18.385702697926096</v>
      </c>
      <c r="V747" s="100">
        <f>IF(ISNUMBER('General Info'!$B$40), (SamplingData[[#This Row],[Running (cumulative) sum]] * ('General Info'!$B$40 -'General Info'!$B$41 + 1)) + 'General Info'!$B$41 - 1, 0)</f>
        <v>20750.31762791748</v>
      </c>
      <c r="W747" s="100" t="str">
        <f>IF(ISERROR(MATCH(SamplingData[[#This Row],[Batch by Type (p)]],SelectedPrecincts[Batch Name], 0)), "", INDEX(SelectedPrecincts[Draw], MATCH(SamplingData[[#This Row],[Batch by Type (p)]],SelectedPrecincts[Batch Name], 0)))</f>
        <v/>
      </c>
      <c r="X747" s="102">
        <f>IF(COUNTIF(SelectedPrecincts[Batch Name],SamplingData[[#This Row],[Batch by Type (p)]]) &lt;&gt; 0, COUNTIF(SelectedPrecincts[Batch Name],SamplingData[[#This Row],[Batch by Type (p)]]), 0)</f>
        <v>0</v>
      </c>
    </row>
    <row r="748" spans="1:24" ht="15" customHeight="1">
      <c r="A748" s="18" t="s">
        <v>924</v>
      </c>
      <c r="B748" s="18">
        <v>2</v>
      </c>
      <c r="C748" s="18">
        <v>1</v>
      </c>
      <c r="D748" s="18">
        <v>2</v>
      </c>
      <c r="E748" s="18">
        <v>1</v>
      </c>
      <c r="F748" s="18">
        <v>0</v>
      </c>
      <c r="G748" s="18">
        <v>0</v>
      </c>
      <c r="H748" s="18">
        <v>0</v>
      </c>
      <c r="I748" s="18">
        <v>0</v>
      </c>
      <c r="J748" s="99">
        <f>SUM(SamplingData[[#This Row],[Losing Candidate]:[Under Votes]])</f>
        <v>6</v>
      </c>
      <c r="K748"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748" s="100">
        <f>IF(AND(SamplingData[[#This Row],[Total]]&lt;&gt; 0, NOT(ISBLANK(SamplingData[[#This Row],[Candidate 3]]))),(SamplingData[[#This Row],[Total]]+SamplingData[[#This Row],[Winning Candidate]]-SamplingData[[#This Row],[Candidate 3]])/(SamplingData[[#Totals],[Winning Candidate]]-SamplingData[[#Totals],[Candidate 3]]), 0)</f>
        <v>1.6130593283220958E-4</v>
      </c>
      <c r="M748" s="100">
        <f>IF(AND(SamplingData[[#This Row],[Total]]&lt;&gt; 0, NOT(ISBLANK(SamplingData[[#This Row],[Candidate 4]]))),(SamplingData[[#This Row],[Total]]+SamplingData[[#This Row],[Winning Candidate]]-SamplingData[[#This Row],[Candidate 4]])/(SamplingData[[#Totals],[Winning Candidate]]-SamplingData[[#Totals],[Candidate 4]]), 0)</f>
        <v>1.7539244058581075E-4</v>
      </c>
      <c r="N748" s="100">
        <f>IF(AND(SamplingData[[#This Row],[Total]]&lt;&gt; 0, NOT(ISBLANK(SamplingData[[#This Row],[Candidate 5]]))),(SamplingData[[#This Row],[Total]]+SamplingData[[#This Row],[Winning Candidate]]-SamplingData[[#This Row],[Candidate 5]])/(SamplingData[[#Totals],[Winning Candidate]]-SamplingData[[#Totals],[Candidate 5]]), 0)</f>
        <v>1.7027487229384579E-4</v>
      </c>
      <c r="O748" s="100">
        <f>IF(AND(SamplingData[[#This Row],[Total]]&lt;&gt; 0, NOT(ISBLANK(SamplingData[[#This Row],[Candidate 6]]))),(SamplingData[[#This Row],[Total]]+SamplingData[[#This Row],[Winning Candidate]]-SamplingData[[#This Row],[Candidate 6]])/(SamplingData[[#Totals],[Winning Candidate]]-SamplingData[[#Totals],[Candidate 6]]), 0)</f>
        <v>1.7022518360001944E-4</v>
      </c>
      <c r="P748" s="100">
        <f>MAX(SamplingData[[#This Row],[Error Bound (up) - Max. possible relative overstatement - Losing Candidate]:[Error Bound (up) - Max. possible relative overstatement - Candidate 6]])</f>
        <v>3.0622243998040176E-4</v>
      </c>
      <c r="Q748" s="100">
        <f>IF(SamplingData[[#This Row],[Max Error Bound (up)]] = 0,0,SamplingData[[#This Row],[Max Error Bound (up)]]/SamplingData[[#Totals],[Max Error Bound (up)]])</f>
        <v>4.8464741392229159E-5</v>
      </c>
      <c r="R748" s="101">
        <f>SUM($Q$5:Q748)</f>
        <v>0.20756164102056701</v>
      </c>
      <c r="S748" s="100" t="str">
        <f t="array" ref="S748">IF(SamplingData[[#This Row],[up/U Selection Probability]] = 0, "Zero", TEXT(SamplingData[[#This Row],[Lower Range]], REPT("0",LEN('General Info'!$B$40))) &amp; " - " &amp; TEXT(SamplingData[[#This Row],[Upper Range]], REPT("0",LEN('General Info'!$B$40))))</f>
        <v>20751 - 20755</v>
      </c>
      <c r="T748" s="100">
        <f>SamplingData[[#This Row],[Upper Range]]-SamplingData[[#This Row],[Span]]</f>
        <v>20751.317676382219</v>
      </c>
      <c r="U748" s="100">
        <f>IF(ISNUMBER('General Info'!$B$40), ((SamplingData[[#This Row],[up/U Selection Probability]]) * 'General Info'!$B$40) - 1, 0)</f>
        <v>3.8464256744815239</v>
      </c>
      <c r="V748" s="100">
        <f>IF(ISNUMBER('General Info'!$B$40), (SamplingData[[#This Row],[Running (cumulative) sum]] * ('General Info'!$B$40 -'General Info'!$B$41 + 1)) + 'General Info'!$B$41 - 1, 0)</f>
        <v>20755.1641020567</v>
      </c>
      <c r="W748" s="100" t="str">
        <f>IF(ISERROR(MATCH(SamplingData[[#This Row],[Batch by Type (p)]],SelectedPrecincts[Batch Name], 0)), "", INDEX(SelectedPrecincts[Draw], MATCH(SamplingData[[#This Row],[Batch by Type (p)]],SelectedPrecincts[Batch Name], 0)))</f>
        <v/>
      </c>
      <c r="X748" s="102">
        <f>IF(COUNTIF(SelectedPrecincts[Batch Name],SamplingData[[#This Row],[Batch by Type (p)]]) &lt;&gt; 0, COUNTIF(SelectedPrecincts[Batch Name],SamplingData[[#This Row],[Batch by Type (p)]]), 0)</f>
        <v>0</v>
      </c>
    </row>
    <row r="749" spans="1:24" ht="15" customHeight="1">
      <c r="A749" s="18" t="s">
        <v>925</v>
      </c>
      <c r="B749" s="18">
        <v>3</v>
      </c>
      <c r="C749" s="18">
        <v>6</v>
      </c>
      <c r="D749" s="16">
        <v>2</v>
      </c>
      <c r="E749" s="16">
        <v>1</v>
      </c>
      <c r="F749" s="37">
        <v>0</v>
      </c>
      <c r="G749" s="37">
        <v>0</v>
      </c>
      <c r="H749" s="17">
        <v>0</v>
      </c>
      <c r="I749" s="17">
        <v>1</v>
      </c>
      <c r="J749" s="99">
        <f>SUM(SamplingData[[#This Row],[Losing Candidate]:[Under Votes]])</f>
        <v>13</v>
      </c>
      <c r="K749"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749" s="100">
        <f>IF(AND(SamplingData[[#This Row],[Total]]&lt;&gt; 0, NOT(ISBLANK(SamplingData[[#This Row],[Candidate 3]]))),(SamplingData[[#This Row],[Total]]+SamplingData[[#This Row],[Winning Candidate]]-SamplingData[[#This Row],[Candidate 3]])/(SamplingData[[#Totals],[Winning Candidate]]-SamplingData[[#Totals],[Candidate 3]]), 0)</f>
        <v>5.4844017162951255E-4</v>
      </c>
      <c r="M749" s="100">
        <f>IF(AND(SamplingData[[#This Row],[Total]]&lt;&gt; 0, NOT(ISBLANK(SamplingData[[#This Row],[Candidate 4]]))),(SamplingData[[#This Row],[Total]]+SamplingData[[#This Row],[Winning Candidate]]-SamplingData[[#This Row],[Candidate 4]])/(SamplingData[[#Totals],[Winning Candidate]]-SamplingData[[#Totals],[Candidate 4]]), 0)</f>
        <v>5.2617732175743229E-4</v>
      </c>
      <c r="N749" s="100">
        <f>IF(AND(SamplingData[[#This Row],[Total]]&lt;&gt; 0, NOT(ISBLANK(SamplingData[[#This Row],[Candidate 5]]))),(SamplingData[[#This Row],[Total]]+SamplingData[[#This Row],[Winning Candidate]]-SamplingData[[#This Row],[Candidate 5]])/(SamplingData[[#Totals],[Winning Candidate]]-SamplingData[[#Totals],[Candidate 5]]), 0)</f>
        <v>4.6217465336900997E-4</v>
      </c>
      <c r="O749" s="100">
        <f>IF(AND(SamplingData[[#This Row],[Total]]&lt;&gt; 0, NOT(ISBLANK(SamplingData[[#This Row],[Candidate 6]]))),(SamplingData[[#This Row],[Total]]+SamplingData[[#This Row],[Winning Candidate]]-SamplingData[[#This Row],[Candidate 6]])/(SamplingData[[#Totals],[Winning Candidate]]-SamplingData[[#Totals],[Candidate 6]]), 0)</f>
        <v>4.6203978405719566E-4</v>
      </c>
      <c r="P749" s="100">
        <f>MAX(SamplingData[[#This Row],[Error Bound (up) - Max. possible relative overstatement - Losing Candidate]:[Error Bound (up) - Max. possible relative overstatement - Candidate 6]])</f>
        <v>9.7991180793728563E-4</v>
      </c>
      <c r="Q749" s="100">
        <f>IF(SamplingData[[#This Row],[Max Error Bound (up)]] = 0,0,SamplingData[[#This Row],[Max Error Bound (up)]]/SamplingData[[#Totals],[Max Error Bound (up)]])</f>
        <v>1.550871724551333E-4</v>
      </c>
      <c r="R749" s="101">
        <f>SUM($Q$5:Q749)</f>
        <v>0.20771672819302214</v>
      </c>
      <c r="S749" s="100" t="str">
        <f t="array" ref="S749">IF(SamplingData[[#This Row],[up/U Selection Probability]] = 0, "Zero", TEXT(SamplingData[[#This Row],[Lower Range]], REPT("0",LEN('General Info'!$B$40))) &amp; " - " &amp; TEXT(SamplingData[[#This Row],[Upper Range]], REPT("0",LEN('General Info'!$B$40))))</f>
        <v>20756 - 20771</v>
      </c>
      <c r="T749" s="100">
        <f>SamplingData[[#This Row],[Upper Range]]-SamplingData[[#This Row],[Span]]</f>
        <v>20756.164257143872</v>
      </c>
      <c r="U749" s="100">
        <f>IF(ISNUMBER('General Info'!$B$40), ((SamplingData[[#This Row],[up/U Selection Probability]]) * 'General Info'!$B$40) - 1, 0)</f>
        <v>14.508562158340876</v>
      </c>
      <c r="V749" s="100">
        <f>IF(ISNUMBER('General Info'!$B$40), (SamplingData[[#This Row],[Running (cumulative) sum]] * ('General Info'!$B$40 -'General Info'!$B$41 + 1)) + 'General Info'!$B$41 - 1, 0)</f>
        <v>20770.672819302214</v>
      </c>
      <c r="W749" s="100" t="str">
        <f>IF(ISERROR(MATCH(SamplingData[[#This Row],[Batch by Type (p)]],SelectedPrecincts[Batch Name], 0)), "", INDEX(SelectedPrecincts[Draw], MATCH(SamplingData[[#This Row],[Batch by Type (p)]],SelectedPrecincts[Batch Name], 0)))</f>
        <v/>
      </c>
      <c r="X749" s="102">
        <f>IF(COUNTIF(SelectedPrecincts[Batch Name],SamplingData[[#This Row],[Batch by Type (p)]]) &lt;&gt; 0, COUNTIF(SelectedPrecincts[Batch Name],SamplingData[[#This Row],[Batch by Type (p)]]), 0)</f>
        <v>0</v>
      </c>
    </row>
    <row r="750" spans="1:24" ht="15" customHeight="1">
      <c r="A750" s="18" t="s">
        <v>926</v>
      </c>
      <c r="B750" s="18">
        <v>1</v>
      </c>
      <c r="C750" s="18">
        <v>1</v>
      </c>
      <c r="D750" s="18">
        <v>1</v>
      </c>
      <c r="E750" s="18">
        <v>0</v>
      </c>
      <c r="F750" s="18">
        <v>0</v>
      </c>
      <c r="G750" s="18">
        <v>0</v>
      </c>
      <c r="H750" s="18">
        <v>0</v>
      </c>
      <c r="I750" s="18">
        <v>0</v>
      </c>
      <c r="J750" s="99">
        <f>SUM(SamplingData[[#This Row],[Losing Candidate]:[Under Votes]])</f>
        <v>3</v>
      </c>
      <c r="K75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750" s="100">
        <f>IF(AND(SamplingData[[#This Row],[Total]]&lt;&gt; 0, NOT(ISBLANK(SamplingData[[#This Row],[Candidate 3]]))),(SamplingData[[#This Row],[Total]]+SamplingData[[#This Row],[Winning Candidate]]-SamplingData[[#This Row],[Candidate 3]])/(SamplingData[[#Totals],[Winning Candidate]]-SamplingData[[#Totals],[Candidate 3]]), 0)</f>
        <v>9.6783559699325743E-5</v>
      </c>
      <c r="M750" s="100">
        <f>IF(AND(SamplingData[[#This Row],[Total]]&lt;&gt; 0, NOT(ISBLANK(SamplingData[[#This Row],[Candidate 4]]))),(SamplingData[[#This Row],[Total]]+SamplingData[[#This Row],[Winning Candidate]]-SamplingData[[#This Row],[Candidate 4]])/(SamplingData[[#Totals],[Winning Candidate]]-SamplingData[[#Totals],[Candidate 4]]), 0)</f>
        <v>1.1692829372387384E-4</v>
      </c>
      <c r="N750" s="100">
        <f>IF(AND(SamplingData[[#This Row],[Total]]&lt;&gt; 0, NOT(ISBLANK(SamplingData[[#This Row],[Candidate 5]]))),(SamplingData[[#This Row],[Total]]+SamplingData[[#This Row],[Winning Candidate]]-SamplingData[[#This Row],[Candidate 5]])/(SamplingData[[#Totals],[Winning Candidate]]-SamplingData[[#Totals],[Candidate 5]]), 0)</f>
        <v>9.7299927025054734E-5</v>
      </c>
      <c r="O750" s="100">
        <f>IF(AND(SamplingData[[#This Row],[Total]]&lt;&gt; 0, NOT(ISBLANK(SamplingData[[#This Row],[Candidate 6]]))),(SamplingData[[#This Row],[Total]]+SamplingData[[#This Row],[Winning Candidate]]-SamplingData[[#This Row],[Candidate 6]])/(SamplingData[[#Totals],[Winning Candidate]]-SamplingData[[#Totals],[Candidate 6]]), 0)</f>
        <v>9.7271533485725401E-5</v>
      </c>
      <c r="P750" s="100">
        <f>MAX(SamplingData[[#This Row],[Error Bound (up) - Max. possible relative overstatement - Losing Candidate]:[Error Bound (up) - Max. possible relative overstatement - Candidate 6]])</f>
        <v>1.8373346398824106E-4</v>
      </c>
      <c r="Q750" s="100">
        <f>IF(SamplingData[[#This Row],[Max Error Bound (up)]] = 0,0,SamplingData[[#This Row],[Max Error Bound (up)]]/SamplingData[[#Totals],[Max Error Bound (up)]])</f>
        <v>2.9078844835337493E-5</v>
      </c>
      <c r="R750" s="101">
        <f>SUM($Q$5:Q750)</f>
        <v>0.20774580703785747</v>
      </c>
      <c r="S750" s="100" t="str">
        <f t="array" ref="S750">IF(SamplingData[[#This Row],[up/U Selection Probability]] = 0, "Zero", TEXT(SamplingData[[#This Row],[Lower Range]], REPT("0",LEN('General Info'!$B$40))) &amp; " - " &amp; TEXT(SamplingData[[#This Row],[Upper Range]], REPT("0",LEN('General Info'!$B$40))))</f>
        <v>20772 - 20774</v>
      </c>
      <c r="T750" s="100">
        <f>SamplingData[[#This Row],[Upper Range]]-SamplingData[[#This Row],[Span]]</f>
        <v>20771.672848381058</v>
      </c>
      <c r="U750" s="100">
        <f>IF(ISNUMBER('General Info'!$B$40), ((SamplingData[[#This Row],[up/U Selection Probability]]) * 'General Info'!$B$40) - 1, 0)</f>
        <v>1.907855404688914</v>
      </c>
      <c r="V750" s="100">
        <f>IF(ISNUMBER('General Info'!$B$40), (SamplingData[[#This Row],[Running (cumulative) sum]] * ('General Info'!$B$40 -'General Info'!$B$41 + 1)) + 'General Info'!$B$41 - 1, 0)</f>
        <v>20773.580703785748</v>
      </c>
      <c r="W750" s="100" t="str">
        <f>IF(ISERROR(MATCH(SamplingData[[#This Row],[Batch by Type (p)]],SelectedPrecincts[Batch Name], 0)), "", INDEX(SelectedPrecincts[Draw], MATCH(SamplingData[[#This Row],[Batch by Type (p)]],SelectedPrecincts[Batch Name], 0)))</f>
        <v/>
      </c>
      <c r="X750" s="102">
        <f>IF(COUNTIF(SelectedPrecincts[Batch Name],SamplingData[[#This Row],[Batch by Type (p)]]) &lt;&gt; 0, COUNTIF(SelectedPrecincts[Batch Name],SamplingData[[#This Row],[Batch by Type (p)]]), 0)</f>
        <v>0</v>
      </c>
    </row>
    <row r="751" spans="1:24" ht="15" customHeight="1">
      <c r="A751" s="18" t="s">
        <v>927</v>
      </c>
      <c r="B751" s="18">
        <v>2</v>
      </c>
      <c r="C751" s="18">
        <v>1</v>
      </c>
      <c r="D751" s="16">
        <v>3</v>
      </c>
      <c r="E751" s="16">
        <v>1</v>
      </c>
      <c r="F751" s="37">
        <v>0</v>
      </c>
      <c r="G751" s="37">
        <v>0</v>
      </c>
      <c r="H751" s="17">
        <v>0</v>
      </c>
      <c r="I751" s="17">
        <v>0</v>
      </c>
      <c r="J751" s="99">
        <f>SUM(SamplingData[[#This Row],[Losing Candidate]:[Under Votes]])</f>
        <v>7</v>
      </c>
      <c r="K751"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751" s="100">
        <f>IF(AND(SamplingData[[#This Row],[Total]]&lt;&gt; 0, NOT(ISBLANK(SamplingData[[#This Row],[Candidate 3]]))),(SamplingData[[#This Row],[Total]]+SamplingData[[#This Row],[Winning Candidate]]-SamplingData[[#This Row],[Candidate 3]])/(SamplingData[[#Totals],[Winning Candidate]]-SamplingData[[#Totals],[Candidate 3]]), 0)</f>
        <v>1.6130593283220958E-4</v>
      </c>
      <c r="M751" s="100">
        <f>IF(AND(SamplingData[[#This Row],[Total]]&lt;&gt; 0, NOT(ISBLANK(SamplingData[[#This Row],[Candidate 4]]))),(SamplingData[[#This Row],[Total]]+SamplingData[[#This Row],[Winning Candidate]]-SamplingData[[#This Row],[Candidate 4]])/(SamplingData[[#Totals],[Winning Candidate]]-SamplingData[[#Totals],[Candidate 4]]), 0)</f>
        <v>2.0462451401677921E-4</v>
      </c>
      <c r="N751" s="100">
        <f>IF(AND(SamplingData[[#This Row],[Total]]&lt;&gt; 0, NOT(ISBLANK(SamplingData[[#This Row],[Candidate 5]]))),(SamplingData[[#This Row],[Total]]+SamplingData[[#This Row],[Winning Candidate]]-SamplingData[[#This Row],[Candidate 5]])/(SamplingData[[#Totals],[Winning Candidate]]-SamplingData[[#Totals],[Candidate 5]]), 0)</f>
        <v>1.9459985405010947E-4</v>
      </c>
      <c r="O751" s="100">
        <f>IF(AND(SamplingData[[#This Row],[Total]]&lt;&gt; 0, NOT(ISBLANK(SamplingData[[#This Row],[Candidate 6]]))),(SamplingData[[#This Row],[Total]]+SamplingData[[#This Row],[Winning Candidate]]-SamplingData[[#This Row],[Candidate 6]])/(SamplingData[[#Totals],[Winning Candidate]]-SamplingData[[#Totals],[Candidate 6]]), 0)</f>
        <v>1.945430669714508E-4</v>
      </c>
      <c r="P751" s="100">
        <f>MAX(SamplingData[[#This Row],[Error Bound (up) - Max. possible relative overstatement - Losing Candidate]:[Error Bound (up) - Max. possible relative overstatement - Candidate 6]])</f>
        <v>3.6746692797648211E-4</v>
      </c>
      <c r="Q751" s="100">
        <f>IF(SamplingData[[#This Row],[Max Error Bound (up)]] = 0,0,SamplingData[[#This Row],[Max Error Bound (up)]]/SamplingData[[#Totals],[Max Error Bound (up)]])</f>
        <v>5.8157689670674986E-5</v>
      </c>
      <c r="R751" s="101">
        <f>SUM($Q$5:Q751)</f>
        <v>0.20780396472752816</v>
      </c>
      <c r="S751" s="100" t="str">
        <f t="array" ref="S751">IF(SamplingData[[#This Row],[up/U Selection Probability]] = 0, "Zero", TEXT(SamplingData[[#This Row],[Lower Range]], REPT("0",LEN('General Info'!$B$40))) &amp; " - " &amp; TEXT(SamplingData[[#This Row],[Upper Range]], REPT("0",LEN('General Info'!$B$40))))</f>
        <v>20775 - 20779</v>
      </c>
      <c r="T751" s="100">
        <f>SamplingData[[#This Row],[Upper Range]]-SamplingData[[#This Row],[Span]]</f>
        <v>20774.580761943438</v>
      </c>
      <c r="U751" s="100">
        <f>IF(ISNUMBER('General Info'!$B$40), ((SamplingData[[#This Row],[up/U Selection Probability]]) * 'General Info'!$B$40) - 1, 0)</f>
        <v>4.815710809377828</v>
      </c>
      <c r="V751" s="100">
        <f>IF(ISNUMBER('General Info'!$B$40), (SamplingData[[#This Row],[Running (cumulative) sum]] * ('General Info'!$B$40 -'General Info'!$B$41 + 1)) + 'General Info'!$B$41 - 1, 0)</f>
        <v>20779.396472752815</v>
      </c>
      <c r="W751" s="100" t="str">
        <f>IF(ISERROR(MATCH(SamplingData[[#This Row],[Batch by Type (p)]],SelectedPrecincts[Batch Name], 0)), "", INDEX(SelectedPrecincts[Draw], MATCH(SamplingData[[#This Row],[Batch by Type (p)]],SelectedPrecincts[Batch Name], 0)))</f>
        <v/>
      </c>
      <c r="X751" s="102">
        <f>IF(COUNTIF(SelectedPrecincts[Batch Name],SamplingData[[#This Row],[Batch by Type (p)]]) &lt;&gt; 0, COUNTIF(SelectedPrecincts[Batch Name],SamplingData[[#This Row],[Batch by Type (p)]]), 0)</f>
        <v>0</v>
      </c>
    </row>
    <row r="752" spans="1:24" ht="15" customHeight="1">
      <c r="A752" s="18" t="s">
        <v>928</v>
      </c>
      <c r="B752" s="18">
        <v>3</v>
      </c>
      <c r="C752" s="18">
        <v>0</v>
      </c>
      <c r="D752" s="18">
        <v>1</v>
      </c>
      <c r="E752" s="18">
        <v>0</v>
      </c>
      <c r="F752" s="18">
        <v>0</v>
      </c>
      <c r="G752" s="18">
        <v>1</v>
      </c>
      <c r="H752" s="18">
        <v>0</v>
      </c>
      <c r="I752" s="18">
        <v>0</v>
      </c>
      <c r="J752" s="99">
        <f>SUM(SamplingData[[#This Row],[Losing Candidate]:[Under Votes]])</f>
        <v>5</v>
      </c>
      <c r="K75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752" s="100">
        <f>IF(AND(SamplingData[[#This Row],[Total]]&lt;&gt; 0, NOT(ISBLANK(SamplingData[[#This Row],[Candidate 3]]))),(SamplingData[[#This Row],[Total]]+SamplingData[[#This Row],[Winning Candidate]]-SamplingData[[#This Row],[Candidate 3]])/(SamplingData[[#Totals],[Winning Candidate]]-SamplingData[[#Totals],[Candidate 3]]), 0)</f>
        <v>1.2904474626576767E-4</v>
      </c>
      <c r="M752" s="100">
        <f>IF(AND(SamplingData[[#This Row],[Total]]&lt;&gt; 0, NOT(ISBLANK(SamplingData[[#This Row],[Candidate 4]]))),(SamplingData[[#This Row],[Total]]+SamplingData[[#This Row],[Winning Candidate]]-SamplingData[[#This Row],[Candidate 4]])/(SamplingData[[#Totals],[Winning Candidate]]-SamplingData[[#Totals],[Candidate 4]]), 0)</f>
        <v>1.4616036715484231E-4</v>
      </c>
      <c r="N752" s="100">
        <f>IF(AND(SamplingData[[#This Row],[Total]]&lt;&gt; 0, NOT(ISBLANK(SamplingData[[#This Row],[Candidate 5]]))),(SamplingData[[#This Row],[Total]]+SamplingData[[#This Row],[Winning Candidate]]-SamplingData[[#This Row],[Candidate 5]])/(SamplingData[[#Totals],[Winning Candidate]]-SamplingData[[#Totals],[Candidate 5]]), 0)</f>
        <v>1.2162490878131841E-4</v>
      </c>
      <c r="O752" s="100">
        <f>IF(AND(SamplingData[[#This Row],[Total]]&lt;&gt; 0, NOT(ISBLANK(SamplingData[[#This Row],[Candidate 6]]))),(SamplingData[[#This Row],[Total]]+SamplingData[[#This Row],[Winning Candidate]]-SamplingData[[#This Row],[Candidate 6]])/(SamplingData[[#Totals],[Winning Candidate]]-SamplingData[[#Totals],[Candidate 6]]), 0)</f>
        <v>9.7271533485725401E-5</v>
      </c>
      <c r="P752" s="100">
        <f>MAX(SamplingData[[#This Row],[Error Bound (up) - Max. possible relative overstatement - Losing Candidate]:[Error Bound (up) - Max. possible relative overstatement - Candidate 6]])</f>
        <v>1.4616036715484231E-4</v>
      </c>
      <c r="Q752" s="100">
        <f>IF(SamplingData[[#This Row],[Max Error Bound (up)]] = 0,0,SamplingData[[#This Row],[Max Error Bound (up)]]/SamplingData[[#Totals],[Max Error Bound (up)]])</f>
        <v>2.3132283827423127E-5</v>
      </c>
      <c r="R752" s="101">
        <f>SUM($Q$5:Q752)</f>
        <v>0.20782709701135557</v>
      </c>
      <c r="S752" s="100" t="str">
        <f t="array" ref="S752">IF(SamplingData[[#This Row],[up/U Selection Probability]] = 0, "Zero", TEXT(SamplingData[[#This Row],[Lower Range]], REPT("0",LEN('General Info'!$B$40))) &amp; " - " &amp; TEXT(SamplingData[[#This Row],[Upper Range]], REPT("0",LEN('General Info'!$B$40))))</f>
        <v>20780 - 20782</v>
      </c>
      <c r="T752" s="100">
        <f>SamplingData[[#This Row],[Upper Range]]-SamplingData[[#This Row],[Span]]</f>
        <v>20780.396495885099</v>
      </c>
      <c r="U752" s="100">
        <f>IF(ISNUMBER('General Info'!$B$40), ((SamplingData[[#This Row],[up/U Selection Probability]]) * 'General Info'!$B$40) - 1, 0)</f>
        <v>1.3132052504584855</v>
      </c>
      <c r="V752" s="100">
        <f>IF(ISNUMBER('General Info'!$B$40), (SamplingData[[#This Row],[Running (cumulative) sum]] * ('General Info'!$B$40 -'General Info'!$B$41 + 1)) + 'General Info'!$B$41 - 1, 0)</f>
        <v>20781.709701135558</v>
      </c>
      <c r="W752" s="100" t="str">
        <f>IF(ISERROR(MATCH(SamplingData[[#This Row],[Batch by Type (p)]],SelectedPrecincts[Batch Name], 0)), "", INDEX(SelectedPrecincts[Draw], MATCH(SamplingData[[#This Row],[Batch by Type (p)]],SelectedPrecincts[Batch Name], 0)))</f>
        <v/>
      </c>
      <c r="X752" s="102">
        <f>IF(COUNTIF(SelectedPrecincts[Batch Name],SamplingData[[#This Row],[Batch by Type (p)]]) &lt;&gt; 0, COUNTIF(SelectedPrecincts[Batch Name],SamplingData[[#This Row],[Batch by Type (p)]]), 0)</f>
        <v>0</v>
      </c>
    </row>
    <row r="753" spans="1:24" ht="15" customHeight="1">
      <c r="A753" s="18" t="s">
        <v>929</v>
      </c>
      <c r="B753" s="18">
        <v>4</v>
      </c>
      <c r="C753" s="18">
        <v>3</v>
      </c>
      <c r="D753" s="16">
        <v>0</v>
      </c>
      <c r="E753" s="16">
        <v>3</v>
      </c>
      <c r="F753" s="37">
        <v>0</v>
      </c>
      <c r="G753" s="37">
        <v>0</v>
      </c>
      <c r="H753" s="17">
        <v>0</v>
      </c>
      <c r="I753" s="17">
        <v>0</v>
      </c>
      <c r="J753" s="99">
        <f>SUM(SamplingData[[#This Row],[Losing Candidate]:[Under Votes]])</f>
        <v>10</v>
      </c>
      <c r="K753"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753" s="100">
        <f>IF(AND(SamplingData[[#This Row],[Total]]&lt;&gt; 0, NOT(ISBLANK(SamplingData[[#This Row],[Candidate 3]]))),(SamplingData[[#This Row],[Total]]+SamplingData[[#This Row],[Winning Candidate]]-SamplingData[[#This Row],[Candidate 3]])/(SamplingData[[#Totals],[Winning Candidate]]-SamplingData[[#Totals],[Candidate 3]]), 0)</f>
        <v>4.1939542536374486E-4</v>
      </c>
      <c r="M753" s="100">
        <f>IF(AND(SamplingData[[#This Row],[Total]]&lt;&gt; 0, NOT(ISBLANK(SamplingData[[#This Row],[Candidate 4]]))),(SamplingData[[#This Row],[Total]]+SamplingData[[#This Row],[Winning Candidate]]-SamplingData[[#This Row],[Candidate 4]])/(SamplingData[[#Totals],[Winning Candidate]]-SamplingData[[#Totals],[Candidate 4]]), 0)</f>
        <v>2.9232073430968461E-4</v>
      </c>
      <c r="N753" s="100">
        <f>IF(AND(SamplingData[[#This Row],[Total]]&lt;&gt; 0, NOT(ISBLANK(SamplingData[[#This Row],[Candidate 5]]))),(SamplingData[[#This Row],[Total]]+SamplingData[[#This Row],[Winning Candidate]]-SamplingData[[#This Row],[Candidate 5]])/(SamplingData[[#Totals],[Winning Candidate]]-SamplingData[[#Totals],[Candidate 5]]), 0)</f>
        <v>3.1622476283142789E-4</v>
      </c>
      <c r="O753" s="100">
        <f>IF(AND(SamplingData[[#This Row],[Total]]&lt;&gt; 0, NOT(ISBLANK(SamplingData[[#This Row],[Candidate 6]]))),(SamplingData[[#This Row],[Total]]+SamplingData[[#This Row],[Winning Candidate]]-SamplingData[[#This Row],[Candidate 6]])/(SamplingData[[#Totals],[Winning Candidate]]-SamplingData[[#Totals],[Candidate 6]]), 0)</f>
        <v>3.1613248382860755E-4</v>
      </c>
      <c r="P753" s="100">
        <f>MAX(SamplingData[[#This Row],[Error Bound (up) - Max. possible relative overstatement - Losing Candidate]:[Error Bound (up) - Max. possible relative overstatement - Candidate 6]])</f>
        <v>5.5120039196472322E-4</v>
      </c>
      <c r="Q753" s="100">
        <f>IF(SamplingData[[#This Row],[Max Error Bound (up)]] = 0,0,SamplingData[[#This Row],[Max Error Bound (up)]]/SamplingData[[#Totals],[Max Error Bound (up)]])</f>
        <v>8.7236534506012492E-5</v>
      </c>
      <c r="R753" s="101">
        <f>SUM($Q$5:Q753)</f>
        <v>0.20791433354586158</v>
      </c>
      <c r="S753" s="100" t="str">
        <f t="array" ref="S753">IF(SamplingData[[#This Row],[up/U Selection Probability]] = 0, "Zero", TEXT(SamplingData[[#This Row],[Lower Range]], REPT("0",LEN('General Info'!$B$40))) &amp; " - " &amp; TEXT(SamplingData[[#This Row],[Upper Range]], REPT("0",LEN('General Info'!$B$40))))</f>
        <v>20783 - 20790</v>
      </c>
      <c r="T753" s="100">
        <f>SamplingData[[#This Row],[Upper Range]]-SamplingData[[#This Row],[Span]]</f>
        <v>20782.709788372093</v>
      </c>
      <c r="U753" s="100">
        <f>IF(ISNUMBER('General Info'!$B$40), ((SamplingData[[#This Row],[up/U Selection Probability]]) * 'General Info'!$B$40) - 1, 0)</f>
        <v>7.7235662140667429</v>
      </c>
      <c r="V753" s="100">
        <f>IF(ISNUMBER('General Info'!$B$40), (SamplingData[[#This Row],[Running (cumulative) sum]] * ('General Info'!$B$40 -'General Info'!$B$41 + 1)) + 'General Info'!$B$41 - 1, 0)</f>
        <v>20790.433354586159</v>
      </c>
      <c r="W753" s="100" t="str">
        <f>IF(ISERROR(MATCH(SamplingData[[#This Row],[Batch by Type (p)]],SelectedPrecincts[Batch Name], 0)), "", INDEX(SelectedPrecincts[Draw], MATCH(SamplingData[[#This Row],[Batch by Type (p)]],SelectedPrecincts[Batch Name], 0)))</f>
        <v/>
      </c>
      <c r="X753" s="102">
        <f>IF(COUNTIF(SelectedPrecincts[Batch Name],SamplingData[[#This Row],[Batch by Type (p)]]) &lt;&gt; 0, COUNTIF(SelectedPrecincts[Batch Name],SamplingData[[#This Row],[Batch by Type (p)]]), 0)</f>
        <v>0</v>
      </c>
    </row>
    <row r="754" spans="1:24" ht="15" customHeight="1">
      <c r="A754" s="18" t="s">
        <v>930</v>
      </c>
      <c r="B754" s="18">
        <v>0</v>
      </c>
      <c r="C754" s="18">
        <v>0</v>
      </c>
      <c r="D754" s="18">
        <v>0</v>
      </c>
      <c r="E754" s="18">
        <v>0</v>
      </c>
      <c r="F754" s="18">
        <v>0</v>
      </c>
      <c r="G754" s="18">
        <v>0</v>
      </c>
      <c r="H754" s="18">
        <v>0</v>
      </c>
      <c r="I754" s="18">
        <v>0</v>
      </c>
      <c r="J754" s="99">
        <f>SUM(SamplingData[[#This Row],[Losing Candidate]:[Under Votes]])</f>
        <v>0</v>
      </c>
      <c r="K754" s="100">
        <f>IF(AND(SamplingData[[#This Row],[Total]]&lt;&gt; 0, NOT(ISBLANK(SamplingData[[#This Row],[Losing Candidate]]))),(SamplingData[[#This Row],[Total]]+SamplingData[[#This Row],[Winning Candidate]]-SamplingData[[#This Row],[Losing Candidate]])/(SamplingData[[#Totals],[Winning Candidate]]-SamplingData[[#Totals],[Losing Candidate]]), 0)</f>
        <v>0</v>
      </c>
      <c r="L754" s="100">
        <f>IF(AND(SamplingData[[#This Row],[Total]]&lt;&gt; 0, NOT(ISBLANK(SamplingData[[#This Row],[Candidate 3]]))),(SamplingData[[#This Row],[Total]]+SamplingData[[#This Row],[Winning Candidate]]-SamplingData[[#This Row],[Candidate 3]])/(SamplingData[[#Totals],[Winning Candidate]]-SamplingData[[#Totals],[Candidate 3]]), 0)</f>
        <v>0</v>
      </c>
      <c r="M754" s="100">
        <f>IF(AND(SamplingData[[#This Row],[Total]]&lt;&gt; 0, NOT(ISBLANK(SamplingData[[#This Row],[Candidate 4]]))),(SamplingData[[#This Row],[Total]]+SamplingData[[#This Row],[Winning Candidate]]-SamplingData[[#This Row],[Candidate 4]])/(SamplingData[[#Totals],[Winning Candidate]]-SamplingData[[#Totals],[Candidate 4]]), 0)</f>
        <v>0</v>
      </c>
      <c r="N754" s="100">
        <f>IF(AND(SamplingData[[#This Row],[Total]]&lt;&gt; 0, NOT(ISBLANK(SamplingData[[#This Row],[Candidate 5]]))),(SamplingData[[#This Row],[Total]]+SamplingData[[#This Row],[Winning Candidate]]-SamplingData[[#This Row],[Candidate 5]])/(SamplingData[[#Totals],[Winning Candidate]]-SamplingData[[#Totals],[Candidate 5]]), 0)</f>
        <v>0</v>
      </c>
      <c r="O754" s="100">
        <f>IF(AND(SamplingData[[#This Row],[Total]]&lt;&gt; 0, NOT(ISBLANK(SamplingData[[#This Row],[Candidate 6]]))),(SamplingData[[#This Row],[Total]]+SamplingData[[#This Row],[Winning Candidate]]-SamplingData[[#This Row],[Candidate 6]])/(SamplingData[[#Totals],[Winning Candidate]]-SamplingData[[#Totals],[Candidate 6]]), 0)</f>
        <v>0</v>
      </c>
      <c r="P754" s="100">
        <f>MAX(SamplingData[[#This Row],[Error Bound (up) - Max. possible relative overstatement - Losing Candidate]:[Error Bound (up) - Max. possible relative overstatement - Candidate 6]])</f>
        <v>0</v>
      </c>
      <c r="Q754" s="100">
        <f>IF(SamplingData[[#This Row],[Max Error Bound (up)]] = 0,0,SamplingData[[#This Row],[Max Error Bound (up)]]/SamplingData[[#Totals],[Max Error Bound (up)]])</f>
        <v>0</v>
      </c>
      <c r="R754" s="101">
        <f>SUM($Q$5:Q754)</f>
        <v>0.20791433354586158</v>
      </c>
      <c r="S754" s="100" t="str">
        <f t="array" ref="S754">IF(SamplingData[[#This Row],[up/U Selection Probability]] = 0, "Zero", TEXT(SamplingData[[#This Row],[Lower Range]], REPT("0",LEN('General Info'!$B$40))) &amp; " - " &amp; TEXT(SamplingData[[#This Row],[Upper Range]], REPT("0",LEN('General Info'!$B$40))))</f>
        <v>Zero</v>
      </c>
      <c r="T754" s="100">
        <f>SamplingData[[#This Row],[Upper Range]]-SamplingData[[#This Row],[Span]]</f>
        <v>20791.433354586159</v>
      </c>
      <c r="U754" s="100">
        <f>IF(ISNUMBER('General Info'!$B$40), ((SamplingData[[#This Row],[up/U Selection Probability]]) * 'General Info'!$B$40) - 1, 0)</f>
        <v>-1</v>
      </c>
      <c r="V754" s="100">
        <f>IF(ISNUMBER('General Info'!$B$40), (SamplingData[[#This Row],[Running (cumulative) sum]] * ('General Info'!$B$40 -'General Info'!$B$41 + 1)) + 'General Info'!$B$41 - 1, 0)</f>
        <v>20790.433354586159</v>
      </c>
      <c r="W754" s="100" t="str">
        <f>IF(ISERROR(MATCH(SamplingData[[#This Row],[Batch by Type (p)]],SelectedPrecincts[Batch Name], 0)), "", INDEX(SelectedPrecincts[Draw], MATCH(SamplingData[[#This Row],[Batch by Type (p)]],SelectedPrecincts[Batch Name], 0)))</f>
        <v/>
      </c>
      <c r="X754" s="102">
        <f>IF(COUNTIF(SelectedPrecincts[Batch Name],SamplingData[[#This Row],[Batch by Type (p)]]) &lt;&gt; 0, COUNTIF(SelectedPrecincts[Batch Name],SamplingData[[#This Row],[Batch by Type (p)]]), 0)</f>
        <v>0</v>
      </c>
    </row>
    <row r="755" spans="1:24" ht="15" customHeight="1">
      <c r="A755" s="18" t="s">
        <v>931</v>
      </c>
      <c r="B755" s="18">
        <v>0</v>
      </c>
      <c r="C755" s="18">
        <v>2</v>
      </c>
      <c r="D755" s="16">
        <v>2</v>
      </c>
      <c r="E755" s="16">
        <v>1</v>
      </c>
      <c r="F755" s="37">
        <v>0</v>
      </c>
      <c r="G755" s="37">
        <v>0</v>
      </c>
      <c r="H755" s="17">
        <v>0</v>
      </c>
      <c r="I755" s="17">
        <v>0</v>
      </c>
      <c r="J755" s="99">
        <f>SUM(SamplingData[[#This Row],[Losing Candidate]:[Under Votes]])</f>
        <v>5</v>
      </c>
      <c r="K755"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755" s="100">
        <f>IF(AND(SamplingData[[#This Row],[Total]]&lt;&gt; 0, NOT(ISBLANK(SamplingData[[#This Row],[Candidate 3]]))),(SamplingData[[#This Row],[Total]]+SamplingData[[#This Row],[Winning Candidate]]-SamplingData[[#This Row],[Candidate 3]])/(SamplingData[[#Totals],[Winning Candidate]]-SamplingData[[#Totals],[Candidate 3]]), 0)</f>
        <v>1.6130593283220958E-4</v>
      </c>
      <c r="M755" s="100">
        <f>IF(AND(SamplingData[[#This Row],[Total]]&lt;&gt; 0, NOT(ISBLANK(SamplingData[[#This Row],[Candidate 4]]))),(SamplingData[[#This Row],[Total]]+SamplingData[[#This Row],[Winning Candidate]]-SamplingData[[#This Row],[Candidate 4]])/(SamplingData[[#Totals],[Winning Candidate]]-SamplingData[[#Totals],[Candidate 4]]), 0)</f>
        <v>1.7539244058581075E-4</v>
      </c>
      <c r="N755" s="100">
        <f>IF(AND(SamplingData[[#This Row],[Total]]&lt;&gt; 0, NOT(ISBLANK(SamplingData[[#This Row],[Candidate 5]]))),(SamplingData[[#This Row],[Total]]+SamplingData[[#This Row],[Winning Candidate]]-SamplingData[[#This Row],[Candidate 5]])/(SamplingData[[#Totals],[Winning Candidate]]-SamplingData[[#Totals],[Candidate 5]]), 0)</f>
        <v>1.7027487229384579E-4</v>
      </c>
      <c r="O755" s="100">
        <f>IF(AND(SamplingData[[#This Row],[Total]]&lt;&gt; 0, NOT(ISBLANK(SamplingData[[#This Row],[Candidate 6]]))),(SamplingData[[#This Row],[Total]]+SamplingData[[#This Row],[Winning Candidate]]-SamplingData[[#This Row],[Candidate 6]])/(SamplingData[[#Totals],[Winning Candidate]]-SamplingData[[#Totals],[Candidate 6]]), 0)</f>
        <v>1.7022518360001944E-4</v>
      </c>
      <c r="P755" s="100">
        <f>MAX(SamplingData[[#This Row],[Error Bound (up) - Max. possible relative overstatement - Losing Candidate]:[Error Bound (up) - Max. possible relative overstatement - Candidate 6]])</f>
        <v>4.2871141597256246E-4</v>
      </c>
      <c r="Q755" s="100">
        <f>IF(SamplingData[[#This Row],[Max Error Bound (up)]] = 0,0,SamplingData[[#This Row],[Max Error Bound (up)]]/SamplingData[[#Totals],[Max Error Bound (up)]])</f>
        <v>6.7850637949120826E-5</v>
      </c>
      <c r="R755" s="101">
        <f>SUM($Q$5:Q755)</f>
        <v>0.2079821841838107</v>
      </c>
      <c r="S755" s="100" t="str">
        <f t="array" ref="S755">IF(SamplingData[[#This Row],[up/U Selection Probability]] = 0, "Zero", TEXT(SamplingData[[#This Row],[Lower Range]], REPT("0",LEN('General Info'!$B$40))) &amp; " - " &amp; TEXT(SamplingData[[#This Row],[Upper Range]], REPT("0",LEN('General Info'!$B$40))))</f>
        <v>20791 - 20797</v>
      </c>
      <c r="T755" s="100">
        <f>SamplingData[[#This Row],[Upper Range]]-SamplingData[[#This Row],[Span]]</f>
        <v>20791.433422436796</v>
      </c>
      <c r="U755" s="100">
        <f>IF(ISNUMBER('General Info'!$B$40), ((SamplingData[[#This Row],[up/U Selection Probability]]) * 'General Info'!$B$40) - 1, 0)</f>
        <v>5.7849959442741339</v>
      </c>
      <c r="V755" s="100">
        <f>IF(ISNUMBER('General Info'!$B$40), (SamplingData[[#This Row],[Running (cumulative) sum]] * ('General Info'!$B$40 -'General Info'!$B$41 + 1)) + 'General Info'!$B$41 - 1, 0)</f>
        <v>20797.218418381071</v>
      </c>
      <c r="W755" s="100" t="str">
        <f>IF(ISERROR(MATCH(SamplingData[[#This Row],[Batch by Type (p)]],SelectedPrecincts[Batch Name], 0)), "", INDEX(SelectedPrecincts[Draw], MATCH(SamplingData[[#This Row],[Batch by Type (p)]],SelectedPrecincts[Batch Name], 0)))</f>
        <v/>
      </c>
      <c r="X755" s="102">
        <f>IF(COUNTIF(SelectedPrecincts[Batch Name],SamplingData[[#This Row],[Batch by Type (p)]]) &lt;&gt; 0, COUNTIF(SelectedPrecincts[Batch Name],SamplingData[[#This Row],[Batch by Type (p)]]), 0)</f>
        <v>0</v>
      </c>
    </row>
    <row r="756" spans="1:24" ht="15" customHeight="1">
      <c r="A756" s="18" t="s">
        <v>932</v>
      </c>
      <c r="B756" s="18">
        <v>0</v>
      </c>
      <c r="C756" s="18">
        <v>1</v>
      </c>
      <c r="D756" s="18">
        <v>2</v>
      </c>
      <c r="E756" s="18">
        <v>2</v>
      </c>
      <c r="F756" s="18">
        <v>0</v>
      </c>
      <c r="G756" s="18">
        <v>1</v>
      </c>
      <c r="H756" s="18">
        <v>0</v>
      </c>
      <c r="I756" s="18">
        <v>1</v>
      </c>
      <c r="J756" s="99">
        <f>SUM(SamplingData[[#This Row],[Losing Candidate]:[Under Votes]])</f>
        <v>7</v>
      </c>
      <c r="K756"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756" s="100">
        <f>IF(AND(SamplingData[[#This Row],[Total]]&lt;&gt; 0, NOT(ISBLANK(SamplingData[[#This Row],[Candidate 3]]))),(SamplingData[[#This Row],[Total]]+SamplingData[[#This Row],[Winning Candidate]]-SamplingData[[#This Row],[Candidate 3]])/(SamplingData[[#Totals],[Winning Candidate]]-SamplingData[[#Totals],[Candidate 3]]), 0)</f>
        <v>1.9356711939865149E-4</v>
      </c>
      <c r="M756" s="100">
        <f>IF(AND(SamplingData[[#This Row],[Total]]&lt;&gt; 0, NOT(ISBLANK(SamplingData[[#This Row],[Candidate 4]]))),(SamplingData[[#This Row],[Total]]+SamplingData[[#This Row],[Winning Candidate]]-SamplingData[[#This Row],[Candidate 4]])/(SamplingData[[#Totals],[Winning Candidate]]-SamplingData[[#Totals],[Candidate 4]]), 0)</f>
        <v>1.7539244058581075E-4</v>
      </c>
      <c r="N756" s="100">
        <f>IF(AND(SamplingData[[#This Row],[Total]]&lt;&gt; 0, NOT(ISBLANK(SamplingData[[#This Row],[Candidate 5]]))),(SamplingData[[#This Row],[Total]]+SamplingData[[#This Row],[Winning Candidate]]-SamplingData[[#This Row],[Candidate 5]])/(SamplingData[[#Totals],[Winning Candidate]]-SamplingData[[#Totals],[Candidate 5]]), 0)</f>
        <v>1.9459985405010947E-4</v>
      </c>
      <c r="O756" s="100">
        <f>IF(AND(SamplingData[[#This Row],[Total]]&lt;&gt; 0, NOT(ISBLANK(SamplingData[[#This Row],[Candidate 6]]))),(SamplingData[[#This Row],[Total]]+SamplingData[[#This Row],[Winning Candidate]]-SamplingData[[#This Row],[Candidate 6]])/(SamplingData[[#Totals],[Winning Candidate]]-SamplingData[[#Totals],[Candidate 6]]), 0)</f>
        <v>1.7022518360001944E-4</v>
      </c>
      <c r="P756" s="100">
        <f>MAX(SamplingData[[#This Row],[Error Bound (up) - Max. possible relative overstatement - Losing Candidate]:[Error Bound (up) - Max. possible relative overstatement - Candidate 6]])</f>
        <v>4.8995590396864281E-4</v>
      </c>
      <c r="Q756" s="100">
        <f>IF(SamplingData[[#This Row],[Max Error Bound (up)]] = 0,0,SamplingData[[#This Row],[Max Error Bound (up)]]/SamplingData[[#Totals],[Max Error Bound (up)]])</f>
        <v>7.7543586227566652E-5</v>
      </c>
      <c r="R756" s="101">
        <f>SUM($Q$5:Q756)</f>
        <v>0.20805972777003828</v>
      </c>
      <c r="S756" s="100" t="str">
        <f t="array" ref="S756">IF(SamplingData[[#This Row],[up/U Selection Probability]] = 0, "Zero", TEXT(SamplingData[[#This Row],[Lower Range]], REPT("0",LEN('General Info'!$B$40))) &amp; " - " &amp; TEXT(SamplingData[[#This Row],[Upper Range]], REPT("0",LEN('General Info'!$B$40))))</f>
        <v>20798 - 20805</v>
      </c>
      <c r="T756" s="100">
        <f>SamplingData[[#This Row],[Upper Range]]-SamplingData[[#This Row],[Span]]</f>
        <v>20798.218495924659</v>
      </c>
      <c r="U756" s="100">
        <f>IF(ISNUMBER('General Info'!$B$40), ((SamplingData[[#This Row],[up/U Selection Probability]]) * 'General Info'!$B$40) - 1, 0)</f>
        <v>6.754281079170438</v>
      </c>
      <c r="V756" s="100">
        <f>IF(ISNUMBER('General Info'!$B$40), (SamplingData[[#This Row],[Running (cumulative) sum]] * ('General Info'!$B$40 -'General Info'!$B$41 + 1)) + 'General Info'!$B$41 - 1, 0)</f>
        <v>20804.97277700383</v>
      </c>
      <c r="W756" s="100" t="str">
        <f>IF(ISERROR(MATCH(SamplingData[[#This Row],[Batch by Type (p)]],SelectedPrecincts[Batch Name], 0)), "", INDEX(SelectedPrecincts[Draw], MATCH(SamplingData[[#This Row],[Batch by Type (p)]],SelectedPrecincts[Batch Name], 0)))</f>
        <v/>
      </c>
      <c r="X756" s="102">
        <f>IF(COUNTIF(SelectedPrecincts[Batch Name],SamplingData[[#This Row],[Batch by Type (p)]]) &lt;&gt; 0, COUNTIF(SelectedPrecincts[Batch Name],SamplingData[[#This Row],[Batch by Type (p)]]), 0)</f>
        <v>0</v>
      </c>
    </row>
    <row r="757" spans="1:24" ht="15" customHeight="1">
      <c r="A757" s="18" t="s">
        <v>933</v>
      </c>
      <c r="B757" s="18">
        <v>7</v>
      </c>
      <c r="C757" s="18">
        <v>2</v>
      </c>
      <c r="D757" s="16">
        <v>1</v>
      </c>
      <c r="E757" s="16">
        <v>1</v>
      </c>
      <c r="F757" s="37">
        <v>0</v>
      </c>
      <c r="G757" s="37">
        <v>0</v>
      </c>
      <c r="H757" s="17">
        <v>0</v>
      </c>
      <c r="I757" s="17">
        <v>0</v>
      </c>
      <c r="J757" s="99">
        <f>SUM(SamplingData[[#This Row],[Losing Candidate]:[Under Votes]])</f>
        <v>11</v>
      </c>
      <c r="K757"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757" s="100">
        <f>IF(AND(SamplingData[[#This Row],[Total]]&lt;&gt; 0, NOT(ISBLANK(SamplingData[[#This Row],[Candidate 3]]))),(SamplingData[[#This Row],[Total]]+SamplingData[[#This Row],[Winning Candidate]]-SamplingData[[#This Row],[Candidate 3]])/(SamplingData[[#Totals],[Winning Candidate]]-SamplingData[[#Totals],[Candidate 3]]), 0)</f>
        <v>3.8713423879730297E-4</v>
      </c>
      <c r="M757" s="100">
        <f>IF(AND(SamplingData[[#This Row],[Total]]&lt;&gt; 0, NOT(ISBLANK(SamplingData[[#This Row],[Candidate 4]]))),(SamplingData[[#This Row],[Total]]+SamplingData[[#This Row],[Winning Candidate]]-SamplingData[[#This Row],[Candidate 4]])/(SamplingData[[#Totals],[Winning Candidate]]-SamplingData[[#Totals],[Candidate 4]]), 0)</f>
        <v>3.5078488117162149E-4</v>
      </c>
      <c r="N757" s="100">
        <f>IF(AND(SamplingData[[#This Row],[Total]]&lt;&gt; 0, NOT(ISBLANK(SamplingData[[#This Row],[Candidate 5]]))),(SamplingData[[#This Row],[Total]]+SamplingData[[#This Row],[Winning Candidate]]-SamplingData[[#This Row],[Candidate 5]])/(SamplingData[[#Totals],[Winning Candidate]]-SamplingData[[#Totals],[Candidate 5]]), 0)</f>
        <v>3.1622476283142789E-4</v>
      </c>
      <c r="O757" s="100">
        <f>IF(AND(SamplingData[[#This Row],[Total]]&lt;&gt; 0, NOT(ISBLANK(SamplingData[[#This Row],[Candidate 6]]))),(SamplingData[[#This Row],[Total]]+SamplingData[[#This Row],[Winning Candidate]]-SamplingData[[#This Row],[Candidate 6]])/(SamplingData[[#Totals],[Winning Candidate]]-SamplingData[[#Totals],[Candidate 6]]), 0)</f>
        <v>3.1613248382860755E-4</v>
      </c>
      <c r="P757" s="100">
        <f>MAX(SamplingData[[#This Row],[Error Bound (up) - Max. possible relative overstatement - Losing Candidate]:[Error Bound (up) - Max. possible relative overstatement - Candidate 6]])</f>
        <v>3.8713423879730297E-4</v>
      </c>
      <c r="Q757" s="100">
        <f>IF(SamplingData[[#This Row],[Max Error Bound (up)]] = 0,0,SamplingData[[#This Row],[Max Error Bound (up)]]/SamplingData[[#Totals],[Max Error Bound (up)]])</f>
        <v>6.1270365321984796E-5</v>
      </c>
      <c r="R757" s="101">
        <f>SUM($Q$5:Q757)</f>
        <v>0.20812099813536028</v>
      </c>
      <c r="S757" s="100" t="str">
        <f t="array" ref="S757">IF(SamplingData[[#This Row],[up/U Selection Probability]] = 0, "Zero", TEXT(SamplingData[[#This Row],[Lower Range]], REPT("0",LEN('General Info'!$B$40))) &amp; " - " &amp; TEXT(SamplingData[[#This Row],[Upper Range]], REPT("0",LEN('General Info'!$B$40))))</f>
        <v>20806 - 20811</v>
      </c>
      <c r="T757" s="100">
        <f>SamplingData[[#This Row],[Upper Range]]-SamplingData[[#This Row],[Span]]</f>
        <v>20805.972838274196</v>
      </c>
      <c r="U757" s="100">
        <f>IF(ISNUMBER('General Info'!$B$40), ((SamplingData[[#This Row],[up/U Selection Probability]]) * 'General Info'!$B$40) - 1, 0)</f>
        <v>5.1269752618331577</v>
      </c>
      <c r="V757" s="100">
        <f>IF(ISNUMBER('General Info'!$B$40), (SamplingData[[#This Row],[Running (cumulative) sum]] * ('General Info'!$B$40 -'General Info'!$B$41 + 1)) + 'General Info'!$B$41 - 1, 0)</f>
        <v>20811.099813536028</v>
      </c>
      <c r="W757" s="100" t="str">
        <f>IF(ISERROR(MATCH(SamplingData[[#This Row],[Batch by Type (p)]],SelectedPrecincts[Batch Name], 0)), "", INDEX(SelectedPrecincts[Draw], MATCH(SamplingData[[#This Row],[Batch by Type (p)]],SelectedPrecincts[Batch Name], 0)))</f>
        <v/>
      </c>
      <c r="X757" s="102">
        <f>IF(COUNTIF(SelectedPrecincts[Batch Name],SamplingData[[#This Row],[Batch by Type (p)]]) &lt;&gt; 0, COUNTIF(SelectedPrecincts[Batch Name],SamplingData[[#This Row],[Batch by Type (p)]]), 0)</f>
        <v>0</v>
      </c>
    </row>
    <row r="758" spans="1:24" ht="15" customHeight="1">
      <c r="A758" s="18" t="s">
        <v>934</v>
      </c>
      <c r="B758" s="18">
        <v>4</v>
      </c>
      <c r="C758" s="18">
        <v>1</v>
      </c>
      <c r="D758" s="18">
        <v>0</v>
      </c>
      <c r="E758" s="18">
        <v>0</v>
      </c>
      <c r="F758" s="18">
        <v>0</v>
      </c>
      <c r="G758" s="18">
        <v>0</v>
      </c>
      <c r="H758" s="18">
        <v>0</v>
      </c>
      <c r="I758" s="18">
        <v>0</v>
      </c>
      <c r="J758" s="99">
        <f>SUM(SamplingData[[#This Row],[Losing Candidate]:[Under Votes]])</f>
        <v>5</v>
      </c>
      <c r="K75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758" s="100">
        <f>IF(AND(SamplingData[[#This Row],[Total]]&lt;&gt; 0, NOT(ISBLANK(SamplingData[[#This Row],[Candidate 3]]))),(SamplingData[[#This Row],[Total]]+SamplingData[[#This Row],[Winning Candidate]]-SamplingData[[#This Row],[Candidate 3]])/(SamplingData[[#Totals],[Winning Candidate]]-SamplingData[[#Totals],[Candidate 3]]), 0)</f>
        <v>1.9356711939865149E-4</v>
      </c>
      <c r="M758" s="100">
        <f>IF(AND(SamplingData[[#This Row],[Total]]&lt;&gt; 0, NOT(ISBLANK(SamplingData[[#This Row],[Candidate 4]]))),(SamplingData[[#This Row],[Total]]+SamplingData[[#This Row],[Winning Candidate]]-SamplingData[[#This Row],[Candidate 4]])/(SamplingData[[#Totals],[Winning Candidate]]-SamplingData[[#Totals],[Candidate 4]]), 0)</f>
        <v>1.7539244058581075E-4</v>
      </c>
      <c r="N758" s="100">
        <f>IF(AND(SamplingData[[#This Row],[Total]]&lt;&gt; 0, NOT(ISBLANK(SamplingData[[#This Row],[Candidate 5]]))),(SamplingData[[#This Row],[Total]]+SamplingData[[#This Row],[Winning Candidate]]-SamplingData[[#This Row],[Candidate 5]])/(SamplingData[[#Totals],[Winning Candidate]]-SamplingData[[#Totals],[Candidate 5]]), 0)</f>
        <v>1.4594989053758211E-4</v>
      </c>
      <c r="O758" s="100">
        <f>IF(AND(SamplingData[[#This Row],[Total]]&lt;&gt; 0, NOT(ISBLANK(SamplingData[[#This Row],[Candidate 6]]))),(SamplingData[[#This Row],[Total]]+SamplingData[[#This Row],[Winning Candidate]]-SamplingData[[#This Row],[Candidate 6]])/(SamplingData[[#Totals],[Winning Candidate]]-SamplingData[[#Totals],[Candidate 6]]), 0)</f>
        <v>1.4590730022858811E-4</v>
      </c>
      <c r="P758" s="100">
        <f>MAX(SamplingData[[#This Row],[Error Bound (up) - Max. possible relative overstatement - Losing Candidate]:[Error Bound (up) - Max. possible relative overstatement - Candidate 6]])</f>
        <v>1.9356711939865149E-4</v>
      </c>
      <c r="Q758" s="100">
        <f>IF(SamplingData[[#This Row],[Max Error Bound (up)]] = 0,0,SamplingData[[#This Row],[Max Error Bound (up)]]/SamplingData[[#Totals],[Max Error Bound (up)]])</f>
        <v>3.0635182660992398E-5</v>
      </c>
      <c r="R758" s="101">
        <f>SUM($Q$5:Q758)</f>
        <v>0.20815163331802128</v>
      </c>
      <c r="S758" s="100" t="str">
        <f t="array" ref="S758">IF(SamplingData[[#This Row],[up/U Selection Probability]] = 0, "Zero", TEXT(SamplingData[[#This Row],[Lower Range]], REPT("0",LEN('General Info'!$B$40))) &amp; " - " &amp; TEXT(SamplingData[[#This Row],[Upper Range]], REPT("0",LEN('General Info'!$B$40))))</f>
        <v>20812 - 20814</v>
      </c>
      <c r="T758" s="100">
        <f>SamplingData[[#This Row],[Upper Range]]-SamplingData[[#This Row],[Span]]</f>
        <v>20812.099844171211</v>
      </c>
      <c r="U758" s="100">
        <f>IF(ISNUMBER('General Info'!$B$40), ((SamplingData[[#This Row],[up/U Selection Probability]]) * 'General Info'!$B$40) - 1, 0)</f>
        <v>2.0634876309165788</v>
      </c>
      <c r="V758" s="100">
        <f>IF(ISNUMBER('General Info'!$B$40), (SamplingData[[#This Row],[Running (cumulative) sum]] * ('General Info'!$B$40 -'General Info'!$B$41 + 1)) + 'General Info'!$B$41 - 1, 0)</f>
        <v>20814.163331802127</v>
      </c>
      <c r="W758" s="100" t="str">
        <f>IF(ISERROR(MATCH(SamplingData[[#This Row],[Batch by Type (p)]],SelectedPrecincts[Batch Name], 0)), "", INDEX(SelectedPrecincts[Draw], MATCH(SamplingData[[#This Row],[Batch by Type (p)]],SelectedPrecincts[Batch Name], 0)))</f>
        <v/>
      </c>
      <c r="X758" s="102">
        <f>IF(COUNTIF(SelectedPrecincts[Batch Name],SamplingData[[#This Row],[Batch by Type (p)]]) &lt;&gt; 0, COUNTIF(SelectedPrecincts[Batch Name],SamplingData[[#This Row],[Batch by Type (p)]]), 0)</f>
        <v>0</v>
      </c>
    </row>
    <row r="759" spans="1:24" ht="15" customHeight="1">
      <c r="A759" s="18" t="s">
        <v>935</v>
      </c>
      <c r="B759" s="18">
        <v>8</v>
      </c>
      <c r="C759" s="18">
        <v>3</v>
      </c>
      <c r="D759" s="16">
        <v>1</v>
      </c>
      <c r="E759" s="16">
        <v>2</v>
      </c>
      <c r="F759" s="37">
        <v>0</v>
      </c>
      <c r="G759" s="37">
        <v>0</v>
      </c>
      <c r="H759" s="17">
        <v>0</v>
      </c>
      <c r="I759" s="17">
        <v>0</v>
      </c>
      <c r="J759" s="99">
        <f>SUM(SamplingData[[#This Row],[Losing Candidate]:[Under Votes]])</f>
        <v>14</v>
      </c>
      <c r="K759"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759" s="100">
        <f>IF(AND(SamplingData[[#This Row],[Total]]&lt;&gt; 0, NOT(ISBLANK(SamplingData[[#This Row],[Candidate 3]]))),(SamplingData[[#This Row],[Total]]+SamplingData[[#This Row],[Winning Candidate]]-SamplingData[[#This Row],[Candidate 3]])/(SamplingData[[#Totals],[Winning Candidate]]-SamplingData[[#Totals],[Candidate 3]]), 0)</f>
        <v>5.1617898506307067E-4</v>
      </c>
      <c r="M759" s="100">
        <f>IF(AND(SamplingData[[#This Row],[Total]]&lt;&gt; 0, NOT(ISBLANK(SamplingData[[#This Row],[Candidate 4]]))),(SamplingData[[#This Row],[Total]]+SamplingData[[#This Row],[Winning Candidate]]-SamplingData[[#This Row],[Candidate 4]])/(SamplingData[[#Totals],[Winning Candidate]]-SamplingData[[#Totals],[Candidate 4]]), 0)</f>
        <v>4.3848110146452689E-4</v>
      </c>
      <c r="N759" s="100">
        <f>IF(AND(SamplingData[[#This Row],[Total]]&lt;&gt; 0, NOT(ISBLANK(SamplingData[[#This Row],[Candidate 5]]))),(SamplingData[[#This Row],[Total]]+SamplingData[[#This Row],[Winning Candidate]]-SamplingData[[#This Row],[Candidate 5]])/(SamplingData[[#Totals],[Winning Candidate]]-SamplingData[[#Totals],[Candidate 5]]), 0)</f>
        <v>4.1352468985648261E-4</v>
      </c>
      <c r="O759" s="100">
        <f>IF(AND(SamplingData[[#This Row],[Total]]&lt;&gt; 0, NOT(ISBLANK(SamplingData[[#This Row],[Candidate 6]]))),(SamplingData[[#This Row],[Total]]+SamplingData[[#This Row],[Winning Candidate]]-SamplingData[[#This Row],[Candidate 6]])/(SamplingData[[#Totals],[Winning Candidate]]-SamplingData[[#Totals],[Candidate 6]]), 0)</f>
        <v>4.1340401731433294E-4</v>
      </c>
      <c r="P759" s="100">
        <f>MAX(SamplingData[[#This Row],[Error Bound (up) - Max. possible relative overstatement - Losing Candidate]:[Error Bound (up) - Max. possible relative overstatement - Candidate 6]])</f>
        <v>5.5120039196472322E-4</v>
      </c>
      <c r="Q759" s="100">
        <f>IF(SamplingData[[#This Row],[Max Error Bound (up)]] = 0,0,SamplingData[[#This Row],[Max Error Bound (up)]]/SamplingData[[#Totals],[Max Error Bound (up)]])</f>
        <v>8.7236534506012492E-5</v>
      </c>
      <c r="R759" s="101">
        <f>SUM($Q$5:Q759)</f>
        <v>0.20823886985252729</v>
      </c>
      <c r="S759" s="100" t="str">
        <f t="array" ref="S759">IF(SamplingData[[#This Row],[up/U Selection Probability]] = 0, "Zero", TEXT(SamplingData[[#This Row],[Lower Range]], REPT("0",LEN('General Info'!$B$40))) &amp; " - " &amp; TEXT(SamplingData[[#This Row],[Upper Range]], REPT("0",LEN('General Info'!$B$40))))</f>
        <v>20815 - 20823</v>
      </c>
      <c r="T759" s="100">
        <f>SamplingData[[#This Row],[Upper Range]]-SamplingData[[#This Row],[Span]]</f>
        <v>20815.163419038661</v>
      </c>
      <c r="U759" s="100">
        <f>IF(ISNUMBER('General Info'!$B$40), ((SamplingData[[#This Row],[up/U Selection Probability]]) * 'General Info'!$B$40) - 1, 0)</f>
        <v>7.7235662140667429</v>
      </c>
      <c r="V759" s="100">
        <f>IF(ISNUMBER('General Info'!$B$40), (SamplingData[[#This Row],[Running (cumulative) sum]] * ('General Info'!$B$40 -'General Info'!$B$41 + 1)) + 'General Info'!$B$41 - 1, 0)</f>
        <v>20822.886985252728</v>
      </c>
      <c r="W759" s="100" t="str">
        <f>IF(ISERROR(MATCH(SamplingData[[#This Row],[Batch by Type (p)]],SelectedPrecincts[Batch Name], 0)), "", INDEX(SelectedPrecincts[Draw], MATCH(SamplingData[[#This Row],[Batch by Type (p)]],SelectedPrecincts[Batch Name], 0)))</f>
        <v/>
      </c>
      <c r="X759" s="102">
        <f>IF(COUNTIF(SelectedPrecincts[Batch Name],SamplingData[[#This Row],[Batch by Type (p)]]) &lt;&gt; 0, COUNTIF(SelectedPrecincts[Batch Name],SamplingData[[#This Row],[Batch by Type (p)]]), 0)</f>
        <v>0</v>
      </c>
    </row>
    <row r="760" spans="1:24" ht="15" customHeight="1">
      <c r="A760" s="18" t="s">
        <v>936</v>
      </c>
      <c r="B760" s="18">
        <v>7</v>
      </c>
      <c r="C760" s="18">
        <v>1</v>
      </c>
      <c r="D760" s="18">
        <v>0</v>
      </c>
      <c r="E760" s="18">
        <v>1</v>
      </c>
      <c r="F760" s="18">
        <v>0</v>
      </c>
      <c r="G760" s="18">
        <v>0</v>
      </c>
      <c r="H760" s="18">
        <v>0</v>
      </c>
      <c r="I760" s="18">
        <v>0</v>
      </c>
      <c r="J760" s="99">
        <f>SUM(SamplingData[[#This Row],[Losing Candidate]:[Under Votes]])</f>
        <v>9</v>
      </c>
      <c r="K76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760" s="100">
        <f>IF(AND(SamplingData[[#This Row],[Total]]&lt;&gt; 0, NOT(ISBLANK(SamplingData[[#This Row],[Candidate 3]]))),(SamplingData[[#This Row],[Total]]+SamplingData[[#This Row],[Winning Candidate]]-SamplingData[[#This Row],[Candidate 3]])/(SamplingData[[#Totals],[Winning Candidate]]-SamplingData[[#Totals],[Candidate 3]]), 0)</f>
        <v>3.2261186566441915E-4</v>
      </c>
      <c r="M760" s="100">
        <f>IF(AND(SamplingData[[#This Row],[Total]]&lt;&gt; 0, NOT(ISBLANK(SamplingData[[#This Row],[Candidate 4]]))),(SamplingData[[#This Row],[Total]]+SamplingData[[#This Row],[Winning Candidate]]-SamplingData[[#This Row],[Candidate 4]])/(SamplingData[[#Totals],[Winning Candidate]]-SamplingData[[#Totals],[Candidate 4]]), 0)</f>
        <v>2.6308866087871614E-4</v>
      </c>
      <c r="N760" s="100">
        <f>IF(AND(SamplingData[[#This Row],[Total]]&lt;&gt; 0, NOT(ISBLANK(SamplingData[[#This Row],[Candidate 5]]))),(SamplingData[[#This Row],[Total]]+SamplingData[[#This Row],[Winning Candidate]]-SamplingData[[#This Row],[Candidate 5]])/(SamplingData[[#Totals],[Winning Candidate]]-SamplingData[[#Totals],[Candidate 5]]), 0)</f>
        <v>2.4324981756263683E-4</v>
      </c>
      <c r="O760" s="100">
        <f>IF(AND(SamplingData[[#This Row],[Total]]&lt;&gt; 0, NOT(ISBLANK(SamplingData[[#This Row],[Candidate 6]]))),(SamplingData[[#This Row],[Total]]+SamplingData[[#This Row],[Winning Candidate]]-SamplingData[[#This Row],[Candidate 6]])/(SamplingData[[#Totals],[Winning Candidate]]-SamplingData[[#Totals],[Candidate 6]]), 0)</f>
        <v>2.431788337143135E-4</v>
      </c>
      <c r="P760" s="100">
        <f>MAX(SamplingData[[#This Row],[Error Bound (up) - Max. possible relative overstatement - Losing Candidate]:[Error Bound (up) - Max. possible relative overstatement - Candidate 6]])</f>
        <v>3.2261186566441915E-4</v>
      </c>
      <c r="Q760" s="100">
        <f>IF(SamplingData[[#This Row],[Max Error Bound (up)]] = 0,0,SamplingData[[#This Row],[Max Error Bound (up)]]/SamplingData[[#Totals],[Max Error Bound (up)]])</f>
        <v>5.1058637768320656E-5</v>
      </c>
      <c r="R760" s="101">
        <f>SUM($Q$5:Q760)</f>
        <v>0.20828992849029562</v>
      </c>
      <c r="S760" s="100" t="str">
        <f t="array" ref="S760">IF(SamplingData[[#This Row],[up/U Selection Probability]] = 0, "Zero", TEXT(SamplingData[[#This Row],[Lower Range]], REPT("0",LEN('General Info'!$B$40))) &amp; " - " &amp; TEXT(SamplingData[[#This Row],[Upper Range]], REPT("0",LEN('General Info'!$B$40))))</f>
        <v>20824 - 20828</v>
      </c>
      <c r="T760" s="100">
        <f>SamplingData[[#This Row],[Upper Range]]-SamplingData[[#This Row],[Span]]</f>
        <v>20823.887036311367</v>
      </c>
      <c r="U760" s="100">
        <f>IF(ISNUMBER('General Info'!$B$40), ((SamplingData[[#This Row],[up/U Selection Probability]]) * 'General Info'!$B$40) - 1, 0)</f>
        <v>4.1058127181942972</v>
      </c>
      <c r="V760" s="100">
        <f>IF(ISNUMBER('General Info'!$B$40), (SamplingData[[#This Row],[Running (cumulative) sum]] * ('General Info'!$B$40 -'General Info'!$B$41 + 1)) + 'General Info'!$B$41 - 1, 0)</f>
        <v>20827.992849029561</v>
      </c>
      <c r="W760" s="100" t="str">
        <f>IF(ISERROR(MATCH(SamplingData[[#This Row],[Batch by Type (p)]],SelectedPrecincts[Batch Name], 0)), "", INDEX(SelectedPrecincts[Draw], MATCH(SamplingData[[#This Row],[Batch by Type (p)]],SelectedPrecincts[Batch Name], 0)))</f>
        <v/>
      </c>
      <c r="X760" s="102">
        <f>IF(COUNTIF(SelectedPrecincts[Batch Name],SamplingData[[#This Row],[Batch by Type (p)]]) &lt;&gt; 0, COUNTIF(SelectedPrecincts[Batch Name],SamplingData[[#This Row],[Batch by Type (p)]]), 0)</f>
        <v>0</v>
      </c>
    </row>
    <row r="761" spans="1:24" ht="15" customHeight="1">
      <c r="A761" s="18" t="s">
        <v>937</v>
      </c>
      <c r="B761" s="18">
        <v>10</v>
      </c>
      <c r="C761" s="18">
        <v>4</v>
      </c>
      <c r="D761" s="16">
        <v>7</v>
      </c>
      <c r="E761" s="16">
        <v>1</v>
      </c>
      <c r="F761" s="37">
        <v>0</v>
      </c>
      <c r="G761" s="37">
        <v>0</v>
      </c>
      <c r="H761" s="17">
        <v>0</v>
      </c>
      <c r="I761" s="17">
        <v>1</v>
      </c>
      <c r="J761" s="99">
        <f>SUM(SamplingData[[#This Row],[Losing Candidate]:[Under Votes]])</f>
        <v>23</v>
      </c>
      <c r="K761"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761" s="100">
        <f>IF(AND(SamplingData[[#This Row],[Total]]&lt;&gt; 0, NOT(ISBLANK(SamplingData[[#This Row],[Candidate 3]]))),(SamplingData[[#This Row],[Total]]+SamplingData[[#This Row],[Winning Candidate]]-SamplingData[[#This Row],[Candidate 3]])/(SamplingData[[#Totals],[Winning Candidate]]-SamplingData[[#Totals],[Candidate 3]]), 0)</f>
        <v>6.4522373132883831E-4</v>
      </c>
      <c r="M761" s="100">
        <f>IF(AND(SamplingData[[#This Row],[Total]]&lt;&gt; 0, NOT(ISBLANK(SamplingData[[#This Row],[Candidate 4]]))),(SamplingData[[#This Row],[Total]]+SamplingData[[#This Row],[Winning Candidate]]-SamplingData[[#This Row],[Candidate 4]])/(SamplingData[[#Totals],[Winning Candidate]]-SamplingData[[#Totals],[Candidate 4]]), 0)</f>
        <v>7.6003390920517991E-4</v>
      </c>
      <c r="N761" s="100">
        <f>IF(AND(SamplingData[[#This Row],[Total]]&lt;&gt; 0, NOT(ISBLANK(SamplingData[[#This Row],[Candidate 5]]))),(SamplingData[[#This Row],[Total]]+SamplingData[[#This Row],[Winning Candidate]]-SamplingData[[#This Row],[Candidate 5]])/(SamplingData[[#Totals],[Winning Candidate]]-SamplingData[[#Totals],[Candidate 5]]), 0)</f>
        <v>6.5677450741911947E-4</v>
      </c>
      <c r="O761" s="100">
        <f>IF(AND(SamplingData[[#This Row],[Total]]&lt;&gt; 0, NOT(ISBLANK(SamplingData[[#This Row],[Candidate 6]]))),(SamplingData[[#This Row],[Total]]+SamplingData[[#This Row],[Winning Candidate]]-SamplingData[[#This Row],[Candidate 6]])/(SamplingData[[#Totals],[Winning Candidate]]-SamplingData[[#Totals],[Candidate 6]]), 0)</f>
        <v>6.5658285102864649E-4</v>
      </c>
      <c r="P761" s="100">
        <f>MAX(SamplingData[[#This Row],[Error Bound (up) - Max. possible relative overstatement - Losing Candidate]:[Error Bound (up) - Max. possible relative overstatement - Candidate 6]])</f>
        <v>1.041156295933366E-3</v>
      </c>
      <c r="Q761" s="100">
        <f>IF(SamplingData[[#This Row],[Max Error Bound (up)]] = 0,0,SamplingData[[#This Row],[Max Error Bound (up)]]/SamplingData[[#Totals],[Max Error Bound (up)]])</f>
        <v>1.6478012073357914E-4</v>
      </c>
      <c r="R761" s="101">
        <f>SUM($Q$5:Q761)</f>
        <v>0.20845470861102919</v>
      </c>
      <c r="S761" s="100" t="str">
        <f t="array" ref="S761">IF(SamplingData[[#This Row],[up/U Selection Probability]] = 0, "Zero", TEXT(SamplingData[[#This Row],[Lower Range]], REPT("0",LEN('General Info'!$B$40))) &amp; " - " &amp; TEXT(SamplingData[[#This Row],[Upper Range]], REPT("0",LEN('General Info'!$B$40))))</f>
        <v>20829 - 20844</v>
      </c>
      <c r="T761" s="100">
        <f>SamplingData[[#This Row],[Upper Range]]-SamplingData[[#This Row],[Span]]</f>
        <v>20828.993013809682</v>
      </c>
      <c r="U761" s="100">
        <f>IF(ISNUMBER('General Info'!$B$40), ((SamplingData[[#This Row],[up/U Selection Probability]]) * 'General Info'!$B$40) - 1, 0)</f>
        <v>15.477847293237179</v>
      </c>
      <c r="V761" s="100">
        <f>IF(ISNUMBER('General Info'!$B$40), (SamplingData[[#This Row],[Running (cumulative) sum]] * ('General Info'!$B$40 -'General Info'!$B$41 + 1)) + 'General Info'!$B$41 - 1, 0)</f>
        <v>20844.47086110292</v>
      </c>
      <c r="W761" s="100" t="str">
        <f>IF(ISERROR(MATCH(SamplingData[[#This Row],[Batch by Type (p)]],SelectedPrecincts[Batch Name], 0)), "", INDEX(SelectedPrecincts[Draw], MATCH(SamplingData[[#This Row],[Batch by Type (p)]],SelectedPrecincts[Batch Name], 0)))</f>
        <v/>
      </c>
      <c r="X761" s="102">
        <f>IF(COUNTIF(SelectedPrecincts[Batch Name],SamplingData[[#This Row],[Batch by Type (p)]]) &lt;&gt; 0, COUNTIF(SelectedPrecincts[Batch Name],SamplingData[[#This Row],[Batch by Type (p)]]), 0)</f>
        <v>0</v>
      </c>
    </row>
    <row r="762" spans="1:24" ht="15" customHeight="1">
      <c r="A762" s="18" t="s">
        <v>938</v>
      </c>
      <c r="B762" s="18">
        <v>2</v>
      </c>
      <c r="C762" s="18">
        <v>1</v>
      </c>
      <c r="D762" s="18">
        <v>3</v>
      </c>
      <c r="E762" s="18">
        <v>1</v>
      </c>
      <c r="F762" s="18">
        <v>0</v>
      </c>
      <c r="G762" s="18">
        <v>0</v>
      </c>
      <c r="H762" s="18">
        <v>0</v>
      </c>
      <c r="I762" s="18">
        <v>0</v>
      </c>
      <c r="J762" s="99">
        <f>SUM(SamplingData[[#This Row],[Losing Candidate]:[Under Votes]])</f>
        <v>7</v>
      </c>
      <c r="K762"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762" s="100">
        <f>IF(AND(SamplingData[[#This Row],[Total]]&lt;&gt; 0, NOT(ISBLANK(SamplingData[[#This Row],[Candidate 3]]))),(SamplingData[[#This Row],[Total]]+SamplingData[[#This Row],[Winning Candidate]]-SamplingData[[#This Row],[Candidate 3]])/(SamplingData[[#Totals],[Winning Candidate]]-SamplingData[[#Totals],[Candidate 3]]), 0)</f>
        <v>1.6130593283220958E-4</v>
      </c>
      <c r="M762" s="100">
        <f>IF(AND(SamplingData[[#This Row],[Total]]&lt;&gt; 0, NOT(ISBLANK(SamplingData[[#This Row],[Candidate 4]]))),(SamplingData[[#This Row],[Total]]+SamplingData[[#This Row],[Winning Candidate]]-SamplingData[[#This Row],[Candidate 4]])/(SamplingData[[#Totals],[Winning Candidate]]-SamplingData[[#Totals],[Candidate 4]]), 0)</f>
        <v>2.0462451401677921E-4</v>
      </c>
      <c r="N762" s="100">
        <f>IF(AND(SamplingData[[#This Row],[Total]]&lt;&gt; 0, NOT(ISBLANK(SamplingData[[#This Row],[Candidate 5]]))),(SamplingData[[#This Row],[Total]]+SamplingData[[#This Row],[Winning Candidate]]-SamplingData[[#This Row],[Candidate 5]])/(SamplingData[[#Totals],[Winning Candidate]]-SamplingData[[#Totals],[Candidate 5]]), 0)</f>
        <v>1.9459985405010947E-4</v>
      </c>
      <c r="O762" s="100">
        <f>IF(AND(SamplingData[[#This Row],[Total]]&lt;&gt; 0, NOT(ISBLANK(SamplingData[[#This Row],[Candidate 6]]))),(SamplingData[[#This Row],[Total]]+SamplingData[[#This Row],[Winning Candidate]]-SamplingData[[#This Row],[Candidate 6]])/(SamplingData[[#Totals],[Winning Candidate]]-SamplingData[[#Totals],[Candidate 6]]), 0)</f>
        <v>1.945430669714508E-4</v>
      </c>
      <c r="P762" s="100">
        <f>MAX(SamplingData[[#This Row],[Error Bound (up) - Max. possible relative overstatement - Losing Candidate]:[Error Bound (up) - Max. possible relative overstatement - Candidate 6]])</f>
        <v>3.6746692797648211E-4</v>
      </c>
      <c r="Q762" s="100">
        <f>IF(SamplingData[[#This Row],[Max Error Bound (up)]] = 0,0,SamplingData[[#This Row],[Max Error Bound (up)]]/SamplingData[[#Totals],[Max Error Bound (up)]])</f>
        <v>5.8157689670674986E-5</v>
      </c>
      <c r="R762" s="101">
        <f>SUM($Q$5:Q762)</f>
        <v>0.20851286630069987</v>
      </c>
      <c r="S762" s="100" t="str">
        <f t="array" ref="S762">IF(SamplingData[[#This Row],[up/U Selection Probability]] = 0, "Zero", TEXT(SamplingData[[#This Row],[Lower Range]], REPT("0",LEN('General Info'!$B$40))) &amp; " - " &amp; TEXT(SamplingData[[#This Row],[Upper Range]], REPT("0",LEN('General Info'!$B$40))))</f>
        <v>20845 - 20850</v>
      </c>
      <c r="T762" s="100">
        <f>SamplingData[[#This Row],[Upper Range]]-SamplingData[[#This Row],[Span]]</f>
        <v>20845.47091926061</v>
      </c>
      <c r="U762" s="100">
        <f>IF(ISNUMBER('General Info'!$B$40), ((SamplingData[[#This Row],[up/U Selection Probability]]) * 'General Info'!$B$40) - 1, 0)</f>
        <v>4.815710809377828</v>
      </c>
      <c r="V762" s="100">
        <f>IF(ISNUMBER('General Info'!$B$40), (SamplingData[[#This Row],[Running (cumulative) sum]] * ('General Info'!$B$40 -'General Info'!$B$41 + 1)) + 'General Info'!$B$41 - 1, 0)</f>
        <v>20850.286630069986</v>
      </c>
      <c r="W762" s="100" t="str">
        <f>IF(ISERROR(MATCH(SamplingData[[#This Row],[Batch by Type (p)]],SelectedPrecincts[Batch Name], 0)), "", INDEX(SelectedPrecincts[Draw], MATCH(SamplingData[[#This Row],[Batch by Type (p)]],SelectedPrecincts[Batch Name], 0)))</f>
        <v/>
      </c>
      <c r="X762" s="102">
        <f>IF(COUNTIF(SelectedPrecincts[Batch Name],SamplingData[[#This Row],[Batch by Type (p)]]) &lt;&gt; 0, COUNTIF(SelectedPrecincts[Batch Name],SamplingData[[#This Row],[Batch by Type (p)]]), 0)</f>
        <v>0</v>
      </c>
    </row>
    <row r="763" spans="1:24" ht="15" customHeight="1">
      <c r="A763" s="18" t="s">
        <v>939</v>
      </c>
      <c r="B763" s="18">
        <v>0</v>
      </c>
      <c r="C763" s="18">
        <v>1</v>
      </c>
      <c r="D763" s="16">
        <v>0</v>
      </c>
      <c r="E763" s="16">
        <v>0</v>
      </c>
      <c r="F763" s="37">
        <v>0</v>
      </c>
      <c r="G763" s="37">
        <v>0</v>
      </c>
      <c r="H763" s="17">
        <v>0</v>
      </c>
      <c r="I763" s="17">
        <v>0</v>
      </c>
      <c r="J763" s="99">
        <f>SUM(SamplingData[[#This Row],[Losing Candidate]:[Under Votes]])</f>
        <v>1</v>
      </c>
      <c r="K763"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763" s="100">
        <f>IF(AND(SamplingData[[#This Row],[Total]]&lt;&gt; 0, NOT(ISBLANK(SamplingData[[#This Row],[Candidate 3]]))),(SamplingData[[#This Row],[Total]]+SamplingData[[#This Row],[Winning Candidate]]-SamplingData[[#This Row],[Candidate 3]])/(SamplingData[[#Totals],[Winning Candidate]]-SamplingData[[#Totals],[Candidate 3]]), 0)</f>
        <v>6.4522373132883833E-5</v>
      </c>
      <c r="M763" s="100">
        <f>IF(AND(SamplingData[[#This Row],[Total]]&lt;&gt; 0, NOT(ISBLANK(SamplingData[[#This Row],[Candidate 4]]))),(SamplingData[[#This Row],[Total]]+SamplingData[[#This Row],[Winning Candidate]]-SamplingData[[#This Row],[Candidate 4]])/(SamplingData[[#Totals],[Winning Candidate]]-SamplingData[[#Totals],[Candidate 4]]), 0)</f>
        <v>5.846414686193692E-5</v>
      </c>
      <c r="N763" s="100">
        <f>IF(AND(SamplingData[[#This Row],[Total]]&lt;&gt; 0, NOT(ISBLANK(SamplingData[[#This Row],[Candidate 5]]))),(SamplingData[[#This Row],[Total]]+SamplingData[[#This Row],[Winning Candidate]]-SamplingData[[#This Row],[Candidate 5]])/(SamplingData[[#Totals],[Winning Candidate]]-SamplingData[[#Totals],[Candidate 5]]), 0)</f>
        <v>4.8649963512527367E-5</v>
      </c>
      <c r="O763" s="100">
        <f>IF(AND(SamplingData[[#This Row],[Total]]&lt;&gt; 0, NOT(ISBLANK(SamplingData[[#This Row],[Candidate 6]]))),(SamplingData[[#This Row],[Total]]+SamplingData[[#This Row],[Winning Candidate]]-SamplingData[[#This Row],[Candidate 6]])/(SamplingData[[#Totals],[Winning Candidate]]-SamplingData[[#Totals],[Candidate 6]]), 0)</f>
        <v>4.8635766742862701E-5</v>
      </c>
      <c r="P763" s="100">
        <f>MAX(SamplingData[[#This Row],[Error Bound (up) - Max. possible relative overstatement - Losing Candidate]:[Error Bound (up) - Max. possible relative overstatement - Candidate 6]])</f>
        <v>1.224889759921607E-4</v>
      </c>
      <c r="Q763" s="100">
        <f>IF(SamplingData[[#This Row],[Max Error Bound (up)]] = 0,0,SamplingData[[#This Row],[Max Error Bound (up)]]/SamplingData[[#Totals],[Max Error Bound (up)]])</f>
        <v>1.9385896556891663E-5</v>
      </c>
      <c r="R763" s="101">
        <f>SUM($Q$5:Q763)</f>
        <v>0.20853225219725677</v>
      </c>
      <c r="S763" s="100" t="str">
        <f t="array" ref="S763">IF(SamplingData[[#This Row],[up/U Selection Probability]] = 0, "Zero", TEXT(SamplingData[[#This Row],[Lower Range]], REPT("0",LEN('General Info'!$B$40))) &amp; " - " &amp; TEXT(SamplingData[[#This Row],[Upper Range]], REPT("0",LEN('General Info'!$B$40))))</f>
        <v>20851 - 20852</v>
      </c>
      <c r="T763" s="100">
        <f>SamplingData[[#This Row],[Upper Range]]-SamplingData[[#This Row],[Span]]</f>
        <v>20851.286649455888</v>
      </c>
      <c r="U763" s="100">
        <f>IF(ISNUMBER('General Info'!$B$40), ((SamplingData[[#This Row],[up/U Selection Probability]]) * 'General Info'!$B$40) - 1, 0)</f>
        <v>0.93857026979260949</v>
      </c>
      <c r="V763" s="100">
        <f>IF(ISNUMBER('General Info'!$B$40), (SamplingData[[#This Row],[Running (cumulative) sum]] * ('General Info'!$B$40 -'General Info'!$B$41 + 1)) + 'General Info'!$B$41 - 1, 0)</f>
        <v>20852.225219725678</v>
      </c>
      <c r="W763" s="100" t="str">
        <f>IF(ISERROR(MATCH(SamplingData[[#This Row],[Batch by Type (p)]],SelectedPrecincts[Batch Name], 0)), "", INDEX(SelectedPrecincts[Draw], MATCH(SamplingData[[#This Row],[Batch by Type (p)]],SelectedPrecincts[Batch Name], 0)))</f>
        <v/>
      </c>
      <c r="X763" s="102">
        <f>IF(COUNTIF(SelectedPrecincts[Batch Name],SamplingData[[#This Row],[Batch by Type (p)]]) &lt;&gt; 0, COUNTIF(SelectedPrecincts[Batch Name],SamplingData[[#This Row],[Batch by Type (p)]]), 0)</f>
        <v>0</v>
      </c>
    </row>
    <row r="764" spans="1:24" ht="15" customHeight="1">
      <c r="A764" s="18" t="s">
        <v>940</v>
      </c>
      <c r="B764" s="18">
        <v>0</v>
      </c>
      <c r="C764" s="18">
        <v>0</v>
      </c>
      <c r="D764" s="18">
        <v>0</v>
      </c>
      <c r="E764" s="18">
        <v>0</v>
      </c>
      <c r="F764" s="18">
        <v>0</v>
      </c>
      <c r="G764" s="18">
        <v>0</v>
      </c>
      <c r="H764" s="18">
        <v>0</v>
      </c>
      <c r="I764" s="18">
        <v>0</v>
      </c>
      <c r="J764" s="99">
        <f>SUM(SamplingData[[#This Row],[Losing Candidate]:[Under Votes]])</f>
        <v>0</v>
      </c>
      <c r="K764" s="100">
        <f>IF(AND(SamplingData[[#This Row],[Total]]&lt;&gt; 0, NOT(ISBLANK(SamplingData[[#This Row],[Losing Candidate]]))),(SamplingData[[#This Row],[Total]]+SamplingData[[#This Row],[Winning Candidate]]-SamplingData[[#This Row],[Losing Candidate]])/(SamplingData[[#Totals],[Winning Candidate]]-SamplingData[[#Totals],[Losing Candidate]]), 0)</f>
        <v>0</v>
      </c>
      <c r="L764" s="100">
        <f>IF(AND(SamplingData[[#This Row],[Total]]&lt;&gt; 0, NOT(ISBLANK(SamplingData[[#This Row],[Candidate 3]]))),(SamplingData[[#This Row],[Total]]+SamplingData[[#This Row],[Winning Candidate]]-SamplingData[[#This Row],[Candidate 3]])/(SamplingData[[#Totals],[Winning Candidate]]-SamplingData[[#Totals],[Candidate 3]]), 0)</f>
        <v>0</v>
      </c>
      <c r="M764" s="100">
        <f>IF(AND(SamplingData[[#This Row],[Total]]&lt;&gt; 0, NOT(ISBLANK(SamplingData[[#This Row],[Candidate 4]]))),(SamplingData[[#This Row],[Total]]+SamplingData[[#This Row],[Winning Candidate]]-SamplingData[[#This Row],[Candidate 4]])/(SamplingData[[#Totals],[Winning Candidate]]-SamplingData[[#Totals],[Candidate 4]]), 0)</f>
        <v>0</v>
      </c>
      <c r="N764" s="100">
        <f>IF(AND(SamplingData[[#This Row],[Total]]&lt;&gt; 0, NOT(ISBLANK(SamplingData[[#This Row],[Candidate 5]]))),(SamplingData[[#This Row],[Total]]+SamplingData[[#This Row],[Winning Candidate]]-SamplingData[[#This Row],[Candidate 5]])/(SamplingData[[#Totals],[Winning Candidate]]-SamplingData[[#Totals],[Candidate 5]]), 0)</f>
        <v>0</v>
      </c>
      <c r="O764" s="100">
        <f>IF(AND(SamplingData[[#This Row],[Total]]&lt;&gt; 0, NOT(ISBLANK(SamplingData[[#This Row],[Candidate 6]]))),(SamplingData[[#This Row],[Total]]+SamplingData[[#This Row],[Winning Candidate]]-SamplingData[[#This Row],[Candidate 6]])/(SamplingData[[#Totals],[Winning Candidate]]-SamplingData[[#Totals],[Candidate 6]]), 0)</f>
        <v>0</v>
      </c>
      <c r="P764" s="100">
        <f>MAX(SamplingData[[#This Row],[Error Bound (up) - Max. possible relative overstatement - Losing Candidate]:[Error Bound (up) - Max. possible relative overstatement - Candidate 6]])</f>
        <v>0</v>
      </c>
      <c r="Q764" s="100">
        <f>IF(SamplingData[[#This Row],[Max Error Bound (up)]] = 0,0,SamplingData[[#This Row],[Max Error Bound (up)]]/SamplingData[[#Totals],[Max Error Bound (up)]])</f>
        <v>0</v>
      </c>
      <c r="R764" s="101">
        <f>SUM($Q$5:Q764)</f>
        <v>0.20853225219725677</v>
      </c>
      <c r="S764" s="100" t="str">
        <f t="array" ref="S764">IF(SamplingData[[#This Row],[up/U Selection Probability]] = 0, "Zero", TEXT(SamplingData[[#This Row],[Lower Range]], REPT("0",LEN('General Info'!$B$40))) &amp; " - " &amp; TEXT(SamplingData[[#This Row],[Upper Range]], REPT("0",LEN('General Info'!$B$40))))</f>
        <v>Zero</v>
      </c>
      <c r="T764" s="100">
        <f>SamplingData[[#This Row],[Upper Range]]-SamplingData[[#This Row],[Span]]</f>
        <v>20853.225219725678</v>
      </c>
      <c r="U764" s="100">
        <f>IF(ISNUMBER('General Info'!$B$40), ((SamplingData[[#This Row],[up/U Selection Probability]]) * 'General Info'!$B$40) - 1, 0)</f>
        <v>-1</v>
      </c>
      <c r="V764" s="100">
        <f>IF(ISNUMBER('General Info'!$B$40), (SamplingData[[#This Row],[Running (cumulative) sum]] * ('General Info'!$B$40 -'General Info'!$B$41 + 1)) + 'General Info'!$B$41 - 1, 0)</f>
        <v>20852.225219725678</v>
      </c>
      <c r="W764" s="100" t="str">
        <f>IF(ISERROR(MATCH(SamplingData[[#This Row],[Batch by Type (p)]],SelectedPrecincts[Batch Name], 0)), "", INDEX(SelectedPrecincts[Draw], MATCH(SamplingData[[#This Row],[Batch by Type (p)]],SelectedPrecincts[Batch Name], 0)))</f>
        <v/>
      </c>
      <c r="X764" s="102">
        <f>IF(COUNTIF(SelectedPrecincts[Batch Name],SamplingData[[#This Row],[Batch by Type (p)]]) &lt;&gt; 0, COUNTIF(SelectedPrecincts[Batch Name],SamplingData[[#This Row],[Batch by Type (p)]]), 0)</f>
        <v>0</v>
      </c>
    </row>
    <row r="765" spans="1:24" ht="15" customHeight="1">
      <c r="A765" s="18" t="s">
        <v>941</v>
      </c>
      <c r="B765" s="18">
        <v>2</v>
      </c>
      <c r="C765" s="18">
        <v>4</v>
      </c>
      <c r="D765" s="16">
        <v>0</v>
      </c>
      <c r="E765" s="16">
        <v>1</v>
      </c>
      <c r="F765" s="37">
        <v>1</v>
      </c>
      <c r="G765" s="37">
        <v>0</v>
      </c>
      <c r="H765" s="17">
        <v>0</v>
      </c>
      <c r="I765" s="17">
        <v>0</v>
      </c>
      <c r="J765" s="99">
        <f>SUM(SamplingData[[#This Row],[Losing Candidate]:[Under Votes]])</f>
        <v>8</v>
      </c>
      <c r="K765"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765" s="100">
        <f>IF(AND(SamplingData[[#This Row],[Total]]&lt;&gt; 0, NOT(ISBLANK(SamplingData[[#This Row],[Candidate 3]]))),(SamplingData[[#This Row],[Total]]+SamplingData[[#This Row],[Winning Candidate]]-SamplingData[[#This Row],[Candidate 3]])/(SamplingData[[#Totals],[Winning Candidate]]-SamplingData[[#Totals],[Candidate 3]]), 0)</f>
        <v>3.8713423879730297E-4</v>
      </c>
      <c r="M765" s="100">
        <f>IF(AND(SamplingData[[#This Row],[Total]]&lt;&gt; 0, NOT(ISBLANK(SamplingData[[#This Row],[Candidate 4]]))),(SamplingData[[#This Row],[Total]]+SamplingData[[#This Row],[Winning Candidate]]-SamplingData[[#This Row],[Candidate 4]])/(SamplingData[[#Totals],[Winning Candidate]]-SamplingData[[#Totals],[Candidate 4]]), 0)</f>
        <v>3.2155280774065302E-4</v>
      </c>
      <c r="N765" s="100">
        <f>IF(AND(SamplingData[[#This Row],[Total]]&lt;&gt; 0, NOT(ISBLANK(SamplingData[[#This Row],[Candidate 5]]))),(SamplingData[[#This Row],[Total]]+SamplingData[[#This Row],[Winning Candidate]]-SamplingData[[#This Row],[Candidate 5]])/(SamplingData[[#Totals],[Winning Candidate]]-SamplingData[[#Totals],[Candidate 5]]), 0)</f>
        <v>2.6757479931890053E-4</v>
      </c>
      <c r="O765" s="100">
        <f>IF(AND(SamplingData[[#This Row],[Total]]&lt;&gt; 0, NOT(ISBLANK(SamplingData[[#This Row],[Candidate 6]]))),(SamplingData[[#This Row],[Total]]+SamplingData[[#This Row],[Winning Candidate]]-SamplingData[[#This Row],[Candidate 6]])/(SamplingData[[#Totals],[Winning Candidate]]-SamplingData[[#Totals],[Candidate 6]]), 0)</f>
        <v>2.9181460045717622E-4</v>
      </c>
      <c r="P765" s="100">
        <f>MAX(SamplingData[[#This Row],[Error Bound (up) - Max. possible relative overstatement - Losing Candidate]:[Error Bound (up) - Max. possible relative overstatement - Candidate 6]])</f>
        <v>6.1244487996080352E-4</v>
      </c>
      <c r="Q765" s="100">
        <f>IF(SamplingData[[#This Row],[Max Error Bound (up)]] = 0,0,SamplingData[[#This Row],[Max Error Bound (up)]]/SamplingData[[#Totals],[Max Error Bound (up)]])</f>
        <v>9.6929482784458319E-5</v>
      </c>
      <c r="R765" s="101">
        <f>SUM($Q$5:Q765)</f>
        <v>0.20862918168004121</v>
      </c>
      <c r="S765" s="100" t="str">
        <f t="array" ref="S765">IF(SamplingData[[#This Row],[up/U Selection Probability]] = 0, "Zero", TEXT(SamplingData[[#This Row],[Lower Range]], REPT("0",LEN('General Info'!$B$40))) &amp; " - " &amp; TEXT(SamplingData[[#This Row],[Upper Range]], REPT("0",LEN('General Info'!$B$40))))</f>
        <v>20853 - 20862</v>
      </c>
      <c r="T765" s="100">
        <f>SamplingData[[#This Row],[Upper Range]]-SamplingData[[#This Row],[Span]]</f>
        <v>20853.22531665516</v>
      </c>
      <c r="U765" s="100">
        <f>IF(ISNUMBER('General Info'!$B$40), ((SamplingData[[#This Row],[up/U Selection Probability]]) * 'General Info'!$B$40) - 1, 0)</f>
        <v>8.6928513489630479</v>
      </c>
      <c r="V765" s="100">
        <f>IF(ISNUMBER('General Info'!$B$40), (SamplingData[[#This Row],[Running (cumulative) sum]] * ('General Info'!$B$40 -'General Info'!$B$41 + 1)) + 'General Info'!$B$41 - 1, 0)</f>
        <v>20861.918168004122</v>
      </c>
      <c r="W765" s="100" t="str">
        <f>IF(ISERROR(MATCH(SamplingData[[#This Row],[Batch by Type (p)]],SelectedPrecincts[Batch Name], 0)), "", INDEX(SelectedPrecincts[Draw], MATCH(SamplingData[[#This Row],[Batch by Type (p)]],SelectedPrecincts[Batch Name], 0)))</f>
        <v/>
      </c>
      <c r="X765" s="102">
        <f>IF(COUNTIF(SelectedPrecincts[Batch Name],SamplingData[[#This Row],[Batch by Type (p)]]) &lt;&gt; 0, COUNTIF(SelectedPrecincts[Batch Name],SamplingData[[#This Row],[Batch by Type (p)]]), 0)</f>
        <v>0</v>
      </c>
    </row>
    <row r="766" spans="1:24" ht="15" customHeight="1">
      <c r="A766" s="18" t="s">
        <v>942</v>
      </c>
      <c r="B766" s="18">
        <v>0</v>
      </c>
      <c r="C766" s="18">
        <v>2</v>
      </c>
      <c r="D766" s="18">
        <v>1</v>
      </c>
      <c r="E766" s="18">
        <v>0</v>
      </c>
      <c r="F766" s="18">
        <v>0</v>
      </c>
      <c r="G766" s="18">
        <v>0</v>
      </c>
      <c r="H766" s="18">
        <v>0</v>
      </c>
      <c r="I766" s="18">
        <v>0</v>
      </c>
      <c r="J766" s="99">
        <f>SUM(SamplingData[[#This Row],[Losing Candidate]:[Under Votes]])</f>
        <v>3</v>
      </c>
      <c r="K766"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766" s="100">
        <f>IF(AND(SamplingData[[#This Row],[Total]]&lt;&gt; 0, NOT(ISBLANK(SamplingData[[#This Row],[Candidate 3]]))),(SamplingData[[#This Row],[Total]]+SamplingData[[#This Row],[Winning Candidate]]-SamplingData[[#This Row],[Candidate 3]])/(SamplingData[[#Totals],[Winning Candidate]]-SamplingData[[#Totals],[Candidate 3]]), 0)</f>
        <v>1.2904474626576767E-4</v>
      </c>
      <c r="M766" s="100">
        <f>IF(AND(SamplingData[[#This Row],[Total]]&lt;&gt; 0, NOT(ISBLANK(SamplingData[[#This Row],[Candidate 4]]))),(SamplingData[[#This Row],[Total]]+SamplingData[[#This Row],[Winning Candidate]]-SamplingData[[#This Row],[Candidate 4]])/(SamplingData[[#Totals],[Winning Candidate]]-SamplingData[[#Totals],[Candidate 4]]), 0)</f>
        <v>1.4616036715484231E-4</v>
      </c>
      <c r="N766" s="100">
        <f>IF(AND(SamplingData[[#This Row],[Total]]&lt;&gt; 0, NOT(ISBLANK(SamplingData[[#This Row],[Candidate 5]]))),(SamplingData[[#This Row],[Total]]+SamplingData[[#This Row],[Winning Candidate]]-SamplingData[[#This Row],[Candidate 5]])/(SamplingData[[#Totals],[Winning Candidate]]-SamplingData[[#Totals],[Candidate 5]]), 0)</f>
        <v>1.2162490878131841E-4</v>
      </c>
      <c r="O766" s="100">
        <f>IF(AND(SamplingData[[#This Row],[Total]]&lt;&gt; 0, NOT(ISBLANK(SamplingData[[#This Row],[Candidate 6]]))),(SamplingData[[#This Row],[Total]]+SamplingData[[#This Row],[Winning Candidate]]-SamplingData[[#This Row],[Candidate 6]])/(SamplingData[[#Totals],[Winning Candidate]]-SamplingData[[#Totals],[Candidate 6]]), 0)</f>
        <v>1.2158941685715675E-4</v>
      </c>
      <c r="P766" s="100">
        <f>MAX(SamplingData[[#This Row],[Error Bound (up) - Max. possible relative overstatement - Losing Candidate]:[Error Bound (up) - Max. possible relative overstatement - Candidate 6]])</f>
        <v>3.0622243998040176E-4</v>
      </c>
      <c r="Q766" s="100">
        <f>IF(SamplingData[[#This Row],[Max Error Bound (up)]] = 0,0,SamplingData[[#This Row],[Max Error Bound (up)]]/SamplingData[[#Totals],[Max Error Bound (up)]])</f>
        <v>4.8464741392229159E-5</v>
      </c>
      <c r="R766" s="101">
        <f>SUM($Q$5:Q766)</f>
        <v>0.20867764642143344</v>
      </c>
      <c r="S766" s="100" t="str">
        <f t="array" ref="S766">IF(SamplingData[[#This Row],[up/U Selection Probability]] = 0, "Zero", TEXT(SamplingData[[#This Row],[Lower Range]], REPT("0",LEN('General Info'!$B$40))) &amp; " - " &amp; TEXT(SamplingData[[#This Row],[Upper Range]], REPT("0",LEN('General Info'!$B$40))))</f>
        <v>20863 - 20867</v>
      </c>
      <c r="T766" s="100">
        <f>SamplingData[[#This Row],[Upper Range]]-SamplingData[[#This Row],[Span]]</f>
        <v>20862.918216468865</v>
      </c>
      <c r="U766" s="100">
        <f>IF(ISNUMBER('General Info'!$B$40), ((SamplingData[[#This Row],[up/U Selection Probability]]) * 'General Info'!$B$40) - 1, 0)</f>
        <v>3.8464256744815239</v>
      </c>
      <c r="V766" s="100">
        <f>IF(ISNUMBER('General Info'!$B$40), (SamplingData[[#This Row],[Running (cumulative) sum]] * ('General Info'!$B$40 -'General Info'!$B$41 + 1)) + 'General Info'!$B$41 - 1, 0)</f>
        <v>20866.764642143346</v>
      </c>
      <c r="W766" s="100" t="str">
        <f>IF(ISERROR(MATCH(SamplingData[[#This Row],[Batch by Type (p)]],SelectedPrecincts[Batch Name], 0)), "", INDEX(SelectedPrecincts[Draw], MATCH(SamplingData[[#This Row],[Batch by Type (p)]],SelectedPrecincts[Batch Name], 0)))</f>
        <v/>
      </c>
      <c r="X766" s="102">
        <f>IF(COUNTIF(SelectedPrecincts[Batch Name],SamplingData[[#This Row],[Batch by Type (p)]]) &lt;&gt; 0, COUNTIF(SelectedPrecincts[Batch Name],SamplingData[[#This Row],[Batch by Type (p)]]), 0)</f>
        <v>0</v>
      </c>
    </row>
    <row r="767" spans="1:24" ht="15" customHeight="1">
      <c r="A767" s="18" t="s">
        <v>943</v>
      </c>
      <c r="B767" s="18">
        <v>6</v>
      </c>
      <c r="C767" s="18">
        <v>7</v>
      </c>
      <c r="D767" s="16">
        <v>1</v>
      </c>
      <c r="E767" s="16">
        <v>1</v>
      </c>
      <c r="F767" s="37">
        <v>0</v>
      </c>
      <c r="G767" s="37">
        <v>0</v>
      </c>
      <c r="H767" s="17">
        <v>0</v>
      </c>
      <c r="I767" s="17">
        <v>0</v>
      </c>
      <c r="J767" s="99">
        <f>SUM(SamplingData[[#This Row],[Losing Candidate]:[Under Votes]])</f>
        <v>15</v>
      </c>
      <c r="K767"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767" s="100">
        <f>IF(AND(SamplingData[[#This Row],[Total]]&lt;&gt; 0, NOT(ISBLANK(SamplingData[[#This Row],[Candidate 3]]))),(SamplingData[[#This Row],[Total]]+SamplingData[[#This Row],[Winning Candidate]]-SamplingData[[#This Row],[Candidate 3]])/(SamplingData[[#Totals],[Winning Candidate]]-SamplingData[[#Totals],[Candidate 3]]), 0)</f>
        <v>6.7748491789528019E-4</v>
      </c>
      <c r="M767" s="100">
        <f>IF(AND(SamplingData[[#This Row],[Total]]&lt;&gt; 0, NOT(ISBLANK(SamplingData[[#This Row],[Candidate 4]]))),(SamplingData[[#This Row],[Total]]+SamplingData[[#This Row],[Winning Candidate]]-SamplingData[[#This Row],[Candidate 4]])/(SamplingData[[#Totals],[Winning Candidate]]-SamplingData[[#Totals],[Candidate 4]]), 0)</f>
        <v>6.1387354205033758E-4</v>
      </c>
      <c r="N767" s="100">
        <f>IF(AND(SamplingData[[#This Row],[Total]]&lt;&gt; 0, NOT(ISBLANK(SamplingData[[#This Row],[Candidate 5]]))),(SamplingData[[#This Row],[Total]]+SamplingData[[#This Row],[Winning Candidate]]-SamplingData[[#This Row],[Candidate 5]])/(SamplingData[[#Totals],[Winning Candidate]]-SamplingData[[#Totals],[Candidate 5]]), 0)</f>
        <v>5.3514959863780107E-4</v>
      </c>
      <c r="O767" s="100">
        <f>IF(AND(SamplingData[[#This Row],[Total]]&lt;&gt; 0, NOT(ISBLANK(SamplingData[[#This Row],[Candidate 6]]))),(SamplingData[[#This Row],[Total]]+SamplingData[[#This Row],[Winning Candidate]]-SamplingData[[#This Row],[Candidate 6]])/(SamplingData[[#Totals],[Winning Candidate]]-SamplingData[[#Totals],[Candidate 6]]), 0)</f>
        <v>5.3499343417148966E-4</v>
      </c>
      <c r="P767" s="100">
        <f>MAX(SamplingData[[#This Row],[Error Bound (up) - Max. possible relative overstatement - Losing Candidate]:[Error Bound (up) - Max. possible relative overstatement - Candidate 6]])</f>
        <v>9.7991180793728563E-4</v>
      </c>
      <c r="Q767" s="100">
        <f>IF(SamplingData[[#This Row],[Max Error Bound (up)]] = 0,0,SamplingData[[#This Row],[Max Error Bound (up)]]/SamplingData[[#Totals],[Max Error Bound (up)]])</f>
        <v>1.550871724551333E-4</v>
      </c>
      <c r="R767" s="101">
        <f>SUM($Q$5:Q767)</f>
        <v>0.20883273359388857</v>
      </c>
      <c r="S767" s="100" t="str">
        <f t="array" ref="S767">IF(SamplingData[[#This Row],[up/U Selection Probability]] = 0, "Zero", TEXT(SamplingData[[#This Row],[Lower Range]], REPT("0",LEN('General Info'!$B$40))) &amp; " - " &amp; TEXT(SamplingData[[#This Row],[Upper Range]], REPT("0",LEN('General Info'!$B$40))))</f>
        <v>20868 - 20882</v>
      </c>
      <c r="T767" s="100">
        <f>SamplingData[[#This Row],[Upper Range]]-SamplingData[[#This Row],[Span]]</f>
        <v>20867.764797230513</v>
      </c>
      <c r="U767" s="100">
        <f>IF(ISNUMBER('General Info'!$B$40), ((SamplingData[[#This Row],[up/U Selection Probability]]) * 'General Info'!$B$40) - 1, 0)</f>
        <v>14.508562158340876</v>
      </c>
      <c r="V767" s="100">
        <f>IF(ISNUMBER('General Info'!$B$40), (SamplingData[[#This Row],[Running (cumulative) sum]] * ('General Info'!$B$40 -'General Info'!$B$41 + 1)) + 'General Info'!$B$41 - 1, 0)</f>
        <v>20882.273359388855</v>
      </c>
      <c r="W767" s="100" t="str">
        <f>IF(ISERROR(MATCH(SamplingData[[#This Row],[Batch by Type (p)]],SelectedPrecincts[Batch Name], 0)), "", INDEX(SelectedPrecincts[Draw], MATCH(SamplingData[[#This Row],[Batch by Type (p)]],SelectedPrecincts[Batch Name], 0)))</f>
        <v/>
      </c>
      <c r="X767" s="102">
        <f>IF(COUNTIF(SelectedPrecincts[Batch Name],SamplingData[[#This Row],[Batch by Type (p)]]) &lt;&gt; 0, COUNTIF(SelectedPrecincts[Batch Name],SamplingData[[#This Row],[Batch by Type (p)]]), 0)</f>
        <v>0</v>
      </c>
    </row>
    <row r="768" spans="1:24" ht="15" customHeight="1">
      <c r="A768" s="18" t="s">
        <v>944</v>
      </c>
      <c r="B768" s="18">
        <v>3</v>
      </c>
      <c r="C768" s="18">
        <v>1</v>
      </c>
      <c r="D768" s="18">
        <v>0</v>
      </c>
      <c r="E768" s="18">
        <v>0</v>
      </c>
      <c r="F768" s="18">
        <v>0</v>
      </c>
      <c r="G768" s="18">
        <v>0</v>
      </c>
      <c r="H768" s="18">
        <v>0</v>
      </c>
      <c r="I768" s="18">
        <v>0</v>
      </c>
      <c r="J768" s="99">
        <f>SUM(SamplingData[[#This Row],[Losing Candidate]:[Under Votes]])</f>
        <v>4</v>
      </c>
      <c r="K76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768" s="100">
        <f>IF(AND(SamplingData[[#This Row],[Total]]&lt;&gt; 0, NOT(ISBLANK(SamplingData[[#This Row],[Candidate 3]]))),(SamplingData[[#This Row],[Total]]+SamplingData[[#This Row],[Winning Candidate]]-SamplingData[[#This Row],[Candidate 3]])/(SamplingData[[#Totals],[Winning Candidate]]-SamplingData[[#Totals],[Candidate 3]]), 0)</f>
        <v>1.6130593283220958E-4</v>
      </c>
      <c r="M768" s="100">
        <f>IF(AND(SamplingData[[#This Row],[Total]]&lt;&gt; 0, NOT(ISBLANK(SamplingData[[#This Row],[Candidate 4]]))),(SamplingData[[#This Row],[Total]]+SamplingData[[#This Row],[Winning Candidate]]-SamplingData[[#This Row],[Candidate 4]])/(SamplingData[[#Totals],[Winning Candidate]]-SamplingData[[#Totals],[Candidate 4]]), 0)</f>
        <v>1.4616036715484231E-4</v>
      </c>
      <c r="N768" s="100">
        <f>IF(AND(SamplingData[[#This Row],[Total]]&lt;&gt; 0, NOT(ISBLANK(SamplingData[[#This Row],[Candidate 5]]))),(SamplingData[[#This Row],[Total]]+SamplingData[[#This Row],[Winning Candidate]]-SamplingData[[#This Row],[Candidate 5]])/(SamplingData[[#Totals],[Winning Candidate]]-SamplingData[[#Totals],[Candidate 5]]), 0)</f>
        <v>1.2162490878131841E-4</v>
      </c>
      <c r="O768" s="100">
        <f>IF(AND(SamplingData[[#This Row],[Total]]&lt;&gt; 0, NOT(ISBLANK(SamplingData[[#This Row],[Candidate 6]]))),(SamplingData[[#This Row],[Total]]+SamplingData[[#This Row],[Winning Candidate]]-SamplingData[[#This Row],[Candidate 6]])/(SamplingData[[#Totals],[Winning Candidate]]-SamplingData[[#Totals],[Candidate 6]]), 0)</f>
        <v>1.2158941685715675E-4</v>
      </c>
      <c r="P768" s="100">
        <f>MAX(SamplingData[[#This Row],[Error Bound (up) - Max. possible relative overstatement - Losing Candidate]:[Error Bound (up) - Max. possible relative overstatement - Candidate 6]])</f>
        <v>1.6130593283220958E-4</v>
      </c>
      <c r="Q768" s="100">
        <f>IF(SamplingData[[#This Row],[Max Error Bound (up)]] = 0,0,SamplingData[[#This Row],[Max Error Bound (up)]]/SamplingData[[#Totals],[Max Error Bound (up)]])</f>
        <v>2.5529318884160328E-5</v>
      </c>
      <c r="R768" s="101">
        <f>SUM($Q$5:Q768)</f>
        <v>0.20885826291277274</v>
      </c>
      <c r="S768" s="100" t="str">
        <f t="array" ref="S768">IF(SamplingData[[#This Row],[up/U Selection Probability]] = 0, "Zero", TEXT(SamplingData[[#This Row],[Lower Range]], REPT("0",LEN('General Info'!$B$40))) &amp; " - " &amp; TEXT(SamplingData[[#This Row],[Upper Range]], REPT("0",LEN('General Info'!$B$40))))</f>
        <v>20883 - 20885</v>
      </c>
      <c r="T768" s="100">
        <f>SamplingData[[#This Row],[Upper Range]]-SamplingData[[#This Row],[Span]]</f>
        <v>20883.273384918175</v>
      </c>
      <c r="U768" s="100">
        <f>IF(ISNUMBER('General Info'!$B$40), ((SamplingData[[#This Row],[up/U Selection Probability]]) * 'General Info'!$B$40) - 1, 0)</f>
        <v>1.5529063590971486</v>
      </c>
      <c r="V768" s="100">
        <f>IF(ISNUMBER('General Info'!$B$40), (SamplingData[[#This Row],[Running (cumulative) sum]] * ('General Info'!$B$40 -'General Info'!$B$41 + 1)) + 'General Info'!$B$41 - 1, 0)</f>
        <v>20884.826291277273</v>
      </c>
      <c r="W768" s="100" t="str">
        <f>IF(ISERROR(MATCH(SamplingData[[#This Row],[Batch by Type (p)]],SelectedPrecincts[Batch Name], 0)), "", INDEX(SelectedPrecincts[Draw], MATCH(SamplingData[[#This Row],[Batch by Type (p)]],SelectedPrecincts[Batch Name], 0)))</f>
        <v/>
      </c>
      <c r="X768" s="102">
        <f>IF(COUNTIF(SelectedPrecincts[Batch Name],SamplingData[[#This Row],[Batch by Type (p)]]) &lt;&gt; 0, COUNTIF(SelectedPrecincts[Batch Name],SamplingData[[#This Row],[Batch by Type (p)]]), 0)</f>
        <v>0</v>
      </c>
    </row>
    <row r="769" spans="1:24" ht="15" customHeight="1">
      <c r="A769" s="18" t="s">
        <v>945</v>
      </c>
      <c r="B769" s="18">
        <v>4</v>
      </c>
      <c r="C769" s="18">
        <v>4</v>
      </c>
      <c r="D769" s="16">
        <v>1</v>
      </c>
      <c r="E769" s="16">
        <v>4</v>
      </c>
      <c r="F769" s="37">
        <v>0</v>
      </c>
      <c r="G769" s="37">
        <v>1</v>
      </c>
      <c r="H769" s="17">
        <v>0</v>
      </c>
      <c r="I769" s="17">
        <v>0</v>
      </c>
      <c r="J769" s="99">
        <f>SUM(SamplingData[[#This Row],[Losing Candidate]:[Under Votes]])</f>
        <v>14</v>
      </c>
      <c r="K769"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769" s="100">
        <f>IF(AND(SamplingData[[#This Row],[Total]]&lt;&gt; 0, NOT(ISBLANK(SamplingData[[#This Row],[Candidate 3]]))),(SamplingData[[#This Row],[Total]]+SamplingData[[#This Row],[Winning Candidate]]-SamplingData[[#This Row],[Candidate 3]])/(SamplingData[[#Totals],[Winning Candidate]]-SamplingData[[#Totals],[Candidate 3]]), 0)</f>
        <v>5.4844017162951255E-4</v>
      </c>
      <c r="M769" s="100">
        <f>IF(AND(SamplingData[[#This Row],[Total]]&lt;&gt; 0, NOT(ISBLANK(SamplingData[[#This Row],[Candidate 4]]))),(SamplingData[[#This Row],[Total]]+SamplingData[[#This Row],[Winning Candidate]]-SamplingData[[#This Row],[Candidate 4]])/(SamplingData[[#Totals],[Winning Candidate]]-SamplingData[[#Totals],[Candidate 4]]), 0)</f>
        <v>4.0924902803355842E-4</v>
      </c>
      <c r="N769" s="100">
        <f>IF(AND(SamplingData[[#This Row],[Total]]&lt;&gt; 0, NOT(ISBLANK(SamplingData[[#This Row],[Candidate 5]]))),(SamplingData[[#This Row],[Total]]+SamplingData[[#This Row],[Winning Candidate]]-SamplingData[[#This Row],[Candidate 5]])/(SamplingData[[#Totals],[Winning Candidate]]-SamplingData[[#Totals],[Candidate 5]]), 0)</f>
        <v>4.3784967161274629E-4</v>
      </c>
      <c r="O769" s="100">
        <f>IF(AND(SamplingData[[#This Row],[Total]]&lt;&gt; 0, NOT(ISBLANK(SamplingData[[#This Row],[Candidate 6]]))),(SamplingData[[#This Row],[Total]]+SamplingData[[#This Row],[Winning Candidate]]-SamplingData[[#This Row],[Candidate 6]])/(SamplingData[[#Totals],[Winning Candidate]]-SamplingData[[#Totals],[Candidate 6]]), 0)</f>
        <v>4.1340401731433294E-4</v>
      </c>
      <c r="P769" s="100">
        <f>MAX(SamplingData[[#This Row],[Error Bound (up) - Max. possible relative overstatement - Losing Candidate]:[Error Bound (up) - Max. possible relative overstatement - Candidate 6]])</f>
        <v>8.5742283194512492E-4</v>
      </c>
      <c r="Q769" s="100">
        <f>IF(SamplingData[[#This Row],[Max Error Bound (up)]] = 0,0,SamplingData[[#This Row],[Max Error Bound (up)]]/SamplingData[[#Totals],[Max Error Bound (up)]])</f>
        <v>1.3570127589824165E-4</v>
      </c>
      <c r="R769" s="101">
        <f>SUM($Q$5:Q769)</f>
        <v>0.20899396418867097</v>
      </c>
      <c r="S769" s="100" t="str">
        <f t="array" ref="S769">IF(SamplingData[[#This Row],[up/U Selection Probability]] = 0, "Zero", TEXT(SamplingData[[#This Row],[Lower Range]], REPT("0",LEN('General Info'!$B$40))) &amp; " - " &amp; TEXT(SamplingData[[#This Row],[Upper Range]], REPT("0",LEN('General Info'!$B$40))))</f>
        <v>20886 - 20898</v>
      </c>
      <c r="T769" s="100">
        <f>SamplingData[[#This Row],[Upper Range]]-SamplingData[[#This Row],[Span]]</f>
        <v>20885.82642697855</v>
      </c>
      <c r="U769" s="100">
        <f>IF(ISNUMBER('General Info'!$B$40), ((SamplingData[[#This Row],[up/U Selection Probability]]) * 'General Info'!$B$40) - 1, 0)</f>
        <v>12.569991888548268</v>
      </c>
      <c r="V769" s="100">
        <f>IF(ISNUMBER('General Info'!$B$40), (SamplingData[[#This Row],[Running (cumulative) sum]] * ('General Info'!$B$40 -'General Info'!$B$41 + 1)) + 'General Info'!$B$41 - 1, 0)</f>
        <v>20898.396418867098</v>
      </c>
      <c r="W769" s="100" t="str">
        <f>IF(ISERROR(MATCH(SamplingData[[#This Row],[Batch by Type (p)]],SelectedPrecincts[Batch Name], 0)), "", INDEX(SelectedPrecincts[Draw], MATCH(SamplingData[[#This Row],[Batch by Type (p)]],SelectedPrecincts[Batch Name], 0)))</f>
        <v/>
      </c>
      <c r="X769" s="102">
        <f>IF(COUNTIF(SelectedPrecincts[Batch Name],SamplingData[[#This Row],[Batch by Type (p)]]) &lt;&gt; 0, COUNTIF(SelectedPrecincts[Batch Name],SamplingData[[#This Row],[Batch by Type (p)]]), 0)</f>
        <v>0</v>
      </c>
    </row>
    <row r="770" spans="1:24" ht="15" customHeight="1">
      <c r="A770" s="18" t="s">
        <v>946</v>
      </c>
      <c r="B770" s="18">
        <v>0</v>
      </c>
      <c r="C770" s="18">
        <v>2</v>
      </c>
      <c r="D770" s="18">
        <v>2</v>
      </c>
      <c r="E770" s="18">
        <v>0</v>
      </c>
      <c r="F770" s="18">
        <v>0</v>
      </c>
      <c r="G770" s="18">
        <v>0</v>
      </c>
      <c r="H770" s="18">
        <v>0</v>
      </c>
      <c r="I770" s="18">
        <v>0</v>
      </c>
      <c r="J770" s="99">
        <f>SUM(SamplingData[[#This Row],[Losing Candidate]:[Under Votes]])</f>
        <v>4</v>
      </c>
      <c r="K770"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770" s="100">
        <f>IF(AND(SamplingData[[#This Row],[Total]]&lt;&gt; 0, NOT(ISBLANK(SamplingData[[#This Row],[Candidate 3]]))),(SamplingData[[#This Row],[Total]]+SamplingData[[#This Row],[Winning Candidate]]-SamplingData[[#This Row],[Candidate 3]])/(SamplingData[[#Totals],[Winning Candidate]]-SamplingData[[#Totals],[Candidate 3]]), 0)</f>
        <v>1.2904474626576767E-4</v>
      </c>
      <c r="M770" s="100">
        <f>IF(AND(SamplingData[[#This Row],[Total]]&lt;&gt; 0, NOT(ISBLANK(SamplingData[[#This Row],[Candidate 4]]))),(SamplingData[[#This Row],[Total]]+SamplingData[[#This Row],[Winning Candidate]]-SamplingData[[#This Row],[Candidate 4]])/(SamplingData[[#Totals],[Winning Candidate]]-SamplingData[[#Totals],[Candidate 4]]), 0)</f>
        <v>1.7539244058581075E-4</v>
      </c>
      <c r="N770" s="100">
        <f>IF(AND(SamplingData[[#This Row],[Total]]&lt;&gt; 0, NOT(ISBLANK(SamplingData[[#This Row],[Candidate 5]]))),(SamplingData[[#This Row],[Total]]+SamplingData[[#This Row],[Winning Candidate]]-SamplingData[[#This Row],[Candidate 5]])/(SamplingData[[#Totals],[Winning Candidate]]-SamplingData[[#Totals],[Candidate 5]]), 0)</f>
        <v>1.4594989053758211E-4</v>
      </c>
      <c r="O770" s="100">
        <f>IF(AND(SamplingData[[#This Row],[Total]]&lt;&gt; 0, NOT(ISBLANK(SamplingData[[#This Row],[Candidate 6]]))),(SamplingData[[#This Row],[Total]]+SamplingData[[#This Row],[Winning Candidate]]-SamplingData[[#This Row],[Candidate 6]])/(SamplingData[[#Totals],[Winning Candidate]]-SamplingData[[#Totals],[Candidate 6]]), 0)</f>
        <v>1.4590730022858811E-4</v>
      </c>
      <c r="P770" s="100">
        <f>MAX(SamplingData[[#This Row],[Error Bound (up) - Max. possible relative overstatement - Losing Candidate]:[Error Bound (up) - Max. possible relative overstatement - Candidate 6]])</f>
        <v>3.6746692797648211E-4</v>
      </c>
      <c r="Q770" s="100">
        <f>IF(SamplingData[[#This Row],[Max Error Bound (up)]] = 0,0,SamplingData[[#This Row],[Max Error Bound (up)]]/SamplingData[[#Totals],[Max Error Bound (up)]])</f>
        <v>5.8157689670674986E-5</v>
      </c>
      <c r="R770" s="101">
        <f>SUM($Q$5:Q770)</f>
        <v>0.20905212187834166</v>
      </c>
      <c r="S770" s="100" t="str">
        <f t="array" ref="S770">IF(SamplingData[[#This Row],[up/U Selection Probability]] = 0, "Zero", TEXT(SamplingData[[#This Row],[Lower Range]], REPT("0",LEN('General Info'!$B$40))) &amp; " - " &amp; TEXT(SamplingData[[#This Row],[Upper Range]], REPT("0",LEN('General Info'!$B$40))))</f>
        <v>20899 - 20904</v>
      </c>
      <c r="T770" s="100">
        <f>SamplingData[[#This Row],[Upper Range]]-SamplingData[[#This Row],[Span]]</f>
        <v>20899.396477024788</v>
      </c>
      <c r="U770" s="100">
        <f>IF(ISNUMBER('General Info'!$B$40), ((SamplingData[[#This Row],[up/U Selection Probability]]) * 'General Info'!$B$40) - 1, 0)</f>
        <v>4.815710809377828</v>
      </c>
      <c r="V770" s="100">
        <f>IF(ISNUMBER('General Info'!$B$40), (SamplingData[[#This Row],[Running (cumulative) sum]] * ('General Info'!$B$40 -'General Info'!$B$41 + 1)) + 'General Info'!$B$41 - 1, 0)</f>
        <v>20904.212187834164</v>
      </c>
      <c r="W770" s="100" t="str">
        <f>IF(ISERROR(MATCH(SamplingData[[#This Row],[Batch by Type (p)]],SelectedPrecincts[Batch Name], 0)), "", INDEX(SelectedPrecincts[Draw], MATCH(SamplingData[[#This Row],[Batch by Type (p)]],SelectedPrecincts[Batch Name], 0)))</f>
        <v/>
      </c>
      <c r="X770" s="102">
        <f>IF(COUNTIF(SelectedPrecincts[Batch Name],SamplingData[[#This Row],[Batch by Type (p)]]) &lt;&gt; 0, COUNTIF(SelectedPrecincts[Batch Name],SamplingData[[#This Row],[Batch by Type (p)]]), 0)</f>
        <v>0</v>
      </c>
    </row>
    <row r="771" spans="1:24" ht="15" customHeight="1">
      <c r="A771" s="18" t="s">
        <v>947</v>
      </c>
      <c r="B771" s="18">
        <v>3</v>
      </c>
      <c r="C771" s="18">
        <v>5</v>
      </c>
      <c r="D771" s="16">
        <v>0</v>
      </c>
      <c r="E771" s="16">
        <v>1</v>
      </c>
      <c r="F771" s="37">
        <v>0</v>
      </c>
      <c r="G771" s="37">
        <v>0</v>
      </c>
      <c r="H771" s="17">
        <v>0</v>
      </c>
      <c r="I771" s="17">
        <v>0</v>
      </c>
      <c r="J771" s="99">
        <f>SUM(SamplingData[[#This Row],[Losing Candidate]:[Under Votes]])</f>
        <v>9</v>
      </c>
      <c r="K771"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771" s="100">
        <f>IF(AND(SamplingData[[#This Row],[Total]]&lt;&gt; 0, NOT(ISBLANK(SamplingData[[#This Row],[Candidate 3]]))),(SamplingData[[#This Row],[Total]]+SamplingData[[#This Row],[Winning Candidate]]-SamplingData[[#This Row],[Candidate 3]])/(SamplingData[[#Totals],[Winning Candidate]]-SamplingData[[#Totals],[Candidate 3]]), 0)</f>
        <v>4.5165661193018679E-4</v>
      </c>
      <c r="M771" s="100">
        <f>IF(AND(SamplingData[[#This Row],[Total]]&lt;&gt; 0, NOT(ISBLANK(SamplingData[[#This Row],[Candidate 4]]))),(SamplingData[[#This Row],[Total]]+SamplingData[[#This Row],[Winning Candidate]]-SamplingData[[#This Row],[Candidate 4]])/(SamplingData[[#Totals],[Winning Candidate]]-SamplingData[[#Totals],[Candidate 4]]), 0)</f>
        <v>3.8001695460258996E-4</v>
      </c>
      <c r="N771" s="100">
        <f>IF(AND(SamplingData[[#This Row],[Total]]&lt;&gt; 0, NOT(ISBLANK(SamplingData[[#This Row],[Candidate 5]]))),(SamplingData[[#This Row],[Total]]+SamplingData[[#This Row],[Winning Candidate]]-SamplingData[[#This Row],[Candidate 5]])/(SamplingData[[#Totals],[Winning Candidate]]-SamplingData[[#Totals],[Candidate 5]]), 0)</f>
        <v>3.4054974458769157E-4</v>
      </c>
      <c r="O771" s="100">
        <f>IF(AND(SamplingData[[#This Row],[Total]]&lt;&gt; 0, NOT(ISBLANK(SamplingData[[#This Row],[Candidate 6]]))),(SamplingData[[#This Row],[Total]]+SamplingData[[#This Row],[Winning Candidate]]-SamplingData[[#This Row],[Candidate 6]])/(SamplingData[[#Totals],[Winning Candidate]]-SamplingData[[#Totals],[Candidate 6]]), 0)</f>
        <v>3.4045036720003888E-4</v>
      </c>
      <c r="P771" s="100">
        <f>MAX(SamplingData[[#This Row],[Error Bound (up) - Max. possible relative overstatement - Losing Candidate]:[Error Bound (up) - Max. possible relative overstatement - Candidate 6]])</f>
        <v>6.7368936795688392E-4</v>
      </c>
      <c r="Q771" s="100">
        <f>IF(SamplingData[[#This Row],[Max Error Bound (up)]] = 0,0,SamplingData[[#This Row],[Max Error Bound (up)]]/SamplingData[[#Totals],[Max Error Bound (up)]])</f>
        <v>1.0662243106290416E-4</v>
      </c>
      <c r="R771" s="101">
        <f>SUM($Q$5:Q771)</f>
        <v>0.20915874430940457</v>
      </c>
      <c r="S771" s="100" t="str">
        <f t="array" ref="S771">IF(SamplingData[[#This Row],[up/U Selection Probability]] = 0, "Zero", TEXT(SamplingData[[#This Row],[Lower Range]], REPT("0",LEN('General Info'!$B$40))) &amp; " - " &amp; TEXT(SamplingData[[#This Row],[Upper Range]], REPT("0",LEN('General Info'!$B$40))))</f>
        <v>20905 - 20915</v>
      </c>
      <c r="T771" s="100">
        <f>SamplingData[[#This Row],[Upper Range]]-SamplingData[[#This Row],[Span]]</f>
        <v>20905.212294456596</v>
      </c>
      <c r="U771" s="100">
        <f>IF(ISNUMBER('General Info'!$B$40), ((SamplingData[[#This Row],[up/U Selection Probability]]) * 'General Info'!$B$40) - 1, 0)</f>
        <v>9.6621364838593529</v>
      </c>
      <c r="V771" s="100">
        <f>IF(ISNUMBER('General Info'!$B$40), (SamplingData[[#This Row],[Running (cumulative) sum]] * ('General Info'!$B$40 -'General Info'!$B$41 + 1)) + 'General Info'!$B$41 - 1, 0)</f>
        <v>20914.874430940457</v>
      </c>
      <c r="W771" s="100" t="str">
        <f>IF(ISERROR(MATCH(SamplingData[[#This Row],[Batch by Type (p)]],SelectedPrecincts[Batch Name], 0)), "", INDEX(SelectedPrecincts[Draw], MATCH(SamplingData[[#This Row],[Batch by Type (p)]],SelectedPrecincts[Batch Name], 0)))</f>
        <v/>
      </c>
      <c r="X771" s="102">
        <f>IF(COUNTIF(SelectedPrecincts[Batch Name],SamplingData[[#This Row],[Batch by Type (p)]]) &lt;&gt; 0, COUNTIF(SelectedPrecincts[Batch Name],SamplingData[[#This Row],[Batch by Type (p)]]), 0)</f>
        <v>0</v>
      </c>
    </row>
    <row r="772" spans="1:24" ht="15" customHeight="1">
      <c r="A772" s="18" t="s">
        <v>948</v>
      </c>
      <c r="B772" s="18">
        <v>1</v>
      </c>
      <c r="C772" s="18">
        <v>1</v>
      </c>
      <c r="D772" s="18">
        <v>0</v>
      </c>
      <c r="E772" s="18">
        <v>0</v>
      </c>
      <c r="F772" s="18">
        <v>0</v>
      </c>
      <c r="G772" s="18">
        <v>0</v>
      </c>
      <c r="H772" s="18">
        <v>0</v>
      </c>
      <c r="I772" s="18">
        <v>0</v>
      </c>
      <c r="J772" s="99">
        <f>SUM(SamplingData[[#This Row],[Losing Candidate]:[Under Votes]])</f>
        <v>2</v>
      </c>
      <c r="K77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772" s="100">
        <f>IF(AND(SamplingData[[#This Row],[Total]]&lt;&gt; 0, NOT(ISBLANK(SamplingData[[#This Row],[Candidate 3]]))),(SamplingData[[#This Row],[Total]]+SamplingData[[#This Row],[Winning Candidate]]-SamplingData[[#This Row],[Candidate 3]])/(SamplingData[[#Totals],[Winning Candidate]]-SamplingData[[#Totals],[Candidate 3]]), 0)</f>
        <v>9.6783559699325743E-5</v>
      </c>
      <c r="M772" s="100">
        <f>IF(AND(SamplingData[[#This Row],[Total]]&lt;&gt; 0, NOT(ISBLANK(SamplingData[[#This Row],[Candidate 4]]))),(SamplingData[[#This Row],[Total]]+SamplingData[[#This Row],[Winning Candidate]]-SamplingData[[#This Row],[Candidate 4]])/(SamplingData[[#Totals],[Winning Candidate]]-SamplingData[[#Totals],[Candidate 4]]), 0)</f>
        <v>8.7696220292905373E-5</v>
      </c>
      <c r="N772" s="100">
        <f>IF(AND(SamplingData[[#This Row],[Total]]&lt;&gt; 0, NOT(ISBLANK(SamplingData[[#This Row],[Candidate 5]]))),(SamplingData[[#This Row],[Total]]+SamplingData[[#This Row],[Winning Candidate]]-SamplingData[[#This Row],[Candidate 5]])/(SamplingData[[#Totals],[Winning Candidate]]-SamplingData[[#Totals],[Candidate 5]]), 0)</f>
        <v>7.2974945268791054E-5</v>
      </c>
      <c r="O772" s="100">
        <f>IF(AND(SamplingData[[#This Row],[Total]]&lt;&gt; 0, NOT(ISBLANK(SamplingData[[#This Row],[Candidate 6]]))),(SamplingData[[#This Row],[Total]]+SamplingData[[#This Row],[Winning Candidate]]-SamplingData[[#This Row],[Candidate 6]])/(SamplingData[[#Totals],[Winning Candidate]]-SamplingData[[#Totals],[Candidate 6]]), 0)</f>
        <v>7.2953650114294054E-5</v>
      </c>
      <c r="P772" s="100">
        <f>MAX(SamplingData[[#This Row],[Error Bound (up) - Max. possible relative overstatement - Losing Candidate]:[Error Bound (up) - Max. possible relative overstatement - Candidate 6]])</f>
        <v>1.224889759921607E-4</v>
      </c>
      <c r="Q772" s="100">
        <f>IF(SamplingData[[#This Row],[Max Error Bound (up)]] = 0,0,SamplingData[[#This Row],[Max Error Bound (up)]]/SamplingData[[#Totals],[Max Error Bound (up)]])</f>
        <v>1.9385896556891663E-5</v>
      </c>
      <c r="R772" s="101">
        <f>SUM($Q$5:Q772)</f>
        <v>0.20917813020596146</v>
      </c>
      <c r="S772" s="100" t="str">
        <f t="array" ref="S772">IF(SamplingData[[#This Row],[up/U Selection Probability]] = 0, "Zero", TEXT(SamplingData[[#This Row],[Lower Range]], REPT("0",LEN('General Info'!$B$40))) &amp; " - " &amp; TEXT(SamplingData[[#This Row],[Upper Range]], REPT("0",LEN('General Info'!$B$40))))</f>
        <v>20916 - 20917</v>
      </c>
      <c r="T772" s="100">
        <f>SamplingData[[#This Row],[Upper Range]]-SamplingData[[#This Row],[Span]]</f>
        <v>20915.874450326355</v>
      </c>
      <c r="U772" s="100">
        <f>IF(ISNUMBER('General Info'!$B$40), ((SamplingData[[#This Row],[up/U Selection Probability]]) * 'General Info'!$B$40) - 1, 0)</f>
        <v>0.93857026979260949</v>
      </c>
      <c r="V772" s="100">
        <f>IF(ISNUMBER('General Info'!$B$40), (SamplingData[[#This Row],[Running (cumulative) sum]] * ('General Info'!$B$40 -'General Info'!$B$41 + 1)) + 'General Info'!$B$41 - 1, 0)</f>
        <v>20916.813020596146</v>
      </c>
      <c r="W772" s="100" t="str">
        <f>IF(ISERROR(MATCH(SamplingData[[#This Row],[Batch by Type (p)]],SelectedPrecincts[Batch Name], 0)), "", INDEX(SelectedPrecincts[Draw], MATCH(SamplingData[[#This Row],[Batch by Type (p)]],SelectedPrecincts[Batch Name], 0)))</f>
        <v/>
      </c>
      <c r="X772" s="102">
        <f>IF(COUNTIF(SelectedPrecincts[Batch Name],SamplingData[[#This Row],[Batch by Type (p)]]) &lt;&gt; 0, COUNTIF(SelectedPrecincts[Batch Name],SamplingData[[#This Row],[Batch by Type (p)]]), 0)</f>
        <v>0</v>
      </c>
    </row>
    <row r="773" spans="1:24" ht="15" customHeight="1">
      <c r="A773" s="18" t="s">
        <v>949</v>
      </c>
      <c r="B773" s="18">
        <v>3</v>
      </c>
      <c r="C773" s="18">
        <v>0</v>
      </c>
      <c r="D773" s="16">
        <v>0</v>
      </c>
      <c r="E773" s="16">
        <v>1</v>
      </c>
      <c r="F773" s="37">
        <v>0</v>
      </c>
      <c r="G773" s="37">
        <v>0</v>
      </c>
      <c r="H773" s="17">
        <v>0</v>
      </c>
      <c r="I773" s="17">
        <v>0</v>
      </c>
      <c r="J773" s="99">
        <f>SUM(SamplingData[[#This Row],[Losing Candidate]:[Under Votes]])</f>
        <v>4</v>
      </c>
      <c r="K773"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773" s="100">
        <f>IF(AND(SamplingData[[#This Row],[Total]]&lt;&gt; 0, NOT(ISBLANK(SamplingData[[#This Row],[Candidate 3]]))),(SamplingData[[#This Row],[Total]]+SamplingData[[#This Row],[Winning Candidate]]-SamplingData[[#This Row],[Candidate 3]])/(SamplingData[[#Totals],[Winning Candidate]]-SamplingData[[#Totals],[Candidate 3]]), 0)</f>
        <v>1.2904474626576767E-4</v>
      </c>
      <c r="M773" s="100">
        <f>IF(AND(SamplingData[[#This Row],[Total]]&lt;&gt; 0, NOT(ISBLANK(SamplingData[[#This Row],[Candidate 4]]))),(SamplingData[[#This Row],[Total]]+SamplingData[[#This Row],[Winning Candidate]]-SamplingData[[#This Row],[Candidate 4]])/(SamplingData[[#Totals],[Winning Candidate]]-SamplingData[[#Totals],[Candidate 4]]), 0)</f>
        <v>8.7696220292905373E-5</v>
      </c>
      <c r="N773" s="100">
        <f>IF(AND(SamplingData[[#This Row],[Total]]&lt;&gt; 0, NOT(ISBLANK(SamplingData[[#This Row],[Candidate 5]]))),(SamplingData[[#This Row],[Total]]+SamplingData[[#This Row],[Winning Candidate]]-SamplingData[[#This Row],[Candidate 5]])/(SamplingData[[#Totals],[Winning Candidate]]-SamplingData[[#Totals],[Candidate 5]]), 0)</f>
        <v>9.7299927025054734E-5</v>
      </c>
      <c r="O773" s="100">
        <f>IF(AND(SamplingData[[#This Row],[Total]]&lt;&gt; 0, NOT(ISBLANK(SamplingData[[#This Row],[Candidate 6]]))),(SamplingData[[#This Row],[Total]]+SamplingData[[#This Row],[Winning Candidate]]-SamplingData[[#This Row],[Candidate 6]])/(SamplingData[[#Totals],[Winning Candidate]]-SamplingData[[#Totals],[Candidate 6]]), 0)</f>
        <v>9.7271533485725401E-5</v>
      </c>
      <c r="P773" s="100">
        <f>MAX(SamplingData[[#This Row],[Error Bound (up) - Max. possible relative overstatement - Losing Candidate]:[Error Bound (up) - Max. possible relative overstatement - Candidate 6]])</f>
        <v>1.2904474626576767E-4</v>
      </c>
      <c r="Q773" s="100">
        <f>IF(SamplingData[[#This Row],[Max Error Bound (up)]] = 0,0,SamplingData[[#This Row],[Max Error Bound (up)]]/SamplingData[[#Totals],[Max Error Bound (up)]])</f>
        <v>2.0423455107328265E-5</v>
      </c>
      <c r="R773" s="101">
        <f>SUM($Q$5:Q773)</f>
        <v>0.20919855366106879</v>
      </c>
      <c r="S773" s="100" t="str">
        <f t="array" ref="S773">IF(SamplingData[[#This Row],[up/U Selection Probability]] = 0, "Zero", TEXT(SamplingData[[#This Row],[Lower Range]], REPT("0",LEN('General Info'!$B$40))) &amp; " - " &amp; TEXT(SamplingData[[#This Row],[Upper Range]], REPT("0",LEN('General Info'!$B$40))))</f>
        <v>20918 - 20919</v>
      </c>
      <c r="T773" s="100">
        <f>SamplingData[[#This Row],[Upper Range]]-SamplingData[[#This Row],[Span]]</f>
        <v>20917.813041019603</v>
      </c>
      <c r="U773" s="100">
        <f>IF(ISNUMBER('General Info'!$B$40), ((SamplingData[[#This Row],[up/U Selection Probability]]) * 'General Info'!$B$40) - 1, 0)</f>
        <v>1.0423250872777192</v>
      </c>
      <c r="V773" s="100">
        <f>IF(ISNUMBER('General Info'!$B$40), (SamplingData[[#This Row],[Running (cumulative) sum]] * ('General Info'!$B$40 -'General Info'!$B$41 + 1)) + 'General Info'!$B$41 - 1, 0)</f>
        <v>20918.85536610688</v>
      </c>
      <c r="W773" s="100" t="str">
        <f>IF(ISERROR(MATCH(SamplingData[[#This Row],[Batch by Type (p)]],SelectedPrecincts[Batch Name], 0)), "", INDEX(SelectedPrecincts[Draw], MATCH(SamplingData[[#This Row],[Batch by Type (p)]],SelectedPrecincts[Batch Name], 0)))</f>
        <v/>
      </c>
      <c r="X773" s="102">
        <f>IF(COUNTIF(SelectedPrecincts[Batch Name],SamplingData[[#This Row],[Batch by Type (p)]]) &lt;&gt; 0, COUNTIF(SelectedPrecincts[Batch Name],SamplingData[[#This Row],[Batch by Type (p)]]), 0)</f>
        <v>0</v>
      </c>
    </row>
    <row r="774" spans="1:24" ht="15" customHeight="1">
      <c r="A774" s="18" t="s">
        <v>950</v>
      </c>
      <c r="B774" s="18">
        <v>0</v>
      </c>
      <c r="C774" s="18">
        <v>0</v>
      </c>
      <c r="D774" s="18">
        <v>0</v>
      </c>
      <c r="E774" s="18">
        <v>0</v>
      </c>
      <c r="F774" s="18">
        <v>0</v>
      </c>
      <c r="G774" s="18">
        <v>0</v>
      </c>
      <c r="H774" s="18">
        <v>0</v>
      </c>
      <c r="I774" s="18">
        <v>0</v>
      </c>
      <c r="J774" s="99">
        <f>SUM(SamplingData[[#This Row],[Losing Candidate]:[Under Votes]])</f>
        <v>0</v>
      </c>
      <c r="K774" s="100">
        <f>IF(AND(SamplingData[[#This Row],[Total]]&lt;&gt; 0, NOT(ISBLANK(SamplingData[[#This Row],[Losing Candidate]]))),(SamplingData[[#This Row],[Total]]+SamplingData[[#This Row],[Winning Candidate]]-SamplingData[[#This Row],[Losing Candidate]])/(SamplingData[[#Totals],[Winning Candidate]]-SamplingData[[#Totals],[Losing Candidate]]), 0)</f>
        <v>0</v>
      </c>
      <c r="L774" s="100">
        <f>IF(AND(SamplingData[[#This Row],[Total]]&lt;&gt; 0, NOT(ISBLANK(SamplingData[[#This Row],[Candidate 3]]))),(SamplingData[[#This Row],[Total]]+SamplingData[[#This Row],[Winning Candidate]]-SamplingData[[#This Row],[Candidate 3]])/(SamplingData[[#Totals],[Winning Candidate]]-SamplingData[[#Totals],[Candidate 3]]), 0)</f>
        <v>0</v>
      </c>
      <c r="M774" s="100">
        <f>IF(AND(SamplingData[[#This Row],[Total]]&lt;&gt; 0, NOT(ISBLANK(SamplingData[[#This Row],[Candidate 4]]))),(SamplingData[[#This Row],[Total]]+SamplingData[[#This Row],[Winning Candidate]]-SamplingData[[#This Row],[Candidate 4]])/(SamplingData[[#Totals],[Winning Candidate]]-SamplingData[[#Totals],[Candidate 4]]), 0)</f>
        <v>0</v>
      </c>
      <c r="N774" s="100">
        <f>IF(AND(SamplingData[[#This Row],[Total]]&lt;&gt; 0, NOT(ISBLANK(SamplingData[[#This Row],[Candidate 5]]))),(SamplingData[[#This Row],[Total]]+SamplingData[[#This Row],[Winning Candidate]]-SamplingData[[#This Row],[Candidate 5]])/(SamplingData[[#Totals],[Winning Candidate]]-SamplingData[[#Totals],[Candidate 5]]), 0)</f>
        <v>0</v>
      </c>
      <c r="O774" s="100">
        <f>IF(AND(SamplingData[[#This Row],[Total]]&lt;&gt; 0, NOT(ISBLANK(SamplingData[[#This Row],[Candidate 6]]))),(SamplingData[[#This Row],[Total]]+SamplingData[[#This Row],[Winning Candidate]]-SamplingData[[#This Row],[Candidate 6]])/(SamplingData[[#Totals],[Winning Candidate]]-SamplingData[[#Totals],[Candidate 6]]), 0)</f>
        <v>0</v>
      </c>
      <c r="P774" s="100">
        <f>MAX(SamplingData[[#This Row],[Error Bound (up) - Max. possible relative overstatement - Losing Candidate]:[Error Bound (up) - Max. possible relative overstatement - Candidate 6]])</f>
        <v>0</v>
      </c>
      <c r="Q774" s="100">
        <f>IF(SamplingData[[#This Row],[Max Error Bound (up)]] = 0,0,SamplingData[[#This Row],[Max Error Bound (up)]]/SamplingData[[#Totals],[Max Error Bound (up)]])</f>
        <v>0</v>
      </c>
      <c r="R774" s="101">
        <f>SUM($Q$5:Q774)</f>
        <v>0.20919855366106879</v>
      </c>
      <c r="S774" s="100" t="str">
        <f t="array" ref="S774">IF(SamplingData[[#This Row],[up/U Selection Probability]] = 0, "Zero", TEXT(SamplingData[[#This Row],[Lower Range]], REPT("0",LEN('General Info'!$B$40))) &amp; " - " &amp; TEXT(SamplingData[[#This Row],[Upper Range]], REPT("0",LEN('General Info'!$B$40))))</f>
        <v>Zero</v>
      </c>
      <c r="T774" s="100">
        <f>SamplingData[[#This Row],[Upper Range]]-SamplingData[[#This Row],[Span]]</f>
        <v>20919.85536610688</v>
      </c>
      <c r="U774" s="100">
        <f>IF(ISNUMBER('General Info'!$B$40), ((SamplingData[[#This Row],[up/U Selection Probability]]) * 'General Info'!$B$40) - 1, 0)</f>
        <v>-1</v>
      </c>
      <c r="V774" s="100">
        <f>IF(ISNUMBER('General Info'!$B$40), (SamplingData[[#This Row],[Running (cumulative) sum]] * ('General Info'!$B$40 -'General Info'!$B$41 + 1)) + 'General Info'!$B$41 - 1, 0)</f>
        <v>20918.85536610688</v>
      </c>
      <c r="W774" s="100" t="str">
        <f>IF(ISERROR(MATCH(SamplingData[[#This Row],[Batch by Type (p)]],SelectedPrecincts[Batch Name], 0)), "", INDEX(SelectedPrecincts[Draw], MATCH(SamplingData[[#This Row],[Batch by Type (p)]],SelectedPrecincts[Batch Name], 0)))</f>
        <v/>
      </c>
      <c r="X774" s="102">
        <f>IF(COUNTIF(SelectedPrecincts[Batch Name],SamplingData[[#This Row],[Batch by Type (p)]]) &lt;&gt; 0, COUNTIF(SelectedPrecincts[Batch Name],SamplingData[[#This Row],[Batch by Type (p)]]), 0)</f>
        <v>0</v>
      </c>
    </row>
    <row r="775" spans="1:24" ht="15" customHeight="1">
      <c r="A775" s="18" t="s">
        <v>951</v>
      </c>
      <c r="B775" s="18">
        <v>0</v>
      </c>
      <c r="C775" s="18">
        <v>6</v>
      </c>
      <c r="D775" s="16">
        <v>1</v>
      </c>
      <c r="E775" s="16">
        <v>5</v>
      </c>
      <c r="F775" s="37">
        <v>1</v>
      </c>
      <c r="G775" s="37">
        <v>0</v>
      </c>
      <c r="H775" s="17">
        <v>0</v>
      </c>
      <c r="I775" s="17">
        <v>0</v>
      </c>
      <c r="J775" s="99">
        <f>SUM(SamplingData[[#This Row],[Losing Candidate]:[Under Votes]])</f>
        <v>13</v>
      </c>
      <c r="K775"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775" s="100">
        <f>IF(AND(SamplingData[[#This Row],[Total]]&lt;&gt; 0, NOT(ISBLANK(SamplingData[[#This Row],[Candidate 3]]))),(SamplingData[[#This Row],[Total]]+SamplingData[[#This Row],[Winning Candidate]]-SamplingData[[#This Row],[Candidate 3]])/(SamplingData[[#Totals],[Winning Candidate]]-SamplingData[[#Totals],[Candidate 3]]), 0)</f>
        <v>5.8070135819595443E-4</v>
      </c>
      <c r="M775" s="100">
        <f>IF(AND(SamplingData[[#This Row],[Total]]&lt;&gt; 0, NOT(ISBLANK(SamplingData[[#This Row],[Candidate 4]]))),(SamplingData[[#This Row],[Total]]+SamplingData[[#This Row],[Winning Candidate]]-SamplingData[[#This Row],[Candidate 4]])/(SamplingData[[#Totals],[Winning Candidate]]-SamplingData[[#Totals],[Candidate 4]]), 0)</f>
        <v>4.0924902803355842E-4</v>
      </c>
      <c r="N775" s="100">
        <f>IF(AND(SamplingData[[#This Row],[Total]]&lt;&gt; 0, NOT(ISBLANK(SamplingData[[#This Row],[Candidate 5]]))),(SamplingData[[#This Row],[Total]]+SamplingData[[#This Row],[Winning Candidate]]-SamplingData[[#This Row],[Candidate 5]])/(SamplingData[[#Totals],[Winning Candidate]]-SamplingData[[#Totals],[Candidate 5]]), 0)</f>
        <v>4.3784967161274629E-4</v>
      </c>
      <c r="O775" s="100">
        <f>IF(AND(SamplingData[[#This Row],[Total]]&lt;&gt; 0, NOT(ISBLANK(SamplingData[[#This Row],[Candidate 6]]))),(SamplingData[[#This Row],[Total]]+SamplingData[[#This Row],[Winning Candidate]]-SamplingData[[#This Row],[Candidate 6]])/(SamplingData[[#Totals],[Winning Candidate]]-SamplingData[[#Totals],[Candidate 6]]), 0)</f>
        <v>4.6203978405719566E-4</v>
      </c>
      <c r="P775" s="100">
        <f>MAX(SamplingData[[#This Row],[Error Bound (up) - Max. possible relative overstatement - Losing Candidate]:[Error Bound (up) - Max. possible relative overstatement - Candidate 6]])</f>
        <v>1.1636452719255266E-3</v>
      </c>
      <c r="Q775" s="100">
        <f>IF(SamplingData[[#This Row],[Max Error Bound (up)]] = 0,0,SamplingData[[#This Row],[Max Error Bound (up)]]/SamplingData[[#Totals],[Max Error Bound (up)]])</f>
        <v>1.841660172904708E-4</v>
      </c>
      <c r="R775" s="101">
        <f>SUM($Q$5:Q775)</f>
        <v>0.20938271967835925</v>
      </c>
      <c r="S775" s="100" t="str">
        <f t="array" ref="S775">IF(SamplingData[[#This Row],[up/U Selection Probability]] = 0, "Zero", TEXT(SamplingData[[#This Row],[Lower Range]], REPT("0",LEN('General Info'!$B$40))) &amp; " - " &amp; TEXT(SamplingData[[#This Row],[Upper Range]], REPT("0",LEN('General Info'!$B$40))))</f>
        <v>20920 - 20937</v>
      </c>
      <c r="T775" s="100">
        <f>SamplingData[[#This Row],[Upper Range]]-SamplingData[[#This Row],[Span]]</f>
        <v>20919.855550272896</v>
      </c>
      <c r="U775" s="100">
        <f>IF(ISNUMBER('General Info'!$B$40), ((SamplingData[[#This Row],[up/U Selection Probability]]) * 'General Info'!$B$40) - 1, 0)</f>
        <v>17.416417563029789</v>
      </c>
      <c r="V775" s="100">
        <f>IF(ISNUMBER('General Info'!$B$40), (SamplingData[[#This Row],[Running (cumulative) sum]] * ('General Info'!$B$40 -'General Info'!$B$41 + 1)) + 'General Info'!$B$41 - 1, 0)</f>
        <v>20937.271967835924</v>
      </c>
      <c r="W775" s="100" t="str">
        <f>IF(ISERROR(MATCH(SamplingData[[#This Row],[Batch by Type (p)]],SelectedPrecincts[Batch Name], 0)), "", INDEX(SelectedPrecincts[Draw], MATCH(SamplingData[[#This Row],[Batch by Type (p)]],SelectedPrecincts[Batch Name], 0)))</f>
        <v/>
      </c>
      <c r="X775" s="102">
        <f>IF(COUNTIF(SelectedPrecincts[Batch Name],SamplingData[[#This Row],[Batch by Type (p)]]) &lt;&gt; 0, COUNTIF(SelectedPrecincts[Batch Name],SamplingData[[#This Row],[Batch by Type (p)]]), 0)</f>
        <v>0</v>
      </c>
    </row>
    <row r="776" spans="1:24" ht="15" customHeight="1">
      <c r="A776" s="18" t="s">
        <v>952</v>
      </c>
      <c r="B776" s="18">
        <v>1</v>
      </c>
      <c r="C776" s="18">
        <v>1</v>
      </c>
      <c r="D776" s="18">
        <v>0</v>
      </c>
      <c r="E776" s="18">
        <v>0</v>
      </c>
      <c r="F776" s="18">
        <v>0</v>
      </c>
      <c r="G776" s="18">
        <v>0</v>
      </c>
      <c r="H776" s="18">
        <v>0</v>
      </c>
      <c r="I776" s="18">
        <v>0</v>
      </c>
      <c r="J776" s="99">
        <f>SUM(SamplingData[[#This Row],[Losing Candidate]:[Under Votes]])</f>
        <v>2</v>
      </c>
      <c r="K77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776" s="100">
        <f>IF(AND(SamplingData[[#This Row],[Total]]&lt;&gt; 0, NOT(ISBLANK(SamplingData[[#This Row],[Candidate 3]]))),(SamplingData[[#This Row],[Total]]+SamplingData[[#This Row],[Winning Candidate]]-SamplingData[[#This Row],[Candidate 3]])/(SamplingData[[#Totals],[Winning Candidate]]-SamplingData[[#Totals],[Candidate 3]]), 0)</f>
        <v>9.6783559699325743E-5</v>
      </c>
      <c r="M776" s="100">
        <f>IF(AND(SamplingData[[#This Row],[Total]]&lt;&gt; 0, NOT(ISBLANK(SamplingData[[#This Row],[Candidate 4]]))),(SamplingData[[#This Row],[Total]]+SamplingData[[#This Row],[Winning Candidate]]-SamplingData[[#This Row],[Candidate 4]])/(SamplingData[[#Totals],[Winning Candidate]]-SamplingData[[#Totals],[Candidate 4]]), 0)</f>
        <v>8.7696220292905373E-5</v>
      </c>
      <c r="N776" s="100">
        <f>IF(AND(SamplingData[[#This Row],[Total]]&lt;&gt; 0, NOT(ISBLANK(SamplingData[[#This Row],[Candidate 5]]))),(SamplingData[[#This Row],[Total]]+SamplingData[[#This Row],[Winning Candidate]]-SamplingData[[#This Row],[Candidate 5]])/(SamplingData[[#Totals],[Winning Candidate]]-SamplingData[[#Totals],[Candidate 5]]), 0)</f>
        <v>7.2974945268791054E-5</v>
      </c>
      <c r="O776" s="100">
        <f>IF(AND(SamplingData[[#This Row],[Total]]&lt;&gt; 0, NOT(ISBLANK(SamplingData[[#This Row],[Candidate 6]]))),(SamplingData[[#This Row],[Total]]+SamplingData[[#This Row],[Winning Candidate]]-SamplingData[[#This Row],[Candidate 6]])/(SamplingData[[#Totals],[Winning Candidate]]-SamplingData[[#Totals],[Candidate 6]]), 0)</f>
        <v>7.2953650114294054E-5</v>
      </c>
      <c r="P776" s="100">
        <f>MAX(SamplingData[[#This Row],[Error Bound (up) - Max. possible relative overstatement - Losing Candidate]:[Error Bound (up) - Max. possible relative overstatement - Candidate 6]])</f>
        <v>1.224889759921607E-4</v>
      </c>
      <c r="Q776" s="100">
        <f>IF(SamplingData[[#This Row],[Max Error Bound (up)]] = 0,0,SamplingData[[#This Row],[Max Error Bound (up)]]/SamplingData[[#Totals],[Max Error Bound (up)]])</f>
        <v>1.9385896556891663E-5</v>
      </c>
      <c r="R776" s="101">
        <f>SUM($Q$5:Q776)</f>
        <v>0.20940210557491615</v>
      </c>
      <c r="S776" s="100" t="str">
        <f t="array" ref="S776">IF(SamplingData[[#This Row],[up/U Selection Probability]] = 0, "Zero", TEXT(SamplingData[[#This Row],[Lower Range]], REPT("0",LEN('General Info'!$B$40))) &amp; " - " &amp; TEXT(SamplingData[[#This Row],[Upper Range]], REPT("0",LEN('General Info'!$B$40))))</f>
        <v>20938 - 20939</v>
      </c>
      <c r="T776" s="100">
        <f>SamplingData[[#This Row],[Upper Range]]-SamplingData[[#This Row],[Span]]</f>
        <v>20938.271987221822</v>
      </c>
      <c r="U776" s="100">
        <f>IF(ISNUMBER('General Info'!$B$40), ((SamplingData[[#This Row],[up/U Selection Probability]]) * 'General Info'!$B$40) - 1, 0)</f>
        <v>0.93857026979260949</v>
      </c>
      <c r="V776" s="100">
        <f>IF(ISNUMBER('General Info'!$B$40), (SamplingData[[#This Row],[Running (cumulative) sum]] * ('General Info'!$B$40 -'General Info'!$B$41 + 1)) + 'General Info'!$B$41 - 1, 0)</f>
        <v>20939.210557491613</v>
      </c>
      <c r="W776" s="100" t="str">
        <f>IF(ISERROR(MATCH(SamplingData[[#This Row],[Batch by Type (p)]],SelectedPrecincts[Batch Name], 0)), "", INDEX(SelectedPrecincts[Draw], MATCH(SamplingData[[#This Row],[Batch by Type (p)]],SelectedPrecincts[Batch Name], 0)))</f>
        <v/>
      </c>
      <c r="X776" s="102">
        <f>IF(COUNTIF(SelectedPrecincts[Batch Name],SamplingData[[#This Row],[Batch by Type (p)]]) &lt;&gt; 0, COUNTIF(SelectedPrecincts[Batch Name],SamplingData[[#This Row],[Batch by Type (p)]]), 0)</f>
        <v>0</v>
      </c>
    </row>
    <row r="777" spans="1:24" ht="15" customHeight="1">
      <c r="A777" s="18" t="s">
        <v>953</v>
      </c>
      <c r="B777" s="18">
        <v>6</v>
      </c>
      <c r="C777" s="18">
        <v>8</v>
      </c>
      <c r="D777" s="16">
        <v>2</v>
      </c>
      <c r="E777" s="16">
        <v>0</v>
      </c>
      <c r="F777" s="37">
        <v>0</v>
      </c>
      <c r="G777" s="37">
        <v>2</v>
      </c>
      <c r="H777" s="17">
        <v>0</v>
      </c>
      <c r="I777" s="17">
        <v>0</v>
      </c>
      <c r="J777" s="99">
        <f>SUM(SamplingData[[#This Row],[Losing Candidate]:[Under Votes]])</f>
        <v>18</v>
      </c>
      <c r="K777"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777" s="100">
        <f>IF(AND(SamplingData[[#This Row],[Total]]&lt;&gt; 0, NOT(ISBLANK(SamplingData[[#This Row],[Candidate 3]]))),(SamplingData[[#This Row],[Total]]+SamplingData[[#This Row],[Winning Candidate]]-SamplingData[[#This Row],[Candidate 3]])/(SamplingData[[#Totals],[Winning Candidate]]-SamplingData[[#Totals],[Candidate 3]]), 0)</f>
        <v>7.7426847759460595E-4</v>
      </c>
      <c r="M777" s="100">
        <f>IF(AND(SamplingData[[#This Row],[Total]]&lt;&gt; 0, NOT(ISBLANK(SamplingData[[#This Row],[Candidate 4]]))),(SamplingData[[#This Row],[Total]]+SamplingData[[#This Row],[Winning Candidate]]-SamplingData[[#This Row],[Candidate 4]])/(SamplingData[[#Totals],[Winning Candidate]]-SamplingData[[#Totals],[Candidate 4]]), 0)</f>
        <v>7.6003390920517991E-4</v>
      </c>
      <c r="N777" s="100">
        <f>IF(AND(SamplingData[[#This Row],[Total]]&lt;&gt; 0, NOT(ISBLANK(SamplingData[[#This Row],[Candidate 5]]))),(SamplingData[[#This Row],[Total]]+SamplingData[[#This Row],[Winning Candidate]]-SamplingData[[#This Row],[Candidate 5]])/(SamplingData[[#Totals],[Winning Candidate]]-SamplingData[[#Totals],[Candidate 5]]), 0)</f>
        <v>6.3244952566285579E-4</v>
      </c>
      <c r="O777" s="100">
        <f>IF(AND(SamplingData[[#This Row],[Total]]&lt;&gt; 0, NOT(ISBLANK(SamplingData[[#This Row],[Candidate 6]]))),(SamplingData[[#This Row],[Total]]+SamplingData[[#This Row],[Winning Candidate]]-SamplingData[[#This Row],[Candidate 6]])/(SamplingData[[#Totals],[Winning Candidate]]-SamplingData[[#Totals],[Candidate 6]]), 0)</f>
        <v>5.8362920091435243E-4</v>
      </c>
      <c r="P777" s="100">
        <f>MAX(SamplingData[[#This Row],[Error Bound (up) - Max. possible relative overstatement - Losing Candidate]:[Error Bound (up) - Max. possible relative overstatement - Candidate 6]])</f>
        <v>1.224889759921607E-3</v>
      </c>
      <c r="Q777" s="100">
        <f>IF(SamplingData[[#This Row],[Max Error Bound (up)]] = 0,0,SamplingData[[#This Row],[Max Error Bound (up)]]/SamplingData[[#Totals],[Max Error Bound (up)]])</f>
        <v>1.9385896556891664E-4</v>
      </c>
      <c r="R777" s="101">
        <f>SUM($Q$5:Q777)</f>
        <v>0.20959596454048507</v>
      </c>
      <c r="S777" s="100" t="str">
        <f t="array" ref="S777">IF(SamplingData[[#This Row],[up/U Selection Probability]] = 0, "Zero", TEXT(SamplingData[[#This Row],[Lower Range]], REPT("0",LEN('General Info'!$B$40))) &amp; " - " &amp; TEXT(SamplingData[[#This Row],[Upper Range]], REPT("0",LEN('General Info'!$B$40))))</f>
        <v>20940 - 20959</v>
      </c>
      <c r="T777" s="100">
        <f>SamplingData[[#This Row],[Upper Range]]-SamplingData[[#This Row],[Span]]</f>
        <v>20940.21075135058</v>
      </c>
      <c r="U777" s="100">
        <f>IF(ISNUMBER('General Info'!$B$40), ((SamplingData[[#This Row],[up/U Selection Probability]]) * 'General Info'!$B$40) - 1, 0)</f>
        <v>18.385702697926096</v>
      </c>
      <c r="V777" s="100">
        <f>IF(ISNUMBER('General Info'!$B$40), (SamplingData[[#This Row],[Running (cumulative) sum]] * ('General Info'!$B$40 -'General Info'!$B$41 + 1)) + 'General Info'!$B$41 - 1, 0)</f>
        <v>20958.596454048507</v>
      </c>
      <c r="W777" s="100" t="str">
        <f>IF(ISERROR(MATCH(SamplingData[[#This Row],[Batch by Type (p)]],SelectedPrecincts[Batch Name], 0)), "", INDEX(SelectedPrecincts[Draw], MATCH(SamplingData[[#This Row],[Batch by Type (p)]],SelectedPrecincts[Batch Name], 0)))</f>
        <v/>
      </c>
      <c r="X777" s="102">
        <f>IF(COUNTIF(SelectedPrecincts[Batch Name],SamplingData[[#This Row],[Batch by Type (p)]]) &lt;&gt; 0, COUNTIF(SelectedPrecincts[Batch Name],SamplingData[[#This Row],[Batch by Type (p)]]), 0)</f>
        <v>0</v>
      </c>
    </row>
    <row r="778" spans="1:24" ht="15" customHeight="1">
      <c r="A778" s="18" t="s">
        <v>954</v>
      </c>
      <c r="B778" s="18">
        <v>4</v>
      </c>
      <c r="C778" s="18">
        <v>1</v>
      </c>
      <c r="D778" s="18">
        <v>0</v>
      </c>
      <c r="E778" s="18">
        <v>0</v>
      </c>
      <c r="F778" s="18">
        <v>0</v>
      </c>
      <c r="G778" s="18">
        <v>0</v>
      </c>
      <c r="H778" s="18">
        <v>0</v>
      </c>
      <c r="I778" s="18">
        <v>0</v>
      </c>
      <c r="J778" s="99">
        <f>SUM(SamplingData[[#This Row],[Losing Candidate]:[Under Votes]])</f>
        <v>5</v>
      </c>
      <c r="K77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778" s="100">
        <f>IF(AND(SamplingData[[#This Row],[Total]]&lt;&gt; 0, NOT(ISBLANK(SamplingData[[#This Row],[Candidate 3]]))),(SamplingData[[#This Row],[Total]]+SamplingData[[#This Row],[Winning Candidate]]-SamplingData[[#This Row],[Candidate 3]])/(SamplingData[[#Totals],[Winning Candidate]]-SamplingData[[#Totals],[Candidate 3]]), 0)</f>
        <v>1.9356711939865149E-4</v>
      </c>
      <c r="M778" s="100">
        <f>IF(AND(SamplingData[[#This Row],[Total]]&lt;&gt; 0, NOT(ISBLANK(SamplingData[[#This Row],[Candidate 4]]))),(SamplingData[[#This Row],[Total]]+SamplingData[[#This Row],[Winning Candidate]]-SamplingData[[#This Row],[Candidate 4]])/(SamplingData[[#Totals],[Winning Candidate]]-SamplingData[[#Totals],[Candidate 4]]), 0)</f>
        <v>1.7539244058581075E-4</v>
      </c>
      <c r="N778" s="100">
        <f>IF(AND(SamplingData[[#This Row],[Total]]&lt;&gt; 0, NOT(ISBLANK(SamplingData[[#This Row],[Candidate 5]]))),(SamplingData[[#This Row],[Total]]+SamplingData[[#This Row],[Winning Candidate]]-SamplingData[[#This Row],[Candidate 5]])/(SamplingData[[#Totals],[Winning Candidate]]-SamplingData[[#Totals],[Candidate 5]]), 0)</f>
        <v>1.4594989053758211E-4</v>
      </c>
      <c r="O778" s="100">
        <f>IF(AND(SamplingData[[#This Row],[Total]]&lt;&gt; 0, NOT(ISBLANK(SamplingData[[#This Row],[Candidate 6]]))),(SamplingData[[#This Row],[Total]]+SamplingData[[#This Row],[Winning Candidate]]-SamplingData[[#This Row],[Candidate 6]])/(SamplingData[[#Totals],[Winning Candidate]]-SamplingData[[#Totals],[Candidate 6]]), 0)</f>
        <v>1.4590730022858811E-4</v>
      </c>
      <c r="P778" s="100">
        <f>MAX(SamplingData[[#This Row],[Error Bound (up) - Max. possible relative overstatement - Losing Candidate]:[Error Bound (up) - Max. possible relative overstatement - Candidate 6]])</f>
        <v>1.9356711939865149E-4</v>
      </c>
      <c r="Q778" s="100">
        <f>IF(SamplingData[[#This Row],[Max Error Bound (up)]] = 0,0,SamplingData[[#This Row],[Max Error Bound (up)]]/SamplingData[[#Totals],[Max Error Bound (up)]])</f>
        <v>3.0635182660992398E-5</v>
      </c>
      <c r="R778" s="101">
        <f>SUM($Q$5:Q778)</f>
        <v>0.20962659972314607</v>
      </c>
      <c r="S778" s="100" t="str">
        <f t="array" ref="S778">IF(SamplingData[[#This Row],[up/U Selection Probability]] = 0, "Zero", TEXT(SamplingData[[#This Row],[Lower Range]], REPT("0",LEN('General Info'!$B$40))) &amp; " - " &amp; TEXT(SamplingData[[#This Row],[Upper Range]], REPT("0",LEN('General Info'!$B$40))))</f>
        <v>20960 - 20962</v>
      </c>
      <c r="T778" s="100">
        <f>SamplingData[[#This Row],[Upper Range]]-SamplingData[[#This Row],[Span]]</f>
        <v>20959.596484683691</v>
      </c>
      <c r="U778" s="100">
        <f>IF(ISNUMBER('General Info'!$B$40), ((SamplingData[[#This Row],[up/U Selection Probability]]) * 'General Info'!$B$40) - 1, 0)</f>
        <v>2.0634876309165788</v>
      </c>
      <c r="V778" s="100">
        <f>IF(ISNUMBER('General Info'!$B$40), (SamplingData[[#This Row],[Running (cumulative) sum]] * ('General Info'!$B$40 -'General Info'!$B$41 + 1)) + 'General Info'!$B$41 - 1, 0)</f>
        <v>20961.659972314606</v>
      </c>
      <c r="W778" s="100" t="str">
        <f>IF(ISERROR(MATCH(SamplingData[[#This Row],[Batch by Type (p)]],SelectedPrecincts[Batch Name], 0)), "", INDEX(SelectedPrecincts[Draw], MATCH(SamplingData[[#This Row],[Batch by Type (p)]],SelectedPrecincts[Batch Name], 0)))</f>
        <v/>
      </c>
      <c r="X778" s="102">
        <f>IF(COUNTIF(SelectedPrecincts[Batch Name],SamplingData[[#This Row],[Batch by Type (p)]]) &lt;&gt; 0, COUNTIF(SelectedPrecincts[Batch Name],SamplingData[[#This Row],[Batch by Type (p)]]), 0)</f>
        <v>0</v>
      </c>
    </row>
    <row r="779" spans="1:24" ht="15" customHeight="1">
      <c r="A779" s="18" t="s">
        <v>955</v>
      </c>
      <c r="B779" s="18">
        <v>4</v>
      </c>
      <c r="C779" s="18">
        <v>4</v>
      </c>
      <c r="D779" s="16">
        <v>2</v>
      </c>
      <c r="E779" s="16">
        <v>2</v>
      </c>
      <c r="F779" s="37">
        <v>1</v>
      </c>
      <c r="G779" s="37">
        <v>1</v>
      </c>
      <c r="H779" s="17">
        <v>0</v>
      </c>
      <c r="I779" s="17">
        <v>0</v>
      </c>
      <c r="J779" s="99">
        <f>SUM(SamplingData[[#This Row],[Losing Candidate]:[Under Votes]])</f>
        <v>14</v>
      </c>
      <c r="K779"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779" s="100">
        <f>IF(AND(SamplingData[[#This Row],[Total]]&lt;&gt; 0, NOT(ISBLANK(SamplingData[[#This Row],[Candidate 3]]))),(SamplingData[[#This Row],[Total]]+SamplingData[[#This Row],[Winning Candidate]]-SamplingData[[#This Row],[Candidate 3]])/(SamplingData[[#Totals],[Winning Candidate]]-SamplingData[[#Totals],[Candidate 3]]), 0)</f>
        <v>5.1617898506307067E-4</v>
      </c>
      <c r="M779" s="100">
        <f>IF(AND(SamplingData[[#This Row],[Total]]&lt;&gt; 0, NOT(ISBLANK(SamplingData[[#This Row],[Candidate 4]]))),(SamplingData[[#This Row],[Total]]+SamplingData[[#This Row],[Winning Candidate]]-SamplingData[[#This Row],[Candidate 4]])/(SamplingData[[#Totals],[Winning Candidate]]-SamplingData[[#Totals],[Candidate 4]]), 0)</f>
        <v>4.6771317489549536E-4</v>
      </c>
      <c r="N779" s="100">
        <f>IF(AND(SamplingData[[#This Row],[Total]]&lt;&gt; 0, NOT(ISBLANK(SamplingData[[#This Row],[Candidate 5]]))),(SamplingData[[#This Row],[Total]]+SamplingData[[#This Row],[Winning Candidate]]-SamplingData[[#This Row],[Candidate 5]])/(SamplingData[[#Totals],[Winning Candidate]]-SamplingData[[#Totals],[Candidate 5]]), 0)</f>
        <v>4.1352468985648261E-4</v>
      </c>
      <c r="O779" s="100">
        <f>IF(AND(SamplingData[[#This Row],[Total]]&lt;&gt; 0, NOT(ISBLANK(SamplingData[[#This Row],[Candidate 6]]))),(SamplingData[[#This Row],[Total]]+SamplingData[[#This Row],[Winning Candidate]]-SamplingData[[#This Row],[Candidate 6]])/(SamplingData[[#Totals],[Winning Candidate]]-SamplingData[[#Totals],[Candidate 6]]), 0)</f>
        <v>4.1340401731433294E-4</v>
      </c>
      <c r="P779" s="100">
        <f>MAX(SamplingData[[#This Row],[Error Bound (up) - Max. possible relative overstatement - Losing Candidate]:[Error Bound (up) - Max. possible relative overstatement - Candidate 6]])</f>
        <v>8.5742283194512492E-4</v>
      </c>
      <c r="Q779" s="100">
        <f>IF(SamplingData[[#This Row],[Max Error Bound (up)]] = 0,0,SamplingData[[#This Row],[Max Error Bound (up)]]/SamplingData[[#Totals],[Max Error Bound (up)]])</f>
        <v>1.3570127589824165E-4</v>
      </c>
      <c r="R779" s="101">
        <f>SUM($Q$5:Q779)</f>
        <v>0.2097623009990443</v>
      </c>
      <c r="S779" s="100" t="str">
        <f t="array" ref="S779">IF(SamplingData[[#This Row],[up/U Selection Probability]] = 0, "Zero", TEXT(SamplingData[[#This Row],[Lower Range]], REPT("0",LEN('General Info'!$B$40))) &amp; " - " &amp; TEXT(SamplingData[[#This Row],[Upper Range]], REPT("0",LEN('General Info'!$B$40))))</f>
        <v>20963 - 20975</v>
      </c>
      <c r="T779" s="100">
        <f>SamplingData[[#This Row],[Upper Range]]-SamplingData[[#This Row],[Span]]</f>
        <v>20962.660108015883</v>
      </c>
      <c r="U779" s="100">
        <f>IF(ISNUMBER('General Info'!$B$40), ((SamplingData[[#This Row],[up/U Selection Probability]]) * 'General Info'!$B$40) - 1, 0)</f>
        <v>12.569991888548268</v>
      </c>
      <c r="V779" s="100">
        <f>IF(ISNUMBER('General Info'!$B$40), (SamplingData[[#This Row],[Running (cumulative) sum]] * ('General Info'!$B$40 -'General Info'!$B$41 + 1)) + 'General Info'!$B$41 - 1, 0)</f>
        <v>20975.230099904431</v>
      </c>
      <c r="W779" s="100" t="str">
        <f>IF(ISERROR(MATCH(SamplingData[[#This Row],[Batch by Type (p)]],SelectedPrecincts[Batch Name], 0)), "", INDEX(SelectedPrecincts[Draw], MATCH(SamplingData[[#This Row],[Batch by Type (p)]],SelectedPrecincts[Batch Name], 0)))</f>
        <v/>
      </c>
      <c r="X779" s="102">
        <f>IF(COUNTIF(SelectedPrecincts[Batch Name],SamplingData[[#This Row],[Batch by Type (p)]]) &lt;&gt; 0, COUNTIF(SelectedPrecincts[Batch Name],SamplingData[[#This Row],[Batch by Type (p)]]), 0)</f>
        <v>0</v>
      </c>
    </row>
    <row r="780" spans="1:24" ht="15" customHeight="1">
      <c r="A780" s="18" t="s">
        <v>956</v>
      </c>
      <c r="B780" s="18">
        <v>0</v>
      </c>
      <c r="C780" s="18">
        <v>1</v>
      </c>
      <c r="D780" s="18">
        <v>0</v>
      </c>
      <c r="E780" s="18">
        <v>0</v>
      </c>
      <c r="F780" s="18">
        <v>0</v>
      </c>
      <c r="G780" s="18">
        <v>0</v>
      </c>
      <c r="H780" s="18">
        <v>0</v>
      </c>
      <c r="I780" s="18">
        <v>0</v>
      </c>
      <c r="J780" s="99">
        <f>SUM(SamplingData[[#This Row],[Losing Candidate]:[Under Votes]])</f>
        <v>1</v>
      </c>
      <c r="K78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780" s="100">
        <f>IF(AND(SamplingData[[#This Row],[Total]]&lt;&gt; 0, NOT(ISBLANK(SamplingData[[#This Row],[Candidate 3]]))),(SamplingData[[#This Row],[Total]]+SamplingData[[#This Row],[Winning Candidate]]-SamplingData[[#This Row],[Candidate 3]])/(SamplingData[[#Totals],[Winning Candidate]]-SamplingData[[#Totals],[Candidate 3]]), 0)</f>
        <v>6.4522373132883833E-5</v>
      </c>
      <c r="M780" s="100">
        <f>IF(AND(SamplingData[[#This Row],[Total]]&lt;&gt; 0, NOT(ISBLANK(SamplingData[[#This Row],[Candidate 4]]))),(SamplingData[[#This Row],[Total]]+SamplingData[[#This Row],[Winning Candidate]]-SamplingData[[#This Row],[Candidate 4]])/(SamplingData[[#Totals],[Winning Candidate]]-SamplingData[[#Totals],[Candidate 4]]), 0)</f>
        <v>5.846414686193692E-5</v>
      </c>
      <c r="N780" s="100">
        <f>IF(AND(SamplingData[[#This Row],[Total]]&lt;&gt; 0, NOT(ISBLANK(SamplingData[[#This Row],[Candidate 5]]))),(SamplingData[[#This Row],[Total]]+SamplingData[[#This Row],[Winning Candidate]]-SamplingData[[#This Row],[Candidate 5]])/(SamplingData[[#Totals],[Winning Candidate]]-SamplingData[[#Totals],[Candidate 5]]), 0)</f>
        <v>4.8649963512527367E-5</v>
      </c>
      <c r="O780" s="100">
        <f>IF(AND(SamplingData[[#This Row],[Total]]&lt;&gt; 0, NOT(ISBLANK(SamplingData[[#This Row],[Candidate 6]]))),(SamplingData[[#This Row],[Total]]+SamplingData[[#This Row],[Winning Candidate]]-SamplingData[[#This Row],[Candidate 6]])/(SamplingData[[#Totals],[Winning Candidate]]-SamplingData[[#Totals],[Candidate 6]]), 0)</f>
        <v>4.8635766742862701E-5</v>
      </c>
      <c r="P780" s="100">
        <f>MAX(SamplingData[[#This Row],[Error Bound (up) - Max. possible relative overstatement - Losing Candidate]:[Error Bound (up) - Max. possible relative overstatement - Candidate 6]])</f>
        <v>1.224889759921607E-4</v>
      </c>
      <c r="Q780" s="100">
        <f>IF(SamplingData[[#This Row],[Max Error Bound (up)]] = 0,0,SamplingData[[#This Row],[Max Error Bound (up)]]/SamplingData[[#Totals],[Max Error Bound (up)]])</f>
        <v>1.9385896556891663E-5</v>
      </c>
      <c r="R780" s="101">
        <f>SUM($Q$5:Q780)</f>
        <v>0.2097816868956012</v>
      </c>
      <c r="S780" s="100" t="str">
        <f t="array" ref="S780">IF(SamplingData[[#This Row],[up/U Selection Probability]] = 0, "Zero", TEXT(SamplingData[[#This Row],[Lower Range]], REPT("0",LEN('General Info'!$B$40))) &amp; " - " &amp; TEXT(SamplingData[[#This Row],[Upper Range]], REPT("0",LEN('General Info'!$B$40))))</f>
        <v>20976 - 20977</v>
      </c>
      <c r="T780" s="100">
        <f>SamplingData[[#This Row],[Upper Range]]-SamplingData[[#This Row],[Span]]</f>
        <v>20976.230119290329</v>
      </c>
      <c r="U780" s="100">
        <f>IF(ISNUMBER('General Info'!$B$40), ((SamplingData[[#This Row],[up/U Selection Probability]]) * 'General Info'!$B$40) - 1, 0)</f>
        <v>0.93857026979260949</v>
      </c>
      <c r="V780" s="100">
        <f>IF(ISNUMBER('General Info'!$B$40), (SamplingData[[#This Row],[Running (cumulative) sum]] * ('General Info'!$B$40 -'General Info'!$B$41 + 1)) + 'General Info'!$B$41 - 1, 0)</f>
        <v>20977.16868956012</v>
      </c>
      <c r="W780" s="100" t="str">
        <f>IF(ISERROR(MATCH(SamplingData[[#This Row],[Batch by Type (p)]],SelectedPrecincts[Batch Name], 0)), "", INDEX(SelectedPrecincts[Draw], MATCH(SamplingData[[#This Row],[Batch by Type (p)]],SelectedPrecincts[Batch Name], 0)))</f>
        <v/>
      </c>
      <c r="X780" s="102">
        <f>IF(COUNTIF(SelectedPrecincts[Batch Name],SamplingData[[#This Row],[Batch by Type (p)]]) &lt;&gt; 0, COUNTIF(SelectedPrecincts[Batch Name],SamplingData[[#This Row],[Batch by Type (p)]]), 0)</f>
        <v>0</v>
      </c>
    </row>
    <row r="781" spans="1:24" ht="15" customHeight="1">
      <c r="A781" s="18" t="s">
        <v>957</v>
      </c>
      <c r="B781" s="18">
        <v>2</v>
      </c>
      <c r="C781" s="18">
        <v>5</v>
      </c>
      <c r="D781" s="16">
        <v>4</v>
      </c>
      <c r="E781" s="16">
        <v>0</v>
      </c>
      <c r="F781" s="37">
        <v>0</v>
      </c>
      <c r="G781" s="37">
        <v>0</v>
      </c>
      <c r="H781" s="17">
        <v>0</v>
      </c>
      <c r="I781" s="17">
        <v>0</v>
      </c>
      <c r="J781" s="99">
        <f>SUM(SamplingData[[#This Row],[Losing Candidate]:[Under Votes]])</f>
        <v>11</v>
      </c>
      <c r="K781"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781" s="100">
        <f>IF(AND(SamplingData[[#This Row],[Total]]&lt;&gt; 0, NOT(ISBLANK(SamplingData[[#This Row],[Candidate 3]]))),(SamplingData[[#This Row],[Total]]+SamplingData[[#This Row],[Winning Candidate]]-SamplingData[[#This Row],[Candidate 3]])/(SamplingData[[#Totals],[Winning Candidate]]-SamplingData[[#Totals],[Candidate 3]]), 0)</f>
        <v>3.8713423879730297E-4</v>
      </c>
      <c r="M781" s="100">
        <f>IF(AND(SamplingData[[#This Row],[Total]]&lt;&gt; 0, NOT(ISBLANK(SamplingData[[#This Row],[Candidate 4]]))),(SamplingData[[#This Row],[Total]]+SamplingData[[#This Row],[Winning Candidate]]-SamplingData[[#This Row],[Candidate 4]])/(SamplingData[[#Totals],[Winning Candidate]]-SamplingData[[#Totals],[Candidate 4]]), 0)</f>
        <v>4.6771317489549536E-4</v>
      </c>
      <c r="N781" s="100">
        <f>IF(AND(SamplingData[[#This Row],[Total]]&lt;&gt; 0, NOT(ISBLANK(SamplingData[[#This Row],[Candidate 5]]))),(SamplingData[[#This Row],[Total]]+SamplingData[[#This Row],[Winning Candidate]]-SamplingData[[#This Row],[Candidate 5]])/(SamplingData[[#Totals],[Winning Candidate]]-SamplingData[[#Totals],[Candidate 5]]), 0)</f>
        <v>3.8919970810021893E-4</v>
      </c>
      <c r="O781" s="100">
        <f>IF(AND(SamplingData[[#This Row],[Total]]&lt;&gt; 0, NOT(ISBLANK(SamplingData[[#This Row],[Candidate 6]]))),(SamplingData[[#This Row],[Total]]+SamplingData[[#This Row],[Winning Candidate]]-SamplingData[[#This Row],[Candidate 6]])/(SamplingData[[#Totals],[Winning Candidate]]-SamplingData[[#Totals],[Candidate 6]]), 0)</f>
        <v>3.8908613394290161E-4</v>
      </c>
      <c r="P781" s="100">
        <f>MAX(SamplingData[[#This Row],[Error Bound (up) - Max. possible relative overstatement - Losing Candidate]:[Error Bound (up) - Max. possible relative overstatement - Candidate 6]])</f>
        <v>8.5742283194512492E-4</v>
      </c>
      <c r="Q781" s="100">
        <f>IF(SamplingData[[#This Row],[Max Error Bound (up)]] = 0,0,SamplingData[[#This Row],[Max Error Bound (up)]]/SamplingData[[#Totals],[Max Error Bound (up)]])</f>
        <v>1.3570127589824165E-4</v>
      </c>
      <c r="R781" s="101">
        <f>SUM($Q$5:Q781)</f>
        <v>0.20991738817149944</v>
      </c>
      <c r="S781" s="100" t="str">
        <f t="array" ref="S781">IF(SamplingData[[#This Row],[up/U Selection Probability]] = 0, "Zero", TEXT(SamplingData[[#This Row],[Lower Range]], REPT("0",LEN('General Info'!$B$40))) &amp; " - " &amp; TEXT(SamplingData[[#This Row],[Upper Range]], REPT("0",LEN('General Info'!$B$40))))</f>
        <v>20978 - 20991</v>
      </c>
      <c r="T781" s="100">
        <f>SamplingData[[#This Row],[Upper Range]]-SamplingData[[#This Row],[Span]]</f>
        <v>20978.168825261397</v>
      </c>
      <c r="U781" s="100">
        <f>IF(ISNUMBER('General Info'!$B$40), ((SamplingData[[#This Row],[up/U Selection Probability]]) * 'General Info'!$B$40) - 1, 0)</f>
        <v>12.569991888548268</v>
      </c>
      <c r="V781" s="100">
        <f>IF(ISNUMBER('General Info'!$B$40), (SamplingData[[#This Row],[Running (cumulative) sum]] * ('General Info'!$B$40 -'General Info'!$B$41 + 1)) + 'General Info'!$B$41 - 1, 0)</f>
        <v>20990.738817149944</v>
      </c>
      <c r="W781" s="100" t="str">
        <f>IF(ISERROR(MATCH(SamplingData[[#This Row],[Batch by Type (p)]],SelectedPrecincts[Batch Name], 0)), "", INDEX(SelectedPrecincts[Draw], MATCH(SamplingData[[#This Row],[Batch by Type (p)]],SelectedPrecincts[Batch Name], 0)))</f>
        <v/>
      </c>
      <c r="X781" s="102">
        <f>IF(COUNTIF(SelectedPrecincts[Batch Name],SamplingData[[#This Row],[Batch by Type (p)]]) &lt;&gt; 0, COUNTIF(SelectedPrecincts[Batch Name],SamplingData[[#This Row],[Batch by Type (p)]]), 0)</f>
        <v>0</v>
      </c>
    </row>
    <row r="782" spans="1:24" ht="15" customHeight="1">
      <c r="A782" s="18" t="s">
        <v>958</v>
      </c>
      <c r="B782" s="18">
        <v>1</v>
      </c>
      <c r="C782" s="18">
        <v>1</v>
      </c>
      <c r="D782" s="18">
        <v>3</v>
      </c>
      <c r="E782" s="18">
        <v>0</v>
      </c>
      <c r="F782" s="18">
        <v>0</v>
      </c>
      <c r="G782" s="18">
        <v>0</v>
      </c>
      <c r="H782" s="18">
        <v>0</v>
      </c>
      <c r="I782" s="18">
        <v>0</v>
      </c>
      <c r="J782" s="99">
        <f>SUM(SamplingData[[#This Row],[Losing Candidate]:[Under Votes]])</f>
        <v>5</v>
      </c>
      <c r="K782"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782" s="100">
        <f>IF(AND(SamplingData[[#This Row],[Total]]&lt;&gt; 0, NOT(ISBLANK(SamplingData[[#This Row],[Candidate 3]]))),(SamplingData[[#This Row],[Total]]+SamplingData[[#This Row],[Winning Candidate]]-SamplingData[[#This Row],[Candidate 3]])/(SamplingData[[#Totals],[Winning Candidate]]-SamplingData[[#Totals],[Candidate 3]]), 0)</f>
        <v>9.6783559699325743E-5</v>
      </c>
      <c r="M782" s="100">
        <f>IF(AND(SamplingData[[#This Row],[Total]]&lt;&gt; 0, NOT(ISBLANK(SamplingData[[#This Row],[Candidate 4]]))),(SamplingData[[#This Row],[Total]]+SamplingData[[#This Row],[Winning Candidate]]-SamplingData[[#This Row],[Candidate 4]])/(SamplingData[[#Totals],[Winning Candidate]]-SamplingData[[#Totals],[Candidate 4]]), 0)</f>
        <v>1.7539244058581075E-4</v>
      </c>
      <c r="N782" s="100">
        <f>IF(AND(SamplingData[[#This Row],[Total]]&lt;&gt; 0, NOT(ISBLANK(SamplingData[[#This Row],[Candidate 5]]))),(SamplingData[[#This Row],[Total]]+SamplingData[[#This Row],[Winning Candidate]]-SamplingData[[#This Row],[Candidate 5]])/(SamplingData[[#Totals],[Winning Candidate]]-SamplingData[[#Totals],[Candidate 5]]), 0)</f>
        <v>1.4594989053758211E-4</v>
      </c>
      <c r="O782" s="100">
        <f>IF(AND(SamplingData[[#This Row],[Total]]&lt;&gt; 0, NOT(ISBLANK(SamplingData[[#This Row],[Candidate 6]]))),(SamplingData[[#This Row],[Total]]+SamplingData[[#This Row],[Winning Candidate]]-SamplingData[[#This Row],[Candidate 6]])/(SamplingData[[#Totals],[Winning Candidate]]-SamplingData[[#Totals],[Candidate 6]]), 0)</f>
        <v>1.4590730022858811E-4</v>
      </c>
      <c r="P782" s="100">
        <f>MAX(SamplingData[[#This Row],[Error Bound (up) - Max. possible relative overstatement - Losing Candidate]:[Error Bound (up) - Max. possible relative overstatement - Candidate 6]])</f>
        <v>3.0622243998040176E-4</v>
      </c>
      <c r="Q782" s="100">
        <f>IF(SamplingData[[#This Row],[Max Error Bound (up)]] = 0,0,SamplingData[[#This Row],[Max Error Bound (up)]]/SamplingData[[#Totals],[Max Error Bound (up)]])</f>
        <v>4.8464741392229159E-5</v>
      </c>
      <c r="R782" s="101">
        <f>SUM($Q$5:Q782)</f>
        <v>0.20996585291289166</v>
      </c>
      <c r="S782" s="100" t="str">
        <f t="array" ref="S782">IF(SamplingData[[#This Row],[up/U Selection Probability]] = 0, "Zero", TEXT(SamplingData[[#This Row],[Lower Range]], REPT("0",LEN('General Info'!$B$40))) &amp; " - " &amp; TEXT(SamplingData[[#This Row],[Upper Range]], REPT("0",LEN('General Info'!$B$40))))</f>
        <v>20992 - 20996</v>
      </c>
      <c r="T782" s="100">
        <f>SamplingData[[#This Row],[Upper Range]]-SamplingData[[#This Row],[Span]]</f>
        <v>20991.738865614683</v>
      </c>
      <c r="U782" s="100">
        <f>IF(ISNUMBER('General Info'!$B$40), ((SamplingData[[#This Row],[up/U Selection Probability]]) * 'General Info'!$B$40) - 1, 0)</f>
        <v>3.8464256744815239</v>
      </c>
      <c r="V782" s="100">
        <f>IF(ISNUMBER('General Info'!$B$40), (SamplingData[[#This Row],[Running (cumulative) sum]] * ('General Info'!$B$40 -'General Info'!$B$41 + 1)) + 'General Info'!$B$41 - 1, 0)</f>
        <v>20995.585291289164</v>
      </c>
      <c r="W782" s="100" t="str">
        <f>IF(ISERROR(MATCH(SamplingData[[#This Row],[Batch by Type (p)]],SelectedPrecincts[Batch Name], 0)), "", INDEX(SelectedPrecincts[Draw], MATCH(SamplingData[[#This Row],[Batch by Type (p)]],SelectedPrecincts[Batch Name], 0)))</f>
        <v/>
      </c>
      <c r="X782" s="102">
        <f>IF(COUNTIF(SelectedPrecincts[Batch Name],SamplingData[[#This Row],[Batch by Type (p)]]) &lt;&gt; 0, COUNTIF(SelectedPrecincts[Batch Name],SamplingData[[#This Row],[Batch by Type (p)]]), 0)</f>
        <v>0</v>
      </c>
    </row>
    <row r="783" spans="1:24" ht="15" customHeight="1">
      <c r="A783" s="18" t="s">
        <v>959</v>
      </c>
      <c r="B783" s="18">
        <v>1</v>
      </c>
      <c r="C783" s="18">
        <v>0</v>
      </c>
      <c r="D783" s="16">
        <v>0</v>
      </c>
      <c r="E783" s="16">
        <v>0</v>
      </c>
      <c r="F783" s="37">
        <v>0</v>
      </c>
      <c r="G783" s="37">
        <v>0</v>
      </c>
      <c r="H783" s="17">
        <v>0</v>
      </c>
      <c r="I783" s="17">
        <v>0</v>
      </c>
      <c r="J783" s="99">
        <f>SUM(SamplingData[[#This Row],[Losing Candidate]:[Under Votes]])</f>
        <v>1</v>
      </c>
      <c r="K783" s="100">
        <f>IF(AND(SamplingData[[#This Row],[Total]]&lt;&gt; 0, NOT(ISBLANK(SamplingData[[#This Row],[Losing Candidate]]))),(SamplingData[[#This Row],[Total]]+SamplingData[[#This Row],[Winning Candidate]]-SamplingData[[#This Row],[Losing Candidate]])/(SamplingData[[#Totals],[Winning Candidate]]-SamplingData[[#Totals],[Losing Candidate]]), 0)</f>
        <v>0</v>
      </c>
      <c r="L783" s="100">
        <f>IF(AND(SamplingData[[#This Row],[Total]]&lt;&gt; 0, NOT(ISBLANK(SamplingData[[#This Row],[Candidate 3]]))),(SamplingData[[#This Row],[Total]]+SamplingData[[#This Row],[Winning Candidate]]-SamplingData[[#This Row],[Candidate 3]])/(SamplingData[[#Totals],[Winning Candidate]]-SamplingData[[#Totals],[Candidate 3]]), 0)</f>
        <v>3.2261186566441917E-5</v>
      </c>
      <c r="M783" s="100">
        <f>IF(AND(SamplingData[[#This Row],[Total]]&lt;&gt; 0, NOT(ISBLANK(SamplingData[[#This Row],[Candidate 4]]))),(SamplingData[[#This Row],[Total]]+SamplingData[[#This Row],[Winning Candidate]]-SamplingData[[#This Row],[Candidate 4]])/(SamplingData[[#Totals],[Winning Candidate]]-SamplingData[[#Totals],[Candidate 4]]), 0)</f>
        <v>2.923207343096846E-5</v>
      </c>
      <c r="N783" s="100">
        <f>IF(AND(SamplingData[[#This Row],[Total]]&lt;&gt; 0, NOT(ISBLANK(SamplingData[[#This Row],[Candidate 5]]))),(SamplingData[[#This Row],[Total]]+SamplingData[[#This Row],[Winning Candidate]]-SamplingData[[#This Row],[Candidate 5]])/(SamplingData[[#Totals],[Winning Candidate]]-SamplingData[[#Totals],[Candidate 5]]), 0)</f>
        <v>2.4324981756263683E-5</v>
      </c>
      <c r="O783" s="100">
        <f>IF(AND(SamplingData[[#This Row],[Total]]&lt;&gt; 0, NOT(ISBLANK(SamplingData[[#This Row],[Candidate 6]]))),(SamplingData[[#This Row],[Total]]+SamplingData[[#This Row],[Winning Candidate]]-SamplingData[[#This Row],[Candidate 6]])/(SamplingData[[#Totals],[Winning Candidate]]-SamplingData[[#Totals],[Candidate 6]]), 0)</f>
        <v>2.431788337143135E-5</v>
      </c>
      <c r="P783" s="100">
        <f>MAX(SamplingData[[#This Row],[Error Bound (up) - Max. possible relative overstatement - Losing Candidate]:[Error Bound (up) - Max. possible relative overstatement - Candidate 6]])</f>
        <v>3.2261186566441917E-5</v>
      </c>
      <c r="Q783" s="100">
        <f>IF(SamplingData[[#This Row],[Max Error Bound (up)]] = 0,0,SamplingData[[#This Row],[Max Error Bound (up)]]/SamplingData[[#Totals],[Max Error Bound (up)]])</f>
        <v>5.1058637768320663E-6</v>
      </c>
      <c r="R783" s="101">
        <f>SUM($Q$5:Q783)</f>
        <v>0.20997095877666849</v>
      </c>
      <c r="S783" s="100" t="str">
        <f t="array" ref="S783">IF(SamplingData[[#This Row],[up/U Selection Probability]] = 0, "Zero", TEXT(SamplingData[[#This Row],[Lower Range]], REPT("0",LEN('General Info'!$B$40))) &amp; " - " &amp; TEXT(SamplingData[[#This Row],[Upper Range]], REPT("0",LEN('General Info'!$B$40))))</f>
        <v>20997 - 20996</v>
      </c>
      <c r="T783" s="100">
        <f>SamplingData[[#This Row],[Upper Range]]-SamplingData[[#This Row],[Span]]</f>
        <v>20996.585296395027</v>
      </c>
      <c r="U783" s="100">
        <f>IF(ISNUMBER('General Info'!$B$40), ((SamplingData[[#This Row],[up/U Selection Probability]]) * 'General Info'!$B$40) - 1, 0)</f>
        <v>-0.4894187281805702</v>
      </c>
      <c r="V783" s="100">
        <f>IF(ISNUMBER('General Info'!$B$40), (SamplingData[[#This Row],[Running (cumulative) sum]] * ('General Info'!$B$40 -'General Info'!$B$41 + 1)) + 'General Info'!$B$41 - 1, 0)</f>
        <v>20996.095877666849</v>
      </c>
      <c r="W783" s="100" t="str">
        <f>IF(ISERROR(MATCH(SamplingData[[#This Row],[Batch by Type (p)]],SelectedPrecincts[Batch Name], 0)), "", INDEX(SelectedPrecincts[Draw], MATCH(SamplingData[[#This Row],[Batch by Type (p)]],SelectedPrecincts[Batch Name], 0)))</f>
        <v/>
      </c>
      <c r="X783" s="102">
        <f>IF(COUNTIF(SelectedPrecincts[Batch Name],SamplingData[[#This Row],[Batch by Type (p)]]) &lt;&gt; 0, COUNTIF(SelectedPrecincts[Batch Name],SamplingData[[#This Row],[Batch by Type (p)]]), 0)</f>
        <v>0</v>
      </c>
    </row>
    <row r="784" spans="1:24" ht="15" customHeight="1">
      <c r="A784" s="18" t="s">
        <v>960</v>
      </c>
      <c r="B784" s="18">
        <v>0</v>
      </c>
      <c r="C784" s="18">
        <v>1</v>
      </c>
      <c r="D784" s="18">
        <v>0</v>
      </c>
      <c r="E784" s="18">
        <v>0</v>
      </c>
      <c r="F784" s="18">
        <v>0</v>
      </c>
      <c r="G784" s="18">
        <v>0</v>
      </c>
      <c r="H784" s="18">
        <v>0</v>
      </c>
      <c r="I784" s="18">
        <v>0</v>
      </c>
      <c r="J784" s="99">
        <f>SUM(SamplingData[[#This Row],[Losing Candidate]:[Under Votes]])</f>
        <v>1</v>
      </c>
      <c r="K78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784" s="100">
        <f>IF(AND(SamplingData[[#This Row],[Total]]&lt;&gt; 0, NOT(ISBLANK(SamplingData[[#This Row],[Candidate 3]]))),(SamplingData[[#This Row],[Total]]+SamplingData[[#This Row],[Winning Candidate]]-SamplingData[[#This Row],[Candidate 3]])/(SamplingData[[#Totals],[Winning Candidate]]-SamplingData[[#Totals],[Candidate 3]]), 0)</f>
        <v>6.4522373132883833E-5</v>
      </c>
      <c r="M784" s="100">
        <f>IF(AND(SamplingData[[#This Row],[Total]]&lt;&gt; 0, NOT(ISBLANK(SamplingData[[#This Row],[Candidate 4]]))),(SamplingData[[#This Row],[Total]]+SamplingData[[#This Row],[Winning Candidate]]-SamplingData[[#This Row],[Candidate 4]])/(SamplingData[[#Totals],[Winning Candidate]]-SamplingData[[#Totals],[Candidate 4]]), 0)</f>
        <v>5.846414686193692E-5</v>
      </c>
      <c r="N784" s="100">
        <f>IF(AND(SamplingData[[#This Row],[Total]]&lt;&gt; 0, NOT(ISBLANK(SamplingData[[#This Row],[Candidate 5]]))),(SamplingData[[#This Row],[Total]]+SamplingData[[#This Row],[Winning Candidate]]-SamplingData[[#This Row],[Candidate 5]])/(SamplingData[[#Totals],[Winning Candidate]]-SamplingData[[#Totals],[Candidate 5]]), 0)</f>
        <v>4.8649963512527367E-5</v>
      </c>
      <c r="O784" s="100">
        <f>IF(AND(SamplingData[[#This Row],[Total]]&lt;&gt; 0, NOT(ISBLANK(SamplingData[[#This Row],[Candidate 6]]))),(SamplingData[[#This Row],[Total]]+SamplingData[[#This Row],[Winning Candidate]]-SamplingData[[#This Row],[Candidate 6]])/(SamplingData[[#Totals],[Winning Candidate]]-SamplingData[[#Totals],[Candidate 6]]), 0)</f>
        <v>4.8635766742862701E-5</v>
      </c>
      <c r="P784" s="100">
        <f>MAX(SamplingData[[#This Row],[Error Bound (up) - Max. possible relative overstatement - Losing Candidate]:[Error Bound (up) - Max. possible relative overstatement - Candidate 6]])</f>
        <v>1.224889759921607E-4</v>
      </c>
      <c r="Q784" s="100">
        <f>IF(SamplingData[[#This Row],[Max Error Bound (up)]] = 0,0,SamplingData[[#This Row],[Max Error Bound (up)]]/SamplingData[[#Totals],[Max Error Bound (up)]])</f>
        <v>1.9385896556891663E-5</v>
      </c>
      <c r="R784" s="101">
        <f>SUM($Q$5:Q784)</f>
        <v>0.20999034467322539</v>
      </c>
      <c r="S784" s="100" t="str">
        <f t="array" ref="S784">IF(SamplingData[[#This Row],[up/U Selection Probability]] = 0, "Zero", TEXT(SamplingData[[#This Row],[Lower Range]], REPT("0",LEN('General Info'!$B$40))) &amp; " - " &amp; TEXT(SamplingData[[#This Row],[Upper Range]], REPT("0",LEN('General Info'!$B$40))))</f>
        <v>20997 - 20998</v>
      </c>
      <c r="T784" s="100">
        <f>SamplingData[[#This Row],[Upper Range]]-SamplingData[[#This Row],[Span]]</f>
        <v>20997.095897052746</v>
      </c>
      <c r="U784" s="100">
        <f>IF(ISNUMBER('General Info'!$B$40), ((SamplingData[[#This Row],[up/U Selection Probability]]) * 'General Info'!$B$40) - 1, 0)</f>
        <v>0.93857026979260949</v>
      </c>
      <c r="V784" s="100">
        <f>IF(ISNUMBER('General Info'!$B$40), (SamplingData[[#This Row],[Running (cumulative) sum]] * ('General Info'!$B$40 -'General Info'!$B$41 + 1)) + 'General Info'!$B$41 - 1, 0)</f>
        <v>20998.034467322537</v>
      </c>
      <c r="W784" s="100" t="str">
        <f>IF(ISERROR(MATCH(SamplingData[[#This Row],[Batch by Type (p)]],SelectedPrecincts[Batch Name], 0)), "", INDEX(SelectedPrecincts[Draw], MATCH(SamplingData[[#This Row],[Batch by Type (p)]],SelectedPrecincts[Batch Name], 0)))</f>
        <v/>
      </c>
      <c r="X784" s="102">
        <f>IF(COUNTIF(SelectedPrecincts[Batch Name],SamplingData[[#This Row],[Batch by Type (p)]]) &lt;&gt; 0, COUNTIF(SelectedPrecincts[Batch Name],SamplingData[[#This Row],[Batch by Type (p)]]), 0)</f>
        <v>0</v>
      </c>
    </row>
    <row r="785" spans="1:24" ht="15" customHeight="1">
      <c r="A785" s="18" t="s">
        <v>961</v>
      </c>
      <c r="B785" s="18">
        <v>4</v>
      </c>
      <c r="C785" s="18">
        <v>2</v>
      </c>
      <c r="D785" s="16">
        <v>2</v>
      </c>
      <c r="E785" s="16">
        <v>5</v>
      </c>
      <c r="F785" s="37">
        <v>0</v>
      </c>
      <c r="G785" s="37">
        <v>0</v>
      </c>
      <c r="H785" s="17">
        <v>0</v>
      </c>
      <c r="I785" s="17">
        <v>1</v>
      </c>
      <c r="J785" s="99">
        <f>SUM(SamplingData[[#This Row],[Losing Candidate]:[Under Votes]])</f>
        <v>14</v>
      </c>
      <c r="K785"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785" s="100">
        <f>IF(AND(SamplingData[[#This Row],[Total]]&lt;&gt; 0, NOT(ISBLANK(SamplingData[[#This Row],[Candidate 3]]))),(SamplingData[[#This Row],[Total]]+SamplingData[[#This Row],[Winning Candidate]]-SamplingData[[#This Row],[Candidate 3]])/(SamplingData[[#Totals],[Winning Candidate]]-SamplingData[[#Totals],[Candidate 3]]), 0)</f>
        <v>4.5165661193018679E-4</v>
      </c>
      <c r="M785" s="100">
        <f>IF(AND(SamplingData[[#This Row],[Total]]&lt;&gt; 0, NOT(ISBLANK(SamplingData[[#This Row],[Candidate 4]]))),(SamplingData[[#This Row],[Total]]+SamplingData[[#This Row],[Winning Candidate]]-SamplingData[[#This Row],[Candidate 4]])/(SamplingData[[#Totals],[Winning Candidate]]-SamplingData[[#Totals],[Candidate 4]]), 0)</f>
        <v>3.2155280774065302E-4</v>
      </c>
      <c r="N785" s="100">
        <f>IF(AND(SamplingData[[#This Row],[Total]]&lt;&gt; 0, NOT(ISBLANK(SamplingData[[#This Row],[Candidate 5]]))),(SamplingData[[#This Row],[Total]]+SamplingData[[#This Row],[Winning Candidate]]-SamplingData[[#This Row],[Candidate 5]])/(SamplingData[[#Totals],[Winning Candidate]]-SamplingData[[#Totals],[Candidate 5]]), 0)</f>
        <v>3.8919970810021893E-4</v>
      </c>
      <c r="O785" s="100">
        <f>IF(AND(SamplingData[[#This Row],[Total]]&lt;&gt; 0, NOT(ISBLANK(SamplingData[[#This Row],[Candidate 6]]))),(SamplingData[[#This Row],[Total]]+SamplingData[[#This Row],[Winning Candidate]]-SamplingData[[#This Row],[Candidate 6]])/(SamplingData[[#Totals],[Winning Candidate]]-SamplingData[[#Totals],[Candidate 6]]), 0)</f>
        <v>3.8908613394290161E-4</v>
      </c>
      <c r="P785" s="100">
        <f>MAX(SamplingData[[#This Row],[Error Bound (up) - Max. possible relative overstatement - Losing Candidate]:[Error Bound (up) - Max. possible relative overstatement - Candidate 6]])</f>
        <v>7.3493385595296422E-4</v>
      </c>
      <c r="Q785" s="100">
        <f>IF(SamplingData[[#This Row],[Max Error Bound (up)]] = 0,0,SamplingData[[#This Row],[Max Error Bound (up)]]/SamplingData[[#Totals],[Max Error Bound (up)]])</f>
        <v>1.1631537934134997E-4</v>
      </c>
      <c r="R785" s="101">
        <f>SUM($Q$5:Q785)</f>
        <v>0.21010666005256673</v>
      </c>
      <c r="S785" s="100" t="str">
        <f t="array" ref="S785">IF(SamplingData[[#This Row],[up/U Selection Probability]] = 0, "Zero", TEXT(SamplingData[[#This Row],[Lower Range]], REPT("0",LEN('General Info'!$B$40))) &amp; " - " &amp; TEXT(SamplingData[[#This Row],[Upper Range]], REPT("0",LEN('General Info'!$B$40))))</f>
        <v>20999 - 21010</v>
      </c>
      <c r="T785" s="100">
        <f>SamplingData[[#This Row],[Upper Range]]-SamplingData[[#This Row],[Span]]</f>
        <v>20999.034583637917</v>
      </c>
      <c r="U785" s="100">
        <f>IF(ISNUMBER('General Info'!$B$40), ((SamplingData[[#This Row],[up/U Selection Probability]]) * 'General Info'!$B$40) - 1, 0)</f>
        <v>10.631421618755656</v>
      </c>
      <c r="V785" s="100">
        <f>IF(ISNUMBER('General Info'!$B$40), (SamplingData[[#This Row],[Running (cumulative) sum]] * ('General Info'!$B$40 -'General Info'!$B$41 + 1)) + 'General Info'!$B$41 - 1, 0)</f>
        <v>21009.666005256673</v>
      </c>
      <c r="W785" s="100" t="str">
        <f>IF(ISERROR(MATCH(SamplingData[[#This Row],[Batch by Type (p)]],SelectedPrecincts[Batch Name], 0)), "", INDEX(SelectedPrecincts[Draw], MATCH(SamplingData[[#This Row],[Batch by Type (p)]],SelectedPrecincts[Batch Name], 0)))</f>
        <v/>
      </c>
      <c r="X785" s="102">
        <f>IF(COUNTIF(SelectedPrecincts[Batch Name],SamplingData[[#This Row],[Batch by Type (p)]]) &lt;&gt; 0, COUNTIF(SelectedPrecincts[Batch Name],SamplingData[[#This Row],[Batch by Type (p)]]), 0)</f>
        <v>0</v>
      </c>
    </row>
    <row r="786" spans="1:24" ht="15" customHeight="1">
      <c r="A786" s="18" t="s">
        <v>962</v>
      </c>
      <c r="B786" s="18">
        <v>2</v>
      </c>
      <c r="C786" s="18">
        <v>3</v>
      </c>
      <c r="D786" s="18">
        <v>0</v>
      </c>
      <c r="E786" s="18">
        <v>0</v>
      </c>
      <c r="F786" s="18">
        <v>0</v>
      </c>
      <c r="G786" s="18">
        <v>0</v>
      </c>
      <c r="H786" s="18">
        <v>0</v>
      </c>
      <c r="I786" s="18">
        <v>1</v>
      </c>
      <c r="J786" s="99">
        <f>SUM(SamplingData[[#This Row],[Losing Candidate]:[Under Votes]])</f>
        <v>6</v>
      </c>
      <c r="K786"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786" s="100">
        <f>IF(AND(SamplingData[[#This Row],[Total]]&lt;&gt; 0, NOT(ISBLANK(SamplingData[[#This Row],[Candidate 3]]))),(SamplingData[[#This Row],[Total]]+SamplingData[[#This Row],[Winning Candidate]]-SamplingData[[#This Row],[Candidate 3]])/(SamplingData[[#Totals],[Winning Candidate]]-SamplingData[[#Totals],[Candidate 3]]), 0)</f>
        <v>2.9035067909797722E-4</v>
      </c>
      <c r="M786" s="100">
        <f>IF(AND(SamplingData[[#This Row],[Total]]&lt;&gt; 0, NOT(ISBLANK(SamplingData[[#This Row],[Candidate 4]]))),(SamplingData[[#This Row],[Total]]+SamplingData[[#This Row],[Winning Candidate]]-SamplingData[[#This Row],[Candidate 4]])/(SamplingData[[#Totals],[Winning Candidate]]-SamplingData[[#Totals],[Candidate 4]]), 0)</f>
        <v>2.6308866087871614E-4</v>
      </c>
      <c r="N786" s="100">
        <f>IF(AND(SamplingData[[#This Row],[Total]]&lt;&gt; 0, NOT(ISBLANK(SamplingData[[#This Row],[Candidate 5]]))),(SamplingData[[#This Row],[Total]]+SamplingData[[#This Row],[Winning Candidate]]-SamplingData[[#This Row],[Candidate 5]])/(SamplingData[[#Totals],[Winning Candidate]]-SamplingData[[#Totals],[Candidate 5]]), 0)</f>
        <v>2.1892483580637315E-4</v>
      </c>
      <c r="O786" s="100">
        <f>IF(AND(SamplingData[[#This Row],[Total]]&lt;&gt; 0, NOT(ISBLANK(SamplingData[[#This Row],[Candidate 6]]))),(SamplingData[[#This Row],[Total]]+SamplingData[[#This Row],[Winning Candidate]]-SamplingData[[#This Row],[Candidate 6]])/(SamplingData[[#Totals],[Winning Candidate]]-SamplingData[[#Totals],[Candidate 6]]), 0)</f>
        <v>2.1886095034288216E-4</v>
      </c>
      <c r="P786" s="100">
        <f>MAX(SamplingData[[#This Row],[Error Bound (up) - Max. possible relative overstatement - Losing Candidate]:[Error Bound (up) - Max. possible relative overstatement - Candidate 6]])</f>
        <v>4.2871141597256246E-4</v>
      </c>
      <c r="Q786" s="100">
        <f>IF(SamplingData[[#This Row],[Max Error Bound (up)]] = 0,0,SamplingData[[#This Row],[Max Error Bound (up)]]/SamplingData[[#Totals],[Max Error Bound (up)]])</f>
        <v>6.7850637949120826E-5</v>
      </c>
      <c r="R786" s="101">
        <f>SUM($Q$5:Q786)</f>
        <v>0.21017451069051585</v>
      </c>
      <c r="S786" s="100" t="str">
        <f t="array" ref="S786">IF(SamplingData[[#This Row],[up/U Selection Probability]] = 0, "Zero", TEXT(SamplingData[[#This Row],[Lower Range]], REPT("0",LEN('General Info'!$B$40))) &amp; " - " &amp; TEXT(SamplingData[[#This Row],[Upper Range]], REPT("0",LEN('General Info'!$B$40))))</f>
        <v>21011 - 21016</v>
      </c>
      <c r="T786" s="100">
        <f>SamplingData[[#This Row],[Upper Range]]-SamplingData[[#This Row],[Span]]</f>
        <v>21010.66607310731</v>
      </c>
      <c r="U786" s="100">
        <f>IF(ISNUMBER('General Info'!$B$40), ((SamplingData[[#This Row],[up/U Selection Probability]]) * 'General Info'!$B$40) - 1, 0)</f>
        <v>5.7849959442741339</v>
      </c>
      <c r="V786" s="100">
        <f>IF(ISNUMBER('General Info'!$B$40), (SamplingData[[#This Row],[Running (cumulative) sum]] * ('General Info'!$B$40 -'General Info'!$B$41 + 1)) + 'General Info'!$B$41 - 1, 0)</f>
        <v>21016.451069051585</v>
      </c>
      <c r="W786" s="100" t="str">
        <f>IF(ISERROR(MATCH(SamplingData[[#This Row],[Batch by Type (p)]],SelectedPrecincts[Batch Name], 0)), "", INDEX(SelectedPrecincts[Draw], MATCH(SamplingData[[#This Row],[Batch by Type (p)]],SelectedPrecincts[Batch Name], 0)))</f>
        <v/>
      </c>
      <c r="X786" s="102">
        <f>IF(COUNTIF(SelectedPrecincts[Batch Name],SamplingData[[#This Row],[Batch by Type (p)]]) &lt;&gt; 0, COUNTIF(SelectedPrecincts[Batch Name],SamplingData[[#This Row],[Batch by Type (p)]]), 0)</f>
        <v>0</v>
      </c>
    </row>
    <row r="787" spans="1:24" ht="15" customHeight="1">
      <c r="A787" s="18" t="s">
        <v>963</v>
      </c>
      <c r="B787" s="18">
        <v>1</v>
      </c>
      <c r="C787" s="18">
        <v>3</v>
      </c>
      <c r="D787" s="16">
        <v>0</v>
      </c>
      <c r="E787" s="16">
        <v>2</v>
      </c>
      <c r="F787" s="37">
        <v>0</v>
      </c>
      <c r="G787" s="37">
        <v>0</v>
      </c>
      <c r="H787" s="17">
        <v>0</v>
      </c>
      <c r="I787" s="17">
        <v>0</v>
      </c>
      <c r="J787" s="99">
        <f>SUM(SamplingData[[#This Row],[Losing Candidate]:[Under Votes]])</f>
        <v>6</v>
      </c>
      <c r="K787"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787" s="100">
        <f>IF(AND(SamplingData[[#This Row],[Total]]&lt;&gt; 0, NOT(ISBLANK(SamplingData[[#This Row],[Candidate 3]]))),(SamplingData[[#This Row],[Total]]+SamplingData[[#This Row],[Winning Candidate]]-SamplingData[[#This Row],[Candidate 3]])/(SamplingData[[#Totals],[Winning Candidate]]-SamplingData[[#Totals],[Candidate 3]]), 0)</f>
        <v>2.9035067909797722E-4</v>
      </c>
      <c r="M787" s="100">
        <f>IF(AND(SamplingData[[#This Row],[Total]]&lt;&gt; 0, NOT(ISBLANK(SamplingData[[#This Row],[Candidate 4]]))),(SamplingData[[#This Row],[Total]]+SamplingData[[#This Row],[Winning Candidate]]-SamplingData[[#This Row],[Candidate 4]])/(SamplingData[[#Totals],[Winning Candidate]]-SamplingData[[#Totals],[Candidate 4]]), 0)</f>
        <v>2.0462451401677921E-4</v>
      </c>
      <c r="N787" s="100">
        <f>IF(AND(SamplingData[[#This Row],[Total]]&lt;&gt; 0, NOT(ISBLANK(SamplingData[[#This Row],[Candidate 5]]))),(SamplingData[[#This Row],[Total]]+SamplingData[[#This Row],[Winning Candidate]]-SamplingData[[#This Row],[Candidate 5]])/(SamplingData[[#Totals],[Winning Candidate]]-SamplingData[[#Totals],[Candidate 5]]), 0)</f>
        <v>2.1892483580637315E-4</v>
      </c>
      <c r="O787" s="100">
        <f>IF(AND(SamplingData[[#This Row],[Total]]&lt;&gt; 0, NOT(ISBLANK(SamplingData[[#This Row],[Candidate 6]]))),(SamplingData[[#This Row],[Total]]+SamplingData[[#This Row],[Winning Candidate]]-SamplingData[[#This Row],[Candidate 6]])/(SamplingData[[#Totals],[Winning Candidate]]-SamplingData[[#Totals],[Candidate 6]]), 0)</f>
        <v>2.1886095034288216E-4</v>
      </c>
      <c r="P787" s="100">
        <f>MAX(SamplingData[[#This Row],[Error Bound (up) - Max. possible relative overstatement - Losing Candidate]:[Error Bound (up) - Max. possible relative overstatement - Candidate 6]])</f>
        <v>4.8995590396864281E-4</v>
      </c>
      <c r="Q787" s="100">
        <f>IF(SamplingData[[#This Row],[Max Error Bound (up)]] = 0,0,SamplingData[[#This Row],[Max Error Bound (up)]]/SamplingData[[#Totals],[Max Error Bound (up)]])</f>
        <v>7.7543586227566652E-5</v>
      </c>
      <c r="R787" s="101">
        <f>SUM($Q$5:Q787)</f>
        <v>0.21025205427674343</v>
      </c>
      <c r="S787" s="100" t="str">
        <f t="array" ref="S787">IF(SamplingData[[#This Row],[up/U Selection Probability]] = 0, "Zero", TEXT(SamplingData[[#This Row],[Lower Range]], REPT("0",LEN('General Info'!$B$40))) &amp; " - " &amp; TEXT(SamplingData[[#This Row],[Upper Range]], REPT("0",LEN('General Info'!$B$40))))</f>
        <v>21017 - 21024</v>
      </c>
      <c r="T787" s="100">
        <f>SamplingData[[#This Row],[Upper Range]]-SamplingData[[#This Row],[Span]]</f>
        <v>21017.451146595173</v>
      </c>
      <c r="U787" s="100">
        <f>IF(ISNUMBER('General Info'!$B$40), ((SamplingData[[#This Row],[up/U Selection Probability]]) * 'General Info'!$B$40) - 1, 0)</f>
        <v>6.754281079170438</v>
      </c>
      <c r="V787" s="100">
        <f>IF(ISNUMBER('General Info'!$B$40), (SamplingData[[#This Row],[Running (cumulative) sum]] * ('General Info'!$B$40 -'General Info'!$B$41 + 1)) + 'General Info'!$B$41 - 1, 0)</f>
        <v>21024.205427674344</v>
      </c>
      <c r="W787" s="100" t="str">
        <f>IF(ISERROR(MATCH(SamplingData[[#This Row],[Batch by Type (p)]],SelectedPrecincts[Batch Name], 0)), "", INDEX(SelectedPrecincts[Draw], MATCH(SamplingData[[#This Row],[Batch by Type (p)]],SelectedPrecincts[Batch Name], 0)))</f>
        <v/>
      </c>
      <c r="X787" s="102">
        <f>IF(COUNTIF(SelectedPrecincts[Batch Name],SamplingData[[#This Row],[Batch by Type (p)]]) &lt;&gt; 0, COUNTIF(SelectedPrecincts[Batch Name],SamplingData[[#This Row],[Batch by Type (p)]]), 0)</f>
        <v>0</v>
      </c>
    </row>
    <row r="788" spans="1:24" ht="15" customHeight="1">
      <c r="A788" s="18" t="s">
        <v>964</v>
      </c>
      <c r="B788" s="18">
        <v>0</v>
      </c>
      <c r="C788" s="18">
        <v>1</v>
      </c>
      <c r="D788" s="18">
        <v>0</v>
      </c>
      <c r="E788" s="18">
        <v>0</v>
      </c>
      <c r="F788" s="18">
        <v>0</v>
      </c>
      <c r="G788" s="18">
        <v>0</v>
      </c>
      <c r="H788" s="18">
        <v>0</v>
      </c>
      <c r="I788" s="18">
        <v>0</v>
      </c>
      <c r="J788" s="99">
        <f>SUM(SamplingData[[#This Row],[Losing Candidate]:[Under Votes]])</f>
        <v>1</v>
      </c>
      <c r="K78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788" s="100">
        <f>IF(AND(SamplingData[[#This Row],[Total]]&lt;&gt; 0, NOT(ISBLANK(SamplingData[[#This Row],[Candidate 3]]))),(SamplingData[[#This Row],[Total]]+SamplingData[[#This Row],[Winning Candidate]]-SamplingData[[#This Row],[Candidate 3]])/(SamplingData[[#Totals],[Winning Candidate]]-SamplingData[[#Totals],[Candidate 3]]), 0)</f>
        <v>6.4522373132883833E-5</v>
      </c>
      <c r="M788" s="100">
        <f>IF(AND(SamplingData[[#This Row],[Total]]&lt;&gt; 0, NOT(ISBLANK(SamplingData[[#This Row],[Candidate 4]]))),(SamplingData[[#This Row],[Total]]+SamplingData[[#This Row],[Winning Candidate]]-SamplingData[[#This Row],[Candidate 4]])/(SamplingData[[#Totals],[Winning Candidate]]-SamplingData[[#Totals],[Candidate 4]]), 0)</f>
        <v>5.846414686193692E-5</v>
      </c>
      <c r="N788" s="100">
        <f>IF(AND(SamplingData[[#This Row],[Total]]&lt;&gt; 0, NOT(ISBLANK(SamplingData[[#This Row],[Candidate 5]]))),(SamplingData[[#This Row],[Total]]+SamplingData[[#This Row],[Winning Candidate]]-SamplingData[[#This Row],[Candidate 5]])/(SamplingData[[#Totals],[Winning Candidate]]-SamplingData[[#Totals],[Candidate 5]]), 0)</f>
        <v>4.8649963512527367E-5</v>
      </c>
      <c r="O788" s="100">
        <f>IF(AND(SamplingData[[#This Row],[Total]]&lt;&gt; 0, NOT(ISBLANK(SamplingData[[#This Row],[Candidate 6]]))),(SamplingData[[#This Row],[Total]]+SamplingData[[#This Row],[Winning Candidate]]-SamplingData[[#This Row],[Candidate 6]])/(SamplingData[[#Totals],[Winning Candidate]]-SamplingData[[#Totals],[Candidate 6]]), 0)</f>
        <v>4.8635766742862701E-5</v>
      </c>
      <c r="P788" s="100">
        <f>MAX(SamplingData[[#This Row],[Error Bound (up) - Max. possible relative overstatement - Losing Candidate]:[Error Bound (up) - Max. possible relative overstatement - Candidate 6]])</f>
        <v>1.224889759921607E-4</v>
      </c>
      <c r="Q788" s="100">
        <f>IF(SamplingData[[#This Row],[Max Error Bound (up)]] = 0,0,SamplingData[[#This Row],[Max Error Bound (up)]]/SamplingData[[#Totals],[Max Error Bound (up)]])</f>
        <v>1.9385896556891663E-5</v>
      </c>
      <c r="R788" s="101">
        <f>SUM($Q$5:Q788)</f>
        <v>0.21027144017330032</v>
      </c>
      <c r="S788" s="100" t="str">
        <f t="array" ref="S788">IF(SamplingData[[#This Row],[up/U Selection Probability]] = 0, "Zero", TEXT(SamplingData[[#This Row],[Lower Range]], REPT("0",LEN('General Info'!$B$40))) &amp; " - " &amp; TEXT(SamplingData[[#This Row],[Upper Range]], REPT("0",LEN('General Info'!$B$40))))</f>
        <v>21025 - 21026</v>
      </c>
      <c r="T788" s="100">
        <f>SamplingData[[#This Row],[Upper Range]]-SamplingData[[#This Row],[Span]]</f>
        <v>21025.205447060242</v>
      </c>
      <c r="U788" s="100">
        <f>IF(ISNUMBER('General Info'!$B$40), ((SamplingData[[#This Row],[up/U Selection Probability]]) * 'General Info'!$B$40) - 1, 0)</f>
        <v>0.93857026979260949</v>
      </c>
      <c r="V788" s="100">
        <f>IF(ISNUMBER('General Info'!$B$40), (SamplingData[[#This Row],[Running (cumulative) sum]] * ('General Info'!$B$40 -'General Info'!$B$41 + 1)) + 'General Info'!$B$41 - 1, 0)</f>
        <v>21026.144017330033</v>
      </c>
      <c r="W788" s="100" t="str">
        <f>IF(ISERROR(MATCH(SamplingData[[#This Row],[Batch by Type (p)]],SelectedPrecincts[Batch Name], 0)), "", INDEX(SelectedPrecincts[Draw], MATCH(SamplingData[[#This Row],[Batch by Type (p)]],SelectedPrecincts[Batch Name], 0)))</f>
        <v/>
      </c>
      <c r="X788" s="102">
        <f>IF(COUNTIF(SelectedPrecincts[Batch Name],SamplingData[[#This Row],[Batch by Type (p)]]) &lt;&gt; 0, COUNTIF(SelectedPrecincts[Batch Name],SamplingData[[#This Row],[Batch by Type (p)]]), 0)</f>
        <v>0</v>
      </c>
    </row>
    <row r="789" spans="1:24" ht="15" customHeight="1">
      <c r="A789" s="18" t="s">
        <v>965</v>
      </c>
      <c r="B789" s="18">
        <v>2</v>
      </c>
      <c r="C789" s="18">
        <v>4</v>
      </c>
      <c r="D789" s="16">
        <v>3</v>
      </c>
      <c r="E789" s="16">
        <v>2</v>
      </c>
      <c r="F789" s="37">
        <v>0</v>
      </c>
      <c r="G789" s="37">
        <v>0</v>
      </c>
      <c r="H789" s="17">
        <v>0</v>
      </c>
      <c r="I789" s="17">
        <v>0</v>
      </c>
      <c r="J789" s="99">
        <f>SUM(SamplingData[[#This Row],[Losing Candidate]:[Under Votes]])</f>
        <v>11</v>
      </c>
      <c r="K789"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789" s="100">
        <f>IF(AND(SamplingData[[#This Row],[Total]]&lt;&gt; 0, NOT(ISBLANK(SamplingData[[#This Row],[Candidate 3]]))),(SamplingData[[#This Row],[Total]]+SamplingData[[#This Row],[Winning Candidate]]-SamplingData[[#This Row],[Candidate 3]])/(SamplingData[[#Totals],[Winning Candidate]]-SamplingData[[#Totals],[Candidate 3]]), 0)</f>
        <v>3.8713423879730297E-4</v>
      </c>
      <c r="M789" s="100">
        <f>IF(AND(SamplingData[[#This Row],[Total]]&lt;&gt; 0, NOT(ISBLANK(SamplingData[[#This Row],[Candidate 4]]))),(SamplingData[[#This Row],[Total]]+SamplingData[[#This Row],[Winning Candidate]]-SamplingData[[#This Row],[Candidate 4]])/(SamplingData[[#Totals],[Winning Candidate]]-SamplingData[[#Totals],[Candidate 4]]), 0)</f>
        <v>3.8001695460258996E-4</v>
      </c>
      <c r="N789" s="100">
        <f>IF(AND(SamplingData[[#This Row],[Total]]&lt;&gt; 0, NOT(ISBLANK(SamplingData[[#This Row],[Candidate 5]]))),(SamplingData[[#This Row],[Total]]+SamplingData[[#This Row],[Winning Candidate]]-SamplingData[[#This Row],[Candidate 5]])/(SamplingData[[#Totals],[Winning Candidate]]-SamplingData[[#Totals],[Candidate 5]]), 0)</f>
        <v>3.6487472634395525E-4</v>
      </c>
      <c r="O789" s="100">
        <f>IF(AND(SamplingData[[#This Row],[Total]]&lt;&gt; 0, NOT(ISBLANK(SamplingData[[#This Row],[Candidate 6]]))),(SamplingData[[#This Row],[Total]]+SamplingData[[#This Row],[Winning Candidate]]-SamplingData[[#This Row],[Candidate 6]])/(SamplingData[[#Totals],[Winning Candidate]]-SamplingData[[#Totals],[Candidate 6]]), 0)</f>
        <v>3.6476825057147027E-4</v>
      </c>
      <c r="P789" s="100">
        <f>MAX(SamplingData[[#This Row],[Error Bound (up) - Max. possible relative overstatement - Losing Candidate]:[Error Bound (up) - Max. possible relative overstatement - Candidate 6]])</f>
        <v>7.9617834394904463E-4</v>
      </c>
      <c r="Q789" s="100">
        <f>IF(SamplingData[[#This Row],[Max Error Bound (up)]] = 0,0,SamplingData[[#This Row],[Max Error Bound (up)]]/SamplingData[[#Totals],[Max Error Bound (up)]])</f>
        <v>1.2600832761979581E-4</v>
      </c>
      <c r="R789" s="101">
        <f>SUM($Q$5:Q789)</f>
        <v>0.21039744850092013</v>
      </c>
      <c r="S789" s="100" t="str">
        <f t="array" ref="S789">IF(SamplingData[[#This Row],[up/U Selection Probability]] = 0, "Zero", TEXT(SamplingData[[#This Row],[Lower Range]], REPT("0",LEN('General Info'!$B$40))) &amp; " - " &amp; TEXT(SamplingData[[#This Row],[Upper Range]], REPT("0",LEN('General Info'!$B$40))))</f>
        <v>21027 - 21039</v>
      </c>
      <c r="T789" s="100">
        <f>SamplingData[[#This Row],[Upper Range]]-SamplingData[[#This Row],[Span]]</f>
        <v>21027.144143338359</v>
      </c>
      <c r="U789" s="100">
        <f>IF(ISNUMBER('General Info'!$B$40), ((SamplingData[[#This Row],[up/U Selection Probability]]) * 'General Info'!$B$40) - 1, 0)</f>
        <v>11.600706753651961</v>
      </c>
      <c r="V789" s="100">
        <f>IF(ISNUMBER('General Info'!$B$40), (SamplingData[[#This Row],[Running (cumulative) sum]] * ('General Info'!$B$40 -'General Info'!$B$41 + 1)) + 'General Info'!$B$41 - 1, 0)</f>
        <v>21038.744850092011</v>
      </c>
      <c r="W789" s="100" t="str">
        <f>IF(ISERROR(MATCH(SamplingData[[#This Row],[Batch by Type (p)]],SelectedPrecincts[Batch Name], 0)), "", INDEX(SelectedPrecincts[Draw], MATCH(SamplingData[[#This Row],[Batch by Type (p)]],SelectedPrecincts[Batch Name], 0)))</f>
        <v/>
      </c>
      <c r="X789" s="102">
        <f>IF(COUNTIF(SelectedPrecincts[Batch Name],SamplingData[[#This Row],[Batch by Type (p)]]) &lt;&gt; 0, COUNTIF(SelectedPrecincts[Batch Name],SamplingData[[#This Row],[Batch by Type (p)]]), 0)</f>
        <v>0</v>
      </c>
    </row>
    <row r="790" spans="1:24" ht="15" customHeight="1">
      <c r="A790" s="18" t="s">
        <v>966</v>
      </c>
      <c r="B790" s="18">
        <v>1</v>
      </c>
      <c r="C790" s="18">
        <v>0</v>
      </c>
      <c r="D790" s="18">
        <v>0</v>
      </c>
      <c r="E790" s="18">
        <v>1</v>
      </c>
      <c r="F790" s="18">
        <v>0</v>
      </c>
      <c r="G790" s="18">
        <v>0</v>
      </c>
      <c r="H790" s="18">
        <v>0</v>
      </c>
      <c r="I790" s="18">
        <v>0</v>
      </c>
      <c r="J790" s="99">
        <f>SUM(SamplingData[[#This Row],[Losing Candidate]:[Under Votes]])</f>
        <v>2</v>
      </c>
      <c r="K790"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790" s="100">
        <f>IF(AND(SamplingData[[#This Row],[Total]]&lt;&gt; 0, NOT(ISBLANK(SamplingData[[#This Row],[Candidate 3]]))),(SamplingData[[#This Row],[Total]]+SamplingData[[#This Row],[Winning Candidate]]-SamplingData[[#This Row],[Candidate 3]])/(SamplingData[[#Totals],[Winning Candidate]]-SamplingData[[#Totals],[Candidate 3]]), 0)</f>
        <v>6.4522373132883833E-5</v>
      </c>
      <c r="M790" s="100">
        <f>IF(AND(SamplingData[[#This Row],[Total]]&lt;&gt; 0, NOT(ISBLANK(SamplingData[[#This Row],[Candidate 4]]))),(SamplingData[[#This Row],[Total]]+SamplingData[[#This Row],[Winning Candidate]]-SamplingData[[#This Row],[Candidate 4]])/(SamplingData[[#Totals],[Winning Candidate]]-SamplingData[[#Totals],[Candidate 4]]), 0)</f>
        <v>2.923207343096846E-5</v>
      </c>
      <c r="N790" s="100">
        <f>IF(AND(SamplingData[[#This Row],[Total]]&lt;&gt; 0, NOT(ISBLANK(SamplingData[[#This Row],[Candidate 5]]))),(SamplingData[[#This Row],[Total]]+SamplingData[[#This Row],[Winning Candidate]]-SamplingData[[#This Row],[Candidate 5]])/(SamplingData[[#Totals],[Winning Candidate]]-SamplingData[[#Totals],[Candidate 5]]), 0)</f>
        <v>4.8649963512527367E-5</v>
      </c>
      <c r="O790" s="100">
        <f>IF(AND(SamplingData[[#This Row],[Total]]&lt;&gt; 0, NOT(ISBLANK(SamplingData[[#This Row],[Candidate 6]]))),(SamplingData[[#This Row],[Total]]+SamplingData[[#This Row],[Winning Candidate]]-SamplingData[[#This Row],[Candidate 6]])/(SamplingData[[#Totals],[Winning Candidate]]-SamplingData[[#Totals],[Candidate 6]]), 0)</f>
        <v>4.8635766742862701E-5</v>
      </c>
      <c r="P790" s="100">
        <f>MAX(SamplingData[[#This Row],[Error Bound (up) - Max. possible relative overstatement - Losing Candidate]:[Error Bound (up) - Max. possible relative overstatement - Candidate 6]])</f>
        <v>6.4522373132883833E-5</v>
      </c>
      <c r="Q790" s="100">
        <f>IF(SamplingData[[#This Row],[Max Error Bound (up)]] = 0,0,SamplingData[[#This Row],[Max Error Bound (up)]]/SamplingData[[#Totals],[Max Error Bound (up)]])</f>
        <v>1.0211727553664133E-5</v>
      </c>
      <c r="R790" s="101">
        <f>SUM($Q$5:Q790)</f>
        <v>0.21040766022847379</v>
      </c>
      <c r="S790" s="100" t="str">
        <f t="array" ref="S790">IF(SamplingData[[#This Row],[up/U Selection Probability]] = 0, "Zero", TEXT(SamplingData[[#This Row],[Lower Range]], REPT("0",LEN('General Info'!$B$40))) &amp; " - " &amp; TEXT(SamplingData[[#This Row],[Upper Range]], REPT("0",LEN('General Info'!$B$40))))</f>
        <v>21040 - 21040</v>
      </c>
      <c r="T790" s="100">
        <f>SamplingData[[#This Row],[Upper Range]]-SamplingData[[#This Row],[Span]]</f>
        <v>21039.744860303741</v>
      </c>
      <c r="U790" s="100">
        <f>IF(ISNUMBER('General Info'!$B$40), ((SamplingData[[#This Row],[up/U Selection Probability]]) * 'General Info'!$B$40) - 1, 0)</f>
        <v>2.116254363885961E-2</v>
      </c>
      <c r="V790" s="100">
        <f>IF(ISNUMBER('General Info'!$B$40), (SamplingData[[#This Row],[Running (cumulative) sum]] * ('General Info'!$B$40 -'General Info'!$B$41 + 1)) + 'General Info'!$B$41 - 1, 0)</f>
        <v>21039.76602284738</v>
      </c>
      <c r="W790" s="100" t="str">
        <f>IF(ISERROR(MATCH(SamplingData[[#This Row],[Batch by Type (p)]],SelectedPrecincts[Batch Name], 0)), "", INDEX(SelectedPrecincts[Draw], MATCH(SamplingData[[#This Row],[Batch by Type (p)]],SelectedPrecincts[Batch Name], 0)))</f>
        <v/>
      </c>
      <c r="X790" s="102">
        <f>IF(COUNTIF(SelectedPrecincts[Batch Name],SamplingData[[#This Row],[Batch by Type (p)]]) &lt;&gt; 0, COUNTIF(SelectedPrecincts[Batch Name],SamplingData[[#This Row],[Batch by Type (p)]]), 0)</f>
        <v>0</v>
      </c>
    </row>
    <row r="791" spans="1:24" ht="15" customHeight="1">
      <c r="A791" s="18" t="s">
        <v>967</v>
      </c>
      <c r="B791" s="18">
        <v>3</v>
      </c>
      <c r="C791" s="18">
        <v>3</v>
      </c>
      <c r="D791" s="16">
        <v>2</v>
      </c>
      <c r="E791" s="16">
        <v>3</v>
      </c>
      <c r="F791" s="37">
        <v>0</v>
      </c>
      <c r="G791" s="37">
        <v>1</v>
      </c>
      <c r="H791" s="17">
        <v>0</v>
      </c>
      <c r="I791" s="17">
        <v>0</v>
      </c>
      <c r="J791" s="99">
        <f>SUM(SamplingData[[#This Row],[Losing Candidate]:[Under Votes]])</f>
        <v>12</v>
      </c>
      <c r="K791"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791" s="100">
        <f>IF(AND(SamplingData[[#This Row],[Total]]&lt;&gt; 0, NOT(ISBLANK(SamplingData[[#This Row],[Candidate 3]]))),(SamplingData[[#This Row],[Total]]+SamplingData[[#This Row],[Winning Candidate]]-SamplingData[[#This Row],[Candidate 3]])/(SamplingData[[#Totals],[Winning Candidate]]-SamplingData[[#Totals],[Candidate 3]]), 0)</f>
        <v>4.1939542536374486E-4</v>
      </c>
      <c r="M791" s="100">
        <f>IF(AND(SamplingData[[#This Row],[Total]]&lt;&gt; 0, NOT(ISBLANK(SamplingData[[#This Row],[Candidate 4]]))),(SamplingData[[#This Row],[Total]]+SamplingData[[#This Row],[Winning Candidate]]-SamplingData[[#This Row],[Candidate 4]])/(SamplingData[[#Totals],[Winning Candidate]]-SamplingData[[#Totals],[Candidate 4]]), 0)</f>
        <v>3.5078488117162149E-4</v>
      </c>
      <c r="N791" s="100">
        <f>IF(AND(SamplingData[[#This Row],[Total]]&lt;&gt; 0, NOT(ISBLANK(SamplingData[[#This Row],[Candidate 5]]))),(SamplingData[[#This Row],[Total]]+SamplingData[[#This Row],[Winning Candidate]]-SamplingData[[#This Row],[Candidate 5]])/(SamplingData[[#Totals],[Winning Candidate]]-SamplingData[[#Totals],[Candidate 5]]), 0)</f>
        <v>3.6487472634395525E-4</v>
      </c>
      <c r="O791" s="100">
        <f>IF(AND(SamplingData[[#This Row],[Total]]&lt;&gt; 0, NOT(ISBLANK(SamplingData[[#This Row],[Candidate 6]]))),(SamplingData[[#This Row],[Total]]+SamplingData[[#This Row],[Winning Candidate]]-SamplingData[[#This Row],[Candidate 6]])/(SamplingData[[#Totals],[Winning Candidate]]-SamplingData[[#Totals],[Candidate 6]]), 0)</f>
        <v>3.4045036720003888E-4</v>
      </c>
      <c r="P791" s="100">
        <f>MAX(SamplingData[[#This Row],[Error Bound (up) - Max. possible relative overstatement - Losing Candidate]:[Error Bound (up) - Max. possible relative overstatement - Candidate 6]])</f>
        <v>7.3493385595296422E-4</v>
      </c>
      <c r="Q791" s="100">
        <f>IF(SamplingData[[#This Row],[Max Error Bound (up)]] = 0,0,SamplingData[[#This Row],[Max Error Bound (up)]]/SamplingData[[#Totals],[Max Error Bound (up)]])</f>
        <v>1.1631537934134997E-4</v>
      </c>
      <c r="R791" s="101">
        <f>SUM($Q$5:Q791)</f>
        <v>0.21052397560781513</v>
      </c>
      <c r="S791" s="100" t="str">
        <f t="array" ref="S791">IF(SamplingData[[#This Row],[up/U Selection Probability]] = 0, "Zero", TEXT(SamplingData[[#This Row],[Lower Range]], REPT("0",LEN('General Info'!$B$40))) &amp; " - " &amp; TEXT(SamplingData[[#This Row],[Upper Range]], REPT("0",LEN('General Info'!$B$40))))</f>
        <v>21041 - 21051</v>
      </c>
      <c r="T791" s="100">
        <f>SamplingData[[#This Row],[Upper Range]]-SamplingData[[#This Row],[Span]]</f>
        <v>21040.766139162755</v>
      </c>
      <c r="U791" s="100">
        <f>IF(ISNUMBER('General Info'!$B$40), ((SamplingData[[#This Row],[up/U Selection Probability]]) * 'General Info'!$B$40) - 1, 0)</f>
        <v>10.631421618755656</v>
      </c>
      <c r="V791" s="100">
        <f>IF(ISNUMBER('General Info'!$B$40), (SamplingData[[#This Row],[Running (cumulative) sum]] * ('General Info'!$B$40 -'General Info'!$B$41 + 1)) + 'General Info'!$B$41 - 1, 0)</f>
        <v>21051.397560781512</v>
      </c>
      <c r="W791" s="100" t="str">
        <f>IF(ISERROR(MATCH(SamplingData[[#This Row],[Batch by Type (p)]],SelectedPrecincts[Batch Name], 0)), "", INDEX(SelectedPrecincts[Draw], MATCH(SamplingData[[#This Row],[Batch by Type (p)]],SelectedPrecincts[Batch Name], 0)))</f>
        <v/>
      </c>
      <c r="X791" s="102">
        <f>IF(COUNTIF(SelectedPrecincts[Batch Name],SamplingData[[#This Row],[Batch by Type (p)]]) &lt;&gt; 0, COUNTIF(SelectedPrecincts[Batch Name],SamplingData[[#This Row],[Batch by Type (p)]]), 0)</f>
        <v>0</v>
      </c>
    </row>
    <row r="792" spans="1:24" ht="15" customHeight="1">
      <c r="A792" s="18" t="s">
        <v>968</v>
      </c>
      <c r="B792" s="18">
        <v>0</v>
      </c>
      <c r="C792" s="18">
        <v>0</v>
      </c>
      <c r="D792" s="18">
        <v>0</v>
      </c>
      <c r="E792" s="18">
        <v>0</v>
      </c>
      <c r="F792" s="18">
        <v>0</v>
      </c>
      <c r="G792" s="18">
        <v>0</v>
      </c>
      <c r="H792" s="18">
        <v>0</v>
      </c>
      <c r="I792" s="18">
        <v>0</v>
      </c>
      <c r="J792" s="99">
        <f>SUM(SamplingData[[#This Row],[Losing Candidate]:[Under Votes]])</f>
        <v>0</v>
      </c>
      <c r="K792" s="100">
        <f>IF(AND(SamplingData[[#This Row],[Total]]&lt;&gt; 0, NOT(ISBLANK(SamplingData[[#This Row],[Losing Candidate]]))),(SamplingData[[#This Row],[Total]]+SamplingData[[#This Row],[Winning Candidate]]-SamplingData[[#This Row],[Losing Candidate]])/(SamplingData[[#Totals],[Winning Candidate]]-SamplingData[[#Totals],[Losing Candidate]]), 0)</f>
        <v>0</v>
      </c>
      <c r="L792" s="100">
        <f>IF(AND(SamplingData[[#This Row],[Total]]&lt;&gt; 0, NOT(ISBLANK(SamplingData[[#This Row],[Candidate 3]]))),(SamplingData[[#This Row],[Total]]+SamplingData[[#This Row],[Winning Candidate]]-SamplingData[[#This Row],[Candidate 3]])/(SamplingData[[#Totals],[Winning Candidate]]-SamplingData[[#Totals],[Candidate 3]]), 0)</f>
        <v>0</v>
      </c>
      <c r="M792" s="100">
        <f>IF(AND(SamplingData[[#This Row],[Total]]&lt;&gt; 0, NOT(ISBLANK(SamplingData[[#This Row],[Candidate 4]]))),(SamplingData[[#This Row],[Total]]+SamplingData[[#This Row],[Winning Candidate]]-SamplingData[[#This Row],[Candidate 4]])/(SamplingData[[#Totals],[Winning Candidate]]-SamplingData[[#Totals],[Candidate 4]]), 0)</f>
        <v>0</v>
      </c>
      <c r="N792" s="100">
        <f>IF(AND(SamplingData[[#This Row],[Total]]&lt;&gt; 0, NOT(ISBLANK(SamplingData[[#This Row],[Candidate 5]]))),(SamplingData[[#This Row],[Total]]+SamplingData[[#This Row],[Winning Candidate]]-SamplingData[[#This Row],[Candidate 5]])/(SamplingData[[#Totals],[Winning Candidate]]-SamplingData[[#Totals],[Candidate 5]]), 0)</f>
        <v>0</v>
      </c>
      <c r="O792" s="100">
        <f>IF(AND(SamplingData[[#This Row],[Total]]&lt;&gt; 0, NOT(ISBLANK(SamplingData[[#This Row],[Candidate 6]]))),(SamplingData[[#This Row],[Total]]+SamplingData[[#This Row],[Winning Candidate]]-SamplingData[[#This Row],[Candidate 6]])/(SamplingData[[#Totals],[Winning Candidate]]-SamplingData[[#Totals],[Candidate 6]]), 0)</f>
        <v>0</v>
      </c>
      <c r="P792" s="100">
        <f>MAX(SamplingData[[#This Row],[Error Bound (up) - Max. possible relative overstatement - Losing Candidate]:[Error Bound (up) - Max. possible relative overstatement - Candidate 6]])</f>
        <v>0</v>
      </c>
      <c r="Q792" s="100">
        <f>IF(SamplingData[[#This Row],[Max Error Bound (up)]] = 0,0,SamplingData[[#This Row],[Max Error Bound (up)]]/SamplingData[[#Totals],[Max Error Bound (up)]])</f>
        <v>0</v>
      </c>
      <c r="R792" s="101">
        <f>SUM($Q$5:Q792)</f>
        <v>0.21052397560781513</v>
      </c>
      <c r="S792" s="100" t="str">
        <f t="array" ref="S792">IF(SamplingData[[#This Row],[up/U Selection Probability]] = 0, "Zero", TEXT(SamplingData[[#This Row],[Lower Range]], REPT("0",LEN('General Info'!$B$40))) &amp; " - " &amp; TEXT(SamplingData[[#This Row],[Upper Range]], REPT("0",LEN('General Info'!$B$40))))</f>
        <v>Zero</v>
      </c>
      <c r="T792" s="100">
        <f>SamplingData[[#This Row],[Upper Range]]-SamplingData[[#This Row],[Span]]</f>
        <v>21052.397560781512</v>
      </c>
      <c r="U792" s="100">
        <f>IF(ISNUMBER('General Info'!$B$40), ((SamplingData[[#This Row],[up/U Selection Probability]]) * 'General Info'!$B$40) - 1, 0)</f>
        <v>-1</v>
      </c>
      <c r="V792" s="100">
        <f>IF(ISNUMBER('General Info'!$B$40), (SamplingData[[#This Row],[Running (cumulative) sum]] * ('General Info'!$B$40 -'General Info'!$B$41 + 1)) + 'General Info'!$B$41 - 1, 0)</f>
        <v>21051.397560781512</v>
      </c>
      <c r="W792" s="100" t="str">
        <f>IF(ISERROR(MATCH(SamplingData[[#This Row],[Batch by Type (p)]],SelectedPrecincts[Batch Name], 0)), "", INDEX(SelectedPrecincts[Draw], MATCH(SamplingData[[#This Row],[Batch by Type (p)]],SelectedPrecincts[Batch Name], 0)))</f>
        <v/>
      </c>
      <c r="X792" s="102">
        <f>IF(COUNTIF(SelectedPrecincts[Batch Name],SamplingData[[#This Row],[Batch by Type (p)]]) &lt;&gt; 0, COUNTIF(SelectedPrecincts[Batch Name],SamplingData[[#This Row],[Batch by Type (p)]]), 0)</f>
        <v>0</v>
      </c>
    </row>
    <row r="793" spans="1:24" ht="15" customHeight="1">
      <c r="A793" s="18" t="s">
        <v>969</v>
      </c>
      <c r="B793" s="18">
        <v>3</v>
      </c>
      <c r="C793" s="18">
        <v>0</v>
      </c>
      <c r="D793" s="16">
        <v>3</v>
      </c>
      <c r="E793" s="16">
        <v>3</v>
      </c>
      <c r="F793" s="37">
        <v>1</v>
      </c>
      <c r="G793" s="37">
        <v>0</v>
      </c>
      <c r="H793" s="17">
        <v>0</v>
      </c>
      <c r="I793" s="17">
        <v>0</v>
      </c>
      <c r="J793" s="99">
        <f>SUM(SamplingData[[#This Row],[Losing Candidate]:[Under Votes]])</f>
        <v>10</v>
      </c>
      <c r="K793"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793" s="100">
        <f>IF(AND(SamplingData[[#This Row],[Total]]&lt;&gt; 0, NOT(ISBLANK(SamplingData[[#This Row],[Candidate 3]]))),(SamplingData[[#This Row],[Total]]+SamplingData[[#This Row],[Winning Candidate]]-SamplingData[[#This Row],[Candidate 3]])/(SamplingData[[#Totals],[Winning Candidate]]-SamplingData[[#Totals],[Candidate 3]]), 0)</f>
        <v>2.258283059650934E-4</v>
      </c>
      <c r="M793" s="100">
        <f>IF(AND(SamplingData[[#This Row],[Total]]&lt;&gt; 0, NOT(ISBLANK(SamplingData[[#This Row],[Candidate 4]]))),(SamplingData[[#This Row],[Total]]+SamplingData[[#This Row],[Winning Candidate]]-SamplingData[[#This Row],[Candidate 4]])/(SamplingData[[#Totals],[Winning Candidate]]-SamplingData[[#Totals],[Candidate 4]]), 0)</f>
        <v>2.0462451401677921E-4</v>
      </c>
      <c r="N793" s="100">
        <f>IF(AND(SamplingData[[#This Row],[Total]]&lt;&gt; 0, NOT(ISBLANK(SamplingData[[#This Row],[Candidate 5]]))),(SamplingData[[#This Row],[Total]]+SamplingData[[#This Row],[Winning Candidate]]-SamplingData[[#This Row],[Candidate 5]])/(SamplingData[[#Totals],[Winning Candidate]]-SamplingData[[#Totals],[Candidate 5]]), 0)</f>
        <v>2.1892483580637315E-4</v>
      </c>
      <c r="O793" s="100">
        <f>IF(AND(SamplingData[[#This Row],[Total]]&lt;&gt; 0, NOT(ISBLANK(SamplingData[[#This Row],[Candidate 6]]))),(SamplingData[[#This Row],[Total]]+SamplingData[[#This Row],[Winning Candidate]]-SamplingData[[#This Row],[Candidate 6]])/(SamplingData[[#Totals],[Winning Candidate]]-SamplingData[[#Totals],[Candidate 6]]), 0)</f>
        <v>2.431788337143135E-4</v>
      </c>
      <c r="P793" s="100">
        <f>MAX(SamplingData[[#This Row],[Error Bound (up) - Max. possible relative overstatement - Losing Candidate]:[Error Bound (up) - Max. possible relative overstatement - Candidate 6]])</f>
        <v>4.2871141597256246E-4</v>
      </c>
      <c r="Q793" s="100">
        <f>IF(SamplingData[[#This Row],[Max Error Bound (up)]] = 0,0,SamplingData[[#This Row],[Max Error Bound (up)]]/SamplingData[[#Totals],[Max Error Bound (up)]])</f>
        <v>6.7850637949120826E-5</v>
      </c>
      <c r="R793" s="101">
        <f>SUM($Q$5:Q793)</f>
        <v>0.21059182624576425</v>
      </c>
      <c r="S793" s="100" t="str">
        <f t="array" ref="S793">IF(SamplingData[[#This Row],[up/U Selection Probability]] = 0, "Zero", TEXT(SamplingData[[#This Row],[Lower Range]], REPT("0",LEN('General Info'!$B$40))) &amp; " - " &amp; TEXT(SamplingData[[#This Row],[Upper Range]], REPT("0",LEN('General Info'!$B$40))))</f>
        <v>21052 - 21058</v>
      </c>
      <c r="T793" s="100">
        <f>SamplingData[[#This Row],[Upper Range]]-SamplingData[[#This Row],[Span]]</f>
        <v>21052.397628632149</v>
      </c>
      <c r="U793" s="100">
        <f>IF(ISNUMBER('General Info'!$B$40), ((SamplingData[[#This Row],[up/U Selection Probability]]) * 'General Info'!$B$40) - 1, 0)</f>
        <v>5.7849959442741339</v>
      </c>
      <c r="V793" s="100">
        <f>IF(ISNUMBER('General Info'!$B$40), (SamplingData[[#This Row],[Running (cumulative) sum]] * ('General Info'!$B$40 -'General Info'!$B$41 + 1)) + 'General Info'!$B$41 - 1, 0)</f>
        <v>21058.182624576424</v>
      </c>
      <c r="W793" s="100" t="str">
        <f>IF(ISERROR(MATCH(SamplingData[[#This Row],[Batch by Type (p)]],SelectedPrecincts[Batch Name], 0)), "", INDEX(SelectedPrecincts[Draw], MATCH(SamplingData[[#This Row],[Batch by Type (p)]],SelectedPrecincts[Batch Name], 0)))</f>
        <v/>
      </c>
      <c r="X793" s="102">
        <f>IF(COUNTIF(SelectedPrecincts[Batch Name],SamplingData[[#This Row],[Batch by Type (p)]]) &lt;&gt; 0, COUNTIF(SelectedPrecincts[Batch Name],SamplingData[[#This Row],[Batch by Type (p)]]), 0)</f>
        <v>0</v>
      </c>
    </row>
    <row r="794" spans="1:24" ht="15" customHeight="1">
      <c r="A794" s="18" t="s">
        <v>970</v>
      </c>
      <c r="B794" s="18">
        <v>0</v>
      </c>
      <c r="C794" s="18">
        <v>0</v>
      </c>
      <c r="D794" s="18">
        <v>0</v>
      </c>
      <c r="E794" s="18">
        <v>0</v>
      </c>
      <c r="F794" s="18">
        <v>0</v>
      </c>
      <c r="G794" s="18">
        <v>0</v>
      </c>
      <c r="H794" s="18">
        <v>0</v>
      </c>
      <c r="I794" s="18">
        <v>0</v>
      </c>
      <c r="J794" s="99">
        <f>SUM(SamplingData[[#This Row],[Losing Candidate]:[Under Votes]])</f>
        <v>0</v>
      </c>
      <c r="K794" s="100">
        <f>IF(AND(SamplingData[[#This Row],[Total]]&lt;&gt; 0, NOT(ISBLANK(SamplingData[[#This Row],[Losing Candidate]]))),(SamplingData[[#This Row],[Total]]+SamplingData[[#This Row],[Winning Candidate]]-SamplingData[[#This Row],[Losing Candidate]])/(SamplingData[[#Totals],[Winning Candidate]]-SamplingData[[#Totals],[Losing Candidate]]), 0)</f>
        <v>0</v>
      </c>
      <c r="L794" s="100">
        <f>IF(AND(SamplingData[[#This Row],[Total]]&lt;&gt; 0, NOT(ISBLANK(SamplingData[[#This Row],[Candidate 3]]))),(SamplingData[[#This Row],[Total]]+SamplingData[[#This Row],[Winning Candidate]]-SamplingData[[#This Row],[Candidate 3]])/(SamplingData[[#Totals],[Winning Candidate]]-SamplingData[[#Totals],[Candidate 3]]), 0)</f>
        <v>0</v>
      </c>
      <c r="M794" s="100">
        <f>IF(AND(SamplingData[[#This Row],[Total]]&lt;&gt; 0, NOT(ISBLANK(SamplingData[[#This Row],[Candidate 4]]))),(SamplingData[[#This Row],[Total]]+SamplingData[[#This Row],[Winning Candidate]]-SamplingData[[#This Row],[Candidate 4]])/(SamplingData[[#Totals],[Winning Candidate]]-SamplingData[[#Totals],[Candidate 4]]), 0)</f>
        <v>0</v>
      </c>
      <c r="N794" s="100">
        <f>IF(AND(SamplingData[[#This Row],[Total]]&lt;&gt; 0, NOT(ISBLANK(SamplingData[[#This Row],[Candidate 5]]))),(SamplingData[[#This Row],[Total]]+SamplingData[[#This Row],[Winning Candidate]]-SamplingData[[#This Row],[Candidate 5]])/(SamplingData[[#Totals],[Winning Candidate]]-SamplingData[[#Totals],[Candidate 5]]), 0)</f>
        <v>0</v>
      </c>
      <c r="O794" s="100">
        <f>IF(AND(SamplingData[[#This Row],[Total]]&lt;&gt; 0, NOT(ISBLANK(SamplingData[[#This Row],[Candidate 6]]))),(SamplingData[[#This Row],[Total]]+SamplingData[[#This Row],[Winning Candidate]]-SamplingData[[#This Row],[Candidate 6]])/(SamplingData[[#Totals],[Winning Candidate]]-SamplingData[[#Totals],[Candidate 6]]), 0)</f>
        <v>0</v>
      </c>
      <c r="P794" s="100">
        <f>MAX(SamplingData[[#This Row],[Error Bound (up) - Max. possible relative overstatement - Losing Candidate]:[Error Bound (up) - Max. possible relative overstatement - Candidate 6]])</f>
        <v>0</v>
      </c>
      <c r="Q794" s="100">
        <f>IF(SamplingData[[#This Row],[Max Error Bound (up)]] = 0,0,SamplingData[[#This Row],[Max Error Bound (up)]]/SamplingData[[#Totals],[Max Error Bound (up)]])</f>
        <v>0</v>
      </c>
      <c r="R794" s="101">
        <f>SUM($Q$5:Q794)</f>
        <v>0.21059182624576425</v>
      </c>
      <c r="S794" s="100" t="str">
        <f t="array" ref="S794">IF(SamplingData[[#This Row],[up/U Selection Probability]] = 0, "Zero", TEXT(SamplingData[[#This Row],[Lower Range]], REPT("0",LEN('General Info'!$B$40))) &amp; " - " &amp; TEXT(SamplingData[[#This Row],[Upper Range]], REPT("0",LEN('General Info'!$B$40))))</f>
        <v>Zero</v>
      </c>
      <c r="T794" s="100">
        <f>SamplingData[[#This Row],[Upper Range]]-SamplingData[[#This Row],[Span]]</f>
        <v>21059.182624576424</v>
      </c>
      <c r="U794" s="100">
        <f>IF(ISNUMBER('General Info'!$B$40), ((SamplingData[[#This Row],[up/U Selection Probability]]) * 'General Info'!$B$40) - 1, 0)</f>
        <v>-1</v>
      </c>
      <c r="V794" s="100">
        <f>IF(ISNUMBER('General Info'!$B$40), (SamplingData[[#This Row],[Running (cumulative) sum]] * ('General Info'!$B$40 -'General Info'!$B$41 + 1)) + 'General Info'!$B$41 - 1, 0)</f>
        <v>21058.182624576424</v>
      </c>
      <c r="W794" s="100" t="str">
        <f>IF(ISERROR(MATCH(SamplingData[[#This Row],[Batch by Type (p)]],SelectedPrecincts[Batch Name], 0)), "", INDEX(SelectedPrecincts[Draw], MATCH(SamplingData[[#This Row],[Batch by Type (p)]],SelectedPrecincts[Batch Name], 0)))</f>
        <v/>
      </c>
      <c r="X794" s="102">
        <f>IF(COUNTIF(SelectedPrecincts[Batch Name],SamplingData[[#This Row],[Batch by Type (p)]]) &lt;&gt; 0, COUNTIF(SelectedPrecincts[Batch Name],SamplingData[[#This Row],[Batch by Type (p)]]), 0)</f>
        <v>0</v>
      </c>
    </row>
    <row r="795" spans="1:24" ht="15" customHeight="1">
      <c r="A795" s="18" t="s">
        <v>971</v>
      </c>
      <c r="B795" s="18">
        <v>3</v>
      </c>
      <c r="C795" s="18">
        <v>3</v>
      </c>
      <c r="D795" s="16">
        <v>0</v>
      </c>
      <c r="E795" s="16">
        <v>2</v>
      </c>
      <c r="F795" s="37">
        <v>0</v>
      </c>
      <c r="G795" s="37">
        <v>0</v>
      </c>
      <c r="H795" s="17">
        <v>0</v>
      </c>
      <c r="I795" s="17">
        <v>0</v>
      </c>
      <c r="J795" s="99">
        <f>SUM(SamplingData[[#This Row],[Losing Candidate]:[Under Votes]])</f>
        <v>8</v>
      </c>
      <c r="K795"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795" s="100">
        <f>IF(AND(SamplingData[[#This Row],[Total]]&lt;&gt; 0, NOT(ISBLANK(SamplingData[[#This Row],[Candidate 3]]))),(SamplingData[[#This Row],[Total]]+SamplingData[[#This Row],[Winning Candidate]]-SamplingData[[#This Row],[Candidate 3]])/(SamplingData[[#Totals],[Winning Candidate]]-SamplingData[[#Totals],[Candidate 3]]), 0)</f>
        <v>3.5487305223086104E-4</v>
      </c>
      <c r="M795" s="100">
        <f>IF(AND(SamplingData[[#This Row],[Total]]&lt;&gt; 0, NOT(ISBLANK(SamplingData[[#This Row],[Candidate 4]]))),(SamplingData[[#This Row],[Total]]+SamplingData[[#This Row],[Winning Candidate]]-SamplingData[[#This Row],[Candidate 4]])/(SamplingData[[#Totals],[Winning Candidate]]-SamplingData[[#Totals],[Candidate 4]]), 0)</f>
        <v>2.6308866087871614E-4</v>
      </c>
      <c r="N795" s="100">
        <f>IF(AND(SamplingData[[#This Row],[Total]]&lt;&gt; 0, NOT(ISBLANK(SamplingData[[#This Row],[Candidate 5]]))),(SamplingData[[#This Row],[Total]]+SamplingData[[#This Row],[Winning Candidate]]-SamplingData[[#This Row],[Candidate 5]])/(SamplingData[[#Totals],[Winning Candidate]]-SamplingData[[#Totals],[Candidate 5]]), 0)</f>
        <v>2.6757479931890053E-4</v>
      </c>
      <c r="O795" s="100">
        <f>IF(AND(SamplingData[[#This Row],[Total]]&lt;&gt; 0, NOT(ISBLANK(SamplingData[[#This Row],[Candidate 6]]))),(SamplingData[[#This Row],[Total]]+SamplingData[[#This Row],[Winning Candidate]]-SamplingData[[#This Row],[Candidate 6]])/(SamplingData[[#Totals],[Winning Candidate]]-SamplingData[[#Totals],[Candidate 6]]), 0)</f>
        <v>2.6749671708574483E-4</v>
      </c>
      <c r="P795" s="100">
        <f>MAX(SamplingData[[#This Row],[Error Bound (up) - Max. possible relative overstatement - Losing Candidate]:[Error Bound (up) - Max. possible relative overstatement - Candidate 6]])</f>
        <v>4.8995590396864281E-4</v>
      </c>
      <c r="Q795" s="100">
        <f>IF(SamplingData[[#This Row],[Max Error Bound (up)]] = 0,0,SamplingData[[#This Row],[Max Error Bound (up)]]/SamplingData[[#Totals],[Max Error Bound (up)]])</f>
        <v>7.7543586227566652E-5</v>
      </c>
      <c r="R795" s="101">
        <f>SUM($Q$5:Q795)</f>
        <v>0.21066936983199183</v>
      </c>
      <c r="S795" s="100" t="str">
        <f t="array" ref="S795">IF(SamplingData[[#This Row],[up/U Selection Probability]] = 0, "Zero", TEXT(SamplingData[[#This Row],[Lower Range]], REPT("0",LEN('General Info'!$B$40))) &amp; " - " &amp; TEXT(SamplingData[[#This Row],[Upper Range]], REPT("0",LEN('General Info'!$B$40))))</f>
        <v>21059 - 21066</v>
      </c>
      <c r="T795" s="100">
        <f>SamplingData[[#This Row],[Upper Range]]-SamplingData[[#This Row],[Span]]</f>
        <v>21059.182702120012</v>
      </c>
      <c r="U795" s="100">
        <f>IF(ISNUMBER('General Info'!$B$40), ((SamplingData[[#This Row],[up/U Selection Probability]]) * 'General Info'!$B$40) - 1, 0)</f>
        <v>6.754281079170438</v>
      </c>
      <c r="V795" s="100">
        <f>IF(ISNUMBER('General Info'!$B$40), (SamplingData[[#This Row],[Running (cumulative) sum]] * ('General Info'!$B$40 -'General Info'!$B$41 + 1)) + 'General Info'!$B$41 - 1, 0)</f>
        <v>21065.936983199183</v>
      </c>
      <c r="W795" s="100" t="str">
        <f>IF(ISERROR(MATCH(SamplingData[[#This Row],[Batch by Type (p)]],SelectedPrecincts[Batch Name], 0)), "", INDEX(SelectedPrecincts[Draw], MATCH(SamplingData[[#This Row],[Batch by Type (p)]],SelectedPrecincts[Batch Name], 0)))</f>
        <v/>
      </c>
      <c r="X795" s="102">
        <f>IF(COUNTIF(SelectedPrecincts[Batch Name],SamplingData[[#This Row],[Batch by Type (p)]]) &lt;&gt; 0, COUNTIF(SelectedPrecincts[Batch Name],SamplingData[[#This Row],[Batch by Type (p)]]), 0)</f>
        <v>0</v>
      </c>
    </row>
    <row r="796" spans="1:24" ht="15" customHeight="1">
      <c r="A796" s="18" t="s">
        <v>972</v>
      </c>
      <c r="B796" s="18">
        <v>2</v>
      </c>
      <c r="C796" s="18">
        <v>1</v>
      </c>
      <c r="D796" s="18">
        <v>1</v>
      </c>
      <c r="E796" s="18">
        <v>1</v>
      </c>
      <c r="F796" s="18">
        <v>0</v>
      </c>
      <c r="G796" s="18">
        <v>0</v>
      </c>
      <c r="H796" s="18">
        <v>0</v>
      </c>
      <c r="I796" s="18">
        <v>0</v>
      </c>
      <c r="J796" s="99">
        <f>SUM(SamplingData[[#This Row],[Losing Candidate]:[Under Votes]])</f>
        <v>5</v>
      </c>
      <c r="K796"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796" s="100">
        <f>IF(AND(SamplingData[[#This Row],[Total]]&lt;&gt; 0, NOT(ISBLANK(SamplingData[[#This Row],[Candidate 3]]))),(SamplingData[[#This Row],[Total]]+SamplingData[[#This Row],[Winning Candidate]]-SamplingData[[#This Row],[Candidate 3]])/(SamplingData[[#Totals],[Winning Candidate]]-SamplingData[[#Totals],[Candidate 3]]), 0)</f>
        <v>1.6130593283220958E-4</v>
      </c>
      <c r="M796" s="100">
        <f>IF(AND(SamplingData[[#This Row],[Total]]&lt;&gt; 0, NOT(ISBLANK(SamplingData[[#This Row],[Candidate 4]]))),(SamplingData[[#This Row],[Total]]+SamplingData[[#This Row],[Winning Candidate]]-SamplingData[[#This Row],[Candidate 4]])/(SamplingData[[#Totals],[Winning Candidate]]-SamplingData[[#Totals],[Candidate 4]]), 0)</f>
        <v>1.4616036715484231E-4</v>
      </c>
      <c r="N796" s="100">
        <f>IF(AND(SamplingData[[#This Row],[Total]]&lt;&gt; 0, NOT(ISBLANK(SamplingData[[#This Row],[Candidate 5]]))),(SamplingData[[#This Row],[Total]]+SamplingData[[#This Row],[Winning Candidate]]-SamplingData[[#This Row],[Candidate 5]])/(SamplingData[[#Totals],[Winning Candidate]]-SamplingData[[#Totals],[Candidate 5]]), 0)</f>
        <v>1.4594989053758211E-4</v>
      </c>
      <c r="O796" s="100">
        <f>IF(AND(SamplingData[[#This Row],[Total]]&lt;&gt; 0, NOT(ISBLANK(SamplingData[[#This Row],[Candidate 6]]))),(SamplingData[[#This Row],[Total]]+SamplingData[[#This Row],[Winning Candidate]]-SamplingData[[#This Row],[Candidate 6]])/(SamplingData[[#Totals],[Winning Candidate]]-SamplingData[[#Totals],[Candidate 6]]), 0)</f>
        <v>1.4590730022858811E-4</v>
      </c>
      <c r="P796" s="100">
        <f>MAX(SamplingData[[#This Row],[Error Bound (up) - Max. possible relative overstatement - Losing Candidate]:[Error Bound (up) - Max. possible relative overstatement - Candidate 6]])</f>
        <v>2.4497795198432141E-4</v>
      </c>
      <c r="Q796" s="100">
        <f>IF(SamplingData[[#This Row],[Max Error Bound (up)]] = 0,0,SamplingData[[#This Row],[Max Error Bound (up)]]/SamplingData[[#Totals],[Max Error Bound (up)]])</f>
        <v>3.8771793113783326E-5</v>
      </c>
      <c r="R796" s="101">
        <f>SUM($Q$5:Q796)</f>
        <v>0.21070814162510562</v>
      </c>
      <c r="S796" s="100" t="str">
        <f t="array" ref="S796">IF(SamplingData[[#This Row],[up/U Selection Probability]] = 0, "Zero", TEXT(SamplingData[[#This Row],[Lower Range]], REPT("0",LEN('General Info'!$B$40))) &amp; " - " &amp; TEXT(SamplingData[[#This Row],[Upper Range]], REPT("0",LEN('General Info'!$B$40))))</f>
        <v>21067 - 21070</v>
      </c>
      <c r="T796" s="100">
        <f>SamplingData[[#This Row],[Upper Range]]-SamplingData[[#This Row],[Span]]</f>
        <v>21066.937021970978</v>
      </c>
      <c r="U796" s="100">
        <f>IF(ISNUMBER('General Info'!$B$40), ((SamplingData[[#This Row],[up/U Selection Probability]]) * 'General Info'!$B$40) - 1, 0)</f>
        <v>2.877140539585219</v>
      </c>
      <c r="V796" s="100">
        <f>IF(ISNUMBER('General Info'!$B$40), (SamplingData[[#This Row],[Running (cumulative) sum]] * ('General Info'!$B$40 -'General Info'!$B$41 + 1)) + 'General Info'!$B$41 - 1, 0)</f>
        <v>21069.814162510564</v>
      </c>
      <c r="W796" s="100" t="str">
        <f>IF(ISERROR(MATCH(SamplingData[[#This Row],[Batch by Type (p)]],SelectedPrecincts[Batch Name], 0)), "", INDEX(SelectedPrecincts[Draw], MATCH(SamplingData[[#This Row],[Batch by Type (p)]],SelectedPrecincts[Batch Name], 0)))</f>
        <v/>
      </c>
      <c r="X796" s="102">
        <f>IF(COUNTIF(SelectedPrecincts[Batch Name],SamplingData[[#This Row],[Batch by Type (p)]]) &lt;&gt; 0, COUNTIF(SelectedPrecincts[Batch Name],SamplingData[[#This Row],[Batch by Type (p)]]), 0)</f>
        <v>0</v>
      </c>
    </row>
    <row r="797" spans="1:24" ht="15" customHeight="1">
      <c r="A797" s="18" t="s">
        <v>973</v>
      </c>
      <c r="B797" s="18">
        <v>13</v>
      </c>
      <c r="C797" s="18">
        <v>6</v>
      </c>
      <c r="D797" s="16">
        <v>1</v>
      </c>
      <c r="E797" s="16">
        <v>4</v>
      </c>
      <c r="F797" s="37">
        <v>0</v>
      </c>
      <c r="G797" s="37">
        <v>0</v>
      </c>
      <c r="H797" s="17">
        <v>1</v>
      </c>
      <c r="I797" s="17">
        <v>0</v>
      </c>
      <c r="J797" s="99">
        <f>SUM(SamplingData[[#This Row],[Losing Candidate]:[Under Votes]])</f>
        <v>25</v>
      </c>
      <c r="K797"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797" s="100">
        <f>IF(AND(SamplingData[[#This Row],[Total]]&lt;&gt; 0, NOT(ISBLANK(SamplingData[[#This Row],[Candidate 3]]))),(SamplingData[[#This Row],[Total]]+SamplingData[[#This Row],[Winning Candidate]]-SamplingData[[#This Row],[Candidate 3]])/(SamplingData[[#Totals],[Winning Candidate]]-SamplingData[[#Totals],[Candidate 3]]), 0)</f>
        <v>9.6783559699325746E-4</v>
      </c>
      <c r="M797" s="100">
        <f>IF(AND(SamplingData[[#This Row],[Total]]&lt;&gt; 0, NOT(ISBLANK(SamplingData[[#This Row],[Candidate 4]]))),(SamplingData[[#This Row],[Total]]+SamplingData[[#This Row],[Winning Candidate]]-SamplingData[[#This Row],[Candidate 4]])/(SamplingData[[#Totals],[Winning Candidate]]-SamplingData[[#Totals],[Candidate 4]]), 0)</f>
        <v>7.8926598263614838E-4</v>
      </c>
      <c r="N797" s="100">
        <f>IF(AND(SamplingData[[#This Row],[Total]]&lt;&gt; 0, NOT(ISBLANK(SamplingData[[#This Row],[Candidate 5]]))),(SamplingData[[#This Row],[Total]]+SamplingData[[#This Row],[Winning Candidate]]-SamplingData[[#This Row],[Candidate 5]])/(SamplingData[[#Totals],[Winning Candidate]]-SamplingData[[#Totals],[Candidate 5]]), 0)</f>
        <v>7.5407443444417419E-4</v>
      </c>
      <c r="O797" s="100">
        <f>IF(AND(SamplingData[[#This Row],[Total]]&lt;&gt; 0, NOT(ISBLANK(SamplingData[[#This Row],[Candidate 6]]))),(SamplingData[[#This Row],[Total]]+SamplingData[[#This Row],[Winning Candidate]]-SamplingData[[#This Row],[Candidate 6]])/(SamplingData[[#Totals],[Winning Candidate]]-SamplingData[[#Totals],[Candidate 6]]), 0)</f>
        <v>7.5385438451437182E-4</v>
      </c>
      <c r="P797" s="100">
        <f>MAX(SamplingData[[#This Row],[Error Bound (up) - Max. possible relative overstatement - Losing Candidate]:[Error Bound (up) - Max. possible relative overstatement - Candidate 6]])</f>
        <v>1.1024007839294464E-3</v>
      </c>
      <c r="Q797" s="100">
        <f>IF(SamplingData[[#This Row],[Max Error Bound (up)]] = 0,0,SamplingData[[#This Row],[Max Error Bound (up)]]/SamplingData[[#Totals],[Max Error Bound (up)]])</f>
        <v>1.7447306901202498E-4</v>
      </c>
      <c r="R797" s="101">
        <f>SUM($Q$5:Q797)</f>
        <v>0.21088261469411765</v>
      </c>
      <c r="S797" s="100" t="str">
        <f t="array" ref="S797">IF(SamplingData[[#This Row],[up/U Selection Probability]] = 0, "Zero", TEXT(SamplingData[[#This Row],[Lower Range]], REPT("0",LEN('General Info'!$B$40))) &amp; " - " &amp; TEXT(SamplingData[[#This Row],[Upper Range]], REPT("0",LEN('General Info'!$B$40))))</f>
        <v>21071 - 21087</v>
      </c>
      <c r="T797" s="100">
        <f>SamplingData[[#This Row],[Upper Range]]-SamplingData[[#This Row],[Span]]</f>
        <v>21070.814336983633</v>
      </c>
      <c r="U797" s="100">
        <f>IF(ISNUMBER('General Info'!$B$40), ((SamplingData[[#This Row],[up/U Selection Probability]]) * 'General Info'!$B$40) - 1, 0)</f>
        <v>16.447132428133486</v>
      </c>
      <c r="V797" s="100">
        <f>IF(ISNUMBER('General Info'!$B$40), (SamplingData[[#This Row],[Running (cumulative) sum]] * ('General Info'!$B$40 -'General Info'!$B$41 + 1)) + 'General Info'!$B$41 - 1, 0)</f>
        <v>21087.261469411766</v>
      </c>
      <c r="W797" s="100" t="str">
        <f>IF(ISERROR(MATCH(SamplingData[[#This Row],[Batch by Type (p)]],SelectedPrecincts[Batch Name], 0)), "", INDEX(SelectedPrecincts[Draw], MATCH(SamplingData[[#This Row],[Batch by Type (p)]],SelectedPrecincts[Batch Name], 0)))</f>
        <v/>
      </c>
      <c r="X797" s="102">
        <f>IF(COUNTIF(SelectedPrecincts[Batch Name],SamplingData[[#This Row],[Batch by Type (p)]]) &lt;&gt; 0, COUNTIF(SelectedPrecincts[Batch Name],SamplingData[[#This Row],[Batch by Type (p)]]), 0)</f>
        <v>0</v>
      </c>
    </row>
    <row r="798" spans="1:24" ht="15" customHeight="1">
      <c r="A798" s="18" t="s">
        <v>974</v>
      </c>
      <c r="B798" s="18">
        <v>2</v>
      </c>
      <c r="C798" s="18">
        <v>3</v>
      </c>
      <c r="D798" s="18">
        <v>1</v>
      </c>
      <c r="E798" s="18">
        <v>1</v>
      </c>
      <c r="F798" s="18">
        <v>0</v>
      </c>
      <c r="G798" s="18">
        <v>1</v>
      </c>
      <c r="H798" s="18">
        <v>0</v>
      </c>
      <c r="I798" s="18">
        <v>0</v>
      </c>
      <c r="J798" s="99">
        <f>SUM(SamplingData[[#This Row],[Losing Candidate]:[Under Votes]])</f>
        <v>8</v>
      </c>
      <c r="K798"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798" s="100">
        <f>IF(AND(SamplingData[[#This Row],[Total]]&lt;&gt; 0, NOT(ISBLANK(SamplingData[[#This Row],[Candidate 3]]))),(SamplingData[[#This Row],[Total]]+SamplingData[[#This Row],[Winning Candidate]]-SamplingData[[#This Row],[Candidate 3]])/(SamplingData[[#Totals],[Winning Candidate]]-SamplingData[[#Totals],[Candidate 3]]), 0)</f>
        <v>3.2261186566441915E-4</v>
      </c>
      <c r="M798" s="100">
        <f>IF(AND(SamplingData[[#This Row],[Total]]&lt;&gt; 0, NOT(ISBLANK(SamplingData[[#This Row],[Candidate 4]]))),(SamplingData[[#This Row],[Total]]+SamplingData[[#This Row],[Winning Candidate]]-SamplingData[[#This Row],[Candidate 4]])/(SamplingData[[#Totals],[Winning Candidate]]-SamplingData[[#Totals],[Candidate 4]]), 0)</f>
        <v>2.9232073430968461E-4</v>
      </c>
      <c r="N798" s="100">
        <f>IF(AND(SamplingData[[#This Row],[Total]]&lt;&gt; 0, NOT(ISBLANK(SamplingData[[#This Row],[Candidate 5]]))),(SamplingData[[#This Row],[Total]]+SamplingData[[#This Row],[Winning Candidate]]-SamplingData[[#This Row],[Candidate 5]])/(SamplingData[[#Totals],[Winning Candidate]]-SamplingData[[#Totals],[Candidate 5]]), 0)</f>
        <v>2.6757479931890053E-4</v>
      </c>
      <c r="O798" s="100">
        <f>IF(AND(SamplingData[[#This Row],[Total]]&lt;&gt; 0, NOT(ISBLANK(SamplingData[[#This Row],[Candidate 6]]))),(SamplingData[[#This Row],[Total]]+SamplingData[[#This Row],[Winning Candidate]]-SamplingData[[#This Row],[Candidate 6]])/(SamplingData[[#Totals],[Winning Candidate]]-SamplingData[[#Totals],[Candidate 6]]), 0)</f>
        <v>2.431788337143135E-4</v>
      </c>
      <c r="P798" s="100">
        <f>MAX(SamplingData[[#This Row],[Error Bound (up) - Max. possible relative overstatement - Losing Candidate]:[Error Bound (up) - Max. possible relative overstatement - Candidate 6]])</f>
        <v>5.5120039196472322E-4</v>
      </c>
      <c r="Q798" s="100">
        <f>IF(SamplingData[[#This Row],[Max Error Bound (up)]] = 0,0,SamplingData[[#This Row],[Max Error Bound (up)]]/SamplingData[[#Totals],[Max Error Bound (up)]])</f>
        <v>8.7236534506012492E-5</v>
      </c>
      <c r="R798" s="101">
        <f>SUM($Q$5:Q798)</f>
        <v>0.21096985122862366</v>
      </c>
      <c r="S798" s="100" t="str">
        <f t="array" ref="S798">IF(SamplingData[[#This Row],[up/U Selection Probability]] = 0, "Zero", TEXT(SamplingData[[#This Row],[Lower Range]], REPT("0",LEN('General Info'!$B$40))) &amp; " - " &amp; TEXT(SamplingData[[#This Row],[Upper Range]], REPT("0",LEN('General Info'!$B$40))))</f>
        <v>21088 - 21096</v>
      </c>
      <c r="T798" s="100">
        <f>SamplingData[[#This Row],[Upper Range]]-SamplingData[[#This Row],[Span]]</f>
        <v>21088.2615566483</v>
      </c>
      <c r="U798" s="100">
        <f>IF(ISNUMBER('General Info'!$B$40), ((SamplingData[[#This Row],[up/U Selection Probability]]) * 'General Info'!$B$40) - 1, 0)</f>
        <v>7.7235662140667429</v>
      </c>
      <c r="V798" s="100">
        <f>IF(ISNUMBER('General Info'!$B$40), (SamplingData[[#This Row],[Running (cumulative) sum]] * ('General Info'!$B$40 -'General Info'!$B$41 + 1)) + 'General Info'!$B$41 - 1, 0)</f>
        <v>21095.985122862367</v>
      </c>
      <c r="W798" s="100" t="str">
        <f>IF(ISERROR(MATCH(SamplingData[[#This Row],[Batch by Type (p)]],SelectedPrecincts[Batch Name], 0)), "", INDEX(SelectedPrecincts[Draw], MATCH(SamplingData[[#This Row],[Batch by Type (p)]],SelectedPrecincts[Batch Name], 0)))</f>
        <v/>
      </c>
      <c r="X798" s="102">
        <f>IF(COUNTIF(SelectedPrecincts[Batch Name],SamplingData[[#This Row],[Batch by Type (p)]]) &lt;&gt; 0, COUNTIF(SelectedPrecincts[Batch Name],SamplingData[[#This Row],[Batch by Type (p)]]), 0)</f>
        <v>0</v>
      </c>
    </row>
    <row r="799" spans="1:24" ht="15" customHeight="1">
      <c r="A799" s="18" t="s">
        <v>975</v>
      </c>
      <c r="B799" s="18">
        <v>2</v>
      </c>
      <c r="C799" s="18">
        <v>4</v>
      </c>
      <c r="D799" s="16">
        <v>2</v>
      </c>
      <c r="E799" s="16">
        <v>0</v>
      </c>
      <c r="F799" s="37">
        <v>0</v>
      </c>
      <c r="G799" s="37">
        <v>0</v>
      </c>
      <c r="H799" s="17">
        <v>0</v>
      </c>
      <c r="I799" s="17">
        <v>0</v>
      </c>
      <c r="J799" s="99">
        <f>SUM(SamplingData[[#This Row],[Losing Candidate]:[Under Votes]])</f>
        <v>8</v>
      </c>
      <c r="K799"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799" s="100">
        <f>IF(AND(SamplingData[[#This Row],[Total]]&lt;&gt; 0, NOT(ISBLANK(SamplingData[[#This Row],[Candidate 3]]))),(SamplingData[[#This Row],[Total]]+SamplingData[[#This Row],[Winning Candidate]]-SamplingData[[#This Row],[Candidate 3]])/(SamplingData[[#Totals],[Winning Candidate]]-SamplingData[[#Totals],[Candidate 3]]), 0)</f>
        <v>3.2261186566441915E-4</v>
      </c>
      <c r="M799" s="100">
        <f>IF(AND(SamplingData[[#This Row],[Total]]&lt;&gt; 0, NOT(ISBLANK(SamplingData[[#This Row],[Candidate 4]]))),(SamplingData[[#This Row],[Total]]+SamplingData[[#This Row],[Winning Candidate]]-SamplingData[[#This Row],[Candidate 4]])/(SamplingData[[#Totals],[Winning Candidate]]-SamplingData[[#Totals],[Candidate 4]]), 0)</f>
        <v>3.5078488117162149E-4</v>
      </c>
      <c r="N799" s="100">
        <f>IF(AND(SamplingData[[#This Row],[Total]]&lt;&gt; 0, NOT(ISBLANK(SamplingData[[#This Row],[Candidate 5]]))),(SamplingData[[#This Row],[Total]]+SamplingData[[#This Row],[Winning Candidate]]-SamplingData[[#This Row],[Candidate 5]])/(SamplingData[[#Totals],[Winning Candidate]]-SamplingData[[#Totals],[Candidate 5]]), 0)</f>
        <v>2.9189978107516421E-4</v>
      </c>
      <c r="O799" s="100">
        <f>IF(AND(SamplingData[[#This Row],[Total]]&lt;&gt; 0, NOT(ISBLANK(SamplingData[[#This Row],[Candidate 6]]))),(SamplingData[[#This Row],[Total]]+SamplingData[[#This Row],[Winning Candidate]]-SamplingData[[#This Row],[Candidate 6]])/(SamplingData[[#Totals],[Winning Candidate]]-SamplingData[[#Totals],[Candidate 6]]), 0)</f>
        <v>2.9181460045717622E-4</v>
      </c>
      <c r="P799" s="100">
        <f>MAX(SamplingData[[#This Row],[Error Bound (up) - Max. possible relative overstatement - Losing Candidate]:[Error Bound (up) - Max. possible relative overstatement - Candidate 6]])</f>
        <v>6.1244487996080352E-4</v>
      </c>
      <c r="Q799" s="100">
        <f>IF(SamplingData[[#This Row],[Max Error Bound (up)]] = 0,0,SamplingData[[#This Row],[Max Error Bound (up)]]/SamplingData[[#Totals],[Max Error Bound (up)]])</f>
        <v>9.6929482784458319E-5</v>
      </c>
      <c r="R799" s="101">
        <f>SUM($Q$5:Q799)</f>
        <v>0.21106678071140811</v>
      </c>
      <c r="S799" s="100" t="str">
        <f t="array" ref="S799">IF(SamplingData[[#This Row],[up/U Selection Probability]] = 0, "Zero", TEXT(SamplingData[[#This Row],[Lower Range]], REPT("0",LEN('General Info'!$B$40))) &amp; " - " &amp; TEXT(SamplingData[[#This Row],[Upper Range]], REPT("0",LEN('General Info'!$B$40))))</f>
        <v>21097 - 21106</v>
      </c>
      <c r="T799" s="100">
        <f>SamplingData[[#This Row],[Upper Range]]-SamplingData[[#This Row],[Span]]</f>
        <v>21096.985219791848</v>
      </c>
      <c r="U799" s="100">
        <f>IF(ISNUMBER('General Info'!$B$40), ((SamplingData[[#This Row],[up/U Selection Probability]]) * 'General Info'!$B$40) - 1, 0)</f>
        <v>8.6928513489630479</v>
      </c>
      <c r="V799" s="100">
        <f>IF(ISNUMBER('General Info'!$B$40), (SamplingData[[#This Row],[Running (cumulative) sum]] * ('General Info'!$B$40 -'General Info'!$B$41 + 1)) + 'General Info'!$B$41 - 1, 0)</f>
        <v>21105.67807114081</v>
      </c>
      <c r="W799" s="100" t="str">
        <f>IF(ISERROR(MATCH(SamplingData[[#This Row],[Batch by Type (p)]],SelectedPrecincts[Batch Name], 0)), "", INDEX(SelectedPrecincts[Draw], MATCH(SamplingData[[#This Row],[Batch by Type (p)]],SelectedPrecincts[Batch Name], 0)))</f>
        <v/>
      </c>
      <c r="X799" s="102">
        <f>IF(COUNTIF(SelectedPrecincts[Batch Name],SamplingData[[#This Row],[Batch by Type (p)]]) &lt;&gt; 0, COUNTIF(SelectedPrecincts[Batch Name],SamplingData[[#This Row],[Batch by Type (p)]]), 0)</f>
        <v>0</v>
      </c>
    </row>
    <row r="800" spans="1:24" ht="15" customHeight="1">
      <c r="A800" s="18" t="s">
        <v>976</v>
      </c>
      <c r="B800" s="18">
        <v>0</v>
      </c>
      <c r="C800" s="18">
        <v>2</v>
      </c>
      <c r="D800" s="18">
        <v>0</v>
      </c>
      <c r="E800" s="18">
        <v>1</v>
      </c>
      <c r="F800" s="18">
        <v>0</v>
      </c>
      <c r="G800" s="18">
        <v>0</v>
      </c>
      <c r="H800" s="18">
        <v>0</v>
      </c>
      <c r="I800" s="18">
        <v>0</v>
      </c>
      <c r="J800" s="99">
        <f>SUM(SamplingData[[#This Row],[Losing Candidate]:[Under Votes]])</f>
        <v>3</v>
      </c>
      <c r="K800"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800" s="100">
        <f>IF(AND(SamplingData[[#This Row],[Total]]&lt;&gt; 0, NOT(ISBLANK(SamplingData[[#This Row],[Candidate 3]]))),(SamplingData[[#This Row],[Total]]+SamplingData[[#This Row],[Winning Candidate]]-SamplingData[[#This Row],[Candidate 3]])/(SamplingData[[#Totals],[Winning Candidate]]-SamplingData[[#Totals],[Candidate 3]]), 0)</f>
        <v>1.6130593283220958E-4</v>
      </c>
      <c r="M800" s="100">
        <f>IF(AND(SamplingData[[#This Row],[Total]]&lt;&gt; 0, NOT(ISBLANK(SamplingData[[#This Row],[Candidate 4]]))),(SamplingData[[#This Row],[Total]]+SamplingData[[#This Row],[Winning Candidate]]-SamplingData[[#This Row],[Candidate 4]])/(SamplingData[[#Totals],[Winning Candidate]]-SamplingData[[#Totals],[Candidate 4]]), 0)</f>
        <v>1.1692829372387384E-4</v>
      </c>
      <c r="N800" s="100">
        <f>IF(AND(SamplingData[[#This Row],[Total]]&lt;&gt; 0, NOT(ISBLANK(SamplingData[[#This Row],[Candidate 5]]))),(SamplingData[[#This Row],[Total]]+SamplingData[[#This Row],[Winning Candidate]]-SamplingData[[#This Row],[Candidate 5]])/(SamplingData[[#Totals],[Winning Candidate]]-SamplingData[[#Totals],[Candidate 5]]), 0)</f>
        <v>1.2162490878131841E-4</v>
      </c>
      <c r="O800" s="100">
        <f>IF(AND(SamplingData[[#This Row],[Total]]&lt;&gt; 0, NOT(ISBLANK(SamplingData[[#This Row],[Candidate 6]]))),(SamplingData[[#This Row],[Total]]+SamplingData[[#This Row],[Winning Candidate]]-SamplingData[[#This Row],[Candidate 6]])/(SamplingData[[#Totals],[Winning Candidate]]-SamplingData[[#Totals],[Candidate 6]]), 0)</f>
        <v>1.2158941685715675E-4</v>
      </c>
      <c r="P800" s="100">
        <f>MAX(SamplingData[[#This Row],[Error Bound (up) - Max. possible relative overstatement - Losing Candidate]:[Error Bound (up) - Max. possible relative overstatement - Candidate 6]])</f>
        <v>3.0622243998040176E-4</v>
      </c>
      <c r="Q800" s="100">
        <f>IF(SamplingData[[#This Row],[Max Error Bound (up)]] = 0,0,SamplingData[[#This Row],[Max Error Bound (up)]]/SamplingData[[#Totals],[Max Error Bound (up)]])</f>
        <v>4.8464741392229159E-5</v>
      </c>
      <c r="R800" s="101">
        <f>SUM($Q$5:Q800)</f>
        <v>0.21111524545280033</v>
      </c>
      <c r="S800" s="100" t="str">
        <f t="array" ref="S800">IF(SamplingData[[#This Row],[up/U Selection Probability]] = 0, "Zero", TEXT(SamplingData[[#This Row],[Lower Range]], REPT("0",LEN('General Info'!$B$40))) &amp; " - " &amp; TEXT(SamplingData[[#This Row],[Upper Range]], REPT("0",LEN('General Info'!$B$40))))</f>
        <v>21107 - 21111</v>
      </c>
      <c r="T800" s="100">
        <f>SamplingData[[#This Row],[Upper Range]]-SamplingData[[#This Row],[Span]]</f>
        <v>21106.678119605553</v>
      </c>
      <c r="U800" s="100">
        <f>IF(ISNUMBER('General Info'!$B$40), ((SamplingData[[#This Row],[up/U Selection Probability]]) * 'General Info'!$B$40) - 1, 0)</f>
        <v>3.8464256744815239</v>
      </c>
      <c r="V800" s="100">
        <f>IF(ISNUMBER('General Info'!$B$40), (SamplingData[[#This Row],[Running (cumulative) sum]] * ('General Info'!$B$40 -'General Info'!$B$41 + 1)) + 'General Info'!$B$41 - 1, 0)</f>
        <v>21110.524545280034</v>
      </c>
      <c r="W800" s="100" t="str">
        <f>IF(ISERROR(MATCH(SamplingData[[#This Row],[Batch by Type (p)]],SelectedPrecincts[Batch Name], 0)), "", INDEX(SelectedPrecincts[Draw], MATCH(SamplingData[[#This Row],[Batch by Type (p)]],SelectedPrecincts[Batch Name], 0)))</f>
        <v/>
      </c>
      <c r="X800" s="102">
        <f>IF(COUNTIF(SelectedPrecincts[Batch Name],SamplingData[[#This Row],[Batch by Type (p)]]) &lt;&gt; 0, COUNTIF(SelectedPrecincts[Batch Name],SamplingData[[#This Row],[Batch by Type (p)]]), 0)</f>
        <v>0</v>
      </c>
    </row>
    <row r="801" spans="1:24" ht="15" customHeight="1">
      <c r="A801" s="18" t="s">
        <v>977</v>
      </c>
      <c r="B801" s="18">
        <v>7</v>
      </c>
      <c r="C801" s="18">
        <v>2</v>
      </c>
      <c r="D801" s="16">
        <v>0</v>
      </c>
      <c r="E801" s="16">
        <v>1</v>
      </c>
      <c r="F801" s="37">
        <v>0</v>
      </c>
      <c r="G801" s="37">
        <v>0</v>
      </c>
      <c r="H801" s="17">
        <v>0</v>
      </c>
      <c r="I801" s="17">
        <v>1</v>
      </c>
      <c r="J801" s="99">
        <f>SUM(SamplingData[[#This Row],[Losing Candidate]:[Under Votes]])</f>
        <v>11</v>
      </c>
      <c r="K801"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801" s="100">
        <f>IF(AND(SamplingData[[#This Row],[Total]]&lt;&gt; 0, NOT(ISBLANK(SamplingData[[#This Row],[Candidate 3]]))),(SamplingData[[#This Row],[Total]]+SamplingData[[#This Row],[Winning Candidate]]-SamplingData[[#This Row],[Candidate 3]])/(SamplingData[[#Totals],[Winning Candidate]]-SamplingData[[#Totals],[Candidate 3]]), 0)</f>
        <v>4.1939542536374486E-4</v>
      </c>
      <c r="M801" s="100">
        <f>IF(AND(SamplingData[[#This Row],[Total]]&lt;&gt; 0, NOT(ISBLANK(SamplingData[[#This Row],[Candidate 4]]))),(SamplingData[[#This Row],[Total]]+SamplingData[[#This Row],[Winning Candidate]]-SamplingData[[#This Row],[Candidate 4]])/(SamplingData[[#Totals],[Winning Candidate]]-SamplingData[[#Totals],[Candidate 4]]), 0)</f>
        <v>3.5078488117162149E-4</v>
      </c>
      <c r="N801" s="100">
        <f>IF(AND(SamplingData[[#This Row],[Total]]&lt;&gt; 0, NOT(ISBLANK(SamplingData[[#This Row],[Candidate 5]]))),(SamplingData[[#This Row],[Total]]+SamplingData[[#This Row],[Winning Candidate]]-SamplingData[[#This Row],[Candidate 5]])/(SamplingData[[#Totals],[Winning Candidate]]-SamplingData[[#Totals],[Candidate 5]]), 0)</f>
        <v>3.1622476283142789E-4</v>
      </c>
      <c r="O801" s="100">
        <f>IF(AND(SamplingData[[#This Row],[Total]]&lt;&gt; 0, NOT(ISBLANK(SamplingData[[#This Row],[Candidate 6]]))),(SamplingData[[#This Row],[Total]]+SamplingData[[#This Row],[Winning Candidate]]-SamplingData[[#This Row],[Candidate 6]])/(SamplingData[[#Totals],[Winning Candidate]]-SamplingData[[#Totals],[Candidate 6]]), 0)</f>
        <v>3.1613248382860755E-4</v>
      </c>
      <c r="P801" s="100">
        <f>MAX(SamplingData[[#This Row],[Error Bound (up) - Max. possible relative overstatement - Losing Candidate]:[Error Bound (up) - Max. possible relative overstatement - Candidate 6]])</f>
        <v>4.1939542536374486E-4</v>
      </c>
      <c r="Q801" s="100">
        <f>IF(SamplingData[[#This Row],[Max Error Bound (up)]] = 0,0,SamplingData[[#This Row],[Max Error Bound (up)]]/SamplingData[[#Totals],[Max Error Bound (up)]])</f>
        <v>6.6376229098816852E-5</v>
      </c>
      <c r="R801" s="101">
        <f>SUM($Q$5:Q801)</f>
        <v>0.21118162168189916</v>
      </c>
      <c r="S801" s="100" t="str">
        <f t="array" ref="S801">IF(SamplingData[[#This Row],[up/U Selection Probability]] = 0, "Zero", TEXT(SamplingData[[#This Row],[Lower Range]], REPT("0",LEN('General Info'!$B$40))) &amp; " - " &amp; TEXT(SamplingData[[#This Row],[Upper Range]], REPT("0",LEN('General Info'!$B$40))))</f>
        <v>21112 - 21117</v>
      </c>
      <c r="T801" s="100">
        <f>SamplingData[[#This Row],[Upper Range]]-SamplingData[[#This Row],[Span]]</f>
        <v>21111.524611656263</v>
      </c>
      <c r="U801" s="100">
        <f>IF(ISNUMBER('General Info'!$B$40), ((SamplingData[[#This Row],[up/U Selection Probability]]) * 'General Info'!$B$40) - 1, 0)</f>
        <v>5.6375565336525861</v>
      </c>
      <c r="V801" s="100">
        <f>IF(ISNUMBER('General Info'!$B$40), (SamplingData[[#This Row],[Running (cumulative) sum]] * ('General Info'!$B$40 -'General Info'!$B$41 + 1)) + 'General Info'!$B$41 - 1, 0)</f>
        <v>21117.162168189916</v>
      </c>
      <c r="W801" s="100" t="str">
        <f>IF(ISERROR(MATCH(SamplingData[[#This Row],[Batch by Type (p)]],SelectedPrecincts[Batch Name], 0)), "", INDEX(SelectedPrecincts[Draw], MATCH(SamplingData[[#This Row],[Batch by Type (p)]],SelectedPrecincts[Batch Name], 0)))</f>
        <v/>
      </c>
      <c r="X801" s="102">
        <f>IF(COUNTIF(SelectedPrecincts[Batch Name],SamplingData[[#This Row],[Batch by Type (p)]]) &lt;&gt; 0, COUNTIF(SelectedPrecincts[Batch Name],SamplingData[[#This Row],[Batch by Type (p)]]), 0)</f>
        <v>0</v>
      </c>
    </row>
    <row r="802" spans="1:24" ht="15" customHeight="1">
      <c r="A802" s="18" t="s">
        <v>978</v>
      </c>
      <c r="B802" s="18">
        <v>1</v>
      </c>
      <c r="C802" s="18">
        <v>2</v>
      </c>
      <c r="D802" s="18">
        <v>0</v>
      </c>
      <c r="E802" s="18">
        <v>0</v>
      </c>
      <c r="F802" s="18">
        <v>0</v>
      </c>
      <c r="G802" s="18">
        <v>0</v>
      </c>
      <c r="H802" s="18">
        <v>0</v>
      </c>
      <c r="I802" s="18">
        <v>0</v>
      </c>
      <c r="J802" s="99">
        <f>SUM(SamplingData[[#This Row],[Losing Candidate]:[Under Votes]])</f>
        <v>3</v>
      </c>
      <c r="K802"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802" s="100">
        <f>IF(AND(SamplingData[[#This Row],[Total]]&lt;&gt; 0, NOT(ISBLANK(SamplingData[[#This Row],[Candidate 3]]))),(SamplingData[[#This Row],[Total]]+SamplingData[[#This Row],[Winning Candidate]]-SamplingData[[#This Row],[Candidate 3]])/(SamplingData[[#Totals],[Winning Candidate]]-SamplingData[[#Totals],[Candidate 3]]), 0)</f>
        <v>1.6130593283220958E-4</v>
      </c>
      <c r="M802" s="100">
        <f>IF(AND(SamplingData[[#This Row],[Total]]&lt;&gt; 0, NOT(ISBLANK(SamplingData[[#This Row],[Candidate 4]]))),(SamplingData[[#This Row],[Total]]+SamplingData[[#This Row],[Winning Candidate]]-SamplingData[[#This Row],[Candidate 4]])/(SamplingData[[#Totals],[Winning Candidate]]-SamplingData[[#Totals],[Candidate 4]]), 0)</f>
        <v>1.4616036715484231E-4</v>
      </c>
      <c r="N802" s="100">
        <f>IF(AND(SamplingData[[#This Row],[Total]]&lt;&gt; 0, NOT(ISBLANK(SamplingData[[#This Row],[Candidate 5]]))),(SamplingData[[#This Row],[Total]]+SamplingData[[#This Row],[Winning Candidate]]-SamplingData[[#This Row],[Candidate 5]])/(SamplingData[[#Totals],[Winning Candidate]]-SamplingData[[#Totals],[Candidate 5]]), 0)</f>
        <v>1.2162490878131841E-4</v>
      </c>
      <c r="O802" s="100">
        <f>IF(AND(SamplingData[[#This Row],[Total]]&lt;&gt; 0, NOT(ISBLANK(SamplingData[[#This Row],[Candidate 6]]))),(SamplingData[[#This Row],[Total]]+SamplingData[[#This Row],[Winning Candidate]]-SamplingData[[#This Row],[Candidate 6]])/(SamplingData[[#Totals],[Winning Candidate]]-SamplingData[[#Totals],[Candidate 6]]), 0)</f>
        <v>1.2158941685715675E-4</v>
      </c>
      <c r="P802" s="100">
        <f>MAX(SamplingData[[#This Row],[Error Bound (up) - Max. possible relative overstatement - Losing Candidate]:[Error Bound (up) - Max. possible relative overstatement - Candidate 6]])</f>
        <v>2.4497795198432141E-4</v>
      </c>
      <c r="Q802" s="100">
        <f>IF(SamplingData[[#This Row],[Max Error Bound (up)]] = 0,0,SamplingData[[#This Row],[Max Error Bound (up)]]/SamplingData[[#Totals],[Max Error Bound (up)]])</f>
        <v>3.8771793113783326E-5</v>
      </c>
      <c r="R802" s="101">
        <f>SUM($Q$5:Q802)</f>
        <v>0.21122039347501295</v>
      </c>
      <c r="S802" s="100" t="str">
        <f t="array" ref="S802">IF(SamplingData[[#This Row],[up/U Selection Probability]] = 0, "Zero", TEXT(SamplingData[[#This Row],[Lower Range]], REPT("0",LEN('General Info'!$B$40))) &amp; " - " &amp; TEXT(SamplingData[[#This Row],[Upper Range]], REPT("0",LEN('General Info'!$B$40))))</f>
        <v>21118 - 21121</v>
      </c>
      <c r="T802" s="100">
        <f>SamplingData[[#This Row],[Upper Range]]-SamplingData[[#This Row],[Span]]</f>
        <v>21118.162206961708</v>
      </c>
      <c r="U802" s="100">
        <f>IF(ISNUMBER('General Info'!$B$40), ((SamplingData[[#This Row],[up/U Selection Probability]]) * 'General Info'!$B$40) - 1, 0)</f>
        <v>2.877140539585219</v>
      </c>
      <c r="V802" s="100">
        <f>IF(ISNUMBER('General Info'!$B$40), (SamplingData[[#This Row],[Running (cumulative) sum]] * ('General Info'!$B$40 -'General Info'!$B$41 + 1)) + 'General Info'!$B$41 - 1, 0)</f>
        <v>21121.039347501293</v>
      </c>
      <c r="W802" s="100" t="str">
        <f>IF(ISERROR(MATCH(SamplingData[[#This Row],[Batch by Type (p)]],SelectedPrecincts[Batch Name], 0)), "", INDEX(SelectedPrecincts[Draw], MATCH(SamplingData[[#This Row],[Batch by Type (p)]],SelectedPrecincts[Batch Name], 0)))</f>
        <v/>
      </c>
      <c r="X802" s="102">
        <f>IF(COUNTIF(SelectedPrecincts[Batch Name],SamplingData[[#This Row],[Batch by Type (p)]]) &lt;&gt; 0, COUNTIF(SelectedPrecincts[Batch Name],SamplingData[[#This Row],[Batch by Type (p)]]), 0)</f>
        <v>0</v>
      </c>
    </row>
    <row r="803" spans="1:24" ht="15" customHeight="1">
      <c r="A803" s="18" t="s">
        <v>979</v>
      </c>
      <c r="B803" s="18">
        <v>6</v>
      </c>
      <c r="C803" s="18">
        <v>6</v>
      </c>
      <c r="D803" s="16">
        <v>3</v>
      </c>
      <c r="E803" s="16">
        <v>1</v>
      </c>
      <c r="F803" s="37">
        <v>0</v>
      </c>
      <c r="G803" s="37">
        <v>0</v>
      </c>
      <c r="H803" s="17">
        <v>0</v>
      </c>
      <c r="I803" s="17">
        <v>0</v>
      </c>
      <c r="J803" s="99">
        <f>SUM(SamplingData[[#This Row],[Losing Candidate]:[Under Votes]])</f>
        <v>16</v>
      </c>
      <c r="K803"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803" s="100">
        <f>IF(AND(SamplingData[[#This Row],[Total]]&lt;&gt; 0, NOT(ISBLANK(SamplingData[[#This Row],[Candidate 3]]))),(SamplingData[[#This Row],[Total]]+SamplingData[[#This Row],[Winning Candidate]]-SamplingData[[#This Row],[Candidate 3]])/(SamplingData[[#Totals],[Winning Candidate]]-SamplingData[[#Totals],[Candidate 3]]), 0)</f>
        <v>6.1296254476239632E-4</v>
      </c>
      <c r="M803" s="100">
        <f>IF(AND(SamplingData[[#This Row],[Total]]&lt;&gt; 0, NOT(ISBLANK(SamplingData[[#This Row],[Candidate 4]]))),(SamplingData[[#This Row],[Total]]+SamplingData[[#This Row],[Winning Candidate]]-SamplingData[[#This Row],[Candidate 4]])/(SamplingData[[#Totals],[Winning Candidate]]-SamplingData[[#Totals],[Candidate 4]]), 0)</f>
        <v>6.1387354205033758E-4</v>
      </c>
      <c r="N803" s="100">
        <f>IF(AND(SamplingData[[#This Row],[Total]]&lt;&gt; 0, NOT(ISBLANK(SamplingData[[#This Row],[Candidate 5]]))),(SamplingData[[#This Row],[Total]]+SamplingData[[#This Row],[Winning Candidate]]-SamplingData[[#This Row],[Candidate 5]])/(SamplingData[[#Totals],[Winning Candidate]]-SamplingData[[#Totals],[Candidate 5]]), 0)</f>
        <v>5.3514959863780107E-4</v>
      </c>
      <c r="O803" s="100">
        <f>IF(AND(SamplingData[[#This Row],[Total]]&lt;&gt; 0, NOT(ISBLANK(SamplingData[[#This Row],[Candidate 6]]))),(SamplingData[[#This Row],[Total]]+SamplingData[[#This Row],[Winning Candidate]]-SamplingData[[#This Row],[Candidate 6]])/(SamplingData[[#Totals],[Winning Candidate]]-SamplingData[[#Totals],[Candidate 6]]), 0)</f>
        <v>5.3499343417148966E-4</v>
      </c>
      <c r="P803" s="100">
        <f>MAX(SamplingData[[#This Row],[Error Bound (up) - Max. possible relative overstatement - Losing Candidate]:[Error Bound (up) - Max. possible relative overstatement - Candidate 6]])</f>
        <v>9.7991180793728563E-4</v>
      </c>
      <c r="Q803" s="100">
        <f>IF(SamplingData[[#This Row],[Max Error Bound (up)]] = 0,0,SamplingData[[#This Row],[Max Error Bound (up)]]/SamplingData[[#Totals],[Max Error Bound (up)]])</f>
        <v>1.550871724551333E-4</v>
      </c>
      <c r="R803" s="101">
        <f>SUM($Q$5:Q803)</f>
        <v>0.21137548064746808</v>
      </c>
      <c r="S803" s="100" t="str">
        <f t="array" ref="S803">IF(SamplingData[[#This Row],[up/U Selection Probability]] = 0, "Zero", TEXT(SamplingData[[#This Row],[Lower Range]], REPT("0",LEN('General Info'!$B$40))) &amp; " - " &amp; TEXT(SamplingData[[#This Row],[Upper Range]], REPT("0",LEN('General Info'!$B$40))))</f>
        <v>21122 - 21137</v>
      </c>
      <c r="T803" s="100">
        <f>SamplingData[[#This Row],[Upper Range]]-SamplingData[[#This Row],[Span]]</f>
        <v>21122.039502588465</v>
      </c>
      <c r="U803" s="100">
        <f>IF(ISNUMBER('General Info'!$B$40), ((SamplingData[[#This Row],[up/U Selection Probability]]) * 'General Info'!$B$40) - 1, 0)</f>
        <v>14.508562158340876</v>
      </c>
      <c r="V803" s="100">
        <f>IF(ISNUMBER('General Info'!$B$40), (SamplingData[[#This Row],[Running (cumulative) sum]] * ('General Info'!$B$40 -'General Info'!$B$41 + 1)) + 'General Info'!$B$41 - 1, 0)</f>
        <v>21136.548064746807</v>
      </c>
      <c r="W803" s="100" t="str">
        <f>IF(ISERROR(MATCH(SamplingData[[#This Row],[Batch by Type (p)]],SelectedPrecincts[Batch Name], 0)), "", INDEX(SelectedPrecincts[Draw], MATCH(SamplingData[[#This Row],[Batch by Type (p)]],SelectedPrecincts[Batch Name], 0)))</f>
        <v/>
      </c>
      <c r="X803" s="102">
        <f>IF(COUNTIF(SelectedPrecincts[Batch Name],SamplingData[[#This Row],[Batch by Type (p)]]) &lt;&gt; 0, COUNTIF(SelectedPrecincts[Batch Name],SamplingData[[#This Row],[Batch by Type (p)]]), 0)</f>
        <v>0</v>
      </c>
    </row>
    <row r="804" spans="1:24" ht="15" customHeight="1">
      <c r="A804" s="18" t="s">
        <v>980</v>
      </c>
      <c r="B804" s="18">
        <v>4</v>
      </c>
      <c r="C804" s="18">
        <v>6</v>
      </c>
      <c r="D804" s="18">
        <v>1</v>
      </c>
      <c r="E804" s="18">
        <v>2</v>
      </c>
      <c r="F804" s="18">
        <v>0</v>
      </c>
      <c r="G804" s="18">
        <v>2</v>
      </c>
      <c r="H804" s="18">
        <v>0</v>
      </c>
      <c r="I804" s="18">
        <v>1</v>
      </c>
      <c r="J804" s="99">
        <f>SUM(SamplingData[[#This Row],[Losing Candidate]:[Under Votes]])</f>
        <v>16</v>
      </c>
      <c r="K804"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804" s="100">
        <f>IF(AND(SamplingData[[#This Row],[Total]]&lt;&gt; 0, NOT(ISBLANK(SamplingData[[#This Row],[Candidate 3]]))),(SamplingData[[#This Row],[Total]]+SamplingData[[#This Row],[Winning Candidate]]-SamplingData[[#This Row],[Candidate 3]])/(SamplingData[[#Totals],[Winning Candidate]]-SamplingData[[#Totals],[Candidate 3]]), 0)</f>
        <v>6.7748491789528019E-4</v>
      </c>
      <c r="M804" s="100">
        <f>IF(AND(SamplingData[[#This Row],[Total]]&lt;&gt; 0, NOT(ISBLANK(SamplingData[[#This Row],[Candidate 4]]))),(SamplingData[[#This Row],[Total]]+SamplingData[[#This Row],[Winning Candidate]]-SamplingData[[#This Row],[Candidate 4]])/(SamplingData[[#Totals],[Winning Candidate]]-SamplingData[[#Totals],[Candidate 4]]), 0)</f>
        <v>5.8464146861936922E-4</v>
      </c>
      <c r="N804" s="100">
        <f>IF(AND(SamplingData[[#This Row],[Total]]&lt;&gt; 0, NOT(ISBLANK(SamplingData[[#This Row],[Candidate 5]]))),(SamplingData[[#This Row],[Total]]+SamplingData[[#This Row],[Winning Candidate]]-SamplingData[[#This Row],[Candidate 5]])/(SamplingData[[#Totals],[Winning Candidate]]-SamplingData[[#Totals],[Candidate 5]]), 0)</f>
        <v>5.3514959863780107E-4</v>
      </c>
      <c r="O804" s="100">
        <f>IF(AND(SamplingData[[#This Row],[Total]]&lt;&gt; 0, NOT(ISBLANK(SamplingData[[#This Row],[Candidate 6]]))),(SamplingData[[#This Row],[Total]]+SamplingData[[#This Row],[Winning Candidate]]-SamplingData[[#This Row],[Candidate 6]])/(SamplingData[[#Totals],[Winning Candidate]]-SamplingData[[#Totals],[Candidate 6]]), 0)</f>
        <v>4.8635766742862699E-4</v>
      </c>
      <c r="P804" s="100">
        <f>MAX(SamplingData[[#This Row],[Error Bound (up) - Max. possible relative overstatement - Losing Candidate]:[Error Bound (up) - Max. possible relative overstatement - Candidate 6]])</f>
        <v>1.1024007839294464E-3</v>
      </c>
      <c r="Q804" s="100">
        <f>IF(SamplingData[[#This Row],[Max Error Bound (up)]] = 0,0,SamplingData[[#This Row],[Max Error Bound (up)]]/SamplingData[[#Totals],[Max Error Bound (up)]])</f>
        <v>1.7447306901202498E-4</v>
      </c>
      <c r="R804" s="101">
        <f>SUM($Q$5:Q804)</f>
        <v>0.21154995371648011</v>
      </c>
      <c r="S804" s="100" t="str">
        <f t="array" ref="S804">IF(SamplingData[[#This Row],[up/U Selection Probability]] = 0, "Zero", TEXT(SamplingData[[#This Row],[Lower Range]], REPT("0",LEN('General Info'!$B$40))) &amp; " - " &amp; TEXT(SamplingData[[#This Row],[Upper Range]], REPT("0",LEN('General Info'!$B$40))))</f>
        <v>21138 - 21154</v>
      </c>
      <c r="T804" s="100">
        <f>SamplingData[[#This Row],[Upper Range]]-SamplingData[[#This Row],[Span]]</f>
        <v>21137.548239219879</v>
      </c>
      <c r="U804" s="100">
        <f>IF(ISNUMBER('General Info'!$B$40), ((SamplingData[[#This Row],[up/U Selection Probability]]) * 'General Info'!$B$40) - 1, 0)</f>
        <v>16.447132428133486</v>
      </c>
      <c r="V804" s="100">
        <f>IF(ISNUMBER('General Info'!$B$40), (SamplingData[[#This Row],[Running (cumulative) sum]] * ('General Info'!$B$40 -'General Info'!$B$41 + 1)) + 'General Info'!$B$41 - 1, 0)</f>
        <v>21153.995371648012</v>
      </c>
      <c r="W804" s="100" t="str">
        <f>IF(ISERROR(MATCH(SamplingData[[#This Row],[Batch by Type (p)]],SelectedPrecincts[Batch Name], 0)), "", INDEX(SelectedPrecincts[Draw], MATCH(SamplingData[[#This Row],[Batch by Type (p)]],SelectedPrecincts[Batch Name], 0)))</f>
        <v/>
      </c>
      <c r="X804" s="102">
        <f>IF(COUNTIF(SelectedPrecincts[Batch Name],SamplingData[[#This Row],[Batch by Type (p)]]) &lt;&gt; 0, COUNTIF(SelectedPrecincts[Batch Name],SamplingData[[#This Row],[Batch by Type (p)]]), 0)</f>
        <v>0</v>
      </c>
    </row>
    <row r="805" spans="1:24" ht="15" customHeight="1">
      <c r="A805" s="18" t="s">
        <v>981</v>
      </c>
      <c r="B805" s="18">
        <v>12</v>
      </c>
      <c r="C805" s="18">
        <v>12</v>
      </c>
      <c r="D805" s="16">
        <v>4</v>
      </c>
      <c r="E805" s="16">
        <v>5</v>
      </c>
      <c r="F805" s="37">
        <v>0</v>
      </c>
      <c r="G805" s="37">
        <v>0</v>
      </c>
      <c r="H805" s="17">
        <v>0</v>
      </c>
      <c r="I805" s="17">
        <v>0</v>
      </c>
      <c r="J805" s="99">
        <f>SUM(SamplingData[[#This Row],[Losing Candidate]:[Under Votes]])</f>
        <v>33</v>
      </c>
      <c r="K805" s="100">
        <f>IF(AND(SamplingData[[#This Row],[Total]]&lt;&gt; 0, NOT(ISBLANK(SamplingData[[#This Row],[Losing Candidate]]))),(SamplingData[[#This Row],[Total]]+SamplingData[[#This Row],[Winning Candidate]]-SamplingData[[#This Row],[Losing Candidate]])/(SamplingData[[#Totals],[Winning Candidate]]-SamplingData[[#Totals],[Losing Candidate]]), 0)</f>
        <v>2.0210681038706517E-3</v>
      </c>
      <c r="L805" s="100">
        <f>IF(AND(SamplingData[[#This Row],[Total]]&lt;&gt; 0, NOT(ISBLANK(SamplingData[[#This Row],[Candidate 3]]))),(SamplingData[[#This Row],[Total]]+SamplingData[[#This Row],[Winning Candidate]]-SamplingData[[#This Row],[Candidate 3]])/(SamplingData[[#Totals],[Winning Candidate]]-SamplingData[[#Totals],[Candidate 3]]), 0)</f>
        <v>1.3227086492241184E-3</v>
      </c>
      <c r="M805" s="100">
        <f>IF(AND(SamplingData[[#This Row],[Total]]&lt;&gt; 0, NOT(ISBLANK(SamplingData[[#This Row],[Candidate 4]]))),(SamplingData[[#This Row],[Total]]+SamplingData[[#This Row],[Winning Candidate]]-SamplingData[[#This Row],[Candidate 4]])/(SamplingData[[#Totals],[Winning Candidate]]-SamplingData[[#Totals],[Candidate 4]]), 0)</f>
        <v>1.1692829372387384E-3</v>
      </c>
      <c r="N805" s="100">
        <f>IF(AND(SamplingData[[#This Row],[Total]]&lt;&gt; 0, NOT(ISBLANK(SamplingData[[#This Row],[Candidate 5]]))),(SamplingData[[#This Row],[Total]]+SamplingData[[#This Row],[Winning Candidate]]-SamplingData[[#This Row],[Candidate 5]])/(SamplingData[[#Totals],[Winning Candidate]]-SamplingData[[#Totals],[Candidate 5]]), 0)</f>
        <v>1.0946241790318657E-3</v>
      </c>
      <c r="O805" s="100">
        <f>IF(AND(SamplingData[[#This Row],[Total]]&lt;&gt; 0, NOT(ISBLANK(SamplingData[[#This Row],[Candidate 6]]))),(SamplingData[[#This Row],[Total]]+SamplingData[[#This Row],[Winning Candidate]]-SamplingData[[#This Row],[Candidate 6]])/(SamplingData[[#Totals],[Winning Candidate]]-SamplingData[[#Totals],[Candidate 6]]), 0)</f>
        <v>1.0943047517144107E-3</v>
      </c>
      <c r="P805" s="100">
        <f>MAX(SamplingData[[#This Row],[Error Bound (up) - Max. possible relative overstatement - Losing Candidate]:[Error Bound (up) - Max. possible relative overstatement - Candidate 6]])</f>
        <v>2.0210681038706517E-3</v>
      </c>
      <c r="Q805" s="100">
        <f>IF(SamplingData[[#This Row],[Max Error Bound (up)]] = 0,0,SamplingData[[#This Row],[Max Error Bound (up)]]/SamplingData[[#Totals],[Max Error Bound (up)]])</f>
        <v>3.1986729318871245E-4</v>
      </c>
      <c r="R805" s="101">
        <f>SUM($Q$5:Q805)</f>
        <v>0.21186982100966884</v>
      </c>
      <c r="S805" s="100" t="str">
        <f t="array" ref="S805">IF(SamplingData[[#This Row],[up/U Selection Probability]] = 0, "Zero", TEXT(SamplingData[[#This Row],[Lower Range]], REPT("0",LEN('General Info'!$B$40))) &amp; " - " &amp; TEXT(SamplingData[[#This Row],[Upper Range]], REPT("0",LEN('General Info'!$B$40))))</f>
        <v>21155 - 21186</v>
      </c>
      <c r="T805" s="100">
        <f>SamplingData[[#This Row],[Upper Range]]-SamplingData[[#This Row],[Span]]</f>
        <v>21154.995691515305</v>
      </c>
      <c r="U805" s="100">
        <f>IF(ISNUMBER('General Info'!$B$40), ((SamplingData[[#This Row],[up/U Selection Probability]]) * 'General Info'!$B$40) - 1, 0)</f>
        <v>30.986409451578055</v>
      </c>
      <c r="V805" s="100">
        <f>IF(ISNUMBER('General Info'!$B$40), (SamplingData[[#This Row],[Running (cumulative) sum]] * ('General Info'!$B$40 -'General Info'!$B$41 + 1)) + 'General Info'!$B$41 - 1, 0)</f>
        <v>21185.982100966885</v>
      </c>
      <c r="W805" s="100" t="str">
        <f>IF(ISERROR(MATCH(SamplingData[[#This Row],[Batch by Type (p)]],SelectedPrecincts[Batch Name], 0)), "", INDEX(SelectedPrecincts[Draw], MATCH(SamplingData[[#This Row],[Batch by Type (p)]],SelectedPrecincts[Batch Name], 0)))</f>
        <v/>
      </c>
      <c r="X805" s="102">
        <f>IF(COUNTIF(SelectedPrecincts[Batch Name],SamplingData[[#This Row],[Batch by Type (p)]]) &lt;&gt; 0, COUNTIF(SelectedPrecincts[Batch Name],SamplingData[[#This Row],[Batch by Type (p)]]), 0)</f>
        <v>0</v>
      </c>
    </row>
    <row r="806" spans="1:24" ht="15" customHeight="1">
      <c r="A806" s="18" t="s">
        <v>982</v>
      </c>
      <c r="B806" s="18">
        <v>4</v>
      </c>
      <c r="C806" s="18">
        <v>4</v>
      </c>
      <c r="D806" s="18">
        <v>0</v>
      </c>
      <c r="E806" s="18">
        <v>0</v>
      </c>
      <c r="F806" s="18">
        <v>0</v>
      </c>
      <c r="G806" s="18">
        <v>1</v>
      </c>
      <c r="H806" s="18">
        <v>0</v>
      </c>
      <c r="I806" s="18">
        <v>0</v>
      </c>
      <c r="J806" s="99">
        <f>SUM(SamplingData[[#This Row],[Losing Candidate]:[Under Votes]])</f>
        <v>9</v>
      </c>
      <c r="K806"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806" s="100">
        <f>IF(AND(SamplingData[[#This Row],[Total]]&lt;&gt; 0, NOT(ISBLANK(SamplingData[[#This Row],[Candidate 3]]))),(SamplingData[[#This Row],[Total]]+SamplingData[[#This Row],[Winning Candidate]]-SamplingData[[#This Row],[Candidate 3]])/(SamplingData[[#Totals],[Winning Candidate]]-SamplingData[[#Totals],[Candidate 3]]), 0)</f>
        <v>4.1939542536374486E-4</v>
      </c>
      <c r="M806" s="100">
        <f>IF(AND(SamplingData[[#This Row],[Total]]&lt;&gt; 0, NOT(ISBLANK(SamplingData[[#This Row],[Candidate 4]]))),(SamplingData[[#This Row],[Total]]+SamplingData[[#This Row],[Winning Candidate]]-SamplingData[[#This Row],[Candidate 4]])/(SamplingData[[#Totals],[Winning Candidate]]-SamplingData[[#Totals],[Candidate 4]]), 0)</f>
        <v>3.8001695460258996E-4</v>
      </c>
      <c r="N806" s="100">
        <f>IF(AND(SamplingData[[#This Row],[Total]]&lt;&gt; 0, NOT(ISBLANK(SamplingData[[#This Row],[Candidate 5]]))),(SamplingData[[#This Row],[Total]]+SamplingData[[#This Row],[Winning Candidate]]-SamplingData[[#This Row],[Candidate 5]])/(SamplingData[[#Totals],[Winning Candidate]]-SamplingData[[#Totals],[Candidate 5]]), 0)</f>
        <v>3.1622476283142789E-4</v>
      </c>
      <c r="O806" s="100">
        <f>IF(AND(SamplingData[[#This Row],[Total]]&lt;&gt; 0, NOT(ISBLANK(SamplingData[[#This Row],[Candidate 6]]))),(SamplingData[[#This Row],[Total]]+SamplingData[[#This Row],[Winning Candidate]]-SamplingData[[#This Row],[Candidate 6]])/(SamplingData[[#Totals],[Winning Candidate]]-SamplingData[[#Totals],[Candidate 6]]), 0)</f>
        <v>2.9181460045717622E-4</v>
      </c>
      <c r="P806" s="100">
        <f>MAX(SamplingData[[#This Row],[Error Bound (up) - Max. possible relative overstatement - Losing Candidate]:[Error Bound (up) - Max. possible relative overstatement - Candidate 6]])</f>
        <v>5.5120039196472322E-4</v>
      </c>
      <c r="Q806" s="100">
        <f>IF(SamplingData[[#This Row],[Max Error Bound (up)]] = 0,0,SamplingData[[#This Row],[Max Error Bound (up)]]/SamplingData[[#Totals],[Max Error Bound (up)]])</f>
        <v>8.7236534506012492E-5</v>
      </c>
      <c r="R806" s="101">
        <f>SUM($Q$5:Q806)</f>
        <v>0.21195705754417485</v>
      </c>
      <c r="S806" s="100" t="str">
        <f t="array" ref="S806">IF(SamplingData[[#This Row],[up/U Selection Probability]] = 0, "Zero", TEXT(SamplingData[[#This Row],[Lower Range]], REPT("0",LEN('General Info'!$B$40))) &amp; " - " &amp; TEXT(SamplingData[[#This Row],[Upper Range]], REPT("0",LEN('General Info'!$B$40))))</f>
        <v>21187 - 21195</v>
      </c>
      <c r="T806" s="100">
        <f>SamplingData[[#This Row],[Upper Range]]-SamplingData[[#This Row],[Span]]</f>
        <v>21186.982188203419</v>
      </c>
      <c r="U806" s="100">
        <f>IF(ISNUMBER('General Info'!$B$40), ((SamplingData[[#This Row],[up/U Selection Probability]]) * 'General Info'!$B$40) - 1, 0)</f>
        <v>7.7235662140667429</v>
      </c>
      <c r="V806" s="100">
        <f>IF(ISNUMBER('General Info'!$B$40), (SamplingData[[#This Row],[Running (cumulative) sum]] * ('General Info'!$B$40 -'General Info'!$B$41 + 1)) + 'General Info'!$B$41 - 1, 0)</f>
        <v>21194.705754417486</v>
      </c>
      <c r="W806" s="100" t="str">
        <f>IF(ISERROR(MATCH(SamplingData[[#This Row],[Batch by Type (p)]],SelectedPrecincts[Batch Name], 0)), "", INDEX(SelectedPrecincts[Draw], MATCH(SamplingData[[#This Row],[Batch by Type (p)]],SelectedPrecincts[Batch Name], 0)))</f>
        <v/>
      </c>
      <c r="X806" s="102">
        <f>IF(COUNTIF(SelectedPrecincts[Batch Name],SamplingData[[#This Row],[Batch by Type (p)]]) &lt;&gt; 0, COUNTIF(SelectedPrecincts[Batch Name],SamplingData[[#This Row],[Batch by Type (p)]]), 0)</f>
        <v>0</v>
      </c>
    </row>
    <row r="807" spans="1:24" ht="15" customHeight="1">
      <c r="A807" s="18" t="s">
        <v>983</v>
      </c>
      <c r="B807" s="18">
        <v>5</v>
      </c>
      <c r="C807" s="18">
        <v>5</v>
      </c>
      <c r="D807" s="16">
        <v>0</v>
      </c>
      <c r="E807" s="16">
        <v>1</v>
      </c>
      <c r="F807" s="37">
        <v>1</v>
      </c>
      <c r="G807" s="37">
        <v>0</v>
      </c>
      <c r="H807" s="17">
        <v>0</v>
      </c>
      <c r="I807" s="17">
        <v>0</v>
      </c>
      <c r="J807" s="99">
        <f>SUM(SamplingData[[#This Row],[Losing Candidate]:[Under Votes]])</f>
        <v>12</v>
      </c>
      <c r="K807"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807" s="100">
        <f>IF(AND(SamplingData[[#This Row],[Total]]&lt;&gt; 0, NOT(ISBLANK(SamplingData[[#This Row],[Candidate 3]]))),(SamplingData[[#This Row],[Total]]+SamplingData[[#This Row],[Winning Candidate]]-SamplingData[[#This Row],[Candidate 3]])/(SamplingData[[#Totals],[Winning Candidate]]-SamplingData[[#Totals],[Candidate 3]]), 0)</f>
        <v>5.4844017162951255E-4</v>
      </c>
      <c r="M807" s="100">
        <f>IF(AND(SamplingData[[#This Row],[Total]]&lt;&gt; 0, NOT(ISBLANK(SamplingData[[#This Row],[Candidate 4]]))),(SamplingData[[#This Row],[Total]]+SamplingData[[#This Row],[Winning Candidate]]-SamplingData[[#This Row],[Candidate 4]])/(SamplingData[[#Totals],[Winning Candidate]]-SamplingData[[#Totals],[Candidate 4]]), 0)</f>
        <v>4.6771317489549536E-4</v>
      </c>
      <c r="N807" s="100">
        <f>IF(AND(SamplingData[[#This Row],[Total]]&lt;&gt; 0, NOT(ISBLANK(SamplingData[[#This Row],[Candidate 5]]))),(SamplingData[[#This Row],[Total]]+SamplingData[[#This Row],[Winning Candidate]]-SamplingData[[#This Row],[Candidate 5]])/(SamplingData[[#Totals],[Winning Candidate]]-SamplingData[[#Totals],[Candidate 5]]), 0)</f>
        <v>3.8919970810021893E-4</v>
      </c>
      <c r="O807" s="100">
        <f>IF(AND(SamplingData[[#This Row],[Total]]&lt;&gt; 0, NOT(ISBLANK(SamplingData[[#This Row],[Candidate 6]]))),(SamplingData[[#This Row],[Total]]+SamplingData[[#This Row],[Winning Candidate]]-SamplingData[[#This Row],[Candidate 6]])/(SamplingData[[#Totals],[Winning Candidate]]-SamplingData[[#Totals],[Candidate 6]]), 0)</f>
        <v>4.1340401731433294E-4</v>
      </c>
      <c r="P807" s="100">
        <f>MAX(SamplingData[[#This Row],[Error Bound (up) - Max. possible relative overstatement - Losing Candidate]:[Error Bound (up) - Max. possible relative overstatement - Candidate 6]])</f>
        <v>7.3493385595296422E-4</v>
      </c>
      <c r="Q807" s="100">
        <f>IF(SamplingData[[#This Row],[Max Error Bound (up)]] = 0,0,SamplingData[[#This Row],[Max Error Bound (up)]]/SamplingData[[#Totals],[Max Error Bound (up)]])</f>
        <v>1.1631537934134997E-4</v>
      </c>
      <c r="R807" s="101">
        <f>SUM($Q$5:Q807)</f>
        <v>0.21207337292351619</v>
      </c>
      <c r="S807" s="100" t="str">
        <f t="array" ref="S807">IF(SamplingData[[#This Row],[up/U Selection Probability]] = 0, "Zero", TEXT(SamplingData[[#This Row],[Lower Range]], REPT("0",LEN('General Info'!$B$40))) &amp; " - " &amp; TEXT(SamplingData[[#This Row],[Upper Range]], REPT("0",LEN('General Info'!$B$40))))</f>
        <v>21196 - 21206</v>
      </c>
      <c r="T807" s="100">
        <f>SamplingData[[#This Row],[Upper Range]]-SamplingData[[#This Row],[Span]]</f>
        <v>21195.705870732862</v>
      </c>
      <c r="U807" s="100">
        <f>IF(ISNUMBER('General Info'!$B$40), ((SamplingData[[#This Row],[up/U Selection Probability]]) * 'General Info'!$B$40) - 1, 0)</f>
        <v>10.631421618755656</v>
      </c>
      <c r="V807" s="100">
        <f>IF(ISNUMBER('General Info'!$B$40), (SamplingData[[#This Row],[Running (cumulative) sum]] * ('General Info'!$B$40 -'General Info'!$B$41 + 1)) + 'General Info'!$B$41 - 1, 0)</f>
        <v>21206.337292351618</v>
      </c>
      <c r="W807" s="100" t="str">
        <f>IF(ISERROR(MATCH(SamplingData[[#This Row],[Batch by Type (p)]],SelectedPrecincts[Batch Name], 0)), "", INDEX(SelectedPrecincts[Draw], MATCH(SamplingData[[#This Row],[Batch by Type (p)]],SelectedPrecincts[Batch Name], 0)))</f>
        <v/>
      </c>
      <c r="X807" s="102">
        <f>IF(COUNTIF(SelectedPrecincts[Batch Name],SamplingData[[#This Row],[Batch by Type (p)]]) &lt;&gt; 0, COUNTIF(SelectedPrecincts[Batch Name],SamplingData[[#This Row],[Batch by Type (p)]]), 0)</f>
        <v>0</v>
      </c>
    </row>
    <row r="808" spans="1:24" ht="15" customHeight="1">
      <c r="A808" s="18" t="s">
        <v>984</v>
      </c>
      <c r="B808" s="18">
        <v>3</v>
      </c>
      <c r="C808" s="18">
        <v>2</v>
      </c>
      <c r="D808" s="18">
        <v>0</v>
      </c>
      <c r="E808" s="18">
        <v>0</v>
      </c>
      <c r="F808" s="18">
        <v>0</v>
      </c>
      <c r="G808" s="18">
        <v>0</v>
      </c>
      <c r="H808" s="18">
        <v>0</v>
      </c>
      <c r="I808" s="18">
        <v>0</v>
      </c>
      <c r="J808" s="99">
        <f>SUM(SamplingData[[#This Row],[Losing Candidate]:[Under Votes]])</f>
        <v>5</v>
      </c>
      <c r="K808"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808" s="100">
        <f>IF(AND(SamplingData[[#This Row],[Total]]&lt;&gt; 0, NOT(ISBLANK(SamplingData[[#This Row],[Candidate 3]]))),(SamplingData[[#This Row],[Total]]+SamplingData[[#This Row],[Winning Candidate]]-SamplingData[[#This Row],[Candidate 3]])/(SamplingData[[#Totals],[Winning Candidate]]-SamplingData[[#Totals],[Candidate 3]]), 0)</f>
        <v>2.258283059650934E-4</v>
      </c>
      <c r="M808" s="100">
        <f>IF(AND(SamplingData[[#This Row],[Total]]&lt;&gt; 0, NOT(ISBLANK(SamplingData[[#This Row],[Candidate 4]]))),(SamplingData[[#This Row],[Total]]+SamplingData[[#This Row],[Winning Candidate]]-SamplingData[[#This Row],[Candidate 4]])/(SamplingData[[#Totals],[Winning Candidate]]-SamplingData[[#Totals],[Candidate 4]]), 0)</f>
        <v>2.0462451401677921E-4</v>
      </c>
      <c r="N808" s="100">
        <f>IF(AND(SamplingData[[#This Row],[Total]]&lt;&gt; 0, NOT(ISBLANK(SamplingData[[#This Row],[Candidate 5]]))),(SamplingData[[#This Row],[Total]]+SamplingData[[#This Row],[Winning Candidate]]-SamplingData[[#This Row],[Candidate 5]])/(SamplingData[[#Totals],[Winning Candidate]]-SamplingData[[#Totals],[Candidate 5]]), 0)</f>
        <v>1.7027487229384579E-4</v>
      </c>
      <c r="O808" s="100">
        <f>IF(AND(SamplingData[[#This Row],[Total]]&lt;&gt; 0, NOT(ISBLANK(SamplingData[[#This Row],[Candidate 6]]))),(SamplingData[[#This Row],[Total]]+SamplingData[[#This Row],[Winning Candidate]]-SamplingData[[#This Row],[Candidate 6]])/(SamplingData[[#Totals],[Winning Candidate]]-SamplingData[[#Totals],[Candidate 6]]), 0)</f>
        <v>1.7022518360001944E-4</v>
      </c>
      <c r="P808" s="100">
        <f>MAX(SamplingData[[#This Row],[Error Bound (up) - Max. possible relative overstatement - Losing Candidate]:[Error Bound (up) - Max. possible relative overstatement - Candidate 6]])</f>
        <v>2.4497795198432141E-4</v>
      </c>
      <c r="Q808" s="100">
        <f>IF(SamplingData[[#This Row],[Max Error Bound (up)]] = 0,0,SamplingData[[#This Row],[Max Error Bound (up)]]/SamplingData[[#Totals],[Max Error Bound (up)]])</f>
        <v>3.8771793113783326E-5</v>
      </c>
      <c r="R808" s="101">
        <f>SUM($Q$5:Q808)</f>
        <v>0.21211214471662998</v>
      </c>
      <c r="S808" s="100" t="str">
        <f t="array" ref="S808">IF(SamplingData[[#This Row],[up/U Selection Probability]] = 0, "Zero", TEXT(SamplingData[[#This Row],[Lower Range]], REPT("0",LEN('General Info'!$B$40))) &amp; " - " &amp; TEXT(SamplingData[[#This Row],[Upper Range]], REPT("0",LEN('General Info'!$B$40))))</f>
        <v>21207 - 21210</v>
      </c>
      <c r="T808" s="100">
        <f>SamplingData[[#This Row],[Upper Range]]-SamplingData[[#This Row],[Span]]</f>
        <v>21207.337331123414</v>
      </c>
      <c r="U808" s="100">
        <f>IF(ISNUMBER('General Info'!$B$40), ((SamplingData[[#This Row],[up/U Selection Probability]]) * 'General Info'!$B$40) - 1, 0)</f>
        <v>2.877140539585219</v>
      </c>
      <c r="V808" s="100">
        <f>IF(ISNUMBER('General Info'!$B$40), (SamplingData[[#This Row],[Running (cumulative) sum]] * ('General Info'!$B$40 -'General Info'!$B$41 + 1)) + 'General Info'!$B$41 - 1, 0)</f>
        <v>21210.214471662999</v>
      </c>
      <c r="W808" s="100" t="str">
        <f>IF(ISERROR(MATCH(SamplingData[[#This Row],[Batch by Type (p)]],SelectedPrecincts[Batch Name], 0)), "", INDEX(SelectedPrecincts[Draw], MATCH(SamplingData[[#This Row],[Batch by Type (p)]],SelectedPrecincts[Batch Name], 0)))</f>
        <v/>
      </c>
      <c r="X808" s="102">
        <f>IF(COUNTIF(SelectedPrecincts[Batch Name],SamplingData[[#This Row],[Batch by Type (p)]]) &lt;&gt; 0, COUNTIF(SelectedPrecincts[Batch Name],SamplingData[[#This Row],[Batch by Type (p)]]), 0)</f>
        <v>0</v>
      </c>
    </row>
    <row r="809" spans="1:24" ht="15" customHeight="1">
      <c r="A809" s="18" t="s">
        <v>985</v>
      </c>
      <c r="B809" s="18">
        <v>6</v>
      </c>
      <c r="C809" s="18">
        <v>10</v>
      </c>
      <c r="D809" s="16">
        <v>1</v>
      </c>
      <c r="E809" s="16">
        <v>5</v>
      </c>
      <c r="F809" s="37">
        <v>0</v>
      </c>
      <c r="G809" s="37">
        <v>0</v>
      </c>
      <c r="H809" s="17">
        <v>0</v>
      </c>
      <c r="I809" s="17">
        <v>0</v>
      </c>
      <c r="J809" s="99">
        <f>SUM(SamplingData[[#This Row],[Losing Candidate]:[Under Votes]])</f>
        <v>22</v>
      </c>
      <c r="K809"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809" s="100">
        <f>IF(AND(SamplingData[[#This Row],[Total]]&lt;&gt; 0, NOT(ISBLANK(SamplingData[[#This Row],[Candidate 3]]))),(SamplingData[[#This Row],[Total]]+SamplingData[[#This Row],[Winning Candidate]]-SamplingData[[#This Row],[Candidate 3]])/(SamplingData[[#Totals],[Winning Candidate]]-SamplingData[[#Totals],[Candidate 3]]), 0)</f>
        <v>1.0000967835596993E-3</v>
      </c>
      <c r="M809" s="100">
        <f>IF(AND(SamplingData[[#This Row],[Total]]&lt;&gt; 0, NOT(ISBLANK(SamplingData[[#This Row],[Candidate 4]]))),(SamplingData[[#This Row],[Total]]+SamplingData[[#This Row],[Winning Candidate]]-SamplingData[[#This Row],[Candidate 4]])/(SamplingData[[#Totals],[Winning Candidate]]-SamplingData[[#Totals],[Candidate 4]]), 0)</f>
        <v>7.8926598263614838E-4</v>
      </c>
      <c r="N809" s="100">
        <f>IF(AND(SamplingData[[#This Row],[Total]]&lt;&gt; 0, NOT(ISBLANK(SamplingData[[#This Row],[Candidate 5]]))),(SamplingData[[#This Row],[Total]]+SamplingData[[#This Row],[Winning Candidate]]-SamplingData[[#This Row],[Candidate 5]])/(SamplingData[[#Totals],[Winning Candidate]]-SamplingData[[#Totals],[Candidate 5]]), 0)</f>
        <v>7.7839941620043787E-4</v>
      </c>
      <c r="O809" s="100">
        <f>IF(AND(SamplingData[[#This Row],[Total]]&lt;&gt; 0, NOT(ISBLANK(SamplingData[[#This Row],[Candidate 6]]))),(SamplingData[[#This Row],[Total]]+SamplingData[[#This Row],[Winning Candidate]]-SamplingData[[#This Row],[Candidate 6]])/(SamplingData[[#Totals],[Winning Candidate]]-SamplingData[[#Totals],[Candidate 6]]), 0)</f>
        <v>7.7817226788580321E-4</v>
      </c>
      <c r="P809" s="100">
        <f>MAX(SamplingData[[#This Row],[Error Bound (up) - Max. possible relative overstatement - Losing Candidate]:[Error Bound (up) - Max. possible relative overstatement - Candidate 6]])</f>
        <v>1.5923566878980893E-3</v>
      </c>
      <c r="Q809" s="100">
        <f>IF(SamplingData[[#This Row],[Max Error Bound (up)]] = 0,0,SamplingData[[#This Row],[Max Error Bound (up)]]/SamplingData[[#Totals],[Max Error Bound (up)]])</f>
        <v>2.5201665523959162E-4</v>
      </c>
      <c r="R809" s="101">
        <f>SUM($Q$5:Q809)</f>
        <v>0.21236416137186956</v>
      </c>
      <c r="S809" s="100" t="str">
        <f t="array" ref="S809">IF(SamplingData[[#This Row],[up/U Selection Probability]] = 0, "Zero", TEXT(SamplingData[[#This Row],[Lower Range]], REPT("0",LEN('General Info'!$B$40))) &amp; " - " &amp; TEXT(SamplingData[[#This Row],[Upper Range]], REPT("0",LEN('General Info'!$B$40))))</f>
        <v>21211 - 21235</v>
      </c>
      <c r="T809" s="100">
        <f>SamplingData[[#This Row],[Upper Range]]-SamplingData[[#This Row],[Span]]</f>
        <v>21211.214723679652</v>
      </c>
      <c r="U809" s="100">
        <f>IF(ISNUMBER('General Info'!$B$40), ((SamplingData[[#This Row],[up/U Selection Probability]]) * 'General Info'!$B$40) - 1, 0)</f>
        <v>24.201413507303922</v>
      </c>
      <c r="V809" s="100">
        <f>IF(ISNUMBER('General Info'!$B$40), (SamplingData[[#This Row],[Running (cumulative) sum]] * ('General Info'!$B$40 -'General Info'!$B$41 + 1)) + 'General Info'!$B$41 - 1, 0)</f>
        <v>21235.416137186956</v>
      </c>
      <c r="W809" s="100" t="str">
        <f>IF(ISERROR(MATCH(SamplingData[[#This Row],[Batch by Type (p)]],SelectedPrecincts[Batch Name], 0)), "", INDEX(SelectedPrecincts[Draw], MATCH(SamplingData[[#This Row],[Batch by Type (p)]],SelectedPrecincts[Batch Name], 0)))</f>
        <v/>
      </c>
      <c r="X809" s="102">
        <f>IF(COUNTIF(SelectedPrecincts[Batch Name],SamplingData[[#This Row],[Batch by Type (p)]]) &lt;&gt; 0, COUNTIF(SelectedPrecincts[Batch Name],SamplingData[[#This Row],[Batch by Type (p)]]), 0)</f>
        <v>0</v>
      </c>
    </row>
    <row r="810" spans="1:24" ht="15" customHeight="1">
      <c r="A810" s="18" t="s">
        <v>986</v>
      </c>
      <c r="B810" s="18">
        <v>0</v>
      </c>
      <c r="C810" s="18">
        <v>2</v>
      </c>
      <c r="D810" s="18">
        <v>0</v>
      </c>
      <c r="E810" s="18">
        <v>0</v>
      </c>
      <c r="F810" s="18">
        <v>0</v>
      </c>
      <c r="G810" s="18">
        <v>0</v>
      </c>
      <c r="H810" s="18">
        <v>0</v>
      </c>
      <c r="I810" s="18">
        <v>0</v>
      </c>
      <c r="J810" s="99">
        <f>SUM(SamplingData[[#This Row],[Losing Candidate]:[Under Votes]])</f>
        <v>2</v>
      </c>
      <c r="K810"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810" s="100">
        <f>IF(AND(SamplingData[[#This Row],[Total]]&lt;&gt; 0, NOT(ISBLANK(SamplingData[[#This Row],[Candidate 3]]))),(SamplingData[[#This Row],[Total]]+SamplingData[[#This Row],[Winning Candidate]]-SamplingData[[#This Row],[Candidate 3]])/(SamplingData[[#Totals],[Winning Candidate]]-SamplingData[[#Totals],[Candidate 3]]), 0)</f>
        <v>1.2904474626576767E-4</v>
      </c>
      <c r="M810" s="100">
        <f>IF(AND(SamplingData[[#This Row],[Total]]&lt;&gt; 0, NOT(ISBLANK(SamplingData[[#This Row],[Candidate 4]]))),(SamplingData[[#This Row],[Total]]+SamplingData[[#This Row],[Winning Candidate]]-SamplingData[[#This Row],[Candidate 4]])/(SamplingData[[#Totals],[Winning Candidate]]-SamplingData[[#Totals],[Candidate 4]]), 0)</f>
        <v>1.1692829372387384E-4</v>
      </c>
      <c r="N810" s="100">
        <f>IF(AND(SamplingData[[#This Row],[Total]]&lt;&gt; 0, NOT(ISBLANK(SamplingData[[#This Row],[Candidate 5]]))),(SamplingData[[#This Row],[Total]]+SamplingData[[#This Row],[Winning Candidate]]-SamplingData[[#This Row],[Candidate 5]])/(SamplingData[[#Totals],[Winning Candidate]]-SamplingData[[#Totals],[Candidate 5]]), 0)</f>
        <v>9.7299927025054734E-5</v>
      </c>
      <c r="O810" s="100">
        <f>IF(AND(SamplingData[[#This Row],[Total]]&lt;&gt; 0, NOT(ISBLANK(SamplingData[[#This Row],[Candidate 6]]))),(SamplingData[[#This Row],[Total]]+SamplingData[[#This Row],[Winning Candidate]]-SamplingData[[#This Row],[Candidate 6]])/(SamplingData[[#Totals],[Winning Candidate]]-SamplingData[[#Totals],[Candidate 6]]), 0)</f>
        <v>9.7271533485725401E-5</v>
      </c>
      <c r="P810" s="100">
        <f>MAX(SamplingData[[#This Row],[Error Bound (up) - Max. possible relative overstatement - Losing Candidate]:[Error Bound (up) - Max. possible relative overstatement - Candidate 6]])</f>
        <v>2.4497795198432141E-4</v>
      </c>
      <c r="Q810" s="100">
        <f>IF(SamplingData[[#This Row],[Max Error Bound (up)]] = 0,0,SamplingData[[#This Row],[Max Error Bound (up)]]/SamplingData[[#Totals],[Max Error Bound (up)]])</f>
        <v>3.8771793113783326E-5</v>
      </c>
      <c r="R810" s="101">
        <f>SUM($Q$5:Q810)</f>
        <v>0.21240293316498335</v>
      </c>
      <c r="S810" s="100" t="str">
        <f t="array" ref="S810">IF(SamplingData[[#This Row],[up/U Selection Probability]] = 0, "Zero", TEXT(SamplingData[[#This Row],[Lower Range]], REPT("0",LEN('General Info'!$B$40))) &amp; " - " &amp; TEXT(SamplingData[[#This Row],[Upper Range]], REPT("0",LEN('General Info'!$B$40))))</f>
        <v>21236 - 21239</v>
      </c>
      <c r="T810" s="100">
        <f>SamplingData[[#This Row],[Upper Range]]-SamplingData[[#This Row],[Span]]</f>
        <v>21236.416175958748</v>
      </c>
      <c r="U810" s="100">
        <f>IF(ISNUMBER('General Info'!$B$40), ((SamplingData[[#This Row],[up/U Selection Probability]]) * 'General Info'!$B$40) - 1, 0)</f>
        <v>2.877140539585219</v>
      </c>
      <c r="V810" s="100">
        <f>IF(ISNUMBER('General Info'!$B$40), (SamplingData[[#This Row],[Running (cumulative) sum]] * ('General Info'!$B$40 -'General Info'!$B$41 + 1)) + 'General Info'!$B$41 - 1, 0)</f>
        <v>21239.293316498333</v>
      </c>
      <c r="W810" s="100" t="str">
        <f>IF(ISERROR(MATCH(SamplingData[[#This Row],[Batch by Type (p)]],SelectedPrecincts[Batch Name], 0)), "", INDEX(SelectedPrecincts[Draw], MATCH(SamplingData[[#This Row],[Batch by Type (p)]],SelectedPrecincts[Batch Name], 0)))</f>
        <v/>
      </c>
      <c r="X810" s="102">
        <f>IF(COUNTIF(SelectedPrecincts[Batch Name],SamplingData[[#This Row],[Batch by Type (p)]]) &lt;&gt; 0, COUNTIF(SelectedPrecincts[Batch Name],SamplingData[[#This Row],[Batch by Type (p)]]), 0)</f>
        <v>0</v>
      </c>
    </row>
    <row r="811" spans="1:24" ht="15" customHeight="1">
      <c r="A811" s="18" t="s">
        <v>987</v>
      </c>
      <c r="B811" s="18">
        <v>6</v>
      </c>
      <c r="C811" s="18">
        <v>6</v>
      </c>
      <c r="D811" s="16">
        <v>2</v>
      </c>
      <c r="E811" s="16">
        <v>5</v>
      </c>
      <c r="F811" s="37">
        <v>0</v>
      </c>
      <c r="G811" s="37">
        <v>0</v>
      </c>
      <c r="H811" s="17">
        <v>0</v>
      </c>
      <c r="I811" s="17">
        <v>0</v>
      </c>
      <c r="J811" s="99">
        <f>SUM(SamplingData[[#This Row],[Losing Candidate]:[Under Votes]])</f>
        <v>19</v>
      </c>
      <c r="K811"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811" s="100">
        <f>IF(AND(SamplingData[[#This Row],[Total]]&lt;&gt; 0, NOT(ISBLANK(SamplingData[[#This Row],[Candidate 3]]))),(SamplingData[[#This Row],[Total]]+SamplingData[[#This Row],[Winning Candidate]]-SamplingData[[#This Row],[Candidate 3]])/(SamplingData[[#Totals],[Winning Candidate]]-SamplingData[[#Totals],[Candidate 3]]), 0)</f>
        <v>7.4200729102816406E-4</v>
      </c>
      <c r="M811" s="100">
        <f>IF(AND(SamplingData[[#This Row],[Total]]&lt;&gt; 0, NOT(ISBLANK(SamplingData[[#This Row],[Candidate 4]]))),(SamplingData[[#This Row],[Total]]+SamplingData[[#This Row],[Winning Candidate]]-SamplingData[[#This Row],[Candidate 4]])/(SamplingData[[#Totals],[Winning Candidate]]-SamplingData[[#Totals],[Candidate 4]]), 0)</f>
        <v>5.8464146861936922E-4</v>
      </c>
      <c r="N811" s="100">
        <f>IF(AND(SamplingData[[#This Row],[Total]]&lt;&gt; 0, NOT(ISBLANK(SamplingData[[#This Row],[Candidate 5]]))),(SamplingData[[#This Row],[Total]]+SamplingData[[#This Row],[Winning Candidate]]-SamplingData[[#This Row],[Candidate 5]])/(SamplingData[[#Totals],[Winning Candidate]]-SamplingData[[#Totals],[Candidate 5]]), 0)</f>
        <v>6.0812454390659211E-4</v>
      </c>
      <c r="O811" s="100">
        <f>IF(AND(SamplingData[[#This Row],[Total]]&lt;&gt; 0, NOT(ISBLANK(SamplingData[[#This Row],[Candidate 6]]))),(SamplingData[[#This Row],[Total]]+SamplingData[[#This Row],[Winning Candidate]]-SamplingData[[#This Row],[Candidate 6]])/(SamplingData[[#Totals],[Winning Candidate]]-SamplingData[[#Totals],[Candidate 6]]), 0)</f>
        <v>6.0794708428578371E-4</v>
      </c>
      <c r="P811" s="100">
        <f>MAX(SamplingData[[#This Row],[Error Bound (up) - Max. possible relative overstatement - Losing Candidate]:[Error Bound (up) - Max. possible relative overstatement - Candidate 6]])</f>
        <v>1.1636452719255266E-3</v>
      </c>
      <c r="Q811" s="100">
        <f>IF(SamplingData[[#This Row],[Max Error Bound (up)]] = 0,0,SamplingData[[#This Row],[Max Error Bound (up)]]/SamplingData[[#Totals],[Max Error Bound (up)]])</f>
        <v>1.841660172904708E-4</v>
      </c>
      <c r="R811" s="101">
        <f>SUM($Q$5:Q811)</f>
        <v>0.21258709918227381</v>
      </c>
      <c r="S811" s="100" t="str">
        <f t="array" ref="S811">IF(SamplingData[[#This Row],[up/U Selection Probability]] = 0, "Zero", TEXT(SamplingData[[#This Row],[Lower Range]], REPT("0",LEN('General Info'!$B$40))) &amp; " - " &amp; TEXT(SamplingData[[#This Row],[Upper Range]], REPT("0",LEN('General Info'!$B$40))))</f>
        <v>21240 - 21258</v>
      </c>
      <c r="T811" s="100">
        <f>SamplingData[[#This Row],[Upper Range]]-SamplingData[[#This Row],[Span]]</f>
        <v>21240.293500664353</v>
      </c>
      <c r="U811" s="100">
        <f>IF(ISNUMBER('General Info'!$B$40), ((SamplingData[[#This Row],[up/U Selection Probability]]) * 'General Info'!$B$40) - 1, 0)</f>
        <v>17.416417563029789</v>
      </c>
      <c r="V811" s="100">
        <f>IF(ISNUMBER('General Info'!$B$40), (SamplingData[[#This Row],[Running (cumulative) sum]] * ('General Info'!$B$40 -'General Info'!$B$41 + 1)) + 'General Info'!$B$41 - 1, 0)</f>
        <v>21257.709918227381</v>
      </c>
      <c r="W811" s="100" t="str">
        <f>IF(ISERROR(MATCH(SamplingData[[#This Row],[Batch by Type (p)]],SelectedPrecincts[Batch Name], 0)), "", INDEX(SelectedPrecincts[Draw], MATCH(SamplingData[[#This Row],[Batch by Type (p)]],SelectedPrecincts[Batch Name], 0)))</f>
        <v/>
      </c>
      <c r="X811" s="102">
        <f>IF(COUNTIF(SelectedPrecincts[Batch Name],SamplingData[[#This Row],[Batch by Type (p)]]) &lt;&gt; 0, COUNTIF(SelectedPrecincts[Batch Name],SamplingData[[#This Row],[Batch by Type (p)]]), 0)</f>
        <v>0</v>
      </c>
    </row>
    <row r="812" spans="1:24" ht="15" customHeight="1">
      <c r="A812" s="18" t="s">
        <v>988</v>
      </c>
      <c r="B812" s="18">
        <v>2</v>
      </c>
      <c r="C812" s="18">
        <v>5</v>
      </c>
      <c r="D812" s="18">
        <v>3</v>
      </c>
      <c r="E812" s="18">
        <v>0</v>
      </c>
      <c r="F812" s="18">
        <v>0</v>
      </c>
      <c r="G812" s="18">
        <v>0</v>
      </c>
      <c r="H812" s="18">
        <v>0</v>
      </c>
      <c r="I812" s="18">
        <v>1</v>
      </c>
      <c r="J812" s="99">
        <f>SUM(SamplingData[[#This Row],[Losing Candidate]:[Under Votes]])</f>
        <v>11</v>
      </c>
      <c r="K812"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812" s="100">
        <f>IF(AND(SamplingData[[#This Row],[Total]]&lt;&gt; 0, NOT(ISBLANK(SamplingData[[#This Row],[Candidate 3]]))),(SamplingData[[#This Row],[Total]]+SamplingData[[#This Row],[Winning Candidate]]-SamplingData[[#This Row],[Candidate 3]])/(SamplingData[[#Totals],[Winning Candidate]]-SamplingData[[#Totals],[Candidate 3]]), 0)</f>
        <v>4.1939542536374486E-4</v>
      </c>
      <c r="M812" s="100">
        <f>IF(AND(SamplingData[[#This Row],[Total]]&lt;&gt; 0, NOT(ISBLANK(SamplingData[[#This Row],[Candidate 4]]))),(SamplingData[[#This Row],[Total]]+SamplingData[[#This Row],[Winning Candidate]]-SamplingData[[#This Row],[Candidate 4]])/(SamplingData[[#Totals],[Winning Candidate]]-SamplingData[[#Totals],[Candidate 4]]), 0)</f>
        <v>4.6771317489549536E-4</v>
      </c>
      <c r="N812" s="100">
        <f>IF(AND(SamplingData[[#This Row],[Total]]&lt;&gt; 0, NOT(ISBLANK(SamplingData[[#This Row],[Candidate 5]]))),(SamplingData[[#This Row],[Total]]+SamplingData[[#This Row],[Winning Candidate]]-SamplingData[[#This Row],[Candidate 5]])/(SamplingData[[#Totals],[Winning Candidate]]-SamplingData[[#Totals],[Candidate 5]]), 0)</f>
        <v>3.8919970810021893E-4</v>
      </c>
      <c r="O812" s="100">
        <f>IF(AND(SamplingData[[#This Row],[Total]]&lt;&gt; 0, NOT(ISBLANK(SamplingData[[#This Row],[Candidate 6]]))),(SamplingData[[#This Row],[Total]]+SamplingData[[#This Row],[Winning Candidate]]-SamplingData[[#This Row],[Candidate 6]])/(SamplingData[[#Totals],[Winning Candidate]]-SamplingData[[#Totals],[Candidate 6]]), 0)</f>
        <v>3.8908613394290161E-4</v>
      </c>
      <c r="P812" s="100">
        <f>MAX(SamplingData[[#This Row],[Error Bound (up) - Max. possible relative overstatement - Losing Candidate]:[Error Bound (up) - Max. possible relative overstatement - Candidate 6]])</f>
        <v>8.5742283194512492E-4</v>
      </c>
      <c r="Q812" s="100">
        <f>IF(SamplingData[[#This Row],[Max Error Bound (up)]] = 0,0,SamplingData[[#This Row],[Max Error Bound (up)]]/SamplingData[[#Totals],[Max Error Bound (up)]])</f>
        <v>1.3570127589824165E-4</v>
      </c>
      <c r="R812" s="101">
        <f>SUM($Q$5:Q812)</f>
        <v>0.21272280045817205</v>
      </c>
      <c r="S812" s="100" t="str">
        <f t="array" ref="S812">IF(SamplingData[[#This Row],[up/U Selection Probability]] = 0, "Zero", TEXT(SamplingData[[#This Row],[Lower Range]], REPT("0",LEN('General Info'!$B$40))) &amp; " - " &amp; TEXT(SamplingData[[#This Row],[Upper Range]], REPT("0",LEN('General Info'!$B$40))))</f>
        <v>21259 - 21271</v>
      </c>
      <c r="T812" s="100">
        <f>SamplingData[[#This Row],[Upper Range]]-SamplingData[[#This Row],[Span]]</f>
        <v>21258.710053928658</v>
      </c>
      <c r="U812" s="100">
        <f>IF(ISNUMBER('General Info'!$B$40), ((SamplingData[[#This Row],[up/U Selection Probability]]) * 'General Info'!$B$40) - 1, 0)</f>
        <v>12.569991888548268</v>
      </c>
      <c r="V812" s="100">
        <f>IF(ISNUMBER('General Info'!$B$40), (SamplingData[[#This Row],[Running (cumulative) sum]] * ('General Info'!$B$40 -'General Info'!$B$41 + 1)) + 'General Info'!$B$41 - 1, 0)</f>
        <v>21271.280045817206</v>
      </c>
      <c r="W812" s="100" t="str">
        <f>IF(ISERROR(MATCH(SamplingData[[#This Row],[Batch by Type (p)]],SelectedPrecincts[Batch Name], 0)), "", INDEX(SelectedPrecincts[Draw], MATCH(SamplingData[[#This Row],[Batch by Type (p)]],SelectedPrecincts[Batch Name], 0)))</f>
        <v/>
      </c>
      <c r="X812" s="102">
        <f>IF(COUNTIF(SelectedPrecincts[Batch Name],SamplingData[[#This Row],[Batch by Type (p)]]) &lt;&gt; 0, COUNTIF(SelectedPrecincts[Batch Name],SamplingData[[#This Row],[Batch by Type (p)]]), 0)</f>
        <v>0</v>
      </c>
    </row>
    <row r="813" spans="1:24" ht="15" customHeight="1">
      <c r="A813" s="18" t="s">
        <v>989</v>
      </c>
      <c r="B813" s="18">
        <v>10</v>
      </c>
      <c r="C813" s="18">
        <v>24</v>
      </c>
      <c r="D813" s="16">
        <v>6</v>
      </c>
      <c r="E813" s="16">
        <v>8</v>
      </c>
      <c r="F813" s="37">
        <v>1</v>
      </c>
      <c r="G813" s="37">
        <v>0</v>
      </c>
      <c r="H813" s="17">
        <v>0</v>
      </c>
      <c r="I813" s="17">
        <v>0</v>
      </c>
      <c r="J813" s="99">
        <f>SUM(SamplingData[[#This Row],[Losing Candidate]:[Under Votes]])</f>
        <v>49</v>
      </c>
      <c r="K813" s="100">
        <f>IF(AND(SamplingData[[#This Row],[Total]]&lt;&gt; 0, NOT(ISBLANK(SamplingData[[#This Row],[Losing Candidate]]))),(SamplingData[[#This Row],[Total]]+SamplingData[[#This Row],[Winning Candidate]]-SamplingData[[#This Row],[Losing Candidate]])/(SamplingData[[#Totals],[Winning Candidate]]-SamplingData[[#Totals],[Losing Candidate]]), 0)</f>
        <v>3.8584027437530621E-3</v>
      </c>
      <c r="L813" s="100">
        <f>IF(AND(SamplingData[[#This Row],[Total]]&lt;&gt; 0, NOT(ISBLANK(SamplingData[[#This Row],[Candidate 3]]))),(SamplingData[[#This Row],[Total]]+SamplingData[[#This Row],[Winning Candidate]]-SamplingData[[#This Row],[Candidate 3]])/(SamplingData[[#Totals],[Winning Candidate]]-SamplingData[[#Totals],[Candidate 3]]), 0)</f>
        <v>2.1614994999516082E-3</v>
      </c>
      <c r="M813" s="100">
        <f>IF(AND(SamplingData[[#This Row],[Total]]&lt;&gt; 0, NOT(ISBLANK(SamplingData[[#This Row],[Candidate 4]]))),(SamplingData[[#This Row],[Total]]+SamplingData[[#This Row],[Winning Candidate]]-SamplingData[[#This Row],[Candidate 4]])/(SamplingData[[#Totals],[Winning Candidate]]-SamplingData[[#Totals],[Candidate 4]]), 0)</f>
        <v>1.9000847730129499E-3</v>
      </c>
      <c r="N813" s="100">
        <f>IF(AND(SamplingData[[#This Row],[Total]]&lt;&gt; 0, NOT(ISBLANK(SamplingData[[#This Row],[Candidate 5]]))),(SamplingData[[#This Row],[Total]]+SamplingData[[#This Row],[Winning Candidate]]-SamplingData[[#This Row],[Candidate 5]])/(SamplingData[[#Totals],[Winning Candidate]]-SamplingData[[#Totals],[Candidate 5]]), 0)</f>
        <v>1.7513986864509852E-3</v>
      </c>
      <c r="O813" s="100">
        <f>IF(AND(SamplingData[[#This Row],[Total]]&lt;&gt; 0, NOT(ISBLANK(SamplingData[[#This Row],[Candidate 6]]))),(SamplingData[[#This Row],[Total]]+SamplingData[[#This Row],[Winning Candidate]]-SamplingData[[#This Row],[Candidate 6]])/(SamplingData[[#Totals],[Winning Candidate]]-SamplingData[[#Totals],[Candidate 6]]), 0)</f>
        <v>1.7752054861144887E-3</v>
      </c>
      <c r="P813" s="100">
        <f>MAX(SamplingData[[#This Row],[Error Bound (up) - Max. possible relative overstatement - Losing Candidate]:[Error Bound (up) - Max. possible relative overstatement - Candidate 6]])</f>
        <v>3.8584027437530621E-3</v>
      </c>
      <c r="Q813" s="100">
        <f>IF(SamplingData[[#This Row],[Max Error Bound (up)]] = 0,0,SamplingData[[#This Row],[Max Error Bound (up)]]/SamplingData[[#Totals],[Max Error Bound (up)]])</f>
        <v>6.1065574154208738E-4</v>
      </c>
      <c r="R813" s="101">
        <f>SUM($Q$5:Q813)</f>
        <v>0.21333345619971414</v>
      </c>
      <c r="S813" s="100" t="str">
        <f t="array" ref="S813">IF(SamplingData[[#This Row],[up/U Selection Probability]] = 0, "Zero", TEXT(SamplingData[[#This Row],[Lower Range]], REPT("0",LEN('General Info'!$B$40))) &amp; " - " &amp; TEXT(SamplingData[[#This Row],[Upper Range]], REPT("0",LEN('General Info'!$B$40))))</f>
        <v>21272 - 21332</v>
      </c>
      <c r="T813" s="100">
        <f>SamplingData[[#This Row],[Upper Range]]-SamplingData[[#This Row],[Span]]</f>
        <v>21272.280656472947</v>
      </c>
      <c r="U813" s="100">
        <f>IF(ISNUMBER('General Info'!$B$40), ((SamplingData[[#This Row],[up/U Selection Probability]]) * 'General Info'!$B$40) - 1, 0)</f>
        <v>60.064963498467193</v>
      </c>
      <c r="V813" s="100">
        <f>IF(ISNUMBER('General Info'!$B$40), (SamplingData[[#This Row],[Running (cumulative) sum]] * ('General Info'!$B$40 -'General Info'!$B$41 + 1)) + 'General Info'!$B$41 - 1, 0)</f>
        <v>21332.345619971413</v>
      </c>
      <c r="W813" s="100" t="str">
        <f>IF(ISERROR(MATCH(SamplingData[[#This Row],[Batch by Type (p)]],SelectedPrecincts[Batch Name], 0)), "", INDEX(SelectedPrecincts[Draw], MATCH(SamplingData[[#This Row],[Batch by Type (p)]],SelectedPrecincts[Batch Name], 0)))</f>
        <v/>
      </c>
      <c r="X813" s="102">
        <f>IF(COUNTIF(SelectedPrecincts[Batch Name],SamplingData[[#This Row],[Batch by Type (p)]]) &lt;&gt; 0, COUNTIF(SelectedPrecincts[Batch Name],SamplingData[[#This Row],[Batch by Type (p)]]), 0)</f>
        <v>0</v>
      </c>
    </row>
    <row r="814" spans="1:24" ht="15" customHeight="1">
      <c r="A814" s="18" t="s">
        <v>990</v>
      </c>
      <c r="B814" s="18">
        <v>1</v>
      </c>
      <c r="C814" s="18">
        <v>9</v>
      </c>
      <c r="D814" s="18">
        <v>3</v>
      </c>
      <c r="E814" s="18">
        <v>5</v>
      </c>
      <c r="F814" s="18">
        <v>1</v>
      </c>
      <c r="G814" s="18">
        <v>1</v>
      </c>
      <c r="H814" s="18">
        <v>0</v>
      </c>
      <c r="I814" s="18">
        <v>1</v>
      </c>
      <c r="J814" s="99">
        <f>SUM(SamplingData[[#This Row],[Losing Candidate]:[Under Votes]])</f>
        <v>21</v>
      </c>
      <c r="K814"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814" s="100">
        <f>IF(AND(SamplingData[[#This Row],[Total]]&lt;&gt; 0, NOT(ISBLANK(SamplingData[[#This Row],[Candidate 3]]))),(SamplingData[[#This Row],[Total]]+SamplingData[[#This Row],[Winning Candidate]]-SamplingData[[#This Row],[Candidate 3]])/(SamplingData[[#Totals],[Winning Candidate]]-SamplingData[[#Totals],[Candidate 3]]), 0)</f>
        <v>8.710520372939317E-4</v>
      </c>
      <c r="M814" s="100">
        <f>IF(AND(SamplingData[[#This Row],[Total]]&lt;&gt; 0, NOT(ISBLANK(SamplingData[[#This Row],[Candidate 4]]))),(SamplingData[[#This Row],[Total]]+SamplingData[[#This Row],[Winning Candidate]]-SamplingData[[#This Row],[Candidate 4]])/(SamplingData[[#Totals],[Winning Candidate]]-SamplingData[[#Totals],[Candidate 4]]), 0)</f>
        <v>7.3080183577421145E-4</v>
      </c>
      <c r="N814" s="100">
        <f>IF(AND(SamplingData[[#This Row],[Total]]&lt;&gt; 0, NOT(ISBLANK(SamplingData[[#This Row],[Candidate 5]]))),(SamplingData[[#This Row],[Total]]+SamplingData[[#This Row],[Winning Candidate]]-SamplingData[[#This Row],[Candidate 5]])/(SamplingData[[#Totals],[Winning Candidate]]-SamplingData[[#Totals],[Candidate 5]]), 0)</f>
        <v>7.0542447093164683E-4</v>
      </c>
      <c r="O814" s="100">
        <f>IF(AND(SamplingData[[#This Row],[Total]]&lt;&gt; 0, NOT(ISBLANK(SamplingData[[#This Row],[Candidate 6]]))),(SamplingData[[#This Row],[Total]]+SamplingData[[#This Row],[Winning Candidate]]-SamplingData[[#This Row],[Candidate 6]])/(SamplingData[[#Totals],[Winning Candidate]]-SamplingData[[#Totals],[Candidate 6]]), 0)</f>
        <v>7.0521861777150916E-4</v>
      </c>
      <c r="P814" s="100">
        <f>MAX(SamplingData[[#This Row],[Error Bound (up) - Max. possible relative overstatement - Losing Candidate]:[Error Bound (up) - Max. possible relative overstatement - Candidate 6]])</f>
        <v>1.7760901518863303E-3</v>
      </c>
      <c r="Q814" s="100">
        <f>IF(SamplingData[[#This Row],[Max Error Bound (up)]] = 0,0,SamplingData[[#This Row],[Max Error Bound (up)]]/SamplingData[[#Totals],[Max Error Bound (up)]])</f>
        <v>2.8109550007492914E-4</v>
      </c>
      <c r="R814" s="101">
        <f>SUM($Q$5:Q814)</f>
        <v>0.21361455169978907</v>
      </c>
      <c r="S814" s="100" t="str">
        <f t="array" ref="S814">IF(SamplingData[[#This Row],[up/U Selection Probability]] = 0, "Zero", TEXT(SamplingData[[#This Row],[Lower Range]], REPT("0",LEN('General Info'!$B$40))) &amp; " - " &amp; TEXT(SamplingData[[#This Row],[Upper Range]], REPT("0",LEN('General Info'!$B$40))))</f>
        <v>21333 - 21360</v>
      </c>
      <c r="T814" s="100">
        <f>SamplingData[[#This Row],[Upper Range]]-SamplingData[[#This Row],[Span]]</f>
        <v>21333.345901066914</v>
      </c>
      <c r="U814" s="100">
        <f>IF(ISNUMBER('General Info'!$B$40), ((SamplingData[[#This Row],[up/U Selection Probability]]) * 'General Info'!$B$40) - 1, 0)</f>
        <v>27.109268911992839</v>
      </c>
      <c r="V814" s="100">
        <f>IF(ISNUMBER('General Info'!$B$40), (SamplingData[[#This Row],[Running (cumulative) sum]] * ('General Info'!$B$40 -'General Info'!$B$41 + 1)) + 'General Info'!$B$41 - 1, 0)</f>
        <v>21360.455169978908</v>
      </c>
      <c r="W814" s="100" t="str">
        <f>IF(ISERROR(MATCH(SamplingData[[#This Row],[Batch by Type (p)]],SelectedPrecincts[Batch Name], 0)), "", INDEX(SelectedPrecincts[Draw], MATCH(SamplingData[[#This Row],[Batch by Type (p)]],SelectedPrecincts[Batch Name], 0)))</f>
        <v/>
      </c>
      <c r="X814" s="102">
        <f>IF(COUNTIF(SelectedPrecincts[Batch Name],SamplingData[[#This Row],[Batch by Type (p)]]) &lt;&gt; 0, COUNTIF(SelectedPrecincts[Batch Name],SamplingData[[#This Row],[Batch by Type (p)]]), 0)</f>
        <v>0</v>
      </c>
    </row>
    <row r="815" spans="1:24" ht="15" customHeight="1">
      <c r="A815" s="18" t="s">
        <v>991</v>
      </c>
      <c r="B815" s="18">
        <v>6</v>
      </c>
      <c r="C815" s="18">
        <v>30</v>
      </c>
      <c r="D815" s="16">
        <v>9</v>
      </c>
      <c r="E815" s="16">
        <v>8</v>
      </c>
      <c r="F815" s="37">
        <v>0</v>
      </c>
      <c r="G815" s="37">
        <v>0</v>
      </c>
      <c r="H815" s="17">
        <v>0</v>
      </c>
      <c r="I815" s="17">
        <v>0</v>
      </c>
      <c r="J815" s="99">
        <f>SUM(SamplingData[[#This Row],[Losing Candidate]:[Under Votes]])</f>
        <v>53</v>
      </c>
      <c r="K815" s="100">
        <f>IF(AND(SamplingData[[#This Row],[Total]]&lt;&gt; 0, NOT(ISBLANK(SamplingData[[#This Row],[Losing Candidate]]))),(SamplingData[[#This Row],[Total]]+SamplingData[[#This Row],[Winning Candidate]]-SamplingData[[#This Row],[Losing Candidate]])/(SamplingData[[#Totals],[Winning Candidate]]-SamplingData[[#Totals],[Losing Candidate]]), 0)</f>
        <v>4.7158255756981869E-3</v>
      </c>
      <c r="L815" s="100">
        <f>IF(AND(SamplingData[[#This Row],[Total]]&lt;&gt; 0, NOT(ISBLANK(SamplingData[[#This Row],[Candidate 3]]))),(SamplingData[[#This Row],[Total]]+SamplingData[[#This Row],[Winning Candidate]]-SamplingData[[#This Row],[Candidate 3]])/(SamplingData[[#Totals],[Winning Candidate]]-SamplingData[[#Totals],[Candidate 3]]), 0)</f>
        <v>2.3873278059167017E-3</v>
      </c>
      <c r="M815" s="100">
        <f>IF(AND(SamplingData[[#This Row],[Total]]&lt;&gt; 0, NOT(ISBLANK(SamplingData[[#This Row],[Candidate 4]]))),(SamplingData[[#This Row],[Total]]+SamplingData[[#This Row],[Winning Candidate]]-SamplingData[[#This Row],[Candidate 4]])/(SamplingData[[#Totals],[Winning Candidate]]-SamplingData[[#Totals],[Candidate 4]]), 0)</f>
        <v>2.1924055073226346E-3</v>
      </c>
      <c r="N815" s="100">
        <f>IF(AND(SamplingData[[#This Row],[Total]]&lt;&gt; 0, NOT(ISBLANK(SamplingData[[#This Row],[Candidate 5]]))),(SamplingData[[#This Row],[Total]]+SamplingData[[#This Row],[Winning Candidate]]-SamplingData[[#This Row],[Candidate 5]])/(SamplingData[[#Totals],[Winning Candidate]]-SamplingData[[#Totals],[Candidate 5]]), 0)</f>
        <v>2.0189734857698855E-3</v>
      </c>
      <c r="O815" s="100">
        <f>IF(AND(SamplingData[[#This Row],[Total]]&lt;&gt; 0, NOT(ISBLANK(SamplingData[[#This Row],[Candidate 6]]))),(SamplingData[[#This Row],[Total]]+SamplingData[[#This Row],[Winning Candidate]]-SamplingData[[#This Row],[Candidate 6]])/(SamplingData[[#Totals],[Winning Candidate]]-SamplingData[[#Totals],[Candidate 6]]), 0)</f>
        <v>2.0183843198288021E-3</v>
      </c>
      <c r="P815" s="100">
        <f>MAX(SamplingData[[#This Row],[Error Bound (up) - Max. possible relative overstatement - Losing Candidate]:[Error Bound (up) - Max. possible relative overstatement - Candidate 6]])</f>
        <v>4.7158255756981869E-3</v>
      </c>
      <c r="Q815" s="100">
        <f>IF(SamplingData[[#This Row],[Max Error Bound (up)]] = 0,0,SamplingData[[#This Row],[Max Error Bound (up)]]/SamplingData[[#Totals],[Max Error Bound (up)]])</f>
        <v>7.4635701744032903E-4</v>
      </c>
      <c r="R815" s="101">
        <f>SUM($Q$5:Q815)</f>
        <v>0.2143609087172294</v>
      </c>
      <c r="S815" s="100" t="str">
        <f t="array" ref="S815">IF(SamplingData[[#This Row],[up/U Selection Probability]] = 0, "Zero", TEXT(SamplingData[[#This Row],[Lower Range]], REPT("0",LEN('General Info'!$B$40))) &amp; " - " &amp; TEXT(SamplingData[[#This Row],[Upper Range]], REPT("0",LEN('General Info'!$B$40))))</f>
        <v>21361 - 21435</v>
      </c>
      <c r="T815" s="100">
        <f>SamplingData[[#This Row],[Upper Range]]-SamplingData[[#This Row],[Span]]</f>
        <v>21361.455916335923</v>
      </c>
      <c r="U815" s="100">
        <f>IF(ISNUMBER('General Info'!$B$40), ((SamplingData[[#This Row],[up/U Selection Probability]]) * 'General Info'!$B$40) - 1, 0)</f>
        <v>73.634955387015466</v>
      </c>
      <c r="V815" s="100">
        <f>IF(ISNUMBER('General Info'!$B$40), (SamplingData[[#This Row],[Running (cumulative) sum]] * ('General Info'!$B$40 -'General Info'!$B$41 + 1)) + 'General Info'!$B$41 - 1, 0)</f>
        <v>21435.090871722939</v>
      </c>
      <c r="W815" s="100" t="str">
        <f>IF(ISERROR(MATCH(SamplingData[[#This Row],[Batch by Type (p)]],SelectedPrecincts[Batch Name], 0)), "", INDEX(SelectedPrecincts[Draw], MATCH(SamplingData[[#This Row],[Batch by Type (p)]],SelectedPrecincts[Batch Name], 0)))</f>
        <v/>
      </c>
      <c r="X815" s="102">
        <f>IF(COUNTIF(SelectedPrecincts[Batch Name],SamplingData[[#This Row],[Batch by Type (p)]]) &lt;&gt; 0, COUNTIF(SelectedPrecincts[Batch Name],SamplingData[[#This Row],[Batch by Type (p)]]), 0)</f>
        <v>0</v>
      </c>
    </row>
    <row r="816" spans="1:24" ht="15" customHeight="1">
      <c r="A816" s="18" t="s">
        <v>992</v>
      </c>
      <c r="B816" s="18">
        <v>2</v>
      </c>
      <c r="C816" s="18">
        <v>9</v>
      </c>
      <c r="D816" s="18">
        <v>0</v>
      </c>
      <c r="E816" s="18">
        <v>1</v>
      </c>
      <c r="F816" s="18">
        <v>0</v>
      </c>
      <c r="G816" s="18">
        <v>0</v>
      </c>
      <c r="H816" s="18">
        <v>0</v>
      </c>
      <c r="I816" s="18">
        <v>0</v>
      </c>
      <c r="J816" s="99">
        <f>SUM(SamplingData[[#This Row],[Losing Candidate]:[Under Votes]])</f>
        <v>12</v>
      </c>
      <c r="K816"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816" s="100">
        <f>IF(AND(SamplingData[[#This Row],[Total]]&lt;&gt; 0, NOT(ISBLANK(SamplingData[[#This Row],[Candidate 3]]))),(SamplingData[[#This Row],[Total]]+SamplingData[[#This Row],[Winning Candidate]]-SamplingData[[#This Row],[Candidate 3]])/(SamplingData[[#Totals],[Winning Candidate]]-SamplingData[[#Totals],[Candidate 3]]), 0)</f>
        <v>6.7748491789528019E-4</v>
      </c>
      <c r="M816" s="100">
        <f>IF(AND(SamplingData[[#This Row],[Total]]&lt;&gt; 0, NOT(ISBLANK(SamplingData[[#This Row],[Candidate 4]]))),(SamplingData[[#This Row],[Total]]+SamplingData[[#This Row],[Winning Candidate]]-SamplingData[[#This Row],[Candidate 4]])/(SamplingData[[#Totals],[Winning Candidate]]-SamplingData[[#Totals],[Candidate 4]]), 0)</f>
        <v>5.8464146861936922E-4</v>
      </c>
      <c r="N816" s="100">
        <f>IF(AND(SamplingData[[#This Row],[Total]]&lt;&gt; 0, NOT(ISBLANK(SamplingData[[#This Row],[Candidate 5]]))),(SamplingData[[#This Row],[Total]]+SamplingData[[#This Row],[Winning Candidate]]-SamplingData[[#This Row],[Candidate 5]])/(SamplingData[[#Totals],[Winning Candidate]]-SamplingData[[#Totals],[Candidate 5]]), 0)</f>
        <v>5.1082461688153739E-4</v>
      </c>
      <c r="O816" s="100">
        <f>IF(AND(SamplingData[[#This Row],[Total]]&lt;&gt; 0, NOT(ISBLANK(SamplingData[[#This Row],[Candidate 6]]))),(SamplingData[[#This Row],[Total]]+SamplingData[[#This Row],[Winning Candidate]]-SamplingData[[#This Row],[Candidate 6]])/(SamplingData[[#Totals],[Winning Candidate]]-SamplingData[[#Totals],[Candidate 6]]), 0)</f>
        <v>5.1067555080005838E-4</v>
      </c>
      <c r="P816" s="100">
        <f>MAX(SamplingData[[#This Row],[Error Bound (up) - Max. possible relative overstatement - Losing Candidate]:[Error Bound (up) - Max. possible relative overstatement - Candidate 6]])</f>
        <v>1.1636452719255266E-3</v>
      </c>
      <c r="Q816" s="100">
        <f>IF(SamplingData[[#This Row],[Max Error Bound (up)]] = 0,0,SamplingData[[#This Row],[Max Error Bound (up)]]/SamplingData[[#Totals],[Max Error Bound (up)]])</f>
        <v>1.841660172904708E-4</v>
      </c>
      <c r="R816" s="101">
        <f>SUM($Q$5:Q816)</f>
        <v>0.21454507473451986</v>
      </c>
      <c r="S816" s="100" t="str">
        <f t="array" ref="S816">IF(SamplingData[[#This Row],[up/U Selection Probability]] = 0, "Zero", TEXT(SamplingData[[#This Row],[Lower Range]], REPT("0",LEN('General Info'!$B$40))) &amp; " - " &amp; TEXT(SamplingData[[#This Row],[Upper Range]], REPT("0",LEN('General Info'!$B$40))))</f>
        <v>21436 - 21454</v>
      </c>
      <c r="T816" s="100">
        <f>SamplingData[[#This Row],[Upper Range]]-SamplingData[[#This Row],[Span]]</f>
        <v>21436.091055888959</v>
      </c>
      <c r="U816" s="100">
        <f>IF(ISNUMBER('General Info'!$B$40), ((SamplingData[[#This Row],[up/U Selection Probability]]) * 'General Info'!$B$40) - 1, 0)</f>
        <v>17.416417563029789</v>
      </c>
      <c r="V816" s="100">
        <f>IF(ISNUMBER('General Info'!$B$40), (SamplingData[[#This Row],[Running (cumulative) sum]] * ('General Info'!$B$40 -'General Info'!$B$41 + 1)) + 'General Info'!$B$41 - 1, 0)</f>
        <v>21453.507473451988</v>
      </c>
      <c r="W816" s="100" t="str">
        <f>IF(ISERROR(MATCH(SamplingData[[#This Row],[Batch by Type (p)]],SelectedPrecincts[Batch Name], 0)), "", INDEX(SelectedPrecincts[Draw], MATCH(SamplingData[[#This Row],[Batch by Type (p)]],SelectedPrecincts[Batch Name], 0)))</f>
        <v/>
      </c>
      <c r="X816" s="102">
        <f>IF(COUNTIF(SelectedPrecincts[Batch Name],SamplingData[[#This Row],[Batch by Type (p)]]) &lt;&gt; 0, COUNTIF(SelectedPrecincts[Batch Name],SamplingData[[#This Row],[Batch by Type (p)]]), 0)</f>
        <v>0</v>
      </c>
    </row>
    <row r="817" spans="1:24" ht="15" customHeight="1">
      <c r="A817" s="18" t="s">
        <v>993</v>
      </c>
      <c r="B817" s="18">
        <v>19</v>
      </c>
      <c r="C817" s="18">
        <v>16</v>
      </c>
      <c r="D817" s="16">
        <v>1</v>
      </c>
      <c r="E817" s="16">
        <v>8</v>
      </c>
      <c r="F817" s="37">
        <v>0</v>
      </c>
      <c r="G817" s="37">
        <v>0</v>
      </c>
      <c r="H817" s="17">
        <v>0</v>
      </c>
      <c r="I817" s="17">
        <v>0</v>
      </c>
      <c r="J817" s="99">
        <f>SUM(SamplingData[[#This Row],[Losing Candidate]:[Under Votes]])</f>
        <v>44</v>
      </c>
      <c r="K817" s="100">
        <f>IF(AND(SamplingData[[#This Row],[Total]]&lt;&gt; 0, NOT(ISBLANK(SamplingData[[#This Row],[Losing Candidate]]))),(SamplingData[[#This Row],[Total]]+SamplingData[[#This Row],[Winning Candidate]]-SamplingData[[#This Row],[Losing Candidate]])/(SamplingData[[#Totals],[Winning Candidate]]-SamplingData[[#Totals],[Losing Candidate]]), 0)</f>
        <v>2.5110240078392945E-3</v>
      </c>
      <c r="L817" s="100">
        <f>IF(AND(SamplingData[[#This Row],[Total]]&lt;&gt; 0, NOT(ISBLANK(SamplingData[[#This Row],[Candidate 3]]))),(SamplingData[[#This Row],[Total]]+SamplingData[[#This Row],[Winning Candidate]]-SamplingData[[#This Row],[Candidate 3]])/(SamplingData[[#Totals],[Winning Candidate]]-SamplingData[[#Totals],[Candidate 3]]), 0)</f>
        <v>1.9034100074200729E-3</v>
      </c>
      <c r="M817" s="100">
        <f>IF(AND(SamplingData[[#This Row],[Total]]&lt;&gt; 0, NOT(ISBLANK(SamplingData[[#This Row],[Candidate 4]]))),(SamplingData[[#This Row],[Total]]+SamplingData[[#This Row],[Winning Candidate]]-SamplingData[[#This Row],[Candidate 4]])/(SamplingData[[#Totals],[Winning Candidate]]-SamplingData[[#Totals],[Candidate 4]]), 0)</f>
        <v>1.5200678184103598E-3</v>
      </c>
      <c r="N817" s="100">
        <f>IF(AND(SamplingData[[#This Row],[Total]]&lt;&gt; 0, NOT(ISBLANK(SamplingData[[#This Row],[Candidate 5]]))),(SamplingData[[#This Row],[Total]]+SamplingData[[#This Row],[Winning Candidate]]-SamplingData[[#This Row],[Candidate 5]])/(SamplingData[[#Totals],[Winning Candidate]]-SamplingData[[#Totals],[Candidate 5]]), 0)</f>
        <v>1.459498905375821E-3</v>
      </c>
      <c r="O817" s="100">
        <f>IF(AND(SamplingData[[#This Row],[Total]]&lt;&gt; 0, NOT(ISBLANK(SamplingData[[#This Row],[Candidate 6]]))),(SamplingData[[#This Row],[Total]]+SamplingData[[#This Row],[Winning Candidate]]-SamplingData[[#This Row],[Candidate 6]])/(SamplingData[[#Totals],[Winning Candidate]]-SamplingData[[#Totals],[Candidate 6]]), 0)</f>
        <v>1.4590730022858811E-3</v>
      </c>
      <c r="P817" s="100">
        <f>MAX(SamplingData[[#This Row],[Error Bound (up) - Max. possible relative overstatement - Losing Candidate]:[Error Bound (up) - Max. possible relative overstatement - Candidate 6]])</f>
        <v>2.5110240078392945E-3</v>
      </c>
      <c r="Q817" s="100">
        <f>IF(SamplingData[[#This Row],[Max Error Bound (up)]] = 0,0,SamplingData[[#This Row],[Max Error Bound (up)]]/SamplingData[[#Totals],[Max Error Bound (up)]])</f>
        <v>3.9741087941627912E-4</v>
      </c>
      <c r="R817" s="101">
        <f>SUM($Q$5:Q817)</f>
        <v>0.21494248561393614</v>
      </c>
      <c r="S817" s="100" t="str">
        <f t="array" ref="S817">IF(SamplingData[[#This Row],[up/U Selection Probability]] = 0, "Zero", TEXT(SamplingData[[#This Row],[Lower Range]], REPT("0",LEN('General Info'!$B$40))) &amp; " - " &amp; TEXT(SamplingData[[#This Row],[Upper Range]], REPT("0",LEN('General Info'!$B$40))))</f>
        <v>21455 - 21493</v>
      </c>
      <c r="T817" s="100">
        <f>SamplingData[[#This Row],[Upper Range]]-SamplingData[[#This Row],[Span]]</f>
        <v>21454.507870862868</v>
      </c>
      <c r="U817" s="100">
        <f>IF(ISNUMBER('General Info'!$B$40), ((SamplingData[[#This Row],[up/U Selection Probability]]) * 'General Info'!$B$40) - 1, 0)</f>
        <v>38.740690530748495</v>
      </c>
      <c r="V817" s="100">
        <f>IF(ISNUMBER('General Info'!$B$40), (SamplingData[[#This Row],[Running (cumulative) sum]] * ('General Info'!$B$40 -'General Info'!$B$41 + 1)) + 'General Info'!$B$41 - 1, 0)</f>
        <v>21493.248561393615</v>
      </c>
      <c r="W817" s="100" t="str">
        <f>IF(ISERROR(MATCH(SamplingData[[#This Row],[Batch by Type (p)]],SelectedPrecincts[Batch Name], 0)), "", INDEX(SelectedPrecincts[Draw], MATCH(SamplingData[[#This Row],[Batch by Type (p)]],SelectedPrecincts[Batch Name], 0)))</f>
        <v/>
      </c>
      <c r="X817" s="102">
        <f>IF(COUNTIF(SelectedPrecincts[Batch Name],SamplingData[[#This Row],[Batch by Type (p)]]) &lt;&gt; 0, COUNTIF(SelectedPrecincts[Batch Name],SamplingData[[#This Row],[Batch by Type (p)]]), 0)</f>
        <v>0</v>
      </c>
    </row>
    <row r="818" spans="1:24" ht="15" customHeight="1">
      <c r="A818" s="18" t="s">
        <v>994</v>
      </c>
      <c r="B818" s="18">
        <v>3</v>
      </c>
      <c r="C818" s="18">
        <v>6</v>
      </c>
      <c r="D818" s="18">
        <v>6</v>
      </c>
      <c r="E818" s="18">
        <v>1</v>
      </c>
      <c r="F818" s="18">
        <v>0</v>
      </c>
      <c r="G818" s="18">
        <v>0</v>
      </c>
      <c r="H818" s="18">
        <v>0</v>
      </c>
      <c r="I818" s="18">
        <v>0</v>
      </c>
      <c r="J818" s="99">
        <f>SUM(SamplingData[[#This Row],[Losing Candidate]:[Under Votes]])</f>
        <v>16</v>
      </c>
      <c r="K818"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818" s="100">
        <f>IF(AND(SamplingData[[#This Row],[Total]]&lt;&gt; 0, NOT(ISBLANK(SamplingData[[#This Row],[Candidate 3]]))),(SamplingData[[#This Row],[Total]]+SamplingData[[#This Row],[Winning Candidate]]-SamplingData[[#This Row],[Candidate 3]])/(SamplingData[[#Totals],[Winning Candidate]]-SamplingData[[#Totals],[Candidate 3]]), 0)</f>
        <v>5.1617898506307067E-4</v>
      </c>
      <c r="M818" s="100">
        <f>IF(AND(SamplingData[[#This Row],[Total]]&lt;&gt; 0, NOT(ISBLANK(SamplingData[[#This Row],[Candidate 4]]))),(SamplingData[[#This Row],[Total]]+SamplingData[[#This Row],[Winning Candidate]]-SamplingData[[#This Row],[Candidate 4]])/(SamplingData[[#Totals],[Winning Candidate]]-SamplingData[[#Totals],[Candidate 4]]), 0)</f>
        <v>6.1387354205033758E-4</v>
      </c>
      <c r="N818" s="100">
        <f>IF(AND(SamplingData[[#This Row],[Total]]&lt;&gt; 0, NOT(ISBLANK(SamplingData[[#This Row],[Candidate 5]]))),(SamplingData[[#This Row],[Total]]+SamplingData[[#This Row],[Winning Candidate]]-SamplingData[[#This Row],[Candidate 5]])/(SamplingData[[#Totals],[Winning Candidate]]-SamplingData[[#Totals],[Candidate 5]]), 0)</f>
        <v>5.3514959863780107E-4</v>
      </c>
      <c r="O818" s="100">
        <f>IF(AND(SamplingData[[#This Row],[Total]]&lt;&gt; 0, NOT(ISBLANK(SamplingData[[#This Row],[Candidate 6]]))),(SamplingData[[#This Row],[Total]]+SamplingData[[#This Row],[Winning Candidate]]-SamplingData[[#This Row],[Candidate 6]])/(SamplingData[[#Totals],[Winning Candidate]]-SamplingData[[#Totals],[Candidate 6]]), 0)</f>
        <v>5.3499343417148966E-4</v>
      </c>
      <c r="P818" s="100">
        <f>MAX(SamplingData[[#This Row],[Error Bound (up) - Max. possible relative overstatement - Losing Candidate]:[Error Bound (up) - Max. possible relative overstatement - Candidate 6]])</f>
        <v>1.1636452719255266E-3</v>
      </c>
      <c r="Q818" s="100">
        <f>IF(SamplingData[[#This Row],[Max Error Bound (up)]] = 0,0,SamplingData[[#This Row],[Max Error Bound (up)]]/SamplingData[[#Totals],[Max Error Bound (up)]])</f>
        <v>1.841660172904708E-4</v>
      </c>
      <c r="R818" s="101">
        <f>SUM($Q$5:Q818)</f>
        <v>0.2151266516312266</v>
      </c>
      <c r="S818" s="100" t="str">
        <f t="array" ref="S818">IF(SamplingData[[#This Row],[up/U Selection Probability]] = 0, "Zero", TEXT(SamplingData[[#This Row],[Lower Range]], REPT("0",LEN('General Info'!$B$40))) &amp; " - " &amp; TEXT(SamplingData[[#This Row],[Upper Range]], REPT("0",LEN('General Info'!$B$40))))</f>
        <v>21494 - 21512</v>
      </c>
      <c r="T818" s="100">
        <f>SamplingData[[#This Row],[Upper Range]]-SamplingData[[#This Row],[Span]]</f>
        <v>21494.248745559631</v>
      </c>
      <c r="U818" s="100">
        <f>IF(ISNUMBER('General Info'!$B$40), ((SamplingData[[#This Row],[up/U Selection Probability]]) * 'General Info'!$B$40) - 1, 0)</f>
        <v>17.416417563029789</v>
      </c>
      <c r="V818" s="100">
        <f>IF(ISNUMBER('General Info'!$B$40), (SamplingData[[#This Row],[Running (cumulative) sum]] * ('General Info'!$B$40 -'General Info'!$B$41 + 1)) + 'General Info'!$B$41 - 1, 0)</f>
        <v>21511.66516312266</v>
      </c>
      <c r="W818" s="100" t="str">
        <f>IF(ISERROR(MATCH(SamplingData[[#This Row],[Batch by Type (p)]],SelectedPrecincts[Batch Name], 0)), "", INDEX(SelectedPrecincts[Draw], MATCH(SamplingData[[#This Row],[Batch by Type (p)]],SelectedPrecincts[Batch Name], 0)))</f>
        <v/>
      </c>
      <c r="X818" s="102">
        <f>IF(COUNTIF(SelectedPrecincts[Batch Name],SamplingData[[#This Row],[Batch by Type (p)]]) &lt;&gt; 0, COUNTIF(SelectedPrecincts[Batch Name],SamplingData[[#This Row],[Batch by Type (p)]]), 0)</f>
        <v>0</v>
      </c>
    </row>
    <row r="819" spans="1:24" ht="15" customHeight="1">
      <c r="A819" s="18" t="s">
        <v>995</v>
      </c>
      <c r="B819" s="18">
        <v>4</v>
      </c>
      <c r="C819" s="18">
        <v>7</v>
      </c>
      <c r="D819" s="16">
        <v>1</v>
      </c>
      <c r="E819" s="16">
        <v>2</v>
      </c>
      <c r="F819" s="37">
        <v>1</v>
      </c>
      <c r="G819" s="37">
        <v>0</v>
      </c>
      <c r="H819" s="17">
        <v>0</v>
      </c>
      <c r="I819" s="17">
        <v>0</v>
      </c>
      <c r="J819" s="99">
        <f>SUM(SamplingData[[#This Row],[Losing Candidate]:[Under Votes]])</f>
        <v>15</v>
      </c>
      <c r="K819"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819" s="100">
        <f>IF(AND(SamplingData[[#This Row],[Total]]&lt;&gt; 0, NOT(ISBLANK(SamplingData[[#This Row],[Candidate 3]]))),(SamplingData[[#This Row],[Total]]+SamplingData[[#This Row],[Winning Candidate]]-SamplingData[[#This Row],[Candidate 3]])/(SamplingData[[#Totals],[Winning Candidate]]-SamplingData[[#Totals],[Candidate 3]]), 0)</f>
        <v>6.7748491789528019E-4</v>
      </c>
      <c r="M819" s="100">
        <f>IF(AND(SamplingData[[#This Row],[Total]]&lt;&gt; 0, NOT(ISBLANK(SamplingData[[#This Row],[Candidate 4]]))),(SamplingData[[#This Row],[Total]]+SamplingData[[#This Row],[Winning Candidate]]-SamplingData[[#This Row],[Candidate 4]])/(SamplingData[[#Totals],[Winning Candidate]]-SamplingData[[#Totals],[Candidate 4]]), 0)</f>
        <v>5.8464146861936922E-4</v>
      </c>
      <c r="N819" s="100">
        <f>IF(AND(SamplingData[[#This Row],[Total]]&lt;&gt; 0, NOT(ISBLANK(SamplingData[[#This Row],[Candidate 5]]))),(SamplingData[[#This Row],[Total]]+SamplingData[[#This Row],[Winning Candidate]]-SamplingData[[#This Row],[Candidate 5]])/(SamplingData[[#Totals],[Winning Candidate]]-SamplingData[[#Totals],[Candidate 5]]), 0)</f>
        <v>5.1082461688153739E-4</v>
      </c>
      <c r="O819" s="100">
        <f>IF(AND(SamplingData[[#This Row],[Total]]&lt;&gt; 0, NOT(ISBLANK(SamplingData[[#This Row],[Candidate 6]]))),(SamplingData[[#This Row],[Total]]+SamplingData[[#This Row],[Winning Candidate]]-SamplingData[[#This Row],[Candidate 6]])/(SamplingData[[#Totals],[Winning Candidate]]-SamplingData[[#Totals],[Candidate 6]]), 0)</f>
        <v>5.3499343417148966E-4</v>
      </c>
      <c r="P819" s="100">
        <f>MAX(SamplingData[[#This Row],[Error Bound (up) - Max. possible relative overstatement - Losing Candidate]:[Error Bound (up) - Max. possible relative overstatement - Candidate 6]])</f>
        <v>1.1024007839294464E-3</v>
      </c>
      <c r="Q819" s="100">
        <f>IF(SamplingData[[#This Row],[Max Error Bound (up)]] = 0,0,SamplingData[[#This Row],[Max Error Bound (up)]]/SamplingData[[#Totals],[Max Error Bound (up)]])</f>
        <v>1.7447306901202498E-4</v>
      </c>
      <c r="R819" s="101">
        <f>SUM($Q$5:Q819)</f>
        <v>0.21530112470023863</v>
      </c>
      <c r="S819" s="100" t="str">
        <f t="array" ref="S819">IF(SamplingData[[#This Row],[up/U Selection Probability]] = 0, "Zero", TEXT(SamplingData[[#This Row],[Lower Range]], REPT("0",LEN('General Info'!$B$40))) &amp; " - " &amp; TEXT(SamplingData[[#This Row],[Upper Range]], REPT("0",LEN('General Info'!$B$40))))</f>
        <v>21513 - 21529</v>
      </c>
      <c r="T819" s="100">
        <f>SamplingData[[#This Row],[Upper Range]]-SamplingData[[#This Row],[Span]]</f>
        <v>21512.665337595728</v>
      </c>
      <c r="U819" s="100">
        <f>IF(ISNUMBER('General Info'!$B$40), ((SamplingData[[#This Row],[up/U Selection Probability]]) * 'General Info'!$B$40) - 1, 0)</f>
        <v>16.447132428133486</v>
      </c>
      <c r="V819" s="100">
        <f>IF(ISNUMBER('General Info'!$B$40), (SamplingData[[#This Row],[Running (cumulative) sum]] * ('General Info'!$B$40 -'General Info'!$B$41 + 1)) + 'General Info'!$B$41 - 1, 0)</f>
        <v>21529.112470023862</v>
      </c>
      <c r="W819" s="100" t="str">
        <f>IF(ISERROR(MATCH(SamplingData[[#This Row],[Batch by Type (p)]],SelectedPrecincts[Batch Name], 0)), "", INDEX(SelectedPrecincts[Draw], MATCH(SamplingData[[#This Row],[Batch by Type (p)]],SelectedPrecincts[Batch Name], 0)))</f>
        <v/>
      </c>
      <c r="X819" s="102">
        <f>IF(COUNTIF(SelectedPrecincts[Batch Name],SamplingData[[#This Row],[Batch by Type (p)]]) &lt;&gt; 0, COUNTIF(SelectedPrecincts[Batch Name],SamplingData[[#This Row],[Batch by Type (p)]]), 0)</f>
        <v>0</v>
      </c>
    </row>
    <row r="820" spans="1:24" ht="15" customHeight="1">
      <c r="A820" s="18" t="s">
        <v>996</v>
      </c>
      <c r="B820" s="18">
        <v>2</v>
      </c>
      <c r="C820" s="18">
        <v>1</v>
      </c>
      <c r="D820" s="18">
        <v>0</v>
      </c>
      <c r="E820" s="18">
        <v>0</v>
      </c>
      <c r="F820" s="18">
        <v>1</v>
      </c>
      <c r="G820" s="18">
        <v>0</v>
      </c>
      <c r="H820" s="18">
        <v>0</v>
      </c>
      <c r="I820" s="18">
        <v>0</v>
      </c>
      <c r="J820" s="99">
        <f>SUM(SamplingData[[#This Row],[Losing Candidate]:[Under Votes]])</f>
        <v>4</v>
      </c>
      <c r="K82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820" s="100">
        <f>IF(AND(SamplingData[[#This Row],[Total]]&lt;&gt; 0, NOT(ISBLANK(SamplingData[[#This Row],[Candidate 3]]))),(SamplingData[[#This Row],[Total]]+SamplingData[[#This Row],[Winning Candidate]]-SamplingData[[#This Row],[Candidate 3]])/(SamplingData[[#Totals],[Winning Candidate]]-SamplingData[[#Totals],[Candidate 3]]), 0)</f>
        <v>1.6130593283220958E-4</v>
      </c>
      <c r="M820" s="100">
        <f>IF(AND(SamplingData[[#This Row],[Total]]&lt;&gt; 0, NOT(ISBLANK(SamplingData[[#This Row],[Candidate 4]]))),(SamplingData[[#This Row],[Total]]+SamplingData[[#This Row],[Winning Candidate]]-SamplingData[[#This Row],[Candidate 4]])/(SamplingData[[#Totals],[Winning Candidate]]-SamplingData[[#Totals],[Candidate 4]]), 0)</f>
        <v>1.4616036715484231E-4</v>
      </c>
      <c r="N820" s="100">
        <f>IF(AND(SamplingData[[#This Row],[Total]]&lt;&gt; 0, NOT(ISBLANK(SamplingData[[#This Row],[Candidate 5]]))),(SamplingData[[#This Row],[Total]]+SamplingData[[#This Row],[Winning Candidate]]-SamplingData[[#This Row],[Candidate 5]])/(SamplingData[[#Totals],[Winning Candidate]]-SamplingData[[#Totals],[Candidate 5]]), 0)</f>
        <v>9.7299927025054734E-5</v>
      </c>
      <c r="O820" s="100">
        <f>IF(AND(SamplingData[[#This Row],[Total]]&lt;&gt; 0, NOT(ISBLANK(SamplingData[[#This Row],[Candidate 6]]))),(SamplingData[[#This Row],[Total]]+SamplingData[[#This Row],[Winning Candidate]]-SamplingData[[#This Row],[Candidate 6]])/(SamplingData[[#Totals],[Winning Candidate]]-SamplingData[[#Totals],[Candidate 6]]), 0)</f>
        <v>1.2158941685715675E-4</v>
      </c>
      <c r="P820" s="100">
        <f>MAX(SamplingData[[#This Row],[Error Bound (up) - Max. possible relative overstatement - Losing Candidate]:[Error Bound (up) - Max. possible relative overstatement - Candidate 6]])</f>
        <v>1.8373346398824106E-4</v>
      </c>
      <c r="Q820" s="100">
        <f>IF(SamplingData[[#This Row],[Max Error Bound (up)]] = 0,0,SamplingData[[#This Row],[Max Error Bound (up)]]/SamplingData[[#Totals],[Max Error Bound (up)]])</f>
        <v>2.9078844835337493E-5</v>
      </c>
      <c r="R820" s="101">
        <f>SUM($Q$5:Q820)</f>
        <v>0.21533020354507396</v>
      </c>
      <c r="S820" s="100" t="str">
        <f t="array" ref="S820">IF(SamplingData[[#This Row],[up/U Selection Probability]] = 0, "Zero", TEXT(SamplingData[[#This Row],[Lower Range]], REPT("0",LEN('General Info'!$B$40))) &amp; " - " &amp; TEXT(SamplingData[[#This Row],[Upper Range]], REPT("0",LEN('General Info'!$B$40))))</f>
        <v>21530 - 21532</v>
      </c>
      <c r="T820" s="100">
        <f>SamplingData[[#This Row],[Upper Range]]-SamplingData[[#This Row],[Span]]</f>
        <v>21530.112499102706</v>
      </c>
      <c r="U820" s="100">
        <f>IF(ISNUMBER('General Info'!$B$40), ((SamplingData[[#This Row],[up/U Selection Probability]]) * 'General Info'!$B$40) - 1, 0)</f>
        <v>1.907855404688914</v>
      </c>
      <c r="V820" s="100">
        <f>IF(ISNUMBER('General Info'!$B$40), (SamplingData[[#This Row],[Running (cumulative) sum]] * ('General Info'!$B$40 -'General Info'!$B$41 + 1)) + 'General Info'!$B$41 - 1, 0)</f>
        <v>21532.020354507396</v>
      </c>
      <c r="W820" s="100" t="str">
        <f>IF(ISERROR(MATCH(SamplingData[[#This Row],[Batch by Type (p)]],SelectedPrecincts[Batch Name], 0)), "", INDEX(SelectedPrecincts[Draw], MATCH(SamplingData[[#This Row],[Batch by Type (p)]],SelectedPrecincts[Batch Name], 0)))</f>
        <v/>
      </c>
      <c r="X820" s="102">
        <f>IF(COUNTIF(SelectedPrecincts[Batch Name],SamplingData[[#This Row],[Batch by Type (p)]]) &lt;&gt; 0, COUNTIF(SelectedPrecincts[Batch Name],SamplingData[[#This Row],[Batch by Type (p)]]), 0)</f>
        <v>0</v>
      </c>
    </row>
    <row r="821" spans="1:24" ht="15" customHeight="1">
      <c r="A821" s="18" t="s">
        <v>997</v>
      </c>
      <c r="B821" s="18">
        <v>3</v>
      </c>
      <c r="C821" s="18">
        <v>3</v>
      </c>
      <c r="D821" s="16">
        <v>1</v>
      </c>
      <c r="E821" s="16">
        <v>1</v>
      </c>
      <c r="F821" s="37">
        <v>0</v>
      </c>
      <c r="G821" s="37">
        <v>0</v>
      </c>
      <c r="H821" s="17">
        <v>0</v>
      </c>
      <c r="I821" s="17">
        <v>1</v>
      </c>
      <c r="J821" s="99">
        <f>SUM(SamplingData[[#This Row],[Losing Candidate]:[Under Votes]])</f>
        <v>9</v>
      </c>
      <c r="K821"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821" s="100">
        <f>IF(AND(SamplingData[[#This Row],[Total]]&lt;&gt; 0, NOT(ISBLANK(SamplingData[[#This Row],[Candidate 3]]))),(SamplingData[[#This Row],[Total]]+SamplingData[[#This Row],[Winning Candidate]]-SamplingData[[#This Row],[Candidate 3]])/(SamplingData[[#Totals],[Winning Candidate]]-SamplingData[[#Totals],[Candidate 3]]), 0)</f>
        <v>3.5487305223086104E-4</v>
      </c>
      <c r="M821" s="100">
        <f>IF(AND(SamplingData[[#This Row],[Total]]&lt;&gt; 0, NOT(ISBLANK(SamplingData[[#This Row],[Candidate 4]]))),(SamplingData[[#This Row],[Total]]+SamplingData[[#This Row],[Winning Candidate]]-SamplingData[[#This Row],[Candidate 4]])/(SamplingData[[#Totals],[Winning Candidate]]-SamplingData[[#Totals],[Candidate 4]]), 0)</f>
        <v>3.2155280774065302E-4</v>
      </c>
      <c r="N821" s="100">
        <f>IF(AND(SamplingData[[#This Row],[Total]]&lt;&gt; 0, NOT(ISBLANK(SamplingData[[#This Row],[Candidate 5]]))),(SamplingData[[#This Row],[Total]]+SamplingData[[#This Row],[Winning Candidate]]-SamplingData[[#This Row],[Candidate 5]])/(SamplingData[[#Totals],[Winning Candidate]]-SamplingData[[#Totals],[Candidate 5]]), 0)</f>
        <v>2.9189978107516421E-4</v>
      </c>
      <c r="O821" s="100">
        <f>IF(AND(SamplingData[[#This Row],[Total]]&lt;&gt; 0, NOT(ISBLANK(SamplingData[[#This Row],[Candidate 6]]))),(SamplingData[[#This Row],[Total]]+SamplingData[[#This Row],[Winning Candidate]]-SamplingData[[#This Row],[Candidate 6]])/(SamplingData[[#Totals],[Winning Candidate]]-SamplingData[[#Totals],[Candidate 6]]), 0)</f>
        <v>2.9181460045717622E-4</v>
      </c>
      <c r="P821" s="100">
        <f>MAX(SamplingData[[#This Row],[Error Bound (up) - Max. possible relative overstatement - Losing Candidate]:[Error Bound (up) - Max. possible relative overstatement - Candidate 6]])</f>
        <v>5.5120039196472322E-4</v>
      </c>
      <c r="Q821" s="100">
        <f>IF(SamplingData[[#This Row],[Max Error Bound (up)]] = 0,0,SamplingData[[#This Row],[Max Error Bound (up)]]/SamplingData[[#Totals],[Max Error Bound (up)]])</f>
        <v>8.7236534506012492E-5</v>
      </c>
      <c r="R821" s="101">
        <f>SUM($Q$5:Q821)</f>
        <v>0.21541744007957997</v>
      </c>
      <c r="S821" s="100" t="str">
        <f t="array" ref="S821">IF(SamplingData[[#This Row],[up/U Selection Probability]] = 0, "Zero", TEXT(SamplingData[[#This Row],[Lower Range]], REPT("0",LEN('General Info'!$B$40))) &amp; " - " &amp; TEXT(SamplingData[[#This Row],[Upper Range]], REPT("0",LEN('General Info'!$B$40))))</f>
        <v>21533 - 21541</v>
      </c>
      <c r="T821" s="100">
        <f>SamplingData[[#This Row],[Upper Range]]-SamplingData[[#This Row],[Span]]</f>
        <v>21533.020441743931</v>
      </c>
      <c r="U821" s="100">
        <f>IF(ISNUMBER('General Info'!$B$40), ((SamplingData[[#This Row],[up/U Selection Probability]]) * 'General Info'!$B$40) - 1, 0)</f>
        <v>7.7235662140667429</v>
      </c>
      <c r="V821" s="100">
        <f>IF(ISNUMBER('General Info'!$B$40), (SamplingData[[#This Row],[Running (cumulative) sum]] * ('General Info'!$B$40 -'General Info'!$B$41 + 1)) + 'General Info'!$B$41 - 1, 0)</f>
        <v>21540.744007957997</v>
      </c>
      <c r="W821" s="100" t="str">
        <f>IF(ISERROR(MATCH(SamplingData[[#This Row],[Batch by Type (p)]],SelectedPrecincts[Batch Name], 0)), "", INDEX(SelectedPrecincts[Draw], MATCH(SamplingData[[#This Row],[Batch by Type (p)]],SelectedPrecincts[Batch Name], 0)))</f>
        <v/>
      </c>
      <c r="X821" s="102">
        <f>IF(COUNTIF(SelectedPrecincts[Batch Name],SamplingData[[#This Row],[Batch by Type (p)]]) &lt;&gt; 0, COUNTIF(SelectedPrecincts[Batch Name],SamplingData[[#This Row],[Batch by Type (p)]]), 0)</f>
        <v>0</v>
      </c>
    </row>
    <row r="822" spans="1:24" ht="15" customHeight="1">
      <c r="A822" s="18" t="s">
        <v>998</v>
      </c>
      <c r="B822" s="18">
        <v>2</v>
      </c>
      <c r="C822" s="18">
        <v>1</v>
      </c>
      <c r="D822" s="18">
        <v>1</v>
      </c>
      <c r="E822" s="18">
        <v>2</v>
      </c>
      <c r="F822" s="18">
        <v>0</v>
      </c>
      <c r="G822" s="18">
        <v>0</v>
      </c>
      <c r="H822" s="18">
        <v>0</v>
      </c>
      <c r="I822" s="18">
        <v>0</v>
      </c>
      <c r="J822" s="99">
        <f>SUM(SamplingData[[#This Row],[Losing Candidate]:[Under Votes]])</f>
        <v>6</v>
      </c>
      <c r="K822"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822" s="100">
        <f>IF(AND(SamplingData[[#This Row],[Total]]&lt;&gt; 0, NOT(ISBLANK(SamplingData[[#This Row],[Candidate 3]]))),(SamplingData[[#This Row],[Total]]+SamplingData[[#This Row],[Winning Candidate]]-SamplingData[[#This Row],[Candidate 3]])/(SamplingData[[#Totals],[Winning Candidate]]-SamplingData[[#Totals],[Candidate 3]]), 0)</f>
        <v>1.9356711939865149E-4</v>
      </c>
      <c r="M822" s="100">
        <f>IF(AND(SamplingData[[#This Row],[Total]]&lt;&gt; 0, NOT(ISBLANK(SamplingData[[#This Row],[Candidate 4]]))),(SamplingData[[#This Row],[Total]]+SamplingData[[#This Row],[Winning Candidate]]-SamplingData[[#This Row],[Candidate 4]])/(SamplingData[[#Totals],[Winning Candidate]]-SamplingData[[#Totals],[Candidate 4]]), 0)</f>
        <v>1.4616036715484231E-4</v>
      </c>
      <c r="N822" s="100">
        <f>IF(AND(SamplingData[[#This Row],[Total]]&lt;&gt; 0, NOT(ISBLANK(SamplingData[[#This Row],[Candidate 5]]))),(SamplingData[[#This Row],[Total]]+SamplingData[[#This Row],[Winning Candidate]]-SamplingData[[#This Row],[Candidate 5]])/(SamplingData[[#Totals],[Winning Candidate]]-SamplingData[[#Totals],[Candidate 5]]), 0)</f>
        <v>1.7027487229384579E-4</v>
      </c>
      <c r="O822" s="100">
        <f>IF(AND(SamplingData[[#This Row],[Total]]&lt;&gt; 0, NOT(ISBLANK(SamplingData[[#This Row],[Candidate 6]]))),(SamplingData[[#This Row],[Total]]+SamplingData[[#This Row],[Winning Candidate]]-SamplingData[[#This Row],[Candidate 6]])/(SamplingData[[#Totals],[Winning Candidate]]-SamplingData[[#Totals],[Candidate 6]]), 0)</f>
        <v>1.7022518360001944E-4</v>
      </c>
      <c r="P822" s="100">
        <f>MAX(SamplingData[[#This Row],[Error Bound (up) - Max. possible relative overstatement - Losing Candidate]:[Error Bound (up) - Max. possible relative overstatement - Candidate 6]])</f>
        <v>3.0622243998040176E-4</v>
      </c>
      <c r="Q822" s="100">
        <f>IF(SamplingData[[#This Row],[Max Error Bound (up)]] = 0,0,SamplingData[[#This Row],[Max Error Bound (up)]]/SamplingData[[#Totals],[Max Error Bound (up)]])</f>
        <v>4.8464741392229159E-5</v>
      </c>
      <c r="R822" s="101">
        <f>SUM($Q$5:Q822)</f>
        <v>0.21546590482097219</v>
      </c>
      <c r="S822" s="100" t="str">
        <f t="array" ref="S822">IF(SamplingData[[#This Row],[up/U Selection Probability]] = 0, "Zero", TEXT(SamplingData[[#This Row],[Lower Range]], REPT("0",LEN('General Info'!$B$40))) &amp; " - " &amp; TEXT(SamplingData[[#This Row],[Upper Range]], REPT("0",LEN('General Info'!$B$40))))</f>
        <v>21542 - 21546</v>
      </c>
      <c r="T822" s="100">
        <f>SamplingData[[#This Row],[Upper Range]]-SamplingData[[#This Row],[Span]]</f>
        <v>21541.74405642274</v>
      </c>
      <c r="U822" s="100">
        <f>IF(ISNUMBER('General Info'!$B$40), ((SamplingData[[#This Row],[up/U Selection Probability]]) * 'General Info'!$B$40) - 1, 0)</f>
        <v>3.8464256744815239</v>
      </c>
      <c r="V822" s="100">
        <f>IF(ISNUMBER('General Info'!$B$40), (SamplingData[[#This Row],[Running (cumulative) sum]] * ('General Info'!$B$40 -'General Info'!$B$41 + 1)) + 'General Info'!$B$41 - 1, 0)</f>
        <v>21545.590482097221</v>
      </c>
      <c r="W822" s="100" t="str">
        <f>IF(ISERROR(MATCH(SamplingData[[#This Row],[Batch by Type (p)]],SelectedPrecincts[Batch Name], 0)), "", INDEX(SelectedPrecincts[Draw], MATCH(SamplingData[[#This Row],[Batch by Type (p)]],SelectedPrecincts[Batch Name], 0)))</f>
        <v/>
      </c>
      <c r="X822" s="102">
        <f>IF(COUNTIF(SelectedPrecincts[Batch Name],SamplingData[[#This Row],[Batch by Type (p)]]) &lt;&gt; 0, COUNTIF(SelectedPrecincts[Batch Name],SamplingData[[#This Row],[Batch by Type (p)]]), 0)</f>
        <v>0</v>
      </c>
    </row>
    <row r="823" spans="1:24" ht="15" customHeight="1">
      <c r="A823" s="18" t="s">
        <v>999</v>
      </c>
      <c r="B823" s="18">
        <v>2</v>
      </c>
      <c r="C823" s="18">
        <v>7</v>
      </c>
      <c r="D823" s="16">
        <v>1</v>
      </c>
      <c r="E823" s="16">
        <v>1</v>
      </c>
      <c r="F823" s="37">
        <v>0</v>
      </c>
      <c r="G823" s="37">
        <v>1</v>
      </c>
      <c r="H823" s="17">
        <v>0</v>
      </c>
      <c r="I823" s="17">
        <v>1</v>
      </c>
      <c r="J823" s="99">
        <f>SUM(SamplingData[[#This Row],[Losing Candidate]:[Under Votes]])</f>
        <v>13</v>
      </c>
      <c r="K823"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823" s="100">
        <f>IF(AND(SamplingData[[#This Row],[Total]]&lt;&gt; 0, NOT(ISBLANK(SamplingData[[#This Row],[Candidate 3]]))),(SamplingData[[#This Row],[Total]]+SamplingData[[#This Row],[Winning Candidate]]-SamplingData[[#This Row],[Candidate 3]])/(SamplingData[[#Totals],[Winning Candidate]]-SamplingData[[#Totals],[Candidate 3]]), 0)</f>
        <v>6.1296254476239632E-4</v>
      </c>
      <c r="M823" s="100">
        <f>IF(AND(SamplingData[[#This Row],[Total]]&lt;&gt; 0, NOT(ISBLANK(SamplingData[[#This Row],[Candidate 4]]))),(SamplingData[[#This Row],[Total]]+SamplingData[[#This Row],[Winning Candidate]]-SamplingData[[#This Row],[Candidate 4]])/(SamplingData[[#Totals],[Winning Candidate]]-SamplingData[[#Totals],[Candidate 4]]), 0)</f>
        <v>5.5540939518840076E-4</v>
      </c>
      <c r="N823" s="100">
        <f>IF(AND(SamplingData[[#This Row],[Total]]&lt;&gt; 0, NOT(ISBLANK(SamplingData[[#This Row],[Candidate 5]]))),(SamplingData[[#This Row],[Total]]+SamplingData[[#This Row],[Winning Candidate]]-SamplingData[[#This Row],[Candidate 5]])/(SamplingData[[#Totals],[Winning Candidate]]-SamplingData[[#Totals],[Candidate 5]]), 0)</f>
        <v>4.8649963512527365E-4</v>
      </c>
      <c r="O823" s="100">
        <f>IF(AND(SamplingData[[#This Row],[Total]]&lt;&gt; 0, NOT(ISBLANK(SamplingData[[#This Row],[Candidate 6]]))),(SamplingData[[#This Row],[Total]]+SamplingData[[#This Row],[Winning Candidate]]-SamplingData[[#This Row],[Candidate 6]])/(SamplingData[[#Totals],[Winning Candidate]]-SamplingData[[#Totals],[Candidate 6]]), 0)</f>
        <v>4.6203978405719566E-4</v>
      </c>
      <c r="P823" s="100">
        <f>MAX(SamplingData[[#This Row],[Error Bound (up) - Max. possible relative overstatement - Losing Candidate]:[Error Bound (up) - Max. possible relative overstatement - Candidate 6]])</f>
        <v>1.1024007839294464E-3</v>
      </c>
      <c r="Q823" s="100">
        <f>IF(SamplingData[[#This Row],[Max Error Bound (up)]] = 0,0,SamplingData[[#This Row],[Max Error Bound (up)]]/SamplingData[[#Totals],[Max Error Bound (up)]])</f>
        <v>1.7447306901202498E-4</v>
      </c>
      <c r="R823" s="101">
        <f>SUM($Q$5:Q823)</f>
        <v>0.21564037788998422</v>
      </c>
      <c r="S823" s="100" t="str">
        <f t="array" ref="S823">IF(SamplingData[[#This Row],[up/U Selection Probability]] = 0, "Zero", TEXT(SamplingData[[#This Row],[Lower Range]], REPT("0",LEN('General Info'!$B$40))) &amp; " - " &amp; TEXT(SamplingData[[#This Row],[Upper Range]], REPT("0",LEN('General Info'!$B$40))))</f>
        <v>21547 - 21563</v>
      </c>
      <c r="T823" s="100">
        <f>SamplingData[[#This Row],[Upper Range]]-SamplingData[[#This Row],[Span]]</f>
        <v>21546.59065657029</v>
      </c>
      <c r="U823" s="100">
        <f>IF(ISNUMBER('General Info'!$B$40), ((SamplingData[[#This Row],[up/U Selection Probability]]) * 'General Info'!$B$40) - 1, 0)</f>
        <v>16.447132428133486</v>
      </c>
      <c r="V823" s="100">
        <f>IF(ISNUMBER('General Info'!$B$40), (SamplingData[[#This Row],[Running (cumulative) sum]] * ('General Info'!$B$40 -'General Info'!$B$41 + 1)) + 'General Info'!$B$41 - 1, 0)</f>
        <v>21563.037788998423</v>
      </c>
      <c r="W823" s="100" t="str">
        <f>IF(ISERROR(MATCH(SamplingData[[#This Row],[Batch by Type (p)]],SelectedPrecincts[Batch Name], 0)), "", INDEX(SelectedPrecincts[Draw], MATCH(SamplingData[[#This Row],[Batch by Type (p)]],SelectedPrecincts[Batch Name], 0)))</f>
        <v/>
      </c>
      <c r="X823" s="102">
        <f>IF(COUNTIF(SelectedPrecincts[Batch Name],SamplingData[[#This Row],[Batch by Type (p)]]) &lt;&gt; 0, COUNTIF(SelectedPrecincts[Batch Name],SamplingData[[#This Row],[Batch by Type (p)]]), 0)</f>
        <v>0</v>
      </c>
    </row>
    <row r="824" spans="1:24" ht="15" customHeight="1">
      <c r="A824" s="18" t="s">
        <v>1000</v>
      </c>
      <c r="B824" s="18">
        <v>0</v>
      </c>
      <c r="C824" s="18">
        <v>1</v>
      </c>
      <c r="D824" s="18">
        <v>0</v>
      </c>
      <c r="E824" s="18">
        <v>0</v>
      </c>
      <c r="F824" s="18">
        <v>0</v>
      </c>
      <c r="G824" s="18">
        <v>0</v>
      </c>
      <c r="H824" s="18">
        <v>0</v>
      </c>
      <c r="I824" s="18">
        <v>0</v>
      </c>
      <c r="J824" s="99">
        <f>SUM(SamplingData[[#This Row],[Losing Candidate]:[Under Votes]])</f>
        <v>1</v>
      </c>
      <c r="K82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824" s="100">
        <f>IF(AND(SamplingData[[#This Row],[Total]]&lt;&gt; 0, NOT(ISBLANK(SamplingData[[#This Row],[Candidate 3]]))),(SamplingData[[#This Row],[Total]]+SamplingData[[#This Row],[Winning Candidate]]-SamplingData[[#This Row],[Candidate 3]])/(SamplingData[[#Totals],[Winning Candidate]]-SamplingData[[#Totals],[Candidate 3]]), 0)</f>
        <v>6.4522373132883833E-5</v>
      </c>
      <c r="M824" s="100">
        <f>IF(AND(SamplingData[[#This Row],[Total]]&lt;&gt; 0, NOT(ISBLANK(SamplingData[[#This Row],[Candidate 4]]))),(SamplingData[[#This Row],[Total]]+SamplingData[[#This Row],[Winning Candidate]]-SamplingData[[#This Row],[Candidate 4]])/(SamplingData[[#Totals],[Winning Candidate]]-SamplingData[[#Totals],[Candidate 4]]), 0)</f>
        <v>5.846414686193692E-5</v>
      </c>
      <c r="N824" s="100">
        <f>IF(AND(SamplingData[[#This Row],[Total]]&lt;&gt; 0, NOT(ISBLANK(SamplingData[[#This Row],[Candidate 5]]))),(SamplingData[[#This Row],[Total]]+SamplingData[[#This Row],[Winning Candidate]]-SamplingData[[#This Row],[Candidate 5]])/(SamplingData[[#Totals],[Winning Candidate]]-SamplingData[[#Totals],[Candidate 5]]), 0)</f>
        <v>4.8649963512527367E-5</v>
      </c>
      <c r="O824" s="100">
        <f>IF(AND(SamplingData[[#This Row],[Total]]&lt;&gt; 0, NOT(ISBLANK(SamplingData[[#This Row],[Candidate 6]]))),(SamplingData[[#This Row],[Total]]+SamplingData[[#This Row],[Winning Candidate]]-SamplingData[[#This Row],[Candidate 6]])/(SamplingData[[#Totals],[Winning Candidate]]-SamplingData[[#Totals],[Candidate 6]]), 0)</f>
        <v>4.8635766742862701E-5</v>
      </c>
      <c r="P824" s="100">
        <f>MAX(SamplingData[[#This Row],[Error Bound (up) - Max. possible relative overstatement - Losing Candidate]:[Error Bound (up) - Max. possible relative overstatement - Candidate 6]])</f>
        <v>1.224889759921607E-4</v>
      </c>
      <c r="Q824" s="100">
        <f>IF(SamplingData[[#This Row],[Max Error Bound (up)]] = 0,0,SamplingData[[#This Row],[Max Error Bound (up)]]/SamplingData[[#Totals],[Max Error Bound (up)]])</f>
        <v>1.9385896556891663E-5</v>
      </c>
      <c r="R824" s="101">
        <f>SUM($Q$5:Q824)</f>
        <v>0.21565976378654111</v>
      </c>
      <c r="S824" s="100" t="str">
        <f t="array" ref="S824">IF(SamplingData[[#This Row],[up/U Selection Probability]] = 0, "Zero", TEXT(SamplingData[[#This Row],[Lower Range]], REPT("0",LEN('General Info'!$B$40))) &amp; " - " &amp; TEXT(SamplingData[[#This Row],[Upper Range]], REPT("0",LEN('General Info'!$B$40))))</f>
        <v>21564 - 21565</v>
      </c>
      <c r="T824" s="100">
        <f>SamplingData[[#This Row],[Upper Range]]-SamplingData[[#This Row],[Span]]</f>
        <v>21564.037808384321</v>
      </c>
      <c r="U824" s="100">
        <f>IF(ISNUMBER('General Info'!$B$40), ((SamplingData[[#This Row],[up/U Selection Probability]]) * 'General Info'!$B$40) - 1, 0)</f>
        <v>0.93857026979260949</v>
      </c>
      <c r="V824" s="100">
        <f>IF(ISNUMBER('General Info'!$B$40), (SamplingData[[#This Row],[Running (cumulative) sum]] * ('General Info'!$B$40 -'General Info'!$B$41 + 1)) + 'General Info'!$B$41 - 1, 0)</f>
        <v>21564.976378654112</v>
      </c>
      <c r="W824" s="100" t="str">
        <f>IF(ISERROR(MATCH(SamplingData[[#This Row],[Batch by Type (p)]],SelectedPrecincts[Batch Name], 0)), "", INDEX(SelectedPrecincts[Draw], MATCH(SamplingData[[#This Row],[Batch by Type (p)]],SelectedPrecincts[Batch Name], 0)))</f>
        <v/>
      </c>
      <c r="X824" s="102">
        <f>IF(COUNTIF(SelectedPrecincts[Batch Name],SamplingData[[#This Row],[Batch by Type (p)]]) &lt;&gt; 0, COUNTIF(SelectedPrecincts[Batch Name],SamplingData[[#This Row],[Batch by Type (p)]]), 0)</f>
        <v>0</v>
      </c>
    </row>
    <row r="825" spans="1:24" ht="15" customHeight="1">
      <c r="A825" s="18" t="s">
        <v>1001</v>
      </c>
      <c r="B825" s="18">
        <v>8</v>
      </c>
      <c r="C825" s="18">
        <v>3</v>
      </c>
      <c r="D825" s="16">
        <v>5</v>
      </c>
      <c r="E825" s="16">
        <v>0</v>
      </c>
      <c r="F825" s="37">
        <v>0</v>
      </c>
      <c r="G825" s="37">
        <v>0</v>
      </c>
      <c r="H825" s="17">
        <v>0</v>
      </c>
      <c r="I825" s="17">
        <v>0</v>
      </c>
      <c r="J825" s="99">
        <f>SUM(SamplingData[[#This Row],[Losing Candidate]:[Under Votes]])</f>
        <v>16</v>
      </c>
      <c r="K825"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825" s="100">
        <f>IF(AND(SamplingData[[#This Row],[Total]]&lt;&gt; 0, NOT(ISBLANK(SamplingData[[#This Row],[Candidate 3]]))),(SamplingData[[#This Row],[Total]]+SamplingData[[#This Row],[Winning Candidate]]-SamplingData[[#This Row],[Candidate 3]])/(SamplingData[[#Totals],[Winning Candidate]]-SamplingData[[#Totals],[Candidate 3]]), 0)</f>
        <v>4.5165661193018679E-4</v>
      </c>
      <c r="M825" s="100">
        <f>IF(AND(SamplingData[[#This Row],[Total]]&lt;&gt; 0, NOT(ISBLANK(SamplingData[[#This Row],[Candidate 4]]))),(SamplingData[[#This Row],[Total]]+SamplingData[[#This Row],[Winning Candidate]]-SamplingData[[#This Row],[Candidate 4]])/(SamplingData[[#Totals],[Winning Candidate]]-SamplingData[[#Totals],[Candidate 4]]), 0)</f>
        <v>5.5540939518840076E-4</v>
      </c>
      <c r="N825" s="100">
        <f>IF(AND(SamplingData[[#This Row],[Total]]&lt;&gt; 0, NOT(ISBLANK(SamplingData[[#This Row],[Candidate 5]]))),(SamplingData[[#This Row],[Total]]+SamplingData[[#This Row],[Winning Candidate]]-SamplingData[[#This Row],[Candidate 5]])/(SamplingData[[#Totals],[Winning Candidate]]-SamplingData[[#Totals],[Candidate 5]]), 0)</f>
        <v>4.6217465336900997E-4</v>
      </c>
      <c r="O825" s="100">
        <f>IF(AND(SamplingData[[#This Row],[Total]]&lt;&gt; 0, NOT(ISBLANK(SamplingData[[#This Row],[Candidate 6]]))),(SamplingData[[#This Row],[Total]]+SamplingData[[#This Row],[Winning Candidate]]-SamplingData[[#This Row],[Candidate 6]])/(SamplingData[[#Totals],[Winning Candidate]]-SamplingData[[#Totals],[Candidate 6]]), 0)</f>
        <v>4.6203978405719566E-4</v>
      </c>
      <c r="P825" s="100">
        <f>MAX(SamplingData[[#This Row],[Error Bound (up) - Max. possible relative overstatement - Losing Candidate]:[Error Bound (up) - Max. possible relative overstatement - Candidate 6]])</f>
        <v>6.7368936795688392E-4</v>
      </c>
      <c r="Q825" s="100">
        <f>IF(SamplingData[[#This Row],[Max Error Bound (up)]] = 0,0,SamplingData[[#This Row],[Max Error Bound (up)]]/SamplingData[[#Totals],[Max Error Bound (up)]])</f>
        <v>1.0662243106290416E-4</v>
      </c>
      <c r="R825" s="101">
        <f>SUM($Q$5:Q825)</f>
        <v>0.21576638621760402</v>
      </c>
      <c r="S825" s="100" t="str">
        <f t="array" ref="S825">IF(SamplingData[[#This Row],[up/U Selection Probability]] = 0, "Zero", TEXT(SamplingData[[#This Row],[Lower Range]], REPT("0",LEN('General Info'!$B$40))) &amp; " - " &amp; TEXT(SamplingData[[#This Row],[Upper Range]], REPT("0",LEN('General Info'!$B$40))))</f>
        <v>21566 - 21576</v>
      </c>
      <c r="T825" s="100">
        <f>SamplingData[[#This Row],[Upper Range]]-SamplingData[[#This Row],[Span]]</f>
        <v>21565.97648527654</v>
      </c>
      <c r="U825" s="100">
        <f>IF(ISNUMBER('General Info'!$B$40), ((SamplingData[[#This Row],[up/U Selection Probability]]) * 'General Info'!$B$40) - 1, 0)</f>
        <v>9.6621364838593529</v>
      </c>
      <c r="V825" s="100">
        <f>IF(ISNUMBER('General Info'!$B$40), (SamplingData[[#This Row],[Running (cumulative) sum]] * ('General Info'!$B$40 -'General Info'!$B$41 + 1)) + 'General Info'!$B$41 - 1, 0)</f>
        <v>21575.638621760401</v>
      </c>
      <c r="W825" s="100" t="str">
        <f>IF(ISERROR(MATCH(SamplingData[[#This Row],[Batch by Type (p)]],SelectedPrecincts[Batch Name], 0)), "", INDEX(SelectedPrecincts[Draw], MATCH(SamplingData[[#This Row],[Batch by Type (p)]],SelectedPrecincts[Batch Name], 0)))</f>
        <v/>
      </c>
      <c r="X825" s="102">
        <f>IF(COUNTIF(SelectedPrecincts[Batch Name],SamplingData[[#This Row],[Batch by Type (p)]]) &lt;&gt; 0, COUNTIF(SelectedPrecincts[Batch Name],SamplingData[[#This Row],[Batch by Type (p)]]), 0)</f>
        <v>0</v>
      </c>
    </row>
    <row r="826" spans="1:24" ht="15" customHeight="1">
      <c r="A826" s="18" t="s">
        <v>1002</v>
      </c>
      <c r="B826" s="18">
        <v>1</v>
      </c>
      <c r="C826" s="18">
        <v>2</v>
      </c>
      <c r="D826" s="18">
        <v>0</v>
      </c>
      <c r="E826" s="18">
        <v>1</v>
      </c>
      <c r="F826" s="18">
        <v>0</v>
      </c>
      <c r="G826" s="18">
        <v>0</v>
      </c>
      <c r="H826" s="18">
        <v>0</v>
      </c>
      <c r="I826" s="18">
        <v>0</v>
      </c>
      <c r="J826" s="99">
        <f>SUM(SamplingData[[#This Row],[Losing Candidate]:[Under Votes]])</f>
        <v>4</v>
      </c>
      <c r="K826"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826" s="100">
        <f>IF(AND(SamplingData[[#This Row],[Total]]&lt;&gt; 0, NOT(ISBLANK(SamplingData[[#This Row],[Candidate 3]]))),(SamplingData[[#This Row],[Total]]+SamplingData[[#This Row],[Winning Candidate]]-SamplingData[[#This Row],[Candidate 3]])/(SamplingData[[#Totals],[Winning Candidate]]-SamplingData[[#Totals],[Candidate 3]]), 0)</f>
        <v>1.9356711939865149E-4</v>
      </c>
      <c r="M826" s="100">
        <f>IF(AND(SamplingData[[#This Row],[Total]]&lt;&gt; 0, NOT(ISBLANK(SamplingData[[#This Row],[Candidate 4]]))),(SamplingData[[#This Row],[Total]]+SamplingData[[#This Row],[Winning Candidate]]-SamplingData[[#This Row],[Candidate 4]])/(SamplingData[[#Totals],[Winning Candidate]]-SamplingData[[#Totals],[Candidate 4]]), 0)</f>
        <v>1.4616036715484231E-4</v>
      </c>
      <c r="N826" s="100">
        <f>IF(AND(SamplingData[[#This Row],[Total]]&lt;&gt; 0, NOT(ISBLANK(SamplingData[[#This Row],[Candidate 5]]))),(SamplingData[[#This Row],[Total]]+SamplingData[[#This Row],[Winning Candidate]]-SamplingData[[#This Row],[Candidate 5]])/(SamplingData[[#Totals],[Winning Candidate]]-SamplingData[[#Totals],[Candidate 5]]), 0)</f>
        <v>1.4594989053758211E-4</v>
      </c>
      <c r="O826" s="100">
        <f>IF(AND(SamplingData[[#This Row],[Total]]&lt;&gt; 0, NOT(ISBLANK(SamplingData[[#This Row],[Candidate 6]]))),(SamplingData[[#This Row],[Total]]+SamplingData[[#This Row],[Winning Candidate]]-SamplingData[[#This Row],[Candidate 6]])/(SamplingData[[#Totals],[Winning Candidate]]-SamplingData[[#Totals],[Candidate 6]]), 0)</f>
        <v>1.4590730022858811E-4</v>
      </c>
      <c r="P826" s="100">
        <f>MAX(SamplingData[[#This Row],[Error Bound (up) - Max. possible relative overstatement - Losing Candidate]:[Error Bound (up) - Max. possible relative overstatement - Candidate 6]])</f>
        <v>3.0622243998040176E-4</v>
      </c>
      <c r="Q826" s="100">
        <f>IF(SamplingData[[#This Row],[Max Error Bound (up)]] = 0,0,SamplingData[[#This Row],[Max Error Bound (up)]]/SamplingData[[#Totals],[Max Error Bound (up)]])</f>
        <v>4.8464741392229159E-5</v>
      </c>
      <c r="R826" s="101">
        <f>SUM($Q$5:Q826)</f>
        <v>0.21581485095899625</v>
      </c>
      <c r="S826" s="100" t="str">
        <f t="array" ref="S826">IF(SamplingData[[#This Row],[up/U Selection Probability]] = 0, "Zero", TEXT(SamplingData[[#This Row],[Lower Range]], REPT("0",LEN('General Info'!$B$40))) &amp; " - " &amp; TEXT(SamplingData[[#This Row],[Upper Range]], REPT("0",LEN('General Info'!$B$40))))</f>
        <v>21577 - 21580</v>
      </c>
      <c r="T826" s="100">
        <f>SamplingData[[#This Row],[Upper Range]]-SamplingData[[#This Row],[Span]]</f>
        <v>21576.638670225144</v>
      </c>
      <c r="U826" s="100">
        <f>IF(ISNUMBER('General Info'!$B$40), ((SamplingData[[#This Row],[up/U Selection Probability]]) * 'General Info'!$B$40) - 1, 0)</f>
        <v>3.8464256744815239</v>
      </c>
      <c r="V826" s="100">
        <f>IF(ISNUMBER('General Info'!$B$40), (SamplingData[[#This Row],[Running (cumulative) sum]] * ('General Info'!$B$40 -'General Info'!$B$41 + 1)) + 'General Info'!$B$41 - 1, 0)</f>
        <v>21580.485095899625</v>
      </c>
      <c r="W826" s="100" t="str">
        <f>IF(ISERROR(MATCH(SamplingData[[#This Row],[Batch by Type (p)]],SelectedPrecincts[Batch Name], 0)), "", INDEX(SelectedPrecincts[Draw], MATCH(SamplingData[[#This Row],[Batch by Type (p)]],SelectedPrecincts[Batch Name], 0)))</f>
        <v/>
      </c>
      <c r="X826" s="102">
        <f>IF(COUNTIF(SelectedPrecincts[Batch Name],SamplingData[[#This Row],[Batch by Type (p)]]) &lt;&gt; 0, COUNTIF(SelectedPrecincts[Batch Name],SamplingData[[#This Row],[Batch by Type (p)]]), 0)</f>
        <v>0</v>
      </c>
    </row>
    <row r="827" spans="1:24" ht="15" customHeight="1">
      <c r="A827" s="18" t="s">
        <v>1003</v>
      </c>
      <c r="B827" s="18">
        <v>0</v>
      </c>
      <c r="C827" s="18">
        <v>0</v>
      </c>
      <c r="D827" s="16">
        <v>0</v>
      </c>
      <c r="E827" s="16">
        <v>0</v>
      </c>
      <c r="F827" s="37">
        <v>0</v>
      </c>
      <c r="G827" s="37">
        <v>0</v>
      </c>
      <c r="H827" s="17">
        <v>0</v>
      </c>
      <c r="I827" s="17">
        <v>0</v>
      </c>
      <c r="J827" s="99">
        <f>SUM(SamplingData[[#This Row],[Losing Candidate]:[Under Votes]])</f>
        <v>0</v>
      </c>
      <c r="K827" s="100">
        <f>IF(AND(SamplingData[[#This Row],[Total]]&lt;&gt; 0, NOT(ISBLANK(SamplingData[[#This Row],[Losing Candidate]]))),(SamplingData[[#This Row],[Total]]+SamplingData[[#This Row],[Winning Candidate]]-SamplingData[[#This Row],[Losing Candidate]])/(SamplingData[[#Totals],[Winning Candidate]]-SamplingData[[#Totals],[Losing Candidate]]), 0)</f>
        <v>0</v>
      </c>
      <c r="L827" s="100">
        <f>IF(AND(SamplingData[[#This Row],[Total]]&lt;&gt; 0, NOT(ISBLANK(SamplingData[[#This Row],[Candidate 3]]))),(SamplingData[[#This Row],[Total]]+SamplingData[[#This Row],[Winning Candidate]]-SamplingData[[#This Row],[Candidate 3]])/(SamplingData[[#Totals],[Winning Candidate]]-SamplingData[[#Totals],[Candidate 3]]), 0)</f>
        <v>0</v>
      </c>
      <c r="M827" s="100">
        <f>IF(AND(SamplingData[[#This Row],[Total]]&lt;&gt; 0, NOT(ISBLANK(SamplingData[[#This Row],[Candidate 4]]))),(SamplingData[[#This Row],[Total]]+SamplingData[[#This Row],[Winning Candidate]]-SamplingData[[#This Row],[Candidate 4]])/(SamplingData[[#Totals],[Winning Candidate]]-SamplingData[[#Totals],[Candidate 4]]), 0)</f>
        <v>0</v>
      </c>
      <c r="N827" s="100">
        <f>IF(AND(SamplingData[[#This Row],[Total]]&lt;&gt; 0, NOT(ISBLANK(SamplingData[[#This Row],[Candidate 5]]))),(SamplingData[[#This Row],[Total]]+SamplingData[[#This Row],[Winning Candidate]]-SamplingData[[#This Row],[Candidate 5]])/(SamplingData[[#Totals],[Winning Candidate]]-SamplingData[[#Totals],[Candidate 5]]), 0)</f>
        <v>0</v>
      </c>
      <c r="O827" s="100">
        <f>IF(AND(SamplingData[[#This Row],[Total]]&lt;&gt; 0, NOT(ISBLANK(SamplingData[[#This Row],[Candidate 6]]))),(SamplingData[[#This Row],[Total]]+SamplingData[[#This Row],[Winning Candidate]]-SamplingData[[#This Row],[Candidate 6]])/(SamplingData[[#Totals],[Winning Candidate]]-SamplingData[[#Totals],[Candidate 6]]), 0)</f>
        <v>0</v>
      </c>
      <c r="P827" s="100">
        <f>MAX(SamplingData[[#This Row],[Error Bound (up) - Max. possible relative overstatement - Losing Candidate]:[Error Bound (up) - Max. possible relative overstatement - Candidate 6]])</f>
        <v>0</v>
      </c>
      <c r="Q827" s="100">
        <f>IF(SamplingData[[#This Row],[Max Error Bound (up)]] = 0,0,SamplingData[[#This Row],[Max Error Bound (up)]]/SamplingData[[#Totals],[Max Error Bound (up)]])</f>
        <v>0</v>
      </c>
      <c r="R827" s="101">
        <f>SUM($Q$5:Q827)</f>
        <v>0.21581485095899625</v>
      </c>
      <c r="S827" s="100" t="str">
        <f t="array" ref="S827">IF(SamplingData[[#This Row],[up/U Selection Probability]] = 0, "Zero", TEXT(SamplingData[[#This Row],[Lower Range]], REPT("0",LEN('General Info'!$B$40))) &amp; " - " &amp; TEXT(SamplingData[[#This Row],[Upper Range]], REPT("0",LEN('General Info'!$B$40))))</f>
        <v>Zero</v>
      </c>
      <c r="T827" s="100">
        <f>SamplingData[[#This Row],[Upper Range]]-SamplingData[[#This Row],[Span]]</f>
        <v>21581.485095899625</v>
      </c>
      <c r="U827" s="100">
        <f>IF(ISNUMBER('General Info'!$B$40), ((SamplingData[[#This Row],[up/U Selection Probability]]) * 'General Info'!$B$40) - 1, 0)</f>
        <v>-1</v>
      </c>
      <c r="V827" s="100">
        <f>IF(ISNUMBER('General Info'!$B$40), (SamplingData[[#This Row],[Running (cumulative) sum]] * ('General Info'!$B$40 -'General Info'!$B$41 + 1)) + 'General Info'!$B$41 - 1, 0)</f>
        <v>21580.485095899625</v>
      </c>
      <c r="W827" s="100" t="str">
        <f>IF(ISERROR(MATCH(SamplingData[[#This Row],[Batch by Type (p)]],SelectedPrecincts[Batch Name], 0)), "", INDEX(SelectedPrecincts[Draw], MATCH(SamplingData[[#This Row],[Batch by Type (p)]],SelectedPrecincts[Batch Name], 0)))</f>
        <v/>
      </c>
      <c r="X827" s="102">
        <f>IF(COUNTIF(SelectedPrecincts[Batch Name],SamplingData[[#This Row],[Batch by Type (p)]]) &lt;&gt; 0, COUNTIF(SelectedPrecincts[Batch Name],SamplingData[[#This Row],[Batch by Type (p)]]), 0)</f>
        <v>0</v>
      </c>
    </row>
    <row r="828" spans="1:24" ht="15" customHeight="1">
      <c r="A828" s="18" t="s">
        <v>1004</v>
      </c>
      <c r="B828" s="18">
        <v>0</v>
      </c>
      <c r="C828" s="18">
        <v>0</v>
      </c>
      <c r="D828" s="18">
        <v>0</v>
      </c>
      <c r="E828" s="18">
        <v>0</v>
      </c>
      <c r="F828" s="18">
        <v>0</v>
      </c>
      <c r="G828" s="18">
        <v>0</v>
      </c>
      <c r="H828" s="18">
        <v>0</v>
      </c>
      <c r="I828" s="18">
        <v>0</v>
      </c>
      <c r="J828" s="99">
        <f>SUM(SamplingData[[#This Row],[Losing Candidate]:[Under Votes]])</f>
        <v>0</v>
      </c>
      <c r="K828" s="100">
        <f>IF(AND(SamplingData[[#This Row],[Total]]&lt;&gt; 0, NOT(ISBLANK(SamplingData[[#This Row],[Losing Candidate]]))),(SamplingData[[#This Row],[Total]]+SamplingData[[#This Row],[Winning Candidate]]-SamplingData[[#This Row],[Losing Candidate]])/(SamplingData[[#Totals],[Winning Candidate]]-SamplingData[[#Totals],[Losing Candidate]]), 0)</f>
        <v>0</v>
      </c>
      <c r="L828" s="100">
        <f>IF(AND(SamplingData[[#This Row],[Total]]&lt;&gt; 0, NOT(ISBLANK(SamplingData[[#This Row],[Candidate 3]]))),(SamplingData[[#This Row],[Total]]+SamplingData[[#This Row],[Winning Candidate]]-SamplingData[[#This Row],[Candidate 3]])/(SamplingData[[#Totals],[Winning Candidate]]-SamplingData[[#Totals],[Candidate 3]]), 0)</f>
        <v>0</v>
      </c>
      <c r="M828" s="100">
        <f>IF(AND(SamplingData[[#This Row],[Total]]&lt;&gt; 0, NOT(ISBLANK(SamplingData[[#This Row],[Candidate 4]]))),(SamplingData[[#This Row],[Total]]+SamplingData[[#This Row],[Winning Candidate]]-SamplingData[[#This Row],[Candidate 4]])/(SamplingData[[#Totals],[Winning Candidate]]-SamplingData[[#Totals],[Candidate 4]]), 0)</f>
        <v>0</v>
      </c>
      <c r="N828" s="100">
        <f>IF(AND(SamplingData[[#This Row],[Total]]&lt;&gt; 0, NOT(ISBLANK(SamplingData[[#This Row],[Candidate 5]]))),(SamplingData[[#This Row],[Total]]+SamplingData[[#This Row],[Winning Candidate]]-SamplingData[[#This Row],[Candidate 5]])/(SamplingData[[#Totals],[Winning Candidate]]-SamplingData[[#Totals],[Candidate 5]]), 0)</f>
        <v>0</v>
      </c>
      <c r="O828" s="100">
        <f>IF(AND(SamplingData[[#This Row],[Total]]&lt;&gt; 0, NOT(ISBLANK(SamplingData[[#This Row],[Candidate 6]]))),(SamplingData[[#This Row],[Total]]+SamplingData[[#This Row],[Winning Candidate]]-SamplingData[[#This Row],[Candidate 6]])/(SamplingData[[#Totals],[Winning Candidate]]-SamplingData[[#Totals],[Candidate 6]]), 0)</f>
        <v>0</v>
      </c>
      <c r="P828" s="100">
        <f>MAX(SamplingData[[#This Row],[Error Bound (up) - Max. possible relative overstatement - Losing Candidate]:[Error Bound (up) - Max. possible relative overstatement - Candidate 6]])</f>
        <v>0</v>
      </c>
      <c r="Q828" s="100">
        <f>IF(SamplingData[[#This Row],[Max Error Bound (up)]] = 0,0,SamplingData[[#This Row],[Max Error Bound (up)]]/SamplingData[[#Totals],[Max Error Bound (up)]])</f>
        <v>0</v>
      </c>
      <c r="R828" s="101">
        <f>SUM($Q$5:Q828)</f>
        <v>0.21581485095899625</v>
      </c>
      <c r="S828" s="100" t="str">
        <f t="array" ref="S828">IF(SamplingData[[#This Row],[up/U Selection Probability]] = 0, "Zero", TEXT(SamplingData[[#This Row],[Lower Range]], REPT("0",LEN('General Info'!$B$40))) &amp; " - " &amp; TEXT(SamplingData[[#This Row],[Upper Range]], REPT("0",LEN('General Info'!$B$40))))</f>
        <v>Zero</v>
      </c>
      <c r="T828" s="100">
        <f>SamplingData[[#This Row],[Upper Range]]-SamplingData[[#This Row],[Span]]</f>
        <v>21581.485095899625</v>
      </c>
      <c r="U828" s="100">
        <f>IF(ISNUMBER('General Info'!$B$40), ((SamplingData[[#This Row],[up/U Selection Probability]]) * 'General Info'!$B$40) - 1, 0)</f>
        <v>-1</v>
      </c>
      <c r="V828" s="100">
        <f>IF(ISNUMBER('General Info'!$B$40), (SamplingData[[#This Row],[Running (cumulative) sum]] * ('General Info'!$B$40 -'General Info'!$B$41 + 1)) + 'General Info'!$B$41 - 1, 0)</f>
        <v>21580.485095899625</v>
      </c>
      <c r="W828" s="100" t="str">
        <f>IF(ISERROR(MATCH(SamplingData[[#This Row],[Batch by Type (p)]],SelectedPrecincts[Batch Name], 0)), "", INDEX(SelectedPrecincts[Draw], MATCH(SamplingData[[#This Row],[Batch by Type (p)]],SelectedPrecincts[Batch Name], 0)))</f>
        <v/>
      </c>
      <c r="X828" s="102">
        <f>IF(COUNTIF(SelectedPrecincts[Batch Name],SamplingData[[#This Row],[Batch by Type (p)]]) &lt;&gt; 0, COUNTIF(SelectedPrecincts[Batch Name],SamplingData[[#This Row],[Batch by Type (p)]]), 0)</f>
        <v>0</v>
      </c>
    </row>
    <row r="829" spans="1:24" ht="15" customHeight="1">
      <c r="A829" s="18" t="s">
        <v>1005</v>
      </c>
      <c r="B829" s="18">
        <v>1</v>
      </c>
      <c r="C829" s="18">
        <v>0</v>
      </c>
      <c r="D829" s="16">
        <v>0</v>
      </c>
      <c r="E829" s="16">
        <v>0</v>
      </c>
      <c r="F829" s="37">
        <v>0</v>
      </c>
      <c r="G829" s="37">
        <v>0</v>
      </c>
      <c r="H829" s="17">
        <v>0</v>
      </c>
      <c r="I829" s="17">
        <v>0</v>
      </c>
      <c r="J829" s="99">
        <f>SUM(SamplingData[[#This Row],[Losing Candidate]:[Under Votes]])</f>
        <v>1</v>
      </c>
      <c r="K829" s="100">
        <f>IF(AND(SamplingData[[#This Row],[Total]]&lt;&gt; 0, NOT(ISBLANK(SamplingData[[#This Row],[Losing Candidate]]))),(SamplingData[[#This Row],[Total]]+SamplingData[[#This Row],[Winning Candidate]]-SamplingData[[#This Row],[Losing Candidate]])/(SamplingData[[#Totals],[Winning Candidate]]-SamplingData[[#Totals],[Losing Candidate]]), 0)</f>
        <v>0</v>
      </c>
      <c r="L829" s="100">
        <f>IF(AND(SamplingData[[#This Row],[Total]]&lt;&gt; 0, NOT(ISBLANK(SamplingData[[#This Row],[Candidate 3]]))),(SamplingData[[#This Row],[Total]]+SamplingData[[#This Row],[Winning Candidate]]-SamplingData[[#This Row],[Candidate 3]])/(SamplingData[[#Totals],[Winning Candidate]]-SamplingData[[#Totals],[Candidate 3]]), 0)</f>
        <v>3.2261186566441917E-5</v>
      </c>
      <c r="M829" s="100">
        <f>IF(AND(SamplingData[[#This Row],[Total]]&lt;&gt; 0, NOT(ISBLANK(SamplingData[[#This Row],[Candidate 4]]))),(SamplingData[[#This Row],[Total]]+SamplingData[[#This Row],[Winning Candidate]]-SamplingData[[#This Row],[Candidate 4]])/(SamplingData[[#Totals],[Winning Candidate]]-SamplingData[[#Totals],[Candidate 4]]), 0)</f>
        <v>2.923207343096846E-5</v>
      </c>
      <c r="N829" s="100">
        <f>IF(AND(SamplingData[[#This Row],[Total]]&lt;&gt; 0, NOT(ISBLANK(SamplingData[[#This Row],[Candidate 5]]))),(SamplingData[[#This Row],[Total]]+SamplingData[[#This Row],[Winning Candidate]]-SamplingData[[#This Row],[Candidate 5]])/(SamplingData[[#Totals],[Winning Candidate]]-SamplingData[[#Totals],[Candidate 5]]), 0)</f>
        <v>2.4324981756263683E-5</v>
      </c>
      <c r="O829" s="100">
        <f>IF(AND(SamplingData[[#This Row],[Total]]&lt;&gt; 0, NOT(ISBLANK(SamplingData[[#This Row],[Candidate 6]]))),(SamplingData[[#This Row],[Total]]+SamplingData[[#This Row],[Winning Candidate]]-SamplingData[[#This Row],[Candidate 6]])/(SamplingData[[#Totals],[Winning Candidate]]-SamplingData[[#Totals],[Candidate 6]]), 0)</f>
        <v>2.431788337143135E-5</v>
      </c>
      <c r="P829" s="100">
        <f>MAX(SamplingData[[#This Row],[Error Bound (up) - Max. possible relative overstatement - Losing Candidate]:[Error Bound (up) - Max. possible relative overstatement - Candidate 6]])</f>
        <v>3.2261186566441917E-5</v>
      </c>
      <c r="Q829" s="100">
        <f>IF(SamplingData[[#This Row],[Max Error Bound (up)]] = 0,0,SamplingData[[#This Row],[Max Error Bound (up)]]/SamplingData[[#Totals],[Max Error Bound (up)]])</f>
        <v>5.1058637768320663E-6</v>
      </c>
      <c r="R829" s="101">
        <f>SUM($Q$5:Q829)</f>
        <v>0.21581995682277308</v>
      </c>
      <c r="S829" s="100" t="str">
        <f t="array" ref="S829">IF(SamplingData[[#This Row],[up/U Selection Probability]] = 0, "Zero", TEXT(SamplingData[[#This Row],[Lower Range]], REPT("0",LEN('General Info'!$B$40))) &amp; " - " &amp; TEXT(SamplingData[[#This Row],[Upper Range]], REPT("0",LEN('General Info'!$B$40))))</f>
        <v>21581 - 21581</v>
      </c>
      <c r="T829" s="100">
        <f>SamplingData[[#This Row],[Upper Range]]-SamplingData[[#This Row],[Span]]</f>
        <v>21581.485101005488</v>
      </c>
      <c r="U829" s="100">
        <f>IF(ISNUMBER('General Info'!$B$40), ((SamplingData[[#This Row],[up/U Selection Probability]]) * 'General Info'!$B$40) - 1, 0)</f>
        <v>-0.4894187281805702</v>
      </c>
      <c r="V829" s="100">
        <f>IF(ISNUMBER('General Info'!$B$40), (SamplingData[[#This Row],[Running (cumulative) sum]] * ('General Info'!$B$40 -'General Info'!$B$41 + 1)) + 'General Info'!$B$41 - 1, 0)</f>
        <v>21580.995682277309</v>
      </c>
      <c r="W829" s="100" t="str">
        <f>IF(ISERROR(MATCH(SamplingData[[#This Row],[Batch by Type (p)]],SelectedPrecincts[Batch Name], 0)), "", INDEX(SelectedPrecincts[Draw], MATCH(SamplingData[[#This Row],[Batch by Type (p)]],SelectedPrecincts[Batch Name], 0)))</f>
        <v/>
      </c>
      <c r="X829" s="102">
        <f>IF(COUNTIF(SelectedPrecincts[Batch Name],SamplingData[[#This Row],[Batch by Type (p)]]) &lt;&gt; 0, COUNTIF(SelectedPrecincts[Batch Name],SamplingData[[#This Row],[Batch by Type (p)]]), 0)</f>
        <v>0</v>
      </c>
    </row>
    <row r="830" spans="1:24" ht="15" customHeight="1">
      <c r="A830" s="18" t="s">
        <v>1006</v>
      </c>
      <c r="B830" s="18">
        <v>2</v>
      </c>
      <c r="C830" s="18">
        <v>4</v>
      </c>
      <c r="D830" s="18">
        <v>2</v>
      </c>
      <c r="E830" s="18">
        <v>0</v>
      </c>
      <c r="F830" s="18">
        <v>0</v>
      </c>
      <c r="G830" s="18">
        <v>0</v>
      </c>
      <c r="H830" s="18">
        <v>0</v>
      </c>
      <c r="I830" s="18">
        <v>1</v>
      </c>
      <c r="J830" s="99">
        <f>SUM(SamplingData[[#This Row],[Losing Candidate]:[Under Votes]])</f>
        <v>9</v>
      </c>
      <c r="K830"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830" s="100">
        <f>IF(AND(SamplingData[[#This Row],[Total]]&lt;&gt; 0, NOT(ISBLANK(SamplingData[[#This Row],[Candidate 3]]))),(SamplingData[[#This Row],[Total]]+SamplingData[[#This Row],[Winning Candidate]]-SamplingData[[#This Row],[Candidate 3]])/(SamplingData[[#Totals],[Winning Candidate]]-SamplingData[[#Totals],[Candidate 3]]), 0)</f>
        <v>3.5487305223086104E-4</v>
      </c>
      <c r="M830" s="100">
        <f>IF(AND(SamplingData[[#This Row],[Total]]&lt;&gt; 0, NOT(ISBLANK(SamplingData[[#This Row],[Candidate 4]]))),(SamplingData[[#This Row],[Total]]+SamplingData[[#This Row],[Winning Candidate]]-SamplingData[[#This Row],[Candidate 4]])/(SamplingData[[#Totals],[Winning Candidate]]-SamplingData[[#Totals],[Candidate 4]]), 0)</f>
        <v>3.8001695460258996E-4</v>
      </c>
      <c r="N830" s="100">
        <f>IF(AND(SamplingData[[#This Row],[Total]]&lt;&gt; 0, NOT(ISBLANK(SamplingData[[#This Row],[Candidate 5]]))),(SamplingData[[#This Row],[Total]]+SamplingData[[#This Row],[Winning Candidate]]-SamplingData[[#This Row],[Candidate 5]])/(SamplingData[[#Totals],[Winning Candidate]]-SamplingData[[#Totals],[Candidate 5]]), 0)</f>
        <v>3.1622476283142789E-4</v>
      </c>
      <c r="O830" s="100">
        <f>IF(AND(SamplingData[[#This Row],[Total]]&lt;&gt; 0, NOT(ISBLANK(SamplingData[[#This Row],[Candidate 6]]))),(SamplingData[[#This Row],[Total]]+SamplingData[[#This Row],[Winning Candidate]]-SamplingData[[#This Row],[Candidate 6]])/(SamplingData[[#Totals],[Winning Candidate]]-SamplingData[[#Totals],[Candidate 6]]), 0)</f>
        <v>3.1613248382860755E-4</v>
      </c>
      <c r="P830" s="100">
        <f>MAX(SamplingData[[#This Row],[Error Bound (up) - Max. possible relative overstatement - Losing Candidate]:[Error Bound (up) - Max. possible relative overstatement - Candidate 6]])</f>
        <v>6.7368936795688392E-4</v>
      </c>
      <c r="Q830" s="100">
        <f>IF(SamplingData[[#This Row],[Max Error Bound (up)]] = 0,0,SamplingData[[#This Row],[Max Error Bound (up)]]/SamplingData[[#Totals],[Max Error Bound (up)]])</f>
        <v>1.0662243106290416E-4</v>
      </c>
      <c r="R830" s="101">
        <f>SUM($Q$5:Q830)</f>
        <v>0.21592657925383599</v>
      </c>
      <c r="S830" s="100" t="str">
        <f t="array" ref="S830">IF(SamplingData[[#This Row],[up/U Selection Probability]] = 0, "Zero", TEXT(SamplingData[[#This Row],[Lower Range]], REPT("0",LEN('General Info'!$B$40))) &amp; " - " &amp; TEXT(SamplingData[[#This Row],[Upper Range]], REPT("0",LEN('General Info'!$B$40))))</f>
        <v>21582 - 21592</v>
      </c>
      <c r="T830" s="100">
        <f>SamplingData[[#This Row],[Upper Range]]-SamplingData[[#This Row],[Span]]</f>
        <v>21581.995788899738</v>
      </c>
      <c r="U830" s="100">
        <f>IF(ISNUMBER('General Info'!$B$40), ((SamplingData[[#This Row],[up/U Selection Probability]]) * 'General Info'!$B$40) - 1, 0)</f>
        <v>9.6621364838593529</v>
      </c>
      <c r="V830" s="100">
        <f>IF(ISNUMBER('General Info'!$B$40), (SamplingData[[#This Row],[Running (cumulative) sum]] * ('General Info'!$B$40 -'General Info'!$B$41 + 1)) + 'General Info'!$B$41 - 1, 0)</f>
        <v>21591.657925383599</v>
      </c>
      <c r="W830" s="100" t="str">
        <f>IF(ISERROR(MATCH(SamplingData[[#This Row],[Batch by Type (p)]],SelectedPrecincts[Batch Name], 0)), "", INDEX(SelectedPrecincts[Draw], MATCH(SamplingData[[#This Row],[Batch by Type (p)]],SelectedPrecincts[Batch Name], 0)))</f>
        <v/>
      </c>
      <c r="X830" s="102">
        <f>IF(COUNTIF(SelectedPrecincts[Batch Name],SamplingData[[#This Row],[Batch by Type (p)]]) &lt;&gt; 0, COUNTIF(SelectedPrecincts[Batch Name],SamplingData[[#This Row],[Batch by Type (p)]]), 0)</f>
        <v>0</v>
      </c>
    </row>
    <row r="831" spans="1:24" ht="15" customHeight="1">
      <c r="A831" s="18" t="s">
        <v>1007</v>
      </c>
      <c r="B831" s="18">
        <v>5</v>
      </c>
      <c r="C831" s="18">
        <v>5</v>
      </c>
      <c r="D831" s="16">
        <v>4</v>
      </c>
      <c r="E831" s="16">
        <v>4</v>
      </c>
      <c r="F831" s="37">
        <v>0</v>
      </c>
      <c r="G831" s="37">
        <v>0</v>
      </c>
      <c r="H831" s="17">
        <v>0</v>
      </c>
      <c r="I831" s="17">
        <v>0</v>
      </c>
      <c r="J831" s="99">
        <f>SUM(SamplingData[[#This Row],[Losing Candidate]:[Under Votes]])</f>
        <v>18</v>
      </c>
      <c r="K831"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831" s="100">
        <f>IF(AND(SamplingData[[#This Row],[Total]]&lt;&gt; 0, NOT(ISBLANK(SamplingData[[#This Row],[Candidate 3]]))),(SamplingData[[#This Row],[Total]]+SamplingData[[#This Row],[Winning Candidate]]-SamplingData[[#This Row],[Candidate 3]])/(SamplingData[[#Totals],[Winning Candidate]]-SamplingData[[#Totals],[Candidate 3]]), 0)</f>
        <v>6.1296254476239632E-4</v>
      </c>
      <c r="M831" s="100">
        <f>IF(AND(SamplingData[[#This Row],[Total]]&lt;&gt; 0, NOT(ISBLANK(SamplingData[[#This Row],[Candidate 4]]))),(SamplingData[[#This Row],[Total]]+SamplingData[[#This Row],[Winning Candidate]]-SamplingData[[#This Row],[Candidate 4]])/(SamplingData[[#Totals],[Winning Candidate]]-SamplingData[[#Totals],[Candidate 4]]), 0)</f>
        <v>5.5540939518840076E-4</v>
      </c>
      <c r="N831" s="100">
        <f>IF(AND(SamplingData[[#This Row],[Total]]&lt;&gt; 0, NOT(ISBLANK(SamplingData[[#This Row],[Candidate 5]]))),(SamplingData[[#This Row],[Total]]+SamplingData[[#This Row],[Winning Candidate]]-SamplingData[[#This Row],[Candidate 5]])/(SamplingData[[#Totals],[Winning Candidate]]-SamplingData[[#Totals],[Candidate 5]]), 0)</f>
        <v>5.5947458039406475E-4</v>
      </c>
      <c r="O831" s="100">
        <f>IF(AND(SamplingData[[#This Row],[Total]]&lt;&gt; 0, NOT(ISBLANK(SamplingData[[#This Row],[Candidate 6]]))),(SamplingData[[#This Row],[Total]]+SamplingData[[#This Row],[Winning Candidate]]-SamplingData[[#This Row],[Candidate 6]])/(SamplingData[[#Totals],[Winning Candidate]]-SamplingData[[#Totals],[Candidate 6]]), 0)</f>
        <v>5.5931131754292105E-4</v>
      </c>
      <c r="P831" s="100">
        <f>MAX(SamplingData[[#This Row],[Error Bound (up) - Max. possible relative overstatement - Losing Candidate]:[Error Bound (up) - Max. possible relative overstatement - Candidate 6]])</f>
        <v>1.1024007839294464E-3</v>
      </c>
      <c r="Q831" s="100">
        <f>IF(SamplingData[[#This Row],[Max Error Bound (up)]] = 0,0,SamplingData[[#This Row],[Max Error Bound (up)]]/SamplingData[[#Totals],[Max Error Bound (up)]])</f>
        <v>1.7447306901202498E-4</v>
      </c>
      <c r="R831" s="101">
        <f>SUM($Q$5:Q831)</f>
        <v>0.21610105232284801</v>
      </c>
      <c r="S831" s="100" t="str">
        <f t="array" ref="S831">IF(SamplingData[[#This Row],[up/U Selection Probability]] = 0, "Zero", TEXT(SamplingData[[#This Row],[Lower Range]], REPT("0",LEN('General Info'!$B$40))) &amp; " - " &amp; TEXT(SamplingData[[#This Row],[Upper Range]], REPT("0",LEN('General Info'!$B$40))))</f>
        <v>21593 - 21609</v>
      </c>
      <c r="T831" s="100">
        <f>SamplingData[[#This Row],[Upper Range]]-SamplingData[[#This Row],[Span]]</f>
        <v>21592.658099856668</v>
      </c>
      <c r="U831" s="100">
        <f>IF(ISNUMBER('General Info'!$B$40), ((SamplingData[[#This Row],[up/U Selection Probability]]) * 'General Info'!$B$40) - 1, 0)</f>
        <v>16.447132428133486</v>
      </c>
      <c r="V831" s="100">
        <f>IF(ISNUMBER('General Info'!$B$40), (SamplingData[[#This Row],[Running (cumulative) sum]] * ('General Info'!$B$40 -'General Info'!$B$41 + 1)) + 'General Info'!$B$41 - 1, 0)</f>
        <v>21609.105232284801</v>
      </c>
      <c r="W831" s="100" t="str">
        <f>IF(ISERROR(MATCH(SamplingData[[#This Row],[Batch by Type (p)]],SelectedPrecincts[Batch Name], 0)), "", INDEX(SelectedPrecincts[Draw], MATCH(SamplingData[[#This Row],[Batch by Type (p)]],SelectedPrecincts[Batch Name], 0)))</f>
        <v/>
      </c>
      <c r="X831" s="102">
        <f>IF(COUNTIF(SelectedPrecincts[Batch Name],SamplingData[[#This Row],[Batch by Type (p)]]) &lt;&gt; 0, COUNTIF(SelectedPrecincts[Batch Name],SamplingData[[#This Row],[Batch by Type (p)]]), 0)</f>
        <v>0</v>
      </c>
    </row>
    <row r="832" spans="1:24" ht="15" customHeight="1">
      <c r="A832" s="18" t="s">
        <v>1008</v>
      </c>
      <c r="B832" s="18">
        <v>0</v>
      </c>
      <c r="C832" s="18">
        <v>0</v>
      </c>
      <c r="D832" s="18">
        <v>0</v>
      </c>
      <c r="E832" s="18">
        <v>0</v>
      </c>
      <c r="F832" s="18">
        <v>0</v>
      </c>
      <c r="G832" s="18">
        <v>0</v>
      </c>
      <c r="H832" s="18">
        <v>0</v>
      </c>
      <c r="I832" s="18">
        <v>0</v>
      </c>
      <c r="J832" s="99">
        <f>SUM(SamplingData[[#This Row],[Losing Candidate]:[Under Votes]])</f>
        <v>0</v>
      </c>
      <c r="K832" s="100">
        <f>IF(AND(SamplingData[[#This Row],[Total]]&lt;&gt; 0, NOT(ISBLANK(SamplingData[[#This Row],[Losing Candidate]]))),(SamplingData[[#This Row],[Total]]+SamplingData[[#This Row],[Winning Candidate]]-SamplingData[[#This Row],[Losing Candidate]])/(SamplingData[[#Totals],[Winning Candidate]]-SamplingData[[#Totals],[Losing Candidate]]), 0)</f>
        <v>0</v>
      </c>
      <c r="L832" s="100">
        <f>IF(AND(SamplingData[[#This Row],[Total]]&lt;&gt; 0, NOT(ISBLANK(SamplingData[[#This Row],[Candidate 3]]))),(SamplingData[[#This Row],[Total]]+SamplingData[[#This Row],[Winning Candidate]]-SamplingData[[#This Row],[Candidate 3]])/(SamplingData[[#Totals],[Winning Candidate]]-SamplingData[[#Totals],[Candidate 3]]), 0)</f>
        <v>0</v>
      </c>
      <c r="M832" s="100">
        <f>IF(AND(SamplingData[[#This Row],[Total]]&lt;&gt; 0, NOT(ISBLANK(SamplingData[[#This Row],[Candidate 4]]))),(SamplingData[[#This Row],[Total]]+SamplingData[[#This Row],[Winning Candidate]]-SamplingData[[#This Row],[Candidate 4]])/(SamplingData[[#Totals],[Winning Candidate]]-SamplingData[[#Totals],[Candidate 4]]), 0)</f>
        <v>0</v>
      </c>
      <c r="N832" s="100">
        <f>IF(AND(SamplingData[[#This Row],[Total]]&lt;&gt; 0, NOT(ISBLANK(SamplingData[[#This Row],[Candidate 5]]))),(SamplingData[[#This Row],[Total]]+SamplingData[[#This Row],[Winning Candidate]]-SamplingData[[#This Row],[Candidate 5]])/(SamplingData[[#Totals],[Winning Candidate]]-SamplingData[[#Totals],[Candidate 5]]), 0)</f>
        <v>0</v>
      </c>
      <c r="O832" s="100">
        <f>IF(AND(SamplingData[[#This Row],[Total]]&lt;&gt; 0, NOT(ISBLANK(SamplingData[[#This Row],[Candidate 6]]))),(SamplingData[[#This Row],[Total]]+SamplingData[[#This Row],[Winning Candidate]]-SamplingData[[#This Row],[Candidate 6]])/(SamplingData[[#Totals],[Winning Candidate]]-SamplingData[[#Totals],[Candidate 6]]), 0)</f>
        <v>0</v>
      </c>
      <c r="P832" s="100">
        <f>MAX(SamplingData[[#This Row],[Error Bound (up) - Max. possible relative overstatement - Losing Candidate]:[Error Bound (up) - Max. possible relative overstatement - Candidate 6]])</f>
        <v>0</v>
      </c>
      <c r="Q832" s="100">
        <f>IF(SamplingData[[#This Row],[Max Error Bound (up)]] = 0,0,SamplingData[[#This Row],[Max Error Bound (up)]]/SamplingData[[#Totals],[Max Error Bound (up)]])</f>
        <v>0</v>
      </c>
      <c r="R832" s="101">
        <f>SUM($Q$5:Q832)</f>
        <v>0.21610105232284801</v>
      </c>
      <c r="S832" s="100" t="str">
        <f t="array" ref="S832">IF(SamplingData[[#This Row],[up/U Selection Probability]] = 0, "Zero", TEXT(SamplingData[[#This Row],[Lower Range]], REPT("0",LEN('General Info'!$B$40))) &amp; " - " &amp; TEXT(SamplingData[[#This Row],[Upper Range]], REPT("0",LEN('General Info'!$B$40))))</f>
        <v>Zero</v>
      </c>
      <c r="T832" s="100">
        <f>SamplingData[[#This Row],[Upper Range]]-SamplingData[[#This Row],[Span]]</f>
        <v>21610.105232284801</v>
      </c>
      <c r="U832" s="100">
        <f>IF(ISNUMBER('General Info'!$B$40), ((SamplingData[[#This Row],[up/U Selection Probability]]) * 'General Info'!$B$40) - 1, 0)</f>
        <v>-1</v>
      </c>
      <c r="V832" s="100">
        <f>IF(ISNUMBER('General Info'!$B$40), (SamplingData[[#This Row],[Running (cumulative) sum]] * ('General Info'!$B$40 -'General Info'!$B$41 + 1)) + 'General Info'!$B$41 - 1, 0)</f>
        <v>21609.105232284801</v>
      </c>
      <c r="W832" s="100" t="str">
        <f>IF(ISERROR(MATCH(SamplingData[[#This Row],[Batch by Type (p)]],SelectedPrecincts[Batch Name], 0)), "", INDEX(SelectedPrecincts[Draw], MATCH(SamplingData[[#This Row],[Batch by Type (p)]],SelectedPrecincts[Batch Name], 0)))</f>
        <v/>
      </c>
      <c r="X832" s="102">
        <f>IF(COUNTIF(SelectedPrecincts[Batch Name],SamplingData[[#This Row],[Batch by Type (p)]]) &lt;&gt; 0, COUNTIF(SelectedPrecincts[Batch Name],SamplingData[[#This Row],[Batch by Type (p)]]), 0)</f>
        <v>0</v>
      </c>
    </row>
    <row r="833" spans="1:24" ht="15" customHeight="1">
      <c r="A833" s="18" t="s">
        <v>1009</v>
      </c>
      <c r="B833" s="18">
        <v>4</v>
      </c>
      <c r="C833" s="18">
        <v>10</v>
      </c>
      <c r="D833" s="16">
        <v>1</v>
      </c>
      <c r="E833" s="16">
        <v>2</v>
      </c>
      <c r="F833" s="37">
        <v>0</v>
      </c>
      <c r="G833" s="37">
        <v>0</v>
      </c>
      <c r="H833" s="17">
        <v>0</v>
      </c>
      <c r="I833" s="17">
        <v>0</v>
      </c>
      <c r="J833" s="99">
        <f>SUM(SamplingData[[#This Row],[Losing Candidate]:[Under Votes]])</f>
        <v>17</v>
      </c>
      <c r="K833"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833" s="100">
        <f>IF(AND(SamplingData[[#This Row],[Total]]&lt;&gt; 0, NOT(ISBLANK(SamplingData[[#This Row],[Candidate 3]]))),(SamplingData[[#This Row],[Total]]+SamplingData[[#This Row],[Winning Candidate]]-SamplingData[[#This Row],[Candidate 3]])/(SamplingData[[#Totals],[Winning Candidate]]-SamplingData[[#Totals],[Candidate 3]]), 0)</f>
        <v>8.3879085072748971E-4</v>
      </c>
      <c r="M833" s="100">
        <f>IF(AND(SamplingData[[#This Row],[Total]]&lt;&gt; 0, NOT(ISBLANK(SamplingData[[#This Row],[Candidate 4]]))),(SamplingData[[#This Row],[Total]]+SamplingData[[#This Row],[Winning Candidate]]-SamplingData[[#This Row],[Candidate 4]])/(SamplingData[[#Totals],[Winning Candidate]]-SamplingData[[#Totals],[Candidate 4]]), 0)</f>
        <v>7.3080183577421145E-4</v>
      </c>
      <c r="N833" s="100">
        <f>IF(AND(SamplingData[[#This Row],[Total]]&lt;&gt; 0, NOT(ISBLANK(SamplingData[[#This Row],[Candidate 5]]))),(SamplingData[[#This Row],[Total]]+SamplingData[[#This Row],[Winning Candidate]]-SamplingData[[#This Row],[Candidate 5]])/(SamplingData[[#Totals],[Winning Candidate]]-SamplingData[[#Totals],[Candidate 5]]), 0)</f>
        <v>6.5677450741911947E-4</v>
      </c>
      <c r="O833" s="100">
        <f>IF(AND(SamplingData[[#This Row],[Total]]&lt;&gt; 0, NOT(ISBLANK(SamplingData[[#This Row],[Candidate 6]]))),(SamplingData[[#This Row],[Total]]+SamplingData[[#This Row],[Winning Candidate]]-SamplingData[[#This Row],[Candidate 6]])/(SamplingData[[#Totals],[Winning Candidate]]-SamplingData[[#Totals],[Candidate 6]]), 0)</f>
        <v>6.5658285102864649E-4</v>
      </c>
      <c r="P833" s="100">
        <f>MAX(SamplingData[[#This Row],[Error Bound (up) - Max. possible relative overstatement - Losing Candidate]:[Error Bound (up) - Max. possible relative overstatement - Candidate 6]])</f>
        <v>1.408623223909848E-3</v>
      </c>
      <c r="Q833" s="100">
        <f>IF(SamplingData[[#This Row],[Max Error Bound (up)]] = 0,0,SamplingData[[#This Row],[Max Error Bound (up)]]/SamplingData[[#Totals],[Max Error Bound (up)]])</f>
        <v>2.229378104042541E-4</v>
      </c>
      <c r="R833" s="101">
        <f>SUM($Q$5:Q833)</f>
        <v>0.21632399013325226</v>
      </c>
      <c r="S833" s="100" t="str">
        <f t="array" ref="S833">IF(SamplingData[[#This Row],[up/U Selection Probability]] = 0, "Zero", TEXT(SamplingData[[#This Row],[Lower Range]], REPT("0",LEN('General Info'!$B$40))) &amp; " - " &amp; TEXT(SamplingData[[#This Row],[Upper Range]], REPT("0",LEN('General Info'!$B$40))))</f>
        <v>21610 - 21631</v>
      </c>
      <c r="T833" s="100">
        <f>SamplingData[[#This Row],[Upper Range]]-SamplingData[[#This Row],[Span]]</f>
        <v>21610.105455222612</v>
      </c>
      <c r="U833" s="100">
        <f>IF(ISNUMBER('General Info'!$B$40), ((SamplingData[[#This Row],[up/U Selection Probability]]) * 'General Info'!$B$40) - 1, 0)</f>
        <v>21.293558102615005</v>
      </c>
      <c r="V833" s="100">
        <f>IF(ISNUMBER('General Info'!$B$40), (SamplingData[[#This Row],[Running (cumulative) sum]] * ('General Info'!$B$40 -'General Info'!$B$41 + 1)) + 'General Info'!$B$41 - 1, 0)</f>
        <v>21631.399013325226</v>
      </c>
      <c r="W833" s="100" t="str">
        <f>IF(ISERROR(MATCH(SamplingData[[#This Row],[Batch by Type (p)]],SelectedPrecincts[Batch Name], 0)), "", INDEX(SelectedPrecincts[Draw], MATCH(SamplingData[[#This Row],[Batch by Type (p)]],SelectedPrecincts[Batch Name], 0)))</f>
        <v/>
      </c>
      <c r="X833" s="102">
        <f>IF(COUNTIF(SelectedPrecincts[Batch Name],SamplingData[[#This Row],[Batch by Type (p)]]) &lt;&gt; 0, COUNTIF(SelectedPrecincts[Batch Name],SamplingData[[#This Row],[Batch by Type (p)]]), 0)</f>
        <v>0</v>
      </c>
    </row>
    <row r="834" spans="1:24" ht="15" customHeight="1">
      <c r="A834" s="18" t="s">
        <v>1010</v>
      </c>
      <c r="B834" s="18">
        <v>4</v>
      </c>
      <c r="C834" s="18">
        <v>1</v>
      </c>
      <c r="D834" s="18">
        <v>0</v>
      </c>
      <c r="E834" s="18">
        <v>0</v>
      </c>
      <c r="F834" s="18">
        <v>0</v>
      </c>
      <c r="G834" s="18">
        <v>0</v>
      </c>
      <c r="H834" s="18">
        <v>0</v>
      </c>
      <c r="I834" s="18">
        <v>0</v>
      </c>
      <c r="J834" s="99">
        <f>SUM(SamplingData[[#This Row],[Losing Candidate]:[Under Votes]])</f>
        <v>5</v>
      </c>
      <c r="K83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834" s="100">
        <f>IF(AND(SamplingData[[#This Row],[Total]]&lt;&gt; 0, NOT(ISBLANK(SamplingData[[#This Row],[Candidate 3]]))),(SamplingData[[#This Row],[Total]]+SamplingData[[#This Row],[Winning Candidate]]-SamplingData[[#This Row],[Candidate 3]])/(SamplingData[[#Totals],[Winning Candidate]]-SamplingData[[#Totals],[Candidate 3]]), 0)</f>
        <v>1.9356711939865149E-4</v>
      </c>
      <c r="M834" s="100">
        <f>IF(AND(SamplingData[[#This Row],[Total]]&lt;&gt; 0, NOT(ISBLANK(SamplingData[[#This Row],[Candidate 4]]))),(SamplingData[[#This Row],[Total]]+SamplingData[[#This Row],[Winning Candidate]]-SamplingData[[#This Row],[Candidate 4]])/(SamplingData[[#Totals],[Winning Candidate]]-SamplingData[[#Totals],[Candidate 4]]), 0)</f>
        <v>1.7539244058581075E-4</v>
      </c>
      <c r="N834" s="100">
        <f>IF(AND(SamplingData[[#This Row],[Total]]&lt;&gt; 0, NOT(ISBLANK(SamplingData[[#This Row],[Candidate 5]]))),(SamplingData[[#This Row],[Total]]+SamplingData[[#This Row],[Winning Candidate]]-SamplingData[[#This Row],[Candidate 5]])/(SamplingData[[#Totals],[Winning Candidate]]-SamplingData[[#Totals],[Candidate 5]]), 0)</f>
        <v>1.4594989053758211E-4</v>
      </c>
      <c r="O834" s="100">
        <f>IF(AND(SamplingData[[#This Row],[Total]]&lt;&gt; 0, NOT(ISBLANK(SamplingData[[#This Row],[Candidate 6]]))),(SamplingData[[#This Row],[Total]]+SamplingData[[#This Row],[Winning Candidate]]-SamplingData[[#This Row],[Candidate 6]])/(SamplingData[[#Totals],[Winning Candidate]]-SamplingData[[#Totals],[Candidate 6]]), 0)</f>
        <v>1.4590730022858811E-4</v>
      </c>
      <c r="P834" s="100">
        <f>MAX(SamplingData[[#This Row],[Error Bound (up) - Max. possible relative overstatement - Losing Candidate]:[Error Bound (up) - Max. possible relative overstatement - Candidate 6]])</f>
        <v>1.9356711939865149E-4</v>
      </c>
      <c r="Q834" s="100">
        <f>IF(SamplingData[[#This Row],[Max Error Bound (up)]] = 0,0,SamplingData[[#This Row],[Max Error Bound (up)]]/SamplingData[[#Totals],[Max Error Bound (up)]])</f>
        <v>3.0635182660992398E-5</v>
      </c>
      <c r="R834" s="101">
        <f>SUM($Q$5:Q834)</f>
        <v>0.21635462531591326</v>
      </c>
      <c r="S834" s="100" t="str">
        <f t="array" ref="S834">IF(SamplingData[[#This Row],[up/U Selection Probability]] = 0, "Zero", TEXT(SamplingData[[#This Row],[Lower Range]], REPT("0",LEN('General Info'!$B$40))) &amp; " - " &amp; TEXT(SamplingData[[#This Row],[Upper Range]], REPT("0",LEN('General Info'!$B$40))))</f>
        <v>21632 - 21634</v>
      </c>
      <c r="T834" s="100">
        <f>SamplingData[[#This Row],[Upper Range]]-SamplingData[[#This Row],[Span]]</f>
        <v>21632.399043960409</v>
      </c>
      <c r="U834" s="100">
        <f>IF(ISNUMBER('General Info'!$B$40), ((SamplingData[[#This Row],[up/U Selection Probability]]) * 'General Info'!$B$40) - 1, 0)</f>
        <v>2.0634876309165788</v>
      </c>
      <c r="V834" s="100">
        <f>IF(ISNUMBER('General Info'!$B$40), (SamplingData[[#This Row],[Running (cumulative) sum]] * ('General Info'!$B$40 -'General Info'!$B$41 + 1)) + 'General Info'!$B$41 - 1, 0)</f>
        <v>21634.462531591325</v>
      </c>
      <c r="W834" s="100" t="str">
        <f>IF(ISERROR(MATCH(SamplingData[[#This Row],[Batch by Type (p)]],SelectedPrecincts[Batch Name], 0)), "", INDEX(SelectedPrecincts[Draw], MATCH(SamplingData[[#This Row],[Batch by Type (p)]],SelectedPrecincts[Batch Name], 0)))</f>
        <v/>
      </c>
      <c r="X834" s="102">
        <f>IF(COUNTIF(SelectedPrecincts[Batch Name],SamplingData[[#This Row],[Batch by Type (p)]]) &lt;&gt; 0, COUNTIF(SelectedPrecincts[Batch Name],SamplingData[[#This Row],[Batch by Type (p)]]), 0)</f>
        <v>0</v>
      </c>
    </row>
    <row r="835" spans="1:24" ht="15" customHeight="1">
      <c r="A835" s="18" t="s">
        <v>1011</v>
      </c>
      <c r="B835" s="18">
        <v>2</v>
      </c>
      <c r="C835" s="18">
        <v>3</v>
      </c>
      <c r="D835" s="16">
        <v>0</v>
      </c>
      <c r="E835" s="16">
        <v>3</v>
      </c>
      <c r="F835" s="37">
        <v>0</v>
      </c>
      <c r="G835" s="37">
        <v>0</v>
      </c>
      <c r="H835" s="17">
        <v>0</v>
      </c>
      <c r="I835" s="17">
        <v>1</v>
      </c>
      <c r="J835" s="99">
        <f>SUM(SamplingData[[#This Row],[Losing Candidate]:[Under Votes]])</f>
        <v>9</v>
      </c>
      <c r="K835"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835" s="100">
        <f>IF(AND(SamplingData[[#This Row],[Total]]&lt;&gt; 0, NOT(ISBLANK(SamplingData[[#This Row],[Candidate 3]]))),(SamplingData[[#This Row],[Total]]+SamplingData[[#This Row],[Winning Candidate]]-SamplingData[[#This Row],[Candidate 3]])/(SamplingData[[#Totals],[Winning Candidate]]-SamplingData[[#Totals],[Candidate 3]]), 0)</f>
        <v>3.8713423879730297E-4</v>
      </c>
      <c r="M835" s="100">
        <f>IF(AND(SamplingData[[#This Row],[Total]]&lt;&gt; 0, NOT(ISBLANK(SamplingData[[#This Row],[Candidate 4]]))),(SamplingData[[#This Row],[Total]]+SamplingData[[#This Row],[Winning Candidate]]-SamplingData[[#This Row],[Candidate 4]])/(SamplingData[[#Totals],[Winning Candidate]]-SamplingData[[#Totals],[Candidate 4]]), 0)</f>
        <v>2.6308866087871614E-4</v>
      </c>
      <c r="N835" s="100">
        <f>IF(AND(SamplingData[[#This Row],[Total]]&lt;&gt; 0, NOT(ISBLANK(SamplingData[[#This Row],[Candidate 5]]))),(SamplingData[[#This Row],[Total]]+SamplingData[[#This Row],[Winning Candidate]]-SamplingData[[#This Row],[Candidate 5]])/(SamplingData[[#Totals],[Winning Candidate]]-SamplingData[[#Totals],[Candidate 5]]), 0)</f>
        <v>2.9189978107516421E-4</v>
      </c>
      <c r="O835" s="100">
        <f>IF(AND(SamplingData[[#This Row],[Total]]&lt;&gt; 0, NOT(ISBLANK(SamplingData[[#This Row],[Candidate 6]]))),(SamplingData[[#This Row],[Total]]+SamplingData[[#This Row],[Winning Candidate]]-SamplingData[[#This Row],[Candidate 6]])/(SamplingData[[#Totals],[Winning Candidate]]-SamplingData[[#Totals],[Candidate 6]]), 0)</f>
        <v>2.9181460045717622E-4</v>
      </c>
      <c r="P835" s="100">
        <f>MAX(SamplingData[[#This Row],[Error Bound (up) - Max. possible relative overstatement - Losing Candidate]:[Error Bound (up) - Max. possible relative overstatement - Candidate 6]])</f>
        <v>6.1244487996080352E-4</v>
      </c>
      <c r="Q835" s="100">
        <f>IF(SamplingData[[#This Row],[Max Error Bound (up)]] = 0,0,SamplingData[[#This Row],[Max Error Bound (up)]]/SamplingData[[#Totals],[Max Error Bound (up)]])</f>
        <v>9.6929482784458319E-5</v>
      </c>
      <c r="R835" s="101">
        <f>SUM($Q$5:Q835)</f>
        <v>0.21645155479869771</v>
      </c>
      <c r="S835" s="100" t="str">
        <f t="array" ref="S835">IF(SamplingData[[#This Row],[up/U Selection Probability]] = 0, "Zero", TEXT(SamplingData[[#This Row],[Lower Range]], REPT("0",LEN('General Info'!$B$40))) &amp; " - " &amp; TEXT(SamplingData[[#This Row],[Upper Range]], REPT("0",LEN('General Info'!$B$40))))</f>
        <v>21635 - 21644</v>
      </c>
      <c r="T835" s="100">
        <f>SamplingData[[#This Row],[Upper Range]]-SamplingData[[#This Row],[Span]]</f>
        <v>21635.462628520811</v>
      </c>
      <c r="U835" s="100">
        <f>IF(ISNUMBER('General Info'!$B$40), ((SamplingData[[#This Row],[up/U Selection Probability]]) * 'General Info'!$B$40) - 1, 0)</f>
        <v>8.6928513489630479</v>
      </c>
      <c r="V835" s="100">
        <f>IF(ISNUMBER('General Info'!$B$40), (SamplingData[[#This Row],[Running (cumulative) sum]] * ('General Info'!$B$40 -'General Info'!$B$41 + 1)) + 'General Info'!$B$41 - 1, 0)</f>
        <v>21644.155479869773</v>
      </c>
      <c r="W835" s="100" t="str">
        <f>IF(ISERROR(MATCH(SamplingData[[#This Row],[Batch by Type (p)]],SelectedPrecincts[Batch Name], 0)), "", INDEX(SelectedPrecincts[Draw], MATCH(SamplingData[[#This Row],[Batch by Type (p)]],SelectedPrecincts[Batch Name], 0)))</f>
        <v/>
      </c>
      <c r="X835" s="102">
        <f>IF(COUNTIF(SelectedPrecincts[Batch Name],SamplingData[[#This Row],[Batch by Type (p)]]) &lt;&gt; 0, COUNTIF(SelectedPrecincts[Batch Name],SamplingData[[#This Row],[Batch by Type (p)]]), 0)</f>
        <v>0</v>
      </c>
    </row>
    <row r="836" spans="1:24" ht="15" customHeight="1">
      <c r="A836" s="18" t="s">
        <v>1012</v>
      </c>
      <c r="B836" s="18">
        <v>0</v>
      </c>
      <c r="C836" s="18">
        <v>1</v>
      </c>
      <c r="D836" s="18">
        <v>0</v>
      </c>
      <c r="E836" s="18">
        <v>0</v>
      </c>
      <c r="F836" s="18">
        <v>0</v>
      </c>
      <c r="G836" s="18">
        <v>0</v>
      </c>
      <c r="H836" s="18">
        <v>0</v>
      </c>
      <c r="I836" s="18">
        <v>0</v>
      </c>
      <c r="J836" s="99">
        <f>SUM(SamplingData[[#This Row],[Losing Candidate]:[Under Votes]])</f>
        <v>1</v>
      </c>
      <c r="K83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836" s="100">
        <f>IF(AND(SamplingData[[#This Row],[Total]]&lt;&gt; 0, NOT(ISBLANK(SamplingData[[#This Row],[Candidate 3]]))),(SamplingData[[#This Row],[Total]]+SamplingData[[#This Row],[Winning Candidate]]-SamplingData[[#This Row],[Candidate 3]])/(SamplingData[[#Totals],[Winning Candidate]]-SamplingData[[#Totals],[Candidate 3]]), 0)</f>
        <v>6.4522373132883833E-5</v>
      </c>
      <c r="M836" s="100">
        <f>IF(AND(SamplingData[[#This Row],[Total]]&lt;&gt; 0, NOT(ISBLANK(SamplingData[[#This Row],[Candidate 4]]))),(SamplingData[[#This Row],[Total]]+SamplingData[[#This Row],[Winning Candidate]]-SamplingData[[#This Row],[Candidate 4]])/(SamplingData[[#Totals],[Winning Candidate]]-SamplingData[[#Totals],[Candidate 4]]), 0)</f>
        <v>5.846414686193692E-5</v>
      </c>
      <c r="N836" s="100">
        <f>IF(AND(SamplingData[[#This Row],[Total]]&lt;&gt; 0, NOT(ISBLANK(SamplingData[[#This Row],[Candidate 5]]))),(SamplingData[[#This Row],[Total]]+SamplingData[[#This Row],[Winning Candidate]]-SamplingData[[#This Row],[Candidate 5]])/(SamplingData[[#Totals],[Winning Candidate]]-SamplingData[[#Totals],[Candidate 5]]), 0)</f>
        <v>4.8649963512527367E-5</v>
      </c>
      <c r="O836" s="100">
        <f>IF(AND(SamplingData[[#This Row],[Total]]&lt;&gt; 0, NOT(ISBLANK(SamplingData[[#This Row],[Candidate 6]]))),(SamplingData[[#This Row],[Total]]+SamplingData[[#This Row],[Winning Candidate]]-SamplingData[[#This Row],[Candidate 6]])/(SamplingData[[#Totals],[Winning Candidate]]-SamplingData[[#Totals],[Candidate 6]]), 0)</f>
        <v>4.8635766742862701E-5</v>
      </c>
      <c r="P836" s="100">
        <f>MAX(SamplingData[[#This Row],[Error Bound (up) - Max. possible relative overstatement - Losing Candidate]:[Error Bound (up) - Max. possible relative overstatement - Candidate 6]])</f>
        <v>1.224889759921607E-4</v>
      </c>
      <c r="Q836" s="100">
        <f>IF(SamplingData[[#This Row],[Max Error Bound (up)]] = 0,0,SamplingData[[#This Row],[Max Error Bound (up)]]/SamplingData[[#Totals],[Max Error Bound (up)]])</f>
        <v>1.9385896556891663E-5</v>
      </c>
      <c r="R836" s="101">
        <f>SUM($Q$5:Q836)</f>
        <v>0.2164709406952546</v>
      </c>
      <c r="S836" s="100" t="str">
        <f t="array" ref="S836">IF(SamplingData[[#This Row],[up/U Selection Probability]] = 0, "Zero", TEXT(SamplingData[[#This Row],[Lower Range]], REPT("0",LEN('General Info'!$B$40))) &amp; " - " &amp; TEXT(SamplingData[[#This Row],[Upper Range]], REPT("0",LEN('General Info'!$B$40))))</f>
        <v>21645 - 21646</v>
      </c>
      <c r="T836" s="100">
        <f>SamplingData[[#This Row],[Upper Range]]-SamplingData[[#This Row],[Span]]</f>
        <v>21645.15549925567</v>
      </c>
      <c r="U836" s="100">
        <f>IF(ISNUMBER('General Info'!$B$40), ((SamplingData[[#This Row],[up/U Selection Probability]]) * 'General Info'!$B$40) - 1, 0)</f>
        <v>0.93857026979260949</v>
      </c>
      <c r="V836" s="100">
        <f>IF(ISNUMBER('General Info'!$B$40), (SamplingData[[#This Row],[Running (cumulative) sum]] * ('General Info'!$B$40 -'General Info'!$B$41 + 1)) + 'General Info'!$B$41 - 1, 0)</f>
        <v>21646.094069525461</v>
      </c>
      <c r="W836" s="100" t="str">
        <f>IF(ISERROR(MATCH(SamplingData[[#This Row],[Batch by Type (p)]],SelectedPrecincts[Batch Name], 0)), "", INDEX(SelectedPrecincts[Draw], MATCH(SamplingData[[#This Row],[Batch by Type (p)]],SelectedPrecincts[Batch Name], 0)))</f>
        <v/>
      </c>
      <c r="X836" s="102">
        <f>IF(COUNTIF(SelectedPrecincts[Batch Name],SamplingData[[#This Row],[Batch by Type (p)]]) &lt;&gt; 0, COUNTIF(SelectedPrecincts[Batch Name],SamplingData[[#This Row],[Batch by Type (p)]]), 0)</f>
        <v>0</v>
      </c>
    </row>
    <row r="837" spans="1:24" ht="15" customHeight="1">
      <c r="A837" s="18" t="s">
        <v>1013</v>
      </c>
      <c r="B837" s="18">
        <v>0</v>
      </c>
      <c r="C837" s="18">
        <v>1</v>
      </c>
      <c r="D837" s="16">
        <v>0</v>
      </c>
      <c r="E837" s="16">
        <v>0</v>
      </c>
      <c r="F837" s="37">
        <v>0</v>
      </c>
      <c r="G837" s="37">
        <v>0</v>
      </c>
      <c r="H837" s="17">
        <v>0</v>
      </c>
      <c r="I837" s="17">
        <v>0</v>
      </c>
      <c r="J837" s="99">
        <f>SUM(SamplingData[[#This Row],[Losing Candidate]:[Under Votes]])</f>
        <v>1</v>
      </c>
      <c r="K837"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837" s="100">
        <f>IF(AND(SamplingData[[#This Row],[Total]]&lt;&gt; 0, NOT(ISBLANK(SamplingData[[#This Row],[Candidate 3]]))),(SamplingData[[#This Row],[Total]]+SamplingData[[#This Row],[Winning Candidate]]-SamplingData[[#This Row],[Candidate 3]])/(SamplingData[[#Totals],[Winning Candidate]]-SamplingData[[#Totals],[Candidate 3]]), 0)</f>
        <v>6.4522373132883833E-5</v>
      </c>
      <c r="M837" s="100">
        <f>IF(AND(SamplingData[[#This Row],[Total]]&lt;&gt; 0, NOT(ISBLANK(SamplingData[[#This Row],[Candidate 4]]))),(SamplingData[[#This Row],[Total]]+SamplingData[[#This Row],[Winning Candidate]]-SamplingData[[#This Row],[Candidate 4]])/(SamplingData[[#Totals],[Winning Candidate]]-SamplingData[[#Totals],[Candidate 4]]), 0)</f>
        <v>5.846414686193692E-5</v>
      </c>
      <c r="N837" s="100">
        <f>IF(AND(SamplingData[[#This Row],[Total]]&lt;&gt; 0, NOT(ISBLANK(SamplingData[[#This Row],[Candidate 5]]))),(SamplingData[[#This Row],[Total]]+SamplingData[[#This Row],[Winning Candidate]]-SamplingData[[#This Row],[Candidate 5]])/(SamplingData[[#Totals],[Winning Candidate]]-SamplingData[[#Totals],[Candidate 5]]), 0)</f>
        <v>4.8649963512527367E-5</v>
      </c>
      <c r="O837" s="100">
        <f>IF(AND(SamplingData[[#This Row],[Total]]&lt;&gt; 0, NOT(ISBLANK(SamplingData[[#This Row],[Candidate 6]]))),(SamplingData[[#This Row],[Total]]+SamplingData[[#This Row],[Winning Candidate]]-SamplingData[[#This Row],[Candidate 6]])/(SamplingData[[#Totals],[Winning Candidate]]-SamplingData[[#Totals],[Candidate 6]]), 0)</f>
        <v>4.8635766742862701E-5</v>
      </c>
      <c r="P837" s="100">
        <f>MAX(SamplingData[[#This Row],[Error Bound (up) - Max. possible relative overstatement - Losing Candidate]:[Error Bound (up) - Max. possible relative overstatement - Candidate 6]])</f>
        <v>1.224889759921607E-4</v>
      </c>
      <c r="Q837" s="100">
        <f>IF(SamplingData[[#This Row],[Max Error Bound (up)]] = 0,0,SamplingData[[#This Row],[Max Error Bound (up)]]/SamplingData[[#Totals],[Max Error Bound (up)]])</f>
        <v>1.9385896556891663E-5</v>
      </c>
      <c r="R837" s="101">
        <f>SUM($Q$5:Q837)</f>
        <v>0.2164903265918115</v>
      </c>
      <c r="S837" s="100" t="str">
        <f t="array" ref="S837">IF(SamplingData[[#This Row],[up/U Selection Probability]] = 0, "Zero", TEXT(SamplingData[[#This Row],[Lower Range]], REPT("0",LEN('General Info'!$B$40))) &amp; " - " &amp; TEXT(SamplingData[[#This Row],[Upper Range]], REPT("0",LEN('General Info'!$B$40))))</f>
        <v>21647 - 21648</v>
      </c>
      <c r="T837" s="100">
        <f>SamplingData[[#This Row],[Upper Range]]-SamplingData[[#This Row],[Span]]</f>
        <v>21647.094088911359</v>
      </c>
      <c r="U837" s="100">
        <f>IF(ISNUMBER('General Info'!$B$40), ((SamplingData[[#This Row],[up/U Selection Probability]]) * 'General Info'!$B$40) - 1, 0)</f>
        <v>0.93857026979260949</v>
      </c>
      <c r="V837" s="100">
        <f>IF(ISNUMBER('General Info'!$B$40), (SamplingData[[#This Row],[Running (cumulative) sum]] * ('General Info'!$B$40 -'General Info'!$B$41 + 1)) + 'General Info'!$B$41 - 1, 0)</f>
        <v>21648.03265918115</v>
      </c>
      <c r="W837" s="100" t="str">
        <f>IF(ISERROR(MATCH(SamplingData[[#This Row],[Batch by Type (p)]],SelectedPrecincts[Batch Name], 0)), "", INDEX(SelectedPrecincts[Draw], MATCH(SamplingData[[#This Row],[Batch by Type (p)]],SelectedPrecincts[Batch Name], 0)))</f>
        <v/>
      </c>
      <c r="X837" s="102">
        <f>IF(COUNTIF(SelectedPrecincts[Batch Name],SamplingData[[#This Row],[Batch by Type (p)]]) &lt;&gt; 0, COUNTIF(SelectedPrecincts[Batch Name],SamplingData[[#This Row],[Batch by Type (p)]]), 0)</f>
        <v>0</v>
      </c>
    </row>
    <row r="838" spans="1:24" ht="15" customHeight="1">
      <c r="A838" s="18" t="s">
        <v>1014</v>
      </c>
      <c r="B838" s="18">
        <v>0</v>
      </c>
      <c r="C838" s="18">
        <v>0</v>
      </c>
      <c r="D838" s="18">
        <v>0</v>
      </c>
      <c r="E838" s="18">
        <v>0</v>
      </c>
      <c r="F838" s="18">
        <v>0</v>
      </c>
      <c r="G838" s="18">
        <v>0</v>
      </c>
      <c r="H838" s="18">
        <v>0</v>
      </c>
      <c r="I838" s="18">
        <v>0</v>
      </c>
      <c r="J838" s="99">
        <f>SUM(SamplingData[[#This Row],[Losing Candidate]:[Under Votes]])</f>
        <v>0</v>
      </c>
      <c r="K838" s="100">
        <f>IF(AND(SamplingData[[#This Row],[Total]]&lt;&gt; 0, NOT(ISBLANK(SamplingData[[#This Row],[Losing Candidate]]))),(SamplingData[[#This Row],[Total]]+SamplingData[[#This Row],[Winning Candidate]]-SamplingData[[#This Row],[Losing Candidate]])/(SamplingData[[#Totals],[Winning Candidate]]-SamplingData[[#Totals],[Losing Candidate]]), 0)</f>
        <v>0</v>
      </c>
      <c r="L838" s="100">
        <f>IF(AND(SamplingData[[#This Row],[Total]]&lt;&gt; 0, NOT(ISBLANK(SamplingData[[#This Row],[Candidate 3]]))),(SamplingData[[#This Row],[Total]]+SamplingData[[#This Row],[Winning Candidate]]-SamplingData[[#This Row],[Candidate 3]])/(SamplingData[[#Totals],[Winning Candidate]]-SamplingData[[#Totals],[Candidate 3]]), 0)</f>
        <v>0</v>
      </c>
      <c r="M838" s="100">
        <f>IF(AND(SamplingData[[#This Row],[Total]]&lt;&gt; 0, NOT(ISBLANK(SamplingData[[#This Row],[Candidate 4]]))),(SamplingData[[#This Row],[Total]]+SamplingData[[#This Row],[Winning Candidate]]-SamplingData[[#This Row],[Candidate 4]])/(SamplingData[[#Totals],[Winning Candidate]]-SamplingData[[#Totals],[Candidate 4]]), 0)</f>
        <v>0</v>
      </c>
      <c r="N838" s="100">
        <f>IF(AND(SamplingData[[#This Row],[Total]]&lt;&gt; 0, NOT(ISBLANK(SamplingData[[#This Row],[Candidate 5]]))),(SamplingData[[#This Row],[Total]]+SamplingData[[#This Row],[Winning Candidate]]-SamplingData[[#This Row],[Candidate 5]])/(SamplingData[[#Totals],[Winning Candidate]]-SamplingData[[#Totals],[Candidate 5]]), 0)</f>
        <v>0</v>
      </c>
      <c r="O838" s="100">
        <f>IF(AND(SamplingData[[#This Row],[Total]]&lt;&gt; 0, NOT(ISBLANK(SamplingData[[#This Row],[Candidate 6]]))),(SamplingData[[#This Row],[Total]]+SamplingData[[#This Row],[Winning Candidate]]-SamplingData[[#This Row],[Candidate 6]])/(SamplingData[[#Totals],[Winning Candidate]]-SamplingData[[#Totals],[Candidate 6]]), 0)</f>
        <v>0</v>
      </c>
      <c r="P838" s="100">
        <f>MAX(SamplingData[[#This Row],[Error Bound (up) - Max. possible relative overstatement - Losing Candidate]:[Error Bound (up) - Max. possible relative overstatement - Candidate 6]])</f>
        <v>0</v>
      </c>
      <c r="Q838" s="100">
        <f>IF(SamplingData[[#This Row],[Max Error Bound (up)]] = 0,0,SamplingData[[#This Row],[Max Error Bound (up)]]/SamplingData[[#Totals],[Max Error Bound (up)]])</f>
        <v>0</v>
      </c>
      <c r="R838" s="101">
        <f>SUM($Q$5:Q838)</f>
        <v>0.2164903265918115</v>
      </c>
      <c r="S838" s="100" t="str">
        <f t="array" ref="S838">IF(SamplingData[[#This Row],[up/U Selection Probability]] = 0, "Zero", TEXT(SamplingData[[#This Row],[Lower Range]], REPT("0",LEN('General Info'!$B$40))) &amp; " - " &amp; TEXT(SamplingData[[#This Row],[Upper Range]], REPT("0",LEN('General Info'!$B$40))))</f>
        <v>Zero</v>
      </c>
      <c r="T838" s="100">
        <f>SamplingData[[#This Row],[Upper Range]]-SamplingData[[#This Row],[Span]]</f>
        <v>21649.03265918115</v>
      </c>
      <c r="U838" s="100">
        <f>IF(ISNUMBER('General Info'!$B$40), ((SamplingData[[#This Row],[up/U Selection Probability]]) * 'General Info'!$B$40) - 1, 0)</f>
        <v>-1</v>
      </c>
      <c r="V838" s="100">
        <f>IF(ISNUMBER('General Info'!$B$40), (SamplingData[[#This Row],[Running (cumulative) sum]] * ('General Info'!$B$40 -'General Info'!$B$41 + 1)) + 'General Info'!$B$41 - 1, 0)</f>
        <v>21648.03265918115</v>
      </c>
      <c r="W838" s="100" t="str">
        <f>IF(ISERROR(MATCH(SamplingData[[#This Row],[Batch by Type (p)]],SelectedPrecincts[Batch Name], 0)), "", INDEX(SelectedPrecincts[Draw], MATCH(SamplingData[[#This Row],[Batch by Type (p)]],SelectedPrecincts[Batch Name], 0)))</f>
        <v/>
      </c>
      <c r="X838" s="102">
        <f>IF(COUNTIF(SelectedPrecincts[Batch Name],SamplingData[[#This Row],[Batch by Type (p)]]) &lt;&gt; 0, COUNTIF(SelectedPrecincts[Batch Name],SamplingData[[#This Row],[Batch by Type (p)]]), 0)</f>
        <v>0</v>
      </c>
    </row>
    <row r="839" spans="1:24" ht="15" customHeight="1">
      <c r="A839" s="18" t="s">
        <v>1015</v>
      </c>
      <c r="B839" s="18">
        <v>6</v>
      </c>
      <c r="C839" s="18">
        <v>4</v>
      </c>
      <c r="D839" s="16">
        <v>3</v>
      </c>
      <c r="E839" s="16">
        <v>3</v>
      </c>
      <c r="F839" s="37">
        <v>0</v>
      </c>
      <c r="G839" s="37">
        <v>0</v>
      </c>
      <c r="H839" s="17">
        <v>0</v>
      </c>
      <c r="I839" s="17">
        <v>0</v>
      </c>
      <c r="J839" s="99">
        <f>SUM(SamplingData[[#This Row],[Losing Candidate]:[Under Votes]])</f>
        <v>16</v>
      </c>
      <c r="K839"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839" s="100">
        <f>IF(AND(SamplingData[[#This Row],[Total]]&lt;&gt; 0, NOT(ISBLANK(SamplingData[[#This Row],[Candidate 3]]))),(SamplingData[[#This Row],[Total]]+SamplingData[[#This Row],[Winning Candidate]]-SamplingData[[#This Row],[Candidate 3]])/(SamplingData[[#Totals],[Winning Candidate]]-SamplingData[[#Totals],[Candidate 3]]), 0)</f>
        <v>5.4844017162951255E-4</v>
      </c>
      <c r="M839" s="100">
        <f>IF(AND(SamplingData[[#This Row],[Total]]&lt;&gt; 0, NOT(ISBLANK(SamplingData[[#This Row],[Candidate 4]]))),(SamplingData[[#This Row],[Total]]+SamplingData[[#This Row],[Winning Candidate]]-SamplingData[[#This Row],[Candidate 4]])/(SamplingData[[#Totals],[Winning Candidate]]-SamplingData[[#Totals],[Candidate 4]]), 0)</f>
        <v>4.9694524832646382E-4</v>
      </c>
      <c r="N839" s="100">
        <f>IF(AND(SamplingData[[#This Row],[Total]]&lt;&gt; 0, NOT(ISBLANK(SamplingData[[#This Row],[Candidate 5]]))),(SamplingData[[#This Row],[Total]]+SamplingData[[#This Row],[Winning Candidate]]-SamplingData[[#This Row],[Candidate 5]])/(SamplingData[[#Totals],[Winning Candidate]]-SamplingData[[#Totals],[Candidate 5]]), 0)</f>
        <v>4.8649963512527365E-4</v>
      </c>
      <c r="O839" s="100">
        <f>IF(AND(SamplingData[[#This Row],[Total]]&lt;&gt; 0, NOT(ISBLANK(SamplingData[[#This Row],[Candidate 6]]))),(SamplingData[[#This Row],[Total]]+SamplingData[[#This Row],[Winning Candidate]]-SamplingData[[#This Row],[Candidate 6]])/(SamplingData[[#Totals],[Winning Candidate]]-SamplingData[[#Totals],[Candidate 6]]), 0)</f>
        <v>4.8635766742862699E-4</v>
      </c>
      <c r="P839" s="100">
        <f>MAX(SamplingData[[#This Row],[Error Bound (up) - Max. possible relative overstatement - Losing Candidate]:[Error Bound (up) - Max. possible relative overstatement - Candidate 6]])</f>
        <v>8.5742283194512492E-4</v>
      </c>
      <c r="Q839" s="100">
        <f>IF(SamplingData[[#This Row],[Max Error Bound (up)]] = 0,0,SamplingData[[#This Row],[Max Error Bound (up)]]/SamplingData[[#Totals],[Max Error Bound (up)]])</f>
        <v>1.3570127589824165E-4</v>
      </c>
      <c r="R839" s="101">
        <f>SUM($Q$5:Q839)</f>
        <v>0.21662602786770974</v>
      </c>
      <c r="S839" s="100" t="str">
        <f t="array" ref="S839">IF(SamplingData[[#This Row],[up/U Selection Probability]] = 0, "Zero", TEXT(SamplingData[[#This Row],[Lower Range]], REPT("0",LEN('General Info'!$B$40))) &amp; " - " &amp; TEXT(SamplingData[[#This Row],[Upper Range]], REPT("0",LEN('General Info'!$B$40))))</f>
        <v>21649 - 21662</v>
      </c>
      <c r="T839" s="100">
        <f>SamplingData[[#This Row],[Upper Range]]-SamplingData[[#This Row],[Span]]</f>
        <v>21649.032794882427</v>
      </c>
      <c r="U839" s="100">
        <f>IF(ISNUMBER('General Info'!$B$40), ((SamplingData[[#This Row],[up/U Selection Probability]]) * 'General Info'!$B$40) - 1, 0)</f>
        <v>12.569991888548268</v>
      </c>
      <c r="V839" s="100">
        <f>IF(ISNUMBER('General Info'!$B$40), (SamplingData[[#This Row],[Running (cumulative) sum]] * ('General Info'!$B$40 -'General Info'!$B$41 + 1)) + 'General Info'!$B$41 - 1, 0)</f>
        <v>21661.602786770974</v>
      </c>
      <c r="W839" s="100" t="str">
        <f>IF(ISERROR(MATCH(SamplingData[[#This Row],[Batch by Type (p)]],SelectedPrecincts[Batch Name], 0)), "", INDEX(SelectedPrecincts[Draw], MATCH(SamplingData[[#This Row],[Batch by Type (p)]],SelectedPrecincts[Batch Name], 0)))</f>
        <v/>
      </c>
      <c r="X839" s="102">
        <f>IF(COUNTIF(SelectedPrecincts[Batch Name],SamplingData[[#This Row],[Batch by Type (p)]]) &lt;&gt; 0, COUNTIF(SelectedPrecincts[Batch Name],SamplingData[[#This Row],[Batch by Type (p)]]), 0)</f>
        <v>0</v>
      </c>
    </row>
    <row r="840" spans="1:24" ht="15" customHeight="1">
      <c r="A840" s="18" t="s">
        <v>1016</v>
      </c>
      <c r="B840" s="18">
        <v>1</v>
      </c>
      <c r="C840" s="18">
        <v>1</v>
      </c>
      <c r="D840" s="18">
        <v>0</v>
      </c>
      <c r="E840" s="18">
        <v>1</v>
      </c>
      <c r="F840" s="18">
        <v>0</v>
      </c>
      <c r="G840" s="18">
        <v>0</v>
      </c>
      <c r="H840" s="18">
        <v>0</v>
      </c>
      <c r="I840" s="18">
        <v>0</v>
      </c>
      <c r="J840" s="99">
        <f>SUM(SamplingData[[#This Row],[Losing Candidate]:[Under Votes]])</f>
        <v>3</v>
      </c>
      <c r="K84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840" s="100">
        <f>IF(AND(SamplingData[[#This Row],[Total]]&lt;&gt; 0, NOT(ISBLANK(SamplingData[[#This Row],[Candidate 3]]))),(SamplingData[[#This Row],[Total]]+SamplingData[[#This Row],[Winning Candidate]]-SamplingData[[#This Row],[Candidate 3]])/(SamplingData[[#Totals],[Winning Candidate]]-SamplingData[[#Totals],[Candidate 3]]), 0)</f>
        <v>1.2904474626576767E-4</v>
      </c>
      <c r="M840" s="100">
        <f>IF(AND(SamplingData[[#This Row],[Total]]&lt;&gt; 0, NOT(ISBLANK(SamplingData[[#This Row],[Candidate 4]]))),(SamplingData[[#This Row],[Total]]+SamplingData[[#This Row],[Winning Candidate]]-SamplingData[[#This Row],[Candidate 4]])/(SamplingData[[#Totals],[Winning Candidate]]-SamplingData[[#Totals],[Candidate 4]]), 0)</f>
        <v>8.7696220292905373E-5</v>
      </c>
      <c r="N840" s="100">
        <f>IF(AND(SamplingData[[#This Row],[Total]]&lt;&gt; 0, NOT(ISBLANK(SamplingData[[#This Row],[Candidate 5]]))),(SamplingData[[#This Row],[Total]]+SamplingData[[#This Row],[Winning Candidate]]-SamplingData[[#This Row],[Candidate 5]])/(SamplingData[[#Totals],[Winning Candidate]]-SamplingData[[#Totals],[Candidate 5]]), 0)</f>
        <v>9.7299927025054734E-5</v>
      </c>
      <c r="O840" s="100">
        <f>IF(AND(SamplingData[[#This Row],[Total]]&lt;&gt; 0, NOT(ISBLANK(SamplingData[[#This Row],[Candidate 6]]))),(SamplingData[[#This Row],[Total]]+SamplingData[[#This Row],[Winning Candidate]]-SamplingData[[#This Row],[Candidate 6]])/(SamplingData[[#Totals],[Winning Candidate]]-SamplingData[[#Totals],[Candidate 6]]), 0)</f>
        <v>9.7271533485725401E-5</v>
      </c>
      <c r="P840" s="100">
        <f>MAX(SamplingData[[#This Row],[Error Bound (up) - Max. possible relative overstatement - Losing Candidate]:[Error Bound (up) - Max. possible relative overstatement - Candidate 6]])</f>
        <v>1.8373346398824106E-4</v>
      </c>
      <c r="Q840" s="100">
        <f>IF(SamplingData[[#This Row],[Max Error Bound (up)]] = 0,0,SamplingData[[#This Row],[Max Error Bound (up)]]/SamplingData[[#Totals],[Max Error Bound (up)]])</f>
        <v>2.9078844835337493E-5</v>
      </c>
      <c r="R840" s="101">
        <f>SUM($Q$5:Q840)</f>
        <v>0.21665510671254506</v>
      </c>
      <c r="S840" s="100" t="str">
        <f t="array" ref="S840">IF(SamplingData[[#This Row],[up/U Selection Probability]] = 0, "Zero", TEXT(SamplingData[[#This Row],[Lower Range]], REPT("0",LEN('General Info'!$B$40))) &amp; " - " &amp; TEXT(SamplingData[[#This Row],[Upper Range]], REPT("0",LEN('General Info'!$B$40))))</f>
        <v>21663 - 21665</v>
      </c>
      <c r="T840" s="100">
        <f>SamplingData[[#This Row],[Upper Range]]-SamplingData[[#This Row],[Span]]</f>
        <v>21662.602815849816</v>
      </c>
      <c r="U840" s="100">
        <f>IF(ISNUMBER('General Info'!$B$40), ((SamplingData[[#This Row],[up/U Selection Probability]]) * 'General Info'!$B$40) - 1, 0)</f>
        <v>1.907855404688914</v>
      </c>
      <c r="V840" s="100">
        <f>IF(ISNUMBER('General Info'!$B$40), (SamplingData[[#This Row],[Running (cumulative) sum]] * ('General Info'!$B$40 -'General Info'!$B$41 + 1)) + 'General Info'!$B$41 - 1, 0)</f>
        <v>21664.510671254506</v>
      </c>
      <c r="W840" s="100" t="str">
        <f>IF(ISERROR(MATCH(SamplingData[[#This Row],[Batch by Type (p)]],SelectedPrecincts[Batch Name], 0)), "", INDEX(SelectedPrecincts[Draw], MATCH(SamplingData[[#This Row],[Batch by Type (p)]],SelectedPrecincts[Batch Name], 0)))</f>
        <v/>
      </c>
      <c r="X840" s="102">
        <f>IF(COUNTIF(SelectedPrecincts[Batch Name],SamplingData[[#This Row],[Batch by Type (p)]]) &lt;&gt; 0, COUNTIF(SelectedPrecincts[Batch Name],SamplingData[[#This Row],[Batch by Type (p)]]), 0)</f>
        <v>0</v>
      </c>
    </row>
    <row r="841" spans="1:24" ht="15" customHeight="1">
      <c r="A841" s="18" t="s">
        <v>1017</v>
      </c>
      <c r="B841" s="18">
        <v>2</v>
      </c>
      <c r="C841" s="18">
        <v>2</v>
      </c>
      <c r="D841" s="16">
        <v>4</v>
      </c>
      <c r="E841" s="16">
        <v>2</v>
      </c>
      <c r="F841" s="37">
        <v>0</v>
      </c>
      <c r="G841" s="37">
        <v>1</v>
      </c>
      <c r="H841" s="17">
        <v>0</v>
      </c>
      <c r="I841" s="17">
        <v>0</v>
      </c>
      <c r="J841" s="99">
        <f>SUM(SamplingData[[#This Row],[Losing Candidate]:[Under Votes]])</f>
        <v>11</v>
      </c>
      <c r="K841"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841" s="100">
        <f>IF(AND(SamplingData[[#This Row],[Total]]&lt;&gt; 0, NOT(ISBLANK(SamplingData[[#This Row],[Candidate 3]]))),(SamplingData[[#This Row],[Total]]+SamplingData[[#This Row],[Winning Candidate]]-SamplingData[[#This Row],[Candidate 3]])/(SamplingData[[#Totals],[Winning Candidate]]-SamplingData[[#Totals],[Candidate 3]]), 0)</f>
        <v>2.9035067909797722E-4</v>
      </c>
      <c r="M841" s="100">
        <f>IF(AND(SamplingData[[#This Row],[Total]]&lt;&gt; 0, NOT(ISBLANK(SamplingData[[#This Row],[Candidate 4]]))),(SamplingData[[#This Row],[Total]]+SamplingData[[#This Row],[Winning Candidate]]-SamplingData[[#This Row],[Candidate 4]])/(SamplingData[[#Totals],[Winning Candidate]]-SamplingData[[#Totals],[Candidate 4]]), 0)</f>
        <v>3.2155280774065302E-4</v>
      </c>
      <c r="N841" s="100">
        <f>IF(AND(SamplingData[[#This Row],[Total]]&lt;&gt; 0, NOT(ISBLANK(SamplingData[[#This Row],[Candidate 5]]))),(SamplingData[[#This Row],[Total]]+SamplingData[[#This Row],[Winning Candidate]]-SamplingData[[#This Row],[Candidate 5]])/(SamplingData[[#Totals],[Winning Candidate]]-SamplingData[[#Totals],[Candidate 5]]), 0)</f>
        <v>3.1622476283142789E-4</v>
      </c>
      <c r="O841" s="100">
        <f>IF(AND(SamplingData[[#This Row],[Total]]&lt;&gt; 0, NOT(ISBLANK(SamplingData[[#This Row],[Candidate 6]]))),(SamplingData[[#This Row],[Total]]+SamplingData[[#This Row],[Winning Candidate]]-SamplingData[[#This Row],[Candidate 6]])/(SamplingData[[#Totals],[Winning Candidate]]-SamplingData[[#Totals],[Candidate 6]]), 0)</f>
        <v>2.9181460045717622E-4</v>
      </c>
      <c r="P841" s="100">
        <f>MAX(SamplingData[[#This Row],[Error Bound (up) - Max. possible relative overstatement - Losing Candidate]:[Error Bound (up) - Max. possible relative overstatement - Candidate 6]])</f>
        <v>6.7368936795688392E-4</v>
      </c>
      <c r="Q841" s="100">
        <f>IF(SamplingData[[#This Row],[Max Error Bound (up)]] = 0,0,SamplingData[[#This Row],[Max Error Bound (up)]]/SamplingData[[#Totals],[Max Error Bound (up)]])</f>
        <v>1.0662243106290416E-4</v>
      </c>
      <c r="R841" s="101">
        <f>SUM($Q$5:Q841)</f>
        <v>0.21676172914360797</v>
      </c>
      <c r="S841" s="100" t="str">
        <f t="array" ref="S841">IF(SamplingData[[#This Row],[up/U Selection Probability]] = 0, "Zero", TEXT(SamplingData[[#This Row],[Lower Range]], REPT("0",LEN('General Info'!$B$40))) &amp; " - " &amp; TEXT(SamplingData[[#This Row],[Upper Range]], REPT("0",LEN('General Info'!$B$40))))</f>
        <v>21666 - 21675</v>
      </c>
      <c r="T841" s="100">
        <f>SamplingData[[#This Row],[Upper Range]]-SamplingData[[#This Row],[Span]]</f>
        <v>21665.510777876938</v>
      </c>
      <c r="U841" s="100">
        <f>IF(ISNUMBER('General Info'!$B$40), ((SamplingData[[#This Row],[up/U Selection Probability]]) * 'General Info'!$B$40) - 1, 0)</f>
        <v>9.6621364838593529</v>
      </c>
      <c r="V841" s="100">
        <f>IF(ISNUMBER('General Info'!$B$40), (SamplingData[[#This Row],[Running (cumulative) sum]] * ('General Info'!$B$40 -'General Info'!$B$41 + 1)) + 'General Info'!$B$41 - 1, 0)</f>
        <v>21675.172914360799</v>
      </c>
      <c r="W841" s="100" t="str">
        <f>IF(ISERROR(MATCH(SamplingData[[#This Row],[Batch by Type (p)]],SelectedPrecincts[Batch Name], 0)), "", INDEX(SelectedPrecincts[Draw], MATCH(SamplingData[[#This Row],[Batch by Type (p)]],SelectedPrecincts[Batch Name], 0)))</f>
        <v/>
      </c>
      <c r="X841" s="102">
        <f>IF(COUNTIF(SelectedPrecincts[Batch Name],SamplingData[[#This Row],[Batch by Type (p)]]) &lt;&gt; 0, COUNTIF(SelectedPrecincts[Batch Name],SamplingData[[#This Row],[Batch by Type (p)]]), 0)</f>
        <v>0</v>
      </c>
    </row>
    <row r="842" spans="1:24" ht="15" customHeight="1">
      <c r="A842" s="18" t="s">
        <v>1018</v>
      </c>
      <c r="B842" s="18">
        <v>0</v>
      </c>
      <c r="C842" s="18">
        <v>2</v>
      </c>
      <c r="D842" s="18">
        <v>1</v>
      </c>
      <c r="E842" s="18">
        <v>0</v>
      </c>
      <c r="F842" s="18">
        <v>0</v>
      </c>
      <c r="G842" s="18">
        <v>0</v>
      </c>
      <c r="H842" s="18">
        <v>0</v>
      </c>
      <c r="I842" s="18">
        <v>0</v>
      </c>
      <c r="J842" s="99">
        <f>SUM(SamplingData[[#This Row],[Losing Candidate]:[Under Votes]])</f>
        <v>3</v>
      </c>
      <c r="K842"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842" s="100">
        <f>IF(AND(SamplingData[[#This Row],[Total]]&lt;&gt; 0, NOT(ISBLANK(SamplingData[[#This Row],[Candidate 3]]))),(SamplingData[[#This Row],[Total]]+SamplingData[[#This Row],[Winning Candidate]]-SamplingData[[#This Row],[Candidate 3]])/(SamplingData[[#Totals],[Winning Candidate]]-SamplingData[[#Totals],[Candidate 3]]), 0)</f>
        <v>1.2904474626576767E-4</v>
      </c>
      <c r="M842" s="100">
        <f>IF(AND(SamplingData[[#This Row],[Total]]&lt;&gt; 0, NOT(ISBLANK(SamplingData[[#This Row],[Candidate 4]]))),(SamplingData[[#This Row],[Total]]+SamplingData[[#This Row],[Winning Candidate]]-SamplingData[[#This Row],[Candidate 4]])/(SamplingData[[#Totals],[Winning Candidate]]-SamplingData[[#Totals],[Candidate 4]]), 0)</f>
        <v>1.4616036715484231E-4</v>
      </c>
      <c r="N842" s="100">
        <f>IF(AND(SamplingData[[#This Row],[Total]]&lt;&gt; 0, NOT(ISBLANK(SamplingData[[#This Row],[Candidate 5]]))),(SamplingData[[#This Row],[Total]]+SamplingData[[#This Row],[Winning Candidate]]-SamplingData[[#This Row],[Candidate 5]])/(SamplingData[[#Totals],[Winning Candidate]]-SamplingData[[#Totals],[Candidate 5]]), 0)</f>
        <v>1.2162490878131841E-4</v>
      </c>
      <c r="O842" s="100">
        <f>IF(AND(SamplingData[[#This Row],[Total]]&lt;&gt; 0, NOT(ISBLANK(SamplingData[[#This Row],[Candidate 6]]))),(SamplingData[[#This Row],[Total]]+SamplingData[[#This Row],[Winning Candidate]]-SamplingData[[#This Row],[Candidate 6]])/(SamplingData[[#Totals],[Winning Candidate]]-SamplingData[[#Totals],[Candidate 6]]), 0)</f>
        <v>1.2158941685715675E-4</v>
      </c>
      <c r="P842" s="100">
        <f>MAX(SamplingData[[#This Row],[Error Bound (up) - Max. possible relative overstatement - Losing Candidate]:[Error Bound (up) - Max. possible relative overstatement - Candidate 6]])</f>
        <v>3.0622243998040176E-4</v>
      </c>
      <c r="Q842" s="100">
        <f>IF(SamplingData[[#This Row],[Max Error Bound (up)]] = 0,0,SamplingData[[#This Row],[Max Error Bound (up)]]/SamplingData[[#Totals],[Max Error Bound (up)]])</f>
        <v>4.8464741392229159E-5</v>
      </c>
      <c r="R842" s="101">
        <f>SUM($Q$5:Q842)</f>
        <v>0.2168101938850002</v>
      </c>
      <c r="S842" s="100" t="str">
        <f t="array" ref="S842">IF(SamplingData[[#This Row],[up/U Selection Probability]] = 0, "Zero", TEXT(SamplingData[[#This Row],[Lower Range]], REPT("0",LEN('General Info'!$B$40))) &amp; " - " &amp; TEXT(SamplingData[[#This Row],[Upper Range]], REPT("0",LEN('General Info'!$B$40))))</f>
        <v>21676 - 21680</v>
      </c>
      <c r="T842" s="100">
        <f>SamplingData[[#This Row],[Upper Range]]-SamplingData[[#This Row],[Span]]</f>
        <v>21676.172962825538</v>
      </c>
      <c r="U842" s="100">
        <f>IF(ISNUMBER('General Info'!$B$40), ((SamplingData[[#This Row],[up/U Selection Probability]]) * 'General Info'!$B$40) - 1, 0)</f>
        <v>3.8464256744815239</v>
      </c>
      <c r="V842" s="100">
        <f>IF(ISNUMBER('General Info'!$B$40), (SamplingData[[#This Row],[Running (cumulative) sum]] * ('General Info'!$B$40 -'General Info'!$B$41 + 1)) + 'General Info'!$B$41 - 1, 0)</f>
        <v>21680.019388500019</v>
      </c>
      <c r="W842" s="100" t="str">
        <f>IF(ISERROR(MATCH(SamplingData[[#This Row],[Batch by Type (p)]],SelectedPrecincts[Batch Name], 0)), "", INDEX(SelectedPrecincts[Draw], MATCH(SamplingData[[#This Row],[Batch by Type (p)]],SelectedPrecincts[Batch Name], 0)))</f>
        <v/>
      </c>
      <c r="X842" s="102">
        <f>IF(COUNTIF(SelectedPrecincts[Batch Name],SamplingData[[#This Row],[Batch by Type (p)]]) &lt;&gt; 0, COUNTIF(SelectedPrecincts[Batch Name],SamplingData[[#This Row],[Batch by Type (p)]]), 0)</f>
        <v>0</v>
      </c>
    </row>
    <row r="843" spans="1:24" ht="15" customHeight="1">
      <c r="A843" s="18" t="s">
        <v>1019</v>
      </c>
      <c r="B843" s="18">
        <v>2</v>
      </c>
      <c r="C843" s="18">
        <v>6</v>
      </c>
      <c r="D843" s="16">
        <v>3</v>
      </c>
      <c r="E843" s="16">
        <v>0</v>
      </c>
      <c r="F843" s="37">
        <v>0</v>
      </c>
      <c r="G843" s="37">
        <v>0</v>
      </c>
      <c r="H843" s="17">
        <v>0</v>
      </c>
      <c r="I843" s="17">
        <v>1</v>
      </c>
      <c r="J843" s="99">
        <f>SUM(SamplingData[[#This Row],[Losing Candidate]:[Under Votes]])</f>
        <v>12</v>
      </c>
      <c r="K843"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843" s="100">
        <f>IF(AND(SamplingData[[#This Row],[Total]]&lt;&gt; 0, NOT(ISBLANK(SamplingData[[#This Row],[Candidate 3]]))),(SamplingData[[#This Row],[Total]]+SamplingData[[#This Row],[Winning Candidate]]-SamplingData[[#This Row],[Candidate 3]])/(SamplingData[[#Totals],[Winning Candidate]]-SamplingData[[#Totals],[Candidate 3]]), 0)</f>
        <v>4.8391779849662873E-4</v>
      </c>
      <c r="M843" s="100">
        <f>IF(AND(SamplingData[[#This Row],[Total]]&lt;&gt; 0, NOT(ISBLANK(SamplingData[[#This Row],[Candidate 4]]))),(SamplingData[[#This Row],[Total]]+SamplingData[[#This Row],[Winning Candidate]]-SamplingData[[#This Row],[Candidate 4]])/(SamplingData[[#Totals],[Winning Candidate]]-SamplingData[[#Totals],[Candidate 4]]), 0)</f>
        <v>5.2617732175743229E-4</v>
      </c>
      <c r="N843" s="100">
        <f>IF(AND(SamplingData[[#This Row],[Total]]&lt;&gt; 0, NOT(ISBLANK(SamplingData[[#This Row],[Candidate 5]]))),(SamplingData[[#This Row],[Total]]+SamplingData[[#This Row],[Winning Candidate]]-SamplingData[[#This Row],[Candidate 5]])/(SamplingData[[#Totals],[Winning Candidate]]-SamplingData[[#Totals],[Candidate 5]]), 0)</f>
        <v>4.3784967161274629E-4</v>
      </c>
      <c r="O843" s="100">
        <f>IF(AND(SamplingData[[#This Row],[Total]]&lt;&gt; 0, NOT(ISBLANK(SamplingData[[#This Row],[Candidate 6]]))),(SamplingData[[#This Row],[Total]]+SamplingData[[#This Row],[Winning Candidate]]-SamplingData[[#This Row],[Candidate 6]])/(SamplingData[[#Totals],[Winning Candidate]]-SamplingData[[#Totals],[Candidate 6]]), 0)</f>
        <v>4.3772190068576433E-4</v>
      </c>
      <c r="P843" s="100">
        <f>MAX(SamplingData[[#This Row],[Error Bound (up) - Max. possible relative overstatement - Losing Candidate]:[Error Bound (up) - Max. possible relative overstatement - Candidate 6]])</f>
        <v>9.7991180793728563E-4</v>
      </c>
      <c r="Q843" s="100">
        <f>IF(SamplingData[[#This Row],[Max Error Bound (up)]] = 0,0,SamplingData[[#This Row],[Max Error Bound (up)]]/SamplingData[[#Totals],[Max Error Bound (up)]])</f>
        <v>1.550871724551333E-4</v>
      </c>
      <c r="R843" s="101">
        <f>SUM($Q$5:Q843)</f>
        <v>0.21696528105745533</v>
      </c>
      <c r="S843" s="100" t="str">
        <f t="array" ref="S843">IF(SamplingData[[#This Row],[up/U Selection Probability]] = 0, "Zero", TEXT(SamplingData[[#This Row],[Lower Range]], REPT("0",LEN('General Info'!$B$40))) &amp; " - " &amp; TEXT(SamplingData[[#This Row],[Upper Range]], REPT("0",LEN('General Info'!$B$40))))</f>
        <v>21681 - 21696</v>
      </c>
      <c r="T843" s="100">
        <f>SamplingData[[#This Row],[Upper Range]]-SamplingData[[#This Row],[Span]]</f>
        <v>21681.01954358719</v>
      </c>
      <c r="U843" s="100">
        <f>IF(ISNUMBER('General Info'!$B$40), ((SamplingData[[#This Row],[up/U Selection Probability]]) * 'General Info'!$B$40) - 1, 0)</f>
        <v>14.508562158340876</v>
      </c>
      <c r="V843" s="100">
        <f>IF(ISNUMBER('General Info'!$B$40), (SamplingData[[#This Row],[Running (cumulative) sum]] * ('General Info'!$B$40 -'General Info'!$B$41 + 1)) + 'General Info'!$B$41 - 1, 0)</f>
        <v>21695.528105745532</v>
      </c>
      <c r="W843" s="100" t="str">
        <f>IF(ISERROR(MATCH(SamplingData[[#This Row],[Batch by Type (p)]],SelectedPrecincts[Batch Name], 0)), "", INDEX(SelectedPrecincts[Draw], MATCH(SamplingData[[#This Row],[Batch by Type (p)]],SelectedPrecincts[Batch Name], 0)))</f>
        <v/>
      </c>
      <c r="X843" s="102">
        <f>IF(COUNTIF(SelectedPrecincts[Batch Name],SamplingData[[#This Row],[Batch by Type (p)]]) &lt;&gt; 0, COUNTIF(SelectedPrecincts[Batch Name],SamplingData[[#This Row],[Batch by Type (p)]]), 0)</f>
        <v>0</v>
      </c>
    </row>
    <row r="844" spans="1:24" ht="15" customHeight="1">
      <c r="A844" s="18" t="s">
        <v>1020</v>
      </c>
      <c r="B844" s="18">
        <v>2</v>
      </c>
      <c r="C844" s="18">
        <v>0</v>
      </c>
      <c r="D844" s="18">
        <v>0</v>
      </c>
      <c r="E844" s="18">
        <v>0</v>
      </c>
      <c r="F844" s="18">
        <v>0</v>
      </c>
      <c r="G844" s="18">
        <v>0</v>
      </c>
      <c r="H844" s="18">
        <v>0</v>
      </c>
      <c r="I844" s="18">
        <v>0</v>
      </c>
      <c r="J844" s="99">
        <f>SUM(SamplingData[[#This Row],[Losing Candidate]:[Under Votes]])</f>
        <v>2</v>
      </c>
      <c r="K844" s="100">
        <f>IF(AND(SamplingData[[#This Row],[Total]]&lt;&gt; 0, NOT(ISBLANK(SamplingData[[#This Row],[Losing Candidate]]))),(SamplingData[[#This Row],[Total]]+SamplingData[[#This Row],[Winning Candidate]]-SamplingData[[#This Row],[Losing Candidate]])/(SamplingData[[#Totals],[Winning Candidate]]-SamplingData[[#Totals],[Losing Candidate]]), 0)</f>
        <v>0</v>
      </c>
      <c r="L844" s="100">
        <f>IF(AND(SamplingData[[#This Row],[Total]]&lt;&gt; 0, NOT(ISBLANK(SamplingData[[#This Row],[Candidate 3]]))),(SamplingData[[#This Row],[Total]]+SamplingData[[#This Row],[Winning Candidate]]-SamplingData[[#This Row],[Candidate 3]])/(SamplingData[[#Totals],[Winning Candidate]]-SamplingData[[#Totals],[Candidate 3]]), 0)</f>
        <v>6.4522373132883833E-5</v>
      </c>
      <c r="M844" s="100">
        <f>IF(AND(SamplingData[[#This Row],[Total]]&lt;&gt; 0, NOT(ISBLANK(SamplingData[[#This Row],[Candidate 4]]))),(SamplingData[[#This Row],[Total]]+SamplingData[[#This Row],[Winning Candidate]]-SamplingData[[#This Row],[Candidate 4]])/(SamplingData[[#Totals],[Winning Candidate]]-SamplingData[[#Totals],[Candidate 4]]), 0)</f>
        <v>5.846414686193692E-5</v>
      </c>
      <c r="N844" s="100">
        <f>IF(AND(SamplingData[[#This Row],[Total]]&lt;&gt; 0, NOT(ISBLANK(SamplingData[[#This Row],[Candidate 5]]))),(SamplingData[[#This Row],[Total]]+SamplingData[[#This Row],[Winning Candidate]]-SamplingData[[#This Row],[Candidate 5]])/(SamplingData[[#Totals],[Winning Candidate]]-SamplingData[[#Totals],[Candidate 5]]), 0)</f>
        <v>4.8649963512527367E-5</v>
      </c>
      <c r="O844" s="100">
        <f>IF(AND(SamplingData[[#This Row],[Total]]&lt;&gt; 0, NOT(ISBLANK(SamplingData[[#This Row],[Candidate 6]]))),(SamplingData[[#This Row],[Total]]+SamplingData[[#This Row],[Winning Candidate]]-SamplingData[[#This Row],[Candidate 6]])/(SamplingData[[#Totals],[Winning Candidate]]-SamplingData[[#Totals],[Candidate 6]]), 0)</f>
        <v>4.8635766742862701E-5</v>
      </c>
      <c r="P844" s="100">
        <f>MAX(SamplingData[[#This Row],[Error Bound (up) - Max. possible relative overstatement - Losing Candidate]:[Error Bound (up) - Max. possible relative overstatement - Candidate 6]])</f>
        <v>6.4522373132883833E-5</v>
      </c>
      <c r="Q844" s="100">
        <f>IF(SamplingData[[#This Row],[Max Error Bound (up)]] = 0,0,SamplingData[[#This Row],[Max Error Bound (up)]]/SamplingData[[#Totals],[Max Error Bound (up)]])</f>
        <v>1.0211727553664133E-5</v>
      </c>
      <c r="R844" s="101">
        <f>SUM($Q$5:Q844)</f>
        <v>0.21697549278500899</v>
      </c>
      <c r="S844" s="100" t="str">
        <f t="array" ref="S844">IF(SamplingData[[#This Row],[up/U Selection Probability]] = 0, "Zero", TEXT(SamplingData[[#This Row],[Lower Range]], REPT("0",LEN('General Info'!$B$40))) &amp; " - " &amp; TEXT(SamplingData[[#This Row],[Upper Range]], REPT("0",LEN('General Info'!$B$40))))</f>
        <v>21697 - 21697</v>
      </c>
      <c r="T844" s="100">
        <f>SamplingData[[#This Row],[Upper Range]]-SamplingData[[#This Row],[Span]]</f>
        <v>21696.528115957262</v>
      </c>
      <c r="U844" s="100">
        <f>IF(ISNUMBER('General Info'!$B$40), ((SamplingData[[#This Row],[up/U Selection Probability]]) * 'General Info'!$B$40) - 1, 0)</f>
        <v>2.116254363885961E-2</v>
      </c>
      <c r="V844" s="100">
        <f>IF(ISNUMBER('General Info'!$B$40), (SamplingData[[#This Row],[Running (cumulative) sum]] * ('General Info'!$B$40 -'General Info'!$B$41 + 1)) + 'General Info'!$B$41 - 1, 0)</f>
        <v>21696.549278500901</v>
      </c>
      <c r="W844" s="100" t="str">
        <f>IF(ISERROR(MATCH(SamplingData[[#This Row],[Batch by Type (p)]],SelectedPrecincts[Batch Name], 0)), "", INDEX(SelectedPrecincts[Draw], MATCH(SamplingData[[#This Row],[Batch by Type (p)]],SelectedPrecincts[Batch Name], 0)))</f>
        <v/>
      </c>
      <c r="X844" s="102">
        <f>IF(COUNTIF(SelectedPrecincts[Batch Name],SamplingData[[#This Row],[Batch by Type (p)]]) &lt;&gt; 0, COUNTIF(SelectedPrecincts[Batch Name],SamplingData[[#This Row],[Batch by Type (p)]]), 0)</f>
        <v>0</v>
      </c>
    </row>
    <row r="845" spans="1:24" ht="15" customHeight="1">
      <c r="A845" s="18" t="s">
        <v>1021</v>
      </c>
      <c r="B845" s="18">
        <v>9</v>
      </c>
      <c r="C845" s="18">
        <v>0</v>
      </c>
      <c r="D845" s="16">
        <v>2</v>
      </c>
      <c r="E845" s="16">
        <v>2</v>
      </c>
      <c r="F845" s="37">
        <v>0</v>
      </c>
      <c r="G845" s="37">
        <v>0</v>
      </c>
      <c r="H845" s="17">
        <v>0</v>
      </c>
      <c r="I845" s="17">
        <v>0</v>
      </c>
      <c r="J845" s="99">
        <f>SUM(SamplingData[[#This Row],[Losing Candidate]:[Under Votes]])</f>
        <v>13</v>
      </c>
      <c r="K845"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845" s="100">
        <f>IF(AND(SamplingData[[#This Row],[Total]]&lt;&gt; 0, NOT(ISBLANK(SamplingData[[#This Row],[Candidate 3]]))),(SamplingData[[#This Row],[Total]]+SamplingData[[#This Row],[Winning Candidate]]-SamplingData[[#This Row],[Candidate 3]])/(SamplingData[[#Totals],[Winning Candidate]]-SamplingData[[#Totals],[Candidate 3]]), 0)</f>
        <v>3.5487305223086104E-4</v>
      </c>
      <c r="M845" s="100">
        <f>IF(AND(SamplingData[[#This Row],[Total]]&lt;&gt; 0, NOT(ISBLANK(SamplingData[[#This Row],[Candidate 4]]))),(SamplingData[[#This Row],[Total]]+SamplingData[[#This Row],[Winning Candidate]]-SamplingData[[#This Row],[Candidate 4]])/(SamplingData[[#Totals],[Winning Candidate]]-SamplingData[[#Totals],[Candidate 4]]), 0)</f>
        <v>3.2155280774065302E-4</v>
      </c>
      <c r="N845" s="100">
        <f>IF(AND(SamplingData[[#This Row],[Total]]&lt;&gt; 0, NOT(ISBLANK(SamplingData[[#This Row],[Candidate 5]]))),(SamplingData[[#This Row],[Total]]+SamplingData[[#This Row],[Winning Candidate]]-SamplingData[[#This Row],[Candidate 5]])/(SamplingData[[#Totals],[Winning Candidate]]-SamplingData[[#Totals],[Candidate 5]]), 0)</f>
        <v>3.1622476283142789E-4</v>
      </c>
      <c r="O845" s="100">
        <f>IF(AND(SamplingData[[#This Row],[Total]]&lt;&gt; 0, NOT(ISBLANK(SamplingData[[#This Row],[Candidate 6]]))),(SamplingData[[#This Row],[Total]]+SamplingData[[#This Row],[Winning Candidate]]-SamplingData[[#This Row],[Candidate 6]])/(SamplingData[[#Totals],[Winning Candidate]]-SamplingData[[#Totals],[Candidate 6]]), 0)</f>
        <v>3.1613248382860755E-4</v>
      </c>
      <c r="P845" s="100">
        <f>MAX(SamplingData[[#This Row],[Error Bound (up) - Max. possible relative overstatement - Losing Candidate]:[Error Bound (up) - Max. possible relative overstatement - Candidate 6]])</f>
        <v>3.5487305223086104E-4</v>
      </c>
      <c r="Q845" s="100">
        <f>IF(SamplingData[[#This Row],[Max Error Bound (up)]] = 0,0,SamplingData[[#This Row],[Max Error Bound (up)]]/SamplingData[[#Totals],[Max Error Bound (up)]])</f>
        <v>5.6164501545152719E-5</v>
      </c>
      <c r="R845" s="101">
        <f>SUM($Q$5:Q845)</f>
        <v>0.21703165728655416</v>
      </c>
      <c r="S845" s="100" t="str">
        <f t="array" ref="S845">IF(SamplingData[[#This Row],[up/U Selection Probability]] = 0, "Zero", TEXT(SamplingData[[#This Row],[Lower Range]], REPT("0",LEN('General Info'!$B$40))) &amp; " - " &amp; TEXT(SamplingData[[#This Row],[Upper Range]], REPT("0",LEN('General Info'!$B$40))))</f>
        <v>21698 - 21702</v>
      </c>
      <c r="T845" s="100">
        <f>SamplingData[[#This Row],[Upper Range]]-SamplingData[[#This Row],[Span]]</f>
        <v>21697.5493346654</v>
      </c>
      <c r="U845" s="100">
        <f>IF(ISNUMBER('General Info'!$B$40), ((SamplingData[[#This Row],[up/U Selection Probability]]) * 'General Info'!$B$40) - 1, 0)</f>
        <v>4.6163939900137265</v>
      </c>
      <c r="V845" s="100">
        <f>IF(ISNUMBER('General Info'!$B$40), (SamplingData[[#This Row],[Running (cumulative) sum]] * ('General Info'!$B$40 -'General Info'!$B$41 + 1)) + 'General Info'!$B$41 - 1, 0)</f>
        <v>21702.165728655415</v>
      </c>
      <c r="W845" s="100" t="str">
        <f>IF(ISERROR(MATCH(SamplingData[[#This Row],[Batch by Type (p)]],SelectedPrecincts[Batch Name], 0)), "", INDEX(SelectedPrecincts[Draw], MATCH(SamplingData[[#This Row],[Batch by Type (p)]],SelectedPrecincts[Batch Name], 0)))</f>
        <v/>
      </c>
      <c r="X845" s="102">
        <f>IF(COUNTIF(SelectedPrecincts[Batch Name],SamplingData[[#This Row],[Batch by Type (p)]]) &lt;&gt; 0, COUNTIF(SelectedPrecincts[Batch Name],SamplingData[[#This Row],[Batch by Type (p)]]), 0)</f>
        <v>0</v>
      </c>
    </row>
    <row r="846" spans="1:24" ht="15" customHeight="1">
      <c r="A846" s="18" t="s">
        <v>1022</v>
      </c>
      <c r="B846" s="18">
        <v>4</v>
      </c>
      <c r="C846" s="18">
        <v>0</v>
      </c>
      <c r="D846" s="18">
        <v>0</v>
      </c>
      <c r="E846" s="18">
        <v>1</v>
      </c>
      <c r="F846" s="18">
        <v>0</v>
      </c>
      <c r="G846" s="18">
        <v>0</v>
      </c>
      <c r="H846" s="18">
        <v>0</v>
      </c>
      <c r="I846" s="18">
        <v>0</v>
      </c>
      <c r="J846" s="99">
        <f>SUM(SamplingData[[#This Row],[Losing Candidate]:[Under Votes]])</f>
        <v>5</v>
      </c>
      <c r="K84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846" s="100">
        <f>IF(AND(SamplingData[[#This Row],[Total]]&lt;&gt; 0, NOT(ISBLANK(SamplingData[[#This Row],[Candidate 3]]))),(SamplingData[[#This Row],[Total]]+SamplingData[[#This Row],[Winning Candidate]]-SamplingData[[#This Row],[Candidate 3]])/(SamplingData[[#Totals],[Winning Candidate]]-SamplingData[[#Totals],[Candidate 3]]), 0)</f>
        <v>1.6130593283220958E-4</v>
      </c>
      <c r="M846" s="100">
        <f>IF(AND(SamplingData[[#This Row],[Total]]&lt;&gt; 0, NOT(ISBLANK(SamplingData[[#This Row],[Candidate 4]]))),(SamplingData[[#This Row],[Total]]+SamplingData[[#This Row],[Winning Candidate]]-SamplingData[[#This Row],[Candidate 4]])/(SamplingData[[#Totals],[Winning Candidate]]-SamplingData[[#Totals],[Candidate 4]]), 0)</f>
        <v>1.1692829372387384E-4</v>
      </c>
      <c r="N846" s="100">
        <f>IF(AND(SamplingData[[#This Row],[Total]]&lt;&gt; 0, NOT(ISBLANK(SamplingData[[#This Row],[Candidate 5]]))),(SamplingData[[#This Row],[Total]]+SamplingData[[#This Row],[Winning Candidate]]-SamplingData[[#This Row],[Candidate 5]])/(SamplingData[[#Totals],[Winning Candidate]]-SamplingData[[#Totals],[Candidate 5]]), 0)</f>
        <v>1.2162490878131841E-4</v>
      </c>
      <c r="O846" s="100">
        <f>IF(AND(SamplingData[[#This Row],[Total]]&lt;&gt; 0, NOT(ISBLANK(SamplingData[[#This Row],[Candidate 6]]))),(SamplingData[[#This Row],[Total]]+SamplingData[[#This Row],[Winning Candidate]]-SamplingData[[#This Row],[Candidate 6]])/(SamplingData[[#Totals],[Winning Candidate]]-SamplingData[[#Totals],[Candidate 6]]), 0)</f>
        <v>1.2158941685715675E-4</v>
      </c>
      <c r="P846" s="100">
        <f>MAX(SamplingData[[#This Row],[Error Bound (up) - Max. possible relative overstatement - Losing Candidate]:[Error Bound (up) - Max. possible relative overstatement - Candidate 6]])</f>
        <v>1.6130593283220958E-4</v>
      </c>
      <c r="Q846" s="100">
        <f>IF(SamplingData[[#This Row],[Max Error Bound (up)]] = 0,0,SamplingData[[#This Row],[Max Error Bound (up)]]/SamplingData[[#Totals],[Max Error Bound (up)]])</f>
        <v>2.5529318884160328E-5</v>
      </c>
      <c r="R846" s="101">
        <f>SUM($Q$5:Q846)</f>
        <v>0.21705718660543832</v>
      </c>
      <c r="S846" s="100" t="str">
        <f t="array" ref="S846">IF(SamplingData[[#This Row],[up/U Selection Probability]] = 0, "Zero", TEXT(SamplingData[[#This Row],[Lower Range]], REPT("0",LEN('General Info'!$B$40))) &amp; " - " &amp; TEXT(SamplingData[[#This Row],[Upper Range]], REPT("0",LEN('General Info'!$B$40))))</f>
        <v>21703 - 21705</v>
      </c>
      <c r="T846" s="100">
        <f>SamplingData[[#This Row],[Upper Range]]-SamplingData[[#This Row],[Span]]</f>
        <v>21703.165754184734</v>
      </c>
      <c r="U846" s="100">
        <f>IF(ISNUMBER('General Info'!$B$40), ((SamplingData[[#This Row],[up/U Selection Probability]]) * 'General Info'!$B$40) - 1, 0)</f>
        <v>1.5529063590971486</v>
      </c>
      <c r="V846" s="100">
        <f>IF(ISNUMBER('General Info'!$B$40), (SamplingData[[#This Row],[Running (cumulative) sum]] * ('General Info'!$B$40 -'General Info'!$B$41 + 1)) + 'General Info'!$B$41 - 1, 0)</f>
        <v>21704.718660543833</v>
      </c>
      <c r="W846" s="100" t="str">
        <f>IF(ISERROR(MATCH(SamplingData[[#This Row],[Batch by Type (p)]],SelectedPrecincts[Batch Name], 0)), "", INDEX(SelectedPrecincts[Draw], MATCH(SamplingData[[#This Row],[Batch by Type (p)]],SelectedPrecincts[Batch Name], 0)))</f>
        <v/>
      </c>
      <c r="X846" s="102">
        <f>IF(COUNTIF(SelectedPrecincts[Batch Name],SamplingData[[#This Row],[Batch by Type (p)]]) &lt;&gt; 0, COUNTIF(SelectedPrecincts[Batch Name],SamplingData[[#This Row],[Batch by Type (p)]]), 0)</f>
        <v>0</v>
      </c>
    </row>
    <row r="847" spans="1:24" ht="15" customHeight="1">
      <c r="A847" s="18" t="s">
        <v>1023</v>
      </c>
      <c r="B847" s="18">
        <v>8</v>
      </c>
      <c r="C847" s="18">
        <v>3</v>
      </c>
      <c r="D847" s="16">
        <v>3</v>
      </c>
      <c r="E847" s="16">
        <v>6</v>
      </c>
      <c r="F847" s="37">
        <v>0</v>
      </c>
      <c r="G847" s="37">
        <v>0</v>
      </c>
      <c r="H847" s="17">
        <v>0</v>
      </c>
      <c r="I847" s="17">
        <v>1</v>
      </c>
      <c r="J847" s="99">
        <f>SUM(SamplingData[[#This Row],[Losing Candidate]:[Under Votes]])</f>
        <v>21</v>
      </c>
      <c r="K847"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847" s="100">
        <f>IF(AND(SamplingData[[#This Row],[Total]]&lt;&gt; 0, NOT(ISBLANK(SamplingData[[#This Row],[Candidate 3]]))),(SamplingData[[#This Row],[Total]]+SamplingData[[#This Row],[Winning Candidate]]-SamplingData[[#This Row],[Candidate 3]])/(SamplingData[[#Totals],[Winning Candidate]]-SamplingData[[#Totals],[Candidate 3]]), 0)</f>
        <v>6.7748491789528019E-4</v>
      </c>
      <c r="M847" s="100">
        <f>IF(AND(SamplingData[[#This Row],[Total]]&lt;&gt; 0, NOT(ISBLANK(SamplingData[[#This Row],[Candidate 4]]))),(SamplingData[[#This Row],[Total]]+SamplingData[[#This Row],[Winning Candidate]]-SamplingData[[#This Row],[Candidate 4]])/(SamplingData[[#Totals],[Winning Candidate]]-SamplingData[[#Totals],[Candidate 4]]), 0)</f>
        <v>5.2617732175743229E-4</v>
      </c>
      <c r="N847" s="100">
        <f>IF(AND(SamplingData[[#This Row],[Total]]&lt;&gt; 0, NOT(ISBLANK(SamplingData[[#This Row],[Candidate 5]]))),(SamplingData[[#This Row],[Total]]+SamplingData[[#This Row],[Winning Candidate]]-SamplingData[[#This Row],[Candidate 5]])/(SamplingData[[#Totals],[Winning Candidate]]-SamplingData[[#Totals],[Candidate 5]]), 0)</f>
        <v>5.8379956215032843E-4</v>
      </c>
      <c r="O847" s="100">
        <f>IF(AND(SamplingData[[#This Row],[Total]]&lt;&gt; 0, NOT(ISBLANK(SamplingData[[#This Row],[Candidate 6]]))),(SamplingData[[#This Row],[Total]]+SamplingData[[#This Row],[Winning Candidate]]-SamplingData[[#This Row],[Candidate 6]])/(SamplingData[[#Totals],[Winning Candidate]]-SamplingData[[#Totals],[Candidate 6]]), 0)</f>
        <v>5.8362920091435243E-4</v>
      </c>
      <c r="P847" s="100">
        <f>MAX(SamplingData[[#This Row],[Error Bound (up) - Max. possible relative overstatement - Losing Candidate]:[Error Bound (up) - Max. possible relative overstatement - Candidate 6]])</f>
        <v>9.7991180793728563E-4</v>
      </c>
      <c r="Q847" s="100">
        <f>IF(SamplingData[[#This Row],[Max Error Bound (up)]] = 0,0,SamplingData[[#This Row],[Max Error Bound (up)]]/SamplingData[[#Totals],[Max Error Bound (up)]])</f>
        <v>1.550871724551333E-4</v>
      </c>
      <c r="R847" s="101">
        <f>SUM($Q$5:Q847)</f>
        <v>0.21721227377789346</v>
      </c>
      <c r="S847" s="100" t="str">
        <f t="array" ref="S847">IF(SamplingData[[#This Row],[up/U Selection Probability]] = 0, "Zero", TEXT(SamplingData[[#This Row],[Lower Range]], REPT("0",LEN('General Info'!$B$40))) &amp; " - " &amp; TEXT(SamplingData[[#This Row],[Upper Range]], REPT("0",LEN('General Info'!$B$40))))</f>
        <v>21706 - 21720</v>
      </c>
      <c r="T847" s="100">
        <f>SamplingData[[#This Row],[Upper Range]]-SamplingData[[#This Row],[Span]]</f>
        <v>21705.718815631004</v>
      </c>
      <c r="U847" s="100">
        <f>IF(ISNUMBER('General Info'!$B$40), ((SamplingData[[#This Row],[up/U Selection Probability]]) * 'General Info'!$B$40) - 1, 0)</f>
        <v>14.508562158340876</v>
      </c>
      <c r="V847" s="100">
        <f>IF(ISNUMBER('General Info'!$B$40), (SamplingData[[#This Row],[Running (cumulative) sum]] * ('General Info'!$B$40 -'General Info'!$B$41 + 1)) + 'General Info'!$B$41 - 1, 0)</f>
        <v>21720.227377789346</v>
      </c>
      <c r="W847" s="100" t="str">
        <f>IF(ISERROR(MATCH(SamplingData[[#This Row],[Batch by Type (p)]],SelectedPrecincts[Batch Name], 0)), "", INDEX(SelectedPrecincts[Draw], MATCH(SamplingData[[#This Row],[Batch by Type (p)]],SelectedPrecincts[Batch Name], 0)))</f>
        <v/>
      </c>
      <c r="X847" s="102">
        <f>IF(COUNTIF(SelectedPrecincts[Batch Name],SamplingData[[#This Row],[Batch by Type (p)]]) &lt;&gt; 0, COUNTIF(SelectedPrecincts[Batch Name],SamplingData[[#This Row],[Batch by Type (p)]]), 0)</f>
        <v>0</v>
      </c>
    </row>
    <row r="848" spans="1:24" ht="15" customHeight="1">
      <c r="A848" s="18" t="s">
        <v>1024</v>
      </c>
      <c r="B848" s="18">
        <v>5</v>
      </c>
      <c r="C848" s="18">
        <v>4</v>
      </c>
      <c r="D848" s="18">
        <v>2</v>
      </c>
      <c r="E848" s="18">
        <v>1</v>
      </c>
      <c r="F848" s="18">
        <v>0</v>
      </c>
      <c r="G848" s="18">
        <v>0</v>
      </c>
      <c r="H848" s="18">
        <v>0</v>
      </c>
      <c r="I848" s="18">
        <v>0</v>
      </c>
      <c r="J848" s="99">
        <f>SUM(SamplingData[[#This Row],[Losing Candidate]:[Under Votes]])</f>
        <v>12</v>
      </c>
      <c r="K848"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848" s="100">
        <f>IF(AND(SamplingData[[#This Row],[Total]]&lt;&gt; 0, NOT(ISBLANK(SamplingData[[#This Row],[Candidate 3]]))),(SamplingData[[#This Row],[Total]]+SamplingData[[#This Row],[Winning Candidate]]-SamplingData[[#This Row],[Candidate 3]])/(SamplingData[[#Totals],[Winning Candidate]]-SamplingData[[#Totals],[Candidate 3]]), 0)</f>
        <v>4.5165661193018679E-4</v>
      </c>
      <c r="M848" s="100">
        <f>IF(AND(SamplingData[[#This Row],[Total]]&lt;&gt; 0, NOT(ISBLANK(SamplingData[[#This Row],[Candidate 4]]))),(SamplingData[[#This Row],[Total]]+SamplingData[[#This Row],[Winning Candidate]]-SamplingData[[#This Row],[Candidate 4]])/(SamplingData[[#Totals],[Winning Candidate]]-SamplingData[[#Totals],[Candidate 4]]), 0)</f>
        <v>4.3848110146452689E-4</v>
      </c>
      <c r="N848" s="100">
        <f>IF(AND(SamplingData[[#This Row],[Total]]&lt;&gt; 0, NOT(ISBLANK(SamplingData[[#This Row],[Candidate 5]]))),(SamplingData[[#This Row],[Total]]+SamplingData[[#This Row],[Winning Candidate]]-SamplingData[[#This Row],[Candidate 5]])/(SamplingData[[#Totals],[Winning Candidate]]-SamplingData[[#Totals],[Candidate 5]]), 0)</f>
        <v>3.8919970810021893E-4</v>
      </c>
      <c r="O848" s="100">
        <f>IF(AND(SamplingData[[#This Row],[Total]]&lt;&gt; 0, NOT(ISBLANK(SamplingData[[#This Row],[Candidate 6]]))),(SamplingData[[#This Row],[Total]]+SamplingData[[#This Row],[Winning Candidate]]-SamplingData[[#This Row],[Candidate 6]])/(SamplingData[[#Totals],[Winning Candidate]]-SamplingData[[#Totals],[Candidate 6]]), 0)</f>
        <v>3.8908613394290161E-4</v>
      </c>
      <c r="P848" s="100">
        <f>MAX(SamplingData[[#This Row],[Error Bound (up) - Max. possible relative overstatement - Losing Candidate]:[Error Bound (up) - Max. possible relative overstatement - Candidate 6]])</f>
        <v>6.7368936795688392E-4</v>
      </c>
      <c r="Q848" s="100">
        <f>IF(SamplingData[[#This Row],[Max Error Bound (up)]] = 0,0,SamplingData[[#This Row],[Max Error Bound (up)]]/SamplingData[[#Totals],[Max Error Bound (up)]])</f>
        <v>1.0662243106290416E-4</v>
      </c>
      <c r="R848" s="101">
        <f>SUM($Q$5:Q848)</f>
        <v>0.21731889620895636</v>
      </c>
      <c r="S848" s="100" t="str">
        <f t="array" ref="S848">IF(SamplingData[[#This Row],[up/U Selection Probability]] = 0, "Zero", TEXT(SamplingData[[#This Row],[Lower Range]], REPT("0",LEN('General Info'!$B$40))) &amp; " - " &amp; TEXT(SamplingData[[#This Row],[Upper Range]], REPT("0",LEN('General Info'!$B$40))))</f>
        <v>21721 - 21731</v>
      </c>
      <c r="T848" s="100">
        <f>SamplingData[[#This Row],[Upper Range]]-SamplingData[[#This Row],[Span]]</f>
        <v>21721.227484411775</v>
      </c>
      <c r="U848" s="100">
        <f>IF(ISNUMBER('General Info'!$B$40), ((SamplingData[[#This Row],[up/U Selection Probability]]) * 'General Info'!$B$40) - 1, 0)</f>
        <v>9.6621364838593529</v>
      </c>
      <c r="V848" s="100">
        <f>IF(ISNUMBER('General Info'!$B$40), (SamplingData[[#This Row],[Running (cumulative) sum]] * ('General Info'!$B$40 -'General Info'!$B$41 + 1)) + 'General Info'!$B$41 - 1, 0)</f>
        <v>21730.889620895636</v>
      </c>
      <c r="W848" s="100" t="str">
        <f>IF(ISERROR(MATCH(SamplingData[[#This Row],[Batch by Type (p)]],SelectedPrecincts[Batch Name], 0)), "", INDEX(SelectedPrecincts[Draw], MATCH(SamplingData[[#This Row],[Batch by Type (p)]],SelectedPrecincts[Batch Name], 0)))</f>
        <v/>
      </c>
      <c r="X848" s="102">
        <f>IF(COUNTIF(SelectedPrecincts[Batch Name],SamplingData[[#This Row],[Batch by Type (p)]]) &lt;&gt; 0, COUNTIF(SelectedPrecincts[Batch Name],SamplingData[[#This Row],[Batch by Type (p)]]), 0)</f>
        <v>0</v>
      </c>
    </row>
    <row r="849" spans="1:24" ht="15" customHeight="1">
      <c r="A849" s="18" t="s">
        <v>1025</v>
      </c>
      <c r="B849" s="18">
        <v>10</v>
      </c>
      <c r="C849" s="18">
        <v>11</v>
      </c>
      <c r="D849" s="16">
        <v>4</v>
      </c>
      <c r="E849" s="16">
        <v>5</v>
      </c>
      <c r="F849" s="37">
        <v>0</v>
      </c>
      <c r="G849" s="37">
        <v>0</v>
      </c>
      <c r="H849" s="17">
        <v>0</v>
      </c>
      <c r="I849" s="17">
        <v>0</v>
      </c>
      <c r="J849" s="99">
        <f>SUM(SamplingData[[#This Row],[Losing Candidate]:[Under Votes]])</f>
        <v>30</v>
      </c>
      <c r="K849"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849" s="100">
        <f>IF(AND(SamplingData[[#This Row],[Total]]&lt;&gt; 0, NOT(ISBLANK(SamplingData[[#This Row],[Candidate 3]]))),(SamplingData[[#This Row],[Total]]+SamplingData[[#This Row],[Winning Candidate]]-SamplingData[[#This Row],[Candidate 3]])/(SamplingData[[#Totals],[Winning Candidate]]-SamplingData[[#Totals],[Candidate 3]]), 0)</f>
        <v>1.1936639029583509E-3</v>
      </c>
      <c r="M849" s="100">
        <f>IF(AND(SamplingData[[#This Row],[Total]]&lt;&gt; 0, NOT(ISBLANK(SamplingData[[#This Row],[Candidate 4]]))),(SamplingData[[#This Row],[Total]]+SamplingData[[#This Row],[Winning Candidate]]-SamplingData[[#This Row],[Candidate 4]])/(SamplingData[[#Totals],[Winning Candidate]]-SamplingData[[#Totals],[Candidate 4]]), 0)</f>
        <v>1.0523546435148646E-3</v>
      </c>
      <c r="N849" s="100">
        <f>IF(AND(SamplingData[[#This Row],[Total]]&lt;&gt; 0, NOT(ISBLANK(SamplingData[[#This Row],[Candidate 5]]))),(SamplingData[[#This Row],[Total]]+SamplingData[[#This Row],[Winning Candidate]]-SamplingData[[#This Row],[Candidate 5]])/(SamplingData[[#Totals],[Winning Candidate]]-SamplingData[[#Totals],[Candidate 5]]), 0)</f>
        <v>9.9732425200681099E-4</v>
      </c>
      <c r="O849" s="100">
        <f>IF(AND(SamplingData[[#This Row],[Total]]&lt;&gt; 0, NOT(ISBLANK(SamplingData[[#This Row],[Candidate 6]]))),(SamplingData[[#This Row],[Total]]+SamplingData[[#This Row],[Winning Candidate]]-SamplingData[[#This Row],[Candidate 6]])/(SamplingData[[#Totals],[Winning Candidate]]-SamplingData[[#Totals],[Candidate 6]]), 0)</f>
        <v>9.9703321822868537E-4</v>
      </c>
      <c r="P849" s="100">
        <f>MAX(SamplingData[[#This Row],[Error Bound (up) - Max. possible relative overstatement - Losing Candidate]:[Error Bound (up) - Max. possible relative overstatement - Candidate 6]])</f>
        <v>1.8985791278784908E-3</v>
      </c>
      <c r="Q849" s="100">
        <f>IF(SamplingData[[#This Row],[Max Error Bound (up)]] = 0,0,SamplingData[[#This Row],[Max Error Bound (up)]]/SamplingData[[#Totals],[Max Error Bound (up)]])</f>
        <v>3.0048139663182077E-4</v>
      </c>
      <c r="R849" s="101">
        <f>SUM($Q$5:Q849)</f>
        <v>0.21761937760558819</v>
      </c>
      <c r="S849" s="100" t="str">
        <f t="array" ref="S849">IF(SamplingData[[#This Row],[up/U Selection Probability]] = 0, "Zero", TEXT(SamplingData[[#This Row],[Lower Range]], REPT("0",LEN('General Info'!$B$40))) &amp; " - " &amp; TEXT(SamplingData[[#This Row],[Upper Range]], REPT("0",LEN('General Info'!$B$40))))</f>
        <v>21732 - 21761</v>
      </c>
      <c r="T849" s="100">
        <f>SamplingData[[#This Row],[Upper Range]]-SamplingData[[#This Row],[Span]]</f>
        <v>21731.889921377035</v>
      </c>
      <c r="U849" s="100">
        <f>IF(ISNUMBER('General Info'!$B$40), ((SamplingData[[#This Row],[up/U Selection Probability]]) * 'General Info'!$B$40) - 1, 0)</f>
        <v>29.047839181785445</v>
      </c>
      <c r="V849" s="100">
        <f>IF(ISNUMBER('General Info'!$B$40), (SamplingData[[#This Row],[Running (cumulative) sum]] * ('General Info'!$B$40 -'General Info'!$B$41 + 1)) + 'General Info'!$B$41 - 1, 0)</f>
        <v>21760.93776055882</v>
      </c>
      <c r="W849" s="100" t="str">
        <f>IF(ISERROR(MATCH(SamplingData[[#This Row],[Batch by Type (p)]],SelectedPrecincts[Batch Name], 0)), "", INDEX(SelectedPrecincts[Draw], MATCH(SamplingData[[#This Row],[Batch by Type (p)]],SelectedPrecincts[Batch Name], 0)))</f>
        <v/>
      </c>
      <c r="X849" s="102">
        <f>IF(COUNTIF(SelectedPrecincts[Batch Name],SamplingData[[#This Row],[Batch by Type (p)]]) &lt;&gt; 0, COUNTIF(SelectedPrecincts[Batch Name],SamplingData[[#This Row],[Batch by Type (p)]]), 0)</f>
        <v>0</v>
      </c>
    </row>
    <row r="850" spans="1:24" ht="15" customHeight="1">
      <c r="A850" s="18" t="s">
        <v>1026</v>
      </c>
      <c r="B850" s="18">
        <v>2</v>
      </c>
      <c r="C850" s="18">
        <v>3</v>
      </c>
      <c r="D850" s="18">
        <v>1</v>
      </c>
      <c r="E850" s="18">
        <v>2</v>
      </c>
      <c r="F850" s="18">
        <v>0</v>
      </c>
      <c r="G850" s="18">
        <v>0</v>
      </c>
      <c r="H850" s="18">
        <v>0</v>
      </c>
      <c r="I850" s="18">
        <v>0</v>
      </c>
      <c r="J850" s="99">
        <f>SUM(SamplingData[[#This Row],[Losing Candidate]:[Under Votes]])</f>
        <v>8</v>
      </c>
      <c r="K850"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850" s="100">
        <f>IF(AND(SamplingData[[#This Row],[Total]]&lt;&gt; 0, NOT(ISBLANK(SamplingData[[#This Row],[Candidate 3]]))),(SamplingData[[#This Row],[Total]]+SamplingData[[#This Row],[Winning Candidate]]-SamplingData[[#This Row],[Candidate 3]])/(SamplingData[[#Totals],[Winning Candidate]]-SamplingData[[#Totals],[Candidate 3]]), 0)</f>
        <v>3.2261186566441915E-4</v>
      </c>
      <c r="M850" s="100">
        <f>IF(AND(SamplingData[[#This Row],[Total]]&lt;&gt; 0, NOT(ISBLANK(SamplingData[[#This Row],[Candidate 4]]))),(SamplingData[[#This Row],[Total]]+SamplingData[[#This Row],[Winning Candidate]]-SamplingData[[#This Row],[Candidate 4]])/(SamplingData[[#Totals],[Winning Candidate]]-SamplingData[[#Totals],[Candidate 4]]), 0)</f>
        <v>2.6308866087871614E-4</v>
      </c>
      <c r="N850" s="100">
        <f>IF(AND(SamplingData[[#This Row],[Total]]&lt;&gt; 0, NOT(ISBLANK(SamplingData[[#This Row],[Candidate 5]]))),(SamplingData[[#This Row],[Total]]+SamplingData[[#This Row],[Winning Candidate]]-SamplingData[[#This Row],[Candidate 5]])/(SamplingData[[#Totals],[Winning Candidate]]-SamplingData[[#Totals],[Candidate 5]]), 0)</f>
        <v>2.6757479931890053E-4</v>
      </c>
      <c r="O850" s="100">
        <f>IF(AND(SamplingData[[#This Row],[Total]]&lt;&gt; 0, NOT(ISBLANK(SamplingData[[#This Row],[Candidate 6]]))),(SamplingData[[#This Row],[Total]]+SamplingData[[#This Row],[Winning Candidate]]-SamplingData[[#This Row],[Candidate 6]])/(SamplingData[[#Totals],[Winning Candidate]]-SamplingData[[#Totals],[Candidate 6]]), 0)</f>
        <v>2.6749671708574483E-4</v>
      </c>
      <c r="P850" s="100">
        <f>MAX(SamplingData[[#This Row],[Error Bound (up) - Max. possible relative overstatement - Losing Candidate]:[Error Bound (up) - Max. possible relative overstatement - Candidate 6]])</f>
        <v>5.5120039196472322E-4</v>
      </c>
      <c r="Q850" s="100">
        <f>IF(SamplingData[[#This Row],[Max Error Bound (up)]] = 0,0,SamplingData[[#This Row],[Max Error Bound (up)]]/SamplingData[[#Totals],[Max Error Bound (up)]])</f>
        <v>8.7236534506012492E-5</v>
      </c>
      <c r="R850" s="101">
        <f>SUM($Q$5:Q850)</f>
        <v>0.21770661414009421</v>
      </c>
      <c r="S850" s="100" t="str">
        <f t="array" ref="S850">IF(SamplingData[[#This Row],[up/U Selection Probability]] = 0, "Zero", TEXT(SamplingData[[#This Row],[Lower Range]], REPT("0",LEN('General Info'!$B$40))) &amp; " - " &amp; TEXT(SamplingData[[#This Row],[Upper Range]], REPT("0",LEN('General Info'!$B$40))))</f>
        <v>21762 - 21770</v>
      </c>
      <c r="T850" s="100">
        <f>SamplingData[[#This Row],[Upper Range]]-SamplingData[[#This Row],[Span]]</f>
        <v>21761.937847795354</v>
      </c>
      <c r="U850" s="100">
        <f>IF(ISNUMBER('General Info'!$B$40), ((SamplingData[[#This Row],[up/U Selection Probability]]) * 'General Info'!$B$40) - 1, 0)</f>
        <v>7.7235662140667429</v>
      </c>
      <c r="V850" s="100">
        <f>IF(ISNUMBER('General Info'!$B$40), (SamplingData[[#This Row],[Running (cumulative) sum]] * ('General Info'!$B$40 -'General Info'!$B$41 + 1)) + 'General Info'!$B$41 - 1, 0)</f>
        <v>21769.661414009421</v>
      </c>
      <c r="W850" s="100" t="str">
        <f>IF(ISERROR(MATCH(SamplingData[[#This Row],[Batch by Type (p)]],SelectedPrecincts[Batch Name], 0)), "", INDEX(SelectedPrecincts[Draw], MATCH(SamplingData[[#This Row],[Batch by Type (p)]],SelectedPrecincts[Batch Name], 0)))</f>
        <v/>
      </c>
      <c r="X850" s="102">
        <f>IF(COUNTIF(SelectedPrecincts[Batch Name],SamplingData[[#This Row],[Batch by Type (p)]]) &lt;&gt; 0, COUNTIF(SelectedPrecincts[Batch Name],SamplingData[[#This Row],[Batch by Type (p)]]), 0)</f>
        <v>0</v>
      </c>
    </row>
    <row r="851" spans="1:24" ht="15" customHeight="1">
      <c r="A851" s="18" t="s">
        <v>1027</v>
      </c>
      <c r="B851" s="18">
        <v>3</v>
      </c>
      <c r="C851" s="18">
        <v>1</v>
      </c>
      <c r="D851" s="16">
        <v>0</v>
      </c>
      <c r="E851" s="16">
        <v>2</v>
      </c>
      <c r="F851" s="37">
        <v>0</v>
      </c>
      <c r="G851" s="37">
        <v>0</v>
      </c>
      <c r="H851" s="17">
        <v>0</v>
      </c>
      <c r="I851" s="17">
        <v>1</v>
      </c>
      <c r="J851" s="99">
        <f>SUM(SamplingData[[#This Row],[Losing Candidate]:[Under Votes]])</f>
        <v>7</v>
      </c>
      <c r="K851"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851" s="100">
        <f>IF(AND(SamplingData[[#This Row],[Total]]&lt;&gt; 0, NOT(ISBLANK(SamplingData[[#This Row],[Candidate 3]]))),(SamplingData[[#This Row],[Total]]+SamplingData[[#This Row],[Winning Candidate]]-SamplingData[[#This Row],[Candidate 3]])/(SamplingData[[#Totals],[Winning Candidate]]-SamplingData[[#Totals],[Candidate 3]]), 0)</f>
        <v>2.5808949253153533E-4</v>
      </c>
      <c r="M851" s="100">
        <f>IF(AND(SamplingData[[#This Row],[Total]]&lt;&gt; 0, NOT(ISBLANK(SamplingData[[#This Row],[Candidate 4]]))),(SamplingData[[#This Row],[Total]]+SamplingData[[#This Row],[Winning Candidate]]-SamplingData[[#This Row],[Candidate 4]])/(SamplingData[[#Totals],[Winning Candidate]]-SamplingData[[#Totals],[Candidate 4]]), 0)</f>
        <v>1.7539244058581075E-4</v>
      </c>
      <c r="N851" s="100">
        <f>IF(AND(SamplingData[[#This Row],[Total]]&lt;&gt; 0, NOT(ISBLANK(SamplingData[[#This Row],[Candidate 5]]))),(SamplingData[[#This Row],[Total]]+SamplingData[[#This Row],[Winning Candidate]]-SamplingData[[#This Row],[Candidate 5]])/(SamplingData[[#Totals],[Winning Candidate]]-SamplingData[[#Totals],[Candidate 5]]), 0)</f>
        <v>1.9459985405010947E-4</v>
      </c>
      <c r="O851" s="100">
        <f>IF(AND(SamplingData[[#This Row],[Total]]&lt;&gt; 0, NOT(ISBLANK(SamplingData[[#This Row],[Candidate 6]]))),(SamplingData[[#This Row],[Total]]+SamplingData[[#This Row],[Winning Candidate]]-SamplingData[[#This Row],[Candidate 6]])/(SamplingData[[#Totals],[Winning Candidate]]-SamplingData[[#Totals],[Candidate 6]]), 0)</f>
        <v>1.945430669714508E-4</v>
      </c>
      <c r="P851" s="100">
        <f>MAX(SamplingData[[#This Row],[Error Bound (up) - Max. possible relative overstatement - Losing Candidate]:[Error Bound (up) - Max. possible relative overstatement - Candidate 6]])</f>
        <v>3.0622243998040176E-4</v>
      </c>
      <c r="Q851" s="100">
        <f>IF(SamplingData[[#This Row],[Max Error Bound (up)]] = 0,0,SamplingData[[#This Row],[Max Error Bound (up)]]/SamplingData[[#Totals],[Max Error Bound (up)]])</f>
        <v>4.8464741392229159E-5</v>
      </c>
      <c r="R851" s="101">
        <f>SUM($Q$5:Q851)</f>
        <v>0.21775507888148643</v>
      </c>
      <c r="S851" s="100" t="str">
        <f t="array" ref="S851">IF(SamplingData[[#This Row],[up/U Selection Probability]] = 0, "Zero", TEXT(SamplingData[[#This Row],[Lower Range]], REPT("0",LEN('General Info'!$B$40))) &amp; " - " &amp; TEXT(SamplingData[[#This Row],[Upper Range]], REPT("0",LEN('General Info'!$B$40))))</f>
        <v>21771 - 21775</v>
      </c>
      <c r="T851" s="100">
        <f>SamplingData[[#This Row],[Upper Range]]-SamplingData[[#This Row],[Span]]</f>
        <v>21770.661462474163</v>
      </c>
      <c r="U851" s="100">
        <f>IF(ISNUMBER('General Info'!$B$40), ((SamplingData[[#This Row],[up/U Selection Probability]]) * 'General Info'!$B$40) - 1, 0)</f>
        <v>3.8464256744815239</v>
      </c>
      <c r="V851" s="100">
        <f>IF(ISNUMBER('General Info'!$B$40), (SamplingData[[#This Row],[Running (cumulative) sum]] * ('General Info'!$B$40 -'General Info'!$B$41 + 1)) + 'General Info'!$B$41 - 1, 0)</f>
        <v>21774.507888148644</v>
      </c>
      <c r="W851" s="100" t="str">
        <f>IF(ISERROR(MATCH(SamplingData[[#This Row],[Batch by Type (p)]],SelectedPrecincts[Batch Name], 0)), "", INDEX(SelectedPrecincts[Draw], MATCH(SamplingData[[#This Row],[Batch by Type (p)]],SelectedPrecincts[Batch Name], 0)))</f>
        <v/>
      </c>
      <c r="X851" s="102">
        <f>IF(COUNTIF(SelectedPrecincts[Batch Name],SamplingData[[#This Row],[Batch by Type (p)]]) &lt;&gt; 0, COUNTIF(SelectedPrecincts[Batch Name],SamplingData[[#This Row],[Batch by Type (p)]]), 0)</f>
        <v>0</v>
      </c>
    </row>
    <row r="852" spans="1:24" ht="15" customHeight="1">
      <c r="A852" s="18" t="s">
        <v>1028</v>
      </c>
      <c r="B852" s="18">
        <v>1</v>
      </c>
      <c r="C852" s="18">
        <v>0</v>
      </c>
      <c r="D852" s="18">
        <v>2</v>
      </c>
      <c r="E852" s="18">
        <v>2</v>
      </c>
      <c r="F852" s="18">
        <v>0</v>
      </c>
      <c r="G852" s="18">
        <v>0</v>
      </c>
      <c r="H852" s="18">
        <v>0</v>
      </c>
      <c r="I852" s="18">
        <v>0</v>
      </c>
      <c r="J852" s="99">
        <f>SUM(SamplingData[[#This Row],[Losing Candidate]:[Under Votes]])</f>
        <v>5</v>
      </c>
      <c r="K852"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852" s="100">
        <f>IF(AND(SamplingData[[#This Row],[Total]]&lt;&gt; 0, NOT(ISBLANK(SamplingData[[#This Row],[Candidate 3]]))),(SamplingData[[#This Row],[Total]]+SamplingData[[#This Row],[Winning Candidate]]-SamplingData[[#This Row],[Candidate 3]])/(SamplingData[[#Totals],[Winning Candidate]]-SamplingData[[#Totals],[Candidate 3]]), 0)</f>
        <v>9.6783559699325743E-5</v>
      </c>
      <c r="M852" s="100">
        <f>IF(AND(SamplingData[[#This Row],[Total]]&lt;&gt; 0, NOT(ISBLANK(SamplingData[[#This Row],[Candidate 4]]))),(SamplingData[[#This Row],[Total]]+SamplingData[[#This Row],[Winning Candidate]]-SamplingData[[#This Row],[Candidate 4]])/(SamplingData[[#Totals],[Winning Candidate]]-SamplingData[[#Totals],[Candidate 4]]), 0)</f>
        <v>8.7696220292905373E-5</v>
      </c>
      <c r="N852" s="100">
        <f>IF(AND(SamplingData[[#This Row],[Total]]&lt;&gt; 0, NOT(ISBLANK(SamplingData[[#This Row],[Candidate 5]]))),(SamplingData[[#This Row],[Total]]+SamplingData[[#This Row],[Winning Candidate]]-SamplingData[[#This Row],[Candidate 5]])/(SamplingData[[#Totals],[Winning Candidate]]-SamplingData[[#Totals],[Candidate 5]]), 0)</f>
        <v>1.2162490878131841E-4</v>
      </c>
      <c r="O852" s="100">
        <f>IF(AND(SamplingData[[#This Row],[Total]]&lt;&gt; 0, NOT(ISBLANK(SamplingData[[#This Row],[Candidate 6]]))),(SamplingData[[#This Row],[Total]]+SamplingData[[#This Row],[Winning Candidate]]-SamplingData[[#This Row],[Candidate 6]])/(SamplingData[[#Totals],[Winning Candidate]]-SamplingData[[#Totals],[Candidate 6]]), 0)</f>
        <v>1.2158941685715675E-4</v>
      </c>
      <c r="P852" s="100">
        <f>MAX(SamplingData[[#This Row],[Error Bound (up) - Max. possible relative overstatement - Losing Candidate]:[Error Bound (up) - Max. possible relative overstatement - Candidate 6]])</f>
        <v>2.4497795198432141E-4</v>
      </c>
      <c r="Q852" s="100">
        <f>IF(SamplingData[[#This Row],[Max Error Bound (up)]] = 0,0,SamplingData[[#This Row],[Max Error Bound (up)]]/SamplingData[[#Totals],[Max Error Bound (up)]])</f>
        <v>3.8771793113783326E-5</v>
      </c>
      <c r="R852" s="101">
        <f>SUM($Q$5:Q852)</f>
        <v>0.21779385067460022</v>
      </c>
      <c r="S852" s="100" t="str">
        <f t="array" ref="S852">IF(SamplingData[[#This Row],[up/U Selection Probability]] = 0, "Zero", TEXT(SamplingData[[#This Row],[Lower Range]], REPT("0",LEN('General Info'!$B$40))) &amp; " - " &amp; TEXT(SamplingData[[#This Row],[Upper Range]], REPT("0",LEN('General Info'!$B$40))))</f>
        <v>21776 - 21778</v>
      </c>
      <c r="T852" s="100">
        <f>SamplingData[[#This Row],[Upper Range]]-SamplingData[[#This Row],[Span]]</f>
        <v>21775.507926920436</v>
      </c>
      <c r="U852" s="100">
        <f>IF(ISNUMBER('General Info'!$B$40), ((SamplingData[[#This Row],[up/U Selection Probability]]) * 'General Info'!$B$40) - 1, 0)</f>
        <v>2.877140539585219</v>
      </c>
      <c r="V852" s="100">
        <f>IF(ISNUMBER('General Info'!$B$40), (SamplingData[[#This Row],[Running (cumulative) sum]] * ('General Info'!$B$40 -'General Info'!$B$41 + 1)) + 'General Info'!$B$41 - 1, 0)</f>
        <v>21778.385067460022</v>
      </c>
      <c r="W852" s="100" t="str">
        <f>IF(ISERROR(MATCH(SamplingData[[#This Row],[Batch by Type (p)]],SelectedPrecincts[Batch Name], 0)), "", INDEX(SelectedPrecincts[Draw], MATCH(SamplingData[[#This Row],[Batch by Type (p)]],SelectedPrecincts[Batch Name], 0)))</f>
        <v/>
      </c>
      <c r="X852" s="102">
        <f>IF(COUNTIF(SelectedPrecincts[Batch Name],SamplingData[[#This Row],[Batch by Type (p)]]) &lt;&gt; 0, COUNTIF(SelectedPrecincts[Batch Name],SamplingData[[#This Row],[Batch by Type (p)]]), 0)</f>
        <v>0</v>
      </c>
    </row>
    <row r="853" spans="1:24" ht="15" customHeight="1">
      <c r="A853" s="18" t="s">
        <v>1029</v>
      </c>
      <c r="B853" s="18">
        <v>3</v>
      </c>
      <c r="C853" s="18">
        <v>2</v>
      </c>
      <c r="D853" s="16">
        <v>1</v>
      </c>
      <c r="E853" s="16">
        <v>2</v>
      </c>
      <c r="F853" s="37">
        <v>0</v>
      </c>
      <c r="G853" s="37">
        <v>0</v>
      </c>
      <c r="H853" s="17">
        <v>0</v>
      </c>
      <c r="I853" s="17">
        <v>0</v>
      </c>
      <c r="J853" s="99">
        <f>SUM(SamplingData[[#This Row],[Losing Candidate]:[Under Votes]])</f>
        <v>8</v>
      </c>
      <c r="K853"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853" s="100">
        <f>IF(AND(SamplingData[[#This Row],[Total]]&lt;&gt; 0, NOT(ISBLANK(SamplingData[[#This Row],[Candidate 3]]))),(SamplingData[[#This Row],[Total]]+SamplingData[[#This Row],[Winning Candidate]]-SamplingData[[#This Row],[Candidate 3]])/(SamplingData[[#Totals],[Winning Candidate]]-SamplingData[[#Totals],[Candidate 3]]), 0)</f>
        <v>2.9035067909797722E-4</v>
      </c>
      <c r="M853" s="100">
        <f>IF(AND(SamplingData[[#This Row],[Total]]&lt;&gt; 0, NOT(ISBLANK(SamplingData[[#This Row],[Candidate 4]]))),(SamplingData[[#This Row],[Total]]+SamplingData[[#This Row],[Winning Candidate]]-SamplingData[[#This Row],[Candidate 4]])/(SamplingData[[#Totals],[Winning Candidate]]-SamplingData[[#Totals],[Candidate 4]]), 0)</f>
        <v>2.3385658744774768E-4</v>
      </c>
      <c r="N853" s="100">
        <f>IF(AND(SamplingData[[#This Row],[Total]]&lt;&gt; 0, NOT(ISBLANK(SamplingData[[#This Row],[Candidate 5]]))),(SamplingData[[#This Row],[Total]]+SamplingData[[#This Row],[Winning Candidate]]-SamplingData[[#This Row],[Candidate 5]])/(SamplingData[[#Totals],[Winning Candidate]]-SamplingData[[#Totals],[Candidate 5]]), 0)</f>
        <v>2.4324981756263683E-4</v>
      </c>
      <c r="O853" s="100">
        <f>IF(AND(SamplingData[[#This Row],[Total]]&lt;&gt; 0, NOT(ISBLANK(SamplingData[[#This Row],[Candidate 6]]))),(SamplingData[[#This Row],[Total]]+SamplingData[[#This Row],[Winning Candidate]]-SamplingData[[#This Row],[Candidate 6]])/(SamplingData[[#Totals],[Winning Candidate]]-SamplingData[[#Totals],[Candidate 6]]), 0)</f>
        <v>2.431788337143135E-4</v>
      </c>
      <c r="P853" s="100">
        <f>MAX(SamplingData[[#This Row],[Error Bound (up) - Max. possible relative overstatement - Losing Candidate]:[Error Bound (up) - Max. possible relative overstatement - Candidate 6]])</f>
        <v>4.2871141597256246E-4</v>
      </c>
      <c r="Q853" s="100">
        <f>IF(SamplingData[[#This Row],[Max Error Bound (up)]] = 0,0,SamplingData[[#This Row],[Max Error Bound (up)]]/SamplingData[[#Totals],[Max Error Bound (up)]])</f>
        <v>6.7850637949120826E-5</v>
      </c>
      <c r="R853" s="101">
        <f>SUM($Q$5:Q853)</f>
        <v>0.21786170131254934</v>
      </c>
      <c r="S853" s="100" t="str">
        <f t="array" ref="S853">IF(SamplingData[[#This Row],[up/U Selection Probability]] = 0, "Zero", TEXT(SamplingData[[#This Row],[Lower Range]], REPT("0",LEN('General Info'!$B$40))) &amp; " - " &amp; TEXT(SamplingData[[#This Row],[Upper Range]], REPT("0",LEN('General Info'!$B$40))))</f>
        <v>21779 - 21785</v>
      </c>
      <c r="T853" s="100">
        <f>SamplingData[[#This Row],[Upper Range]]-SamplingData[[#This Row],[Span]]</f>
        <v>21779.385135310658</v>
      </c>
      <c r="U853" s="100">
        <f>IF(ISNUMBER('General Info'!$B$40), ((SamplingData[[#This Row],[up/U Selection Probability]]) * 'General Info'!$B$40) - 1, 0)</f>
        <v>5.7849959442741339</v>
      </c>
      <c r="V853" s="100">
        <f>IF(ISNUMBER('General Info'!$B$40), (SamplingData[[#This Row],[Running (cumulative) sum]] * ('General Info'!$B$40 -'General Info'!$B$41 + 1)) + 'General Info'!$B$41 - 1, 0)</f>
        <v>21785.170131254934</v>
      </c>
      <c r="W853" s="100" t="str">
        <f>IF(ISERROR(MATCH(SamplingData[[#This Row],[Batch by Type (p)]],SelectedPrecincts[Batch Name], 0)), "", INDEX(SelectedPrecincts[Draw], MATCH(SamplingData[[#This Row],[Batch by Type (p)]],SelectedPrecincts[Batch Name], 0)))</f>
        <v/>
      </c>
      <c r="X853" s="102">
        <f>IF(COUNTIF(SelectedPrecincts[Batch Name],SamplingData[[#This Row],[Batch by Type (p)]]) &lt;&gt; 0, COUNTIF(SelectedPrecincts[Batch Name],SamplingData[[#This Row],[Batch by Type (p)]]), 0)</f>
        <v>0</v>
      </c>
    </row>
    <row r="854" spans="1:24" ht="15" customHeight="1">
      <c r="A854" s="18" t="s">
        <v>1030</v>
      </c>
      <c r="B854" s="18">
        <v>1</v>
      </c>
      <c r="C854" s="18">
        <v>0</v>
      </c>
      <c r="D854" s="18">
        <v>0</v>
      </c>
      <c r="E854" s="18">
        <v>0</v>
      </c>
      <c r="F854" s="18">
        <v>0</v>
      </c>
      <c r="G854" s="18">
        <v>0</v>
      </c>
      <c r="H854" s="18">
        <v>0</v>
      </c>
      <c r="I854" s="18">
        <v>0</v>
      </c>
      <c r="J854" s="99">
        <f>SUM(SamplingData[[#This Row],[Losing Candidate]:[Under Votes]])</f>
        <v>1</v>
      </c>
      <c r="K854" s="100">
        <f>IF(AND(SamplingData[[#This Row],[Total]]&lt;&gt; 0, NOT(ISBLANK(SamplingData[[#This Row],[Losing Candidate]]))),(SamplingData[[#This Row],[Total]]+SamplingData[[#This Row],[Winning Candidate]]-SamplingData[[#This Row],[Losing Candidate]])/(SamplingData[[#Totals],[Winning Candidate]]-SamplingData[[#Totals],[Losing Candidate]]), 0)</f>
        <v>0</v>
      </c>
      <c r="L854" s="100">
        <f>IF(AND(SamplingData[[#This Row],[Total]]&lt;&gt; 0, NOT(ISBLANK(SamplingData[[#This Row],[Candidate 3]]))),(SamplingData[[#This Row],[Total]]+SamplingData[[#This Row],[Winning Candidate]]-SamplingData[[#This Row],[Candidate 3]])/(SamplingData[[#Totals],[Winning Candidate]]-SamplingData[[#Totals],[Candidate 3]]), 0)</f>
        <v>3.2261186566441917E-5</v>
      </c>
      <c r="M854" s="100">
        <f>IF(AND(SamplingData[[#This Row],[Total]]&lt;&gt; 0, NOT(ISBLANK(SamplingData[[#This Row],[Candidate 4]]))),(SamplingData[[#This Row],[Total]]+SamplingData[[#This Row],[Winning Candidate]]-SamplingData[[#This Row],[Candidate 4]])/(SamplingData[[#Totals],[Winning Candidate]]-SamplingData[[#Totals],[Candidate 4]]), 0)</f>
        <v>2.923207343096846E-5</v>
      </c>
      <c r="N854" s="100">
        <f>IF(AND(SamplingData[[#This Row],[Total]]&lt;&gt; 0, NOT(ISBLANK(SamplingData[[#This Row],[Candidate 5]]))),(SamplingData[[#This Row],[Total]]+SamplingData[[#This Row],[Winning Candidate]]-SamplingData[[#This Row],[Candidate 5]])/(SamplingData[[#Totals],[Winning Candidate]]-SamplingData[[#Totals],[Candidate 5]]), 0)</f>
        <v>2.4324981756263683E-5</v>
      </c>
      <c r="O854" s="100">
        <f>IF(AND(SamplingData[[#This Row],[Total]]&lt;&gt; 0, NOT(ISBLANK(SamplingData[[#This Row],[Candidate 6]]))),(SamplingData[[#This Row],[Total]]+SamplingData[[#This Row],[Winning Candidate]]-SamplingData[[#This Row],[Candidate 6]])/(SamplingData[[#Totals],[Winning Candidate]]-SamplingData[[#Totals],[Candidate 6]]), 0)</f>
        <v>2.431788337143135E-5</v>
      </c>
      <c r="P854" s="100">
        <f>MAX(SamplingData[[#This Row],[Error Bound (up) - Max. possible relative overstatement - Losing Candidate]:[Error Bound (up) - Max. possible relative overstatement - Candidate 6]])</f>
        <v>3.2261186566441917E-5</v>
      </c>
      <c r="Q854" s="100">
        <f>IF(SamplingData[[#This Row],[Max Error Bound (up)]] = 0,0,SamplingData[[#This Row],[Max Error Bound (up)]]/SamplingData[[#Totals],[Max Error Bound (up)]])</f>
        <v>5.1058637768320663E-6</v>
      </c>
      <c r="R854" s="101">
        <f>SUM($Q$5:Q854)</f>
        <v>0.21786680717632617</v>
      </c>
      <c r="S854" s="100" t="str">
        <f t="array" ref="S854">IF(SamplingData[[#This Row],[up/U Selection Probability]] = 0, "Zero", TEXT(SamplingData[[#This Row],[Lower Range]], REPT("0",LEN('General Info'!$B$40))) &amp; " - " &amp; TEXT(SamplingData[[#This Row],[Upper Range]], REPT("0",LEN('General Info'!$B$40))))</f>
        <v>21786 - 21786</v>
      </c>
      <c r="T854" s="100">
        <f>SamplingData[[#This Row],[Upper Range]]-SamplingData[[#This Row],[Span]]</f>
        <v>21786.170136360797</v>
      </c>
      <c r="U854" s="100">
        <f>IF(ISNUMBER('General Info'!$B$40), ((SamplingData[[#This Row],[up/U Selection Probability]]) * 'General Info'!$B$40) - 1, 0)</f>
        <v>-0.4894187281805702</v>
      </c>
      <c r="V854" s="100">
        <f>IF(ISNUMBER('General Info'!$B$40), (SamplingData[[#This Row],[Running (cumulative) sum]] * ('General Info'!$B$40 -'General Info'!$B$41 + 1)) + 'General Info'!$B$41 - 1, 0)</f>
        <v>21785.680717632618</v>
      </c>
      <c r="W854" s="100" t="str">
        <f>IF(ISERROR(MATCH(SamplingData[[#This Row],[Batch by Type (p)]],SelectedPrecincts[Batch Name], 0)), "", INDEX(SelectedPrecincts[Draw], MATCH(SamplingData[[#This Row],[Batch by Type (p)]],SelectedPrecincts[Batch Name], 0)))</f>
        <v/>
      </c>
      <c r="X854" s="102">
        <f>IF(COUNTIF(SelectedPrecincts[Batch Name],SamplingData[[#This Row],[Batch by Type (p)]]) &lt;&gt; 0, COUNTIF(SelectedPrecincts[Batch Name],SamplingData[[#This Row],[Batch by Type (p)]]), 0)</f>
        <v>0</v>
      </c>
    </row>
    <row r="855" spans="1:24" ht="15" customHeight="1">
      <c r="A855" s="18" t="s">
        <v>1031</v>
      </c>
      <c r="B855" s="18">
        <v>7</v>
      </c>
      <c r="C855" s="18">
        <v>9</v>
      </c>
      <c r="D855" s="16">
        <v>1</v>
      </c>
      <c r="E855" s="16">
        <v>1</v>
      </c>
      <c r="F855" s="37">
        <v>0</v>
      </c>
      <c r="G855" s="37">
        <v>0</v>
      </c>
      <c r="H855" s="17">
        <v>0</v>
      </c>
      <c r="I855" s="17">
        <v>0</v>
      </c>
      <c r="J855" s="99">
        <f>SUM(SamplingData[[#This Row],[Losing Candidate]:[Under Votes]])</f>
        <v>18</v>
      </c>
      <c r="K855"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855" s="100">
        <f>IF(AND(SamplingData[[#This Row],[Total]]&lt;&gt; 0, NOT(ISBLANK(SamplingData[[#This Row],[Candidate 3]]))),(SamplingData[[#This Row],[Total]]+SamplingData[[#This Row],[Winning Candidate]]-SamplingData[[#This Row],[Candidate 3]])/(SamplingData[[#Totals],[Winning Candidate]]-SamplingData[[#Totals],[Candidate 3]]), 0)</f>
        <v>8.3879085072748971E-4</v>
      </c>
      <c r="M855" s="100">
        <f>IF(AND(SamplingData[[#This Row],[Total]]&lt;&gt; 0, NOT(ISBLANK(SamplingData[[#This Row],[Candidate 4]]))),(SamplingData[[#This Row],[Total]]+SamplingData[[#This Row],[Winning Candidate]]-SamplingData[[#This Row],[Candidate 4]])/(SamplingData[[#Totals],[Winning Candidate]]-SamplingData[[#Totals],[Candidate 4]]), 0)</f>
        <v>7.6003390920517991E-4</v>
      </c>
      <c r="N855" s="100">
        <f>IF(AND(SamplingData[[#This Row],[Total]]&lt;&gt; 0, NOT(ISBLANK(SamplingData[[#This Row],[Candidate 5]]))),(SamplingData[[#This Row],[Total]]+SamplingData[[#This Row],[Winning Candidate]]-SamplingData[[#This Row],[Candidate 5]])/(SamplingData[[#Totals],[Winning Candidate]]-SamplingData[[#Totals],[Candidate 5]]), 0)</f>
        <v>6.5677450741911947E-4</v>
      </c>
      <c r="O855" s="100">
        <f>IF(AND(SamplingData[[#This Row],[Total]]&lt;&gt; 0, NOT(ISBLANK(SamplingData[[#This Row],[Candidate 6]]))),(SamplingData[[#This Row],[Total]]+SamplingData[[#This Row],[Winning Candidate]]-SamplingData[[#This Row],[Candidate 6]])/(SamplingData[[#Totals],[Winning Candidate]]-SamplingData[[#Totals],[Candidate 6]]), 0)</f>
        <v>6.5658285102864649E-4</v>
      </c>
      <c r="P855" s="100">
        <f>MAX(SamplingData[[#This Row],[Error Bound (up) - Max. possible relative overstatement - Losing Candidate]:[Error Bound (up) - Max. possible relative overstatement - Candidate 6]])</f>
        <v>1.224889759921607E-3</v>
      </c>
      <c r="Q855" s="100">
        <f>IF(SamplingData[[#This Row],[Max Error Bound (up)]] = 0,0,SamplingData[[#This Row],[Max Error Bound (up)]]/SamplingData[[#Totals],[Max Error Bound (up)]])</f>
        <v>1.9385896556891664E-4</v>
      </c>
      <c r="R855" s="101">
        <f>SUM($Q$5:Q855)</f>
        <v>0.21806066614189509</v>
      </c>
      <c r="S855" s="100" t="str">
        <f t="array" ref="S855">IF(SamplingData[[#This Row],[up/U Selection Probability]] = 0, "Zero", TEXT(SamplingData[[#This Row],[Lower Range]], REPT("0",LEN('General Info'!$B$40))) &amp; " - " &amp; TEXT(SamplingData[[#This Row],[Upper Range]], REPT("0",LEN('General Info'!$B$40))))</f>
        <v>21787 - 21805</v>
      </c>
      <c r="T855" s="100">
        <f>SamplingData[[#This Row],[Upper Range]]-SamplingData[[#This Row],[Span]]</f>
        <v>21786.680911491581</v>
      </c>
      <c r="U855" s="100">
        <f>IF(ISNUMBER('General Info'!$B$40), ((SamplingData[[#This Row],[up/U Selection Probability]]) * 'General Info'!$B$40) - 1, 0)</f>
        <v>18.385702697926096</v>
      </c>
      <c r="V855" s="100">
        <f>IF(ISNUMBER('General Info'!$B$40), (SamplingData[[#This Row],[Running (cumulative) sum]] * ('General Info'!$B$40 -'General Info'!$B$41 + 1)) + 'General Info'!$B$41 - 1, 0)</f>
        <v>21805.066614189509</v>
      </c>
      <c r="W855" s="100" t="str">
        <f>IF(ISERROR(MATCH(SamplingData[[#This Row],[Batch by Type (p)]],SelectedPrecincts[Batch Name], 0)), "", INDEX(SelectedPrecincts[Draw], MATCH(SamplingData[[#This Row],[Batch by Type (p)]],SelectedPrecincts[Batch Name], 0)))</f>
        <v/>
      </c>
      <c r="X855" s="102">
        <f>IF(COUNTIF(SelectedPrecincts[Batch Name],SamplingData[[#This Row],[Batch by Type (p)]]) &lt;&gt; 0, COUNTIF(SelectedPrecincts[Batch Name],SamplingData[[#This Row],[Batch by Type (p)]]), 0)</f>
        <v>0</v>
      </c>
    </row>
    <row r="856" spans="1:24" ht="15" customHeight="1">
      <c r="A856" s="18" t="s">
        <v>1032</v>
      </c>
      <c r="B856" s="18">
        <v>1</v>
      </c>
      <c r="C856" s="18">
        <v>4</v>
      </c>
      <c r="D856" s="18">
        <v>0</v>
      </c>
      <c r="E856" s="18">
        <v>0</v>
      </c>
      <c r="F856" s="18">
        <v>0</v>
      </c>
      <c r="G856" s="18">
        <v>0</v>
      </c>
      <c r="H856" s="18">
        <v>0</v>
      </c>
      <c r="I856" s="18">
        <v>0</v>
      </c>
      <c r="J856" s="99">
        <f>SUM(SamplingData[[#This Row],[Losing Candidate]:[Under Votes]])</f>
        <v>5</v>
      </c>
      <c r="K856"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856" s="100">
        <f>IF(AND(SamplingData[[#This Row],[Total]]&lt;&gt; 0, NOT(ISBLANK(SamplingData[[#This Row],[Candidate 3]]))),(SamplingData[[#This Row],[Total]]+SamplingData[[#This Row],[Winning Candidate]]-SamplingData[[#This Row],[Candidate 3]])/(SamplingData[[#Totals],[Winning Candidate]]-SamplingData[[#Totals],[Candidate 3]]), 0)</f>
        <v>2.9035067909797722E-4</v>
      </c>
      <c r="M856" s="100">
        <f>IF(AND(SamplingData[[#This Row],[Total]]&lt;&gt; 0, NOT(ISBLANK(SamplingData[[#This Row],[Candidate 4]]))),(SamplingData[[#This Row],[Total]]+SamplingData[[#This Row],[Winning Candidate]]-SamplingData[[#This Row],[Candidate 4]])/(SamplingData[[#Totals],[Winning Candidate]]-SamplingData[[#Totals],[Candidate 4]]), 0)</f>
        <v>2.6308866087871614E-4</v>
      </c>
      <c r="N856" s="100">
        <f>IF(AND(SamplingData[[#This Row],[Total]]&lt;&gt; 0, NOT(ISBLANK(SamplingData[[#This Row],[Candidate 5]]))),(SamplingData[[#This Row],[Total]]+SamplingData[[#This Row],[Winning Candidate]]-SamplingData[[#This Row],[Candidate 5]])/(SamplingData[[#Totals],[Winning Candidate]]-SamplingData[[#Totals],[Candidate 5]]), 0)</f>
        <v>2.1892483580637315E-4</v>
      </c>
      <c r="O856" s="100">
        <f>IF(AND(SamplingData[[#This Row],[Total]]&lt;&gt; 0, NOT(ISBLANK(SamplingData[[#This Row],[Candidate 6]]))),(SamplingData[[#This Row],[Total]]+SamplingData[[#This Row],[Winning Candidate]]-SamplingData[[#This Row],[Candidate 6]])/(SamplingData[[#Totals],[Winning Candidate]]-SamplingData[[#Totals],[Candidate 6]]), 0)</f>
        <v>2.1886095034288216E-4</v>
      </c>
      <c r="P856" s="100">
        <f>MAX(SamplingData[[#This Row],[Error Bound (up) - Max. possible relative overstatement - Losing Candidate]:[Error Bound (up) - Max. possible relative overstatement - Candidate 6]])</f>
        <v>4.8995590396864281E-4</v>
      </c>
      <c r="Q856" s="100">
        <f>IF(SamplingData[[#This Row],[Max Error Bound (up)]] = 0,0,SamplingData[[#This Row],[Max Error Bound (up)]]/SamplingData[[#Totals],[Max Error Bound (up)]])</f>
        <v>7.7543586227566652E-5</v>
      </c>
      <c r="R856" s="101">
        <f>SUM($Q$5:Q856)</f>
        <v>0.21813820972812267</v>
      </c>
      <c r="S856" s="100" t="str">
        <f t="array" ref="S856">IF(SamplingData[[#This Row],[up/U Selection Probability]] = 0, "Zero", TEXT(SamplingData[[#This Row],[Lower Range]], REPT("0",LEN('General Info'!$B$40))) &amp; " - " &amp; TEXT(SamplingData[[#This Row],[Upper Range]], REPT("0",LEN('General Info'!$B$40))))</f>
        <v>21806 - 21813</v>
      </c>
      <c r="T856" s="100">
        <f>SamplingData[[#This Row],[Upper Range]]-SamplingData[[#This Row],[Span]]</f>
        <v>21806.066691733096</v>
      </c>
      <c r="U856" s="100">
        <f>IF(ISNUMBER('General Info'!$B$40), ((SamplingData[[#This Row],[up/U Selection Probability]]) * 'General Info'!$B$40) - 1, 0)</f>
        <v>6.754281079170438</v>
      </c>
      <c r="V856" s="100">
        <f>IF(ISNUMBER('General Info'!$B$40), (SamplingData[[#This Row],[Running (cumulative) sum]] * ('General Info'!$B$40 -'General Info'!$B$41 + 1)) + 'General Info'!$B$41 - 1, 0)</f>
        <v>21812.820972812267</v>
      </c>
      <c r="W856" s="100" t="str">
        <f>IF(ISERROR(MATCH(SamplingData[[#This Row],[Batch by Type (p)]],SelectedPrecincts[Batch Name], 0)), "", INDEX(SelectedPrecincts[Draw], MATCH(SamplingData[[#This Row],[Batch by Type (p)]],SelectedPrecincts[Batch Name], 0)))</f>
        <v/>
      </c>
      <c r="X856" s="102">
        <f>IF(COUNTIF(SelectedPrecincts[Batch Name],SamplingData[[#This Row],[Batch by Type (p)]]) &lt;&gt; 0, COUNTIF(SelectedPrecincts[Batch Name],SamplingData[[#This Row],[Batch by Type (p)]]), 0)</f>
        <v>0</v>
      </c>
    </row>
    <row r="857" spans="1:24" ht="15" customHeight="1">
      <c r="A857" s="18" t="s">
        <v>1033</v>
      </c>
      <c r="B857" s="18">
        <v>4</v>
      </c>
      <c r="C857" s="18">
        <v>4</v>
      </c>
      <c r="D857" s="16">
        <v>4</v>
      </c>
      <c r="E857" s="16">
        <v>6</v>
      </c>
      <c r="F857" s="37">
        <v>0</v>
      </c>
      <c r="G857" s="37">
        <v>1</v>
      </c>
      <c r="H857" s="17">
        <v>0</v>
      </c>
      <c r="I857" s="17">
        <v>1</v>
      </c>
      <c r="J857" s="99">
        <f>SUM(SamplingData[[#This Row],[Losing Candidate]:[Under Votes]])</f>
        <v>20</v>
      </c>
      <c r="K857"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857" s="100">
        <f>IF(AND(SamplingData[[#This Row],[Total]]&lt;&gt; 0, NOT(ISBLANK(SamplingData[[#This Row],[Candidate 3]]))),(SamplingData[[#This Row],[Total]]+SamplingData[[#This Row],[Winning Candidate]]-SamplingData[[#This Row],[Candidate 3]])/(SamplingData[[#Totals],[Winning Candidate]]-SamplingData[[#Totals],[Candidate 3]]), 0)</f>
        <v>6.4522373132883831E-4</v>
      </c>
      <c r="M857" s="100">
        <f>IF(AND(SamplingData[[#This Row],[Total]]&lt;&gt; 0, NOT(ISBLANK(SamplingData[[#This Row],[Candidate 4]]))),(SamplingData[[#This Row],[Total]]+SamplingData[[#This Row],[Winning Candidate]]-SamplingData[[#This Row],[Candidate 4]])/(SamplingData[[#Totals],[Winning Candidate]]-SamplingData[[#Totals],[Candidate 4]]), 0)</f>
        <v>5.2617732175743229E-4</v>
      </c>
      <c r="N857" s="100">
        <f>IF(AND(SamplingData[[#This Row],[Total]]&lt;&gt; 0, NOT(ISBLANK(SamplingData[[#This Row],[Candidate 5]]))),(SamplingData[[#This Row],[Total]]+SamplingData[[#This Row],[Winning Candidate]]-SamplingData[[#This Row],[Candidate 5]])/(SamplingData[[#Totals],[Winning Candidate]]-SamplingData[[#Totals],[Candidate 5]]), 0)</f>
        <v>5.8379956215032843E-4</v>
      </c>
      <c r="O857" s="100">
        <f>IF(AND(SamplingData[[#This Row],[Total]]&lt;&gt; 0, NOT(ISBLANK(SamplingData[[#This Row],[Candidate 6]]))),(SamplingData[[#This Row],[Total]]+SamplingData[[#This Row],[Winning Candidate]]-SamplingData[[#This Row],[Candidate 6]])/(SamplingData[[#Totals],[Winning Candidate]]-SamplingData[[#Totals],[Candidate 6]]), 0)</f>
        <v>5.5931131754292105E-4</v>
      </c>
      <c r="P857" s="100">
        <f>MAX(SamplingData[[#This Row],[Error Bound (up) - Max. possible relative overstatement - Losing Candidate]:[Error Bound (up) - Max. possible relative overstatement - Candidate 6]])</f>
        <v>1.224889759921607E-3</v>
      </c>
      <c r="Q857" s="100">
        <f>IF(SamplingData[[#This Row],[Max Error Bound (up)]] = 0,0,SamplingData[[#This Row],[Max Error Bound (up)]]/SamplingData[[#Totals],[Max Error Bound (up)]])</f>
        <v>1.9385896556891664E-4</v>
      </c>
      <c r="R857" s="101">
        <f>SUM($Q$5:Q857)</f>
        <v>0.21833206869369159</v>
      </c>
      <c r="S857" s="100" t="str">
        <f t="array" ref="S857">IF(SamplingData[[#This Row],[up/U Selection Probability]] = 0, "Zero", TEXT(SamplingData[[#This Row],[Lower Range]], REPT("0",LEN('General Info'!$B$40))) &amp; " - " &amp; TEXT(SamplingData[[#This Row],[Upper Range]], REPT("0",LEN('General Info'!$B$40))))</f>
        <v>21814 - 21832</v>
      </c>
      <c r="T857" s="100">
        <f>SamplingData[[#This Row],[Upper Range]]-SamplingData[[#This Row],[Span]]</f>
        <v>21813.82116667123</v>
      </c>
      <c r="U857" s="100">
        <f>IF(ISNUMBER('General Info'!$B$40), ((SamplingData[[#This Row],[up/U Selection Probability]]) * 'General Info'!$B$40) - 1, 0)</f>
        <v>18.385702697926096</v>
      </c>
      <c r="V857" s="100">
        <f>IF(ISNUMBER('General Info'!$B$40), (SamplingData[[#This Row],[Running (cumulative) sum]] * ('General Info'!$B$40 -'General Info'!$B$41 + 1)) + 'General Info'!$B$41 - 1, 0)</f>
        <v>21832.206869369158</v>
      </c>
      <c r="W857" s="100" t="str">
        <f>IF(ISERROR(MATCH(SamplingData[[#This Row],[Batch by Type (p)]],SelectedPrecincts[Batch Name], 0)), "", INDEX(SelectedPrecincts[Draw], MATCH(SamplingData[[#This Row],[Batch by Type (p)]],SelectedPrecincts[Batch Name], 0)))</f>
        <v/>
      </c>
      <c r="X857" s="102">
        <f>IF(COUNTIF(SelectedPrecincts[Batch Name],SamplingData[[#This Row],[Batch by Type (p)]]) &lt;&gt; 0, COUNTIF(SelectedPrecincts[Batch Name],SamplingData[[#This Row],[Batch by Type (p)]]), 0)</f>
        <v>0</v>
      </c>
    </row>
    <row r="858" spans="1:24" ht="15" customHeight="1">
      <c r="A858" s="18" t="s">
        <v>1034</v>
      </c>
      <c r="B858" s="18">
        <v>1</v>
      </c>
      <c r="C858" s="18">
        <v>4</v>
      </c>
      <c r="D858" s="18">
        <v>3</v>
      </c>
      <c r="E858" s="18">
        <v>1</v>
      </c>
      <c r="F858" s="18">
        <v>0</v>
      </c>
      <c r="G858" s="18">
        <v>0</v>
      </c>
      <c r="H858" s="18">
        <v>0</v>
      </c>
      <c r="I858" s="18">
        <v>0</v>
      </c>
      <c r="J858" s="99">
        <f>SUM(SamplingData[[#This Row],[Losing Candidate]:[Under Votes]])</f>
        <v>9</v>
      </c>
      <c r="K858"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858" s="100">
        <f>IF(AND(SamplingData[[#This Row],[Total]]&lt;&gt; 0, NOT(ISBLANK(SamplingData[[#This Row],[Candidate 3]]))),(SamplingData[[#This Row],[Total]]+SamplingData[[#This Row],[Winning Candidate]]-SamplingData[[#This Row],[Candidate 3]])/(SamplingData[[#Totals],[Winning Candidate]]-SamplingData[[#Totals],[Candidate 3]]), 0)</f>
        <v>3.2261186566441915E-4</v>
      </c>
      <c r="M858" s="100">
        <f>IF(AND(SamplingData[[#This Row],[Total]]&lt;&gt; 0, NOT(ISBLANK(SamplingData[[#This Row],[Candidate 4]]))),(SamplingData[[#This Row],[Total]]+SamplingData[[#This Row],[Winning Candidate]]-SamplingData[[#This Row],[Candidate 4]])/(SamplingData[[#Totals],[Winning Candidate]]-SamplingData[[#Totals],[Candidate 4]]), 0)</f>
        <v>3.5078488117162149E-4</v>
      </c>
      <c r="N858" s="100">
        <f>IF(AND(SamplingData[[#This Row],[Total]]&lt;&gt; 0, NOT(ISBLANK(SamplingData[[#This Row],[Candidate 5]]))),(SamplingData[[#This Row],[Total]]+SamplingData[[#This Row],[Winning Candidate]]-SamplingData[[#This Row],[Candidate 5]])/(SamplingData[[#Totals],[Winning Candidate]]-SamplingData[[#Totals],[Candidate 5]]), 0)</f>
        <v>3.1622476283142789E-4</v>
      </c>
      <c r="O858" s="100">
        <f>IF(AND(SamplingData[[#This Row],[Total]]&lt;&gt; 0, NOT(ISBLANK(SamplingData[[#This Row],[Candidate 6]]))),(SamplingData[[#This Row],[Total]]+SamplingData[[#This Row],[Winning Candidate]]-SamplingData[[#This Row],[Candidate 6]])/(SamplingData[[#Totals],[Winning Candidate]]-SamplingData[[#Totals],[Candidate 6]]), 0)</f>
        <v>3.1613248382860755E-4</v>
      </c>
      <c r="P858" s="100">
        <f>MAX(SamplingData[[#This Row],[Error Bound (up) - Max. possible relative overstatement - Losing Candidate]:[Error Bound (up) - Max. possible relative overstatement - Candidate 6]])</f>
        <v>7.3493385595296422E-4</v>
      </c>
      <c r="Q858" s="100">
        <f>IF(SamplingData[[#This Row],[Max Error Bound (up)]] = 0,0,SamplingData[[#This Row],[Max Error Bound (up)]]/SamplingData[[#Totals],[Max Error Bound (up)]])</f>
        <v>1.1631537934134997E-4</v>
      </c>
      <c r="R858" s="101">
        <f>SUM($Q$5:Q858)</f>
        <v>0.21844838407303294</v>
      </c>
      <c r="S858" s="100" t="str">
        <f t="array" ref="S858">IF(SamplingData[[#This Row],[up/U Selection Probability]] = 0, "Zero", TEXT(SamplingData[[#This Row],[Lower Range]], REPT("0",LEN('General Info'!$B$40))) &amp; " - " &amp; TEXT(SamplingData[[#This Row],[Upper Range]], REPT("0",LEN('General Info'!$B$40))))</f>
        <v>21833 - 21844</v>
      </c>
      <c r="T858" s="100">
        <f>SamplingData[[#This Row],[Upper Range]]-SamplingData[[#This Row],[Span]]</f>
        <v>21833.206985684537</v>
      </c>
      <c r="U858" s="100">
        <f>IF(ISNUMBER('General Info'!$B$40), ((SamplingData[[#This Row],[up/U Selection Probability]]) * 'General Info'!$B$40) - 1, 0)</f>
        <v>10.631421618755656</v>
      </c>
      <c r="V858" s="100">
        <f>IF(ISNUMBER('General Info'!$B$40), (SamplingData[[#This Row],[Running (cumulative) sum]] * ('General Info'!$B$40 -'General Info'!$B$41 + 1)) + 'General Info'!$B$41 - 1, 0)</f>
        <v>21843.838407303294</v>
      </c>
      <c r="W858" s="100" t="str">
        <f>IF(ISERROR(MATCH(SamplingData[[#This Row],[Batch by Type (p)]],SelectedPrecincts[Batch Name], 0)), "", INDEX(SelectedPrecincts[Draw], MATCH(SamplingData[[#This Row],[Batch by Type (p)]],SelectedPrecincts[Batch Name], 0)))</f>
        <v/>
      </c>
      <c r="X858" s="102">
        <f>IF(COUNTIF(SelectedPrecincts[Batch Name],SamplingData[[#This Row],[Batch by Type (p)]]) &lt;&gt; 0, COUNTIF(SelectedPrecincts[Batch Name],SamplingData[[#This Row],[Batch by Type (p)]]), 0)</f>
        <v>0</v>
      </c>
    </row>
    <row r="859" spans="1:24" ht="15" customHeight="1">
      <c r="A859" s="18" t="s">
        <v>1035</v>
      </c>
      <c r="B859" s="18">
        <v>12</v>
      </c>
      <c r="C859" s="18">
        <v>11</v>
      </c>
      <c r="D859" s="16">
        <v>3</v>
      </c>
      <c r="E859" s="16">
        <v>2</v>
      </c>
      <c r="F859" s="37">
        <v>0</v>
      </c>
      <c r="G859" s="37">
        <v>0</v>
      </c>
      <c r="H859" s="17">
        <v>0</v>
      </c>
      <c r="I859" s="17">
        <v>0</v>
      </c>
      <c r="J859" s="99">
        <f>SUM(SamplingData[[#This Row],[Losing Candidate]:[Under Votes]])</f>
        <v>28</v>
      </c>
      <c r="K859"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859" s="100">
        <f>IF(AND(SamplingData[[#This Row],[Total]]&lt;&gt; 0, NOT(ISBLANK(SamplingData[[#This Row],[Candidate 3]]))),(SamplingData[[#This Row],[Total]]+SamplingData[[#This Row],[Winning Candidate]]-SamplingData[[#This Row],[Candidate 3]])/(SamplingData[[#Totals],[Winning Candidate]]-SamplingData[[#Totals],[Candidate 3]]), 0)</f>
        <v>1.1614027163919089E-3</v>
      </c>
      <c r="M859" s="100">
        <f>IF(AND(SamplingData[[#This Row],[Total]]&lt;&gt; 0, NOT(ISBLANK(SamplingData[[#This Row],[Candidate 4]]))),(SamplingData[[#This Row],[Total]]+SamplingData[[#This Row],[Winning Candidate]]-SamplingData[[#This Row],[Candidate 4]])/(SamplingData[[#Totals],[Winning Candidate]]-SamplingData[[#Totals],[Candidate 4]]), 0)</f>
        <v>1.081586716945833E-3</v>
      </c>
      <c r="N859" s="100">
        <f>IF(AND(SamplingData[[#This Row],[Total]]&lt;&gt; 0, NOT(ISBLANK(SamplingData[[#This Row],[Candidate 5]]))),(SamplingData[[#This Row],[Total]]+SamplingData[[#This Row],[Winning Candidate]]-SamplingData[[#This Row],[Candidate 5]])/(SamplingData[[#Totals],[Winning Candidate]]-SamplingData[[#Totals],[Candidate 5]]), 0)</f>
        <v>9.4867428849428363E-4</v>
      </c>
      <c r="O859" s="100">
        <f>IF(AND(SamplingData[[#This Row],[Total]]&lt;&gt; 0, NOT(ISBLANK(SamplingData[[#This Row],[Candidate 6]]))),(SamplingData[[#This Row],[Total]]+SamplingData[[#This Row],[Winning Candidate]]-SamplingData[[#This Row],[Candidate 6]])/(SamplingData[[#Totals],[Winning Candidate]]-SamplingData[[#Totals],[Candidate 6]]), 0)</f>
        <v>9.4839745148582271E-4</v>
      </c>
      <c r="P859" s="100">
        <f>MAX(SamplingData[[#This Row],[Error Bound (up) - Max. possible relative overstatement - Losing Candidate]:[Error Bound (up) - Max. possible relative overstatement - Candidate 6]])</f>
        <v>1.6536011758941694E-3</v>
      </c>
      <c r="Q859" s="100">
        <f>IF(SamplingData[[#This Row],[Max Error Bound (up)]] = 0,0,SamplingData[[#This Row],[Max Error Bound (up)]]/SamplingData[[#Totals],[Max Error Bound (up)]])</f>
        <v>2.6170960351803746E-4</v>
      </c>
      <c r="R859" s="101">
        <f>SUM($Q$5:Q859)</f>
        <v>0.21871009367655098</v>
      </c>
      <c r="S859" s="100" t="str">
        <f t="array" ref="S859">IF(SamplingData[[#This Row],[up/U Selection Probability]] = 0, "Zero", TEXT(SamplingData[[#This Row],[Lower Range]], REPT("0",LEN('General Info'!$B$40))) &amp; " - " &amp; TEXT(SamplingData[[#This Row],[Upper Range]], REPT("0",LEN('General Info'!$B$40))))</f>
        <v>21845 - 21870</v>
      </c>
      <c r="T859" s="100">
        <f>SamplingData[[#This Row],[Upper Range]]-SamplingData[[#This Row],[Span]]</f>
        <v>21844.838669012897</v>
      </c>
      <c r="U859" s="100">
        <f>IF(ISNUMBER('General Info'!$B$40), ((SamplingData[[#This Row],[up/U Selection Probability]]) * 'General Info'!$B$40) - 1, 0)</f>
        <v>25.170698642200229</v>
      </c>
      <c r="V859" s="100">
        <f>IF(ISNUMBER('General Info'!$B$40), (SamplingData[[#This Row],[Running (cumulative) sum]] * ('General Info'!$B$40 -'General Info'!$B$41 + 1)) + 'General Info'!$B$41 - 1, 0)</f>
        <v>21870.009367655097</v>
      </c>
      <c r="W859" s="100" t="str">
        <f>IF(ISERROR(MATCH(SamplingData[[#This Row],[Batch by Type (p)]],SelectedPrecincts[Batch Name], 0)), "", INDEX(SelectedPrecincts[Draw], MATCH(SamplingData[[#This Row],[Batch by Type (p)]],SelectedPrecincts[Batch Name], 0)))</f>
        <v/>
      </c>
      <c r="X859" s="102">
        <f>IF(COUNTIF(SelectedPrecincts[Batch Name],SamplingData[[#This Row],[Batch by Type (p)]]) &lt;&gt; 0, COUNTIF(SelectedPrecincts[Batch Name],SamplingData[[#This Row],[Batch by Type (p)]]), 0)</f>
        <v>0</v>
      </c>
    </row>
    <row r="860" spans="1:24" ht="15" customHeight="1">
      <c r="A860" s="18" t="s">
        <v>1036</v>
      </c>
      <c r="B860" s="18">
        <v>2</v>
      </c>
      <c r="C860" s="18">
        <v>0</v>
      </c>
      <c r="D860" s="18">
        <v>0</v>
      </c>
      <c r="E860" s="18">
        <v>3</v>
      </c>
      <c r="F860" s="18">
        <v>0</v>
      </c>
      <c r="G860" s="18">
        <v>0</v>
      </c>
      <c r="H860" s="18">
        <v>0</v>
      </c>
      <c r="I860" s="18">
        <v>0</v>
      </c>
      <c r="J860" s="99">
        <f>SUM(SamplingData[[#This Row],[Losing Candidate]:[Under Votes]])</f>
        <v>5</v>
      </c>
      <c r="K86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860" s="100">
        <f>IF(AND(SamplingData[[#This Row],[Total]]&lt;&gt; 0, NOT(ISBLANK(SamplingData[[#This Row],[Candidate 3]]))),(SamplingData[[#This Row],[Total]]+SamplingData[[#This Row],[Winning Candidate]]-SamplingData[[#This Row],[Candidate 3]])/(SamplingData[[#Totals],[Winning Candidate]]-SamplingData[[#Totals],[Candidate 3]]), 0)</f>
        <v>1.6130593283220958E-4</v>
      </c>
      <c r="M860" s="100">
        <f>IF(AND(SamplingData[[#This Row],[Total]]&lt;&gt; 0, NOT(ISBLANK(SamplingData[[#This Row],[Candidate 4]]))),(SamplingData[[#This Row],[Total]]+SamplingData[[#This Row],[Winning Candidate]]-SamplingData[[#This Row],[Candidate 4]])/(SamplingData[[#Totals],[Winning Candidate]]-SamplingData[[#Totals],[Candidate 4]]), 0)</f>
        <v>5.846414686193692E-5</v>
      </c>
      <c r="N860" s="100">
        <f>IF(AND(SamplingData[[#This Row],[Total]]&lt;&gt; 0, NOT(ISBLANK(SamplingData[[#This Row],[Candidate 5]]))),(SamplingData[[#This Row],[Total]]+SamplingData[[#This Row],[Winning Candidate]]-SamplingData[[#This Row],[Candidate 5]])/(SamplingData[[#Totals],[Winning Candidate]]-SamplingData[[#Totals],[Candidate 5]]), 0)</f>
        <v>1.2162490878131841E-4</v>
      </c>
      <c r="O860" s="100">
        <f>IF(AND(SamplingData[[#This Row],[Total]]&lt;&gt; 0, NOT(ISBLANK(SamplingData[[#This Row],[Candidate 6]]))),(SamplingData[[#This Row],[Total]]+SamplingData[[#This Row],[Winning Candidate]]-SamplingData[[#This Row],[Candidate 6]])/(SamplingData[[#Totals],[Winning Candidate]]-SamplingData[[#Totals],[Candidate 6]]), 0)</f>
        <v>1.2158941685715675E-4</v>
      </c>
      <c r="P860" s="100">
        <f>MAX(SamplingData[[#This Row],[Error Bound (up) - Max. possible relative overstatement - Losing Candidate]:[Error Bound (up) - Max. possible relative overstatement - Candidate 6]])</f>
        <v>1.8373346398824106E-4</v>
      </c>
      <c r="Q860" s="100">
        <f>IF(SamplingData[[#This Row],[Max Error Bound (up)]] = 0,0,SamplingData[[#This Row],[Max Error Bound (up)]]/SamplingData[[#Totals],[Max Error Bound (up)]])</f>
        <v>2.9078844835337493E-5</v>
      </c>
      <c r="R860" s="101">
        <f>SUM($Q$5:Q860)</f>
        <v>0.2187391725213863</v>
      </c>
      <c r="S860" s="100" t="str">
        <f t="array" ref="S860">IF(SamplingData[[#This Row],[up/U Selection Probability]] = 0, "Zero", TEXT(SamplingData[[#This Row],[Lower Range]], REPT("0",LEN('General Info'!$B$40))) &amp; " - " &amp; TEXT(SamplingData[[#This Row],[Upper Range]], REPT("0",LEN('General Info'!$B$40))))</f>
        <v>21871 - 21873</v>
      </c>
      <c r="T860" s="100">
        <f>SamplingData[[#This Row],[Upper Range]]-SamplingData[[#This Row],[Span]]</f>
        <v>21871.009396733942</v>
      </c>
      <c r="U860" s="100">
        <f>IF(ISNUMBER('General Info'!$B$40), ((SamplingData[[#This Row],[up/U Selection Probability]]) * 'General Info'!$B$40) - 1, 0)</f>
        <v>1.907855404688914</v>
      </c>
      <c r="V860" s="100">
        <f>IF(ISNUMBER('General Info'!$B$40), (SamplingData[[#This Row],[Running (cumulative) sum]] * ('General Info'!$B$40 -'General Info'!$B$41 + 1)) + 'General Info'!$B$41 - 1, 0)</f>
        <v>21872.917252138632</v>
      </c>
      <c r="W860" s="100" t="str">
        <f>IF(ISERROR(MATCH(SamplingData[[#This Row],[Batch by Type (p)]],SelectedPrecincts[Batch Name], 0)), "", INDEX(SelectedPrecincts[Draw], MATCH(SamplingData[[#This Row],[Batch by Type (p)]],SelectedPrecincts[Batch Name], 0)))</f>
        <v/>
      </c>
      <c r="X860" s="102">
        <f>IF(COUNTIF(SelectedPrecincts[Batch Name],SamplingData[[#This Row],[Batch by Type (p)]]) &lt;&gt; 0, COUNTIF(SelectedPrecincts[Batch Name],SamplingData[[#This Row],[Batch by Type (p)]]), 0)</f>
        <v>0</v>
      </c>
    </row>
    <row r="861" spans="1:24" ht="15" customHeight="1">
      <c r="A861" s="18" t="s">
        <v>1037</v>
      </c>
      <c r="B861" s="18">
        <v>6</v>
      </c>
      <c r="C861" s="18">
        <v>16</v>
      </c>
      <c r="D861" s="16">
        <v>3</v>
      </c>
      <c r="E861" s="16">
        <v>6</v>
      </c>
      <c r="F861" s="37">
        <v>0</v>
      </c>
      <c r="G861" s="37">
        <v>0</v>
      </c>
      <c r="H861" s="17">
        <v>1</v>
      </c>
      <c r="I861" s="17">
        <v>0</v>
      </c>
      <c r="J861" s="99">
        <f>SUM(SamplingData[[#This Row],[Losing Candidate]:[Under Votes]])</f>
        <v>32</v>
      </c>
      <c r="K861"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861" s="100">
        <f>IF(AND(SamplingData[[#This Row],[Total]]&lt;&gt; 0, NOT(ISBLANK(SamplingData[[#This Row],[Candidate 3]]))),(SamplingData[[#This Row],[Total]]+SamplingData[[#This Row],[Winning Candidate]]-SamplingData[[#This Row],[Candidate 3]])/(SamplingData[[#Totals],[Winning Candidate]]-SamplingData[[#Totals],[Candidate 3]]), 0)</f>
        <v>1.4517533954898861E-3</v>
      </c>
      <c r="M861" s="100">
        <f>IF(AND(SamplingData[[#This Row],[Total]]&lt;&gt; 0, NOT(ISBLANK(SamplingData[[#This Row],[Candidate 4]]))),(SamplingData[[#This Row],[Total]]+SamplingData[[#This Row],[Winning Candidate]]-SamplingData[[#This Row],[Candidate 4]])/(SamplingData[[#Totals],[Winning Candidate]]-SamplingData[[#Totals],[Candidate 4]]), 0)</f>
        <v>1.2277470841006752E-3</v>
      </c>
      <c r="N861" s="100">
        <f>IF(AND(SamplingData[[#This Row],[Total]]&lt;&gt; 0, NOT(ISBLANK(SamplingData[[#This Row],[Candidate 5]]))),(SamplingData[[#This Row],[Total]]+SamplingData[[#This Row],[Winning Candidate]]-SamplingData[[#This Row],[Candidate 5]])/(SamplingData[[#Totals],[Winning Candidate]]-SamplingData[[#Totals],[Candidate 5]]), 0)</f>
        <v>1.1675991243006569E-3</v>
      </c>
      <c r="O861" s="100">
        <f>IF(AND(SamplingData[[#This Row],[Total]]&lt;&gt; 0, NOT(ISBLANK(SamplingData[[#This Row],[Candidate 6]]))),(SamplingData[[#This Row],[Total]]+SamplingData[[#This Row],[Winning Candidate]]-SamplingData[[#This Row],[Candidate 6]])/(SamplingData[[#Totals],[Winning Candidate]]-SamplingData[[#Totals],[Candidate 6]]), 0)</f>
        <v>1.1672584018287049E-3</v>
      </c>
      <c r="P861" s="100">
        <f>MAX(SamplingData[[#This Row],[Error Bound (up) - Max. possible relative overstatement - Losing Candidate]:[Error Bound (up) - Max. possible relative overstatement - Candidate 6]])</f>
        <v>2.5722684958353749E-3</v>
      </c>
      <c r="Q861" s="100">
        <f>IF(SamplingData[[#This Row],[Max Error Bound (up)]] = 0,0,SamplingData[[#This Row],[Max Error Bound (up)]]/SamplingData[[#Totals],[Max Error Bound (up)]])</f>
        <v>4.0710382769472496E-4</v>
      </c>
      <c r="R861" s="101">
        <f>SUM($Q$5:Q861)</f>
        <v>0.21914627634908104</v>
      </c>
      <c r="S861" s="100" t="str">
        <f t="array" ref="S861">IF(SamplingData[[#This Row],[up/U Selection Probability]] = 0, "Zero", TEXT(SamplingData[[#This Row],[Lower Range]], REPT("0",LEN('General Info'!$B$40))) &amp; " - " &amp; TEXT(SamplingData[[#This Row],[Upper Range]], REPT("0",LEN('General Info'!$B$40))))</f>
        <v>21874 - 21914</v>
      </c>
      <c r="T861" s="100">
        <f>SamplingData[[#This Row],[Upper Range]]-SamplingData[[#This Row],[Span]]</f>
        <v>21873.917659242459</v>
      </c>
      <c r="U861" s="100">
        <f>IF(ISNUMBER('General Info'!$B$40), ((SamplingData[[#This Row],[up/U Selection Probability]]) * 'General Info'!$B$40) - 1, 0)</f>
        <v>39.709975665644798</v>
      </c>
      <c r="V861" s="100">
        <f>IF(ISNUMBER('General Info'!$B$40), (SamplingData[[#This Row],[Running (cumulative) sum]] * ('General Info'!$B$40 -'General Info'!$B$41 + 1)) + 'General Info'!$B$41 - 1, 0)</f>
        <v>21913.627634908105</v>
      </c>
      <c r="W861" s="100" t="str">
        <f>IF(ISERROR(MATCH(SamplingData[[#This Row],[Batch by Type (p)]],SelectedPrecincts[Batch Name], 0)), "", INDEX(SelectedPrecincts[Draw], MATCH(SamplingData[[#This Row],[Batch by Type (p)]],SelectedPrecincts[Batch Name], 0)))</f>
        <v/>
      </c>
      <c r="X861" s="102">
        <f>IF(COUNTIF(SelectedPrecincts[Batch Name],SamplingData[[#This Row],[Batch by Type (p)]]) &lt;&gt; 0, COUNTIF(SelectedPrecincts[Batch Name],SamplingData[[#This Row],[Batch by Type (p)]]), 0)</f>
        <v>0</v>
      </c>
    </row>
    <row r="862" spans="1:24" ht="15" customHeight="1">
      <c r="A862" s="18" t="s">
        <v>1038</v>
      </c>
      <c r="B862" s="18">
        <v>0</v>
      </c>
      <c r="C862" s="18">
        <v>1</v>
      </c>
      <c r="D862" s="18">
        <v>0</v>
      </c>
      <c r="E862" s="18">
        <v>0</v>
      </c>
      <c r="F862" s="18">
        <v>0</v>
      </c>
      <c r="G862" s="18">
        <v>0</v>
      </c>
      <c r="H862" s="18">
        <v>0</v>
      </c>
      <c r="I862" s="18">
        <v>0</v>
      </c>
      <c r="J862" s="99">
        <f>SUM(SamplingData[[#This Row],[Losing Candidate]:[Under Votes]])</f>
        <v>1</v>
      </c>
      <c r="K86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862" s="100">
        <f>IF(AND(SamplingData[[#This Row],[Total]]&lt;&gt; 0, NOT(ISBLANK(SamplingData[[#This Row],[Candidate 3]]))),(SamplingData[[#This Row],[Total]]+SamplingData[[#This Row],[Winning Candidate]]-SamplingData[[#This Row],[Candidate 3]])/(SamplingData[[#Totals],[Winning Candidate]]-SamplingData[[#Totals],[Candidate 3]]), 0)</f>
        <v>6.4522373132883833E-5</v>
      </c>
      <c r="M862" s="100">
        <f>IF(AND(SamplingData[[#This Row],[Total]]&lt;&gt; 0, NOT(ISBLANK(SamplingData[[#This Row],[Candidate 4]]))),(SamplingData[[#This Row],[Total]]+SamplingData[[#This Row],[Winning Candidate]]-SamplingData[[#This Row],[Candidate 4]])/(SamplingData[[#Totals],[Winning Candidate]]-SamplingData[[#Totals],[Candidate 4]]), 0)</f>
        <v>5.846414686193692E-5</v>
      </c>
      <c r="N862" s="100">
        <f>IF(AND(SamplingData[[#This Row],[Total]]&lt;&gt; 0, NOT(ISBLANK(SamplingData[[#This Row],[Candidate 5]]))),(SamplingData[[#This Row],[Total]]+SamplingData[[#This Row],[Winning Candidate]]-SamplingData[[#This Row],[Candidate 5]])/(SamplingData[[#Totals],[Winning Candidate]]-SamplingData[[#Totals],[Candidate 5]]), 0)</f>
        <v>4.8649963512527367E-5</v>
      </c>
      <c r="O862" s="100">
        <f>IF(AND(SamplingData[[#This Row],[Total]]&lt;&gt; 0, NOT(ISBLANK(SamplingData[[#This Row],[Candidate 6]]))),(SamplingData[[#This Row],[Total]]+SamplingData[[#This Row],[Winning Candidate]]-SamplingData[[#This Row],[Candidate 6]])/(SamplingData[[#Totals],[Winning Candidate]]-SamplingData[[#Totals],[Candidate 6]]), 0)</f>
        <v>4.8635766742862701E-5</v>
      </c>
      <c r="P862" s="100">
        <f>MAX(SamplingData[[#This Row],[Error Bound (up) - Max. possible relative overstatement - Losing Candidate]:[Error Bound (up) - Max. possible relative overstatement - Candidate 6]])</f>
        <v>1.224889759921607E-4</v>
      </c>
      <c r="Q862" s="100">
        <f>IF(SamplingData[[#This Row],[Max Error Bound (up)]] = 0,0,SamplingData[[#This Row],[Max Error Bound (up)]]/SamplingData[[#Totals],[Max Error Bound (up)]])</f>
        <v>1.9385896556891663E-5</v>
      </c>
      <c r="R862" s="101">
        <f>SUM($Q$5:Q862)</f>
        <v>0.21916566224563794</v>
      </c>
      <c r="S862" s="100" t="str">
        <f t="array" ref="S862">IF(SamplingData[[#This Row],[up/U Selection Probability]] = 0, "Zero", TEXT(SamplingData[[#This Row],[Lower Range]], REPT("0",LEN('General Info'!$B$40))) &amp; " - " &amp; TEXT(SamplingData[[#This Row],[Upper Range]], REPT("0",LEN('General Info'!$B$40))))</f>
        <v>21915 - 21916</v>
      </c>
      <c r="T862" s="100">
        <f>SamplingData[[#This Row],[Upper Range]]-SamplingData[[#This Row],[Span]]</f>
        <v>21914.627654294003</v>
      </c>
      <c r="U862" s="100">
        <f>IF(ISNUMBER('General Info'!$B$40), ((SamplingData[[#This Row],[up/U Selection Probability]]) * 'General Info'!$B$40) - 1, 0)</f>
        <v>0.93857026979260949</v>
      </c>
      <c r="V862" s="100">
        <f>IF(ISNUMBER('General Info'!$B$40), (SamplingData[[#This Row],[Running (cumulative) sum]] * ('General Info'!$B$40 -'General Info'!$B$41 + 1)) + 'General Info'!$B$41 - 1, 0)</f>
        <v>21915.566224563794</v>
      </c>
      <c r="W862" s="100" t="str">
        <f>IF(ISERROR(MATCH(SamplingData[[#This Row],[Batch by Type (p)]],SelectedPrecincts[Batch Name], 0)), "", INDEX(SelectedPrecincts[Draw], MATCH(SamplingData[[#This Row],[Batch by Type (p)]],SelectedPrecincts[Batch Name], 0)))</f>
        <v/>
      </c>
      <c r="X862" s="102">
        <f>IF(COUNTIF(SelectedPrecincts[Batch Name],SamplingData[[#This Row],[Batch by Type (p)]]) &lt;&gt; 0, COUNTIF(SelectedPrecincts[Batch Name],SamplingData[[#This Row],[Batch by Type (p)]]), 0)</f>
        <v>0</v>
      </c>
    </row>
    <row r="863" spans="1:24" ht="15" customHeight="1">
      <c r="A863" s="18" t="s">
        <v>1039</v>
      </c>
      <c r="B863" s="18">
        <v>9</v>
      </c>
      <c r="C863" s="18">
        <v>9</v>
      </c>
      <c r="D863" s="16">
        <v>4</v>
      </c>
      <c r="E863" s="16">
        <v>2</v>
      </c>
      <c r="F863" s="37">
        <v>1</v>
      </c>
      <c r="G863" s="37">
        <v>1</v>
      </c>
      <c r="H863" s="17">
        <v>0</v>
      </c>
      <c r="I863" s="17">
        <v>0</v>
      </c>
      <c r="J863" s="99">
        <f>SUM(SamplingData[[#This Row],[Losing Candidate]:[Under Votes]])</f>
        <v>26</v>
      </c>
      <c r="K863"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863" s="100">
        <f>IF(AND(SamplingData[[#This Row],[Total]]&lt;&gt; 0, NOT(ISBLANK(SamplingData[[#This Row],[Candidate 3]]))),(SamplingData[[#This Row],[Total]]+SamplingData[[#This Row],[Winning Candidate]]-SamplingData[[#This Row],[Candidate 3]])/(SamplingData[[#Totals],[Winning Candidate]]-SamplingData[[#Totals],[Candidate 3]]), 0)</f>
        <v>1.0000967835596993E-3</v>
      </c>
      <c r="M863" s="100">
        <f>IF(AND(SamplingData[[#This Row],[Total]]&lt;&gt; 0, NOT(ISBLANK(SamplingData[[#This Row],[Candidate 4]]))),(SamplingData[[#This Row],[Total]]+SamplingData[[#This Row],[Winning Candidate]]-SamplingData[[#This Row],[Candidate 4]])/(SamplingData[[#Totals],[Winning Candidate]]-SamplingData[[#Totals],[Candidate 4]]), 0)</f>
        <v>9.6465842322195918E-4</v>
      </c>
      <c r="N863" s="100">
        <f>IF(AND(SamplingData[[#This Row],[Total]]&lt;&gt; 0, NOT(ISBLANK(SamplingData[[#This Row],[Candidate 5]]))),(SamplingData[[#This Row],[Total]]+SamplingData[[#This Row],[Winning Candidate]]-SamplingData[[#This Row],[Candidate 5]])/(SamplingData[[#Totals],[Winning Candidate]]-SamplingData[[#Totals],[Candidate 5]]), 0)</f>
        <v>8.2704937971296523E-4</v>
      </c>
      <c r="O863" s="100">
        <f>IF(AND(SamplingData[[#This Row],[Total]]&lt;&gt; 0, NOT(ISBLANK(SamplingData[[#This Row],[Candidate 6]]))),(SamplingData[[#This Row],[Total]]+SamplingData[[#This Row],[Winning Candidate]]-SamplingData[[#This Row],[Candidate 6]])/(SamplingData[[#Totals],[Winning Candidate]]-SamplingData[[#Totals],[Candidate 6]]), 0)</f>
        <v>8.2680803462866588E-4</v>
      </c>
      <c r="P863" s="100">
        <f>MAX(SamplingData[[#This Row],[Error Bound (up) - Max. possible relative overstatement - Losing Candidate]:[Error Bound (up) - Max. possible relative overstatement - Candidate 6]])</f>
        <v>1.5923566878980893E-3</v>
      </c>
      <c r="Q863" s="100">
        <f>IF(SamplingData[[#This Row],[Max Error Bound (up)]] = 0,0,SamplingData[[#This Row],[Max Error Bound (up)]]/SamplingData[[#Totals],[Max Error Bound (up)]])</f>
        <v>2.5201665523959162E-4</v>
      </c>
      <c r="R863" s="101">
        <f>SUM($Q$5:Q863)</f>
        <v>0.21941767890087752</v>
      </c>
      <c r="S863" s="100" t="str">
        <f t="array" ref="S863">IF(SamplingData[[#This Row],[up/U Selection Probability]] = 0, "Zero", TEXT(SamplingData[[#This Row],[Lower Range]], REPT("0",LEN('General Info'!$B$40))) &amp; " - " &amp; TEXT(SamplingData[[#This Row],[Upper Range]], REPT("0",LEN('General Info'!$B$40))))</f>
        <v>21917 - 21941</v>
      </c>
      <c r="T863" s="100">
        <f>SamplingData[[#This Row],[Upper Range]]-SamplingData[[#This Row],[Span]]</f>
        <v>21916.566476580447</v>
      </c>
      <c r="U863" s="100">
        <f>IF(ISNUMBER('General Info'!$B$40), ((SamplingData[[#This Row],[up/U Selection Probability]]) * 'General Info'!$B$40) - 1, 0)</f>
        <v>24.201413507303922</v>
      </c>
      <c r="V863" s="100">
        <f>IF(ISNUMBER('General Info'!$B$40), (SamplingData[[#This Row],[Running (cumulative) sum]] * ('General Info'!$B$40 -'General Info'!$B$41 + 1)) + 'General Info'!$B$41 - 1, 0)</f>
        <v>21940.767890087751</v>
      </c>
      <c r="W863" s="100" t="str">
        <f>IF(ISERROR(MATCH(SamplingData[[#This Row],[Batch by Type (p)]],SelectedPrecincts[Batch Name], 0)), "", INDEX(SelectedPrecincts[Draw], MATCH(SamplingData[[#This Row],[Batch by Type (p)]],SelectedPrecincts[Batch Name], 0)))</f>
        <v/>
      </c>
      <c r="X863" s="102">
        <f>IF(COUNTIF(SelectedPrecincts[Batch Name],SamplingData[[#This Row],[Batch by Type (p)]]) &lt;&gt; 0, COUNTIF(SelectedPrecincts[Batch Name],SamplingData[[#This Row],[Batch by Type (p)]]), 0)</f>
        <v>0</v>
      </c>
    </row>
    <row r="864" spans="1:24" ht="15" customHeight="1">
      <c r="A864" s="18" t="s">
        <v>1040</v>
      </c>
      <c r="B864" s="18">
        <v>3</v>
      </c>
      <c r="C864" s="18">
        <v>3</v>
      </c>
      <c r="D864" s="18">
        <v>1</v>
      </c>
      <c r="E864" s="18">
        <v>0</v>
      </c>
      <c r="F864" s="18">
        <v>0</v>
      </c>
      <c r="G864" s="18">
        <v>0</v>
      </c>
      <c r="H864" s="18">
        <v>0</v>
      </c>
      <c r="I864" s="18">
        <v>0</v>
      </c>
      <c r="J864" s="99">
        <f>SUM(SamplingData[[#This Row],[Losing Candidate]:[Under Votes]])</f>
        <v>7</v>
      </c>
      <c r="K864"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864" s="100">
        <f>IF(AND(SamplingData[[#This Row],[Total]]&lt;&gt; 0, NOT(ISBLANK(SamplingData[[#This Row],[Candidate 3]]))),(SamplingData[[#This Row],[Total]]+SamplingData[[#This Row],[Winning Candidate]]-SamplingData[[#This Row],[Candidate 3]])/(SamplingData[[#Totals],[Winning Candidate]]-SamplingData[[#Totals],[Candidate 3]]), 0)</f>
        <v>2.9035067909797722E-4</v>
      </c>
      <c r="M864" s="100">
        <f>IF(AND(SamplingData[[#This Row],[Total]]&lt;&gt; 0, NOT(ISBLANK(SamplingData[[#This Row],[Candidate 4]]))),(SamplingData[[#This Row],[Total]]+SamplingData[[#This Row],[Winning Candidate]]-SamplingData[[#This Row],[Candidate 4]])/(SamplingData[[#Totals],[Winning Candidate]]-SamplingData[[#Totals],[Candidate 4]]), 0)</f>
        <v>2.9232073430968461E-4</v>
      </c>
      <c r="N864" s="100">
        <f>IF(AND(SamplingData[[#This Row],[Total]]&lt;&gt; 0, NOT(ISBLANK(SamplingData[[#This Row],[Candidate 5]]))),(SamplingData[[#This Row],[Total]]+SamplingData[[#This Row],[Winning Candidate]]-SamplingData[[#This Row],[Candidate 5]])/(SamplingData[[#Totals],[Winning Candidate]]-SamplingData[[#Totals],[Candidate 5]]), 0)</f>
        <v>2.4324981756263683E-4</v>
      </c>
      <c r="O864" s="100">
        <f>IF(AND(SamplingData[[#This Row],[Total]]&lt;&gt; 0, NOT(ISBLANK(SamplingData[[#This Row],[Candidate 6]]))),(SamplingData[[#This Row],[Total]]+SamplingData[[#This Row],[Winning Candidate]]-SamplingData[[#This Row],[Candidate 6]])/(SamplingData[[#Totals],[Winning Candidate]]-SamplingData[[#Totals],[Candidate 6]]), 0)</f>
        <v>2.431788337143135E-4</v>
      </c>
      <c r="P864" s="100">
        <f>MAX(SamplingData[[#This Row],[Error Bound (up) - Max. possible relative overstatement - Losing Candidate]:[Error Bound (up) - Max. possible relative overstatement - Candidate 6]])</f>
        <v>4.2871141597256246E-4</v>
      </c>
      <c r="Q864" s="100">
        <f>IF(SamplingData[[#This Row],[Max Error Bound (up)]] = 0,0,SamplingData[[#This Row],[Max Error Bound (up)]]/SamplingData[[#Totals],[Max Error Bound (up)]])</f>
        <v>6.7850637949120826E-5</v>
      </c>
      <c r="R864" s="101">
        <f>SUM($Q$5:Q864)</f>
        <v>0.21948552953882663</v>
      </c>
      <c r="S864" s="100" t="str">
        <f t="array" ref="S864">IF(SamplingData[[#This Row],[up/U Selection Probability]] = 0, "Zero", TEXT(SamplingData[[#This Row],[Lower Range]], REPT("0",LEN('General Info'!$B$40))) &amp; " - " &amp; TEXT(SamplingData[[#This Row],[Upper Range]], REPT("0",LEN('General Info'!$B$40))))</f>
        <v>21942 - 21948</v>
      </c>
      <c r="T864" s="100">
        <f>SamplingData[[#This Row],[Upper Range]]-SamplingData[[#This Row],[Span]]</f>
        <v>21941.767957938388</v>
      </c>
      <c r="U864" s="100">
        <f>IF(ISNUMBER('General Info'!$B$40), ((SamplingData[[#This Row],[up/U Selection Probability]]) * 'General Info'!$B$40) - 1, 0)</f>
        <v>5.7849959442741339</v>
      </c>
      <c r="V864" s="100">
        <f>IF(ISNUMBER('General Info'!$B$40), (SamplingData[[#This Row],[Running (cumulative) sum]] * ('General Info'!$B$40 -'General Info'!$B$41 + 1)) + 'General Info'!$B$41 - 1, 0)</f>
        <v>21947.552953882663</v>
      </c>
      <c r="W864" s="100" t="str">
        <f>IF(ISERROR(MATCH(SamplingData[[#This Row],[Batch by Type (p)]],SelectedPrecincts[Batch Name], 0)), "", INDEX(SelectedPrecincts[Draw], MATCH(SamplingData[[#This Row],[Batch by Type (p)]],SelectedPrecincts[Batch Name], 0)))</f>
        <v/>
      </c>
      <c r="X864" s="102">
        <f>IF(COUNTIF(SelectedPrecincts[Batch Name],SamplingData[[#This Row],[Batch by Type (p)]]) &lt;&gt; 0, COUNTIF(SelectedPrecincts[Batch Name],SamplingData[[#This Row],[Batch by Type (p)]]), 0)</f>
        <v>0</v>
      </c>
    </row>
    <row r="865" spans="1:24" ht="15" customHeight="1">
      <c r="A865" s="18" t="s">
        <v>1041</v>
      </c>
      <c r="B865" s="18">
        <v>14</v>
      </c>
      <c r="C865" s="18">
        <v>18</v>
      </c>
      <c r="D865" s="16">
        <v>4</v>
      </c>
      <c r="E865" s="16">
        <v>4</v>
      </c>
      <c r="F865" s="37">
        <v>0</v>
      </c>
      <c r="G865" s="37">
        <v>1</v>
      </c>
      <c r="H865" s="17">
        <v>0</v>
      </c>
      <c r="I865" s="17">
        <v>0</v>
      </c>
      <c r="J865" s="99">
        <f>SUM(SamplingData[[#This Row],[Losing Candidate]:[Under Votes]])</f>
        <v>41</v>
      </c>
      <c r="K865"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865" s="100">
        <f>IF(AND(SamplingData[[#This Row],[Total]]&lt;&gt; 0, NOT(ISBLANK(SamplingData[[#This Row],[Candidate 3]]))),(SamplingData[[#This Row],[Total]]+SamplingData[[#This Row],[Winning Candidate]]-SamplingData[[#This Row],[Candidate 3]])/(SamplingData[[#Totals],[Winning Candidate]]-SamplingData[[#Totals],[Candidate 3]]), 0)</f>
        <v>1.7743652611543052E-3</v>
      </c>
      <c r="M865" s="100">
        <f>IF(AND(SamplingData[[#This Row],[Total]]&lt;&gt; 0, NOT(ISBLANK(SamplingData[[#This Row],[Candidate 4]]))),(SamplingData[[#This Row],[Total]]+SamplingData[[#This Row],[Winning Candidate]]-SamplingData[[#This Row],[Candidate 4]])/(SamplingData[[#Totals],[Winning Candidate]]-SamplingData[[#Totals],[Candidate 4]]), 0)</f>
        <v>1.6077640387032652E-3</v>
      </c>
      <c r="N865" s="100">
        <f>IF(AND(SamplingData[[#This Row],[Total]]&lt;&gt; 0, NOT(ISBLANK(SamplingData[[#This Row],[Candidate 5]]))),(SamplingData[[#This Row],[Total]]+SamplingData[[#This Row],[Winning Candidate]]-SamplingData[[#This Row],[Candidate 5]])/(SamplingData[[#Totals],[Winning Candidate]]-SamplingData[[#Totals],[Candidate 5]]), 0)</f>
        <v>1.4351739236195572E-3</v>
      </c>
      <c r="O865" s="100">
        <f>IF(AND(SamplingData[[#This Row],[Total]]&lt;&gt; 0, NOT(ISBLANK(SamplingData[[#This Row],[Candidate 6]]))),(SamplingData[[#This Row],[Total]]+SamplingData[[#This Row],[Winning Candidate]]-SamplingData[[#This Row],[Candidate 6]])/(SamplingData[[#Totals],[Winning Candidate]]-SamplingData[[#Totals],[Candidate 6]]), 0)</f>
        <v>1.4104372355430183E-3</v>
      </c>
      <c r="P865" s="100">
        <f>MAX(SamplingData[[#This Row],[Error Bound (up) - Max. possible relative overstatement - Losing Candidate]:[Error Bound (up) - Max. possible relative overstatement - Candidate 6]])</f>
        <v>2.7560019598236157E-3</v>
      </c>
      <c r="Q865" s="100">
        <f>IF(SamplingData[[#This Row],[Max Error Bound (up)]] = 0,0,SamplingData[[#This Row],[Max Error Bound (up)]]/SamplingData[[#Totals],[Max Error Bound (up)]])</f>
        <v>4.3618267253006237E-4</v>
      </c>
      <c r="R865" s="101">
        <f>SUM($Q$5:Q865)</f>
        <v>0.2199217122113567</v>
      </c>
      <c r="S865" s="100" t="str">
        <f t="array" ref="S865">IF(SamplingData[[#This Row],[up/U Selection Probability]] = 0, "Zero", TEXT(SamplingData[[#This Row],[Lower Range]], REPT("0",LEN('General Info'!$B$40))) &amp; " - " &amp; TEXT(SamplingData[[#This Row],[Upper Range]], REPT("0",LEN('General Info'!$B$40))))</f>
        <v>21949 - 21991</v>
      </c>
      <c r="T865" s="100">
        <f>SamplingData[[#This Row],[Upper Range]]-SamplingData[[#This Row],[Span]]</f>
        <v>21948.553390065339</v>
      </c>
      <c r="U865" s="100">
        <f>IF(ISNUMBER('General Info'!$B$40), ((SamplingData[[#This Row],[up/U Selection Probability]]) * 'General Info'!$B$40) - 1, 0)</f>
        <v>42.617831070333708</v>
      </c>
      <c r="V865" s="100">
        <f>IF(ISNUMBER('General Info'!$B$40), (SamplingData[[#This Row],[Running (cumulative) sum]] * ('General Info'!$B$40 -'General Info'!$B$41 + 1)) + 'General Info'!$B$41 - 1, 0)</f>
        <v>21991.171221135672</v>
      </c>
      <c r="W865" s="100" t="str">
        <f>IF(ISERROR(MATCH(SamplingData[[#This Row],[Batch by Type (p)]],SelectedPrecincts[Batch Name], 0)), "", INDEX(SelectedPrecincts[Draw], MATCH(SamplingData[[#This Row],[Batch by Type (p)]],SelectedPrecincts[Batch Name], 0)))</f>
        <v/>
      </c>
      <c r="X865" s="102">
        <f>IF(COUNTIF(SelectedPrecincts[Batch Name],SamplingData[[#This Row],[Batch by Type (p)]]) &lt;&gt; 0, COUNTIF(SelectedPrecincts[Batch Name],SamplingData[[#This Row],[Batch by Type (p)]]), 0)</f>
        <v>0</v>
      </c>
    </row>
    <row r="866" spans="1:24" ht="15" customHeight="1">
      <c r="A866" s="18" t="s">
        <v>1042</v>
      </c>
      <c r="B866" s="18">
        <v>5</v>
      </c>
      <c r="C866" s="18">
        <v>2</v>
      </c>
      <c r="D866" s="18">
        <v>4</v>
      </c>
      <c r="E866" s="18">
        <v>1</v>
      </c>
      <c r="F866" s="18">
        <v>0</v>
      </c>
      <c r="G866" s="18">
        <v>0</v>
      </c>
      <c r="H866" s="18">
        <v>0</v>
      </c>
      <c r="I866" s="18">
        <v>0</v>
      </c>
      <c r="J866" s="99">
        <f>SUM(SamplingData[[#This Row],[Losing Candidate]:[Under Votes]])</f>
        <v>12</v>
      </c>
      <c r="K866"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866" s="100">
        <f>IF(AND(SamplingData[[#This Row],[Total]]&lt;&gt; 0, NOT(ISBLANK(SamplingData[[#This Row],[Candidate 3]]))),(SamplingData[[#This Row],[Total]]+SamplingData[[#This Row],[Winning Candidate]]-SamplingData[[#This Row],[Candidate 3]])/(SamplingData[[#Totals],[Winning Candidate]]-SamplingData[[#Totals],[Candidate 3]]), 0)</f>
        <v>3.2261186566441915E-4</v>
      </c>
      <c r="M866" s="100">
        <f>IF(AND(SamplingData[[#This Row],[Total]]&lt;&gt; 0, NOT(ISBLANK(SamplingData[[#This Row],[Candidate 4]]))),(SamplingData[[#This Row],[Total]]+SamplingData[[#This Row],[Winning Candidate]]-SamplingData[[#This Row],[Candidate 4]])/(SamplingData[[#Totals],[Winning Candidate]]-SamplingData[[#Totals],[Candidate 4]]), 0)</f>
        <v>3.8001695460258996E-4</v>
      </c>
      <c r="N866" s="100">
        <f>IF(AND(SamplingData[[#This Row],[Total]]&lt;&gt; 0, NOT(ISBLANK(SamplingData[[#This Row],[Candidate 5]]))),(SamplingData[[#This Row],[Total]]+SamplingData[[#This Row],[Winning Candidate]]-SamplingData[[#This Row],[Candidate 5]])/(SamplingData[[#Totals],[Winning Candidate]]-SamplingData[[#Totals],[Candidate 5]]), 0)</f>
        <v>3.4054974458769157E-4</v>
      </c>
      <c r="O866" s="100">
        <f>IF(AND(SamplingData[[#This Row],[Total]]&lt;&gt; 0, NOT(ISBLANK(SamplingData[[#This Row],[Candidate 6]]))),(SamplingData[[#This Row],[Total]]+SamplingData[[#This Row],[Winning Candidate]]-SamplingData[[#This Row],[Candidate 6]])/(SamplingData[[#Totals],[Winning Candidate]]-SamplingData[[#Totals],[Candidate 6]]), 0)</f>
        <v>3.4045036720003888E-4</v>
      </c>
      <c r="P866" s="100">
        <f>MAX(SamplingData[[#This Row],[Error Bound (up) - Max. possible relative overstatement - Losing Candidate]:[Error Bound (up) - Max. possible relative overstatement - Candidate 6]])</f>
        <v>5.5120039196472322E-4</v>
      </c>
      <c r="Q866" s="100">
        <f>IF(SamplingData[[#This Row],[Max Error Bound (up)]] = 0,0,SamplingData[[#This Row],[Max Error Bound (up)]]/SamplingData[[#Totals],[Max Error Bound (up)]])</f>
        <v>8.7236534506012492E-5</v>
      </c>
      <c r="R866" s="101">
        <f>SUM($Q$5:Q866)</f>
        <v>0.22000894874586271</v>
      </c>
      <c r="S866" s="100" t="str">
        <f t="array" ref="S866">IF(SamplingData[[#This Row],[up/U Selection Probability]] = 0, "Zero", TEXT(SamplingData[[#This Row],[Lower Range]], REPT("0",LEN('General Info'!$B$40))) &amp; " - " &amp; TEXT(SamplingData[[#This Row],[Upper Range]], REPT("0",LEN('General Info'!$B$40))))</f>
        <v>21992 - 22000</v>
      </c>
      <c r="T866" s="100">
        <f>SamplingData[[#This Row],[Upper Range]]-SamplingData[[#This Row],[Span]]</f>
        <v>21992.171308372206</v>
      </c>
      <c r="U866" s="100">
        <f>IF(ISNUMBER('General Info'!$B$40), ((SamplingData[[#This Row],[up/U Selection Probability]]) * 'General Info'!$B$40) - 1, 0)</f>
        <v>7.7235662140667429</v>
      </c>
      <c r="V866" s="100">
        <f>IF(ISNUMBER('General Info'!$B$40), (SamplingData[[#This Row],[Running (cumulative) sum]] * ('General Info'!$B$40 -'General Info'!$B$41 + 1)) + 'General Info'!$B$41 - 1, 0)</f>
        <v>21999.894874586273</v>
      </c>
      <c r="W866" s="100" t="str">
        <f>IF(ISERROR(MATCH(SamplingData[[#This Row],[Batch by Type (p)]],SelectedPrecincts[Batch Name], 0)), "", INDEX(SelectedPrecincts[Draw], MATCH(SamplingData[[#This Row],[Batch by Type (p)]],SelectedPrecincts[Batch Name], 0)))</f>
        <v/>
      </c>
      <c r="X866" s="102">
        <f>IF(COUNTIF(SelectedPrecincts[Batch Name],SamplingData[[#This Row],[Batch by Type (p)]]) &lt;&gt; 0, COUNTIF(SelectedPrecincts[Batch Name],SamplingData[[#This Row],[Batch by Type (p)]]), 0)</f>
        <v>0</v>
      </c>
    </row>
    <row r="867" spans="1:24" ht="15" customHeight="1">
      <c r="A867" s="18" t="s">
        <v>1043</v>
      </c>
      <c r="B867" s="18">
        <v>15</v>
      </c>
      <c r="C867" s="18">
        <v>8</v>
      </c>
      <c r="D867" s="16">
        <v>4</v>
      </c>
      <c r="E867" s="16">
        <v>6</v>
      </c>
      <c r="F867" s="37">
        <v>0</v>
      </c>
      <c r="G867" s="37">
        <v>0</v>
      </c>
      <c r="H867" s="17">
        <v>0</v>
      </c>
      <c r="I867" s="17">
        <v>0</v>
      </c>
      <c r="J867" s="99">
        <f>SUM(SamplingData[[#This Row],[Losing Candidate]:[Under Votes]])</f>
        <v>33</v>
      </c>
      <c r="K867"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867" s="100">
        <f>IF(AND(SamplingData[[#This Row],[Total]]&lt;&gt; 0, NOT(ISBLANK(SamplingData[[#This Row],[Candidate 3]]))),(SamplingData[[#This Row],[Total]]+SamplingData[[#This Row],[Winning Candidate]]-SamplingData[[#This Row],[Candidate 3]])/(SamplingData[[#Totals],[Winning Candidate]]-SamplingData[[#Totals],[Candidate 3]]), 0)</f>
        <v>1.1936639029583509E-3</v>
      </c>
      <c r="M867" s="100">
        <f>IF(AND(SamplingData[[#This Row],[Total]]&lt;&gt; 0, NOT(ISBLANK(SamplingData[[#This Row],[Candidate 4]]))),(SamplingData[[#This Row],[Total]]+SamplingData[[#This Row],[Winning Candidate]]-SamplingData[[#This Row],[Candidate 4]])/(SamplingData[[#Totals],[Winning Candidate]]-SamplingData[[#Totals],[Candidate 4]]), 0)</f>
        <v>1.0231225700838961E-3</v>
      </c>
      <c r="N867" s="100">
        <f>IF(AND(SamplingData[[#This Row],[Total]]&lt;&gt; 0, NOT(ISBLANK(SamplingData[[#This Row],[Candidate 5]]))),(SamplingData[[#This Row],[Total]]+SamplingData[[#This Row],[Winning Candidate]]-SamplingData[[#This Row],[Candidate 5]])/(SamplingData[[#Totals],[Winning Candidate]]-SamplingData[[#Totals],[Candidate 5]]), 0)</f>
        <v>9.9732425200681099E-4</v>
      </c>
      <c r="O867" s="100">
        <f>IF(AND(SamplingData[[#This Row],[Total]]&lt;&gt; 0, NOT(ISBLANK(SamplingData[[#This Row],[Candidate 6]]))),(SamplingData[[#This Row],[Total]]+SamplingData[[#This Row],[Winning Candidate]]-SamplingData[[#This Row],[Candidate 6]])/(SamplingData[[#Totals],[Winning Candidate]]-SamplingData[[#Totals],[Candidate 6]]), 0)</f>
        <v>9.9703321822868537E-4</v>
      </c>
      <c r="P867" s="100">
        <f>MAX(SamplingData[[#This Row],[Error Bound (up) - Max. possible relative overstatement - Losing Candidate]:[Error Bound (up) - Max. possible relative overstatement - Candidate 6]])</f>
        <v>1.5923566878980893E-3</v>
      </c>
      <c r="Q867" s="100">
        <f>IF(SamplingData[[#This Row],[Max Error Bound (up)]] = 0,0,SamplingData[[#This Row],[Max Error Bound (up)]]/SamplingData[[#Totals],[Max Error Bound (up)]])</f>
        <v>2.5201665523959162E-4</v>
      </c>
      <c r="R867" s="101">
        <f>SUM($Q$5:Q867)</f>
        <v>0.22026096540110229</v>
      </c>
      <c r="S867" s="100" t="str">
        <f t="array" ref="S867">IF(SamplingData[[#This Row],[up/U Selection Probability]] = 0, "Zero", TEXT(SamplingData[[#This Row],[Lower Range]], REPT("0",LEN('General Info'!$B$40))) &amp; " - " &amp; TEXT(SamplingData[[#This Row],[Upper Range]], REPT("0",LEN('General Info'!$B$40))))</f>
        <v>22001 - 22025</v>
      </c>
      <c r="T867" s="100">
        <f>SamplingData[[#This Row],[Upper Range]]-SamplingData[[#This Row],[Span]]</f>
        <v>22000.895126602925</v>
      </c>
      <c r="U867" s="100">
        <f>IF(ISNUMBER('General Info'!$B$40), ((SamplingData[[#This Row],[up/U Selection Probability]]) * 'General Info'!$B$40) - 1, 0)</f>
        <v>24.201413507303922</v>
      </c>
      <c r="V867" s="100">
        <f>IF(ISNUMBER('General Info'!$B$40), (SamplingData[[#This Row],[Running (cumulative) sum]] * ('General Info'!$B$40 -'General Info'!$B$41 + 1)) + 'General Info'!$B$41 - 1, 0)</f>
        <v>22025.096540110229</v>
      </c>
      <c r="W867" s="100" t="str">
        <f>IF(ISERROR(MATCH(SamplingData[[#This Row],[Batch by Type (p)]],SelectedPrecincts[Batch Name], 0)), "", INDEX(SelectedPrecincts[Draw], MATCH(SamplingData[[#This Row],[Batch by Type (p)]],SelectedPrecincts[Batch Name], 0)))</f>
        <v/>
      </c>
      <c r="X867" s="102">
        <f>IF(COUNTIF(SelectedPrecincts[Batch Name],SamplingData[[#This Row],[Batch by Type (p)]]) &lt;&gt; 0, COUNTIF(SelectedPrecincts[Batch Name],SamplingData[[#This Row],[Batch by Type (p)]]), 0)</f>
        <v>0</v>
      </c>
    </row>
    <row r="868" spans="1:24" ht="15" customHeight="1">
      <c r="A868" s="18" t="s">
        <v>1044</v>
      </c>
      <c r="B868" s="18">
        <v>2</v>
      </c>
      <c r="C868" s="18">
        <v>3</v>
      </c>
      <c r="D868" s="18">
        <v>2</v>
      </c>
      <c r="E868" s="18">
        <v>0</v>
      </c>
      <c r="F868" s="18">
        <v>0</v>
      </c>
      <c r="G868" s="18">
        <v>1</v>
      </c>
      <c r="H868" s="18">
        <v>0</v>
      </c>
      <c r="I868" s="18">
        <v>0</v>
      </c>
      <c r="J868" s="99">
        <f>SUM(SamplingData[[#This Row],[Losing Candidate]:[Under Votes]])</f>
        <v>8</v>
      </c>
      <c r="K868"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868" s="100">
        <f>IF(AND(SamplingData[[#This Row],[Total]]&lt;&gt; 0, NOT(ISBLANK(SamplingData[[#This Row],[Candidate 3]]))),(SamplingData[[#This Row],[Total]]+SamplingData[[#This Row],[Winning Candidate]]-SamplingData[[#This Row],[Candidate 3]])/(SamplingData[[#Totals],[Winning Candidate]]-SamplingData[[#Totals],[Candidate 3]]), 0)</f>
        <v>2.9035067909797722E-4</v>
      </c>
      <c r="M868" s="100">
        <f>IF(AND(SamplingData[[#This Row],[Total]]&lt;&gt; 0, NOT(ISBLANK(SamplingData[[#This Row],[Candidate 4]]))),(SamplingData[[#This Row],[Total]]+SamplingData[[#This Row],[Winning Candidate]]-SamplingData[[#This Row],[Candidate 4]])/(SamplingData[[#Totals],[Winning Candidate]]-SamplingData[[#Totals],[Candidate 4]]), 0)</f>
        <v>3.2155280774065302E-4</v>
      </c>
      <c r="N868" s="100">
        <f>IF(AND(SamplingData[[#This Row],[Total]]&lt;&gt; 0, NOT(ISBLANK(SamplingData[[#This Row],[Candidate 5]]))),(SamplingData[[#This Row],[Total]]+SamplingData[[#This Row],[Winning Candidate]]-SamplingData[[#This Row],[Candidate 5]])/(SamplingData[[#Totals],[Winning Candidate]]-SamplingData[[#Totals],[Candidate 5]]), 0)</f>
        <v>2.6757479931890053E-4</v>
      </c>
      <c r="O868" s="100">
        <f>IF(AND(SamplingData[[#This Row],[Total]]&lt;&gt; 0, NOT(ISBLANK(SamplingData[[#This Row],[Candidate 6]]))),(SamplingData[[#This Row],[Total]]+SamplingData[[#This Row],[Winning Candidate]]-SamplingData[[#This Row],[Candidate 6]])/(SamplingData[[#Totals],[Winning Candidate]]-SamplingData[[#Totals],[Candidate 6]]), 0)</f>
        <v>2.431788337143135E-4</v>
      </c>
      <c r="P868" s="100">
        <f>MAX(SamplingData[[#This Row],[Error Bound (up) - Max. possible relative overstatement - Losing Candidate]:[Error Bound (up) - Max. possible relative overstatement - Candidate 6]])</f>
        <v>5.5120039196472322E-4</v>
      </c>
      <c r="Q868" s="100">
        <f>IF(SamplingData[[#This Row],[Max Error Bound (up)]] = 0,0,SamplingData[[#This Row],[Max Error Bound (up)]]/SamplingData[[#Totals],[Max Error Bound (up)]])</f>
        <v>8.7236534506012492E-5</v>
      </c>
      <c r="R868" s="101">
        <f>SUM($Q$5:Q868)</f>
        <v>0.22034820193560831</v>
      </c>
      <c r="S868" s="100" t="str">
        <f t="array" ref="S868">IF(SamplingData[[#This Row],[up/U Selection Probability]] = 0, "Zero", TEXT(SamplingData[[#This Row],[Lower Range]], REPT("0",LEN('General Info'!$B$40))) &amp; " - " &amp; TEXT(SamplingData[[#This Row],[Upper Range]], REPT("0",LEN('General Info'!$B$40))))</f>
        <v>22026 - 22034</v>
      </c>
      <c r="T868" s="100">
        <f>SamplingData[[#This Row],[Upper Range]]-SamplingData[[#This Row],[Span]]</f>
        <v>22026.096627346764</v>
      </c>
      <c r="U868" s="100">
        <f>IF(ISNUMBER('General Info'!$B$40), ((SamplingData[[#This Row],[up/U Selection Probability]]) * 'General Info'!$B$40) - 1, 0)</f>
        <v>7.7235662140667429</v>
      </c>
      <c r="V868" s="100">
        <f>IF(ISNUMBER('General Info'!$B$40), (SamplingData[[#This Row],[Running (cumulative) sum]] * ('General Info'!$B$40 -'General Info'!$B$41 + 1)) + 'General Info'!$B$41 - 1, 0)</f>
        <v>22033.82019356083</v>
      </c>
      <c r="W868" s="100" t="str">
        <f>IF(ISERROR(MATCH(SamplingData[[#This Row],[Batch by Type (p)]],SelectedPrecincts[Batch Name], 0)), "", INDEX(SelectedPrecincts[Draw], MATCH(SamplingData[[#This Row],[Batch by Type (p)]],SelectedPrecincts[Batch Name], 0)))</f>
        <v/>
      </c>
      <c r="X868" s="102">
        <f>IF(COUNTIF(SelectedPrecincts[Batch Name],SamplingData[[#This Row],[Batch by Type (p)]]) &lt;&gt; 0, COUNTIF(SelectedPrecincts[Batch Name],SamplingData[[#This Row],[Batch by Type (p)]]), 0)</f>
        <v>0</v>
      </c>
    </row>
    <row r="869" spans="1:24" ht="15" customHeight="1">
      <c r="A869" s="18" t="s">
        <v>1045</v>
      </c>
      <c r="B869" s="18">
        <v>19</v>
      </c>
      <c r="C869" s="18">
        <v>20</v>
      </c>
      <c r="D869" s="16">
        <v>5</v>
      </c>
      <c r="E869" s="16">
        <v>7</v>
      </c>
      <c r="F869" s="37">
        <v>1</v>
      </c>
      <c r="G869" s="37">
        <v>0</v>
      </c>
      <c r="H869" s="17">
        <v>0</v>
      </c>
      <c r="I869" s="17">
        <v>0</v>
      </c>
      <c r="J869" s="99">
        <f>SUM(SamplingData[[#This Row],[Losing Candidate]:[Under Votes]])</f>
        <v>52</v>
      </c>
      <c r="K869" s="100">
        <f>IF(AND(SamplingData[[#This Row],[Total]]&lt;&gt; 0, NOT(ISBLANK(SamplingData[[#This Row],[Losing Candidate]]))),(SamplingData[[#This Row],[Total]]+SamplingData[[#This Row],[Winning Candidate]]-SamplingData[[#This Row],[Losing Candidate]])/(SamplingData[[#Totals],[Winning Candidate]]-SamplingData[[#Totals],[Losing Candidate]]), 0)</f>
        <v>3.2459578637922589E-3</v>
      </c>
      <c r="L869" s="100">
        <f>IF(AND(SamplingData[[#This Row],[Total]]&lt;&gt; 0, NOT(ISBLANK(SamplingData[[#This Row],[Candidate 3]]))),(SamplingData[[#This Row],[Total]]+SamplingData[[#This Row],[Winning Candidate]]-SamplingData[[#This Row],[Candidate 3]])/(SamplingData[[#Totals],[Winning Candidate]]-SamplingData[[#Totals],[Candidate 3]]), 0)</f>
        <v>2.1614994999516082E-3</v>
      </c>
      <c r="M869" s="100">
        <f>IF(AND(SamplingData[[#This Row],[Total]]&lt;&gt; 0, NOT(ISBLANK(SamplingData[[#This Row],[Candidate 4]]))),(SamplingData[[#This Row],[Total]]+SamplingData[[#This Row],[Winning Candidate]]-SamplingData[[#This Row],[Candidate 4]])/(SamplingData[[#Totals],[Winning Candidate]]-SamplingData[[#Totals],[Candidate 4]]), 0)</f>
        <v>1.9000847730129499E-3</v>
      </c>
      <c r="N869" s="100">
        <f>IF(AND(SamplingData[[#This Row],[Total]]&lt;&gt; 0, NOT(ISBLANK(SamplingData[[#This Row],[Candidate 5]]))),(SamplingData[[#This Row],[Total]]+SamplingData[[#This Row],[Winning Candidate]]-SamplingData[[#This Row],[Candidate 5]])/(SamplingData[[#Totals],[Winning Candidate]]-SamplingData[[#Totals],[Candidate 5]]), 0)</f>
        <v>1.7270737046947214E-3</v>
      </c>
      <c r="O869" s="100">
        <f>IF(AND(SamplingData[[#This Row],[Total]]&lt;&gt; 0, NOT(ISBLANK(SamplingData[[#This Row],[Candidate 6]]))),(SamplingData[[#This Row],[Total]]+SamplingData[[#This Row],[Winning Candidate]]-SamplingData[[#This Row],[Candidate 6]])/(SamplingData[[#Totals],[Winning Candidate]]-SamplingData[[#Totals],[Candidate 6]]), 0)</f>
        <v>1.7508876027430573E-3</v>
      </c>
      <c r="P869" s="100">
        <f>MAX(SamplingData[[#This Row],[Error Bound (up) - Max. possible relative overstatement - Losing Candidate]:[Error Bound (up) - Max. possible relative overstatement - Candidate 6]])</f>
        <v>3.2459578637922589E-3</v>
      </c>
      <c r="Q869" s="100">
        <f>IF(SamplingData[[#This Row],[Max Error Bound (up)]] = 0,0,SamplingData[[#This Row],[Max Error Bound (up)]]/SamplingData[[#Totals],[Max Error Bound (up)]])</f>
        <v>5.1372625875762909E-4</v>
      </c>
      <c r="R869" s="101">
        <f>SUM($Q$5:Q869)</f>
        <v>0.22086192819436593</v>
      </c>
      <c r="S869" s="100" t="str">
        <f t="array" ref="S869">IF(SamplingData[[#This Row],[up/U Selection Probability]] = 0, "Zero", TEXT(SamplingData[[#This Row],[Lower Range]], REPT("0",LEN('General Info'!$B$40))) &amp; " - " &amp; TEXT(SamplingData[[#This Row],[Upper Range]], REPT("0",LEN('General Info'!$B$40))))</f>
        <v>22035 - 22085</v>
      </c>
      <c r="T869" s="100">
        <f>SamplingData[[#This Row],[Upper Range]]-SamplingData[[#This Row],[Span]]</f>
        <v>22034.82070728709</v>
      </c>
      <c r="U869" s="100">
        <f>IF(ISNUMBER('General Info'!$B$40), ((SamplingData[[#This Row],[up/U Selection Probability]]) * 'General Info'!$B$40) - 1, 0)</f>
        <v>50.372112149504154</v>
      </c>
      <c r="V869" s="100">
        <f>IF(ISNUMBER('General Info'!$B$40), (SamplingData[[#This Row],[Running (cumulative) sum]] * ('General Info'!$B$40 -'General Info'!$B$41 + 1)) + 'General Info'!$B$41 - 1, 0)</f>
        <v>22085.192819436594</v>
      </c>
      <c r="W869" s="100" t="str">
        <f>IF(ISERROR(MATCH(SamplingData[[#This Row],[Batch by Type (p)]],SelectedPrecincts[Batch Name], 0)), "", INDEX(SelectedPrecincts[Draw], MATCH(SamplingData[[#This Row],[Batch by Type (p)]],SelectedPrecincts[Batch Name], 0)))</f>
        <v/>
      </c>
      <c r="X869" s="102">
        <f>IF(COUNTIF(SelectedPrecincts[Batch Name],SamplingData[[#This Row],[Batch by Type (p)]]) &lt;&gt; 0, COUNTIF(SelectedPrecincts[Batch Name],SamplingData[[#This Row],[Batch by Type (p)]]), 0)</f>
        <v>0</v>
      </c>
    </row>
    <row r="870" spans="1:24" ht="15" customHeight="1">
      <c r="A870" s="18" t="s">
        <v>1046</v>
      </c>
      <c r="B870" s="18">
        <v>8</v>
      </c>
      <c r="C870" s="18">
        <v>2</v>
      </c>
      <c r="D870" s="18">
        <v>2</v>
      </c>
      <c r="E870" s="18">
        <v>1</v>
      </c>
      <c r="F870" s="18">
        <v>0</v>
      </c>
      <c r="G870" s="18">
        <v>0</v>
      </c>
      <c r="H870" s="18">
        <v>1</v>
      </c>
      <c r="I870" s="18">
        <v>0</v>
      </c>
      <c r="J870" s="99">
        <f>SUM(SamplingData[[#This Row],[Losing Candidate]:[Under Votes]])</f>
        <v>14</v>
      </c>
      <c r="K870"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870" s="100">
        <f>IF(AND(SamplingData[[#This Row],[Total]]&lt;&gt; 0, NOT(ISBLANK(SamplingData[[#This Row],[Candidate 3]]))),(SamplingData[[#This Row],[Total]]+SamplingData[[#This Row],[Winning Candidate]]-SamplingData[[#This Row],[Candidate 3]])/(SamplingData[[#Totals],[Winning Candidate]]-SamplingData[[#Totals],[Candidate 3]]), 0)</f>
        <v>4.5165661193018679E-4</v>
      </c>
      <c r="M870" s="100">
        <f>IF(AND(SamplingData[[#This Row],[Total]]&lt;&gt; 0, NOT(ISBLANK(SamplingData[[#This Row],[Candidate 4]]))),(SamplingData[[#This Row],[Total]]+SamplingData[[#This Row],[Winning Candidate]]-SamplingData[[#This Row],[Candidate 4]])/(SamplingData[[#Totals],[Winning Candidate]]-SamplingData[[#Totals],[Candidate 4]]), 0)</f>
        <v>4.3848110146452689E-4</v>
      </c>
      <c r="N870" s="100">
        <f>IF(AND(SamplingData[[#This Row],[Total]]&lt;&gt; 0, NOT(ISBLANK(SamplingData[[#This Row],[Candidate 5]]))),(SamplingData[[#This Row],[Total]]+SamplingData[[#This Row],[Winning Candidate]]-SamplingData[[#This Row],[Candidate 5]])/(SamplingData[[#Totals],[Winning Candidate]]-SamplingData[[#Totals],[Candidate 5]]), 0)</f>
        <v>3.8919970810021893E-4</v>
      </c>
      <c r="O870" s="100">
        <f>IF(AND(SamplingData[[#This Row],[Total]]&lt;&gt; 0, NOT(ISBLANK(SamplingData[[#This Row],[Candidate 6]]))),(SamplingData[[#This Row],[Total]]+SamplingData[[#This Row],[Winning Candidate]]-SamplingData[[#This Row],[Candidate 6]])/(SamplingData[[#Totals],[Winning Candidate]]-SamplingData[[#Totals],[Candidate 6]]), 0)</f>
        <v>3.8908613394290161E-4</v>
      </c>
      <c r="P870" s="100">
        <f>MAX(SamplingData[[#This Row],[Error Bound (up) - Max. possible relative overstatement - Losing Candidate]:[Error Bound (up) - Max. possible relative overstatement - Candidate 6]])</f>
        <v>4.8995590396864281E-4</v>
      </c>
      <c r="Q870" s="100">
        <f>IF(SamplingData[[#This Row],[Max Error Bound (up)]] = 0,0,SamplingData[[#This Row],[Max Error Bound (up)]]/SamplingData[[#Totals],[Max Error Bound (up)]])</f>
        <v>7.7543586227566652E-5</v>
      </c>
      <c r="R870" s="101">
        <f>SUM($Q$5:Q870)</f>
        <v>0.2209394717805935</v>
      </c>
      <c r="S870" s="100" t="str">
        <f t="array" ref="S870">IF(SamplingData[[#This Row],[up/U Selection Probability]] = 0, "Zero", TEXT(SamplingData[[#This Row],[Lower Range]], REPT("0",LEN('General Info'!$B$40))) &amp; " - " &amp; TEXT(SamplingData[[#This Row],[Upper Range]], REPT("0",LEN('General Info'!$B$40))))</f>
        <v>22086 - 22093</v>
      </c>
      <c r="T870" s="100">
        <f>SamplingData[[#This Row],[Upper Range]]-SamplingData[[#This Row],[Span]]</f>
        <v>22086.192896980181</v>
      </c>
      <c r="U870" s="100">
        <f>IF(ISNUMBER('General Info'!$B$40), ((SamplingData[[#This Row],[up/U Selection Probability]]) * 'General Info'!$B$40) - 1, 0)</f>
        <v>6.754281079170438</v>
      </c>
      <c r="V870" s="100">
        <f>IF(ISNUMBER('General Info'!$B$40), (SamplingData[[#This Row],[Running (cumulative) sum]] * ('General Info'!$B$40 -'General Info'!$B$41 + 1)) + 'General Info'!$B$41 - 1, 0)</f>
        <v>22092.947178059352</v>
      </c>
      <c r="W870" s="100" t="str">
        <f>IF(ISERROR(MATCH(SamplingData[[#This Row],[Batch by Type (p)]],SelectedPrecincts[Batch Name], 0)), "", INDEX(SelectedPrecincts[Draw], MATCH(SamplingData[[#This Row],[Batch by Type (p)]],SelectedPrecincts[Batch Name], 0)))</f>
        <v/>
      </c>
      <c r="X870" s="102">
        <f>IF(COUNTIF(SelectedPrecincts[Batch Name],SamplingData[[#This Row],[Batch by Type (p)]]) &lt;&gt; 0, COUNTIF(SelectedPrecincts[Batch Name],SamplingData[[#This Row],[Batch by Type (p)]]), 0)</f>
        <v>0</v>
      </c>
    </row>
    <row r="871" spans="1:24" ht="15" customHeight="1">
      <c r="A871" s="18" t="s">
        <v>1047</v>
      </c>
      <c r="B871" s="18">
        <v>5</v>
      </c>
      <c r="C871" s="18">
        <v>6</v>
      </c>
      <c r="D871" s="16">
        <v>2</v>
      </c>
      <c r="E871" s="16">
        <v>1</v>
      </c>
      <c r="F871" s="37">
        <v>0</v>
      </c>
      <c r="G871" s="37">
        <v>1</v>
      </c>
      <c r="H871" s="17">
        <v>0</v>
      </c>
      <c r="I871" s="17">
        <v>0</v>
      </c>
      <c r="J871" s="99">
        <f>SUM(SamplingData[[#This Row],[Losing Candidate]:[Under Votes]])</f>
        <v>15</v>
      </c>
      <c r="K871"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871" s="100">
        <f>IF(AND(SamplingData[[#This Row],[Total]]&lt;&gt; 0, NOT(ISBLANK(SamplingData[[#This Row],[Candidate 3]]))),(SamplingData[[#This Row],[Total]]+SamplingData[[#This Row],[Winning Candidate]]-SamplingData[[#This Row],[Candidate 3]])/(SamplingData[[#Totals],[Winning Candidate]]-SamplingData[[#Totals],[Candidate 3]]), 0)</f>
        <v>6.1296254476239632E-4</v>
      </c>
      <c r="M871" s="100">
        <f>IF(AND(SamplingData[[#This Row],[Total]]&lt;&gt; 0, NOT(ISBLANK(SamplingData[[#This Row],[Candidate 4]]))),(SamplingData[[#This Row],[Total]]+SamplingData[[#This Row],[Winning Candidate]]-SamplingData[[#This Row],[Candidate 4]])/(SamplingData[[#Totals],[Winning Candidate]]-SamplingData[[#Totals],[Candidate 4]]), 0)</f>
        <v>5.8464146861936922E-4</v>
      </c>
      <c r="N871" s="100">
        <f>IF(AND(SamplingData[[#This Row],[Total]]&lt;&gt; 0, NOT(ISBLANK(SamplingData[[#This Row],[Candidate 5]]))),(SamplingData[[#This Row],[Total]]+SamplingData[[#This Row],[Winning Candidate]]-SamplingData[[#This Row],[Candidate 5]])/(SamplingData[[#Totals],[Winning Candidate]]-SamplingData[[#Totals],[Candidate 5]]), 0)</f>
        <v>5.1082461688153739E-4</v>
      </c>
      <c r="O871" s="100">
        <f>IF(AND(SamplingData[[#This Row],[Total]]&lt;&gt; 0, NOT(ISBLANK(SamplingData[[#This Row],[Candidate 6]]))),(SamplingData[[#This Row],[Total]]+SamplingData[[#This Row],[Winning Candidate]]-SamplingData[[#This Row],[Candidate 6]])/(SamplingData[[#Totals],[Winning Candidate]]-SamplingData[[#Totals],[Candidate 6]]), 0)</f>
        <v>4.8635766742862699E-4</v>
      </c>
      <c r="P871" s="100">
        <f>MAX(SamplingData[[#This Row],[Error Bound (up) - Max. possible relative overstatement - Losing Candidate]:[Error Bound (up) - Max. possible relative overstatement - Candidate 6]])</f>
        <v>9.7991180793728563E-4</v>
      </c>
      <c r="Q871" s="100">
        <f>IF(SamplingData[[#This Row],[Max Error Bound (up)]] = 0,0,SamplingData[[#This Row],[Max Error Bound (up)]]/SamplingData[[#Totals],[Max Error Bound (up)]])</f>
        <v>1.550871724551333E-4</v>
      </c>
      <c r="R871" s="101">
        <f>SUM($Q$5:Q871)</f>
        <v>0.22109455895304864</v>
      </c>
      <c r="S871" s="100" t="str">
        <f t="array" ref="S871">IF(SamplingData[[#This Row],[up/U Selection Probability]] = 0, "Zero", TEXT(SamplingData[[#This Row],[Lower Range]], REPT("0",LEN('General Info'!$B$40))) &amp; " - " &amp; TEXT(SamplingData[[#This Row],[Upper Range]], REPT("0",LEN('General Info'!$B$40))))</f>
        <v>22094 - 22108</v>
      </c>
      <c r="T871" s="100">
        <f>SamplingData[[#This Row],[Upper Range]]-SamplingData[[#This Row],[Span]]</f>
        <v>22093.947333146523</v>
      </c>
      <c r="U871" s="100">
        <f>IF(ISNUMBER('General Info'!$B$40), ((SamplingData[[#This Row],[up/U Selection Probability]]) * 'General Info'!$B$40) - 1, 0)</f>
        <v>14.508562158340876</v>
      </c>
      <c r="V871" s="100">
        <f>IF(ISNUMBER('General Info'!$B$40), (SamplingData[[#This Row],[Running (cumulative) sum]] * ('General Info'!$B$40 -'General Info'!$B$41 + 1)) + 'General Info'!$B$41 - 1, 0)</f>
        <v>22108.455895304865</v>
      </c>
      <c r="W871" s="100" t="str">
        <f>IF(ISERROR(MATCH(SamplingData[[#This Row],[Batch by Type (p)]],SelectedPrecincts[Batch Name], 0)), "", INDEX(SelectedPrecincts[Draw], MATCH(SamplingData[[#This Row],[Batch by Type (p)]],SelectedPrecincts[Batch Name], 0)))</f>
        <v/>
      </c>
      <c r="X871" s="102">
        <f>IF(COUNTIF(SelectedPrecincts[Batch Name],SamplingData[[#This Row],[Batch by Type (p)]]) &lt;&gt; 0, COUNTIF(SelectedPrecincts[Batch Name],SamplingData[[#This Row],[Batch by Type (p)]]), 0)</f>
        <v>0</v>
      </c>
    </row>
    <row r="872" spans="1:24" ht="15" customHeight="1">
      <c r="A872" s="18" t="s">
        <v>1048</v>
      </c>
      <c r="B872" s="18">
        <v>3</v>
      </c>
      <c r="C872" s="18">
        <v>1</v>
      </c>
      <c r="D872" s="18">
        <v>0</v>
      </c>
      <c r="E872" s="18">
        <v>1</v>
      </c>
      <c r="F872" s="18">
        <v>0</v>
      </c>
      <c r="G872" s="18">
        <v>0</v>
      </c>
      <c r="H872" s="18">
        <v>0</v>
      </c>
      <c r="I872" s="18">
        <v>0</v>
      </c>
      <c r="J872" s="99">
        <f>SUM(SamplingData[[#This Row],[Losing Candidate]:[Under Votes]])</f>
        <v>5</v>
      </c>
      <c r="K872"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872" s="100">
        <f>IF(AND(SamplingData[[#This Row],[Total]]&lt;&gt; 0, NOT(ISBLANK(SamplingData[[#This Row],[Candidate 3]]))),(SamplingData[[#This Row],[Total]]+SamplingData[[#This Row],[Winning Candidate]]-SamplingData[[#This Row],[Candidate 3]])/(SamplingData[[#Totals],[Winning Candidate]]-SamplingData[[#Totals],[Candidate 3]]), 0)</f>
        <v>1.9356711939865149E-4</v>
      </c>
      <c r="M872" s="100">
        <f>IF(AND(SamplingData[[#This Row],[Total]]&lt;&gt; 0, NOT(ISBLANK(SamplingData[[#This Row],[Candidate 4]]))),(SamplingData[[#This Row],[Total]]+SamplingData[[#This Row],[Winning Candidate]]-SamplingData[[#This Row],[Candidate 4]])/(SamplingData[[#Totals],[Winning Candidate]]-SamplingData[[#Totals],[Candidate 4]]), 0)</f>
        <v>1.4616036715484231E-4</v>
      </c>
      <c r="N872" s="100">
        <f>IF(AND(SamplingData[[#This Row],[Total]]&lt;&gt; 0, NOT(ISBLANK(SamplingData[[#This Row],[Candidate 5]]))),(SamplingData[[#This Row],[Total]]+SamplingData[[#This Row],[Winning Candidate]]-SamplingData[[#This Row],[Candidate 5]])/(SamplingData[[#Totals],[Winning Candidate]]-SamplingData[[#Totals],[Candidate 5]]), 0)</f>
        <v>1.4594989053758211E-4</v>
      </c>
      <c r="O872" s="100">
        <f>IF(AND(SamplingData[[#This Row],[Total]]&lt;&gt; 0, NOT(ISBLANK(SamplingData[[#This Row],[Candidate 6]]))),(SamplingData[[#This Row],[Total]]+SamplingData[[#This Row],[Winning Candidate]]-SamplingData[[#This Row],[Candidate 6]])/(SamplingData[[#Totals],[Winning Candidate]]-SamplingData[[#Totals],[Candidate 6]]), 0)</f>
        <v>1.4590730022858811E-4</v>
      </c>
      <c r="P872" s="100">
        <f>MAX(SamplingData[[#This Row],[Error Bound (up) - Max. possible relative overstatement - Losing Candidate]:[Error Bound (up) - Max. possible relative overstatement - Candidate 6]])</f>
        <v>1.9356711939865149E-4</v>
      </c>
      <c r="Q872" s="100">
        <f>IF(SamplingData[[#This Row],[Max Error Bound (up)]] = 0,0,SamplingData[[#This Row],[Max Error Bound (up)]]/SamplingData[[#Totals],[Max Error Bound (up)]])</f>
        <v>3.0635182660992398E-5</v>
      </c>
      <c r="R872" s="101">
        <f>SUM($Q$5:Q872)</f>
        <v>0.22112519413570964</v>
      </c>
      <c r="S872" s="100" t="str">
        <f t="array" ref="S872">IF(SamplingData[[#This Row],[up/U Selection Probability]] = 0, "Zero", TEXT(SamplingData[[#This Row],[Lower Range]], REPT("0",LEN('General Info'!$B$40))) &amp; " - " &amp; TEXT(SamplingData[[#This Row],[Upper Range]], REPT("0",LEN('General Info'!$B$40))))</f>
        <v>22109 - 22112</v>
      </c>
      <c r="T872" s="100">
        <f>SamplingData[[#This Row],[Upper Range]]-SamplingData[[#This Row],[Span]]</f>
        <v>22109.455925940048</v>
      </c>
      <c r="U872" s="100">
        <f>IF(ISNUMBER('General Info'!$B$40), ((SamplingData[[#This Row],[up/U Selection Probability]]) * 'General Info'!$B$40) - 1, 0)</f>
        <v>2.0634876309165788</v>
      </c>
      <c r="V872" s="100">
        <f>IF(ISNUMBER('General Info'!$B$40), (SamplingData[[#This Row],[Running (cumulative) sum]] * ('General Info'!$B$40 -'General Info'!$B$41 + 1)) + 'General Info'!$B$41 - 1, 0)</f>
        <v>22111.519413570964</v>
      </c>
      <c r="W872" s="100" t="str">
        <f>IF(ISERROR(MATCH(SamplingData[[#This Row],[Batch by Type (p)]],SelectedPrecincts[Batch Name], 0)), "", INDEX(SelectedPrecincts[Draw], MATCH(SamplingData[[#This Row],[Batch by Type (p)]],SelectedPrecincts[Batch Name], 0)))</f>
        <v/>
      </c>
      <c r="X872" s="102">
        <f>IF(COUNTIF(SelectedPrecincts[Batch Name],SamplingData[[#This Row],[Batch by Type (p)]]) &lt;&gt; 0, COUNTIF(SelectedPrecincts[Batch Name],SamplingData[[#This Row],[Batch by Type (p)]]), 0)</f>
        <v>0</v>
      </c>
    </row>
    <row r="873" spans="1:24" ht="15" customHeight="1">
      <c r="A873" s="18" t="s">
        <v>1049</v>
      </c>
      <c r="B873" s="18">
        <v>5</v>
      </c>
      <c r="C873" s="18">
        <v>10</v>
      </c>
      <c r="D873" s="16">
        <v>5</v>
      </c>
      <c r="E873" s="16">
        <v>2</v>
      </c>
      <c r="F873" s="37">
        <v>0</v>
      </c>
      <c r="G873" s="37">
        <v>1</v>
      </c>
      <c r="H873" s="17">
        <v>0</v>
      </c>
      <c r="I873" s="17">
        <v>1</v>
      </c>
      <c r="J873" s="99">
        <f>SUM(SamplingData[[#This Row],[Losing Candidate]:[Under Votes]])</f>
        <v>24</v>
      </c>
      <c r="K873"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873" s="100">
        <f>IF(AND(SamplingData[[#This Row],[Total]]&lt;&gt; 0, NOT(ISBLANK(SamplingData[[#This Row],[Candidate 3]]))),(SamplingData[[#This Row],[Total]]+SamplingData[[#This Row],[Winning Candidate]]-SamplingData[[#This Row],[Candidate 3]])/(SamplingData[[#Totals],[Winning Candidate]]-SamplingData[[#Totals],[Candidate 3]]), 0)</f>
        <v>9.3557441042681547E-4</v>
      </c>
      <c r="M873" s="100">
        <f>IF(AND(SamplingData[[#This Row],[Total]]&lt;&gt; 0, NOT(ISBLANK(SamplingData[[#This Row],[Candidate 4]]))),(SamplingData[[#This Row],[Total]]+SamplingData[[#This Row],[Winning Candidate]]-SamplingData[[#This Row],[Candidate 4]])/(SamplingData[[#Totals],[Winning Candidate]]-SamplingData[[#Totals],[Candidate 4]]), 0)</f>
        <v>9.3542634979099071E-4</v>
      </c>
      <c r="N873" s="100">
        <f>IF(AND(SamplingData[[#This Row],[Total]]&lt;&gt; 0, NOT(ISBLANK(SamplingData[[#This Row],[Candidate 5]]))),(SamplingData[[#This Row],[Total]]+SamplingData[[#This Row],[Winning Candidate]]-SamplingData[[#This Row],[Candidate 5]])/(SamplingData[[#Totals],[Winning Candidate]]-SamplingData[[#Totals],[Candidate 5]]), 0)</f>
        <v>8.2704937971296523E-4</v>
      </c>
      <c r="O873" s="100">
        <f>IF(AND(SamplingData[[#This Row],[Total]]&lt;&gt; 0, NOT(ISBLANK(SamplingData[[#This Row],[Candidate 6]]))),(SamplingData[[#This Row],[Total]]+SamplingData[[#This Row],[Winning Candidate]]-SamplingData[[#This Row],[Candidate 6]])/(SamplingData[[#Totals],[Winning Candidate]]-SamplingData[[#Totals],[Candidate 6]]), 0)</f>
        <v>8.024901512572346E-4</v>
      </c>
      <c r="P873" s="100">
        <f>MAX(SamplingData[[#This Row],[Error Bound (up) - Max. possible relative overstatement - Losing Candidate]:[Error Bound (up) - Max. possible relative overstatement - Candidate 6]])</f>
        <v>1.7760901518863303E-3</v>
      </c>
      <c r="Q873" s="100">
        <f>IF(SamplingData[[#This Row],[Max Error Bound (up)]] = 0,0,SamplingData[[#This Row],[Max Error Bound (up)]]/SamplingData[[#Totals],[Max Error Bound (up)]])</f>
        <v>2.8109550007492914E-4</v>
      </c>
      <c r="R873" s="101">
        <f>SUM($Q$5:Q873)</f>
        <v>0.22140628963578457</v>
      </c>
      <c r="S873" s="100" t="str">
        <f t="array" ref="S873">IF(SamplingData[[#This Row],[up/U Selection Probability]] = 0, "Zero", TEXT(SamplingData[[#This Row],[Lower Range]], REPT("0",LEN('General Info'!$B$40))) &amp; " - " &amp; TEXT(SamplingData[[#This Row],[Upper Range]], REPT("0",LEN('General Info'!$B$40))))</f>
        <v>22113 - 22140</v>
      </c>
      <c r="T873" s="100">
        <f>SamplingData[[#This Row],[Upper Range]]-SamplingData[[#This Row],[Span]]</f>
        <v>22112.519694666462</v>
      </c>
      <c r="U873" s="100">
        <f>IF(ISNUMBER('General Info'!$B$40), ((SamplingData[[#This Row],[up/U Selection Probability]]) * 'General Info'!$B$40) - 1, 0)</f>
        <v>27.109268911992839</v>
      </c>
      <c r="V873" s="100">
        <f>IF(ISNUMBER('General Info'!$B$40), (SamplingData[[#This Row],[Running (cumulative) sum]] * ('General Info'!$B$40 -'General Info'!$B$41 + 1)) + 'General Info'!$B$41 - 1, 0)</f>
        <v>22139.628963578456</v>
      </c>
      <c r="W873" s="100" t="str">
        <f>IF(ISERROR(MATCH(SamplingData[[#This Row],[Batch by Type (p)]],SelectedPrecincts[Batch Name], 0)), "", INDEX(SelectedPrecincts[Draw], MATCH(SamplingData[[#This Row],[Batch by Type (p)]],SelectedPrecincts[Batch Name], 0)))</f>
        <v/>
      </c>
      <c r="X873" s="102">
        <f>IF(COUNTIF(SelectedPrecincts[Batch Name],SamplingData[[#This Row],[Batch by Type (p)]]) &lt;&gt; 0, COUNTIF(SelectedPrecincts[Batch Name],SamplingData[[#This Row],[Batch by Type (p)]]), 0)</f>
        <v>0</v>
      </c>
    </row>
    <row r="874" spans="1:24" ht="15" customHeight="1">
      <c r="A874" s="18" t="s">
        <v>1050</v>
      </c>
      <c r="B874" s="18">
        <v>1</v>
      </c>
      <c r="C874" s="18">
        <v>2</v>
      </c>
      <c r="D874" s="18">
        <v>1</v>
      </c>
      <c r="E874" s="18">
        <v>0</v>
      </c>
      <c r="F874" s="18">
        <v>0</v>
      </c>
      <c r="G874" s="18">
        <v>0</v>
      </c>
      <c r="H874" s="18">
        <v>0</v>
      </c>
      <c r="I874" s="18">
        <v>1</v>
      </c>
      <c r="J874" s="99">
        <f>SUM(SamplingData[[#This Row],[Losing Candidate]:[Under Votes]])</f>
        <v>5</v>
      </c>
      <c r="K874"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874" s="100">
        <f>IF(AND(SamplingData[[#This Row],[Total]]&lt;&gt; 0, NOT(ISBLANK(SamplingData[[#This Row],[Candidate 3]]))),(SamplingData[[#This Row],[Total]]+SamplingData[[#This Row],[Winning Candidate]]-SamplingData[[#This Row],[Candidate 3]])/(SamplingData[[#Totals],[Winning Candidate]]-SamplingData[[#Totals],[Candidate 3]]), 0)</f>
        <v>1.9356711939865149E-4</v>
      </c>
      <c r="M874" s="100">
        <f>IF(AND(SamplingData[[#This Row],[Total]]&lt;&gt; 0, NOT(ISBLANK(SamplingData[[#This Row],[Candidate 4]]))),(SamplingData[[#This Row],[Total]]+SamplingData[[#This Row],[Winning Candidate]]-SamplingData[[#This Row],[Candidate 4]])/(SamplingData[[#Totals],[Winning Candidate]]-SamplingData[[#Totals],[Candidate 4]]), 0)</f>
        <v>2.0462451401677921E-4</v>
      </c>
      <c r="N874" s="100">
        <f>IF(AND(SamplingData[[#This Row],[Total]]&lt;&gt; 0, NOT(ISBLANK(SamplingData[[#This Row],[Candidate 5]]))),(SamplingData[[#This Row],[Total]]+SamplingData[[#This Row],[Winning Candidate]]-SamplingData[[#This Row],[Candidate 5]])/(SamplingData[[#Totals],[Winning Candidate]]-SamplingData[[#Totals],[Candidate 5]]), 0)</f>
        <v>1.7027487229384579E-4</v>
      </c>
      <c r="O874" s="100">
        <f>IF(AND(SamplingData[[#This Row],[Total]]&lt;&gt; 0, NOT(ISBLANK(SamplingData[[#This Row],[Candidate 6]]))),(SamplingData[[#This Row],[Total]]+SamplingData[[#This Row],[Winning Candidate]]-SamplingData[[#This Row],[Candidate 6]])/(SamplingData[[#Totals],[Winning Candidate]]-SamplingData[[#Totals],[Candidate 6]]), 0)</f>
        <v>1.7022518360001944E-4</v>
      </c>
      <c r="P874" s="100">
        <f>MAX(SamplingData[[#This Row],[Error Bound (up) - Max. possible relative overstatement - Losing Candidate]:[Error Bound (up) - Max. possible relative overstatement - Candidate 6]])</f>
        <v>3.6746692797648211E-4</v>
      </c>
      <c r="Q874" s="100">
        <f>IF(SamplingData[[#This Row],[Max Error Bound (up)]] = 0,0,SamplingData[[#This Row],[Max Error Bound (up)]]/SamplingData[[#Totals],[Max Error Bound (up)]])</f>
        <v>5.8157689670674986E-5</v>
      </c>
      <c r="R874" s="101">
        <f>SUM($Q$5:Q874)</f>
        <v>0.22146444732545525</v>
      </c>
      <c r="S874" s="100" t="str">
        <f t="array" ref="S874">IF(SamplingData[[#This Row],[up/U Selection Probability]] = 0, "Zero", TEXT(SamplingData[[#This Row],[Lower Range]], REPT("0",LEN('General Info'!$B$40))) &amp; " - " &amp; TEXT(SamplingData[[#This Row],[Upper Range]], REPT("0",LEN('General Info'!$B$40))))</f>
        <v>22141 - 22145</v>
      </c>
      <c r="T874" s="100">
        <f>SamplingData[[#This Row],[Upper Range]]-SamplingData[[#This Row],[Span]]</f>
        <v>22140.629021736149</v>
      </c>
      <c r="U874" s="100">
        <f>IF(ISNUMBER('General Info'!$B$40), ((SamplingData[[#This Row],[up/U Selection Probability]]) * 'General Info'!$B$40) - 1, 0)</f>
        <v>4.815710809377828</v>
      </c>
      <c r="V874" s="100">
        <f>IF(ISNUMBER('General Info'!$B$40), (SamplingData[[#This Row],[Running (cumulative) sum]] * ('General Info'!$B$40 -'General Info'!$B$41 + 1)) + 'General Info'!$B$41 - 1, 0)</f>
        <v>22145.444732545526</v>
      </c>
      <c r="W874" s="100" t="str">
        <f>IF(ISERROR(MATCH(SamplingData[[#This Row],[Batch by Type (p)]],SelectedPrecincts[Batch Name], 0)), "", INDEX(SelectedPrecincts[Draw], MATCH(SamplingData[[#This Row],[Batch by Type (p)]],SelectedPrecincts[Batch Name], 0)))</f>
        <v/>
      </c>
      <c r="X874" s="102">
        <f>IF(COUNTIF(SelectedPrecincts[Batch Name],SamplingData[[#This Row],[Batch by Type (p)]]) &lt;&gt; 0, COUNTIF(SelectedPrecincts[Batch Name],SamplingData[[#This Row],[Batch by Type (p)]]), 0)</f>
        <v>0</v>
      </c>
    </row>
    <row r="875" spans="1:24" ht="15" customHeight="1">
      <c r="A875" s="18" t="s">
        <v>1051</v>
      </c>
      <c r="B875" s="18">
        <v>2</v>
      </c>
      <c r="C875" s="18">
        <v>4</v>
      </c>
      <c r="D875" s="16">
        <v>4</v>
      </c>
      <c r="E875" s="16">
        <v>1</v>
      </c>
      <c r="F875" s="37">
        <v>0</v>
      </c>
      <c r="G875" s="37">
        <v>0</v>
      </c>
      <c r="H875" s="17">
        <v>1</v>
      </c>
      <c r="I875" s="17">
        <v>0</v>
      </c>
      <c r="J875" s="99">
        <f>SUM(SamplingData[[#This Row],[Losing Candidate]:[Under Votes]])</f>
        <v>12</v>
      </c>
      <c r="K875"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875" s="100">
        <f>IF(AND(SamplingData[[#This Row],[Total]]&lt;&gt; 0, NOT(ISBLANK(SamplingData[[#This Row],[Candidate 3]]))),(SamplingData[[#This Row],[Total]]+SamplingData[[#This Row],[Winning Candidate]]-SamplingData[[#This Row],[Candidate 3]])/(SamplingData[[#Totals],[Winning Candidate]]-SamplingData[[#Totals],[Candidate 3]]), 0)</f>
        <v>3.8713423879730297E-4</v>
      </c>
      <c r="M875" s="100">
        <f>IF(AND(SamplingData[[#This Row],[Total]]&lt;&gt; 0, NOT(ISBLANK(SamplingData[[#This Row],[Candidate 4]]))),(SamplingData[[#This Row],[Total]]+SamplingData[[#This Row],[Winning Candidate]]-SamplingData[[#This Row],[Candidate 4]])/(SamplingData[[#Totals],[Winning Candidate]]-SamplingData[[#Totals],[Candidate 4]]), 0)</f>
        <v>4.3848110146452689E-4</v>
      </c>
      <c r="N875" s="100">
        <f>IF(AND(SamplingData[[#This Row],[Total]]&lt;&gt; 0, NOT(ISBLANK(SamplingData[[#This Row],[Candidate 5]]))),(SamplingData[[#This Row],[Total]]+SamplingData[[#This Row],[Winning Candidate]]-SamplingData[[#This Row],[Candidate 5]])/(SamplingData[[#Totals],[Winning Candidate]]-SamplingData[[#Totals],[Candidate 5]]), 0)</f>
        <v>3.8919970810021893E-4</v>
      </c>
      <c r="O875" s="100">
        <f>IF(AND(SamplingData[[#This Row],[Total]]&lt;&gt; 0, NOT(ISBLANK(SamplingData[[#This Row],[Candidate 6]]))),(SamplingData[[#This Row],[Total]]+SamplingData[[#This Row],[Winning Candidate]]-SamplingData[[#This Row],[Candidate 6]])/(SamplingData[[#Totals],[Winning Candidate]]-SamplingData[[#Totals],[Candidate 6]]), 0)</f>
        <v>3.8908613394290161E-4</v>
      </c>
      <c r="P875" s="100">
        <f>MAX(SamplingData[[#This Row],[Error Bound (up) - Max. possible relative overstatement - Losing Candidate]:[Error Bound (up) - Max. possible relative overstatement - Candidate 6]])</f>
        <v>8.5742283194512492E-4</v>
      </c>
      <c r="Q875" s="100">
        <f>IF(SamplingData[[#This Row],[Max Error Bound (up)]] = 0,0,SamplingData[[#This Row],[Max Error Bound (up)]]/SamplingData[[#Totals],[Max Error Bound (up)]])</f>
        <v>1.3570127589824165E-4</v>
      </c>
      <c r="R875" s="101">
        <f>SUM($Q$5:Q875)</f>
        <v>0.22160014860135349</v>
      </c>
      <c r="S875" s="100" t="str">
        <f t="array" ref="S875">IF(SamplingData[[#This Row],[up/U Selection Probability]] = 0, "Zero", TEXT(SamplingData[[#This Row],[Lower Range]], REPT("0",LEN('General Info'!$B$40))) &amp; " - " &amp; TEXT(SamplingData[[#This Row],[Upper Range]], REPT("0",LEN('General Info'!$B$40))))</f>
        <v>22146 - 22159</v>
      </c>
      <c r="T875" s="100">
        <f>SamplingData[[#This Row],[Upper Range]]-SamplingData[[#This Row],[Span]]</f>
        <v>22146.444868246803</v>
      </c>
      <c r="U875" s="100">
        <f>IF(ISNUMBER('General Info'!$B$40), ((SamplingData[[#This Row],[up/U Selection Probability]]) * 'General Info'!$B$40) - 1, 0)</f>
        <v>12.569991888548268</v>
      </c>
      <c r="V875" s="100">
        <f>IF(ISNUMBER('General Info'!$B$40), (SamplingData[[#This Row],[Running (cumulative) sum]] * ('General Info'!$B$40 -'General Info'!$B$41 + 1)) + 'General Info'!$B$41 - 1, 0)</f>
        <v>22159.01486013535</v>
      </c>
      <c r="W875" s="100" t="str">
        <f>IF(ISERROR(MATCH(SamplingData[[#This Row],[Batch by Type (p)]],SelectedPrecincts[Batch Name], 0)), "", INDEX(SelectedPrecincts[Draw], MATCH(SamplingData[[#This Row],[Batch by Type (p)]],SelectedPrecincts[Batch Name], 0)))</f>
        <v/>
      </c>
      <c r="X875" s="102">
        <f>IF(COUNTIF(SelectedPrecincts[Batch Name],SamplingData[[#This Row],[Batch by Type (p)]]) &lt;&gt; 0, COUNTIF(SelectedPrecincts[Batch Name],SamplingData[[#This Row],[Batch by Type (p)]]), 0)</f>
        <v>0</v>
      </c>
    </row>
    <row r="876" spans="1:24" ht="15" customHeight="1">
      <c r="A876" s="18" t="s">
        <v>1052</v>
      </c>
      <c r="B876" s="18">
        <v>2</v>
      </c>
      <c r="C876" s="18">
        <v>1</v>
      </c>
      <c r="D876" s="18">
        <v>0</v>
      </c>
      <c r="E876" s="18">
        <v>0</v>
      </c>
      <c r="F876" s="18">
        <v>0</v>
      </c>
      <c r="G876" s="18">
        <v>0</v>
      </c>
      <c r="H876" s="18">
        <v>0</v>
      </c>
      <c r="I876" s="18">
        <v>0</v>
      </c>
      <c r="J876" s="99">
        <f>SUM(SamplingData[[#This Row],[Losing Candidate]:[Under Votes]])</f>
        <v>3</v>
      </c>
      <c r="K87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876" s="100">
        <f>IF(AND(SamplingData[[#This Row],[Total]]&lt;&gt; 0, NOT(ISBLANK(SamplingData[[#This Row],[Candidate 3]]))),(SamplingData[[#This Row],[Total]]+SamplingData[[#This Row],[Winning Candidate]]-SamplingData[[#This Row],[Candidate 3]])/(SamplingData[[#Totals],[Winning Candidate]]-SamplingData[[#Totals],[Candidate 3]]), 0)</f>
        <v>1.2904474626576767E-4</v>
      </c>
      <c r="M876" s="100">
        <f>IF(AND(SamplingData[[#This Row],[Total]]&lt;&gt; 0, NOT(ISBLANK(SamplingData[[#This Row],[Candidate 4]]))),(SamplingData[[#This Row],[Total]]+SamplingData[[#This Row],[Winning Candidate]]-SamplingData[[#This Row],[Candidate 4]])/(SamplingData[[#Totals],[Winning Candidate]]-SamplingData[[#Totals],[Candidate 4]]), 0)</f>
        <v>1.1692829372387384E-4</v>
      </c>
      <c r="N876" s="100">
        <f>IF(AND(SamplingData[[#This Row],[Total]]&lt;&gt; 0, NOT(ISBLANK(SamplingData[[#This Row],[Candidate 5]]))),(SamplingData[[#This Row],[Total]]+SamplingData[[#This Row],[Winning Candidate]]-SamplingData[[#This Row],[Candidate 5]])/(SamplingData[[#Totals],[Winning Candidate]]-SamplingData[[#Totals],[Candidate 5]]), 0)</f>
        <v>9.7299927025054734E-5</v>
      </c>
      <c r="O876" s="100">
        <f>IF(AND(SamplingData[[#This Row],[Total]]&lt;&gt; 0, NOT(ISBLANK(SamplingData[[#This Row],[Candidate 6]]))),(SamplingData[[#This Row],[Total]]+SamplingData[[#This Row],[Winning Candidate]]-SamplingData[[#This Row],[Candidate 6]])/(SamplingData[[#Totals],[Winning Candidate]]-SamplingData[[#Totals],[Candidate 6]]), 0)</f>
        <v>9.7271533485725401E-5</v>
      </c>
      <c r="P876" s="100">
        <f>MAX(SamplingData[[#This Row],[Error Bound (up) - Max. possible relative overstatement - Losing Candidate]:[Error Bound (up) - Max. possible relative overstatement - Candidate 6]])</f>
        <v>1.2904474626576767E-4</v>
      </c>
      <c r="Q876" s="100">
        <f>IF(SamplingData[[#This Row],[Max Error Bound (up)]] = 0,0,SamplingData[[#This Row],[Max Error Bound (up)]]/SamplingData[[#Totals],[Max Error Bound (up)]])</f>
        <v>2.0423455107328265E-5</v>
      </c>
      <c r="R876" s="101">
        <f>SUM($Q$5:Q876)</f>
        <v>0.22162057205646082</v>
      </c>
      <c r="S876" s="100" t="str">
        <f t="array" ref="S876">IF(SamplingData[[#This Row],[up/U Selection Probability]] = 0, "Zero", TEXT(SamplingData[[#This Row],[Lower Range]], REPT("0",LEN('General Info'!$B$40))) &amp; " - " &amp; TEXT(SamplingData[[#This Row],[Upper Range]], REPT("0",LEN('General Info'!$B$40))))</f>
        <v>22160 - 22161</v>
      </c>
      <c r="T876" s="100">
        <f>SamplingData[[#This Row],[Upper Range]]-SamplingData[[#This Row],[Span]]</f>
        <v>22160.014880558807</v>
      </c>
      <c r="U876" s="100">
        <f>IF(ISNUMBER('General Info'!$B$40), ((SamplingData[[#This Row],[up/U Selection Probability]]) * 'General Info'!$B$40) - 1, 0)</f>
        <v>1.0423250872777192</v>
      </c>
      <c r="V876" s="100">
        <f>IF(ISNUMBER('General Info'!$B$40), (SamplingData[[#This Row],[Running (cumulative) sum]] * ('General Info'!$B$40 -'General Info'!$B$41 + 1)) + 'General Info'!$B$41 - 1, 0)</f>
        <v>22161.057205646084</v>
      </c>
      <c r="W876" s="100" t="str">
        <f>IF(ISERROR(MATCH(SamplingData[[#This Row],[Batch by Type (p)]],SelectedPrecincts[Batch Name], 0)), "", INDEX(SelectedPrecincts[Draw], MATCH(SamplingData[[#This Row],[Batch by Type (p)]],SelectedPrecincts[Batch Name], 0)))</f>
        <v/>
      </c>
      <c r="X876" s="102">
        <f>IF(COUNTIF(SelectedPrecincts[Batch Name],SamplingData[[#This Row],[Batch by Type (p)]]) &lt;&gt; 0, COUNTIF(SelectedPrecincts[Batch Name],SamplingData[[#This Row],[Batch by Type (p)]]), 0)</f>
        <v>0</v>
      </c>
    </row>
    <row r="877" spans="1:24" ht="15" customHeight="1">
      <c r="A877" s="18" t="s">
        <v>1053</v>
      </c>
      <c r="B877" s="18">
        <v>0</v>
      </c>
      <c r="C877" s="18">
        <v>3</v>
      </c>
      <c r="D877" s="16">
        <v>1</v>
      </c>
      <c r="E877" s="16">
        <v>0</v>
      </c>
      <c r="F877" s="37">
        <v>0</v>
      </c>
      <c r="G877" s="37">
        <v>1</v>
      </c>
      <c r="H877" s="17">
        <v>1</v>
      </c>
      <c r="I877" s="17">
        <v>0</v>
      </c>
      <c r="J877" s="99">
        <f>SUM(SamplingData[[#This Row],[Losing Candidate]:[Under Votes]])</f>
        <v>6</v>
      </c>
      <c r="K877"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877" s="100">
        <f>IF(AND(SamplingData[[#This Row],[Total]]&lt;&gt; 0, NOT(ISBLANK(SamplingData[[#This Row],[Candidate 3]]))),(SamplingData[[#This Row],[Total]]+SamplingData[[#This Row],[Winning Candidate]]-SamplingData[[#This Row],[Candidate 3]])/(SamplingData[[#Totals],[Winning Candidate]]-SamplingData[[#Totals],[Candidate 3]]), 0)</f>
        <v>2.5808949253153533E-4</v>
      </c>
      <c r="M877" s="100">
        <f>IF(AND(SamplingData[[#This Row],[Total]]&lt;&gt; 0, NOT(ISBLANK(SamplingData[[#This Row],[Candidate 4]]))),(SamplingData[[#This Row],[Total]]+SamplingData[[#This Row],[Winning Candidate]]-SamplingData[[#This Row],[Candidate 4]])/(SamplingData[[#Totals],[Winning Candidate]]-SamplingData[[#Totals],[Candidate 4]]), 0)</f>
        <v>2.6308866087871614E-4</v>
      </c>
      <c r="N877" s="100">
        <f>IF(AND(SamplingData[[#This Row],[Total]]&lt;&gt; 0, NOT(ISBLANK(SamplingData[[#This Row],[Candidate 5]]))),(SamplingData[[#This Row],[Total]]+SamplingData[[#This Row],[Winning Candidate]]-SamplingData[[#This Row],[Candidate 5]])/(SamplingData[[#Totals],[Winning Candidate]]-SamplingData[[#Totals],[Candidate 5]]), 0)</f>
        <v>2.1892483580637315E-4</v>
      </c>
      <c r="O877" s="100">
        <f>IF(AND(SamplingData[[#This Row],[Total]]&lt;&gt; 0, NOT(ISBLANK(SamplingData[[#This Row],[Candidate 6]]))),(SamplingData[[#This Row],[Total]]+SamplingData[[#This Row],[Winning Candidate]]-SamplingData[[#This Row],[Candidate 6]])/(SamplingData[[#Totals],[Winning Candidate]]-SamplingData[[#Totals],[Candidate 6]]), 0)</f>
        <v>1.945430669714508E-4</v>
      </c>
      <c r="P877" s="100">
        <f>MAX(SamplingData[[#This Row],[Error Bound (up) - Max. possible relative overstatement - Losing Candidate]:[Error Bound (up) - Max. possible relative overstatement - Candidate 6]])</f>
        <v>5.5120039196472322E-4</v>
      </c>
      <c r="Q877" s="100">
        <f>IF(SamplingData[[#This Row],[Max Error Bound (up)]] = 0,0,SamplingData[[#This Row],[Max Error Bound (up)]]/SamplingData[[#Totals],[Max Error Bound (up)]])</f>
        <v>8.7236534506012492E-5</v>
      </c>
      <c r="R877" s="101">
        <f>SUM($Q$5:Q877)</f>
        <v>0.22170780859096684</v>
      </c>
      <c r="S877" s="100" t="str">
        <f t="array" ref="S877">IF(SamplingData[[#This Row],[up/U Selection Probability]] = 0, "Zero", TEXT(SamplingData[[#This Row],[Lower Range]], REPT("0",LEN('General Info'!$B$40))) &amp; " - " &amp; TEXT(SamplingData[[#This Row],[Upper Range]], REPT("0",LEN('General Info'!$B$40))))</f>
        <v>22162 - 22170</v>
      </c>
      <c r="T877" s="100">
        <f>SamplingData[[#This Row],[Upper Range]]-SamplingData[[#This Row],[Span]]</f>
        <v>22162.057292882619</v>
      </c>
      <c r="U877" s="100">
        <f>IF(ISNUMBER('General Info'!$B$40), ((SamplingData[[#This Row],[up/U Selection Probability]]) * 'General Info'!$B$40) - 1, 0)</f>
        <v>7.7235662140667429</v>
      </c>
      <c r="V877" s="100">
        <f>IF(ISNUMBER('General Info'!$B$40), (SamplingData[[#This Row],[Running (cumulative) sum]] * ('General Info'!$B$40 -'General Info'!$B$41 + 1)) + 'General Info'!$B$41 - 1, 0)</f>
        <v>22169.780859096685</v>
      </c>
      <c r="W877" s="100" t="str">
        <f>IF(ISERROR(MATCH(SamplingData[[#This Row],[Batch by Type (p)]],SelectedPrecincts[Batch Name], 0)), "", INDEX(SelectedPrecincts[Draw], MATCH(SamplingData[[#This Row],[Batch by Type (p)]],SelectedPrecincts[Batch Name], 0)))</f>
        <v/>
      </c>
      <c r="X877" s="102">
        <f>IF(COUNTIF(SelectedPrecincts[Batch Name],SamplingData[[#This Row],[Batch by Type (p)]]) &lt;&gt; 0, COUNTIF(SelectedPrecincts[Batch Name],SamplingData[[#This Row],[Batch by Type (p)]]), 0)</f>
        <v>0</v>
      </c>
    </row>
    <row r="878" spans="1:24" ht="15" customHeight="1">
      <c r="A878" s="18" t="s">
        <v>1054</v>
      </c>
      <c r="B878" s="18">
        <v>0</v>
      </c>
      <c r="C878" s="18">
        <v>3</v>
      </c>
      <c r="D878" s="18">
        <v>1</v>
      </c>
      <c r="E878" s="18">
        <v>0</v>
      </c>
      <c r="F878" s="18">
        <v>0</v>
      </c>
      <c r="G878" s="18">
        <v>0</v>
      </c>
      <c r="H878" s="18">
        <v>0</v>
      </c>
      <c r="I878" s="18">
        <v>0</v>
      </c>
      <c r="J878" s="99">
        <f>SUM(SamplingData[[#This Row],[Losing Candidate]:[Under Votes]])</f>
        <v>4</v>
      </c>
      <c r="K878"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878" s="100">
        <f>IF(AND(SamplingData[[#This Row],[Total]]&lt;&gt; 0, NOT(ISBLANK(SamplingData[[#This Row],[Candidate 3]]))),(SamplingData[[#This Row],[Total]]+SamplingData[[#This Row],[Winning Candidate]]-SamplingData[[#This Row],[Candidate 3]])/(SamplingData[[#Totals],[Winning Candidate]]-SamplingData[[#Totals],[Candidate 3]]), 0)</f>
        <v>1.9356711939865149E-4</v>
      </c>
      <c r="M878" s="100">
        <f>IF(AND(SamplingData[[#This Row],[Total]]&lt;&gt; 0, NOT(ISBLANK(SamplingData[[#This Row],[Candidate 4]]))),(SamplingData[[#This Row],[Total]]+SamplingData[[#This Row],[Winning Candidate]]-SamplingData[[#This Row],[Candidate 4]])/(SamplingData[[#Totals],[Winning Candidate]]-SamplingData[[#Totals],[Candidate 4]]), 0)</f>
        <v>2.0462451401677921E-4</v>
      </c>
      <c r="N878" s="100">
        <f>IF(AND(SamplingData[[#This Row],[Total]]&lt;&gt; 0, NOT(ISBLANK(SamplingData[[#This Row],[Candidate 5]]))),(SamplingData[[#This Row],[Total]]+SamplingData[[#This Row],[Winning Candidate]]-SamplingData[[#This Row],[Candidate 5]])/(SamplingData[[#Totals],[Winning Candidate]]-SamplingData[[#Totals],[Candidate 5]]), 0)</f>
        <v>1.7027487229384579E-4</v>
      </c>
      <c r="O878" s="100">
        <f>IF(AND(SamplingData[[#This Row],[Total]]&lt;&gt; 0, NOT(ISBLANK(SamplingData[[#This Row],[Candidate 6]]))),(SamplingData[[#This Row],[Total]]+SamplingData[[#This Row],[Winning Candidate]]-SamplingData[[#This Row],[Candidate 6]])/(SamplingData[[#Totals],[Winning Candidate]]-SamplingData[[#Totals],[Candidate 6]]), 0)</f>
        <v>1.7022518360001944E-4</v>
      </c>
      <c r="P878" s="100">
        <f>MAX(SamplingData[[#This Row],[Error Bound (up) - Max. possible relative overstatement - Losing Candidate]:[Error Bound (up) - Max. possible relative overstatement - Candidate 6]])</f>
        <v>4.2871141597256246E-4</v>
      </c>
      <c r="Q878" s="100">
        <f>IF(SamplingData[[#This Row],[Max Error Bound (up)]] = 0,0,SamplingData[[#This Row],[Max Error Bound (up)]]/SamplingData[[#Totals],[Max Error Bound (up)]])</f>
        <v>6.7850637949120826E-5</v>
      </c>
      <c r="R878" s="101">
        <f>SUM($Q$5:Q878)</f>
        <v>0.22177565922891596</v>
      </c>
      <c r="S878" s="100" t="str">
        <f t="array" ref="S878">IF(SamplingData[[#This Row],[up/U Selection Probability]] = 0, "Zero", TEXT(SamplingData[[#This Row],[Lower Range]], REPT("0",LEN('General Info'!$B$40))) &amp; " - " &amp; TEXT(SamplingData[[#This Row],[Upper Range]], REPT("0",LEN('General Info'!$B$40))))</f>
        <v>22171 - 22177</v>
      </c>
      <c r="T878" s="100">
        <f>SamplingData[[#This Row],[Upper Range]]-SamplingData[[#This Row],[Span]]</f>
        <v>22170.780926947318</v>
      </c>
      <c r="U878" s="100">
        <f>IF(ISNUMBER('General Info'!$B$40), ((SamplingData[[#This Row],[up/U Selection Probability]]) * 'General Info'!$B$40) - 1, 0)</f>
        <v>5.7849959442741339</v>
      </c>
      <c r="V878" s="100">
        <f>IF(ISNUMBER('General Info'!$B$40), (SamplingData[[#This Row],[Running (cumulative) sum]] * ('General Info'!$B$40 -'General Info'!$B$41 + 1)) + 'General Info'!$B$41 - 1, 0)</f>
        <v>22176.565922891594</v>
      </c>
      <c r="W878" s="100" t="str">
        <f>IF(ISERROR(MATCH(SamplingData[[#This Row],[Batch by Type (p)]],SelectedPrecincts[Batch Name], 0)), "", INDEX(SelectedPrecincts[Draw], MATCH(SamplingData[[#This Row],[Batch by Type (p)]],SelectedPrecincts[Batch Name], 0)))</f>
        <v/>
      </c>
      <c r="X878" s="102">
        <f>IF(COUNTIF(SelectedPrecincts[Batch Name],SamplingData[[#This Row],[Batch by Type (p)]]) &lt;&gt; 0, COUNTIF(SelectedPrecincts[Batch Name],SamplingData[[#This Row],[Batch by Type (p)]]), 0)</f>
        <v>0</v>
      </c>
    </row>
    <row r="879" spans="1:24" ht="15" customHeight="1">
      <c r="A879" s="18" t="s">
        <v>1055</v>
      </c>
      <c r="B879" s="18">
        <v>7</v>
      </c>
      <c r="C879" s="18">
        <v>10</v>
      </c>
      <c r="D879" s="16">
        <v>3</v>
      </c>
      <c r="E879" s="16">
        <v>2</v>
      </c>
      <c r="F879" s="37">
        <v>0</v>
      </c>
      <c r="G879" s="37">
        <v>0</v>
      </c>
      <c r="H879" s="17">
        <v>0</v>
      </c>
      <c r="I879" s="17">
        <v>1</v>
      </c>
      <c r="J879" s="99">
        <f>SUM(SamplingData[[#This Row],[Losing Candidate]:[Under Votes]])</f>
        <v>23</v>
      </c>
      <c r="K879"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879" s="100">
        <f>IF(AND(SamplingData[[#This Row],[Total]]&lt;&gt; 0, NOT(ISBLANK(SamplingData[[#This Row],[Candidate 3]]))),(SamplingData[[#This Row],[Total]]+SamplingData[[#This Row],[Winning Candidate]]-SamplingData[[#This Row],[Candidate 3]])/(SamplingData[[#Totals],[Winning Candidate]]-SamplingData[[#Totals],[Candidate 3]]), 0)</f>
        <v>9.6783559699325746E-4</v>
      </c>
      <c r="M879" s="100">
        <f>IF(AND(SamplingData[[#This Row],[Total]]&lt;&gt; 0, NOT(ISBLANK(SamplingData[[#This Row],[Candidate 4]]))),(SamplingData[[#This Row],[Total]]+SamplingData[[#This Row],[Winning Candidate]]-SamplingData[[#This Row],[Candidate 4]])/(SamplingData[[#Totals],[Winning Candidate]]-SamplingData[[#Totals],[Candidate 4]]), 0)</f>
        <v>9.0619427636002225E-4</v>
      </c>
      <c r="N879" s="100">
        <f>IF(AND(SamplingData[[#This Row],[Total]]&lt;&gt; 0, NOT(ISBLANK(SamplingData[[#This Row],[Candidate 5]]))),(SamplingData[[#This Row],[Total]]+SamplingData[[#This Row],[Winning Candidate]]-SamplingData[[#This Row],[Candidate 5]])/(SamplingData[[#Totals],[Winning Candidate]]-SamplingData[[#Totals],[Candidate 5]]), 0)</f>
        <v>8.0272439795670155E-4</v>
      </c>
      <c r="O879" s="100">
        <f>IF(AND(SamplingData[[#This Row],[Total]]&lt;&gt; 0, NOT(ISBLANK(SamplingData[[#This Row],[Candidate 6]]))),(SamplingData[[#This Row],[Total]]+SamplingData[[#This Row],[Winning Candidate]]-SamplingData[[#This Row],[Candidate 6]])/(SamplingData[[#Totals],[Winning Candidate]]-SamplingData[[#Totals],[Candidate 6]]), 0)</f>
        <v>8.024901512572346E-4</v>
      </c>
      <c r="P879" s="100">
        <f>MAX(SamplingData[[#This Row],[Error Bound (up) - Max. possible relative overstatement - Losing Candidate]:[Error Bound (up) - Max. possible relative overstatement - Candidate 6]])</f>
        <v>1.5923566878980893E-3</v>
      </c>
      <c r="Q879" s="100">
        <f>IF(SamplingData[[#This Row],[Max Error Bound (up)]] = 0,0,SamplingData[[#This Row],[Max Error Bound (up)]]/SamplingData[[#Totals],[Max Error Bound (up)]])</f>
        <v>2.5201665523959162E-4</v>
      </c>
      <c r="R879" s="101">
        <f>SUM($Q$5:Q879)</f>
        <v>0.22202767588415553</v>
      </c>
      <c r="S879" s="100" t="str">
        <f t="array" ref="S879">IF(SamplingData[[#This Row],[up/U Selection Probability]] = 0, "Zero", TEXT(SamplingData[[#This Row],[Lower Range]], REPT("0",LEN('General Info'!$B$40))) &amp; " - " &amp; TEXT(SamplingData[[#This Row],[Upper Range]], REPT("0",LEN('General Info'!$B$40))))</f>
        <v>22178 - 22202</v>
      </c>
      <c r="T879" s="100">
        <f>SamplingData[[#This Row],[Upper Range]]-SamplingData[[#This Row],[Span]]</f>
        <v>22177.56617490825</v>
      </c>
      <c r="U879" s="100">
        <f>IF(ISNUMBER('General Info'!$B$40), ((SamplingData[[#This Row],[up/U Selection Probability]]) * 'General Info'!$B$40) - 1, 0)</f>
        <v>24.201413507303922</v>
      </c>
      <c r="V879" s="100">
        <f>IF(ISNUMBER('General Info'!$B$40), (SamplingData[[#This Row],[Running (cumulative) sum]] * ('General Info'!$B$40 -'General Info'!$B$41 + 1)) + 'General Info'!$B$41 - 1, 0)</f>
        <v>22201.767588415554</v>
      </c>
      <c r="W879" s="100" t="str">
        <f>IF(ISERROR(MATCH(SamplingData[[#This Row],[Batch by Type (p)]],SelectedPrecincts[Batch Name], 0)), "", INDEX(SelectedPrecincts[Draw], MATCH(SamplingData[[#This Row],[Batch by Type (p)]],SelectedPrecincts[Batch Name], 0)))</f>
        <v/>
      </c>
      <c r="X879" s="102">
        <f>IF(COUNTIF(SelectedPrecincts[Batch Name],SamplingData[[#This Row],[Batch by Type (p)]]) &lt;&gt; 0, COUNTIF(SelectedPrecincts[Batch Name],SamplingData[[#This Row],[Batch by Type (p)]]), 0)</f>
        <v>0</v>
      </c>
    </row>
    <row r="880" spans="1:24" ht="15" customHeight="1">
      <c r="A880" s="18" t="s">
        <v>1056</v>
      </c>
      <c r="B880" s="18">
        <v>8</v>
      </c>
      <c r="C880" s="18">
        <v>1</v>
      </c>
      <c r="D880" s="18">
        <v>0</v>
      </c>
      <c r="E880" s="18">
        <v>0</v>
      </c>
      <c r="F880" s="18">
        <v>0</v>
      </c>
      <c r="G880" s="18">
        <v>0</v>
      </c>
      <c r="H880" s="18">
        <v>0</v>
      </c>
      <c r="I880" s="18">
        <v>0</v>
      </c>
      <c r="J880" s="99">
        <f>SUM(SamplingData[[#This Row],[Losing Candidate]:[Under Votes]])</f>
        <v>9</v>
      </c>
      <c r="K88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880" s="100">
        <f>IF(AND(SamplingData[[#This Row],[Total]]&lt;&gt; 0, NOT(ISBLANK(SamplingData[[#This Row],[Candidate 3]]))),(SamplingData[[#This Row],[Total]]+SamplingData[[#This Row],[Winning Candidate]]-SamplingData[[#This Row],[Candidate 3]])/(SamplingData[[#Totals],[Winning Candidate]]-SamplingData[[#Totals],[Candidate 3]]), 0)</f>
        <v>3.2261186566441915E-4</v>
      </c>
      <c r="M880" s="100">
        <f>IF(AND(SamplingData[[#This Row],[Total]]&lt;&gt; 0, NOT(ISBLANK(SamplingData[[#This Row],[Candidate 4]]))),(SamplingData[[#This Row],[Total]]+SamplingData[[#This Row],[Winning Candidate]]-SamplingData[[#This Row],[Candidate 4]])/(SamplingData[[#Totals],[Winning Candidate]]-SamplingData[[#Totals],[Candidate 4]]), 0)</f>
        <v>2.9232073430968461E-4</v>
      </c>
      <c r="N880" s="100">
        <f>IF(AND(SamplingData[[#This Row],[Total]]&lt;&gt; 0, NOT(ISBLANK(SamplingData[[#This Row],[Candidate 5]]))),(SamplingData[[#This Row],[Total]]+SamplingData[[#This Row],[Winning Candidate]]-SamplingData[[#This Row],[Candidate 5]])/(SamplingData[[#Totals],[Winning Candidate]]-SamplingData[[#Totals],[Candidate 5]]), 0)</f>
        <v>2.4324981756263683E-4</v>
      </c>
      <c r="O880" s="100">
        <f>IF(AND(SamplingData[[#This Row],[Total]]&lt;&gt; 0, NOT(ISBLANK(SamplingData[[#This Row],[Candidate 6]]))),(SamplingData[[#This Row],[Total]]+SamplingData[[#This Row],[Winning Candidate]]-SamplingData[[#This Row],[Candidate 6]])/(SamplingData[[#Totals],[Winning Candidate]]-SamplingData[[#Totals],[Candidate 6]]), 0)</f>
        <v>2.431788337143135E-4</v>
      </c>
      <c r="P880" s="100">
        <f>MAX(SamplingData[[#This Row],[Error Bound (up) - Max. possible relative overstatement - Losing Candidate]:[Error Bound (up) - Max. possible relative overstatement - Candidate 6]])</f>
        <v>3.2261186566441915E-4</v>
      </c>
      <c r="Q880" s="100">
        <f>IF(SamplingData[[#This Row],[Max Error Bound (up)]] = 0,0,SamplingData[[#This Row],[Max Error Bound (up)]]/SamplingData[[#Totals],[Max Error Bound (up)]])</f>
        <v>5.1058637768320656E-5</v>
      </c>
      <c r="R880" s="101">
        <f>SUM($Q$5:Q880)</f>
        <v>0.22207873452192387</v>
      </c>
      <c r="S880" s="100" t="str">
        <f t="array" ref="S880">IF(SamplingData[[#This Row],[up/U Selection Probability]] = 0, "Zero", TEXT(SamplingData[[#This Row],[Lower Range]], REPT("0",LEN('General Info'!$B$40))) &amp; " - " &amp; TEXT(SamplingData[[#This Row],[Upper Range]], REPT("0",LEN('General Info'!$B$40))))</f>
        <v>22203 - 22207</v>
      </c>
      <c r="T880" s="100">
        <f>SamplingData[[#This Row],[Upper Range]]-SamplingData[[#This Row],[Span]]</f>
        <v>22202.767639474194</v>
      </c>
      <c r="U880" s="100">
        <f>IF(ISNUMBER('General Info'!$B$40), ((SamplingData[[#This Row],[up/U Selection Probability]]) * 'General Info'!$B$40) - 1, 0)</f>
        <v>4.1058127181942972</v>
      </c>
      <c r="V880" s="100">
        <f>IF(ISNUMBER('General Info'!$B$40), (SamplingData[[#This Row],[Running (cumulative) sum]] * ('General Info'!$B$40 -'General Info'!$B$41 + 1)) + 'General Info'!$B$41 - 1, 0)</f>
        <v>22206.873452192387</v>
      </c>
      <c r="W880" s="100" t="str">
        <f>IF(ISERROR(MATCH(SamplingData[[#This Row],[Batch by Type (p)]],SelectedPrecincts[Batch Name], 0)), "", INDEX(SelectedPrecincts[Draw], MATCH(SamplingData[[#This Row],[Batch by Type (p)]],SelectedPrecincts[Batch Name], 0)))</f>
        <v/>
      </c>
      <c r="X880" s="102">
        <f>IF(COUNTIF(SelectedPrecincts[Batch Name],SamplingData[[#This Row],[Batch by Type (p)]]) &lt;&gt; 0, COUNTIF(SelectedPrecincts[Batch Name],SamplingData[[#This Row],[Batch by Type (p)]]), 0)</f>
        <v>0</v>
      </c>
    </row>
    <row r="881" spans="1:24" ht="15" customHeight="1">
      <c r="A881" s="18" t="s">
        <v>1057</v>
      </c>
      <c r="B881" s="18">
        <v>4</v>
      </c>
      <c r="C881" s="18">
        <v>12</v>
      </c>
      <c r="D881" s="16">
        <v>5</v>
      </c>
      <c r="E881" s="16">
        <v>2</v>
      </c>
      <c r="F881" s="37">
        <v>0</v>
      </c>
      <c r="G881" s="37">
        <v>1</v>
      </c>
      <c r="H881" s="17">
        <v>0</v>
      </c>
      <c r="I881" s="17">
        <v>2</v>
      </c>
      <c r="J881" s="99">
        <f>SUM(SamplingData[[#This Row],[Losing Candidate]:[Under Votes]])</f>
        <v>26</v>
      </c>
      <c r="K881"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881" s="100">
        <f>IF(AND(SamplingData[[#This Row],[Total]]&lt;&gt; 0, NOT(ISBLANK(SamplingData[[#This Row],[Candidate 3]]))),(SamplingData[[#This Row],[Total]]+SamplingData[[#This Row],[Winning Candidate]]-SamplingData[[#This Row],[Candidate 3]])/(SamplingData[[#Totals],[Winning Candidate]]-SamplingData[[#Totals],[Candidate 3]]), 0)</f>
        <v>1.0646191566925831E-3</v>
      </c>
      <c r="M881" s="100">
        <f>IF(AND(SamplingData[[#This Row],[Total]]&lt;&gt; 0, NOT(ISBLANK(SamplingData[[#This Row],[Candidate 4]]))),(SamplingData[[#This Row],[Total]]+SamplingData[[#This Row],[Winning Candidate]]-SamplingData[[#This Row],[Candidate 4]])/(SamplingData[[#Totals],[Winning Candidate]]-SamplingData[[#Totals],[Candidate 4]]), 0)</f>
        <v>1.0523546435148646E-3</v>
      </c>
      <c r="N881" s="100">
        <f>IF(AND(SamplingData[[#This Row],[Total]]&lt;&gt; 0, NOT(ISBLANK(SamplingData[[#This Row],[Candidate 5]]))),(SamplingData[[#This Row],[Total]]+SamplingData[[#This Row],[Winning Candidate]]-SamplingData[[#This Row],[Candidate 5]])/(SamplingData[[#Totals],[Winning Candidate]]-SamplingData[[#Totals],[Candidate 5]]), 0)</f>
        <v>9.2434930673801995E-4</v>
      </c>
      <c r="O881" s="100">
        <f>IF(AND(SamplingData[[#This Row],[Total]]&lt;&gt; 0, NOT(ISBLANK(SamplingData[[#This Row],[Candidate 6]]))),(SamplingData[[#This Row],[Total]]+SamplingData[[#This Row],[Winning Candidate]]-SamplingData[[#This Row],[Candidate 6]])/(SamplingData[[#Totals],[Winning Candidate]]-SamplingData[[#Totals],[Candidate 6]]), 0)</f>
        <v>8.9976168474295993E-4</v>
      </c>
      <c r="P881" s="100">
        <f>MAX(SamplingData[[#This Row],[Error Bound (up) - Max. possible relative overstatement - Losing Candidate]:[Error Bound (up) - Max. possible relative overstatement - Candidate 6]])</f>
        <v>2.0823125918667321E-3</v>
      </c>
      <c r="Q881" s="100">
        <f>IF(SamplingData[[#This Row],[Max Error Bound (up)]] = 0,0,SamplingData[[#This Row],[Max Error Bound (up)]]/SamplingData[[#Totals],[Max Error Bound (up)]])</f>
        <v>3.2956024146715829E-4</v>
      </c>
      <c r="R881" s="101">
        <f>SUM($Q$5:Q881)</f>
        <v>0.22240829476339102</v>
      </c>
      <c r="S881" s="100" t="str">
        <f t="array" ref="S881">IF(SamplingData[[#This Row],[up/U Selection Probability]] = 0, "Zero", TEXT(SamplingData[[#This Row],[Lower Range]], REPT("0",LEN('General Info'!$B$40))) &amp; " - " &amp; TEXT(SamplingData[[#This Row],[Upper Range]], REPT("0",LEN('General Info'!$B$40))))</f>
        <v>22208 - 22240</v>
      </c>
      <c r="T881" s="100">
        <f>SamplingData[[#This Row],[Upper Range]]-SamplingData[[#This Row],[Span]]</f>
        <v>22207.873781752627</v>
      </c>
      <c r="U881" s="100">
        <f>IF(ISNUMBER('General Info'!$B$40), ((SamplingData[[#This Row],[up/U Selection Probability]]) * 'General Info'!$B$40) - 1, 0)</f>
        <v>31.955694586474358</v>
      </c>
      <c r="V881" s="100">
        <f>IF(ISNUMBER('General Info'!$B$40), (SamplingData[[#This Row],[Running (cumulative) sum]] * ('General Info'!$B$40 -'General Info'!$B$41 + 1)) + 'General Info'!$B$41 - 1, 0)</f>
        <v>22239.829476339102</v>
      </c>
      <c r="W881" s="100" t="str">
        <f>IF(ISERROR(MATCH(SamplingData[[#This Row],[Batch by Type (p)]],SelectedPrecincts[Batch Name], 0)), "", INDEX(SelectedPrecincts[Draw], MATCH(SamplingData[[#This Row],[Batch by Type (p)]],SelectedPrecincts[Batch Name], 0)))</f>
        <v/>
      </c>
      <c r="X881" s="102">
        <f>IF(COUNTIF(SelectedPrecincts[Batch Name],SamplingData[[#This Row],[Batch by Type (p)]]) &lt;&gt; 0, COUNTIF(SelectedPrecincts[Batch Name],SamplingData[[#This Row],[Batch by Type (p)]]), 0)</f>
        <v>0</v>
      </c>
    </row>
    <row r="882" spans="1:24" ht="15" customHeight="1">
      <c r="A882" s="18" t="s">
        <v>1058</v>
      </c>
      <c r="B882" s="18">
        <v>4</v>
      </c>
      <c r="C882" s="18">
        <v>0</v>
      </c>
      <c r="D882" s="18">
        <v>0</v>
      </c>
      <c r="E882" s="18">
        <v>1</v>
      </c>
      <c r="F882" s="18">
        <v>0</v>
      </c>
      <c r="G882" s="18">
        <v>0</v>
      </c>
      <c r="H882" s="18">
        <v>0</v>
      </c>
      <c r="I882" s="18">
        <v>0</v>
      </c>
      <c r="J882" s="99">
        <f>SUM(SamplingData[[#This Row],[Losing Candidate]:[Under Votes]])</f>
        <v>5</v>
      </c>
      <c r="K88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882" s="100">
        <f>IF(AND(SamplingData[[#This Row],[Total]]&lt;&gt; 0, NOT(ISBLANK(SamplingData[[#This Row],[Candidate 3]]))),(SamplingData[[#This Row],[Total]]+SamplingData[[#This Row],[Winning Candidate]]-SamplingData[[#This Row],[Candidate 3]])/(SamplingData[[#Totals],[Winning Candidate]]-SamplingData[[#Totals],[Candidate 3]]), 0)</f>
        <v>1.6130593283220958E-4</v>
      </c>
      <c r="M882" s="100">
        <f>IF(AND(SamplingData[[#This Row],[Total]]&lt;&gt; 0, NOT(ISBLANK(SamplingData[[#This Row],[Candidate 4]]))),(SamplingData[[#This Row],[Total]]+SamplingData[[#This Row],[Winning Candidate]]-SamplingData[[#This Row],[Candidate 4]])/(SamplingData[[#Totals],[Winning Candidate]]-SamplingData[[#Totals],[Candidate 4]]), 0)</f>
        <v>1.1692829372387384E-4</v>
      </c>
      <c r="N882" s="100">
        <f>IF(AND(SamplingData[[#This Row],[Total]]&lt;&gt; 0, NOT(ISBLANK(SamplingData[[#This Row],[Candidate 5]]))),(SamplingData[[#This Row],[Total]]+SamplingData[[#This Row],[Winning Candidate]]-SamplingData[[#This Row],[Candidate 5]])/(SamplingData[[#Totals],[Winning Candidate]]-SamplingData[[#Totals],[Candidate 5]]), 0)</f>
        <v>1.2162490878131841E-4</v>
      </c>
      <c r="O882" s="100">
        <f>IF(AND(SamplingData[[#This Row],[Total]]&lt;&gt; 0, NOT(ISBLANK(SamplingData[[#This Row],[Candidate 6]]))),(SamplingData[[#This Row],[Total]]+SamplingData[[#This Row],[Winning Candidate]]-SamplingData[[#This Row],[Candidate 6]])/(SamplingData[[#Totals],[Winning Candidate]]-SamplingData[[#Totals],[Candidate 6]]), 0)</f>
        <v>1.2158941685715675E-4</v>
      </c>
      <c r="P882" s="100">
        <f>MAX(SamplingData[[#This Row],[Error Bound (up) - Max. possible relative overstatement - Losing Candidate]:[Error Bound (up) - Max. possible relative overstatement - Candidate 6]])</f>
        <v>1.6130593283220958E-4</v>
      </c>
      <c r="Q882" s="100">
        <f>IF(SamplingData[[#This Row],[Max Error Bound (up)]] = 0,0,SamplingData[[#This Row],[Max Error Bound (up)]]/SamplingData[[#Totals],[Max Error Bound (up)]])</f>
        <v>2.5529318884160328E-5</v>
      </c>
      <c r="R882" s="101">
        <f>SUM($Q$5:Q882)</f>
        <v>0.22243382408227519</v>
      </c>
      <c r="S882" s="100" t="str">
        <f t="array" ref="S882">IF(SamplingData[[#This Row],[up/U Selection Probability]] = 0, "Zero", TEXT(SamplingData[[#This Row],[Lower Range]], REPT("0",LEN('General Info'!$B$40))) &amp; " - " &amp; TEXT(SamplingData[[#This Row],[Upper Range]], REPT("0",LEN('General Info'!$B$40))))</f>
        <v>22241 - 22242</v>
      </c>
      <c r="T882" s="100">
        <f>SamplingData[[#This Row],[Upper Range]]-SamplingData[[#This Row],[Span]]</f>
        <v>22240.829501868422</v>
      </c>
      <c r="U882" s="100">
        <f>IF(ISNUMBER('General Info'!$B$40), ((SamplingData[[#This Row],[up/U Selection Probability]]) * 'General Info'!$B$40) - 1, 0)</f>
        <v>1.5529063590971486</v>
      </c>
      <c r="V882" s="100">
        <f>IF(ISNUMBER('General Info'!$B$40), (SamplingData[[#This Row],[Running (cumulative) sum]] * ('General Info'!$B$40 -'General Info'!$B$41 + 1)) + 'General Info'!$B$41 - 1, 0)</f>
        <v>22242.382408227521</v>
      </c>
      <c r="W882" s="100" t="str">
        <f>IF(ISERROR(MATCH(SamplingData[[#This Row],[Batch by Type (p)]],SelectedPrecincts[Batch Name], 0)), "", INDEX(SelectedPrecincts[Draw], MATCH(SamplingData[[#This Row],[Batch by Type (p)]],SelectedPrecincts[Batch Name], 0)))</f>
        <v/>
      </c>
      <c r="X882" s="102">
        <f>IF(COUNTIF(SelectedPrecincts[Batch Name],SamplingData[[#This Row],[Batch by Type (p)]]) &lt;&gt; 0, COUNTIF(SelectedPrecincts[Batch Name],SamplingData[[#This Row],[Batch by Type (p)]]), 0)</f>
        <v>0</v>
      </c>
    </row>
    <row r="883" spans="1:24" ht="15" customHeight="1">
      <c r="A883" s="18" t="s">
        <v>1059</v>
      </c>
      <c r="B883" s="18">
        <v>12</v>
      </c>
      <c r="C883" s="18">
        <v>14</v>
      </c>
      <c r="D883" s="16">
        <v>13</v>
      </c>
      <c r="E883" s="16">
        <v>4</v>
      </c>
      <c r="F883" s="37">
        <v>0</v>
      </c>
      <c r="G883" s="37">
        <v>0</v>
      </c>
      <c r="H883" s="17">
        <v>0</v>
      </c>
      <c r="I883" s="17">
        <v>0</v>
      </c>
      <c r="J883" s="99">
        <f>SUM(SamplingData[[#This Row],[Losing Candidate]:[Under Votes]])</f>
        <v>43</v>
      </c>
      <c r="K883"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883" s="100">
        <f>IF(AND(SamplingData[[#This Row],[Total]]&lt;&gt; 0, NOT(ISBLANK(SamplingData[[#This Row],[Candidate 3]]))),(SamplingData[[#This Row],[Total]]+SamplingData[[#This Row],[Winning Candidate]]-SamplingData[[#This Row],[Candidate 3]])/(SamplingData[[#Totals],[Winning Candidate]]-SamplingData[[#Totals],[Candidate 3]]), 0)</f>
        <v>1.4194922089234441E-3</v>
      </c>
      <c r="M883" s="100">
        <f>IF(AND(SamplingData[[#This Row],[Total]]&lt;&gt; 0, NOT(ISBLANK(SamplingData[[#This Row],[Candidate 4]]))),(SamplingData[[#This Row],[Total]]+SamplingData[[#This Row],[Winning Candidate]]-SamplingData[[#This Row],[Candidate 4]])/(SamplingData[[#Totals],[Winning Candidate]]-SamplingData[[#Totals],[Candidate 4]]), 0)</f>
        <v>1.5492998918413283E-3</v>
      </c>
      <c r="N883" s="100">
        <f>IF(AND(SamplingData[[#This Row],[Total]]&lt;&gt; 0, NOT(ISBLANK(SamplingData[[#This Row],[Candidate 5]]))),(SamplingData[[#This Row],[Total]]+SamplingData[[#This Row],[Winning Candidate]]-SamplingData[[#This Row],[Candidate 5]])/(SamplingData[[#Totals],[Winning Candidate]]-SamplingData[[#Totals],[Candidate 5]]), 0)</f>
        <v>1.3865239601070299E-3</v>
      </c>
      <c r="O883" s="100">
        <f>IF(AND(SamplingData[[#This Row],[Total]]&lt;&gt; 0, NOT(ISBLANK(SamplingData[[#This Row],[Candidate 6]]))),(SamplingData[[#This Row],[Total]]+SamplingData[[#This Row],[Winning Candidate]]-SamplingData[[#This Row],[Candidate 6]])/(SamplingData[[#Totals],[Winning Candidate]]-SamplingData[[#Totals],[Candidate 6]]), 0)</f>
        <v>1.3861193521715869E-3</v>
      </c>
      <c r="P883" s="100">
        <f>MAX(SamplingData[[#This Row],[Error Bound (up) - Max. possible relative overstatement - Losing Candidate]:[Error Bound (up) - Max. possible relative overstatement - Candidate 6]])</f>
        <v>2.7560019598236157E-3</v>
      </c>
      <c r="Q883" s="100">
        <f>IF(SamplingData[[#This Row],[Max Error Bound (up)]] = 0,0,SamplingData[[#This Row],[Max Error Bound (up)]]/SamplingData[[#Totals],[Max Error Bound (up)]])</f>
        <v>4.3618267253006237E-4</v>
      </c>
      <c r="R883" s="101">
        <f>SUM($Q$5:Q883)</f>
        <v>0.22287000675480526</v>
      </c>
      <c r="S883" s="100" t="str">
        <f t="array" ref="S883">IF(SamplingData[[#This Row],[up/U Selection Probability]] = 0, "Zero", TEXT(SamplingData[[#This Row],[Lower Range]], REPT("0",LEN('General Info'!$B$40))) &amp; " - " &amp; TEXT(SamplingData[[#This Row],[Upper Range]], REPT("0",LEN('General Info'!$B$40))))</f>
        <v>22243 - 22286</v>
      </c>
      <c r="T883" s="100">
        <f>SamplingData[[#This Row],[Upper Range]]-SamplingData[[#This Row],[Span]]</f>
        <v>22243.382844410193</v>
      </c>
      <c r="U883" s="100">
        <f>IF(ISNUMBER('General Info'!$B$40), ((SamplingData[[#This Row],[up/U Selection Probability]]) * 'General Info'!$B$40) - 1, 0)</f>
        <v>42.617831070333708</v>
      </c>
      <c r="V883" s="100">
        <f>IF(ISNUMBER('General Info'!$B$40), (SamplingData[[#This Row],[Running (cumulative) sum]] * ('General Info'!$B$40 -'General Info'!$B$41 + 1)) + 'General Info'!$B$41 - 1, 0)</f>
        <v>22286.000675480525</v>
      </c>
      <c r="W883" s="100" t="str">
        <f>IF(ISERROR(MATCH(SamplingData[[#This Row],[Batch by Type (p)]],SelectedPrecincts[Batch Name], 0)), "", INDEX(SelectedPrecincts[Draw], MATCH(SamplingData[[#This Row],[Batch by Type (p)]],SelectedPrecincts[Batch Name], 0)))</f>
        <v/>
      </c>
      <c r="X883" s="102">
        <f>IF(COUNTIF(SelectedPrecincts[Batch Name],SamplingData[[#This Row],[Batch by Type (p)]]) &lt;&gt; 0, COUNTIF(SelectedPrecincts[Batch Name],SamplingData[[#This Row],[Batch by Type (p)]]), 0)</f>
        <v>0</v>
      </c>
    </row>
    <row r="884" spans="1:24" ht="15" customHeight="1">
      <c r="A884" s="18" t="s">
        <v>1060</v>
      </c>
      <c r="B884" s="18">
        <v>4</v>
      </c>
      <c r="C884" s="18">
        <v>7</v>
      </c>
      <c r="D884" s="18">
        <v>3</v>
      </c>
      <c r="E884" s="18">
        <v>1</v>
      </c>
      <c r="F884" s="18">
        <v>0</v>
      </c>
      <c r="G884" s="18">
        <v>0</v>
      </c>
      <c r="H884" s="18">
        <v>0</v>
      </c>
      <c r="I884" s="18">
        <v>2</v>
      </c>
      <c r="J884" s="99">
        <f>SUM(SamplingData[[#This Row],[Losing Candidate]:[Under Votes]])</f>
        <v>17</v>
      </c>
      <c r="K88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884" s="100">
        <f>IF(AND(SamplingData[[#This Row],[Total]]&lt;&gt; 0, NOT(ISBLANK(SamplingData[[#This Row],[Candidate 3]]))),(SamplingData[[#This Row],[Total]]+SamplingData[[#This Row],[Winning Candidate]]-SamplingData[[#This Row],[Candidate 3]])/(SamplingData[[#Totals],[Winning Candidate]]-SamplingData[[#Totals],[Candidate 3]]), 0)</f>
        <v>6.7748491789528019E-4</v>
      </c>
      <c r="M884" s="100">
        <f>IF(AND(SamplingData[[#This Row],[Total]]&lt;&gt; 0, NOT(ISBLANK(SamplingData[[#This Row],[Candidate 4]]))),(SamplingData[[#This Row],[Total]]+SamplingData[[#This Row],[Winning Candidate]]-SamplingData[[#This Row],[Candidate 4]])/(SamplingData[[#Totals],[Winning Candidate]]-SamplingData[[#Totals],[Candidate 4]]), 0)</f>
        <v>6.7233768891227451E-4</v>
      </c>
      <c r="N884" s="100">
        <f>IF(AND(SamplingData[[#This Row],[Total]]&lt;&gt; 0, NOT(ISBLANK(SamplingData[[#This Row],[Candidate 5]]))),(SamplingData[[#This Row],[Total]]+SamplingData[[#This Row],[Winning Candidate]]-SamplingData[[#This Row],[Candidate 5]])/(SamplingData[[#Totals],[Winning Candidate]]-SamplingData[[#Totals],[Candidate 5]]), 0)</f>
        <v>5.8379956215032843E-4</v>
      </c>
      <c r="O884" s="100">
        <f>IF(AND(SamplingData[[#This Row],[Total]]&lt;&gt; 0, NOT(ISBLANK(SamplingData[[#This Row],[Candidate 6]]))),(SamplingData[[#This Row],[Total]]+SamplingData[[#This Row],[Winning Candidate]]-SamplingData[[#This Row],[Candidate 6]])/(SamplingData[[#Totals],[Winning Candidate]]-SamplingData[[#Totals],[Candidate 6]]), 0)</f>
        <v>5.8362920091435243E-4</v>
      </c>
      <c r="P884" s="100">
        <f>MAX(SamplingData[[#This Row],[Error Bound (up) - Max. possible relative overstatement - Losing Candidate]:[Error Bound (up) - Max. possible relative overstatement - Candidate 6]])</f>
        <v>1.224889759921607E-3</v>
      </c>
      <c r="Q884" s="100">
        <f>IF(SamplingData[[#This Row],[Max Error Bound (up)]] = 0,0,SamplingData[[#This Row],[Max Error Bound (up)]]/SamplingData[[#Totals],[Max Error Bound (up)]])</f>
        <v>1.9385896556891664E-4</v>
      </c>
      <c r="R884" s="101">
        <f>SUM($Q$5:Q884)</f>
        <v>0.22306386572037418</v>
      </c>
      <c r="S884" s="100" t="str">
        <f t="array" ref="S884">IF(SamplingData[[#This Row],[up/U Selection Probability]] = 0, "Zero", TEXT(SamplingData[[#This Row],[Lower Range]], REPT("0",LEN('General Info'!$B$40))) &amp; " - " &amp; TEXT(SamplingData[[#This Row],[Upper Range]], REPT("0",LEN('General Info'!$B$40))))</f>
        <v>22287 - 22305</v>
      </c>
      <c r="T884" s="100">
        <f>SamplingData[[#This Row],[Upper Range]]-SamplingData[[#This Row],[Span]]</f>
        <v>22287.000869339488</v>
      </c>
      <c r="U884" s="100">
        <f>IF(ISNUMBER('General Info'!$B$40), ((SamplingData[[#This Row],[up/U Selection Probability]]) * 'General Info'!$B$40) - 1, 0)</f>
        <v>18.385702697926096</v>
      </c>
      <c r="V884" s="100">
        <f>IF(ISNUMBER('General Info'!$B$40), (SamplingData[[#This Row],[Running (cumulative) sum]] * ('General Info'!$B$40 -'General Info'!$B$41 + 1)) + 'General Info'!$B$41 - 1, 0)</f>
        <v>22305.386572037416</v>
      </c>
      <c r="W884" s="100" t="str">
        <f>IF(ISERROR(MATCH(SamplingData[[#This Row],[Batch by Type (p)]],SelectedPrecincts[Batch Name], 0)), "", INDEX(SelectedPrecincts[Draw], MATCH(SamplingData[[#This Row],[Batch by Type (p)]],SelectedPrecincts[Batch Name], 0)))</f>
        <v/>
      </c>
      <c r="X884" s="102">
        <f>IF(COUNTIF(SelectedPrecincts[Batch Name],SamplingData[[#This Row],[Batch by Type (p)]]) &lt;&gt; 0, COUNTIF(SelectedPrecincts[Batch Name],SamplingData[[#This Row],[Batch by Type (p)]]), 0)</f>
        <v>0</v>
      </c>
    </row>
    <row r="885" spans="1:24" ht="15" customHeight="1">
      <c r="A885" s="18" t="s">
        <v>1061</v>
      </c>
      <c r="B885" s="18">
        <v>22</v>
      </c>
      <c r="C885" s="18">
        <v>17</v>
      </c>
      <c r="D885" s="16">
        <v>10</v>
      </c>
      <c r="E885" s="16">
        <v>3</v>
      </c>
      <c r="F885" s="37">
        <v>0</v>
      </c>
      <c r="G885" s="37">
        <v>0</v>
      </c>
      <c r="H885" s="17">
        <v>0</v>
      </c>
      <c r="I885" s="17">
        <v>0</v>
      </c>
      <c r="J885" s="99">
        <f>SUM(SamplingData[[#This Row],[Losing Candidate]:[Under Votes]])</f>
        <v>52</v>
      </c>
      <c r="K885" s="100">
        <f>IF(AND(SamplingData[[#This Row],[Total]]&lt;&gt; 0, NOT(ISBLANK(SamplingData[[#This Row],[Losing Candidate]]))),(SamplingData[[#This Row],[Total]]+SamplingData[[#This Row],[Winning Candidate]]-SamplingData[[#This Row],[Losing Candidate]])/(SamplingData[[#Totals],[Winning Candidate]]-SamplingData[[#Totals],[Losing Candidate]]), 0)</f>
        <v>2.8784909358157765E-3</v>
      </c>
      <c r="L885" s="100">
        <f>IF(AND(SamplingData[[#This Row],[Total]]&lt;&gt; 0, NOT(ISBLANK(SamplingData[[#This Row],[Candidate 3]]))),(SamplingData[[#This Row],[Total]]+SamplingData[[#This Row],[Winning Candidate]]-SamplingData[[#This Row],[Candidate 3]])/(SamplingData[[#Totals],[Winning Candidate]]-SamplingData[[#Totals],[Candidate 3]]), 0)</f>
        <v>1.9034100074200729E-3</v>
      </c>
      <c r="M885" s="100">
        <f>IF(AND(SamplingData[[#This Row],[Total]]&lt;&gt; 0, NOT(ISBLANK(SamplingData[[#This Row],[Candidate 4]]))),(SamplingData[[#This Row],[Total]]+SamplingData[[#This Row],[Winning Candidate]]-SamplingData[[#This Row],[Candidate 4]])/(SamplingData[[#Totals],[Winning Candidate]]-SamplingData[[#Totals],[Candidate 4]]), 0)</f>
        <v>1.9293168464439184E-3</v>
      </c>
      <c r="N885" s="100">
        <f>IF(AND(SamplingData[[#This Row],[Total]]&lt;&gt; 0, NOT(ISBLANK(SamplingData[[#This Row],[Candidate 5]]))),(SamplingData[[#This Row],[Total]]+SamplingData[[#This Row],[Winning Candidate]]-SamplingData[[#This Row],[Candidate 5]])/(SamplingData[[#Totals],[Winning Candidate]]-SamplingData[[#Totals],[Candidate 5]]), 0)</f>
        <v>1.678423741182194E-3</v>
      </c>
      <c r="O885" s="100">
        <f>IF(AND(SamplingData[[#This Row],[Total]]&lt;&gt; 0, NOT(ISBLANK(SamplingData[[#This Row],[Candidate 6]]))),(SamplingData[[#This Row],[Total]]+SamplingData[[#This Row],[Winning Candidate]]-SamplingData[[#This Row],[Candidate 6]])/(SamplingData[[#Totals],[Winning Candidate]]-SamplingData[[#Totals],[Candidate 6]]), 0)</f>
        <v>1.6779339526287631E-3</v>
      </c>
      <c r="P885" s="100">
        <f>MAX(SamplingData[[#This Row],[Error Bound (up) - Max. possible relative overstatement - Losing Candidate]:[Error Bound (up) - Max. possible relative overstatement - Candidate 6]])</f>
        <v>2.8784909358157765E-3</v>
      </c>
      <c r="Q885" s="100">
        <f>IF(SamplingData[[#This Row],[Max Error Bound (up)]] = 0,0,SamplingData[[#This Row],[Max Error Bound (up)]]/SamplingData[[#Totals],[Max Error Bound (up)]])</f>
        <v>4.5556856908695405E-4</v>
      </c>
      <c r="R885" s="101">
        <f>SUM($Q$5:Q885)</f>
        <v>0.22351943428946114</v>
      </c>
      <c r="S885" s="100" t="str">
        <f t="array" ref="S885">IF(SamplingData[[#This Row],[up/U Selection Probability]] = 0, "Zero", TEXT(SamplingData[[#This Row],[Lower Range]], REPT("0",LEN('General Info'!$B$40))) &amp; " - " &amp; TEXT(SamplingData[[#This Row],[Upper Range]], REPT("0",LEN('General Info'!$B$40))))</f>
        <v>22306 - 22351</v>
      </c>
      <c r="T885" s="100">
        <f>SamplingData[[#This Row],[Upper Range]]-SamplingData[[#This Row],[Span]]</f>
        <v>22306.387027605986</v>
      </c>
      <c r="U885" s="100">
        <f>IF(ISNUMBER('General Info'!$B$40), ((SamplingData[[#This Row],[up/U Selection Probability]]) * 'General Info'!$B$40) - 1, 0)</f>
        <v>44.556401340126321</v>
      </c>
      <c r="V885" s="100">
        <f>IF(ISNUMBER('General Info'!$B$40), (SamplingData[[#This Row],[Running (cumulative) sum]] * ('General Info'!$B$40 -'General Info'!$B$41 + 1)) + 'General Info'!$B$41 - 1, 0)</f>
        <v>22350.943428946113</v>
      </c>
      <c r="W885" s="100" t="str">
        <f>IF(ISERROR(MATCH(SamplingData[[#This Row],[Batch by Type (p)]],SelectedPrecincts[Batch Name], 0)), "", INDEX(SelectedPrecincts[Draw], MATCH(SamplingData[[#This Row],[Batch by Type (p)]],SelectedPrecincts[Batch Name], 0)))</f>
        <v/>
      </c>
      <c r="X885" s="102">
        <f>IF(COUNTIF(SelectedPrecincts[Batch Name],SamplingData[[#This Row],[Batch by Type (p)]]) &lt;&gt; 0, COUNTIF(SelectedPrecincts[Batch Name],SamplingData[[#This Row],[Batch by Type (p)]]), 0)</f>
        <v>0</v>
      </c>
    </row>
    <row r="886" spans="1:24" ht="15" customHeight="1">
      <c r="A886" s="18" t="s">
        <v>1062</v>
      </c>
      <c r="B886" s="18">
        <v>4</v>
      </c>
      <c r="C886" s="18">
        <v>9</v>
      </c>
      <c r="D886" s="18">
        <v>1</v>
      </c>
      <c r="E886" s="18">
        <v>2</v>
      </c>
      <c r="F886" s="18">
        <v>0</v>
      </c>
      <c r="G886" s="18">
        <v>0</v>
      </c>
      <c r="H886" s="18">
        <v>0</v>
      </c>
      <c r="I886" s="18">
        <v>0</v>
      </c>
      <c r="J886" s="99">
        <f>SUM(SamplingData[[#This Row],[Losing Candidate]:[Under Votes]])</f>
        <v>16</v>
      </c>
      <c r="K886"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886" s="100">
        <f>IF(AND(SamplingData[[#This Row],[Total]]&lt;&gt; 0, NOT(ISBLANK(SamplingData[[#This Row],[Candidate 3]]))),(SamplingData[[#This Row],[Total]]+SamplingData[[#This Row],[Winning Candidate]]-SamplingData[[#This Row],[Candidate 3]])/(SamplingData[[#Totals],[Winning Candidate]]-SamplingData[[#Totals],[Candidate 3]]), 0)</f>
        <v>7.7426847759460595E-4</v>
      </c>
      <c r="M886" s="100">
        <f>IF(AND(SamplingData[[#This Row],[Total]]&lt;&gt; 0, NOT(ISBLANK(SamplingData[[#This Row],[Candidate 4]]))),(SamplingData[[#This Row],[Total]]+SamplingData[[#This Row],[Winning Candidate]]-SamplingData[[#This Row],[Candidate 4]])/(SamplingData[[#Totals],[Winning Candidate]]-SamplingData[[#Totals],[Candidate 4]]), 0)</f>
        <v>6.7233768891227451E-4</v>
      </c>
      <c r="N886" s="100">
        <f>IF(AND(SamplingData[[#This Row],[Total]]&lt;&gt; 0, NOT(ISBLANK(SamplingData[[#This Row],[Candidate 5]]))),(SamplingData[[#This Row],[Total]]+SamplingData[[#This Row],[Winning Candidate]]-SamplingData[[#This Row],[Candidate 5]])/(SamplingData[[#Totals],[Winning Candidate]]-SamplingData[[#Totals],[Candidate 5]]), 0)</f>
        <v>6.0812454390659211E-4</v>
      </c>
      <c r="O886" s="100">
        <f>IF(AND(SamplingData[[#This Row],[Total]]&lt;&gt; 0, NOT(ISBLANK(SamplingData[[#This Row],[Candidate 6]]))),(SamplingData[[#This Row],[Total]]+SamplingData[[#This Row],[Winning Candidate]]-SamplingData[[#This Row],[Candidate 6]])/(SamplingData[[#Totals],[Winning Candidate]]-SamplingData[[#Totals],[Candidate 6]]), 0)</f>
        <v>6.0794708428578371E-4</v>
      </c>
      <c r="P886" s="100">
        <f>MAX(SamplingData[[#This Row],[Error Bound (up) - Max. possible relative overstatement - Losing Candidate]:[Error Bound (up) - Max. possible relative overstatement - Candidate 6]])</f>
        <v>1.2861342479176874E-3</v>
      </c>
      <c r="Q886" s="100">
        <f>IF(SamplingData[[#This Row],[Max Error Bound (up)]] = 0,0,SamplingData[[#This Row],[Max Error Bound (up)]]/SamplingData[[#Totals],[Max Error Bound (up)]])</f>
        <v>2.0355191384736248E-4</v>
      </c>
      <c r="R886" s="101">
        <f>SUM($Q$5:Q886)</f>
        <v>0.22372298620330849</v>
      </c>
      <c r="S886" s="100" t="str">
        <f t="array" ref="S886">IF(SamplingData[[#This Row],[up/U Selection Probability]] = 0, "Zero", TEXT(SamplingData[[#This Row],[Lower Range]], REPT("0",LEN('General Info'!$B$40))) &amp; " - " &amp; TEXT(SamplingData[[#This Row],[Upper Range]], REPT("0",LEN('General Info'!$B$40))))</f>
        <v>22352 - 22371</v>
      </c>
      <c r="T886" s="100">
        <f>SamplingData[[#This Row],[Upper Range]]-SamplingData[[#This Row],[Span]]</f>
        <v>22351.943632498027</v>
      </c>
      <c r="U886" s="100">
        <f>IF(ISNUMBER('General Info'!$B$40), ((SamplingData[[#This Row],[up/U Selection Probability]]) * 'General Info'!$B$40) - 1, 0)</f>
        <v>19.354987832822399</v>
      </c>
      <c r="V886" s="100">
        <f>IF(ISNUMBER('General Info'!$B$40), (SamplingData[[#This Row],[Running (cumulative) sum]] * ('General Info'!$B$40 -'General Info'!$B$41 + 1)) + 'General Info'!$B$41 - 1, 0)</f>
        <v>22371.29862033085</v>
      </c>
      <c r="W886" s="100" t="str">
        <f>IF(ISERROR(MATCH(SamplingData[[#This Row],[Batch by Type (p)]],SelectedPrecincts[Batch Name], 0)), "", INDEX(SelectedPrecincts[Draw], MATCH(SamplingData[[#This Row],[Batch by Type (p)]],SelectedPrecincts[Batch Name], 0)))</f>
        <v/>
      </c>
      <c r="X886" s="102">
        <f>IF(COUNTIF(SelectedPrecincts[Batch Name],SamplingData[[#This Row],[Batch by Type (p)]]) &lt;&gt; 0, COUNTIF(SelectedPrecincts[Batch Name],SamplingData[[#This Row],[Batch by Type (p)]]), 0)</f>
        <v>0</v>
      </c>
    </row>
    <row r="887" spans="1:24" ht="15" customHeight="1">
      <c r="A887" s="18" t="s">
        <v>1063</v>
      </c>
      <c r="B887" s="18">
        <v>15</v>
      </c>
      <c r="C887" s="18">
        <v>23</v>
      </c>
      <c r="D887" s="16">
        <v>6</v>
      </c>
      <c r="E887" s="16">
        <v>6</v>
      </c>
      <c r="F887" s="37">
        <v>0</v>
      </c>
      <c r="G887" s="37">
        <v>0</v>
      </c>
      <c r="H887" s="17">
        <v>2</v>
      </c>
      <c r="I887" s="17">
        <v>1</v>
      </c>
      <c r="J887" s="99">
        <f>SUM(SamplingData[[#This Row],[Losing Candidate]:[Under Votes]])</f>
        <v>53</v>
      </c>
      <c r="K887"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887" s="100">
        <f>IF(AND(SamplingData[[#This Row],[Total]]&lt;&gt; 0, NOT(ISBLANK(SamplingData[[#This Row],[Candidate 3]]))),(SamplingData[[#This Row],[Total]]+SamplingData[[#This Row],[Winning Candidate]]-SamplingData[[#This Row],[Candidate 3]])/(SamplingData[[#Totals],[Winning Candidate]]-SamplingData[[#Totals],[Candidate 3]]), 0)</f>
        <v>2.2582830596509338E-3</v>
      </c>
      <c r="M887" s="100">
        <f>IF(AND(SamplingData[[#This Row],[Total]]&lt;&gt; 0, NOT(ISBLANK(SamplingData[[#This Row],[Candidate 4]]))),(SamplingData[[#This Row],[Total]]+SamplingData[[#This Row],[Winning Candidate]]-SamplingData[[#This Row],[Candidate 4]])/(SamplingData[[#Totals],[Winning Candidate]]-SamplingData[[#Totals],[Candidate 4]]), 0)</f>
        <v>2.0462451401677922E-3</v>
      </c>
      <c r="N887" s="100">
        <f>IF(AND(SamplingData[[#This Row],[Total]]&lt;&gt; 0, NOT(ISBLANK(SamplingData[[#This Row],[Candidate 5]]))),(SamplingData[[#This Row],[Total]]+SamplingData[[#This Row],[Winning Candidate]]-SamplingData[[#This Row],[Candidate 5]])/(SamplingData[[#Totals],[Winning Candidate]]-SamplingData[[#Totals],[Candidate 5]]), 0)</f>
        <v>1.8486986134760399E-3</v>
      </c>
      <c r="O887" s="100">
        <f>IF(AND(SamplingData[[#This Row],[Total]]&lt;&gt; 0, NOT(ISBLANK(SamplingData[[#This Row],[Candidate 6]]))),(SamplingData[[#This Row],[Total]]+SamplingData[[#This Row],[Winning Candidate]]-SamplingData[[#This Row],[Candidate 6]])/(SamplingData[[#Totals],[Winning Candidate]]-SamplingData[[#Totals],[Candidate 6]]), 0)</f>
        <v>1.8481591362287826E-3</v>
      </c>
      <c r="P887" s="100">
        <f>MAX(SamplingData[[#This Row],[Error Bound (up) - Max. possible relative overstatement - Losing Candidate]:[Error Bound (up) - Max. possible relative overstatement - Candidate 6]])</f>
        <v>3.7359137677609017E-3</v>
      </c>
      <c r="Q887" s="100">
        <f>IF(SamplingData[[#This Row],[Max Error Bound (up)]] = 0,0,SamplingData[[#This Row],[Max Error Bound (up)]]/SamplingData[[#Totals],[Max Error Bound (up)]])</f>
        <v>5.9126984498519581E-4</v>
      </c>
      <c r="R887" s="101">
        <f>SUM($Q$5:Q887)</f>
        <v>0.22431425604829369</v>
      </c>
      <c r="S887" s="100" t="str">
        <f t="array" ref="S887">IF(SamplingData[[#This Row],[up/U Selection Probability]] = 0, "Zero", TEXT(SamplingData[[#This Row],[Lower Range]], REPT("0",LEN('General Info'!$B$40))) &amp; " - " &amp; TEXT(SamplingData[[#This Row],[Upper Range]], REPT("0",LEN('General Info'!$B$40))))</f>
        <v>22372 - 22430</v>
      </c>
      <c r="T887" s="100">
        <f>SamplingData[[#This Row],[Upper Range]]-SamplingData[[#This Row],[Span]]</f>
        <v>22372.299211600694</v>
      </c>
      <c r="U887" s="100">
        <f>IF(ISNUMBER('General Info'!$B$40), ((SamplingData[[#This Row],[up/U Selection Probability]]) * 'General Info'!$B$40) - 1, 0)</f>
        <v>58.126393228674594</v>
      </c>
      <c r="V887" s="100">
        <f>IF(ISNUMBER('General Info'!$B$40), (SamplingData[[#This Row],[Running (cumulative) sum]] * ('General Info'!$B$40 -'General Info'!$B$41 + 1)) + 'General Info'!$B$41 - 1, 0)</f>
        <v>22430.425604829368</v>
      </c>
      <c r="W887" s="100" t="str">
        <f>IF(ISERROR(MATCH(SamplingData[[#This Row],[Batch by Type (p)]],SelectedPrecincts[Batch Name], 0)), "", INDEX(SelectedPrecincts[Draw], MATCH(SamplingData[[#This Row],[Batch by Type (p)]],SelectedPrecincts[Batch Name], 0)))</f>
        <v/>
      </c>
      <c r="X887" s="102">
        <f>IF(COUNTIF(SelectedPrecincts[Batch Name],SamplingData[[#This Row],[Batch by Type (p)]]) &lt;&gt; 0, COUNTIF(SelectedPrecincts[Batch Name],SamplingData[[#This Row],[Batch by Type (p)]]), 0)</f>
        <v>0</v>
      </c>
    </row>
    <row r="888" spans="1:24" ht="15" customHeight="1">
      <c r="A888" s="18" t="s">
        <v>1064</v>
      </c>
      <c r="B888" s="18">
        <v>5</v>
      </c>
      <c r="C888" s="18">
        <v>9</v>
      </c>
      <c r="D888" s="18">
        <v>1</v>
      </c>
      <c r="E888" s="18">
        <v>1</v>
      </c>
      <c r="F888" s="18">
        <v>0</v>
      </c>
      <c r="G888" s="18">
        <v>0</v>
      </c>
      <c r="H888" s="18">
        <v>0</v>
      </c>
      <c r="I888" s="18">
        <v>0</v>
      </c>
      <c r="J888" s="99">
        <f>SUM(SamplingData[[#This Row],[Losing Candidate]:[Under Votes]])</f>
        <v>16</v>
      </c>
      <c r="K88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888" s="100">
        <f>IF(AND(SamplingData[[#This Row],[Total]]&lt;&gt; 0, NOT(ISBLANK(SamplingData[[#This Row],[Candidate 3]]))),(SamplingData[[#This Row],[Total]]+SamplingData[[#This Row],[Winning Candidate]]-SamplingData[[#This Row],[Candidate 3]])/(SamplingData[[#Totals],[Winning Candidate]]-SamplingData[[#Totals],[Candidate 3]]), 0)</f>
        <v>7.7426847759460595E-4</v>
      </c>
      <c r="M888" s="100">
        <f>IF(AND(SamplingData[[#This Row],[Total]]&lt;&gt; 0, NOT(ISBLANK(SamplingData[[#This Row],[Candidate 4]]))),(SamplingData[[#This Row],[Total]]+SamplingData[[#This Row],[Winning Candidate]]-SamplingData[[#This Row],[Candidate 4]])/(SamplingData[[#Totals],[Winning Candidate]]-SamplingData[[#Totals],[Candidate 4]]), 0)</f>
        <v>7.0156976234324298E-4</v>
      </c>
      <c r="N888" s="100">
        <f>IF(AND(SamplingData[[#This Row],[Total]]&lt;&gt; 0, NOT(ISBLANK(SamplingData[[#This Row],[Candidate 5]]))),(SamplingData[[#This Row],[Total]]+SamplingData[[#This Row],[Winning Candidate]]-SamplingData[[#This Row],[Candidate 5]])/(SamplingData[[#Totals],[Winning Candidate]]-SamplingData[[#Totals],[Candidate 5]]), 0)</f>
        <v>6.0812454390659211E-4</v>
      </c>
      <c r="O888" s="100">
        <f>IF(AND(SamplingData[[#This Row],[Total]]&lt;&gt; 0, NOT(ISBLANK(SamplingData[[#This Row],[Candidate 6]]))),(SamplingData[[#This Row],[Total]]+SamplingData[[#This Row],[Winning Candidate]]-SamplingData[[#This Row],[Candidate 6]])/(SamplingData[[#Totals],[Winning Candidate]]-SamplingData[[#Totals],[Candidate 6]]), 0)</f>
        <v>6.0794708428578371E-4</v>
      </c>
      <c r="P888" s="100">
        <f>MAX(SamplingData[[#This Row],[Error Bound (up) - Max. possible relative overstatement - Losing Candidate]:[Error Bound (up) - Max. possible relative overstatement - Candidate 6]])</f>
        <v>1.224889759921607E-3</v>
      </c>
      <c r="Q888" s="100">
        <f>IF(SamplingData[[#This Row],[Max Error Bound (up)]] = 0,0,SamplingData[[#This Row],[Max Error Bound (up)]]/SamplingData[[#Totals],[Max Error Bound (up)]])</f>
        <v>1.9385896556891664E-4</v>
      </c>
      <c r="R888" s="101">
        <f>SUM($Q$5:Q888)</f>
        <v>0.22450811501386261</v>
      </c>
      <c r="S888" s="100" t="str">
        <f t="array" ref="S888">IF(SamplingData[[#This Row],[up/U Selection Probability]] = 0, "Zero", TEXT(SamplingData[[#This Row],[Lower Range]], REPT("0",LEN('General Info'!$B$40))) &amp; " - " &amp; TEXT(SamplingData[[#This Row],[Upper Range]], REPT("0",LEN('General Info'!$B$40))))</f>
        <v>22431 - 22450</v>
      </c>
      <c r="T888" s="100">
        <f>SamplingData[[#This Row],[Upper Range]]-SamplingData[[#This Row],[Span]]</f>
        <v>22431.425798688335</v>
      </c>
      <c r="U888" s="100">
        <f>IF(ISNUMBER('General Info'!$B$40), ((SamplingData[[#This Row],[up/U Selection Probability]]) * 'General Info'!$B$40) - 1, 0)</f>
        <v>18.385702697926096</v>
      </c>
      <c r="V888" s="100">
        <f>IF(ISNUMBER('General Info'!$B$40), (SamplingData[[#This Row],[Running (cumulative) sum]] * ('General Info'!$B$40 -'General Info'!$B$41 + 1)) + 'General Info'!$B$41 - 1, 0)</f>
        <v>22449.811501386263</v>
      </c>
      <c r="W888" s="100" t="str">
        <f>IF(ISERROR(MATCH(SamplingData[[#This Row],[Batch by Type (p)]],SelectedPrecincts[Batch Name], 0)), "", INDEX(SelectedPrecincts[Draw], MATCH(SamplingData[[#This Row],[Batch by Type (p)]],SelectedPrecincts[Batch Name], 0)))</f>
        <v/>
      </c>
      <c r="X888" s="102">
        <f>IF(COUNTIF(SelectedPrecincts[Batch Name],SamplingData[[#This Row],[Batch by Type (p)]]) &lt;&gt; 0, COUNTIF(SelectedPrecincts[Batch Name],SamplingData[[#This Row],[Batch by Type (p)]]), 0)</f>
        <v>0</v>
      </c>
    </row>
    <row r="889" spans="1:24" ht="15" customHeight="1">
      <c r="A889" s="18" t="s">
        <v>1065</v>
      </c>
      <c r="B889" s="18">
        <v>7</v>
      </c>
      <c r="C889" s="18">
        <v>11</v>
      </c>
      <c r="D889" s="16">
        <v>12</v>
      </c>
      <c r="E889" s="16">
        <v>8</v>
      </c>
      <c r="F889" s="37">
        <v>0</v>
      </c>
      <c r="G889" s="37">
        <v>0</v>
      </c>
      <c r="H889" s="17">
        <v>0</v>
      </c>
      <c r="I889" s="17">
        <v>0</v>
      </c>
      <c r="J889" s="99">
        <f>SUM(SamplingData[[#This Row],[Losing Candidate]:[Under Votes]])</f>
        <v>38</v>
      </c>
      <c r="K889"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889" s="100">
        <f>IF(AND(SamplingData[[#This Row],[Total]]&lt;&gt; 0, NOT(ISBLANK(SamplingData[[#This Row],[Candidate 3]]))),(SamplingData[[#This Row],[Total]]+SamplingData[[#This Row],[Winning Candidate]]-SamplingData[[#This Row],[Candidate 3]])/(SamplingData[[#Totals],[Winning Candidate]]-SamplingData[[#Totals],[Candidate 3]]), 0)</f>
        <v>1.1936639029583509E-3</v>
      </c>
      <c r="M889" s="100">
        <f>IF(AND(SamplingData[[#This Row],[Total]]&lt;&gt; 0, NOT(ISBLANK(SamplingData[[#This Row],[Candidate 4]]))),(SamplingData[[#This Row],[Total]]+SamplingData[[#This Row],[Winning Candidate]]-SamplingData[[#This Row],[Candidate 4]])/(SamplingData[[#Totals],[Winning Candidate]]-SamplingData[[#Totals],[Candidate 4]]), 0)</f>
        <v>1.1985150106697067E-3</v>
      </c>
      <c r="N889" s="100">
        <f>IF(AND(SamplingData[[#This Row],[Total]]&lt;&gt; 0, NOT(ISBLANK(SamplingData[[#This Row],[Candidate 5]]))),(SamplingData[[#This Row],[Total]]+SamplingData[[#This Row],[Winning Candidate]]-SamplingData[[#This Row],[Candidate 5]])/(SamplingData[[#Totals],[Winning Candidate]]-SamplingData[[#Totals],[Candidate 5]]), 0)</f>
        <v>1.1919241060569204E-3</v>
      </c>
      <c r="O889" s="100">
        <f>IF(AND(SamplingData[[#This Row],[Total]]&lt;&gt; 0, NOT(ISBLANK(SamplingData[[#This Row],[Candidate 6]]))),(SamplingData[[#This Row],[Total]]+SamplingData[[#This Row],[Winning Candidate]]-SamplingData[[#This Row],[Candidate 6]])/(SamplingData[[#Totals],[Winning Candidate]]-SamplingData[[#Totals],[Candidate 6]]), 0)</f>
        <v>1.1915762852001363E-3</v>
      </c>
      <c r="P889" s="100">
        <f>MAX(SamplingData[[#This Row],[Error Bound (up) - Max. possible relative overstatement - Losing Candidate]:[Error Bound (up) - Max. possible relative overstatement - Candidate 6]])</f>
        <v>2.5722684958353749E-3</v>
      </c>
      <c r="Q889" s="100">
        <f>IF(SamplingData[[#This Row],[Max Error Bound (up)]] = 0,0,SamplingData[[#This Row],[Max Error Bound (up)]]/SamplingData[[#Totals],[Max Error Bound (up)]])</f>
        <v>4.0710382769472496E-4</v>
      </c>
      <c r="R889" s="101">
        <f>SUM($Q$5:Q889)</f>
        <v>0.22491521884155735</v>
      </c>
      <c r="S889" s="100" t="str">
        <f t="array" ref="S889">IF(SamplingData[[#This Row],[up/U Selection Probability]] = 0, "Zero", TEXT(SamplingData[[#This Row],[Lower Range]], REPT("0",LEN('General Info'!$B$40))) &amp; " - " &amp; TEXT(SamplingData[[#This Row],[Upper Range]], REPT("0",LEN('General Info'!$B$40))))</f>
        <v>22451 - 22491</v>
      </c>
      <c r="T889" s="100">
        <f>SamplingData[[#This Row],[Upper Range]]-SamplingData[[#This Row],[Span]]</f>
        <v>22450.81190849009</v>
      </c>
      <c r="U889" s="100">
        <f>IF(ISNUMBER('General Info'!$B$40), ((SamplingData[[#This Row],[up/U Selection Probability]]) * 'General Info'!$B$40) - 1, 0)</f>
        <v>39.709975665644798</v>
      </c>
      <c r="V889" s="100">
        <f>IF(ISNUMBER('General Info'!$B$40), (SamplingData[[#This Row],[Running (cumulative) sum]] * ('General Info'!$B$40 -'General Info'!$B$41 + 1)) + 'General Info'!$B$41 - 1, 0)</f>
        <v>22490.521884155736</v>
      </c>
      <c r="W889" s="100" t="str">
        <f>IF(ISERROR(MATCH(SamplingData[[#This Row],[Batch by Type (p)]],SelectedPrecincts[Batch Name], 0)), "", INDEX(SelectedPrecincts[Draw], MATCH(SamplingData[[#This Row],[Batch by Type (p)]],SelectedPrecincts[Batch Name], 0)))</f>
        <v/>
      </c>
      <c r="X889" s="102">
        <f>IF(COUNTIF(SelectedPrecincts[Batch Name],SamplingData[[#This Row],[Batch by Type (p)]]) &lt;&gt; 0, COUNTIF(SelectedPrecincts[Batch Name],SamplingData[[#This Row],[Batch by Type (p)]]), 0)</f>
        <v>0</v>
      </c>
    </row>
    <row r="890" spans="1:24" ht="15" customHeight="1">
      <c r="A890" s="18" t="s">
        <v>1066</v>
      </c>
      <c r="B890" s="18">
        <v>1</v>
      </c>
      <c r="C890" s="18">
        <v>7</v>
      </c>
      <c r="D890" s="18">
        <v>0</v>
      </c>
      <c r="E890" s="18">
        <v>0</v>
      </c>
      <c r="F890" s="18">
        <v>0</v>
      </c>
      <c r="G890" s="18">
        <v>0</v>
      </c>
      <c r="H890" s="18">
        <v>0</v>
      </c>
      <c r="I890" s="18">
        <v>0</v>
      </c>
      <c r="J890" s="99">
        <f>SUM(SamplingData[[#This Row],[Losing Candidate]:[Under Votes]])</f>
        <v>8</v>
      </c>
      <c r="K890"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890" s="100">
        <f>IF(AND(SamplingData[[#This Row],[Total]]&lt;&gt; 0, NOT(ISBLANK(SamplingData[[#This Row],[Candidate 3]]))),(SamplingData[[#This Row],[Total]]+SamplingData[[#This Row],[Winning Candidate]]-SamplingData[[#This Row],[Candidate 3]])/(SamplingData[[#Totals],[Winning Candidate]]-SamplingData[[#Totals],[Candidate 3]]), 0)</f>
        <v>4.8391779849662873E-4</v>
      </c>
      <c r="M890" s="100">
        <f>IF(AND(SamplingData[[#This Row],[Total]]&lt;&gt; 0, NOT(ISBLANK(SamplingData[[#This Row],[Candidate 4]]))),(SamplingData[[#This Row],[Total]]+SamplingData[[#This Row],[Winning Candidate]]-SamplingData[[#This Row],[Candidate 4]])/(SamplingData[[#Totals],[Winning Candidate]]-SamplingData[[#Totals],[Candidate 4]]), 0)</f>
        <v>4.3848110146452689E-4</v>
      </c>
      <c r="N890" s="100">
        <f>IF(AND(SamplingData[[#This Row],[Total]]&lt;&gt; 0, NOT(ISBLANK(SamplingData[[#This Row],[Candidate 5]]))),(SamplingData[[#This Row],[Total]]+SamplingData[[#This Row],[Winning Candidate]]-SamplingData[[#This Row],[Candidate 5]])/(SamplingData[[#Totals],[Winning Candidate]]-SamplingData[[#Totals],[Candidate 5]]), 0)</f>
        <v>3.6487472634395525E-4</v>
      </c>
      <c r="O890" s="100">
        <f>IF(AND(SamplingData[[#This Row],[Total]]&lt;&gt; 0, NOT(ISBLANK(SamplingData[[#This Row],[Candidate 6]]))),(SamplingData[[#This Row],[Total]]+SamplingData[[#This Row],[Winning Candidate]]-SamplingData[[#This Row],[Candidate 6]])/(SamplingData[[#Totals],[Winning Candidate]]-SamplingData[[#Totals],[Candidate 6]]), 0)</f>
        <v>3.6476825057147027E-4</v>
      </c>
      <c r="P890" s="100">
        <f>MAX(SamplingData[[#This Row],[Error Bound (up) - Max. possible relative overstatement - Losing Candidate]:[Error Bound (up) - Max. possible relative overstatement - Candidate 6]])</f>
        <v>8.5742283194512492E-4</v>
      </c>
      <c r="Q890" s="100">
        <f>IF(SamplingData[[#This Row],[Max Error Bound (up)]] = 0,0,SamplingData[[#This Row],[Max Error Bound (up)]]/SamplingData[[#Totals],[Max Error Bound (up)]])</f>
        <v>1.3570127589824165E-4</v>
      </c>
      <c r="R890" s="101">
        <f>SUM($Q$5:Q890)</f>
        <v>0.22505092011745559</v>
      </c>
      <c r="S890" s="100" t="str">
        <f t="array" ref="S890">IF(SamplingData[[#This Row],[up/U Selection Probability]] = 0, "Zero", TEXT(SamplingData[[#This Row],[Lower Range]], REPT("0",LEN('General Info'!$B$40))) &amp; " - " &amp; TEXT(SamplingData[[#This Row],[Upper Range]], REPT("0",LEN('General Info'!$B$40))))</f>
        <v>22492 - 22504</v>
      </c>
      <c r="T890" s="100">
        <f>SamplingData[[#This Row],[Upper Range]]-SamplingData[[#This Row],[Span]]</f>
        <v>22491.52201985701</v>
      </c>
      <c r="U890" s="100">
        <f>IF(ISNUMBER('General Info'!$B$40), ((SamplingData[[#This Row],[up/U Selection Probability]]) * 'General Info'!$B$40) - 1, 0)</f>
        <v>12.569991888548268</v>
      </c>
      <c r="V890" s="100">
        <f>IF(ISNUMBER('General Info'!$B$40), (SamplingData[[#This Row],[Running (cumulative) sum]] * ('General Info'!$B$40 -'General Info'!$B$41 + 1)) + 'General Info'!$B$41 - 1, 0)</f>
        <v>22504.092011745557</v>
      </c>
      <c r="W890" s="100" t="str">
        <f>IF(ISERROR(MATCH(SamplingData[[#This Row],[Batch by Type (p)]],SelectedPrecincts[Batch Name], 0)), "", INDEX(SelectedPrecincts[Draw], MATCH(SamplingData[[#This Row],[Batch by Type (p)]],SelectedPrecincts[Batch Name], 0)))</f>
        <v/>
      </c>
      <c r="X890" s="102">
        <f>IF(COUNTIF(SelectedPrecincts[Batch Name],SamplingData[[#This Row],[Batch by Type (p)]]) &lt;&gt; 0, COUNTIF(SelectedPrecincts[Batch Name],SamplingData[[#This Row],[Batch by Type (p)]]), 0)</f>
        <v>0</v>
      </c>
    </row>
    <row r="891" spans="1:24" ht="15" customHeight="1">
      <c r="A891" s="18" t="s">
        <v>1067</v>
      </c>
      <c r="B891" s="18">
        <v>5</v>
      </c>
      <c r="C891" s="18">
        <v>6</v>
      </c>
      <c r="D891" s="16">
        <v>5</v>
      </c>
      <c r="E891" s="16">
        <v>4</v>
      </c>
      <c r="F891" s="37">
        <v>0</v>
      </c>
      <c r="G891" s="37">
        <v>1</v>
      </c>
      <c r="H891" s="17">
        <v>0</v>
      </c>
      <c r="I891" s="17">
        <v>1</v>
      </c>
      <c r="J891" s="99">
        <f>SUM(SamplingData[[#This Row],[Losing Candidate]:[Under Votes]])</f>
        <v>22</v>
      </c>
      <c r="K891"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891" s="100">
        <f>IF(AND(SamplingData[[#This Row],[Total]]&lt;&gt; 0, NOT(ISBLANK(SamplingData[[#This Row],[Candidate 3]]))),(SamplingData[[#This Row],[Total]]+SamplingData[[#This Row],[Winning Candidate]]-SamplingData[[#This Row],[Candidate 3]])/(SamplingData[[#Totals],[Winning Candidate]]-SamplingData[[#Totals],[Candidate 3]]), 0)</f>
        <v>7.4200729102816406E-4</v>
      </c>
      <c r="M891" s="100">
        <f>IF(AND(SamplingData[[#This Row],[Total]]&lt;&gt; 0, NOT(ISBLANK(SamplingData[[#This Row],[Candidate 4]]))),(SamplingData[[#This Row],[Total]]+SamplingData[[#This Row],[Winning Candidate]]-SamplingData[[#This Row],[Candidate 4]])/(SamplingData[[#Totals],[Winning Candidate]]-SamplingData[[#Totals],[Candidate 4]]), 0)</f>
        <v>7.0156976234324298E-4</v>
      </c>
      <c r="N891" s="100">
        <f>IF(AND(SamplingData[[#This Row],[Total]]&lt;&gt; 0, NOT(ISBLANK(SamplingData[[#This Row],[Candidate 5]]))),(SamplingData[[#This Row],[Total]]+SamplingData[[#This Row],[Winning Candidate]]-SamplingData[[#This Row],[Candidate 5]])/(SamplingData[[#Totals],[Winning Candidate]]-SamplingData[[#Totals],[Candidate 5]]), 0)</f>
        <v>6.8109948917538315E-4</v>
      </c>
      <c r="O891" s="100">
        <f>IF(AND(SamplingData[[#This Row],[Total]]&lt;&gt; 0, NOT(ISBLANK(SamplingData[[#This Row],[Candidate 6]]))),(SamplingData[[#This Row],[Total]]+SamplingData[[#This Row],[Winning Candidate]]-SamplingData[[#This Row],[Candidate 6]])/(SamplingData[[#Totals],[Winning Candidate]]-SamplingData[[#Totals],[Candidate 6]]), 0)</f>
        <v>6.5658285102864649E-4</v>
      </c>
      <c r="P891" s="100">
        <f>MAX(SamplingData[[#This Row],[Error Bound (up) - Max. possible relative overstatement - Losing Candidate]:[Error Bound (up) - Max. possible relative overstatement - Candidate 6]])</f>
        <v>1.408623223909848E-3</v>
      </c>
      <c r="Q891" s="100">
        <f>IF(SamplingData[[#This Row],[Max Error Bound (up)]] = 0,0,SamplingData[[#This Row],[Max Error Bound (up)]]/SamplingData[[#Totals],[Max Error Bound (up)]])</f>
        <v>2.229378104042541E-4</v>
      </c>
      <c r="R891" s="101">
        <f>SUM($Q$5:Q891)</f>
        <v>0.22527385792785984</v>
      </c>
      <c r="S891" s="100" t="str">
        <f t="array" ref="S891">IF(SamplingData[[#This Row],[up/U Selection Probability]] = 0, "Zero", TEXT(SamplingData[[#This Row],[Lower Range]], REPT("0",LEN('General Info'!$B$40))) &amp; " - " &amp; TEXT(SamplingData[[#This Row],[Upper Range]], REPT("0",LEN('General Info'!$B$40))))</f>
        <v>22505 - 22526</v>
      </c>
      <c r="T891" s="100">
        <f>SamplingData[[#This Row],[Upper Range]]-SamplingData[[#This Row],[Span]]</f>
        <v>22505.092234683369</v>
      </c>
      <c r="U891" s="100">
        <f>IF(ISNUMBER('General Info'!$B$40), ((SamplingData[[#This Row],[up/U Selection Probability]]) * 'General Info'!$B$40) - 1, 0)</f>
        <v>21.293558102615005</v>
      </c>
      <c r="V891" s="100">
        <f>IF(ISNUMBER('General Info'!$B$40), (SamplingData[[#This Row],[Running (cumulative) sum]] * ('General Info'!$B$40 -'General Info'!$B$41 + 1)) + 'General Info'!$B$41 - 1, 0)</f>
        <v>22526.385792785983</v>
      </c>
      <c r="W891" s="100" t="str">
        <f>IF(ISERROR(MATCH(SamplingData[[#This Row],[Batch by Type (p)]],SelectedPrecincts[Batch Name], 0)), "", INDEX(SelectedPrecincts[Draw], MATCH(SamplingData[[#This Row],[Batch by Type (p)]],SelectedPrecincts[Batch Name], 0)))</f>
        <v/>
      </c>
      <c r="X891" s="102">
        <f>IF(COUNTIF(SelectedPrecincts[Batch Name],SamplingData[[#This Row],[Batch by Type (p)]]) &lt;&gt; 0, COUNTIF(SelectedPrecincts[Batch Name],SamplingData[[#This Row],[Batch by Type (p)]]), 0)</f>
        <v>0</v>
      </c>
    </row>
    <row r="892" spans="1:24" ht="15" customHeight="1">
      <c r="A892" s="18" t="s">
        <v>1068</v>
      </c>
      <c r="B892" s="18">
        <v>3</v>
      </c>
      <c r="C892" s="18">
        <v>2</v>
      </c>
      <c r="D892" s="18">
        <v>2</v>
      </c>
      <c r="E892" s="18">
        <v>2</v>
      </c>
      <c r="F892" s="18">
        <v>0</v>
      </c>
      <c r="G892" s="18">
        <v>0</v>
      </c>
      <c r="H892" s="18">
        <v>0</v>
      </c>
      <c r="I892" s="18">
        <v>0</v>
      </c>
      <c r="J892" s="99">
        <f>SUM(SamplingData[[#This Row],[Losing Candidate]:[Under Votes]])</f>
        <v>9</v>
      </c>
      <c r="K892"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892" s="100">
        <f>IF(AND(SamplingData[[#This Row],[Total]]&lt;&gt; 0, NOT(ISBLANK(SamplingData[[#This Row],[Candidate 3]]))),(SamplingData[[#This Row],[Total]]+SamplingData[[#This Row],[Winning Candidate]]-SamplingData[[#This Row],[Candidate 3]])/(SamplingData[[#Totals],[Winning Candidate]]-SamplingData[[#Totals],[Candidate 3]]), 0)</f>
        <v>2.9035067909797722E-4</v>
      </c>
      <c r="M892" s="100">
        <f>IF(AND(SamplingData[[#This Row],[Total]]&lt;&gt; 0, NOT(ISBLANK(SamplingData[[#This Row],[Candidate 4]]))),(SamplingData[[#This Row],[Total]]+SamplingData[[#This Row],[Winning Candidate]]-SamplingData[[#This Row],[Candidate 4]])/(SamplingData[[#Totals],[Winning Candidate]]-SamplingData[[#Totals],[Candidate 4]]), 0)</f>
        <v>2.6308866087871614E-4</v>
      </c>
      <c r="N892" s="100">
        <f>IF(AND(SamplingData[[#This Row],[Total]]&lt;&gt; 0, NOT(ISBLANK(SamplingData[[#This Row],[Candidate 5]]))),(SamplingData[[#This Row],[Total]]+SamplingData[[#This Row],[Winning Candidate]]-SamplingData[[#This Row],[Candidate 5]])/(SamplingData[[#Totals],[Winning Candidate]]-SamplingData[[#Totals],[Candidate 5]]), 0)</f>
        <v>2.6757479931890053E-4</v>
      </c>
      <c r="O892" s="100">
        <f>IF(AND(SamplingData[[#This Row],[Total]]&lt;&gt; 0, NOT(ISBLANK(SamplingData[[#This Row],[Candidate 6]]))),(SamplingData[[#This Row],[Total]]+SamplingData[[#This Row],[Winning Candidate]]-SamplingData[[#This Row],[Candidate 6]])/(SamplingData[[#Totals],[Winning Candidate]]-SamplingData[[#Totals],[Candidate 6]]), 0)</f>
        <v>2.6749671708574483E-4</v>
      </c>
      <c r="P892" s="100">
        <f>MAX(SamplingData[[#This Row],[Error Bound (up) - Max. possible relative overstatement - Losing Candidate]:[Error Bound (up) - Max. possible relative overstatement - Candidate 6]])</f>
        <v>4.8995590396864281E-4</v>
      </c>
      <c r="Q892" s="100">
        <f>IF(SamplingData[[#This Row],[Max Error Bound (up)]] = 0,0,SamplingData[[#This Row],[Max Error Bound (up)]]/SamplingData[[#Totals],[Max Error Bound (up)]])</f>
        <v>7.7543586227566652E-5</v>
      </c>
      <c r="R892" s="101">
        <f>SUM($Q$5:Q892)</f>
        <v>0.22535140151408742</v>
      </c>
      <c r="S892" s="100" t="str">
        <f t="array" ref="S892">IF(SamplingData[[#This Row],[up/U Selection Probability]] = 0, "Zero", TEXT(SamplingData[[#This Row],[Lower Range]], REPT("0",LEN('General Info'!$B$40))) &amp; " - " &amp; TEXT(SamplingData[[#This Row],[Upper Range]], REPT("0",LEN('General Info'!$B$40))))</f>
        <v>22527 - 22534</v>
      </c>
      <c r="T892" s="100">
        <f>SamplingData[[#This Row],[Upper Range]]-SamplingData[[#This Row],[Span]]</f>
        <v>22527.38587032957</v>
      </c>
      <c r="U892" s="100">
        <f>IF(ISNUMBER('General Info'!$B$40), ((SamplingData[[#This Row],[up/U Selection Probability]]) * 'General Info'!$B$40) - 1, 0)</f>
        <v>6.754281079170438</v>
      </c>
      <c r="V892" s="100">
        <f>IF(ISNUMBER('General Info'!$B$40), (SamplingData[[#This Row],[Running (cumulative) sum]] * ('General Info'!$B$40 -'General Info'!$B$41 + 1)) + 'General Info'!$B$41 - 1, 0)</f>
        <v>22534.140151408741</v>
      </c>
      <c r="W892" s="100" t="str">
        <f>IF(ISERROR(MATCH(SamplingData[[#This Row],[Batch by Type (p)]],SelectedPrecincts[Batch Name], 0)), "", INDEX(SelectedPrecincts[Draw], MATCH(SamplingData[[#This Row],[Batch by Type (p)]],SelectedPrecincts[Batch Name], 0)))</f>
        <v/>
      </c>
      <c r="X892" s="102">
        <f>IF(COUNTIF(SelectedPrecincts[Batch Name],SamplingData[[#This Row],[Batch by Type (p)]]) &lt;&gt; 0, COUNTIF(SelectedPrecincts[Batch Name],SamplingData[[#This Row],[Batch by Type (p)]]), 0)</f>
        <v>0</v>
      </c>
    </row>
    <row r="893" spans="1:24" ht="15" customHeight="1">
      <c r="A893" s="18" t="s">
        <v>1069</v>
      </c>
      <c r="B893" s="18">
        <v>11</v>
      </c>
      <c r="C893" s="18">
        <v>13</v>
      </c>
      <c r="D893" s="16">
        <v>4</v>
      </c>
      <c r="E893" s="16">
        <v>3</v>
      </c>
      <c r="F893" s="37">
        <v>0</v>
      </c>
      <c r="G893" s="37">
        <v>0</v>
      </c>
      <c r="H893" s="17">
        <v>0</v>
      </c>
      <c r="I893" s="17">
        <v>0</v>
      </c>
      <c r="J893" s="99">
        <f>SUM(SamplingData[[#This Row],[Losing Candidate]:[Under Votes]])</f>
        <v>31</v>
      </c>
      <c r="K893" s="100">
        <f>IF(AND(SamplingData[[#This Row],[Total]]&lt;&gt; 0, NOT(ISBLANK(SamplingData[[#This Row],[Losing Candidate]]))),(SamplingData[[#This Row],[Total]]+SamplingData[[#This Row],[Winning Candidate]]-SamplingData[[#This Row],[Losing Candidate]])/(SamplingData[[#Totals],[Winning Candidate]]-SamplingData[[#Totals],[Losing Candidate]]), 0)</f>
        <v>2.0210681038706517E-3</v>
      </c>
      <c r="L893" s="100">
        <f>IF(AND(SamplingData[[#This Row],[Total]]&lt;&gt; 0, NOT(ISBLANK(SamplingData[[#This Row],[Candidate 3]]))),(SamplingData[[#This Row],[Total]]+SamplingData[[#This Row],[Winning Candidate]]-SamplingData[[#This Row],[Candidate 3]])/(SamplingData[[#Totals],[Winning Candidate]]-SamplingData[[#Totals],[Candidate 3]]), 0)</f>
        <v>1.2904474626576766E-3</v>
      </c>
      <c r="M893" s="100">
        <f>IF(AND(SamplingData[[#This Row],[Total]]&lt;&gt; 0, NOT(ISBLANK(SamplingData[[#This Row],[Candidate 4]]))),(SamplingData[[#This Row],[Total]]+SamplingData[[#This Row],[Winning Candidate]]-SamplingData[[#This Row],[Candidate 4]])/(SamplingData[[#Totals],[Winning Candidate]]-SamplingData[[#Totals],[Candidate 4]]), 0)</f>
        <v>1.1985150106697067E-3</v>
      </c>
      <c r="N893" s="100">
        <f>IF(AND(SamplingData[[#This Row],[Total]]&lt;&gt; 0, NOT(ISBLANK(SamplingData[[#This Row],[Candidate 5]]))),(SamplingData[[#This Row],[Total]]+SamplingData[[#This Row],[Winning Candidate]]-SamplingData[[#This Row],[Candidate 5]])/(SamplingData[[#Totals],[Winning Candidate]]-SamplingData[[#Totals],[Candidate 5]]), 0)</f>
        <v>1.0702991972756021E-3</v>
      </c>
      <c r="O893" s="100">
        <f>IF(AND(SamplingData[[#This Row],[Total]]&lt;&gt; 0, NOT(ISBLANK(SamplingData[[#This Row],[Candidate 6]]))),(SamplingData[[#This Row],[Total]]+SamplingData[[#This Row],[Winning Candidate]]-SamplingData[[#This Row],[Candidate 6]])/(SamplingData[[#Totals],[Winning Candidate]]-SamplingData[[#Totals],[Candidate 6]]), 0)</f>
        <v>1.0699868683429793E-3</v>
      </c>
      <c r="P893" s="100">
        <f>MAX(SamplingData[[#This Row],[Error Bound (up) - Max. possible relative overstatement - Losing Candidate]:[Error Bound (up) - Max. possible relative overstatement - Candidate 6]])</f>
        <v>2.0210681038706517E-3</v>
      </c>
      <c r="Q893" s="100">
        <f>IF(SamplingData[[#This Row],[Max Error Bound (up)]] = 0,0,SamplingData[[#This Row],[Max Error Bound (up)]]/SamplingData[[#Totals],[Max Error Bound (up)]])</f>
        <v>3.1986729318871245E-4</v>
      </c>
      <c r="R893" s="101">
        <f>SUM($Q$5:Q893)</f>
        <v>0.22567126880727614</v>
      </c>
      <c r="S893" s="100" t="str">
        <f t="array" ref="S893">IF(SamplingData[[#This Row],[up/U Selection Probability]] = 0, "Zero", TEXT(SamplingData[[#This Row],[Lower Range]], REPT("0",LEN('General Info'!$B$40))) &amp; " - " &amp; TEXT(SamplingData[[#This Row],[Upper Range]], REPT("0",LEN('General Info'!$B$40))))</f>
        <v>22535 - 22566</v>
      </c>
      <c r="T893" s="100">
        <f>SamplingData[[#This Row],[Upper Range]]-SamplingData[[#This Row],[Span]]</f>
        <v>22535.140471276034</v>
      </c>
      <c r="U893" s="100">
        <f>IF(ISNUMBER('General Info'!$B$40), ((SamplingData[[#This Row],[up/U Selection Probability]]) * 'General Info'!$B$40) - 1, 0)</f>
        <v>30.986409451578055</v>
      </c>
      <c r="V893" s="100">
        <f>IF(ISNUMBER('General Info'!$B$40), (SamplingData[[#This Row],[Running (cumulative) sum]] * ('General Info'!$B$40 -'General Info'!$B$41 + 1)) + 'General Info'!$B$41 - 1, 0)</f>
        <v>22566.126880727614</v>
      </c>
      <c r="W893" s="100" t="str">
        <f>IF(ISERROR(MATCH(SamplingData[[#This Row],[Batch by Type (p)]],SelectedPrecincts[Batch Name], 0)), "", INDEX(SelectedPrecincts[Draw], MATCH(SamplingData[[#This Row],[Batch by Type (p)]],SelectedPrecincts[Batch Name], 0)))</f>
        <v/>
      </c>
      <c r="X893" s="102">
        <f>IF(COUNTIF(SelectedPrecincts[Batch Name],SamplingData[[#This Row],[Batch by Type (p)]]) &lt;&gt; 0, COUNTIF(SelectedPrecincts[Batch Name],SamplingData[[#This Row],[Batch by Type (p)]]), 0)</f>
        <v>0</v>
      </c>
    </row>
    <row r="894" spans="1:24" ht="15" customHeight="1">
      <c r="A894" s="18" t="s">
        <v>1070</v>
      </c>
      <c r="B894" s="18">
        <v>9</v>
      </c>
      <c r="C894" s="18">
        <v>2</v>
      </c>
      <c r="D894" s="18">
        <v>2</v>
      </c>
      <c r="E894" s="18">
        <v>0</v>
      </c>
      <c r="F894" s="18">
        <v>0</v>
      </c>
      <c r="G894" s="18">
        <v>1</v>
      </c>
      <c r="H894" s="18">
        <v>0</v>
      </c>
      <c r="I894" s="18">
        <v>0</v>
      </c>
      <c r="J894" s="99">
        <f>SUM(SamplingData[[#This Row],[Losing Candidate]:[Under Votes]])</f>
        <v>14</v>
      </c>
      <c r="K894"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894" s="100">
        <f>IF(AND(SamplingData[[#This Row],[Total]]&lt;&gt; 0, NOT(ISBLANK(SamplingData[[#This Row],[Candidate 3]]))),(SamplingData[[#This Row],[Total]]+SamplingData[[#This Row],[Winning Candidate]]-SamplingData[[#This Row],[Candidate 3]])/(SamplingData[[#Totals],[Winning Candidate]]-SamplingData[[#Totals],[Candidate 3]]), 0)</f>
        <v>4.5165661193018679E-4</v>
      </c>
      <c r="M894" s="100">
        <f>IF(AND(SamplingData[[#This Row],[Total]]&lt;&gt; 0, NOT(ISBLANK(SamplingData[[#This Row],[Candidate 4]]))),(SamplingData[[#This Row],[Total]]+SamplingData[[#This Row],[Winning Candidate]]-SamplingData[[#This Row],[Candidate 4]])/(SamplingData[[#Totals],[Winning Candidate]]-SamplingData[[#Totals],[Candidate 4]]), 0)</f>
        <v>4.6771317489549536E-4</v>
      </c>
      <c r="N894" s="100">
        <f>IF(AND(SamplingData[[#This Row],[Total]]&lt;&gt; 0, NOT(ISBLANK(SamplingData[[#This Row],[Candidate 5]]))),(SamplingData[[#This Row],[Total]]+SamplingData[[#This Row],[Winning Candidate]]-SamplingData[[#This Row],[Candidate 5]])/(SamplingData[[#Totals],[Winning Candidate]]-SamplingData[[#Totals],[Candidate 5]]), 0)</f>
        <v>3.8919970810021893E-4</v>
      </c>
      <c r="O894" s="100">
        <f>IF(AND(SamplingData[[#This Row],[Total]]&lt;&gt; 0, NOT(ISBLANK(SamplingData[[#This Row],[Candidate 6]]))),(SamplingData[[#This Row],[Total]]+SamplingData[[#This Row],[Winning Candidate]]-SamplingData[[#This Row],[Candidate 6]])/(SamplingData[[#Totals],[Winning Candidate]]-SamplingData[[#Totals],[Candidate 6]]), 0)</f>
        <v>3.6476825057147027E-4</v>
      </c>
      <c r="P894" s="100">
        <f>MAX(SamplingData[[#This Row],[Error Bound (up) - Max. possible relative overstatement - Losing Candidate]:[Error Bound (up) - Max. possible relative overstatement - Candidate 6]])</f>
        <v>4.6771317489549536E-4</v>
      </c>
      <c r="Q894" s="100">
        <f>IF(SamplingData[[#This Row],[Max Error Bound (up)]] = 0,0,SamplingData[[#This Row],[Max Error Bound (up)]]/SamplingData[[#Totals],[Max Error Bound (up)]])</f>
        <v>7.4023308247754001E-5</v>
      </c>
      <c r="R894" s="101">
        <f>SUM($Q$5:Q894)</f>
        <v>0.22574529211552391</v>
      </c>
      <c r="S894" s="100" t="str">
        <f t="array" ref="S894">IF(SamplingData[[#This Row],[up/U Selection Probability]] = 0, "Zero", TEXT(SamplingData[[#This Row],[Lower Range]], REPT("0",LEN('General Info'!$B$40))) &amp; " - " &amp; TEXT(SamplingData[[#This Row],[Upper Range]], REPT("0",LEN('General Info'!$B$40))))</f>
        <v>22567 - 22574</v>
      </c>
      <c r="T894" s="100">
        <f>SamplingData[[#This Row],[Upper Range]]-SamplingData[[#This Row],[Span]]</f>
        <v>22567.126954750926</v>
      </c>
      <c r="U894" s="100">
        <f>IF(ISNUMBER('General Info'!$B$40), ((SamplingData[[#This Row],[up/U Selection Probability]]) * 'General Info'!$B$40) - 1, 0)</f>
        <v>6.4022568014671526</v>
      </c>
      <c r="V894" s="100">
        <f>IF(ISNUMBER('General Info'!$B$40), (SamplingData[[#This Row],[Running (cumulative) sum]] * ('General Info'!$B$40 -'General Info'!$B$41 + 1)) + 'General Info'!$B$41 - 1, 0)</f>
        <v>22573.529211552392</v>
      </c>
      <c r="W894" s="100" t="str">
        <f>IF(ISERROR(MATCH(SamplingData[[#This Row],[Batch by Type (p)]],SelectedPrecincts[Batch Name], 0)), "", INDEX(SelectedPrecincts[Draw], MATCH(SamplingData[[#This Row],[Batch by Type (p)]],SelectedPrecincts[Batch Name], 0)))</f>
        <v/>
      </c>
      <c r="X894" s="102">
        <f>IF(COUNTIF(SelectedPrecincts[Batch Name],SamplingData[[#This Row],[Batch by Type (p)]]) &lt;&gt; 0, COUNTIF(SelectedPrecincts[Batch Name],SamplingData[[#This Row],[Batch by Type (p)]]), 0)</f>
        <v>0</v>
      </c>
    </row>
    <row r="895" spans="1:24" ht="15" customHeight="1">
      <c r="A895" s="18" t="s">
        <v>1071</v>
      </c>
      <c r="B895" s="18">
        <v>12</v>
      </c>
      <c r="C895" s="18">
        <v>20</v>
      </c>
      <c r="D895" s="16">
        <v>8</v>
      </c>
      <c r="E895" s="16">
        <v>5</v>
      </c>
      <c r="F895" s="37">
        <v>0</v>
      </c>
      <c r="G895" s="37">
        <v>0</v>
      </c>
      <c r="H895" s="17">
        <v>0</v>
      </c>
      <c r="I895" s="17">
        <v>0</v>
      </c>
      <c r="J895" s="99">
        <f>SUM(SamplingData[[#This Row],[Losing Candidate]:[Under Votes]])</f>
        <v>45</v>
      </c>
      <c r="K895" s="100">
        <f>IF(AND(SamplingData[[#This Row],[Total]]&lt;&gt; 0, NOT(ISBLANK(SamplingData[[#This Row],[Losing Candidate]]))),(SamplingData[[#This Row],[Total]]+SamplingData[[#This Row],[Winning Candidate]]-SamplingData[[#This Row],[Losing Candidate]])/(SamplingData[[#Totals],[Winning Candidate]]-SamplingData[[#Totals],[Losing Candidate]]), 0)</f>
        <v>3.2459578637922589E-3</v>
      </c>
      <c r="L895" s="100">
        <f>IF(AND(SamplingData[[#This Row],[Total]]&lt;&gt; 0, NOT(ISBLANK(SamplingData[[#This Row],[Candidate 3]]))),(SamplingData[[#This Row],[Total]]+SamplingData[[#This Row],[Winning Candidate]]-SamplingData[[#This Row],[Candidate 3]])/(SamplingData[[#Totals],[Winning Candidate]]-SamplingData[[#Totals],[Candidate 3]]), 0)</f>
        <v>1.8388876342871892E-3</v>
      </c>
      <c r="M895" s="100">
        <f>IF(AND(SamplingData[[#This Row],[Total]]&lt;&gt; 0, NOT(ISBLANK(SamplingData[[#This Row],[Candidate 4]]))),(SamplingData[[#This Row],[Total]]+SamplingData[[#This Row],[Winning Candidate]]-SamplingData[[#This Row],[Candidate 4]])/(SamplingData[[#Totals],[Winning Candidate]]-SamplingData[[#Totals],[Candidate 4]]), 0)</f>
        <v>1.7539244058581076E-3</v>
      </c>
      <c r="N895" s="100">
        <f>IF(AND(SamplingData[[#This Row],[Total]]&lt;&gt; 0, NOT(ISBLANK(SamplingData[[#This Row],[Candidate 5]]))),(SamplingData[[#This Row],[Total]]+SamplingData[[#This Row],[Winning Candidate]]-SamplingData[[#This Row],[Candidate 5]])/(SamplingData[[#Totals],[Winning Candidate]]-SamplingData[[#Totals],[Candidate 5]]), 0)</f>
        <v>1.5811238141571393E-3</v>
      </c>
      <c r="O895" s="100">
        <f>IF(AND(SamplingData[[#This Row],[Total]]&lt;&gt; 0, NOT(ISBLANK(SamplingData[[#This Row],[Candidate 6]]))),(SamplingData[[#This Row],[Total]]+SamplingData[[#This Row],[Winning Candidate]]-SamplingData[[#This Row],[Candidate 6]])/(SamplingData[[#Totals],[Winning Candidate]]-SamplingData[[#Totals],[Candidate 6]]), 0)</f>
        <v>1.5806624191430378E-3</v>
      </c>
      <c r="P895" s="100">
        <f>MAX(SamplingData[[#This Row],[Error Bound (up) - Max. possible relative overstatement - Losing Candidate]:[Error Bound (up) - Max. possible relative overstatement - Candidate 6]])</f>
        <v>3.2459578637922589E-3</v>
      </c>
      <c r="Q895" s="100">
        <f>IF(SamplingData[[#This Row],[Max Error Bound (up)]] = 0,0,SamplingData[[#This Row],[Max Error Bound (up)]]/SamplingData[[#Totals],[Max Error Bound (up)]])</f>
        <v>5.1372625875762909E-4</v>
      </c>
      <c r="R895" s="101">
        <f>SUM($Q$5:Q895)</f>
        <v>0.22625901837428153</v>
      </c>
      <c r="S895" s="100" t="str">
        <f t="array" ref="S895">IF(SamplingData[[#This Row],[up/U Selection Probability]] = 0, "Zero", TEXT(SamplingData[[#This Row],[Lower Range]], REPT("0",LEN('General Info'!$B$40))) &amp; " - " &amp; TEXT(SamplingData[[#This Row],[Upper Range]], REPT("0",LEN('General Info'!$B$40))))</f>
        <v>22575 - 22625</v>
      </c>
      <c r="T895" s="100">
        <f>SamplingData[[#This Row],[Upper Range]]-SamplingData[[#This Row],[Span]]</f>
        <v>22574.529725278648</v>
      </c>
      <c r="U895" s="100">
        <f>IF(ISNUMBER('General Info'!$B$40), ((SamplingData[[#This Row],[up/U Selection Probability]]) * 'General Info'!$B$40) - 1, 0)</f>
        <v>50.372112149504154</v>
      </c>
      <c r="V895" s="100">
        <f>IF(ISNUMBER('General Info'!$B$40), (SamplingData[[#This Row],[Running (cumulative) sum]] * ('General Info'!$B$40 -'General Info'!$B$41 + 1)) + 'General Info'!$B$41 - 1, 0)</f>
        <v>22624.901837428151</v>
      </c>
      <c r="W895" s="100" t="str">
        <f>IF(ISERROR(MATCH(SamplingData[[#This Row],[Batch by Type (p)]],SelectedPrecincts[Batch Name], 0)), "", INDEX(SelectedPrecincts[Draw], MATCH(SamplingData[[#This Row],[Batch by Type (p)]],SelectedPrecincts[Batch Name], 0)))</f>
        <v/>
      </c>
      <c r="X895" s="102">
        <f>IF(COUNTIF(SelectedPrecincts[Batch Name],SamplingData[[#This Row],[Batch by Type (p)]]) &lt;&gt; 0, COUNTIF(SelectedPrecincts[Batch Name],SamplingData[[#This Row],[Batch by Type (p)]]), 0)</f>
        <v>0</v>
      </c>
    </row>
    <row r="896" spans="1:24" ht="15" customHeight="1">
      <c r="A896" s="18" t="s">
        <v>1072</v>
      </c>
      <c r="B896" s="18">
        <v>6</v>
      </c>
      <c r="C896" s="18">
        <v>6</v>
      </c>
      <c r="D896" s="18">
        <v>0</v>
      </c>
      <c r="E896" s="18">
        <v>0</v>
      </c>
      <c r="F896" s="18">
        <v>0</v>
      </c>
      <c r="G896" s="18">
        <v>0</v>
      </c>
      <c r="H896" s="18">
        <v>0</v>
      </c>
      <c r="I896" s="18">
        <v>3</v>
      </c>
      <c r="J896" s="99">
        <f>SUM(SamplingData[[#This Row],[Losing Candidate]:[Under Votes]])</f>
        <v>15</v>
      </c>
      <c r="K896"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896" s="100">
        <f>IF(AND(SamplingData[[#This Row],[Total]]&lt;&gt; 0, NOT(ISBLANK(SamplingData[[#This Row],[Candidate 3]]))),(SamplingData[[#This Row],[Total]]+SamplingData[[#This Row],[Winning Candidate]]-SamplingData[[#This Row],[Candidate 3]])/(SamplingData[[#Totals],[Winning Candidate]]-SamplingData[[#Totals],[Candidate 3]]), 0)</f>
        <v>6.7748491789528019E-4</v>
      </c>
      <c r="M896" s="100">
        <f>IF(AND(SamplingData[[#This Row],[Total]]&lt;&gt; 0, NOT(ISBLANK(SamplingData[[#This Row],[Candidate 4]]))),(SamplingData[[#This Row],[Total]]+SamplingData[[#This Row],[Winning Candidate]]-SamplingData[[#This Row],[Candidate 4]])/(SamplingData[[#Totals],[Winning Candidate]]-SamplingData[[#Totals],[Candidate 4]]), 0)</f>
        <v>6.1387354205033758E-4</v>
      </c>
      <c r="N896" s="100">
        <f>IF(AND(SamplingData[[#This Row],[Total]]&lt;&gt; 0, NOT(ISBLANK(SamplingData[[#This Row],[Candidate 5]]))),(SamplingData[[#This Row],[Total]]+SamplingData[[#This Row],[Winning Candidate]]-SamplingData[[#This Row],[Candidate 5]])/(SamplingData[[#Totals],[Winning Candidate]]-SamplingData[[#Totals],[Candidate 5]]), 0)</f>
        <v>5.1082461688153739E-4</v>
      </c>
      <c r="O896" s="100">
        <f>IF(AND(SamplingData[[#This Row],[Total]]&lt;&gt; 0, NOT(ISBLANK(SamplingData[[#This Row],[Candidate 6]]))),(SamplingData[[#This Row],[Total]]+SamplingData[[#This Row],[Winning Candidate]]-SamplingData[[#This Row],[Candidate 6]])/(SamplingData[[#Totals],[Winning Candidate]]-SamplingData[[#Totals],[Candidate 6]]), 0)</f>
        <v>5.1067555080005838E-4</v>
      </c>
      <c r="P896" s="100">
        <f>MAX(SamplingData[[#This Row],[Error Bound (up) - Max. possible relative overstatement - Losing Candidate]:[Error Bound (up) - Max. possible relative overstatement - Candidate 6]])</f>
        <v>9.1866731994120533E-4</v>
      </c>
      <c r="Q896" s="100">
        <f>IF(SamplingData[[#This Row],[Max Error Bound (up)]] = 0,0,SamplingData[[#This Row],[Max Error Bound (up)]]/SamplingData[[#Totals],[Max Error Bound (up)]])</f>
        <v>1.4539422417668749E-4</v>
      </c>
      <c r="R896" s="101">
        <f>SUM($Q$5:Q896)</f>
        <v>0.22640441259845823</v>
      </c>
      <c r="S896" s="100" t="str">
        <f t="array" ref="S896">IF(SamplingData[[#This Row],[up/U Selection Probability]] = 0, "Zero", TEXT(SamplingData[[#This Row],[Lower Range]], REPT("0",LEN('General Info'!$B$40))) &amp; " - " &amp; TEXT(SamplingData[[#This Row],[Upper Range]], REPT("0",LEN('General Info'!$B$40))))</f>
        <v>22626 - 22639</v>
      </c>
      <c r="T896" s="100">
        <f>SamplingData[[#This Row],[Upper Range]]-SamplingData[[#This Row],[Span]]</f>
        <v>22625.901982822379</v>
      </c>
      <c r="U896" s="100">
        <f>IF(ISNUMBER('General Info'!$B$40), ((SamplingData[[#This Row],[up/U Selection Probability]]) * 'General Info'!$B$40) - 1, 0)</f>
        <v>13.539277023444573</v>
      </c>
      <c r="V896" s="100">
        <f>IF(ISNUMBER('General Info'!$B$40), (SamplingData[[#This Row],[Running (cumulative) sum]] * ('General Info'!$B$40 -'General Info'!$B$41 + 1)) + 'General Info'!$B$41 - 1, 0)</f>
        <v>22639.441259845822</v>
      </c>
      <c r="W896" s="100" t="str">
        <f>IF(ISERROR(MATCH(SamplingData[[#This Row],[Batch by Type (p)]],SelectedPrecincts[Batch Name], 0)), "", INDEX(SelectedPrecincts[Draw], MATCH(SamplingData[[#This Row],[Batch by Type (p)]],SelectedPrecincts[Batch Name], 0)))</f>
        <v/>
      </c>
      <c r="X896" s="102">
        <f>IF(COUNTIF(SelectedPrecincts[Batch Name],SamplingData[[#This Row],[Batch by Type (p)]]) &lt;&gt; 0, COUNTIF(SelectedPrecincts[Batch Name],SamplingData[[#This Row],[Batch by Type (p)]]), 0)</f>
        <v>0</v>
      </c>
    </row>
    <row r="897" spans="1:24" ht="15" customHeight="1">
      <c r="A897" s="18" t="s">
        <v>1073</v>
      </c>
      <c r="B897" s="18">
        <v>16</v>
      </c>
      <c r="C897" s="18">
        <v>6</v>
      </c>
      <c r="D897" s="16">
        <v>3</v>
      </c>
      <c r="E897" s="16">
        <v>9</v>
      </c>
      <c r="F897" s="37">
        <v>0</v>
      </c>
      <c r="G897" s="37">
        <v>0</v>
      </c>
      <c r="H897" s="17">
        <v>0</v>
      </c>
      <c r="I897" s="17">
        <v>2</v>
      </c>
      <c r="J897" s="99">
        <f>SUM(SamplingData[[#This Row],[Losing Candidate]:[Under Votes]])</f>
        <v>36</v>
      </c>
      <c r="K897"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897" s="100">
        <f>IF(AND(SamplingData[[#This Row],[Total]]&lt;&gt; 0, NOT(ISBLANK(SamplingData[[#This Row],[Candidate 3]]))),(SamplingData[[#This Row],[Total]]+SamplingData[[#This Row],[Winning Candidate]]-SamplingData[[#This Row],[Candidate 3]])/(SamplingData[[#Totals],[Winning Candidate]]-SamplingData[[#Totals],[Candidate 3]]), 0)</f>
        <v>1.2581862760912346E-3</v>
      </c>
      <c r="M897" s="100">
        <f>IF(AND(SamplingData[[#This Row],[Total]]&lt;&gt; 0, NOT(ISBLANK(SamplingData[[#This Row],[Candidate 4]]))),(SamplingData[[#This Row],[Total]]+SamplingData[[#This Row],[Winning Candidate]]-SamplingData[[#This Row],[Candidate 4]])/(SamplingData[[#Totals],[Winning Candidate]]-SamplingData[[#Totals],[Candidate 4]]), 0)</f>
        <v>9.6465842322195918E-4</v>
      </c>
      <c r="N897" s="100">
        <f>IF(AND(SamplingData[[#This Row],[Total]]&lt;&gt; 0, NOT(ISBLANK(SamplingData[[#This Row],[Candidate 5]]))),(SamplingData[[#This Row],[Total]]+SamplingData[[#This Row],[Winning Candidate]]-SamplingData[[#This Row],[Candidate 5]])/(SamplingData[[#Totals],[Winning Candidate]]-SamplingData[[#Totals],[Candidate 5]]), 0)</f>
        <v>1.0216492337630748E-3</v>
      </c>
      <c r="O897" s="100">
        <f>IF(AND(SamplingData[[#This Row],[Total]]&lt;&gt; 0, NOT(ISBLANK(SamplingData[[#This Row],[Candidate 6]]))),(SamplingData[[#This Row],[Total]]+SamplingData[[#This Row],[Winning Candidate]]-SamplingData[[#This Row],[Candidate 6]])/(SamplingData[[#Totals],[Winning Candidate]]-SamplingData[[#Totals],[Candidate 6]]), 0)</f>
        <v>1.0213511016001168E-3</v>
      </c>
      <c r="P897" s="100">
        <f>MAX(SamplingData[[#This Row],[Error Bound (up) - Max. possible relative overstatement - Losing Candidate]:[Error Bound (up) - Max. possible relative overstatement - Candidate 6]])</f>
        <v>1.5923566878980893E-3</v>
      </c>
      <c r="Q897" s="100">
        <f>IF(SamplingData[[#This Row],[Max Error Bound (up)]] = 0,0,SamplingData[[#This Row],[Max Error Bound (up)]]/SamplingData[[#Totals],[Max Error Bound (up)]])</f>
        <v>2.5201665523959162E-4</v>
      </c>
      <c r="R897" s="101">
        <f>SUM($Q$5:Q897)</f>
        <v>0.22665642925369781</v>
      </c>
      <c r="S897" s="100" t="str">
        <f t="array" ref="S897">IF(SamplingData[[#This Row],[up/U Selection Probability]] = 0, "Zero", TEXT(SamplingData[[#This Row],[Lower Range]], REPT("0",LEN('General Info'!$B$40))) &amp; " - " &amp; TEXT(SamplingData[[#This Row],[Upper Range]], REPT("0",LEN('General Info'!$B$40))))</f>
        <v>22640 - 22665</v>
      </c>
      <c r="T897" s="100">
        <f>SamplingData[[#This Row],[Upper Range]]-SamplingData[[#This Row],[Span]]</f>
        <v>22640.441511862475</v>
      </c>
      <c r="U897" s="100">
        <f>IF(ISNUMBER('General Info'!$B$40), ((SamplingData[[#This Row],[up/U Selection Probability]]) * 'General Info'!$B$40) - 1, 0)</f>
        <v>24.201413507303922</v>
      </c>
      <c r="V897" s="100">
        <f>IF(ISNUMBER('General Info'!$B$40), (SamplingData[[#This Row],[Running (cumulative) sum]] * ('General Info'!$B$40 -'General Info'!$B$41 + 1)) + 'General Info'!$B$41 - 1, 0)</f>
        <v>22664.642925369779</v>
      </c>
      <c r="W897" s="100" t="str">
        <f>IF(ISERROR(MATCH(SamplingData[[#This Row],[Batch by Type (p)]],SelectedPrecincts[Batch Name], 0)), "", INDEX(SelectedPrecincts[Draw], MATCH(SamplingData[[#This Row],[Batch by Type (p)]],SelectedPrecincts[Batch Name], 0)))</f>
        <v/>
      </c>
      <c r="X897" s="102">
        <f>IF(COUNTIF(SelectedPrecincts[Batch Name],SamplingData[[#This Row],[Batch by Type (p)]]) &lt;&gt; 0, COUNTIF(SelectedPrecincts[Batch Name],SamplingData[[#This Row],[Batch by Type (p)]]), 0)</f>
        <v>0</v>
      </c>
    </row>
    <row r="898" spans="1:24" ht="15" customHeight="1">
      <c r="A898" s="18" t="s">
        <v>1074</v>
      </c>
      <c r="B898" s="18">
        <v>5</v>
      </c>
      <c r="C898" s="18">
        <v>8</v>
      </c>
      <c r="D898" s="18">
        <v>2</v>
      </c>
      <c r="E898" s="18">
        <v>2</v>
      </c>
      <c r="F898" s="18">
        <v>0</v>
      </c>
      <c r="G898" s="18">
        <v>0</v>
      </c>
      <c r="H898" s="18">
        <v>0</v>
      </c>
      <c r="I898" s="18">
        <v>0</v>
      </c>
      <c r="J898" s="99">
        <f>SUM(SamplingData[[#This Row],[Losing Candidate]:[Under Votes]])</f>
        <v>17</v>
      </c>
      <c r="K89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898" s="100">
        <f>IF(AND(SamplingData[[#This Row],[Total]]&lt;&gt; 0, NOT(ISBLANK(SamplingData[[#This Row],[Candidate 3]]))),(SamplingData[[#This Row],[Total]]+SamplingData[[#This Row],[Winning Candidate]]-SamplingData[[#This Row],[Candidate 3]])/(SamplingData[[#Totals],[Winning Candidate]]-SamplingData[[#Totals],[Candidate 3]]), 0)</f>
        <v>7.4200729102816406E-4</v>
      </c>
      <c r="M898" s="100">
        <f>IF(AND(SamplingData[[#This Row],[Total]]&lt;&gt; 0, NOT(ISBLANK(SamplingData[[#This Row],[Candidate 4]]))),(SamplingData[[#This Row],[Total]]+SamplingData[[#This Row],[Winning Candidate]]-SamplingData[[#This Row],[Candidate 4]])/(SamplingData[[#Totals],[Winning Candidate]]-SamplingData[[#Totals],[Candidate 4]]), 0)</f>
        <v>6.7233768891227451E-4</v>
      </c>
      <c r="N898" s="100">
        <f>IF(AND(SamplingData[[#This Row],[Total]]&lt;&gt; 0, NOT(ISBLANK(SamplingData[[#This Row],[Candidate 5]]))),(SamplingData[[#This Row],[Total]]+SamplingData[[#This Row],[Winning Candidate]]-SamplingData[[#This Row],[Candidate 5]])/(SamplingData[[#Totals],[Winning Candidate]]-SamplingData[[#Totals],[Candidate 5]]), 0)</f>
        <v>6.0812454390659211E-4</v>
      </c>
      <c r="O898" s="100">
        <f>IF(AND(SamplingData[[#This Row],[Total]]&lt;&gt; 0, NOT(ISBLANK(SamplingData[[#This Row],[Candidate 6]]))),(SamplingData[[#This Row],[Total]]+SamplingData[[#This Row],[Winning Candidate]]-SamplingData[[#This Row],[Candidate 6]])/(SamplingData[[#Totals],[Winning Candidate]]-SamplingData[[#Totals],[Candidate 6]]), 0)</f>
        <v>6.0794708428578371E-4</v>
      </c>
      <c r="P898" s="100">
        <f>MAX(SamplingData[[#This Row],[Error Bound (up) - Max. possible relative overstatement - Losing Candidate]:[Error Bound (up) - Max. possible relative overstatement - Candidate 6]])</f>
        <v>1.224889759921607E-3</v>
      </c>
      <c r="Q898" s="100">
        <f>IF(SamplingData[[#This Row],[Max Error Bound (up)]] = 0,0,SamplingData[[#This Row],[Max Error Bound (up)]]/SamplingData[[#Totals],[Max Error Bound (up)]])</f>
        <v>1.9385896556891664E-4</v>
      </c>
      <c r="R898" s="101">
        <f>SUM($Q$5:Q898)</f>
        <v>0.22685028821926673</v>
      </c>
      <c r="S898" s="100" t="str">
        <f t="array" ref="S898">IF(SamplingData[[#This Row],[up/U Selection Probability]] = 0, "Zero", TEXT(SamplingData[[#This Row],[Lower Range]], REPT("0",LEN('General Info'!$B$40))) &amp; " - " &amp; TEXT(SamplingData[[#This Row],[Upper Range]], REPT("0",LEN('General Info'!$B$40))))</f>
        <v>22666 - 22684</v>
      </c>
      <c r="T898" s="100">
        <f>SamplingData[[#This Row],[Upper Range]]-SamplingData[[#This Row],[Span]]</f>
        <v>22665.643119228745</v>
      </c>
      <c r="U898" s="100">
        <f>IF(ISNUMBER('General Info'!$B$40), ((SamplingData[[#This Row],[up/U Selection Probability]]) * 'General Info'!$B$40) - 1, 0)</f>
        <v>18.385702697926096</v>
      </c>
      <c r="V898" s="100">
        <f>IF(ISNUMBER('General Info'!$B$40), (SamplingData[[#This Row],[Running (cumulative) sum]] * ('General Info'!$B$40 -'General Info'!$B$41 + 1)) + 'General Info'!$B$41 - 1, 0)</f>
        <v>22684.028821926673</v>
      </c>
      <c r="W898" s="100" t="str">
        <f>IF(ISERROR(MATCH(SamplingData[[#This Row],[Batch by Type (p)]],SelectedPrecincts[Batch Name], 0)), "", INDEX(SelectedPrecincts[Draw], MATCH(SamplingData[[#This Row],[Batch by Type (p)]],SelectedPrecincts[Batch Name], 0)))</f>
        <v/>
      </c>
      <c r="X898" s="102">
        <f>IF(COUNTIF(SelectedPrecincts[Batch Name],SamplingData[[#This Row],[Batch by Type (p)]]) &lt;&gt; 0, COUNTIF(SelectedPrecincts[Batch Name],SamplingData[[#This Row],[Batch by Type (p)]]), 0)</f>
        <v>0</v>
      </c>
    </row>
    <row r="899" spans="1:24" ht="15" customHeight="1">
      <c r="A899" s="18" t="s">
        <v>1075</v>
      </c>
      <c r="B899" s="18">
        <v>24</v>
      </c>
      <c r="C899" s="18">
        <v>20</v>
      </c>
      <c r="D899" s="16">
        <v>9</v>
      </c>
      <c r="E899" s="16">
        <v>4</v>
      </c>
      <c r="F899" s="37">
        <v>0</v>
      </c>
      <c r="G899" s="37">
        <v>0</v>
      </c>
      <c r="H899" s="17">
        <v>0</v>
      </c>
      <c r="I899" s="17">
        <v>0</v>
      </c>
      <c r="J899" s="99">
        <f>SUM(SamplingData[[#This Row],[Losing Candidate]:[Under Votes]])</f>
        <v>57</v>
      </c>
      <c r="K899" s="100">
        <f>IF(AND(SamplingData[[#This Row],[Total]]&lt;&gt; 0, NOT(ISBLANK(SamplingData[[#This Row],[Losing Candidate]]))),(SamplingData[[#This Row],[Total]]+SamplingData[[#This Row],[Winning Candidate]]-SamplingData[[#This Row],[Losing Candidate]])/(SamplingData[[#Totals],[Winning Candidate]]-SamplingData[[#Totals],[Losing Candidate]]), 0)</f>
        <v>3.2459578637922589E-3</v>
      </c>
      <c r="L899" s="100">
        <f>IF(AND(SamplingData[[#This Row],[Total]]&lt;&gt; 0, NOT(ISBLANK(SamplingData[[#This Row],[Candidate 3]]))),(SamplingData[[#This Row],[Total]]+SamplingData[[#This Row],[Winning Candidate]]-SamplingData[[#This Row],[Candidate 3]])/(SamplingData[[#Totals],[Winning Candidate]]-SamplingData[[#Totals],[Candidate 3]]), 0)</f>
        <v>2.1937606865180502E-3</v>
      </c>
      <c r="M899" s="100">
        <f>IF(AND(SamplingData[[#This Row],[Total]]&lt;&gt; 0, NOT(ISBLANK(SamplingData[[#This Row],[Candidate 4]]))),(SamplingData[[#This Row],[Total]]+SamplingData[[#This Row],[Winning Candidate]]-SamplingData[[#This Row],[Candidate 4]])/(SamplingData[[#Totals],[Winning Candidate]]-SamplingData[[#Totals],[Candidate 4]]), 0)</f>
        <v>2.1339413604606976E-3</v>
      </c>
      <c r="N899" s="100">
        <f>IF(AND(SamplingData[[#This Row],[Total]]&lt;&gt; 0, NOT(ISBLANK(SamplingData[[#This Row],[Candidate 5]]))),(SamplingData[[#This Row],[Total]]+SamplingData[[#This Row],[Winning Candidate]]-SamplingData[[#This Row],[Candidate 5]])/(SamplingData[[#Totals],[Winning Candidate]]-SamplingData[[#Totals],[Candidate 5]]), 0)</f>
        <v>1.8730235952323035E-3</v>
      </c>
      <c r="O899" s="100">
        <f>IF(AND(SamplingData[[#This Row],[Total]]&lt;&gt; 0, NOT(ISBLANK(SamplingData[[#This Row],[Candidate 6]]))),(SamplingData[[#This Row],[Total]]+SamplingData[[#This Row],[Winning Candidate]]-SamplingData[[#This Row],[Candidate 6]])/(SamplingData[[#Totals],[Winning Candidate]]-SamplingData[[#Totals],[Candidate 6]]), 0)</f>
        <v>1.872477019600214E-3</v>
      </c>
      <c r="P899" s="100">
        <f>MAX(SamplingData[[#This Row],[Error Bound (up) - Max. possible relative overstatement - Losing Candidate]:[Error Bound (up) - Max. possible relative overstatement - Candidate 6]])</f>
        <v>3.2459578637922589E-3</v>
      </c>
      <c r="Q899" s="100">
        <f>IF(SamplingData[[#This Row],[Max Error Bound (up)]] = 0,0,SamplingData[[#This Row],[Max Error Bound (up)]]/SamplingData[[#Totals],[Max Error Bound (up)]])</f>
        <v>5.1372625875762909E-4</v>
      </c>
      <c r="R899" s="101">
        <f>SUM($Q$5:Q899)</f>
        <v>0.22736401447802435</v>
      </c>
      <c r="S899" s="100" t="str">
        <f t="array" ref="S899">IF(SamplingData[[#This Row],[up/U Selection Probability]] = 0, "Zero", TEXT(SamplingData[[#This Row],[Lower Range]], REPT("0",LEN('General Info'!$B$40))) &amp; " - " &amp; TEXT(SamplingData[[#This Row],[Upper Range]], REPT("0",LEN('General Info'!$B$40))))</f>
        <v>22685 - 22735</v>
      </c>
      <c r="T899" s="100">
        <f>SamplingData[[#This Row],[Upper Range]]-SamplingData[[#This Row],[Span]]</f>
        <v>22685.029335652929</v>
      </c>
      <c r="U899" s="100">
        <f>IF(ISNUMBER('General Info'!$B$40), ((SamplingData[[#This Row],[up/U Selection Probability]]) * 'General Info'!$B$40) - 1, 0)</f>
        <v>50.372112149504154</v>
      </c>
      <c r="V899" s="100">
        <f>IF(ISNUMBER('General Info'!$B$40), (SamplingData[[#This Row],[Running (cumulative) sum]] * ('General Info'!$B$40 -'General Info'!$B$41 + 1)) + 'General Info'!$B$41 - 1, 0)</f>
        <v>22735.401447802433</v>
      </c>
      <c r="W899" s="100" t="str">
        <f>IF(ISERROR(MATCH(SamplingData[[#This Row],[Batch by Type (p)]],SelectedPrecincts[Batch Name], 0)), "", INDEX(SelectedPrecincts[Draw], MATCH(SamplingData[[#This Row],[Batch by Type (p)]],SelectedPrecincts[Batch Name], 0)))</f>
        <v/>
      </c>
      <c r="X899" s="102">
        <f>IF(COUNTIF(SelectedPrecincts[Batch Name],SamplingData[[#This Row],[Batch by Type (p)]]) &lt;&gt; 0, COUNTIF(SelectedPrecincts[Batch Name],SamplingData[[#This Row],[Batch by Type (p)]]), 0)</f>
        <v>0</v>
      </c>
    </row>
    <row r="900" spans="1:24" ht="15" customHeight="1">
      <c r="A900" s="18" t="s">
        <v>1076</v>
      </c>
      <c r="B900" s="18">
        <v>6</v>
      </c>
      <c r="C900" s="18">
        <v>3</v>
      </c>
      <c r="D900" s="18">
        <v>1</v>
      </c>
      <c r="E900" s="18">
        <v>0</v>
      </c>
      <c r="F900" s="18">
        <v>0</v>
      </c>
      <c r="G900" s="18">
        <v>0</v>
      </c>
      <c r="H900" s="18">
        <v>0</v>
      </c>
      <c r="I900" s="18">
        <v>0</v>
      </c>
      <c r="J900" s="99">
        <f>SUM(SamplingData[[#This Row],[Losing Candidate]:[Under Votes]])</f>
        <v>10</v>
      </c>
      <c r="K900"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900" s="100">
        <f>IF(AND(SamplingData[[#This Row],[Total]]&lt;&gt; 0, NOT(ISBLANK(SamplingData[[#This Row],[Candidate 3]]))),(SamplingData[[#This Row],[Total]]+SamplingData[[#This Row],[Winning Candidate]]-SamplingData[[#This Row],[Candidate 3]])/(SamplingData[[#Totals],[Winning Candidate]]-SamplingData[[#Totals],[Candidate 3]]), 0)</f>
        <v>3.8713423879730297E-4</v>
      </c>
      <c r="M900" s="100">
        <f>IF(AND(SamplingData[[#This Row],[Total]]&lt;&gt; 0, NOT(ISBLANK(SamplingData[[#This Row],[Candidate 4]]))),(SamplingData[[#This Row],[Total]]+SamplingData[[#This Row],[Winning Candidate]]-SamplingData[[#This Row],[Candidate 4]])/(SamplingData[[#Totals],[Winning Candidate]]-SamplingData[[#Totals],[Candidate 4]]), 0)</f>
        <v>3.8001695460258996E-4</v>
      </c>
      <c r="N900" s="100">
        <f>IF(AND(SamplingData[[#This Row],[Total]]&lt;&gt; 0, NOT(ISBLANK(SamplingData[[#This Row],[Candidate 5]]))),(SamplingData[[#This Row],[Total]]+SamplingData[[#This Row],[Winning Candidate]]-SamplingData[[#This Row],[Candidate 5]])/(SamplingData[[#Totals],[Winning Candidate]]-SamplingData[[#Totals],[Candidate 5]]), 0)</f>
        <v>3.1622476283142789E-4</v>
      </c>
      <c r="O900" s="100">
        <f>IF(AND(SamplingData[[#This Row],[Total]]&lt;&gt; 0, NOT(ISBLANK(SamplingData[[#This Row],[Candidate 6]]))),(SamplingData[[#This Row],[Total]]+SamplingData[[#This Row],[Winning Candidate]]-SamplingData[[#This Row],[Candidate 6]])/(SamplingData[[#Totals],[Winning Candidate]]-SamplingData[[#Totals],[Candidate 6]]), 0)</f>
        <v>3.1613248382860755E-4</v>
      </c>
      <c r="P900" s="100">
        <f>MAX(SamplingData[[#This Row],[Error Bound (up) - Max. possible relative overstatement - Losing Candidate]:[Error Bound (up) - Max. possible relative overstatement - Candidate 6]])</f>
        <v>4.2871141597256246E-4</v>
      </c>
      <c r="Q900" s="100">
        <f>IF(SamplingData[[#This Row],[Max Error Bound (up)]] = 0,0,SamplingData[[#This Row],[Max Error Bound (up)]]/SamplingData[[#Totals],[Max Error Bound (up)]])</f>
        <v>6.7850637949120826E-5</v>
      </c>
      <c r="R900" s="101">
        <f>SUM($Q$5:Q900)</f>
        <v>0.22743186511597346</v>
      </c>
      <c r="S900" s="100" t="str">
        <f t="array" ref="S900">IF(SamplingData[[#This Row],[up/U Selection Probability]] = 0, "Zero", TEXT(SamplingData[[#This Row],[Lower Range]], REPT("0",LEN('General Info'!$B$40))) &amp; " - " &amp; TEXT(SamplingData[[#This Row],[Upper Range]], REPT("0",LEN('General Info'!$B$40))))</f>
        <v>22736 - 22742</v>
      </c>
      <c r="T900" s="100">
        <f>SamplingData[[#This Row],[Upper Range]]-SamplingData[[#This Row],[Span]]</f>
        <v>22736.40151565307</v>
      </c>
      <c r="U900" s="100">
        <f>IF(ISNUMBER('General Info'!$B$40), ((SamplingData[[#This Row],[up/U Selection Probability]]) * 'General Info'!$B$40) - 1, 0)</f>
        <v>5.7849959442741339</v>
      </c>
      <c r="V900" s="100">
        <f>IF(ISNUMBER('General Info'!$B$40), (SamplingData[[#This Row],[Running (cumulative) sum]] * ('General Info'!$B$40 -'General Info'!$B$41 + 1)) + 'General Info'!$B$41 - 1, 0)</f>
        <v>22742.186511597345</v>
      </c>
      <c r="W900" s="100" t="str">
        <f>IF(ISERROR(MATCH(SamplingData[[#This Row],[Batch by Type (p)]],SelectedPrecincts[Batch Name], 0)), "", INDEX(SelectedPrecincts[Draw], MATCH(SamplingData[[#This Row],[Batch by Type (p)]],SelectedPrecincts[Batch Name], 0)))</f>
        <v/>
      </c>
      <c r="X900" s="102">
        <f>IF(COUNTIF(SelectedPrecincts[Batch Name],SamplingData[[#This Row],[Batch by Type (p)]]) &lt;&gt; 0, COUNTIF(SelectedPrecincts[Batch Name],SamplingData[[#This Row],[Batch by Type (p)]]), 0)</f>
        <v>0</v>
      </c>
    </row>
    <row r="901" spans="1:24" ht="15" customHeight="1">
      <c r="A901" s="18" t="s">
        <v>1077</v>
      </c>
      <c r="B901" s="18">
        <v>9</v>
      </c>
      <c r="C901" s="18">
        <v>10</v>
      </c>
      <c r="D901" s="16">
        <v>4</v>
      </c>
      <c r="E901" s="16">
        <v>7</v>
      </c>
      <c r="F901" s="37">
        <v>0</v>
      </c>
      <c r="G901" s="37">
        <v>0</v>
      </c>
      <c r="H901" s="17">
        <v>0</v>
      </c>
      <c r="I901" s="17">
        <v>0</v>
      </c>
      <c r="J901" s="99">
        <f>SUM(SamplingData[[#This Row],[Losing Candidate]:[Under Votes]])</f>
        <v>30</v>
      </c>
      <c r="K901"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901" s="100">
        <f>IF(AND(SamplingData[[#This Row],[Total]]&lt;&gt; 0, NOT(ISBLANK(SamplingData[[#This Row],[Candidate 3]]))),(SamplingData[[#This Row],[Total]]+SamplingData[[#This Row],[Winning Candidate]]-SamplingData[[#This Row],[Candidate 3]])/(SamplingData[[#Totals],[Winning Candidate]]-SamplingData[[#Totals],[Candidate 3]]), 0)</f>
        <v>1.1614027163919089E-3</v>
      </c>
      <c r="M901" s="100">
        <f>IF(AND(SamplingData[[#This Row],[Total]]&lt;&gt; 0, NOT(ISBLANK(SamplingData[[#This Row],[Candidate 4]]))),(SamplingData[[#This Row],[Total]]+SamplingData[[#This Row],[Winning Candidate]]-SamplingData[[#This Row],[Candidate 4]])/(SamplingData[[#Totals],[Winning Candidate]]-SamplingData[[#Totals],[Candidate 4]]), 0)</f>
        <v>9.6465842322195918E-4</v>
      </c>
      <c r="N901" s="100">
        <f>IF(AND(SamplingData[[#This Row],[Total]]&lt;&gt; 0, NOT(ISBLANK(SamplingData[[#This Row],[Candidate 5]]))),(SamplingData[[#This Row],[Total]]+SamplingData[[#This Row],[Winning Candidate]]-SamplingData[[#This Row],[Candidate 5]])/(SamplingData[[#Totals],[Winning Candidate]]-SamplingData[[#Totals],[Candidate 5]]), 0)</f>
        <v>9.7299927025054731E-4</v>
      </c>
      <c r="O901" s="100">
        <f>IF(AND(SamplingData[[#This Row],[Total]]&lt;&gt; 0, NOT(ISBLANK(SamplingData[[#This Row],[Candidate 6]]))),(SamplingData[[#This Row],[Total]]+SamplingData[[#This Row],[Winning Candidate]]-SamplingData[[#This Row],[Candidate 6]])/(SamplingData[[#Totals],[Winning Candidate]]-SamplingData[[#Totals],[Candidate 6]]), 0)</f>
        <v>9.7271533485725399E-4</v>
      </c>
      <c r="P901" s="100">
        <f>MAX(SamplingData[[#This Row],[Error Bound (up) - Max. possible relative overstatement - Losing Candidate]:[Error Bound (up) - Max. possible relative overstatement - Candidate 6]])</f>
        <v>1.8985791278784908E-3</v>
      </c>
      <c r="Q901" s="100">
        <f>IF(SamplingData[[#This Row],[Max Error Bound (up)]] = 0,0,SamplingData[[#This Row],[Max Error Bound (up)]]/SamplingData[[#Totals],[Max Error Bound (up)]])</f>
        <v>3.0048139663182077E-4</v>
      </c>
      <c r="R901" s="101">
        <f>SUM($Q$5:Q901)</f>
        <v>0.22773234651260529</v>
      </c>
      <c r="S901" s="100" t="str">
        <f t="array" ref="S901">IF(SamplingData[[#This Row],[up/U Selection Probability]] = 0, "Zero", TEXT(SamplingData[[#This Row],[Lower Range]], REPT("0",LEN('General Info'!$B$40))) &amp; " - " &amp; TEXT(SamplingData[[#This Row],[Upper Range]], REPT("0",LEN('General Info'!$B$40))))</f>
        <v>22743 - 22772</v>
      </c>
      <c r="T901" s="100">
        <f>SamplingData[[#This Row],[Upper Range]]-SamplingData[[#This Row],[Span]]</f>
        <v>22743.186812078744</v>
      </c>
      <c r="U901" s="100">
        <f>IF(ISNUMBER('General Info'!$B$40), ((SamplingData[[#This Row],[up/U Selection Probability]]) * 'General Info'!$B$40) - 1, 0)</f>
        <v>29.047839181785445</v>
      </c>
      <c r="V901" s="100">
        <f>IF(ISNUMBER('General Info'!$B$40), (SamplingData[[#This Row],[Running (cumulative) sum]] * ('General Info'!$B$40 -'General Info'!$B$41 + 1)) + 'General Info'!$B$41 - 1, 0)</f>
        <v>22772.234651260529</v>
      </c>
      <c r="W901" s="100" t="str">
        <f>IF(ISERROR(MATCH(SamplingData[[#This Row],[Batch by Type (p)]],SelectedPrecincts[Batch Name], 0)), "", INDEX(SelectedPrecincts[Draw], MATCH(SamplingData[[#This Row],[Batch by Type (p)]],SelectedPrecincts[Batch Name], 0)))</f>
        <v/>
      </c>
      <c r="X901" s="102">
        <f>IF(COUNTIF(SelectedPrecincts[Batch Name],SamplingData[[#This Row],[Batch by Type (p)]]) &lt;&gt; 0, COUNTIF(SelectedPrecincts[Batch Name],SamplingData[[#This Row],[Batch by Type (p)]]), 0)</f>
        <v>0</v>
      </c>
    </row>
    <row r="902" spans="1:24" ht="15" customHeight="1">
      <c r="A902" s="18" t="s">
        <v>1078</v>
      </c>
      <c r="B902" s="18">
        <v>9</v>
      </c>
      <c r="C902" s="18">
        <v>3</v>
      </c>
      <c r="D902" s="18">
        <v>1</v>
      </c>
      <c r="E902" s="18">
        <v>3</v>
      </c>
      <c r="F902" s="18">
        <v>0</v>
      </c>
      <c r="G902" s="18">
        <v>0</v>
      </c>
      <c r="H902" s="18">
        <v>0</v>
      </c>
      <c r="I902" s="18">
        <v>0</v>
      </c>
      <c r="J902" s="99">
        <f>SUM(SamplingData[[#This Row],[Losing Candidate]:[Under Votes]])</f>
        <v>16</v>
      </c>
      <c r="K90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902" s="100">
        <f>IF(AND(SamplingData[[#This Row],[Total]]&lt;&gt; 0, NOT(ISBLANK(SamplingData[[#This Row],[Candidate 3]]))),(SamplingData[[#This Row],[Total]]+SamplingData[[#This Row],[Winning Candidate]]-SamplingData[[#This Row],[Candidate 3]])/(SamplingData[[#Totals],[Winning Candidate]]-SamplingData[[#Totals],[Candidate 3]]), 0)</f>
        <v>5.8070135819595443E-4</v>
      </c>
      <c r="M902" s="100">
        <f>IF(AND(SamplingData[[#This Row],[Total]]&lt;&gt; 0, NOT(ISBLANK(SamplingData[[#This Row],[Candidate 4]]))),(SamplingData[[#This Row],[Total]]+SamplingData[[#This Row],[Winning Candidate]]-SamplingData[[#This Row],[Candidate 4]])/(SamplingData[[#Totals],[Winning Candidate]]-SamplingData[[#Totals],[Candidate 4]]), 0)</f>
        <v>4.6771317489549536E-4</v>
      </c>
      <c r="N902" s="100">
        <f>IF(AND(SamplingData[[#This Row],[Total]]&lt;&gt; 0, NOT(ISBLANK(SamplingData[[#This Row],[Candidate 5]]))),(SamplingData[[#This Row],[Total]]+SamplingData[[#This Row],[Winning Candidate]]-SamplingData[[#This Row],[Candidate 5]])/(SamplingData[[#Totals],[Winning Candidate]]-SamplingData[[#Totals],[Candidate 5]]), 0)</f>
        <v>4.6217465336900997E-4</v>
      </c>
      <c r="O902" s="100">
        <f>IF(AND(SamplingData[[#This Row],[Total]]&lt;&gt; 0, NOT(ISBLANK(SamplingData[[#This Row],[Candidate 6]]))),(SamplingData[[#This Row],[Total]]+SamplingData[[#This Row],[Winning Candidate]]-SamplingData[[#This Row],[Candidate 6]])/(SamplingData[[#Totals],[Winning Candidate]]-SamplingData[[#Totals],[Candidate 6]]), 0)</f>
        <v>4.6203978405719566E-4</v>
      </c>
      <c r="P902" s="100">
        <f>MAX(SamplingData[[#This Row],[Error Bound (up) - Max. possible relative overstatement - Losing Candidate]:[Error Bound (up) - Max. possible relative overstatement - Candidate 6]])</f>
        <v>6.1244487996080352E-4</v>
      </c>
      <c r="Q902" s="100">
        <f>IF(SamplingData[[#This Row],[Max Error Bound (up)]] = 0,0,SamplingData[[#This Row],[Max Error Bound (up)]]/SamplingData[[#Totals],[Max Error Bound (up)]])</f>
        <v>9.6929482784458319E-5</v>
      </c>
      <c r="R902" s="101">
        <f>SUM($Q$5:Q902)</f>
        <v>0.22782927599538974</v>
      </c>
      <c r="S902" s="100" t="str">
        <f t="array" ref="S902">IF(SamplingData[[#This Row],[up/U Selection Probability]] = 0, "Zero", TEXT(SamplingData[[#This Row],[Lower Range]], REPT("0",LEN('General Info'!$B$40))) &amp; " - " &amp; TEXT(SamplingData[[#This Row],[Upper Range]], REPT("0",LEN('General Info'!$B$40))))</f>
        <v>22773 - 22782</v>
      </c>
      <c r="T902" s="100">
        <f>SamplingData[[#This Row],[Upper Range]]-SamplingData[[#This Row],[Span]]</f>
        <v>22773.234748190011</v>
      </c>
      <c r="U902" s="100">
        <f>IF(ISNUMBER('General Info'!$B$40), ((SamplingData[[#This Row],[up/U Selection Probability]]) * 'General Info'!$B$40) - 1, 0)</f>
        <v>8.6928513489630479</v>
      </c>
      <c r="V902" s="100">
        <f>IF(ISNUMBER('General Info'!$B$40), (SamplingData[[#This Row],[Running (cumulative) sum]] * ('General Info'!$B$40 -'General Info'!$B$41 + 1)) + 'General Info'!$B$41 - 1, 0)</f>
        <v>22781.927599538973</v>
      </c>
      <c r="W902" s="100" t="str">
        <f>IF(ISERROR(MATCH(SamplingData[[#This Row],[Batch by Type (p)]],SelectedPrecincts[Batch Name], 0)), "", INDEX(SelectedPrecincts[Draw], MATCH(SamplingData[[#This Row],[Batch by Type (p)]],SelectedPrecincts[Batch Name], 0)))</f>
        <v/>
      </c>
      <c r="X902" s="102">
        <f>IF(COUNTIF(SelectedPrecincts[Batch Name],SamplingData[[#This Row],[Batch by Type (p)]]) &lt;&gt; 0, COUNTIF(SelectedPrecincts[Batch Name],SamplingData[[#This Row],[Batch by Type (p)]]), 0)</f>
        <v>0</v>
      </c>
    </row>
    <row r="903" spans="1:24" ht="15" customHeight="1">
      <c r="A903" s="18" t="s">
        <v>1079</v>
      </c>
      <c r="B903" s="18">
        <v>12</v>
      </c>
      <c r="C903" s="18">
        <v>14</v>
      </c>
      <c r="D903" s="16">
        <v>6</v>
      </c>
      <c r="E903" s="16">
        <v>10</v>
      </c>
      <c r="F903" s="37">
        <v>0</v>
      </c>
      <c r="G903" s="37">
        <v>1</v>
      </c>
      <c r="H903" s="17">
        <v>0</v>
      </c>
      <c r="I903" s="17">
        <v>0</v>
      </c>
      <c r="J903" s="99">
        <f>SUM(SamplingData[[#This Row],[Losing Candidate]:[Under Votes]])</f>
        <v>43</v>
      </c>
      <c r="K903"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903" s="100">
        <f>IF(AND(SamplingData[[#This Row],[Total]]&lt;&gt; 0, NOT(ISBLANK(SamplingData[[#This Row],[Candidate 3]]))),(SamplingData[[#This Row],[Total]]+SamplingData[[#This Row],[Winning Candidate]]-SamplingData[[#This Row],[Candidate 3]])/(SamplingData[[#Totals],[Winning Candidate]]-SamplingData[[#Totals],[Candidate 3]]), 0)</f>
        <v>1.6453205148885377E-3</v>
      </c>
      <c r="M903" s="100">
        <f>IF(AND(SamplingData[[#This Row],[Total]]&lt;&gt; 0, NOT(ISBLANK(SamplingData[[#This Row],[Candidate 4]]))),(SamplingData[[#This Row],[Total]]+SamplingData[[#This Row],[Winning Candidate]]-SamplingData[[#This Row],[Candidate 4]])/(SamplingData[[#Totals],[Winning Candidate]]-SamplingData[[#Totals],[Candidate 4]]), 0)</f>
        <v>1.3739074512555175E-3</v>
      </c>
      <c r="N903" s="100">
        <f>IF(AND(SamplingData[[#This Row],[Total]]&lt;&gt; 0, NOT(ISBLANK(SamplingData[[#This Row],[Candidate 5]]))),(SamplingData[[#This Row],[Total]]+SamplingData[[#This Row],[Winning Candidate]]-SamplingData[[#This Row],[Candidate 5]])/(SamplingData[[#Totals],[Winning Candidate]]-SamplingData[[#Totals],[Candidate 5]]), 0)</f>
        <v>1.3865239601070299E-3</v>
      </c>
      <c r="O903" s="100">
        <f>IF(AND(SamplingData[[#This Row],[Total]]&lt;&gt; 0, NOT(ISBLANK(SamplingData[[#This Row],[Candidate 6]]))),(SamplingData[[#This Row],[Total]]+SamplingData[[#This Row],[Winning Candidate]]-SamplingData[[#This Row],[Candidate 6]])/(SamplingData[[#Totals],[Winning Candidate]]-SamplingData[[#Totals],[Candidate 6]]), 0)</f>
        <v>1.3618014688001555E-3</v>
      </c>
      <c r="P903" s="100">
        <f>MAX(SamplingData[[#This Row],[Error Bound (up) - Max. possible relative overstatement - Losing Candidate]:[Error Bound (up) - Max. possible relative overstatement - Candidate 6]])</f>
        <v>2.7560019598236157E-3</v>
      </c>
      <c r="Q903" s="100">
        <f>IF(SamplingData[[#This Row],[Max Error Bound (up)]] = 0,0,SamplingData[[#This Row],[Max Error Bound (up)]]/SamplingData[[#Totals],[Max Error Bound (up)]])</f>
        <v>4.3618267253006237E-4</v>
      </c>
      <c r="R903" s="101">
        <f>SUM($Q$5:Q903)</f>
        <v>0.22826545866791981</v>
      </c>
      <c r="S903" s="100" t="str">
        <f t="array" ref="S903">IF(SamplingData[[#This Row],[up/U Selection Probability]] = 0, "Zero", TEXT(SamplingData[[#This Row],[Lower Range]], REPT("0",LEN('General Info'!$B$40))) &amp; " - " &amp; TEXT(SamplingData[[#This Row],[Upper Range]], REPT("0",LEN('General Info'!$B$40))))</f>
        <v>22783 - 22826</v>
      </c>
      <c r="T903" s="100">
        <f>SamplingData[[#This Row],[Upper Range]]-SamplingData[[#This Row],[Span]]</f>
        <v>22782.928035721648</v>
      </c>
      <c r="U903" s="100">
        <f>IF(ISNUMBER('General Info'!$B$40), ((SamplingData[[#This Row],[up/U Selection Probability]]) * 'General Info'!$B$40) - 1, 0)</f>
        <v>42.617831070333708</v>
      </c>
      <c r="V903" s="100">
        <f>IF(ISNUMBER('General Info'!$B$40), (SamplingData[[#This Row],[Running (cumulative) sum]] * ('General Info'!$B$40 -'General Info'!$B$41 + 1)) + 'General Info'!$B$41 - 1, 0)</f>
        <v>22825.545866791981</v>
      </c>
      <c r="W903" s="100" t="str">
        <f>IF(ISERROR(MATCH(SamplingData[[#This Row],[Batch by Type (p)]],SelectedPrecincts[Batch Name], 0)), "", INDEX(SelectedPrecincts[Draw], MATCH(SamplingData[[#This Row],[Batch by Type (p)]],SelectedPrecincts[Batch Name], 0)))</f>
        <v/>
      </c>
      <c r="X903" s="102">
        <f>IF(COUNTIF(SelectedPrecincts[Batch Name],SamplingData[[#This Row],[Batch by Type (p)]]) &lt;&gt; 0, COUNTIF(SelectedPrecincts[Batch Name],SamplingData[[#This Row],[Batch by Type (p)]]), 0)</f>
        <v>0</v>
      </c>
    </row>
    <row r="904" spans="1:24" ht="15" customHeight="1">
      <c r="A904" s="18" t="s">
        <v>1080</v>
      </c>
      <c r="B904" s="18">
        <v>9</v>
      </c>
      <c r="C904" s="18">
        <v>5</v>
      </c>
      <c r="D904" s="18">
        <v>0</v>
      </c>
      <c r="E904" s="18">
        <v>1</v>
      </c>
      <c r="F904" s="18">
        <v>0</v>
      </c>
      <c r="G904" s="18">
        <v>1</v>
      </c>
      <c r="H904" s="18">
        <v>0</v>
      </c>
      <c r="I904" s="18">
        <v>0</v>
      </c>
      <c r="J904" s="99">
        <f>SUM(SamplingData[[#This Row],[Losing Candidate]:[Under Votes]])</f>
        <v>16</v>
      </c>
      <c r="K904"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904" s="100">
        <f>IF(AND(SamplingData[[#This Row],[Total]]&lt;&gt; 0, NOT(ISBLANK(SamplingData[[#This Row],[Candidate 3]]))),(SamplingData[[#This Row],[Total]]+SamplingData[[#This Row],[Winning Candidate]]-SamplingData[[#This Row],[Candidate 3]])/(SamplingData[[#Totals],[Winning Candidate]]-SamplingData[[#Totals],[Candidate 3]]), 0)</f>
        <v>6.7748491789528019E-4</v>
      </c>
      <c r="M904" s="100">
        <f>IF(AND(SamplingData[[#This Row],[Total]]&lt;&gt; 0, NOT(ISBLANK(SamplingData[[#This Row],[Candidate 4]]))),(SamplingData[[#This Row],[Total]]+SamplingData[[#This Row],[Winning Candidate]]-SamplingData[[#This Row],[Candidate 4]])/(SamplingData[[#Totals],[Winning Candidate]]-SamplingData[[#Totals],[Candidate 4]]), 0)</f>
        <v>5.8464146861936922E-4</v>
      </c>
      <c r="N904" s="100">
        <f>IF(AND(SamplingData[[#This Row],[Total]]&lt;&gt; 0, NOT(ISBLANK(SamplingData[[#This Row],[Candidate 5]]))),(SamplingData[[#This Row],[Total]]+SamplingData[[#This Row],[Winning Candidate]]-SamplingData[[#This Row],[Candidate 5]])/(SamplingData[[#Totals],[Winning Candidate]]-SamplingData[[#Totals],[Candidate 5]]), 0)</f>
        <v>5.1082461688153739E-4</v>
      </c>
      <c r="O904" s="100">
        <f>IF(AND(SamplingData[[#This Row],[Total]]&lt;&gt; 0, NOT(ISBLANK(SamplingData[[#This Row],[Candidate 6]]))),(SamplingData[[#This Row],[Total]]+SamplingData[[#This Row],[Winning Candidate]]-SamplingData[[#This Row],[Candidate 6]])/(SamplingData[[#Totals],[Winning Candidate]]-SamplingData[[#Totals],[Candidate 6]]), 0)</f>
        <v>4.8635766742862699E-4</v>
      </c>
      <c r="P904" s="100">
        <f>MAX(SamplingData[[#This Row],[Error Bound (up) - Max. possible relative overstatement - Losing Candidate]:[Error Bound (up) - Max. possible relative overstatement - Candidate 6]])</f>
        <v>7.3493385595296422E-4</v>
      </c>
      <c r="Q904" s="100">
        <f>IF(SamplingData[[#This Row],[Max Error Bound (up)]] = 0,0,SamplingData[[#This Row],[Max Error Bound (up)]]/SamplingData[[#Totals],[Max Error Bound (up)]])</f>
        <v>1.1631537934134997E-4</v>
      </c>
      <c r="R904" s="101">
        <f>SUM($Q$5:Q904)</f>
        <v>0.22838177404726115</v>
      </c>
      <c r="S904" s="100" t="str">
        <f t="array" ref="S904">IF(SamplingData[[#This Row],[up/U Selection Probability]] = 0, "Zero", TEXT(SamplingData[[#This Row],[Lower Range]], REPT("0",LEN('General Info'!$B$40))) &amp; " - " &amp; TEXT(SamplingData[[#This Row],[Upper Range]], REPT("0",LEN('General Info'!$B$40))))</f>
        <v>22827 - 22837</v>
      </c>
      <c r="T904" s="100">
        <f>SamplingData[[#This Row],[Upper Range]]-SamplingData[[#This Row],[Span]]</f>
        <v>22826.545983107357</v>
      </c>
      <c r="U904" s="100">
        <f>IF(ISNUMBER('General Info'!$B$40), ((SamplingData[[#This Row],[up/U Selection Probability]]) * 'General Info'!$B$40) - 1, 0)</f>
        <v>10.631421618755656</v>
      </c>
      <c r="V904" s="100">
        <f>IF(ISNUMBER('General Info'!$B$40), (SamplingData[[#This Row],[Running (cumulative) sum]] * ('General Info'!$B$40 -'General Info'!$B$41 + 1)) + 'General Info'!$B$41 - 1, 0)</f>
        <v>22837.177404726113</v>
      </c>
      <c r="W904" s="100" t="str">
        <f>IF(ISERROR(MATCH(SamplingData[[#This Row],[Batch by Type (p)]],SelectedPrecincts[Batch Name], 0)), "", INDEX(SelectedPrecincts[Draw], MATCH(SamplingData[[#This Row],[Batch by Type (p)]],SelectedPrecincts[Batch Name], 0)))</f>
        <v/>
      </c>
      <c r="X904" s="102">
        <f>IF(COUNTIF(SelectedPrecincts[Batch Name],SamplingData[[#This Row],[Batch by Type (p)]]) &lt;&gt; 0, COUNTIF(SelectedPrecincts[Batch Name],SamplingData[[#This Row],[Batch by Type (p)]]), 0)</f>
        <v>0</v>
      </c>
    </row>
    <row r="905" spans="1:24" ht="15" customHeight="1">
      <c r="A905" s="18" t="s">
        <v>1081</v>
      </c>
      <c r="B905" s="18">
        <v>14</v>
      </c>
      <c r="C905" s="18">
        <v>17</v>
      </c>
      <c r="D905" s="16">
        <v>7</v>
      </c>
      <c r="E905" s="16">
        <v>2</v>
      </c>
      <c r="F905" s="37">
        <v>0</v>
      </c>
      <c r="G905" s="37">
        <v>0</v>
      </c>
      <c r="H905" s="17">
        <v>0</v>
      </c>
      <c r="I905" s="17">
        <v>0</v>
      </c>
      <c r="J905" s="99">
        <f>SUM(SamplingData[[#This Row],[Losing Candidate]:[Under Votes]])</f>
        <v>40</v>
      </c>
      <c r="K905"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905" s="100">
        <f>IF(AND(SamplingData[[#This Row],[Total]]&lt;&gt; 0, NOT(ISBLANK(SamplingData[[#This Row],[Candidate 3]]))),(SamplingData[[#This Row],[Total]]+SamplingData[[#This Row],[Winning Candidate]]-SamplingData[[#This Row],[Candidate 3]])/(SamplingData[[#Totals],[Winning Candidate]]-SamplingData[[#Totals],[Candidate 3]]), 0)</f>
        <v>1.6130593283220957E-3</v>
      </c>
      <c r="M905" s="100">
        <f>IF(AND(SamplingData[[#This Row],[Total]]&lt;&gt; 0, NOT(ISBLANK(SamplingData[[#This Row],[Candidate 4]]))),(SamplingData[[#This Row],[Total]]+SamplingData[[#This Row],[Winning Candidate]]-SamplingData[[#This Row],[Candidate 4]])/(SamplingData[[#Totals],[Winning Candidate]]-SamplingData[[#Totals],[Candidate 4]]), 0)</f>
        <v>1.6077640387032652E-3</v>
      </c>
      <c r="N905" s="100">
        <f>IF(AND(SamplingData[[#This Row],[Total]]&lt;&gt; 0, NOT(ISBLANK(SamplingData[[#This Row],[Candidate 5]]))),(SamplingData[[#This Row],[Total]]+SamplingData[[#This Row],[Winning Candidate]]-SamplingData[[#This Row],[Candidate 5]])/(SamplingData[[#Totals],[Winning Candidate]]-SamplingData[[#Totals],[Candidate 5]]), 0)</f>
        <v>1.3865239601070299E-3</v>
      </c>
      <c r="O905" s="100">
        <f>IF(AND(SamplingData[[#This Row],[Total]]&lt;&gt; 0, NOT(ISBLANK(SamplingData[[#This Row],[Candidate 6]]))),(SamplingData[[#This Row],[Total]]+SamplingData[[#This Row],[Winning Candidate]]-SamplingData[[#This Row],[Candidate 6]])/(SamplingData[[#Totals],[Winning Candidate]]-SamplingData[[#Totals],[Candidate 6]]), 0)</f>
        <v>1.3861193521715869E-3</v>
      </c>
      <c r="P905" s="100">
        <f>MAX(SamplingData[[#This Row],[Error Bound (up) - Max. possible relative overstatement - Losing Candidate]:[Error Bound (up) - Max. possible relative overstatement - Candidate 6]])</f>
        <v>2.6335129838314553E-3</v>
      </c>
      <c r="Q905" s="100">
        <f>IF(SamplingData[[#This Row],[Max Error Bound (up)]] = 0,0,SamplingData[[#This Row],[Max Error Bound (up)]]/SamplingData[[#Totals],[Max Error Bound (up)]])</f>
        <v>4.167967759731708E-4</v>
      </c>
      <c r="R905" s="101">
        <f>SUM($Q$5:Q905)</f>
        <v>0.22879857082323432</v>
      </c>
      <c r="S905" s="100" t="str">
        <f t="array" ref="S905">IF(SamplingData[[#This Row],[up/U Selection Probability]] = 0, "Zero", TEXT(SamplingData[[#This Row],[Lower Range]], REPT("0",LEN('General Info'!$B$40))) &amp; " - " &amp; TEXT(SamplingData[[#This Row],[Upper Range]], REPT("0",LEN('General Info'!$B$40))))</f>
        <v>22838 - 22879</v>
      </c>
      <c r="T905" s="100">
        <f>SamplingData[[#This Row],[Upper Range]]-SamplingData[[#This Row],[Span]]</f>
        <v>22838.177821522891</v>
      </c>
      <c r="U905" s="100">
        <f>IF(ISNUMBER('General Info'!$B$40), ((SamplingData[[#This Row],[up/U Selection Probability]]) * 'General Info'!$B$40) - 1, 0)</f>
        <v>40.679260800541108</v>
      </c>
      <c r="V905" s="100">
        <f>IF(ISNUMBER('General Info'!$B$40), (SamplingData[[#This Row],[Running (cumulative) sum]] * ('General Info'!$B$40 -'General Info'!$B$41 + 1)) + 'General Info'!$B$41 - 1, 0)</f>
        <v>22878.857082323433</v>
      </c>
      <c r="W905" s="100" t="str">
        <f>IF(ISERROR(MATCH(SamplingData[[#This Row],[Batch by Type (p)]],SelectedPrecincts[Batch Name], 0)), "", INDEX(SelectedPrecincts[Draw], MATCH(SamplingData[[#This Row],[Batch by Type (p)]],SelectedPrecincts[Batch Name], 0)))</f>
        <v/>
      </c>
      <c r="X905" s="102">
        <f>IF(COUNTIF(SelectedPrecincts[Batch Name],SamplingData[[#This Row],[Batch by Type (p)]]) &lt;&gt; 0, COUNTIF(SelectedPrecincts[Batch Name],SamplingData[[#This Row],[Batch by Type (p)]]), 0)</f>
        <v>0</v>
      </c>
    </row>
    <row r="906" spans="1:24" ht="15" customHeight="1">
      <c r="A906" s="18" t="s">
        <v>1082</v>
      </c>
      <c r="B906" s="18">
        <v>8</v>
      </c>
      <c r="C906" s="18">
        <v>5</v>
      </c>
      <c r="D906" s="18">
        <v>2</v>
      </c>
      <c r="E906" s="18">
        <v>1</v>
      </c>
      <c r="F906" s="18">
        <v>0</v>
      </c>
      <c r="G906" s="18">
        <v>0</v>
      </c>
      <c r="H906" s="18">
        <v>0</v>
      </c>
      <c r="I906" s="18">
        <v>0</v>
      </c>
      <c r="J906" s="99">
        <f>SUM(SamplingData[[#This Row],[Losing Candidate]:[Under Votes]])</f>
        <v>16</v>
      </c>
      <c r="K906"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906" s="100">
        <f>IF(AND(SamplingData[[#This Row],[Total]]&lt;&gt; 0, NOT(ISBLANK(SamplingData[[#This Row],[Candidate 3]]))),(SamplingData[[#This Row],[Total]]+SamplingData[[#This Row],[Winning Candidate]]-SamplingData[[#This Row],[Candidate 3]])/(SamplingData[[#Totals],[Winning Candidate]]-SamplingData[[#Totals],[Candidate 3]]), 0)</f>
        <v>6.1296254476239632E-4</v>
      </c>
      <c r="M906" s="100">
        <f>IF(AND(SamplingData[[#This Row],[Total]]&lt;&gt; 0, NOT(ISBLANK(SamplingData[[#This Row],[Candidate 4]]))),(SamplingData[[#This Row],[Total]]+SamplingData[[#This Row],[Winning Candidate]]-SamplingData[[#This Row],[Candidate 4]])/(SamplingData[[#Totals],[Winning Candidate]]-SamplingData[[#Totals],[Candidate 4]]), 0)</f>
        <v>5.8464146861936922E-4</v>
      </c>
      <c r="N906" s="100">
        <f>IF(AND(SamplingData[[#This Row],[Total]]&lt;&gt; 0, NOT(ISBLANK(SamplingData[[#This Row],[Candidate 5]]))),(SamplingData[[#This Row],[Total]]+SamplingData[[#This Row],[Winning Candidate]]-SamplingData[[#This Row],[Candidate 5]])/(SamplingData[[#Totals],[Winning Candidate]]-SamplingData[[#Totals],[Candidate 5]]), 0)</f>
        <v>5.1082461688153739E-4</v>
      </c>
      <c r="O906" s="100">
        <f>IF(AND(SamplingData[[#This Row],[Total]]&lt;&gt; 0, NOT(ISBLANK(SamplingData[[#This Row],[Candidate 6]]))),(SamplingData[[#This Row],[Total]]+SamplingData[[#This Row],[Winning Candidate]]-SamplingData[[#This Row],[Candidate 6]])/(SamplingData[[#Totals],[Winning Candidate]]-SamplingData[[#Totals],[Candidate 6]]), 0)</f>
        <v>5.1067555080005838E-4</v>
      </c>
      <c r="P906" s="100">
        <f>MAX(SamplingData[[#This Row],[Error Bound (up) - Max. possible relative overstatement - Losing Candidate]:[Error Bound (up) - Max. possible relative overstatement - Candidate 6]])</f>
        <v>7.9617834394904463E-4</v>
      </c>
      <c r="Q906" s="100">
        <f>IF(SamplingData[[#This Row],[Max Error Bound (up)]] = 0,0,SamplingData[[#This Row],[Max Error Bound (up)]]/SamplingData[[#Totals],[Max Error Bound (up)]])</f>
        <v>1.2600832761979581E-4</v>
      </c>
      <c r="R906" s="101">
        <f>SUM($Q$5:Q906)</f>
        <v>0.22892457915085412</v>
      </c>
      <c r="S906" s="100" t="str">
        <f t="array" ref="S906">IF(SamplingData[[#This Row],[up/U Selection Probability]] = 0, "Zero", TEXT(SamplingData[[#This Row],[Lower Range]], REPT("0",LEN('General Info'!$B$40))) &amp; " - " &amp; TEXT(SamplingData[[#This Row],[Upper Range]], REPT("0",LEN('General Info'!$B$40))))</f>
        <v>22880 - 22891</v>
      </c>
      <c r="T906" s="100">
        <f>SamplingData[[#This Row],[Upper Range]]-SamplingData[[#This Row],[Span]]</f>
        <v>22879.857208331759</v>
      </c>
      <c r="U906" s="100">
        <f>IF(ISNUMBER('General Info'!$B$40), ((SamplingData[[#This Row],[up/U Selection Probability]]) * 'General Info'!$B$40) - 1, 0)</f>
        <v>11.600706753651961</v>
      </c>
      <c r="V906" s="100">
        <f>IF(ISNUMBER('General Info'!$B$40), (SamplingData[[#This Row],[Running (cumulative) sum]] * ('General Info'!$B$40 -'General Info'!$B$41 + 1)) + 'General Info'!$B$41 - 1, 0)</f>
        <v>22891.457915085412</v>
      </c>
      <c r="W906" s="100" t="str">
        <f>IF(ISERROR(MATCH(SamplingData[[#This Row],[Batch by Type (p)]],SelectedPrecincts[Batch Name], 0)), "", INDEX(SelectedPrecincts[Draw], MATCH(SamplingData[[#This Row],[Batch by Type (p)]],SelectedPrecincts[Batch Name], 0)))</f>
        <v/>
      </c>
      <c r="X906" s="102">
        <f>IF(COUNTIF(SelectedPrecincts[Batch Name],SamplingData[[#This Row],[Batch by Type (p)]]) &lt;&gt; 0, COUNTIF(SelectedPrecincts[Batch Name],SamplingData[[#This Row],[Batch by Type (p)]]), 0)</f>
        <v>0</v>
      </c>
    </row>
    <row r="907" spans="1:24" ht="15" customHeight="1">
      <c r="A907" s="18" t="s">
        <v>1083</v>
      </c>
      <c r="B907" s="18">
        <v>18</v>
      </c>
      <c r="C907" s="18">
        <v>17</v>
      </c>
      <c r="D907" s="16">
        <v>8</v>
      </c>
      <c r="E907" s="16">
        <v>10</v>
      </c>
      <c r="F907" s="37">
        <v>0</v>
      </c>
      <c r="G907" s="37">
        <v>0</v>
      </c>
      <c r="H907" s="17">
        <v>0</v>
      </c>
      <c r="I907" s="17">
        <v>0</v>
      </c>
      <c r="J907" s="99">
        <f>SUM(SamplingData[[#This Row],[Losing Candidate]:[Under Votes]])</f>
        <v>53</v>
      </c>
      <c r="K907"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907" s="100">
        <f>IF(AND(SamplingData[[#This Row],[Total]]&lt;&gt; 0, NOT(ISBLANK(SamplingData[[#This Row],[Candidate 3]]))),(SamplingData[[#This Row],[Total]]+SamplingData[[#This Row],[Winning Candidate]]-SamplingData[[#This Row],[Candidate 3]])/(SamplingData[[#Totals],[Winning Candidate]]-SamplingData[[#Totals],[Candidate 3]]), 0)</f>
        <v>2.0001935671193987E-3</v>
      </c>
      <c r="M907" s="100">
        <f>IF(AND(SamplingData[[#This Row],[Total]]&lt;&gt; 0, NOT(ISBLANK(SamplingData[[#This Row],[Candidate 4]]))),(SamplingData[[#This Row],[Total]]+SamplingData[[#This Row],[Winning Candidate]]-SamplingData[[#This Row],[Candidate 4]])/(SamplingData[[#Totals],[Winning Candidate]]-SamplingData[[#Totals],[Candidate 4]]), 0)</f>
        <v>1.7539244058581076E-3</v>
      </c>
      <c r="N907" s="100">
        <f>IF(AND(SamplingData[[#This Row],[Total]]&lt;&gt; 0, NOT(ISBLANK(SamplingData[[#This Row],[Candidate 5]]))),(SamplingData[[#This Row],[Total]]+SamplingData[[#This Row],[Winning Candidate]]-SamplingData[[#This Row],[Candidate 5]])/(SamplingData[[#Totals],[Winning Candidate]]-SamplingData[[#Totals],[Candidate 5]]), 0)</f>
        <v>1.7027487229384578E-3</v>
      </c>
      <c r="O907" s="100">
        <f>IF(AND(SamplingData[[#This Row],[Total]]&lt;&gt; 0, NOT(ISBLANK(SamplingData[[#This Row],[Candidate 6]]))),(SamplingData[[#This Row],[Total]]+SamplingData[[#This Row],[Winning Candidate]]-SamplingData[[#This Row],[Candidate 6]])/(SamplingData[[#Totals],[Winning Candidate]]-SamplingData[[#Totals],[Candidate 6]]), 0)</f>
        <v>1.7022518360001945E-3</v>
      </c>
      <c r="P907" s="100">
        <f>MAX(SamplingData[[#This Row],[Error Bound (up) - Max. possible relative overstatement - Losing Candidate]:[Error Bound (up) - Max. possible relative overstatement - Candidate 6]])</f>
        <v>3.1847133757961785E-3</v>
      </c>
      <c r="Q907" s="100">
        <f>IF(SamplingData[[#This Row],[Max Error Bound (up)]] = 0,0,SamplingData[[#This Row],[Max Error Bound (up)]]/SamplingData[[#Totals],[Max Error Bound (up)]])</f>
        <v>5.0403331047918325E-4</v>
      </c>
      <c r="R907" s="101">
        <f>SUM($Q$5:Q907)</f>
        <v>0.22942861246133331</v>
      </c>
      <c r="S907" s="100" t="str">
        <f t="array" ref="S907">IF(SamplingData[[#This Row],[up/U Selection Probability]] = 0, "Zero", TEXT(SamplingData[[#This Row],[Lower Range]], REPT("0",LEN('General Info'!$B$40))) &amp; " - " &amp; TEXT(SamplingData[[#This Row],[Upper Range]], REPT("0",LEN('General Info'!$B$40))))</f>
        <v>22892 - 22942</v>
      </c>
      <c r="T907" s="100">
        <f>SamplingData[[#This Row],[Upper Range]]-SamplingData[[#This Row],[Span]]</f>
        <v>22892.458419118724</v>
      </c>
      <c r="U907" s="100">
        <f>IF(ISNUMBER('General Info'!$B$40), ((SamplingData[[#This Row],[up/U Selection Probability]]) * 'General Info'!$B$40) - 1, 0)</f>
        <v>49.402827014607844</v>
      </c>
      <c r="V907" s="100">
        <f>IF(ISNUMBER('General Info'!$B$40), (SamplingData[[#This Row],[Running (cumulative) sum]] * ('General Info'!$B$40 -'General Info'!$B$41 + 1)) + 'General Info'!$B$41 - 1, 0)</f>
        <v>22941.861246133332</v>
      </c>
      <c r="W907" s="100" t="str">
        <f>IF(ISERROR(MATCH(SamplingData[[#This Row],[Batch by Type (p)]],SelectedPrecincts[Batch Name], 0)), "", INDEX(SelectedPrecincts[Draw], MATCH(SamplingData[[#This Row],[Batch by Type (p)]],SelectedPrecincts[Batch Name], 0)))</f>
        <v/>
      </c>
      <c r="X907" s="102">
        <f>IF(COUNTIF(SelectedPrecincts[Batch Name],SamplingData[[#This Row],[Batch by Type (p)]]) &lt;&gt; 0, COUNTIF(SelectedPrecincts[Batch Name],SamplingData[[#This Row],[Batch by Type (p)]]), 0)</f>
        <v>0</v>
      </c>
    </row>
    <row r="908" spans="1:24" ht="15" customHeight="1">
      <c r="A908" s="18" t="s">
        <v>1084</v>
      </c>
      <c r="B908" s="18">
        <v>6</v>
      </c>
      <c r="C908" s="18">
        <v>2</v>
      </c>
      <c r="D908" s="18">
        <v>0</v>
      </c>
      <c r="E908" s="18">
        <v>0</v>
      </c>
      <c r="F908" s="18">
        <v>0</v>
      </c>
      <c r="G908" s="18">
        <v>0</v>
      </c>
      <c r="H908" s="18">
        <v>0</v>
      </c>
      <c r="I908" s="18">
        <v>0</v>
      </c>
      <c r="J908" s="99">
        <f>SUM(SamplingData[[#This Row],[Losing Candidate]:[Under Votes]])</f>
        <v>8</v>
      </c>
      <c r="K908"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908" s="100">
        <f>IF(AND(SamplingData[[#This Row],[Total]]&lt;&gt; 0, NOT(ISBLANK(SamplingData[[#This Row],[Candidate 3]]))),(SamplingData[[#This Row],[Total]]+SamplingData[[#This Row],[Winning Candidate]]-SamplingData[[#This Row],[Candidate 3]])/(SamplingData[[#Totals],[Winning Candidate]]-SamplingData[[#Totals],[Candidate 3]]), 0)</f>
        <v>3.2261186566441915E-4</v>
      </c>
      <c r="M908" s="100">
        <f>IF(AND(SamplingData[[#This Row],[Total]]&lt;&gt; 0, NOT(ISBLANK(SamplingData[[#This Row],[Candidate 4]]))),(SamplingData[[#This Row],[Total]]+SamplingData[[#This Row],[Winning Candidate]]-SamplingData[[#This Row],[Candidate 4]])/(SamplingData[[#Totals],[Winning Candidate]]-SamplingData[[#Totals],[Candidate 4]]), 0)</f>
        <v>2.9232073430968461E-4</v>
      </c>
      <c r="N908" s="100">
        <f>IF(AND(SamplingData[[#This Row],[Total]]&lt;&gt; 0, NOT(ISBLANK(SamplingData[[#This Row],[Candidate 5]]))),(SamplingData[[#This Row],[Total]]+SamplingData[[#This Row],[Winning Candidate]]-SamplingData[[#This Row],[Candidate 5]])/(SamplingData[[#Totals],[Winning Candidate]]-SamplingData[[#Totals],[Candidate 5]]), 0)</f>
        <v>2.4324981756263683E-4</v>
      </c>
      <c r="O908" s="100">
        <f>IF(AND(SamplingData[[#This Row],[Total]]&lt;&gt; 0, NOT(ISBLANK(SamplingData[[#This Row],[Candidate 6]]))),(SamplingData[[#This Row],[Total]]+SamplingData[[#This Row],[Winning Candidate]]-SamplingData[[#This Row],[Candidate 6]])/(SamplingData[[#Totals],[Winning Candidate]]-SamplingData[[#Totals],[Candidate 6]]), 0)</f>
        <v>2.431788337143135E-4</v>
      </c>
      <c r="P908" s="100">
        <f>MAX(SamplingData[[#This Row],[Error Bound (up) - Max. possible relative overstatement - Losing Candidate]:[Error Bound (up) - Max. possible relative overstatement - Candidate 6]])</f>
        <v>3.2261186566441915E-4</v>
      </c>
      <c r="Q908" s="100">
        <f>IF(SamplingData[[#This Row],[Max Error Bound (up)]] = 0,0,SamplingData[[#This Row],[Max Error Bound (up)]]/SamplingData[[#Totals],[Max Error Bound (up)]])</f>
        <v>5.1058637768320656E-5</v>
      </c>
      <c r="R908" s="101">
        <f>SUM($Q$5:Q908)</f>
        <v>0.22947967109910164</v>
      </c>
      <c r="S908" s="100" t="str">
        <f t="array" ref="S908">IF(SamplingData[[#This Row],[up/U Selection Probability]] = 0, "Zero", TEXT(SamplingData[[#This Row],[Lower Range]], REPT("0",LEN('General Info'!$B$40))) &amp; " - " &amp; TEXT(SamplingData[[#This Row],[Upper Range]], REPT("0",LEN('General Info'!$B$40))))</f>
        <v>22943 - 22947</v>
      </c>
      <c r="T908" s="100">
        <f>SamplingData[[#This Row],[Upper Range]]-SamplingData[[#This Row],[Span]]</f>
        <v>22942.861297191972</v>
      </c>
      <c r="U908" s="100">
        <f>IF(ISNUMBER('General Info'!$B$40), ((SamplingData[[#This Row],[up/U Selection Probability]]) * 'General Info'!$B$40) - 1, 0)</f>
        <v>4.1058127181942972</v>
      </c>
      <c r="V908" s="100">
        <f>IF(ISNUMBER('General Info'!$B$40), (SamplingData[[#This Row],[Running (cumulative) sum]] * ('General Info'!$B$40 -'General Info'!$B$41 + 1)) + 'General Info'!$B$41 - 1, 0)</f>
        <v>22946.967109910165</v>
      </c>
      <c r="W908" s="100" t="str">
        <f>IF(ISERROR(MATCH(SamplingData[[#This Row],[Batch by Type (p)]],SelectedPrecincts[Batch Name], 0)), "", INDEX(SelectedPrecincts[Draw], MATCH(SamplingData[[#This Row],[Batch by Type (p)]],SelectedPrecincts[Batch Name], 0)))</f>
        <v/>
      </c>
      <c r="X908" s="102">
        <f>IF(COUNTIF(SelectedPrecincts[Batch Name],SamplingData[[#This Row],[Batch by Type (p)]]) &lt;&gt; 0, COUNTIF(SelectedPrecincts[Batch Name],SamplingData[[#This Row],[Batch by Type (p)]]), 0)</f>
        <v>0</v>
      </c>
    </row>
    <row r="909" spans="1:24" ht="15" customHeight="1">
      <c r="A909" s="18" t="s">
        <v>1085</v>
      </c>
      <c r="B909" s="18">
        <v>11</v>
      </c>
      <c r="C909" s="18">
        <v>21</v>
      </c>
      <c r="D909" s="16">
        <v>3</v>
      </c>
      <c r="E909" s="16">
        <v>3</v>
      </c>
      <c r="F909" s="37">
        <v>1</v>
      </c>
      <c r="G909" s="37">
        <v>0</v>
      </c>
      <c r="H909" s="17">
        <v>0</v>
      </c>
      <c r="I909" s="17">
        <v>2</v>
      </c>
      <c r="J909" s="99">
        <f>SUM(SamplingData[[#This Row],[Losing Candidate]:[Under Votes]])</f>
        <v>41</v>
      </c>
      <c r="K909" s="100">
        <f>IF(AND(SamplingData[[#This Row],[Total]]&lt;&gt; 0, NOT(ISBLANK(SamplingData[[#This Row],[Losing Candidate]]))),(SamplingData[[#This Row],[Total]]+SamplingData[[#This Row],[Winning Candidate]]-SamplingData[[#This Row],[Losing Candidate]])/(SamplingData[[#Totals],[Winning Candidate]]-SamplingData[[#Totals],[Losing Candidate]]), 0)</f>
        <v>3.1234688878000981E-3</v>
      </c>
      <c r="L909" s="100">
        <f>IF(AND(SamplingData[[#This Row],[Total]]&lt;&gt; 0, NOT(ISBLANK(SamplingData[[#This Row],[Candidate 3]]))),(SamplingData[[#This Row],[Total]]+SamplingData[[#This Row],[Winning Candidate]]-SamplingData[[#This Row],[Candidate 3]])/(SamplingData[[#Totals],[Winning Candidate]]-SamplingData[[#Totals],[Candidate 3]]), 0)</f>
        <v>1.9034100074200729E-3</v>
      </c>
      <c r="M909" s="100">
        <f>IF(AND(SamplingData[[#This Row],[Total]]&lt;&gt; 0, NOT(ISBLANK(SamplingData[[#This Row],[Candidate 4]]))),(SamplingData[[#This Row],[Total]]+SamplingData[[#This Row],[Winning Candidate]]-SamplingData[[#This Row],[Candidate 4]])/(SamplingData[[#Totals],[Winning Candidate]]-SamplingData[[#Totals],[Candidate 4]]), 0)</f>
        <v>1.7246923324271391E-3</v>
      </c>
      <c r="N909" s="100">
        <f>IF(AND(SamplingData[[#This Row],[Total]]&lt;&gt; 0, NOT(ISBLANK(SamplingData[[#This Row],[Candidate 5]]))),(SamplingData[[#This Row],[Total]]+SamplingData[[#This Row],[Winning Candidate]]-SamplingData[[#This Row],[Candidate 5]])/(SamplingData[[#Totals],[Winning Candidate]]-SamplingData[[#Totals],[Candidate 5]]), 0)</f>
        <v>1.4838238871320846E-3</v>
      </c>
      <c r="O909" s="100">
        <f>IF(AND(SamplingData[[#This Row],[Total]]&lt;&gt; 0, NOT(ISBLANK(SamplingData[[#This Row],[Candidate 6]]))),(SamplingData[[#This Row],[Total]]+SamplingData[[#This Row],[Winning Candidate]]-SamplingData[[#This Row],[Candidate 6]])/(SamplingData[[#Totals],[Winning Candidate]]-SamplingData[[#Totals],[Candidate 6]]), 0)</f>
        <v>1.5077087690287436E-3</v>
      </c>
      <c r="P909" s="100">
        <f>MAX(SamplingData[[#This Row],[Error Bound (up) - Max. possible relative overstatement - Losing Candidate]:[Error Bound (up) - Max. possible relative overstatement - Candidate 6]])</f>
        <v>3.1234688878000981E-3</v>
      </c>
      <c r="Q909" s="100">
        <f>IF(SamplingData[[#This Row],[Max Error Bound (up)]] = 0,0,SamplingData[[#This Row],[Max Error Bound (up)]]/SamplingData[[#Totals],[Max Error Bound (up)]])</f>
        <v>4.9434036220073741E-4</v>
      </c>
      <c r="R909" s="101">
        <f>SUM($Q$5:Q909)</f>
        <v>0.22997401146130236</v>
      </c>
      <c r="S909" s="100" t="str">
        <f t="array" ref="S909">IF(SamplingData[[#This Row],[up/U Selection Probability]] = 0, "Zero", TEXT(SamplingData[[#This Row],[Lower Range]], REPT("0",LEN('General Info'!$B$40))) &amp; " - " &amp; TEXT(SamplingData[[#This Row],[Upper Range]], REPT("0",LEN('General Info'!$B$40))))</f>
        <v>22948 - 22996</v>
      </c>
      <c r="T909" s="100">
        <f>SamplingData[[#This Row],[Upper Range]]-SamplingData[[#This Row],[Span]]</f>
        <v>22947.967604250523</v>
      </c>
      <c r="U909" s="100">
        <f>IF(ISNUMBER('General Info'!$B$40), ((SamplingData[[#This Row],[up/U Selection Probability]]) * 'General Info'!$B$40) - 1, 0)</f>
        <v>48.433541879711541</v>
      </c>
      <c r="V909" s="100">
        <f>IF(ISNUMBER('General Info'!$B$40), (SamplingData[[#This Row],[Running (cumulative) sum]] * ('General Info'!$B$40 -'General Info'!$B$41 + 1)) + 'General Info'!$B$41 - 1, 0)</f>
        <v>22996.401146130236</v>
      </c>
      <c r="W909" s="100" t="str">
        <f>IF(ISERROR(MATCH(SamplingData[[#This Row],[Batch by Type (p)]],SelectedPrecincts[Batch Name], 0)), "", INDEX(SelectedPrecincts[Draw], MATCH(SamplingData[[#This Row],[Batch by Type (p)]],SelectedPrecincts[Batch Name], 0)))</f>
        <v/>
      </c>
      <c r="X909" s="102">
        <f>IF(COUNTIF(SelectedPrecincts[Batch Name],SamplingData[[#This Row],[Batch by Type (p)]]) &lt;&gt; 0, COUNTIF(SelectedPrecincts[Batch Name],SamplingData[[#This Row],[Batch by Type (p)]]), 0)</f>
        <v>0</v>
      </c>
    </row>
    <row r="910" spans="1:24" ht="15" customHeight="1">
      <c r="A910" s="18" t="s">
        <v>1086</v>
      </c>
      <c r="B910" s="18">
        <v>11</v>
      </c>
      <c r="C910" s="18">
        <v>4</v>
      </c>
      <c r="D910" s="18">
        <v>0</v>
      </c>
      <c r="E910" s="18">
        <v>2</v>
      </c>
      <c r="F910" s="18">
        <v>0</v>
      </c>
      <c r="G910" s="18">
        <v>0</v>
      </c>
      <c r="H910" s="18">
        <v>0</v>
      </c>
      <c r="I910" s="18">
        <v>0</v>
      </c>
      <c r="J910" s="99">
        <f>SUM(SamplingData[[#This Row],[Losing Candidate]:[Under Votes]])</f>
        <v>17</v>
      </c>
      <c r="K910"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910" s="100">
        <f>IF(AND(SamplingData[[#This Row],[Total]]&lt;&gt; 0, NOT(ISBLANK(SamplingData[[#This Row],[Candidate 3]]))),(SamplingData[[#This Row],[Total]]+SamplingData[[#This Row],[Winning Candidate]]-SamplingData[[#This Row],[Candidate 3]])/(SamplingData[[#Totals],[Winning Candidate]]-SamplingData[[#Totals],[Candidate 3]]), 0)</f>
        <v>6.7748491789528019E-4</v>
      </c>
      <c r="M910" s="100">
        <f>IF(AND(SamplingData[[#This Row],[Total]]&lt;&gt; 0, NOT(ISBLANK(SamplingData[[#This Row],[Candidate 4]]))),(SamplingData[[#This Row],[Total]]+SamplingData[[#This Row],[Winning Candidate]]-SamplingData[[#This Row],[Candidate 4]])/(SamplingData[[#Totals],[Winning Candidate]]-SamplingData[[#Totals],[Candidate 4]]), 0)</f>
        <v>5.5540939518840076E-4</v>
      </c>
      <c r="N910" s="100">
        <f>IF(AND(SamplingData[[#This Row],[Total]]&lt;&gt; 0, NOT(ISBLANK(SamplingData[[#This Row],[Candidate 5]]))),(SamplingData[[#This Row],[Total]]+SamplingData[[#This Row],[Winning Candidate]]-SamplingData[[#This Row],[Candidate 5]])/(SamplingData[[#Totals],[Winning Candidate]]-SamplingData[[#Totals],[Candidate 5]]), 0)</f>
        <v>5.1082461688153739E-4</v>
      </c>
      <c r="O910" s="100">
        <f>IF(AND(SamplingData[[#This Row],[Total]]&lt;&gt; 0, NOT(ISBLANK(SamplingData[[#This Row],[Candidate 6]]))),(SamplingData[[#This Row],[Total]]+SamplingData[[#This Row],[Winning Candidate]]-SamplingData[[#This Row],[Candidate 6]])/(SamplingData[[#Totals],[Winning Candidate]]-SamplingData[[#Totals],[Candidate 6]]), 0)</f>
        <v>5.1067555080005838E-4</v>
      </c>
      <c r="P910" s="100">
        <f>MAX(SamplingData[[#This Row],[Error Bound (up) - Max. possible relative overstatement - Losing Candidate]:[Error Bound (up) - Max. possible relative overstatement - Candidate 6]])</f>
        <v>6.7748491789528019E-4</v>
      </c>
      <c r="Q910" s="100">
        <f>IF(SamplingData[[#This Row],[Max Error Bound (up)]] = 0,0,SamplingData[[#This Row],[Max Error Bound (up)]]/SamplingData[[#Totals],[Max Error Bound (up)]])</f>
        <v>1.0722313931347338E-4</v>
      </c>
      <c r="R910" s="101">
        <f>SUM($Q$5:Q910)</f>
        <v>0.23008123460061583</v>
      </c>
      <c r="S910" s="100" t="str">
        <f t="array" ref="S910">IF(SamplingData[[#This Row],[up/U Selection Probability]] = 0, "Zero", TEXT(SamplingData[[#This Row],[Lower Range]], REPT("0",LEN('General Info'!$B$40))) &amp; " - " &amp; TEXT(SamplingData[[#This Row],[Upper Range]], REPT("0",LEN('General Info'!$B$40))))</f>
        <v>22997 - 23007</v>
      </c>
      <c r="T910" s="100">
        <f>SamplingData[[#This Row],[Upper Range]]-SamplingData[[#This Row],[Span]]</f>
        <v>22997.401253353375</v>
      </c>
      <c r="U910" s="100">
        <f>IF(ISNUMBER('General Info'!$B$40), ((SamplingData[[#This Row],[up/U Selection Probability]]) * 'General Info'!$B$40) - 1, 0)</f>
        <v>9.7222067082080255</v>
      </c>
      <c r="V910" s="100">
        <f>IF(ISNUMBER('General Info'!$B$40), (SamplingData[[#This Row],[Running (cumulative) sum]] * ('General Info'!$B$40 -'General Info'!$B$41 + 1)) + 'General Info'!$B$41 - 1, 0)</f>
        <v>23007.123460061583</v>
      </c>
      <c r="W910" s="100" t="str">
        <f>IF(ISERROR(MATCH(SamplingData[[#This Row],[Batch by Type (p)]],SelectedPrecincts[Batch Name], 0)), "", INDEX(SelectedPrecincts[Draw], MATCH(SamplingData[[#This Row],[Batch by Type (p)]],SelectedPrecincts[Batch Name], 0)))</f>
        <v/>
      </c>
      <c r="X910" s="102">
        <f>IF(COUNTIF(SelectedPrecincts[Batch Name],SamplingData[[#This Row],[Batch by Type (p)]]) &lt;&gt; 0, COUNTIF(SelectedPrecincts[Batch Name],SamplingData[[#This Row],[Batch by Type (p)]]), 0)</f>
        <v>0</v>
      </c>
    </row>
    <row r="911" spans="1:24" ht="15" customHeight="1">
      <c r="A911" s="18" t="s">
        <v>1087</v>
      </c>
      <c r="B911" s="18">
        <v>20</v>
      </c>
      <c r="C911" s="18">
        <v>19</v>
      </c>
      <c r="D911" s="16">
        <v>4</v>
      </c>
      <c r="E911" s="16">
        <v>1</v>
      </c>
      <c r="F911" s="37">
        <v>0</v>
      </c>
      <c r="G911" s="37">
        <v>0</v>
      </c>
      <c r="H911" s="17">
        <v>0</v>
      </c>
      <c r="I911" s="17">
        <v>0</v>
      </c>
      <c r="J911" s="99">
        <f>SUM(SamplingData[[#This Row],[Losing Candidate]:[Under Votes]])</f>
        <v>44</v>
      </c>
      <c r="K911"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911" s="100">
        <f>IF(AND(SamplingData[[#This Row],[Total]]&lt;&gt; 0, NOT(ISBLANK(SamplingData[[#This Row],[Candidate 3]]))),(SamplingData[[#This Row],[Total]]+SamplingData[[#This Row],[Winning Candidate]]-SamplingData[[#This Row],[Candidate 3]])/(SamplingData[[#Totals],[Winning Candidate]]-SamplingData[[#Totals],[Candidate 3]]), 0)</f>
        <v>1.9034100074200729E-3</v>
      </c>
      <c r="M911" s="100">
        <f>IF(AND(SamplingData[[#This Row],[Total]]&lt;&gt; 0, NOT(ISBLANK(SamplingData[[#This Row],[Candidate 4]]))),(SamplingData[[#This Row],[Total]]+SamplingData[[#This Row],[Winning Candidate]]-SamplingData[[#This Row],[Candidate 4]])/(SamplingData[[#Totals],[Winning Candidate]]-SamplingData[[#Totals],[Candidate 4]]), 0)</f>
        <v>1.8123885527200445E-3</v>
      </c>
      <c r="N911" s="100">
        <f>IF(AND(SamplingData[[#This Row],[Total]]&lt;&gt; 0, NOT(ISBLANK(SamplingData[[#This Row],[Candidate 5]]))),(SamplingData[[#This Row],[Total]]+SamplingData[[#This Row],[Winning Candidate]]-SamplingData[[#This Row],[Candidate 5]])/(SamplingData[[#Totals],[Winning Candidate]]-SamplingData[[#Totals],[Candidate 5]]), 0)</f>
        <v>1.5324738506446119E-3</v>
      </c>
      <c r="O911" s="100">
        <f>IF(AND(SamplingData[[#This Row],[Total]]&lt;&gt; 0, NOT(ISBLANK(SamplingData[[#This Row],[Candidate 6]]))),(SamplingData[[#This Row],[Total]]+SamplingData[[#This Row],[Winning Candidate]]-SamplingData[[#This Row],[Candidate 6]])/(SamplingData[[#Totals],[Winning Candidate]]-SamplingData[[#Totals],[Candidate 6]]), 0)</f>
        <v>1.532026652400175E-3</v>
      </c>
      <c r="P911" s="100">
        <f>MAX(SamplingData[[#This Row],[Error Bound (up) - Max. possible relative overstatement - Losing Candidate]:[Error Bound (up) - Max. possible relative overstatement - Candidate 6]])</f>
        <v>2.6335129838314553E-3</v>
      </c>
      <c r="Q911" s="100">
        <f>IF(SamplingData[[#This Row],[Max Error Bound (up)]] = 0,0,SamplingData[[#This Row],[Max Error Bound (up)]]/SamplingData[[#Totals],[Max Error Bound (up)]])</f>
        <v>4.167967759731708E-4</v>
      </c>
      <c r="R911" s="101">
        <f>SUM($Q$5:Q911)</f>
        <v>0.230498031376589</v>
      </c>
      <c r="S911" s="100" t="str">
        <f t="array" ref="S911">IF(SamplingData[[#This Row],[up/U Selection Probability]] = 0, "Zero", TEXT(SamplingData[[#This Row],[Lower Range]], REPT("0",LEN('General Info'!$B$40))) &amp; " - " &amp; TEXT(SamplingData[[#This Row],[Upper Range]], REPT("0",LEN('General Info'!$B$40))))</f>
        <v>23008 - 23049</v>
      </c>
      <c r="T911" s="100">
        <f>SamplingData[[#This Row],[Upper Range]]-SamplingData[[#This Row],[Span]]</f>
        <v>23008.123876858357</v>
      </c>
      <c r="U911" s="100">
        <f>IF(ISNUMBER('General Info'!$B$40), ((SamplingData[[#This Row],[up/U Selection Probability]]) * 'General Info'!$B$40) - 1, 0)</f>
        <v>40.679260800541108</v>
      </c>
      <c r="V911" s="100">
        <f>IF(ISNUMBER('General Info'!$B$40), (SamplingData[[#This Row],[Running (cumulative) sum]] * ('General Info'!$B$40 -'General Info'!$B$41 + 1)) + 'General Info'!$B$41 - 1, 0)</f>
        <v>23048.803137658899</v>
      </c>
      <c r="W911" s="100" t="str">
        <f>IF(ISERROR(MATCH(SamplingData[[#This Row],[Batch by Type (p)]],SelectedPrecincts[Batch Name], 0)), "", INDEX(SelectedPrecincts[Draw], MATCH(SamplingData[[#This Row],[Batch by Type (p)]],SelectedPrecincts[Batch Name], 0)))</f>
        <v/>
      </c>
      <c r="X911" s="102">
        <f>IF(COUNTIF(SelectedPrecincts[Batch Name],SamplingData[[#This Row],[Batch by Type (p)]]) &lt;&gt; 0, COUNTIF(SelectedPrecincts[Batch Name],SamplingData[[#This Row],[Batch by Type (p)]]), 0)</f>
        <v>0</v>
      </c>
    </row>
    <row r="912" spans="1:24" ht="15" customHeight="1">
      <c r="A912" s="18" t="s">
        <v>1088</v>
      </c>
      <c r="B912" s="18">
        <v>9</v>
      </c>
      <c r="C912" s="18">
        <v>7</v>
      </c>
      <c r="D912" s="18">
        <v>1</v>
      </c>
      <c r="E912" s="18">
        <v>1</v>
      </c>
      <c r="F912" s="18">
        <v>0</v>
      </c>
      <c r="G912" s="18">
        <v>0</v>
      </c>
      <c r="H912" s="18">
        <v>0</v>
      </c>
      <c r="I912" s="18">
        <v>3</v>
      </c>
      <c r="J912" s="99">
        <f>SUM(SamplingData[[#This Row],[Losing Candidate]:[Under Votes]])</f>
        <v>21</v>
      </c>
      <c r="K912"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912" s="100">
        <f>IF(AND(SamplingData[[#This Row],[Total]]&lt;&gt; 0, NOT(ISBLANK(SamplingData[[#This Row],[Candidate 3]]))),(SamplingData[[#This Row],[Total]]+SamplingData[[#This Row],[Winning Candidate]]-SamplingData[[#This Row],[Candidate 3]])/(SamplingData[[#Totals],[Winning Candidate]]-SamplingData[[#Totals],[Candidate 3]]), 0)</f>
        <v>8.710520372939317E-4</v>
      </c>
      <c r="M912" s="100">
        <f>IF(AND(SamplingData[[#This Row],[Total]]&lt;&gt; 0, NOT(ISBLANK(SamplingData[[#This Row],[Candidate 4]]))),(SamplingData[[#This Row],[Total]]+SamplingData[[#This Row],[Winning Candidate]]-SamplingData[[#This Row],[Candidate 4]])/(SamplingData[[#Totals],[Winning Candidate]]-SamplingData[[#Totals],[Candidate 4]]), 0)</f>
        <v>7.8926598263614838E-4</v>
      </c>
      <c r="N912" s="100">
        <f>IF(AND(SamplingData[[#This Row],[Total]]&lt;&gt; 0, NOT(ISBLANK(SamplingData[[#This Row],[Candidate 5]]))),(SamplingData[[#This Row],[Total]]+SamplingData[[#This Row],[Winning Candidate]]-SamplingData[[#This Row],[Candidate 5]])/(SamplingData[[#Totals],[Winning Candidate]]-SamplingData[[#Totals],[Candidate 5]]), 0)</f>
        <v>6.8109948917538315E-4</v>
      </c>
      <c r="O912" s="100">
        <f>IF(AND(SamplingData[[#This Row],[Total]]&lt;&gt; 0, NOT(ISBLANK(SamplingData[[#This Row],[Candidate 6]]))),(SamplingData[[#This Row],[Total]]+SamplingData[[#This Row],[Winning Candidate]]-SamplingData[[#This Row],[Candidate 6]])/(SamplingData[[#Totals],[Winning Candidate]]-SamplingData[[#Totals],[Candidate 6]]), 0)</f>
        <v>6.8090073440007777E-4</v>
      </c>
      <c r="P912" s="100">
        <f>MAX(SamplingData[[#This Row],[Error Bound (up) - Max. possible relative overstatement - Losing Candidate]:[Error Bound (up) - Max. possible relative overstatement - Candidate 6]])</f>
        <v>1.1636452719255266E-3</v>
      </c>
      <c r="Q912" s="100">
        <f>IF(SamplingData[[#This Row],[Max Error Bound (up)]] = 0,0,SamplingData[[#This Row],[Max Error Bound (up)]]/SamplingData[[#Totals],[Max Error Bound (up)]])</f>
        <v>1.841660172904708E-4</v>
      </c>
      <c r="R912" s="101">
        <f>SUM($Q$5:Q912)</f>
        <v>0.23068219739387946</v>
      </c>
      <c r="S912" s="100" t="str">
        <f t="array" ref="S912">IF(SamplingData[[#This Row],[up/U Selection Probability]] = 0, "Zero", TEXT(SamplingData[[#This Row],[Lower Range]], REPT("0",LEN('General Info'!$B$40))) &amp; " - " &amp; TEXT(SamplingData[[#This Row],[Upper Range]], REPT("0",LEN('General Info'!$B$40))))</f>
        <v>23050 - 23067</v>
      </c>
      <c r="T912" s="100">
        <f>SamplingData[[#This Row],[Upper Range]]-SamplingData[[#This Row],[Span]]</f>
        <v>23049.803321824918</v>
      </c>
      <c r="U912" s="100">
        <f>IF(ISNUMBER('General Info'!$B$40), ((SamplingData[[#This Row],[up/U Selection Probability]]) * 'General Info'!$B$40) - 1, 0)</f>
        <v>17.416417563029789</v>
      </c>
      <c r="V912" s="100">
        <f>IF(ISNUMBER('General Info'!$B$40), (SamplingData[[#This Row],[Running (cumulative) sum]] * ('General Info'!$B$40 -'General Info'!$B$41 + 1)) + 'General Info'!$B$41 - 1, 0)</f>
        <v>23067.219739387947</v>
      </c>
      <c r="W912" s="100" t="str">
        <f>IF(ISERROR(MATCH(SamplingData[[#This Row],[Batch by Type (p)]],SelectedPrecincts[Batch Name], 0)), "", INDEX(SelectedPrecincts[Draw], MATCH(SamplingData[[#This Row],[Batch by Type (p)]],SelectedPrecincts[Batch Name], 0)))</f>
        <v/>
      </c>
      <c r="X912" s="102">
        <f>IF(COUNTIF(SelectedPrecincts[Batch Name],SamplingData[[#This Row],[Batch by Type (p)]]) &lt;&gt; 0, COUNTIF(SelectedPrecincts[Batch Name],SamplingData[[#This Row],[Batch by Type (p)]]), 0)</f>
        <v>0</v>
      </c>
    </row>
    <row r="913" spans="1:24" ht="15" customHeight="1">
      <c r="A913" s="18" t="s">
        <v>1089</v>
      </c>
      <c r="B913" s="18">
        <v>16</v>
      </c>
      <c r="C913" s="18">
        <v>19</v>
      </c>
      <c r="D913" s="16">
        <v>11</v>
      </c>
      <c r="E913" s="16">
        <v>13</v>
      </c>
      <c r="F913" s="37">
        <v>1</v>
      </c>
      <c r="G913" s="37">
        <v>0</v>
      </c>
      <c r="H913" s="17">
        <v>0</v>
      </c>
      <c r="I913" s="17">
        <v>1</v>
      </c>
      <c r="J913" s="99">
        <f>SUM(SamplingData[[#This Row],[Losing Candidate]:[Under Votes]])</f>
        <v>61</v>
      </c>
      <c r="K913" s="100">
        <f>IF(AND(SamplingData[[#This Row],[Total]]&lt;&gt; 0, NOT(ISBLANK(SamplingData[[#This Row],[Losing Candidate]]))),(SamplingData[[#This Row],[Total]]+SamplingData[[#This Row],[Winning Candidate]]-SamplingData[[#This Row],[Losing Candidate]])/(SamplingData[[#Totals],[Winning Candidate]]-SamplingData[[#Totals],[Losing Candidate]]), 0)</f>
        <v>3.9196472317491425E-3</v>
      </c>
      <c r="L913" s="100">
        <f>IF(AND(SamplingData[[#This Row],[Total]]&lt;&gt; 0, NOT(ISBLANK(SamplingData[[#This Row],[Candidate 3]]))),(SamplingData[[#This Row],[Total]]+SamplingData[[#This Row],[Winning Candidate]]-SamplingData[[#This Row],[Candidate 3]])/(SamplingData[[#Totals],[Winning Candidate]]-SamplingData[[#Totals],[Candidate 3]]), 0)</f>
        <v>2.2260218730844922E-3</v>
      </c>
      <c r="M913" s="100">
        <f>IF(AND(SamplingData[[#This Row],[Total]]&lt;&gt; 0, NOT(ISBLANK(SamplingData[[#This Row],[Candidate 4]]))),(SamplingData[[#This Row],[Total]]+SamplingData[[#This Row],[Winning Candidate]]-SamplingData[[#This Row],[Candidate 4]])/(SamplingData[[#Totals],[Winning Candidate]]-SamplingData[[#Totals],[Candidate 4]]), 0)</f>
        <v>1.9585489198748868E-3</v>
      </c>
      <c r="N913" s="100">
        <f>IF(AND(SamplingData[[#This Row],[Total]]&lt;&gt; 0, NOT(ISBLANK(SamplingData[[#This Row],[Candidate 5]]))),(SamplingData[[#This Row],[Total]]+SamplingData[[#This Row],[Winning Candidate]]-SamplingData[[#This Row],[Candidate 5]])/(SamplingData[[#Totals],[Winning Candidate]]-SamplingData[[#Totals],[Candidate 5]]), 0)</f>
        <v>1.921673558744831E-3</v>
      </c>
      <c r="O913" s="100">
        <f>IF(AND(SamplingData[[#This Row],[Total]]&lt;&gt; 0, NOT(ISBLANK(SamplingData[[#This Row],[Candidate 6]]))),(SamplingData[[#This Row],[Total]]+SamplingData[[#This Row],[Winning Candidate]]-SamplingData[[#This Row],[Candidate 6]])/(SamplingData[[#Totals],[Winning Candidate]]-SamplingData[[#Totals],[Candidate 6]]), 0)</f>
        <v>1.945430669714508E-3</v>
      </c>
      <c r="P913" s="100">
        <f>MAX(SamplingData[[#This Row],[Error Bound (up) - Max. possible relative overstatement - Losing Candidate]:[Error Bound (up) - Max. possible relative overstatement - Candidate 6]])</f>
        <v>3.9196472317491425E-3</v>
      </c>
      <c r="Q913" s="100">
        <f>IF(SamplingData[[#This Row],[Max Error Bound (up)]] = 0,0,SamplingData[[#This Row],[Max Error Bound (up)]]/SamplingData[[#Totals],[Max Error Bound (up)]])</f>
        <v>6.2034868982053322E-4</v>
      </c>
      <c r="R913" s="101">
        <f>SUM($Q$5:Q913)</f>
        <v>0.23130254608369999</v>
      </c>
      <c r="S913" s="100" t="str">
        <f t="array" ref="S913">IF(SamplingData[[#This Row],[up/U Selection Probability]] = 0, "Zero", TEXT(SamplingData[[#This Row],[Lower Range]], REPT("0",LEN('General Info'!$B$40))) &amp; " - " &amp; TEXT(SamplingData[[#This Row],[Upper Range]], REPT("0",LEN('General Info'!$B$40))))</f>
        <v>23068 - 23129</v>
      </c>
      <c r="T913" s="100">
        <f>SamplingData[[#This Row],[Upper Range]]-SamplingData[[#This Row],[Span]]</f>
        <v>23068.220359736635</v>
      </c>
      <c r="U913" s="100">
        <f>IF(ISNUMBER('General Info'!$B$40), ((SamplingData[[#This Row],[up/U Selection Probability]]) * 'General Info'!$B$40) - 1, 0)</f>
        <v>61.034248633363504</v>
      </c>
      <c r="V913" s="100">
        <f>IF(ISNUMBER('General Info'!$B$40), (SamplingData[[#This Row],[Running (cumulative) sum]] * ('General Info'!$B$40 -'General Info'!$B$41 + 1)) + 'General Info'!$B$41 - 1, 0)</f>
        <v>23129.25460837</v>
      </c>
      <c r="W913" s="100" t="str">
        <f>IF(ISERROR(MATCH(SamplingData[[#This Row],[Batch by Type (p)]],SelectedPrecincts[Batch Name], 0)), "", INDEX(SelectedPrecincts[Draw], MATCH(SamplingData[[#This Row],[Batch by Type (p)]],SelectedPrecincts[Batch Name], 0)))</f>
        <v/>
      </c>
      <c r="X913" s="102">
        <f>IF(COUNTIF(SelectedPrecincts[Batch Name],SamplingData[[#This Row],[Batch by Type (p)]]) &lt;&gt; 0, COUNTIF(SelectedPrecincts[Batch Name],SamplingData[[#This Row],[Batch by Type (p)]]), 0)</f>
        <v>0</v>
      </c>
    </row>
    <row r="914" spans="1:24" ht="15" customHeight="1">
      <c r="A914" s="18" t="s">
        <v>1090</v>
      </c>
      <c r="B914" s="18">
        <v>4</v>
      </c>
      <c r="C914" s="18">
        <v>2</v>
      </c>
      <c r="D914" s="18">
        <v>4</v>
      </c>
      <c r="E914" s="18">
        <v>2</v>
      </c>
      <c r="F914" s="18">
        <v>0</v>
      </c>
      <c r="G914" s="18">
        <v>0</v>
      </c>
      <c r="H914" s="18">
        <v>0</v>
      </c>
      <c r="I914" s="18">
        <v>0</v>
      </c>
      <c r="J914" s="99">
        <f>SUM(SamplingData[[#This Row],[Losing Candidate]:[Under Votes]])</f>
        <v>12</v>
      </c>
      <c r="K91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914" s="100">
        <f>IF(AND(SamplingData[[#This Row],[Total]]&lt;&gt; 0, NOT(ISBLANK(SamplingData[[#This Row],[Candidate 3]]))),(SamplingData[[#This Row],[Total]]+SamplingData[[#This Row],[Winning Candidate]]-SamplingData[[#This Row],[Candidate 3]])/(SamplingData[[#Totals],[Winning Candidate]]-SamplingData[[#Totals],[Candidate 3]]), 0)</f>
        <v>3.2261186566441915E-4</v>
      </c>
      <c r="M914" s="100">
        <f>IF(AND(SamplingData[[#This Row],[Total]]&lt;&gt; 0, NOT(ISBLANK(SamplingData[[#This Row],[Candidate 4]]))),(SamplingData[[#This Row],[Total]]+SamplingData[[#This Row],[Winning Candidate]]-SamplingData[[#This Row],[Candidate 4]])/(SamplingData[[#Totals],[Winning Candidate]]-SamplingData[[#Totals],[Candidate 4]]), 0)</f>
        <v>3.5078488117162149E-4</v>
      </c>
      <c r="N914" s="100">
        <f>IF(AND(SamplingData[[#This Row],[Total]]&lt;&gt; 0, NOT(ISBLANK(SamplingData[[#This Row],[Candidate 5]]))),(SamplingData[[#This Row],[Total]]+SamplingData[[#This Row],[Winning Candidate]]-SamplingData[[#This Row],[Candidate 5]])/(SamplingData[[#Totals],[Winning Candidate]]-SamplingData[[#Totals],[Candidate 5]]), 0)</f>
        <v>3.4054974458769157E-4</v>
      </c>
      <c r="O914" s="100">
        <f>IF(AND(SamplingData[[#This Row],[Total]]&lt;&gt; 0, NOT(ISBLANK(SamplingData[[#This Row],[Candidate 6]]))),(SamplingData[[#This Row],[Total]]+SamplingData[[#This Row],[Winning Candidate]]-SamplingData[[#This Row],[Candidate 6]])/(SamplingData[[#Totals],[Winning Candidate]]-SamplingData[[#Totals],[Candidate 6]]), 0)</f>
        <v>3.4045036720003888E-4</v>
      </c>
      <c r="P914" s="100">
        <f>MAX(SamplingData[[#This Row],[Error Bound (up) - Max. possible relative overstatement - Losing Candidate]:[Error Bound (up) - Max. possible relative overstatement - Candidate 6]])</f>
        <v>6.1244487996080352E-4</v>
      </c>
      <c r="Q914" s="100">
        <f>IF(SamplingData[[#This Row],[Max Error Bound (up)]] = 0,0,SamplingData[[#This Row],[Max Error Bound (up)]]/SamplingData[[#Totals],[Max Error Bound (up)]])</f>
        <v>9.6929482784458319E-5</v>
      </c>
      <c r="R914" s="101">
        <f>SUM($Q$5:Q914)</f>
        <v>0.23139947556648444</v>
      </c>
      <c r="S914" s="100" t="str">
        <f t="array" ref="S914">IF(SamplingData[[#This Row],[up/U Selection Probability]] = 0, "Zero", TEXT(SamplingData[[#This Row],[Lower Range]], REPT("0",LEN('General Info'!$B$40))) &amp; " - " &amp; TEXT(SamplingData[[#This Row],[Upper Range]], REPT("0",LEN('General Info'!$B$40))))</f>
        <v>23130 - 23139</v>
      </c>
      <c r="T914" s="100">
        <f>SamplingData[[#This Row],[Upper Range]]-SamplingData[[#This Row],[Span]]</f>
        <v>23130.254705299481</v>
      </c>
      <c r="U914" s="100">
        <f>IF(ISNUMBER('General Info'!$B$40), ((SamplingData[[#This Row],[up/U Selection Probability]]) * 'General Info'!$B$40) - 1, 0)</f>
        <v>8.6928513489630479</v>
      </c>
      <c r="V914" s="100">
        <f>IF(ISNUMBER('General Info'!$B$40), (SamplingData[[#This Row],[Running (cumulative) sum]] * ('General Info'!$B$40 -'General Info'!$B$41 + 1)) + 'General Info'!$B$41 - 1, 0)</f>
        <v>23138.947556648443</v>
      </c>
      <c r="W914" s="100" t="str">
        <f>IF(ISERROR(MATCH(SamplingData[[#This Row],[Batch by Type (p)]],SelectedPrecincts[Batch Name], 0)), "", INDEX(SelectedPrecincts[Draw], MATCH(SamplingData[[#This Row],[Batch by Type (p)]],SelectedPrecincts[Batch Name], 0)))</f>
        <v/>
      </c>
      <c r="X914" s="102">
        <f>IF(COUNTIF(SelectedPrecincts[Batch Name],SamplingData[[#This Row],[Batch by Type (p)]]) &lt;&gt; 0, COUNTIF(SelectedPrecincts[Batch Name],SamplingData[[#This Row],[Batch by Type (p)]]), 0)</f>
        <v>0</v>
      </c>
    </row>
    <row r="915" spans="1:24" ht="15" customHeight="1">
      <c r="A915" s="18" t="s">
        <v>1091</v>
      </c>
      <c r="B915" s="18">
        <v>15</v>
      </c>
      <c r="C915" s="18">
        <v>11</v>
      </c>
      <c r="D915" s="16">
        <v>5</v>
      </c>
      <c r="E915" s="16">
        <v>4</v>
      </c>
      <c r="F915" s="37">
        <v>0</v>
      </c>
      <c r="G915" s="37">
        <v>1</v>
      </c>
      <c r="H915" s="17">
        <v>0</v>
      </c>
      <c r="I915" s="17">
        <v>0</v>
      </c>
      <c r="J915" s="99">
        <f>SUM(SamplingData[[#This Row],[Losing Candidate]:[Under Votes]])</f>
        <v>36</v>
      </c>
      <c r="K915"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915" s="100">
        <f>IF(AND(SamplingData[[#This Row],[Total]]&lt;&gt; 0, NOT(ISBLANK(SamplingData[[#This Row],[Candidate 3]]))),(SamplingData[[#This Row],[Total]]+SamplingData[[#This Row],[Winning Candidate]]-SamplingData[[#This Row],[Candidate 3]])/(SamplingData[[#Totals],[Winning Candidate]]-SamplingData[[#Totals],[Candidate 3]]), 0)</f>
        <v>1.3549698357905604E-3</v>
      </c>
      <c r="M915" s="100">
        <f>IF(AND(SamplingData[[#This Row],[Total]]&lt;&gt; 0, NOT(ISBLANK(SamplingData[[#This Row],[Candidate 4]]))),(SamplingData[[#This Row],[Total]]+SamplingData[[#This Row],[Winning Candidate]]-SamplingData[[#This Row],[Candidate 4]])/(SamplingData[[#Totals],[Winning Candidate]]-SamplingData[[#Totals],[Candidate 4]]), 0)</f>
        <v>1.2569791575316436E-3</v>
      </c>
      <c r="N915" s="100">
        <f>IF(AND(SamplingData[[#This Row],[Total]]&lt;&gt; 0, NOT(ISBLANK(SamplingData[[#This Row],[Candidate 5]]))),(SamplingData[[#This Row],[Total]]+SamplingData[[#This Row],[Winning Candidate]]-SamplingData[[#This Row],[Candidate 5]])/(SamplingData[[#Totals],[Winning Candidate]]-SamplingData[[#Totals],[Candidate 5]]), 0)</f>
        <v>1.1432741425443931E-3</v>
      </c>
      <c r="O915" s="100">
        <f>IF(AND(SamplingData[[#This Row],[Total]]&lt;&gt; 0, NOT(ISBLANK(SamplingData[[#This Row],[Candidate 6]]))),(SamplingData[[#This Row],[Total]]+SamplingData[[#This Row],[Winning Candidate]]-SamplingData[[#This Row],[Candidate 6]])/(SamplingData[[#Totals],[Winning Candidate]]-SamplingData[[#Totals],[Candidate 6]]), 0)</f>
        <v>1.1186226350858421E-3</v>
      </c>
      <c r="P915" s="100">
        <f>MAX(SamplingData[[#This Row],[Error Bound (up) - Max. possible relative overstatement - Losing Candidate]:[Error Bound (up) - Max. possible relative overstatement - Candidate 6]])</f>
        <v>1.9598236158745713E-3</v>
      </c>
      <c r="Q915" s="100">
        <f>IF(SamplingData[[#This Row],[Max Error Bound (up)]] = 0,0,SamplingData[[#This Row],[Max Error Bound (up)]]/SamplingData[[#Totals],[Max Error Bound (up)]])</f>
        <v>3.1017434491026661E-4</v>
      </c>
      <c r="R915" s="101">
        <f>SUM($Q$5:Q915)</f>
        <v>0.2317096499113947</v>
      </c>
      <c r="S915" s="100" t="str">
        <f t="array" ref="S915">IF(SamplingData[[#This Row],[up/U Selection Probability]] = 0, "Zero", TEXT(SamplingData[[#This Row],[Lower Range]], REPT("0",LEN('General Info'!$B$40))) &amp; " - " &amp; TEXT(SamplingData[[#This Row],[Upper Range]], REPT("0",LEN('General Info'!$B$40))))</f>
        <v>23140 - 23170</v>
      </c>
      <c r="T915" s="100">
        <f>SamplingData[[#This Row],[Upper Range]]-SamplingData[[#This Row],[Span]]</f>
        <v>23139.947866822789</v>
      </c>
      <c r="U915" s="100">
        <f>IF(ISNUMBER('General Info'!$B$40), ((SamplingData[[#This Row],[up/U Selection Probability]]) * 'General Info'!$B$40) - 1, 0)</f>
        <v>30.017124316681752</v>
      </c>
      <c r="V915" s="100">
        <f>IF(ISNUMBER('General Info'!$B$40), (SamplingData[[#This Row],[Running (cumulative) sum]] * ('General Info'!$B$40 -'General Info'!$B$41 + 1)) + 'General Info'!$B$41 - 1, 0)</f>
        <v>23169.96499113947</v>
      </c>
      <c r="W915" s="100" t="str">
        <f>IF(ISERROR(MATCH(SamplingData[[#This Row],[Batch by Type (p)]],SelectedPrecincts[Batch Name], 0)), "", INDEX(SelectedPrecincts[Draw], MATCH(SamplingData[[#This Row],[Batch by Type (p)]],SelectedPrecincts[Batch Name], 0)))</f>
        <v/>
      </c>
      <c r="X915" s="102">
        <f>IF(COUNTIF(SelectedPrecincts[Batch Name],SamplingData[[#This Row],[Batch by Type (p)]]) &lt;&gt; 0, COUNTIF(SelectedPrecincts[Batch Name],SamplingData[[#This Row],[Batch by Type (p)]]), 0)</f>
        <v>0</v>
      </c>
    </row>
    <row r="916" spans="1:24" ht="15" customHeight="1">
      <c r="A916" s="18" t="s">
        <v>1092</v>
      </c>
      <c r="B916" s="18">
        <v>8</v>
      </c>
      <c r="C916" s="18">
        <v>8</v>
      </c>
      <c r="D916" s="18">
        <v>6</v>
      </c>
      <c r="E916" s="18">
        <v>0</v>
      </c>
      <c r="F916" s="18">
        <v>0</v>
      </c>
      <c r="G916" s="18">
        <v>0</v>
      </c>
      <c r="H916" s="18">
        <v>0</v>
      </c>
      <c r="I916" s="18">
        <v>0</v>
      </c>
      <c r="J916" s="99">
        <f>SUM(SamplingData[[#This Row],[Losing Candidate]:[Under Votes]])</f>
        <v>22</v>
      </c>
      <c r="K916"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916" s="100">
        <f>IF(AND(SamplingData[[#This Row],[Total]]&lt;&gt; 0, NOT(ISBLANK(SamplingData[[#This Row],[Candidate 3]]))),(SamplingData[[#This Row],[Total]]+SamplingData[[#This Row],[Winning Candidate]]-SamplingData[[#This Row],[Candidate 3]])/(SamplingData[[#Totals],[Winning Candidate]]-SamplingData[[#Totals],[Candidate 3]]), 0)</f>
        <v>7.7426847759460595E-4</v>
      </c>
      <c r="M916" s="100">
        <f>IF(AND(SamplingData[[#This Row],[Total]]&lt;&gt; 0, NOT(ISBLANK(SamplingData[[#This Row],[Candidate 4]]))),(SamplingData[[#This Row],[Total]]+SamplingData[[#This Row],[Winning Candidate]]-SamplingData[[#This Row],[Candidate 4]])/(SamplingData[[#Totals],[Winning Candidate]]-SamplingData[[#Totals],[Candidate 4]]), 0)</f>
        <v>8.7696220292905378E-4</v>
      </c>
      <c r="N916" s="100">
        <f>IF(AND(SamplingData[[#This Row],[Total]]&lt;&gt; 0, NOT(ISBLANK(SamplingData[[#This Row],[Candidate 5]]))),(SamplingData[[#This Row],[Total]]+SamplingData[[#This Row],[Winning Candidate]]-SamplingData[[#This Row],[Candidate 5]])/(SamplingData[[#Totals],[Winning Candidate]]-SamplingData[[#Totals],[Candidate 5]]), 0)</f>
        <v>7.2974945268791051E-4</v>
      </c>
      <c r="O916" s="100">
        <f>IF(AND(SamplingData[[#This Row],[Total]]&lt;&gt; 0, NOT(ISBLANK(SamplingData[[#This Row],[Candidate 6]]))),(SamplingData[[#This Row],[Total]]+SamplingData[[#This Row],[Winning Candidate]]-SamplingData[[#This Row],[Candidate 6]])/(SamplingData[[#Totals],[Winning Candidate]]-SamplingData[[#Totals],[Candidate 6]]), 0)</f>
        <v>7.2953650114294054E-4</v>
      </c>
      <c r="P916" s="100">
        <f>MAX(SamplingData[[#This Row],[Error Bound (up) - Max. possible relative overstatement - Losing Candidate]:[Error Bound (up) - Max. possible relative overstatement - Candidate 6]])</f>
        <v>1.3473787359137678E-3</v>
      </c>
      <c r="Q916" s="100">
        <f>IF(SamplingData[[#This Row],[Max Error Bound (up)]] = 0,0,SamplingData[[#This Row],[Max Error Bound (up)]]/SamplingData[[#Totals],[Max Error Bound (up)]])</f>
        <v>2.1324486212580832E-4</v>
      </c>
      <c r="R916" s="101">
        <f>SUM($Q$5:Q916)</f>
        <v>0.23192289477352052</v>
      </c>
      <c r="S916" s="100" t="str">
        <f t="array" ref="S916">IF(SamplingData[[#This Row],[up/U Selection Probability]] = 0, "Zero", TEXT(SamplingData[[#This Row],[Lower Range]], REPT("0",LEN('General Info'!$B$40))) &amp; " - " &amp; TEXT(SamplingData[[#This Row],[Upper Range]], REPT("0",LEN('General Info'!$B$40))))</f>
        <v>23171 - 23191</v>
      </c>
      <c r="T916" s="100">
        <f>SamplingData[[#This Row],[Upper Range]]-SamplingData[[#This Row],[Span]]</f>
        <v>23170.965204384334</v>
      </c>
      <c r="U916" s="100">
        <f>IF(ISNUMBER('General Info'!$B$40), ((SamplingData[[#This Row],[up/U Selection Probability]]) * 'General Info'!$B$40) - 1, 0)</f>
        <v>20.324272967718706</v>
      </c>
      <c r="V916" s="100">
        <f>IF(ISNUMBER('General Info'!$B$40), (SamplingData[[#This Row],[Running (cumulative) sum]] * ('General Info'!$B$40 -'General Info'!$B$41 + 1)) + 'General Info'!$B$41 - 1, 0)</f>
        <v>23191.289477352053</v>
      </c>
      <c r="W916" s="100" t="str">
        <f>IF(ISERROR(MATCH(SamplingData[[#This Row],[Batch by Type (p)]],SelectedPrecincts[Batch Name], 0)), "", INDEX(SelectedPrecincts[Draw], MATCH(SamplingData[[#This Row],[Batch by Type (p)]],SelectedPrecincts[Batch Name], 0)))</f>
        <v/>
      </c>
      <c r="X916" s="102">
        <f>IF(COUNTIF(SelectedPrecincts[Batch Name],SamplingData[[#This Row],[Batch by Type (p)]]) &lt;&gt; 0, COUNTIF(SelectedPrecincts[Batch Name],SamplingData[[#This Row],[Batch by Type (p)]]), 0)</f>
        <v>0</v>
      </c>
    </row>
    <row r="917" spans="1:24" ht="15" customHeight="1">
      <c r="A917" s="18" t="s">
        <v>1093</v>
      </c>
      <c r="B917" s="18">
        <v>13</v>
      </c>
      <c r="C917" s="18">
        <v>27</v>
      </c>
      <c r="D917" s="16">
        <v>5</v>
      </c>
      <c r="E917" s="16">
        <v>6</v>
      </c>
      <c r="F917" s="37">
        <v>0</v>
      </c>
      <c r="G917" s="37">
        <v>0</v>
      </c>
      <c r="H917" s="17">
        <v>0</v>
      </c>
      <c r="I917" s="17">
        <v>0</v>
      </c>
      <c r="J917" s="99">
        <f>SUM(SamplingData[[#This Row],[Losing Candidate]:[Under Votes]])</f>
        <v>51</v>
      </c>
      <c r="K917"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917" s="100">
        <f>IF(AND(SamplingData[[#This Row],[Total]]&lt;&gt; 0, NOT(ISBLANK(SamplingData[[#This Row],[Candidate 3]]))),(SamplingData[[#This Row],[Total]]+SamplingData[[#This Row],[Winning Candidate]]-SamplingData[[#This Row],[Candidate 3]])/(SamplingData[[#Totals],[Winning Candidate]]-SamplingData[[#Totals],[Candidate 3]]), 0)</f>
        <v>2.3550666193502597E-3</v>
      </c>
      <c r="M917" s="100">
        <f>IF(AND(SamplingData[[#This Row],[Total]]&lt;&gt; 0, NOT(ISBLANK(SamplingData[[#This Row],[Candidate 4]]))),(SamplingData[[#This Row],[Total]]+SamplingData[[#This Row],[Winning Candidate]]-SamplingData[[#This Row],[Candidate 4]])/(SamplingData[[#Totals],[Winning Candidate]]-SamplingData[[#Totals],[Candidate 4]]), 0)</f>
        <v>2.1047092870297292E-3</v>
      </c>
      <c r="N917" s="100">
        <f>IF(AND(SamplingData[[#This Row],[Total]]&lt;&gt; 0, NOT(ISBLANK(SamplingData[[#This Row],[Candidate 5]]))),(SamplingData[[#This Row],[Total]]+SamplingData[[#This Row],[Winning Candidate]]-SamplingData[[#This Row],[Candidate 5]])/(SamplingData[[#Totals],[Winning Candidate]]-SamplingData[[#Totals],[Candidate 5]]), 0)</f>
        <v>1.8973485769885673E-3</v>
      </c>
      <c r="O917" s="100">
        <f>IF(AND(SamplingData[[#This Row],[Total]]&lt;&gt; 0, NOT(ISBLANK(SamplingData[[#This Row],[Candidate 6]]))),(SamplingData[[#This Row],[Total]]+SamplingData[[#This Row],[Winning Candidate]]-SamplingData[[#This Row],[Candidate 6]])/(SamplingData[[#Totals],[Winning Candidate]]-SamplingData[[#Totals],[Candidate 6]]), 0)</f>
        <v>1.8967949029716454E-3</v>
      </c>
      <c r="P917" s="100">
        <f>MAX(SamplingData[[#This Row],[Error Bound (up) - Max. possible relative overstatement - Losing Candidate]:[Error Bound (up) - Max. possible relative overstatement - Candidate 6]])</f>
        <v>3.9808917197452229E-3</v>
      </c>
      <c r="Q917" s="100">
        <f>IF(SamplingData[[#This Row],[Max Error Bound (up)]] = 0,0,SamplingData[[#This Row],[Max Error Bound (up)]]/SamplingData[[#Totals],[Max Error Bound (up)]])</f>
        <v>6.3004163809897906E-4</v>
      </c>
      <c r="R917" s="101">
        <f>SUM($Q$5:Q917)</f>
        <v>0.2325529364116195</v>
      </c>
      <c r="S917" s="100" t="str">
        <f t="array" ref="S917">IF(SamplingData[[#This Row],[up/U Selection Probability]] = 0, "Zero", TEXT(SamplingData[[#This Row],[Lower Range]], REPT("0",LEN('General Info'!$B$40))) &amp; " - " &amp; TEXT(SamplingData[[#This Row],[Upper Range]], REPT("0",LEN('General Info'!$B$40))))</f>
        <v>23192 - 23254</v>
      </c>
      <c r="T917" s="100">
        <f>SamplingData[[#This Row],[Upper Range]]-SamplingData[[#This Row],[Span]]</f>
        <v>23192.290107393692</v>
      </c>
      <c r="U917" s="100">
        <f>IF(ISNUMBER('General Info'!$B$40), ((SamplingData[[#This Row],[up/U Selection Probability]]) * 'General Info'!$B$40) - 1, 0)</f>
        <v>62.003533768259807</v>
      </c>
      <c r="V917" s="100">
        <f>IF(ISNUMBER('General Info'!$B$40), (SamplingData[[#This Row],[Running (cumulative) sum]] * ('General Info'!$B$40 -'General Info'!$B$41 + 1)) + 'General Info'!$B$41 - 1, 0)</f>
        <v>23254.293641161952</v>
      </c>
      <c r="W917" s="100" t="str">
        <f>IF(ISERROR(MATCH(SamplingData[[#This Row],[Batch by Type (p)]],SelectedPrecincts[Batch Name], 0)), "", INDEX(SelectedPrecincts[Draw], MATCH(SamplingData[[#This Row],[Batch by Type (p)]],SelectedPrecincts[Batch Name], 0)))</f>
        <v/>
      </c>
      <c r="X917" s="102">
        <f>IF(COUNTIF(SelectedPrecincts[Batch Name],SamplingData[[#This Row],[Batch by Type (p)]]) &lt;&gt; 0, COUNTIF(SelectedPrecincts[Batch Name],SamplingData[[#This Row],[Batch by Type (p)]]), 0)</f>
        <v>0</v>
      </c>
    </row>
    <row r="918" spans="1:24" ht="15" customHeight="1">
      <c r="A918" s="18" t="s">
        <v>1094</v>
      </c>
      <c r="B918" s="18">
        <v>7</v>
      </c>
      <c r="C918" s="18">
        <v>11</v>
      </c>
      <c r="D918" s="18">
        <v>1</v>
      </c>
      <c r="E918" s="18">
        <v>2</v>
      </c>
      <c r="F918" s="18">
        <v>0</v>
      </c>
      <c r="G918" s="18">
        <v>0</v>
      </c>
      <c r="H918" s="18">
        <v>0</v>
      </c>
      <c r="I918" s="18">
        <v>0</v>
      </c>
      <c r="J918" s="99">
        <f>SUM(SamplingData[[#This Row],[Losing Candidate]:[Under Votes]])</f>
        <v>21</v>
      </c>
      <c r="K918"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918" s="100">
        <f>IF(AND(SamplingData[[#This Row],[Total]]&lt;&gt; 0, NOT(ISBLANK(SamplingData[[#This Row],[Candidate 3]]))),(SamplingData[[#This Row],[Total]]+SamplingData[[#This Row],[Winning Candidate]]-SamplingData[[#This Row],[Candidate 3]])/(SamplingData[[#Totals],[Winning Candidate]]-SamplingData[[#Totals],[Candidate 3]]), 0)</f>
        <v>1.0000967835596993E-3</v>
      </c>
      <c r="M918" s="100">
        <f>IF(AND(SamplingData[[#This Row],[Total]]&lt;&gt; 0, NOT(ISBLANK(SamplingData[[#This Row],[Candidate 4]]))),(SamplingData[[#This Row],[Total]]+SamplingData[[#This Row],[Winning Candidate]]-SamplingData[[#This Row],[Candidate 4]])/(SamplingData[[#Totals],[Winning Candidate]]-SamplingData[[#Totals],[Candidate 4]]), 0)</f>
        <v>8.7696220292905378E-4</v>
      </c>
      <c r="N918" s="100">
        <f>IF(AND(SamplingData[[#This Row],[Total]]&lt;&gt; 0, NOT(ISBLANK(SamplingData[[#This Row],[Candidate 5]]))),(SamplingData[[#This Row],[Total]]+SamplingData[[#This Row],[Winning Candidate]]-SamplingData[[#This Row],[Candidate 5]])/(SamplingData[[#Totals],[Winning Candidate]]-SamplingData[[#Totals],[Candidate 5]]), 0)</f>
        <v>7.7839941620043787E-4</v>
      </c>
      <c r="O918" s="100">
        <f>IF(AND(SamplingData[[#This Row],[Total]]&lt;&gt; 0, NOT(ISBLANK(SamplingData[[#This Row],[Candidate 6]]))),(SamplingData[[#This Row],[Total]]+SamplingData[[#This Row],[Winning Candidate]]-SamplingData[[#This Row],[Candidate 6]])/(SamplingData[[#Totals],[Winning Candidate]]-SamplingData[[#Totals],[Candidate 6]]), 0)</f>
        <v>7.7817226788580321E-4</v>
      </c>
      <c r="P918" s="100">
        <f>MAX(SamplingData[[#This Row],[Error Bound (up) - Max. possible relative overstatement - Losing Candidate]:[Error Bound (up) - Max. possible relative overstatement - Candidate 6]])</f>
        <v>1.5311121999020088E-3</v>
      </c>
      <c r="Q918" s="100">
        <f>IF(SamplingData[[#This Row],[Max Error Bound (up)]] = 0,0,SamplingData[[#This Row],[Max Error Bound (up)]]/SamplingData[[#Totals],[Max Error Bound (up)]])</f>
        <v>2.4232370696114578E-4</v>
      </c>
      <c r="R918" s="101">
        <f>SUM($Q$5:Q918)</f>
        <v>0.23279526011858065</v>
      </c>
      <c r="S918" s="100" t="str">
        <f t="array" ref="S918">IF(SamplingData[[#This Row],[up/U Selection Probability]] = 0, "Zero", TEXT(SamplingData[[#This Row],[Lower Range]], REPT("0",LEN('General Info'!$B$40))) &amp; " - " &amp; TEXT(SamplingData[[#This Row],[Upper Range]], REPT("0",LEN('General Info'!$B$40))))</f>
        <v>23255 - 23279</v>
      </c>
      <c r="T918" s="100">
        <f>SamplingData[[#This Row],[Upper Range]]-SamplingData[[#This Row],[Span]]</f>
        <v>23255.293883485658</v>
      </c>
      <c r="U918" s="100">
        <f>IF(ISNUMBER('General Info'!$B$40), ((SamplingData[[#This Row],[up/U Selection Probability]]) * 'General Info'!$B$40) - 1, 0)</f>
        <v>23.232128372407619</v>
      </c>
      <c r="V918" s="100">
        <f>IF(ISNUMBER('General Info'!$B$40), (SamplingData[[#This Row],[Running (cumulative) sum]] * ('General Info'!$B$40 -'General Info'!$B$41 + 1)) + 'General Info'!$B$41 - 1, 0)</f>
        <v>23278.526011858066</v>
      </c>
      <c r="W918" s="100" t="str">
        <f>IF(ISERROR(MATCH(SamplingData[[#This Row],[Batch by Type (p)]],SelectedPrecincts[Batch Name], 0)), "", INDEX(SelectedPrecincts[Draw], MATCH(SamplingData[[#This Row],[Batch by Type (p)]],SelectedPrecincts[Batch Name], 0)))</f>
        <v/>
      </c>
      <c r="X918" s="102">
        <f>IF(COUNTIF(SelectedPrecincts[Batch Name],SamplingData[[#This Row],[Batch by Type (p)]]) &lt;&gt; 0, COUNTIF(SelectedPrecincts[Batch Name],SamplingData[[#This Row],[Batch by Type (p)]]), 0)</f>
        <v>0</v>
      </c>
    </row>
    <row r="919" spans="1:24" ht="15" customHeight="1">
      <c r="A919" s="18" t="s">
        <v>1095</v>
      </c>
      <c r="B919" s="18">
        <v>19</v>
      </c>
      <c r="C919" s="18">
        <v>36</v>
      </c>
      <c r="D919" s="16">
        <v>8</v>
      </c>
      <c r="E919" s="16">
        <v>7</v>
      </c>
      <c r="F919" s="37">
        <v>0</v>
      </c>
      <c r="G919" s="37">
        <v>0</v>
      </c>
      <c r="H919" s="17">
        <v>0</v>
      </c>
      <c r="I919" s="17">
        <v>3</v>
      </c>
      <c r="J919" s="99">
        <f>SUM(SamplingData[[#This Row],[Losing Candidate]:[Under Votes]])</f>
        <v>73</v>
      </c>
      <c r="K919" s="100">
        <f>IF(AND(SamplingData[[#This Row],[Total]]&lt;&gt; 0, NOT(ISBLANK(SamplingData[[#This Row],[Losing Candidate]]))),(SamplingData[[#This Row],[Total]]+SamplingData[[#This Row],[Winning Candidate]]-SamplingData[[#This Row],[Losing Candidate]])/(SamplingData[[#Totals],[Winning Candidate]]-SamplingData[[#Totals],[Losing Candidate]]), 0)</f>
        <v>5.5120039196472313E-3</v>
      </c>
      <c r="L919" s="100">
        <f>IF(AND(SamplingData[[#This Row],[Total]]&lt;&gt; 0, NOT(ISBLANK(SamplingData[[#This Row],[Candidate 3]]))),(SamplingData[[#This Row],[Total]]+SamplingData[[#This Row],[Winning Candidate]]-SamplingData[[#This Row],[Candidate 3]])/(SamplingData[[#Totals],[Winning Candidate]]-SamplingData[[#Totals],[Candidate 3]]), 0)</f>
        <v>3.2583798432106333E-3</v>
      </c>
      <c r="M919" s="100">
        <f>IF(AND(SamplingData[[#This Row],[Total]]&lt;&gt; 0, NOT(ISBLANK(SamplingData[[#This Row],[Candidate 4]]))),(SamplingData[[#This Row],[Total]]+SamplingData[[#This Row],[Winning Candidate]]-SamplingData[[#This Row],[Candidate 4]])/(SamplingData[[#Totals],[Winning Candidate]]-SamplingData[[#Totals],[Candidate 4]]), 0)</f>
        <v>2.9816714899587827E-3</v>
      </c>
      <c r="N919" s="100">
        <f>IF(AND(SamplingData[[#This Row],[Total]]&lt;&gt; 0, NOT(ISBLANK(SamplingData[[#This Row],[Candidate 5]]))),(SamplingData[[#This Row],[Total]]+SamplingData[[#This Row],[Winning Candidate]]-SamplingData[[#This Row],[Candidate 5]])/(SamplingData[[#Totals],[Winning Candidate]]-SamplingData[[#Totals],[Candidate 5]]), 0)</f>
        <v>2.6514230114327414E-3</v>
      </c>
      <c r="O919" s="100">
        <f>IF(AND(SamplingData[[#This Row],[Total]]&lt;&gt; 0, NOT(ISBLANK(SamplingData[[#This Row],[Candidate 6]]))),(SamplingData[[#This Row],[Total]]+SamplingData[[#This Row],[Winning Candidate]]-SamplingData[[#This Row],[Candidate 6]])/(SamplingData[[#Totals],[Winning Candidate]]-SamplingData[[#Totals],[Candidate 6]]), 0)</f>
        <v>2.6506492874860173E-3</v>
      </c>
      <c r="P919" s="100">
        <f>MAX(SamplingData[[#This Row],[Error Bound (up) - Max. possible relative overstatement - Losing Candidate]:[Error Bound (up) - Max. possible relative overstatement - Candidate 6]])</f>
        <v>5.5120039196472313E-3</v>
      </c>
      <c r="Q919" s="100">
        <f>IF(SamplingData[[#This Row],[Max Error Bound (up)]] = 0,0,SamplingData[[#This Row],[Max Error Bound (up)]]/SamplingData[[#Totals],[Max Error Bound (up)]])</f>
        <v>8.7236534506012473E-4</v>
      </c>
      <c r="R919" s="101">
        <f>SUM($Q$5:Q919)</f>
        <v>0.23366762546364078</v>
      </c>
      <c r="S919" s="100" t="str">
        <f t="array" ref="S919">IF(SamplingData[[#This Row],[up/U Selection Probability]] = 0, "Zero", TEXT(SamplingData[[#This Row],[Lower Range]], REPT("0",LEN('General Info'!$B$40))) &amp; " - " &amp; TEXT(SamplingData[[#This Row],[Upper Range]], REPT("0",LEN('General Info'!$B$40))))</f>
        <v>23280 - 23366</v>
      </c>
      <c r="T919" s="100">
        <f>SamplingData[[#This Row],[Upper Range]]-SamplingData[[#This Row],[Span]]</f>
        <v>23279.526884223411</v>
      </c>
      <c r="U919" s="100">
        <f>IF(ISNUMBER('General Info'!$B$40), ((SamplingData[[#This Row],[up/U Selection Probability]]) * 'General Info'!$B$40) - 1, 0)</f>
        <v>86.235662140667415</v>
      </c>
      <c r="V919" s="100">
        <f>IF(ISNUMBER('General Info'!$B$40), (SamplingData[[#This Row],[Running (cumulative) sum]] * ('General Info'!$B$40 -'General Info'!$B$41 + 1)) + 'General Info'!$B$41 - 1, 0)</f>
        <v>23365.76254636408</v>
      </c>
      <c r="W919" s="100" t="str">
        <f>IF(ISERROR(MATCH(SamplingData[[#This Row],[Batch by Type (p)]],SelectedPrecincts[Batch Name], 0)), "", INDEX(SelectedPrecincts[Draw], MATCH(SamplingData[[#This Row],[Batch by Type (p)]],SelectedPrecincts[Batch Name], 0)))</f>
        <v/>
      </c>
      <c r="X919" s="102">
        <f>IF(COUNTIF(SelectedPrecincts[Batch Name],SamplingData[[#This Row],[Batch by Type (p)]]) &lt;&gt; 0, COUNTIF(SelectedPrecincts[Batch Name],SamplingData[[#This Row],[Batch by Type (p)]]), 0)</f>
        <v>0</v>
      </c>
    </row>
    <row r="920" spans="1:24" ht="15" customHeight="1">
      <c r="A920" s="18" t="s">
        <v>1096</v>
      </c>
      <c r="B920" s="18">
        <v>16</v>
      </c>
      <c r="C920" s="18">
        <v>5</v>
      </c>
      <c r="D920" s="18">
        <v>2</v>
      </c>
      <c r="E920" s="18">
        <v>1</v>
      </c>
      <c r="F920" s="18">
        <v>0</v>
      </c>
      <c r="G920" s="18">
        <v>0</v>
      </c>
      <c r="H920" s="18">
        <v>0</v>
      </c>
      <c r="I920" s="18">
        <v>0</v>
      </c>
      <c r="J920" s="99">
        <f>SUM(SamplingData[[#This Row],[Losing Candidate]:[Under Votes]])</f>
        <v>24</v>
      </c>
      <c r="K920"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920" s="100">
        <f>IF(AND(SamplingData[[#This Row],[Total]]&lt;&gt; 0, NOT(ISBLANK(SamplingData[[#This Row],[Candidate 3]]))),(SamplingData[[#This Row],[Total]]+SamplingData[[#This Row],[Winning Candidate]]-SamplingData[[#This Row],[Candidate 3]])/(SamplingData[[#Totals],[Winning Candidate]]-SamplingData[[#Totals],[Candidate 3]]), 0)</f>
        <v>8.710520372939317E-4</v>
      </c>
      <c r="M920" s="100">
        <f>IF(AND(SamplingData[[#This Row],[Total]]&lt;&gt; 0, NOT(ISBLANK(SamplingData[[#This Row],[Candidate 4]]))),(SamplingData[[#This Row],[Total]]+SamplingData[[#This Row],[Winning Candidate]]-SamplingData[[#This Row],[Candidate 4]])/(SamplingData[[#Totals],[Winning Candidate]]-SamplingData[[#Totals],[Candidate 4]]), 0)</f>
        <v>8.1849805606711685E-4</v>
      </c>
      <c r="N920" s="100">
        <f>IF(AND(SamplingData[[#This Row],[Total]]&lt;&gt; 0, NOT(ISBLANK(SamplingData[[#This Row],[Candidate 5]]))),(SamplingData[[#This Row],[Total]]+SamplingData[[#This Row],[Winning Candidate]]-SamplingData[[#This Row],[Candidate 5]])/(SamplingData[[#Totals],[Winning Candidate]]-SamplingData[[#Totals],[Candidate 5]]), 0)</f>
        <v>7.0542447093164683E-4</v>
      </c>
      <c r="O920" s="100">
        <f>IF(AND(SamplingData[[#This Row],[Total]]&lt;&gt; 0, NOT(ISBLANK(SamplingData[[#This Row],[Candidate 6]]))),(SamplingData[[#This Row],[Total]]+SamplingData[[#This Row],[Winning Candidate]]-SamplingData[[#This Row],[Candidate 6]])/(SamplingData[[#Totals],[Winning Candidate]]-SamplingData[[#Totals],[Candidate 6]]), 0)</f>
        <v>7.0521861777150916E-4</v>
      </c>
      <c r="P920" s="100">
        <f>MAX(SamplingData[[#This Row],[Error Bound (up) - Max. possible relative overstatement - Losing Candidate]:[Error Bound (up) - Max. possible relative overstatement - Candidate 6]])</f>
        <v>8.710520372939317E-4</v>
      </c>
      <c r="Q920" s="100">
        <f>IF(SamplingData[[#This Row],[Max Error Bound (up)]] = 0,0,SamplingData[[#This Row],[Max Error Bound (up)]]/SamplingData[[#Totals],[Max Error Bound (up)]])</f>
        <v>1.3785832197446579E-4</v>
      </c>
      <c r="R920" s="101">
        <f>SUM($Q$5:Q920)</f>
        <v>0.23380548378561525</v>
      </c>
      <c r="S920" s="100" t="str">
        <f t="array" ref="S920">IF(SamplingData[[#This Row],[up/U Selection Probability]] = 0, "Zero", TEXT(SamplingData[[#This Row],[Lower Range]], REPT("0",LEN('General Info'!$B$40))) &amp; " - " &amp; TEXT(SamplingData[[#This Row],[Upper Range]], REPT("0",LEN('General Info'!$B$40))))</f>
        <v>23367 - 23380</v>
      </c>
      <c r="T920" s="100">
        <f>SamplingData[[#This Row],[Upper Range]]-SamplingData[[#This Row],[Span]]</f>
        <v>23366.762684222402</v>
      </c>
      <c r="U920" s="100">
        <f>IF(ISNUMBER('General Info'!$B$40), ((SamplingData[[#This Row],[up/U Selection Probability]]) * 'General Info'!$B$40) - 1, 0)</f>
        <v>12.785694339124603</v>
      </c>
      <c r="V920" s="100">
        <f>IF(ISNUMBER('General Info'!$B$40), (SamplingData[[#This Row],[Running (cumulative) sum]] * ('General Info'!$B$40 -'General Info'!$B$41 + 1)) + 'General Info'!$B$41 - 1, 0)</f>
        <v>23379.548378561525</v>
      </c>
      <c r="W920" s="100" t="str">
        <f>IF(ISERROR(MATCH(SamplingData[[#This Row],[Batch by Type (p)]],SelectedPrecincts[Batch Name], 0)), "", INDEX(SelectedPrecincts[Draw], MATCH(SamplingData[[#This Row],[Batch by Type (p)]],SelectedPrecincts[Batch Name], 0)))</f>
        <v/>
      </c>
      <c r="X920" s="102">
        <f>IF(COUNTIF(SelectedPrecincts[Batch Name],SamplingData[[#This Row],[Batch by Type (p)]]) &lt;&gt; 0, COUNTIF(SelectedPrecincts[Batch Name],SamplingData[[#This Row],[Batch by Type (p)]]), 0)</f>
        <v>0</v>
      </c>
    </row>
    <row r="921" spans="1:24" ht="15" customHeight="1">
      <c r="A921" s="18" t="s">
        <v>1097</v>
      </c>
      <c r="B921" s="18">
        <v>13</v>
      </c>
      <c r="C921" s="18">
        <v>11</v>
      </c>
      <c r="D921" s="16">
        <v>3</v>
      </c>
      <c r="E921" s="16">
        <v>6</v>
      </c>
      <c r="F921" s="37">
        <v>0</v>
      </c>
      <c r="G921" s="37">
        <v>0</v>
      </c>
      <c r="H921" s="17">
        <v>0</v>
      </c>
      <c r="I921" s="17">
        <v>0</v>
      </c>
      <c r="J921" s="99">
        <f>SUM(SamplingData[[#This Row],[Losing Candidate]:[Under Votes]])</f>
        <v>33</v>
      </c>
      <c r="K921"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921" s="100">
        <f>IF(AND(SamplingData[[#This Row],[Total]]&lt;&gt; 0, NOT(ISBLANK(SamplingData[[#This Row],[Candidate 3]]))),(SamplingData[[#This Row],[Total]]+SamplingData[[#This Row],[Winning Candidate]]-SamplingData[[#This Row],[Candidate 3]])/(SamplingData[[#Totals],[Winning Candidate]]-SamplingData[[#Totals],[Candidate 3]]), 0)</f>
        <v>1.3227086492241184E-3</v>
      </c>
      <c r="M921" s="100">
        <f>IF(AND(SamplingData[[#This Row],[Total]]&lt;&gt; 0, NOT(ISBLANK(SamplingData[[#This Row],[Candidate 4]]))),(SamplingData[[#This Row],[Total]]+SamplingData[[#This Row],[Winning Candidate]]-SamplingData[[#This Row],[Candidate 4]])/(SamplingData[[#Totals],[Winning Candidate]]-SamplingData[[#Totals],[Candidate 4]]), 0)</f>
        <v>1.1108187903768015E-3</v>
      </c>
      <c r="N921" s="100">
        <f>IF(AND(SamplingData[[#This Row],[Total]]&lt;&gt; 0, NOT(ISBLANK(SamplingData[[#This Row],[Candidate 5]]))),(SamplingData[[#This Row],[Total]]+SamplingData[[#This Row],[Winning Candidate]]-SamplingData[[#This Row],[Candidate 5]])/(SamplingData[[#Totals],[Winning Candidate]]-SamplingData[[#Totals],[Candidate 5]]), 0)</f>
        <v>1.0702991972756021E-3</v>
      </c>
      <c r="O921" s="100">
        <f>IF(AND(SamplingData[[#This Row],[Total]]&lt;&gt; 0, NOT(ISBLANK(SamplingData[[#This Row],[Candidate 6]]))),(SamplingData[[#This Row],[Total]]+SamplingData[[#This Row],[Winning Candidate]]-SamplingData[[#This Row],[Candidate 6]])/(SamplingData[[#Totals],[Winning Candidate]]-SamplingData[[#Totals],[Candidate 6]]), 0)</f>
        <v>1.0699868683429793E-3</v>
      </c>
      <c r="P921" s="100">
        <f>MAX(SamplingData[[#This Row],[Error Bound (up) - Max. possible relative overstatement - Losing Candidate]:[Error Bound (up) - Max. possible relative overstatement - Candidate 6]])</f>
        <v>1.8985791278784908E-3</v>
      </c>
      <c r="Q921" s="100">
        <f>IF(SamplingData[[#This Row],[Max Error Bound (up)]] = 0,0,SamplingData[[#This Row],[Max Error Bound (up)]]/SamplingData[[#Totals],[Max Error Bound (up)]])</f>
        <v>3.0048139663182077E-4</v>
      </c>
      <c r="R921" s="101">
        <f>SUM($Q$5:Q921)</f>
        <v>0.23410596518224708</v>
      </c>
      <c r="S921" s="100" t="str">
        <f t="array" ref="S921">IF(SamplingData[[#This Row],[up/U Selection Probability]] = 0, "Zero", TEXT(SamplingData[[#This Row],[Lower Range]], REPT("0",LEN('General Info'!$B$40))) &amp; " - " &amp; TEXT(SamplingData[[#This Row],[Upper Range]], REPT("0",LEN('General Info'!$B$40))))</f>
        <v>23381 - 23410</v>
      </c>
      <c r="T921" s="100">
        <f>SamplingData[[#This Row],[Upper Range]]-SamplingData[[#This Row],[Span]]</f>
        <v>23380.548679042924</v>
      </c>
      <c r="U921" s="100">
        <f>IF(ISNUMBER('General Info'!$B$40), ((SamplingData[[#This Row],[up/U Selection Probability]]) * 'General Info'!$B$40) - 1, 0)</f>
        <v>29.047839181785445</v>
      </c>
      <c r="V921" s="100">
        <f>IF(ISNUMBER('General Info'!$B$40), (SamplingData[[#This Row],[Running (cumulative) sum]] * ('General Info'!$B$40 -'General Info'!$B$41 + 1)) + 'General Info'!$B$41 - 1, 0)</f>
        <v>23409.596518224709</v>
      </c>
      <c r="W921" s="100" t="str">
        <f>IF(ISERROR(MATCH(SamplingData[[#This Row],[Batch by Type (p)]],SelectedPrecincts[Batch Name], 0)), "", INDEX(SelectedPrecincts[Draw], MATCH(SamplingData[[#This Row],[Batch by Type (p)]],SelectedPrecincts[Batch Name], 0)))</f>
        <v/>
      </c>
      <c r="X921" s="102">
        <f>IF(COUNTIF(SelectedPrecincts[Batch Name],SamplingData[[#This Row],[Batch by Type (p)]]) &lt;&gt; 0, COUNTIF(SelectedPrecincts[Batch Name],SamplingData[[#This Row],[Batch by Type (p)]]), 0)</f>
        <v>0</v>
      </c>
    </row>
    <row r="922" spans="1:24" ht="15" customHeight="1">
      <c r="A922" s="18" t="s">
        <v>1098</v>
      </c>
      <c r="B922" s="18">
        <v>6</v>
      </c>
      <c r="C922" s="18">
        <v>4</v>
      </c>
      <c r="D922" s="18">
        <v>3</v>
      </c>
      <c r="E922" s="18">
        <v>0</v>
      </c>
      <c r="F922" s="18">
        <v>1</v>
      </c>
      <c r="G922" s="18">
        <v>1</v>
      </c>
      <c r="H922" s="18">
        <v>0</v>
      </c>
      <c r="I922" s="18">
        <v>0</v>
      </c>
      <c r="J922" s="99">
        <f>SUM(SamplingData[[#This Row],[Losing Candidate]:[Under Votes]])</f>
        <v>15</v>
      </c>
      <c r="K922"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922" s="100">
        <f>IF(AND(SamplingData[[#This Row],[Total]]&lt;&gt; 0, NOT(ISBLANK(SamplingData[[#This Row],[Candidate 3]]))),(SamplingData[[#This Row],[Total]]+SamplingData[[#This Row],[Winning Candidate]]-SamplingData[[#This Row],[Candidate 3]])/(SamplingData[[#Totals],[Winning Candidate]]-SamplingData[[#Totals],[Candidate 3]]), 0)</f>
        <v>5.1617898506307067E-4</v>
      </c>
      <c r="M922" s="100">
        <f>IF(AND(SamplingData[[#This Row],[Total]]&lt;&gt; 0, NOT(ISBLANK(SamplingData[[#This Row],[Candidate 4]]))),(SamplingData[[#This Row],[Total]]+SamplingData[[#This Row],[Winning Candidate]]-SamplingData[[#This Row],[Candidate 4]])/(SamplingData[[#Totals],[Winning Candidate]]-SamplingData[[#Totals],[Candidate 4]]), 0)</f>
        <v>5.5540939518840076E-4</v>
      </c>
      <c r="N922" s="100">
        <f>IF(AND(SamplingData[[#This Row],[Total]]&lt;&gt; 0, NOT(ISBLANK(SamplingData[[#This Row],[Candidate 5]]))),(SamplingData[[#This Row],[Total]]+SamplingData[[#This Row],[Winning Candidate]]-SamplingData[[#This Row],[Candidate 5]])/(SamplingData[[#Totals],[Winning Candidate]]-SamplingData[[#Totals],[Candidate 5]]), 0)</f>
        <v>4.3784967161274629E-4</v>
      </c>
      <c r="O922" s="100">
        <f>IF(AND(SamplingData[[#This Row],[Total]]&lt;&gt; 0, NOT(ISBLANK(SamplingData[[#This Row],[Candidate 6]]))),(SamplingData[[#This Row],[Total]]+SamplingData[[#This Row],[Winning Candidate]]-SamplingData[[#This Row],[Candidate 6]])/(SamplingData[[#Totals],[Winning Candidate]]-SamplingData[[#Totals],[Candidate 6]]), 0)</f>
        <v>4.3772190068576433E-4</v>
      </c>
      <c r="P922" s="100">
        <f>MAX(SamplingData[[#This Row],[Error Bound (up) - Max. possible relative overstatement - Losing Candidate]:[Error Bound (up) - Max. possible relative overstatement - Candidate 6]])</f>
        <v>7.9617834394904463E-4</v>
      </c>
      <c r="Q922" s="100">
        <f>IF(SamplingData[[#This Row],[Max Error Bound (up)]] = 0,0,SamplingData[[#This Row],[Max Error Bound (up)]]/SamplingData[[#Totals],[Max Error Bound (up)]])</f>
        <v>1.2600832761979581E-4</v>
      </c>
      <c r="R922" s="101">
        <f>SUM($Q$5:Q922)</f>
        <v>0.23423197350986688</v>
      </c>
      <c r="S922" s="100" t="str">
        <f t="array" ref="S922">IF(SamplingData[[#This Row],[up/U Selection Probability]] = 0, "Zero", TEXT(SamplingData[[#This Row],[Lower Range]], REPT("0",LEN('General Info'!$B$40))) &amp; " - " &amp; TEXT(SamplingData[[#This Row],[Upper Range]], REPT("0",LEN('General Info'!$B$40))))</f>
        <v>23411 - 23422</v>
      </c>
      <c r="T922" s="100">
        <f>SamplingData[[#This Row],[Upper Range]]-SamplingData[[#This Row],[Span]]</f>
        <v>23410.596644233035</v>
      </c>
      <c r="U922" s="100">
        <f>IF(ISNUMBER('General Info'!$B$40), ((SamplingData[[#This Row],[up/U Selection Probability]]) * 'General Info'!$B$40) - 1, 0)</f>
        <v>11.600706753651961</v>
      </c>
      <c r="V922" s="100">
        <f>IF(ISNUMBER('General Info'!$B$40), (SamplingData[[#This Row],[Running (cumulative) sum]] * ('General Info'!$B$40 -'General Info'!$B$41 + 1)) + 'General Info'!$B$41 - 1, 0)</f>
        <v>23422.197350986688</v>
      </c>
      <c r="W922" s="100" t="str">
        <f>IF(ISERROR(MATCH(SamplingData[[#This Row],[Batch by Type (p)]],SelectedPrecincts[Batch Name], 0)), "", INDEX(SelectedPrecincts[Draw], MATCH(SamplingData[[#This Row],[Batch by Type (p)]],SelectedPrecincts[Batch Name], 0)))</f>
        <v/>
      </c>
      <c r="X922" s="102">
        <f>IF(COUNTIF(SelectedPrecincts[Batch Name],SamplingData[[#This Row],[Batch by Type (p)]]) &lt;&gt; 0, COUNTIF(SelectedPrecincts[Batch Name],SamplingData[[#This Row],[Batch by Type (p)]]), 0)</f>
        <v>0</v>
      </c>
    </row>
    <row r="923" spans="1:24" ht="15" customHeight="1">
      <c r="A923" s="18" t="s">
        <v>1099</v>
      </c>
      <c r="B923" s="18">
        <v>22</v>
      </c>
      <c r="C923" s="18">
        <v>19</v>
      </c>
      <c r="D923" s="16">
        <v>4</v>
      </c>
      <c r="E923" s="16">
        <v>6</v>
      </c>
      <c r="F923" s="37">
        <v>0</v>
      </c>
      <c r="G923" s="37">
        <v>0</v>
      </c>
      <c r="H923" s="17">
        <v>0</v>
      </c>
      <c r="I923" s="17">
        <v>1</v>
      </c>
      <c r="J923" s="99">
        <f>SUM(SamplingData[[#This Row],[Losing Candidate]:[Under Votes]])</f>
        <v>52</v>
      </c>
      <c r="K923"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923" s="100">
        <f>IF(AND(SamplingData[[#This Row],[Total]]&lt;&gt; 0, NOT(ISBLANK(SamplingData[[#This Row],[Candidate 3]]))),(SamplingData[[#This Row],[Total]]+SamplingData[[#This Row],[Winning Candidate]]-SamplingData[[#This Row],[Candidate 3]])/(SamplingData[[#Totals],[Winning Candidate]]-SamplingData[[#Totals],[Candidate 3]]), 0)</f>
        <v>2.1614994999516082E-3</v>
      </c>
      <c r="M923" s="100">
        <f>IF(AND(SamplingData[[#This Row],[Total]]&lt;&gt; 0, NOT(ISBLANK(SamplingData[[#This Row],[Candidate 4]]))),(SamplingData[[#This Row],[Total]]+SamplingData[[#This Row],[Winning Candidate]]-SamplingData[[#This Row],[Candidate 4]])/(SamplingData[[#Totals],[Winning Candidate]]-SamplingData[[#Totals],[Candidate 4]]), 0)</f>
        <v>1.9000847730129499E-3</v>
      </c>
      <c r="N923" s="100">
        <f>IF(AND(SamplingData[[#This Row],[Total]]&lt;&gt; 0, NOT(ISBLANK(SamplingData[[#This Row],[Candidate 5]]))),(SamplingData[[#This Row],[Total]]+SamplingData[[#This Row],[Winning Candidate]]-SamplingData[[#This Row],[Candidate 5]])/(SamplingData[[#Totals],[Winning Candidate]]-SamplingData[[#Totals],[Candidate 5]]), 0)</f>
        <v>1.7270737046947214E-3</v>
      </c>
      <c r="O923" s="100">
        <f>IF(AND(SamplingData[[#This Row],[Total]]&lt;&gt; 0, NOT(ISBLANK(SamplingData[[#This Row],[Candidate 6]]))),(SamplingData[[#This Row],[Total]]+SamplingData[[#This Row],[Winning Candidate]]-SamplingData[[#This Row],[Candidate 6]])/(SamplingData[[#Totals],[Winning Candidate]]-SamplingData[[#Totals],[Candidate 6]]), 0)</f>
        <v>1.7265697193716259E-3</v>
      </c>
      <c r="P923" s="100">
        <f>MAX(SamplingData[[#This Row],[Error Bound (up) - Max. possible relative overstatement - Losing Candidate]:[Error Bound (up) - Max. possible relative overstatement - Candidate 6]])</f>
        <v>3.0009799118079373E-3</v>
      </c>
      <c r="Q923" s="100">
        <f>IF(SamplingData[[#This Row],[Max Error Bound (up)]] = 0,0,SamplingData[[#This Row],[Max Error Bound (up)]]/SamplingData[[#Totals],[Max Error Bound (up)]])</f>
        <v>4.7495446564384573E-4</v>
      </c>
      <c r="R923" s="101">
        <f>SUM($Q$5:Q923)</f>
        <v>0.23470692797551074</v>
      </c>
      <c r="S923" s="100" t="str">
        <f t="array" ref="S923">IF(SamplingData[[#This Row],[up/U Selection Probability]] = 0, "Zero", TEXT(SamplingData[[#This Row],[Lower Range]], REPT("0",LEN('General Info'!$B$40))) &amp; " - " &amp; TEXT(SamplingData[[#This Row],[Upper Range]], REPT("0",LEN('General Info'!$B$40))))</f>
        <v>23423 - 23470</v>
      </c>
      <c r="T923" s="100">
        <f>SamplingData[[#This Row],[Upper Range]]-SamplingData[[#This Row],[Span]]</f>
        <v>23423.197825941155</v>
      </c>
      <c r="U923" s="100">
        <f>IF(ISNUMBER('General Info'!$B$40), ((SamplingData[[#This Row],[up/U Selection Probability]]) * 'General Info'!$B$40) - 1, 0)</f>
        <v>46.494971609918927</v>
      </c>
      <c r="V923" s="100">
        <f>IF(ISNUMBER('General Info'!$B$40), (SamplingData[[#This Row],[Running (cumulative) sum]] * ('General Info'!$B$40 -'General Info'!$B$41 + 1)) + 'General Info'!$B$41 - 1, 0)</f>
        <v>23469.692797551073</v>
      </c>
      <c r="W923" s="100" t="str">
        <f>IF(ISERROR(MATCH(SamplingData[[#This Row],[Batch by Type (p)]],SelectedPrecincts[Batch Name], 0)), "", INDEX(SelectedPrecincts[Draw], MATCH(SamplingData[[#This Row],[Batch by Type (p)]],SelectedPrecincts[Batch Name], 0)))</f>
        <v/>
      </c>
      <c r="X923" s="102">
        <f>IF(COUNTIF(SelectedPrecincts[Batch Name],SamplingData[[#This Row],[Batch by Type (p)]]) &lt;&gt; 0, COUNTIF(SelectedPrecincts[Batch Name],SamplingData[[#This Row],[Batch by Type (p)]]), 0)</f>
        <v>0</v>
      </c>
    </row>
    <row r="924" spans="1:24" ht="15" customHeight="1">
      <c r="A924" s="18" t="s">
        <v>1100</v>
      </c>
      <c r="B924" s="18">
        <v>7</v>
      </c>
      <c r="C924" s="18">
        <v>6</v>
      </c>
      <c r="D924" s="18">
        <v>4</v>
      </c>
      <c r="E924" s="18">
        <v>1</v>
      </c>
      <c r="F924" s="18">
        <v>1</v>
      </c>
      <c r="G924" s="18">
        <v>0</v>
      </c>
      <c r="H924" s="18">
        <v>0</v>
      </c>
      <c r="I924" s="18">
        <v>0</v>
      </c>
      <c r="J924" s="99">
        <f>SUM(SamplingData[[#This Row],[Losing Candidate]:[Under Votes]])</f>
        <v>19</v>
      </c>
      <c r="K924"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924" s="100">
        <f>IF(AND(SamplingData[[#This Row],[Total]]&lt;&gt; 0, NOT(ISBLANK(SamplingData[[#This Row],[Candidate 3]]))),(SamplingData[[#This Row],[Total]]+SamplingData[[#This Row],[Winning Candidate]]-SamplingData[[#This Row],[Candidate 3]])/(SamplingData[[#Totals],[Winning Candidate]]-SamplingData[[#Totals],[Candidate 3]]), 0)</f>
        <v>6.7748491789528019E-4</v>
      </c>
      <c r="M924" s="100">
        <f>IF(AND(SamplingData[[#This Row],[Total]]&lt;&gt; 0, NOT(ISBLANK(SamplingData[[#This Row],[Candidate 4]]))),(SamplingData[[#This Row],[Total]]+SamplingData[[#This Row],[Winning Candidate]]-SamplingData[[#This Row],[Candidate 4]])/(SamplingData[[#Totals],[Winning Candidate]]-SamplingData[[#Totals],[Candidate 4]]), 0)</f>
        <v>7.0156976234324298E-4</v>
      </c>
      <c r="N924" s="100">
        <f>IF(AND(SamplingData[[#This Row],[Total]]&lt;&gt; 0, NOT(ISBLANK(SamplingData[[#This Row],[Candidate 5]]))),(SamplingData[[#This Row],[Total]]+SamplingData[[#This Row],[Winning Candidate]]-SamplingData[[#This Row],[Candidate 5]])/(SamplingData[[#Totals],[Winning Candidate]]-SamplingData[[#Totals],[Candidate 5]]), 0)</f>
        <v>5.8379956215032843E-4</v>
      </c>
      <c r="O924" s="100">
        <f>IF(AND(SamplingData[[#This Row],[Total]]&lt;&gt; 0, NOT(ISBLANK(SamplingData[[#This Row],[Candidate 6]]))),(SamplingData[[#This Row],[Total]]+SamplingData[[#This Row],[Winning Candidate]]-SamplingData[[#This Row],[Candidate 6]])/(SamplingData[[#Totals],[Winning Candidate]]-SamplingData[[#Totals],[Candidate 6]]), 0)</f>
        <v>6.0794708428578371E-4</v>
      </c>
      <c r="P924" s="100">
        <f>MAX(SamplingData[[#This Row],[Error Bound (up) - Max. possible relative overstatement - Losing Candidate]:[Error Bound (up) - Max. possible relative overstatement - Candidate 6]])</f>
        <v>1.1024007839294464E-3</v>
      </c>
      <c r="Q924" s="100">
        <f>IF(SamplingData[[#This Row],[Max Error Bound (up)]] = 0,0,SamplingData[[#This Row],[Max Error Bound (up)]]/SamplingData[[#Totals],[Max Error Bound (up)]])</f>
        <v>1.7447306901202498E-4</v>
      </c>
      <c r="R924" s="101">
        <f>SUM($Q$5:Q924)</f>
        <v>0.23488140104452276</v>
      </c>
      <c r="S924" s="100" t="str">
        <f t="array" ref="S924">IF(SamplingData[[#This Row],[up/U Selection Probability]] = 0, "Zero", TEXT(SamplingData[[#This Row],[Lower Range]], REPT("0",LEN('General Info'!$B$40))) &amp; " - " &amp; TEXT(SamplingData[[#This Row],[Upper Range]], REPT("0",LEN('General Info'!$B$40))))</f>
        <v>23471 - 23487</v>
      </c>
      <c r="T924" s="100">
        <f>SamplingData[[#This Row],[Upper Range]]-SamplingData[[#This Row],[Span]]</f>
        <v>23470.692972024142</v>
      </c>
      <c r="U924" s="100">
        <f>IF(ISNUMBER('General Info'!$B$40), ((SamplingData[[#This Row],[up/U Selection Probability]]) * 'General Info'!$B$40) - 1, 0)</f>
        <v>16.447132428133486</v>
      </c>
      <c r="V924" s="100">
        <f>IF(ISNUMBER('General Info'!$B$40), (SamplingData[[#This Row],[Running (cumulative) sum]] * ('General Info'!$B$40 -'General Info'!$B$41 + 1)) + 'General Info'!$B$41 - 1, 0)</f>
        <v>23487.140104452275</v>
      </c>
      <c r="W924" s="100" t="str">
        <f>IF(ISERROR(MATCH(SamplingData[[#This Row],[Batch by Type (p)]],SelectedPrecincts[Batch Name], 0)), "", INDEX(SelectedPrecincts[Draw], MATCH(SamplingData[[#This Row],[Batch by Type (p)]],SelectedPrecincts[Batch Name], 0)))</f>
        <v/>
      </c>
      <c r="X924" s="102">
        <f>IF(COUNTIF(SelectedPrecincts[Batch Name],SamplingData[[#This Row],[Batch by Type (p)]]) &lt;&gt; 0, COUNTIF(SelectedPrecincts[Batch Name],SamplingData[[#This Row],[Batch by Type (p)]]), 0)</f>
        <v>0</v>
      </c>
    </row>
    <row r="925" spans="1:24" ht="15" customHeight="1">
      <c r="A925" s="18" t="s">
        <v>1101</v>
      </c>
      <c r="B925" s="18">
        <v>18</v>
      </c>
      <c r="C925" s="18">
        <v>31</v>
      </c>
      <c r="D925" s="16">
        <v>7</v>
      </c>
      <c r="E925" s="16">
        <v>6</v>
      </c>
      <c r="F925" s="37">
        <v>0</v>
      </c>
      <c r="G925" s="37">
        <v>0</v>
      </c>
      <c r="H925" s="17">
        <v>0</v>
      </c>
      <c r="I925" s="17">
        <v>0</v>
      </c>
      <c r="J925" s="99">
        <f>SUM(SamplingData[[#This Row],[Losing Candidate]:[Under Votes]])</f>
        <v>62</v>
      </c>
      <c r="K925" s="100">
        <f>IF(AND(SamplingData[[#This Row],[Total]]&lt;&gt; 0, NOT(ISBLANK(SamplingData[[#This Row],[Losing Candidate]]))),(SamplingData[[#This Row],[Total]]+SamplingData[[#This Row],[Winning Candidate]]-SamplingData[[#This Row],[Losing Candidate]])/(SamplingData[[#Totals],[Winning Candidate]]-SamplingData[[#Totals],[Losing Candidate]]), 0)</f>
        <v>4.5933365997060261E-3</v>
      </c>
      <c r="L925" s="100">
        <f>IF(AND(SamplingData[[#This Row],[Total]]&lt;&gt; 0, NOT(ISBLANK(SamplingData[[#This Row],[Candidate 3]]))),(SamplingData[[#This Row],[Total]]+SamplingData[[#This Row],[Winning Candidate]]-SamplingData[[#This Row],[Candidate 3]])/(SamplingData[[#Totals],[Winning Candidate]]-SamplingData[[#Totals],[Candidate 3]]), 0)</f>
        <v>2.7744620447140047E-3</v>
      </c>
      <c r="M925" s="100">
        <f>IF(AND(SamplingData[[#This Row],[Total]]&lt;&gt; 0, NOT(ISBLANK(SamplingData[[#This Row],[Candidate 4]]))),(SamplingData[[#This Row],[Total]]+SamplingData[[#This Row],[Winning Candidate]]-SamplingData[[#This Row],[Candidate 4]])/(SamplingData[[#Totals],[Winning Candidate]]-SamplingData[[#Totals],[Candidate 4]]), 0)</f>
        <v>2.5431903884942557E-3</v>
      </c>
      <c r="N925" s="100">
        <f>IF(AND(SamplingData[[#This Row],[Total]]&lt;&gt; 0, NOT(ISBLANK(SamplingData[[#This Row],[Candidate 5]]))),(SamplingData[[#This Row],[Total]]+SamplingData[[#This Row],[Winning Candidate]]-SamplingData[[#This Row],[Candidate 5]])/(SamplingData[[#Totals],[Winning Candidate]]-SamplingData[[#Totals],[Candidate 5]]), 0)</f>
        <v>2.2622233033325226E-3</v>
      </c>
      <c r="O925" s="100">
        <f>IF(AND(SamplingData[[#This Row],[Total]]&lt;&gt; 0, NOT(ISBLANK(SamplingData[[#This Row],[Candidate 6]]))),(SamplingData[[#This Row],[Total]]+SamplingData[[#This Row],[Winning Candidate]]-SamplingData[[#This Row],[Candidate 6]])/(SamplingData[[#Totals],[Winning Candidate]]-SamplingData[[#Totals],[Candidate 6]]), 0)</f>
        <v>2.2615631535431156E-3</v>
      </c>
      <c r="P925" s="100">
        <f>MAX(SamplingData[[#This Row],[Error Bound (up) - Max. possible relative overstatement - Losing Candidate]:[Error Bound (up) - Max. possible relative overstatement - Candidate 6]])</f>
        <v>4.5933365997060261E-3</v>
      </c>
      <c r="Q925" s="100">
        <f>IF(SamplingData[[#This Row],[Max Error Bound (up)]] = 0,0,SamplingData[[#This Row],[Max Error Bound (up)]]/SamplingData[[#Totals],[Max Error Bound (up)]])</f>
        <v>7.2697112088343735E-4</v>
      </c>
      <c r="R925" s="101">
        <f>SUM($Q$5:Q925)</f>
        <v>0.2356083721654062</v>
      </c>
      <c r="S925" s="100" t="str">
        <f t="array" ref="S925">IF(SamplingData[[#This Row],[up/U Selection Probability]] = 0, "Zero", TEXT(SamplingData[[#This Row],[Lower Range]], REPT("0",LEN('General Info'!$B$40))) &amp; " - " &amp; TEXT(SamplingData[[#This Row],[Upper Range]], REPT("0",LEN('General Info'!$B$40))))</f>
        <v>23488 - 23560</v>
      </c>
      <c r="T925" s="100">
        <f>SamplingData[[#This Row],[Upper Range]]-SamplingData[[#This Row],[Span]]</f>
        <v>23488.140831423396</v>
      </c>
      <c r="U925" s="100">
        <f>IF(ISNUMBER('General Info'!$B$40), ((SamplingData[[#This Row],[up/U Selection Probability]]) * 'General Info'!$B$40) - 1, 0)</f>
        <v>71.696385117222846</v>
      </c>
      <c r="V925" s="100">
        <f>IF(ISNUMBER('General Info'!$B$40), (SamplingData[[#This Row],[Running (cumulative) sum]] * ('General Info'!$B$40 -'General Info'!$B$41 + 1)) + 'General Info'!$B$41 - 1, 0)</f>
        <v>23559.837216540618</v>
      </c>
      <c r="W925" s="100" t="str">
        <f>IF(ISERROR(MATCH(SamplingData[[#This Row],[Batch by Type (p)]],SelectedPrecincts[Batch Name], 0)), "", INDEX(SelectedPrecincts[Draw], MATCH(SamplingData[[#This Row],[Batch by Type (p)]],SelectedPrecincts[Batch Name], 0)))</f>
        <v/>
      </c>
      <c r="X925" s="102">
        <f>IF(COUNTIF(SelectedPrecincts[Batch Name],SamplingData[[#This Row],[Batch by Type (p)]]) &lt;&gt; 0, COUNTIF(SelectedPrecincts[Batch Name],SamplingData[[#This Row],[Batch by Type (p)]]), 0)</f>
        <v>0</v>
      </c>
    </row>
    <row r="926" spans="1:24" ht="15" customHeight="1">
      <c r="A926" s="18" t="s">
        <v>1102</v>
      </c>
      <c r="B926" s="18">
        <v>7</v>
      </c>
      <c r="C926" s="18">
        <v>6</v>
      </c>
      <c r="D926" s="18">
        <v>2</v>
      </c>
      <c r="E926" s="18">
        <v>2</v>
      </c>
      <c r="F926" s="18">
        <v>0</v>
      </c>
      <c r="G926" s="18">
        <v>0</v>
      </c>
      <c r="H926" s="18">
        <v>0</v>
      </c>
      <c r="I926" s="18">
        <v>1</v>
      </c>
      <c r="J926" s="99">
        <f>SUM(SamplingData[[#This Row],[Losing Candidate]:[Under Votes]])</f>
        <v>18</v>
      </c>
      <c r="K926"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926" s="100">
        <f>IF(AND(SamplingData[[#This Row],[Total]]&lt;&gt; 0, NOT(ISBLANK(SamplingData[[#This Row],[Candidate 3]]))),(SamplingData[[#This Row],[Total]]+SamplingData[[#This Row],[Winning Candidate]]-SamplingData[[#This Row],[Candidate 3]])/(SamplingData[[#Totals],[Winning Candidate]]-SamplingData[[#Totals],[Candidate 3]]), 0)</f>
        <v>7.0974610446172207E-4</v>
      </c>
      <c r="M926" s="100">
        <f>IF(AND(SamplingData[[#This Row],[Total]]&lt;&gt; 0, NOT(ISBLANK(SamplingData[[#This Row],[Candidate 4]]))),(SamplingData[[#This Row],[Total]]+SamplingData[[#This Row],[Winning Candidate]]-SamplingData[[#This Row],[Candidate 4]])/(SamplingData[[#Totals],[Winning Candidate]]-SamplingData[[#Totals],[Candidate 4]]), 0)</f>
        <v>6.4310561548130605E-4</v>
      </c>
      <c r="N926" s="100">
        <f>IF(AND(SamplingData[[#This Row],[Total]]&lt;&gt; 0, NOT(ISBLANK(SamplingData[[#This Row],[Candidate 5]]))),(SamplingData[[#This Row],[Total]]+SamplingData[[#This Row],[Winning Candidate]]-SamplingData[[#This Row],[Candidate 5]])/(SamplingData[[#Totals],[Winning Candidate]]-SamplingData[[#Totals],[Candidate 5]]), 0)</f>
        <v>5.8379956215032843E-4</v>
      </c>
      <c r="O926" s="100">
        <f>IF(AND(SamplingData[[#This Row],[Total]]&lt;&gt; 0, NOT(ISBLANK(SamplingData[[#This Row],[Candidate 6]]))),(SamplingData[[#This Row],[Total]]+SamplingData[[#This Row],[Winning Candidate]]-SamplingData[[#This Row],[Candidate 6]])/(SamplingData[[#Totals],[Winning Candidate]]-SamplingData[[#Totals],[Candidate 6]]), 0)</f>
        <v>5.8362920091435243E-4</v>
      </c>
      <c r="P926" s="100">
        <f>MAX(SamplingData[[#This Row],[Error Bound (up) - Max. possible relative overstatement - Losing Candidate]:[Error Bound (up) - Max. possible relative overstatement - Candidate 6]])</f>
        <v>1.041156295933366E-3</v>
      </c>
      <c r="Q926" s="100">
        <f>IF(SamplingData[[#This Row],[Max Error Bound (up)]] = 0,0,SamplingData[[#This Row],[Max Error Bound (up)]]/SamplingData[[#Totals],[Max Error Bound (up)]])</f>
        <v>1.6478012073357914E-4</v>
      </c>
      <c r="R926" s="101">
        <f>SUM($Q$5:Q926)</f>
        <v>0.23577315228613976</v>
      </c>
      <c r="S926" s="100" t="str">
        <f t="array" ref="S926">IF(SamplingData[[#This Row],[up/U Selection Probability]] = 0, "Zero", TEXT(SamplingData[[#This Row],[Lower Range]], REPT("0",LEN('General Info'!$B$40))) &amp; " - " &amp; TEXT(SamplingData[[#This Row],[Upper Range]], REPT("0",LEN('General Info'!$B$40))))</f>
        <v>23561 - 23576</v>
      </c>
      <c r="T926" s="100">
        <f>SamplingData[[#This Row],[Upper Range]]-SamplingData[[#This Row],[Span]]</f>
        <v>23560.83738132074</v>
      </c>
      <c r="U926" s="100">
        <f>IF(ISNUMBER('General Info'!$B$40), ((SamplingData[[#This Row],[up/U Selection Probability]]) * 'General Info'!$B$40) - 1, 0)</f>
        <v>15.477847293237179</v>
      </c>
      <c r="V926" s="100">
        <f>IF(ISNUMBER('General Info'!$B$40), (SamplingData[[#This Row],[Running (cumulative) sum]] * ('General Info'!$B$40 -'General Info'!$B$41 + 1)) + 'General Info'!$B$41 - 1, 0)</f>
        <v>23576.315228613978</v>
      </c>
      <c r="W926" s="100" t="str">
        <f>IF(ISERROR(MATCH(SamplingData[[#This Row],[Batch by Type (p)]],SelectedPrecincts[Batch Name], 0)), "", INDEX(SelectedPrecincts[Draw], MATCH(SamplingData[[#This Row],[Batch by Type (p)]],SelectedPrecincts[Batch Name], 0)))</f>
        <v/>
      </c>
      <c r="X926" s="102">
        <f>IF(COUNTIF(SelectedPrecincts[Batch Name],SamplingData[[#This Row],[Batch by Type (p)]]) &lt;&gt; 0, COUNTIF(SelectedPrecincts[Batch Name],SamplingData[[#This Row],[Batch by Type (p)]]), 0)</f>
        <v>0</v>
      </c>
    </row>
    <row r="927" spans="1:24" ht="15" customHeight="1">
      <c r="A927" s="18" t="s">
        <v>1103</v>
      </c>
      <c r="B927" s="18">
        <v>44</v>
      </c>
      <c r="C927" s="18">
        <v>43</v>
      </c>
      <c r="D927" s="16">
        <v>16</v>
      </c>
      <c r="E927" s="16">
        <v>16</v>
      </c>
      <c r="F927" s="37">
        <v>1</v>
      </c>
      <c r="G927" s="37">
        <v>1</v>
      </c>
      <c r="H927" s="17">
        <v>0</v>
      </c>
      <c r="I927" s="17">
        <v>0</v>
      </c>
      <c r="J927" s="99">
        <f>SUM(SamplingData[[#This Row],[Losing Candidate]:[Under Votes]])</f>
        <v>121</v>
      </c>
      <c r="K927" s="100">
        <f>IF(AND(SamplingData[[#This Row],[Total]]&lt;&gt; 0, NOT(ISBLANK(SamplingData[[#This Row],[Losing Candidate]]))),(SamplingData[[#This Row],[Total]]+SamplingData[[#This Row],[Winning Candidate]]-SamplingData[[#This Row],[Losing Candidate]])/(SamplingData[[#Totals],[Winning Candidate]]-SamplingData[[#Totals],[Losing Candidate]]), 0)</f>
        <v>7.3493385595296426E-3</v>
      </c>
      <c r="L927" s="100">
        <f>IF(AND(SamplingData[[#This Row],[Total]]&lt;&gt; 0, NOT(ISBLANK(SamplingData[[#This Row],[Candidate 3]]))),(SamplingData[[#This Row],[Total]]+SamplingData[[#This Row],[Winning Candidate]]-SamplingData[[#This Row],[Candidate 3]])/(SamplingData[[#Totals],[Winning Candidate]]-SamplingData[[#Totals],[Candidate 3]]), 0)</f>
        <v>4.7746556118334034E-3</v>
      </c>
      <c r="M927" s="100">
        <f>IF(AND(SamplingData[[#This Row],[Total]]&lt;&gt; 0, NOT(ISBLANK(SamplingData[[#This Row],[Candidate 4]]))),(SamplingData[[#This Row],[Total]]+SamplingData[[#This Row],[Winning Candidate]]-SamplingData[[#This Row],[Candidate 4]])/(SamplingData[[#Totals],[Winning Candidate]]-SamplingData[[#Totals],[Candidate 4]]), 0)</f>
        <v>4.3263468677833322E-3</v>
      </c>
      <c r="N927" s="100">
        <f>IF(AND(SamplingData[[#This Row],[Total]]&lt;&gt; 0, NOT(ISBLANK(SamplingData[[#This Row],[Candidate 5]]))),(SamplingData[[#This Row],[Total]]+SamplingData[[#This Row],[Winning Candidate]]-SamplingData[[#This Row],[Candidate 5]])/(SamplingData[[#Totals],[Winning Candidate]]-SamplingData[[#Totals],[Candidate 5]]), 0)</f>
        <v>3.96497202627098E-3</v>
      </c>
      <c r="O927" s="100">
        <f>IF(AND(SamplingData[[#This Row],[Total]]&lt;&gt; 0, NOT(ISBLANK(SamplingData[[#This Row],[Candidate 6]]))),(SamplingData[[#This Row],[Total]]+SamplingData[[#This Row],[Winning Candidate]]-SamplingData[[#This Row],[Candidate 6]])/(SamplingData[[#Totals],[Winning Candidate]]-SamplingData[[#Totals],[Candidate 6]]), 0)</f>
        <v>3.9638149895433105E-3</v>
      </c>
      <c r="P927" s="100">
        <f>MAX(SamplingData[[#This Row],[Error Bound (up) - Max. possible relative overstatement - Losing Candidate]:[Error Bound (up) - Max. possible relative overstatement - Candidate 6]])</f>
        <v>7.3493385595296426E-3</v>
      </c>
      <c r="Q927" s="100">
        <f>IF(SamplingData[[#This Row],[Max Error Bound (up)]] = 0,0,SamplingData[[#This Row],[Max Error Bound (up)]]/SamplingData[[#Totals],[Max Error Bound (up)]])</f>
        <v>1.1631537934134999E-3</v>
      </c>
      <c r="R927" s="101">
        <f>SUM($Q$5:Q927)</f>
        <v>0.23693630607955327</v>
      </c>
      <c r="S927" s="100" t="str">
        <f t="array" ref="S927">IF(SamplingData[[#This Row],[up/U Selection Probability]] = 0, "Zero", TEXT(SamplingData[[#This Row],[Lower Range]], REPT("0",LEN('General Info'!$B$40))) &amp; " - " &amp; TEXT(SamplingData[[#This Row],[Upper Range]], REPT("0",LEN('General Info'!$B$40))))</f>
        <v>23577 - 23693</v>
      </c>
      <c r="T927" s="100">
        <f>SamplingData[[#This Row],[Upper Range]]-SamplingData[[#This Row],[Span]]</f>
        <v>23577.31639176777</v>
      </c>
      <c r="U927" s="100">
        <f>IF(ISNUMBER('General Info'!$B$40), ((SamplingData[[#This Row],[up/U Selection Probability]]) * 'General Info'!$B$40) - 1, 0)</f>
        <v>115.31421618755658</v>
      </c>
      <c r="V927" s="100">
        <f>IF(ISNUMBER('General Info'!$B$40), (SamplingData[[#This Row],[Running (cumulative) sum]] * ('General Info'!$B$40 -'General Info'!$B$41 + 1)) + 'General Info'!$B$41 - 1, 0)</f>
        <v>23692.630607955325</v>
      </c>
      <c r="W927" s="100" t="str">
        <f>IF(ISERROR(MATCH(SamplingData[[#This Row],[Batch by Type (p)]],SelectedPrecincts[Batch Name], 0)), "", INDEX(SelectedPrecincts[Draw], MATCH(SamplingData[[#This Row],[Batch by Type (p)]],SelectedPrecincts[Batch Name], 0)))</f>
        <v/>
      </c>
      <c r="X927" s="102">
        <f>IF(COUNTIF(SelectedPrecincts[Batch Name],SamplingData[[#This Row],[Batch by Type (p)]]) &lt;&gt; 0, COUNTIF(SelectedPrecincts[Batch Name],SamplingData[[#This Row],[Batch by Type (p)]]), 0)</f>
        <v>0</v>
      </c>
    </row>
    <row r="928" spans="1:24" ht="15" customHeight="1">
      <c r="A928" s="18" t="s">
        <v>1104</v>
      </c>
      <c r="B928" s="18">
        <v>4</v>
      </c>
      <c r="C928" s="18">
        <v>6</v>
      </c>
      <c r="D928" s="18">
        <v>3</v>
      </c>
      <c r="E928" s="18">
        <v>3</v>
      </c>
      <c r="F928" s="18">
        <v>0</v>
      </c>
      <c r="G928" s="18">
        <v>0</v>
      </c>
      <c r="H928" s="18">
        <v>0</v>
      </c>
      <c r="I928" s="18">
        <v>0</v>
      </c>
      <c r="J928" s="99">
        <f>SUM(SamplingData[[#This Row],[Losing Candidate]:[Under Votes]])</f>
        <v>16</v>
      </c>
      <c r="K928"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928" s="100">
        <f>IF(AND(SamplingData[[#This Row],[Total]]&lt;&gt; 0, NOT(ISBLANK(SamplingData[[#This Row],[Candidate 3]]))),(SamplingData[[#This Row],[Total]]+SamplingData[[#This Row],[Winning Candidate]]-SamplingData[[#This Row],[Candidate 3]])/(SamplingData[[#Totals],[Winning Candidate]]-SamplingData[[#Totals],[Candidate 3]]), 0)</f>
        <v>6.1296254476239632E-4</v>
      </c>
      <c r="M928" s="100">
        <f>IF(AND(SamplingData[[#This Row],[Total]]&lt;&gt; 0, NOT(ISBLANK(SamplingData[[#This Row],[Candidate 4]]))),(SamplingData[[#This Row],[Total]]+SamplingData[[#This Row],[Winning Candidate]]-SamplingData[[#This Row],[Candidate 4]])/(SamplingData[[#Totals],[Winning Candidate]]-SamplingData[[#Totals],[Candidate 4]]), 0)</f>
        <v>5.5540939518840076E-4</v>
      </c>
      <c r="N928" s="100">
        <f>IF(AND(SamplingData[[#This Row],[Total]]&lt;&gt; 0, NOT(ISBLANK(SamplingData[[#This Row],[Candidate 5]]))),(SamplingData[[#This Row],[Total]]+SamplingData[[#This Row],[Winning Candidate]]-SamplingData[[#This Row],[Candidate 5]])/(SamplingData[[#Totals],[Winning Candidate]]-SamplingData[[#Totals],[Candidate 5]]), 0)</f>
        <v>5.3514959863780107E-4</v>
      </c>
      <c r="O928" s="100">
        <f>IF(AND(SamplingData[[#This Row],[Total]]&lt;&gt; 0, NOT(ISBLANK(SamplingData[[#This Row],[Candidate 6]]))),(SamplingData[[#This Row],[Total]]+SamplingData[[#This Row],[Winning Candidate]]-SamplingData[[#This Row],[Candidate 6]])/(SamplingData[[#Totals],[Winning Candidate]]-SamplingData[[#Totals],[Candidate 6]]), 0)</f>
        <v>5.3499343417148966E-4</v>
      </c>
      <c r="P928" s="100">
        <f>MAX(SamplingData[[#This Row],[Error Bound (up) - Max. possible relative overstatement - Losing Candidate]:[Error Bound (up) - Max. possible relative overstatement - Candidate 6]])</f>
        <v>1.1024007839294464E-3</v>
      </c>
      <c r="Q928" s="100">
        <f>IF(SamplingData[[#This Row],[Max Error Bound (up)]] = 0,0,SamplingData[[#This Row],[Max Error Bound (up)]]/SamplingData[[#Totals],[Max Error Bound (up)]])</f>
        <v>1.7447306901202498E-4</v>
      </c>
      <c r="R928" s="101">
        <f>SUM($Q$5:Q928)</f>
        <v>0.23711077914856529</v>
      </c>
      <c r="S928" s="100" t="str">
        <f t="array" ref="S928">IF(SamplingData[[#This Row],[up/U Selection Probability]] = 0, "Zero", TEXT(SamplingData[[#This Row],[Lower Range]], REPT("0",LEN('General Info'!$B$40))) &amp; " - " &amp; TEXT(SamplingData[[#This Row],[Upper Range]], REPT("0",LEN('General Info'!$B$40))))</f>
        <v>23694 - 23710</v>
      </c>
      <c r="T928" s="100">
        <f>SamplingData[[#This Row],[Upper Range]]-SamplingData[[#This Row],[Span]]</f>
        <v>23693.630782428398</v>
      </c>
      <c r="U928" s="100">
        <f>IF(ISNUMBER('General Info'!$B$40), ((SamplingData[[#This Row],[up/U Selection Probability]]) * 'General Info'!$B$40) - 1, 0)</f>
        <v>16.447132428133486</v>
      </c>
      <c r="V928" s="100">
        <f>IF(ISNUMBER('General Info'!$B$40), (SamplingData[[#This Row],[Running (cumulative) sum]] * ('General Info'!$B$40 -'General Info'!$B$41 + 1)) + 'General Info'!$B$41 - 1, 0)</f>
        <v>23710.077914856531</v>
      </c>
      <c r="W928" s="100" t="str">
        <f>IF(ISERROR(MATCH(SamplingData[[#This Row],[Batch by Type (p)]],SelectedPrecincts[Batch Name], 0)), "", INDEX(SelectedPrecincts[Draw], MATCH(SamplingData[[#This Row],[Batch by Type (p)]],SelectedPrecincts[Batch Name], 0)))</f>
        <v/>
      </c>
      <c r="X928" s="102">
        <f>IF(COUNTIF(SelectedPrecincts[Batch Name],SamplingData[[#This Row],[Batch by Type (p)]]) &lt;&gt; 0, COUNTIF(SelectedPrecincts[Batch Name],SamplingData[[#This Row],[Batch by Type (p)]]), 0)</f>
        <v>0</v>
      </c>
    </row>
    <row r="929" spans="1:24" ht="15" customHeight="1">
      <c r="A929" s="18" t="s">
        <v>1105</v>
      </c>
      <c r="B929" s="18">
        <v>29</v>
      </c>
      <c r="C929" s="18">
        <v>25</v>
      </c>
      <c r="D929" s="16">
        <v>10</v>
      </c>
      <c r="E929" s="16">
        <v>13</v>
      </c>
      <c r="F929" s="37">
        <v>0</v>
      </c>
      <c r="G929" s="37">
        <v>0</v>
      </c>
      <c r="H929" s="17">
        <v>0</v>
      </c>
      <c r="I929" s="17">
        <v>1</v>
      </c>
      <c r="J929" s="99">
        <f>SUM(SamplingData[[#This Row],[Losing Candidate]:[Under Votes]])</f>
        <v>78</v>
      </c>
      <c r="K929" s="100">
        <f>IF(AND(SamplingData[[#This Row],[Total]]&lt;&gt; 0, NOT(ISBLANK(SamplingData[[#This Row],[Losing Candidate]]))),(SamplingData[[#This Row],[Total]]+SamplingData[[#This Row],[Winning Candidate]]-SamplingData[[#This Row],[Losing Candidate]])/(SamplingData[[#Totals],[Winning Candidate]]-SamplingData[[#Totals],[Losing Candidate]]), 0)</f>
        <v>4.5320921117099457E-3</v>
      </c>
      <c r="L929" s="100">
        <f>IF(AND(SamplingData[[#This Row],[Total]]&lt;&gt; 0, NOT(ISBLANK(SamplingData[[#This Row],[Candidate 3]]))),(SamplingData[[#This Row],[Total]]+SamplingData[[#This Row],[Winning Candidate]]-SamplingData[[#This Row],[Candidate 3]])/(SamplingData[[#Totals],[Winning Candidate]]-SamplingData[[#Totals],[Candidate 3]]), 0)</f>
        <v>3.0002903506790978E-3</v>
      </c>
      <c r="M929" s="100">
        <f>IF(AND(SamplingData[[#This Row],[Total]]&lt;&gt; 0, NOT(ISBLANK(SamplingData[[#This Row],[Candidate 4]]))),(SamplingData[[#This Row],[Total]]+SamplingData[[#This Row],[Winning Candidate]]-SamplingData[[#This Row],[Candidate 4]])/(SamplingData[[#Totals],[Winning Candidate]]-SamplingData[[#Totals],[Candidate 4]]), 0)</f>
        <v>2.6308866087871611E-3</v>
      </c>
      <c r="N929" s="100">
        <f>IF(AND(SamplingData[[#This Row],[Total]]&lt;&gt; 0, NOT(ISBLANK(SamplingData[[#This Row],[Candidate 5]]))),(SamplingData[[#This Row],[Total]]+SamplingData[[#This Row],[Winning Candidate]]-SamplingData[[#This Row],[Candidate 5]])/(SamplingData[[#Totals],[Winning Candidate]]-SamplingData[[#Totals],[Candidate 5]]), 0)</f>
        <v>2.5054731208951591E-3</v>
      </c>
      <c r="O929" s="100">
        <f>IF(AND(SamplingData[[#This Row],[Total]]&lt;&gt; 0, NOT(ISBLANK(SamplingData[[#This Row],[Candidate 6]]))),(SamplingData[[#This Row],[Total]]+SamplingData[[#This Row],[Winning Candidate]]-SamplingData[[#This Row],[Candidate 6]])/(SamplingData[[#Totals],[Winning Candidate]]-SamplingData[[#Totals],[Candidate 6]]), 0)</f>
        <v>2.504741987257429E-3</v>
      </c>
      <c r="P929" s="100">
        <f>MAX(SamplingData[[#This Row],[Error Bound (up) - Max. possible relative overstatement - Losing Candidate]:[Error Bound (up) - Max. possible relative overstatement - Candidate 6]])</f>
        <v>4.5320921117099457E-3</v>
      </c>
      <c r="Q929" s="100">
        <f>IF(SamplingData[[#This Row],[Max Error Bound (up)]] = 0,0,SamplingData[[#This Row],[Max Error Bound (up)]]/SamplingData[[#Totals],[Max Error Bound (up)]])</f>
        <v>7.1727817260499151E-4</v>
      </c>
      <c r="R929" s="101">
        <f>SUM($Q$5:Q929)</f>
        <v>0.23782805732117029</v>
      </c>
      <c r="S929" s="100" t="str">
        <f t="array" ref="S929">IF(SamplingData[[#This Row],[up/U Selection Probability]] = 0, "Zero", TEXT(SamplingData[[#This Row],[Lower Range]], REPT("0",LEN('General Info'!$B$40))) &amp; " - " &amp; TEXT(SamplingData[[#This Row],[Upper Range]], REPT("0",LEN('General Info'!$B$40))))</f>
        <v>23711 - 23782</v>
      </c>
      <c r="T929" s="100">
        <f>SamplingData[[#This Row],[Upper Range]]-SamplingData[[#This Row],[Span]]</f>
        <v>23711.078632134704</v>
      </c>
      <c r="U929" s="100">
        <f>IF(ISNUMBER('General Info'!$B$40), ((SamplingData[[#This Row],[up/U Selection Probability]]) * 'General Info'!$B$40) - 1, 0)</f>
        <v>70.72709998232655</v>
      </c>
      <c r="V929" s="100">
        <f>IF(ISNUMBER('General Info'!$B$40), (SamplingData[[#This Row],[Running (cumulative) sum]] * ('General Info'!$B$40 -'General Info'!$B$41 + 1)) + 'General Info'!$B$41 - 1, 0)</f>
        <v>23781.805732117031</v>
      </c>
      <c r="W929" s="100" t="str">
        <f>IF(ISERROR(MATCH(SamplingData[[#This Row],[Batch by Type (p)]],SelectedPrecincts[Batch Name], 0)), "", INDEX(SelectedPrecincts[Draw], MATCH(SamplingData[[#This Row],[Batch by Type (p)]],SelectedPrecincts[Batch Name], 0)))</f>
        <v/>
      </c>
      <c r="X929" s="102">
        <f>IF(COUNTIF(SelectedPrecincts[Batch Name],SamplingData[[#This Row],[Batch by Type (p)]]) &lt;&gt; 0, COUNTIF(SelectedPrecincts[Batch Name],SamplingData[[#This Row],[Batch by Type (p)]]), 0)</f>
        <v>0</v>
      </c>
    </row>
    <row r="930" spans="1:24" ht="15" customHeight="1">
      <c r="A930" s="18" t="s">
        <v>1106</v>
      </c>
      <c r="B930" s="18">
        <v>5</v>
      </c>
      <c r="C930" s="18">
        <v>5</v>
      </c>
      <c r="D930" s="18">
        <v>3</v>
      </c>
      <c r="E930" s="18">
        <v>1</v>
      </c>
      <c r="F930" s="18">
        <v>0</v>
      </c>
      <c r="G930" s="18">
        <v>0</v>
      </c>
      <c r="H930" s="18">
        <v>0</v>
      </c>
      <c r="I930" s="18">
        <v>0</v>
      </c>
      <c r="J930" s="99">
        <f>SUM(SamplingData[[#This Row],[Losing Candidate]:[Under Votes]])</f>
        <v>14</v>
      </c>
      <c r="K930"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930" s="100">
        <f>IF(AND(SamplingData[[#This Row],[Total]]&lt;&gt; 0, NOT(ISBLANK(SamplingData[[#This Row],[Candidate 3]]))),(SamplingData[[#This Row],[Total]]+SamplingData[[#This Row],[Winning Candidate]]-SamplingData[[#This Row],[Candidate 3]])/(SamplingData[[#Totals],[Winning Candidate]]-SamplingData[[#Totals],[Candidate 3]]), 0)</f>
        <v>5.1617898506307067E-4</v>
      </c>
      <c r="M930" s="100">
        <f>IF(AND(SamplingData[[#This Row],[Total]]&lt;&gt; 0, NOT(ISBLANK(SamplingData[[#This Row],[Candidate 4]]))),(SamplingData[[#This Row],[Total]]+SamplingData[[#This Row],[Winning Candidate]]-SamplingData[[#This Row],[Candidate 4]])/(SamplingData[[#Totals],[Winning Candidate]]-SamplingData[[#Totals],[Candidate 4]]), 0)</f>
        <v>5.2617732175743229E-4</v>
      </c>
      <c r="N930" s="100">
        <f>IF(AND(SamplingData[[#This Row],[Total]]&lt;&gt; 0, NOT(ISBLANK(SamplingData[[#This Row],[Candidate 5]]))),(SamplingData[[#This Row],[Total]]+SamplingData[[#This Row],[Winning Candidate]]-SamplingData[[#This Row],[Candidate 5]])/(SamplingData[[#Totals],[Winning Candidate]]-SamplingData[[#Totals],[Candidate 5]]), 0)</f>
        <v>4.6217465336900997E-4</v>
      </c>
      <c r="O930" s="100">
        <f>IF(AND(SamplingData[[#This Row],[Total]]&lt;&gt; 0, NOT(ISBLANK(SamplingData[[#This Row],[Candidate 6]]))),(SamplingData[[#This Row],[Total]]+SamplingData[[#This Row],[Winning Candidate]]-SamplingData[[#This Row],[Candidate 6]])/(SamplingData[[#Totals],[Winning Candidate]]-SamplingData[[#Totals],[Candidate 6]]), 0)</f>
        <v>4.6203978405719566E-4</v>
      </c>
      <c r="P930" s="100">
        <f>MAX(SamplingData[[#This Row],[Error Bound (up) - Max. possible relative overstatement - Losing Candidate]:[Error Bound (up) - Max. possible relative overstatement - Candidate 6]])</f>
        <v>8.5742283194512492E-4</v>
      </c>
      <c r="Q930" s="100">
        <f>IF(SamplingData[[#This Row],[Max Error Bound (up)]] = 0,0,SamplingData[[#This Row],[Max Error Bound (up)]]/SamplingData[[#Totals],[Max Error Bound (up)]])</f>
        <v>1.3570127589824165E-4</v>
      </c>
      <c r="R930" s="101">
        <f>SUM($Q$5:Q930)</f>
        <v>0.23796375859706853</v>
      </c>
      <c r="S930" s="100" t="str">
        <f t="array" ref="S930">IF(SamplingData[[#This Row],[up/U Selection Probability]] = 0, "Zero", TEXT(SamplingData[[#This Row],[Lower Range]], REPT("0",LEN('General Info'!$B$40))) &amp; " - " &amp; TEXT(SamplingData[[#This Row],[Upper Range]], REPT("0",LEN('General Info'!$B$40))))</f>
        <v>23783 - 23795</v>
      </c>
      <c r="T930" s="100">
        <f>SamplingData[[#This Row],[Upper Range]]-SamplingData[[#This Row],[Span]]</f>
        <v>23782.805867818304</v>
      </c>
      <c r="U930" s="100">
        <f>IF(ISNUMBER('General Info'!$B$40), ((SamplingData[[#This Row],[up/U Selection Probability]]) * 'General Info'!$B$40) - 1, 0)</f>
        <v>12.569991888548268</v>
      </c>
      <c r="V930" s="100">
        <f>IF(ISNUMBER('General Info'!$B$40), (SamplingData[[#This Row],[Running (cumulative) sum]] * ('General Info'!$B$40 -'General Info'!$B$41 + 1)) + 'General Info'!$B$41 - 1, 0)</f>
        <v>23795.375859706852</v>
      </c>
      <c r="W930" s="100" t="str">
        <f>IF(ISERROR(MATCH(SamplingData[[#This Row],[Batch by Type (p)]],SelectedPrecincts[Batch Name], 0)), "", INDEX(SelectedPrecincts[Draw], MATCH(SamplingData[[#This Row],[Batch by Type (p)]],SelectedPrecincts[Batch Name], 0)))</f>
        <v/>
      </c>
      <c r="X930" s="102">
        <f>IF(COUNTIF(SelectedPrecincts[Batch Name],SamplingData[[#This Row],[Batch by Type (p)]]) &lt;&gt; 0, COUNTIF(SelectedPrecincts[Batch Name],SamplingData[[#This Row],[Batch by Type (p)]]), 0)</f>
        <v>0</v>
      </c>
    </row>
    <row r="931" spans="1:24" ht="15" customHeight="1">
      <c r="A931" s="18" t="s">
        <v>1107</v>
      </c>
      <c r="B931" s="18">
        <v>23</v>
      </c>
      <c r="C931" s="18">
        <v>23</v>
      </c>
      <c r="D931" s="16">
        <v>9</v>
      </c>
      <c r="E931" s="16">
        <v>11</v>
      </c>
      <c r="F931" s="37">
        <v>0</v>
      </c>
      <c r="G931" s="37">
        <v>0</v>
      </c>
      <c r="H931" s="17">
        <v>0</v>
      </c>
      <c r="I931" s="17">
        <v>0</v>
      </c>
      <c r="J931" s="99">
        <f>SUM(SamplingData[[#This Row],[Losing Candidate]:[Under Votes]])</f>
        <v>66</v>
      </c>
      <c r="K931" s="100">
        <f>IF(AND(SamplingData[[#This Row],[Total]]&lt;&gt; 0, NOT(ISBLANK(SamplingData[[#This Row],[Losing Candidate]]))),(SamplingData[[#This Row],[Total]]+SamplingData[[#This Row],[Winning Candidate]]-SamplingData[[#This Row],[Losing Candidate]])/(SamplingData[[#Totals],[Winning Candidate]]-SamplingData[[#Totals],[Losing Candidate]]), 0)</f>
        <v>4.0421362077413033E-3</v>
      </c>
      <c r="L931" s="100">
        <f>IF(AND(SamplingData[[#This Row],[Total]]&lt;&gt; 0, NOT(ISBLANK(SamplingData[[#This Row],[Candidate 3]]))),(SamplingData[[#This Row],[Total]]+SamplingData[[#This Row],[Winning Candidate]]-SamplingData[[#This Row],[Candidate 3]])/(SamplingData[[#Totals],[Winning Candidate]]-SamplingData[[#Totals],[Candidate 3]]), 0)</f>
        <v>2.5808949253153532E-3</v>
      </c>
      <c r="M931" s="100">
        <f>IF(AND(SamplingData[[#This Row],[Total]]&lt;&gt; 0, NOT(ISBLANK(SamplingData[[#This Row],[Candidate 4]]))),(SamplingData[[#This Row],[Total]]+SamplingData[[#This Row],[Winning Candidate]]-SamplingData[[#This Row],[Candidate 4]])/(SamplingData[[#Totals],[Winning Candidate]]-SamplingData[[#Totals],[Candidate 4]]), 0)</f>
        <v>2.28010172761554E-3</v>
      </c>
      <c r="N931" s="100">
        <f>IF(AND(SamplingData[[#This Row],[Total]]&lt;&gt; 0, NOT(ISBLANK(SamplingData[[#This Row],[Candidate 5]]))),(SamplingData[[#This Row],[Total]]+SamplingData[[#This Row],[Winning Candidate]]-SamplingData[[#This Row],[Candidate 5]])/(SamplingData[[#Totals],[Winning Candidate]]-SamplingData[[#Totals],[Candidate 5]]), 0)</f>
        <v>2.1649233763074678E-3</v>
      </c>
      <c r="O931" s="100">
        <f>IF(AND(SamplingData[[#This Row],[Total]]&lt;&gt; 0, NOT(ISBLANK(SamplingData[[#This Row],[Candidate 6]]))),(SamplingData[[#This Row],[Total]]+SamplingData[[#This Row],[Winning Candidate]]-SamplingData[[#This Row],[Candidate 6]])/(SamplingData[[#Totals],[Winning Candidate]]-SamplingData[[#Totals],[Candidate 6]]), 0)</f>
        <v>2.16429162005739E-3</v>
      </c>
      <c r="P931" s="100">
        <f>MAX(SamplingData[[#This Row],[Error Bound (up) - Max. possible relative overstatement - Losing Candidate]:[Error Bound (up) - Max. possible relative overstatement - Candidate 6]])</f>
        <v>4.0421362077413033E-3</v>
      </c>
      <c r="Q931" s="100">
        <f>IF(SamplingData[[#This Row],[Max Error Bound (up)]] = 0,0,SamplingData[[#This Row],[Max Error Bound (up)]]/SamplingData[[#Totals],[Max Error Bound (up)]])</f>
        <v>6.397345863774249E-4</v>
      </c>
      <c r="R931" s="101">
        <f>SUM($Q$5:Q931)</f>
        <v>0.23860349318344595</v>
      </c>
      <c r="S931" s="100" t="str">
        <f t="array" ref="S931">IF(SamplingData[[#This Row],[up/U Selection Probability]] = 0, "Zero", TEXT(SamplingData[[#This Row],[Lower Range]], REPT("0",LEN('General Info'!$B$40))) &amp; " - " &amp; TEXT(SamplingData[[#This Row],[Upper Range]], REPT("0",LEN('General Info'!$B$40))))</f>
        <v>23796 - 23859</v>
      </c>
      <c r="T931" s="100">
        <f>SamplingData[[#This Row],[Upper Range]]-SamplingData[[#This Row],[Span]]</f>
        <v>23796.376499441438</v>
      </c>
      <c r="U931" s="100">
        <f>IF(ISNUMBER('General Info'!$B$40), ((SamplingData[[#This Row],[up/U Selection Probability]]) * 'General Info'!$B$40) - 1, 0)</f>
        <v>62.97281890315611</v>
      </c>
      <c r="V931" s="100">
        <f>IF(ISNUMBER('General Info'!$B$40), (SamplingData[[#This Row],[Running (cumulative) sum]] * ('General Info'!$B$40 -'General Info'!$B$41 + 1)) + 'General Info'!$B$41 - 1, 0)</f>
        <v>23859.349318344593</v>
      </c>
      <c r="W931" s="100" t="str">
        <f>IF(ISERROR(MATCH(SamplingData[[#This Row],[Batch by Type (p)]],SelectedPrecincts[Batch Name], 0)), "", INDEX(SelectedPrecincts[Draw], MATCH(SamplingData[[#This Row],[Batch by Type (p)]],SelectedPrecincts[Batch Name], 0)))</f>
        <v/>
      </c>
      <c r="X931" s="102">
        <f>IF(COUNTIF(SelectedPrecincts[Batch Name],SamplingData[[#This Row],[Batch by Type (p)]]) &lt;&gt; 0, COUNTIF(SelectedPrecincts[Batch Name],SamplingData[[#This Row],[Batch by Type (p)]]), 0)</f>
        <v>0</v>
      </c>
    </row>
    <row r="932" spans="1:24" ht="15" customHeight="1">
      <c r="A932" s="18" t="s">
        <v>1108</v>
      </c>
      <c r="B932" s="18">
        <v>7</v>
      </c>
      <c r="C932" s="18">
        <v>3</v>
      </c>
      <c r="D932" s="18">
        <v>1</v>
      </c>
      <c r="E932" s="18">
        <v>2</v>
      </c>
      <c r="F932" s="18">
        <v>0</v>
      </c>
      <c r="G932" s="18">
        <v>0</v>
      </c>
      <c r="H932" s="18">
        <v>0</v>
      </c>
      <c r="I932" s="18">
        <v>2</v>
      </c>
      <c r="J932" s="99">
        <f>SUM(SamplingData[[#This Row],[Losing Candidate]:[Under Votes]])</f>
        <v>15</v>
      </c>
      <c r="K932"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932" s="100">
        <f>IF(AND(SamplingData[[#This Row],[Total]]&lt;&gt; 0, NOT(ISBLANK(SamplingData[[#This Row],[Candidate 3]]))),(SamplingData[[#This Row],[Total]]+SamplingData[[#This Row],[Winning Candidate]]-SamplingData[[#This Row],[Candidate 3]])/(SamplingData[[#Totals],[Winning Candidate]]-SamplingData[[#Totals],[Candidate 3]]), 0)</f>
        <v>5.4844017162951255E-4</v>
      </c>
      <c r="M932" s="100">
        <f>IF(AND(SamplingData[[#This Row],[Total]]&lt;&gt; 0, NOT(ISBLANK(SamplingData[[#This Row],[Candidate 4]]))),(SamplingData[[#This Row],[Total]]+SamplingData[[#This Row],[Winning Candidate]]-SamplingData[[#This Row],[Candidate 4]])/(SamplingData[[#Totals],[Winning Candidate]]-SamplingData[[#Totals],[Candidate 4]]), 0)</f>
        <v>4.6771317489549536E-4</v>
      </c>
      <c r="N932" s="100">
        <f>IF(AND(SamplingData[[#This Row],[Total]]&lt;&gt; 0, NOT(ISBLANK(SamplingData[[#This Row],[Candidate 5]]))),(SamplingData[[#This Row],[Total]]+SamplingData[[#This Row],[Winning Candidate]]-SamplingData[[#This Row],[Candidate 5]])/(SamplingData[[#Totals],[Winning Candidate]]-SamplingData[[#Totals],[Candidate 5]]), 0)</f>
        <v>4.3784967161274629E-4</v>
      </c>
      <c r="O932" s="100">
        <f>IF(AND(SamplingData[[#This Row],[Total]]&lt;&gt; 0, NOT(ISBLANK(SamplingData[[#This Row],[Candidate 6]]))),(SamplingData[[#This Row],[Total]]+SamplingData[[#This Row],[Winning Candidate]]-SamplingData[[#This Row],[Candidate 6]])/(SamplingData[[#Totals],[Winning Candidate]]-SamplingData[[#Totals],[Candidate 6]]), 0)</f>
        <v>4.3772190068576433E-4</v>
      </c>
      <c r="P932" s="100">
        <f>MAX(SamplingData[[#This Row],[Error Bound (up) - Max. possible relative overstatement - Losing Candidate]:[Error Bound (up) - Max. possible relative overstatement - Candidate 6]])</f>
        <v>6.7368936795688392E-4</v>
      </c>
      <c r="Q932" s="100">
        <f>IF(SamplingData[[#This Row],[Max Error Bound (up)]] = 0,0,SamplingData[[#This Row],[Max Error Bound (up)]]/SamplingData[[#Totals],[Max Error Bound (up)]])</f>
        <v>1.0662243106290416E-4</v>
      </c>
      <c r="R932" s="101">
        <f>SUM($Q$5:Q932)</f>
        <v>0.23871011561450886</v>
      </c>
      <c r="S932" s="100" t="str">
        <f t="array" ref="S932">IF(SamplingData[[#This Row],[up/U Selection Probability]] = 0, "Zero", TEXT(SamplingData[[#This Row],[Lower Range]], REPT("0",LEN('General Info'!$B$40))) &amp; " - " &amp; TEXT(SamplingData[[#This Row],[Upper Range]], REPT("0",LEN('General Info'!$B$40))))</f>
        <v>23860 - 23870</v>
      </c>
      <c r="T932" s="100">
        <f>SamplingData[[#This Row],[Upper Range]]-SamplingData[[#This Row],[Span]]</f>
        <v>23860.349424967026</v>
      </c>
      <c r="U932" s="100">
        <f>IF(ISNUMBER('General Info'!$B$40), ((SamplingData[[#This Row],[up/U Selection Probability]]) * 'General Info'!$B$40) - 1, 0)</f>
        <v>9.6621364838593529</v>
      </c>
      <c r="V932" s="100">
        <f>IF(ISNUMBER('General Info'!$B$40), (SamplingData[[#This Row],[Running (cumulative) sum]] * ('General Info'!$B$40 -'General Info'!$B$41 + 1)) + 'General Info'!$B$41 - 1, 0)</f>
        <v>23870.011561450887</v>
      </c>
      <c r="W932" s="100" t="str">
        <f>IF(ISERROR(MATCH(SamplingData[[#This Row],[Batch by Type (p)]],SelectedPrecincts[Batch Name], 0)), "", INDEX(SelectedPrecincts[Draw], MATCH(SamplingData[[#This Row],[Batch by Type (p)]],SelectedPrecincts[Batch Name], 0)))</f>
        <v/>
      </c>
      <c r="X932" s="102">
        <f>IF(COUNTIF(SelectedPrecincts[Batch Name],SamplingData[[#This Row],[Batch by Type (p)]]) &lt;&gt; 0, COUNTIF(SelectedPrecincts[Batch Name],SamplingData[[#This Row],[Batch by Type (p)]]), 0)</f>
        <v>0</v>
      </c>
    </row>
    <row r="933" spans="1:24" ht="15" customHeight="1">
      <c r="A933" s="18" t="s">
        <v>1109</v>
      </c>
      <c r="B933" s="18">
        <v>11</v>
      </c>
      <c r="C933" s="18">
        <v>9</v>
      </c>
      <c r="D933" s="16">
        <v>4</v>
      </c>
      <c r="E933" s="16">
        <v>5</v>
      </c>
      <c r="F933" s="37">
        <v>0</v>
      </c>
      <c r="G933" s="37">
        <v>0</v>
      </c>
      <c r="H933" s="17">
        <v>0</v>
      </c>
      <c r="I933" s="17">
        <v>0</v>
      </c>
      <c r="J933" s="99">
        <f>SUM(SamplingData[[#This Row],[Losing Candidate]:[Under Votes]])</f>
        <v>29</v>
      </c>
      <c r="K933"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933" s="100">
        <f>IF(AND(SamplingData[[#This Row],[Total]]&lt;&gt; 0, NOT(ISBLANK(SamplingData[[#This Row],[Candidate 3]]))),(SamplingData[[#This Row],[Total]]+SamplingData[[#This Row],[Winning Candidate]]-SamplingData[[#This Row],[Candidate 3]])/(SamplingData[[#Totals],[Winning Candidate]]-SamplingData[[#Totals],[Candidate 3]]), 0)</f>
        <v>1.0968803432590251E-3</v>
      </c>
      <c r="M933" s="100">
        <f>IF(AND(SamplingData[[#This Row],[Total]]&lt;&gt; 0, NOT(ISBLANK(SamplingData[[#This Row],[Candidate 4]]))),(SamplingData[[#This Row],[Total]]+SamplingData[[#This Row],[Winning Candidate]]-SamplingData[[#This Row],[Candidate 4]])/(SamplingData[[#Totals],[Winning Candidate]]-SamplingData[[#Totals],[Candidate 4]]), 0)</f>
        <v>9.6465842322195918E-4</v>
      </c>
      <c r="N933" s="100">
        <f>IF(AND(SamplingData[[#This Row],[Total]]&lt;&gt; 0, NOT(ISBLANK(SamplingData[[#This Row],[Candidate 5]]))),(SamplingData[[#This Row],[Total]]+SamplingData[[#This Row],[Winning Candidate]]-SamplingData[[#This Row],[Candidate 5]])/(SamplingData[[#Totals],[Winning Candidate]]-SamplingData[[#Totals],[Candidate 5]]), 0)</f>
        <v>9.2434930673801995E-4</v>
      </c>
      <c r="O933" s="100">
        <f>IF(AND(SamplingData[[#This Row],[Total]]&lt;&gt; 0, NOT(ISBLANK(SamplingData[[#This Row],[Candidate 6]]))),(SamplingData[[#This Row],[Total]]+SamplingData[[#This Row],[Winning Candidate]]-SamplingData[[#This Row],[Candidate 6]])/(SamplingData[[#Totals],[Winning Candidate]]-SamplingData[[#Totals],[Candidate 6]]), 0)</f>
        <v>9.2407956811439132E-4</v>
      </c>
      <c r="P933" s="100">
        <f>MAX(SamplingData[[#This Row],[Error Bound (up) - Max. possible relative overstatement - Losing Candidate]:[Error Bound (up) - Max. possible relative overstatement - Candidate 6]])</f>
        <v>1.6536011758941694E-3</v>
      </c>
      <c r="Q933" s="100">
        <f>IF(SamplingData[[#This Row],[Max Error Bound (up)]] = 0,0,SamplingData[[#This Row],[Max Error Bound (up)]]/SamplingData[[#Totals],[Max Error Bound (up)]])</f>
        <v>2.6170960351803746E-4</v>
      </c>
      <c r="R933" s="101">
        <f>SUM($Q$5:Q933)</f>
        <v>0.2389718252180269</v>
      </c>
      <c r="S933" s="100" t="str">
        <f t="array" ref="S933">IF(SamplingData[[#This Row],[up/U Selection Probability]] = 0, "Zero", TEXT(SamplingData[[#This Row],[Lower Range]], REPT("0",LEN('General Info'!$B$40))) &amp; " - " &amp; TEXT(SamplingData[[#This Row],[Upper Range]], REPT("0",LEN('General Info'!$B$40))))</f>
        <v>23871 - 23896</v>
      </c>
      <c r="T933" s="100">
        <f>SamplingData[[#This Row],[Upper Range]]-SamplingData[[#This Row],[Span]]</f>
        <v>23871.01182316049</v>
      </c>
      <c r="U933" s="100">
        <f>IF(ISNUMBER('General Info'!$B$40), ((SamplingData[[#This Row],[up/U Selection Probability]]) * 'General Info'!$B$40) - 1, 0)</f>
        <v>25.170698642200229</v>
      </c>
      <c r="V933" s="100">
        <f>IF(ISNUMBER('General Info'!$B$40), (SamplingData[[#This Row],[Running (cumulative) sum]] * ('General Info'!$B$40 -'General Info'!$B$41 + 1)) + 'General Info'!$B$41 - 1, 0)</f>
        <v>23896.18252180269</v>
      </c>
      <c r="W933" s="100" t="str">
        <f>IF(ISERROR(MATCH(SamplingData[[#This Row],[Batch by Type (p)]],SelectedPrecincts[Batch Name], 0)), "", INDEX(SelectedPrecincts[Draw], MATCH(SamplingData[[#This Row],[Batch by Type (p)]],SelectedPrecincts[Batch Name], 0)))</f>
        <v/>
      </c>
      <c r="X933" s="102">
        <f>IF(COUNTIF(SelectedPrecincts[Batch Name],SamplingData[[#This Row],[Batch by Type (p)]]) &lt;&gt; 0, COUNTIF(SelectedPrecincts[Batch Name],SamplingData[[#This Row],[Batch by Type (p)]]), 0)</f>
        <v>0</v>
      </c>
    </row>
    <row r="934" spans="1:24" ht="15" customHeight="1">
      <c r="A934" s="18" t="s">
        <v>1110</v>
      </c>
      <c r="B934" s="18">
        <v>3</v>
      </c>
      <c r="C934" s="18">
        <v>2</v>
      </c>
      <c r="D934" s="18">
        <v>1</v>
      </c>
      <c r="E934" s="18">
        <v>1</v>
      </c>
      <c r="F934" s="18">
        <v>0</v>
      </c>
      <c r="G934" s="18">
        <v>0</v>
      </c>
      <c r="H934" s="18">
        <v>0</v>
      </c>
      <c r="I934" s="18">
        <v>0</v>
      </c>
      <c r="J934" s="99">
        <f>SUM(SamplingData[[#This Row],[Losing Candidate]:[Under Votes]])</f>
        <v>7</v>
      </c>
      <c r="K934"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934" s="100">
        <f>IF(AND(SamplingData[[#This Row],[Total]]&lt;&gt; 0, NOT(ISBLANK(SamplingData[[#This Row],[Candidate 3]]))),(SamplingData[[#This Row],[Total]]+SamplingData[[#This Row],[Winning Candidate]]-SamplingData[[#This Row],[Candidate 3]])/(SamplingData[[#Totals],[Winning Candidate]]-SamplingData[[#Totals],[Candidate 3]]), 0)</f>
        <v>2.5808949253153533E-4</v>
      </c>
      <c r="M934" s="100">
        <f>IF(AND(SamplingData[[#This Row],[Total]]&lt;&gt; 0, NOT(ISBLANK(SamplingData[[#This Row],[Candidate 4]]))),(SamplingData[[#This Row],[Total]]+SamplingData[[#This Row],[Winning Candidate]]-SamplingData[[#This Row],[Candidate 4]])/(SamplingData[[#Totals],[Winning Candidate]]-SamplingData[[#Totals],[Candidate 4]]), 0)</f>
        <v>2.3385658744774768E-4</v>
      </c>
      <c r="N934" s="100">
        <f>IF(AND(SamplingData[[#This Row],[Total]]&lt;&gt; 0, NOT(ISBLANK(SamplingData[[#This Row],[Candidate 5]]))),(SamplingData[[#This Row],[Total]]+SamplingData[[#This Row],[Winning Candidate]]-SamplingData[[#This Row],[Candidate 5]])/(SamplingData[[#Totals],[Winning Candidate]]-SamplingData[[#Totals],[Candidate 5]]), 0)</f>
        <v>2.1892483580637315E-4</v>
      </c>
      <c r="O934" s="100">
        <f>IF(AND(SamplingData[[#This Row],[Total]]&lt;&gt; 0, NOT(ISBLANK(SamplingData[[#This Row],[Candidate 6]]))),(SamplingData[[#This Row],[Total]]+SamplingData[[#This Row],[Winning Candidate]]-SamplingData[[#This Row],[Candidate 6]])/(SamplingData[[#Totals],[Winning Candidate]]-SamplingData[[#Totals],[Candidate 6]]), 0)</f>
        <v>2.1886095034288216E-4</v>
      </c>
      <c r="P934" s="100">
        <f>MAX(SamplingData[[#This Row],[Error Bound (up) - Max. possible relative overstatement - Losing Candidate]:[Error Bound (up) - Max. possible relative overstatement - Candidate 6]])</f>
        <v>3.6746692797648211E-4</v>
      </c>
      <c r="Q934" s="100">
        <f>IF(SamplingData[[#This Row],[Max Error Bound (up)]] = 0,0,SamplingData[[#This Row],[Max Error Bound (up)]]/SamplingData[[#Totals],[Max Error Bound (up)]])</f>
        <v>5.8157689670674986E-5</v>
      </c>
      <c r="R934" s="101">
        <f>SUM($Q$5:Q934)</f>
        <v>0.23902998290769759</v>
      </c>
      <c r="S934" s="100" t="str">
        <f t="array" ref="S934">IF(SamplingData[[#This Row],[up/U Selection Probability]] = 0, "Zero", TEXT(SamplingData[[#This Row],[Lower Range]], REPT("0",LEN('General Info'!$B$40))) &amp; " - " &amp; TEXT(SamplingData[[#This Row],[Upper Range]], REPT("0",LEN('General Info'!$B$40))))</f>
        <v>23897 - 23902</v>
      </c>
      <c r="T934" s="100">
        <f>SamplingData[[#This Row],[Upper Range]]-SamplingData[[#This Row],[Span]]</f>
        <v>23897.182579960383</v>
      </c>
      <c r="U934" s="100">
        <f>IF(ISNUMBER('General Info'!$B$40), ((SamplingData[[#This Row],[up/U Selection Probability]]) * 'General Info'!$B$40) - 1, 0)</f>
        <v>4.815710809377828</v>
      </c>
      <c r="V934" s="100">
        <f>IF(ISNUMBER('General Info'!$B$40), (SamplingData[[#This Row],[Running (cumulative) sum]] * ('General Info'!$B$40 -'General Info'!$B$41 + 1)) + 'General Info'!$B$41 - 1, 0)</f>
        <v>23901.998290769759</v>
      </c>
      <c r="W934" s="100" t="str">
        <f>IF(ISERROR(MATCH(SamplingData[[#This Row],[Batch by Type (p)]],SelectedPrecincts[Batch Name], 0)), "", INDEX(SelectedPrecincts[Draw], MATCH(SamplingData[[#This Row],[Batch by Type (p)]],SelectedPrecincts[Batch Name], 0)))</f>
        <v/>
      </c>
      <c r="X934" s="102">
        <f>IF(COUNTIF(SelectedPrecincts[Batch Name],SamplingData[[#This Row],[Batch by Type (p)]]) &lt;&gt; 0, COUNTIF(SelectedPrecincts[Batch Name],SamplingData[[#This Row],[Batch by Type (p)]]), 0)</f>
        <v>0</v>
      </c>
    </row>
    <row r="935" spans="1:24" ht="15" customHeight="1">
      <c r="A935" s="18" t="s">
        <v>1111</v>
      </c>
      <c r="B935" s="18">
        <v>17</v>
      </c>
      <c r="C935" s="18">
        <v>19</v>
      </c>
      <c r="D935" s="16">
        <v>2</v>
      </c>
      <c r="E935" s="16">
        <v>2</v>
      </c>
      <c r="F935" s="37">
        <v>1</v>
      </c>
      <c r="G935" s="37">
        <v>0</v>
      </c>
      <c r="H935" s="17">
        <v>0</v>
      </c>
      <c r="I935" s="17">
        <v>1</v>
      </c>
      <c r="J935" s="99">
        <f>SUM(SamplingData[[#This Row],[Losing Candidate]:[Under Votes]])</f>
        <v>42</v>
      </c>
      <c r="K935" s="100">
        <f>IF(AND(SamplingData[[#This Row],[Total]]&lt;&gt; 0, NOT(ISBLANK(SamplingData[[#This Row],[Losing Candidate]]))),(SamplingData[[#This Row],[Total]]+SamplingData[[#This Row],[Winning Candidate]]-SamplingData[[#This Row],[Losing Candidate]])/(SamplingData[[#Totals],[Winning Candidate]]-SamplingData[[#Totals],[Losing Candidate]]), 0)</f>
        <v>2.6947574718275357E-3</v>
      </c>
      <c r="L935" s="100">
        <f>IF(AND(SamplingData[[#This Row],[Total]]&lt;&gt; 0, NOT(ISBLANK(SamplingData[[#This Row],[Candidate 3]]))),(SamplingData[[#This Row],[Total]]+SamplingData[[#This Row],[Winning Candidate]]-SamplingData[[#This Row],[Candidate 3]])/(SamplingData[[#Totals],[Winning Candidate]]-SamplingData[[#Totals],[Candidate 3]]), 0)</f>
        <v>1.9034100074200729E-3</v>
      </c>
      <c r="M935" s="100">
        <f>IF(AND(SamplingData[[#This Row],[Total]]&lt;&gt; 0, NOT(ISBLANK(SamplingData[[#This Row],[Candidate 4]]))),(SamplingData[[#This Row],[Total]]+SamplingData[[#This Row],[Winning Candidate]]-SamplingData[[#This Row],[Candidate 4]])/(SamplingData[[#Totals],[Winning Candidate]]-SamplingData[[#Totals],[Candidate 4]]), 0)</f>
        <v>1.7246923324271391E-3</v>
      </c>
      <c r="N935" s="100">
        <f>IF(AND(SamplingData[[#This Row],[Total]]&lt;&gt; 0, NOT(ISBLANK(SamplingData[[#This Row],[Candidate 5]]))),(SamplingData[[#This Row],[Total]]+SamplingData[[#This Row],[Winning Candidate]]-SamplingData[[#This Row],[Candidate 5]])/(SamplingData[[#Totals],[Winning Candidate]]-SamplingData[[#Totals],[Candidate 5]]), 0)</f>
        <v>1.459498905375821E-3</v>
      </c>
      <c r="O935" s="100">
        <f>IF(AND(SamplingData[[#This Row],[Total]]&lt;&gt; 0, NOT(ISBLANK(SamplingData[[#This Row],[Candidate 6]]))),(SamplingData[[#This Row],[Total]]+SamplingData[[#This Row],[Winning Candidate]]-SamplingData[[#This Row],[Candidate 6]])/(SamplingData[[#Totals],[Winning Candidate]]-SamplingData[[#Totals],[Candidate 6]]), 0)</f>
        <v>1.4833908856573125E-3</v>
      </c>
      <c r="P935" s="100">
        <f>MAX(SamplingData[[#This Row],[Error Bound (up) - Max. possible relative overstatement - Losing Candidate]:[Error Bound (up) - Max. possible relative overstatement - Candidate 6]])</f>
        <v>2.6947574718275357E-3</v>
      </c>
      <c r="Q935" s="100">
        <f>IF(SamplingData[[#This Row],[Max Error Bound (up)]] = 0,0,SamplingData[[#This Row],[Max Error Bound (up)]]/SamplingData[[#Totals],[Max Error Bound (up)]])</f>
        <v>4.2648972425161664E-4</v>
      </c>
      <c r="R935" s="101">
        <f>SUM($Q$5:Q935)</f>
        <v>0.23945647263194919</v>
      </c>
      <c r="S935" s="100" t="str">
        <f t="array" ref="S935">IF(SamplingData[[#This Row],[up/U Selection Probability]] = 0, "Zero", TEXT(SamplingData[[#This Row],[Lower Range]], REPT("0",LEN('General Info'!$B$40))) &amp; " - " &amp; TEXT(SamplingData[[#This Row],[Upper Range]], REPT("0",LEN('General Info'!$B$40))))</f>
        <v>23903 - 23945</v>
      </c>
      <c r="T935" s="100">
        <f>SamplingData[[#This Row],[Upper Range]]-SamplingData[[#This Row],[Span]]</f>
        <v>23902.998717259481</v>
      </c>
      <c r="U935" s="100">
        <f>IF(ISNUMBER('General Info'!$B$40), ((SamplingData[[#This Row],[up/U Selection Probability]]) * 'General Info'!$B$40) - 1, 0)</f>
        <v>41.648545935437411</v>
      </c>
      <c r="V935" s="100">
        <f>IF(ISNUMBER('General Info'!$B$40), (SamplingData[[#This Row],[Running (cumulative) sum]] * ('General Info'!$B$40 -'General Info'!$B$41 + 1)) + 'General Info'!$B$41 - 1, 0)</f>
        <v>23944.647263194918</v>
      </c>
      <c r="W935" s="100" t="str">
        <f>IF(ISERROR(MATCH(SamplingData[[#This Row],[Batch by Type (p)]],SelectedPrecincts[Batch Name], 0)), "", INDEX(SelectedPrecincts[Draw], MATCH(SamplingData[[#This Row],[Batch by Type (p)]],SelectedPrecincts[Batch Name], 0)))</f>
        <v/>
      </c>
      <c r="X935" s="102">
        <f>IF(COUNTIF(SelectedPrecincts[Batch Name],SamplingData[[#This Row],[Batch by Type (p)]]) &lt;&gt; 0, COUNTIF(SelectedPrecincts[Batch Name],SamplingData[[#This Row],[Batch by Type (p)]]), 0)</f>
        <v>0</v>
      </c>
    </row>
    <row r="936" spans="1:24" ht="15" customHeight="1">
      <c r="A936" s="18" t="s">
        <v>1112</v>
      </c>
      <c r="B936" s="18">
        <v>4</v>
      </c>
      <c r="C936" s="18">
        <v>6</v>
      </c>
      <c r="D936" s="18">
        <v>1</v>
      </c>
      <c r="E936" s="18">
        <v>0</v>
      </c>
      <c r="F936" s="18">
        <v>0</v>
      </c>
      <c r="G936" s="18">
        <v>0</v>
      </c>
      <c r="H936" s="18">
        <v>0</v>
      </c>
      <c r="I936" s="18">
        <v>0</v>
      </c>
      <c r="J936" s="99">
        <f>SUM(SamplingData[[#This Row],[Losing Candidate]:[Under Votes]])</f>
        <v>11</v>
      </c>
      <c r="K936"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936" s="100">
        <f>IF(AND(SamplingData[[#This Row],[Total]]&lt;&gt; 0, NOT(ISBLANK(SamplingData[[#This Row],[Candidate 3]]))),(SamplingData[[#This Row],[Total]]+SamplingData[[#This Row],[Winning Candidate]]-SamplingData[[#This Row],[Candidate 3]])/(SamplingData[[#Totals],[Winning Candidate]]-SamplingData[[#Totals],[Candidate 3]]), 0)</f>
        <v>5.1617898506307067E-4</v>
      </c>
      <c r="M936" s="100">
        <f>IF(AND(SamplingData[[#This Row],[Total]]&lt;&gt; 0, NOT(ISBLANK(SamplingData[[#This Row],[Candidate 4]]))),(SamplingData[[#This Row],[Total]]+SamplingData[[#This Row],[Winning Candidate]]-SamplingData[[#This Row],[Candidate 4]])/(SamplingData[[#Totals],[Winning Candidate]]-SamplingData[[#Totals],[Candidate 4]]), 0)</f>
        <v>4.9694524832646382E-4</v>
      </c>
      <c r="N936" s="100">
        <f>IF(AND(SamplingData[[#This Row],[Total]]&lt;&gt; 0, NOT(ISBLANK(SamplingData[[#This Row],[Candidate 5]]))),(SamplingData[[#This Row],[Total]]+SamplingData[[#This Row],[Winning Candidate]]-SamplingData[[#This Row],[Candidate 5]])/(SamplingData[[#Totals],[Winning Candidate]]-SamplingData[[#Totals],[Candidate 5]]), 0)</f>
        <v>4.1352468985648261E-4</v>
      </c>
      <c r="O936" s="100">
        <f>IF(AND(SamplingData[[#This Row],[Total]]&lt;&gt; 0, NOT(ISBLANK(SamplingData[[#This Row],[Candidate 6]]))),(SamplingData[[#This Row],[Total]]+SamplingData[[#This Row],[Winning Candidate]]-SamplingData[[#This Row],[Candidate 6]])/(SamplingData[[#Totals],[Winning Candidate]]-SamplingData[[#Totals],[Candidate 6]]), 0)</f>
        <v>4.1340401731433294E-4</v>
      </c>
      <c r="P936" s="100">
        <f>MAX(SamplingData[[#This Row],[Error Bound (up) - Max. possible relative overstatement - Losing Candidate]:[Error Bound (up) - Max. possible relative overstatement - Candidate 6]])</f>
        <v>7.9617834394904463E-4</v>
      </c>
      <c r="Q936" s="100">
        <f>IF(SamplingData[[#This Row],[Max Error Bound (up)]] = 0,0,SamplingData[[#This Row],[Max Error Bound (up)]]/SamplingData[[#Totals],[Max Error Bound (up)]])</f>
        <v>1.2600832761979581E-4</v>
      </c>
      <c r="R936" s="101">
        <f>SUM($Q$5:Q936)</f>
        <v>0.23958248095956899</v>
      </c>
      <c r="S936" s="100" t="str">
        <f t="array" ref="S936">IF(SamplingData[[#This Row],[up/U Selection Probability]] = 0, "Zero", TEXT(SamplingData[[#This Row],[Lower Range]], REPT("0",LEN('General Info'!$B$40))) &amp; " - " &amp; TEXT(SamplingData[[#This Row],[Upper Range]], REPT("0",LEN('General Info'!$B$40))))</f>
        <v>23946 - 23957</v>
      </c>
      <c r="T936" s="100">
        <f>SamplingData[[#This Row],[Upper Range]]-SamplingData[[#This Row],[Span]]</f>
        <v>23945.647389203248</v>
      </c>
      <c r="U936" s="100">
        <f>IF(ISNUMBER('General Info'!$B$40), ((SamplingData[[#This Row],[up/U Selection Probability]]) * 'General Info'!$B$40) - 1, 0)</f>
        <v>11.600706753651961</v>
      </c>
      <c r="V936" s="100">
        <f>IF(ISNUMBER('General Info'!$B$40), (SamplingData[[#This Row],[Running (cumulative) sum]] * ('General Info'!$B$40 -'General Info'!$B$41 + 1)) + 'General Info'!$B$41 - 1, 0)</f>
        <v>23957.2480959569</v>
      </c>
      <c r="W936" s="100" t="str">
        <f>IF(ISERROR(MATCH(SamplingData[[#This Row],[Batch by Type (p)]],SelectedPrecincts[Batch Name], 0)), "", INDEX(SelectedPrecincts[Draw], MATCH(SamplingData[[#This Row],[Batch by Type (p)]],SelectedPrecincts[Batch Name], 0)))</f>
        <v/>
      </c>
      <c r="X936" s="102">
        <f>IF(COUNTIF(SelectedPrecincts[Batch Name],SamplingData[[#This Row],[Batch by Type (p)]]) &lt;&gt; 0, COUNTIF(SelectedPrecincts[Batch Name],SamplingData[[#This Row],[Batch by Type (p)]]), 0)</f>
        <v>0</v>
      </c>
    </row>
    <row r="937" spans="1:24" ht="15" customHeight="1">
      <c r="A937" s="18" t="s">
        <v>1113</v>
      </c>
      <c r="B937" s="18">
        <v>19</v>
      </c>
      <c r="C937" s="18">
        <v>29</v>
      </c>
      <c r="D937" s="16">
        <v>4</v>
      </c>
      <c r="E937" s="16">
        <v>5</v>
      </c>
      <c r="F937" s="37">
        <v>0</v>
      </c>
      <c r="G937" s="37">
        <v>0</v>
      </c>
      <c r="H937" s="17">
        <v>0</v>
      </c>
      <c r="I937" s="17">
        <v>0</v>
      </c>
      <c r="J937" s="99">
        <f>SUM(SamplingData[[#This Row],[Losing Candidate]:[Under Votes]])</f>
        <v>57</v>
      </c>
      <c r="K937" s="100">
        <f>IF(AND(SamplingData[[#This Row],[Total]]&lt;&gt; 0, NOT(ISBLANK(SamplingData[[#This Row],[Losing Candidate]]))),(SamplingData[[#This Row],[Total]]+SamplingData[[#This Row],[Winning Candidate]]-SamplingData[[#This Row],[Losing Candidate]])/(SamplingData[[#Totals],[Winning Candidate]]-SamplingData[[#Totals],[Losing Candidate]]), 0)</f>
        <v>4.1033806957373837E-3</v>
      </c>
      <c r="L937" s="100">
        <f>IF(AND(SamplingData[[#This Row],[Total]]&lt;&gt; 0, NOT(ISBLANK(SamplingData[[#This Row],[Candidate 3]]))),(SamplingData[[#This Row],[Total]]+SamplingData[[#This Row],[Winning Candidate]]-SamplingData[[#This Row],[Candidate 3]])/(SamplingData[[#Totals],[Winning Candidate]]-SamplingData[[#Totals],[Candidate 3]]), 0)</f>
        <v>2.6454172984482368E-3</v>
      </c>
      <c r="M937" s="100">
        <f>IF(AND(SamplingData[[#This Row],[Total]]&lt;&gt; 0, NOT(ISBLANK(SamplingData[[#This Row],[Candidate 4]]))),(SamplingData[[#This Row],[Total]]+SamplingData[[#This Row],[Winning Candidate]]-SamplingData[[#This Row],[Candidate 4]])/(SamplingData[[#Totals],[Winning Candidate]]-SamplingData[[#Totals],[Candidate 4]]), 0)</f>
        <v>2.3677979479084454E-3</v>
      </c>
      <c r="N937" s="100">
        <f>IF(AND(SamplingData[[#This Row],[Total]]&lt;&gt; 0, NOT(ISBLANK(SamplingData[[#This Row],[Candidate 5]]))),(SamplingData[[#This Row],[Total]]+SamplingData[[#This Row],[Winning Candidate]]-SamplingData[[#This Row],[Candidate 5]])/(SamplingData[[#Totals],[Winning Candidate]]-SamplingData[[#Totals],[Candidate 5]]), 0)</f>
        <v>2.0919484310386767E-3</v>
      </c>
      <c r="O937" s="100">
        <f>IF(AND(SamplingData[[#This Row],[Total]]&lt;&gt; 0, NOT(ISBLANK(SamplingData[[#This Row],[Candidate 6]]))),(SamplingData[[#This Row],[Total]]+SamplingData[[#This Row],[Winning Candidate]]-SamplingData[[#This Row],[Candidate 6]])/(SamplingData[[#Totals],[Winning Candidate]]-SamplingData[[#Totals],[Candidate 6]]), 0)</f>
        <v>2.0913379699430963E-3</v>
      </c>
      <c r="P937" s="100">
        <f>MAX(SamplingData[[#This Row],[Error Bound (up) - Max. possible relative overstatement - Losing Candidate]:[Error Bound (up) - Max. possible relative overstatement - Candidate 6]])</f>
        <v>4.1033806957373837E-3</v>
      </c>
      <c r="Q937" s="100">
        <f>IF(SamplingData[[#This Row],[Max Error Bound (up)]] = 0,0,SamplingData[[#This Row],[Max Error Bound (up)]]/SamplingData[[#Totals],[Max Error Bound (up)]])</f>
        <v>6.4942753465587074E-4</v>
      </c>
      <c r="R937" s="101">
        <f>SUM($Q$5:Q937)</f>
        <v>0.24023190849422488</v>
      </c>
      <c r="S937" s="100" t="str">
        <f t="array" ref="S937">IF(SamplingData[[#This Row],[up/U Selection Probability]] = 0, "Zero", TEXT(SamplingData[[#This Row],[Lower Range]], REPT("0",LEN('General Info'!$B$40))) &amp; " - " &amp; TEXT(SamplingData[[#This Row],[Upper Range]], REPT("0",LEN('General Info'!$B$40))))</f>
        <v>23958 - 24022</v>
      </c>
      <c r="T937" s="100">
        <f>SamplingData[[#This Row],[Upper Range]]-SamplingData[[#This Row],[Span]]</f>
        <v>23958.248745384437</v>
      </c>
      <c r="U937" s="100">
        <f>IF(ISNUMBER('General Info'!$B$40), ((SamplingData[[#This Row],[up/U Selection Probability]]) * 'General Info'!$B$40) - 1, 0)</f>
        <v>63.94210403805242</v>
      </c>
      <c r="V937" s="100">
        <f>IF(ISNUMBER('General Info'!$B$40), (SamplingData[[#This Row],[Running (cumulative) sum]] * ('General Info'!$B$40 -'General Info'!$B$41 + 1)) + 'General Info'!$B$41 - 1, 0)</f>
        <v>24022.190849422488</v>
      </c>
      <c r="W937" s="100" t="str">
        <f>IF(ISERROR(MATCH(SamplingData[[#This Row],[Batch by Type (p)]],SelectedPrecincts[Batch Name], 0)), "", INDEX(SelectedPrecincts[Draw], MATCH(SamplingData[[#This Row],[Batch by Type (p)]],SelectedPrecincts[Batch Name], 0)))</f>
        <v/>
      </c>
      <c r="X937" s="102">
        <f>IF(COUNTIF(SelectedPrecincts[Batch Name],SamplingData[[#This Row],[Batch by Type (p)]]) &lt;&gt; 0, COUNTIF(SelectedPrecincts[Batch Name],SamplingData[[#This Row],[Batch by Type (p)]]), 0)</f>
        <v>0</v>
      </c>
    </row>
    <row r="938" spans="1:24" ht="15" customHeight="1">
      <c r="A938" s="18" t="s">
        <v>1114</v>
      </c>
      <c r="B938" s="18">
        <v>9</v>
      </c>
      <c r="C938" s="18">
        <v>7</v>
      </c>
      <c r="D938" s="18">
        <v>0</v>
      </c>
      <c r="E938" s="18">
        <v>3</v>
      </c>
      <c r="F938" s="18">
        <v>0</v>
      </c>
      <c r="G938" s="18">
        <v>0</v>
      </c>
      <c r="H938" s="18">
        <v>0</v>
      </c>
      <c r="I938" s="18">
        <v>1</v>
      </c>
      <c r="J938" s="99">
        <f>SUM(SamplingData[[#This Row],[Losing Candidate]:[Under Votes]])</f>
        <v>20</v>
      </c>
      <c r="K938"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938" s="100">
        <f>IF(AND(SamplingData[[#This Row],[Total]]&lt;&gt; 0, NOT(ISBLANK(SamplingData[[#This Row],[Candidate 3]]))),(SamplingData[[#This Row],[Total]]+SamplingData[[#This Row],[Winning Candidate]]-SamplingData[[#This Row],[Candidate 3]])/(SamplingData[[#Totals],[Winning Candidate]]-SamplingData[[#Totals],[Candidate 3]]), 0)</f>
        <v>8.710520372939317E-4</v>
      </c>
      <c r="M938" s="100">
        <f>IF(AND(SamplingData[[#This Row],[Total]]&lt;&gt; 0, NOT(ISBLANK(SamplingData[[#This Row],[Candidate 4]]))),(SamplingData[[#This Row],[Total]]+SamplingData[[#This Row],[Winning Candidate]]-SamplingData[[#This Row],[Candidate 4]])/(SamplingData[[#Totals],[Winning Candidate]]-SamplingData[[#Totals],[Candidate 4]]), 0)</f>
        <v>7.0156976234324298E-4</v>
      </c>
      <c r="N938" s="100">
        <f>IF(AND(SamplingData[[#This Row],[Total]]&lt;&gt; 0, NOT(ISBLANK(SamplingData[[#This Row],[Candidate 5]]))),(SamplingData[[#This Row],[Total]]+SamplingData[[#This Row],[Winning Candidate]]-SamplingData[[#This Row],[Candidate 5]])/(SamplingData[[#Totals],[Winning Candidate]]-SamplingData[[#Totals],[Candidate 5]]), 0)</f>
        <v>6.5677450741911947E-4</v>
      </c>
      <c r="O938" s="100">
        <f>IF(AND(SamplingData[[#This Row],[Total]]&lt;&gt; 0, NOT(ISBLANK(SamplingData[[#This Row],[Candidate 6]]))),(SamplingData[[#This Row],[Total]]+SamplingData[[#This Row],[Winning Candidate]]-SamplingData[[#This Row],[Candidate 6]])/(SamplingData[[#Totals],[Winning Candidate]]-SamplingData[[#Totals],[Candidate 6]]), 0)</f>
        <v>6.5658285102864649E-4</v>
      </c>
      <c r="P938" s="100">
        <f>MAX(SamplingData[[#This Row],[Error Bound (up) - Max. possible relative overstatement - Losing Candidate]:[Error Bound (up) - Max. possible relative overstatement - Candidate 6]])</f>
        <v>1.1024007839294464E-3</v>
      </c>
      <c r="Q938" s="100">
        <f>IF(SamplingData[[#This Row],[Max Error Bound (up)]] = 0,0,SamplingData[[#This Row],[Max Error Bound (up)]]/SamplingData[[#Totals],[Max Error Bound (up)]])</f>
        <v>1.7447306901202498E-4</v>
      </c>
      <c r="R938" s="101">
        <f>SUM($Q$5:Q938)</f>
        <v>0.2404063815632369</v>
      </c>
      <c r="S938" s="100" t="str">
        <f t="array" ref="S938">IF(SamplingData[[#This Row],[up/U Selection Probability]] = 0, "Zero", TEXT(SamplingData[[#This Row],[Lower Range]], REPT("0",LEN('General Info'!$B$40))) &amp; " - " &amp; TEXT(SamplingData[[#This Row],[Upper Range]], REPT("0",LEN('General Info'!$B$40))))</f>
        <v>24023 - 24040</v>
      </c>
      <c r="T938" s="100">
        <f>SamplingData[[#This Row],[Upper Range]]-SamplingData[[#This Row],[Span]]</f>
        <v>24023.191023895557</v>
      </c>
      <c r="U938" s="100">
        <f>IF(ISNUMBER('General Info'!$B$40), ((SamplingData[[#This Row],[up/U Selection Probability]]) * 'General Info'!$B$40) - 1, 0)</f>
        <v>16.447132428133486</v>
      </c>
      <c r="V938" s="100">
        <f>IF(ISNUMBER('General Info'!$B$40), (SamplingData[[#This Row],[Running (cumulative) sum]] * ('General Info'!$B$40 -'General Info'!$B$41 + 1)) + 'General Info'!$B$41 - 1, 0)</f>
        <v>24039.63815632369</v>
      </c>
      <c r="W938" s="100" t="str">
        <f>IF(ISERROR(MATCH(SamplingData[[#This Row],[Batch by Type (p)]],SelectedPrecincts[Batch Name], 0)), "", INDEX(SelectedPrecincts[Draw], MATCH(SamplingData[[#This Row],[Batch by Type (p)]],SelectedPrecincts[Batch Name], 0)))</f>
        <v/>
      </c>
      <c r="X938" s="102">
        <f>IF(COUNTIF(SelectedPrecincts[Batch Name],SamplingData[[#This Row],[Batch by Type (p)]]) &lt;&gt; 0, COUNTIF(SelectedPrecincts[Batch Name],SamplingData[[#This Row],[Batch by Type (p)]]), 0)</f>
        <v>0</v>
      </c>
    </row>
    <row r="939" spans="1:24" ht="15" customHeight="1">
      <c r="A939" s="18" t="s">
        <v>1115</v>
      </c>
      <c r="B939" s="18">
        <v>38</v>
      </c>
      <c r="C939" s="18">
        <v>38</v>
      </c>
      <c r="D939" s="16">
        <v>7</v>
      </c>
      <c r="E939" s="16">
        <v>13</v>
      </c>
      <c r="F939" s="37">
        <v>0</v>
      </c>
      <c r="G939" s="37">
        <v>1</v>
      </c>
      <c r="H939" s="17">
        <v>0</v>
      </c>
      <c r="I939" s="17">
        <v>0</v>
      </c>
      <c r="J939" s="99">
        <f>SUM(SamplingData[[#This Row],[Losing Candidate]:[Under Votes]])</f>
        <v>97</v>
      </c>
      <c r="K939" s="100">
        <f>IF(AND(SamplingData[[#This Row],[Total]]&lt;&gt; 0, NOT(ISBLANK(SamplingData[[#This Row],[Losing Candidate]]))),(SamplingData[[#This Row],[Total]]+SamplingData[[#This Row],[Winning Candidate]]-SamplingData[[#This Row],[Losing Candidate]])/(SamplingData[[#Totals],[Winning Candidate]]-SamplingData[[#Totals],[Losing Candidate]]), 0)</f>
        <v>5.9407153356197942E-3</v>
      </c>
      <c r="L939" s="100">
        <f>IF(AND(SamplingData[[#This Row],[Total]]&lt;&gt; 0, NOT(ISBLANK(SamplingData[[#This Row],[Candidate 3]]))),(SamplingData[[#This Row],[Total]]+SamplingData[[#This Row],[Winning Candidate]]-SamplingData[[#This Row],[Candidate 3]])/(SamplingData[[#Totals],[Winning Candidate]]-SamplingData[[#Totals],[Candidate 3]]), 0)</f>
        <v>4.1294318805045653E-3</v>
      </c>
      <c r="M939" s="100">
        <f>IF(AND(SamplingData[[#This Row],[Total]]&lt;&gt; 0, NOT(ISBLANK(SamplingData[[#This Row],[Candidate 4]]))),(SamplingData[[#This Row],[Total]]+SamplingData[[#This Row],[Winning Candidate]]-SamplingData[[#This Row],[Candidate 4]])/(SamplingData[[#Totals],[Winning Candidate]]-SamplingData[[#Totals],[Candidate 4]]), 0)</f>
        <v>3.5663129585781521E-3</v>
      </c>
      <c r="N939" s="100">
        <f>IF(AND(SamplingData[[#This Row],[Total]]&lt;&gt; 0, NOT(ISBLANK(SamplingData[[#This Row],[Candidate 5]]))),(SamplingData[[#This Row],[Total]]+SamplingData[[#This Row],[Winning Candidate]]-SamplingData[[#This Row],[Candidate 5]])/(SamplingData[[#Totals],[Winning Candidate]]-SamplingData[[#Totals],[Candidate 5]]), 0)</f>
        <v>3.2838725370955973E-3</v>
      </c>
      <c r="O939" s="100">
        <f>IF(AND(SamplingData[[#This Row],[Total]]&lt;&gt; 0, NOT(ISBLANK(SamplingData[[#This Row],[Candidate 6]]))),(SamplingData[[#This Row],[Total]]+SamplingData[[#This Row],[Winning Candidate]]-SamplingData[[#This Row],[Candidate 6]])/(SamplingData[[#Totals],[Winning Candidate]]-SamplingData[[#Totals],[Candidate 6]]), 0)</f>
        <v>3.2585963717718012E-3</v>
      </c>
      <c r="P939" s="100">
        <f>MAX(SamplingData[[#This Row],[Error Bound (up) - Max. possible relative overstatement - Losing Candidate]:[Error Bound (up) - Max. possible relative overstatement - Candidate 6]])</f>
        <v>5.9407153356197942E-3</v>
      </c>
      <c r="Q939" s="100">
        <f>IF(SamplingData[[#This Row],[Max Error Bound (up)]] = 0,0,SamplingData[[#This Row],[Max Error Bound (up)]]/SamplingData[[#Totals],[Max Error Bound (up)]])</f>
        <v>9.4021598300924561E-4</v>
      </c>
      <c r="R939" s="101">
        <f>SUM($Q$5:Q939)</f>
        <v>0.24134659754624616</v>
      </c>
      <c r="S939" s="100" t="str">
        <f t="array" ref="S939">IF(SamplingData[[#This Row],[up/U Selection Probability]] = 0, "Zero", TEXT(SamplingData[[#This Row],[Lower Range]], REPT("0",LEN('General Info'!$B$40))) &amp; " - " &amp; TEXT(SamplingData[[#This Row],[Upper Range]], REPT("0",LEN('General Info'!$B$40))))</f>
        <v>24041 - 24134</v>
      </c>
      <c r="T939" s="100">
        <f>SamplingData[[#This Row],[Upper Range]]-SamplingData[[#This Row],[Span]]</f>
        <v>24040.639096539675</v>
      </c>
      <c r="U939" s="100">
        <f>IF(ISNUMBER('General Info'!$B$40), ((SamplingData[[#This Row],[up/U Selection Probability]]) * 'General Info'!$B$40) - 1, 0)</f>
        <v>93.020658084941559</v>
      </c>
      <c r="V939" s="100">
        <f>IF(ISNUMBER('General Info'!$B$40), (SamplingData[[#This Row],[Running (cumulative) sum]] * ('General Info'!$B$40 -'General Info'!$B$41 + 1)) + 'General Info'!$B$41 - 1, 0)</f>
        <v>24133.659754624616</v>
      </c>
      <c r="W939" s="100" t="str">
        <f>IF(ISERROR(MATCH(SamplingData[[#This Row],[Batch by Type (p)]],SelectedPrecincts[Batch Name], 0)), "", INDEX(SelectedPrecincts[Draw], MATCH(SamplingData[[#This Row],[Batch by Type (p)]],SelectedPrecincts[Batch Name], 0)))</f>
        <v/>
      </c>
      <c r="X939" s="102">
        <f>IF(COUNTIF(SelectedPrecincts[Batch Name],SamplingData[[#This Row],[Batch by Type (p)]]) &lt;&gt; 0, COUNTIF(SelectedPrecincts[Batch Name],SamplingData[[#This Row],[Batch by Type (p)]]), 0)</f>
        <v>0</v>
      </c>
    </row>
    <row r="940" spans="1:24" ht="15" customHeight="1">
      <c r="A940" s="18" t="s">
        <v>1116</v>
      </c>
      <c r="B940" s="18">
        <v>16</v>
      </c>
      <c r="C940" s="18">
        <v>9</v>
      </c>
      <c r="D940" s="18">
        <v>3</v>
      </c>
      <c r="E940" s="18">
        <v>2</v>
      </c>
      <c r="F940" s="18">
        <v>0</v>
      </c>
      <c r="G940" s="18">
        <v>0</v>
      </c>
      <c r="H940" s="18">
        <v>0</v>
      </c>
      <c r="I940" s="18">
        <v>0</v>
      </c>
      <c r="J940" s="99">
        <f>SUM(SamplingData[[#This Row],[Losing Candidate]:[Under Votes]])</f>
        <v>30</v>
      </c>
      <c r="K940"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940" s="100">
        <f>IF(AND(SamplingData[[#This Row],[Total]]&lt;&gt; 0, NOT(ISBLANK(SamplingData[[#This Row],[Candidate 3]]))),(SamplingData[[#This Row],[Total]]+SamplingData[[#This Row],[Winning Candidate]]-SamplingData[[#This Row],[Candidate 3]])/(SamplingData[[#Totals],[Winning Candidate]]-SamplingData[[#Totals],[Candidate 3]]), 0)</f>
        <v>1.1614027163919089E-3</v>
      </c>
      <c r="M940" s="100">
        <f>IF(AND(SamplingData[[#This Row],[Total]]&lt;&gt; 0, NOT(ISBLANK(SamplingData[[#This Row],[Candidate 4]]))),(SamplingData[[#This Row],[Total]]+SamplingData[[#This Row],[Winning Candidate]]-SamplingData[[#This Row],[Candidate 4]])/(SamplingData[[#Totals],[Winning Candidate]]-SamplingData[[#Totals],[Candidate 4]]), 0)</f>
        <v>1.081586716945833E-3</v>
      </c>
      <c r="N940" s="100">
        <f>IF(AND(SamplingData[[#This Row],[Total]]&lt;&gt; 0, NOT(ISBLANK(SamplingData[[#This Row],[Candidate 5]]))),(SamplingData[[#This Row],[Total]]+SamplingData[[#This Row],[Winning Candidate]]-SamplingData[[#This Row],[Candidate 5]])/(SamplingData[[#Totals],[Winning Candidate]]-SamplingData[[#Totals],[Candidate 5]]), 0)</f>
        <v>9.4867428849428363E-4</v>
      </c>
      <c r="O940" s="100">
        <f>IF(AND(SamplingData[[#This Row],[Total]]&lt;&gt; 0, NOT(ISBLANK(SamplingData[[#This Row],[Candidate 6]]))),(SamplingData[[#This Row],[Total]]+SamplingData[[#This Row],[Winning Candidate]]-SamplingData[[#This Row],[Candidate 6]])/(SamplingData[[#Totals],[Winning Candidate]]-SamplingData[[#Totals],[Candidate 6]]), 0)</f>
        <v>9.4839745148582271E-4</v>
      </c>
      <c r="P940" s="100">
        <f>MAX(SamplingData[[#This Row],[Error Bound (up) - Max. possible relative overstatement - Losing Candidate]:[Error Bound (up) - Max. possible relative overstatement - Candidate 6]])</f>
        <v>1.408623223909848E-3</v>
      </c>
      <c r="Q940" s="100">
        <f>IF(SamplingData[[#This Row],[Max Error Bound (up)]] = 0,0,SamplingData[[#This Row],[Max Error Bound (up)]]/SamplingData[[#Totals],[Max Error Bound (up)]])</f>
        <v>2.229378104042541E-4</v>
      </c>
      <c r="R940" s="101">
        <f>SUM($Q$5:Q940)</f>
        <v>0.24156953535665041</v>
      </c>
      <c r="S940" s="100" t="str">
        <f t="array" ref="S940">IF(SamplingData[[#This Row],[up/U Selection Probability]] = 0, "Zero", TEXT(SamplingData[[#This Row],[Lower Range]], REPT("0",LEN('General Info'!$B$40))) &amp; " - " &amp; TEXT(SamplingData[[#This Row],[Upper Range]], REPT("0",LEN('General Info'!$B$40))))</f>
        <v>24135 - 24156</v>
      </c>
      <c r="T940" s="100">
        <f>SamplingData[[#This Row],[Upper Range]]-SamplingData[[#This Row],[Span]]</f>
        <v>24134.659977562427</v>
      </c>
      <c r="U940" s="100">
        <f>IF(ISNUMBER('General Info'!$B$40), ((SamplingData[[#This Row],[up/U Selection Probability]]) * 'General Info'!$B$40) - 1, 0)</f>
        <v>21.293558102615005</v>
      </c>
      <c r="V940" s="100">
        <f>IF(ISNUMBER('General Info'!$B$40), (SamplingData[[#This Row],[Running (cumulative) sum]] * ('General Info'!$B$40 -'General Info'!$B$41 + 1)) + 'General Info'!$B$41 - 1, 0)</f>
        <v>24155.953535665041</v>
      </c>
      <c r="W940" s="100" t="str">
        <f>IF(ISERROR(MATCH(SamplingData[[#This Row],[Batch by Type (p)]],SelectedPrecincts[Batch Name], 0)), "", INDEX(SelectedPrecincts[Draw], MATCH(SamplingData[[#This Row],[Batch by Type (p)]],SelectedPrecincts[Batch Name], 0)))</f>
        <v/>
      </c>
      <c r="X940" s="102">
        <f>IF(COUNTIF(SelectedPrecincts[Batch Name],SamplingData[[#This Row],[Batch by Type (p)]]) &lt;&gt; 0, COUNTIF(SelectedPrecincts[Batch Name],SamplingData[[#This Row],[Batch by Type (p)]]), 0)</f>
        <v>0</v>
      </c>
    </row>
    <row r="941" spans="1:24" ht="15" customHeight="1">
      <c r="A941" s="18" t="s">
        <v>1117</v>
      </c>
      <c r="B941" s="18">
        <v>23</v>
      </c>
      <c r="C941" s="18">
        <v>33</v>
      </c>
      <c r="D941" s="16">
        <v>9</v>
      </c>
      <c r="E941" s="16">
        <v>12</v>
      </c>
      <c r="F941" s="37">
        <v>0</v>
      </c>
      <c r="G941" s="37">
        <v>0</v>
      </c>
      <c r="H941" s="17">
        <v>0</v>
      </c>
      <c r="I941" s="17">
        <v>1</v>
      </c>
      <c r="J941" s="99">
        <f>SUM(SamplingData[[#This Row],[Losing Candidate]:[Under Votes]])</f>
        <v>78</v>
      </c>
      <c r="K941" s="100">
        <f>IF(AND(SamplingData[[#This Row],[Total]]&lt;&gt; 0, NOT(ISBLANK(SamplingData[[#This Row],[Losing Candidate]]))),(SamplingData[[#This Row],[Total]]+SamplingData[[#This Row],[Winning Candidate]]-SamplingData[[#This Row],[Losing Candidate]])/(SamplingData[[#Totals],[Winning Candidate]]-SamplingData[[#Totals],[Losing Candidate]]), 0)</f>
        <v>5.3895149436550714E-3</v>
      </c>
      <c r="L941" s="100">
        <f>IF(AND(SamplingData[[#This Row],[Total]]&lt;&gt; 0, NOT(ISBLANK(SamplingData[[#This Row],[Candidate 3]]))),(SamplingData[[#This Row],[Total]]+SamplingData[[#This Row],[Winning Candidate]]-SamplingData[[#This Row],[Candidate 3]])/(SamplingData[[#Totals],[Winning Candidate]]-SamplingData[[#Totals],[Candidate 3]]), 0)</f>
        <v>3.2906410297770753E-3</v>
      </c>
      <c r="M941" s="100">
        <f>IF(AND(SamplingData[[#This Row],[Total]]&lt;&gt; 0, NOT(ISBLANK(SamplingData[[#This Row],[Candidate 4]]))),(SamplingData[[#This Row],[Total]]+SamplingData[[#This Row],[Winning Candidate]]-SamplingData[[#This Row],[Candidate 4]])/(SamplingData[[#Totals],[Winning Candidate]]-SamplingData[[#Totals],[Candidate 4]]), 0)</f>
        <v>2.8939752696658773E-3</v>
      </c>
      <c r="N941" s="100">
        <f>IF(AND(SamplingData[[#This Row],[Total]]&lt;&gt; 0, NOT(ISBLANK(SamplingData[[#This Row],[Candidate 5]]))),(SamplingData[[#This Row],[Total]]+SamplingData[[#This Row],[Winning Candidate]]-SamplingData[[#This Row],[Candidate 5]])/(SamplingData[[#Totals],[Winning Candidate]]-SamplingData[[#Totals],[Candidate 5]]), 0)</f>
        <v>2.7000729749452686E-3</v>
      </c>
      <c r="O941" s="100">
        <f>IF(AND(SamplingData[[#This Row],[Total]]&lt;&gt; 0, NOT(ISBLANK(SamplingData[[#This Row],[Candidate 6]]))),(SamplingData[[#This Row],[Total]]+SamplingData[[#This Row],[Winning Candidate]]-SamplingData[[#This Row],[Candidate 6]])/(SamplingData[[#Totals],[Winning Candidate]]-SamplingData[[#Totals],[Candidate 6]]), 0)</f>
        <v>2.6992850542288801E-3</v>
      </c>
      <c r="P941" s="100">
        <f>MAX(SamplingData[[#This Row],[Error Bound (up) - Max. possible relative overstatement - Losing Candidate]:[Error Bound (up) - Max. possible relative overstatement - Candidate 6]])</f>
        <v>5.3895149436550714E-3</v>
      </c>
      <c r="Q941" s="100">
        <f>IF(SamplingData[[#This Row],[Max Error Bound (up)]] = 0,0,SamplingData[[#This Row],[Max Error Bound (up)]]/SamplingData[[#Totals],[Max Error Bound (up)]])</f>
        <v>8.5297944850323327E-4</v>
      </c>
      <c r="R941" s="101">
        <f>SUM($Q$5:Q941)</f>
        <v>0.24242251480515364</v>
      </c>
      <c r="S941" s="100" t="str">
        <f t="array" ref="S941">IF(SamplingData[[#This Row],[up/U Selection Probability]] = 0, "Zero", TEXT(SamplingData[[#This Row],[Lower Range]], REPT("0",LEN('General Info'!$B$40))) &amp; " - " &amp; TEXT(SamplingData[[#This Row],[Upper Range]], REPT("0",LEN('General Info'!$B$40))))</f>
        <v>24157 - 24241</v>
      </c>
      <c r="T941" s="100">
        <f>SamplingData[[#This Row],[Upper Range]]-SamplingData[[#This Row],[Span]]</f>
        <v>24156.954388644492</v>
      </c>
      <c r="U941" s="100">
        <f>IF(ISNUMBER('General Info'!$B$40), ((SamplingData[[#This Row],[up/U Selection Probability]]) * 'General Info'!$B$40) - 1, 0)</f>
        <v>84.297091870874823</v>
      </c>
      <c r="V941" s="100">
        <f>IF(ISNUMBER('General Info'!$B$40), (SamplingData[[#This Row],[Running (cumulative) sum]] * ('General Info'!$B$40 -'General Info'!$B$41 + 1)) + 'General Info'!$B$41 - 1, 0)</f>
        <v>24241.251480515366</v>
      </c>
      <c r="W941" s="100" t="str">
        <f>IF(ISERROR(MATCH(SamplingData[[#This Row],[Batch by Type (p)]],SelectedPrecincts[Batch Name], 0)), "", INDEX(SelectedPrecincts[Draw], MATCH(SamplingData[[#This Row],[Batch by Type (p)]],SelectedPrecincts[Batch Name], 0)))</f>
        <v/>
      </c>
      <c r="X941" s="102">
        <f>IF(COUNTIF(SelectedPrecincts[Batch Name],SamplingData[[#This Row],[Batch by Type (p)]]) &lt;&gt; 0, COUNTIF(SelectedPrecincts[Batch Name],SamplingData[[#This Row],[Batch by Type (p)]]), 0)</f>
        <v>0</v>
      </c>
    </row>
    <row r="942" spans="1:24" ht="15" customHeight="1">
      <c r="A942" s="18" t="s">
        <v>1118</v>
      </c>
      <c r="B942" s="18">
        <v>23</v>
      </c>
      <c r="C942" s="18">
        <v>11</v>
      </c>
      <c r="D942" s="18">
        <v>2</v>
      </c>
      <c r="E942" s="18">
        <v>4</v>
      </c>
      <c r="F942" s="18">
        <v>0</v>
      </c>
      <c r="G942" s="18">
        <v>0</v>
      </c>
      <c r="H942" s="18">
        <v>0</v>
      </c>
      <c r="I942" s="18">
        <v>0</v>
      </c>
      <c r="J942" s="99">
        <f>SUM(SamplingData[[#This Row],[Losing Candidate]:[Under Votes]])</f>
        <v>40</v>
      </c>
      <c r="K942"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942" s="100">
        <f>IF(AND(SamplingData[[#This Row],[Total]]&lt;&gt; 0, NOT(ISBLANK(SamplingData[[#This Row],[Candidate 3]]))),(SamplingData[[#This Row],[Total]]+SamplingData[[#This Row],[Winning Candidate]]-SamplingData[[#This Row],[Candidate 3]])/(SamplingData[[#Totals],[Winning Candidate]]-SamplingData[[#Totals],[Candidate 3]]), 0)</f>
        <v>1.5807981417556537E-3</v>
      </c>
      <c r="M942" s="100">
        <f>IF(AND(SamplingData[[#This Row],[Total]]&lt;&gt; 0, NOT(ISBLANK(SamplingData[[#This Row],[Candidate 4]]))),(SamplingData[[#This Row],[Total]]+SamplingData[[#This Row],[Winning Candidate]]-SamplingData[[#This Row],[Candidate 4]])/(SamplingData[[#Totals],[Winning Candidate]]-SamplingData[[#Totals],[Candidate 4]]), 0)</f>
        <v>1.3739074512555175E-3</v>
      </c>
      <c r="N942" s="100">
        <f>IF(AND(SamplingData[[#This Row],[Total]]&lt;&gt; 0, NOT(ISBLANK(SamplingData[[#This Row],[Candidate 5]]))),(SamplingData[[#This Row],[Total]]+SamplingData[[#This Row],[Winning Candidate]]-SamplingData[[#This Row],[Candidate 5]])/(SamplingData[[#Totals],[Winning Candidate]]-SamplingData[[#Totals],[Candidate 5]]), 0)</f>
        <v>1.2405740695694478E-3</v>
      </c>
      <c r="O942" s="100">
        <f>IF(AND(SamplingData[[#This Row],[Total]]&lt;&gt; 0, NOT(ISBLANK(SamplingData[[#This Row],[Candidate 6]]))),(SamplingData[[#This Row],[Total]]+SamplingData[[#This Row],[Winning Candidate]]-SamplingData[[#This Row],[Candidate 6]])/(SamplingData[[#Totals],[Winning Candidate]]-SamplingData[[#Totals],[Candidate 6]]), 0)</f>
        <v>1.2402120519429988E-3</v>
      </c>
      <c r="P942" s="100">
        <f>MAX(SamplingData[[#This Row],[Error Bound (up) - Max. possible relative overstatement - Losing Candidate]:[Error Bound (up) - Max. possible relative overstatement - Candidate 6]])</f>
        <v>1.7148456638902498E-3</v>
      </c>
      <c r="Q942" s="100">
        <f>IF(SamplingData[[#This Row],[Max Error Bound (up)]] = 0,0,SamplingData[[#This Row],[Max Error Bound (up)]]/SamplingData[[#Totals],[Max Error Bound (up)]])</f>
        <v>2.714025517964833E-4</v>
      </c>
      <c r="R942" s="101">
        <f>SUM($Q$5:Q942)</f>
        <v>0.24269391735695012</v>
      </c>
      <c r="S942" s="100" t="str">
        <f t="array" ref="S942">IF(SamplingData[[#This Row],[up/U Selection Probability]] = 0, "Zero", TEXT(SamplingData[[#This Row],[Lower Range]], REPT("0",LEN('General Info'!$B$40))) &amp; " - " &amp; TEXT(SamplingData[[#This Row],[Upper Range]], REPT("0",LEN('General Info'!$B$40))))</f>
        <v>24242 - 24268</v>
      </c>
      <c r="T942" s="100">
        <f>SamplingData[[#This Row],[Upper Range]]-SamplingData[[#This Row],[Span]]</f>
        <v>24242.251751917916</v>
      </c>
      <c r="U942" s="100">
        <f>IF(ISNUMBER('General Info'!$B$40), ((SamplingData[[#This Row],[up/U Selection Probability]]) * 'General Info'!$B$40) - 1, 0)</f>
        <v>26.139983777096536</v>
      </c>
      <c r="V942" s="100">
        <f>IF(ISNUMBER('General Info'!$B$40), (SamplingData[[#This Row],[Running (cumulative) sum]] * ('General Info'!$B$40 -'General Info'!$B$41 + 1)) + 'General Info'!$B$41 - 1, 0)</f>
        <v>24268.391735695011</v>
      </c>
      <c r="W942" s="100" t="str">
        <f>IF(ISERROR(MATCH(SamplingData[[#This Row],[Batch by Type (p)]],SelectedPrecincts[Batch Name], 0)), "", INDEX(SelectedPrecincts[Draw], MATCH(SamplingData[[#This Row],[Batch by Type (p)]],SelectedPrecincts[Batch Name], 0)))</f>
        <v/>
      </c>
      <c r="X942" s="102">
        <f>IF(COUNTIF(SelectedPrecincts[Batch Name],SamplingData[[#This Row],[Batch by Type (p)]]) &lt;&gt; 0, COUNTIF(SelectedPrecincts[Batch Name],SamplingData[[#This Row],[Batch by Type (p)]]), 0)</f>
        <v>0</v>
      </c>
    </row>
    <row r="943" spans="1:24" ht="15" customHeight="1">
      <c r="A943" s="18" t="s">
        <v>1119</v>
      </c>
      <c r="B943" s="18">
        <v>20</v>
      </c>
      <c r="C943" s="18">
        <v>37</v>
      </c>
      <c r="D943" s="16">
        <v>8</v>
      </c>
      <c r="E943" s="16">
        <v>10</v>
      </c>
      <c r="F943" s="37">
        <v>0</v>
      </c>
      <c r="G943" s="37">
        <v>1</v>
      </c>
      <c r="H943" s="17">
        <v>0</v>
      </c>
      <c r="I943" s="17">
        <v>3</v>
      </c>
      <c r="J943" s="99">
        <f>SUM(SamplingData[[#This Row],[Losing Candidate]:[Under Votes]])</f>
        <v>79</v>
      </c>
      <c r="K943" s="100">
        <f>IF(AND(SamplingData[[#This Row],[Total]]&lt;&gt; 0, NOT(ISBLANK(SamplingData[[#This Row],[Losing Candidate]]))),(SamplingData[[#This Row],[Total]]+SamplingData[[#This Row],[Winning Candidate]]-SamplingData[[#This Row],[Losing Candidate]])/(SamplingData[[#Totals],[Winning Candidate]]-SamplingData[[#Totals],[Losing Candidate]]), 0)</f>
        <v>5.8794708476237138E-3</v>
      </c>
      <c r="L943" s="100">
        <f>IF(AND(SamplingData[[#This Row],[Total]]&lt;&gt; 0, NOT(ISBLANK(SamplingData[[#This Row],[Candidate 3]]))),(SamplingData[[#This Row],[Total]]+SamplingData[[#This Row],[Winning Candidate]]-SamplingData[[#This Row],[Candidate 3]])/(SamplingData[[#Totals],[Winning Candidate]]-SamplingData[[#Totals],[Candidate 3]]), 0)</f>
        <v>3.4842081491757268E-3</v>
      </c>
      <c r="M943" s="100">
        <f>IF(AND(SamplingData[[#This Row],[Total]]&lt;&gt; 0, NOT(ISBLANK(SamplingData[[#This Row],[Candidate 4]]))),(SamplingData[[#This Row],[Total]]+SamplingData[[#This Row],[Winning Candidate]]-SamplingData[[#This Row],[Candidate 4]])/(SamplingData[[#Totals],[Winning Candidate]]-SamplingData[[#Totals],[Candidate 4]]), 0)</f>
        <v>3.0985997836826566E-3</v>
      </c>
      <c r="N943" s="100">
        <f>IF(AND(SamplingData[[#This Row],[Total]]&lt;&gt; 0, NOT(ISBLANK(SamplingData[[#This Row],[Candidate 5]]))),(SamplingData[[#This Row],[Total]]+SamplingData[[#This Row],[Winning Candidate]]-SamplingData[[#This Row],[Candidate 5]])/(SamplingData[[#Totals],[Winning Candidate]]-SamplingData[[#Totals],[Candidate 5]]), 0)</f>
        <v>2.8216978837265873E-3</v>
      </c>
      <c r="O943" s="100">
        <f>IF(AND(SamplingData[[#This Row],[Total]]&lt;&gt; 0, NOT(ISBLANK(SamplingData[[#This Row],[Candidate 6]]))),(SamplingData[[#This Row],[Total]]+SamplingData[[#This Row],[Winning Candidate]]-SamplingData[[#This Row],[Candidate 6]])/(SamplingData[[#Totals],[Winning Candidate]]-SamplingData[[#Totals],[Candidate 6]]), 0)</f>
        <v>2.7965565877146052E-3</v>
      </c>
      <c r="P943" s="100">
        <f>MAX(SamplingData[[#This Row],[Error Bound (up) - Max. possible relative overstatement - Losing Candidate]:[Error Bound (up) - Max. possible relative overstatement - Candidate 6]])</f>
        <v>5.8794708476237138E-3</v>
      </c>
      <c r="Q943" s="100">
        <f>IF(SamplingData[[#This Row],[Max Error Bound (up)]] = 0,0,SamplingData[[#This Row],[Max Error Bound (up)]]/SamplingData[[#Totals],[Max Error Bound (up)]])</f>
        <v>9.3052303473079977E-4</v>
      </c>
      <c r="R943" s="101">
        <f>SUM($Q$5:Q943)</f>
        <v>0.24362444039168091</v>
      </c>
      <c r="S943" s="100" t="str">
        <f t="array" ref="S943">IF(SamplingData[[#This Row],[up/U Selection Probability]] = 0, "Zero", TEXT(SamplingData[[#This Row],[Lower Range]], REPT("0",LEN('General Info'!$B$40))) &amp; " - " &amp; TEXT(SamplingData[[#This Row],[Upper Range]], REPT("0",LEN('General Info'!$B$40))))</f>
        <v>24269 - 24361</v>
      </c>
      <c r="T943" s="100">
        <f>SamplingData[[#This Row],[Upper Range]]-SamplingData[[#This Row],[Span]]</f>
        <v>24269.392666218046</v>
      </c>
      <c r="U943" s="100">
        <f>IF(ISNUMBER('General Info'!$B$40), ((SamplingData[[#This Row],[up/U Selection Probability]]) * 'General Info'!$B$40) - 1, 0)</f>
        <v>92.051372950045248</v>
      </c>
      <c r="V943" s="100">
        <f>IF(ISNUMBER('General Info'!$B$40), (SamplingData[[#This Row],[Running (cumulative) sum]] * ('General Info'!$B$40 -'General Info'!$B$41 + 1)) + 'General Info'!$B$41 - 1, 0)</f>
        <v>24361.444039168091</v>
      </c>
      <c r="W943" s="100" t="str">
        <f>IF(ISERROR(MATCH(SamplingData[[#This Row],[Batch by Type (p)]],SelectedPrecincts[Batch Name], 0)), "", INDEX(SelectedPrecincts[Draw], MATCH(SamplingData[[#This Row],[Batch by Type (p)]],SelectedPrecincts[Batch Name], 0)))</f>
        <v/>
      </c>
      <c r="X943" s="102">
        <f>IF(COUNTIF(SelectedPrecincts[Batch Name],SamplingData[[#This Row],[Batch by Type (p)]]) &lt;&gt; 0, COUNTIF(SelectedPrecincts[Batch Name],SamplingData[[#This Row],[Batch by Type (p)]]), 0)</f>
        <v>0</v>
      </c>
    </row>
    <row r="944" spans="1:24" ht="15" customHeight="1">
      <c r="A944" s="18" t="s">
        <v>1120</v>
      </c>
      <c r="B944" s="18">
        <v>24</v>
      </c>
      <c r="C944" s="18">
        <v>17</v>
      </c>
      <c r="D944" s="18">
        <v>1</v>
      </c>
      <c r="E944" s="18">
        <v>3</v>
      </c>
      <c r="F944" s="18">
        <v>0</v>
      </c>
      <c r="G944" s="18">
        <v>0</v>
      </c>
      <c r="H944" s="18">
        <v>0</v>
      </c>
      <c r="I944" s="18">
        <v>0</v>
      </c>
      <c r="J944" s="99">
        <f>SUM(SamplingData[[#This Row],[Losing Candidate]:[Under Votes]])</f>
        <v>45</v>
      </c>
      <c r="K944"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944" s="100">
        <f>IF(AND(SamplingData[[#This Row],[Total]]&lt;&gt; 0, NOT(ISBLANK(SamplingData[[#This Row],[Candidate 3]]))),(SamplingData[[#This Row],[Total]]+SamplingData[[#This Row],[Winning Candidate]]-SamplingData[[#This Row],[Candidate 3]])/(SamplingData[[#Totals],[Winning Candidate]]-SamplingData[[#Totals],[Candidate 3]]), 0)</f>
        <v>1.9679323805529567E-3</v>
      </c>
      <c r="M944" s="100">
        <f>IF(AND(SamplingData[[#This Row],[Total]]&lt;&gt; 0, NOT(ISBLANK(SamplingData[[#This Row],[Candidate 4]]))),(SamplingData[[#This Row],[Total]]+SamplingData[[#This Row],[Winning Candidate]]-SamplingData[[#This Row],[Candidate 4]])/(SamplingData[[#Totals],[Winning Candidate]]-SamplingData[[#Totals],[Candidate 4]]), 0)</f>
        <v>1.7246923324271391E-3</v>
      </c>
      <c r="N944" s="100">
        <f>IF(AND(SamplingData[[#This Row],[Total]]&lt;&gt; 0, NOT(ISBLANK(SamplingData[[#This Row],[Candidate 5]]))),(SamplingData[[#This Row],[Total]]+SamplingData[[#This Row],[Winning Candidate]]-SamplingData[[#This Row],[Candidate 5]])/(SamplingData[[#Totals],[Winning Candidate]]-SamplingData[[#Totals],[Candidate 5]]), 0)</f>
        <v>1.5081488688883484E-3</v>
      </c>
      <c r="O944" s="100">
        <f>IF(AND(SamplingData[[#This Row],[Total]]&lt;&gt; 0, NOT(ISBLANK(SamplingData[[#This Row],[Candidate 6]]))),(SamplingData[[#This Row],[Total]]+SamplingData[[#This Row],[Winning Candidate]]-SamplingData[[#This Row],[Candidate 6]])/(SamplingData[[#Totals],[Winning Candidate]]-SamplingData[[#Totals],[Candidate 6]]), 0)</f>
        <v>1.5077087690287436E-3</v>
      </c>
      <c r="P944" s="100">
        <f>MAX(SamplingData[[#This Row],[Error Bound (up) - Max. possible relative overstatement - Losing Candidate]:[Error Bound (up) - Max. possible relative overstatement - Candidate 6]])</f>
        <v>2.3272905438510533E-3</v>
      </c>
      <c r="Q944" s="100">
        <f>IF(SamplingData[[#This Row],[Max Error Bound (up)]] = 0,0,SamplingData[[#This Row],[Max Error Bound (up)]]/SamplingData[[#Totals],[Max Error Bound (up)]])</f>
        <v>3.683320345809416E-4</v>
      </c>
      <c r="R944" s="101">
        <f>SUM($Q$5:Q944)</f>
        <v>0.24399277242626186</v>
      </c>
      <c r="S944" s="100" t="str">
        <f t="array" ref="S944">IF(SamplingData[[#This Row],[up/U Selection Probability]] = 0, "Zero", TEXT(SamplingData[[#This Row],[Lower Range]], REPT("0",LEN('General Info'!$B$40))) &amp; " - " &amp; TEXT(SamplingData[[#This Row],[Upper Range]], REPT("0",LEN('General Info'!$B$40))))</f>
        <v>24362 - 24398</v>
      </c>
      <c r="T944" s="100">
        <f>SamplingData[[#This Row],[Upper Range]]-SamplingData[[#This Row],[Span]]</f>
        <v>24362.444407500127</v>
      </c>
      <c r="U944" s="100">
        <f>IF(ISNUMBER('General Info'!$B$40), ((SamplingData[[#This Row],[up/U Selection Probability]]) * 'General Info'!$B$40) - 1, 0)</f>
        <v>35.832835126059578</v>
      </c>
      <c r="V944" s="100">
        <f>IF(ISNUMBER('General Info'!$B$40), (SamplingData[[#This Row],[Running (cumulative) sum]] * ('General Info'!$B$40 -'General Info'!$B$41 + 1)) + 'General Info'!$B$41 - 1, 0)</f>
        <v>24398.277242626187</v>
      </c>
      <c r="W944" s="100" t="str">
        <f>IF(ISERROR(MATCH(SamplingData[[#This Row],[Batch by Type (p)]],SelectedPrecincts[Batch Name], 0)), "", INDEX(SelectedPrecincts[Draw], MATCH(SamplingData[[#This Row],[Batch by Type (p)]],SelectedPrecincts[Batch Name], 0)))</f>
        <v/>
      </c>
      <c r="X944" s="102">
        <f>IF(COUNTIF(SelectedPrecincts[Batch Name],SamplingData[[#This Row],[Batch by Type (p)]]) &lt;&gt; 0, COUNTIF(SelectedPrecincts[Batch Name],SamplingData[[#This Row],[Batch by Type (p)]]), 0)</f>
        <v>0</v>
      </c>
    </row>
    <row r="945" spans="1:24" ht="15" customHeight="1">
      <c r="A945" s="18" t="s">
        <v>1121</v>
      </c>
      <c r="B945" s="18">
        <v>2</v>
      </c>
      <c r="C945" s="18">
        <v>26</v>
      </c>
      <c r="D945" s="16">
        <v>4</v>
      </c>
      <c r="E945" s="16">
        <v>11</v>
      </c>
      <c r="F945" s="37">
        <v>1</v>
      </c>
      <c r="G945" s="37">
        <v>0</v>
      </c>
      <c r="H945" s="17">
        <v>0</v>
      </c>
      <c r="I945" s="17">
        <v>0</v>
      </c>
      <c r="J945" s="99">
        <f>SUM(SamplingData[[#This Row],[Losing Candidate]:[Under Votes]])</f>
        <v>44</v>
      </c>
      <c r="K945" s="100">
        <f>IF(AND(SamplingData[[#This Row],[Total]]&lt;&gt; 0, NOT(ISBLANK(SamplingData[[#This Row],[Losing Candidate]]))),(SamplingData[[#This Row],[Total]]+SamplingData[[#This Row],[Winning Candidate]]-SamplingData[[#This Row],[Losing Candidate]])/(SamplingData[[#Totals],[Winning Candidate]]-SamplingData[[#Totals],[Losing Candidate]]), 0)</f>
        <v>4.1646251837334641E-3</v>
      </c>
      <c r="L945" s="100">
        <f>IF(AND(SamplingData[[#This Row],[Total]]&lt;&gt; 0, NOT(ISBLANK(SamplingData[[#This Row],[Candidate 3]]))),(SamplingData[[#This Row],[Total]]+SamplingData[[#This Row],[Winning Candidate]]-SamplingData[[#This Row],[Candidate 3]])/(SamplingData[[#Totals],[Winning Candidate]]-SamplingData[[#Totals],[Candidate 3]]), 0)</f>
        <v>2.1292383133851662E-3</v>
      </c>
      <c r="M945" s="100">
        <f>IF(AND(SamplingData[[#This Row],[Total]]&lt;&gt; 0, NOT(ISBLANK(SamplingData[[#This Row],[Candidate 4]]))),(SamplingData[[#This Row],[Total]]+SamplingData[[#This Row],[Winning Candidate]]-SamplingData[[#This Row],[Candidate 4]])/(SamplingData[[#Totals],[Winning Candidate]]-SamplingData[[#Totals],[Candidate 4]]), 0)</f>
        <v>1.7246923324271391E-3</v>
      </c>
      <c r="N945" s="100">
        <f>IF(AND(SamplingData[[#This Row],[Total]]&lt;&gt; 0, NOT(ISBLANK(SamplingData[[#This Row],[Candidate 5]]))),(SamplingData[[#This Row],[Total]]+SamplingData[[#This Row],[Winning Candidate]]-SamplingData[[#This Row],[Candidate 5]])/(SamplingData[[#Totals],[Winning Candidate]]-SamplingData[[#Totals],[Candidate 5]]), 0)</f>
        <v>1.678423741182194E-3</v>
      </c>
      <c r="O945" s="100">
        <f>IF(AND(SamplingData[[#This Row],[Total]]&lt;&gt; 0, NOT(ISBLANK(SamplingData[[#This Row],[Candidate 6]]))),(SamplingData[[#This Row],[Total]]+SamplingData[[#This Row],[Winning Candidate]]-SamplingData[[#This Row],[Candidate 6]])/(SamplingData[[#Totals],[Winning Candidate]]-SamplingData[[#Totals],[Candidate 6]]), 0)</f>
        <v>1.7022518360001945E-3</v>
      </c>
      <c r="P945" s="100">
        <f>MAX(SamplingData[[#This Row],[Error Bound (up) - Max. possible relative overstatement - Losing Candidate]:[Error Bound (up) - Max. possible relative overstatement - Candidate 6]])</f>
        <v>4.1646251837334641E-3</v>
      </c>
      <c r="Q945" s="100">
        <f>IF(SamplingData[[#This Row],[Max Error Bound (up)]] = 0,0,SamplingData[[#This Row],[Max Error Bound (up)]]/SamplingData[[#Totals],[Max Error Bound (up)]])</f>
        <v>6.5912048293431658E-4</v>
      </c>
      <c r="R945" s="101">
        <f>SUM($Q$5:Q945)</f>
        <v>0.24465189290919617</v>
      </c>
      <c r="S945" s="100" t="str">
        <f t="array" ref="S945">IF(SamplingData[[#This Row],[up/U Selection Probability]] = 0, "Zero", TEXT(SamplingData[[#This Row],[Lower Range]], REPT("0",LEN('General Info'!$B$40))) &amp; " - " &amp; TEXT(SamplingData[[#This Row],[Upper Range]], REPT("0",LEN('General Info'!$B$40))))</f>
        <v>24399 - 24464</v>
      </c>
      <c r="T945" s="100">
        <f>SamplingData[[#This Row],[Upper Range]]-SamplingData[[#This Row],[Span]]</f>
        <v>24399.277901746667</v>
      </c>
      <c r="U945" s="100">
        <f>IF(ISNUMBER('General Info'!$B$40), ((SamplingData[[#This Row],[up/U Selection Probability]]) * 'General Info'!$B$40) - 1, 0)</f>
        <v>64.911389172948716</v>
      </c>
      <c r="V945" s="100">
        <f>IF(ISNUMBER('General Info'!$B$40), (SamplingData[[#This Row],[Running (cumulative) sum]] * ('General Info'!$B$40 -'General Info'!$B$41 + 1)) + 'General Info'!$B$41 - 1, 0)</f>
        <v>24464.189290919618</v>
      </c>
      <c r="W945" s="100" t="str">
        <f>IF(ISERROR(MATCH(SamplingData[[#This Row],[Batch by Type (p)]],SelectedPrecincts[Batch Name], 0)), "", INDEX(SelectedPrecincts[Draw], MATCH(SamplingData[[#This Row],[Batch by Type (p)]],SelectedPrecincts[Batch Name], 0)))</f>
        <v/>
      </c>
      <c r="X945" s="102">
        <f>IF(COUNTIF(SelectedPrecincts[Batch Name],SamplingData[[#This Row],[Batch by Type (p)]]) &lt;&gt; 0, COUNTIF(SelectedPrecincts[Batch Name],SamplingData[[#This Row],[Batch by Type (p)]]), 0)</f>
        <v>0</v>
      </c>
    </row>
    <row r="946" spans="1:24" ht="15" customHeight="1">
      <c r="A946" s="18" t="s">
        <v>1122</v>
      </c>
      <c r="B946" s="18">
        <v>3</v>
      </c>
      <c r="C946" s="18">
        <v>7</v>
      </c>
      <c r="D946" s="18">
        <v>2</v>
      </c>
      <c r="E946" s="18">
        <v>0</v>
      </c>
      <c r="F946" s="18">
        <v>0</v>
      </c>
      <c r="G946" s="18">
        <v>0</v>
      </c>
      <c r="H946" s="18">
        <v>0</v>
      </c>
      <c r="I946" s="18">
        <v>0</v>
      </c>
      <c r="J946" s="99">
        <f>SUM(SamplingData[[#This Row],[Losing Candidate]:[Under Votes]])</f>
        <v>12</v>
      </c>
      <c r="K946"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946" s="100">
        <f>IF(AND(SamplingData[[#This Row],[Total]]&lt;&gt; 0, NOT(ISBLANK(SamplingData[[#This Row],[Candidate 3]]))),(SamplingData[[#This Row],[Total]]+SamplingData[[#This Row],[Winning Candidate]]-SamplingData[[#This Row],[Candidate 3]])/(SamplingData[[#Totals],[Winning Candidate]]-SamplingData[[#Totals],[Candidate 3]]), 0)</f>
        <v>5.4844017162951255E-4</v>
      </c>
      <c r="M946" s="100">
        <f>IF(AND(SamplingData[[#This Row],[Total]]&lt;&gt; 0, NOT(ISBLANK(SamplingData[[#This Row],[Candidate 4]]))),(SamplingData[[#This Row],[Total]]+SamplingData[[#This Row],[Winning Candidate]]-SamplingData[[#This Row],[Candidate 4]])/(SamplingData[[#Totals],[Winning Candidate]]-SamplingData[[#Totals],[Candidate 4]]), 0)</f>
        <v>5.5540939518840076E-4</v>
      </c>
      <c r="N946" s="100">
        <f>IF(AND(SamplingData[[#This Row],[Total]]&lt;&gt; 0, NOT(ISBLANK(SamplingData[[#This Row],[Candidate 5]]))),(SamplingData[[#This Row],[Total]]+SamplingData[[#This Row],[Winning Candidate]]-SamplingData[[#This Row],[Candidate 5]])/(SamplingData[[#Totals],[Winning Candidate]]-SamplingData[[#Totals],[Candidate 5]]), 0)</f>
        <v>4.6217465336900997E-4</v>
      </c>
      <c r="O946" s="100">
        <f>IF(AND(SamplingData[[#This Row],[Total]]&lt;&gt; 0, NOT(ISBLANK(SamplingData[[#This Row],[Candidate 6]]))),(SamplingData[[#This Row],[Total]]+SamplingData[[#This Row],[Winning Candidate]]-SamplingData[[#This Row],[Candidate 6]])/(SamplingData[[#Totals],[Winning Candidate]]-SamplingData[[#Totals],[Candidate 6]]), 0)</f>
        <v>4.6203978405719566E-4</v>
      </c>
      <c r="P946" s="100">
        <f>MAX(SamplingData[[#This Row],[Error Bound (up) - Max. possible relative overstatement - Losing Candidate]:[Error Bound (up) - Max. possible relative overstatement - Candidate 6]])</f>
        <v>9.7991180793728563E-4</v>
      </c>
      <c r="Q946" s="100">
        <f>IF(SamplingData[[#This Row],[Max Error Bound (up)]] = 0,0,SamplingData[[#This Row],[Max Error Bound (up)]]/SamplingData[[#Totals],[Max Error Bound (up)]])</f>
        <v>1.550871724551333E-4</v>
      </c>
      <c r="R946" s="101">
        <f>SUM($Q$5:Q946)</f>
        <v>0.2448069800816513</v>
      </c>
      <c r="S946" s="100" t="str">
        <f t="array" ref="S946">IF(SamplingData[[#This Row],[up/U Selection Probability]] = 0, "Zero", TEXT(SamplingData[[#This Row],[Lower Range]], REPT("0",LEN('General Info'!$B$40))) &amp; " - " &amp; TEXT(SamplingData[[#This Row],[Upper Range]], REPT("0",LEN('General Info'!$B$40))))</f>
        <v>24465 - 24480</v>
      </c>
      <c r="T946" s="100">
        <f>SamplingData[[#This Row],[Upper Range]]-SamplingData[[#This Row],[Span]]</f>
        <v>24465.189446006789</v>
      </c>
      <c r="U946" s="100">
        <f>IF(ISNUMBER('General Info'!$B$40), ((SamplingData[[#This Row],[up/U Selection Probability]]) * 'General Info'!$B$40) - 1, 0)</f>
        <v>14.508562158340876</v>
      </c>
      <c r="V946" s="100">
        <f>IF(ISNUMBER('General Info'!$B$40), (SamplingData[[#This Row],[Running (cumulative) sum]] * ('General Info'!$B$40 -'General Info'!$B$41 + 1)) + 'General Info'!$B$41 - 1, 0)</f>
        <v>24479.698008165131</v>
      </c>
      <c r="W946" s="100" t="str">
        <f>IF(ISERROR(MATCH(SamplingData[[#This Row],[Batch by Type (p)]],SelectedPrecincts[Batch Name], 0)), "", INDEX(SelectedPrecincts[Draw], MATCH(SamplingData[[#This Row],[Batch by Type (p)]],SelectedPrecincts[Batch Name], 0)))</f>
        <v/>
      </c>
      <c r="X946" s="102">
        <f>IF(COUNTIF(SelectedPrecincts[Batch Name],SamplingData[[#This Row],[Batch by Type (p)]]) &lt;&gt; 0, COUNTIF(SelectedPrecincts[Batch Name],SamplingData[[#This Row],[Batch by Type (p)]]), 0)</f>
        <v>0</v>
      </c>
    </row>
    <row r="947" spans="1:24" ht="15" customHeight="1">
      <c r="A947" s="18" t="s">
        <v>1123</v>
      </c>
      <c r="B947" s="18">
        <v>10</v>
      </c>
      <c r="C947" s="18">
        <v>22</v>
      </c>
      <c r="D947" s="16">
        <v>3</v>
      </c>
      <c r="E947" s="16">
        <v>5</v>
      </c>
      <c r="F947" s="37">
        <v>0</v>
      </c>
      <c r="G947" s="37">
        <v>1</v>
      </c>
      <c r="H947" s="17">
        <v>0</v>
      </c>
      <c r="I947" s="17">
        <v>1</v>
      </c>
      <c r="J947" s="99">
        <f>SUM(SamplingData[[#This Row],[Losing Candidate]:[Under Votes]])</f>
        <v>42</v>
      </c>
      <c r="K947"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947" s="100">
        <f>IF(AND(SamplingData[[#This Row],[Total]]&lt;&gt; 0, NOT(ISBLANK(SamplingData[[#This Row],[Candidate 3]]))),(SamplingData[[#This Row],[Total]]+SamplingData[[#This Row],[Winning Candidate]]-SamplingData[[#This Row],[Candidate 3]])/(SamplingData[[#Totals],[Winning Candidate]]-SamplingData[[#Totals],[Candidate 3]]), 0)</f>
        <v>1.9679323805529567E-3</v>
      </c>
      <c r="M947" s="100">
        <f>IF(AND(SamplingData[[#This Row],[Total]]&lt;&gt; 0, NOT(ISBLANK(SamplingData[[#This Row],[Candidate 4]]))),(SamplingData[[#This Row],[Total]]+SamplingData[[#This Row],[Winning Candidate]]-SamplingData[[#This Row],[Candidate 4]])/(SamplingData[[#Totals],[Winning Candidate]]-SamplingData[[#Totals],[Candidate 4]]), 0)</f>
        <v>1.7246923324271391E-3</v>
      </c>
      <c r="N947" s="100">
        <f>IF(AND(SamplingData[[#This Row],[Total]]&lt;&gt; 0, NOT(ISBLANK(SamplingData[[#This Row],[Candidate 5]]))),(SamplingData[[#This Row],[Total]]+SamplingData[[#This Row],[Winning Candidate]]-SamplingData[[#This Row],[Candidate 5]])/(SamplingData[[#Totals],[Winning Candidate]]-SamplingData[[#Totals],[Candidate 5]]), 0)</f>
        <v>1.5567988324008757E-3</v>
      </c>
      <c r="O947" s="100">
        <f>IF(AND(SamplingData[[#This Row],[Total]]&lt;&gt; 0, NOT(ISBLANK(SamplingData[[#This Row],[Candidate 6]]))),(SamplingData[[#This Row],[Total]]+SamplingData[[#This Row],[Winning Candidate]]-SamplingData[[#This Row],[Candidate 6]])/(SamplingData[[#Totals],[Winning Candidate]]-SamplingData[[#Totals],[Candidate 6]]), 0)</f>
        <v>1.532026652400175E-3</v>
      </c>
      <c r="P947" s="100">
        <f>MAX(SamplingData[[#This Row],[Error Bound (up) - Max. possible relative overstatement - Losing Candidate]:[Error Bound (up) - Max. possible relative overstatement - Candidate 6]])</f>
        <v>3.3072023517883389E-3</v>
      </c>
      <c r="Q947" s="100">
        <f>IF(SamplingData[[#This Row],[Max Error Bound (up)]] = 0,0,SamplingData[[#This Row],[Max Error Bound (up)]]/SamplingData[[#Totals],[Max Error Bound (up)]])</f>
        <v>5.2341920703607493E-4</v>
      </c>
      <c r="R947" s="101">
        <f>SUM($Q$5:Q947)</f>
        <v>0.24533039928868738</v>
      </c>
      <c r="S947" s="100" t="str">
        <f t="array" ref="S947">IF(SamplingData[[#This Row],[up/U Selection Probability]] = 0, "Zero", TEXT(SamplingData[[#This Row],[Lower Range]], REPT("0",LEN('General Info'!$B$40))) &amp; " - " &amp; TEXT(SamplingData[[#This Row],[Upper Range]], REPT("0",LEN('General Info'!$B$40))))</f>
        <v>24481 - 24532</v>
      </c>
      <c r="T947" s="100">
        <f>SamplingData[[#This Row],[Upper Range]]-SamplingData[[#This Row],[Span]]</f>
        <v>24480.698531584338</v>
      </c>
      <c r="U947" s="100">
        <f>IF(ISNUMBER('General Info'!$B$40), ((SamplingData[[#This Row],[up/U Selection Probability]]) * 'General Info'!$B$40) - 1, 0)</f>
        <v>51.341397284400458</v>
      </c>
      <c r="V947" s="100">
        <f>IF(ISNUMBER('General Info'!$B$40), (SamplingData[[#This Row],[Running (cumulative) sum]] * ('General Info'!$B$40 -'General Info'!$B$41 + 1)) + 'General Info'!$B$41 - 1, 0)</f>
        <v>24532.039928868737</v>
      </c>
      <c r="W947" s="100" t="str">
        <f>IF(ISERROR(MATCH(SamplingData[[#This Row],[Batch by Type (p)]],SelectedPrecincts[Batch Name], 0)), "", INDEX(SelectedPrecincts[Draw], MATCH(SamplingData[[#This Row],[Batch by Type (p)]],SelectedPrecincts[Batch Name], 0)))</f>
        <v/>
      </c>
      <c r="X947" s="102">
        <f>IF(COUNTIF(SelectedPrecincts[Batch Name],SamplingData[[#This Row],[Batch by Type (p)]]) &lt;&gt; 0, COUNTIF(SelectedPrecincts[Batch Name],SamplingData[[#This Row],[Batch by Type (p)]]), 0)</f>
        <v>0</v>
      </c>
    </row>
    <row r="948" spans="1:24" ht="15" customHeight="1">
      <c r="A948" s="18" t="s">
        <v>1124</v>
      </c>
      <c r="B948" s="18">
        <v>1</v>
      </c>
      <c r="C948" s="18">
        <v>3</v>
      </c>
      <c r="D948" s="18">
        <v>0</v>
      </c>
      <c r="E948" s="18">
        <v>0</v>
      </c>
      <c r="F948" s="18">
        <v>0</v>
      </c>
      <c r="G948" s="18">
        <v>0</v>
      </c>
      <c r="H948" s="18">
        <v>0</v>
      </c>
      <c r="I948" s="18">
        <v>0</v>
      </c>
      <c r="J948" s="99">
        <f>SUM(SamplingData[[#This Row],[Losing Candidate]:[Under Votes]])</f>
        <v>4</v>
      </c>
      <c r="K948"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948" s="100">
        <f>IF(AND(SamplingData[[#This Row],[Total]]&lt;&gt; 0, NOT(ISBLANK(SamplingData[[#This Row],[Candidate 3]]))),(SamplingData[[#This Row],[Total]]+SamplingData[[#This Row],[Winning Candidate]]-SamplingData[[#This Row],[Candidate 3]])/(SamplingData[[#Totals],[Winning Candidate]]-SamplingData[[#Totals],[Candidate 3]]), 0)</f>
        <v>2.258283059650934E-4</v>
      </c>
      <c r="M948" s="100">
        <f>IF(AND(SamplingData[[#This Row],[Total]]&lt;&gt; 0, NOT(ISBLANK(SamplingData[[#This Row],[Candidate 4]]))),(SamplingData[[#This Row],[Total]]+SamplingData[[#This Row],[Winning Candidate]]-SamplingData[[#This Row],[Candidate 4]])/(SamplingData[[#Totals],[Winning Candidate]]-SamplingData[[#Totals],[Candidate 4]]), 0)</f>
        <v>2.0462451401677921E-4</v>
      </c>
      <c r="N948" s="100">
        <f>IF(AND(SamplingData[[#This Row],[Total]]&lt;&gt; 0, NOT(ISBLANK(SamplingData[[#This Row],[Candidate 5]]))),(SamplingData[[#This Row],[Total]]+SamplingData[[#This Row],[Winning Candidate]]-SamplingData[[#This Row],[Candidate 5]])/(SamplingData[[#Totals],[Winning Candidate]]-SamplingData[[#Totals],[Candidate 5]]), 0)</f>
        <v>1.7027487229384579E-4</v>
      </c>
      <c r="O948" s="100">
        <f>IF(AND(SamplingData[[#This Row],[Total]]&lt;&gt; 0, NOT(ISBLANK(SamplingData[[#This Row],[Candidate 6]]))),(SamplingData[[#This Row],[Total]]+SamplingData[[#This Row],[Winning Candidate]]-SamplingData[[#This Row],[Candidate 6]])/(SamplingData[[#Totals],[Winning Candidate]]-SamplingData[[#Totals],[Candidate 6]]), 0)</f>
        <v>1.7022518360001944E-4</v>
      </c>
      <c r="P948" s="100">
        <f>MAX(SamplingData[[#This Row],[Error Bound (up) - Max. possible relative overstatement - Losing Candidate]:[Error Bound (up) - Max. possible relative overstatement - Candidate 6]])</f>
        <v>3.6746692797648211E-4</v>
      </c>
      <c r="Q948" s="100">
        <f>IF(SamplingData[[#This Row],[Max Error Bound (up)]] = 0,0,SamplingData[[#This Row],[Max Error Bound (up)]]/SamplingData[[#Totals],[Max Error Bound (up)]])</f>
        <v>5.8157689670674986E-5</v>
      </c>
      <c r="R948" s="101">
        <f>SUM($Q$5:Q948)</f>
        <v>0.24538855697835807</v>
      </c>
      <c r="S948" s="100" t="str">
        <f t="array" ref="S948">IF(SamplingData[[#This Row],[up/U Selection Probability]] = 0, "Zero", TEXT(SamplingData[[#This Row],[Lower Range]], REPT("0",LEN('General Info'!$B$40))) &amp; " - " &amp; TEXT(SamplingData[[#This Row],[Upper Range]], REPT("0",LEN('General Info'!$B$40))))</f>
        <v>24533 - 24538</v>
      </c>
      <c r="T948" s="100">
        <f>SamplingData[[#This Row],[Upper Range]]-SamplingData[[#This Row],[Span]]</f>
        <v>24533.03998702643</v>
      </c>
      <c r="U948" s="100">
        <f>IF(ISNUMBER('General Info'!$B$40), ((SamplingData[[#This Row],[up/U Selection Probability]]) * 'General Info'!$B$40) - 1, 0)</f>
        <v>4.815710809377828</v>
      </c>
      <c r="V948" s="100">
        <f>IF(ISNUMBER('General Info'!$B$40), (SamplingData[[#This Row],[Running (cumulative) sum]] * ('General Info'!$B$40 -'General Info'!$B$41 + 1)) + 'General Info'!$B$41 - 1, 0)</f>
        <v>24537.855697835806</v>
      </c>
      <c r="W948" s="100" t="str">
        <f>IF(ISERROR(MATCH(SamplingData[[#This Row],[Batch by Type (p)]],SelectedPrecincts[Batch Name], 0)), "", INDEX(SelectedPrecincts[Draw], MATCH(SamplingData[[#This Row],[Batch by Type (p)]],SelectedPrecincts[Batch Name], 0)))</f>
        <v/>
      </c>
      <c r="X948" s="102">
        <f>IF(COUNTIF(SelectedPrecincts[Batch Name],SamplingData[[#This Row],[Batch by Type (p)]]) &lt;&gt; 0, COUNTIF(SelectedPrecincts[Batch Name],SamplingData[[#This Row],[Batch by Type (p)]]), 0)</f>
        <v>0</v>
      </c>
    </row>
    <row r="949" spans="1:24" ht="15" customHeight="1">
      <c r="A949" s="18" t="s">
        <v>1125</v>
      </c>
      <c r="B949" s="18">
        <v>6</v>
      </c>
      <c r="C949" s="18">
        <v>16</v>
      </c>
      <c r="D949" s="16">
        <v>0</v>
      </c>
      <c r="E949" s="16">
        <v>7</v>
      </c>
      <c r="F949" s="37">
        <v>1</v>
      </c>
      <c r="G949" s="37">
        <v>0</v>
      </c>
      <c r="H949" s="17">
        <v>0</v>
      </c>
      <c r="I949" s="17">
        <v>0</v>
      </c>
      <c r="J949" s="99">
        <f>SUM(SamplingData[[#This Row],[Losing Candidate]:[Under Votes]])</f>
        <v>30</v>
      </c>
      <c r="K949"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949" s="100">
        <f>IF(AND(SamplingData[[#This Row],[Total]]&lt;&gt; 0, NOT(ISBLANK(SamplingData[[#This Row],[Candidate 3]]))),(SamplingData[[#This Row],[Total]]+SamplingData[[#This Row],[Winning Candidate]]-SamplingData[[#This Row],[Candidate 3]])/(SamplingData[[#Totals],[Winning Candidate]]-SamplingData[[#Totals],[Candidate 3]]), 0)</f>
        <v>1.4840145820563281E-3</v>
      </c>
      <c r="M949" s="100">
        <f>IF(AND(SamplingData[[#This Row],[Total]]&lt;&gt; 0, NOT(ISBLANK(SamplingData[[#This Row],[Candidate 4]]))),(SamplingData[[#This Row],[Total]]+SamplingData[[#This Row],[Winning Candidate]]-SamplingData[[#This Row],[Candidate 4]])/(SamplingData[[#Totals],[Winning Candidate]]-SamplingData[[#Totals],[Candidate 4]]), 0)</f>
        <v>1.14005086380777E-3</v>
      </c>
      <c r="N949" s="100">
        <f>IF(AND(SamplingData[[#This Row],[Total]]&lt;&gt; 0, NOT(ISBLANK(SamplingData[[#This Row],[Candidate 5]]))),(SamplingData[[#This Row],[Total]]+SamplingData[[#This Row],[Winning Candidate]]-SamplingData[[#This Row],[Candidate 5]])/(SamplingData[[#Totals],[Winning Candidate]]-SamplingData[[#Totals],[Candidate 5]]), 0)</f>
        <v>1.0946241790318657E-3</v>
      </c>
      <c r="O949" s="100">
        <f>IF(AND(SamplingData[[#This Row],[Total]]&lt;&gt; 0, NOT(ISBLANK(SamplingData[[#This Row],[Candidate 6]]))),(SamplingData[[#This Row],[Total]]+SamplingData[[#This Row],[Winning Candidate]]-SamplingData[[#This Row],[Candidate 6]])/(SamplingData[[#Totals],[Winning Candidate]]-SamplingData[[#Totals],[Candidate 6]]), 0)</f>
        <v>1.1186226350858421E-3</v>
      </c>
      <c r="P949" s="100">
        <f>MAX(SamplingData[[#This Row],[Error Bound (up) - Max. possible relative overstatement - Losing Candidate]:[Error Bound (up) - Max. possible relative overstatement - Candidate 6]])</f>
        <v>2.4497795198432141E-3</v>
      </c>
      <c r="Q949" s="100">
        <f>IF(SamplingData[[#This Row],[Max Error Bound (up)]] = 0,0,SamplingData[[#This Row],[Max Error Bound (up)]]/SamplingData[[#Totals],[Max Error Bound (up)]])</f>
        <v>3.8771793113783328E-4</v>
      </c>
      <c r="R949" s="101">
        <f>SUM($Q$5:Q949)</f>
        <v>0.24577627490949591</v>
      </c>
      <c r="S949" s="100" t="str">
        <f t="array" ref="S949">IF(SamplingData[[#This Row],[up/U Selection Probability]] = 0, "Zero", TEXT(SamplingData[[#This Row],[Lower Range]], REPT("0",LEN('General Info'!$B$40))) &amp; " - " &amp; TEXT(SamplingData[[#This Row],[Upper Range]], REPT("0",LEN('General Info'!$B$40))))</f>
        <v>24539 - 24577</v>
      </c>
      <c r="T949" s="100">
        <f>SamplingData[[#This Row],[Upper Range]]-SamplingData[[#This Row],[Span]]</f>
        <v>24538.85608555374</v>
      </c>
      <c r="U949" s="100">
        <f>IF(ISNUMBER('General Info'!$B$40), ((SamplingData[[#This Row],[up/U Selection Probability]]) * 'General Info'!$B$40) - 1, 0)</f>
        <v>37.771405395852192</v>
      </c>
      <c r="V949" s="100">
        <f>IF(ISNUMBER('General Info'!$B$40), (SamplingData[[#This Row],[Running (cumulative) sum]] * ('General Info'!$B$40 -'General Info'!$B$41 + 1)) + 'General Info'!$B$41 - 1, 0)</f>
        <v>24576.627490949591</v>
      </c>
      <c r="W949" s="100" t="str">
        <f>IF(ISERROR(MATCH(SamplingData[[#This Row],[Batch by Type (p)]],SelectedPrecincts[Batch Name], 0)), "", INDEX(SelectedPrecincts[Draw], MATCH(SamplingData[[#This Row],[Batch by Type (p)]],SelectedPrecincts[Batch Name], 0)))</f>
        <v/>
      </c>
      <c r="X949" s="102">
        <f>IF(COUNTIF(SelectedPrecincts[Batch Name],SamplingData[[#This Row],[Batch by Type (p)]]) &lt;&gt; 0, COUNTIF(SelectedPrecincts[Batch Name],SamplingData[[#This Row],[Batch by Type (p)]]), 0)</f>
        <v>0</v>
      </c>
    </row>
    <row r="950" spans="1:24" ht="15" customHeight="1">
      <c r="A950" s="18" t="s">
        <v>1126</v>
      </c>
      <c r="B950" s="18">
        <v>2</v>
      </c>
      <c r="C950" s="18">
        <v>5</v>
      </c>
      <c r="D950" s="18">
        <v>1</v>
      </c>
      <c r="E950" s="18">
        <v>2</v>
      </c>
      <c r="F950" s="18">
        <v>0</v>
      </c>
      <c r="G950" s="18">
        <v>0</v>
      </c>
      <c r="H950" s="18">
        <v>0</v>
      </c>
      <c r="I950" s="18">
        <v>0</v>
      </c>
      <c r="J950" s="99">
        <f>SUM(SamplingData[[#This Row],[Losing Candidate]:[Under Votes]])</f>
        <v>10</v>
      </c>
      <c r="K950"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950" s="100">
        <f>IF(AND(SamplingData[[#This Row],[Total]]&lt;&gt; 0, NOT(ISBLANK(SamplingData[[#This Row],[Candidate 3]]))),(SamplingData[[#This Row],[Total]]+SamplingData[[#This Row],[Winning Candidate]]-SamplingData[[#This Row],[Candidate 3]])/(SamplingData[[#Totals],[Winning Candidate]]-SamplingData[[#Totals],[Candidate 3]]), 0)</f>
        <v>4.5165661193018679E-4</v>
      </c>
      <c r="M950" s="100">
        <f>IF(AND(SamplingData[[#This Row],[Total]]&lt;&gt; 0, NOT(ISBLANK(SamplingData[[#This Row],[Candidate 4]]))),(SamplingData[[#This Row],[Total]]+SamplingData[[#This Row],[Winning Candidate]]-SamplingData[[#This Row],[Candidate 4]])/(SamplingData[[#Totals],[Winning Candidate]]-SamplingData[[#Totals],[Candidate 4]]), 0)</f>
        <v>3.8001695460258996E-4</v>
      </c>
      <c r="N950" s="100">
        <f>IF(AND(SamplingData[[#This Row],[Total]]&lt;&gt; 0, NOT(ISBLANK(SamplingData[[#This Row],[Candidate 5]]))),(SamplingData[[#This Row],[Total]]+SamplingData[[#This Row],[Winning Candidate]]-SamplingData[[#This Row],[Candidate 5]])/(SamplingData[[#Totals],[Winning Candidate]]-SamplingData[[#Totals],[Candidate 5]]), 0)</f>
        <v>3.6487472634395525E-4</v>
      </c>
      <c r="O950" s="100">
        <f>IF(AND(SamplingData[[#This Row],[Total]]&lt;&gt; 0, NOT(ISBLANK(SamplingData[[#This Row],[Candidate 6]]))),(SamplingData[[#This Row],[Total]]+SamplingData[[#This Row],[Winning Candidate]]-SamplingData[[#This Row],[Candidate 6]])/(SamplingData[[#Totals],[Winning Candidate]]-SamplingData[[#Totals],[Candidate 6]]), 0)</f>
        <v>3.6476825057147027E-4</v>
      </c>
      <c r="P950" s="100">
        <f>MAX(SamplingData[[#This Row],[Error Bound (up) - Max. possible relative overstatement - Losing Candidate]:[Error Bound (up) - Max. possible relative overstatement - Candidate 6]])</f>
        <v>7.9617834394904463E-4</v>
      </c>
      <c r="Q950" s="100">
        <f>IF(SamplingData[[#This Row],[Max Error Bound (up)]] = 0,0,SamplingData[[#This Row],[Max Error Bound (up)]]/SamplingData[[#Totals],[Max Error Bound (up)]])</f>
        <v>1.2600832761979581E-4</v>
      </c>
      <c r="R950" s="101">
        <f>SUM($Q$5:Q950)</f>
        <v>0.24590228323711572</v>
      </c>
      <c r="S950" s="100" t="str">
        <f t="array" ref="S950">IF(SamplingData[[#This Row],[up/U Selection Probability]] = 0, "Zero", TEXT(SamplingData[[#This Row],[Lower Range]], REPT("0",LEN('General Info'!$B$40))) &amp; " - " &amp; TEXT(SamplingData[[#This Row],[Upper Range]], REPT("0",LEN('General Info'!$B$40))))</f>
        <v>24578 - 24589</v>
      </c>
      <c r="T950" s="100">
        <f>SamplingData[[#This Row],[Upper Range]]-SamplingData[[#This Row],[Span]]</f>
        <v>24577.627616957918</v>
      </c>
      <c r="U950" s="100">
        <f>IF(ISNUMBER('General Info'!$B$40), ((SamplingData[[#This Row],[up/U Selection Probability]]) * 'General Info'!$B$40) - 1, 0)</f>
        <v>11.600706753651961</v>
      </c>
      <c r="V950" s="100">
        <f>IF(ISNUMBER('General Info'!$B$40), (SamplingData[[#This Row],[Running (cumulative) sum]] * ('General Info'!$B$40 -'General Info'!$B$41 + 1)) + 'General Info'!$B$41 - 1, 0)</f>
        <v>24589.22832371157</v>
      </c>
      <c r="W950" s="100" t="str">
        <f>IF(ISERROR(MATCH(SamplingData[[#This Row],[Batch by Type (p)]],SelectedPrecincts[Batch Name], 0)), "", INDEX(SelectedPrecincts[Draw], MATCH(SamplingData[[#This Row],[Batch by Type (p)]],SelectedPrecincts[Batch Name], 0)))</f>
        <v/>
      </c>
      <c r="X950" s="102">
        <f>IF(COUNTIF(SelectedPrecincts[Batch Name],SamplingData[[#This Row],[Batch by Type (p)]]) &lt;&gt; 0, COUNTIF(SelectedPrecincts[Batch Name],SamplingData[[#This Row],[Batch by Type (p)]]), 0)</f>
        <v>0</v>
      </c>
    </row>
    <row r="951" spans="1:24" ht="15" customHeight="1">
      <c r="A951" s="18" t="s">
        <v>1127</v>
      </c>
      <c r="B951" s="18">
        <v>3</v>
      </c>
      <c r="C951" s="18">
        <v>3</v>
      </c>
      <c r="D951" s="16">
        <v>0</v>
      </c>
      <c r="E951" s="16">
        <v>5</v>
      </c>
      <c r="F951" s="37">
        <v>0</v>
      </c>
      <c r="G951" s="37">
        <v>0</v>
      </c>
      <c r="H951" s="17">
        <v>0</v>
      </c>
      <c r="I951" s="17">
        <v>0</v>
      </c>
      <c r="J951" s="99">
        <f>SUM(SamplingData[[#This Row],[Losing Candidate]:[Under Votes]])</f>
        <v>11</v>
      </c>
      <c r="K951"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951" s="100">
        <f>IF(AND(SamplingData[[#This Row],[Total]]&lt;&gt; 0, NOT(ISBLANK(SamplingData[[#This Row],[Candidate 3]]))),(SamplingData[[#This Row],[Total]]+SamplingData[[#This Row],[Winning Candidate]]-SamplingData[[#This Row],[Candidate 3]])/(SamplingData[[#Totals],[Winning Candidate]]-SamplingData[[#Totals],[Candidate 3]]), 0)</f>
        <v>4.5165661193018679E-4</v>
      </c>
      <c r="M951" s="100">
        <f>IF(AND(SamplingData[[#This Row],[Total]]&lt;&gt; 0, NOT(ISBLANK(SamplingData[[#This Row],[Candidate 4]]))),(SamplingData[[#This Row],[Total]]+SamplingData[[#This Row],[Winning Candidate]]-SamplingData[[#This Row],[Candidate 4]])/(SamplingData[[#Totals],[Winning Candidate]]-SamplingData[[#Totals],[Candidate 4]]), 0)</f>
        <v>2.6308866087871614E-4</v>
      </c>
      <c r="N951" s="100">
        <f>IF(AND(SamplingData[[#This Row],[Total]]&lt;&gt; 0, NOT(ISBLANK(SamplingData[[#This Row],[Candidate 5]]))),(SamplingData[[#This Row],[Total]]+SamplingData[[#This Row],[Winning Candidate]]-SamplingData[[#This Row],[Candidate 5]])/(SamplingData[[#Totals],[Winning Candidate]]-SamplingData[[#Totals],[Candidate 5]]), 0)</f>
        <v>3.4054974458769157E-4</v>
      </c>
      <c r="O951" s="100">
        <f>IF(AND(SamplingData[[#This Row],[Total]]&lt;&gt; 0, NOT(ISBLANK(SamplingData[[#This Row],[Candidate 6]]))),(SamplingData[[#This Row],[Total]]+SamplingData[[#This Row],[Winning Candidate]]-SamplingData[[#This Row],[Candidate 6]])/(SamplingData[[#Totals],[Winning Candidate]]-SamplingData[[#Totals],[Candidate 6]]), 0)</f>
        <v>3.4045036720003888E-4</v>
      </c>
      <c r="P951" s="100">
        <f>MAX(SamplingData[[#This Row],[Error Bound (up) - Max. possible relative overstatement - Losing Candidate]:[Error Bound (up) - Max. possible relative overstatement - Candidate 6]])</f>
        <v>6.7368936795688392E-4</v>
      </c>
      <c r="Q951" s="100">
        <f>IF(SamplingData[[#This Row],[Max Error Bound (up)]] = 0,0,SamplingData[[#This Row],[Max Error Bound (up)]]/SamplingData[[#Totals],[Max Error Bound (up)]])</f>
        <v>1.0662243106290416E-4</v>
      </c>
      <c r="R951" s="101">
        <f>SUM($Q$5:Q951)</f>
        <v>0.24600890566817862</v>
      </c>
      <c r="S951" s="100" t="str">
        <f t="array" ref="S951">IF(SamplingData[[#This Row],[up/U Selection Probability]] = 0, "Zero", TEXT(SamplingData[[#This Row],[Lower Range]], REPT("0",LEN('General Info'!$B$40))) &amp; " - " &amp; TEXT(SamplingData[[#This Row],[Upper Range]], REPT("0",LEN('General Info'!$B$40))))</f>
        <v>24590 - 24600</v>
      </c>
      <c r="T951" s="100">
        <f>SamplingData[[#This Row],[Upper Range]]-SamplingData[[#This Row],[Span]]</f>
        <v>24590.228430334002</v>
      </c>
      <c r="U951" s="100">
        <f>IF(ISNUMBER('General Info'!$B$40), ((SamplingData[[#This Row],[up/U Selection Probability]]) * 'General Info'!$B$40) - 1, 0)</f>
        <v>9.6621364838593529</v>
      </c>
      <c r="V951" s="100">
        <f>IF(ISNUMBER('General Info'!$B$40), (SamplingData[[#This Row],[Running (cumulative) sum]] * ('General Info'!$B$40 -'General Info'!$B$41 + 1)) + 'General Info'!$B$41 - 1, 0)</f>
        <v>24599.890566817863</v>
      </c>
      <c r="W951" s="100" t="str">
        <f>IF(ISERROR(MATCH(SamplingData[[#This Row],[Batch by Type (p)]],SelectedPrecincts[Batch Name], 0)), "", INDEX(SelectedPrecincts[Draw], MATCH(SamplingData[[#This Row],[Batch by Type (p)]],SelectedPrecincts[Batch Name], 0)))</f>
        <v/>
      </c>
      <c r="X951" s="102">
        <f>IF(COUNTIF(SelectedPrecincts[Batch Name],SamplingData[[#This Row],[Batch by Type (p)]]) &lt;&gt; 0, COUNTIF(SelectedPrecincts[Batch Name],SamplingData[[#This Row],[Batch by Type (p)]]), 0)</f>
        <v>0</v>
      </c>
    </row>
    <row r="952" spans="1:24" ht="15" customHeight="1">
      <c r="A952" s="18" t="s">
        <v>1128</v>
      </c>
      <c r="B952" s="18">
        <v>0</v>
      </c>
      <c r="C952" s="18">
        <v>1</v>
      </c>
      <c r="D952" s="18">
        <v>0</v>
      </c>
      <c r="E952" s="18">
        <v>0</v>
      </c>
      <c r="F952" s="18">
        <v>0</v>
      </c>
      <c r="G952" s="18">
        <v>0</v>
      </c>
      <c r="H952" s="18">
        <v>0</v>
      </c>
      <c r="I952" s="18">
        <v>0</v>
      </c>
      <c r="J952" s="99">
        <f>SUM(SamplingData[[#This Row],[Losing Candidate]:[Under Votes]])</f>
        <v>1</v>
      </c>
      <c r="K95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952" s="100">
        <f>IF(AND(SamplingData[[#This Row],[Total]]&lt;&gt; 0, NOT(ISBLANK(SamplingData[[#This Row],[Candidate 3]]))),(SamplingData[[#This Row],[Total]]+SamplingData[[#This Row],[Winning Candidate]]-SamplingData[[#This Row],[Candidate 3]])/(SamplingData[[#Totals],[Winning Candidate]]-SamplingData[[#Totals],[Candidate 3]]), 0)</f>
        <v>6.4522373132883833E-5</v>
      </c>
      <c r="M952" s="100">
        <f>IF(AND(SamplingData[[#This Row],[Total]]&lt;&gt; 0, NOT(ISBLANK(SamplingData[[#This Row],[Candidate 4]]))),(SamplingData[[#This Row],[Total]]+SamplingData[[#This Row],[Winning Candidate]]-SamplingData[[#This Row],[Candidate 4]])/(SamplingData[[#Totals],[Winning Candidate]]-SamplingData[[#Totals],[Candidate 4]]), 0)</f>
        <v>5.846414686193692E-5</v>
      </c>
      <c r="N952" s="100">
        <f>IF(AND(SamplingData[[#This Row],[Total]]&lt;&gt; 0, NOT(ISBLANK(SamplingData[[#This Row],[Candidate 5]]))),(SamplingData[[#This Row],[Total]]+SamplingData[[#This Row],[Winning Candidate]]-SamplingData[[#This Row],[Candidate 5]])/(SamplingData[[#Totals],[Winning Candidate]]-SamplingData[[#Totals],[Candidate 5]]), 0)</f>
        <v>4.8649963512527367E-5</v>
      </c>
      <c r="O952" s="100">
        <f>IF(AND(SamplingData[[#This Row],[Total]]&lt;&gt; 0, NOT(ISBLANK(SamplingData[[#This Row],[Candidate 6]]))),(SamplingData[[#This Row],[Total]]+SamplingData[[#This Row],[Winning Candidate]]-SamplingData[[#This Row],[Candidate 6]])/(SamplingData[[#Totals],[Winning Candidate]]-SamplingData[[#Totals],[Candidate 6]]), 0)</f>
        <v>4.8635766742862701E-5</v>
      </c>
      <c r="P952" s="100">
        <f>MAX(SamplingData[[#This Row],[Error Bound (up) - Max. possible relative overstatement - Losing Candidate]:[Error Bound (up) - Max. possible relative overstatement - Candidate 6]])</f>
        <v>1.224889759921607E-4</v>
      </c>
      <c r="Q952" s="100">
        <f>IF(SamplingData[[#This Row],[Max Error Bound (up)]] = 0,0,SamplingData[[#This Row],[Max Error Bound (up)]]/SamplingData[[#Totals],[Max Error Bound (up)]])</f>
        <v>1.9385896556891663E-5</v>
      </c>
      <c r="R952" s="101">
        <f>SUM($Q$5:Q952)</f>
        <v>0.24602829156473552</v>
      </c>
      <c r="S952" s="100" t="str">
        <f t="array" ref="S952">IF(SamplingData[[#This Row],[up/U Selection Probability]] = 0, "Zero", TEXT(SamplingData[[#This Row],[Lower Range]], REPT("0",LEN('General Info'!$B$40))) &amp; " - " &amp; TEXT(SamplingData[[#This Row],[Upper Range]], REPT("0",LEN('General Info'!$B$40))))</f>
        <v>24601 - 24602</v>
      </c>
      <c r="T952" s="100">
        <f>SamplingData[[#This Row],[Upper Range]]-SamplingData[[#This Row],[Span]]</f>
        <v>24600.890586203761</v>
      </c>
      <c r="U952" s="100">
        <f>IF(ISNUMBER('General Info'!$B$40), ((SamplingData[[#This Row],[up/U Selection Probability]]) * 'General Info'!$B$40) - 1, 0)</f>
        <v>0.93857026979260949</v>
      </c>
      <c r="V952" s="100">
        <f>IF(ISNUMBER('General Info'!$B$40), (SamplingData[[#This Row],[Running (cumulative) sum]] * ('General Info'!$B$40 -'General Info'!$B$41 + 1)) + 'General Info'!$B$41 - 1, 0)</f>
        <v>24601.829156473552</v>
      </c>
      <c r="W952" s="100" t="str">
        <f>IF(ISERROR(MATCH(SamplingData[[#This Row],[Batch by Type (p)]],SelectedPrecincts[Batch Name], 0)), "", INDEX(SelectedPrecincts[Draw], MATCH(SamplingData[[#This Row],[Batch by Type (p)]],SelectedPrecincts[Batch Name], 0)))</f>
        <v/>
      </c>
      <c r="X952" s="102">
        <f>IF(COUNTIF(SelectedPrecincts[Batch Name],SamplingData[[#This Row],[Batch by Type (p)]]) &lt;&gt; 0, COUNTIF(SelectedPrecincts[Batch Name],SamplingData[[#This Row],[Batch by Type (p)]]), 0)</f>
        <v>0</v>
      </c>
    </row>
    <row r="953" spans="1:24" ht="15" customHeight="1">
      <c r="A953" s="18" t="s">
        <v>1129</v>
      </c>
      <c r="B953" s="18">
        <v>9</v>
      </c>
      <c r="C953" s="18">
        <v>24</v>
      </c>
      <c r="D953" s="16">
        <v>3</v>
      </c>
      <c r="E953" s="16">
        <v>9</v>
      </c>
      <c r="F953" s="37">
        <v>0</v>
      </c>
      <c r="G953" s="37">
        <v>0</v>
      </c>
      <c r="H953" s="17">
        <v>0</v>
      </c>
      <c r="I953" s="17">
        <v>0</v>
      </c>
      <c r="J953" s="99">
        <f>SUM(SamplingData[[#This Row],[Losing Candidate]:[Under Votes]])</f>
        <v>45</v>
      </c>
      <c r="K953"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953" s="100">
        <f>IF(AND(SamplingData[[#This Row],[Total]]&lt;&gt; 0, NOT(ISBLANK(SamplingData[[#This Row],[Candidate 3]]))),(SamplingData[[#This Row],[Total]]+SamplingData[[#This Row],[Winning Candidate]]-SamplingData[[#This Row],[Candidate 3]])/(SamplingData[[#Totals],[Winning Candidate]]-SamplingData[[#Totals],[Candidate 3]]), 0)</f>
        <v>2.1292383133851662E-3</v>
      </c>
      <c r="M953" s="100">
        <f>IF(AND(SamplingData[[#This Row],[Total]]&lt;&gt; 0, NOT(ISBLANK(SamplingData[[#This Row],[Candidate 4]]))),(SamplingData[[#This Row],[Total]]+SamplingData[[#This Row],[Winning Candidate]]-SamplingData[[#This Row],[Candidate 4]])/(SamplingData[[#Totals],[Winning Candidate]]-SamplingData[[#Totals],[Candidate 4]]), 0)</f>
        <v>1.7539244058581076E-3</v>
      </c>
      <c r="N953" s="100">
        <f>IF(AND(SamplingData[[#This Row],[Total]]&lt;&gt; 0, NOT(ISBLANK(SamplingData[[#This Row],[Candidate 5]]))),(SamplingData[[#This Row],[Total]]+SamplingData[[#This Row],[Winning Candidate]]-SamplingData[[#This Row],[Candidate 5]])/(SamplingData[[#Totals],[Winning Candidate]]-SamplingData[[#Totals],[Candidate 5]]), 0)</f>
        <v>1.678423741182194E-3</v>
      </c>
      <c r="O953" s="100">
        <f>IF(AND(SamplingData[[#This Row],[Total]]&lt;&gt; 0, NOT(ISBLANK(SamplingData[[#This Row],[Candidate 6]]))),(SamplingData[[#This Row],[Total]]+SamplingData[[#This Row],[Winning Candidate]]-SamplingData[[#This Row],[Candidate 6]])/(SamplingData[[#Totals],[Winning Candidate]]-SamplingData[[#Totals],[Candidate 6]]), 0)</f>
        <v>1.6779339526287631E-3</v>
      </c>
      <c r="P953" s="100">
        <f>MAX(SamplingData[[#This Row],[Error Bound (up) - Max. possible relative overstatement - Losing Candidate]:[Error Bound (up) - Max. possible relative overstatement - Candidate 6]])</f>
        <v>3.6746692797648213E-3</v>
      </c>
      <c r="Q953" s="100">
        <f>IF(SamplingData[[#This Row],[Max Error Bound (up)]] = 0,0,SamplingData[[#This Row],[Max Error Bound (up)]]/SamplingData[[#Totals],[Max Error Bound (up)]])</f>
        <v>5.8157689670674997E-4</v>
      </c>
      <c r="R953" s="101">
        <f>SUM($Q$5:Q953)</f>
        <v>0.24660986846144226</v>
      </c>
      <c r="S953" s="100" t="str">
        <f t="array" ref="S953">IF(SamplingData[[#This Row],[up/U Selection Probability]] = 0, "Zero", TEXT(SamplingData[[#This Row],[Lower Range]], REPT("0",LEN('General Info'!$B$40))) &amp; " - " &amp; TEXT(SamplingData[[#This Row],[Upper Range]], REPT("0",LEN('General Info'!$B$40))))</f>
        <v>24603 - 24660</v>
      </c>
      <c r="T953" s="100">
        <f>SamplingData[[#This Row],[Upper Range]]-SamplingData[[#This Row],[Span]]</f>
        <v>24602.829738050445</v>
      </c>
      <c r="U953" s="100">
        <f>IF(ISNUMBER('General Info'!$B$40), ((SamplingData[[#This Row],[up/U Selection Probability]]) * 'General Info'!$B$40) - 1, 0)</f>
        <v>57.157108093778291</v>
      </c>
      <c r="V953" s="100">
        <f>IF(ISNUMBER('General Info'!$B$40), (SamplingData[[#This Row],[Running (cumulative) sum]] * ('General Info'!$B$40 -'General Info'!$B$41 + 1)) + 'General Info'!$B$41 - 1, 0)</f>
        <v>24659.986846144224</v>
      </c>
      <c r="W953" s="100" t="str">
        <f>IF(ISERROR(MATCH(SamplingData[[#This Row],[Batch by Type (p)]],SelectedPrecincts[Batch Name], 0)), "", INDEX(SelectedPrecincts[Draw], MATCH(SamplingData[[#This Row],[Batch by Type (p)]],SelectedPrecincts[Batch Name], 0)))</f>
        <v/>
      </c>
      <c r="X953" s="102">
        <f>IF(COUNTIF(SelectedPrecincts[Batch Name],SamplingData[[#This Row],[Batch by Type (p)]]) &lt;&gt; 0, COUNTIF(SelectedPrecincts[Batch Name],SamplingData[[#This Row],[Batch by Type (p)]]), 0)</f>
        <v>0</v>
      </c>
    </row>
    <row r="954" spans="1:24" ht="15" customHeight="1">
      <c r="A954" s="18" t="s">
        <v>1130</v>
      </c>
      <c r="B954" s="18">
        <v>5</v>
      </c>
      <c r="C954" s="18">
        <v>14</v>
      </c>
      <c r="D954" s="18">
        <v>0</v>
      </c>
      <c r="E954" s="18">
        <v>2</v>
      </c>
      <c r="F954" s="18">
        <v>0</v>
      </c>
      <c r="G954" s="18">
        <v>0</v>
      </c>
      <c r="H954" s="18">
        <v>0</v>
      </c>
      <c r="I954" s="18">
        <v>1</v>
      </c>
      <c r="J954" s="99">
        <f>SUM(SamplingData[[#This Row],[Losing Candidate]:[Under Votes]])</f>
        <v>22</v>
      </c>
      <c r="K954"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954" s="100">
        <f>IF(AND(SamplingData[[#This Row],[Total]]&lt;&gt; 0, NOT(ISBLANK(SamplingData[[#This Row],[Candidate 3]]))),(SamplingData[[#This Row],[Total]]+SamplingData[[#This Row],[Winning Candidate]]-SamplingData[[#This Row],[Candidate 3]])/(SamplingData[[#Totals],[Winning Candidate]]-SamplingData[[#Totals],[Candidate 3]]), 0)</f>
        <v>1.1614027163919089E-3</v>
      </c>
      <c r="M954" s="100">
        <f>IF(AND(SamplingData[[#This Row],[Total]]&lt;&gt; 0, NOT(ISBLANK(SamplingData[[#This Row],[Candidate 4]]))),(SamplingData[[#This Row],[Total]]+SamplingData[[#This Row],[Winning Candidate]]-SamplingData[[#This Row],[Candidate 4]])/(SamplingData[[#Totals],[Winning Candidate]]-SamplingData[[#Totals],[Candidate 4]]), 0)</f>
        <v>9.9389049665292765E-4</v>
      </c>
      <c r="N954" s="100">
        <f>IF(AND(SamplingData[[#This Row],[Total]]&lt;&gt; 0, NOT(ISBLANK(SamplingData[[#This Row],[Candidate 5]]))),(SamplingData[[#This Row],[Total]]+SamplingData[[#This Row],[Winning Candidate]]-SamplingData[[#This Row],[Candidate 5]])/(SamplingData[[#Totals],[Winning Candidate]]-SamplingData[[#Totals],[Candidate 5]]), 0)</f>
        <v>8.7569934322549259E-4</v>
      </c>
      <c r="O954" s="100">
        <f>IF(AND(SamplingData[[#This Row],[Total]]&lt;&gt; 0, NOT(ISBLANK(SamplingData[[#This Row],[Candidate 6]]))),(SamplingData[[#This Row],[Total]]+SamplingData[[#This Row],[Winning Candidate]]-SamplingData[[#This Row],[Candidate 6]])/(SamplingData[[#Totals],[Winning Candidate]]-SamplingData[[#Totals],[Candidate 6]]), 0)</f>
        <v>8.7544380137152865E-4</v>
      </c>
      <c r="P954" s="100">
        <f>MAX(SamplingData[[#This Row],[Error Bound (up) - Max. possible relative overstatement - Losing Candidate]:[Error Bound (up) - Max. possible relative overstatement - Candidate 6]])</f>
        <v>1.8985791278784908E-3</v>
      </c>
      <c r="Q954" s="100">
        <f>IF(SamplingData[[#This Row],[Max Error Bound (up)]] = 0,0,SamplingData[[#This Row],[Max Error Bound (up)]]/SamplingData[[#Totals],[Max Error Bound (up)]])</f>
        <v>3.0048139663182077E-4</v>
      </c>
      <c r="R954" s="101">
        <f>SUM($Q$5:Q954)</f>
        <v>0.24691034985807409</v>
      </c>
      <c r="S954" s="100" t="str">
        <f t="array" ref="S954">IF(SamplingData[[#This Row],[up/U Selection Probability]] = 0, "Zero", TEXT(SamplingData[[#This Row],[Lower Range]], REPT("0",LEN('General Info'!$B$40))) &amp; " - " &amp; TEXT(SamplingData[[#This Row],[Upper Range]], REPT("0",LEN('General Info'!$B$40))))</f>
        <v>24661 - 24690</v>
      </c>
      <c r="T954" s="100">
        <f>SamplingData[[#This Row],[Upper Range]]-SamplingData[[#This Row],[Span]]</f>
        <v>24660.987146625623</v>
      </c>
      <c r="U954" s="100">
        <f>IF(ISNUMBER('General Info'!$B$40), ((SamplingData[[#This Row],[up/U Selection Probability]]) * 'General Info'!$B$40) - 1, 0)</f>
        <v>29.047839181785445</v>
      </c>
      <c r="V954" s="100">
        <f>IF(ISNUMBER('General Info'!$B$40), (SamplingData[[#This Row],[Running (cumulative) sum]] * ('General Info'!$B$40 -'General Info'!$B$41 + 1)) + 'General Info'!$B$41 - 1, 0)</f>
        <v>24690.034985807408</v>
      </c>
      <c r="W954" s="100" t="str">
        <f>IF(ISERROR(MATCH(SamplingData[[#This Row],[Batch by Type (p)]],SelectedPrecincts[Batch Name], 0)), "", INDEX(SelectedPrecincts[Draw], MATCH(SamplingData[[#This Row],[Batch by Type (p)]],SelectedPrecincts[Batch Name], 0)))</f>
        <v/>
      </c>
      <c r="X954" s="102">
        <f>IF(COUNTIF(SelectedPrecincts[Batch Name],SamplingData[[#This Row],[Batch by Type (p)]]) &lt;&gt; 0, COUNTIF(SelectedPrecincts[Batch Name],SamplingData[[#This Row],[Batch by Type (p)]]), 0)</f>
        <v>0</v>
      </c>
    </row>
    <row r="955" spans="1:24" ht="15" customHeight="1">
      <c r="A955" s="18" t="s">
        <v>1131</v>
      </c>
      <c r="B955" s="18">
        <v>12</v>
      </c>
      <c r="C955" s="18">
        <v>48</v>
      </c>
      <c r="D955" s="16">
        <v>8</v>
      </c>
      <c r="E955" s="16">
        <v>4</v>
      </c>
      <c r="F955" s="37">
        <v>1</v>
      </c>
      <c r="G955" s="37">
        <v>0</v>
      </c>
      <c r="H955" s="17">
        <v>1</v>
      </c>
      <c r="I955" s="17">
        <v>0</v>
      </c>
      <c r="J955" s="99">
        <f>SUM(SamplingData[[#This Row],[Losing Candidate]:[Under Votes]])</f>
        <v>74</v>
      </c>
      <c r="K955" s="100">
        <f>IF(AND(SamplingData[[#This Row],[Total]]&lt;&gt; 0, NOT(ISBLANK(SamplingData[[#This Row],[Losing Candidate]]))),(SamplingData[[#This Row],[Total]]+SamplingData[[#This Row],[Winning Candidate]]-SamplingData[[#This Row],[Losing Candidate]])/(SamplingData[[#Totals],[Winning Candidate]]-SamplingData[[#Totals],[Losing Candidate]]), 0)</f>
        <v>6.7368936795688386E-3</v>
      </c>
      <c r="L955" s="100">
        <f>IF(AND(SamplingData[[#This Row],[Total]]&lt;&gt; 0, NOT(ISBLANK(SamplingData[[#This Row],[Candidate 3]]))),(SamplingData[[#This Row],[Total]]+SamplingData[[#This Row],[Winning Candidate]]-SamplingData[[#This Row],[Candidate 3]])/(SamplingData[[#Totals],[Winning Candidate]]-SamplingData[[#Totals],[Candidate 3]]), 0)</f>
        <v>3.6777752685743783E-3</v>
      </c>
      <c r="M955" s="100">
        <f>IF(AND(SamplingData[[#This Row],[Total]]&lt;&gt; 0, NOT(ISBLANK(SamplingData[[#This Row],[Candidate 4]]))),(SamplingData[[#This Row],[Total]]+SamplingData[[#This Row],[Winning Candidate]]-SamplingData[[#This Row],[Candidate 4]])/(SamplingData[[#Totals],[Winning Candidate]]-SamplingData[[#Totals],[Candidate 4]]), 0)</f>
        <v>3.4493846648542782E-3</v>
      </c>
      <c r="N955" s="100">
        <f>IF(AND(SamplingData[[#This Row],[Total]]&lt;&gt; 0, NOT(ISBLANK(SamplingData[[#This Row],[Candidate 5]]))),(SamplingData[[#This Row],[Total]]+SamplingData[[#This Row],[Winning Candidate]]-SamplingData[[#This Row],[Candidate 5]])/(SamplingData[[#Totals],[Winning Candidate]]-SamplingData[[#Totals],[Candidate 5]]), 0)</f>
        <v>2.9433227925079056E-3</v>
      </c>
      <c r="O955" s="100">
        <f>IF(AND(SamplingData[[#This Row],[Total]]&lt;&gt; 0, NOT(ISBLANK(SamplingData[[#This Row],[Candidate 6]]))),(SamplingData[[#This Row],[Total]]+SamplingData[[#This Row],[Winning Candidate]]-SamplingData[[#This Row],[Candidate 6]])/(SamplingData[[#Totals],[Winning Candidate]]-SamplingData[[#Totals],[Candidate 6]]), 0)</f>
        <v>2.9667817713146249E-3</v>
      </c>
      <c r="P955" s="100">
        <f>MAX(SamplingData[[#This Row],[Error Bound (up) - Max. possible relative overstatement - Losing Candidate]:[Error Bound (up) - Max. possible relative overstatement - Candidate 6]])</f>
        <v>6.7368936795688386E-3</v>
      </c>
      <c r="Q955" s="100">
        <f>IF(SamplingData[[#This Row],[Max Error Bound (up)]] = 0,0,SamplingData[[#This Row],[Max Error Bound (up)]]/SamplingData[[#Totals],[Max Error Bound (up)]])</f>
        <v>1.0662243106290415E-3</v>
      </c>
      <c r="R955" s="101">
        <f>SUM($Q$5:Q955)</f>
        <v>0.24797657416870314</v>
      </c>
      <c r="S955" s="100" t="str">
        <f t="array" ref="S955">IF(SamplingData[[#This Row],[up/U Selection Probability]] = 0, "Zero", TEXT(SamplingData[[#This Row],[Lower Range]], REPT("0",LEN('General Info'!$B$40))) &amp; " - " &amp; TEXT(SamplingData[[#This Row],[Upper Range]], REPT("0",LEN('General Info'!$B$40))))</f>
        <v>24691 - 24797</v>
      </c>
      <c r="T955" s="100">
        <f>SamplingData[[#This Row],[Upper Range]]-SamplingData[[#This Row],[Span]]</f>
        <v>24691.036052031723</v>
      </c>
      <c r="U955" s="100">
        <f>IF(ISNUMBER('General Info'!$B$40), ((SamplingData[[#This Row],[up/U Selection Probability]]) * 'General Info'!$B$40) - 1, 0)</f>
        <v>105.62136483859352</v>
      </c>
      <c r="V955" s="100">
        <f>IF(ISNUMBER('General Info'!$B$40), (SamplingData[[#This Row],[Running (cumulative) sum]] * ('General Info'!$B$40 -'General Info'!$B$41 + 1)) + 'General Info'!$B$41 - 1, 0)</f>
        <v>24796.657416870316</v>
      </c>
      <c r="W955" s="100" t="str">
        <f>IF(ISERROR(MATCH(SamplingData[[#This Row],[Batch by Type (p)]],SelectedPrecincts[Batch Name], 0)), "", INDEX(SelectedPrecincts[Draw], MATCH(SamplingData[[#This Row],[Batch by Type (p)]],SelectedPrecincts[Batch Name], 0)))</f>
        <v/>
      </c>
      <c r="X955" s="102">
        <f>IF(COUNTIF(SelectedPrecincts[Batch Name],SamplingData[[#This Row],[Batch by Type (p)]]) &lt;&gt; 0, COUNTIF(SelectedPrecincts[Batch Name],SamplingData[[#This Row],[Batch by Type (p)]]), 0)</f>
        <v>0</v>
      </c>
    </row>
    <row r="956" spans="1:24" ht="15" customHeight="1">
      <c r="A956" s="18" t="s">
        <v>1132</v>
      </c>
      <c r="B956" s="18">
        <v>9</v>
      </c>
      <c r="C956" s="18">
        <v>24</v>
      </c>
      <c r="D956" s="18">
        <v>0</v>
      </c>
      <c r="E956" s="18">
        <v>2</v>
      </c>
      <c r="F956" s="18">
        <v>0</v>
      </c>
      <c r="G956" s="18">
        <v>0</v>
      </c>
      <c r="H956" s="18">
        <v>0</v>
      </c>
      <c r="I956" s="18">
        <v>2</v>
      </c>
      <c r="J956" s="99">
        <f>SUM(SamplingData[[#This Row],[Losing Candidate]:[Under Votes]])</f>
        <v>37</v>
      </c>
      <c r="K956"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956" s="100">
        <f>IF(AND(SamplingData[[#This Row],[Total]]&lt;&gt; 0, NOT(ISBLANK(SamplingData[[#This Row],[Candidate 3]]))),(SamplingData[[#This Row],[Total]]+SamplingData[[#This Row],[Winning Candidate]]-SamplingData[[#This Row],[Candidate 3]])/(SamplingData[[#Totals],[Winning Candidate]]-SamplingData[[#Totals],[Candidate 3]]), 0)</f>
        <v>1.9679323805529567E-3</v>
      </c>
      <c r="M956" s="100">
        <f>IF(AND(SamplingData[[#This Row],[Total]]&lt;&gt; 0, NOT(ISBLANK(SamplingData[[#This Row],[Candidate 4]]))),(SamplingData[[#This Row],[Total]]+SamplingData[[#This Row],[Winning Candidate]]-SamplingData[[#This Row],[Candidate 4]])/(SamplingData[[#Totals],[Winning Candidate]]-SamplingData[[#Totals],[Candidate 4]]), 0)</f>
        <v>1.7246923324271391E-3</v>
      </c>
      <c r="N956" s="100">
        <f>IF(AND(SamplingData[[#This Row],[Total]]&lt;&gt; 0, NOT(ISBLANK(SamplingData[[#This Row],[Candidate 5]]))),(SamplingData[[#This Row],[Total]]+SamplingData[[#This Row],[Winning Candidate]]-SamplingData[[#This Row],[Candidate 5]])/(SamplingData[[#Totals],[Winning Candidate]]-SamplingData[[#Totals],[Candidate 5]]), 0)</f>
        <v>1.4838238871320846E-3</v>
      </c>
      <c r="O956" s="100">
        <f>IF(AND(SamplingData[[#This Row],[Total]]&lt;&gt; 0, NOT(ISBLANK(SamplingData[[#This Row],[Candidate 6]]))),(SamplingData[[#This Row],[Total]]+SamplingData[[#This Row],[Winning Candidate]]-SamplingData[[#This Row],[Candidate 6]])/(SamplingData[[#Totals],[Winning Candidate]]-SamplingData[[#Totals],[Candidate 6]]), 0)</f>
        <v>1.4833908856573125E-3</v>
      </c>
      <c r="P956" s="100">
        <f>MAX(SamplingData[[#This Row],[Error Bound (up) - Max. possible relative overstatement - Losing Candidate]:[Error Bound (up) - Max. possible relative overstatement - Candidate 6]])</f>
        <v>3.1847133757961785E-3</v>
      </c>
      <c r="Q956" s="100">
        <f>IF(SamplingData[[#This Row],[Max Error Bound (up)]] = 0,0,SamplingData[[#This Row],[Max Error Bound (up)]]/SamplingData[[#Totals],[Max Error Bound (up)]])</f>
        <v>5.0403331047918325E-4</v>
      </c>
      <c r="R956" s="101">
        <f>SUM($Q$5:Q956)</f>
        <v>0.24848060747918232</v>
      </c>
      <c r="S956" s="100" t="str">
        <f t="array" ref="S956">IF(SamplingData[[#This Row],[up/U Selection Probability]] = 0, "Zero", TEXT(SamplingData[[#This Row],[Lower Range]], REPT("0",LEN('General Info'!$B$40))) &amp; " - " &amp; TEXT(SamplingData[[#This Row],[Upper Range]], REPT("0",LEN('General Info'!$B$40))))</f>
        <v>24798 - 24847</v>
      </c>
      <c r="T956" s="100">
        <f>SamplingData[[#This Row],[Upper Range]]-SamplingData[[#This Row],[Span]]</f>
        <v>24797.657920903624</v>
      </c>
      <c r="U956" s="100">
        <f>IF(ISNUMBER('General Info'!$B$40), ((SamplingData[[#This Row],[up/U Selection Probability]]) * 'General Info'!$B$40) - 1, 0)</f>
        <v>49.402827014607844</v>
      </c>
      <c r="V956" s="100">
        <f>IF(ISNUMBER('General Info'!$B$40), (SamplingData[[#This Row],[Running (cumulative) sum]] * ('General Info'!$B$40 -'General Info'!$B$41 + 1)) + 'General Info'!$B$41 - 1, 0)</f>
        <v>24847.060747918233</v>
      </c>
      <c r="W956" s="100" t="str">
        <f>IF(ISERROR(MATCH(SamplingData[[#This Row],[Batch by Type (p)]],SelectedPrecincts[Batch Name], 0)), "", INDEX(SelectedPrecincts[Draw], MATCH(SamplingData[[#This Row],[Batch by Type (p)]],SelectedPrecincts[Batch Name], 0)))</f>
        <v/>
      </c>
      <c r="X956" s="102">
        <f>IF(COUNTIF(SelectedPrecincts[Batch Name],SamplingData[[#This Row],[Batch by Type (p)]]) &lt;&gt; 0, COUNTIF(SelectedPrecincts[Batch Name],SamplingData[[#This Row],[Batch by Type (p)]]), 0)</f>
        <v>0</v>
      </c>
    </row>
    <row r="957" spans="1:24" ht="15" customHeight="1">
      <c r="A957" s="18" t="s">
        <v>1133</v>
      </c>
      <c r="B957" s="18">
        <v>13</v>
      </c>
      <c r="C957" s="18">
        <v>29</v>
      </c>
      <c r="D957" s="16">
        <v>1</v>
      </c>
      <c r="E957" s="16">
        <v>6</v>
      </c>
      <c r="F957" s="37">
        <v>0</v>
      </c>
      <c r="G957" s="37">
        <v>0</v>
      </c>
      <c r="H957" s="17">
        <v>0</v>
      </c>
      <c r="I957" s="17">
        <v>0</v>
      </c>
      <c r="J957" s="99">
        <f>SUM(SamplingData[[#This Row],[Losing Candidate]:[Under Votes]])</f>
        <v>49</v>
      </c>
      <c r="K957"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957" s="100">
        <f>IF(AND(SamplingData[[#This Row],[Total]]&lt;&gt; 0, NOT(ISBLANK(SamplingData[[#This Row],[Candidate 3]]))),(SamplingData[[#This Row],[Total]]+SamplingData[[#This Row],[Winning Candidate]]-SamplingData[[#This Row],[Candidate 3]])/(SamplingData[[#Totals],[Winning Candidate]]-SamplingData[[#Totals],[Candidate 3]]), 0)</f>
        <v>2.4841113656160273E-3</v>
      </c>
      <c r="M957" s="100">
        <f>IF(AND(SamplingData[[#This Row],[Total]]&lt;&gt; 0, NOT(ISBLANK(SamplingData[[#This Row],[Candidate 4]]))),(SamplingData[[#This Row],[Total]]+SamplingData[[#This Row],[Winning Candidate]]-SamplingData[[#This Row],[Candidate 4]])/(SamplingData[[#Totals],[Winning Candidate]]-SamplingData[[#Totals],[Candidate 4]]), 0)</f>
        <v>2.1047092870297292E-3</v>
      </c>
      <c r="N957" s="100">
        <f>IF(AND(SamplingData[[#This Row],[Total]]&lt;&gt; 0, NOT(ISBLANK(SamplingData[[#This Row],[Candidate 5]]))),(SamplingData[[#This Row],[Total]]+SamplingData[[#This Row],[Winning Candidate]]-SamplingData[[#This Row],[Candidate 5]])/(SamplingData[[#Totals],[Winning Candidate]]-SamplingData[[#Totals],[Candidate 5]]), 0)</f>
        <v>1.8973485769885673E-3</v>
      </c>
      <c r="O957" s="100">
        <f>IF(AND(SamplingData[[#This Row],[Total]]&lt;&gt; 0, NOT(ISBLANK(SamplingData[[#This Row],[Candidate 6]]))),(SamplingData[[#This Row],[Total]]+SamplingData[[#This Row],[Winning Candidate]]-SamplingData[[#This Row],[Candidate 6]])/(SamplingData[[#Totals],[Winning Candidate]]-SamplingData[[#Totals],[Candidate 6]]), 0)</f>
        <v>1.8967949029716454E-3</v>
      </c>
      <c r="P957" s="100">
        <f>MAX(SamplingData[[#This Row],[Error Bound (up) - Max. possible relative overstatement - Losing Candidate]:[Error Bound (up) - Max. possible relative overstatement - Candidate 6]])</f>
        <v>3.9808917197452229E-3</v>
      </c>
      <c r="Q957" s="100">
        <f>IF(SamplingData[[#This Row],[Max Error Bound (up)]] = 0,0,SamplingData[[#This Row],[Max Error Bound (up)]]/SamplingData[[#Totals],[Max Error Bound (up)]])</f>
        <v>6.3004163809897906E-4</v>
      </c>
      <c r="R957" s="101">
        <f>SUM($Q$5:Q957)</f>
        <v>0.24911064911728131</v>
      </c>
      <c r="S957" s="100" t="str">
        <f t="array" ref="S957">IF(SamplingData[[#This Row],[up/U Selection Probability]] = 0, "Zero", TEXT(SamplingData[[#This Row],[Lower Range]], REPT("0",LEN('General Info'!$B$40))) &amp; " - " &amp; TEXT(SamplingData[[#This Row],[Upper Range]], REPT("0",LEN('General Info'!$B$40))))</f>
        <v>24848 - 24910</v>
      </c>
      <c r="T957" s="100">
        <f>SamplingData[[#This Row],[Upper Range]]-SamplingData[[#This Row],[Span]]</f>
        <v>24848.061377959872</v>
      </c>
      <c r="U957" s="100">
        <f>IF(ISNUMBER('General Info'!$B$40), ((SamplingData[[#This Row],[up/U Selection Probability]]) * 'General Info'!$B$40) - 1, 0)</f>
        <v>62.003533768259807</v>
      </c>
      <c r="V957" s="100">
        <f>IF(ISNUMBER('General Info'!$B$40), (SamplingData[[#This Row],[Running (cumulative) sum]] * ('General Info'!$B$40 -'General Info'!$B$41 + 1)) + 'General Info'!$B$41 - 1, 0)</f>
        <v>24910.064911728132</v>
      </c>
      <c r="W957" s="100" t="str">
        <f>IF(ISERROR(MATCH(SamplingData[[#This Row],[Batch by Type (p)]],SelectedPrecincts[Batch Name], 0)), "", INDEX(SelectedPrecincts[Draw], MATCH(SamplingData[[#This Row],[Batch by Type (p)]],SelectedPrecincts[Batch Name], 0)))</f>
        <v/>
      </c>
      <c r="X957" s="102">
        <f>IF(COUNTIF(SelectedPrecincts[Batch Name],SamplingData[[#This Row],[Batch by Type (p)]]) &lt;&gt; 0, COUNTIF(SelectedPrecincts[Batch Name],SamplingData[[#This Row],[Batch by Type (p)]]), 0)</f>
        <v>0</v>
      </c>
    </row>
    <row r="958" spans="1:24" ht="15" customHeight="1">
      <c r="A958" s="18" t="s">
        <v>1134</v>
      </c>
      <c r="B958" s="18">
        <v>5</v>
      </c>
      <c r="C958" s="18">
        <v>14</v>
      </c>
      <c r="D958" s="18">
        <v>1</v>
      </c>
      <c r="E958" s="18">
        <v>1</v>
      </c>
      <c r="F958" s="18">
        <v>1</v>
      </c>
      <c r="G958" s="18">
        <v>0</v>
      </c>
      <c r="H958" s="18">
        <v>0</v>
      </c>
      <c r="I958" s="18">
        <v>1</v>
      </c>
      <c r="J958" s="99">
        <f>SUM(SamplingData[[#This Row],[Losing Candidate]:[Under Votes]])</f>
        <v>23</v>
      </c>
      <c r="K958"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958" s="100">
        <f>IF(AND(SamplingData[[#This Row],[Total]]&lt;&gt; 0, NOT(ISBLANK(SamplingData[[#This Row],[Candidate 3]]))),(SamplingData[[#This Row],[Total]]+SamplingData[[#This Row],[Winning Candidate]]-SamplingData[[#This Row],[Candidate 3]])/(SamplingData[[#Totals],[Winning Candidate]]-SamplingData[[#Totals],[Candidate 3]]), 0)</f>
        <v>1.1614027163919089E-3</v>
      </c>
      <c r="M958" s="100">
        <f>IF(AND(SamplingData[[#This Row],[Total]]&lt;&gt; 0, NOT(ISBLANK(SamplingData[[#This Row],[Candidate 4]]))),(SamplingData[[#This Row],[Total]]+SamplingData[[#This Row],[Winning Candidate]]-SamplingData[[#This Row],[Candidate 4]])/(SamplingData[[#Totals],[Winning Candidate]]-SamplingData[[#Totals],[Candidate 4]]), 0)</f>
        <v>1.0523546435148646E-3</v>
      </c>
      <c r="N958" s="100">
        <f>IF(AND(SamplingData[[#This Row],[Total]]&lt;&gt; 0, NOT(ISBLANK(SamplingData[[#This Row],[Candidate 5]]))),(SamplingData[[#This Row],[Total]]+SamplingData[[#This Row],[Winning Candidate]]-SamplingData[[#This Row],[Candidate 5]])/(SamplingData[[#Totals],[Winning Candidate]]-SamplingData[[#Totals],[Candidate 5]]), 0)</f>
        <v>8.7569934322549259E-4</v>
      </c>
      <c r="O958" s="100">
        <f>IF(AND(SamplingData[[#This Row],[Total]]&lt;&gt; 0, NOT(ISBLANK(SamplingData[[#This Row],[Candidate 6]]))),(SamplingData[[#This Row],[Total]]+SamplingData[[#This Row],[Winning Candidate]]-SamplingData[[#This Row],[Candidate 6]])/(SamplingData[[#Totals],[Winning Candidate]]-SamplingData[[#Totals],[Candidate 6]]), 0)</f>
        <v>8.9976168474295993E-4</v>
      </c>
      <c r="P958" s="100">
        <f>MAX(SamplingData[[#This Row],[Error Bound (up) - Max. possible relative overstatement - Losing Candidate]:[Error Bound (up) - Max. possible relative overstatement - Candidate 6]])</f>
        <v>1.9598236158745713E-3</v>
      </c>
      <c r="Q958" s="100">
        <f>IF(SamplingData[[#This Row],[Max Error Bound (up)]] = 0,0,SamplingData[[#This Row],[Max Error Bound (up)]]/SamplingData[[#Totals],[Max Error Bound (up)]])</f>
        <v>3.1017434491026661E-4</v>
      </c>
      <c r="R958" s="101">
        <f>SUM($Q$5:Q958)</f>
        <v>0.24942082346219158</v>
      </c>
      <c r="S958" s="100" t="str">
        <f t="array" ref="S958">IF(SamplingData[[#This Row],[up/U Selection Probability]] = 0, "Zero", TEXT(SamplingData[[#This Row],[Lower Range]], REPT("0",LEN('General Info'!$B$40))) &amp; " - " &amp; TEXT(SamplingData[[#This Row],[Upper Range]], REPT("0",LEN('General Info'!$B$40))))</f>
        <v>24911 - 24941</v>
      </c>
      <c r="T958" s="100">
        <f>SamplingData[[#This Row],[Upper Range]]-SamplingData[[#This Row],[Span]]</f>
        <v>24911.065221902478</v>
      </c>
      <c r="U958" s="100">
        <f>IF(ISNUMBER('General Info'!$B$40), ((SamplingData[[#This Row],[up/U Selection Probability]]) * 'General Info'!$B$40) - 1, 0)</f>
        <v>30.017124316681752</v>
      </c>
      <c r="V958" s="100">
        <f>IF(ISNUMBER('General Info'!$B$40), (SamplingData[[#This Row],[Running (cumulative) sum]] * ('General Info'!$B$40 -'General Info'!$B$41 + 1)) + 'General Info'!$B$41 - 1, 0)</f>
        <v>24941.082346219158</v>
      </c>
      <c r="W958" s="100" t="str">
        <f>IF(ISERROR(MATCH(SamplingData[[#This Row],[Batch by Type (p)]],SelectedPrecincts[Batch Name], 0)), "", INDEX(SelectedPrecincts[Draw], MATCH(SamplingData[[#This Row],[Batch by Type (p)]],SelectedPrecincts[Batch Name], 0)))</f>
        <v/>
      </c>
      <c r="X958" s="102">
        <f>IF(COUNTIF(SelectedPrecincts[Batch Name],SamplingData[[#This Row],[Batch by Type (p)]]) &lt;&gt; 0, COUNTIF(SelectedPrecincts[Batch Name],SamplingData[[#This Row],[Batch by Type (p)]]), 0)</f>
        <v>0</v>
      </c>
    </row>
    <row r="959" spans="1:24" ht="15" customHeight="1">
      <c r="A959" s="18" t="s">
        <v>1135</v>
      </c>
      <c r="B959" s="18">
        <v>14</v>
      </c>
      <c r="C959" s="18">
        <v>14</v>
      </c>
      <c r="D959" s="16">
        <v>1</v>
      </c>
      <c r="E959" s="16">
        <v>4</v>
      </c>
      <c r="F959" s="37">
        <v>2</v>
      </c>
      <c r="G959" s="37">
        <v>0</v>
      </c>
      <c r="H959" s="17">
        <v>1</v>
      </c>
      <c r="I959" s="17">
        <v>0</v>
      </c>
      <c r="J959" s="99">
        <f>SUM(SamplingData[[#This Row],[Losing Candidate]:[Under Votes]])</f>
        <v>36</v>
      </c>
      <c r="K959" s="100">
        <f>IF(AND(SamplingData[[#This Row],[Total]]&lt;&gt; 0, NOT(ISBLANK(SamplingData[[#This Row],[Losing Candidate]]))),(SamplingData[[#This Row],[Total]]+SamplingData[[#This Row],[Winning Candidate]]-SamplingData[[#This Row],[Losing Candidate]])/(SamplingData[[#Totals],[Winning Candidate]]-SamplingData[[#Totals],[Losing Candidate]]), 0)</f>
        <v>2.2048015678588929E-3</v>
      </c>
      <c r="L959" s="100">
        <f>IF(AND(SamplingData[[#This Row],[Total]]&lt;&gt; 0, NOT(ISBLANK(SamplingData[[#This Row],[Candidate 3]]))),(SamplingData[[#This Row],[Total]]+SamplingData[[#This Row],[Winning Candidate]]-SamplingData[[#This Row],[Candidate 3]])/(SamplingData[[#Totals],[Winning Candidate]]-SamplingData[[#Totals],[Candidate 3]]), 0)</f>
        <v>1.5807981417556537E-3</v>
      </c>
      <c r="M959" s="100">
        <f>IF(AND(SamplingData[[#This Row],[Total]]&lt;&gt; 0, NOT(ISBLANK(SamplingData[[#This Row],[Candidate 4]]))),(SamplingData[[#This Row],[Total]]+SamplingData[[#This Row],[Winning Candidate]]-SamplingData[[#This Row],[Candidate 4]])/(SamplingData[[#Totals],[Winning Candidate]]-SamplingData[[#Totals],[Candidate 4]]), 0)</f>
        <v>1.344675377824549E-3</v>
      </c>
      <c r="N959" s="100">
        <f>IF(AND(SamplingData[[#This Row],[Total]]&lt;&gt; 0, NOT(ISBLANK(SamplingData[[#This Row],[Candidate 5]]))),(SamplingData[[#This Row],[Total]]+SamplingData[[#This Row],[Winning Candidate]]-SamplingData[[#This Row],[Candidate 5]])/(SamplingData[[#Totals],[Winning Candidate]]-SamplingData[[#Totals],[Candidate 5]]), 0)</f>
        <v>1.1675991243006569E-3</v>
      </c>
      <c r="O959" s="100">
        <f>IF(AND(SamplingData[[#This Row],[Total]]&lt;&gt; 0, NOT(ISBLANK(SamplingData[[#This Row],[Candidate 6]]))),(SamplingData[[#This Row],[Total]]+SamplingData[[#This Row],[Winning Candidate]]-SamplingData[[#This Row],[Candidate 6]])/(SamplingData[[#Totals],[Winning Candidate]]-SamplingData[[#Totals],[Candidate 6]]), 0)</f>
        <v>1.2158941685715674E-3</v>
      </c>
      <c r="P959" s="100">
        <f>MAX(SamplingData[[#This Row],[Error Bound (up) - Max. possible relative overstatement - Losing Candidate]:[Error Bound (up) - Max. possible relative overstatement - Candidate 6]])</f>
        <v>2.2048015678588929E-3</v>
      </c>
      <c r="Q959" s="100">
        <f>IF(SamplingData[[#This Row],[Max Error Bound (up)]] = 0,0,SamplingData[[#This Row],[Max Error Bound (up)]]/SamplingData[[#Totals],[Max Error Bound (up)]])</f>
        <v>3.4894613802404997E-4</v>
      </c>
      <c r="R959" s="101">
        <f>SUM($Q$5:Q959)</f>
        <v>0.24976976960021563</v>
      </c>
      <c r="S959" s="100" t="str">
        <f t="array" ref="S959">IF(SamplingData[[#This Row],[up/U Selection Probability]] = 0, "Zero", TEXT(SamplingData[[#This Row],[Lower Range]], REPT("0",LEN('General Info'!$B$40))) &amp; " - " &amp; TEXT(SamplingData[[#This Row],[Upper Range]], REPT("0",LEN('General Info'!$B$40))))</f>
        <v>24942 - 24976</v>
      </c>
      <c r="T959" s="100">
        <f>SamplingData[[#This Row],[Upper Range]]-SamplingData[[#This Row],[Span]]</f>
        <v>24942.082695165296</v>
      </c>
      <c r="U959" s="100">
        <f>IF(ISNUMBER('General Info'!$B$40), ((SamplingData[[#This Row],[up/U Selection Probability]]) * 'General Info'!$B$40) - 1, 0)</f>
        <v>33.894264856266972</v>
      </c>
      <c r="V959" s="100">
        <f>IF(ISNUMBER('General Info'!$B$40), (SamplingData[[#This Row],[Running (cumulative) sum]] * ('General Info'!$B$40 -'General Info'!$B$41 + 1)) + 'General Info'!$B$41 - 1, 0)</f>
        <v>24975.976960021562</v>
      </c>
      <c r="W959" s="100" t="str">
        <f>IF(ISERROR(MATCH(SamplingData[[#This Row],[Batch by Type (p)]],SelectedPrecincts[Batch Name], 0)), "", INDEX(SelectedPrecincts[Draw], MATCH(SamplingData[[#This Row],[Batch by Type (p)]],SelectedPrecincts[Batch Name], 0)))</f>
        <v/>
      </c>
      <c r="X959" s="102">
        <f>IF(COUNTIF(SelectedPrecincts[Batch Name],SamplingData[[#This Row],[Batch by Type (p)]]) &lt;&gt; 0, COUNTIF(SelectedPrecincts[Batch Name],SamplingData[[#This Row],[Batch by Type (p)]]), 0)</f>
        <v>0</v>
      </c>
    </row>
    <row r="960" spans="1:24" ht="15" customHeight="1">
      <c r="A960" s="18" t="s">
        <v>1136</v>
      </c>
      <c r="B960" s="18">
        <v>1</v>
      </c>
      <c r="C960" s="18">
        <v>4</v>
      </c>
      <c r="D960" s="18">
        <v>3</v>
      </c>
      <c r="E960" s="18">
        <v>0</v>
      </c>
      <c r="F960" s="18">
        <v>0</v>
      </c>
      <c r="G960" s="18">
        <v>0</v>
      </c>
      <c r="H960" s="18">
        <v>0</v>
      </c>
      <c r="I960" s="18">
        <v>1</v>
      </c>
      <c r="J960" s="99">
        <f>SUM(SamplingData[[#This Row],[Losing Candidate]:[Under Votes]])</f>
        <v>9</v>
      </c>
      <c r="K960"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960" s="100">
        <f>IF(AND(SamplingData[[#This Row],[Total]]&lt;&gt; 0, NOT(ISBLANK(SamplingData[[#This Row],[Candidate 3]]))),(SamplingData[[#This Row],[Total]]+SamplingData[[#This Row],[Winning Candidate]]-SamplingData[[#This Row],[Candidate 3]])/(SamplingData[[#Totals],[Winning Candidate]]-SamplingData[[#Totals],[Candidate 3]]), 0)</f>
        <v>3.2261186566441915E-4</v>
      </c>
      <c r="M960" s="100">
        <f>IF(AND(SamplingData[[#This Row],[Total]]&lt;&gt; 0, NOT(ISBLANK(SamplingData[[#This Row],[Candidate 4]]))),(SamplingData[[#This Row],[Total]]+SamplingData[[#This Row],[Winning Candidate]]-SamplingData[[#This Row],[Candidate 4]])/(SamplingData[[#Totals],[Winning Candidate]]-SamplingData[[#Totals],[Candidate 4]]), 0)</f>
        <v>3.8001695460258996E-4</v>
      </c>
      <c r="N960" s="100">
        <f>IF(AND(SamplingData[[#This Row],[Total]]&lt;&gt; 0, NOT(ISBLANK(SamplingData[[#This Row],[Candidate 5]]))),(SamplingData[[#This Row],[Total]]+SamplingData[[#This Row],[Winning Candidate]]-SamplingData[[#This Row],[Candidate 5]])/(SamplingData[[#Totals],[Winning Candidate]]-SamplingData[[#Totals],[Candidate 5]]), 0)</f>
        <v>3.1622476283142789E-4</v>
      </c>
      <c r="O960" s="100">
        <f>IF(AND(SamplingData[[#This Row],[Total]]&lt;&gt; 0, NOT(ISBLANK(SamplingData[[#This Row],[Candidate 6]]))),(SamplingData[[#This Row],[Total]]+SamplingData[[#This Row],[Winning Candidate]]-SamplingData[[#This Row],[Candidate 6]])/(SamplingData[[#Totals],[Winning Candidate]]-SamplingData[[#Totals],[Candidate 6]]), 0)</f>
        <v>3.1613248382860755E-4</v>
      </c>
      <c r="P960" s="100">
        <f>MAX(SamplingData[[#This Row],[Error Bound (up) - Max. possible relative overstatement - Losing Candidate]:[Error Bound (up) - Max. possible relative overstatement - Candidate 6]])</f>
        <v>7.3493385595296422E-4</v>
      </c>
      <c r="Q960" s="100">
        <f>IF(SamplingData[[#This Row],[Max Error Bound (up)]] = 0,0,SamplingData[[#This Row],[Max Error Bound (up)]]/SamplingData[[#Totals],[Max Error Bound (up)]])</f>
        <v>1.1631537934134997E-4</v>
      </c>
      <c r="R960" s="101">
        <f>SUM($Q$5:Q960)</f>
        <v>0.24988608497955697</v>
      </c>
      <c r="S960" s="100" t="str">
        <f t="array" ref="S960">IF(SamplingData[[#This Row],[up/U Selection Probability]] = 0, "Zero", TEXT(SamplingData[[#This Row],[Lower Range]], REPT("0",LEN('General Info'!$B$40))) &amp; " - " &amp; TEXT(SamplingData[[#This Row],[Upper Range]], REPT("0",LEN('General Info'!$B$40))))</f>
        <v>24977 - 24988</v>
      </c>
      <c r="T960" s="100">
        <f>SamplingData[[#This Row],[Upper Range]]-SamplingData[[#This Row],[Span]]</f>
        <v>24976.977076336942</v>
      </c>
      <c r="U960" s="100">
        <f>IF(ISNUMBER('General Info'!$B$40), ((SamplingData[[#This Row],[up/U Selection Probability]]) * 'General Info'!$B$40) - 1, 0)</f>
        <v>10.631421618755656</v>
      </c>
      <c r="V960" s="100">
        <f>IF(ISNUMBER('General Info'!$B$40), (SamplingData[[#This Row],[Running (cumulative) sum]] * ('General Info'!$B$40 -'General Info'!$B$41 + 1)) + 'General Info'!$B$41 - 1, 0)</f>
        <v>24987.608497955698</v>
      </c>
      <c r="W960" s="100" t="str">
        <f>IF(ISERROR(MATCH(SamplingData[[#This Row],[Batch by Type (p)]],SelectedPrecincts[Batch Name], 0)), "", INDEX(SelectedPrecincts[Draw], MATCH(SamplingData[[#This Row],[Batch by Type (p)]],SelectedPrecincts[Batch Name], 0)))</f>
        <v/>
      </c>
      <c r="X960" s="102">
        <f>IF(COUNTIF(SelectedPrecincts[Batch Name],SamplingData[[#This Row],[Batch by Type (p)]]) &lt;&gt; 0, COUNTIF(SelectedPrecincts[Batch Name],SamplingData[[#This Row],[Batch by Type (p)]]), 0)</f>
        <v>0</v>
      </c>
    </row>
    <row r="961" spans="1:24" ht="15" customHeight="1">
      <c r="A961" s="18" t="s">
        <v>1137</v>
      </c>
      <c r="B961" s="18">
        <v>20</v>
      </c>
      <c r="C961" s="18">
        <v>54</v>
      </c>
      <c r="D961" s="16">
        <v>5</v>
      </c>
      <c r="E961" s="16">
        <v>5</v>
      </c>
      <c r="F961" s="37">
        <v>0</v>
      </c>
      <c r="G961" s="37">
        <v>0</v>
      </c>
      <c r="H961" s="17">
        <v>0</v>
      </c>
      <c r="I961" s="17">
        <v>0</v>
      </c>
      <c r="J961" s="99">
        <f>SUM(SamplingData[[#This Row],[Losing Candidate]:[Under Votes]])</f>
        <v>84</v>
      </c>
      <c r="K961" s="100">
        <f>IF(AND(SamplingData[[#This Row],[Total]]&lt;&gt; 0, NOT(ISBLANK(SamplingData[[#This Row],[Losing Candidate]]))),(SamplingData[[#This Row],[Total]]+SamplingData[[#This Row],[Winning Candidate]]-SamplingData[[#This Row],[Losing Candidate]])/(SamplingData[[#Totals],[Winning Candidate]]-SamplingData[[#Totals],[Losing Candidate]]), 0)</f>
        <v>7.2268495835374818E-3</v>
      </c>
      <c r="L961" s="100">
        <f>IF(AND(SamplingData[[#This Row],[Total]]&lt;&gt; 0, NOT(ISBLANK(SamplingData[[#This Row],[Candidate 3]]))),(SamplingData[[#This Row],[Total]]+SamplingData[[#This Row],[Winning Candidate]]-SamplingData[[#This Row],[Candidate 3]])/(SamplingData[[#Totals],[Winning Candidate]]-SamplingData[[#Totals],[Candidate 3]]), 0)</f>
        <v>4.2907378133367749E-3</v>
      </c>
      <c r="M961" s="100">
        <f>IF(AND(SamplingData[[#This Row],[Total]]&lt;&gt; 0, NOT(ISBLANK(SamplingData[[#This Row],[Candidate 4]]))),(SamplingData[[#This Row],[Total]]+SamplingData[[#This Row],[Winning Candidate]]-SamplingData[[#This Row],[Candidate 4]])/(SamplingData[[#Totals],[Winning Candidate]]-SamplingData[[#Totals],[Candidate 4]]), 0)</f>
        <v>3.8878657663188052E-3</v>
      </c>
      <c r="N961" s="100">
        <f>IF(AND(SamplingData[[#This Row],[Total]]&lt;&gt; 0, NOT(ISBLANK(SamplingData[[#This Row],[Candidate 5]]))),(SamplingData[[#This Row],[Total]]+SamplingData[[#This Row],[Winning Candidate]]-SamplingData[[#This Row],[Candidate 5]])/(SamplingData[[#Totals],[Winning Candidate]]-SamplingData[[#Totals],[Candidate 5]]), 0)</f>
        <v>3.3568474823643881E-3</v>
      </c>
      <c r="O961" s="100">
        <f>IF(AND(SamplingData[[#This Row],[Total]]&lt;&gt; 0, NOT(ISBLANK(SamplingData[[#This Row],[Candidate 6]]))),(SamplingData[[#This Row],[Total]]+SamplingData[[#This Row],[Winning Candidate]]-SamplingData[[#This Row],[Candidate 6]])/(SamplingData[[#Totals],[Winning Candidate]]-SamplingData[[#Totals],[Candidate 6]]), 0)</f>
        <v>3.3558679052575263E-3</v>
      </c>
      <c r="P961" s="100">
        <f>MAX(SamplingData[[#This Row],[Error Bound (up) - Max. possible relative overstatement - Losing Candidate]:[Error Bound (up) - Max. possible relative overstatement - Candidate 6]])</f>
        <v>7.2268495835374818E-3</v>
      </c>
      <c r="Q961" s="100">
        <f>IF(SamplingData[[#This Row],[Max Error Bound (up)]] = 0,0,SamplingData[[#This Row],[Max Error Bound (up)]]/SamplingData[[#Totals],[Max Error Bound (up)]])</f>
        <v>1.1437678968566083E-3</v>
      </c>
      <c r="R961" s="101">
        <f>SUM($Q$5:Q961)</f>
        <v>0.25102985287641361</v>
      </c>
      <c r="S961" s="100" t="str">
        <f t="array" ref="S961">IF(SamplingData[[#This Row],[up/U Selection Probability]] = 0, "Zero", TEXT(SamplingData[[#This Row],[Lower Range]], REPT("0",LEN('General Info'!$B$40))) &amp; " - " &amp; TEXT(SamplingData[[#This Row],[Upper Range]], REPT("0",LEN('General Info'!$B$40))))</f>
        <v>24989 - 25102</v>
      </c>
      <c r="T961" s="100">
        <f>SamplingData[[#This Row],[Upper Range]]-SamplingData[[#This Row],[Span]]</f>
        <v>24988.609641723597</v>
      </c>
      <c r="U961" s="100">
        <f>IF(ISNUMBER('General Info'!$B$40), ((SamplingData[[#This Row],[up/U Selection Probability]]) * 'General Info'!$B$40) - 1, 0)</f>
        <v>113.37564591776398</v>
      </c>
      <c r="V961" s="100">
        <f>IF(ISNUMBER('General Info'!$B$40), (SamplingData[[#This Row],[Running (cumulative) sum]] * ('General Info'!$B$40 -'General Info'!$B$41 + 1)) + 'General Info'!$B$41 - 1, 0)</f>
        <v>25101.985287641361</v>
      </c>
      <c r="W961" s="100" t="str">
        <f>IF(ISERROR(MATCH(SamplingData[[#This Row],[Batch by Type (p)]],SelectedPrecincts[Batch Name], 0)), "", INDEX(SelectedPrecincts[Draw], MATCH(SamplingData[[#This Row],[Batch by Type (p)]],SelectedPrecincts[Batch Name], 0)))</f>
        <v/>
      </c>
      <c r="X961" s="102">
        <f>IF(COUNTIF(SelectedPrecincts[Batch Name],SamplingData[[#This Row],[Batch by Type (p)]]) &lt;&gt; 0, COUNTIF(SelectedPrecincts[Batch Name],SamplingData[[#This Row],[Batch by Type (p)]]), 0)</f>
        <v>0</v>
      </c>
    </row>
    <row r="962" spans="1:24" ht="15" customHeight="1">
      <c r="A962" s="18" t="s">
        <v>1138</v>
      </c>
      <c r="B962" s="18">
        <v>4</v>
      </c>
      <c r="C962" s="18">
        <v>24</v>
      </c>
      <c r="D962" s="18">
        <v>5</v>
      </c>
      <c r="E962" s="18">
        <v>3</v>
      </c>
      <c r="F962" s="18">
        <v>0</v>
      </c>
      <c r="G962" s="18">
        <v>0</v>
      </c>
      <c r="H962" s="18">
        <v>0</v>
      </c>
      <c r="I962" s="18">
        <v>0</v>
      </c>
      <c r="J962" s="99">
        <f>SUM(SamplingData[[#This Row],[Losing Candidate]:[Under Votes]])</f>
        <v>36</v>
      </c>
      <c r="K962"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962" s="100">
        <f>IF(AND(SamplingData[[#This Row],[Total]]&lt;&gt; 0, NOT(ISBLANK(SamplingData[[#This Row],[Candidate 3]]))),(SamplingData[[#This Row],[Total]]+SamplingData[[#This Row],[Winning Candidate]]-SamplingData[[#This Row],[Candidate 3]])/(SamplingData[[#Totals],[Winning Candidate]]-SamplingData[[#Totals],[Candidate 3]]), 0)</f>
        <v>1.7743652611543052E-3</v>
      </c>
      <c r="M962" s="100">
        <f>IF(AND(SamplingData[[#This Row],[Total]]&lt;&gt; 0, NOT(ISBLANK(SamplingData[[#This Row],[Candidate 4]]))),(SamplingData[[#This Row],[Total]]+SamplingData[[#This Row],[Winning Candidate]]-SamplingData[[#This Row],[Candidate 4]])/(SamplingData[[#Totals],[Winning Candidate]]-SamplingData[[#Totals],[Candidate 4]]), 0)</f>
        <v>1.6662281855652022E-3</v>
      </c>
      <c r="N962" s="100">
        <f>IF(AND(SamplingData[[#This Row],[Total]]&lt;&gt; 0, NOT(ISBLANK(SamplingData[[#This Row],[Candidate 5]]))),(SamplingData[[#This Row],[Total]]+SamplingData[[#This Row],[Winning Candidate]]-SamplingData[[#This Row],[Candidate 5]])/(SamplingData[[#Totals],[Winning Candidate]]-SamplingData[[#Totals],[Candidate 5]]), 0)</f>
        <v>1.459498905375821E-3</v>
      </c>
      <c r="O962" s="100">
        <f>IF(AND(SamplingData[[#This Row],[Total]]&lt;&gt; 0, NOT(ISBLANK(SamplingData[[#This Row],[Candidate 6]]))),(SamplingData[[#This Row],[Total]]+SamplingData[[#This Row],[Winning Candidate]]-SamplingData[[#This Row],[Candidate 6]])/(SamplingData[[#Totals],[Winning Candidate]]-SamplingData[[#Totals],[Candidate 6]]), 0)</f>
        <v>1.4590730022858811E-3</v>
      </c>
      <c r="P962" s="100">
        <f>MAX(SamplingData[[#This Row],[Error Bound (up) - Max. possible relative overstatement - Losing Candidate]:[Error Bound (up) - Max. possible relative overstatement - Candidate 6]])</f>
        <v>3.4296913277804997E-3</v>
      </c>
      <c r="Q962" s="100">
        <f>IF(SamplingData[[#This Row],[Max Error Bound (up)]] = 0,0,SamplingData[[#This Row],[Max Error Bound (up)]]/SamplingData[[#Totals],[Max Error Bound (up)]])</f>
        <v>5.4280510359296661E-4</v>
      </c>
      <c r="R962" s="101">
        <f>SUM($Q$5:Q962)</f>
        <v>0.25157265798000655</v>
      </c>
      <c r="S962" s="100" t="str">
        <f t="array" ref="S962">IF(SamplingData[[#This Row],[up/U Selection Probability]] = 0, "Zero", TEXT(SamplingData[[#This Row],[Lower Range]], REPT("0",LEN('General Info'!$B$40))) &amp; " - " &amp; TEXT(SamplingData[[#This Row],[Upper Range]], REPT("0",LEN('General Info'!$B$40))))</f>
        <v>25103 - 25156</v>
      </c>
      <c r="T962" s="100">
        <f>SamplingData[[#This Row],[Upper Range]]-SamplingData[[#This Row],[Span]]</f>
        <v>25102.985830446461</v>
      </c>
      <c r="U962" s="100">
        <f>IF(ISNUMBER('General Info'!$B$40), ((SamplingData[[#This Row],[up/U Selection Probability]]) * 'General Info'!$B$40) - 1, 0)</f>
        <v>53.279967554193071</v>
      </c>
      <c r="V962" s="100">
        <f>IF(ISNUMBER('General Info'!$B$40), (SamplingData[[#This Row],[Running (cumulative) sum]] * ('General Info'!$B$40 -'General Info'!$B$41 + 1)) + 'General Info'!$B$41 - 1, 0)</f>
        <v>25156.265798000655</v>
      </c>
      <c r="W962" s="100" t="str">
        <f>IF(ISERROR(MATCH(SamplingData[[#This Row],[Batch by Type (p)]],SelectedPrecincts[Batch Name], 0)), "", INDEX(SelectedPrecincts[Draw], MATCH(SamplingData[[#This Row],[Batch by Type (p)]],SelectedPrecincts[Batch Name], 0)))</f>
        <v/>
      </c>
      <c r="X962" s="102">
        <f>IF(COUNTIF(SelectedPrecincts[Batch Name],SamplingData[[#This Row],[Batch by Type (p)]]) &lt;&gt; 0, COUNTIF(SelectedPrecincts[Batch Name],SamplingData[[#This Row],[Batch by Type (p)]]), 0)</f>
        <v>0</v>
      </c>
    </row>
    <row r="963" spans="1:24" ht="15" customHeight="1">
      <c r="A963" s="18" t="s">
        <v>1139</v>
      </c>
      <c r="B963" s="18">
        <v>19</v>
      </c>
      <c r="C963" s="18">
        <v>36</v>
      </c>
      <c r="D963" s="16">
        <v>6</v>
      </c>
      <c r="E963" s="16">
        <v>7</v>
      </c>
      <c r="F963" s="37">
        <v>0</v>
      </c>
      <c r="G963" s="37">
        <v>0</v>
      </c>
      <c r="H963" s="17">
        <v>0</v>
      </c>
      <c r="I963" s="17">
        <v>1</v>
      </c>
      <c r="J963" s="99">
        <f>SUM(SamplingData[[#This Row],[Losing Candidate]:[Under Votes]])</f>
        <v>69</v>
      </c>
      <c r="K963"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963" s="100">
        <f>IF(AND(SamplingData[[#This Row],[Total]]&lt;&gt; 0, NOT(ISBLANK(SamplingData[[#This Row],[Candidate 3]]))),(SamplingData[[#This Row],[Total]]+SamplingData[[#This Row],[Winning Candidate]]-SamplingData[[#This Row],[Candidate 3]])/(SamplingData[[#Totals],[Winning Candidate]]-SamplingData[[#Totals],[Candidate 3]]), 0)</f>
        <v>3.1938574700777493E-3</v>
      </c>
      <c r="M963" s="100">
        <f>IF(AND(SamplingData[[#This Row],[Total]]&lt;&gt; 0, NOT(ISBLANK(SamplingData[[#This Row],[Candidate 4]]))),(SamplingData[[#This Row],[Total]]+SamplingData[[#This Row],[Winning Candidate]]-SamplingData[[#This Row],[Candidate 4]])/(SamplingData[[#Totals],[Winning Candidate]]-SamplingData[[#Totals],[Candidate 4]]), 0)</f>
        <v>2.8647431962349089E-3</v>
      </c>
      <c r="N963" s="100">
        <f>IF(AND(SamplingData[[#This Row],[Total]]&lt;&gt; 0, NOT(ISBLANK(SamplingData[[#This Row],[Candidate 5]]))),(SamplingData[[#This Row],[Total]]+SamplingData[[#This Row],[Winning Candidate]]-SamplingData[[#This Row],[Candidate 5]])/(SamplingData[[#Totals],[Winning Candidate]]-SamplingData[[#Totals],[Candidate 5]]), 0)</f>
        <v>2.5541230844076867E-3</v>
      </c>
      <c r="O963" s="100">
        <f>IF(AND(SamplingData[[#This Row],[Total]]&lt;&gt; 0, NOT(ISBLANK(SamplingData[[#This Row],[Candidate 6]]))),(SamplingData[[#This Row],[Total]]+SamplingData[[#This Row],[Winning Candidate]]-SamplingData[[#This Row],[Candidate 6]])/(SamplingData[[#Totals],[Winning Candidate]]-SamplingData[[#Totals],[Candidate 6]]), 0)</f>
        <v>2.5533777540002918E-3</v>
      </c>
      <c r="P963" s="100">
        <f>MAX(SamplingData[[#This Row],[Error Bound (up) - Max. possible relative overstatement - Losing Candidate]:[Error Bound (up) - Max. possible relative overstatement - Candidate 6]])</f>
        <v>5.2670259676629106E-3</v>
      </c>
      <c r="Q963" s="100">
        <f>IF(SamplingData[[#This Row],[Max Error Bound (up)]] = 0,0,SamplingData[[#This Row],[Max Error Bound (up)]]/SamplingData[[#Totals],[Max Error Bound (up)]])</f>
        <v>8.3359355194634159E-4</v>
      </c>
      <c r="R963" s="101">
        <f>SUM($Q$5:Q963)</f>
        <v>0.2524062515319529</v>
      </c>
      <c r="S963" s="100" t="str">
        <f t="array" ref="S963">IF(SamplingData[[#This Row],[up/U Selection Probability]] = 0, "Zero", TEXT(SamplingData[[#This Row],[Lower Range]], REPT("0",LEN('General Info'!$B$40))) &amp; " - " &amp; TEXT(SamplingData[[#This Row],[Upper Range]], REPT("0",LEN('General Info'!$B$40))))</f>
        <v>25157 - 25240</v>
      </c>
      <c r="T963" s="100">
        <f>SamplingData[[#This Row],[Upper Range]]-SamplingData[[#This Row],[Span]]</f>
        <v>25157.266631594208</v>
      </c>
      <c r="U963" s="100">
        <f>IF(ISNUMBER('General Info'!$B$40), ((SamplingData[[#This Row],[up/U Selection Probability]]) * 'General Info'!$B$40) - 1, 0)</f>
        <v>82.358521601082217</v>
      </c>
      <c r="V963" s="100">
        <f>IF(ISNUMBER('General Info'!$B$40), (SamplingData[[#This Row],[Running (cumulative) sum]] * ('General Info'!$B$40 -'General Info'!$B$41 + 1)) + 'General Info'!$B$41 - 1, 0)</f>
        <v>25239.625153195291</v>
      </c>
      <c r="W963" s="100" t="str">
        <f>IF(ISERROR(MATCH(SamplingData[[#This Row],[Batch by Type (p)]],SelectedPrecincts[Batch Name], 0)), "", INDEX(SelectedPrecincts[Draw], MATCH(SamplingData[[#This Row],[Batch by Type (p)]],SelectedPrecincts[Batch Name], 0)))</f>
        <v/>
      </c>
      <c r="X963" s="102">
        <f>IF(COUNTIF(SelectedPrecincts[Batch Name],SamplingData[[#This Row],[Batch by Type (p)]]) &lt;&gt; 0, COUNTIF(SelectedPrecincts[Batch Name],SamplingData[[#This Row],[Batch by Type (p)]]), 0)</f>
        <v>0</v>
      </c>
    </row>
    <row r="964" spans="1:24" ht="15" customHeight="1">
      <c r="A964" s="18" t="s">
        <v>1140</v>
      </c>
      <c r="B964" s="18">
        <v>5</v>
      </c>
      <c r="C964" s="18">
        <v>21</v>
      </c>
      <c r="D964" s="18">
        <v>1</v>
      </c>
      <c r="E964" s="18">
        <v>1</v>
      </c>
      <c r="F964" s="18">
        <v>1</v>
      </c>
      <c r="G964" s="18">
        <v>0</v>
      </c>
      <c r="H964" s="18">
        <v>0</v>
      </c>
      <c r="I964" s="18">
        <v>0</v>
      </c>
      <c r="J964" s="99">
        <f>SUM(SamplingData[[#This Row],[Losing Candidate]:[Under Votes]])</f>
        <v>29</v>
      </c>
      <c r="K964"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964" s="100">
        <f>IF(AND(SamplingData[[#This Row],[Total]]&lt;&gt; 0, NOT(ISBLANK(SamplingData[[#This Row],[Candidate 3]]))),(SamplingData[[#This Row],[Total]]+SamplingData[[#This Row],[Winning Candidate]]-SamplingData[[#This Row],[Candidate 3]])/(SamplingData[[#Totals],[Winning Candidate]]-SamplingData[[#Totals],[Candidate 3]]), 0)</f>
        <v>1.5807981417556537E-3</v>
      </c>
      <c r="M964" s="100">
        <f>IF(AND(SamplingData[[#This Row],[Total]]&lt;&gt; 0, NOT(ISBLANK(SamplingData[[#This Row],[Candidate 4]]))),(SamplingData[[#This Row],[Total]]+SamplingData[[#This Row],[Winning Candidate]]-SamplingData[[#This Row],[Candidate 4]])/(SamplingData[[#Totals],[Winning Candidate]]-SamplingData[[#Totals],[Candidate 4]]), 0)</f>
        <v>1.4323715981174544E-3</v>
      </c>
      <c r="N964" s="100">
        <f>IF(AND(SamplingData[[#This Row],[Total]]&lt;&gt; 0, NOT(ISBLANK(SamplingData[[#This Row],[Candidate 5]]))),(SamplingData[[#This Row],[Total]]+SamplingData[[#This Row],[Winning Candidate]]-SamplingData[[#This Row],[Candidate 5]])/(SamplingData[[#Totals],[Winning Candidate]]-SamplingData[[#Totals],[Candidate 5]]), 0)</f>
        <v>1.1919241060569204E-3</v>
      </c>
      <c r="O964" s="100">
        <f>IF(AND(SamplingData[[#This Row],[Total]]&lt;&gt; 0, NOT(ISBLANK(SamplingData[[#This Row],[Candidate 6]]))),(SamplingData[[#This Row],[Total]]+SamplingData[[#This Row],[Winning Candidate]]-SamplingData[[#This Row],[Candidate 6]])/(SamplingData[[#Totals],[Winning Candidate]]-SamplingData[[#Totals],[Candidate 6]]), 0)</f>
        <v>1.2158941685715674E-3</v>
      </c>
      <c r="P964" s="100">
        <f>MAX(SamplingData[[#This Row],[Error Bound (up) - Max. possible relative overstatement - Losing Candidate]:[Error Bound (up) - Max. possible relative overstatement - Candidate 6]])</f>
        <v>2.7560019598236157E-3</v>
      </c>
      <c r="Q964" s="100">
        <f>IF(SamplingData[[#This Row],[Max Error Bound (up)]] = 0,0,SamplingData[[#This Row],[Max Error Bound (up)]]/SamplingData[[#Totals],[Max Error Bound (up)]])</f>
        <v>4.3618267253006237E-4</v>
      </c>
      <c r="R964" s="101">
        <f>SUM($Q$5:Q964)</f>
        <v>0.25284243420448294</v>
      </c>
      <c r="S964" s="100" t="str">
        <f t="array" ref="S964">IF(SamplingData[[#This Row],[up/U Selection Probability]] = 0, "Zero", TEXT(SamplingData[[#This Row],[Lower Range]], REPT("0",LEN('General Info'!$B$40))) &amp; " - " &amp; TEXT(SamplingData[[#This Row],[Upper Range]], REPT("0",LEN('General Info'!$B$40))))</f>
        <v>25241 - 25283</v>
      </c>
      <c r="T964" s="100">
        <f>SamplingData[[#This Row],[Upper Range]]-SamplingData[[#This Row],[Span]]</f>
        <v>25240.62558937796</v>
      </c>
      <c r="U964" s="100">
        <f>IF(ISNUMBER('General Info'!$B$40), ((SamplingData[[#This Row],[up/U Selection Probability]]) * 'General Info'!$B$40) - 1, 0)</f>
        <v>42.617831070333708</v>
      </c>
      <c r="V964" s="100">
        <f>IF(ISNUMBER('General Info'!$B$40), (SamplingData[[#This Row],[Running (cumulative) sum]] * ('General Info'!$B$40 -'General Info'!$B$41 + 1)) + 'General Info'!$B$41 - 1, 0)</f>
        <v>25283.243420448292</v>
      </c>
      <c r="W964" s="100" t="str">
        <f>IF(ISERROR(MATCH(SamplingData[[#This Row],[Batch by Type (p)]],SelectedPrecincts[Batch Name], 0)), "", INDEX(SelectedPrecincts[Draw], MATCH(SamplingData[[#This Row],[Batch by Type (p)]],SelectedPrecincts[Batch Name], 0)))</f>
        <v/>
      </c>
      <c r="X964" s="102">
        <f>IF(COUNTIF(SelectedPrecincts[Batch Name],SamplingData[[#This Row],[Batch by Type (p)]]) &lt;&gt; 0, COUNTIF(SelectedPrecincts[Batch Name],SamplingData[[#This Row],[Batch by Type (p)]]), 0)</f>
        <v>0</v>
      </c>
    </row>
    <row r="965" spans="1:24" ht="15" customHeight="1">
      <c r="A965" s="18" t="s">
        <v>1141</v>
      </c>
      <c r="B965" s="18">
        <v>19</v>
      </c>
      <c r="C965" s="18">
        <v>19</v>
      </c>
      <c r="D965" s="16">
        <v>6</v>
      </c>
      <c r="E965" s="16">
        <v>3</v>
      </c>
      <c r="F965" s="37">
        <v>0</v>
      </c>
      <c r="G965" s="37">
        <v>0</v>
      </c>
      <c r="H965" s="17">
        <v>0</v>
      </c>
      <c r="I965" s="17">
        <v>0</v>
      </c>
      <c r="J965" s="99">
        <f>SUM(SamplingData[[#This Row],[Losing Candidate]:[Under Votes]])</f>
        <v>47</v>
      </c>
      <c r="K965" s="100">
        <f>IF(AND(SamplingData[[#This Row],[Total]]&lt;&gt; 0, NOT(ISBLANK(SamplingData[[#This Row],[Losing Candidate]]))),(SamplingData[[#This Row],[Total]]+SamplingData[[#This Row],[Winning Candidate]]-SamplingData[[#This Row],[Losing Candidate]])/(SamplingData[[#Totals],[Winning Candidate]]-SamplingData[[#Totals],[Losing Candidate]]), 0)</f>
        <v>2.8784909358157765E-3</v>
      </c>
      <c r="L965" s="100">
        <f>IF(AND(SamplingData[[#This Row],[Total]]&lt;&gt; 0, NOT(ISBLANK(SamplingData[[#This Row],[Candidate 3]]))),(SamplingData[[#This Row],[Total]]+SamplingData[[#This Row],[Winning Candidate]]-SamplingData[[#This Row],[Candidate 3]])/(SamplingData[[#Totals],[Winning Candidate]]-SamplingData[[#Totals],[Candidate 3]]), 0)</f>
        <v>1.9356711939865149E-3</v>
      </c>
      <c r="M965" s="100">
        <f>IF(AND(SamplingData[[#This Row],[Total]]&lt;&gt; 0, NOT(ISBLANK(SamplingData[[#This Row],[Candidate 4]]))),(SamplingData[[#This Row],[Total]]+SamplingData[[#This Row],[Winning Candidate]]-SamplingData[[#This Row],[Candidate 4]])/(SamplingData[[#Totals],[Winning Candidate]]-SamplingData[[#Totals],[Candidate 4]]), 0)</f>
        <v>1.841620626151013E-3</v>
      </c>
      <c r="N965" s="100">
        <f>IF(AND(SamplingData[[#This Row],[Total]]&lt;&gt; 0, NOT(ISBLANK(SamplingData[[#This Row],[Candidate 5]]))),(SamplingData[[#This Row],[Total]]+SamplingData[[#This Row],[Winning Candidate]]-SamplingData[[#This Row],[Candidate 5]])/(SamplingData[[#Totals],[Winning Candidate]]-SamplingData[[#Totals],[Candidate 5]]), 0)</f>
        <v>1.6054487959134031E-3</v>
      </c>
      <c r="O965" s="100">
        <f>IF(AND(SamplingData[[#This Row],[Total]]&lt;&gt; 0, NOT(ISBLANK(SamplingData[[#This Row],[Candidate 6]]))),(SamplingData[[#This Row],[Total]]+SamplingData[[#This Row],[Winning Candidate]]-SamplingData[[#This Row],[Candidate 6]])/(SamplingData[[#Totals],[Winning Candidate]]-SamplingData[[#Totals],[Candidate 6]]), 0)</f>
        <v>1.6049803025144692E-3</v>
      </c>
      <c r="P965" s="100">
        <f>MAX(SamplingData[[#This Row],[Error Bound (up) - Max. possible relative overstatement - Losing Candidate]:[Error Bound (up) - Max. possible relative overstatement - Candidate 6]])</f>
        <v>2.8784909358157765E-3</v>
      </c>
      <c r="Q965" s="100">
        <f>IF(SamplingData[[#This Row],[Max Error Bound (up)]] = 0,0,SamplingData[[#This Row],[Max Error Bound (up)]]/SamplingData[[#Totals],[Max Error Bound (up)]])</f>
        <v>4.5556856908695405E-4</v>
      </c>
      <c r="R965" s="101">
        <f>SUM($Q$5:Q965)</f>
        <v>0.2532980027735699</v>
      </c>
      <c r="S965" s="100" t="str">
        <f t="array" ref="S965">IF(SamplingData[[#This Row],[up/U Selection Probability]] = 0, "Zero", TEXT(SamplingData[[#This Row],[Lower Range]], REPT("0",LEN('General Info'!$B$40))) &amp; " - " &amp; TEXT(SamplingData[[#This Row],[Upper Range]], REPT("0",LEN('General Info'!$B$40))))</f>
        <v>25284 - 25329</v>
      </c>
      <c r="T965" s="100">
        <f>SamplingData[[#This Row],[Upper Range]]-SamplingData[[#This Row],[Span]]</f>
        <v>25284.243876016862</v>
      </c>
      <c r="U965" s="100">
        <f>IF(ISNUMBER('General Info'!$B$40), ((SamplingData[[#This Row],[up/U Selection Probability]]) * 'General Info'!$B$40) - 1, 0)</f>
        <v>44.556401340126321</v>
      </c>
      <c r="V965" s="100">
        <f>IF(ISNUMBER('General Info'!$B$40), (SamplingData[[#This Row],[Running (cumulative) sum]] * ('General Info'!$B$40 -'General Info'!$B$41 + 1)) + 'General Info'!$B$41 - 1, 0)</f>
        <v>25328.80027735699</v>
      </c>
      <c r="W965" s="100">
        <f>IF(ISERROR(MATCH(SamplingData[[#This Row],[Batch by Type (p)]],SelectedPrecincts[Batch Name], 0)), "", INDEX(SelectedPrecincts[Draw], MATCH(SamplingData[[#This Row],[Batch by Type (p)]],SelectedPrecincts[Batch Name], 0)))</f>
        <v>2</v>
      </c>
      <c r="X965" s="102">
        <f>IF(COUNTIF(SelectedPrecincts[Batch Name],SamplingData[[#This Row],[Batch by Type (p)]]) &lt;&gt; 0, COUNTIF(SelectedPrecincts[Batch Name],SamplingData[[#This Row],[Batch by Type (p)]]), 0)</f>
        <v>1</v>
      </c>
    </row>
    <row r="966" spans="1:24" ht="15" customHeight="1">
      <c r="A966" s="18" t="s">
        <v>1142</v>
      </c>
      <c r="B966" s="18">
        <v>9</v>
      </c>
      <c r="C966" s="18">
        <v>10</v>
      </c>
      <c r="D966" s="18">
        <v>1</v>
      </c>
      <c r="E966" s="18">
        <v>0</v>
      </c>
      <c r="F966" s="18">
        <v>0</v>
      </c>
      <c r="G966" s="18">
        <v>0</v>
      </c>
      <c r="H966" s="18">
        <v>0</v>
      </c>
      <c r="I966" s="18">
        <v>0</v>
      </c>
      <c r="J966" s="99">
        <f>SUM(SamplingData[[#This Row],[Losing Candidate]:[Under Votes]])</f>
        <v>20</v>
      </c>
      <c r="K966"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966" s="100">
        <f>IF(AND(SamplingData[[#This Row],[Total]]&lt;&gt; 0, NOT(ISBLANK(SamplingData[[#This Row],[Candidate 3]]))),(SamplingData[[#This Row],[Total]]+SamplingData[[#This Row],[Winning Candidate]]-SamplingData[[#This Row],[Candidate 3]])/(SamplingData[[#Totals],[Winning Candidate]]-SamplingData[[#Totals],[Candidate 3]]), 0)</f>
        <v>9.3557441042681547E-4</v>
      </c>
      <c r="M966" s="100">
        <f>IF(AND(SamplingData[[#This Row],[Total]]&lt;&gt; 0, NOT(ISBLANK(SamplingData[[#This Row],[Candidate 4]]))),(SamplingData[[#This Row],[Total]]+SamplingData[[#This Row],[Winning Candidate]]-SamplingData[[#This Row],[Candidate 4]])/(SamplingData[[#Totals],[Winning Candidate]]-SamplingData[[#Totals],[Candidate 4]]), 0)</f>
        <v>8.7696220292905378E-4</v>
      </c>
      <c r="N966" s="100">
        <f>IF(AND(SamplingData[[#This Row],[Total]]&lt;&gt; 0, NOT(ISBLANK(SamplingData[[#This Row],[Candidate 5]]))),(SamplingData[[#This Row],[Total]]+SamplingData[[#This Row],[Winning Candidate]]-SamplingData[[#This Row],[Candidate 5]])/(SamplingData[[#Totals],[Winning Candidate]]-SamplingData[[#Totals],[Candidate 5]]), 0)</f>
        <v>7.2974945268791051E-4</v>
      </c>
      <c r="O966" s="100">
        <f>IF(AND(SamplingData[[#This Row],[Total]]&lt;&gt; 0, NOT(ISBLANK(SamplingData[[#This Row],[Candidate 6]]))),(SamplingData[[#This Row],[Total]]+SamplingData[[#This Row],[Winning Candidate]]-SamplingData[[#This Row],[Candidate 6]])/(SamplingData[[#Totals],[Winning Candidate]]-SamplingData[[#Totals],[Candidate 6]]), 0)</f>
        <v>7.2953650114294054E-4</v>
      </c>
      <c r="P966" s="100">
        <f>MAX(SamplingData[[#This Row],[Error Bound (up) - Max. possible relative overstatement - Losing Candidate]:[Error Bound (up) - Max. possible relative overstatement - Candidate 6]])</f>
        <v>1.2861342479176874E-3</v>
      </c>
      <c r="Q966" s="100">
        <f>IF(SamplingData[[#This Row],[Max Error Bound (up)]] = 0,0,SamplingData[[#This Row],[Max Error Bound (up)]]/SamplingData[[#Totals],[Max Error Bound (up)]])</f>
        <v>2.0355191384736248E-4</v>
      </c>
      <c r="R966" s="101">
        <f>SUM($Q$5:Q966)</f>
        <v>0.25350155468741725</v>
      </c>
      <c r="S966" s="100" t="str">
        <f t="array" ref="S966">IF(SamplingData[[#This Row],[up/U Selection Probability]] = 0, "Zero", TEXT(SamplingData[[#This Row],[Lower Range]], REPT("0",LEN('General Info'!$B$40))) &amp; " - " &amp; TEXT(SamplingData[[#This Row],[Upper Range]], REPT("0",LEN('General Info'!$B$40))))</f>
        <v>25330 - 25349</v>
      </c>
      <c r="T966" s="100">
        <f>SamplingData[[#This Row],[Upper Range]]-SamplingData[[#This Row],[Span]]</f>
        <v>25329.800480908903</v>
      </c>
      <c r="U966" s="100">
        <f>IF(ISNUMBER('General Info'!$B$40), ((SamplingData[[#This Row],[up/U Selection Probability]]) * 'General Info'!$B$40) - 1, 0)</f>
        <v>19.354987832822399</v>
      </c>
      <c r="V966" s="100">
        <f>IF(ISNUMBER('General Info'!$B$40), (SamplingData[[#This Row],[Running (cumulative) sum]] * ('General Info'!$B$40 -'General Info'!$B$41 + 1)) + 'General Info'!$B$41 - 1, 0)</f>
        <v>25349.155468741727</v>
      </c>
      <c r="W966" s="100" t="str">
        <f>IF(ISERROR(MATCH(SamplingData[[#This Row],[Batch by Type (p)]],SelectedPrecincts[Batch Name], 0)), "", INDEX(SelectedPrecincts[Draw], MATCH(SamplingData[[#This Row],[Batch by Type (p)]],SelectedPrecincts[Batch Name], 0)))</f>
        <v/>
      </c>
      <c r="X966" s="102">
        <f>IF(COUNTIF(SelectedPrecincts[Batch Name],SamplingData[[#This Row],[Batch by Type (p)]]) &lt;&gt; 0, COUNTIF(SelectedPrecincts[Batch Name],SamplingData[[#This Row],[Batch by Type (p)]]), 0)</f>
        <v>0</v>
      </c>
    </row>
    <row r="967" spans="1:24" ht="15" customHeight="1">
      <c r="A967" s="18" t="s">
        <v>1143</v>
      </c>
      <c r="B967" s="18">
        <v>29</v>
      </c>
      <c r="C967" s="18">
        <v>27</v>
      </c>
      <c r="D967" s="16">
        <v>6</v>
      </c>
      <c r="E967" s="16">
        <v>15</v>
      </c>
      <c r="F967" s="37">
        <v>1</v>
      </c>
      <c r="G967" s="37">
        <v>0</v>
      </c>
      <c r="H967" s="17">
        <v>0</v>
      </c>
      <c r="I967" s="17">
        <v>1</v>
      </c>
      <c r="J967" s="99">
        <f>SUM(SamplingData[[#This Row],[Losing Candidate]:[Under Votes]])</f>
        <v>79</v>
      </c>
      <c r="K967" s="100">
        <f>IF(AND(SamplingData[[#This Row],[Total]]&lt;&gt; 0, NOT(ISBLANK(SamplingData[[#This Row],[Losing Candidate]]))),(SamplingData[[#This Row],[Total]]+SamplingData[[#This Row],[Winning Candidate]]-SamplingData[[#This Row],[Losing Candidate]])/(SamplingData[[#Totals],[Winning Candidate]]-SamplingData[[#Totals],[Losing Candidate]]), 0)</f>
        <v>4.7158255756981869E-3</v>
      </c>
      <c r="L967" s="100">
        <f>IF(AND(SamplingData[[#This Row],[Total]]&lt;&gt; 0, NOT(ISBLANK(SamplingData[[#This Row],[Candidate 3]]))),(SamplingData[[#This Row],[Total]]+SamplingData[[#This Row],[Winning Candidate]]-SamplingData[[#This Row],[Candidate 3]])/(SamplingData[[#Totals],[Winning Candidate]]-SamplingData[[#Totals],[Candidate 3]]), 0)</f>
        <v>3.2261186566441913E-3</v>
      </c>
      <c r="M967" s="100">
        <f>IF(AND(SamplingData[[#This Row],[Total]]&lt;&gt; 0, NOT(ISBLANK(SamplingData[[#This Row],[Candidate 4]]))),(SamplingData[[#This Row],[Total]]+SamplingData[[#This Row],[Winning Candidate]]-SamplingData[[#This Row],[Candidate 4]])/(SamplingData[[#Totals],[Winning Candidate]]-SamplingData[[#Totals],[Candidate 4]]), 0)</f>
        <v>2.6601186822181296E-3</v>
      </c>
      <c r="N967" s="100">
        <f>IF(AND(SamplingData[[#This Row],[Total]]&lt;&gt; 0, NOT(ISBLANK(SamplingData[[#This Row],[Candidate 5]]))),(SamplingData[[#This Row],[Total]]+SamplingData[[#This Row],[Winning Candidate]]-SamplingData[[#This Row],[Candidate 5]])/(SamplingData[[#Totals],[Winning Candidate]]-SamplingData[[#Totals],[Candidate 5]]), 0)</f>
        <v>2.5541230844076867E-3</v>
      </c>
      <c r="O967" s="100">
        <f>IF(AND(SamplingData[[#This Row],[Total]]&lt;&gt; 0, NOT(ISBLANK(SamplingData[[#This Row],[Candidate 6]]))),(SamplingData[[#This Row],[Total]]+SamplingData[[#This Row],[Winning Candidate]]-SamplingData[[#This Row],[Candidate 6]])/(SamplingData[[#Totals],[Winning Candidate]]-SamplingData[[#Totals],[Candidate 6]]), 0)</f>
        <v>2.5776956373717232E-3</v>
      </c>
      <c r="P967" s="100">
        <f>MAX(SamplingData[[#This Row],[Error Bound (up) - Max. possible relative overstatement - Losing Candidate]:[Error Bound (up) - Max. possible relative overstatement - Candidate 6]])</f>
        <v>4.7158255756981869E-3</v>
      </c>
      <c r="Q967" s="100">
        <f>IF(SamplingData[[#This Row],[Max Error Bound (up)]] = 0,0,SamplingData[[#This Row],[Max Error Bound (up)]]/SamplingData[[#Totals],[Max Error Bound (up)]])</f>
        <v>7.4635701744032903E-4</v>
      </c>
      <c r="R967" s="101">
        <f>SUM($Q$5:Q967)</f>
        <v>0.25424791170485755</v>
      </c>
      <c r="S967" s="100" t="str">
        <f t="array" ref="S967">IF(SamplingData[[#This Row],[up/U Selection Probability]] = 0, "Zero", TEXT(SamplingData[[#This Row],[Lower Range]], REPT("0",LEN('General Info'!$B$40))) &amp; " - " &amp; TEXT(SamplingData[[#This Row],[Upper Range]], REPT("0",LEN('General Info'!$B$40))))</f>
        <v>25350 - 25424</v>
      </c>
      <c r="T967" s="100">
        <f>SamplingData[[#This Row],[Upper Range]]-SamplingData[[#This Row],[Span]]</f>
        <v>25350.156215098737</v>
      </c>
      <c r="U967" s="100">
        <f>IF(ISNUMBER('General Info'!$B$40), ((SamplingData[[#This Row],[up/U Selection Probability]]) * 'General Info'!$B$40) - 1, 0)</f>
        <v>73.634955387015466</v>
      </c>
      <c r="V967" s="100">
        <f>IF(ISNUMBER('General Info'!$B$40), (SamplingData[[#This Row],[Running (cumulative) sum]] * ('General Info'!$B$40 -'General Info'!$B$41 + 1)) + 'General Info'!$B$41 - 1, 0)</f>
        <v>25423.791170485754</v>
      </c>
      <c r="W967" s="100" t="str">
        <f>IF(ISERROR(MATCH(SamplingData[[#This Row],[Batch by Type (p)]],SelectedPrecincts[Batch Name], 0)), "", INDEX(SelectedPrecincts[Draw], MATCH(SamplingData[[#This Row],[Batch by Type (p)]],SelectedPrecincts[Batch Name], 0)))</f>
        <v/>
      </c>
      <c r="X967" s="102">
        <f>IF(COUNTIF(SelectedPrecincts[Batch Name],SamplingData[[#This Row],[Batch by Type (p)]]) &lt;&gt; 0, COUNTIF(SelectedPrecincts[Batch Name],SamplingData[[#This Row],[Batch by Type (p)]]), 0)</f>
        <v>0</v>
      </c>
    </row>
    <row r="968" spans="1:24" ht="15" customHeight="1">
      <c r="A968" s="18" t="s">
        <v>1144</v>
      </c>
      <c r="B968" s="18">
        <v>10</v>
      </c>
      <c r="C968" s="18">
        <v>12</v>
      </c>
      <c r="D968" s="18">
        <v>2</v>
      </c>
      <c r="E968" s="18">
        <v>5</v>
      </c>
      <c r="F968" s="18">
        <v>0</v>
      </c>
      <c r="G968" s="18">
        <v>0</v>
      </c>
      <c r="H968" s="18">
        <v>0</v>
      </c>
      <c r="I968" s="18">
        <v>0</v>
      </c>
      <c r="J968" s="99">
        <f>SUM(SamplingData[[#This Row],[Losing Candidate]:[Under Votes]])</f>
        <v>29</v>
      </c>
      <c r="K968"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968" s="100">
        <f>IF(AND(SamplingData[[#This Row],[Total]]&lt;&gt; 0, NOT(ISBLANK(SamplingData[[#This Row],[Candidate 3]]))),(SamplingData[[#This Row],[Total]]+SamplingData[[#This Row],[Winning Candidate]]-SamplingData[[#This Row],[Candidate 3]])/(SamplingData[[#Totals],[Winning Candidate]]-SamplingData[[#Totals],[Candidate 3]]), 0)</f>
        <v>1.2581862760912346E-3</v>
      </c>
      <c r="M968" s="100">
        <f>IF(AND(SamplingData[[#This Row],[Total]]&lt;&gt; 0, NOT(ISBLANK(SamplingData[[#This Row],[Candidate 4]]))),(SamplingData[[#This Row],[Total]]+SamplingData[[#This Row],[Winning Candidate]]-SamplingData[[#This Row],[Candidate 4]])/(SamplingData[[#Totals],[Winning Candidate]]-SamplingData[[#Totals],[Candidate 4]]), 0)</f>
        <v>1.0523546435148646E-3</v>
      </c>
      <c r="N968" s="100">
        <f>IF(AND(SamplingData[[#This Row],[Total]]&lt;&gt; 0, NOT(ISBLANK(SamplingData[[#This Row],[Candidate 5]]))),(SamplingData[[#This Row],[Total]]+SamplingData[[#This Row],[Winning Candidate]]-SamplingData[[#This Row],[Candidate 5]])/(SamplingData[[#Totals],[Winning Candidate]]-SamplingData[[#Totals],[Candidate 5]]), 0)</f>
        <v>9.9732425200681099E-4</v>
      </c>
      <c r="O968" s="100">
        <f>IF(AND(SamplingData[[#This Row],[Total]]&lt;&gt; 0, NOT(ISBLANK(SamplingData[[#This Row],[Candidate 6]]))),(SamplingData[[#This Row],[Total]]+SamplingData[[#This Row],[Winning Candidate]]-SamplingData[[#This Row],[Candidate 6]])/(SamplingData[[#Totals],[Winning Candidate]]-SamplingData[[#Totals],[Candidate 6]]), 0)</f>
        <v>9.9703321822868537E-4</v>
      </c>
      <c r="P968" s="100">
        <f>MAX(SamplingData[[#This Row],[Error Bound (up) - Max. possible relative overstatement - Losing Candidate]:[Error Bound (up) - Max. possible relative overstatement - Candidate 6]])</f>
        <v>1.8985791278784908E-3</v>
      </c>
      <c r="Q968" s="100">
        <f>IF(SamplingData[[#This Row],[Max Error Bound (up)]] = 0,0,SamplingData[[#This Row],[Max Error Bound (up)]]/SamplingData[[#Totals],[Max Error Bound (up)]])</f>
        <v>3.0048139663182077E-4</v>
      </c>
      <c r="R968" s="101">
        <f>SUM($Q$5:Q968)</f>
        <v>0.25454839310148936</v>
      </c>
      <c r="S968" s="100" t="str">
        <f t="array" ref="S968">IF(SamplingData[[#This Row],[up/U Selection Probability]] = 0, "Zero", TEXT(SamplingData[[#This Row],[Lower Range]], REPT("0",LEN('General Info'!$B$40))) &amp; " - " &amp; TEXT(SamplingData[[#This Row],[Upper Range]], REPT("0",LEN('General Info'!$B$40))))</f>
        <v>25425 - 25454</v>
      </c>
      <c r="T968" s="100">
        <f>SamplingData[[#This Row],[Upper Range]]-SamplingData[[#This Row],[Span]]</f>
        <v>25424.79147096715</v>
      </c>
      <c r="U968" s="100">
        <f>IF(ISNUMBER('General Info'!$B$40), ((SamplingData[[#This Row],[up/U Selection Probability]]) * 'General Info'!$B$40) - 1, 0)</f>
        <v>29.047839181785445</v>
      </c>
      <c r="V968" s="100">
        <f>IF(ISNUMBER('General Info'!$B$40), (SamplingData[[#This Row],[Running (cumulative) sum]] * ('General Info'!$B$40 -'General Info'!$B$41 + 1)) + 'General Info'!$B$41 - 1, 0)</f>
        <v>25453.839310148935</v>
      </c>
      <c r="W968" s="100" t="str">
        <f>IF(ISERROR(MATCH(SamplingData[[#This Row],[Batch by Type (p)]],SelectedPrecincts[Batch Name], 0)), "", INDEX(SelectedPrecincts[Draw], MATCH(SamplingData[[#This Row],[Batch by Type (p)]],SelectedPrecincts[Batch Name], 0)))</f>
        <v/>
      </c>
      <c r="X968" s="102">
        <f>IF(COUNTIF(SelectedPrecincts[Batch Name],SamplingData[[#This Row],[Batch by Type (p)]]) &lt;&gt; 0, COUNTIF(SelectedPrecincts[Batch Name],SamplingData[[#This Row],[Batch by Type (p)]]), 0)</f>
        <v>0</v>
      </c>
    </row>
    <row r="969" spans="1:24" ht="15" customHeight="1">
      <c r="A969" s="18" t="s">
        <v>1145</v>
      </c>
      <c r="B969" s="18">
        <v>3</v>
      </c>
      <c r="C969" s="18">
        <v>18</v>
      </c>
      <c r="D969" s="16">
        <v>2</v>
      </c>
      <c r="E969" s="16">
        <v>5</v>
      </c>
      <c r="F969" s="37">
        <v>0</v>
      </c>
      <c r="G969" s="37">
        <v>0</v>
      </c>
      <c r="H969" s="17">
        <v>0</v>
      </c>
      <c r="I969" s="17">
        <v>0</v>
      </c>
      <c r="J969" s="99">
        <f>SUM(SamplingData[[#This Row],[Losing Candidate]:[Under Votes]])</f>
        <v>28</v>
      </c>
      <c r="K969"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969" s="100">
        <f>IF(AND(SamplingData[[#This Row],[Total]]&lt;&gt; 0, NOT(ISBLANK(SamplingData[[#This Row],[Candidate 3]]))),(SamplingData[[#This Row],[Total]]+SamplingData[[#This Row],[Winning Candidate]]-SamplingData[[#This Row],[Candidate 3]])/(SamplingData[[#Totals],[Winning Candidate]]-SamplingData[[#Totals],[Candidate 3]]), 0)</f>
        <v>1.4194922089234441E-3</v>
      </c>
      <c r="M969" s="100">
        <f>IF(AND(SamplingData[[#This Row],[Total]]&lt;&gt; 0, NOT(ISBLANK(SamplingData[[#This Row],[Candidate 4]]))),(SamplingData[[#This Row],[Total]]+SamplingData[[#This Row],[Winning Candidate]]-SamplingData[[#This Row],[Candidate 4]])/(SamplingData[[#Totals],[Winning Candidate]]-SamplingData[[#Totals],[Candidate 4]]), 0)</f>
        <v>1.1985150106697067E-3</v>
      </c>
      <c r="N969" s="100">
        <f>IF(AND(SamplingData[[#This Row],[Total]]&lt;&gt; 0, NOT(ISBLANK(SamplingData[[#This Row],[Candidate 5]]))),(SamplingData[[#This Row],[Total]]+SamplingData[[#This Row],[Winning Candidate]]-SamplingData[[#This Row],[Candidate 5]])/(SamplingData[[#Totals],[Winning Candidate]]-SamplingData[[#Totals],[Candidate 5]]), 0)</f>
        <v>1.1189491607881295E-3</v>
      </c>
      <c r="O969" s="100">
        <f>IF(AND(SamplingData[[#This Row],[Total]]&lt;&gt; 0, NOT(ISBLANK(SamplingData[[#This Row],[Candidate 6]]))),(SamplingData[[#This Row],[Total]]+SamplingData[[#This Row],[Winning Candidate]]-SamplingData[[#This Row],[Candidate 6]])/(SamplingData[[#Totals],[Winning Candidate]]-SamplingData[[#Totals],[Candidate 6]]), 0)</f>
        <v>1.1186226350858421E-3</v>
      </c>
      <c r="P969" s="100">
        <f>MAX(SamplingData[[#This Row],[Error Bound (up) - Max. possible relative overstatement - Losing Candidate]:[Error Bound (up) - Max. possible relative overstatement - Candidate 6]])</f>
        <v>2.6335129838314553E-3</v>
      </c>
      <c r="Q969" s="100">
        <f>IF(SamplingData[[#This Row],[Max Error Bound (up)]] = 0,0,SamplingData[[#This Row],[Max Error Bound (up)]]/SamplingData[[#Totals],[Max Error Bound (up)]])</f>
        <v>4.167967759731708E-4</v>
      </c>
      <c r="R969" s="101">
        <f>SUM($Q$5:Q969)</f>
        <v>0.25496518987746253</v>
      </c>
      <c r="S969" s="100" t="str">
        <f t="array" ref="S969">IF(SamplingData[[#This Row],[up/U Selection Probability]] = 0, "Zero", TEXT(SamplingData[[#This Row],[Lower Range]], REPT("0",LEN('General Info'!$B$40))) &amp; " - " &amp; TEXT(SamplingData[[#This Row],[Upper Range]], REPT("0",LEN('General Info'!$B$40))))</f>
        <v>25455 - 25496</v>
      </c>
      <c r="T969" s="100">
        <f>SamplingData[[#This Row],[Upper Range]]-SamplingData[[#This Row],[Span]]</f>
        <v>25454.839726945713</v>
      </c>
      <c r="U969" s="100">
        <f>IF(ISNUMBER('General Info'!$B$40), ((SamplingData[[#This Row],[up/U Selection Probability]]) * 'General Info'!$B$40) - 1, 0)</f>
        <v>40.679260800541108</v>
      </c>
      <c r="V969" s="100">
        <f>IF(ISNUMBER('General Info'!$B$40), (SamplingData[[#This Row],[Running (cumulative) sum]] * ('General Info'!$B$40 -'General Info'!$B$41 + 1)) + 'General Info'!$B$41 - 1, 0)</f>
        <v>25495.518987746254</v>
      </c>
      <c r="W969" s="100" t="str">
        <f>IF(ISERROR(MATCH(SamplingData[[#This Row],[Batch by Type (p)]],SelectedPrecincts[Batch Name], 0)), "", INDEX(SelectedPrecincts[Draw], MATCH(SamplingData[[#This Row],[Batch by Type (p)]],SelectedPrecincts[Batch Name], 0)))</f>
        <v/>
      </c>
      <c r="X969" s="102">
        <f>IF(COUNTIF(SelectedPrecincts[Batch Name],SamplingData[[#This Row],[Batch by Type (p)]]) &lt;&gt; 0, COUNTIF(SelectedPrecincts[Batch Name],SamplingData[[#This Row],[Batch by Type (p)]]), 0)</f>
        <v>0</v>
      </c>
    </row>
    <row r="970" spans="1:24" ht="15" customHeight="1">
      <c r="A970" s="18" t="s">
        <v>1146</v>
      </c>
      <c r="B970" s="18">
        <v>3</v>
      </c>
      <c r="C970" s="18">
        <v>3</v>
      </c>
      <c r="D970" s="18">
        <v>0</v>
      </c>
      <c r="E970" s="18">
        <v>0</v>
      </c>
      <c r="F970" s="18">
        <v>0</v>
      </c>
      <c r="G970" s="18">
        <v>0</v>
      </c>
      <c r="H970" s="18">
        <v>0</v>
      </c>
      <c r="I970" s="18">
        <v>0</v>
      </c>
      <c r="J970" s="99">
        <f>SUM(SamplingData[[#This Row],[Losing Candidate]:[Under Votes]])</f>
        <v>6</v>
      </c>
      <c r="K970"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970" s="100">
        <f>IF(AND(SamplingData[[#This Row],[Total]]&lt;&gt; 0, NOT(ISBLANK(SamplingData[[#This Row],[Candidate 3]]))),(SamplingData[[#This Row],[Total]]+SamplingData[[#This Row],[Winning Candidate]]-SamplingData[[#This Row],[Candidate 3]])/(SamplingData[[#Totals],[Winning Candidate]]-SamplingData[[#Totals],[Candidate 3]]), 0)</f>
        <v>2.9035067909797722E-4</v>
      </c>
      <c r="M970" s="100">
        <f>IF(AND(SamplingData[[#This Row],[Total]]&lt;&gt; 0, NOT(ISBLANK(SamplingData[[#This Row],[Candidate 4]]))),(SamplingData[[#This Row],[Total]]+SamplingData[[#This Row],[Winning Candidate]]-SamplingData[[#This Row],[Candidate 4]])/(SamplingData[[#Totals],[Winning Candidate]]-SamplingData[[#Totals],[Candidate 4]]), 0)</f>
        <v>2.6308866087871614E-4</v>
      </c>
      <c r="N970" s="100">
        <f>IF(AND(SamplingData[[#This Row],[Total]]&lt;&gt; 0, NOT(ISBLANK(SamplingData[[#This Row],[Candidate 5]]))),(SamplingData[[#This Row],[Total]]+SamplingData[[#This Row],[Winning Candidate]]-SamplingData[[#This Row],[Candidate 5]])/(SamplingData[[#Totals],[Winning Candidate]]-SamplingData[[#Totals],[Candidate 5]]), 0)</f>
        <v>2.1892483580637315E-4</v>
      </c>
      <c r="O970" s="100">
        <f>IF(AND(SamplingData[[#This Row],[Total]]&lt;&gt; 0, NOT(ISBLANK(SamplingData[[#This Row],[Candidate 6]]))),(SamplingData[[#This Row],[Total]]+SamplingData[[#This Row],[Winning Candidate]]-SamplingData[[#This Row],[Candidate 6]])/(SamplingData[[#Totals],[Winning Candidate]]-SamplingData[[#Totals],[Candidate 6]]), 0)</f>
        <v>2.1886095034288216E-4</v>
      </c>
      <c r="P970" s="100">
        <f>MAX(SamplingData[[#This Row],[Error Bound (up) - Max. possible relative overstatement - Losing Candidate]:[Error Bound (up) - Max. possible relative overstatement - Candidate 6]])</f>
        <v>3.6746692797648211E-4</v>
      </c>
      <c r="Q970" s="100">
        <f>IF(SamplingData[[#This Row],[Max Error Bound (up)]] = 0,0,SamplingData[[#This Row],[Max Error Bound (up)]]/SamplingData[[#Totals],[Max Error Bound (up)]])</f>
        <v>5.8157689670674986E-5</v>
      </c>
      <c r="R970" s="101">
        <f>SUM($Q$5:Q970)</f>
        <v>0.25502334756713319</v>
      </c>
      <c r="S970" s="100" t="str">
        <f t="array" ref="S970">IF(SamplingData[[#This Row],[up/U Selection Probability]] = 0, "Zero", TEXT(SamplingData[[#This Row],[Lower Range]], REPT("0",LEN('General Info'!$B$40))) &amp; " - " &amp; TEXT(SamplingData[[#This Row],[Upper Range]], REPT("0",LEN('General Info'!$B$40))))</f>
        <v>25497 - 25501</v>
      </c>
      <c r="T970" s="100">
        <f>SamplingData[[#This Row],[Upper Range]]-SamplingData[[#This Row],[Span]]</f>
        <v>25496.51904590394</v>
      </c>
      <c r="U970" s="100">
        <f>IF(ISNUMBER('General Info'!$B$40), ((SamplingData[[#This Row],[up/U Selection Probability]]) * 'General Info'!$B$40) - 1, 0)</f>
        <v>4.815710809377828</v>
      </c>
      <c r="V970" s="100">
        <f>IF(ISNUMBER('General Info'!$B$40), (SamplingData[[#This Row],[Running (cumulative) sum]] * ('General Info'!$B$40 -'General Info'!$B$41 + 1)) + 'General Info'!$B$41 - 1, 0)</f>
        <v>25501.334756713317</v>
      </c>
      <c r="W970" s="100" t="str">
        <f>IF(ISERROR(MATCH(SamplingData[[#This Row],[Batch by Type (p)]],SelectedPrecincts[Batch Name], 0)), "", INDEX(SelectedPrecincts[Draw], MATCH(SamplingData[[#This Row],[Batch by Type (p)]],SelectedPrecincts[Batch Name], 0)))</f>
        <v/>
      </c>
      <c r="X970" s="102">
        <f>IF(COUNTIF(SelectedPrecincts[Batch Name],SamplingData[[#This Row],[Batch by Type (p)]]) &lt;&gt; 0, COUNTIF(SelectedPrecincts[Batch Name],SamplingData[[#This Row],[Batch by Type (p)]]), 0)</f>
        <v>0</v>
      </c>
    </row>
    <row r="971" spans="1:24" ht="15" customHeight="1">
      <c r="A971" s="18" t="s">
        <v>1147</v>
      </c>
      <c r="B971" s="18">
        <v>13</v>
      </c>
      <c r="C971" s="18">
        <v>15</v>
      </c>
      <c r="D971" s="16">
        <v>4</v>
      </c>
      <c r="E971" s="16">
        <v>0</v>
      </c>
      <c r="F971" s="37">
        <v>0</v>
      </c>
      <c r="G971" s="37">
        <v>1</v>
      </c>
      <c r="H971" s="17">
        <v>0</v>
      </c>
      <c r="I971" s="17">
        <v>0</v>
      </c>
      <c r="J971" s="99">
        <f>SUM(SamplingData[[#This Row],[Losing Candidate]:[Under Votes]])</f>
        <v>33</v>
      </c>
      <c r="K971" s="100">
        <f>IF(AND(SamplingData[[#This Row],[Total]]&lt;&gt; 0, NOT(ISBLANK(SamplingData[[#This Row],[Losing Candidate]]))),(SamplingData[[#This Row],[Total]]+SamplingData[[#This Row],[Winning Candidate]]-SamplingData[[#This Row],[Losing Candidate]])/(SamplingData[[#Totals],[Winning Candidate]]-SamplingData[[#Totals],[Losing Candidate]]), 0)</f>
        <v>2.1435570798628125E-3</v>
      </c>
      <c r="L971" s="100">
        <f>IF(AND(SamplingData[[#This Row],[Total]]&lt;&gt; 0, NOT(ISBLANK(SamplingData[[#This Row],[Candidate 3]]))),(SamplingData[[#This Row],[Total]]+SamplingData[[#This Row],[Winning Candidate]]-SamplingData[[#This Row],[Candidate 3]])/(SamplingData[[#Totals],[Winning Candidate]]-SamplingData[[#Totals],[Candidate 3]]), 0)</f>
        <v>1.4194922089234441E-3</v>
      </c>
      <c r="M971" s="100">
        <f>IF(AND(SamplingData[[#This Row],[Total]]&lt;&gt; 0, NOT(ISBLANK(SamplingData[[#This Row],[Candidate 4]]))),(SamplingData[[#This Row],[Total]]+SamplingData[[#This Row],[Winning Candidate]]-SamplingData[[#This Row],[Candidate 4]])/(SamplingData[[#Totals],[Winning Candidate]]-SamplingData[[#Totals],[Candidate 4]]), 0)</f>
        <v>1.403139524686486E-3</v>
      </c>
      <c r="N971" s="100">
        <f>IF(AND(SamplingData[[#This Row],[Total]]&lt;&gt; 0, NOT(ISBLANK(SamplingData[[#This Row],[Candidate 5]]))),(SamplingData[[#This Row],[Total]]+SamplingData[[#This Row],[Winning Candidate]]-SamplingData[[#This Row],[Candidate 5]])/(SamplingData[[#Totals],[Winning Candidate]]-SamplingData[[#Totals],[Candidate 5]]), 0)</f>
        <v>1.1675991243006569E-3</v>
      </c>
      <c r="O971" s="100">
        <f>IF(AND(SamplingData[[#This Row],[Total]]&lt;&gt; 0, NOT(ISBLANK(SamplingData[[#This Row],[Candidate 6]]))),(SamplingData[[#This Row],[Total]]+SamplingData[[#This Row],[Winning Candidate]]-SamplingData[[#This Row],[Candidate 6]])/(SamplingData[[#Totals],[Winning Candidate]]-SamplingData[[#Totals],[Candidate 6]]), 0)</f>
        <v>1.1429405184572735E-3</v>
      </c>
      <c r="P971" s="100">
        <f>MAX(SamplingData[[#This Row],[Error Bound (up) - Max. possible relative overstatement - Losing Candidate]:[Error Bound (up) - Max. possible relative overstatement - Candidate 6]])</f>
        <v>2.1435570798628125E-3</v>
      </c>
      <c r="Q971" s="100">
        <f>IF(SamplingData[[#This Row],[Max Error Bound (up)]] = 0,0,SamplingData[[#This Row],[Max Error Bound (up)]]/SamplingData[[#Totals],[Max Error Bound (up)]])</f>
        <v>3.3925318974560413E-4</v>
      </c>
      <c r="R971" s="101">
        <f>SUM($Q$5:Q971)</f>
        <v>0.25536260075687878</v>
      </c>
      <c r="S971" s="100" t="str">
        <f t="array" ref="S971">IF(SamplingData[[#This Row],[up/U Selection Probability]] = 0, "Zero", TEXT(SamplingData[[#This Row],[Lower Range]], REPT("0",LEN('General Info'!$B$40))) &amp; " - " &amp; TEXT(SamplingData[[#This Row],[Upper Range]], REPT("0",LEN('General Info'!$B$40))))</f>
        <v>25502 - 25535</v>
      </c>
      <c r="T971" s="100">
        <f>SamplingData[[#This Row],[Upper Range]]-SamplingData[[#This Row],[Span]]</f>
        <v>25502.335095966508</v>
      </c>
      <c r="U971" s="100">
        <f>IF(ISNUMBER('General Info'!$B$40), ((SamplingData[[#This Row],[up/U Selection Probability]]) * 'General Info'!$B$40) - 1, 0)</f>
        <v>32.924979721370669</v>
      </c>
      <c r="V971" s="100">
        <f>IF(ISNUMBER('General Info'!$B$40), (SamplingData[[#This Row],[Running (cumulative) sum]] * ('General Info'!$B$40 -'General Info'!$B$41 + 1)) + 'General Info'!$B$41 - 1, 0)</f>
        <v>25535.260075687878</v>
      </c>
      <c r="W971" s="100" t="str">
        <f>IF(ISERROR(MATCH(SamplingData[[#This Row],[Batch by Type (p)]],SelectedPrecincts[Batch Name], 0)), "", INDEX(SelectedPrecincts[Draw], MATCH(SamplingData[[#This Row],[Batch by Type (p)]],SelectedPrecincts[Batch Name], 0)))</f>
        <v/>
      </c>
      <c r="X971" s="102">
        <f>IF(COUNTIF(SelectedPrecincts[Batch Name],SamplingData[[#This Row],[Batch by Type (p)]]) &lt;&gt; 0, COUNTIF(SelectedPrecincts[Batch Name],SamplingData[[#This Row],[Batch by Type (p)]]), 0)</f>
        <v>0</v>
      </c>
    </row>
    <row r="972" spans="1:24" ht="15" customHeight="1">
      <c r="A972" s="18" t="s">
        <v>1148</v>
      </c>
      <c r="B972" s="18">
        <v>0</v>
      </c>
      <c r="C972" s="18">
        <v>3</v>
      </c>
      <c r="D972" s="18">
        <v>0</v>
      </c>
      <c r="E972" s="18">
        <v>2</v>
      </c>
      <c r="F972" s="18">
        <v>0</v>
      </c>
      <c r="G972" s="18">
        <v>1</v>
      </c>
      <c r="H972" s="18">
        <v>0</v>
      </c>
      <c r="I972" s="18">
        <v>0</v>
      </c>
      <c r="J972" s="99">
        <f>SUM(SamplingData[[#This Row],[Losing Candidate]:[Under Votes]])</f>
        <v>6</v>
      </c>
      <c r="K972"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972" s="100">
        <f>IF(AND(SamplingData[[#This Row],[Total]]&lt;&gt; 0, NOT(ISBLANK(SamplingData[[#This Row],[Candidate 3]]))),(SamplingData[[#This Row],[Total]]+SamplingData[[#This Row],[Winning Candidate]]-SamplingData[[#This Row],[Candidate 3]])/(SamplingData[[#Totals],[Winning Candidate]]-SamplingData[[#Totals],[Candidate 3]]), 0)</f>
        <v>2.9035067909797722E-4</v>
      </c>
      <c r="M972" s="100">
        <f>IF(AND(SamplingData[[#This Row],[Total]]&lt;&gt; 0, NOT(ISBLANK(SamplingData[[#This Row],[Candidate 4]]))),(SamplingData[[#This Row],[Total]]+SamplingData[[#This Row],[Winning Candidate]]-SamplingData[[#This Row],[Candidate 4]])/(SamplingData[[#Totals],[Winning Candidate]]-SamplingData[[#Totals],[Candidate 4]]), 0)</f>
        <v>2.0462451401677921E-4</v>
      </c>
      <c r="N972" s="100">
        <f>IF(AND(SamplingData[[#This Row],[Total]]&lt;&gt; 0, NOT(ISBLANK(SamplingData[[#This Row],[Candidate 5]]))),(SamplingData[[#This Row],[Total]]+SamplingData[[#This Row],[Winning Candidate]]-SamplingData[[#This Row],[Candidate 5]])/(SamplingData[[#Totals],[Winning Candidate]]-SamplingData[[#Totals],[Candidate 5]]), 0)</f>
        <v>2.1892483580637315E-4</v>
      </c>
      <c r="O972" s="100">
        <f>IF(AND(SamplingData[[#This Row],[Total]]&lt;&gt; 0, NOT(ISBLANK(SamplingData[[#This Row],[Candidate 6]]))),(SamplingData[[#This Row],[Total]]+SamplingData[[#This Row],[Winning Candidate]]-SamplingData[[#This Row],[Candidate 6]])/(SamplingData[[#Totals],[Winning Candidate]]-SamplingData[[#Totals],[Candidate 6]]), 0)</f>
        <v>1.945430669714508E-4</v>
      </c>
      <c r="P972" s="100">
        <f>MAX(SamplingData[[#This Row],[Error Bound (up) - Max. possible relative overstatement - Losing Candidate]:[Error Bound (up) - Max. possible relative overstatement - Candidate 6]])</f>
        <v>5.5120039196472322E-4</v>
      </c>
      <c r="Q972" s="100">
        <f>IF(SamplingData[[#This Row],[Max Error Bound (up)]] = 0,0,SamplingData[[#This Row],[Max Error Bound (up)]]/SamplingData[[#Totals],[Max Error Bound (up)]])</f>
        <v>8.7236534506012492E-5</v>
      </c>
      <c r="R972" s="101">
        <f>SUM($Q$5:Q972)</f>
        <v>0.25544983729138476</v>
      </c>
      <c r="S972" s="100" t="str">
        <f t="array" ref="S972">IF(SamplingData[[#This Row],[up/U Selection Probability]] = 0, "Zero", TEXT(SamplingData[[#This Row],[Lower Range]], REPT("0",LEN('General Info'!$B$40))) &amp; " - " &amp; TEXT(SamplingData[[#This Row],[Upper Range]], REPT("0",LEN('General Info'!$B$40))))</f>
        <v>25536 - 25544</v>
      </c>
      <c r="T972" s="100">
        <f>SamplingData[[#This Row],[Upper Range]]-SamplingData[[#This Row],[Span]]</f>
        <v>25536.260162924409</v>
      </c>
      <c r="U972" s="100">
        <f>IF(ISNUMBER('General Info'!$B$40), ((SamplingData[[#This Row],[up/U Selection Probability]]) * 'General Info'!$B$40) - 1, 0)</f>
        <v>7.7235662140667429</v>
      </c>
      <c r="V972" s="100">
        <f>IF(ISNUMBER('General Info'!$B$40), (SamplingData[[#This Row],[Running (cumulative) sum]] * ('General Info'!$B$40 -'General Info'!$B$41 + 1)) + 'General Info'!$B$41 - 1, 0)</f>
        <v>25543.983729138476</v>
      </c>
      <c r="W972" s="100" t="str">
        <f>IF(ISERROR(MATCH(SamplingData[[#This Row],[Batch by Type (p)]],SelectedPrecincts[Batch Name], 0)), "", INDEX(SelectedPrecincts[Draw], MATCH(SamplingData[[#This Row],[Batch by Type (p)]],SelectedPrecincts[Batch Name], 0)))</f>
        <v/>
      </c>
      <c r="X972" s="102">
        <f>IF(COUNTIF(SelectedPrecincts[Batch Name],SamplingData[[#This Row],[Batch by Type (p)]]) &lt;&gt; 0, COUNTIF(SelectedPrecincts[Batch Name],SamplingData[[#This Row],[Batch by Type (p)]]), 0)</f>
        <v>0</v>
      </c>
    </row>
    <row r="973" spans="1:24" ht="15" customHeight="1">
      <c r="A973" s="18" t="s">
        <v>1149</v>
      </c>
      <c r="B973" s="18">
        <v>1</v>
      </c>
      <c r="C973" s="18">
        <v>5</v>
      </c>
      <c r="D973" s="16">
        <v>4</v>
      </c>
      <c r="E973" s="16">
        <v>0</v>
      </c>
      <c r="F973" s="37">
        <v>0</v>
      </c>
      <c r="G973" s="37">
        <v>0</v>
      </c>
      <c r="H973" s="17">
        <v>0</v>
      </c>
      <c r="I973" s="17">
        <v>0</v>
      </c>
      <c r="J973" s="99">
        <f>SUM(SamplingData[[#This Row],[Losing Candidate]:[Under Votes]])</f>
        <v>10</v>
      </c>
      <c r="K973"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973" s="100">
        <f>IF(AND(SamplingData[[#This Row],[Total]]&lt;&gt; 0, NOT(ISBLANK(SamplingData[[#This Row],[Candidate 3]]))),(SamplingData[[#This Row],[Total]]+SamplingData[[#This Row],[Winning Candidate]]-SamplingData[[#This Row],[Candidate 3]])/(SamplingData[[#Totals],[Winning Candidate]]-SamplingData[[#Totals],[Candidate 3]]), 0)</f>
        <v>3.5487305223086104E-4</v>
      </c>
      <c r="M973" s="100">
        <f>IF(AND(SamplingData[[#This Row],[Total]]&lt;&gt; 0, NOT(ISBLANK(SamplingData[[#This Row],[Candidate 4]]))),(SamplingData[[#This Row],[Total]]+SamplingData[[#This Row],[Winning Candidate]]-SamplingData[[#This Row],[Candidate 4]])/(SamplingData[[#Totals],[Winning Candidate]]-SamplingData[[#Totals],[Candidate 4]]), 0)</f>
        <v>4.3848110146452689E-4</v>
      </c>
      <c r="N973" s="100">
        <f>IF(AND(SamplingData[[#This Row],[Total]]&lt;&gt; 0, NOT(ISBLANK(SamplingData[[#This Row],[Candidate 5]]))),(SamplingData[[#This Row],[Total]]+SamplingData[[#This Row],[Winning Candidate]]-SamplingData[[#This Row],[Candidate 5]])/(SamplingData[[#Totals],[Winning Candidate]]-SamplingData[[#Totals],[Candidate 5]]), 0)</f>
        <v>3.6487472634395525E-4</v>
      </c>
      <c r="O973" s="100">
        <f>IF(AND(SamplingData[[#This Row],[Total]]&lt;&gt; 0, NOT(ISBLANK(SamplingData[[#This Row],[Candidate 6]]))),(SamplingData[[#This Row],[Total]]+SamplingData[[#This Row],[Winning Candidate]]-SamplingData[[#This Row],[Candidate 6]])/(SamplingData[[#Totals],[Winning Candidate]]-SamplingData[[#Totals],[Candidate 6]]), 0)</f>
        <v>3.6476825057147027E-4</v>
      </c>
      <c r="P973" s="100">
        <f>MAX(SamplingData[[#This Row],[Error Bound (up) - Max. possible relative overstatement - Losing Candidate]:[Error Bound (up) - Max. possible relative overstatement - Candidate 6]])</f>
        <v>8.5742283194512492E-4</v>
      </c>
      <c r="Q973" s="100">
        <f>IF(SamplingData[[#This Row],[Max Error Bound (up)]] = 0,0,SamplingData[[#This Row],[Max Error Bound (up)]]/SamplingData[[#Totals],[Max Error Bound (up)]])</f>
        <v>1.3570127589824165E-4</v>
      </c>
      <c r="R973" s="101">
        <f>SUM($Q$5:Q973)</f>
        <v>0.255585538567283</v>
      </c>
      <c r="S973" s="100" t="str">
        <f t="array" ref="S973">IF(SamplingData[[#This Row],[up/U Selection Probability]] = 0, "Zero", TEXT(SamplingData[[#This Row],[Lower Range]], REPT("0",LEN('General Info'!$B$40))) &amp; " - " &amp; TEXT(SamplingData[[#This Row],[Upper Range]], REPT("0",LEN('General Info'!$B$40))))</f>
        <v>25545 - 25558</v>
      </c>
      <c r="T973" s="100">
        <f>SamplingData[[#This Row],[Upper Range]]-SamplingData[[#This Row],[Span]]</f>
        <v>25544.983864839753</v>
      </c>
      <c r="U973" s="100">
        <f>IF(ISNUMBER('General Info'!$B$40), ((SamplingData[[#This Row],[up/U Selection Probability]]) * 'General Info'!$B$40) - 1, 0)</f>
        <v>12.569991888548268</v>
      </c>
      <c r="V973" s="100">
        <f>IF(ISNUMBER('General Info'!$B$40), (SamplingData[[#This Row],[Running (cumulative) sum]] * ('General Info'!$B$40 -'General Info'!$B$41 + 1)) + 'General Info'!$B$41 - 1, 0)</f>
        <v>25557.5538567283</v>
      </c>
      <c r="W973" s="100" t="str">
        <f>IF(ISERROR(MATCH(SamplingData[[#This Row],[Batch by Type (p)]],SelectedPrecincts[Batch Name], 0)), "", INDEX(SelectedPrecincts[Draw], MATCH(SamplingData[[#This Row],[Batch by Type (p)]],SelectedPrecincts[Batch Name], 0)))</f>
        <v/>
      </c>
      <c r="X973" s="102">
        <f>IF(COUNTIF(SelectedPrecincts[Batch Name],SamplingData[[#This Row],[Batch by Type (p)]]) &lt;&gt; 0, COUNTIF(SelectedPrecincts[Batch Name],SamplingData[[#This Row],[Batch by Type (p)]]), 0)</f>
        <v>0</v>
      </c>
    </row>
    <row r="974" spans="1:24" ht="15" customHeight="1">
      <c r="A974" s="18" t="s">
        <v>1150</v>
      </c>
      <c r="B974" s="18">
        <v>0</v>
      </c>
      <c r="C974" s="18">
        <v>0</v>
      </c>
      <c r="D974" s="18">
        <v>0</v>
      </c>
      <c r="E974" s="18">
        <v>1</v>
      </c>
      <c r="F974" s="18">
        <v>0</v>
      </c>
      <c r="G974" s="18">
        <v>0</v>
      </c>
      <c r="H974" s="18">
        <v>0</v>
      </c>
      <c r="I974" s="18">
        <v>0</v>
      </c>
      <c r="J974" s="99">
        <f>SUM(SamplingData[[#This Row],[Losing Candidate]:[Under Votes]])</f>
        <v>1</v>
      </c>
      <c r="K97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974" s="100">
        <f>IF(AND(SamplingData[[#This Row],[Total]]&lt;&gt; 0, NOT(ISBLANK(SamplingData[[#This Row],[Candidate 3]]))),(SamplingData[[#This Row],[Total]]+SamplingData[[#This Row],[Winning Candidate]]-SamplingData[[#This Row],[Candidate 3]])/(SamplingData[[#Totals],[Winning Candidate]]-SamplingData[[#Totals],[Candidate 3]]), 0)</f>
        <v>3.2261186566441917E-5</v>
      </c>
      <c r="M974" s="100">
        <f>IF(AND(SamplingData[[#This Row],[Total]]&lt;&gt; 0, NOT(ISBLANK(SamplingData[[#This Row],[Candidate 4]]))),(SamplingData[[#This Row],[Total]]+SamplingData[[#This Row],[Winning Candidate]]-SamplingData[[#This Row],[Candidate 4]])/(SamplingData[[#Totals],[Winning Candidate]]-SamplingData[[#Totals],[Candidate 4]]), 0)</f>
        <v>0</v>
      </c>
      <c r="N974" s="100">
        <f>IF(AND(SamplingData[[#This Row],[Total]]&lt;&gt; 0, NOT(ISBLANK(SamplingData[[#This Row],[Candidate 5]]))),(SamplingData[[#This Row],[Total]]+SamplingData[[#This Row],[Winning Candidate]]-SamplingData[[#This Row],[Candidate 5]])/(SamplingData[[#Totals],[Winning Candidate]]-SamplingData[[#Totals],[Candidate 5]]), 0)</f>
        <v>2.4324981756263683E-5</v>
      </c>
      <c r="O974" s="100">
        <f>IF(AND(SamplingData[[#This Row],[Total]]&lt;&gt; 0, NOT(ISBLANK(SamplingData[[#This Row],[Candidate 6]]))),(SamplingData[[#This Row],[Total]]+SamplingData[[#This Row],[Winning Candidate]]-SamplingData[[#This Row],[Candidate 6]])/(SamplingData[[#Totals],[Winning Candidate]]-SamplingData[[#Totals],[Candidate 6]]), 0)</f>
        <v>2.431788337143135E-5</v>
      </c>
      <c r="P974" s="100">
        <f>MAX(SamplingData[[#This Row],[Error Bound (up) - Max. possible relative overstatement - Losing Candidate]:[Error Bound (up) - Max. possible relative overstatement - Candidate 6]])</f>
        <v>6.1244487996080352E-5</v>
      </c>
      <c r="Q974" s="100">
        <f>IF(SamplingData[[#This Row],[Max Error Bound (up)]] = 0,0,SamplingData[[#This Row],[Max Error Bound (up)]]/SamplingData[[#Totals],[Max Error Bound (up)]])</f>
        <v>9.6929482784458315E-6</v>
      </c>
      <c r="R974" s="101">
        <f>SUM($Q$5:Q974)</f>
        <v>0.25559523151556146</v>
      </c>
      <c r="S974" s="100" t="str">
        <f t="array" ref="S974">IF(SamplingData[[#This Row],[up/U Selection Probability]] = 0, "Zero", TEXT(SamplingData[[#This Row],[Lower Range]], REPT("0",LEN('General Info'!$B$40))) &amp; " - " &amp; TEXT(SamplingData[[#This Row],[Upper Range]], REPT("0",LEN('General Info'!$B$40))))</f>
        <v>25559 - 25559</v>
      </c>
      <c r="T974" s="100">
        <f>SamplingData[[#This Row],[Upper Range]]-SamplingData[[#This Row],[Span]]</f>
        <v>25558.553866421251</v>
      </c>
      <c r="U974" s="100">
        <f>IF(ISNUMBER('General Info'!$B$40), ((SamplingData[[#This Row],[up/U Selection Probability]]) * 'General Info'!$B$40) - 1, 0)</f>
        <v>-3.0714865103695255E-2</v>
      </c>
      <c r="V974" s="100">
        <f>IF(ISNUMBER('General Info'!$B$40), (SamplingData[[#This Row],[Running (cumulative) sum]] * ('General Info'!$B$40 -'General Info'!$B$41 + 1)) + 'General Info'!$B$41 - 1, 0)</f>
        <v>25558.523151556146</v>
      </c>
      <c r="W974" s="100" t="str">
        <f>IF(ISERROR(MATCH(SamplingData[[#This Row],[Batch by Type (p)]],SelectedPrecincts[Batch Name], 0)), "", INDEX(SelectedPrecincts[Draw], MATCH(SamplingData[[#This Row],[Batch by Type (p)]],SelectedPrecincts[Batch Name], 0)))</f>
        <v/>
      </c>
      <c r="X974" s="102">
        <f>IF(COUNTIF(SelectedPrecincts[Batch Name],SamplingData[[#This Row],[Batch by Type (p)]]) &lt;&gt; 0, COUNTIF(SelectedPrecincts[Batch Name],SamplingData[[#This Row],[Batch by Type (p)]]), 0)</f>
        <v>0</v>
      </c>
    </row>
    <row r="975" spans="1:24" ht="15" customHeight="1">
      <c r="A975" s="18" t="s">
        <v>1151</v>
      </c>
      <c r="B975" s="18">
        <v>6</v>
      </c>
      <c r="C975" s="18">
        <v>5</v>
      </c>
      <c r="D975" s="16">
        <v>0</v>
      </c>
      <c r="E975" s="16">
        <v>1</v>
      </c>
      <c r="F975" s="37">
        <v>2</v>
      </c>
      <c r="G975" s="37">
        <v>0</v>
      </c>
      <c r="H975" s="17">
        <v>0</v>
      </c>
      <c r="I975" s="17">
        <v>0</v>
      </c>
      <c r="J975" s="99">
        <f>SUM(SamplingData[[#This Row],[Losing Candidate]:[Under Votes]])</f>
        <v>14</v>
      </c>
      <c r="K975"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975" s="100">
        <f>IF(AND(SamplingData[[#This Row],[Total]]&lt;&gt; 0, NOT(ISBLANK(SamplingData[[#This Row],[Candidate 3]]))),(SamplingData[[#This Row],[Total]]+SamplingData[[#This Row],[Winning Candidate]]-SamplingData[[#This Row],[Candidate 3]])/(SamplingData[[#Totals],[Winning Candidate]]-SamplingData[[#Totals],[Candidate 3]]), 0)</f>
        <v>6.1296254476239632E-4</v>
      </c>
      <c r="M975" s="100">
        <f>IF(AND(SamplingData[[#This Row],[Total]]&lt;&gt; 0, NOT(ISBLANK(SamplingData[[#This Row],[Candidate 4]]))),(SamplingData[[#This Row],[Total]]+SamplingData[[#This Row],[Winning Candidate]]-SamplingData[[#This Row],[Candidate 4]])/(SamplingData[[#Totals],[Winning Candidate]]-SamplingData[[#Totals],[Candidate 4]]), 0)</f>
        <v>5.2617732175743229E-4</v>
      </c>
      <c r="N975" s="100">
        <f>IF(AND(SamplingData[[#This Row],[Total]]&lt;&gt; 0, NOT(ISBLANK(SamplingData[[#This Row],[Candidate 5]]))),(SamplingData[[#This Row],[Total]]+SamplingData[[#This Row],[Winning Candidate]]-SamplingData[[#This Row],[Candidate 5]])/(SamplingData[[#Totals],[Winning Candidate]]-SamplingData[[#Totals],[Candidate 5]]), 0)</f>
        <v>4.1352468985648261E-4</v>
      </c>
      <c r="O975" s="100">
        <f>IF(AND(SamplingData[[#This Row],[Total]]&lt;&gt; 0, NOT(ISBLANK(SamplingData[[#This Row],[Candidate 6]]))),(SamplingData[[#This Row],[Total]]+SamplingData[[#This Row],[Winning Candidate]]-SamplingData[[#This Row],[Candidate 6]])/(SamplingData[[#Totals],[Winning Candidate]]-SamplingData[[#Totals],[Candidate 6]]), 0)</f>
        <v>4.6203978405719566E-4</v>
      </c>
      <c r="P975" s="100">
        <f>MAX(SamplingData[[#This Row],[Error Bound (up) - Max. possible relative overstatement - Losing Candidate]:[Error Bound (up) - Max. possible relative overstatement - Candidate 6]])</f>
        <v>7.9617834394904463E-4</v>
      </c>
      <c r="Q975" s="100">
        <f>IF(SamplingData[[#This Row],[Max Error Bound (up)]] = 0,0,SamplingData[[#This Row],[Max Error Bound (up)]]/SamplingData[[#Totals],[Max Error Bound (up)]])</f>
        <v>1.2600832761979581E-4</v>
      </c>
      <c r="R975" s="101">
        <f>SUM($Q$5:Q975)</f>
        <v>0.25572123984318124</v>
      </c>
      <c r="S975" s="100" t="str">
        <f t="array" ref="S975">IF(SamplingData[[#This Row],[up/U Selection Probability]] = 0, "Zero", TEXT(SamplingData[[#This Row],[Lower Range]], REPT("0",LEN('General Info'!$B$40))) &amp; " - " &amp; TEXT(SamplingData[[#This Row],[Upper Range]], REPT("0",LEN('General Info'!$B$40))))</f>
        <v>25560 - 25571</v>
      </c>
      <c r="T975" s="100">
        <f>SamplingData[[#This Row],[Upper Range]]-SamplingData[[#This Row],[Span]]</f>
        <v>25559.523277564473</v>
      </c>
      <c r="U975" s="100">
        <f>IF(ISNUMBER('General Info'!$B$40), ((SamplingData[[#This Row],[up/U Selection Probability]]) * 'General Info'!$B$40) - 1, 0)</f>
        <v>11.600706753651961</v>
      </c>
      <c r="V975" s="100">
        <f>IF(ISNUMBER('General Info'!$B$40), (SamplingData[[#This Row],[Running (cumulative) sum]] * ('General Info'!$B$40 -'General Info'!$B$41 + 1)) + 'General Info'!$B$41 - 1, 0)</f>
        <v>25571.123984318125</v>
      </c>
      <c r="W975" s="100" t="str">
        <f>IF(ISERROR(MATCH(SamplingData[[#This Row],[Batch by Type (p)]],SelectedPrecincts[Batch Name], 0)), "", INDEX(SelectedPrecincts[Draw], MATCH(SamplingData[[#This Row],[Batch by Type (p)]],SelectedPrecincts[Batch Name], 0)))</f>
        <v/>
      </c>
      <c r="X975" s="102">
        <f>IF(COUNTIF(SelectedPrecincts[Batch Name],SamplingData[[#This Row],[Batch by Type (p)]]) &lt;&gt; 0, COUNTIF(SelectedPrecincts[Batch Name],SamplingData[[#This Row],[Batch by Type (p)]]), 0)</f>
        <v>0</v>
      </c>
    </row>
    <row r="976" spans="1:24" ht="15" customHeight="1">
      <c r="A976" s="18" t="s">
        <v>1152</v>
      </c>
      <c r="B976" s="18">
        <v>0</v>
      </c>
      <c r="C976" s="18">
        <v>5</v>
      </c>
      <c r="D976" s="18">
        <v>0</v>
      </c>
      <c r="E976" s="18">
        <v>0</v>
      </c>
      <c r="F976" s="18">
        <v>0</v>
      </c>
      <c r="G976" s="18">
        <v>0</v>
      </c>
      <c r="H976" s="18">
        <v>0</v>
      </c>
      <c r="I976" s="18">
        <v>0</v>
      </c>
      <c r="J976" s="99">
        <f>SUM(SamplingData[[#This Row],[Losing Candidate]:[Under Votes]])</f>
        <v>5</v>
      </c>
      <c r="K97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976" s="100">
        <f>IF(AND(SamplingData[[#This Row],[Total]]&lt;&gt; 0, NOT(ISBLANK(SamplingData[[#This Row],[Candidate 3]]))),(SamplingData[[#This Row],[Total]]+SamplingData[[#This Row],[Winning Candidate]]-SamplingData[[#This Row],[Candidate 3]])/(SamplingData[[#Totals],[Winning Candidate]]-SamplingData[[#Totals],[Candidate 3]]), 0)</f>
        <v>3.2261186566441915E-4</v>
      </c>
      <c r="M976" s="100">
        <f>IF(AND(SamplingData[[#This Row],[Total]]&lt;&gt; 0, NOT(ISBLANK(SamplingData[[#This Row],[Candidate 4]]))),(SamplingData[[#This Row],[Total]]+SamplingData[[#This Row],[Winning Candidate]]-SamplingData[[#This Row],[Candidate 4]])/(SamplingData[[#Totals],[Winning Candidate]]-SamplingData[[#Totals],[Candidate 4]]), 0)</f>
        <v>2.9232073430968461E-4</v>
      </c>
      <c r="N976" s="100">
        <f>IF(AND(SamplingData[[#This Row],[Total]]&lt;&gt; 0, NOT(ISBLANK(SamplingData[[#This Row],[Candidate 5]]))),(SamplingData[[#This Row],[Total]]+SamplingData[[#This Row],[Winning Candidate]]-SamplingData[[#This Row],[Candidate 5]])/(SamplingData[[#Totals],[Winning Candidate]]-SamplingData[[#Totals],[Candidate 5]]), 0)</f>
        <v>2.4324981756263683E-4</v>
      </c>
      <c r="O976" s="100">
        <f>IF(AND(SamplingData[[#This Row],[Total]]&lt;&gt; 0, NOT(ISBLANK(SamplingData[[#This Row],[Candidate 6]]))),(SamplingData[[#This Row],[Total]]+SamplingData[[#This Row],[Winning Candidate]]-SamplingData[[#This Row],[Candidate 6]])/(SamplingData[[#Totals],[Winning Candidate]]-SamplingData[[#Totals],[Candidate 6]]), 0)</f>
        <v>2.431788337143135E-4</v>
      </c>
      <c r="P976" s="100">
        <f>MAX(SamplingData[[#This Row],[Error Bound (up) - Max. possible relative overstatement - Losing Candidate]:[Error Bound (up) - Max. possible relative overstatement - Candidate 6]])</f>
        <v>6.1244487996080352E-4</v>
      </c>
      <c r="Q976" s="100">
        <f>IF(SamplingData[[#This Row],[Max Error Bound (up)]] = 0,0,SamplingData[[#This Row],[Max Error Bound (up)]]/SamplingData[[#Totals],[Max Error Bound (up)]])</f>
        <v>9.6929482784458319E-5</v>
      </c>
      <c r="R976" s="101">
        <f>SUM($Q$5:Q976)</f>
        <v>0.25581816932596568</v>
      </c>
      <c r="S976" s="100" t="str">
        <f t="array" ref="S976">IF(SamplingData[[#This Row],[up/U Selection Probability]] = 0, "Zero", TEXT(SamplingData[[#This Row],[Lower Range]], REPT("0",LEN('General Info'!$B$40))) &amp; " - " &amp; TEXT(SamplingData[[#This Row],[Upper Range]], REPT("0",LEN('General Info'!$B$40))))</f>
        <v>25572 - 25581</v>
      </c>
      <c r="T976" s="100">
        <f>SamplingData[[#This Row],[Upper Range]]-SamplingData[[#This Row],[Span]]</f>
        <v>25572.124081247606</v>
      </c>
      <c r="U976" s="100">
        <f>IF(ISNUMBER('General Info'!$B$40), ((SamplingData[[#This Row],[up/U Selection Probability]]) * 'General Info'!$B$40) - 1, 0)</f>
        <v>8.6928513489630479</v>
      </c>
      <c r="V976" s="100">
        <f>IF(ISNUMBER('General Info'!$B$40), (SamplingData[[#This Row],[Running (cumulative) sum]] * ('General Info'!$B$40 -'General Info'!$B$41 + 1)) + 'General Info'!$B$41 - 1, 0)</f>
        <v>25580.816932596568</v>
      </c>
      <c r="W976" s="100" t="str">
        <f>IF(ISERROR(MATCH(SamplingData[[#This Row],[Batch by Type (p)]],SelectedPrecincts[Batch Name], 0)), "", INDEX(SelectedPrecincts[Draw], MATCH(SamplingData[[#This Row],[Batch by Type (p)]],SelectedPrecincts[Batch Name], 0)))</f>
        <v/>
      </c>
      <c r="X976" s="102">
        <f>IF(COUNTIF(SelectedPrecincts[Batch Name],SamplingData[[#This Row],[Batch by Type (p)]]) &lt;&gt; 0, COUNTIF(SelectedPrecincts[Batch Name],SamplingData[[#This Row],[Batch by Type (p)]]), 0)</f>
        <v>0</v>
      </c>
    </row>
    <row r="977" spans="1:24" ht="15" customHeight="1">
      <c r="A977" s="18" t="s">
        <v>1153</v>
      </c>
      <c r="B977" s="18">
        <v>6</v>
      </c>
      <c r="C977" s="18">
        <v>13</v>
      </c>
      <c r="D977" s="16">
        <v>0</v>
      </c>
      <c r="E977" s="16">
        <v>3</v>
      </c>
      <c r="F977" s="37">
        <v>0</v>
      </c>
      <c r="G977" s="37">
        <v>0</v>
      </c>
      <c r="H977" s="17">
        <v>0</v>
      </c>
      <c r="I977" s="17">
        <v>1</v>
      </c>
      <c r="J977" s="99">
        <f>SUM(SamplingData[[#This Row],[Losing Candidate]:[Under Votes]])</f>
        <v>23</v>
      </c>
      <c r="K977"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977" s="100">
        <f>IF(AND(SamplingData[[#This Row],[Total]]&lt;&gt; 0, NOT(ISBLANK(SamplingData[[#This Row],[Candidate 3]]))),(SamplingData[[#This Row],[Total]]+SamplingData[[#This Row],[Winning Candidate]]-SamplingData[[#This Row],[Candidate 3]])/(SamplingData[[#Totals],[Winning Candidate]]-SamplingData[[#Totals],[Candidate 3]]), 0)</f>
        <v>1.1614027163919089E-3</v>
      </c>
      <c r="M977" s="100">
        <f>IF(AND(SamplingData[[#This Row],[Total]]&lt;&gt; 0, NOT(ISBLANK(SamplingData[[#This Row],[Candidate 4]]))),(SamplingData[[#This Row],[Total]]+SamplingData[[#This Row],[Winning Candidate]]-SamplingData[[#This Row],[Candidate 4]])/(SamplingData[[#Totals],[Winning Candidate]]-SamplingData[[#Totals],[Candidate 4]]), 0)</f>
        <v>9.6465842322195918E-4</v>
      </c>
      <c r="N977" s="100">
        <f>IF(AND(SamplingData[[#This Row],[Total]]&lt;&gt; 0, NOT(ISBLANK(SamplingData[[#This Row],[Candidate 5]]))),(SamplingData[[#This Row],[Total]]+SamplingData[[#This Row],[Winning Candidate]]-SamplingData[[#This Row],[Candidate 5]])/(SamplingData[[#Totals],[Winning Candidate]]-SamplingData[[#Totals],[Candidate 5]]), 0)</f>
        <v>8.7569934322549259E-4</v>
      </c>
      <c r="O977" s="100">
        <f>IF(AND(SamplingData[[#This Row],[Total]]&lt;&gt; 0, NOT(ISBLANK(SamplingData[[#This Row],[Candidate 6]]))),(SamplingData[[#This Row],[Total]]+SamplingData[[#This Row],[Winning Candidate]]-SamplingData[[#This Row],[Candidate 6]])/(SamplingData[[#Totals],[Winning Candidate]]-SamplingData[[#Totals],[Candidate 6]]), 0)</f>
        <v>8.7544380137152865E-4</v>
      </c>
      <c r="P977" s="100">
        <f>MAX(SamplingData[[#This Row],[Error Bound (up) - Max. possible relative overstatement - Losing Candidate]:[Error Bound (up) - Max. possible relative overstatement - Candidate 6]])</f>
        <v>1.8373346398824107E-3</v>
      </c>
      <c r="Q977" s="100">
        <f>IF(SamplingData[[#This Row],[Max Error Bound (up)]] = 0,0,SamplingData[[#This Row],[Max Error Bound (up)]]/SamplingData[[#Totals],[Max Error Bound (up)]])</f>
        <v>2.9078844835337498E-4</v>
      </c>
      <c r="R977" s="101">
        <f>SUM($Q$5:Q977)</f>
        <v>0.25610895777431908</v>
      </c>
      <c r="S977" s="100" t="str">
        <f t="array" ref="S977">IF(SamplingData[[#This Row],[up/U Selection Probability]] = 0, "Zero", TEXT(SamplingData[[#This Row],[Lower Range]], REPT("0",LEN('General Info'!$B$40))) &amp; " - " &amp; TEXT(SamplingData[[#This Row],[Upper Range]], REPT("0",LEN('General Info'!$B$40))))</f>
        <v>25582 - 25610</v>
      </c>
      <c r="T977" s="100">
        <f>SamplingData[[#This Row],[Upper Range]]-SamplingData[[#This Row],[Span]]</f>
        <v>25581.81722338502</v>
      </c>
      <c r="U977" s="100">
        <f>IF(ISNUMBER('General Info'!$B$40), ((SamplingData[[#This Row],[up/U Selection Probability]]) * 'General Info'!$B$40) - 1, 0)</f>
        <v>28.078554046889145</v>
      </c>
      <c r="V977" s="100">
        <f>IF(ISNUMBER('General Info'!$B$40), (SamplingData[[#This Row],[Running (cumulative) sum]] * ('General Info'!$B$40 -'General Info'!$B$41 + 1)) + 'General Info'!$B$41 - 1, 0)</f>
        <v>25609.89577743191</v>
      </c>
      <c r="W977" s="100" t="str">
        <f>IF(ISERROR(MATCH(SamplingData[[#This Row],[Batch by Type (p)]],SelectedPrecincts[Batch Name], 0)), "", INDEX(SelectedPrecincts[Draw], MATCH(SamplingData[[#This Row],[Batch by Type (p)]],SelectedPrecincts[Batch Name], 0)))</f>
        <v/>
      </c>
      <c r="X977" s="102">
        <f>IF(COUNTIF(SelectedPrecincts[Batch Name],SamplingData[[#This Row],[Batch by Type (p)]]) &lt;&gt; 0, COUNTIF(SelectedPrecincts[Batch Name],SamplingData[[#This Row],[Batch by Type (p)]]), 0)</f>
        <v>0</v>
      </c>
    </row>
    <row r="978" spans="1:24" ht="15" customHeight="1">
      <c r="A978" s="18" t="s">
        <v>1154</v>
      </c>
      <c r="B978" s="18">
        <v>4</v>
      </c>
      <c r="C978" s="18">
        <v>1</v>
      </c>
      <c r="D978" s="18">
        <v>0</v>
      </c>
      <c r="E978" s="18">
        <v>4</v>
      </c>
      <c r="F978" s="18">
        <v>1</v>
      </c>
      <c r="G978" s="18">
        <v>0</v>
      </c>
      <c r="H978" s="18">
        <v>0</v>
      </c>
      <c r="I978" s="18">
        <v>0</v>
      </c>
      <c r="J978" s="99">
        <f>SUM(SamplingData[[#This Row],[Losing Candidate]:[Under Votes]])</f>
        <v>10</v>
      </c>
      <c r="K978"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978" s="100">
        <f>IF(AND(SamplingData[[#This Row],[Total]]&lt;&gt; 0, NOT(ISBLANK(SamplingData[[#This Row],[Candidate 3]]))),(SamplingData[[#This Row],[Total]]+SamplingData[[#This Row],[Winning Candidate]]-SamplingData[[#This Row],[Candidate 3]])/(SamplingData[[#Totals],[Winning Candidate]]-SamplingData[[#Totals],[Candidate 3]]), 0)</f>
        <v>3.5487305223086104E-4</v>
      </c>
      <c r="M978" s="100">
        <f>IF(AND(SamplingData[[#This Row],[Total]]&lt;&gt; 0, NOT(ISBLANK(SamplingData[[#This Row],[Candidate 4]]))),(SamplingData[[#This Row],[Total]]+SamplingData[[#This Row],[Winning Candidate]]-SamplingData[[#This Row],[Candidate 4]])/(SamplingData[[#Totals],[Winning Candidate]]-SamplingData[[#Totals],[Candidate 4]]), 0)</f>
        <v>2.0462451401677921E-4</v>
      </c>
      <c r="N978" s="100">
        <f>IF(AND(SamplingData[[#This Row],[Total]]&lt;&gt; 0, NOT(ISBLANK(SamplingData[[#This Row],[Candidate 5]]))),(SamplingData[[#This Row],[Total]]+SamplingData[[#This Row],[Winning Candidate]]-SamplingData[[#This Row],[Candidate 5]])/(SamplingData[[#Totals],[Winning Candidate]]-SamplingData[[#Totals],[Candidate 5]]), 0)</f>
        <v>2.4324981756263683E-4</v>
      </c>
      <c r="O978" s="100">
        <f>IF(AND(SamplingData[[#This Row],[Total]]&lt;&gt; 0, NOT(ISBLANK(SamplingData[[#This Row],[Candidate 6]]))),(SamplingData[[#This Row],[Total]]+SamplingData[[#This Row],[Winning Candidate]]-SamplingData[[#This Row],[Candidate 6]])/(SamplingData[[#Totals],[Winning Candidate]]-SamplingData[[#Totals],[Candidate 6]]), 0)</f>
        <v>2.6749671708574483E-4</v>
      </c>
      <c r="P978" s="100">
        <f>MAX(SamplingData[[#This Row],[Error Bound (up) - Max. possible relative overstatement - Losing Candidate]:[Error Bound (up) - Max. possible relative overstatement - Candidate 6]])</f>
        <v>4.2871141597256246E-4</v>
      </c>
      <c r="Q978" s="100">
        <f>IF(SamplingData[[#This Row],[Max Error Bound (up)]] = 0,0,SamplingData[[#This Row],[Max Error Bound (up)]]/SamplingData[[#Totals],[Max Error Bound (up)]])</f>
        <v>6.7850637949120826E-5</v>
      </c>
      <c r="R978" s="101">
        <f>SUM($Q$5:Q978)</f>
        <v>0.2561768084122682</v>
      </c>
      <c r="S978" s="100" t="str">
        <f t="array" ref="S978">IF(SamplingData[[#This Row],[up/U Selection Probability]] = 0, "Zero", TEXT(SamplingData[[#This Row],[Lower Range]], REPT("0",LEN('General Info'!$B$40))) &amp; " - " &amp; TEXT(SamplingData[[#This Row],[Upper Range]], REPT("0",LEN('General Info'!$B$40))))</f>
        <v>25611 - 25617</v>
      </c>
      <c r="T978" s="100">
        <f>SamplingData[[#This Row],[Upper Range]]-SamplingData[[#This Row],[Span]]</f>
        <v>25610.895845282543</v>
      </c>
      <c r="U978" s="100">
        <f>IF(ISNUMBER('General Info'!$B$40), ((SamplingData[[#This Row],[up/U Selection Probability]]) * 'General Info'!$B$40) - 1, 0)</f>
        <v>5.7849959442741339</v>
      </c>
      <c r="V978" s="100">
        <f>IF(ISNUMBER('General Info'!$B$40), (SamplingData[[#This Row],[Running (cumulative) sum]] * ('General Info'!$B$40 -'General Info'!$B$41 + 1)) + 'General Info'!$B$41 - 1, 0)</f>
        <v>25616.680841226818</v>
      </c>
      <c r="W978" s="100" t="str">
        <f>IF(ISERROR(MATCH(SamplingData[[#This Row],[Batch by Type (p)]],SelectedPrecincts[Batch Name], 0)), "", INDEX(SelectedPrecincts[Draw], MATCH(SamplingData[[#This Row],[Batch by Type (p)]],SelectedPrecincts[Batch Name], 0)))</f>
        <v/>
      </c>
      <c r="X978" s="102">
        <f>IF(COUNTIF(SelectedPrecincts[Batch Name],SamplingData[[#This Row],[Batch by Type (p)]]) &lt;&gt; 0, COUNTIF(SelectedPrecincts[Batch Name],SamplingData[[#This Row],[Batch by Type (p)]]), 0)</f>
        <v>0</v>
      </c>
    </row>
    <row r="979" spans="1:24" ht="15" customHeight="1">
      <c r="A979" s="18" t="s">
        <v>1155</v>
      </c>
      <c r="B979" s="18">
        <v>10</v>
      </c>
      <c r="C979" s="18">
        <v>8</v>
      </c>
      <c r="D979" s="16">
        <v>3</v>
      </c>
      <c r="E979" s="16">
        <v>6</v>
      </c>
      <c r="F979" s="37">
        <v>1</v>
      </c>
      <c r="G979" s="37">
        <v>0</v>
      </c>
      <c r="H979" s="17">
        <v>0</v>
      </c>
      <c r="I979" s="17">
        <v>0</v>
      </c>
      <c r="J979" s="99">
        <f>SUM(SamplingData[[#This Row],[Losing Candidate]:[Under Votes]])</f>
        <v>28</v>
      </c>
      <c r="K979"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979" s="100">
        <f>IF(AND(SamplingData[[#This Row],[Total]]&lt;&gt; 0, NOT(ISBLANK(SamplingData[[#This Row],[Candidate 3]]))),(SamplingData[[#This Row],[Total]]+SamplingData[[#This Row],[Winning Candidate]]-SamplingData[[#This Row],[Candidate 3]])/(SamplingData[[#Totals],[Winning Candidate]]-SamplingData[[#Totals],[Candidate 3]]), 0)</f>
        <v>1.0646191566925831E-3</v>
      </c>
      <c r="M979" s="100">
        <f>IF(AND(SamplingData[[#This Row],[Total]]&lt;&gt; 0, NOT(ISBLANK(SamplingData[[#This Row],[Candidate 4]]))),(SamplingData[[#This Row],[Total]]+SamplingData[[#This Row],[Winning Candidate]]-SamplingData[[#This Row],[Candidate 4]])/(SamplingData[[#Totals],[Winning Candidate]]-SamplingData[[#Totals],[Candidate 4]]), 0)</f>
        <v>8.7696220292905378E-4</v>
      </c>
      <c r="N979" s="100">
        <f>IF(AND(SamplingData[[#This Row],[Total]]&lt;&gt; 0, NOT(ISBLANK(SamplingData[[#This Row],[Candidate 5]]))),(SamplingData[[#This Row],[Total]]+SamplingData[[#This Row],[Winning Candidate]]-SamplingData[[#This Row],[Candidate 5]])/(SamplingData[[#Totals],[Winning Candidate]]-SamplingData[[#Totals],[Candidate 5]]), 0)</f>
        <v>8.5137436146922891E-4</v>
      </c>
      <c r="O979" s="100">
        <f>IF(AND(SamplingData[[#This Row],[Total]]&lt;&gt; 0, NOT(ISBLANK(SamplingData[[#This Row],[Candidate 6]]))),(SamplingData[[#This Row],[Total]]+SamplingData[[#This Row],[Winning Candidate]]-SamplingData[[#This Row],[Candidate 6]])/(SamplingData[[#Totals],[Winning Candidate]]-SamplingData[[#Totals],[Candidate 6]]), 0)</f>
        <v>8.7544380137152865E-4</v>
      </c>
      <c r="P979" s="100">
        <f>MAX(SamplingData[[#This Row],[Error Bound (up) - Max. possible relative overstatement - Losing Candidate]:[Error Bound (up) - Max. possible relative overstatement - Candidate 6]])</f>
        <v>1.5923566878980893E-3</v>
      </c>
      <c r="Q979" s="100">
        <f>IF(SamplingData[[#This Row],[Max Error Bound (up)]] = 0,0,SamplingData[[#This Row],[Max Error Bound (up)]]/SamplingData[[#Totals],[Max Error Bound (up)]])</f>
        <v>2.5201665523959162E-4</v>
      </c>
      <c r="R979" s="101">
        <f>SUM($Q$5:Q979)</f>
        <v>0.2564288250675078</v>
      </c>
      <c r="S979" s="100" t="str">
        <f t="array" ref="S979">IF(SamplingData[[#This Row],[up/U Selection Probability]] = 0, "Zero", TEXT(SamplingData[[#This Row],[Lower Range]], REPT("0",LEN('General Info'!$B$40))) &amp; " - " &amp; TEXT(SamplingData[[#This Row],[Upper Range]], REPT("0",LEN('General Info'!$B$40))))</f>
        <v>25618 - 25642</v>
      </c>
      <c r="T979" s="100">
        <f>SamplingData[[#This Row],[Upper Range]]-SamplingData[[#This Row],[Span]]</f>
        <v>25617.681093243475</v>
      </c>
      <c r="U979" s="100">
        <f>IF(ISNUMBER('General Info'!$B$40), ((SamplingData[[#This Row],[up/U Selection Probability]]) * 'General Info'!$B$40) - 1, 0)</f>
        <v>24.201413507303922</v>
      </c>
      <c r="V979" s="100">
        <f>IF(ISNUMBER('General Info'!$B$40), (SamplingData[[#This Row],[Running (cumulative) sum]] * ('General Info'!$B$40 -'General Info'!$B$41 + 1)) + 'General Info'!$B$41 - 1, 0)</f>
        <v>25641.882506750779</v>
      </c>
      <c r="W979" s="100" t="str">
        <f>IF(ISERROR(MATCH(SamplingData[[#This Row],[Batch by Type (p)]],SelectedPrecincts[Batch Name], 0)), "", INDEX(SelectedPrecincts[Draw], MATCH(SamplingData[[#This Row],[Batch by Type (p)]],SelectedPrecincts[Batch Name], 0)))</f>
        <v/>
      </c>
      <c r="X979" s="102">
        <f>IF(COUNTIF(SelectedPrecincts[Batch Name],SamplingData[[#This Row],[Batch by Type (p)]]) &lt;&gt; 0, COUNTIF(SelectedPrecincts[Batch Name],SamplingData[[#This Row],[Batch by Type (p)]]), 0)</f>
        <v>0</v>
      </c>
    </row>
    <row r="980" spans="1:24" ht="15" customHeight="1">
      <c r="A980" s="18" t="s">
        <v>1156</v>
      </c>
      <c r="B980" s="18">
        <v>6</v>
      </c>
      <c r="C980" s="18">
        <v>4</v>
      </c>
      <c r="D980" s="18">
        <v>3</v>
      </c>
      <c r="E980" s="18">
        <v>0</v>
      </c>
      <c r="F980" s="18">
        <v>0</v>
      </c>
      <c r="G980" s="18">
        <v>0</v>
      </c>
      <c r="H980" s="18">
        <v>0</v>
      </c>
      <c r="I980" s="18">
        <v>0</v>
      </c>
      <c r="J980" s="99">
        <f>SUM(SamplingData[[#This Row],[Losing Candidate]:[Under Votes]])</f>
        <v>13</v>
      </c>
      <c r="K980"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980" s="100">
        <f>IF(AND(SamplingData[[#This Row],[Total]]&lt;&gt; 0, NOT(ISBLANK(SamplingData[[#This Row],[Candidate 3]]))),(SamplingData[[#This Row],[Total]]+SamplingData[[#This Row],[Winning Candidate]]-SamplingData[[#This Row],[Candidate 3]])/(SamplingData[[#Totals],[Winning Candidate]]-SamplingData[[#Totals],[Candidate 3]]), 0)</f>
        <v>4.5165661193018679E-4</v>
      </c>
      <c r="M980" s="100">
        <f>IF(AND(SamplingData[[#This Row],[Total]]&lt;&gt; 0, NOT(ISBLANK(SamplingData[[#This Row],[Candidate 4]]))),(SamplingData[[#This Row],[Total]]+SamplingData[[#This Row],[Winning Candidate]]-SamplingData[[#This Row],[Candidate 4]])/(SamplingData[[#Totals],[Winning Candidate]]-SamplingData[[#Totals],[Candidate 4]]), 0)</f>
        <v>4.9694524832646382E-4</v>
      </c>
      <c r="N980" s="100">
        <f>IF(AND(SamplingData[[#This Row],[Total]]&lt;&gt; 0, NOT(ISBLANK(SamplingData[[#This Row],[Candidate 5]]))),(SamplingData[[#This Row],[Total]]+SamplingData[[#This Row],[Winning Candidate]]-SamplingData[[#This Row],[Candidate 5]])/(SamplingData[[#Totals],[Winning Candidate]]-SamplingData[[#Totals],[Candidate 5]]), 0)</f>
        <v>4.1352468985648261E-4</v>
      </c>
      <c r="O980" s="100">
        <f>IF(AND(SamplingData[[#This Row],[Total]]&lt;&gt; 0, NOT(ISBLANK(SamplingData[[#This Row],[Candidate 6]]))),(SamplingData[[#This Row],[Total]]+SamplingData[[#This Row],[Winning Candidate]]-SamplingData[[#This Row],[Candidate 6]])/(SamplingData[[#Totals],[Winning Candidate]]-SamplingData[[#Totals],[Candidate 6]]), 0)</f>
        <v>4.1340401731433294E-4</v>
      </c>
      <c r="P980" s="100">
        <f>MAX(SamplingData[[#This Row],[Error Bound (up) - Max. possible relative overstatement - Losing Candidate]:[Error Bound (up) - Max. possible relative overstatement - Candidate 6]])</f>
        <v>6.7368936795688392E-4</v>
      </c>
      <c r="Q980" s="100">
        <f>IF(SamplingData[[#This Row],[Max Error Bound (up)]] = 0,0,SamplingData[[#This Row],[Max Error Bound (up)]]/SamplingData[[#Totals],[Max Error Bound (up)]])</f>
        <v>1.0662243106290416E-4</v>
      </c>
      <c r="R980" s="101">
        <f>SUM($Q$5:Q980)</f>
        <v>0.25653544749857071</v>
      </c>
      <c r="S980" s="100" t="str">
        <f t="array" ref="S980">IF(SamplingData[[#This Row],[up/U Selection Probability]] = 0, "Zero", TEXT(SamplingData[[#This Row],[Lower Range]], REPT("0",LEN('General Info'!$B$40))) &amp; " - " &amp; TEXT(SamplingData[[#This Row],[Upper Range]], REPT("0",LEN('General Info'!$B$40))))</f>
        <v>25643 - 25653</v>
      </c>
      <c r="T980" s="100">
        <f>SamplingData[[#This Row],[Upper Range]]-SamplingData[[#This Row],[Span]]</f>
        <v>25642.882613373211</v>
      </c>
      <c r="U980" s="100">
        <f>IF(ISNUMBER('General Info'!$B$40), ((SamplingData[[#This Row],[up/U Selection Probability]]) * 'General Info'!$B$40) - 1, 0)</f>
        <v>9.6621364838593529</v>
      </c>
      <c r="V980" s="100">
        <f>IF(ISNUMBER('General Info'!$B$40), (SamplingData[[#This Row],[Running (cumulative) sum]] * ('General Info'!$B$40 -'General Info'!$B$41 + 1)) + 'General Info'!$B$41 - 1, 0)</f>
        <v>25652.544749857072</v>
      </c>
      <c r="W980" s="100" t="str">
        <f>IF(ISERROR(MATCH(SamplingData[[#This Row],[Batch by Type (p)]],SelectedPrecincts[Batch Name], 0)), "", INDEX(SelectedPrecincts[Draw], MATCH(SamplingData[[#This Row],[Batch by Type (p)]],SelectedPrecincts[Batch Name], 0)))</f>
        <v/>
      </c>
      <c r="X980" s="102">
        <f>IF(COUNTIF(SelectedPrecincts[Batch Name],SamplingData[[#This Row],[Batch by Type (p)]]) &lt;&gt; 0, COUNTIF(SelectedPrecincts[Batch Name],SamplingData[[#This Row],[Batch by Type (p)]]), 0)</f>
        <v>0</v>
      </c>
    </row>
    <row r="981" spans="1:24" ht="15" customHeight="1">
      <c r="A981" s="18" t="s">
        <v>1157</v>
      </c>
      <c r="B981" s="18">
        <v>9</v>
      </c>
      <c r="C981" s="18">
        <v>14</v>
      </c>
      <c r="D981" s="16">
        <v>5</v>
      </c>
      <c r="E981" s="16">
        <v>5</v>
      </c>
      <c r="F981" s="37">
        <v>0</v>
      </c>
      <c r="G981" s="37">
        <v>0</v>
      </c>
      <c r="H981" s="17">
        <v>0</v>
      </c>
      <c r="I981" s="17">
        <v>0</v>
      </c>
      <c r="J981" s="99">
        <f>SUM(SamplingData[[#This Row],[Losing Candidate]:[Under Votes]])</f>
        <v>33</v>
      </c>
      <c r="K981"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981" s="100">
        <f>IF(AND(SamplingData[[#This Row],[Total]]&lt;&gt; 0, NOT(ISBLANK(SamplingData[[#This Row],[Candidate 3]]))),(SamplingData[[#This Row],[Total]]+SamplingData[[#This Row],[Winning Candidate]]-SamplingData[[#This Row],[Candidate 3]])/(SamplingData[[#Totals],[Winning Candidate]]-SamplingData[[#Totals],[Candidate 3]]), 0)</f>
        <v>1.3549698357905604E-3</v>
      </c>
      <c r="M981" s="100">
        <f>IF(AND(SamplingData[[#This Row],[Total]]&lt;&gt; 0, NOT(ISBLANK(SamplingData[[#This Row],[Candidate 4]]))),(SamplingData[[#This Row],[Total]]+SamplingData[[#This Row],[Winning Candidate]]-SamplingData[[#This Row],[Candidate 4]])/(SamplingData[[#Totals],[Winning Candidate]]-SamplingData[[#Totals],[Candidate 4]]), 0)</f>
        <v>1.2277470841006752E-3</v>
      </c>
      <c r="N981" s="100">
        <f>IF(AND(SamplingData[[#This Row],[Total]]&lt;&gt; 0, NOT(ISBLANK(SamplingData[[#This Row],[Candidate 5]]))),(SamplingData[[#This Row],[Total]]+SamplingData[[#This Row],[Winning Candidate]]-SamplingData[[#This Row],[Candidate 5]])/(SamplingData[[#Totals],[Winning Candidate]]-SamplingData[[#Totals],[Candidate 5]]), 0)</f>
        <v>1.1432741425443931E-3</v>
      </c>
      <c r="O981" s="100">
        <f>IF(AND(SamplingData[[#This Row],[Total]]&lt;&gt; 0, NOT(ISBLANK(SamplingData[[#This Row],[Candidate 6]]))),(SamplingData[[#This Row],[Total]]+SamplingData[[#This Row],[Winning Candidate]]-SamplingData[[#This Row],[Candidate 6]])/(SamplingData[[#Totals],[Winning Candidate]]-SamplingData[[#Totals],[Candidate 6]]), 0)</f>
        <v>1.1429405184572735E-3</v>
      </c>
      <c r="P981" s="100">
        <f>MAX(SamplingData[[#This Row],[Error Bound (up) - Max. possible relative overstatement - Losing Candidate]:[Error Bound (up) - Max. possible relative overstatement - Candidate 6]])</f>
        <v>2.3272905438510533E-3</v>
      </c>
      <c r="Q981" s="100">
        <f>IF(SamplingData[[#This Row],[Max Error Bound (up)]] = 0,0,SamplingData[[#This Row],[Max Error Bound (up)]]/SamplingData[[#Totals],[Max Error Bound (up)]])</f>
        <v>3.683320345809416E-4</v>
      </c>
      <c r="R981" s="101">
        <f>SUM($Q$5:Q981)</f>
        <v>0.25690377953315163</v>
      </c>
      <c r="S981" s="100" t="str">
        <f t="array" ref="S981">IF(SamplingData[[#This Row],[up/U Selection Probability]] = 0, "Zero", TEXT(SamplingData[[#This Row],[Lower Range]], REPT("0",LEN('General Info'!$B$40))) &amp; " - " &amp; TEXT(SamplingData[[#This Row],[Upper Range]], REPT("0",LEN('General Info'!$B$40))))</f>
        <v>25654 - 25689</v>
      </c>
      <c r="T981" s="100">
        <f>SamplingData[[#This Row],[Upper Range]]-SamplingData[[#This Row],[Span]]</f>
        <v>25653.545118189104</v>
      </c>
      <c r="U981" s="100">
        <f>IF(ISNUMBER('General Info'!$B$40), ((SamplingData[[#This Row],[up/U Selection Probability]]) * 'General Info'!$B$40) - 1, 0)</f>
        <v>35.832835126059578</v>
      </c>
      <c r="V981" s="100">
        <f>IF(ISNUMBER('General Info'!$B$40), (SamplingData[[#This Row],[Running (cumulative) sum]] * ('General Info'!$B$40 -'General Info'!$B$41 + 1)) + 'General Info'!$B$41 - 1, 0)</f>
        <v>25689.377953315165</v>
      </c>
      <c r="W981" s="100" t="str">
        <f>IF(ISERROR(MATCH(SamplingData[[#This Row],[Batch by Type (p)]],SelectedPrecincts[Batch Name], 0)), "", INDEX(SelectedPrecincts[Draw], MATCH(SamplingData[[#This Row],[Batch by Type (p)]],SelectedPrecincts[Batch Name], 0)))</f>
        <v/>
      </c>
      <c r="X981" s="102">
        <f>IF(COUNTIF(SelectedPrecincts[Batch Name],SamplingData[[#This Row],[Batch by Type (p)]]) &lt;&gt; 0, COUNTIF(SelectedPrecincts[Batch Name],SamplingData[[#This Row],[Batch by Type (p)]]), 0)</f>
        <v>0</v>
      </c>
    </row>
    <row r="982" spans="1:24" ht="15" customHeight="1">
      <c r="A982" s="18" t="s">
        <v>1158</v>
      </c>
      <c r="B982" s="18">
        <v>3</v>
      </c>
      <c r="C982" s="18">
        <v>0</v>
      </c>
      <c r="D982" s="18">
        <v>1</v>
      </c>
      <c r="E982" s="18">
        <v>0</v>
      </c>
      <c r="F982" s="18">
        <v>0</v>
      </c>
      <c r="G982" s="18">
        <v>0</v>
      </c>
      <c r="H982" s="18">
        <v>0</v>
      </c>
      <c r="I982" s="18">
        <v>0</v>
      </c>
      <c r="J982" s="99">
        <f>SUM(SamplingData[[#This Row],[Losing Candidate]:[Under Votes]])</f>
        <v>4</v>
      </c>
      <c r="K98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982" s="100">
        <f>IF(AND(SamplingData[[#This Row],[Total]]&lt;&gt; 0, NOT(ISBLANK(SamplingData[[#This Row],[Candidate 3]]))),(SamplingData[[#This Row],[Total]]+SamplingData[[#This Row],[Winning Candidate]]-SamplingData[[#This Row],[Candidate 3]])/(SamplingData[[#Totals],[Winning Candidate]]-SamplingData[[#Totals],[Candidate 3]]), 0)</f>
        <v>9.6783559699325743E-5</v>
      </c>
      <c r="M982" s="100">
        <f>IF(AND(SamplingData[[#This Row],[Total]]&lt;&gt; 0, NOT(ISBLANK(SamplingData[[#This Row],[Candidate 4]]))),(SamplingData[[#This Row],[Total]]+SamplingData[[#This Row],[Winning Candidate]]-SamplingData[[#This Row],[Candidate 4]])/(SamplingData[[#Totals],[Winning Candidate]]-SamplingData[[#Totals],[Candidate 4]]), 0)</f>
        <v>1.1692829372387384E-4</v>
      </c>
      <c r="N982" s="100">
        <f>IF(AND(SamplingData[[#This Row],[Total]]&lt;&gt; 0, NOT(ISBLANK(SamplingData[[#This Row],[Candidate 5]]))),(SamplingData[[#This Row],[Total]]+SamplingData[[#This Row],[Winning Candidate]]-SamplingData[[#This Row],[Candidate 5]])/(SamplingData[[#Totals],[Winning Candidate]]-SamplingData[[#Totals],[Candidate 5]]), 0)</f>
        <v>9.7299927025054734E-5</v>
      </c>
      <c r="O982" s="100">
        <f>IF(AND(SamplingData[[#This Row],[Total]]&lt;&gt; 0, NOT(ISBLANK(SamplingData[[#This Row],[Candidate 6]]))),(SamplingData[[#This Row],[Total]]+SamplingData[[#This Row],[Winning Candidate]]-SamplingData[[#This Row],[Candidate 6]])/(SamplingData[[#Totals],[Winning Candidate]]-SamplingData[[#Totals],[Candidate 6]]), 0)</f>
        <v>9.7271533485725401E-5</v>
      </c>
      <c r="P982" s="100">
        <f>MAX(SamplingData[[#This Row],[Error Bound (up) - Max. possible relative overstatement - Losing Candidate]:[Error Bound (up) - Max. possible relative overstatement - Candidate 6]])</f>
        <v>1.1692829372387384E-4</v>
      </c>
      <c r="Q982" s="100">
        <f>IF(SamplingData[[#This Row],[Max Error Bound (up)]] = 0,0,SamplingData[[#This Row],[Max Error Bound (up)]]/SamplingData[[#Totals],[Max Error Bound (up)]])</f>
        <v>1.85058270619385E-5</v>
      </c>
      <c r="R982" s="101">
        <f>SUM($Q$5:Q982)</f>
        <v>0.25692228536021355</v>
      </c>
      <c r="S982" s="100" t="str">
        <f t="array" ref="S982">IF(SamplingData[[#This Row],[up/U Selection Probability]] = 0, "Zero", TEXT(SamplingData[[#This Row],[Lower Range]], REPT("0",LEN('General Info'!$B$40))) &amp; " - " &amp; TEXT(SamplingData[[#This Row],[Upper Range]], REPT("0",LEN('General Info'!$B$40))))</f>
        <v>25690 - 25691</v>
      </c>
      <c r="T982" s="100">
        <f>SamplingData[[#This Row],[Upper Range]]-SamplingData[[#This Row],[Span]]</f>
        <v>25690.377971820988</v>
      </c>
      <c r="U982" s="100">
        <f>IF(ISNUMBER('General Info'!$B$40), ((SamplingData[[#This Row],[up/U Selection Probability]]) * 'General Info'!$B$40) - 1, 0)</f>
        <v>0.85056420036678815</v>
      </c>
      <c r="V982" s="100">
        <f>IF(ISNUMBER('General Info'!$B$40), (SamplingData[[#This Row],[Running (cumulative) sum]] * ('General Info'!$B$40 -'General Info'!$B$41 + 1)) + 'General Info'!$B$41 - 1, 0)</f>
        <v>25691.228536021354</v>
      </c>
      <c r="W982" s="100" t="str">
        <f>IF(ISERROR(MATCH(SamplingData[[#This Row],[Batch by Type (p)]],SelectedPrecincts[Batch Name], 0)), "", INDEX(SelectedPrecincts[Draw], MATCH(SamplingData[[#This Row],[Batch by Type (p)]],SelectedPrecincts[Batch Name], 0)))</f>
        <v/>
      </c>
      <c r="X982" s="102">
        <f>IF(COUNTIF(SelectedPrecincts[Batch Name],SamplingData[[#This Row],[Batch by Type (p)]]) &lt;&gt; 0, COUNTIF(SelectedPrecincts[Batch Name],SamplingData[[#This Row],[Batch by Type (p)]]), 0)</f>
        <v>0</v>
      </c>
    </row>
    <row r="983" spans="1:24" ht="15" customHeight="1">
      <c r="A983" s="18" t="s">
        <v>1159</v>
      </c>
      <c r="B983" s="18">
        <v>3</v>
      </c>
      <c r="C983" s="18">
        <v>5</v>
      </c>
      <c r="D983" s="16">
        <v>3</v>
      </c>
      <c r="E983" s="16">
        <v>6</v>
      </c>
      <c r="F983" s="37">
        <v>0</v>
      </c>
      <c r="G983" s="37">
        <v>0</v>
      </c>
      <c r="H983" s="17">
        <v>0</v>
      </c>
      <c r="I983" s="17">
        <v>2</v>
      </c>
      <c r="J983" s="99">
        <f>SUM(SamplingData[[#This Row],[Losing Candidate]:[Under Votes]])</f>
        <v>19</v>
      </c>
      <c r="K983"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983" s="100">
        <f>IF(AND(SamplingData[[#This Row],[Total]]&lt;&gt; 0, NOT(ISBLANK(SamplingData[[#This Row],[Candidate 3]]))),(SamplingData[[#This Row],[Total]]+SamplingData[[#This Row],[Winning Candidate]]-SamplingData[[#This Row],[Candidate 3]])/(SamplingData[[#Totals],[Winning Candidate]]-SamplingData[[#Totals],[Candidate 3]]), 0)</f>
        <v>6.7748491789528019E-4</v>
      </c>
      <c r="M983" s="100">
        <f>IF(AND(SamplingData[[#This Row],[Total]]&lt;&gt; 0, NOT(ISBLANK(SamplingData[[#This Row],[Candidate 4]]))),(SamplingData[[#This Row],[Total]]+SamplingData[[#This Row],[Winning Candidate]]-SamplingData[[#This Row],[Candidate 4]])/(SamplingData[[#Totals],[Winning Candidate]]-SamplingData[[#Totals],[Candidate 4]]), 0)</f>
        <v>5.2617732175743229E-4</v>
      </c>
      <c r="N983" s="100">
        <f>IF(AND(SamplingData[[#This Row],[Total]]&lt;&gt; 0, NOT(ISBLANK(SamplingData[[#This Row],[Candidate 5]]))),(SamplingData[[#This Row],[Total]]+SamplingData[[#This Row],[Winning Candidate]]-SamplingData[[#This Row],[Candidate 5]])/(SamplingData[[#Totals],[Winning Candidate]]-SamplingData[[#Totals],[Candidate 5]]), 0)</f>
        <v>5.8379956215032843E-4</v>
      </c>
      <c r="O983" s="100">
        <f>IF(AND(SamplingData[[#This Row],[Total]]&lt;&gt; 0, NOT(ISBLANK(SamplingData[[#This Row],[Candidate 6]]))),(SamplingData[[#This Row],[Total]]+SamplingData[[#This Row],[Winning Candidate]]-SamplingData[[#This Row],[Candidate 6]])/(SamplingData[[#Totals],[Winning Candidate]]-SamplingData[[#Totals],[Candidate 6]]), 0)</f>
        <v>5.8362920091435243E-4</v>
      </c>
      <c r="P983" s="100">
        <f>MAX(SamplingData[[#This Row],[Error Bound (up) - Max. possible relative overstatement - Losing Candidate]:[Error Bound (up) - Max. possible relative overstatement - Candidate 6]])</f>
        <v>1.2861342479176874E-3</v>
      </c>
      <c r="Q983" s="100">
        <f>IF(SamplingData[[#This Row],[Max Error Bound (up)]] = 0,0,SamplingData[[#This Row],[Max Error Bound (up)]]/SamplingData[[#Totals],[Max Error Bound (up)]])</f>
        <v>2.0355191384736248E-4</v>
      </c>
      <c r="R983" s="101">
        <f>SUM($Q$5:Q983)</f>
        <v>0.25712583727406091</v>
      </c>
      <c r="S983" s="100" t="str">
        <f t="array" ref="S983">IF(SamplingData[[#This Row],[up/U Selection Probability]] = 0, "Zero", TEXT(SamplingData[[#This Row],[Lower Range]], REPT("0",LEN('General Info'!$B$40))) &amp; " - " &amp; TEXT(SamplingData[[#This Row],[Upper Range]], REPT("0",LEN('General Info'!$B$40))))</f>
        <v>25692 - 25712</v>
      </c>
      <c r="T983" s="100">
        <f>SamplingData[[#This Row],[Upper Range]]-SamplingData[[#This Row],[Span]]</f>
        <v>25692.228739573267</v>
      </c>
      <c r="U983" s="100">
        <f>IF(ISNUMBER('General Info'!$B$40), ((SamplingData[[#This Row],[up/U Selection Probability]]) * 'General Info'!$B$40) - 1, 0)</f>
        <v>19.354987832822399</v>
      </c>
      <c r="V983" s="100">
        <f>IF(ISNUMBER('General Info'!$B$40), (SamplingData[[#This Row],[Running (cumulative) sum]] * ('General Info'!$B$40 -'General Info'!$B$41 + 1)) + 'General Info'!$B$41 - 1, 0)</f>
        <v>25711.58372740609</v>
      </c>
      <c r="W983" s="100" t="str">
        <f>IF(ISERROR(MATCH(SamplingData[[#This Row],[Batch by Type (p)]],SelectedPrecincts[Batch Name], 0)), "", INDEX(SelectedPrecincts[Draw], MATCH(SamplingData[[#This Row],[Batch by Type (p)]],SelectedPrecincts[Batch Name], 0)))</f>
        <v/>
      </c>
      <c r="X983" s="102">
        <f>IF(COUNTIF(SelectedPrecincts[Batch Name],SamplingData[[#This Row],[Batch by Type (p)]]) &lt;&gt; 0, COUNTIF(SelectedPrecincts[Batch Name],SamplingData[[#This Row],[Batch by Type (p)]]), 0)</f>
        <v>0</v>
      </c>
    </row>
    <row r="984" spans="1:24" ht="15" customHeight="1">
      <c r="A984" s="18" t="s">
        <v>1160</v>
      </c>
      <c r="B984" s="18">
        <v>0</v>
      </c>
      <c r="C984" s="18">
        <v>1</v>
      </c>
      <c r="D984" s="18">
        <v>1</v>
      </c>
      <c r="E984" s="18">
        <v>0</v>
      </c>
      <c r="F984" s="18">
        <v>0</v>
      </c>
      <c r="G984" s="18">
        <v>0</v>
      </c>
      <c r="H984" s="18">
        <v>0</v>
      </c>
      <c r="I984" s="18">
        <v>0</v>
      </c>
      <c r="J984" s="99">
        <f>SUM(SamplingData[[#This Row],[Losing Candidate]:[Under Votes]])</f>
        <v>2</v>
      </c>
      <c r="K984"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984" s="100">
        <f>IF(AND(SamplingData[[#This Row],[Total]]&lt;&gt; 0, NOT(ISBLANK(SamplingData[[#This Row],[Candidate 3]]))),(SamplingData[[#This Row],[Total]]+SamplingData[[#This Row],[Winning Candidate]]-SamplingData[[#This Row],[Candidate 3]])/(SamplingData[[#Totals],[Winning Candidate]]-SamplingData[[#Totals],[Candidate 3]]), 0)</f>
        <v>6.4522373132883833E-5</v>
      </c>
      <c r="M984" s="100">
        <f>IF(AND(SamplingData[[#This Row],[Total]]&lt;&gt; 0, NOT(ISBLANK(SamplingData[[#This Row],[Candidate 4]]))),(SamplingData[[#This Row],[Total]]+SamplingData[[#This Row],[Winning Candidate]]-SamplingData[[#This Row],[Candidate 4]])/(SamplingData[[#Totals],[Winning Candidate]]-SamplingData[[#Totals],[Candidate 4]]), 0)</f>
        <v>8.7696220292905373E-5</v>
      </c>
      <c r="N984" s="100">
        <f>IF(AND(SamplingData[[#This Row],[Total]]&lt;&gt; 0, NOT(ISBLANK(SamplingData[[#This Row],[Candidate 5]]))),(SamplingData[[#This Row],[Total]]+SamplingData[[#This Row],[Winning Candidate]]-SamplingData[[#This Row],[Candidate 5]])/(SamplingData[[#Totals],[Winning Candidate]]-SamplingData[[#Totals],[Candidate 5]]), 0)</f>
        <v>7.2974945268791054E-5</v>
      </c>
      <c r="O984" s="100">
        <f>IF(AND(SamplingData[[#This Row],[Total]]&lt;&gt; 0, NOT(ISBLANK(SamplingData[[#This Row],[Candidate 6]]))),(SamplingData[[#This Row],[Total]]+SamplingData[[#This Row],[Winning Candidate]]-SamplingData[[#This Row],[Candidate 6]])/(SamplingData[[#Totals],[Winning Candidate]]-SamplingData[[#Totals],[Candidate 6]]), 0)</f>
        <v>7.2953650114294054E-5</v>
      </c>
      <c r="P984" s="100">
        <f>MAX(SamplingData[[#This Row],[Error Bound (up) - Max. possible relative overstatement - Losing Candidate]:[Error Bound (up) - Max. possible relative overstatement - Candidate 6]])</f>
        <v>1.8373346398824106E-4</v>
      </c>
      <c r="Q984" s="100">
        <f>IF(SamplingData[[#This Row],[Max Error Bound (up)]] = 0,0,SamplingData[[#This Row],[Max Error Bound (up)]]/SamplingData[[#Totals],[Max Error Bound (up)]])</f>
        <v>2.9078844835337493E-5</v>
      </c>
      <c r="R984" s="101">
        <f>SUM($Q$5:Q984)</f>
        <v>0.25715491611889624</v>
      </c>
      <c r="S984" s="100" t="str">
        <f t="array" ref="S984">IF(SamplingData[[#This Row],[up/U Selection Probability]] = 0, "Zero", TEXT(SamplingData[[#This Row],[Lower Range]], REPT("0",LEN('General Info'!$B$40))) &amp; " - " &amp; TEXT(SamplingData[[#This Row],[Upper Range]], REPT("0",LEN('General Info'!$B$40))))</f>
        <v>25713 - 25714</v>
      </c>
      <c r="T984" s="100">
        <f>SamplingData[[#This Row],[Upper Range]]-SamplingData[[#This Row],[Span]]</f>
        <v>25712.583756484935</v>
      </c>
      <c r="U984" s="100">
        <f>IF(ISNUMBER('General Info'!$B$40), ((SamplingData[[#This Row],[up/U Selection Probability]]) * 'General Info'!$B$40) - 1, 0)</f>
        <v>1.907855404688914</v>
      </c>
      <c r="V984" s="100">
        <f>IF(ISNUMBER('General Info'!$B$40), (SamplingData[[#This Row],[Running (cumulative) sum]] * ('General Info'!$B$40 -'General Info'!$B$41 + 1)) + 'General Info'!$B$41 - 1, 0)</f>
        <v>25714.491611889625</v>
      </c>
      <c r="W984" s="100" t="str">
        <f>IF(ISERROR(MATCH(SamplingData[[#This Row],[Batch by Type (p)]],SelectedPrecincts[Batch Name], 0)), "", INDEX(SelectedPrecincts[Draw], MATCH(SamplingData[[#This Row],[Batch by Type (p)]],SelectedPrecincts[Batch Name], 0)))</f>
        <v/>
      </c>
      <c r="X984" s="102">
        <f>IF(COUNTIF(SelectedPrecincts[Batch Name],SamplingData[[#This Row],[Batch by Type (p)]]) &lt;&gt; 0, COUNTIF(SelectedPrecincts[Batch Name],SamplingData[[#This Row],[Batch by Type (p)]]), 0)</f>
        <v>0</v>
      </c>
    </row>
    <row r="985" spans="1:24" ht="15" customHeight="1">
      <c r="A985" s="18" t="s">
        <v>1161</v>
      </c>
      <c r="B985" s="18">
        <v>8</v>
      </c>
      <c r="C985" s="18">
        <v>18</v>
      </c>
      <c r="D985" s="16">
        <v>2</v>
      </c>
      <c r="E985" s="16">
        <v>2</v>
      </c>
      <c r="F985" s="37">
        <v>0</v>
      </c>
      <c r="G985" s="37">
        <v>1</v>
      </c>
      <c r="H985" s="17">
        <v>0</v>
      </c>
      <c r="I985" s="17">
        <v>0</v>
      </c>
      <c r="J985" s="99">
        <f>SUM(SamplingData[[#This Row],[Losing Candidate]:[Under Votes]])</f>
        <v>31</v>
      </c>
      <c r="K985" s="100">
        <f>IF(AND(SamplingData[[#This Row],[Total]]&lt;&gt; 0, NOT(ISBLANK(SamplingData[[#This Row],[Losing Candidate]]))),(SamplingData[[#This Row],[Total]]+SamplingData[[#This Row],[Winning Candidate]]-SamplingData[[#This Row],[Losing Candidate]])/(SamplingData[[#Totals],[Winning Candidate]]-SamplingData[[#Totals],[Losing Candidate]]), 0)</f>
        <v>2.5110240078392945E-3</v>
      </c>
      <c r="L985" s="100">
        <f>IF(AND(SamplingData[[#This Row],[Total]]&lt;&gt; 0, NOT(ISBLANK(SamplingData[[#This Row],[Candidate 3]]))),(SamplingData[[#This Row],[Total]]+SamplingData[[#This Row],[Winning Candidate]]-SamplingData[[#This Row],[Candidate 3]])/(SamplingData[[#Totals],[Winning Candidate]]-SamplingData[[#Totals],[Candidate 3]]), 0)</f>
        <v>1.5162757686227699E-3</v>
      </c>
      <c r="M985" s="100">
        <f>IF(AND(SamplingData[[#This Row],[Total]]&lt;&gt; 0, NOT(ISBLANK(SamplingData[[#This Row],[Candidate 4]]))),(SamplingData[[#This Row],[Total]]+SamplingData[[#This Row],[Winning Candidate]]-SamplingData[[#This Row],[Candidate 4]])/(SamplingData[[#Totals],[Winning Candidate]]-SamplingData[[#Totals],[Candidate 4]]), 0)</f>
        <v>1.3739074512555175E-3</v>
      </c>
      <c r="N985" s="100">
        <f>IF(AND(SamplingData[[#This Row],[Total]]&lt;&gt; 0, NOT(ISBLANK(SamplingData[[#This Row],[Candidate 5]]))),(SamplingData[[#This Row],[Total]]+SamplingData[[#This Row],[Winning Candidate]]-SamplingData[[#This Row],[Candidate 5]])/(SamplingData[[#Totals],[Winning Candidate]]-SamplingData[[#Totals],[Candidate 5]]), 0)</f>
        <v>1.1919241060569204E-3</v>
      </c>
      <c r="O985" s="100">
        <f>IF(AND(SamplingData[[#This Row],[Total]]&lt;&gt; 0, NOT(ISBLANK(SamplingData[[#This Row],[Candidate 6]]))),(SamplingData[[#This Row],[Total]]+SamplingData[[#This Row],[Winning Candidate]]-SamplingData[[#This Row],[Candidate 6]])/(SamplingData[[#Totals],[Winning Candidate]]-SamplingData[[#Totals],[Candidate 6]]), 0)</f>
        <v>1.1672584018287049E-3</v>
      </c>
      <c r="P985" s="100">
        <f>MAX(SamplingData[[#This Row],[Error Bound (up) - Max. possible relative overstatement - Losing Candidate]:[Error Bound (up) - Max. possible relative overstatement - Candidate 6]])</f>
        <v>2.5110240078392945E-3</v>
      </c>
      <c r="Q985" s="100">
        <f>IF(SamplingData[[#This Row],[Max Error Bound (up)]] = 0,0,SamplingData[[#This Row],[Max Error Bound (up)]]/SamplingData[[#Totals],[Max Error Bound (up)]])</f>
        <v>3.9741087941627912E-4</v>
      </c>
      <c r="R985" s="101">
        <f>SUM($Q$5:Q985)</f>
        <v>0.25755232699831254</v>
      </c>
      <c r="S985" s="100" t="str">
        <f t="array" ref="S985">IF(SamplingData[[#This Row],[up/U Selection Probability]] = 0, "Zero", TEXT(SamplingData[[#This Row],[Lower Range]], REPT("0",LEN('General Info'!$B$40))) &amp; " - " &amp; TEXT(SamplingData[[#This Row],[Upper Range]], REPT("0",LEN('General Info'!$B$40))))</f>
        <v>25715 - 25754</v>
      </c>
      <c r="T985" s="100">
        <f>SamplingData[[#This Row],[Upper Range]]-SamplingData[[#This Row],[Span]]</f>
        <v>25715.492009300506</v>
      </c>
      <c r="U985" s="100">
        <f>IF(ISNUMBER('General Info'!$B$40), ((SamplingData[[#This Row],[up/U Selection Probability]]) * 'General Info'!$B$40) - 1, 0)</f>
        <v>38.740690530748495</v>
      </c>
      <c r="V985" s="100">
        <f>IF(ISNUMBER('General Info'!$B$40), (SamplingData[[#This Row],[Running (cumulative) sum]] * ('General Info'!$B$40 -'General Info'!$B$41 + 1)) + 'General Info'!$B$41 - 1, 0)</f>
        <v>25754.232699831253</v>
      </c>
      <c r="W985" s="100" t="str">
        <f>IF(ISERROR(MATCH(SamplingData[[#This Row],[Batch by Type (p)]],SelectedPrecincts[Batch Name], 0)), "", INDEX(SelectedPrecincts[Draw], MATCH(SamplingData[[#This Row],[Batch by Type (p)]],SelectedPrecincts[Batch Name], 0)))</f>
        <v/>
      </c>
      <c r="X985" s="102">
        <f>IF(COUNTIF(SelectedPrecincts[Batch Name],SamplingData[[#This Row],[Batch by Type (p)]]) &lt;&gt; 0, COUNTIF(SelectedPrecincts[Batch Name],SamplingData[[#This Row],[Batch by Type (p)]]), 0)</f>
        <v>0</v>
      </c>
    </row>
    <row r="986" spans="1:24" ht="15" customHeight="1">
      <c r="A986" s="18" t="s">
        <v>1162</v>
      </c>
      <c r="B986" s="18">
        <v>6</v>
      </c>
      <c r="C986" s="18">
        <v>5</v>
      </c>
      <c r="D986" s="18">
        <v>0</v>
      </c>
      <c r="E986" s="18">
        <v>1</v>
      </c>
      <c r="F986" s="18">
        <v>0</v>
      </c>
      <c r="G986" s="18">
        <v>0</v>
      </c>
      <c r="H986" s="18">
        <v>0</v>
      </c>
      <c r="I986" s="18">
        <v>1</v>
      </c>
      <c r="J986" s="99">
        <f>SUM(SamplingData[[#This Row],[Losing Candidate]:[Under Votes]])</f>
        <v>13</v>
      </c>
      <c r="K986"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986" s="100">
        <f>IF(AND(SamplingData[[#This Row],[Total]]&lt;&gt; 0, NOT(ISBLANK(SamplingData[[#This Row],[Candidate 3]]))),(SamplingData[[#This Row],[Total]]+SamplingData[[#This Row],[Winning Candidate]]-SamplingData[[#This Row],[Candidate 3]])/(SamplingData[[#Totals],[Winning Candidate]]-SamplingData[[#Totals],[Candidate 3]]), 0)</f>
        <v>5.8070135819595443E-4</v>
      </c>
      <c r="M986" s="100">
        <f>IF(AND(SamplingData[[#This Row],[Total]]&lt;&gt; 0, NOT(ISBLANK(SamplingData[[#This Row],[Candidate 4]]))),(SamplingData[[#This Row],[Total]]+SamplingData[[#This Row],[Winning Candidate]]-SamplingData[[#This Row],[Candidate 4]])/(SamplingData[[#Totals],[Winning Candidate]]-SamplingData[[#Totals],[Candidate 4]]), 0)</f>
        <v>4.9694524832646382E-4</v>
      </c>
      <c r="N986" s="100">
        <f>IF(AND(SamplingData[[#This Row],[Total]]&lt;&gt; 0, NOT(ISBLANK(SamplingData[[#This Row],[Candidate 5]]))),(SamplingData[[#This Row],[Total]]+SamplingData[[#This Row],[Winning Candidate]]-SamplingData[[#This Row],[Candidate 5]])/(SamplingData[[#Totals],[Winning Candidate]]-SamplingData[[#Totals],[Candidate 5]]), 0)</f>
        <v>4.3784967161274629E-4</v>
      </c>
      <c r="O986" s="100">
        <f>IF(AND(SamplingData[[#This Row],[Total]]&lt;&gt; 0, NOT(ISBLANK(SamplingData[[#This Row],[Candidate 6]]))),(SamplingData[[#This Row],[Total]]+SamplingData[[#This Row],[Winning Candidate]]-SamplingData[[#This Row],[Candidate 6]])/(SamplingData[[#Totals],[Winning Candidate]]-SamplingData[[#Totals],[Candidate 6]]), 0)</f>
        <v>4.3772190068576433E-4</v>
      </c>
      <c r="P986" s="100">
        <f>MAX(SamplingData[[#This Row],[Error Bound (up) - Max. possible relative overstatement - Losing Candidate]:[Error Bound (up) - Max. possible relative overstatement - Candidate 6]])</f>
        <v>7.3493385595296422E-4</v>
      </c>
      <c r="Q986" s="100">
        <f>IF(SamplingData[[#This Row],[Max Error Bound (up)]] = 0,0,SamplingData[[#This Row],[Max Error Bound (up)]]/SamplingData[[#Totals],[Max Error Bound (up)]])</f>
        <v>1.1631537934134997E-4</v>
      </c>
      <c r="R986" s="101">
        <f>SUM($Q$5:Q986)</f>
        <v>0.25766864237765391</v>
      </c>
      <c r="S986" s="100" t="str">
        <f t="array" ref="S986">IF(SamplingData[[#This Row],[up/U Selection Probability]] = 0, "Zero", TEXT(SamplingData[[#This Row],[Lower Range]], REPT("0",LEN('General Info'!$B$40))) &amp; " - " &amp; TEXT(SamplingData[[#This Row],[Upper Range]], REPT("0",LEN('General Info'!$B$40))))</f>
        <v>25755 - 25766</v>
      </c>
      <c r="T986" s="100">
        <f>SamplingData[[#This Row],[Upper Range]]-SamplingData[[#This Row],[Span]]</f>
        <v>25755.232816146636</v>
      </c>
      <c r="U986" s="100">
        <f>IF(ISNUMBER('General Info'!$B$40), ((SamplingData[[#This Row],[up/U Selection Probability]]) * 'General Info'!$B$40) - 1, 0)</f>
        <v>10.631421618755656</v>
      </c>
      <c r="V986" s="100">
        <f>IF(ISNUMBER('General Info'!$B$40), (SamplingData[[#This Row],[Running (cumulative) sum]] * ('General Info'!$B$40 -'General Info'!$B$41 + 1)) + 'General Info'!$B$41 - 1, 0)</f>
        <v>25765.864237765392</v>
      </c>
      <c r="W986" s="100" t="str">
        <f>IF(ISERROR(MATCH(SamplingData[[#This Row],[Batch by Type (p)]],SelectedPrecincts[Batch Name], 0)), "", INDEX(SelectedPrecincts[Draw], MATCH(SamplingData[[#This Row],[Batch by Type (p)]],SelectedPrecincts[Batch Name], 0)))</f>
        <v/>
      </c>
      <c r="X986" s="102">
        <f>IF(COUNTIF(SelectedPrecincts[Batch Name],SamplingData[[#This Row],[Batch by Type (p)]]) &lt;&gt; 0, COUNTIF(SelectedPrecincts[Batch Name],SamplingData[[#This Row],[Batch by Type (p)]]), 0)</f>
        <v>0</v>
      </c>
    </row>
    <row r="987" spans="1:24" ht="15" customHeight="1">
      <c r="A987" s="18" t="s">
        <v>1163</v>
      </c>
      <c r="B987" s="18">
        <v>15</v>
      </c>
      <c r="C987" s="18">
        <v>34</v>
      </c>
      <c r="D987" s="16">
        <v>13</v>
      </c>
      <c r="E987" s="16">
        <v>1</v>
      </c>
      <c r="F987" s="37">
        <v>0</v>
      </c>
      <c r="G987" s="37">
        <v>0</v>
      </c>
      <c r="H987" s="17">
        <v>0</v>
      </c>
      <c r="I987" s="17">
        <v>0</v>
      </c>
      <c r="J987" s="99">
        <f>SUM(SamplingData[[#This Row],[Losing Candidate]:[Under Votes]])</f>
        <v>63</v>
      </c>
      <c r="K987"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987" s="100">
        <f>IF(AND(SamplingData[[#This Row],[Total]]&lt;&gt; 0, NOT(ISBLANK(SamplingData[[#This Row],[Candidate 3]]))),(SamplingData[[#This Row],[Total]]+SamplingData[[#This Row],[Winning Candidate]]-SamplingData[[#This Row],[Candidate 3]])/(SamplingData[[#Totals],[Winning Candidate]]-SamplingData[[#Totals],[Candidate 3]]), 0)</f>
        <v>2.7099396715811208E-3</v>
      </c>
      <c r="M987" s="100">
        <f>IF(AND(SamplingData[[#This Row],[Total]]&lt;&gt; 0, NOT(ISBLANK(SamplingData[[#This Row],[Candidate 4]]))),(SamplingData[[#This Row],[Total]]+SamplingData[[#This Row],[Winning Candidate]]-SamplingData[[#This Row],[Candidate 4]])/(SamplingData[[#Totals],[Winning Candidate]]-SamplingData[[#Totals],[Candidate 4]]), 0)</f>
        <v>2.8062790493729719E-3</v>
      </c>
      <c r="N987" s="100">
        <f>IF(AND(SamplingData[[#This Row],[Total]]&lt;&gt; 0, NOT(ISBLANK(SamplingData[[#This Row],[Candidate 5]]))),(SamplingData[[#This Row],[Total]]+SamplingData[[#This Row],[Winning Candidate]]-SamplingData[[#This Row],[Candidate 5]])/(SamplingData[[#Totals],[Winning Candidate]]-SamplingData[[#Totals],[Candidate 5]]), 0)</f>
        <v>2.3595232303575773E-3</v>
      </c>
      <c r="O987" s="100">
        <f>IF(AND(SamplingData[[#This Row],[Total]]&lt;&gt; 0, NOT(ISBLANK(SamplingData[[#This Row],[Candidate 6]]))),(SamplingData[[#This Row],[Total]]+SamplingData[[#This Row],[Winning Candidate]]-SamplingData[[#This Row],[Candidate 6]])/(SamplingData[[#Totals],[Winning Candidate]]-SamplingData[[#Totals],[Candidate 6]]), 0)</f>
        <v>2.3588346870288411E-3</v>
      </c>
      <c r="P987" s="100">
        <f>MAX(SamplingData[[#This Row],[Error Bound (up) - Max. possible relative overstatement - Losing Candidate]:[Error Bound (up) - Max. possible relative overstatement - Candidate 6]])</f>
        <v>5.0220480156785889E-3</v>
      </c>
      <c r="Q987" s="100">
        <f>IF(SamplingData[[#This Row],[Max Error Bound (up)]] = 0,0,SamplingData[[#This Row],[Max Error Bound (up)]]/SamplingData[[#Totals],[Max Error Bound (up)]])</f>
        <v>7.9482175883255823E-4</v>
      </c>
      <c r="R987" s="101">
        <f>SUM($Q$5:Q987)</f>
        <v>0.25846346413648646</v>
      </c>
      <c r="S987" s="100" t="str">
        <f t="array" ref="S987">IF(SamplingData[[#This Row],[up/U Selection Probability]] = 0, "Zero", TEXT(SamplingData[[#This Row],[Lower Range]], REPT("0",LEN('General Info'!$B$40))) &amp; " - " &amp; TEXT(SamplingData[[#This Row],[Upper Range]], REPT("0",LEN('General Info'!$B$40))))</f>
        <v>25767 - 25845</v>
      </c>
      <c r="T987" s="100">
        <f>SamplingData[[#This Row],[Upper Range]]-SamplingData[[#This Row],[Span]]</f>
        <v>25766.865032587149</v>
      </c>
      <c r="U987" s="100">
        <f>IF(ISNUMBER('General Info'!$B$40), ((SamplingData[[#This Row],[up/U Selection Probability]]) * 'General Info'!$B$40) - 1, 0)</f>
        <v>78.48138106149699</v>
      </c>
      <c r="V987" s="100">
        <f>IF(ISNUMBER('General Info'!$B$40), (SamplingData[[#This Row],[Running (cumulative) sum]] * ('General Info'!$B$40 -'General Info'!$B$41 + 1)) + 'General Info'!$B$41 - 1, 0)</f>
        <v>25845.346413648647</v>
      </c>
      <c r="W987" s="100" t="str">
        <f>IF(ISERROR(MATCH(SamplingData[[#This Row],[Batch by Type (p)]],SelectedPrecincts[Batch Name], 0)), "", INDEX(SelectedPrecincts[Draw], MATCH(SamplingData[[#This Row],[Batch by Type (p)]],SelectedPrecincts[Batch Name], 0)))</f>
        <v/>
      </c>
      <c r="X987" s="102">
        <f>IF(COUNTIF(SelectedPrecincts[Batch Name],SamplingData[[#This Row],[Batch by Type (p)]]) &lt;&gt; 0, COUNTIF(SelectedPrecincts[Batch Name],SamplingData[[#This Row],[Batch by Type (p)]]), 0)</f>
        <v>0</v>
      </c>
    </row>
    <row r="988" spans="1:24" ht="15" customHeight="1">
      <c r="A988" s="18" t="s">
        <v>1164</v>
      </c>
      <c r="B988" s="18">
        <v>7</v>
      </c>
      <c r="C988" s="18">
        <v>9</v>
      </c>
      <c r="D988" s="18">
        <v>4</v>
      </c>
      <c r="E988" s="18">
        <v>0</v>
      </c>
      <c r="F988" s="18">
        <v>1</v>
      </c>
      <c r="G988" s="18">
        <v>0</v>
      </c>
      <c r="H988" s="18">
        <v>0</v>
      </c>
      <c r="I988" s="18">
        <v>0</v>
      </c>
      <c r="J988" s="99">
        <f>SUM(SamplingData[[#This Row],[Losing Candidate]:[Under Votes]])</f>
        <v>21</v>
      </c>
      <c r="K988"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988" s="100">
        <f>IF(AND(SamplingData[[#This Row],[Total]]&lt;&gt; 0, NOT(ISBLANK(SamplingData[[#This Row],[Candidate 3]]))),(SamplingData[[#This Row],[Total]]+SamplingData[[#This Row],[Winning Candidate]]-SamplingData[[#This Row],[Candidate 3]])/(SamplingData[[#Totals],[Winning Candidate]]-SamplingData[[#Totals],[Candidate 3]]), 0)</f>
        <v>8.3879085072748971E-4</v>
      </c>
      <c r="M988" s="100">
        <f>IF(AND(SamplingData[[#This Row],[Total]]&lt;&gt; 0, NOT(ISBLANK(SamplingData[[#This Row],[Candidate 4]]))),(SamplingData[[#This Row],[Total]]+SamplingData[[#This Row],[Winning Candidate]]-SamplingData[[#This Row],[Candidate 4]])/(SamplingData[[#Totals],[Winning Candidate]]-SamplingData[[#Totals],[Candidate 4]]), 0)</f>
        <v>8.7696220292905378E-4</v>
      </c>
      <c r="N988" s="100">
        <f>IF(AND(SamplingData[[#This Row],[Total]]&lt;&gt; 0, NOT(ISBLANK(SamplingData[[#This Row],[Candidate 5]]))),(SamplingData[[#This Row],[Total]]+SamplingData[[#This Row],[Winning Candidate]]-SamplingData[[#This Row],[Candidate 5]])/(SamplingData[[#Totals],[Winning Candidate]]-SamplingData[[#Totals],[Candidate 5]]), 0)</f>
        <v>7.0542447093164683E-4</v>
      </c>
      <c r="O988" s="100">
        <f>IF(AND(SamplingData[[#This Row],[Total]]&lt;&gt; 0, NOT(ISBLANK(SamplingData[[#This Row],[Candidate 6]]))),(SamplingData[[#This Row],[Total]]+SamplingData[[#This Row],[Winning Candidate]]-SamplingData[[#This Row],[Candidate 6]])/(SamplingData[[#Totals],[Winning Candidate]]-SamplingData[[#Totals],[Candidate 6]]), 0)</f>
        <v>7.2953650114294054E-4</v>
      </c>
      <c r="P988" s="100">
        <f>MAX(SamplingData[[#This Row],[Error Bound (up) - Max. possible relative overstatement - Losing Candidate]:[Error Bound (up) - Max. possible relative overstatement - Candidate 6]])</f>
        <v>1.408623223909848E-3</v>
      </c>
      <c r="Q988" s="100">
        <f>IF(SamplingData[[#This Row],[Max Error Bound (up)]] = 0,0,SamplingData[[#This Row],[Max Error Bound (up)]]/SamplingData[[#Totals],[Max Error Bound (up)]])</f>
        <v>2.229378104042541E-4</v>
      </c>
      <c r="R988" s="101">
        <f>SUM($Q$5:Q988)</f>
        <v>0.25868640194689074</v>
      </c>
      <c r="S988" s="100" t="str">
        <f t="array" ref="S988">IF(SamplingData[[#This Row],[up/U Selection Probability]] = 0, "Zero", TEXT(SamplingData[[#This Row],[Lower Range]], REPT("0",LEN('General Info'!$B$40))) &amp; " - " &amp; TEXT(SamplingData[[#This Row],[Upper Range]], REPT("0",LEN('General Info'!$B$40))))</f>
        <v>25846 - 25868</v>
      </c>
      <c r="T988" s="100">
        <f>SamplingData[[#This Row],[Upper Range]]-SamplingData[[#This Row],[Span]]</f>
        <v>25846.346636586459</v>
      </c>
      <c r="U988" s="100">
        <f>IF(ISNUMBER('General Info'!$B$40), ((SamplingData[[#This Row],[up/U Selection Probability]]) * 'General Info'!$B$40) - 1, 0)</f>
        <v>21.293558102615005</v>
      </c>
      <c r="V988" s="100">
        <f>IF(ISNUMBER('General Info'!$B$40), (SamplingData[[#This Row],[Running (cumulative) sum]] * ('General Info'!$B$40 -'General Info'!$B$41 + 1)) + 'General Info'!$B$41 - 1, 0)</f>
        <v>25867.640194689073</v>
      </c>
      <c r="W988" s="100" t="str">
        <f>IF(ISERROR(MATCH(SamplingData[[#This Row],[Batch by Type (p)]],SelectedPrecincts[Batch Name], 0)), "", INDEX(SelectedPrecincts[Draw], MATCH(SamplingData[[#This Row],[Batch by Type (p)]],SelectedPrecincts[Batch Name], 0)))</f>
        <v/>
      </c>
      <c r="X988" s="102">
        <f>IF(COUNTIF(SelectedPrecincts[Batch Name],SamplingData[[#This Row],[Batch by Type (p)]]) &lt;&gt; 0, COUNTIF(SelectedPrecincts[Batch Name],SamplingData[[#This Row],[Batch by Type (p)]]), 0)</f>
        <v>0</v>
      </c>
    </row>
    <row r="989" spans="1:24" ht="15" customHeight="1">
      <c r="A989" s="18" t="s">
        <v>1165</v>
      </c>
      <c r="B989" s="18">
        <v>11</v>
      </c>
      <c r="C989" s="18">
        <v>10</v>
      </c>
      <c r="D989" s="16">
        <v>7</v>
      </c>
      <c r="E989" s="16">
        <v>1</v>
      </c>
      <c r="F989" s="37">
        <v>0</v>
      </c>
      <c r="G989" s="37">
        <v>0</v>
      </c>
      <c r="H989" s="17">
        <v>0</v>
      </c>
      <c r="I989" s="17">
        <v>1</v>
      </c>
      <c r="J989" s="99">
        <f>SUM(SamplingData[[#This Row],[Losing Candidate]:[Under Votes]])</f>
        <v>30</v>
      </c>
      <c r="K989"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989" s="100">
        <f>IF(AND(SamplingData[[#This Row],[Total]]&lt;&gt; 0, NOT(ISBLANK(SamplingData[[#This Row],[Candidate 3]]))),(SamplingData[[#This Row],[Total]]+SamplingData[[#This Row],[Winning Candidate]]-SamplingData[[#This Row],[Candidate 3]])/(SamplingData[[#Totals],[Winning Candidate]]-SamplingData[[#Totals],[Candidate 3]]), 0)</f>
        <v>1.0646191566925831E-3</v>
      </c>
      <c r="M989" s="100">
        <f>IF(AND(SamplingData[[#This Row],[Total]]&lt;&gt; 0, NOT(ISBLANK(SamplingData[[#This Row],[Candidate 4]]))),(SamplingData[[#This Row],[Total]]+SamplingData[[#This Row],[Winning Candidate]]-SamplingData[[#This Row],[Candidate 4]])/(SamplingData[[#Totals],[Winning Candidate]]-SamplingData[[#Totals],[Candidate 4]]), 0)</f>
        <v>1.14005086380777E-3</v>
      </c>
      <c r="N989" s="100">
        <f>IF(AND(SamplingData[[#This Row],[Total]]&lt;&gt; 0, NOT(ISBLANK(SamplingData[[#This Row],[Candidate 5]]))),(SamplingData[[#This Row],[Total]]+SamplingData[[#This Row],[Winning Candidate]]-SamplingData[[#This Row],[Candidate 5]])/(SamplingData[[#Totals],[Winning Candidate]]-SamplingData[[#Totals],[Candidate 5]]), 0)</f>
        <v>9.7299927025054731E-4</v>
      </c>
      <c r="O989" s="100">
        <f>IF(AND(SamplingData[[#This Row],[Total]]&lt;&gt; 0, NOT(ISBLANK(SamplingData[[#This Row],[Candidate 6]]))),(SamplingData[[#This Row],[Total]]+SamplingData[[#This Row],[Winning Candidate]]-SamplingData[[#This Row],[Candidate 6]])/(SamplingData[[#Totals],[Winning Candidate]]-SamplingData[[#Totals],[Candidate 6]]), 0)</f>
        <v>9.7271533485725399E-4</v>
      </c>
      <c r="P989" s="100">
        <f>MAX(SamplingData[[#This Row],[Error Bound (up) - Max. possible relative overstatement - Losing Candidate]:[Error Bound (up) - Max. possible relative overstatement - Candidate 6]])</f>
        <v>1.7760901518863303E-3</v>
      </c>
      <c r="Q989" s="100">
        <f>IF(SamplingData[[#This Row],[Max Error Bound (up)]] = 0,0,SamplingData[[#This Row],[Max Error Bound (up)]]/SamplingData[[#Totals],[Max Error Bound (up)]])</f>
        <v>2.8109550007492914E-4</v>
      </c>
      <c r="R989" s="101">
        <f>SUM($Q$5:Q989)</f>
        <v>0.25896749744696568</v>
      </c>
      <c r="S989" s="100" t="str">
        <f t="array" ref="S989">IF(SamplingData[[#This Row],[up/U Selection Probability]] = 0, "Zero", TEXT(SamplingData[[#This Row],[Lower Range]], REPT("0",LEN('General Info'!$B$40))) &amp; " - " &amp; TEXT(SamplingData[[#This Row],[Upper Range]], REPT("0",LEN('General Info'!$B$40))))</f>
        <v>25869 - 25896</v>
      </c>
      <c r="T989" s="100">
        <f>SamplingData[[#This Row],[Upper Range]]-SamplingData[[#This Row],[Span]]</f>
        <v>25868.640475784574</v>
      </c>
      <c r="U989" s="100">
        <f>IF(ISNUMBER('General Info'!$B$40), ((SamplingData[[#This Row],[up/U Selection Probability]]) * 'General Info'!$B$40) - 1, 0)</f>
        <v>27.109268911992839</v>
      </c>
      <c r="V989" s="100">
        <f>IF(ISNUMBER('General Info'!$B$40), (SamplingData[[#This Row],[Running (cumulative) sum]] * ('General Info'!$B$40 -'General Info'!$B$41 + 1)) + 'General Info'!$B$41 - 1, 0)</f>
        <v>25895.749744696568</v>
      </c>
      <c r="W989" s="100" t="str">
        <f>IF(ISERROR(MATCH(SamplingData[[#This Row],[Batch by Type (p)]],SelectedPrecincts[Batch Name], 0)), "", INDEX(SelectedPrecincts[Draw], MATCH(SamplingData[[#This Row],[Batch by Type (p)]],SelectedPrecincts[Batch Name], 0)))</f>
        <v/>
      </c>
      <c r="X989" s="102">
        <f>IF(COUNTIF(SelectedPrecincts[Batch Name],SamplingData[[#This Row],[Batch by Type (p)]]) &lt;&gt; 0, COUNTIF(SelectedPrecincts[Batch Name],SamplingData[[#This Row],[Batch by Type (p)]]), 0)</f>
        <v>0</v>
      </c>
    </row>
    <row r="990" spans="1:24" ht="15" customHeight="1">
      <c r="A990" s="18" t="s">
        <v>1166</v>
      </c>
      <c r="B990" s="18">
        <v>0</v>
      </c>
      <c r="C990" s="18">
        <v>9</v>
      </c>
      <c r="D990" s="18">
        <v>2</v>
      </c>
      <c r="E990" s="18">
        <v>3</v>
      </c>
      <c r="F990" s="18">
        <v>1</v>
      </c>
      <c r="G990" s="18">
        <v>0</v>
      </c>
      <c r="H990" s="18">
        <v>0</v>
      </c>
      <c r="I990" s="18">
        <v>1</v>
      </c>
      <c r="J990" s="99">
        <f>SUM(SamplingData[[#This Row],[Losing Candidate]:[Under Votes]])</f>
        <v>16</v>
      </c>
      <c r="K990"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990" s="100">
        <f>IF(AND(SamplingData[[#This Row],[Total]]&lt;&gt; 0, NOT(ISBLANK(SamplingData[[#This Row],[Candidate 3]]))),(SamplingData[[#This Row],[Total]]+SamplingData[[#This Row],[Winning Candidate]]-SamplingData[[#This Row],[Candidate 3]])/(SamplingData[[#Totals],[Winning Candidate]]-SamplingData[[#Totals],[Candidate 3]]), 0)</f>
        <v>7.4200729102816406E-4</v>
      </c>
      <c r="M990" s="100">
        <f>IF(AND(SamplingData[[#This Row],[Total]]&lt;&gt; 0, NOT(ISBLANK(SamplingData[[#This Row],[Candidate 4]]))),(SamplingData[[#This Row],[Total]]+SamplingData[[#This Row],[Winning Candidate]]-SamplingData[[#This Row],[Candidate 4]])/(SamplingData[[#Totals],[Winning Candidate]]-SamplingData[[#Totals],[Candidate 4]]), 0)</f>
        <v>6.4310561548130605E-4</v>
      </c>
      <c r="N990" s="100">
        <f>IF(AND(SamplingData[[#This Row],[Total]]&lt;&gt; 0, NOT(ISBLANK(SamplingData[[#This Row],[Candidate 5]]))),(SamplingData[[#This Row],[Total]]+SamplingData[[#This Row],[Winning Candidate]]-SamplingData[[#This Row],[Candidate 5]])/(SamplingData[[#Totals],[Winning Candidate]]-SamplingData[[#Totals],[Candidate 5]]), 0)</f>
        <v>5.8379956215032843E-4</v>
      </c>
      <c r="O990" s="100">
        <f>IF(AND(SamplingData[[#This Row],[Total]]&lt;&gt; 0, NOT(ISBLANK(SamplingData[[#This Row],[Candidate 6]]))),(SamplingData[[#This Row],[Total]]+SamplingData[[#This Row],[Winning Candidate]]-SamplingData[[#This Row],[Candidate 6]])/(SamplingData[[#Totals],[Winning Candidate]]-SamplingData[[#Totals],[Candidate 6]]), 0)</f>
        <v>6.0794708428578371E-4</v>
      </c>
      <c r="P990" s="100">
        <f>MAX(SamplingData[[#This Row],[Error Bound (up) - Max. possible relative overstatement - Losing Candidate]:[Error Bound (up) - Max. possible relative overstatement - Candidate 6]])</f>
        <v>1.5311121999020088E-3</v>
      </c>
      <c r="Q990" s="100">
        <f>IF(SamplingData[[#This Row],[Max Error Bound (up)]] = 0,0,SamplingData[[#This Row],[Max Error Bound (up)]]/SamplingData[[#Totals],[Max Error Bound (up)]])</f>
        <v>2.4232370696114578E-4</v>
      </c>
      <c r="R990" s="101">
        <f>SUM($Q$5:Q990)</f>
        <v>0.25920982115392682</v>
      </c>
      <c r="S990" s="100" t="str">
        <f t="array" ref="S990">IF(SamplingData[[#This Row],[up/U Selection Probability]] = 0, "Zero", TEXT(SamplingData[[#This Row],[Lower Range]], REPT("0",LEN('General Info'!$B$40))) &amp; " - " &amp; TEXT(SamplingData[[#This Row],[Upper Range]], REPT("0",LEN('General Info'!$B$40))))</f>
        <v>25897 - 25920</v>
      </c>
      <c r="T990" s="100">
        <f>SamplingData[[#This Row],[Upper Range]]-SamplingData[[#This Row],[Span]]</f>
        <v>25896.749987020274</v>
      </c>
      <c r="U990" s="100">
        <f>IF(ISNUMBER('General Info'!$B$40), ((SamplingData[[#This Row],[up/U Selection Probability]]) * 'General Info'!$B$40) - 1, 0)</f>
        <v>23.232128372407619</v>
      </c>
      <c r="V990" s="100">
        <f>IF(ISNUMBER('General Info'!$B$40), (SamplingData[[#This Row],[Running (cumulative) sum]] * ('General Info'!$B$40 -'General Info'!$B$41 + 1)) + 'General Info'!$B$41 - 1, 0)</f>
        <v>25919.982115392682</v>
      </c>
      <c r="W990" s="100" t="str">
        <f>IF(ISERROR(MATCH(SamplingData[[#This Row],[Batch by Type (p)]],SelectedPrecincts[Batch Name], 0)), "", INDEX(SelectedPrecincts[Draw], MATCH(SamplingData[[#This Row],[Batch by Type (p)]],SelectedPrecincts[Batch Name], 0)))</f>
        <v/>
      </c>
      <c r="X990" s="102">
        <f>IF(COUNTIF(SelectedPrecincts[Batch Name],SamplingData[[#This Row],[Batch by Type (p)]]) &lt;&gt; 0, COUNTIF(SelectedPrecincts[Batch Name],SamplingData[[#This Row],[Batch by Type (p)]]), 0)</f>
        <v>0</v>
      </c>
    </row>
    <row r="991" spans="1:24" ht="15" customHeight="1">
      <c r="A991" s="18" t="s">
        <v>1167</v>
      </c>
      <c r="B991" s="18">
        <v>4</v>
      </c>
      <c r="C991" s="18">
        <v>6</v>
      </c>
      <c r="D991" s="16">
        <v>1</v>
      </c>
      <c r="E991" s="16">
        <v>2</v>
      </c>
      <c r="F991" s="37">
        <v>0</v>
      </c>
      <c r="G991" s="37">
        <v>0</v>
      </c>
      <c r="H991" s="17">
        <v>0</v>
      </c>
      <c r="I991" s="17">
        <v>2</v>
      </c>
      <c r="J991" s="99">
        <f>SUM(SamplingData[[#This Row],[Losing Candidate]:[Under Votes]])</f>
        <v>15</v>
      </c>
      <c r="K991"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991" s="100">
        <f>IF(AND(SamplingData[[#This Row],[Total]]&lt;&gt; 0, NOT(ISBLANK(SamplingData[[#This Row],[Candidate 3]]))),(SamplingData[[#This Row],[Total]]+SamplingData[[#This Row],[Winning Candidate]]-SamplingData[[#This Row],[Candidate 3]])/(SamplingData[[#Totals],[Winning Candidate]]-SamplingData[[#Totals],[Candidate 3]]), 0)</f>
        <v>6.4522373132883831E-4</v>
      </c>
      <c r="M991" s="100">
        <f>IF(AND(SamplingData[[#This Row],[Total]]&lt;&gt; 0, NOT(ISBLANK(SamplingData[[#This Row],[Candidate 4]]))),(SamplingData[[#This Row],[Total]]+SamplingData[[#This Row],[Winning Candidate]]-SamplingData[[#This Row],[Candidate 4]])/(SamplingData[[#Totals],[Winning Candidate]]-SamplingData[[#Totals],[Candidate 4]]), 0)</f>
        <v>5.5540939518840076E-4</v>
      </c>
      <c r="N991" s="100">
        <f>IF(AND(SamplingData[[#This Row],[Total]]&lt;&gt; 0, NOT(ISBLANK(SamplingData[[#This Row],[Candidate 5]]))),(SamplingData[[#This Row],[Total]]+SamplingData[[#This Row],[Winning Candidate]]-SamplingData[[#This Row],[Candidate 5]])/(SamplingData[[#Totals],[Winning Candidate]]-SamplingData[[#Totals],[Candidate 5]]), 0)</f>
        <v>5.1082461688153739E-4</v>
      </c>
      <c r="O991" s="100">
        <f>IF(AND(SamplingData[[#This Row],[Total]]&lt;&gt; 0, NOT(ISBLANK(SamplingData[[#This Row],[Candidate 6]]))),(SamplingData[[#This Row],[Total]]+SamplingData[[#This Row],[Winning Candidate]]-SamplingData[[#This Row],[Candidate 6]])/(SamplingData[[#Totals],[Winning Candidate]]-SamplingData[[#Totals],[Candidate 6]]), 0)</f>
        <v>5.1067555080005838E-4</v>
      </c>
      <c r="P991" s="100">
        <f>MAX(SamplingData[[#This Row],[Error Bound (up) - Max. possible relative overstatement - Losing Candidate]:[Error Bound (up) - Max. possible relative overstatement - Candidate 6]])</f>
        <v>1.041156295933366E-3</v>
      </c>
      <c r="Q991" s="100">
        <f>IF(SamplingData[[#This Row],[Max Error Bound (up)]] = 0,0,SamplingData[[#This Row],[Max Error Bound (up)]]/SamplingData[[#Totals],[Max Error Bound (up)]])</f>
        <v>1.6478012073357914E-4</v>
      </c>
      <c r="R991" s="101">
        <f>SUM($Q$5:Q991)</f>
        <v>0.25937460127466039</v>
      </c>
      <c r="S991" s="100" t="str">
        <f t="array" ref="S991">IF(SamplingData[[#This Row],[up/U Selection Probability]] = 0, "Zero", TEXT(SamplingData[[#This Row],[Lower Range]], REPT("0",LEN('General Info'!$B$40))) &amp; " - " &amp; TEXT(SamplingData[[#This Row],[Upper Range]], REPT("0",LEN('General Info'!$B$40))))</f>
        <v>25921 - 25936</v>
      </c>
      <c r="T991" s="100">
        <f>SamplingData[[#This Row],[Upper Range]]-SamplingData[[#This Row],[Span]]</f>
        <v>25920.982280172801</v>
      </c>
      <c r="U991" s="100">
        <f>IF(ISNUMBER('General Info'!$B$40), ((SamplingData[[#This Row],[up/U Selection Probability]]) * 'General Info'!$B$40) - 1, 0)</f>
        <v>15.477847293237179</v>
      </c>
      <c r="V991" s="100">
        <f>IF(ISNUMBER('General Info'!$B$40), (SamplingData[[#This Row],[Running (cumulative) sum]] * ('General Info'!$B$40 -'General Info'!$B$41 + 1)) + 'General Info'!$B$41 - 1, 0)</f>
        <v>25936.460127466038</v>
      </c>
      <c r="W991" s="100" t="str">
        <f>IF(ISERROR(MATCH(SamplingData[[#This Row],[Batch by Type (p)]],SelectedPrecincts[Batch Name], 0)), "", INDEX(SelectedPrecincts[Draw], MATCH(SamplingData[[#This Row],[Batch by Type (p)]],SelectedPrecincts[Batch Name], 0)))</f>
        <v/>
      </c>
      <c r="X991" s="102">
        <f>IF(COUNTIF(SelectedPrecincts[Batch Name],SamplingData[[#This Row],[Batch by Type (p)]]) &lt;&gt; 0, COUNTIF(SelectedPrecincts[Batch Name],SamplingData[[#This Row],[Batch by Type (p)]]), 0)</f>
        <v>0</v>
      </c>
    </row>
    <row r="992" spans="1:24" ht="15" customHeight="1">
      <c r="A992" s="18" t="s">
        <v>1168</v>
      </c>
      <c r="B992" s="18">
        <v>2</v>
      </c>
      <c r="C992" s="18">
        <v>7</v>
      </c>
      <c r="D992" s="18">
        <v>3</v>
      </c>
      <c r="E992" s="18">
        <v>0</v>
      </c>
      <c r="F992" s="18">
        <v>0</v>
      </c>
      <c r="G992" s="18">
        <v>0</v>
      </c>
      <c r="H992" s="18">
        <v>0</v>
      </c>
      <c r="I992" s="18">
        <v>0</v>
      </c>
      <c r="J992" s="99">
        <f>SUM(SamplingData[[#This Row],[Losing Candidate]:[Under Votes]])</f>
        <v>12</v>
      </c>
      <c r="K992"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992" s="100">
        <f>IF(AND(SamplingData[[#This Row],[Total]]&lt;&gt; 0, NOT(ISBLANK(SamplingData[[#This Row],[Candidate 3]]))),(SamplingData[[#This Row],[Total]]+SamplingData[[#This Row],[Winning Candidate]]-SamplingData[[#This Row],[Candidate 3]])/(SamplingData[[#Totals],[Winning Candidate]]-SamplingData[[#Totals],[Candidate 3]]), 0)</f>
        <v>5.1617898506307067E-4</v>
      </c>
      <c r="M992" s="100">
        <f>IF(AND(SamplingData[[#This Row],[Total]]&lt;&gt; 0, NOT(ISBLANK(SamplingData[[#This Row],[Candidate 4]]))),(SamplingData[[#This Row],[Total]]+SamplingData[[#This Row],[Winning Candidate]]-SamplingData[[#This Row],[Candidate 4]])/(SamplingData[[#Totals],[Winning Candidate]]-SamplingData[[#Totals],[Candidate 4]]), 0)</f>
        <v>5.5540939518840076E-4</v>
      </c>
      <c r="N992" s="100">
        <f>IF(AND(SamplingData[[#This Row],[Total]]&lt;&gt; 0, NOT(ISBLANK(SamplingData[[#This Row],[Candidate 5]]))),(SamplingData[[#This Row],[Total]]+SamplingData[[#This Row],[Winning Candidate]]-SamplingData[[#This Row],[Candidate 5]])/(SamplingData[[#Totals],[Winning Candidate]]-SamplingData[[#Totals],[Candidate 5]]), 0)</f>
        <v>4.6217465336900997E-4</v>
      </c>
      <c r="O992" s="100">
        <f>IF(AND(SamplingData[[#This Row],[Total]]&lt;&gt; 0, NOT(ISBLANK(SamplingData[[#This Row],[Candidate 6]]))),(SamplingData[[#This Row],[Total]]+SamplingData[[#This Row],[Winning Candidate]]-SamplingData[[#This Row],[Candidate 6]])/(SamplingData[[#Totals],[Winning Candidate]]-SamplingData[[#Totals],[Candidate 6]]), 0)</f>
        <v>4.6203978405719566E-4</v>
      </c>
      <c r="P992" s="100">
        <f>MAX(SamplingData[[#This Row],[Error Bound (up) - Max. possible relative overstatement - Losing Candidate]:[Error Bound (up) - Max. possible relative overstatement - Candidate 6]])</f>
        <v>1.041156295933366E-3</v>
      </c>
      <c r="Q992" s="100">
        <f>IF(SamplingData[[#This Row],[Max Error Bound (up)]] = 0,0,SamplingData[[#This Row],[Max Error Bound (up)]]/SamplingData[[#Totals],[Max Error Bound (up)]])</f>
        <v>1.6478012073357914E-4</v>
      </c>
      <c r="R992" s="101">
        <f>SUM($Q$5:Q992)</f>
        <v>0.25953938139539395</v>
      </c>
      <c r="S992" s="100" t="str">
        <f t="array" ref="S992">IF(SamplingData[[#This Row],[up/U Selection Probability]] = 0, "Zero", TEXT(SamplingData[[#This Row],[Lower Range]], REPT("0",LEN('General Info'!$B$40))) &amp; " - " &amp; TEXT(SamplingData[[#This Row],[Upper Range]], REPT("0",LEN('General Info'!$B$40))))</f>
        <v>25937 - 25953</v>
      </c>
      <c r="T992" s="100">
        <f>SamplingData[[#This Row],[Upper Range]]-SamplingData[[#This Row],[Span]]</f>
        <v>25937.460292246156</v>
      </c>
      <c r="U992" s="100">
        <f>IF(ISNUMBER('General Info'!$B$40), ((SamplingData[[#This Row],[up/U Selection Probability]]) * 'General Info'!$B$40) - 1, 0)</f>
        <v>15.477847293237179</v>
      </c>
      <c r="V992" s="100">
        <f>IF(ISNUMBER('General Info'!$B$40), (SamplingData[[#This Row],[Running (cumulative) sum]] * ('General Info'!$B$40 -'General Info'!$B$41 + 1)) + 'General Info'!$B$41 - 1, 0)</f>
        <v>25952.938139539394</v>
      </c>
      <c r="W992" s="100" t="str">
        <f>IF(ISERROR(MATCH(SamplingData[[#This Row],[Batch by Type (p)]],SelectedPrecincts[Batch Name], 0)), "", INDEX(SelectedPrecincts[Draw], MATCH(SamplingData[[#This Row],[Batch by Type (p)]],SelectedPrecincts[Batch Name], 0)))</f>
        <v/>
      </c>
      <c r="X992" s="102">
        <f>IF(COUNTIF(SelectedPrecincts[Batch Name],SamplingData[[#This Row],[Batch by Type (p)]]) &lt;&gt; 0, COUNTIF(SelectedPrecincts[Batch Name],SamplingData[[#This Row],[Batch by Type (p)]]), 0)</f>
        <v>0</v>
      </c>
    </row>
    <row r="993" spans="1:24" ht="15" customHeight="1">
      <c r="A993" s="18" t="s">
        <v>1169</v>
      </c>
      <c r="B993" s="18">
        <v>4</v>
      </c>
      <c r="C993" s="18">
        <v>12</v>
      </c>
      <c r="D993" s="16">
        <v>3</v>
      </c>
      <c r="E993" s="16">
        <v>6</v>
      </c>
      <c r="F993" s="37">
        <v>0</v>
      </c>
      <c r="G993" s="37">
        <v>0</v>
      </c>
      <c r="H993" s="17">
        <v>0</v>
      </c>
      <c r="I993" s="17">
        <v>1</v>
      </c>
      <c r="J993" s="99">
        <f>SUM(SamplingData[[#This Row],[Losing Candidate]:[Under Votes]])</f>
        <v>26</v>
      </c>
      <c r="K993"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993" s="100">
        <f>IF(AND(SamplingData[[#This Row],[Total]]&lt;&gt; 0, NOT(ISBLANK(SamplingData[[#This Row],[Candidate 3]]))),(SamplingData[[#This Row],[Total]]+SamplingData[[#This Row],[Winning Candidate]]-SamplingData[[#This Row],[Candidate 3]])/(SamplingData[[#Totals],[Winning Candidate]]-SamplingData[[#Totals],[Candidate 3]]), 0)</f>
        <v>1.1291415298254669E-3</v>
      </c>
      <c r="M993" s="100">
        <f>IF(AND(SamplingData[[#This Row],[Total]]&lt;&gt; 0, NOT(ISBLANK(SamplingData[[#This Row],[Candidate 4]]))),(SamplingData[[#This Row],[Total]]+SamplingData[[#This Row],[Winning Candidate]]-SamplingData[[#This Row],[Candidate 4]])/(SamplingData[[#Totals],[Winning Candidate]]-SamplingData[[#Totals],[Candidate 4]]), 0)</f>
        <v>9.3542634979099071E-4</v>
      </c>
      <c r="N993" s="100">
        <f>IF(AND(SamplingData[[#This Row],[Total]]&lt;&gt; 0, NOT(ISBLANK(SamplingData[[#This Row],[Candidate 5]]))),(SamplingData[[#This Row],[Total]]+SamplingData[[#This Row],[Winning Candidate]]-SamplingData[[#This Row],[Candidate 5]])/(SamplingData[[#Totals],[Winning Candidate]]-SamplingData[[#Totals],[Candidate 5]]), 0)</f>
        <v>9.2434930673801995E-4</v>
      </c>
      <c r="O993" s="100">
        <f>IF(AND(SamplingData[[#This Row],[Total]]&lt;&gt; 0, NOT(ISBLANK(SamplingData[[#This Row],[Candidate 6]]))),(SamplingData[[#This Row],[Total]]+SamplingData[[#This Row],[Winning Candidate]]-SamplingData[[#This Row],[Candidate 6]])/(SamplingData[[#Totals],[Winning Candidate]]-SamplingData[[#Totals],[Candidate 6]]), 0)</f>
        <v>9.2407956811439132E-4</v>
      </c>
      <c r="P993" s="100">
        <f>MAX(SamplingData[[#This Row],[Error Bound (up) - Max. possible relative overstatement - Losing Candidate]:[Error Bound (up) - Max. possible relative overstatement - Candidate 6]])</f>
        <v>2.0823125918667321E-3</v>
      </c>
      <c r="Q993" s="100">
        <f>IF(SamplingData[[#This Row],[Max Error Bound (up)]] = 0,0,SamplingData[[#This Row],[Max Error Bound (up)]]/SamplingData[[#Totals],[Max Error Bound (up)]])</f>
        <v>3.2956024146715829E-4</v>
      </c>
      <c r="R993" s="101">
        <f>SUM($Q$5:Q993)</f>
        <v>0.25986894163686108</v>
      </c>
      <c r="S993" s="100" t="str">
        <f t="array" ref="S993">IF(SamplingData[[#This Row],[up/U Selection Probability]] = 0, "Zero", TEXT(SamplingData[[#This Row],[Lower Range]], REPT("0",LEN('General Info'!$B$40))) &amp; " - " &amp; TEXT(SamplingData[[#This Row],[Upper Range]], REPT("0",LEN('General Info'!$B$40))))</f>
        <v>25954 - 25986</v>
      </c>
      <c r="T993" s="100">
        <f>SamplingData[[#This Row],[Upper Range]]-SamplingData[[#This Row],[Span]]</f>
        <v>25953.938469099634</v>
      </c>
      <c r="U993" s="100">
        <f>IF(ISNUMBER('General Info'!$B$40), ((SamplingData[[#This Row],[up/U Selection Probability]]) * 'General Info'!$B$40) - 1, 0)</f>
        <v>31.955694586474358</v>
      </c>
      <c r="V993" s="100">
        <f>IF(ISNUMBER('General Info'!$B$40), (SamplingData[[#This Row],[Running (cumulative) sum]] * ('General Info'!$B$40 -'General Info'!$B$41 + 1)) + 'General Info'!$B$41 - 1, 0)</f>
        <v>25985.894163686109</v>
      </c>
      <c r="W993" s="100" t="str">
        <f>IF(ISERROR(MATCH(SamplingData[[#This Row],[Batch by Type (p)]],SelectedPrecincts[Batch Name], 0)), "", INDEX(SelectedPrecincts[Draw], MATCH(SamplingData[[#This Row],[Batch by Type (p)]],SelectedPrecincts[Batch Name], 0)))</f>
        <v/>
      </c>
      <c r="X993" s="102">
        <f>IF(COUNTIF(SelectedPrecincts[Batch Name],SamplingData[[#This Row],[Batch by Type (p)]]) &lt;&gt; 0, COUNTIF(SelectedPrecincts[Batch Name],SamplingData[[#This Row],[Batch by Type (p)]]), 0)</f>
        <v>0</v>
      </c>
    </row>
    <row r="994" spans="1:24" ht="15" customHeight="1">
      <c r="A994" s="18" t="s">
        <v>1170</v>
      </c>
      <c r="B994" s="18">
        <v>4</v>
      </c>
      <c r="C994" s="18">
        <v>8</v>
      </c>
      <c r="D994" s="18">
        <v>0</v>
      </c>
      <c r="E994" s="18">
        <v>3</v>
      </c>
      <c r="F994" s="18">
        <v>1</v>
      </c>
      <c r="G994" s="18">
        <v>0</v>
      </c>
      <c r="H994" s="18">
        <v>0</v>
      </c>
      <c r="I994" s="18">
        <v>0</v>
      </c>
      <c r="J994" s="99">
        <f>SUM(SamplingData[[#This Row],[Losing Candidate]:[Under Votes]])</f>
        <v>16</v>
      </c>
      <c r="K99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994" s="100">
        <f>IF(AND(SamplingData[[#This Row],[Total]]&lt;&gt; 0, NOT(ISBLANK(SamplingData[[#This Row],[Candidate 3]]))),(SamplingData[[#This Row],[Total]]+SamplingData[[#This Row],[Winning Candidate]]-SamplingData[[#This Row],[Candidate 3]])/(SamplingData[[#Totals],[Winning Candidate]]-SamplingData[[#Totals],[Candidate 3]]), 0)</f>
        <v>7.7426847759460595E-4</v>
      </c>
      <c r="M994" s="100">
        <f>IF(AND(SamplingData[[#This Row],[Total]]&lt;&gt; 0, NOT(ISBLANK(SamplingData[[#This Row],[Candidate 4]]))),(SamplingData[[#This Row],[Total]]+SamplingData[[#This Row],[Winning Candidate]]-SamplingData[[#This Row],[Candidate 4]])/(SamplingData[[#Totals],[Winning Candidate]]-SamplingData[[#Totals],[Candidate 4]]), 0)</f>
        <v>6.1387354205033758E-4</v>
      </c>
      <c r="N994" s="100">
        <f>IF(AND(SamplingData[[#This Row],[Total]]&lt;&gt; 0, NOT(ISBLANK(SamplingData[[#This Row],[Candidate 5]]))),(SamplingData[[#This Row],[Total]]+SamplingData[[#This Row],[Winning Candidate]]-SamplingData[[#This Row],[Candidate 5]])/(SamplingData[[#Totals],[Winning Candidate]]-SamplingData[[#Totals],[Candidate 5]]), 0)</f>
        <v>5.5947458039406475E-4</v>
      </c>
      <c r="O994" s="100">
        <f>IF(AND(SamplingData[[#This Row],[Total]]&lt;&gt; 0, NOT(ISBLANK(SamplingData[[#This Row],[Candidate 6]]))),(SamplingData[[#This Row],[Total]]+SamplingData[[#This Row],[Winning Candidate]]-SamplingData[[#This Row],[Candidate 6]])/(SamplingData[[#Totals],[Winning Candidate]]-SamplingData[[#Totals],[Candidate 6]]), 0)</f>
        <v>5.8362920091435243E-4</v>
      </c>
      <c r="P994" s="100">
        <f>MAX(SamplingData[[#This Row],[Error Bound (up) - Max. possible relative overstatement - Losing Candidate]:[Error Bound (up) - Max. possible relative overstatement - Candidate 6]])</f>
        <v>1.224889759921607E-3</v>
      </c>
      <c r="Q994" s="100">
        <f>IF(SamplingData[[#This Row],[Max Error Bound (up)]] = 0,0,SamplingData[[#This Row],[Max Error Bound (up)]]/SamplingData[[#Totals],[Max Error Bound (up)]])</f>
        <v>1.9385896556891664E-4</v>
      </c>
      <c r="R994" s="101">
        <f>SUM($Q$5:Q994)</f>
        <v>0.26006280060242998</v>
      </c>
      <c r="S994" s="100" t="str">
        <f t="array" ref="S994">IF(SamplingData[[#This Row],[up/U Selection Probability]] = 0, "Zero", TEXT(SamplingData[[#This Row],[Lower Range]], REPT("0",LEN('General Info'!$B$40))) &amp; " - " &amp; TEXT(SamplingData[[#This Row],[Upper Range]], REPT("0",LEN('General Info'!$B$40))))</f>
        <v>25987 - 26005</v>
      </c>
      <c r="T994" s="100">
        <f>SamplingData[[#This Row],[Upper Range]]-SamplingData[[#This Row],[Span]]</f>
        <v>25986.894357545068</v>
      </c>
      <c r="U994" s="100">
        <f>IF(ISNUMBER('General Info'!$B$40), ((SamplingData[[#This Row],[up/U Selection Probability]]) * 'General Info'!$B$40) - 1, 0)</f>
        <v>18.385702697926096</v>
      </c>
      <c r="V994" s="100">
        <f>IF(ISNUMBER('General Info'!$B$40), (SamplingData[[#This Row],[Running (cumulative) sum]] * ('General Info'!$B$40 -'General Info'!$B$41 + 1)) + 'General Info'!$B$41 - 1, 0)</f>
        <v>26005.280060242996</v>
      </c>
      <c r="W994" s="100" t="str">
        <f>IF(ISERROR(MATCH(SamplingData[[#This Row],[Batch by Type (p)]],SelectedPrecincts[Batch Name], 0)), "", INDEX(SelectedPrecincts[Draw], MATCH(SamplingData[[#This Row],[Batch by Type (p)]],SelectedPrecincts[Batch Name], 0)))</f>
        <v/>
      </c>
      <c r="X994" s="102">
        <f>IF(COUNTIF(SelectedPrecincts[Batch Name],SamplingData[[#This Row],[Batch by Type (p)]]) &lt;&gt; 0, COUNTIF(SelectedPrecincts[Batch Name],SamplingData[[#This Row],[Batch by Type (p)]]), 0)</f>
        <v>0</v>
      </c>
    </row>
    <row r="995" spans="1:24" ht="15" customHeight="1">
      <c r="A995" s="18" t="s">
        <v>1171</v>
      </c>
      <c r="B995" s="18">
        <v>5</v>
      </c>
      <c r="C995" s="18">
        <v>20</v>
      </c>
      <c r="D995" s="16">
        <v>5</v>
      </c>
      <c r="E995" s="16">
        <v>5</v>
      </c>
      <c r="F995" s="37">
        <v>0</v>
      </c>
      <c r="G995" s="37">
        <v>0</v>
      </c>
      <c r="H995" s="17">
        <v>0</v>
      </c>
      <c r="I995" s="17">
        <v>1</v>
      </c>
      <c r="J995" s="99">
        <f>SUM(SamplingData[[#This Row],[Losing Candidate]:[Under Votes]])</f>
        <v>36</v>
      </c>
      <c r="K995" s="100">
        <f>IF(AND(SamplingData[[#This Row],[Total]]&lt;&gt; 0, NOT(ISBLANK(SamplingData[[#This Row],[Losing Candidate]]))),(SamplingData[[#This Row],[Total]]+SamplingData[[#This Row],[Winning Candidate]]-SamplingData[[#This Row],[Losing Candidate]])/(SamplingData[[#Totals],[Winning Candidate]]-SamplingData[[#Totals],[Losing Candidate]]), 0)</f>
        <v>3.1234688878000981E-3</v>
      </c>
      <c r="L995" s="100">
        <f>IF(AND(SamplingData[[#This Row],[Total]]&lt;&gt; 0, NOT(ISBLANK(SamplingData[[#This Row],[Candidate 3]]))),(SamplingData[[#This Row],[Total]]+SamplingData[[#This Row],[Winning Candidate]]-SamplingData[[#This Row],[Candidate 3]])/(SamplingData[[#Totals],[Winning Candidate]]-SamplingData[[#Totals],[Candidate 3]]), 0)</f>
        <v>1.6453205148885377E-3</v>
      </c>
      <c r="M995" s="100">
        <f>IF(AND(SamplingData[[#This Row],[Total]]&lt;&gt; 0, NOT(ISBLANK(SamplingData[[#This Row],[Candidate 4]]))),(SamplingData[[#This Row],[Total]]+SamplingData[[#This Row],[Winning Candidate]]-SamplingData[[#This Row],[Candidate 4]])/(SamplingData[[#Totals],[Winning Candidate]]-SamplingData[[#Totals],[Candidate 4]]), 0)</f>
        <v>1.4908357449793914E-3</v>
      </c>
      <c r="N995" s="100">
        <f>IF(AND(SamplingData[[#This Row],[Total]]&lt;&gt; 0, NOT(ISBLANK(SamplingData[[#This Row],[Candidate 5]]))),(SamplingData[[#This Row],[Total]]+SamplingData[[#This Row],[Winning Candidate]]-SamplingData[[#This Row],[Candidate 5]])/(SamplingData[[#Totals],[Winning Candidate]]-SamplingData[[#Totals],[Candidate 5]]), 0)</f>
        <v>1.3621989783507663E-3</v>
      </c>
      <c r="O995" s="100">
        <f>IF(AND(SamplingData[[#This Row],[Total]]&lt;&gt; 0, NOT(ISBLANK(SamplingData[[#This Row],[Candidate 6]]))),(SamplingData[[#This Row],[Total]]+SamplingData[[#This Row],[Winning Candidate]]-SamplingData[[#This Row],[Candidate 6]])/(SamplingData[[#Totals],[Winning Candidate]]-SamplingData[[#Totals],[Candidate 6]]), 0)</f>
        <v>1.3618014688001555E-3</v>
      </c>
      <c r="P995" s="100">
        <f>MAX(SamplingData[[#This Row],[Error Bound (up) - Max. possible relative overstatement - Losing Candidate]:[Error Bound (up) - Max. possible relative overstatement - Candidate 6]])</f>
        <v>3.1234688878000981E-3</v>
      </c>
      <c r="Q995" s="100">
        <f>IF(SamplingData[[#This Row],[Max Error Bound (up)]] = 0,0,SamplingData[[#This Row],[Max Error Bound (up)]]/SamplingData[[#Totals],[Max Error Bound (up)]])</f>
        <v>4.9434036220073741E-4</v>
      </c>
      <c r="R995" s="101">
        <f>SUM($Q$5:Q995)</f>
        <v>0.26055714096463073</v>
      </c>
      <c r="S995" s="100" t="str">
        <f t="array" ref="S995">IF(SamplingData[[#This Row],[up/U Selection Probability]] = 0, "Zero", TEXT(SamplingData[[#This Row],[Lower Range]], REPT("0",LEN('General Info'!$B$40))) &amp; " - " &amp; TEXT(SamplingData[[#This Row],[Upper Range]], REPT("0",LEN('General Info'!$B$40))))</f>
        <v>26006 - 26055</v>
      </c>
      <c r="T995" s="100">
        <f>SamplingData[[#This Row],[Upper Range]]-SamplingData[[#This Row],[Span]]</f>
        <v>26006.280554583362</v>
      </c>
      <c r="U995" s="100">
        <f>IF(ISNUMBER('General Info'!$B$40), ((SamplingData[[#This Row],[up/U Selection Probability]]) * 'General Info'!$B$40) - 1, 0)</f>
        <v>48.433541879711541</v>
      </c>
      <c r="V995" s="100">
        <f>IF(ISNUMBER('General Info'!$B$40), (SamplingData[[#This Row],[Running (cumulative) sum]] * ('General Info'!$B$40 -'General Info'!$B$41 + 1)) + 'General Info'!$B$41 - 1, 0)</f>
        <v>26054.714096463074</v>
      </c>
      <c r="W995" s="100" t="str">
        <f>IF(ISERROR(MATCH(SamplingData[[#This Row],[Batch by Type (p)]],SelectedPrecincts[Batch Name], 0)), "", INDEX(SelectedPrecincts[Draw], MATCH(SamplingData[[#This Row],[Batch by Type (p)]],SelectedPrecincts[Batch Name], 0)))</f>
        <v/>
      </c>
      <c r="X995" s="102">
        <f>IF(COUNTIF(SelectedPrecincts[Batch Name],SamplingData[[#This Row],[Batch by Type (p)]]) &lt;&gt; 0, COUNTIF(SelectedPrecincts[Batch Name],SamplingData[[#This Row],[Batch by Type (p)]]), 0)</f>
        <v>0</v>
      </c>
    </row>
    <row r="996" spans="1:24" ht="15" customHeight="1">
      <c r="A996" s="18" t="s">
        <v>1172</v>
      </c>
      <c r="B996" s="18">
        <v>0</v>
      </c>
      <c r="C996" s="18">
        <v>8</v>
      </c>
      <c r="D996" s="18">
        <v>1</v>
      </c>
      <c r="E996" s="18">
        <v>1</v>
      </c>
      <c r="F996" s="18">
        <v>2</v>
      </c>
      <c r="G996" s="18">
        <v>0</v>
      </c>
      <c r="H996" s="18">
        <v>0</v>
      </c>
      <c r="I996" s="18">
        <v>2</v>
      </c>
      <c r="J996" s="99">
        <f>SUM(SamplingData[[#This Row],[Losing Candidate]:[Under Votes]])</f>
        <v>14</v>
      </c>
      <c r="K996"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996" s="100">
        <f>IF(AND(SamplingData[[#This Row],[Total]]&lt;&gt; 0, NOT(ISBLANK(SamplingData[[#This Row],[Candidate 3]]))),(SamplingData[[#This Row],[Total]]+SamplingData[[#This Row],[Winning Candidate]]-SamplingData[[#This Row],[Candidate 3]])/(SamplingData[[#Totals],[Winning Candidate]]-SamplingData[[#Totals],[Candidate 3]]), 0)</f>
        <v>6.7748491789528019E-4</v>
      </c>
      <c r="M996" s="100">
        <f>IF(AND(SamplingData[[#This Row],[Total]]&lt;&gt; 0, NOT(ISBLANK(SamplingData[[#This Row],[Candidate 4]]))),(SamplingData[[#This Row],[Total]]+SamplingData[[#This Row],[Winning Candidate]]-SamplingData[[#This Row],[Candidate 4]])/(SamplingData[[#Totals],[Winning Candidate]]-SamplingData[[#Totals],[Candidate 4]]), 0)</f>
        <v>6.1387354205033758E-4</v>
      </c>
      <c r="N996" s="100">
        <f>IF(AND(SamplingData[[#This Row],[Total]]&lt;&gt; 0, NOT(ISBLANK(SamplingData[[#This Row],[Candidate 5]]))),(SamplingData[[#This Row],[Total]]+SamplingData[[#This Row],[Winning Candidate]]-SamplingData[[#This Row],[Candidate 5]])/(SamplingData[[#Totals],[Winning Candidate]]-SamplingData[[#Totals],[Candidate 5]]), 0)</f>
        <v>4.8649963512527365E-4</v>
      </c>
      <c r="O996" s="100">
        <f>IF(AND(SamplingData[[#This Row],[Total]]&lt;&gt; 0, NOT(ISBLANK(SamplingData[[#This Row],[Candidate 6]]))),(SamplingData[[#This Row],[Total]]+SamplingData[[#This Row],[Winning Candidate]]-SamplingData[[#This Row],[Candidate 6]])/(SamplingData[[#Totals],[Winning Candidate]]-SamplingData[[#Totals],[Candidate 6]]), 0)</f>
        <v>5.3499343417148966E-4</v>
      </c>
      <c r="P996" s="100">
        <f>MAX(SamplingData[[#This Row],[Error Bound (up) - Max. possible relative overstatement - Losing Candidate]:[Error Bound (up) - Max. possible relative overstatement - Candidate 6]])</f>
        <v>1.3473787359137678E-3</v>
      </c>
      <c r="Q996" s="100">
        <f>IF(SamplingData[[#This Row],[Max Error Bound (up)]] = 0,0,SamplingData[[#This Row],[Max Error Bound (up)]]/SamplingData[[#Totals],[Max Error Bound (up)]])</f>
        <v>2.1324486212580832E-4</v>
      </c>
      <c r="R996" s="101">
        <f>SUM($Q$5:Q996)</f>
        <v>0.26077038582675655</v>
      </c>
      <c r="S996" s="100" t="str">
        <f t="array" ref="S996">IF(SamplingData[[#This Row],[up/U Selection Probability]] = 0, "Zero", TEXT(SamplingData[[#This Row],[Lower Range]], REPT("0",LEN('General Info'!$B$40))) &amp; " - " &amp; TEXT(SamplingData[[#This Row],[Upper Range]], REPT("0",LEN('General Info'!$B$40))))</f>
        <v>26056 - 26076</v>
      </c>
      <c r="T996" s="100">
        <f>SamplingData[[#This Row],[Upper Range]]-SamplingData[[#This Row],[Span]]</f>
        <v>26055.714309707935</v>
      </c>
      <c r="U996" s="100">
        <f>IF(ISNUMBER('General Info'!$B$40), ((SamplingData[[#This Row],[up/U Selection Probability]]) * 'General Info'!$B$40) - 1, 0)</f>
        <v>20.324272967718706</v>
      </c>
      <c r="V996" s="100">
        <f>IF(ISNUMBER('General Info'!$B$40), (SamplingData[[#This Row],[Running (cumulative) sum]] * ('General Info'!$B$40 -'General Info'!$B$41 + 1)) + 'General Info'!$B$41 - 1, 0)</f>
        <v>26076.038582675654</v>
      </c>
      <c r="W996" s="100" t="str">
        <f>IF(ISERROR(MATCH(SamplingData[[#This Row],[Batch by Type (p)]],SelectedPrecincts[Batch Name], 0)), "", INDEX(SelectedPrecincts[Draw], MATCH(SamplingData[[#This Row],[Batch by Type (p)]],SelectedPrecincts[Batch Name], 0)))</f>
        <v/>
      </c>
      <c r="X996" s="102">
        <f>IF(COUNTIF(SelectedPrecincts[Batch Name],SamplingData[[#This Row],[Batch by Type (p)]]) &lt;&gt; 0, COUNTIF(SelectedPrecincts[Batch Name],SamplingData[[#This Row],[Batch by Type (p)]]), 0)</f>
        <v>0</v>
      </c>
    </row>
    <row r="997" spans="1:24" ht="15" customHeight="1">
      <c r="A997" s="18" t="s">
        <v>1173</v>
      </c>
      <c r="B997" s="18">
        <v>10</v>
      </c>
      <c r="C997" s="18">
        <v>35</v>
      </c>
      <c r="D997" s="16">
        <v>3</v>
      </c>
      <c r="E997" s="16">
        <v>1</v>
      </c>
      <c r="F997" s="37">
        <v>0</v>
      </c>
      <c r="G997" s="37">
        <v>0</v>
      </c>
      <c r="H997" s="17">
        <v>0</v>
      </c>
      <c r="I997" s="17">
        <v>0</v>
      </c>
      <c r="J997" s="99">
        <f>SUM(SamplingData[[#This Row],[Losing Candidate]:[Under Votes]])</f>
        <v>49</v>
      </c>
      <c r="K997" s="100">
        <f>IF(AND(SamplingData[[#This Row],[Total]]&lt;&gt; 0, NOT(ISBLANK(SamplingData[[#This Row],[Losing Candidate]]))),(SamplingData[[#This Row],[Total]]+SamplingData[[#This Row],[Winning Candidate]]-SamplingData[[#This Row],[Losing Candidate]])/(SamplingData[[#Totals],[Winning Candidate]]-SamplingData[[#Totals],[Losing Candidate]]), 0)</f>
        <v>4.5320921117099457E-3</v>
      </c>
      <c r="L997" s="100">
        <f>IF(AND(SamplingData[[#This Row],[Total]]&lt;&gt; 0, NOT(ISBLANK(SamplingData[[#This Row],[Candidate 3]]))),(SamplingData[[#This Row],[Total]]+SamplingData[[#This Row],[Winning Candidate]]-SamplingData[[#This Row],[Candidate 3]])/(SamplingData[[#Totals],[Winning Candidate]]-SamplingData[[#Totals],[Candidate 3]]), 0)</f>
        <v>2.6131561118817952E-3</v>
      </c>
      <c r="M997" s="100">
        <f>IF(AND(SamplingData[[#This Row],[Total]]&lt;&gt; 0, NOT(ISBLANK(SamplingData[[#This Row],[Candidate 4]]))),(SamplingData[[#This Row],[Total]]+SamplingData[[#This Row],[Winning Candidate]]-SamplingData[[#This Row],[Candidate 4]])/(SamplingData[[#Totals],[Winning Candidate]]-SamplingData[[#Totals],[Candidate 4]]), 0)</f>
        <v>2.4262620947703819E-3</v>
      </c>
      <c r="N997" s="100">
        <f>IF(AND(SamplingData[[#This Row],[Total]]&lt;&gt; 0, NOT(ISBLANK(SamplingData[[#This Row],[Candidate 5]]))),(SamplingData[[#This Row],[Total]]+SamplingData[[#This Row],[Winning Candidate]]-SamplingData[[#This Row],[Candidate 5]])/(SamplingData[[#Totals],[Winning Candidate]]-SamplingData[[#Totals],[Candidate 5]]), 0)</f>
        <v>2.0432984675261496E-3</v>
      </c>
      <c r="O997" s="100">
        <f>IF(AND(SamplingData[[#This Row],[Total]]&lt;&gt; 0, NOT(ISBLANK(SamplingData[[#This Row],[Candidate 6]]))),(SamplingData[[#This Row],[Total]]+SamplingData[[#This Row],[Winning Candidate]]-SamplingData[[#This Row],[Candidate 6]])/(SamplingData[[#Totals],[Winning Candidate]]-SamplingData[[#Totals],[Candidate 6]]), 0)</f>
        <v>2.0427022032002335E-3</v>
      </c>
      <c r="P997" s="100">
        <f>MAX(SamplingData[[#This Row],[Error Bound (up) - Max. possible relative overstatement - Losing Candidate]:[Error Bound (up) - Max. possible relative overstatement - Candidate 6]])</f>
        <v>4.5320921117099457E-3</v>
      </c>
      <c r="Q997" s="100">
        <f>IF(SamplingData[[#This Row],[Max Error Bound (up)]] = 0,0,SamplingData[[#This Row],[Max Error Bound (up)]]/SamplingData[[#Totals],[Max Error Bound (up)]])</f>
        <v>7.1727817260499151E-4</v>
      </c>
      <c r="R997" s="101">
        <f>SUM($Q$5:Q997)</f>
        <v>0.26148766399936152</v>
      </c>
      <c r="S997" s="100" t="str">
        <f t="array" ref="S997">IF(SamplingData[[#This Row],[up/U Selection Probability]] = 0, "Zero", TEXT(SamplingData[[#This Row],[Lower Range]], REPT("0",LEN('General Info'!$B$40))) &amp; " - " &amp; TEXT(SamplingData[[#This Row],[Upper Range]], REPT("0",LEN('General Info'!$B$40))))</f>
        <v>26077 - 26148</v>
      </c>
      <c r="T997" s="100">
        <f>SamplingData[[#This Row],[Upper Range]]-SamplingData[[#This Row],[Span]]</f>
        <v>26077.039299953824</v>
      </c>
      <c r="U997" s="100">
        <f>IF(ISNUMBER('General Info'!$B$40), ((SamplingData[[#This Row],[up/U Selection Probability]]) * 'General Info'!$B$40) - 1, 0)</f>
        <v>70.72709998232655</v>
      </c>
      <c r="V997" s="100">
        <f>IF(ISNUMBER('General Info'!$B$40), (SamplingData[[#This Row],[Running (cumulative) sum]] * ('General Info'!$B$40 -'General Info'!$B$41 + 1)) + 'General Info'!$B$41 - 1, 0)</f>
        <v>26147.76639993615</v>
      </c>
      <c r="W997" s="100" t="str">
        <f>IF(ISERROR(MATCH(SamplingData[[#This Row],[Batch by Type (p)]],SelectedPrecincts[Batch Name], 0)), "", INDEX(SelectedPrecincts[Draw], MATCH(SamplingData[[#This Row],[Batch by Type (p)]],SelectedPrecincts[Batch Name], 0)))</f>
        <v/>
      </c>
      <c r="X997" s="102">
        <f>IF(COUNTIF(SelectedPrecincts[Batch Name],SamplingData[[#This Row],[Batch by Type (p)]]) &lt;&gt; 0, COUNTIF(SelectedPrecincts[Batch Name],SamplingData[[#This Row],[Batch by Type (p)]]), 0)</f>
        <v>0</v>
      </c>
    </row>
    <row r="998" spans="1:24" ht="15" customHeight="1">
      <c r="A998" s="18" t="s">
        <v>1174</v>
      </c>
      <c r="B998" s="18">
        <v>7</v>
      </c>
      <c r="C998" s="18">
        <v>12</v>
      </c>
      <c r="D998" s="18">
        <v>2</v>
      </c>
      <c r="E998" s="18">
        <v>0</v>
      </c>
      <c r="F998" s="18">
        <v>0</v>
      </c>
      <c r="G998" s="18">
        <v>1</v>
      </c>
      <c r="H998" s="18">
        <v>0</v>
      </c>
      <c r="I998" s="18">
        <v>0</v>
      </c>
      <c r="J998" s="99">
        <f>SUM(SamplingData[[#This Row],[Losing Candidate]:[Under Votes]])</f>
        <v>22</v>
      </c>
      <c r="K998"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998" s="100">
        <f>IF(AND(SamplingData[[#This Row],[Total]]&lt;&gt; 0, NOT(ISBLANK(SamplingData[[#This Row],[Candidate 3]]))),(SamplingData[[#This Row],[Total]]+SamplingData[[#This Row],[Winning Candidate]]-SamplingData[[#This Row],[Candidate 3]])/(SamplingData[[#Totals],[Winning Candidate]]-SamplingData[[#Totals],[Candidate 3]]), 0)</f>
        <v>1.0323579701261413E-3</v>
      </c>
      <c r="M998" s="100">
        <f>IF(AND(SamplingData[[#This Row],[Total]]&lt;&gt; 0, NOT(ISBLANK(SamplingData[[#This Row],[Candidate 4]]))),(SamplingData[[#This Row],[Total]]+SamplingData[[#This Row],[Winning Candidate]]-SamplingData[[#This Row],[Candidate 4]])/(SamplingData[[#Totals],[Winning Candidate]]-SamplingData[[#Totals],[Candidate 4]]), 0)</f>
        <v>9.9389049665292765E-4</v>
      </c>
      <c r="N998" s="100">
        <f>IF(AND(SamplingData[[#This Row],[Total]]&lt;&gt; 0, NOT(ISBLANK(SamplingData[[#This Row],[Candidate 5]]))),(SamplingData[[#This Row],[Total]]+SamplingData[[#This Row],[Winning Candidate]]-SamplingData[[#This Row],[Candidate 5]])/(SamplingData[[#Totals],[Winning Candidate]]-SamplingData[[#Totals],[Candidate 5]]), 0)</f>
        <v>8.2704937971296523E-4</v>
      </c>
      <c r="O998" s="100">
        <f>IF(AND(SamplingData[[#This Row],[Total]]&lt;&gt; 0, NOT(ISBLANK(SamplingData[[#This Row],[Candidate 6]]))),(SamplingData[[#This Row],[Total]]+SamplingData[[#This Row],[Winning Candidate]]-SamplingData[[#This Row],[Candidate 6]])/(SamplingData[[#Totals],[Winning Candidate]]-SamplingData[[#Totals],[Candidate 6]]), 0)</f>
        <v>8.024901512572346E-4</v>
      </c>
      <c r="P998" s="100">
        <f>MAX(SamplingData[[#This Row],[Error Bound (up) - Max. possible relative overstatement - Losing Candidate]:[Error Bound (up) - Max. possible relative overstatement - Candidate 6]])</f>
        <v>1.6536011758941694E-3</v>
      </c>
      <c r="Q998" s="100">
        <f>IF(SamplingData[[#This Row],[Max Error Bound (up)]] = 0,0,SamplingData[[#This Row],[Max Error Bound (up)]]/SamplingData[[#Totals],[Max Error Bound (up)]])</f>
        <v>2.6170960351803746E-4</v>
      </c>
      <c r="R998" s="101">
        <f>SUM($Q$5:Q998)</f>
        <v>0.26174937360287953</v>
      </c>
      <c r="S998" s="100" t="str">
        <f t="array" ref="S998">IF(SamplingData[[#This Row],[up/U Selection Probability]] = 0, "Zero", TEXT(SamplingData[[#This Row],[Lower Range]], REPT("0",LEN('General Info'!$B$40))) &amp; " - " &amp; TEXT(SamplingData[[#This Row],[Upper Range]], REPT("0",LEN('General Info'!$B$40))))</f>
        <v>26149 - 26174</v>
      </c>
      <c r="T998" s="100">
        <f>SamplingData[[#This Row],[Upper Range]]-SamplingData[[#This Row],[Span]]</f>
        <v>26148.766661645754</v>
      </c>
      <c r="U998" s="100">
        <f>IF(ISNUMBER('General Info'!$B$40), ((SamplingData[[#This Row],[up/U Selection Probability]]) * 'General Info'!$B$40) - 1, 0)</f>
        <v>25.170698642200229</v>
      </c>
      <c r="V998" s="100">
        <f>IF(ISNUMBER('General Info'!$B$40), (SamplingData[[#This Row],[Running (cumulative) sum]] * ('General Info'!$B$40 -'General Info'!$B$41 + 1)) + 'General Info'!$B$41 - 1, 0)</f>
        <v>26173.937360287953</v>
      </c>
      <c r="W998" s="100" t="str">
        <f>IF(ISERROR(MATCH(SamplingData[[#This Row],[Batch by Type (p)]],SelectedPrecincts[Batch Name], 0)), "", INDEX(SelectedPrecincts[Draw], MATCH(SamplingData[[#This Row],[Batch by Type (p)]],SelectedPrecincts[Batch Name], 0)))</f>
        <v/>
      </c>
      <c r="X998" s="102">
        <f>IF(COUNTIF(SelectedPrecincts[Batch Name],SamplingData[[#This Row],[Batch by Type (p)]]) &lt;&gt; 0, COUNTIF(SelectedPrecincts[Batch Name],SamplingData[[#This Row],[Batch by Type (p)]]), 0)</f>
        <v>0</v>
      </c>
    </row>
    <row r="999" spans="1:24" ht="15" customHeight="1">
      <c r="A999" s="18" t="s">
        <v>1175</v>
      </c>
      <c r="B999" s="18">
        <v>10</v>
      </c>
      <c r="C999" s="18">
        <v>23</v>
      </c>
      <c r="D999" s="16">
        <v>2</v>
      </c>
      <c r="E999" s="16">
        <v>3</v>
      </c>
      <c r="F999" s="37">
        <v>1</v>
      </c>
      <c r="G999" s="37">
        <v>0</v>
      </c>
      <c r="H999" s="17">
        <v>0</v>
      </c>
      <c r="I999" s="17">
        <v>0</v>
      </c>
      <c r="J999" s="99">
        <f>SUM(SamplingData[[#This Row],[Losing Candidate]:[Under Votes]])</f>
        <v>39</v>
      </c>
      <c r="K999"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999" s="100">
        <f>IF(AND(SamplingData[[#This Row],[Total]]&lt;&gt; 0, NOT(ISBLANK(SamplingData[[#This Row],[Candidate 3]]))),(SamplingData[[#This Row],[Total]]+SamplingData[[#This Row],[Winning Candidate]]-SamplingData[[#This Row],[Candidate 3]])/(SamplingData[[#Totals],[Winning Candidate]]-SamplingData[[#Totals],[Candidate 3]]), 0)</f>
        <v>1.9356711939865149E-3</v>
      </c>
      <c r="M999" s="100">
        <f>IF(AND(SamplingData[[#This Row],[Total]]&lt;&gt; 0, NOT(ISBLANK(SamplingData[[#This Row],[Candidate 4]]))),(SamplingData[[#This Row],[Total]]+SamplingData[[#This Row],[Winning Candidate]]-SamplingData[[#This Row],[Candidate 4]])/(SamplingData[[#Totals],[Winning Candidate]]-SamplingData[[#Totals],[Candidate 4]]), 0)</f>
        <v>1.7246923324271391E-3</v>
      </c>
      <c r="N999" s="100">
        <f>IF(AND(SamplingData[[#This Row],[Total]]&lt;&gt; 0, NOT(ISBLANK(SamplingData[[#This Row],[Candidate 5]]))),(SamplingData[[#This Row],[Total]]+SamplingData[[#This Row],[Winning Candidate]]-SamplingData[[#This Row],[Candidate 5]])/(SamplingData[[#Totals],[Winning Candidate]]-SamplingData[[#Totals],[Candidate 5]]), 0)</f>
        <v>1.4838238871320846E-3</v>
      </c>
      <c r="O999" s="100">
        <f>IF(AND(SamplingData[[#This Row],[Total]]&lt;&gt; 0, NOT(ISBLANK(SamplingData[[#This Row],[Candidate 6]]))),(SamplingData[[#This Row],[Total]]+SamplingData[[#This Row],[Winning Candidate]]-SamplingData[[#This Row],[Candidate 6]])/(SamplingData[[#Totals],[Winning Candidate]]-SamplingData[[#Totals],[Candidate 6]]), 0)</f>
        <v>1.5077087690287436E-3</v>
      </c>
      <c r="P999" s="100">
        <f>MAX(SamplingData[[#This Row],[Error Bound (up) - Max. possible relative overstatement - Losing Candidate]:[Error Bound (up) - Max. possible relative overstatement - Candidate 6]])</f>
        <v>3.1847133757961785E-3</v>
      </c>
      <c r="Q999" s="100">
        <f>IF(SamplingData[[#This Row],[Max Error Bound (up)]] = 0,0,SamplingData[[#This Row],[Max Error Bound (up)]]/SamplingData[[#Totals],[Max Error Bound (up)]])</f>
        <v>5.0403331047918325E-4</v>
      </c>
      <c r="R999" s="101">
        <f>SUM($Q$5:Q999)</f>
        <v>0.26225340691335869</v>
      </c>
      <c r="S999" s="100" t="str">
        <f t="array" ref="S999">IF(SamplingData[[#This Row],[up/U Selection Probability]] = 0, "Zero", TEXT(SamplingData[[#This Row],[Lower Range]], REPT("0",LEN('General Info'!$B$40))) &amp; " - " &amp; TEXT(SamplingData[[#This Row],[Upper Range]], REPT("0",LEN('General Info'!$B$40))))</f>
        <v>26175 - 26224</v>
      </c>
      <c r="T999" s="100">
        <f>SamplingData[[#This Row],[Upper Range]]-SamplingData[[#This Row],[Span]]</f>
        <v>26174.937864321262</v>
      </c>
      <c r="U999" s="100">
        <f>IF(ISNUMBER('General Info'!$B$40), ((SamplingData[[#This Row],[up/U Selection Probability]]) * 'General Info'!$B$40) - 1, 0)</f>
        <v>49.402827014607844</v>
      </c>
      <c r="V999" s="100">
        <f>IF(ISNUMBER('General Info'!$B$40), (SamplingData[[#This Row],[Running (cumulative) sum]] * ('General Info'!$B$40 -'General Info'!$B$41 + 1)) + 'General Info'!$B$41 - 1, 0)</f>
        <v>26224.34069133587</v>
      </c>
      <c r="W999" s="100" t="str">
        <f>IF(ISERROR(MATCH(SamplingData[[#This Row],[Batch by Type (p)]],SelectedPrecincts[Batch Name], 0)), "", INDEX(SelectedPrecincts[Draw], MATCH(SamplingData[[#This Row],[Batch by Type (p)]],SelectedPrecincts[Batch Name], 0)))</f>
        <v/>
      </c>
      <c r="X999" s="102">
        <f>IF(COUNTIF(SelectedPrecincts[Batch Name],SamplingData[[#This Row],[Batch by Type (p)]]) &lt;&gt; 0, COUNTIF(SelectedPrecincts[Batch Name],SamplingData[[#This Row],[Batch by Type (p)]]), 0)</f>
        <v>0</v>
      </c>
    </row>
    <row r="1000" spans="1:24" ht="15" customHeight="1">
      <c r="A1000" s="18" t="s">
        <v>1176</v>
      </c>
      <c r="B1000" s="18">
        <v>10</v>
      </c>
      <c r="C1000" s="18">
        <v>12</v>
      </c>
      <c r="D1000" s="18">
        <v>1</v>
      </c>
      <c r="E1000" s="18">
        <v>3</v>
      </c>
      <c r="F1000" s="18">
        <v>0</v>
      </c>
      <c r="G1000" s="18">
        <v>0</v>
      </c>
      <c r="H1000" s="18">
        <v>0</v>
      </c>
      <c r="I1000" s="18">
        <v>0</v>
      </c>
      <c r="J1000" s="99">
        <f>SUM(SamplingData[[#This Row],[Losing Candidate]:[Under Votes]])</f>
        <v>26</v>
      </c>
      <c r="K1000"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000" s="100">
        <f>IF(AND(SamplingData[[#This Row],[Total]]&lt;&gt; 0, NOT(ISBLANK(SamplingData[[#This Row],[Candidate 3]]))),(SamplingData[[#This Row],[Total]]+SamplingData[[#This Row],[Winning Candidate]]-SamplingData[[#This Row],[Candidate 3]])/(SamplingData[[#Totals],[Winning Candidate]]-SamplingData[[#Totals],[Candidate 3]]), 0)</f>
        <v>1.1936639029583509E-3</v>
      </c>
      <c r="M1000" s="100">
        <f>IF(AND(SamplingData[[#This Row],[Total]]&lt;&gt; 0, NOT(ISBLANK(SamplingData[[#This Row],[Candidate 4]]))),(SamplingData[[#This Row],[Total]]+SamplingData[[#This Row],[Winning Candidate]]-SamplingData[[#This Row],[Candidate 4]])/(SamplingData[[#Totals],[Winning Candidate]]-SamplingData[[#Totals],[Candidate 4]]), 0)</f>
        <v>1.0231225700838961E-3</v>
      </c>
      <c r="N1000" s="100">
        <f>IF(AND(SamplingData[[#This Row],[Total]]&lt;&gt; 0, NOT(ISBLANK(SamplingData[[#This Row],[Candidate 5]]))),(SamplingData[[#This Row],[Total]]+SamplingData[[#This Row],[Winning Candidate]]-SamplingData[[#This Row],[Candidate 5]])/(SamplingData[[#Totals],[Winning Candidate]]-SamplingData[[#Totals],[Candidate 5]]), 0)</f>
        <v>9.2434930673801995E-4</v>
      </c>
      <c r="O1000" s="100">
        <f>IF(AND(SamplingData[[#This Row],[Total]]&lt;&gt; 0, NOT(ISBLANK(SamplingData[[#This Row],[Candidate 6]]))),(SamplingData[[#This Row],[Total]]+SamplingData[[#This Row],[Winning Candidate]]-SamplingData[[#This Row],[Candidate 6]])/(SamplingData[[#Totals],[Winning Candidate]]-SamplingData[[#Totals],[Candidate 6]]), 0)</f>
        <v>9.2407956811439132E-4</v>
      </c>
      <c r="P1000" s="100">
        <f>MAX(SamplingData[[#This Row],[Error Bound (up) - Max. possible relative overstatement - Losing Candidate]:[Error Bound (up) - Max. possible relative overstatement - Candidate 6]])</f>
        <v>1.7148456638902498E-3</v>
      </c>
      <c r="Q1000" s="100">
        <f>IF(SamplingData[[#This Row],[Max Error Bound (up)]] = 0,0,SamplingData[[#This Row],[Max Error Bound (up)]]/SamplingData[[#Totals],[Max Error Bound (up)]])</f>
        <v>2.714025517964833E-4</v>
      </c>
      <c r="R1000" s="101">
        <f>SUM($Q$5:Q1000)</f>
        <v>0.26252480946515516</v>
      </c>
      <c r="S1000" s="100" t="str">
        <f t="array" ref="S1000">IF(SamplingData[[#This Row],[up/U Selection Probability]] = 0, "Zero", TEXT(SamplingData[[#This Row],[Lower Range]], REPT("0",LEN('General Info'!$B$40))) &amp; " - " &amp; TEXT(SamplingData[[#This Row],[Upper Range]], REPT("0",LEN('General Info'!$B$40))))</f>
        <v>26225 - 26251</v>
      </c>
      <c r="T1000" s="100">
        <f>SamplingData[[#This Row],[Upper Range]]-SamplingData[[#This Row],[Span]]</f>
        <v>26225.340962738421</v>
      </c>
      <c r="U1000" s="100">
        <f>IF(ISNUMBER('General Info'!$B$40), ((SamplingData[[#This Row],[up/U Selection Probability]]) * 'General Info'!$B$40) - 1, 0)</f>
        <v>26.139983777096536</v>
      </c>
      <c r="V1000" s="100">
        <f>IF(ISNUMBER('General Info'!$B$40), (SamplingData[[#This Row],[Running (cumulative) sum]] * ('General Info'!$B$40 -'General Info'!$B$41 + 1)) + 'General Info'!$B$41 - 1, 0)</f>
        <v>26251.480946515516</v>
      </c>
      <c r="W1000" s="100" t="str">
        <f>IF(ISERROR(MATCH(SamplingData[[#This Row],[Batch by Type (p)]],SelectedPrecincts[Batch Name], 0)), "", INDEX(SelectedPrecincts[Draw], MATCH(SamplingData[[#This Row],[Batch by Type (p)]],SelectedPrecincts[Batch Name], 0)))</f>
        <v/>
      </c>
      <c r="X1000" s="102">
        <f>IF(COUNTIF(SelectedPrecincts[Batch Name],SamplingData[[#This Row],[Batch by Type (p)]]) &lt;&gt; 0, COUNTIF(SelectedPrecincts[Batch Name],SamplingData[[#This Row],[Batch by Type (p)]]), 0)</f>
        <v>0</v>
      </c>
    </row>
    <row r="1001" spans="1:24" ht="15" customHeight="1">
      <c r="A1001" s="18" t="s">
        <v>1177</v>
      </c>
      <c r="B1001" s="18">
        <v>8</v>
      </c>
      <c r="C1001" s="18">
        <v>16</v>
      </c>
      <c r="D1001" s="16">
        <v>6</v>
      </c>
      <c r="E1001" s="16">
        <v>2</v>
      </c>
      <c r="F1001" s="37">
        <v>0</v>
      </c>
      <c r="G1001" s="37">
        <v>0</v>
      </c>
      <c r="H1001" s="17">
        <v>0</v>
      </c>
      <c r="I1001" s="17">
        <v>0</v>
      </c>
      <c r="J1001" s="99">
        <f>SUM(SamplingData[[#This Row],[Losing Candidate]:[Under Votes]])</f>
        <v>32</v>
      </c>
      <c r="K1001"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001" s="100">
        <f>IF(AND(SamplingData[[#This Row],[Total]]&lt;&gt; 0, NOT(ISBLANK(SamplingData[[#This Row],[Candidate 3]]))),(SamplingData[[#This Row],[Total]]+SamplingData[[#This Row],[Winning Candidate]]-SamplingData[[#This Row],[Candidate 3]])/(SamplingData[[#Totals],[Winning Candidate]]-SamplingData[[#Totals],[Candidate 3]]), 0)</f>
        <v>1.3549698357905604E-3</v>
      </c>
      <c r="M1001" s="100">
        <f>IF(AND(SamplingData[[#This Row],[Total]]&lt;&gt; 0, NOT(ISBLANK(SamplingData[[#This Row],[Candidate 4]]))),(SamplingData[[#This Row],[Total]]+SamplingData[[#This Row],[Winning Candidate]]-SamplingData[[#This Row],[Candidate 4]])/(SamplingData[[#Totals],[Winning Candidate]]-SamplingData[[#Totals],[Candidate 4]]), 0)</f>
        <v>1.344675377824549E-3</v>
      </c>
      <c r="N1001" s="100">
        <f>IF(AND(SamplingData[[#This Row],[Total]]&lt;&gt; 0, NOT(ISBLANK(SamplingData[[#This Row],[Candidate 5]]))),(SamplingData[[#This Row],[Total]]+SamplingData[[#This Row],[Winning Candidate]]-SamplingData[[#This Row],[Candidate 5]])/(SamplingData[[#Totals],[Winning Candidate]]-SamplingData[[#Totals],[Candidate 5]]), 0)</f>
        <v>1.1675991243006569E-3</v>
      </c>
      <c r="O1001" s="100">
        <f>IF(AND(SamplingData[[#This Row],[Total]]&lt;&gt; 0, NOT(ISBLANK(SamplingData[[#This Row],[Candidate 6]]))),(SamplingData[[#This Row],[Total]]+SamplingData[[#This Row],[Winning Candidate]]-SamplingData[[#This Row],[Candidate 6]])/(SamplingData[[#Totals],[Winning Candidate]]-SamplingData[[#Totals],[Candidate 6]]), 0)</f>
        <v>1.1672584018287049E-3</v>
      </c>
      <c r="P1001" s="100">
        <f>MAX(SamplingData[[#This Row],[Error Bound (up) - Max. possible relative overstatement - Losing Candidate]:[Error Bound (up) - Max. possible relative overstatement - Candidate 6]])</f>
        <v>2.4497795198432141E-3</v>
      </c>
      <c r="Q1001" s="100">
        <f>IF(SamplingData[[#This Row],[Max Error Bound (up)]] = 0,0,SamplingData[[#This Row],[Max Error Bound (up)]]/SamplingData[[#Totals],[Max Error Bound (up)]])</f>
        <v>3.8771793113783328E-4</v>
      </c>
      <c r="R1001" s="101">
        <f>SUM($Q$5:Q1001)</f>
        <v>0.26291252739629301</v>
      </c>
      <c r="S1001" s="100" t="str">
        <f t="array" ref="S1001">IF(SamplingData[[#This Row],[up/U Selection Probability]] = 0, "Zero", TEXT(SamplingData[[#This Row],[Lower Range]], REPT("0",LEN('General Info'!$B$40))) &amp; " - " &amp; TEXT(SamplingData[[#This Row],[Upper Range]], REPT("0",LEN('General Info'!$B$40))))</f>
        <v>26252 - 26290</v>
      </c>
      <c r="T1001" s="100">
        <f>SamplingData[[#This Row],[Upper Range]]-SamplingData[[#This Row],[Span]]</f>
        <v>26252.481334233449</v>
      </c>
      <c r="U1001" s="100">
        <f>IF(ISNUMBER('General Info'!$B$40), ((SamplingData[[#This Row],[up/U Selection Probability]]) * 'General Info'!$B$40) - 1, 0)</f>
        <v>37.771405395852192</v>
      </c>
      <c r="V1001" s="100">
        <f>IF(ISNUMBER('General Info'!$B$40), (SamplingData[[#This Row],[Running (cumulative) sum]] * ('General Info'!$B$40 -'General Info'!$B$41 + 1)) + 'General Info'!$B$41 - 1, 0)</f>
        <v>26290.252739629301</v>
      </c>
      <c r="W1001" s="100" t="str">
        <f>IF(ISERROR(MATCH(SamplingData[[#This Row],[Batch by Type (p)]],SelectedPrecincts[Batch Name], 0)), "", INDEX(SelectedPrecincts[Draw], MATCH(SamplingData[[#This Row],[Batch by Type (p)]],SelectedPrecincts[Batch Name], 0)))</f>
        <v/>
      </c>
      <c r="X1001" s="102">
        <f>IF(COUNTIF(SelectedPrecincts[Batch Name],SamplingData[[#This Row],[Batch by Type (p)]]) &lt;&gt; 0, COUNTIF(SelectedPrecincts[Batch Name],SamplingData[[#This Row],[Batch by Type (p)]]), 0)</f>
        <v>0</v>
      </c>
    </row>
    <row r="1002" spans="1:24" ht="15" customHeight="1">
      <c r="A1002" s="18" t="s">
        <v>1178</v>
      </c>
      <c r="B1002" s="18">
        <v>7</v>
      </c>
      <c r="C1002" s="18">
        <v>11</v>
      </c>
      <c r="D1002" s="18">
        <v>0</v>
      </c>
      <c r="E1002" s="18">
        <v>1</v>
      </c>
      <c r="F1002" s="18">
        <v>0</v>
      </c>
      <c r="G1002" s="18">
        <v>0</v>
      </c>
      <c r="H1002" s="18">
        <v>0</v>
      </c>
      <c r="I1002" s="18">
        <v>2</v>
      </c>
      <c r="J1002" s="99">
        <f>SUM(SamplingData[[#This Row],[Losing Candidate]:[Under Votes]])</f>
        <v>21</v>
      </c>
      <c r="K1002"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1002" s="100">
        <f>IF(AND(SamplingData[[#This Row],[Total]]&lt;&gt; 0, NOT(ISBLANK(SamplingData[[#This Row],[Candidate 3]]))),(SamplingData[[#This Row],[Total]]+SamplingData[[#This Row],[Winning Candidate]]-SamplingData[[#This Row],[Candidate 3]])/(SamplingData[[#Totals],[Winning Candidate]]-SamplingData[[#Totals],[Candidate 3]]), 0)</f>
        <v>1.0323579701261413E-3</v>
      </c>
      <c r="M1002" s="100">
        <f>IF(AND(SamplingData[[#This Row],[Total]]&lt;&gt; 0, NOT(ISBLANK(SamplingData[[#This Row],[Candidate 4]]))),(SamplingData[[#This Row],[Total]]+SamplingData[[#This Row],[Winning Candidate]]-SamplingData[[#This Row],[Candidate 4]])/(SamplingData[[#Totals],[Winning Candidate]]-SamplingData[[#Totals],[Candidate 4]]), 0)</f>
        <v>9.0619427636002225E-4</v>
      </c>
      <c r="N1002" s="100">
        <f>IF(AND(SamplingData[[#This Row],[Total]]&lt;&gt; 0, NOT(ISBLANK(SamplingData[[#This Row],[Candidate 5]]))),(SamplingData[[#This Row],[Total]]+SamplingData[[#This Row],[Winning Candidate]]-SamplingData[[#This Row],[Candidate 5]])/(SamplingData[[#Totals],[Winning Candidate]]-SamplingData[[#Totals],[Candidate 5]]), 0)</f>
        <v>7.7839941620043787E-4</v>
      </c>
      <c r="O1002" s="100">
        <f>IF(AND(SamplingData[[#This Row],[Total]]&lt;&gt; 0, NOT(ISBLANK(SamplingData[[#This Row],[Candidate 6]]))),(SamplingData[[#This Row],[Total]]+SamplingData[[#This Row],[Winning Candidate]]-SamplingData[[#This Row],[Candidate 6]])/(SamplingData[[#Totals],[Winning Candidate]]-SamplingData[[#Totals],[Candidate 6]]), 0)</f>
        <v>7.7817226788580321E-4</v>
      </c>
      <c r="P1002" s="100">
        <f>MAX(SamplingData[[#This Row],[Error Bound (up) - Max. possible relative overstatement - Losing Candidate]:[Error Bound (up) - Max. possible relative overstatement - Candidate 6]])</f>
        <v>1.5311121999020088E-3</v>
      </c>
      <c r="Q1002" s="100">
        <f>IF(SamplingData[[#This Row],[Max Error Bound (up)]] = 0,0,SamplingData[[#This Row],[Max Error Bound (up)]]/SamplingData[[#Totals],[Max Error Bound (up)]])</f>
        <v>2.4232370696114578E-4</v>
      </c>
      <c r="R1002" s="101">
        <f>SUM($Q$5:Q1002)</f>
        <v>0.26315485110325415</v>
      </c>
      <c r="S1002" s="100" t="str">
        <f t="array" ref="S1002">IF(SamplingData[[#This Row],[up/U Selection Probability]] = 0, "Zero", TEXT(SamplingData[[#This Row],[Lower Range]], REPT("0",LEN('General Info'!$B$40))) &amp; " - " &amp; TEXT(SamplingData[[#This Row],[Upper Range]], REPT("0",LEN('General Info'!$B$40))))</f>
        <v>26291 - 26314</v>
      </c>
      <c r="T1002" s="100">
        <f>SamplingData[[#This Row],[Upper Range]]-SamplingData[[#This Row],[Span]]</f>
        <v>26291.252981953006</v>
      </c>
      <c r="U1002" s="100">
        <f>IF(ISNUMBER('General Info'!$B$40), ((SamplingData[[#This Row],[up/U Selection Probability]]) * 'General Info'!$B$40) - 1, 0)</f>
        <v>23.232128372407619</v>
      </c>
      <c r="V1002" s="100">
        <f>IF(ISNUMBER('General Info'!$B$40), (SamplingData[[#This Row],[Running (cumulative) sum]] * ('General Info'!$B$40 -'General Info'!$B$41 + 1)) + 'General Info'!$B$41 - 1, 0)</f>
        <v>26314.485110325415</v>
      </c>
      <c r="W1002" s="100" t="str">
        <f>IF(ISERROR(MATCH(SamplingData[[#This Row],[Batch by Type (p)]],SelectedPrecincts[Batch Name], 0)), "", INDEX(SelectedPrecincts[Draw], MATCH(SamplingData[[#This Row],[Batch by Type (p)]],SelectedPrecincts[Batch Name], 0)))</f>
        <v/>
      </c>
      <c r="X1002" s="102">
        <f>IF(COUNTIF(SelectedPrecincts[Batch Name],SamplingData[[#This Row],[Batch by Type (p)]]) &lt;&gt; 0, COUNTIF(SelectedPrecincts[Batch Name],SamplingData[[#This Row],[Batch by Type (p)]]), 0)</f>
        <v>0</v>
      </c>
    </row>
    <row r="1003" spans="1:24" ht="15" customHeight="1">
      <c r="A1003" s="18" t="s">
        <v>1179</v>
      </c>
      <c r="B1003" s="18">
        <v>9</v>
      </c>
      <c r="C1003" s="18">
        <v>5</v>
      </c>
      <c r="D1003" s="16">
        <v>1</v>
      </c>
      <c r="E1003" s="16">
        <v>3</v>
      </c>
      <c r="F1003" s="37">
        <v>0</v>
      </c>
      <c r="G1003" s="37">
        <v>0</v>
      </c>
      <c r="H1003" s="17">
        <v>0</v>
      </c>
      <c r="I1003" s="17">
        <v>0</v>
      </c>
      <c r="J1003" s="99">
        <f>SUM(SamplingData[[#This Row],[Losing Candidate]:[Under Votes]])</f>
        <v>18</v>
      </c>
      <c r="K1003"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003" s="100">
        <f>IF(AND(SamplingData[[#This Row],[Total]]&lt;&gt; 0, NOT(ISBLANK(SamplingData[[#This Row],[Candidate 3]]))),(SamplingData[[#This Row],[Total]]+SamplingData[[#This Row],[Winning Candidate]]-SamplingData[[#This Row],[Candidate 3]])/(SamplingData[[#Totals],[Winning Candidate]]-SamplingData[[#Totals],[Candidate 3]]), 0)</f>
        <v>7.0974610446172207E-4</v>
      </c>
      <c r="M1003" s="100">
        <f>IF(AND(SamplingData[[#This Row],[Total]]&lt;&gt; 0, NOT(ISBLANK(SamplingData[[#This Row],[Candidate 4]]))),(SamplingData[[#This Row],[Total]]+SamplingData[[#This Row],[Winning Candidate]]-SamplingData[[#This Row],[Candidate 4]])/(SamplingData[[#Totals],[Winning Candidate]]-SamplingData[[#Totals],[Candidate 4]]), 0)</f>
        <v>5.8464146861936922E-4</v>
      </c>
      <c r="N1003" s="100">
        <f>IF(AND(SamplingData[[#This Row],[Total]]&lt;&gt; 0, NOT(ISBLANK(SamplingData[[#This Row],[Candidate 5]]))),(SamplingData[[#This Row],[Total]]+SamplingData[[#This Row],[Winning Candidate]]-SamplingData[[#This Row],[Candidate 5]])/(SamplingData[[#Totals],[Winning Candidate]]-SamplingData[[#Totals],[Candidate 5]]), 0)</f>
        <v>5.5947458039406475E-4</v>
      </c>
      <c r="O1003" s="100">
        <f>IF(AND(SamplingData[[#This Row],[Total]]&lt;&gt; 0, NOT(ISBLANK(SamplingData[[#This Row],[Candidate 6]]))),(SamplingData[[#This Row],[Total]]+SamplingData[[#This Row],[Winning Candidate]]-SamplingData[[#This Row],[Candidate 6]])/(SamplingData[[#Totals],[Winning Candidate]]-SamplingData[[#Totals],[Candidate 6]]), 0)</f>
        <v>5.5931131754292105E-4</v>
      </c>
      <c r="P1003" s="100">
        <f>MAX(SamplingData[[#This Row],[Error Bound (up) - Max. possible relative overstatement - Losing Candidate]:[Error Bound (up) - Max. possible relative overstatement - Candidate 6]])</f>
        <v>8.5742283194512492E-4</v>
      </c>
      <c r="Q1003" s="100">
        <f>IF(SamplingData[[#This Row],[Max Error Bound (up)]] = 0,0,SamplingData[[#This Row],[Max Error Bound (up)]]/SamplingData[[#Totals],[Max Error Bound (up)]])</f>
        <v>1.3570127589824165E-4</v>
      </c>
      <c r="R1003" s="101">
        <f>SUM($Q$5:Q1003)</f>
        <v>0.26329055237915239</v>
      </c>
      <c r="S1003" s="100" t="str">
        <f t="array" ref="S1003">IF(SamplingData[[#This Row],[up/U Selection Probability]] = 0, "Zero", TEXT(SamplingData[[#This Row],[Lower Range]], REPT("0",LEN('General Info'!$B$40))) &amp; " - " &amp; TEXT(SamplingData[[#This Row],[Upper Range]], REPT("0",LEN('General Info'!$B$40))))</f>
        <v>26315 - 26328</v>
      </c>
      <c r="T1003" s="100">
        <f>SamplingData[[#This Row],[Upper Range]]-SamplingData[[#This Row],[Span]]</f>
        <v>26315.485246026692</v>
      </c>
      <c r="U1003" s="100">
        <f>IF(ISNUMBER('General Info'!$B$40), ((SamplingData[[#This Row],[up/U Selection Probability]]) * 'General Info'!$B$40) - 1, 0)</f>
        <v>12.569991888548268</v>
      </c>
      <c r="V1003" s="100">
        <f>IF(ISNUMBER('General Info'!$B$40), (SamplingData[[#This Row],[Running (cumulative) sum]] * ('General Info'!$B$40 -'General Info'!$B$41 + 1)) + 'General Info'!$B$41 - 1, 0)</f>
        <v>26328.05523791524</v>
      </c>
      <c r="W1003" s="100" t="str">
        <f>IF(ISERROR(MATCH(SamplingData[[#This Row],[Batch by Type (p)]],SelectedPrecincts[Batch Name], 0)), "", INDEX(SelectedPrecincts[Draw], MATCH(SamplingData[[#This Row],[Batch by Type (p)]],SelectedPrecincts[Batch Name], 0)))</f>
        <v/>
      </c>
      <c r="X1003" s="102">
        <f>IF(COUNTIF(SelectedPrecincts[Batch Name],SamplingData[[#This Row],[Batch by Type (p)]]) &lt;&gt; 0, COUNTIF(SelectedPrecincts[Batch Name],SamplingData[[#This Row],[Batch by Type (p)]]), 0)</f>
        <v>0</v>
      </c>
    </row>
    <row r="1004" spans="1:24" ht="15" customHeight="1">
      <c r="A1004" s="18" t="s">
        <v>1180</v>
      </c>
      <c r="B1004" s="18">
        <v>9</v>
      </c>
      <c r="C1004" s="18">
        <v>9</v>
      </c>
      <c r="D1004" s="18">
        <v>1</v>
      </c>
      <c r="E1004" s="18">
        <v>0</v>
      </c>
      <c r="F1004" s="18">
        <v>0</v>
      </c>
      <c r="G1004" s="18">
        <v>0</v>
      </c>
      <c r="H1004" s="18">
        <v>0</v>
      </c>
      <c r="I1004" s="18">
        <v>1</v>
      </c>
      <c r="J1004" s="99">
        <f>SUM(SamplingData[[#This Row],[Losing Candidate]:[Under Votes]])</f>
        <v>20</v>
      </c>
      <c r="K100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004" s="100">
        <f>IF(AND(SamplingData[[#This Row],[Total]]&lt;&gt; 0, NOT(ISBLANK(SamplingData[[#This Row],[Candidate 3]]))),(SamplingData[[#This Row],[Total]]+SamplingData[[#This Row],[Winning Candidate]]-SamplingData[[#This Row],[Candidate 3]])/(SamplingData[[#Totals],[Winning Candidate]]-SamplingData[[#Totals],[Candidate 3]]), 0)</f>
        <v>9.0331322386037359E-4</v>
      </c>
      <c r="M1004" s="100">
        <f>IF(AND(SamplingData[[#This Row],[Total]]&lt;&gt; 0, NOT(ISBLANK(SamplingData[[#This Row],[Candidate 4]]))),(SamplingData[[#This Row],[Total]]+SamplingData[[#This Row],[Winning Candidate]]-SamplingData[[#This Row],[Candidate 4]])/(SamplingData[[#Totals],[Winning Candidate]]-SamplingData[[#Totals],[Candidate 4]]), 0)</f>
        <v>8.4773012949808531E-4</v>
      </c>
      <c r="N1004" s="100">
        <f>IF(AND(SamplingData[[#This Row],[Total]]&lt;&gt; 0, NOT(ISBLANK(SamplingData[[#This Row],[Candidate 5]]))),(SamplingData[[#This Row],[Total]]+SamplingData[[#This Row],[Winning Candidate]]-SamplingData[[#This Row],[Candidate 5]])/(SamplingData[[#Totals],[Winning Candidate]]-SamplingData[[#Totals],[Candidate 5]]), 0)</f>
        <v>7.0542447093164683E-4</v>
      </c>
      <c r="O1004" s="100">
        <f>IF(AND(SamplingData[[#This Row],[Total]]&lt;&gt; 0, NOT(ISBLANK(SamplingData[[#This Row],[Candidate 6]]))),(SamplingData[[#This Row],[Total]]+SamplingData[[#This Row],[Winning Candidate]]-SamplingData[[#This Row],[Candidate 6]])/(SamplingData[[#Totals],[Winning Candidate]]-SamplingData[[#Totals],[Candidate 6]]), 0)</f>
        <v>7.0521861777150916E-4</v>
      </c>
      <c r="P1004" s="100">
        <f>MAX(SamplingData[[#This Row],[Error Bound (up) - Max. possible relative overstatement - Losing Candidate]:[Error Bound (up) - Max. possible relative overstatement - Candidate 6]])</f>
        <v>1.224889759921607E-3</v>
      </c>
      <c r="Q1004" s="100">
        <f>IF(SamplingData[[#This Row],[Max Error Bound (up)]] = 0,0,SamplingData[[#This Row],[Max Error Bound (up)]]/SamplingData[[#Totals],[Max Error Bound (up)]])</f>
        <v>1.9385896556891664E-4</v>
      </c>
      <c r="R1004" s="101">
        <f>SUM($Q$5:Q1004)</f>
        <v>0.26348441134472128</v>
      </c>
      <c r="S1004" s="100" t="str">
        <f t="array" ref="S1004">IF(SamplingData[[#This Row],[up/U Selection Probability]] = 0, "Zero", TEXT(SamplingData[[#This Row],[Lower Range]], REPT("0",LEN('General Info'!$B$40))) &amp; " - " &amp; TEXT(SamplingData[[#This Row],[Upper Range]], REPT("0",LEN('General Info'!$B$40))))</f>
        <v>26329 - 26347</v>
      </c>
      <c r="T1004" s="100">
        <f>SamplingData[[#This Row],[Upper Range]]-SamplingData[[#This Row],[Span]]</f>
        <v>26329.055431774199</v>
      </c>
      <c r="U1004" s="100">
        <f>IF(ISNUMBER('General Info'!$B$40), ((SamplingData[[#This Row],[up/U Selection Probability]]) * 'General Info'!$B$40) - 1, 0)</f>
        <v>18.385702697926096</v>
      </c>
      <c r="V1004" s="100">
        <f>IF(ISNUMBER('General Info'!$B$40), (SamplingData[[#This Row],[Running (cumulative) sum]] * ('General Info'!$B$40 -'General Info'!$B$41 + 1)) + 'General Info'!$B$41 - 1, 0)</f>
        <v>26347.441134472127</v>
      </c>
      <c r="W1004" s="100" t="str">
        <f>IF(ISERROR(MATCH(SamplingData[[#This Row],[Batch by Type (p)]],SelectedPrecincts[Batch Name], 0)), "", INDEX(SelectedPrecincts[Draw], MATCH(SamplingData[[#This Row],[Batch by Type (p)]],SelectedPrecincts[Batch Name], 0)))</f>
        <v/>
      </c>
      <c r="X1004" s="102">
        <f>IF(COUNTIF(SelectedPrecincts[Batch Name],SamplingData[[#This Row],[Batch by Type (p)]]) &lt;&gt; 0, COUNTIF(SelectedPrecincts[Batch Name],SamplingData[[#This Row],[Batch by Type (p)]]), 0)</f>
        <v>0</v>
      </c>
    </row>
    <row r="1005" spans="1:24" ht="15" customHeight="1">
      <c r="A1005" s="18" t="s">
        <v>1181</v>
      </c>
      <c r="B1005" s="18">
        <v>10</v>
      </c>
      <c r="C1005" s="18">
        <v>9</v>
      </c>
      <c r="D1005" s="16">
        <v>3</v>
      </c>
      <c r="E1005" s="16">
        <v>2</v>
      </c>
      <c r="F1005" s="37">
        <v>0</v>
      </c>
      <c r="G1005" s="37">
        <v>0</v>
      </c>
      <c r="H1005" s="17">
        <v>0</v>
      </c>
      <c r="I1005" s="17">
        <v>0</v>
      </c>
      <c r="J1005" s="99">
        <f>SUM(SamplingData[[#This Row],[Losing Candidate]:[Under Votes]])</f>
        <v>24</v>
      </c>
      <c r="K1005"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005" s="100">
        <f>IF(AND(SamplingData[[#This Row],[Total]]&lt;&gt; 0, NOT(ISBLANK(SamplingData[[#This Row],[Candidate 3]]))),(SamplingData[[#This Row],[Total]]+SamplingData[[#This Row],[Winning Candidate]]-SamplingData[[#This Row],[Candidate 3]])/(SamplingData[[#Totals],[Winning Candidate]]-SamplingData[[#Totals],[Candidate 3]]), 0)</f>
        <v>9.6783559699325746E-4</v>
      </c>
      <c r="M1005" s="100">
        <f>IF(AND(SamplingData[[#This Row],[Total]]&lt;&gt; 0, NOT(ISBLANK(SamplingData[[#This Row],[Candidate 4]]))),(SamplingData[[#This Row],[Total]]+SamplingData[[#This Row],[Winning Candidate]]-SamplingData[[#This Row],[Candidate 4]])/(SamplingData[[#Totals],[Winning Candidate]]-SamplingData[[#Totals],[Candidate 4]]), 0)</f>
        <v>9.0619427636002225E-4</v>
      </c>
      <c r="N1005" s="100">
        <f>IF(AND(SamplingData[[#This Row],[Total]]&lt;&gt; 0, NOT(ISBLANK(SamplingData[[#This Row],[Candidate 5]]))),(SamplingData[[#This Row],[Total]]+SamplingData[[#This Row],[Winning Candidate]]-SamplingData[[#This Row],[Candidate 5]])/(SamplingData[[#Totals],[Winning Candidate]]-SamplingData[[#Totals],[Candidate 5]]), 0)</f>
        <v>8.0272439795670155E-4</v>
      </c>
      <c r="O1005" s="100">
        <f>IF(AND(SamplingData[[#This Row],[Total]]&lt;&gt; 0, NOT(ISBLANK(SamplingData[[#This Row],[Candidate 6]]))),(SamplingData[[#This Row],[Total]]+SamplingData[[#This Row],[Winning Candidate]]-SamplingData[[#This Row],[Candidate 6]])/(SamplingData[[#Totals],[Winning Candidate]]-SamplingData[[#Totals],[Candidate 6]]), 0)</f>
        <v>8.024901512572346E-4</v>
      </c>
      <c r="P1005" s="100">
        <f>MAX(SamplingData[[#This Row],[Error Bound (up) - Max. possible relative overstatement - Losing Candidate]:[Error Bound (up) - Max. possible relative overstatement - Candidate 6]])</f>
        <v>1.408623223909848E-3</v>
      </c>
      <c r="Q1005" s="100">
        <f>IF(SamplingData[[#This Row],[Max Error Bound (up)]] = 0,0,SamplingData[[#This Row],[Max Error Bound (up)]]/SamplingData[[#Totals],[Max Error Bound (up)]])</f>
        <v>2.229378104042541E-4</v>
      </c>
      <c r="R1005" s="101">
        <f>SUM($Q$5:Q1005)</f>
        <v>0.26370734915512556</v>
      </c>
      <c r="S1005" s="100" t="str">
        <f t="array" ref="S1005">IF(SamplingData[[#This Row],[up/U Selection Probability]] = 0, "Zero", TEXT(SamplingData[[#This Row],[Lower Range]], REPT("0",LEN('General Info'!$B$40))) &amp; " - " &amp; TEXT(SamplingData[[#This Row],[Upper Range]], REPT("0",LEN('General Info'!$B$40))))</f>
        <v>26348 - 26370</v>
      </c>
      <c r="T1005" s="100">
        <f>SamplingData[[#This Row],[Upper Range]]-SamplingData[[#This Row],[Span]]</f>
        <v>26348.441357409942</v>
      </c>
      <c r="U1005" s="100">
        <f>IF(ISNUMBER('General Info'!$B$40), ((SamplingData[[#This Row],[up/U Selection Probability]]) * 'General Info'!$B$40) - 1, 0)</f>
        <v>21.293558102615005</v>
      </c>
      <c r="V1005" s="100">
        <f>IF(ISNUMBER('General Info'!$B$40), (SamplingData[[#This Row],[Running (cumulative) sum]] * ('General Info'!$B$40 -'General Info'!$B$41 + 1)) + 'General Info'!$B$41 - 1, 0)</f>
        <v>26369.734915512556</v>
      </c>
      <c r="W1005" s="100" t="str">
        <f>IF(ISERROR(MATCH(SamplingData[[#This Row],[Batch by Type (p)]],SelectedPrecincts[Batch Name], 0)), "", INDEX(SelectedPrecincts[Draw], MATCH(SamplingData[[#This Row],[Batch by Type (p)]],SelectedPrecincts[Batch Name], 0)))</f>
        <v/>
      </c>
      <c r="X1005" s="102">
        <f>IF(COUNTIF(SelectedPrecincts[Batch Name],SamplingData[[#This Row],[Batch by Type (p)]]) &lt;&gt; 0, COUNTIF(SelectedPrecincts[Batch Name],SamplingData[[#This Row],[Batch by Type (p)]]), 0)</f>
        <v>0</v>
      </c>
    </row>
    <row r="1006" spans="1:24" ht="15" customHeight="1">
      <c r="A1006" s="18" t="s">
        <v>1182</v>
      </c>
      <c r="B1006" s="18">
        <v>5</v>
      </c>
      <c r="C1006" s="18">
        <v>8</v>
      </c>
      <c r="D1006" s="18">
        <v>4</v>
      </c>
      <c r="E1006" s="18">
        <v>2</v>
      </c>
      <c r="F1006" s="18">
        <v>0</v>
      </c>
      <c r="G1006" s="18">
        <v>0</v>
      </c>
      <c r="H1006" s="18">
        <v>0</v>
      </c>
      <c r="I1006" s="18">
        <v>0</v>
      </c>
      <c r="J1006" s="99">
        <f>SUM(SamplingData[[#This Row],[Losing Candidate]:[Under Votes]])</f>
        <v>19</v>
      </c>
      <c r="K1006"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1006" s="100">
        <f>IF(AND(SamplingData[[#This Row],[Total]]&lt;&gt; 0, NOT(ISBLANK(SamplingData[[#This Row],[Candidate 3]]))),(SamplingData[[#This Row],[Total]]+SamplingData[[#This Row],[Winning Candidate]]-SamplingData[[#This Row],[Candidate 3]])/(SamplingData[[#Totals],[Winning Candidate]]-SamplingData[[#Totals],[Candidate 3]]), 0)</f>
        <v>7.4200729102816406E-4</v>
      </c>
      <c r="M1006" s="100">
        <f>IF(AND(SamplingData[[#This Row],[Total]]&lt;&gt; 0, NOT(ISBLANK(SamplingData[[#This Row],[Candidate 4]]))),(SamplingData[[#This Row],[Total]]+SamplingData[[#This Row],[Winning Candidate]]-SamplingData[[#This Row],[Candidate 4]])/(SamplingData[[#Totals],[Winning Candidate]]-SamplingData[[#Totals],[Candidate 4]]), 0)</f>
        <v>7.3080183577421145E-4</v>
      </c>
      <c r="N1006" s="100">
        <f>IF(AND(SamplingData[[#This Row],[Total]]&lt;&gt; 0, NOT(ISBLANK(SamplingData[[#This Row],[Candidate 5]]))),(SamplingData[[#This Row],[Total]]+SamplingData[[#This Row],[Winning Candidate]]-SamplingData[[#This Row],[Candidate 5]])/(SamplingData[[#Totals],[Winning Candidate]]-SamplingData[[#Totals],[Candidate 5]]), 0)</f>
        <v>6.5677450741911947E-4</v>
      </c>
      <c r="O1006" s="100">
        <f>IF(AND(SamplingData[[#This Row],[Total]]&lt;&gt; 0, NOT(ISBLANK(SamplingData[[#This Row],[Candidate 6]]))),(SamplingData[[#This Row],[Total]]+SamplingData[[#This Row],[Winning Candidate]]-SamplingData[[#This Row],[Candidate 6]])/(SamplingData[[#Totals],[Winning Candidate]]-SamplingData[[#Totals],[Candidate 6]]), 0)</f>
        <v>6.5658285102864649E-4</v>
      </c>
      <c r="P1006" s="100">
        <f>MAX(SamplingData[[#This Row],[Error Bound (up) - Max. possible relative overstatement - Losing Candidate]:[Error Bound (up) - Max. possible relative overstatement - Candidate 6]])</f>
        <v>1.3473787359137678E-3</v>
      </c>
      <c r="Q1006" s="100">
        <f>IF(SamplingData[[#This Row],[Max Error Bound (up)]] = 0,0,SamplingData[[#This Row],[Max Error Bound (up)]]/SamplingData[[#Totals],[Max Error Bound (up)]])</f>
        <v>2.1324486212580832E-4</v>
      </c>
      <c r="R1006" s="101">
        <f>SUM($Q$5:Q1006)</f>
        <v>0.26392059401725138</v>
      </c>
      <c r="S1006" s="100" t="str">
        <f t="array" ref="S1006">IF(SamplingData[[#This Row],[up/U Selection Probability]] = 0, "Zero", TEXT(SamplingData[[#This Row],[Lower Range]], REPT("0",LEN('General Info'!$B$40))) &amp; " - " &amp; TEXT(SamplingData[[#This Row],[Upper Range]], REPT("0",LEN('General Info'!$B$40))))</f>
        <v>26371 - 26391</v>
      </c>
      <c r="T1006" s="100">
        <f>SamplingData[[#This Row],[Upper Range]]-SamplingData[[#This Row],[Span]]</f>
        <v>26370.73512875742</v>
      </c>
      <c r="U1006" s="100">
        <f>IF(ISNUMBER('General Info'!$B$40), ((SamplingData[[#This Row],[up/U Selection Probability]]) * 'General Info'!$B$40) - 1, 0)</f>
        <v>20.324272967718706</v>
      </c>
      <c r="V1006" s="100">
        <f>IF(ISNUMBER('General Info'!$B$40), (SamplingData[[#This Row],[Running (cumulative) sum]] * ('General Info'!$B$40 -'General Info'!$B$41 + 1)) + 'General Info'!$B$41 - 1, 0)</f>
        <v>26391.059401725139</v>
      </c>
      <c r="W1006" s="100" t="str">
        <f>IF(ISERROR(MATCH(SamplingData[[#This Row],[Batch by Type (p)]],SelectedPrecincts[Batch Name], 0)), "", INDEX(SelectedPrecincts[Draw], MATCH(SamplingData[[#This Row],[Batch by Type (p)]],SelectedPrecincts[Batch Name], 0)))</f>
        <v/>
      </c>
      <c r="X1006" s="102">
        <f>IF(COUNTIF(SelectedPrecincts[Batch Name],SamplingData[[#This Row],[Batch by Type (p)]]) &lt;&gt; 0, COUNTIF(SelectedPrecincts[Batch Name],SamplingData[[#This Row],[Batch by Type (p)]]), 0)</f>
        <v>0</v>
      </c>
    </row>
    <row r="1007" spans="1:24" ht="15" customHeight="1">
      <c r="A1007" s="18" t="s">
        <v>1183</v>
      </c>
      <c r="B1007" s="18">
        <v>7</v>
      </c>
      <c r="C1007" s="18">
        <v>14</v>
      </c>
      <c r="D1007" s="16">
        <v>3</v>
      </c>
      <c r="E1007" s="16">
        <v>2</v>
      </c>
      <c r="F1007" s="37">
        <v>0</v>
      </c>
      <c r="G1007" s="37">
        <v>0</v>
      </c>
      <c r="H1007" s="17">
        <v>0</v>
      </c>
      <c r="I1007" s="17">
        <v>0</v>
      </c>
      <c r="J1007" s="99">
        <f>SUM(SamplingData[[#This Row],[Losing Candidate]:[Under Votes]])</f>
        <v>26</v>
      </c>
      <c r="K1007" s="100">
        <f>IF(AND(SamplingData[[#This Row],[Total]]&lt;&gt; 0, NOT(ISBLANK(SamplingData[[#This Row],[Losing Candidate]]))),(SamplingData[[#This Row],[Total]]+SamplingData[[#This Row],[Winning Candidate]]-SamplingData[[#This Row],[Losing Candidate]])/(SamplingData[[#Totals],[Winning Candidate]]-SamplingData[[#Totals],[Losing Candidate]]), 0)</f>
        <v>2.0210681038706517E-3</v>
      </c>
      <c r="L1007" s="100">
        <f>IF(AND(SamplingData[[#This Row],[Total]]&lt;&gt; 0, NOT(ISBLANK(SamplingData[[#This Row],[Candidate 3]]))),(SamplingData[[#This Row],[Total]]+SamplingData[[#This Row],[Winning Candidate]]-SamplingData[[#This Row],[Candidate 3]])/(SamplingData[[#Totals],[Winning Candidate]]-SamplingData[[#Totals],[Candidate 3]]), 0)</f>
        <v>1.1936639029583509E-3</v>
      </c>
      <c r="M1007" s="100">
        <f>IF(AND(SamplingData[[#This Row],[Total]]&lt;&gt; 0, NOT(ISBLANK(SamplingData[[#This Row],[Candidate 4]]))),(SamplingData[[#This Row],[Total]]+SamplingData[[#This Row],[Winning Candidate]]-SamplingData[[#This Row],[Candidate 4]])/(SamplingData[[#Totals],[Winning Candidate]]-SamplingData[[#Totals],[Candidate 4]]), 0)</f>
        <v>1.1108187903768015E-3</v>
      </c>
      <c r="N1007" s="100">
        <f>IF(AND(SamplingData[[#This Row],[Total]]&lt;&gt; 0, NOT(ISBLANK(SamplingData[[#This Row],[Candidate 5]]))),(SamplingData[[#This Row],[Total]]+SamplingData[[#This Row],[Winning Candidate]]-SamplingData[[#This Row],[Candidate 5]])/(SamplingData[[#Totals],[Winning Candidate]]-SamplingData[[#Totals],[Candidate 5]]), 0)</f>
        <v>9.7299927025054731E-4</v>
      </c>
      <c r="O1007" s="100">
        <f>IF(AND(SamplingData[[#This Row],[Total]]&lt;&gt; 0, NOT(ISBLANK(SamplingData[[#This Row],[Candidate 6]]))),(SamplingData[[#This Row],[Total]]+SamplingData[[#This Row],[Winning Candidate]]-SamplingData[[#This Row],[Candidate 6]])/(SamplingData[[#Totals],[Winning Candidate]]-SamplingData[[#Totals],[Candidate 6]]), 0)</f>
        <v>9.7271533485725399E-4</v>
      </c>
      <c r="P1007" s="100">
        <f>MAX(SamplingData[[#This Row],[Error Bound (up) - Max. possible relative overstatement - Losing Candidate]:[Error Bound (up) - Max. possible relative overstatement - Candidate 6]])</f>
        <v>2.0210681038706517E-3</v>
      </c>
      <c r="Q1007" s="100">
        <f>IF(SamplingData[[#This Row],[Max Error Bound (up)]] = 0,0,SamplingData[[#This Row],[Max Error Bound (up)]]/SamplingData[[#Totals],[Max Error Bound (up)]])</f>
        <v>3.1986729318871245E-4</v>
      </c>
      <c r="R1007" s="101">
        <f>SUM($Q$5:Q1007)</f>
        <v>0.2642404613104401</v>
      </c>
      <c r="S1007" s="100" t="str">
        <f t="array" ref="S1007">IF(SamplingData[[#This Row],[up/U Selection Probability]] = 0, "Zero", TEXT(SamplingData[[#This Row],[Lower Range]], REPT("0",LEN('General Info'!$B$40))) &amp; " - " &amp; TEXT(SamplingData[[#This Row],[Upper Range]], REPT("0",LEN('General Info'!$B$40))))</f>
        <v>26392 - 26423</v>
      </c>
      <c r="T1007" s="100">
        <f>SamplingData[[#This Row],[Upper Range]]-SamplingData[[#This Row],[Span]]</f>
        <v>26392.059721592432</v>
      </c>
      <c r="U1007" s="100">
        <f>IF(ISNUMBER('General Info'!$B$40), ((SamplingData[[#This Row],[up/U Selection Probability]]) * 'General Info'!$B$40) - 1, 0)</f>
        <v>30.986409451578055</v>
      </c>
      <c r="V1007" s="100">
        <f>IF(ISNUMBER('General Info'!$B$40), (SamplingData[[#This Row],[Running (cumulative) sum]] * ('General Info'!$B$40 -'General Info'!$B$41 + 1)) + 'General Info'!$B$41 - 1, 0)</f>
        <v>26423.046131044011</v>
      </c>
      <c r="W1007" s="100" t="str">
        <f>IF(ISERROR(MATCH(SamplingData[[#This Row],[Batch by Type (p)]],SelectedPrecincts[Batch Name], 0)), "", INDEX(SelectedPrecincts[Draw], MATCH(SamplingData[[#This Row],[Batch by Type (p)]],SelectedPrecincts[Batch Name], 0)))</f>
        <v/>
      </c>
      <c r="X1007" s="102">
        <f>IF(COUNTIF(SelectedPrecincts[Batch Name],SamplingData[[#This Row],[Batch by Type (p)]]) &lt;&gt; 0, COUNTIF(SelectedPrecincts[Batch Name],SamplingData[[#This Row],[Batch by Type (p)]]), 0)</f>
        <v>0</v>
      </c>
    </row>
    <row r="1008" spans="1:24" ht="15" customHeight="1">
      <c r="A1008" s="18" t="s">
        <v>1184</v>
      </c>
      <c r="B1008" s="18">
        <v>8</v>
      </c>
      <c r="C1008" s="18">
        <v>7</v>
      </c>
      <c r="D1008" s="18">
        <v>0</v>
      </c>
      <c r="E1008" s="18">
        <v>0</v>
      </c>
      <c r="F1008" s="18">
        <v>0</v>
      </c>
      <c r="G1008" s="18">
        <v>0</v>
      </c>
      <c r="H1008" s="18">
        <v>0</v>
      </c>
      <c r="I1008" s="18">
        <v>1</v>
      </c>
      <c r="J1008" s="99">
        <f>SUM(SamplingData[[#This Row],[Losing Candidate]:[Under Votes]])</f>
        <v>16</v>
      </c>
      <c r="K1008"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008" s="100">
        <f>IF(AND(SamplingData[[#This Row],[Total]]&lt;&gt; 0, NOT(ISBLANK(SamplingData[[#This Row],[Candidate 3]]))),(SamplingData[[#This Row],[Total]]+SamplingData[[#This Row],[Winning Candidate]]-SamplingData[[#This Row],[Candidate 3]])/(SamplingData[[#Totals],[Winning Candidate]]-SamplingData[[#Totals],[Candidate 3]]), 0)</f>
        <v>7.4200729102816406E-4</v>
      </c>
      <c r="M1008" s="100">
        <f>IF(AND(SamplingData[[#This Row],[Total]]&lt;&gt; 0, NOT(ISBLANK(SamplingData[[#This Row],[Candidate 4]]))),(SamplingData[[#This Row],[Total]]+SamplingData[[#This Row],[Winning Candidate]]-SamplingData[[#This Row],[Candidate 4]])/(SamplingData[[#Totals],[Winning Candidate]]-SamplingData[[#Totals],[Candidate 4]]), 0)</f>
        <v>6.7233768891227451E-4</v>
      </c>
      <c r="N1008" s="100">
        <f>IF(AND(SamplingData[[#This Row],[Total]]&lt;&gt; 0, NOT(ISBLANK(SamplingData[[#This Row],[Candidate 5]]))),(SamplingData[[#This Row],[Total]]+SamplingData[[#This Row],[Winning Candidate]]-SamplingData[[#This Row],[Candidate 5]])/(SamplingData[[#Totals],[Winning Candidate]]-SamplingData[[#Totals],[Candidate 5]]), 0)</f>
        <v>5.5947458039406475E-4</v>
      </c>
      <c r="O1008" s="100">
        <f>IF(AND(SamplingData[[#This Row],[Total]]&lt;&gt; 0, NOT(ISBLANK(SamplingData[[#This Row],[Candidate 6]]))),(SamplingData[[#This Row],[Total]]+SamplingData[[#This Row],[Winning Candidate]]-SamplingData[[#This Row],[Candidate 6]])/(SamplingData[[#Totals],[Winning Candidate]]-SamplingData[[#Totals],[Candidate 6]]), 0)</f>
        <v>5.5931131754292105E-4</v>
      </c>
      <c r="P1008" s="100">
        <f>MAX(SamplingData[[#This Row],[Error Bound (up) - Max. possible relative overstatement - Losing Candidate]:[Error Bound (up) - Max. possible relative overstatement - Candidate 6]])</f>
        <v>9.1866731994120533E-4</v>
      </c>
      <c r="Q1008" s="100">
        <f>IF(SamplingData[[#This Row],[Max Error Bound (up)]] = 0,0,SamplingData[[#This Row],[Max Error Bound (up)]]/SamplingData[[#Totals],[Max Error Bound (up)]])</f>
        <v>1.4539422417668749E-4</v>
      </c>
      <c r="R1008" s="101">
        <f>SUM($Q$5:Q1008)</f>
        <v>0.2643858555346168</v>
      </c>
      <c r="S1008" s="100" t="str">
        <f t="array" ref="S1008">IF(SamplingData[[#This Row],[up/U Selection Probability]] = 0, "Zero", TEXT(SamplingData[[#This Row],[Lower Range]], REPT("0",LEN('General Info'!$B$40))) &amp; " - " &amp; TEXT(SamplingData[[#This Row],[Upper Range]], REPT("0",LEN('General Info'!$B$40))))</f>
        <v>26424 - 26438</v>
      </c>
      <c r="T1008" s="100">
        <f>SamplingData[[#This Row],[Upper Range]]-SamplingData[[#This Row],[Span]]</f>
        <v>26424.046276438236</v>
      </c>
      <c r="U1008" s="100">
        <f>IF(ISNUMBER('General Info'!$B$40), ((SamplingData[[#This Row],[up/U Selection Probability]]) * 'General Info'!$B$40) - 1, 0)</f>
        <v>13.539277023444573</v>
      </c>
      <c r="V1008" s="100">
        <f>IF(ISNUMBER('General Info'!$B$40), (SamplingData[[#This Row],[Running (cumulative) sum]] * ('General Info'!$B$40 -'General Info'!$B$41 + 1)) + 'General Info'!$B$41 - 1, 0)</f>
        <v>26437.585553461679</v>
      </c>
      <c r="W1008" s="100" t="str">
        <f>IF(ISERROR(MATCH(SamplingData[[#This Row],[Batch by Type (p)]],SelectedPrecincts[Batch Name], 0)), "", INDEX(SelectedPrecincts[Draw], MATCH(SamplingData[[#This Row],[Batch by Type (p)]],SelectedPrecincts[Batch Name], 0)))</f>
        <v/>
      </c>
      <c r="X1008" s="102">
        <f>IF(COUNTIF(SelectedPrecincts[Batch Name],SamplingData[[#This Row],[Batch by Type (p)]]) &lt;&gt; 0, COUNTIF(SelectedPrecincts[Batch Name],SamplingData[[#This Row],[Batch by Type (p)]]), 0)</f>
        <v>0</v>
      </c>
    </row>
    <row r="1009" spans="1:24" ht="15" customHeight="1">
      <c r="A1009" s="18" t="s">
        <v>1185</v>
      </c>
      <c r="B1009" s="18">
        <v>2</v>
      </c>
      <c r="C1009" s="18">
        <v>4</v>
      </c>
      <c r="D1009" s="16">
        <v>0</v>
      </c>
      <c r="E1009" s="16">
        <v>0</v>
      </c>
      <c r="F1009" s="37">
        <v>0</v>
      </c>
      <c r="G1009" s="37">
        <v>0</v>
      </c>
      <c r="H1009" s="17">
        <v>0</v>
      </c>
      <c r="I1009" s="17">
        <v>0</v>
      </c>
      <c r="J1009" s="99">
        <f>SUM(SamplingData[[#This Row],[Losing Candidate]:[Under Votes]])</f>
        <v>6</v>
      </c>
      <c r="K1009"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009" s="100">
        <f>IF(AND(SamplingData[[#This Row],[Total]]&lt;&gt; 0, NOT(ISBLANK(SamplingData[[#This Row],[Candidate 3]]))),(SamplingData[[#This Row],[Total]]+SamplingData[[#This Row],[Winning Candidate]]-SamplingData[[#This Row],[Candidate 3]])/(SamplingData[[#Totals],[Winning Candidate]]-SamplingData[[#Totals],[Candidate 3]]), 0)</f>
        <v>3.2261186566441915E-4</v>
      </c>
      <c r="M1009" s="100">
        <f>IF(AND(SamplingData[[#This Row],[Total]]&lt;&gt; 0, NOT(ISBLANK(SamplingData[[#This Row],[Candidate 4]]))),(SamplingData[[#This Row],[Total]]+SamplingData[[#This Row],[Winning Candidate]]-SamplingData[[#This Row],[Candidate 4]])/(SamplingData[[#Totals],[Winning Candidate]]-SamplingData[[#Totals],[Candidate 4]]), 0)</f>
        <v>2.9232073430968461E-4</v>
      </c>
      <c r="N1009" s="100">
        <f>IF(AND(SamplingData[[#This Row],[Total]]&lt;&gt; 0, NOT(ISBLANK(SamplingData[[#This Row],[Candidate 5]]))),(SamplingData[[#This Row],[Total]]+SamplingData[[#This Row],[Winning Candidate]]-SamplingData[[#This Row],[Candidate 5]])/(SamplingData[[#Totals],[Winning Candidate]]-SamplingData[[#Totals],[Candidate 5]]), 0)</f>
        <v>2.4324981756263683E-4</v>
      </c>
      <c r="O1009" s="100">
        <f>IF(AND(SamplingData[[#This Row],[Total]]&lt;&gt; 0, NOT(ISBLANK(SamplingData[[#This Row],[Candidate 6]]))),(SamplingData[[#This Row],[Total]]+SamplingData[[#This Row],[Winning Candidate]]-SamplingData[[#This Row],[Candidate 6]])/(SamplingData[[#Totals],[Winning Candidate]]-SamplingData[[#Totals],[Candidate 6]]), 0)</f>
        <v>2.431788337143135E-4</v>
      </c>
      <c r="P1009" s="100">
        <f>MAX(SamplingData[[#This Row],[Error Bound (up) - Max. possible relative overstatement - Losing Candidate]:[Error Bound (up) - Max. possible relative overstatement - Candidate 6]])</f>
        <v>4.8995590396864281E-4</v>
      </c>
      <c r="Q1009" s="100">
        <f>IF(SamplingData[[#This Row],[Max Error Bound (up)]] = 0,0,SamplingData[[#This Row],[Max Error Bound (up)]]/SamplingData[[#Totals],[Max Error Bound (up)]])</f>
        <v>7.7543586227566652E-5</v>
      </c>
      <c r="R1009" s="101">
        <f>SUM($Q$5:Q1009)</f>
        <v>0.26446339912084438</v>
      </c>
      <c r="S1009" s="100" t="str">
        <f t="array" ref="S1009">IF(SamplingData[[#This Row],[up/U Selection Probability]] = 0, "Zero", TEXT(SamplingData[[#This Row],[Lower Range]], REPT("0",LEN('General Info'!$B$40))) &amp; " - " &amp; TEXT(SamplingData[[#This Row],[Upper Range]], REPT("0",LEN('General Info'!$B$40))))</f>
        <v>26439 - 26445</v>
      </c>
      <c r="T1009" s="100">
        <f>SamplingData[[#This Row],[Upper Range]]-SamplingData[[#This Row],[Span]]</f>
        <v>26438.585631005266</v>
      </c>
      <c r="U1009" s="100">
        <f>IF(ISNUMBER('General Info'!$B$40), ((SamplingData[[#This Row],[up/U Selection Probability]]) * 'General Info'!$B$40) - 1, 0)</f>
        <v>6.754281079170438</v>
      </c>
      <c r="V1009" s="100">
        <f>IF(ISNUMBER('General Info'!$B$40), (SamplingData[[#This Row],[Running (cumulative) sum]] * ('General Info'!$B$40 -'General Info'!$B$41 + 1)) + 'General Info'!$B$41 - 1, 0)</f>
        <v>26445.339912084437</v>
      </c>
      <c r="W1009" s="100" t="str">
        <f>IF(ISERROR(MATCH(SamplingData[[#This Row],[Batch by Type (p)]],SelectedPrecincts[Batch Name], 0)), "", INDEX(SelectedPrecincts[Draw], MATCH(SamplingData[[#This Row],[Batch by Type (p)]],SelectedPrecincts[Batch Name], 0)))</f>
        <v/>
      </c>
      <c r="X1009" s="102">
        <f>IF(COUNTIF(SelectedPrecincts[Batch Name],SamplingData[[#This Row],[Batch by Type (p)]]) &lt;&gt; 0, COUNTIF(SelectedPrecincts[Batch Name],SamplingData[[#This Row],[Batch by Type (p)]]), 0)</f>
        <v>0</v>
      </c>
    </row>
    <row r="1010" spans="1:24" ht="15" customHeight="1">
      <c r="A1010" s="18" t="s">
        <v>1186</v>
      </c>
      <c r="B1010" s="18">
        <v>3</v>
      </c>
      <c r="C1010" s="18">
        <v>2</v>
      </c>
      <c r="D1010" s="18">
        <v>2</v>
      </c>
      <c r="E1010" s="18">
        <v>0</v>
      </c>
      <c r="F1010" s="18">
        <v>0</v>
      </c>
      <c r="G1010" s="18">
        <v>1</v>
      </c>
      <c r="H1010" s="18">
        <v>0</v>
      </c>
      <c r="I1010" s="18">
        <v>0</v>
      </c>
      <c r="J1010" s="99">
        <f>SUM(SamplingData[[#This Row],[Losing Candidate]:[Under Votes]])</f>
        <v>8</v>
      </c>
      <c r="K1010"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010" s="100">
        <f>IF(AND(SamplingData[[#This Row],[Total]]&lt;&gt; 0, NOT(ISBLANK(SamplingData[[#This Row],[Candidate 3]]))),(SamplingData[[#This Row],[Total]]+SamplingData[[#This Row],[Winning Candidate]]-SamplingData[[#This Row],[Candidate 3]])/(SamplingData[[#Totals],[Winning Candidate]]-SamplingData[[#Totals],[Candidate 3]]), 0)</f>
        <v>2.5808949253153533E-4</v>
      </c>
      <c r="M1010" s="100">
        <f>IF(AND(SamplingData[[#This Row],[Total]]&lt;&gt; 0, NOT(ISBLANK(SamplingData[[#This Row],[Candidate 4]]))),(SamplingData[[#This Row],[Total]]+SamplingData[[#This Row],[Winning Candidate]]-SamplingData[[#This Row],[Candidate 4]])/(SamplingData[[#Totals],[Winning Candidate]]-SamplingData[[#Totals],[Candidate 4]]), 0)</f>
        <v>2.9232073430968461E-4</v>
      </c>
      <c r="N1010" s="100">
        <f>IF(AND(SamplingData[[#This Row],[Total]]&lt;&gt; 0, NOT(ISBLANK(SamplingData[[#This Row],[Candidate 5]]))),(SamplingData[[#This Row],[Total]]+SamplingData[[#This Row],[Winning Candidate]]-SamplingData[[#This Row],[Candidate 5]])/(SamplingData[[#Totals],[Winning Candidate]]-SamplingData[[#Totals],[Candidate 5]]), 0)</f>
        <v>2.4324981756263683E-4</v>
      </c>
      <c r="O1010" s="100">
        <f>IF(AND(SamplingData[[#This Row],[Total]]&lt;&gt; 0, NOT(ISBLANK(SamplingData[[#This Row],[Candidate 6]]))),(SamplingData[[#This Row],[Total]]+SamplingData[[#This Row],[Winning Candidate]]-SamplingData[[#This Row],[Candidate 6]])/(SamplingData[[#Totals],[Winning Candidate]]-SamplingData[[#Totals],[Candidate 6]]), 0)</f>
        <v>2.1886095034288216E-4</v>
      </c>
      <c r="P1010" s="100">
        <f>MAX(SamplingData[[#This Row],[Error Bound (up) - Max. possible relative overstatement - Losing Candidate]:[Error Bound (up) - Max. possible relative overstatement - Candidate 6]])</f>
        <v>4.2871141597256246E-4</v>
      </c>
      <c r="Q1010" s="100">
        <f>IF(SamplingData[[#This Row],[Max Error Bound (up)]] = 0,0,SamplingData[[#This Row],[Max Error Bound (up)]]/SamplingData[[#Totals],[Max Error Bound (up)]])</f>
        <v>6.7850637949120826E-5</v>
      </c>
      <c r="R1010" s="101">
        <f>SUM($Q$5:Q1010)</f>
        <v>0.2645312497587935</v>
      </c>
      <c r="S1010" s="100" t="str">
        <f t="array" ref="S1010">IF(SamplingData[[#This Row],[up/U Selection Probability]] = 0, "Zero", TEXT(SamplingData[[#This Row],[Lower Range]], REPT("0",LEN('General Info'!$B$40))) &amp; " - " &amp; TEXT(SamplingData[[#This Row],[Upper Range]], REPT("0",LEN('General Info'!$B$40))))</f>
        <v>26446 - 26452</v>
      </c>
      <c r="T1010" s="100">
        <f>SamplingData[[#This Row],[Upper Range]]-SamplingData[[#This Row],[Span]]</f>
        <v>26446.339979935074</v>
      </c>
      <c r="U1010" s="100">
        <f>IF(ISNUMBER('General Info'!$B$40), ((SamplingData[[#This Row],[up/U Selection Probability]]) * 'General Info'!$B$40) - 1, 0)</f>
        <v>5.7849959442741339</v>
      </c>
      <c r="V1010" s="100">
        <f>IF(ISNUMBER('General Info'!$B$40), (SamplingData[[#This Row],[Running (cumulative) sum]] * ('General Info'!$B$40 -'General Info'!$B$41 + 1)) + 'General Info'!$B$41 - 1, 0)</f>
        <v>26452.124975879349</v>
      </c>
      <c r="W1010" s="100" t="str">
        <f>IF(ISERROR(MATCH(SamplingData[[#This Row],[Batch by Type (p)]],SelectedPrecincts[Batch Name], 0)), "", INDEX(SelectedPrecincts[Draw], MATCH(SamplingData[[#This Row],[Batch by Type (p)]],SelectedPrecincts[Batch Name], 0)))</f>
        <v/>
      </c>
      <c r="X1010" s="102">
        <f>IF(COUNTIF(SelectedPrecincts[Batch Name],SamplingData[[#This Row],[Batch by Type (p)]]) &lt;&gt; 0, COUNTIF(SelectedPrecincts[Batch Name],SamplingData[[#This Row],[Batch by Type (p)]]), 0)</f>
        <v>0</v>
      </c>
    </row>
    <row r="1011" spans="1:24" ht="15" customHeight="1">
      <c r="A1011" s="18" t="s">
        <v>1187</v>
      </c>
      <c r="B1011" s="18">
        <v>10</v>
      </c>
      <c r="C1011" s="18">
        <v>15</v>
      </c>
      <c r="D1011" s="16">
        <v>2</v>
      </c>
      <c r="E1011" s="16">
        <v>2</v>
      </c>
      <c r="F1011" s="37">
        <v>0</v>
      </c>
      <c r="G1011" s="37">
        <v>0</v>
      </c>
      <c r="H1011" s="17">
        <v>0</v>
      </c>
      <c r="I1011" s="17">
        <v>0</v>
      </c>
      <c r="J1011" s="99">
        <f>SUM(SamplingData[[#This Row],[Losing Candidate]:[Under Votes]])</f>
        <v>29</v>
      </c>
      <c r="K1011"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1011" s="100">
        <f>IF(AND(SamplingData[[#This Row],[Total]]&lt;&gt; 0, NOT(ISBLANK(SamplingData[[#This Row],[Candidate 3]]))),(SamplingData[[#This Row],[Total]]+SamplingData[[#This Row],[Winning Candidate]]-SamplingData[[#This Row],[Candidate 3]])/(SamplingData[[#Totals],[Winning Candidate]]-SamplingData[[#Totals],[Candidate 3]]), 0)</f>
        <v>1.3549698357905604E-3</v>
      </c>
      <c r="M1011" s="100">
        <f>IF(AND(SamplingData[[#This Row],[Total]]&lt;&gt; 0, NOT(ISBLANK(SamplingData[[#This Row],[Candidate 4]]))),(SamplingData[[#This Row],[Total]]+SamplingData[[#This Row],[Winning Candidate]]-SamplingData[[#This Row],[Candidate 4]])/(SamplingData[[#Totals],[Winning Candidate]]-SamplingData[[#Totals],[Candidate 4]]), 0)</f>
        <v>1.2277470841006752E-3</v>
      </c>
      <c r="N1011" s="100">
        <f>IF(AND(SamplingData[[#This Row],[Total]]&lt;&gt; 0, NOT(ISBLANK(SamplingData[[#This Row],[Candidate 5]]))),(SamplingData[[#This Row],[Total]]+SamplingData[[#This Row],[Winning Candidate]]-SamplingData[[#This Row],[Candidate 5]])/(SamplingData[[#Totals],[Winning Candidate]]-SamplingData[[#Totals],[Candidate 5]]), 0)</f>
        <v>1.0702991972756021E-3</v>
      </c>
      <c r="O1011" s="100">
        <f>IF(AND(SamplingData[[#This Row],[Total]]&lt;&gt; 0, NOT(ISBLANK(SamplingData[[#This Row],[Candidate 6]]))),(SamplingData[[#This Row],[Total]]+SamplingData[[#This Row],[Winning Candidate]]-SamplingData[[#This Row],[Candidate 6]])/(SamplingData[[#Totals],[Winning Candidate]]-SamplingData[[#Totals],[Candidate 6]]), 0)</f>
        <v>1.0699868683429793E-3</v>
      </c>
      <c r="P1011" s="100">
        <f>MAX(SamplingData[[#This Row],[Error Bound (up) - Max. possible relative overstatement - Losing Candidate]:[Error Bound (up) - Max. possible relative overstatement - Candidate 6]])</f>
        <v>2.0823125918667321E-3</v>
      </c>
      <c r="Q1011" s="100">
        <f>IF(SamplingData[[#This Row],[Max Error Bound (up)]] = 0,0,SamplingData[[#This Row],[Max Error Bound (up)]]/SamplingData[[#Totals],[Max Error Bound (up)]])</f>
        <v>3.2956024146715829E-4</v>
      </c>
      <c r="R1011" s="101">
        <f>SUM($Q$5:Q1011)</f>
        <v>0.26486081000026063</v>
      </c>
      <c r="S1011" s="100" t="str">
        <f t="array" ref="S1011">IF(SamplingData[[#This Row],[up/U Selection Probability]] = 0, "Zero", TEXT(SamplingData[[#This Row],[Lower Range]], REPT("0",LEN('General Info'!$B$40))) &amp; " - " &amp; TEXT(SamplingData[[#This Row],[Upper Range]], REPT("0",LEN('General Info'!$B$40))))</f>
        <v>26453 - 26485</v>
      </c>
      <c r="T1011" s="100">
        <f>SamplingData[[#This Row],[Upper Range]]-SamplingData[[#This Row],[Span]]</f>
        <v>26453.125305439589</v>
      </c>
      <c r="U1011" s="100">
        <f>IF(ISNUMBER('General Info'!$B$40), ((SamplingData[[#This Row],[up/U Selection Probability]]) * 'General Info'!$B$40) - 1, 0)</f>
        <v>31.955694586474358</v>
      </c>
      <c r="V1011" s="100">
        <f>IF(ISNUMBER('General Info'!$B$40), (SamplingData[[#This Row],[Running (cumulative) sum]] * ('General Info'!$B$40 -'General Info'!$B$41 + 1)) + 'General Info'!$B$41 - 1, 0)</f>
        <v>26485.081000026064</v>
      </c>
      <c r="W1011" s="100" t="str">
        <f>IF(ISERROR(MATCH(SamplingData[[#This Row],[Batch by Type (p)]],SelectedPrecincts[Batch Name], 0)), "", INDEX(SelectedPrecincts[Draw], MATCH(SamplingData[[#This Row],[Batch by Type (p)]],SelectedPrecincts[Batch Name], 0)))</f>
        <v/>
      </c>
      <c r="X1011" s="102">
        <f>IF(COUNTIF(SelectedPrecincts[Batch Name],SamplingData[[#This Row],[Batch by Type (p)]]) &lt;&gt; 0, COUNTIF(SelectedPrecincts[Batch Name],SamplingData[[#This Row],[Batch by Type (p)]]), 0)</f>
        <v>0</v>
      </c>
    </row>
    <row r="1012" spans="1:24" ht="15" customHeight="1">
      <c r="A1012" s="18" t="s">
        <v>1188</v>
      </c>
      <c r="B1012" s="18">
        <v>8</v>
      </c>
      <c r="C1012" s="18">
        <v>6</v>
      </c>
      <c r="D1012" s="18">
        <v>2</v>
      </c>
      <c r="E1012" s="18">
        <v>1</v>
      </c>
      <c r="F1012" s="18">
        <v>0</v>
      </c>
      <c r="G1012" s="18">
        <v>0</v>
      </c>
      <c r="H1012" s="18">
        <v>0</v>
      </c>
      <c r="I1012" s="18">
        <v>1</v>
      </c>
      <c r="J1012" s="99">
        <f>SUM(SamplingData[[#This Row],[Losing Candidate]:[Under Votes]])</f>
        <v>18</v>
      </c>
      <c r="K1012"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012" s="100">
        <f>IF(AND(SamplingData[[#This Row],[Total]]&lt;&gt; 0, NOT(ISBLANK(SamplingData[[#This Row],[Candidate 3]]))),(SamplingData[[#This Row],[Total]]+SamplingData[[#This Row],[Winning Candidate]]-SamplingData[[#This Row],[Candidate 3]])/(SamplingData[[#Totals],[Winning Candidate]]-SamplingData[[#Totals],[Candidate 3]]), 0)</f>
        <v>7.0974610446172207E-4</v>
      </c>
      <c r="M1012" s="100">
        <f>IF(AND(SamplingData[[#This Row],[Total]]&lt;&gt; 0, NOT(ISBLANK(SamplingData[[#This Row],[Candidate 4]]))),(SamplingData[[#This Row],[Total]]+SamplingData[[#This Row],[Winning Candidate]]-SamplingData[[#This Row],[Candidate 4]])/(SamplingData[[#Totals],[Winning Candidate]]-SamplingData[[#Totals],[Candidate 4]]), 0)</f>
        <v>6.7233768891227451E-4</v>
      </c>
      <c r="N1012" s="100">
        <f>IF(AND(SamplingData[[#This Row],[Total]]&lt;&gt; 0, NOT(ISBLANK(SamplingData[[#This Row],[Candidate 5]]))),(SamplingData[[#This Row],[Total]]+SamplingData[[#This Row],[Winning Candidate]]-SamplingData[[#This Row],[Candidate 5]])/(SamplingData[[#Totals],[Winning Candidate]]-SamplingData[[#Totals],[Candidate 5]]), 0)</f>
        <v>5.8379956215032843E-4</v>
      </c>
      <c r="O1012" s="100">
        <f>IF(AND(SamplingData[[#This Row],[Total]]&lt;&gt; 0, NOT(ISBLANK(SamplingData[[#This Row],[Candidate 6]]))),(SamplingData[[#This Row],[Total]]+SamplingData[[#This Row],[Winning Candidate]]-SamplingData[[#This Row],[Candidate 6]])/(SamplingData[[#Totals],[Winning Candidate]]-SamplingData[[#Totals],[Candidate 6]]), 0)</f>
        <v>5.8362920091435243E-4</v>
      </c>
      <c r="P1012" s="100">
        <f>MAX(SamplingData[[#This Row],[Error Bound (up) - Max. possible relative overstatement - Losing Candidate]:[Error Bound (up) - Max. possible relative overstatement - Candidate 6]])</f>
        <v>9.7991180793728563E-4</v>
      </c>
      <c r="Q1012" s="100">
        <f>IF(SamplingData[[#This Row],[Max Error Bound (up)]] = 0,0,SamplingData[[#This Row],[Max Error Bound (up)]]/SamplingData[[#Totals],[Max Error Bound (up)]])</f>
        <v>1.550871724551333E-4</v>
      </c>
      <c r="R1012" s="101">
        <f>SUM($Q$5:Q1012)</f>
        <v>0.26501589717271579</v>
      </c>
      <c r="S1012" s="100" t="str">
        <f t="array" ref="S1012">IF(SamplingData[[#This Row],[up/U Selection Probability]] = 0, "Zero", TEXT(SamplingData[[#This Row],[Lower Range]], REPT("0",LEN('General Info'!$B$40))) &amp; " - " &amp; TEXT(SamplingData[[#This Row],[Upper Range]], REPT("0",LEN('General Info'!$B$40))))</f>
        <v>26486 - 26501</v>
      </c>
      <c r="T1012" s="100">
        <f>SamplingData[[#This Row],[Upper Range]]-SamplingData[[#This Row],[Span]]</f>
        <v>26486.081155113236</v>
      </c>
      <c r="U1012" s="100">
        <f>IF(ISNUMBER('General Info'!$B$40), ((SamplingData[[#This Row],[up/U Selection Probability]]) * 'General Info'!$B$40) - 1, 0)</f>
        <v>14.508562158340876</v>
      </c>
      <c r="V1012" s="100">
        <f>IF(ISNUMBER('General Info'!$B$40), (SamplingData[[#This Row],[Running (cumulative) sum]] * ('General Info'!$B$40 -'General Info'!$B$41 + 1)) + 'General Info'!$B$41 - 1, 0)</f>
        <v>26500.589717271578</v>
      </c>
      <c r="W1012" s="100" t="str">
        <f>IF(ISERROR(MATCH(SamplingData[[#This Row],[Batch by Type (p)]],SelectedPrecincts[Batch Name], 0)), "", INDEX(SelectedPrecincts[Draw], MATCH(SamplingData[[#This Row],[Batch by Type (p)]],SelectedPrecincts[Batch Name], 0)))</f>
        <v/>
      </c>
      <c r="X1012" s="102">
        <f>IF(COUNTIF(SelectedPrecincts[Batch Name],SamplingData[[#This Row],[Batch by Type (p)]]) &lt;&gt; 0, COUNTIF(SelectedPrecincts[Batch Name],SamplingData[[#This Row],[Batch by Type (p)]]), 0)</f>
        <v>0</v>
      </c>
    </row>
    <row r="1013" spans="1:24" ht="15" customHeight="1">
      <c r="A1013" s="18" t="s">
        <v>1189</v>
      </c>
      <c r="B1013" s="18">
        <v>2</v>
      </c>
      <c r="C1013" s="18">
        <v>3</v>
      </c>
      <c r="D1013" s="16">
        <v>1</v>
      </c>
      <c r="E1013" s="16">
        <v>0</v>
      </c>
      <c r="F1013" s="37">
        <v>0</v>
      </c>
      <c r="G1013" s="37">
        <v>0</v>
      </c>
      <c r="H1013" s="17">
        <v>0</v>
      </c>
      <c r="I1013" s="17">
        <v>0</v>
      </c>
      <c r="J1013" s="99">
        <f>SUM(SamplingData[[#This Row],[Losing Candidate]:[Under Votes]])</f>
        <v>6</v>
      </c>
      <c r="K1013"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013" s="100">
        <f>IF(AND(SamplingData[[#This Row],[Total]]&lt;&gt; 0, NOT(ISBLANK(SamplingData[[#This Row],[Candidate 3]]))),(SamplingData[[#This Row],[Total]]+SamplingData[[#This Row],[Winning Candidate]]-SamplingData[[#This Row],[Candidate 3]])/(SamplingData[[#Totals],[Winning Candidate]]-SamplingData[[#Totals],[Candidate 3]]), 0)</f>
        <v>2.5808949253153533E-4</v>
      </c>
      <c r="M1013" s="100">
        <f>IF(AND(SamplingData[[#This Row],[Total]]&lt;&gt; 0, NOT(ISBLANK(SamplingData[[#This Row],[Candidate 4]]))),(SamplingData[[#This Row],[Total]]+SamplingData[[#This Row],[Winning Candidate]]-SamplingData[[#This Row],[Candidate 4]])/(SamplingData[[#Totals],[Winning Candidate]]-SamplingData[[#Totals],[Candidate 4]]), 0)</f>
        <v>2.6308866087871614E-4</v>
      </c>
      <c r="N1013" s="100">
        <f>IF(AND(SamplingData[[#This Row],[Total]]&lt;&gt; 0, NOT(ISBLANK(SamplingData[[#This Row],[Candidate 5]]))),(SamplingData[[#This Row],[Total]]+SamplingData[[#This Row],[Winning Candidate]]-SamplingData[[#This Row],[Candidate 5]])/(SamplingData[[#Totals],[Winning Candidate]]-SamplingData[[#Totals],[Candidate 5]]), 0)</f>
        <v>2.1892483580637315E-4</v>
      </c>
      <c r="O1013" s="100">
        <f>IF(AND(SamplingData[[#This Row],[Total]]&lt;&gt; 0, NOT(ISBLANK(SamplingData[[#This Row],[Candidate 6]]))),(SamplingData[[#This Row],[Total]]+SamplingData[[#This Row],[Winning Candidate]]-SamplingData[[#This Row],[Candidate 6]])/(SamplingData[[#Totals],[Winning Candidate]]-SamplingData[[#Totals],[Candidate 6]]), 0)</f>
        <v>2.1886095034288216E-4</v>
      </c>
      <c r="P1013" s="100">
        <f>MAX(SamplingData[[#This Row],[Error Bound (up) - Max. possible relative overstatement - Losing Candidate]:[Error Bound (up) - Max. possible relative overstatement - Candidate 6]])</f>
        <v>4.2871141597256246E-4</v>
      </c>
      <c r="Q1013" s="100">
        <f>IF(SamplingData[[#This Row],[Max Error Bound (up)]] = 0,0,SamplingData[[#This Row],[Max Error Bound (up)]]/SamplingData[[#Totals],[Max Error Bound (up)]])</f>
        <v>6.7850637949120826E-5</v>
      </c>
      <c r="R1013" s="101">
        <f>SUM($Q$5:Q1013)</f>
        <v>0.2650837478106649</v>
      </c>
      <c r="S1013" s="100" t="str">
        <f t="array" ref="S1013">IF(SamplingData[[#This Row],[up/U Selection Probability]] = 0, "Zero", TEXT(SamplingData[[#This Row],[Lower Range]], REPT("0",LEN('General Info'!$B$40))) &amp; " - " &amp; TEXT(SamplingData[[#This Row],[Upper Range]], REPT("0",LEN('General Info'!$B$40))))</f>
        <v>26502 - 26507</v>
      </c>
      <c r="T1013" s="100">
        <f>SamplingData[[#This Row],[Upper Range]]-SamplingData[[#This Row],[Span]]</f>
        <v>26501.589785122214</v>
      </c>
      <c r="U1013" s="100">
        <f>IF(ISNUMBER('General Info'!$B$40), ((SamplingData[[#This Row],[up/U Selection Probability]]) * 'General Info'!$B$40) - 1, 0)</f>
        <v>5.7849959442741339</v>
      </c>
      <c r="V1013" s="100">
        <f>IF(ISNUMBER('General Info'!$B$40), (SamplingData[[#This Row],[Running (cumulative) sum]] * ('General Info'!$B$40 -'General Info'!$B$41 + 1)) + 'General Info'!$B$41 - 1, 0)</f>
        <v>26507.37478106649</v>
      </c>
      <c r="W1013" s="100" t="str">
        <f>IF(ISERROR(MATCH(SamplingData[[#This Row],[Batch by Type (p)]],SelectedPrecincts[Batch Name], 0)), "", INDEX(SelectedPrecincts[Draw], MATCH(SamplingData[[#This Row],[Batch by Type (p)]],SelectedPrecincts[Batch Name], 0)))</f>
        <v/>
      </c>
      <c r="X1013" s="102">
        <f>IF(COUNTIF(SelectedPrecincts[Batch Name],SamplingData[[#This Row],[Batch by Type (p)]]) &lt;&gt; 0, COUNTIF(SelectedPrecincts[Batch Name],SamplingData[[#This Row],[Batch by Type (p)]]), 0)</f>
        <v>0</v>
      </c>
    </row>
    <row r="1014" spans="1:24" ht="15" customHeight="1">
      <c r="A1014" s="18" t="s">
        <v>1190</v>
      </c>
      <c r="B1014" s="18">
        <v>6</v>
      </c>
      <c r="C1014" s="18">
        <v>0</v>
      </c>
      <c r="D1014" s="18">
        <v>3</v>
      </c>
      <c r="E1014" s="18">
        <v>0</v>
      </c>
      <c r="F1014" s="18">
        <v>0</v>
      </c>
      <c r="G1014" s="18">
        <v>0</v>
      </c>
      <c r="H1014" s="18">
        <v>0</v>
      </c>
      <c r="I1014" s="18">
        <v>0</v>
      </c>
      <c r="J1014" s="99">
        <f>SUM(SamplingData[[#This Row],[Losing Candidate]:[Under Votes]])</f>
        <v>9</v>
      </c>
      <c r="K1014"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014" s="100">
        <f>IF(AND(SamplingData[[#This Row],[Total]]&lt;&gt; 0, NOT(ISBLANK(SamplingData[[#This Row],[Candidate 3]]))),(SamplingData[[#This Row],[Total]]+SamplingData[[#This Row],[Winning Candidate]]-SamplingData[[#This Row],[Candidate 3]])/(SamplingData[[#Totals],[Winning Candidate]]-SamplingData[[#Totals],[Candidate 3]]), 0)</f>
        <v>1.9356711939865149E-4</v>
      </c>
      <c r="M1014" s="100">
        <f>IF(AND(SamplingData[[#This Row],[Total]]&lt;&gt; 0, NOT(ISBLANK(SamplingData[[#This Row],[Candidate 4]]))),(SamplingData[[#This Row],[Total]]+SamplingData[[#This Row],[Winning Candidate]]-SamplingData[[#This Row],[Candidate 4]])/(SamplingData[[#Totals],[Winning Candidate]]-SamplingData[[#Totals],[Candidate 4]]), 0)</f>
        <v>2.6308866087871614E-4</v>
      </c>
      <c r="N1014" s="100">
        <f>IF(AND(SamplingData[[#This Row],[Total]]&lt;&gt; 0, NOT(ISBLANK(SamplingData[[#This Row],[Candidate 5]]))),(SamplingData[[#This Row],[Total]]+SamplingData[[#This Row],[Winning Candidate]]-SamplingData[[#This Row],[Candidate 5]])/(SamplingData[[#Totals],[Winning Candidate]]-SamplingData[[#Totals],[Candidate 5]]), 0)</f>
        <v>2.1892483580637315E-4</v>
      </c>
      <c r="O1014" s="100">
        <f>IF(AND(SamplingData[[#This Row],[Total]]&lt;&gt; 0, NOT(ISBLANK(SamplingData[[#This Row],[Candidate 6]]))),(SamplingData[[#This Row],[Total]]+SamplingData[[#This Row],[Winning Candidate]]-SamplingData[[#This Row],[Candidate 6]])/(SamplingData[[#Totals],[Winning Candidate]]-SamplingData[[#Totals],[Candidate 6]]), 0)</f>
        <v>2.1886095034288216E-4</v>
      </c>
      <c r="P1014" s="100">
        <f>MAX(SamplingData[[#This Row],[Error Bound (up) - Max. possible relative overstatement - Losing Candidate]:[Error Bound (up) - Max. possible relative overstatement - Candidate 6]])</f>
        <v>2.6308866087871614E-4</v>
      </c>
      <c r="Q1014" s="100">
        <f>IF(SamplingData[[#This Row],[Max Error Bound (up)]] = 0,0,SamplingData[[#This Row],[Max Error Bound (up)]]/SamplingData[[#Totals],[Max Error Bound (up)]])</f>
        <v>4.1638110889361628E-5</v>
      </c>
      <c r="R1014" s="101">
        <f>SUM($Q$5:Q1014)</f>
        <v>0.26512538592155427</v>
      </c>
      <c r="S1014" s="100" t="str">
        <f t="array" ref="S1014">IF(SamplingData[[#This Row],[up/U Selection Probability]] = 0, "Zero", TEXT(SamplingData[[#This Row],[Lower Range]], REPT("0",LEN('General Info'!$B$40))) &amp; " - " &amp; TEXT(SamplingData[[#This Row],[Upper Range]], REPT("0",LEN('General Info'!$B$40))))</f>
        <v>26508 - 26512</v>
      </c>
      <c r="T1014" s="100">
        <f>SamplingData[[#This Row],[Upper Range]]-SamplingData[[#This Row],[Span]]</f>
        <v>26508.374822704602</v>
      </c>
      <c r="U1014" s="100">
        <f>IF(ISNUMBER('General Info'!$B$40), ((SamplingData[[#This Row],[up/U Selection Probability]]) * 'General Info'!$B$40) - 1, 0)</f>
        <v>3.1637694508252734</v>
      </c>
      <c r="V1014" s="100">
        <f>IF(ISNUMBER('General Info'!$B$40), (SamplingData[[#This Row],[Running (cumulative) sum]] * ('General Info'!$B$40 -'General Info'!$B$41 + 1)) + 'General Info'!$B$41 - 1, 0)</f>
        <v>26511.538592155426</v>
      </c>
      <c r="W1014" s="100" t="str">
        <f>IF(ISERROR(MATCH(SamplingData[[#This Row],[Batch by Type (p)]],SelectedPrecincts[Batch Name], 0)), "", INDEX(SelectedPrecincts[Draw], MATCH(SamplingData[[#This Row],[Batch by Type (p)]],SelectedPrecincts[Batch Name], 0)))</f>
        <v/>
      </c>
      <c r="X1014" s="102">
        <f>IF(COUNTIF(SelectedPrecincts[Batch Name],SamplingData[[#This Row],[Batch by Type (p)]]) &lt;&gt; 0, COUNTIF(SelectedPrecincts[Batch Name],SamplingData[[#This Row],[Batch by Type (p)]]), 0)</f>
        <v>0</v>
      </c>
    </row>
    <row r="1015" spans="1:24" ht="15" customHeight="1">
      <c r="A1015" s="18" t="s">
        <v>1191</v>
      </c>
      <c r="B1015" s="18">
        <v>6</v>
      </c>
      <c r="C1015" s="18">
        <v>13</v>
      </c>
      <c r="D1015" s="16">
        <v>0</v>
      </c>
      <c r="E1015" s="16">
        <v>2</v>
      </c>
      <c r="F1015" s="37">
        <v>0</v>
      </c>
      <c r="G1015" s="37">
        <v>0</v>
      </c>
      <c r="H1015" s="17">
        <v>0</v>
      </c>
      <c r="I1015" s="17">
        <v>0</v>
      </c>
      <c r="J1015" s="99">
        <f>SUM(SamplingData[[#This Row],[Losing Candidate]:[Under Votes]])</f>
        <v>21</v>
      </c>
      <c r="K1015"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015" s="100">
        <f>IF(AND(SamplingData[[#This Row],[Total]]&lt;&gt; 0, NOT(ISBLANK(SamplingData[[#This Row],[Candidate 3]]))),(SamplingData[[#This Row],[Total]]+SamplingData[[#This Row],[Winning Candidate]]-SamplingData[[#This Row],[Candidate 3]])/(SamplingData[[#Totals],[Winning Candidate]]-SamplingData[[#Totals],[Candidate 3]]), 0)</f>
        <v>1.0968803432590251E-3</v>
      </c>
      <c r="M1015" s="100">
        <f>IF(AND(SamplingData[[#This Row],[Total]]&lt;&gt; 0, NOT(ISBLANK(SamplingData[[#This Row],[Candidate 4]]))),(SamplingData[[#This Row],[Total]]+SamplingData[[#This Row],[Winning Candidate]]-SamplingData[[#This Row],[Candidate 4]])/(SamplingData[[#Totals],[Winning Candidate]]-SamplingData[[#Totals],[Candidate 4]]), 0)</f>
        <v>9.3542634979099071E-4</v>
      </c>
      <c r="N1015" s="100">
        <f>IF(AND(SamplingData[[#This Row],[Total]]&lt;&gt; 0, NOT(ISBLANK(SamplingData[[#This Row],[Candidate 5]]))),(SamplingData[[#This Row],[Total]]+SamplingData[[#This Row],[Winning Candidate]]-SamplingData[[#This Row],[Candidate 5]])/(SamplingData[[#Totals],[Winning Candidate]]-SamplingData[[#Totals],[Candidate 5]]), 0)</f>
        <v>8.2704937971296523E-4</v>
      </c>
      <c r="O1015" s="100">
        <f>IF(AND(SamplingData[[#This Row],[Total]]&lt;&gt; 0, NOT(ISBLANK(SamplingData[[#This Row],[Candidate 6]]))),(SamplingData[[#This Row],[Total]]+SamplingData[[#This Row],[Winning Candidate]]-SamplingData[[#This Row],[Candidate 6]])/(SamplingData[[#Totals],[Winning Candidate]]-SamplingData[[#Totals],[Candidate 6]]), 0)</f>
        <v>8.2680803462866588E-4</v>
      </c>
      <c r="P1015" s="100">
        <f>MAX(SamplingData[[#This Row],[Error Bound (up) - Max. possible relative overstatement - Losing Candidate]:[Error Bound (up) - Max. possible relative overstatement - Candidate 6]])</f>
        <v>1.7148456638902498E-3</v>
      </c>
      <c r="Q1015" s="100">
        <f>IF(SamplingData[[#This Row],[Max Error Bound (up)]] = 0,0,SamplingData[[#This Row],[Max Error Bound (up)]]/SamplingData[[#Totals],[Max Error Bound (up)]])</f>
        <v>2.714025517964833E-4</v>
      </c>
      <c r="R1015" s="101">
        <f>SUM($Q$5:Q1015)</f>
        <v>0.26539678847335074</v>
      </c>
      <c r="S1015" s="100" t="str">
        <f t="array" ref="S1015">IF(SamplingData[[#This Row],[up/U Selection Probability]] = 0, "Zero", TEXT(SamplingData[[#This Row],[Lower Range]], REPT("0",LEN('General Info'!$B$40))) &amp; " - " &amp; TEXT(SamplingData[[#This Row],[Upper Range]], REPT("0",LEN('General Info'!$B$40))))</f>
        <v>26513 - 26539</v>
      </c>
      <c r="T1015" s="100">
        <f>SamplingData[[#This Row],[Upper Range]]-SamplingData[[#This Row],[Span]]</f>
        <v>26512.53886355798</v>
      </c>
      <c r="U1015" s="100">
        <f>IF(ISNUMBER('General Info'!$B$40), ((SamplingData[[#This Row],[up/U Selection Probability]]) * 'General Info'!$B$40) - 1, 0)</f>
        <v>26.139983777096536</v>
      </c>
      <c r="V1015" s="100">
        <f>IF(ISNUMBER('General Info'!$B$40), (SamplingData[[#This Row],[Running (cumulative) sum]] * ('General Info'!$B$40 -'General Info'!$B$41 + 1)) + 'General Info'!$B$41 - 1, 0)</f>
        <v>26538.678847335075</v>
      </c>
      <c r="W1015" s="100" t="str">
        <f>IF(ISERROR(MATCH(SamplingData[[#This Row],[Batch by Type (p)]],SelectedPrecincts[Batch Name], 0)), "", INDEX(SelectedPrecincts[Draw], MATCH(SamplingData[[#This Row],[Batch by Type (p)]],SelectedPrecincts[Batch Name], 0)))</f>
        <v/>
      </c>
      <c r="X1015" s="102">
        <f>IF(COUNTIF(SelectedPrecincts[Batch Name],SamplingData[[#This Row],[Batch by Type (p)]]) &lt;&gt; 0, COUNTIF(SelectedPrecincts[Batch Name],SamplingData[[#This Row],[Batch by Type (p)]]), 0)</f>
        <v>0</v>
      </c>
    </row>
    <row r="1016" spans="1:24" ht="15" customHeight="1">
      <c r="A1016" s="18" t="s">
        <v>1192</v>
      </c>
      <c r="B1016" s="18">
        <v>0</v>
      </c>
      <c r="C1016" s="18">
        <v>6</v>
      </c>
      <c r="D1016" s="18">
        <v>3</v>
      </c>
      <c r="E1016" s="18">
        <v>2</v>
      </c>
      <c r="F1016" s="18">
        <v>0</v>
      </c>
      <c r="G1016" s="18">
        <v>0</v>
      </c>
      <c r="H1016" s="18">
        <v>0</v>
      </c>
      <c r="I1016" s="18">
        <v>0</v>
      </c>
      <c r="J1016" s="99">
        <f>SUM(SamplingData[[#This Row],[Losing Candidate]:[Under Votes]])</f>
        <v>11</v>
      </c>
      <c r="K1016"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016" s="100">
        <f>IF(AND(SamplingData[[#This Row],[Total]]&lt;&gt; 0, NOT(ISBLANK(SamplingData[[#This Row],[Candidate 3]]))),(SamplingData[[#This Row],[Total]]+SamplingData[[#This Row],[Winning Candidate]]-SamplingData[[#This Row],[Candidate 3]])/(SamplingData[[#Totals],[Winning Candidate]]-SamplingData[[#Totals],[Candidate 3]]), 0)</f>
        <v>4.5165661193018679E-4</v>
      </c>
      <c r="M1016" s="100">
        <f>IF(AND(SamplingData[[#This Row],[Total]]&lt;&gt; 0, NOT(ISBLANK(SamplingData[[#This Row],[Candidate 4]]))),(SamplingData[[#This Row],[Total]]+SamplingData[[#This Row],[Winning Candidate]]-SamplingData[[#This Row],[Candidate 4]])/(SamplingData[[#Totals],[Winning Candidate]]-SamplingData[[#Totals],[Candidate 4]]), 0)</f>
        <v>4.3848110146452689E-4</v>
      </c>
      <c r="N1016" s="100">
        <f>IF(AND(SamplingData[[#This Row],[Total]]&lt;&gt; 0, NOT(ISBLANK(SamplingData[[#This Row],[Candidate 5]]))),(SamplingData[[#This Row],[Total]]+SamplingData[[#This Row],[Winning Candidate]]-SamplingData[[#This Row],[Candidate 5]])/(SamplingData[[#Totals],[Winning Candidate]]-SamplingData[[#Totals],[Candidate 5]]), 0)</f>
        <v>4.1352468985648261E-4</v>
      </c>
      <c r="O1016" s="100">
        <f>IF(AND(SamplingData[[#This Row],[Total]]&lt;&gt; 0, NOT(ISBLANK(SamplingData[[#This Row],[Candidate 6]]))),(SamplingData[[#This Row],[Total]]+SamplingData[[#This Row],[Winning Candidate]]-SamplingData[[#This Row],[Candidate 6]])/(SamplingData[[#Totals],[Winning Candidate]]-SamplingData[[#Totals],[Candidate 6]]), 0)</f>
        <v>4.1340401731433294E-4</v>
      </c>
      <c r="P1016" s="100">
        <f>MAX(SamplingData[[#This Row],[Error Bound (up) - Max. possible relative overstatement - Losing Candidate]:[Error Bound (up) - Max. possible relative overstatement - Candidate 6]])</f>
        <v>1.041156295933366E-3</v>
      </c>
      <c r="Q1016" s="100">
        <f>IF(SamplingData[[#This Row],[Max Error Bound (up)]] = 0,0,SamplingData[[#This Row],[Max Error Bound (up)]]/SamplingData[[#Totals],[Max Error Bound (up)]])</f>
        <v>1.6478012073357914E-4</v>
      </c>
      <c r="R1016" s="101">
        <f>SUM($Q$5:Q1016)</f>
        <v>0.26556156859408431</v>
      </c>
      <c r="S1016" s="100" t="str">
        <f t="array" ref="S1016">IF(SamplingData[[#This Row],[up/U Selection Probability]] = 0, "Zero", TEXT(SamplingData[[#This Row],[Lower Range]], REPT("0",LEN('General Info'!$B$40))) &amp; " - " &amp; TEXT(SamplingData[[#This Row],[Upper Range]], REPT("0",LEN('General Info'!$B$40))))</f>
        <v>26540 - 26555</v>
      </c>
      <c r="T1016" s="100">
        <f>SamplingData[[#This Row],[Upper Range]]-SamplingData[[#This Row],[Span]]</f>
        <v>26539.679012115193</v>
      </c>
      <c r="U1016" s="100">
        <f>IF(ISNUMBER('General Info'!$B$40), ((SamplingData[[#This Row],[up/U Selection Probability]]) * 'General Info'!$B$40) - 1, 0)</f>
        <v>15.477847293237179</v>
      </c>
      <c r="V1016" s="100">
        <f>IF(ISNUMBER('General Info'!$B$40), (SamplingData[[#This Row],[Running (cumulative) sum]] * ('General Info'!$B$40 -'General Info'!$B$41 + 1)) + 'General Info'!$B$41 - 1, 0)</f>
        <v>26555.156859408431</v>
      </c>
      <c r="W1016" s="100" t="str">
        <f>IF(ISERROR(MATCH(SamplingData[[#This Row],[Batch by Type (p)]],SelectedPrecincts[Batch Name], 0)), "", INDEX(SelectedPrecincts[Draw], MATCH(SamplingData[[#This Row],[Batch by Type (p)]],SelectedPrecincts[Batch Name], 0)))</f>
        <v/>
      </c>
      <c r="X1016" s="102">
        <f>IF(COUNTIF(SelectedPrecincts[Batch Name],SamplingData[[#This Row],[Batch by Type (p)]]) &lt;&gt; 0, COUNTIF(SelectedPrecincts[Batch Name],SamplingData[[#This Row],[Batch by Type (p)]]), 0)</f>
        <v>0</v>
      </c>
    </row>
    <row r="1017" spans="1:24" ht="15" customHeight="1">
      <c r="A1017" s="18" t="s">
        <v>1193</v>
      </c>
      <c r="B1017" s="18">
        <v>3</v>
      </c>
      <c r="C1017" s="18">
        <v>1</v>
      </c>
      <c r="D1017" s="16">
        <v>1</v>
      </c>
      <c r="E1017" s="16">
        <v>0</v>
      </c>
      <c r="F1017" s="37">
        <v>0</v>
      </c>
      <c r="G1017" s="37">
        <v>0</v>
      </c>
      <c r="H1017" s="17">
        <v>0</v>
      </c>
      <c r="I1017" s="17">
        <v>0</v>
      </c>
      <c r="J1017" s="99">
        <f>SUM(SamplingData[[#This Row],[Losing Candidate]:[Under Votes]])</f>
        <v>5</v>
      </c>
      <c r="K1017"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017" s="100">
        <f>IF(AND(SamplingData[[#This Row],[Total]]&lt;&gt; 0, NOT(ISBLANK(SamplingData[[#This Row],[Candidate 3]]))),(SamplingData[[#This Row],[Total]]+SamplingData[[#This Row],[Winning Candidate]]-SamplingData[[#This Row],[Candidate 3]])/(SamplingData[[#Totals],[Winning Candidate]]-SamplingData[[#Totals],[Candidate 3]]), 0)</f>
        <v>1.6130593283220958E-4</v>
      </c>
      <c r="M1017" s="100">
        <f>IF(AND(SamplingData[[#This Row],[Total]]&lt;&gt; 0, NOT(ISBLANK(SamplingData[[#This Row],[Candidate 4]]))),(SamplingData[[#This Row],[Total]]+SamplingData[[#This Row],[Winning Candidate]]-SamplingData[[#This Row],[Candidate 4]])/(SamplingData[[#Totals],[Winning Candidate]]-SamplingData[[#Totals],[Candidate 4]]), 0)</f>
        <v>1.7539244058581075E-4</v>
      </c>
      <c r="N1017" s="100">
        <f>IF(AND(SamplingData[[#This Row],[Total]]&lt;&gt; 0, NOT(ISBLANK(SamplingData[[#This Row],[Candidate 5]]))),(SamplingData[[#This Row],[Total]]+SamplingData[[#This Row],[Winning Candidate]]-SamplingData[[#This Row],[Candidate 5]])/(SamplingData[[#Totals],[Winning Candidate]]-SamplingData[[#Totals],[Candidate 5]]), 0)</f>
        <v>1.4594989053758211E-4</v>
      </c>
      <c r="O1017" s="100">
        <f>IF(AND(SamplingData[[#This Row],[Total]]&lt;&gt; 0, NOT(ISBLANK(SamplingData[[#This Row],[Candidate 6]]))),(SamplingData[[#This Row],[Total]]+SamplingData[[#This Row],[Winning Candidate]]-SamplingData[[#This Row],[Candidate 6]])/(SamplingData[[#Totals],[Winning Candidate]]-SamplingData[[#Totals],[Candidate 6]]), 0)</f>
        <v>1.4590730022858811E-4</v>
      </c>
      <c r="P1017" s="100">
        <f>MAX(SamplingData[[#This Row],[Error Bound (up) - Max. possible relative overstatement - Losing Candidate]:[Error Bound (up) - Max. possible relative overstatement - Candidate 6]])</f>
        <v>1.8373346398824106E-4</v>
      </c>
      <c r="Q1017" s="100">
        <f>IF(SamplingData[[#This Row],[Max Error Bound (up)]] = 0,0,SamplingData[[#This Row],[Max Error Bound (up)]]/SamplingData[[#Totals],[Max Error Bound (up)]])</f>
        <v>2.9078844835337493E-5</v>
      </c>
      <c r="R1017" s="101">
        <f>SUM($Q$5:Q1017)</f>
        <v>0.26559064743891964</v>
      </c>
      <c r="S1017" s="100" t="str">
        <f t="array" ref="S1017">IF(SamplingData[[#This Row],[up/U Selection Probability]] = 0, "Zero", TEXT(SamplingData[[#This Row],[Lower Range]], REPT("0",LEN('General Info'!$B$40))) &amp; " - " &amp; TEXT(SamplingData[[#This Row],[Upper Range]], REPT("0",LEN('General Info'!$B$40))))</f>
        <v>26556 - 26558</v>
      </c>
      <c r="T1017" s="100">
        <f>SamplingData[[#This Row],[Upper Range]]-SamplingData[[#This Row],[Span]]</f>
        <v>26556.156888487272</v>
      </c>
      <c r="U1017" s="100">
        <f>IF(ISNUMBER('General Info'!$B$40), ((SamplingData[[#This Row],[up/U Selection Probability]]) * 'General Info'!$B$40) - 1, 0)</f>
        <v>1.907855404688914</v>
      </c>
      <c r="V1017" s="100">
        <f>IF(ISNUMBER('General Info'!$B$40), (SamplingData[[#This Row],[Running (cumulative) sum]] * ('General Info'!$B$40 -'General Info'!$B$41 + 1)) + 'General Info'!$B$41 - 1, 0)</f>
        <v>26558.064743891962</v>
      </c>
      <c r="W1017" s="100" t="str">
        <f>IF(ISERROR(MATCH(SamplingData[[#This Row],[Batch by Type (p)]],SelectedPrecincts[Batch Name], 0)), "", INDEX(SelectedPrecincts[Draw], MATCH(SamplingData[[#This Row],[Batch by Type (p)]],SelectedPrecincts[Batch Name], 0)))</f>
        <v/>
      </c>
      <c r="X1017" s="102">
        <f>IF(COUNTIF(SelectedPrecincts[Batch Name],SamplingData[[#This Row],[Batch by Type (p)]]) &lt;&gt; 0, COUNTIF(SelectedPrecincts[Batch Name],SamplingData[[#This Row],[Batch by Type (p)]]), 0)</f>
        <v>0</v>
      </c>
    </row>
    <row r="1018" spans="1:24" ht="15" customHeight="1">
      <c r="A1018" s="18" t="s">
        <v>1194</v>
      </c>
      <c r="B1018" s="18">
        <v>0</v>
      </c>
      <c r="C1018" s="18">
        <v>0</v>
      </c>
      <c r="D1018" s="18">
        <v>1</v>
      </c>
      <c r="E1018" s="18">
        <v>0</v>
      </c>
      <c r="F1018" s="18">
        <v>0</v>
      </c>
      <c r="G1018" s="18">
        <v>0</v>
      </c>
      <c r="H1018" s="18">
        <v>0</v>
      </c>
      <c r="I1018" s="18">
        <v>0</v>
      </c>
      <c r="J1018" s="99">
        <f>SUM(SamplingData[[#This Row],[Losing Candidate]:[Under Votes]])</f>
        <v>1</v>
      </c>
      <c r="K101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18" s="100">
        <f>IF(AND(SamplingData[[#This Row],[Total]]&lt;&gt; 0, NOT(ISBLANK(SamplingData[[#This Row],[Candidate 3]]))),(SamplingData[[#This Row],[Total]]+SamplingData[[#This Row],[Winning Candidate]]-SamplingData[[#This Row],[Candidate 3]])/(SamplingData[[#Totals],[Winning Candidate]]-SamplingData[[#Totals],[Candidate 3]]), 0)</f>
        <v>0</v>
      </c>
      <c r="M1018" s="100">
        <f>IF(AND(SamplingData[[#This Row],[Total]]&lt;&gt; 0, NOT(ISBLANK(SamplingData[[#This Row],[Candidate 4]]))),(SamplingData[[#This Row],[Total]]+SamplingData[[#This Row],[Winning Candidate]]-SamplingData[[#This Row],[Candidate 4]])/(SamplingData[[#Totals],[Winning Candidate]]-SamplingData[[#Totals],[Candidate 4]]), 0)</f>
        <v>2.923207343096846E-5</v>
      </c>
      <c r="N1018" s="100">
        <f>IF(AND(SamplingData[[#This Row],[Total]]&lt;&gt; 0, NOT(ISBLANK(SamplingData[[#This Row],[Candidate 5]]))),(SamplingData[[#This Row],[Total]]+SamplingData[[#This Row],[Winning Candidate]]-SamplingData[[#This Row],[Candidate 5]])/(SamplingData[[#Totals],[Winning Candidate]]-SamplingData[[#Totals],[Candidate 5]]), 0)</f>
        <v>2.4324981756263683E-5</v>
      </c>
      <c r="O1018" s="100">
        <f>IF(AND(SamplingData[[#This Row],[Total]]&lt;&gt; 0, NOT(ISBLANK(SamplingData[[#This Row],[Candidate 6]]))),(SamplingData[[#This Row],[Total]]+SamplingData[[#This Row],[Winning Candidate]]-SamplingData[[#This Row],[Candidate 6]])/(SamplingData[[#Totals],[Winning Candidate]]-SamplingData[[#Totals],[Candidate 6]]), 0)</f>
        <v>2.431788337143135E-5</v>
      </c>
      <c r="P1018" s="100">
        <f>MAX(SamplingData[[#This Row],[Error Bound (up) - Max. possible relative overstatement - Losing Candidate]:[Error Bound (up) - Max. possible relative overstatement - Candidate 6]])</f>
        <v>6.1244487996080352E-5</v>
      </c>
      <c r="Q1018" s="100">
        <f>IF(SamplingData[[#This Row],[Max Error Bound (up)]] = 0,0,SamplingData[[#This Row],[Max Error Bound (up)]]/SamplingData[[#Totals],[Max Error Bound (up)]])</f>
        <v>9.6929482784458315E-6</v>
      </c>
      <c r="R1018" s="101">
        <f>SUM($Q$5:Q1018)</f>
        <v>0.2656003403871981</v>
      </c>
      <c r="S1018" s="100" t="str">
        <f t="array" ref="S1018">IF(SamplingData[[#This Row],[up/U Selection Probability]] = 0, "Zero", TEXT(SamplingData[[#This Row],[Lower Range]], REPT("0",LEN('General Info'!$B$40))) &amp; " - " &amp; TEXT(SamplingData[[#This Row],[Upper Range]], REPT("0",LEN('General Info'!$B$40))))</f>
        <v>26559 - 26559</v>
      </c>
      <c r="T1018" s="100">
        <f>SamplingData[[#This Row],[Upper Range]]-SamplingData[[#This Row],[Span]]</f>
        <v>26559.064753584913</v>
      </c>
      <c r="U1018" s="100">
        <f>IF(ISNUMBER('General Info'!$B$40), ((SamplingData[[#This Row],[up/U Selection Probability]]) * 'General Info'!$B$40) - 1, 0)</f>
        <v>-3.0714865103695255E-2</v>
      </c>
      <c r="V1018" s="100">
        <f>IF(ISNUMBER('General Info'!$B$40), (SamplingData[[#This Row],[Running (cumulative) sum]] * ('General Info'!$B$40 -'General Info'!$B$41 + 1)) + 'General Info'!$B$41 - 1, 0)</f>
        <v>26559.034038719808</v>
      </c>
      <c r="W1018" s="100" t="str">
        <f>IF(ISERROR(MATCH(SamplingData[[#This Row],[Batch by Type (p)]],SelectedPrecincts[Batch Name], 0)), "", INDEX(SelectedPrecincts[Draw], MATCH(SamplingData[[#This Row],[Batch by Type (p)]],SelectedPrecincts[Batch Name], 0)))</f>
        <v/>
      </c>
      <c r="X1018" s="102">
        <f>IF(COUNTIF(SelectedPrecincts[Batch Name],SamplingData[[#This Row],[Batch by Type (p)]]) &lt;&gt; 0, COUNTIF(SelectedPrecincts[Batch Name],SamplingData[[#This Row],[Batch by Type (p)]]), 0)</f>
        <v>0</v>
      </c>
    </row>
    <row r="1019" spans="1:24" ht="15" customHeight="1">
      <c r="A1019" s="18" t="s">
        <v>1195</v>
      </c>
      <c r="B1019" s="18">
        <v>16</v>
      </c>
      <c r="C1019" s="18">
        <v>31</v>
      </c>
      <c r="D1019" s="16">
        <v>8</v>
      </c>
      <c r="E1019" s="16">
        <v>14</v>
      </c>
      <c r="F1019" s="37">
        <v>0</v>
      </c>
      <c r="G1019" s="37">
        <v>3</v>
      </c>
      <c r="H1019" s="17">
        <v>0</v>
      </c>
      <c r="I1019" s="17">
        <v>0</v>
      </c>
      <c r="J1019" s="99">
        <f>SUM(SamplingData[[#This Row],[Losing Candidate]:[Under Votes]])</f>
        <v>72</v>
      </c>
      <c r="K1019" s="100">
        <f>IF(AND(SamplingData[[#This Row],[Total]]&lt;&gt; 0, NOT(ISBLANK(SamplingData[[#This Row],[Losing Candidate]]))),(SamplingData[[#This Row],[Total]]+SamplingData[[#This Row],[Winning Candidate]]-SamplingData[[#This Row],[Losing Candidate]])/(SamplingData[[#Totals],[Winning Candidate]]-SamplingData[[#Totals],[Losing Candidate]]), 0)</f>
        <v>5.328270455658991E-3</v>
      </c>
      <c r="L1019" s="100">
        <f>IF(AND(SamplingData[[#This Row],[Total]]&lt;&gt; 0, NOT(ISBLANK(SamplingData[[#This Row],[Candidate 3]]))),(SamplingData[[#This Row],[Total]]+SamplingData[[#This Row],[Winning Candidate]]-SamplingData[[#This Row],[Candidate 3]])/(SamplingData[[#Totals],[Winning Candidate]]-SamplingData[[#Totals],[Candidate 3]]), 0)</f>
        <v>3.0648127238119818E-3</v>
      </c>
      <c r="M1019" s="100">
        <f>IF(AND(SamplingData[[#This Row],[Total]]&lt;&gt; 0, NOT(ISBLANK(SamplingData[[#This Row],[Candidate 4]]))),(SamplingData[[#This Row],[Total]]+SamplingData[[#This Row],[Winning Candidate]]-SamplingData[[#This Row],[Candidate 4]])/(SamplingData[[#Totals],[Winning Candidate]]-SamplingData[[#Totals],[Candidate 4]]), 0)</f>
        <v>2.6016545353561927E-3</v>
      </c>
      <c r="N1019" s="100">
        <f>IF(AND(SamplingData[[#This Row],[Total]]&lt;&gt; 0, NOT(ISBLANK(SamplingData[[#This Row],[Candidate 5]]))),(SamplingData[[#This Row],[Total]]+SamplingData[[#This Row],[Winning Candidate]]-SamplingData[[#This Row],[Candidate 5]])/(SamplingData[[#Totals],[Winning Candidate]]-SamplingData[[#Totals],[Candidate 5]]), 0)</f>
        <v>2.5054731208951591E-3</v>
      </c>
      <c r="O1019" s="100">
        <f>IF(AND(SamplingData[[#This Row],[Total]]&lt;&gt; 0, NOT(ISBLANK(SamplingData[[#This Row],[Candidate 6]]))),(SamplingData[[#This Row],[Total]]+SamplingData[[#This Row],[Winning Candidate]]-SamplingData[[#This Row],[Candidate 6]])/(SamplingData[[#Totals],[Winning Candidate]]-SamplingData[[#Totals],[Candidate 6]]), 0)</f>
        <v>2.4317883371431349E-3</v>
      </c>
      <c r="P1019" s="100">
        <f>MAX(SamplingData[[#This Row],[Error Bound (up) - Max. possible relative overstatement - Losing Candidate]:[Error Bound (up) - Max. possible relative overstatement - Candidate 6]])</f>
        <v>5.328270455658991E-3</v>
      </c>
      <c r="Q1019" s="100">
        <f>IF(SamplingData[[#This Row],[Max Error Bound (up)]] = 0,0,SamplingData[[#This Row],[Max Error Bound (up)]]/SamplingData[[#Totals],[Max Error Bound (up)]])</f>
        <v>8.4328650022478743E-4</v>
      </c>
      <c r="R1019" s="101">
        <f>SUM($Q$5:Q1019)</f>
        <v>0.2664436268874229</v>
      </c>
      <c r="S1019" s="100" t="str">
        <f t="array" ref="S1019">IF(SamplingData[[#This Row],[up/U Selection Probability]] = 0, "Zero", TEXT(SamplingData[[#This Row],[Lower Range]], REPT("0",LEN('General Info'!$B$40))) &amp; " - " &amp; TEXT(SamplingData[[#This Row],[Upper Range]], REPT("0",LEN('General Info'!$B$40))))</f>
        <v>26560 - 26643</v>
      </c>
      <c r="T1019" s="100">
        <f>SamplingData[[#This Row],[Upper Range]]-SamplingData[[#This Row],[Span]]</f>
        <v>26560.034882006312</v>
      </c>
      <c r="U1019" s="100">
        <f>IF(ISNUMBER('General Info'!$B$40), ((SamplingData[[#This Row],[up/U Selection Probability]]) * 'General Info'!$B$40) - 1, 0)</f>
        <v>83.327806735978513</v>
      </c>
      <c r="V1019" s="100">
        <f>IF(ISNUMBER('General Info'!$B$40), (SamplingData[[#This Row],[Running (cumulative) sum]] * ('General Info'!$B$40 -'General Info'!$B$41 + 1)) + 'General Info'!$B$41 - 1, 0)</f>
        <v>26643.362688742291</v>
      </c>
      <c r="W1019" s="100" t="str">
        <f>IF(ISERROR(MATCH(SamplingData[[#This Row],[Batch by Type (p)]],SelectedPrecincts[Batch Name], 0)), "", INDEX(SelectedPrecincts[Draw], MATCH(SamplingData[[#This Row],[Batch by Type (p)]],SelectedPrecincts[Batch Name], 0)))</f>
        <v/>
      </c>
      <c r="X1019" s="102">
        <f>IF(COUNTIF(SelectedPrecincts[Batch Name],SamplingData[[#This Row],[Batch by Type (p)]]) &lt;&gt; 0, COUNTIF(SelectedPrecincts[Batch Name],SamplingData[[#This Row],[Batch by Type (p)]]), 0)</f>
        <v>0</v>
      </c>
    </row>
    <row r="1020" spans="1:24" ht="15" customHeight="1">
      <c r="A1020" s="18" t="s">
        <v>1196</v>
      </c>
      <c r="B1020" s="18">
        <v>6</v>
      </c>
      <c r="C1020" s="18">
        <v>10</v>
      </c>
      <c r="D1020" s="18">
        <v>10</v>
      </c>
      <c r="E1020" s="18">
        <v>1</v>
      </c>
      <c r="F1020" s="18">
        <v>0</v>
      </c>
      <c r="G1020" s="18">
        <v>0</v>
      </c>
      <c r="H1020" s="18">
        <v>0</v>
      </c>
      <c r="I1020" s="18">
        <v>0</v>
      </c>
      <c r="J1020" s="99">
        <f>SUM(SamplingData[[#This Row],[Losing Candidate]:[Under Votes]])</f>
        <v>27</v>
      </c>
      <c r="K1020"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020" s="100">
        <f>IF(AND(SamplingData[[#This Row],[Total]]&lt;&gt; 0, NOT(ISBLANK(SamplingData[[#This Row],[Candidate 3]]))),(SamplingData[[#This Row],[Total]]+SamplingData[[#This Row],[Winning Candidate]]-SamplingData[[#This Row],[Candidate 3]])/(SamplingData[[#Totals],[Winning Candidate]]-SamplingData[[#Totals],[Candidate 3]]), 0)</f>
        <v>8.710520372939317E-4</v>
      </c>
      <c r="M1020" s="100">
        <f>IF(AND(SamplingData[[#This Row],[Total]]&lt;&gt; 0, NOT(ISBLANK(SamplingData[[#This Row],[Candidate 4]]))),(SamplingData[[#This Row],[Total]]+SamplingData[[#This Row],[Winning Candidate]]-SamplingData[[#This Row],[Candidate 4]])/(SamplingData[[#Totals],[Winning Candidate]]-SamplingData[[#Totals],[Candidate 4]]), 0)</f>
        <v>1.0523546435148646E-3</v>
      </c>
      <c r="N1020" s="100">
        <f>IF(AND(SamplingData[[#This Row],[Total]]&lt;&gt; 0, NOT(ISBLANK(SamplingData[[#This Row],[Candidate 5]]))),(SamplingData[[#This Row],[Total]]+SamplingData[[#This Row],[Winning Candidate]]-SamplingData[[#This Row],[Candidate 5]])/(SamplingData[[#Totals],[Winning Candidate]]-SamplingData[[#Totals],[Candidate 5]]), 0)</f>
        <v>9.0002432498175627E-4</v>
      </c>
      <c r="O1020" s="100">
        <f>IF(AND(SamplingData[[#This Row],[Total]]&lt;&gt; 0, NOT(ISBLANK(SamplingData[[#This Row],[Candidate 6]]))),(SamplingData[[#This Row],[Total]]+SamplingData[[#This Row],[Winning Candidate]]-SamplingData[[#This Row],[Candidate 6]])/(SamplingData[[#Totals],[Winning Candidate]]-SamplingData[[#Totals],[Candidate 6]]), 0)</f>
        <v>8.9976168474295993E-4</v>
      </c>
      <c r="P1020" s="100">
        <f>MAX(SamplingData[[#This Row],[Error Bound (up) - Max. possible relative overstatement - Losing Candidate]:[Error Bound (up) - Max. possible relative overstatement - Candidate 6]])</f>
        <v>1.8985791278784908E-3</v>
      </c>
      <c r="Q1020" s="100">
        <f>IF(SamplingData[[#This Row],[Max Error Bound (up)]] = 0,0,SamplingData[[#This Row],[Max Error Bound (up)]]/SamplingData[[#Totals],[Max Error Bound (up)]])</f>
        <v>3.0048139663182077E-4</v>
      </c>
      <c r="R1020" s="101">
        <f>SUM($Q$5:Q1020)</f>
        <v>0.2667441082840547</v>
      </c>
      <c r="S1020" s="100" t="str">
        <f t="array" ref="S1020">IF(SamplingData[[#This Row],[up/U Selection Probability]] = 0, "Zero", TEXT(SamplingData[[#This Row],[Lower Range]], REPT("0",LEN('General Info'!$B$40))) &amp; " - " &amp; TEXT(SamplingData[[#This Row],[Upper Range]], REPT("0",LEN('General Info'!$B$40))))</f>
        <v>26644 - 26673</v>
      </c>
      <c r="T1020" s="100">
        <f>SamplingData[[#This Row],[Upper Range]]-SamplingData[[#This Row],[Span]]</f>
        <v>26644.362989223686</v>
      </c>
      <c r="U1020" s="100">
        <f>IF(ISNUMBER('General Info'!$B$40), ((SamplingData[[#This Row],[up/U Selection Probability]]) * 'General Info'!$B$40) - 1, 0)</f>
        <v>29.047839181785445</v>
      </c>
      <c r="V1020" s="100">
        <f>IF(ISNUMBER('General Info'!$B$40), (SamplingData[[#This Row],[Running (cumulative) sum]] * ('General Info'!$B$40 -'General Info'!$B$41 + 1)) + 'General Info'!$B$41 - 1, 0)</f>
        <v>26673.410828405471</v>
      </c>
      <c r="W1020" s="100" t="str">
        <f>IF(ISERROR(MATCH(SamplingData[[#This Row],[Batch by Type (p)]],SelectedPrecincts[Batch Name], 0)), "", INDEX(SelectedPrecincts[Draw], MATCH(SamplingData[[#This Row],[Batch by Type (p)]],SelectedPrecincts[Batch Name], 0)))</f>
        <v/>
      </c>
      <c r="X1020" s="102">
        <f>IF(COUNTIF(SelectedPrecincts[Batch Name],SamplingData[[#This Row],[Batch by Type (p)]]) &lt;&gt; 0, COUNTIF(SelectedPrecincts[Batch Name],SamplingData[[#This Row],[Batch by Type (p)]]), 0)</f>
        <v>0</v>
      </c>
    </row>
    <row r="1021" spans="1:24" ht="15" customHeight="1">
      <c r="A1021" s="18" t="s">
        <v>1197</v>
      </c>
      <c r="B1021" s="18">
        <v>3</v>
      </c>
      <c r="C1021" s="18">
        <v>0</v>
      </c>
      <c r="D1021" s="16">
        <v>0</v>
      </c>
      <c r="E1021" s="16">
        <v>0</v>
      </c>
      <c r="F1021" s="37">
        <v>0</v>
      </c>
      <c r="G1021" s="37">
        <v>0</v>
      </c>
      <c r="H1021" s="17">
        <v>0</v>
      </c>
      <c r="I1021" s="17">
        <v>1</v>
      </c>
      <c r="J1021" s="99">
        <f>SUM(SamplingData[[#This Row],[Losing Candidate]:[Under Votes]])</f>
        <v>4</v>
      </c>
      <c r="K1021"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21" s="100">
        <f>IF(AND(SamplingData[[#This Row],[Total]]&lt;&gt; 0, NOT(ISBLANK(SamplingData[[#This Row],[Candidate 3]]))),(SamplingData[[#This Row],[Total]]+SamplingData[[#This Row],[Winning Candidate]]-SamplingData[[#This Row],[Candidate 3]])/(SamplingData[[#Totals],[Winning Candidate]]-SamplingData[[#Totals],[Candidate 3]]), 0)</f>
        <v>1.2904474626576767E-4</v>
      </c>
      <c r="M1021" s="100">
        <f>IF(AND(SamplingData[[#This Row],[Total]]&lt;&gt; 0, NOT(ISBLANK(SamplingData[[#This Row],[Candidate 4]]))),(SamplingData[[#This Row],[Total]]+SamplingData[[#This Row],[Winning Candidate]]-SamplingData[[#This Row],[Candidate 4]])/(SamplingData[[#Totals],[Winning Candidate]]-SamplingData[[#Totals],[Candidate 4]]), 0)</f>
        <v>1.1692829372387384E-4</v>
      </c>
      <c r="N1021" s="100">
        <f>IF(AND(SamplingData[[#This Row],[Total]]&lt;&gt; 0, NOT(ISBLANK(SamplingData[[#This Row],[Candidate 5]]))),(SamplingData[[#This Row],[Total]]+SamplingData[[#This Row],[Winning Candidate]]-SamplingData[[#This Row],[Candidate 5]])/(SamplingData[[#Totals],[Winning Candidate]]-SamplingData[[#Totals],[Candidate 5]]), 0)</f>
        <v>9.7299927025054734E-5</v>
      </c>
      <c r="O1021" s="100">
        <f>IF(AND(SamplingData[[#This Row],[Total]]&lt;&gt; 0, NOT(ISBLANK(SamplingData[[#This Row],[Candidate 6]]))),(SamplingData[[#This Row],[Total]]+SamplingData[[#This Row],[Winning Candidate]]-SamplingData[[#This Row],[Candidate 6]])/(SamplingData[[#Totals],[Winning Candidate]]-SamplingData[[#Totals],[Candidate 6]]), 0)</f>
        <v>9.7271533485725401E-5</v>
      </c>
      <c r="P1021" s="100">
        <f>MAX(SamplingData[[#This Row],[Error Bound (up) - Max. possible relative overstatement - Losing Candidate]:[Error Bound (up) - Max. possible relative overstatement - Candidate 6]])</f>
        <v>1.2904474626576767E-4</v>
      </c>
      <c r="Q1021" s="100">
        <f>IF(SamplingData[[#This Row],[Max Error Bound (up)]] = 0,0,SamplingData[[#This Row],[Max Error Bound (up)]]/SamplingData[[#Totals],[Max Error Bound (up)]])</f>
        <v>2.0423455107328265E-5</v>
      </c>
      <c r="R1021" s="101">
        <f>SUM($Q$5:Q1021)</f>
        <v>0.26676453173916204</v>
      </c>
      <c r="S1021" s="100" t="str">
        <f t="array" ref="S1021">IF(SamplingData[[#This Row],[up/U Selection Probability]] = 0, "Zero", TEXT(SamplingData[[#This Row],[Lower Range]], REPT("0",LEN('General Info'!$B$40))) &amp; " - " &amp; TEXT(SamplingData[[#This Row],[Upper Range]], REPT("0",LEN('General Info'!$B$40))))</f>
        <v>26674 - 26675</v>
      </c>
      <c r="T1021" s="100">
        <f>SamplingData[[#This Row],[Upper Range]]-SamplingData[[#This Row],[Span]]</f>
        <v>26674.410848828928</v>
      </c>
      <c r="U1021" s="100">
        <f>IF(ISNUMBER('General Info'!$B$40), ((SamplingData[[#This Row],[up/U Selection Probability]]) * 'General Info'!$B$40) - 1, 0)</f>
        <v>1.0423250872777192</v>
      </c>
      <c r="V1021" s="100">
        <f>IF(ISNUMBER('General Info'!$B$40), (SamplingData[[#This Row],[Running (cumulative) sum]] * ('General Info'!$B$40 -'General Info'!$B$41 + 1)) + 'General Info'!$B$41 - 1, 0)</f>
        <v>26675.453173916205</v>
      </c>
      <c r="W1021" s="100" t="str">
        <f>IF(ISERROR(MATCH(SamplingData[[#This Row],[Batch by Type (p)]],SelectedPrecincts[Batch Name], 0)), "", INDEX(SelectedPrecincts[Draw], MATCH(SamplingData[[#This Row],[Batch by Type (p)]],SelectedPrecincts[Batch Name], 0)))</f>
        <v/>
      </c>
      <c r="X1021" s="102">
        <f>IF(COUNTIF(SelectedPrecincts[Batch Name],SamplingData[[#This Row],[Batch by Type (p)]]) &lt;&gt; 0, COUNTIF(SelectedPrecincts[Batch Name],SamplingData[[#This Row],[Batch by Type (p)]]), 0)</f>
        <v>0</v>
      </c>
    </row>
    <row r="1022" spans="1:24" ht="15" customHeight="1">
      <c r="A1022" s="18" t="s">
        <v>1198</v>
      </c>
      <c r="B1022" s="18">
        <v>0</v>
      </c>
      <c r="C1022" s="18">
        <v>0</v>
      </c>
      <c r="D1022" s="18">
        <v>0</v>
      </c>
      <c r="E1022" s="18">
        <v>0</v>
      </c>
      <c r="F1022" s="18">
        <v>0</v>
      </c>
      <c r="G1022" s="18">
        <v>0</v>
      </c>
      <c r="H1022" s="18">
        <v>0</v>
      </c>
      <c r="I1022" s="18">
        <v>0</v>
      </c>
      <c r="J1022" s="99">
        <f>SUM(SamplingData[[#This Row],[Losing Candidate]:[Under Votes]])</f>
        <v>0</v>
      </c>
      <c r="K1022" s="100">
        <f>IF(AND(SamplingData[[#This Row],[Total]]&lt;&gt; 0, NOT(ISBLANK(SamplingData[[#This Row],[Losing Candidate]]))),(SamplingData[[#This Row],[Total]]+SamplingData[[#This Row],[Winning Candidate]]-SamplingData[[#This Row],[Losing Candidate]])/(SamplingData[[#Totals],[Winning Candidate]]-SamplingData[[#Totals],[Losing Candidate]]), 0)</f>
        <v>0</v>
      </c>
      <c r="L1022" s="100">
        <f>IF(AND(SamplingData[[#This Row],[Total]]&lt;&gt; 0, NOT(ISBLANK(SamplingData[[#This Row],[Candidate 3]]))),(SamplingData[[#This Row],[Total]]+SamplingData[[#This Row],[Winning Candidate]]-SamplingData[[#This Row],[Candidate 3]])/(SamplingData[[#Totals],[Winning Candidate]]-SamplingData[[#Totals],[Candidate 3]]), 0)</f>
        <v>0</v>
      </c>
      <c r="M1022" s="100">
        <f>IF(AND(SamplingData[[#This Row],[Total]]&lt;&gt; 0, NOT(ISBLANK(SamplingData[[#This Row],[Candidate 4]]))),(SamplingData[[#This Row],[Total]]+SamplingData[[#This Row],[Winning Candidate]]-SamplingData[[#This Row],[Candidate 4]])/(SamplingData[[#Totals],[Winning Candidate]]-SamplingData[[#Totals],[Candidate 4]]), 0)</f>
        <v>0</v>
      </c>
      <c r="N1022" s="100">
        <f>IF(AND(SamplingData[[#This Row],[Total]]&lt;&gt; 0, NOT(ISBLANK(SamplingData[[#This Row],[Candidate 5]]))),(SamplingData[[#This Row],[Total]]+SamplingData[[#This Row],[Winning Candidate]]-SamplingData[[#This Row],[Candidate 5]])/(SamplingData[[#Totals],[Winning Candidate]]-SamplingData[[#Totals],[Candidate 5]]), 0)</f>
        <v>0</v>
      </c>
      <c r="O1022" s="100">
        <f>IF(AND(SamplingData[[#This Row],[Total]]&lt;&gt; 0, NOT(ISBLANK(SamplingData[[#This Row],[Candidate 6]]))),(SamplingData[[#This Row],[Total]]+SamplingData[[#This Row],[Winning Candidate]]-SamplingData[[#This Row],[Candidate 6]])/(SamplingData[[#Totals],[Winning Candidate]]-SamplingData[[#Totals],[Candidate 6]]), 0)</f>
        <v>0</v>
      </c>
      <c r="P1022" s="100">
        <f>MAX(SamplingData[[#This Row],[Error Bound (up) - Max. possible relative overstatement - Losing Candidate]:[Error Bound (up) - Max. possible relative overstatement - Candidate 6]])</f>
        <v>0</v>
      </c>
      <c r="Q1022" s="100">
        <f>IF(SamplingData[[#This Row],[Max Error Bound (up)]] = 0,0,SamplingData[[#This Row],[Max Error Bound (up)]]/SamplingData[[#Totals],[Max Error Bound (up)]])</f>
        <v>0</v>
      </c>
      <c r="R1022" s="101">
        <f>SUM($Q$5:Q1022)</f>
        <v>0.26676453173916204</v>
      </c>
      <c r="S1022" s="100" t="str">
        <f t="array" ref="S1022">IF(SamplingData[[#This Row],[up/U Selection Probability]] = 0, "Zero", TEXT(SamplingData[[#This Row],[Lower Range]], REPT("0",LEN('General Info'!$B$40))) &amp; " - " &amp; TEXT(SamplingData[[#This Row],[Upper Range]], REPT("0",LEN('General Info'!$B$40))))</f>
        <v>Zero</v>
      </c>
      <c r="T1022" s="100">
        <f>SamplingData[[#This Row],[Upper Range]]-SamplingData[[#This Row],[Span]]</f>
        <v>26676.453173916205</v>
      </c>
      <c r="U1022" s="100">
        <f>IF(ISNUMBER('General Info'!$B$40), ((SamplingData[[#This Row],[up/U Selection Probability]]) * 'General Info'!$B$40) - 1, 0)</f>
        <v>-1</v>
      </c>
      <c r="V1022" s="100">
        <f>IF(ISNUMBER('General Info'!$B$40), (SamplingData[[#This Row],[Running (cumulative) sum]] * ('General Info'!$B$40 -'General Info'!$B$41 + 1)) + 'General Info'!$B$41 - 1, 0)</f>
        <v>26675.453173916205</v>
      </c>
      <c r="W1022" s="100" t="str">
        <f>IF(ISERROR(MATCH(SamplingData[[#This Row],[Batch by Type (p)]],SelectedPrecincts[Batch Name], 0)), "", INDEX(SelectedPrecincts[Draw], MATCH(SamplingData[[#This Row],[Batch by Type (p)]],SelectedPrecincts[Batch Name], 0)))</f>
        <v/>
      </c>
      <c r="X1022" s="102">
        <f>IF(COUNTIF(SelectedPrecincts[Batch Name],SamplingData[[#This Row],[Batch by Type (p)]]) &lt;&gt; 0, COUNTIF(SelectedPrecincts[Batch Name],SamplingData[[#This Row],[Batch by Type (p)]]), 0)</f>
        <v>0</v>
      </c>
    </row>
    <row r="1023" spans="1:24" ht="15" customHeight="1">
      <c r="A1023" s="18" t="s">
        <v>1199</v>
      </c>
      <c r="B1023" s="18">
        <v>0</v>
      </c>
      <c r="C1023" s="18">
        <v>1</v>
      </c>
      <c r="D1023" s="16">
        <v>0</v>
      </c>
      <c r="E1023" s="16">
        <v>0</v>
      </c>
      <c r="F1023" s="37">
        <v>0</v>
      </c>
      <c r="G1023" s="37">
        <v>0</v>
      </c>
      <c r="H1023" s="17">
        <v>0</v>
      </c>
      <c r="I1023" s="17">
        <v>0</v>
      </c>
      <c r="J1023" s="99">
        <f>SUM(SamplingData[[#This Row],[Losing Candidate]:[Under Votes]])</f>
        <v>1</v>
      </c>
      <c r="K1023"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023" s="100">
        <f>IF(AND(SamplingData[[#This Row],[Total]]&lt;&gt; 0, NOT(ISBLANK(SamplingData[[#This Row],[Candidate 3]]))),(SamplingData[[#This Row],[Total]]+SamplingData[[#This Row],[Winning Candidate]]-SamplingData[[#This Row],[Candidate 3]])/(SamplingData[[#Totals],[Winning Candidate]]-SamplingData[[#Totals],[Candidate 3]]), 0)</f>
        <v>6.4522373132883833E-5</v>
      </c>
      <c r="M1023" s="100">
        <f>IF(AND(SamplingData[[#This Row],[Total]]&lt;&gt; 0, NOT(ISBLANK(SamplingData[[#This Row],[Candidate 4]]))),(SamplingData[[#This Row],[Total]]+SamplingData[[#This Row],[Winning Candidate]]-SamplingData[[#This Row],[Candidate 4]])/(SamplingData[[#Totals],[Winning Candidate]]-SamplingData[[#Totals],[Candidate 4]]), 0)</f>
        <v>5.846414686193692E-5</v>
      </c>
      <c r="N1023" s="100">
        <f>IF(AND(SamplingData[[#This Row],[Total]]&lt;&gt; 0, NOT(ISBLANK(SamplingData[[#This Row],[Candidate 5]]))),(SamplingData[[#This Row],[Total]]+SamplingData[[#This Row],[Winning Candidate]]-SamplingData[[#This Row],[Candidate 5]])/(SamplingData[[#Totals],[Winning Candidate]]-SamplingData[[#Totals],[Candidate 5]]), 0)</f>
        <v>4.8649963512527367E-5</v>
      </c>
      <c r="O1023" s="100">
        <f>IF(AND(SamplingData[[#This Row],[Total]]&lt;&gt; 0, NOT(ISBLANK(SamplingData[[#This Row],[Candidate 6]]))),(SamplingData[[#This Row],[Total]]+SamplingData[[#This Row],[Winning Candidate]]-SamplingData[[#This Row],[Candidate 6]])/(SamplingData[[#Totals],[Winning Candidate]]-SamplingData[[#Totals],[Candidate 6]]), 0)</f>
        <v>4.8635766742862701E-5</v>
      </c>
      <c r="P1023" s="100">
        <f>MAX(SamplingData[[#This Row],[Error Bound (up) - Max. possible relative overstatement - Losing Candidate]:[Error Bound (up) - Max. possible relative overstatement - Candidate 6]])</f>
        <v>1.224889759921607E-4</v>
      </c>
      <c r="Q1023" s="100">
        <f>IF(SamplingData[[#This Row],[Max Error Bound (up)]] = 0,0,SamplingData[[#This Row],[Max Error Bound (up)]]/SamplingData[[#Totals],[Max Error Bound (up)]])</f>
        <v>1.9385896556891663E-5</v>
      </c>
      <c r="R1023" s="101">
        <f>SUM($Q$5:Q1023)</f>
        <v>0.2667839176357189</v>
      </c>
      <c r="S1023" s="100" t="str">
        <f t="array" ref="S1023">IF(SamplingData[[#This Row],[up/U Selection Probability]] = 0, "Zero", TEXT(SamplingData[[#This Row],[Lower Range]], REPT("0",LEN('General Info'!$B$40))) &amp; " - " &amp; TEXT(SamplingData[[#This Row],[Upper Range]], REPT("0",LEN('General Info'!$B$40))))</f>
        <v>26676 - 26677</v>
      </c>
      <c r="T1023" s="100">
        <f>SamplingData[[#This Row],[Upper Range]]-SamplingData[[#This Row],[Span]]</f>
        <v>26676.453193302099</v>
      </c>
      <c r="U1023" s="100">
        <f>IF(ISNUMBER('General Info'!$B$40), ((SamplingData[[#This Row],[up/U Selection Probability]]) * 'General Info'!$B$40) - 1, 0)</f>
        <v>0.93857026979260949</v>
      </c>
      <c r="V1023" s="100">
        <f>IF(ISNUMBER('General Info'!$B$40), (SamplingData[[#This Row],[Running (cumulative) sum]] * ('General Info'!$B$40 -'General Info'!$B$41 + 1)) + 'General Info'!$B$41 - 1, 0)</f>
        <v>26677.39176357189</v>
      </c>
      <c r="W1023" s="100" t="str">
        <f>IF(ISERROR(MATCH(SamplingData[[#This Row],[Batch by Type (p)]],SelectedPrecincts[Batch Name], 0)), "", INDEX(SelectedPrecincts[Draw], MATCH(SamplingData[[#This Row],[Batch by Type (p)]],SelectedPrecincts[Batch Name], 0)))</f>
        <v/>
      </c>
      <c r="X1023" s="102">
        <f>IF(COUNTIF(SelectedPrecincts[Batch Name],SamplingData[[#This Row],[Batch by Type (p)]]) &lt;&gt; 0, COUNTIF(SelectedPrecincts[Batch Name],SamplingData[[#This Row],[Batch by Type (p)]]), 0)</f>
        <v>0</v>
      </c>
    </row>
    <row r="1024" spans="1:24" ht="15" customHeight="1">
      <c r="A1024" s="18" t="s">
        <v>1200</v>
      </c>
      <c r="B1024" s="18">
        <v>1</v>
      </c>
      <c r="C1024" s="18">
        <v>0</v>
      </c>
      <c r="D1024" s="18">
        <v>0</v>
      </c>
      <c r="E1024" s="18">
        <v>0</v>
      </c>
      <c r="F1024" s="18">
        <v>0</v>
      </c>
      <c r="G1024" s="18">
        <v>1</v>
      </c>
      <c r="H1024" s="18">
        <v>0</v>
      </c>
      <c r="I1024" s="18">
        <v>0</v>
      </c>
      <c r="J1024" s="99">
        <f>SUM(SamplingData[[#This Row],[Losing Candidate]:[Under Votes]])</f>
        <v>2</v>
      </c>
      <c r="K102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24" s="100">
        <f>IF(AND(SamplingData[[#This Row],[Total]]&lt;&gt; 0, NOT(ISBLANK(SamplingData[[#This Row],[Candidate 3]]))),(SamplingData[[#This Row],[Total]]+SamplingData[[#This Row],[Winning Candidate]]-SamplingData[[#This Row],[Candidate 3]])/(SamplingData[[#Totals],[Winning Candidate]]-SamplingData[[#Totals],[Candidate 3]]), 0)</f>
        <v>6.4522373132883833E-5</v>
      </c>
      <c r="M1024" s="100">
        <f>IF(AND(SamplingData[[#This Row],[Total]]&lt;&gt; 0, NOT(ISBLANK(SamplingData[[#This Row],[Candidate 4]]))),(SamplingData[[#This Row],[Total]]+SamplingData[[#This Row],[Winning Candidate]]-SamplingData[[#This Row],[Candidate 4]])/(SamplingData[[#Totals],[Winning Candidate]]-SamplingData[[#Totals],[Candidate 4]]), 0)</f>
        <v>5.846414686193692E-5</v>
      </c>
      <c r="N1024" s="100">
        <f>IF(AND(SamplingData[[#This Row],[Total]]&lt;&gt; 0, NOT(ISBLANK(SamplingData[[#This Row],[Candidate 5]]))),(SamplingData[[#This Row],[Total]]+SamplingData[[#This Row],[Winning Candidate]]-SamplingData[[#This Row],[Candidate 5]])/(SamplingData[[#Totals],[Winning Candidate]]-SamplingData[[#Totals],[Candidate 5]]), 0)</f>
        <v>4.8649963512527367E-5</v>
      </c>
      <c r="O1024" s="100">
        <f>IF(AND(SamplingData[[#This Row],[Total]]&lt;&gt; 0, NOT(ISBLANK(SamplingData[[#This Row],[Candidate 6]]))),(SamplingData[[#This Row],[Total]]+SamplingData[[#This Row],[Winning Candidate]]-SamplingData[[#This Row],[Candidate 6]])/(SamplingData[[#Totals],[Winning Candidate]]-SamplingData[[#Totals],[Candidate 6]]), 0)</f>
        <v>2.431788337143135E-5</v>
      </c>
      <c r="P1024" s="100">
        <f>MAX(SamplingData[[#This Row],[Error Bound (up) - Max. possible relative overstatement - Losing Candidate]:[Error Bound (up) - Max. possible relative overstatement - Candidate 6]])</f>
        <v>6.4522373132883833E-5</v>
      </c>
      <c r="Q1024" s="100">
        <f>IF(SamplingData[[#This Row],[Max Error Bound (up)]] = 0,0,SamplingData[[#This Row],[Max Error Bound (up)]]/SamplingData[[#Totals],[Max Error Bound (up)]])</f>
        <v>1.0211727553664133E-5</v>
      </c>
      <c r="R1024" s="101">
        <f>SUM($Q$5:Q1024)</f>
        <v>0.26679412936327257</v>
      </c>
      <c r="S1024" s="100" t="str">
        <f t="array" ref="S1024">IF(SamplingData[[#This Row],[up/U Selection Probability]] = 0, "Zero", TEXT(SamplingData[[#This Row],[Lower Range]], REPT("0",LEN('General Info'!$B$40))) &amp; " - " &amp; TEXT(SamplingData[[#This Row],[Upper Range]], REPT("0",LEN('General Info'!$B$40))))</f>
        <v>26678 - 26678</v>
      </c>
      <c r="T1024" s="100">
        <f>SamplingData[[#This Row],[Upper Range]]-SamplingData[[#This Row],[Span]]</f>
        <v>26678.39177378362</v>
      </c>
      <c r="U1024" s="100">
        <f>IF(ISNUMBER('General Info'!$B$40), ((SamplingData[[#This Row],[up/U Selection Probability]]) * 'General Info'!$B$40) - 1, 0)</f>
        <v>2.116254363885961E-2</v>
      </c>
      <c r="V1024" s="100">
        <f>IF(ISNUMBER('General Info'!$B$40), (SamplingData[[#This Row],[Running (cumulative) sum]] * ('General Info'!$B$40 -'General Info'!$B$41 + 1)) + 'General Info'!$B$41 - 1, 0)</f>
        <v>26678.412936327259</v>
      </c>
      <c r="W1024" s="100" t="str">
        <f>IF(ISERROR(MATCH(SamplingData[[#This Row],[Batch by Type (p)]],SelectedPrecincts[Batch Name], 0)), "", INDEX(SelectedPrecincts[Draw], MATCH(SamplingData[[#This Row],[Batch by Type (p)]],SelectedPrecincts[Batch Name], 0)))</f>
        <v/>
      </c>
      <c r="X1024" s="102">
        <f>IF(COUNTIF(SelectedPrecincts[Batch Name],SamplingData[[#This Row],[Batch by Type (p)]]) &lt;&gt; 0, COUNTIF(SelectedPrecincts[Batch Name],SamplingData[[#This Row],[Batch by Type (p)]]), 0)</f>
        <v>0</v>
      </c>
    </row>
    <row r="1025" spans="1:24" ht="15" customHeight="1">
      <c r="A1025" s="18" t="s">
        <v>1201</v>
      </c>
      <c r="B1025" s="18">
        <v>0</v>
      </c>
      <c r="C1025" s="18">
        <v>0</v>
      </c>
      <c r="D1025" s="16">
        <v>1</v>
      </c>
      <c r="E1025" s="16">
        <v>0</v>
      </c>
      <c r="F1025" s="37">
        <v>0</v>
      </c>
      <c r="G1025" s="37">
        <v>0</v>
      </c>
      <c r="H1025" s="17">
        <v>0</v>
      </c>
      <c r="I1025" s="17">
        <v>0</v>
      </c>
      <c r="J1025" s="99">
        <f>SUM(SamplingData[[#This Row],[Losing Candidate]:[Under Votes]])</f>
        <v>1</v>
      </c>
      <c r="K1025"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25" s="100">
        <f>IF(AND(SamplingData[[#This Row],[Total]]&lt;&gt; 0, NOT(ISBLANK(SamplingData[[#This Row],[Candidate 3]]))),(SamplingData[[#This Row],[Total]]+SamplingData[[#This Row],[Winning Candidate]]-SamplingData[[#This Row],[Candidate 3]])/(SamplingData[[#Totals],[Winning Candidate]]-SamplingData[[#Totals],[Candidate 3]]), 0)</f>
        <v>0</v>
      </c>
      <c r="M1025" s="100">
        <f>IF(AND(SamplingData[[#This Row],[Total]]&lt;&gt; 0, NOT(ISBLANK(SamplingData[[#This Row],[Candidate 4]]))),(SamplingData[[#This Row],[Total]]+SamplingData[[#This Row],[Winning Candidate]]-SamplingData[[#This Row],[Candidate 4]])/(SamplingData[[#Totals],[Winning Candidate]]-SamplingData[[#Totals],[Candidate 4]]), 0)</f>
        <v>2.923207343096846E-5</v>
      </c>
      <c r="N1025" s="100">
        <f>IF(AND(SamplingData[[#This Row],[Total]]&lt;&gt; 0, NOT(ISBLANK(SamplingData[[#This Row],[Candidate 5]]))),(SamplingData[[#This Row],[Total]]+SamplingData[[#This Row],[Winning Candidate]]-SamplingData[[#This Row],[Candidate 5]])/(SamplingData[[#Totals],[Winning Candidate]]-SamplingData[[#Totals],[Candidate 5]]), 0)</f>
        <v>2.4324981756263683E-5</v>
      </c>
      <c r="O1025" s="100">
        <f>IF(AND(SamplingData[[#This Row],[Total]]&lt;&gt; 0, NOT(ISBLANK(SamplingData[[#This Row],[Candidate 6]]))),(SamplingData[[#This Row],[Total]]+SamplingData[[#This Row],[Winning Candidate]]-SamplingData[[#This Row],[Candidate 6]])/(SamplingData[[#Totals],[Winning Candidate]]-SamplingData[[#Totals],[Candidate 6]]), 0)</f>
        <v>2.431788337143135E-5</v>
      </c>
      <c r="P1025" s="100">
        <f>MAX(SamplingData[[#This Row],[Error Bound (up) - Max. possible relative overstatement - Losing Candidate]:[Error Bound (up) - Max. possible relative overstatement - Candidate 6]])</f>
        <v>6.1244487996080352E-5</v>
      </c>
      <c r="Q1025" s="100">
        <f>IF(SamplingData[[#This Row],[Max Error Bound (up)]] = 0,0,SamplingData[[#This Row],[Max Error Bound (up)]]/SamplingData[[#Totals],[Max Error Bound (up)]])</f>
        <v>9.6929482784458315E-6</v>
      </c>
      <c r="R1025" s="101">
        <f>SUM($Q$5:Q1025)</f>
        <v>0.26680382231155103</v>
      </c>
      <c r="S1025" s="100" t="str">
        <f t="array" ref="S1025">IF(SamplingData[[#This Row],[up/U Selection Probability]] = 0, "Zero", TEXT(SamplingData[[#This Row],[Lower Range]], REPT("0",LEN('General Info'!$B$40))) &amp; " - " &amp; TEXT(SamplingData[[#This Row],[Upper Range]], REPT("0",LEN('General Info'!$B$40))))</f>
        <v>26679 - 26679</v>
      </c>
      <c r="T1025" s="100">
        <f>SamplingData[[#This Row],[Upper Range]]-SamplingData[[#This Row],[Span]]</f>
        <v>26679.412946020209</v>
      </c>
      <c r="U1025" s="100">
        <f>IF(ISNUMBER('General Info'!$B$40), ((SamplingData[[#This Row],[up/U Selection Probability]]) * 'General Info'!$B$40) - 1, 0)</f>
        <v>-3.0714865103695255E-2</v>
      </c>
      <c r="V1025" s="100">
        <f>IF(ISNUMBER('General Info'!$B$40), (SamplingData[[#This Row],[Running (cumulative) sum]] * ('General Info'!$B$40 -'General Info'!$B$41 + 1)) + 'General Info'!$B$41 - 1, 0)</f>
        <v>26679.382231155105</v>
      </c>
      <c r="W1025" s="100" t="str">
        <f>IF(ISERROR(MATCH(SamplingData[[#This Row],[Batch by Type (p)]],SelectedPrecincts[Batch Name], 0)), "", INDEX(SelectedPrecincts[Draw], MATCH(SamplingData[[#This Row],[Batch by Type (p)]],SelectedPrecincts[Batch Name], 0)))</f>
        <v/>
      </c>
      <c r="X1025" s="102">
        <f>IF(COUNTIF(SelectedPrecincts[Batch Name],SamplingData[[#This Row],[Batch by Type (p)]]) &lt;&gt; 0, COUNTIF(SelectedPrecincts[Batch Name],SamplingData[[#This Row],[Batch by Type (p)]]), 0)</f>
        <v>0</v>
      </c>
    </row>
    <row r="1026" spans="1:24" ht="15" customHeight="1">
      <c r="A1026" s="18" t="s">
        <v>1202</v>
      </c>
      <c r="B1026" s="18">
        <v>0</v>
      </c>
      <c r="C1026" s="18">
        <v>0</v>
      </c>
      <c r="D1026" s="18">
        <v>0</v>
      </c>
      <c r="E1026" s="18">
        <v>0</v>
      </c>
      <c r="F1026" s="18">
        <v>0</v>
      </c>
      <c r="G1026" s="18">
        <v>0</v>
      </c>
      <c r="H1026" s="18">
        <v>0</v>
      </c>
      <c r="I1026" s="18">
        <v>0</v>
      </c>
      <c r="J1026" s="99">
        <f>SUM(SamplingData[[#This Row],[Losing Candidate]:[Under Votes]])</f>
        <v>0</v>
      </c>
      <c r="K1026" s="100">
        <f>IF(AND(SamplingData[[#This Row],[Total]]&lt;&gt; 0, NOT(ISBLANK(SamplingData[[#This Row],[Losing Candidate]]))),(SamplingData[[#This Row],[Total]]+SamplingData[[#This Row],[Winning Candidate]]-SamplingData[[#This Row],[Losing Candidate]])/(SamplingData[[#Totals],[Winning Candidate]]-SamplingData[[#Totals],[Losing Candidate]]), 0)</f>
        <v>0</v>
      </c>
      <c r="L1026" s="100">
        <f>IF(AND(SamplingData[[#This Row],[Total]]&lt;&gt; 0, NOT(ISBLANK(SamplingData[[#This Row],[Candidate 3]]))),(SamplingData[[#This Row],[Total]]+SamplingData[[#This Row],[Winning Candidate]]-SamplingData[[#This Row],[Candidate 3]])/(SamplingData[[#Totals],[Winning Candidate]]-SamplingData[[#Totals],[Candidate 3]]), 0)</f>
        <v>0</v>
      </c>
      <c r="M1026" s="100">
        <f>IF(AND(SamplingData[[#This Row],[Total]]&lt;&gt; 0, NOT(ISBLANK(SamplingData[[#This Row],[Candidate 4]]))),(SamplingData[[#This Row],[Total]]+SamplingData[[#This Row],[Winning Candidate]]-SamplingData[[#This Row],[Candidate 4]])/(SamplingData[[#Totals],[Winning Candidate]]-SamplingData[[#Totals],[Candidate 4]]), 0)</f>
        <v>0</v>
      </c>
      <c r="N1026" s="100">
        <f>IF(AND(SamplingData[[#This Row],[Total]]&lt;&gt; 0, NOT(ISBLANK(SamplingData[[#This Row],[Candidate 5]]))),(SamplingData[[#This Row],[Total]]+SamplingData[[#This Row],[Winning Candidate]]-SamplingData[[#This Row],[Candidate 5]])/(SamplingData[[#Totals],[Winning Candidate]]-SamplingData[[#Totals],[Candidate 5]]), 0)</f>
        <v>0</v>
      </c>
      <c r="O1026" s="100">
        <f>IF(AND(SamplingData[[#This Row],[Total]]&lt;&gt; 0, NOT(ISBLANK(SamplingData[[#This Row],[Candidate 6]]))),(SamplingData[[#This Row],[Total]]+SamplingData[[#This Row],[Winning Candidate]]-SamplingData[[#This Row],[Candidate 6]])/(SamplingData[[#Totals],[Winning Candidate]]-SamplingData[[#Totals],[Candidate 6]]), 0)</f>
        <v>0</v>
      </c>
      <c r="P1026" s="100">
        <f>MAX(SamplingData[[#This Row],[Error Bound (up) - Max. possible relative overstatement - Losing Candidate]:[Error Bound (up) - Max. possible relative overstatement - Candidate 6]])</f>
        <v>0</v>
      </c>
      <c r="Q1026" s="100">
        <f>IF(SamplingData[[#This Row],[Max Error Bound (up)]] = 0,0,SamplingData[[#This Row],[Max Error Bound (up)]]/SamplingData[[#Totals],[Max Error Bound (up)]])</f>
        <v>0</v>
      </c>
      <c r="R1026" s="101">
        <f>SUM($Q$5:Q1026)</f>
        <v>0.26680382231155103</v>
      </c>
      <c r="S1026" s="100" t="str">
        <f t="array" ref="S1026">IF(SamplingData[[#This Row],[up/U Selection Probability]] = 0, "Zero", TEXT(SamplingData[[#This Row],[Lower Range]], REPT("0",LEN('General Info'!$B$40))) &amp; " - " &amp; TEXT(SamplingData[[#This Row],[Upper Range]], REPT("0",LEN('General Info'!$B$40))))</f>
        <v>Zero</v>
      </c>
      <c r="T1026" s="100">
        <f>SamplingData[[#This Row],[Upper Range]]-SamplingData[[#This Row],[Span]]</f>
        <v>26680.382231155105</v>
      </c>
      <c r="U1026" s="100">
        <f>IF(ISNUMBER('General Info'!$B$40), ((SamplingData[[#This Row],[up/U Selection Probability]]) * 'General Info'!$B$40) - 1, 0)</f>
        <v>-1</v>
      </c>
      <c r="V1026" s="100">
        <f>IF(ISNUMBER('General Info'!$B$40), (SamplingData[[#This Row],[Running (cumulative) sum]] * ('General Info'!$B$40 -'General Info'!$B$41 + 1)) + 'General Info'!$B$41 - 1, 0)</f>
        <v>26679.382231155105</v>
      </c>
      <c r="W1026" s="100" t="str">
        <f>IF(ISERROR(MATCH(SamplingData[[#This Row],[Batch by Type (p)]],SelectedPrecincts[Batch Name], 0)), "", INDEX(SelectedPrecincts[Draw], MATCH(SamplingData[[#This Row],[Batch by Type (p)]],SelectedPrecincts[Batch Name], 0)))</f>
        <v/>
      </c>
      <c r="X1026" s="102">
        <f>IF(COUNTIF(SelectedPrecincts[Batch Name],SamplingData[[#This Row],[Batch by Type (p)]]) &lt;&gt; 0, COUNTIF(SelectedPrecincts[Batch Name],SamplingData[[#This Row],[Batch by Type (p)]]), 0)</f>
        <v>0</v>
      </c>
    </row>
    <row r="1027" spans="1:24" ht="15" customHeight="1">
      <c r="A1027" s="18" t="s">
        <v>1203</v>
      </c>
      <c r="B1027" s="18">
        <v>1</v>
      </c>
      <c r="C1027" s="18">
        <v>0</v>
      </c>
      <c r="D1027" s="16">
        <v>0</v>
      </c>
      <c r="E1027" s="16">
        <v>0</v>
      </c>
      <c r="F1027" s="37">
        <v>0</v>
      </c>
      <c r="G1027" s="37">
        <v>1</v>
      </c>
      <c r="H1027" s="17">
        <v>0</v>
      </c>
      <c r="I1027" s="17">
        <v>0</v>
      </c>
      <c r="J1027" s="99">
        <f>SUM(SamplingData[[#This Row],[Losing Candidate]:[Under Votes]])</f>
        <v>2</v>
      </c>
      <c r="K1027"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27" s="100">
        <f>IF(AND(SamplingData[[#This Row],[Total]]&lt;&gt; 0, NOT(ISBLANK(SamplingData[[#This Row],[Candidate 3]]))),(SamplingData[[#This Row],[Total]]+SamplingData[[#This Row],[Winning Candidate]]-SamplingData[[#This Row],[Candidate 3]])/(SamplingData[[#Totals],[Winning Candidate]]-SamplingData[[#Totals],[Candidate 3]]), 0)</f>
        <v>6.4522373132883833E-5</v>
      </c>
      <c r="M1027" s="100">
        <f>IF(AND(SamplingData[[#This Row],[Total]]&lt;&gt; 0, NOT(ISBLANK(SamplingData[[#This Row],[Candidate 4]]))),(SamplingData[[#This Row],[Total]]+SamplingData[[#This Row],[Winning Candidate]]-SamplingData[[#This Row],[Candidate 4]])/(SamplingData[[#Totals],[Winning Candidate]]-SamplingData[[#Totals],[Candidate 4]]), 0)</f>
        <v>5.846414686193692E-5</v>
      </c>
      <c r="N1027" s="100">
        <f>IF(AND(SamplingData[[#This Row],[Total]]&lt;&gt; 0, NOT(ISBLANK(SamplingData[[#This Row],[Candidate 5]]))),(SamplingData[[#This Row],[Total]]+SamplingData[[#This Row],[Winning Candidate]]-SamplingData[[#This Row],[Candidate 5]])/(SamplingData[[#Totals],[Winning Candidate]]-SamplingData[[#Totals],[Candidate 5]]), 0)</f>
        <v>4.8649963512527367E-5</v>
      </c>
      <c r="O1027" s="100">
        <f>IF(AND(SamplingData[[#This Row],[Total]]&lt;&gt; 0, NOT(ISBLANK(SamplingData[[#This Row],[Candidate 6]]))),(SamplingData[[#This Row],[Total]]+SamplingData[[#This Row],[Winning Candidate]]-SamplingData[[#This Row],[Candidate 6]])/(SamplingData[[#Totals],[Winning Candidate]]-SamplingData[[#Totals],[Candidate 6]]), 0)</f>
        <v>2.431788337143135E-5</v>
      </c>
      <c r="P1027" s="100">
        <f>MAX(SamplingData[[#This Row],[Error Bound (up) - Max. possible relative overstatement - Losing Candidate]:[Error Bound (up) - Max. possible relative overstatement - Candidate 6]])</f>
        <v>6.4522373132883833E-5</v>
      </c>
      <c r="Q1027" s="100">
        <f>IF(SamplingData[[#This Row],[Max Error Bound (up)]] = 0,0,SamplingData[[#This Row],[Max Error Bound (up)]]/SamplingData[[#Totals],[Max Error Bound (up)]])</f>
        <v>1.0211727553664133E-5</v>
      </c>
      <c r="R1027" s="101">
        <f>SUM($Q$5:Q1027)</f>
        <v>0.2668140340391047</v>
      </c>
      <c r="S1027" s="100" t="str">
        <f t="array" ref="S1027">IF(SamplingData[[#This Row],[up/U Selection Probability]] = 0, "Zero", TEXT(SamplingData[[#This Row],[Lower Range]], REPT("0",LEN('General Info'!$B$40))) &amp; " - " &amp; TEXT(SamplingData[[#This Row],[Upper Range]], REPT("0",LEN('General Info'!$B$40))))</f>
        <v>26680 - 26680</v>
      </c>
      <c r="T1027" s="100">
        <f>SamplingData[[#This Row],[Upper Range]]-SamplingData[[#This Row],[Span]]</f>
        <v>26680.382241366831</v>
      </c>
      <c r="U1027" s="100">
        <f>IF(ISNUMBER('General Info'!$B$40), ((SamplingData[[#This Row],[up/U Selection Probability]]) * 'General Info'!$B$40) - 1, 0)</f>
        <v>2.116254363885961E-2</v>
      </c>
      <c r="V1027" s="100">
        <f>IF(ISNUMBER('General Info'!$B$40), (SamplingData[[#This Row],[Running (cumulative) sum]] * ('General Info'!$B$40 -'General Info'!$B$41 + 1)) + 'General Info'!$B$41 - 1, 0)</f>
        <v>26680.40340391047</v>
      </c>
      <c r="W1027" s="100" t="str">
        <f>IF(ISERROR(MATCH(SamplingData[[#This Row],[Batch by Type (p)]],SelectedPrecincts[Batch Name], 0)), "", INDEX(SelectedPrecincts[Draw], MATCH(SamplingData[[#This Row],[Batch by Type (p)]],SelectedPrecincts[Batch Name], 0)))</f>
        <v/>
      </c>
      <c r="X1027" s="102">
        <f>IF(COUNTIF(SelectedPrecincts[Batch Name],SamplingData[[#This Row],[Batch by Type (p)]]) &lt;&gt; 0, COUNTIF(SelectedPrecincts[Batch Name],SamplingData[[#This Row],[Batch by Type (p)]]), 0)</f>
        <v>0</v>
      </c>
    </row>
    <row r="1028" spans="1:24" ht="15" customHeight="1">
      <c r="A1028" s="18" t="s">
        <v>1204</v>
      </c>
      <c r="B1028" s="18">
        <v>0</v>
      </c>
      <c r="C1028" s="18">
        <v>0</v>
      </c>
      <c r="D1028" s="18">
        <v>0</v>
      </c>
      <c r="E1028" s="18">
        <v>0</v>
      </c>
      <c r="F1028" s="18">
        <v>0</v>
      </c>
      <c r="G1028" s="18">
        <v>0</v>
      </c>
      <c r="H1028" s="18">
        <v>0</v>
      </c>
      <c r="I1028" s="18">
        <v>0</v>
      </c>
      <c r="J1028" s="99">
        <f>SUM(SamplingData[[#This Row],[Losing Candidate]:[Under Votes]])</f>
        <v>0</v>
      </c>
      <c r="K1028" s="100">
        <f>IF(AND(SamplingData[[#This Row],[Total]]&lt;&gt; 0, NOT(ISBLANK(SamplingData[[#This Row],[Losing Candidate]]))),(SamplingData[[#This Row],[Total]]+SamplingData[[#This Row],[Winning Candidate]]-SamplingData[[#This Row],[Losing Candidate]])/(SamplingData[[#Totals],[Winning Candidate]]-SamplingData[[#Totals],[Losing Candidate]]), 0)</f>
        <v>0</v>
      </c>
      <c r="L1028" s="100">
        <f>IF(AND(SamplingData[[#This Row],[Total]]&lt;&gt; 0, NOT(ISBLANK(SamplingData[[#This Row],[Candidate 3]]))),(SamplingData[[#This Row],[Total]]+SamplingData[[#This Row],[Winning Candidate]]-SamplingData[[#This Row],[Candidate 3]])/(SamplingData[[#Totals],[Winning Candidate]]-SamplingData[[#Totals],[Candidate 3]]), 0)</f>
        <v>0</v>
      </c>
      <c r="M1028" s="100">
        <f>IF(AND(SamplingData[[#This Row],[Total]]&lt;&gt; 0, NOT(ISBLANK(SamplingData[[#This Row],[Candidate 4]]))),(SamplingData[[#This Row],[Total]]+SamplingData[[#This Row],[Winning Candidate]]-SamplingData[[#This Row],[Candidate 4]])/(SamplingData[[#Totals],[Winning Candidate]]-SamplingData[[#Totals],[Candidate 4]]), 0)</f>
        <v>0</v>
      </c>
      <c r="N1028" s="100">
        <f>IF(AND(SamplingData[[#This Row],[Total]]&lt;&gt; 0, NOT(ISBLANK(SamplingData[[#This Row],[Candidate 5]]))),(SamplingData[[#This Row],[Total]]+SamplingData[[#This Row],[Winning Candidate]]-SamplingData[[#This Row],[Candidate 5]])/(SamplingData[[#Totals],[Winning Candidate]]-SamplingData[[#Totals],[Candidate 5]]), 0)</f>
        <v>0</v>
      </c>
      <c r="O1028" s="100">
        <f>IF(AND(SamplingData[[#This Row],[Total]]&lt;&gt; 0, NOT(ISBLANK(SamplingData[[#This Row],[Candidate 6]]))),(SamplingData[[#This Row],[Total]]+SamplingData[[#This Row],[Winning Candidate]]-SamplingData[[#This Row],[Candidate 6]])/(SamplingData[[#Totals],[Winning Candidate]]-SamplingData[[#Totals],[Candidate 6]]), 0)</f>
        <v>0</v>
      </c>
      <c r="P1028" s="100">
        <f>MAX(SamplingData[[#This Row],[Error Bound (up) - Max. possible relative overstatement - Losing Candidate]:[Error Bound (up) - Max. possible relative overstatement - Candidate 6]])</f>
        <v>0</v>
      </c>
      <c r="Q1028" s="100">
        <f>IF(SamplingData[[#This Row],[Max Error Bound (up)]] = 0,0,SamplingData[[#This Row],[Max Error Bound (up)]]/SamplingData[[#Totals],[Max Error Bound (up)]])</f>
        <v>0</v>
      </c>
      <c r="R1028" s="101">
        <f>SUM($Q$5:Q1028)</f>
        <v>0.2668140340391047</v>
      </c>
      <c r="S1028" s="100" t="str">
        <f t="array" ref="S1028">IF(SamplingData[[#This Row],[up/U Selection Probability]] = 0, "Zero", TEXT(SamplingData[[#This Row],[Lower Range]], REPT("0",LEN('General Info'!$B$40))) &amp; " - " &amp; TEXT(SamplingData[[#This Row],[Upper Range]], REPT("0",LEN('General Info'!$B$40))))</f>
        <v>Zero</v>
      </c>
      <c r="T1028" s="100">
        <f>SamplingData[[#This Row],[Upper Range]]-SamplingData[[#This Row],[Span]]</f>
        <v>26681.40340391047</v>
      </c>
      <c r="U1028" s="100">
        <f>IF(ISNUMBER('General Info'!$B$40), ((SamplingData[[#This Row],[up/U Selection Probability]]) * 'General Info'!$B$40) - 1, 0)</f>
        <v>-1</v>
      </c>
      <c r="V1028" s="100">
        <f>IF(ISNUMBER('General Info'!$B$40), (SamplingData[[#This Row],[Running (cumulative) sum]] * ('General Info'!$B$40 -'General Info'!$B$41 + 1)) + 'General Info'!$B$41 - 1, 0)</f>
        <v>26680.40340391047</v>
      </c>
      <c r="W1028" s="100" t="str">
        <f>IF(ISERROR(MATCH(SamplingData[[#This Row],[Batch by Type (p)]],SelectedPrecincts[Batch Name], 0)), "", INDEX(SelectedPrecincts[Draw], MATCH(SamplingData[[#This Row],[Batch by Type (p)]],SelectedPrecincts[Batch Name], 0)))</f>
        <v/>
      </c>
      <c r="X1028" s="102">
        <f>IF(COUNTIF(SelectedPrecincts[Batch Name],SamplingData[[#This Row],[Batch by Type (p)]]) &lt;&gt; 0, COUNTIF(SelectedPrecincts[Batch Name],SamplingData[[#This Row],[Batch by Type (p)]]), 0)</f>
        <v>0</v>
      </c>
    </row>
    <row r="1029" spans="1:24" ht="15" customHeight="1">
      <c r="A1029" s="18" t="s">
        <v>1205</v>
      </c>
      <c r="B1029" s="18">
        <v>0</v>
      </c>
      <c r="C1029" s="18">
        <v>0</v>
      </c>
      <c r="D1029" s="16">
        <v>0</v>
      </c>
      <c r="E1029" s="16">
        <v>0</v>
      </c>
      <c r="F1029" s="37">
        <v>0</v>
      </c>
      <c r="G1029" s="37">
        <v>0</v>
      </c>
      <c r="H1029" s="17">
        <v>0</v>
      </c>
      <c r="I1029" s="17">
        <v>0</v>
      </c>
      <c r="J1029" s="99">
        <f>SUM(SamplingData[[#This Row],[Losing Candidate]:[Under Votes]])</f>
        <v>0</v>
      </c>
      <c r="K1029" s="100">
        <f>IF(AND(SamplingData[[#This Row],[Total]]&lt;&gt; 0, NOT(ISBLANK(SamplingData[[#This Row],[Losing Candidate]]))),(SamplingData[[#This Row],[Total]]+SamplingData[[#This Row],[Winning Candidate]]-SamplingData[[#This Row],[Losing Candidate]])/(SamplingData[[#Totals],[Winning Candidate]]-SamplingData[[#Totals],[Losing Candidate]]), 0)</f>
        <v>0</v>
      </c>
      <c r="L1029" s="100">
        <f>IF(AND(SamplingData[[#This Row],[Total]]&lt;&gt; 0, NOT(ISBLANK(SamplingData[[#This Row],[Candidate 3]]))),(SamplingData[[#This Row],[Total]]+SamplingData[[#This Row],[Winning Candidate]]-SamplingData[[#This Row],[Candidate 3]])/(SamplingData[[#Totals],[Winning Candidate]]-SamplingData[[#Totals],[Candidate 3]]), 0)</f>
        <v>0</v>
      </c>
      <c r="M1029" s="100">
        <f>IF(AND(SamplingData[[#This Row],[Total]]&lt;&gt; 0, NOT(ISBLANK(SamplingData[[#This Row],[Candidate 4]]))),(SamplingData[[#This Row],[Total]]+SamplingData[[#This Row],[Winning Candidate]]-SamplingData[[#This Row],[Candidate 4]])/(SamplingData[[#Totals],[Winning Candidate]]-SamplingData[[#Totals],[Candidate 4]]), 0)</f>
        <v>0</v>
      </c>
      <c r="N1029" s="100">
        <f>IF(AND(SamplingData[[#This Row],[Total]]&lt;&gt; 0, NOT(ISBLANK(SamplingData[[#This Row],[Candidate 5]]))),(SamplingData[[#This Row],[Total]]+SamplingData[[#This Row],[Winning Candidate]]-SamplingData[[#This Row],[Candidate 5]])/(SamplingData[[#Totals],[Winning Candidate]]-SamplingData[[#Totals],[Candidate 5]]), 0)</f>
        <v>0</v>
      </c>
      <c r="O1029" s="100">
        <f>IF(AND(SamplingData[[#This Row],[Total]]&lt;&gt; 0, NOT(ISBLANK(SamplingData[[#This Row],[Candidate 6]]))),(SamplingData[[#This Row],[Total]]+SamplingData[[#This Row],[Winning Candidate]]-SamplingData[[#This Row],[Candidate 6]])/(SamplingData[[#Totals],[Winning Candidate]]-SamplingData[[#Totals],[Candidate 6]]), 0)</f>
        <v>0</v>
      </c>
      <c r="P1029" s="100">
        <f>MAX(SamplingData[[#This Row],[Error Bound (up) - Max. possible relative overstatement - Losing Candidate]:[Error Bound (up) - Max. possible relative overstatement - Candidate 6]])</f>
        <v>0</v>
      </c>
      <c r="Q1029" s="100">
        <f>IF(SamplingData[[#This Row],[Max Error Bound (up)]] = 0,0,SamplingData[[#This Row],[Max Error Bound (up)]]/SamplingData[[#Totals],[Max Error Bound (up)]])</f>
        <v>0</v>
      </c>
      <c r="R1029" s="101">
        <f>SUM($Q$5:Q1029)</f>
        <v>0.2668140340391047</v>
      </c>
      <c r="S1029" s="100" t="str">
        <f t="array" ref="S1029">IF(SamplingData[[#This Row],[up/U Selection Probability]] = 0, "Zero", TEXT(SamplingData[[#This Row],[Lower Range]], REPT("0",LEN('General Info'!$B$40))) &amp; " - " &amp; TEXT(SamplingData[[#This Row],[Upper Range]], REPT("0",LEN('General Info'!$B$40))))</f>
        <v>Zero</v>
      </c>
      <c r="T1029" s="100">
        <f>SamplingData[[#This Row],[Upper Range]]-SamplingData[[#This Row],[Span]]</f>
        <v>26681.40340391047</v>
      </c>
      <c r="U1029" s="100">
        <f>IF(ISNUMBER('General Info'!$B$40), ((SamplingData[[#This Row],[up/U Selection Probability]]) * 'General Info'!$B$40) - 1, 0)</f>
        <v>-1</v>
      </c>
      <c r="V1029" s="100">
        <f>IF(ISNUMBER('General Info'!$B$40), (SamplingData[[#This Row],[Running (cumulative) sum]] * ('General Info'!$B$40 -'General Info'!$B$41 + 1)) + 'General Info'!$B$41 - 1, 0)</f>
        <v>26680.40340391047</v>
      </c>
      <c r="W1029" s="100" t="str">
        <f>IF(ISERROR(MATCH(SamplingData[[#This Row],[Batch by Type (p)]],SelectedPrecincts[Batch Name], 0)), "", INDEX(SelectedPrecincts[Draw], MATCH(SamplingData[[#This Row],[Batch by Type (p)]],SelectedPrecincts[Batch Name], 0)))</f>
        <v/>
      </c>
      <c r="X1029" s="102">
        <f>IF(COUNTIF(SelectedPrecincts[Batch Name],SamplingData[[#This Row],[Batch by Type (p)]]) &lt;&gt; 0, COUNTIF(SelectedPrecincts[Batch Name],SamplingData[[#This Row],[Batch by Type (p)]]), 0)</f>
        <v>0</v>
      </c>
    </row>
    <row r="1030" spans="1:24" ht="15" customHeight="1">
      <c r="A1030" s="18" t="s">
        <v>1206</v>
      </c>
      <c r="B1030" s="18">
        <v>0</v>
      </c>
      <c r="C1030" s="18">
        <v>0</v>
      </c>
      <c r="D1030" s="18">
        <v>0</v>
      </c>
      <c r="E1030" s="18">
        <v>0</v>
      </c>
      <c r="F1030" s="18">
        <v>0</v>
      </c>
      <c r="G1030" s="18">
        <v>0</v>
      </c>
      <c r="H1030" s="18">
        <v>0</v>
      </c>
      <c r="I1030" s="18">
        <v>0</v>
      </c>
      <c r="J1030" s="99">
        <f>SUM(SamplingData[[#This Row],[Losing Candidate]:[Under Votes]])</f>
        <v>0</v>
      </c>
      <c r="K1030" s="100">
        <f>IF(AND(SamplingData[[#This Row],[Total]]&lt;&gt; 0, NOT(ISBLANK(SamplingData[[#This Row],[Losing Candidate]]))),(SamplingData[[#This Row],[Total]]+SamplingData[[#This Row],[Winning Candidate]]-SamplingData[[#This Row],[Losing Candidate]])/(SamplingData[[#Totals],[Winning Candidate]]-SamplingData[[#Totals],[Losing Candidate]]), 0)</f>
        <v>0</v>
      </c>
      <c r="L1030" s="100">
        <f>IF(AND(SamplingData[[#This Row],[Total]]&lt;&gt; 0, NOT(ISBLANK(SamplingData[[#This Row],[Candidate 3]]))),(SamplingData[[#This Row],[Total]]+SamplingData[[#This Row],[Winning Candidate]]-SamplingData[[#This Row],[Candidate 3]])/(SamplingData[[#Totals],[Winning Candidate]]-SamplingData[[#Totals],[Candidate 3]]), 0)</f>
        <v>0</v>
      </c>
      <c r="M1030" s="100">
        <f>IF(AND(SamplingData[[#This Row],[Total]]&lt;&gt; 0, NOT(ISBLANK(SamplingData[[#This Row],[Candidate 4]]))),(SamplingData[[#This Row],[Total]]+SamplingData[[#This Row],[Winning Candidate]]-SamplingData[[#This Row],[Candidate 4]])/(SamplingData[[#Totals],[Winning Candidate]]-SamplingData[[#Totals],[Candidate 4]]), 0)</f>
        <v>0</v>
      </c>
      <c r="N1030" s="100">
        <f>IF(AND(SamplingData[[#This Row],[Total]]&lt;&gt; 0, NOT(ISBLANK(SamplingData[[#This Row],[Candidate 5]]))),(SamplingData[[#This Row],[Total]]+SamplingData[[#This Row],[Winning Candidate]]-SamplingData[[#This Row],[Candidate 5]])/(SamplingData[[#Totals],[Winning Candidate]]-SamplingData[[#Totals],[Candidate 5]]), 0)</f>
        <v>0</v>
      </c>
      <c r="O1030" s="100">
        <f>IF(AND(SamplingData[[#This Row],[Total]]&lt;&gt; 0, NOT(ISBLANK(SamplingData[[#This Row],[Candidate 6]]))),(SamplingData[[#This Row],[Total]]+SamplingData[[#This Row],[Winning Candidate]]-SamplingData[[#This Row],[Candidate 6]])/(SamplingData[[#Totals],[Winning Candidate]]-SamplingData[[#Totals],[Candidate 6]]), 0)</f>
        <v>0</v>
      </c>
      <c r="P1030" s="100">
        <f>MAX(SamplingData[[#This Row],[Error Bound (up) - Max. possible relative overstatement - Losing Candidate]:[Error Bound (up) - Max. possible relative overstatement - Candidate 6]])</f>
        <v>0</v>
      </c>
      <c r="Q1030" s="100">
        <f>IF(SamplingData[[#This Row],[Max Error Bound (up)]] = 0,0,SamplingData[[#This Row],[Max Error Bound (up)]]/SamplingData[[#Totals],[Max Error Bound (up)]])</f>
        <v>0</v>
      </c>
      <c r="R1030" s="101">
        <f>SUM($Q$5:Q1030)</f>
        <v>0.2668140340391047</v>
      </c>
      <c r="S1030" s="100" t="str">
        <f t="array" ref="S1030">IF(SamplingData[[#This Row],[up/U Selection Probability]] = 0, "Zero", TEXT(SamplingData[[#This Row],[Lower Range]], REPT("0",LEN('General Info'!$B$40))) &amp; " - " &amp; TEXT(SamplingData[[#This Row],[Upper Range]], REPT("0",LEN('General Info'!$B$40))))</f>
        <v>Zero</v>
      </c>
      <c r="T1030" s="100">
        <f>SamplingData[[#This Row],[Upper Range]]-SamplingData[[#This Row],[Span]]</f>
        <v>26681.40340391047</v>
      </c>
      <c r="U1030" s="100">
        <f>IF(ISNUMBER('General Info'!$B$40), ((SamplingData[[#This Row],[up/U Selection Probability]]) * 'General Info'!$B$40) - 1, 0)</f>
        <v>-1</v>
      </c>
      <c r="V1030" s="100">
        <f>IF(ISNUMBER('General Info'!$B$40), (SamplingData[[#This Row],[Running (cumulative) sum]] * ('General Info'!$B$40 -'General Info'!$B$41 + 1)) + 'General Info'!$B$41 - 1, 0)</f>
        <v>26680.40340391047</v>
      </c>
      <c r="W1030" s="100" t="str">
        <f>IF(ISERROR(MATCH(SamplingData[[#This Row],[Batch by Type (p)]],SelectedPrecincts[Batch Name], 0)), "", INDEX(SelectedPrecincts[Draw], MATCH(SamplingData[[#This Row],[Batch by Type (p)]],SelectedPrecincts[Batch Name], 0)))</f>
        <v/>
      </c>
      <c r="X1030" s="102">
        <f>IF(COUNTIF(SelectedPrecincts[Batch Name],SamplingData[[#This Row],[Batch by Type (p)]]) &lt;&gt; 0, COUNTIF(SelectedPrecincts[Batch Name],SamplingData[[#This Row],[Batch by Type (p)]]), 0)</f>
        <v>0</v>
      </c>
    </row>
    <row r="1031" spans="1:24" ht="15" customHeight="1">
      <c r="A1031" s="18" t="s">
        <v>1207</v>
      </c>
      <c r="B1031" s="18">
        <v>0</v>
      </c>
      <c r="C1031" s="18">
        <v>0</v>
      </c>
      <c r="D1031" s="16">
        <v>0</v>
      </c>
      <c r="E1031" s="16">
        <v>0</v>
      </c>
      <c r="F1031" s="37">
        <v>0</v>
      </c>
      <c r="G1031" s="37">
        <v>0</v>
      </c>
      <c r="H1031" s="17">
        <v>0</v>
      </c>
      <c r="I1031" s="17">
        <v>0</v>
      </c>
      <c r="J1031" s="99">
        <f>SUM(SamplingData[[#This Row],[Losing Candidate]:[Under Votes]])</f>
        <v>0</v>
      </c>
      <c r="K1031" s="100">
        <f>IF(AND(SamplingData[[#This Row],[Total]]&lt;&gt; 0, NOT(ISBLANK(SamplingData[[#This Row],[Losing Candidate]]))),(SamplingData[[#This Row],[Total]]+SamplingData[[#This Row],[Winning Candidate]]-SamplingData[[#This Row],[Losing Candidate]])/(SamplingData[[#Totals],[Winning Candidate]]-SamplingData[[#Totals],[Losing Candidate]]), 0)</f>
        <v>0</v>
      </c>
      <c r="L1031" s="100">
        <f>IF(AND(SamplingData[[#This Row],[Total]]&lt;&gt; 0, NOT(ISBLANK(SamplingData[[#This Row],[Candidate 3]]))),(SamplingData[[#This Row],[Total]]+SamplingData[[#This Row],[Winning Candidate]]-SamplingData[[#This Row],[Candidate 3]])/(SamplingData[[#Totals],[Winning Candidate]]-SamplingData[[#Totals],[Candidate 3]]), 0)</f>
        <v>0</v>
      </c>
      <c r="M1031" s="100">
        <f>IF(AND(SamplingData[[#This Row],[Total]]&lt;&gt; 0, NOT(ISBLANK(SamplingData[[#This Row],[Candidate 4]]))),(SamplingData[[#This Row],[Total]]+SamplingData[[#This Row],[Winning Candidate]]-SamplingData[[#This Row],[Candidate 4]])/(SamplingData[[#Totals],[Winning Candidate]]-SamplingData[[#Totals],[Candidate 4]]), 0)</f>
        <v>0</v>
      </c>
      <c r="N1031" s="100">
        <f>IF(AND(SamplingData[[#This Row],[Total]]&lt;&gt; 0, NOT(ISBLANK(SamplingData[[#This Row],[Candidate 5]]))),(SamplingData[[#This Row],[Total]]+SamplingData[[#This Row],[Winning Candidate]]-SamplingData[[#This Row],[Candidate 5]])/(SamplingData[[#Totals],[Winning Candidate]]-SamplingData[[#Totals],[Candidate 5]]), 0)</f>
        <v>0</v>
      </c>
      <c r="O1031" s="100">
        <f>IF(AND(SamplingData[[#This Row],[Total]]&lt;&gt; 0, NOT(ISBLANK(SamplingData[[#This Row],[Candidate 6]]))),(SamplingData[[#This Row],[Total]]+SamplingData[[#This Row],[Winning Candidate]]-SamplingData[[#This Row],[Candidate 6]])/(SamplingData[[#Totals],[Winning Candidate]]-SamplingData[[#Totals],[Candidate 6]]), 0)</f>
        <v>0</v>
      </c>
      <c r="P1031" s="100">
        <f>MAX(SamplingData[[#This Row],[Error Bound (up) - Max. possible relative overstatement - Losing Candidate]:[Error Bound (up) - Max. possible relative overstatement - Candidate 6]])</f>
        <v>0</v>
      </c>
      <c r="Q1031" s="100">
        <f>IF(SamplingData[[#This Row],[Max Error Bound (up)]] = 0,0,SamplingData[[#This Row],[Max Error Bound (up)]]/SamplingData[[#Totals],[Max Error Bound (up)]])</f>
        <v>0</v>
      </c>
      <c r="R1031" s="101">
        <f>SUM($Q$5:Q1031)</f>
        <v>0.2668140340391047</v>
      </c>
      <c r="S1031" s="100" t="str">
        <f t="array" ref="S1031">IF(SamplingData[[#This Row],[up/U Selection Probability]] = 0, "Zero", TEXT(SamplingData[[#This Row],[Lower Range]], REPT("0",LEN('General Info'!$B$40))) &amp; " - " &amp; TEXT(SamplingData[[#This Row],[Upper Range]], REPT("0",LEN('General Info'!$B$40))))</f>
        <v>Zero</v>
      </c>
      <c r="T1031" s="100">
        <f>SamplingData[[#This Row],[Upper Range]]-SamplingData[[#This Row],[Span]]</f>
        <v>26681.40340391047</v>
      </c>
      <c r="U1031" s="100">
        <f>IF(ISNUMBER('General Info'!$B$40), ((SamplingData[[#This Row],[up/U Selection Probability]]) * 'General Info'!$B$40) - 1, 0)</f>
        <v>-1</v>
      </c>
      <c r="V1031" s="100">
        <f>IF(ISNUMBER('General Info'!$B$40), (SamplingData[[#This Row],[Running (cumulative) sum]] * ('General Info'!$B$40 -'General Info'!$B$41 + 1)) + 'General Info'!$B$41 - 1, 0)</f>
        <v>26680.40340391047</v>
      </c>
      <c r="W1031" s="100" t="str">
        <f>IF(ISERROR(MATCH(SamplingData[[#This Row],[Batch by Type (p)]],SelectedPrecincts[Batch Name], 0)), "", INDEX(SelectedPrecincts[Draw], MATCH(SamplingData[[#This Row],[Batch by Type (p)]],SelectedPrecincts[Batch Name], 0)))</f>
        <v/>
      </c>
      <c r="X1031" s="102">
        <f>IF(COUNTIF(SelectedPrecincts[Batch Name],SamplingData[[#This Row],[Batch by Type (p)]]) &lt;&gt; 0, COUNTIF(SelectedPrecincts[Batch Name],SamplingData[[#This Row],[Batch by Type (p)]]), 0)</f>
        <v>0</v>
      </c>
    </row>
    <row r="1032" spans="1:24" ht="15" customHeight="1">
      <c r="A1032" s="18" t="s">
        <v>1208</v>
      </c>
      <c r="B1032" s="18">
        <v>0</v>
      </c>
      <c r="C1032" s="18">
        <v>0</v>
      </c>
      <c r="D1032" s="18">
        <v>0</v>
      </c>
      <c r="E1032" s="18">
        <v>0</v>
      </c>
      <c r="F1032" s="18">
        <v>0</v>
      </c>
      <c r="G1032" s="18">
        <v>0</v>
      </c>
      <c r="H1032" s="18">
        <v>0</v>
      </c>
      <c r="I1032" s="18">
        <v>0</v>
      </c>
      <c r="J1032" s="99">
        <f>SUM(SamplingData[[#This Row],[Losing Candidate]:[Under Votes]])</f>
        <v>0</v>
      </c>
      <c r="K1032" s="100">
        <f>IF(AND(SamplingData[[#This Row],[Total]]&lt;&gt; 0, NOT(ISBLANK(SamplingData[[#This Row],[Losing Candidate]]))),(SamplingData[[#This Row],[Total]]+SamplingData[[#This Row],[Winning Candidate]]-SamplingData[[#This Row],[Losing Candidate]])/(SamplingData[[#Totals],[Winning Candidate]]-SamplingData[[#Totals],[Losing Candidate]]), 0)</f>
        <v>0</v>
      </c>
      <c r="L1032" s="100">
        <f>IF(AND(SamplingData[[#This Row],[Total]]&lt;&gt; 0, NOT(ISBLANK(SamplingData[[#This Row],[Candidate 3]]))),(SamplingData[[#This Row],[Total]]+SamplingData[[#This Row],[Winning Candidate]]-SamplingData[[#This Row],[Candidate 3]])/(SamplingData[[#Totals],[Winning Candidate]]-SamplingData[[#Totals],[Candidate 3]]), 0)</f>
        <v>0</v>
      </c>
      <c r="M1032" s="100">
        <f>IF(AND(SamplingData[[#This Row],[Total]]&lt;&gt; 0, NOT(ISBLANK(SamplingData[[#This Row],[Candidate 4]]))),(SamplingData[[#This Row],[Total]]+SamplingData[[#This Row],[Winning Candidate]]-SamplingData[[#This Row],[Candidate 4]])/(SamplingData[[#Totals],[Winning Candidate]]-SamplingData[[#Totals],[Candidate 4]]), 0)</f>
        <v>0</v>
      </c>
      <c r="N1032" s="100">
        <f>IF(AND(SamplingData[[#This Row],[Total]]&lt;&gt; 0, NOT(ISBLANK(SamplingData[[#This Row],[Candidate 5]]))),(SamplingData[[#This Row],[Total]]+SamplingData[[#This Row],[Winning Candidate]]-SamplingData[[#This Row],[Candidate 5]])/(SamplingData[[#Totals],[Winning Candidate]]-SamplingData[[#Totals],[Candidate 5]]), 0)</f>
        <v>0</v>
      </c>
      <c r="O1032" s="100">
        <f>IF(AND(SamplingData[[#This Row],[Total]]&lt;&gt; 0, NOT(ISBLANK(SamplingData[[#This Row],[Candidate 6]]))),(SamplingData[[#This Row],[Total]]+SamplingData[[#This Row],[Winning Candidate]]-SamplingData[[#This Row],[Candidate 6]])/(SamplingData[[#Totals],[Winning Candidate]]-SamplingData[[#Totals],[Candidate 6]]), 0)</f>
        <v>0</v>
      </c>
      <c r="P1032" s="100">
        <f>MAX(SamplingData[[#This Row],[Error Bound (up) - Max. possible relative overstatement - Losing Candidate]:[Error Bound (up) - Max. possible relative overstatement - Candidate 6]])</f>
        <v>0</v>
      </c>
      <c r="Q1032" s="100">
        <f>IF(SamplingData[[#This Row],[Max Error Bound (up)]] = 0,0,SamplingData[[#This Row],[Max Error Bound (up)]]/SamplingData[[#Totals],[Max Error Bound (up)]])</f>
        <v>0</v>
      </c>
      <c r="R1032" s="101">
        <f>SUM($Q$5:Q1032)</f>
        <v>0.2668140340391047</v>
      </c>
      <c r="S1032" s="100" t="str">
        <f t="array" ref="S1032">IF(SamplingData[[#This Row],[up/U Selection Probability]] = 0, "Zero", TEXT(SamplingData[[#This Row],[Lower Range]], REPT("0",LEN('General Info'!$B$40))) &amp; " - " &amp; TEXT(SamplingData[[#This Row],[Upper Range]], REPT("0",LEN('General Info'!$B$40))))</f>
        <v>Zero</v>
      </c>
      <c r="T1032" s="100">
        <f>SamplingData[[#This Row],[Upper Range]]-SamplingData[[#This Row],[Span]]</f>
        <v>26681.40340391047</v>
      </c>
      <c r="U1032" s="100">
        <f>IF(ISNUMBER('General Info'!$B$40), ((SamplingData[[#This Row],[up/U Selection Probability]]) * 'General Info'!$B$40) - 1, 0)</f>
        <v>-1</v>
      </c>
      <c r="V1032" s="100">
        <f>IF(ISNUMBER('General Info'!$B$40), (SamplingData[[#This Row],[Running (cumulative) sum]] * ('General Info'!$B$40 -'General Info'!$B$41 + 1)) + 'General Info'!$B$41 - 1, 0)</f>
        <v>26680.40340391047</v>
      </c>
      <c r="W1032" s="100" t="str">
        <f>IF(ISERROR(MATCH(SamplingData[[#This Row],[Batch by Type (p)]],SelectedPrecincts[Batch Name], 0)), "", INDEX(SelectedPrecincts[Draw], MATCH(SamplingData[[#This Row],[Batch by Type (p)]],SelectedPrecincts[Batch Name], 0)))</f>
        <v/>
      </c>
      <c r="X1032" s="102">
        <f>IF(COUNTIF(SelectedPrecincts[Batch Name],SamplingData[[#This Row],[Batch by Type (p)]]) &lt;&gt; 0, COUNTIF(SelectedPrecincts[Batch Name],SamplingData[[#This Row],[Batch by Type (p)]]), 0)</f>
        <v>0</v>
      </c>
    </row>
    <row r="1033" spans="1:24" ht="15" customHeight="1">
      <c r="A1033" s="18" t="s">
        <v>1209</v>
      </c>
      <c r="B1033" s="18">
        <v>0</v>
      </c>
      <c r="C1033" s="18">
        <v>1</v>
      </c>
      <c r="D1033" s="16">
        <v>0</v>
      </c>
      <c r="E1033" s="16">
        <v>0</v>
      </c>
      <c r="F1033" s="37">
        <v>0</v>
      </c>
      <c r="G1033" s="37">
        <v>0</v>
      </c>
      <c r="H1033" s="17">
        <v>0</v>
      </c>
      <c r="I1033" s="17">
        <v>0</v>
      </c>
      <c r="J1033" s="99">
        <f>SUM(SamplingData[[#This Row],[Losing Candidate]:[Under Votes]])</f>
        <v>1</v>
      </c>
      <c r="K1033"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033" s="100">
        <f>IF(AND(SamplingData[[#This Row],[Total]]&lt;&gt; 0, NOT(ISBLANK(SamplingData[[#This Row],[Candidate 3]]))),(SamplingData[[#This Row],[Total]]+SamplingData[[#This Row],[Winning Candidate]]-SamplingData[[#This Row],[Candidate 3]])/(SamplingData[[#Totals],[Winning Candidate]]-SamplingData[[#Totals],[Candidate 3]]), 0)</f>
        <v>6.4522373132883833E-5</v>
      </c>
      <c r="M1033" s="100">
        <f>IF(AND(SamplingData[[#This Row],[Total]]&lt;&gt; 0, NOT(ISBLANK(SamplingData[[#This Row],[Candidate 4]]))),(SamplingData[[#This Row],[Total]]+SamplingData[[#This Row],[Winning Candidate]]-SamplingData[[#This Row],[Candidate 4]])/(SamplingData[[#Totals],[Winning Candidate]]-SamplingData[[#Totals],[Candidate 4]]), 0)</f>
        <v>5.846414686193692E-5</v>
      </c>
      <c r="N1033" s="100">
        <f>IF(AND(SamplingData[[#This Row],[Total]]&lt;&gt; 0, NOT(ISBLANK(SamplingData[[#This Row],[Candidate 5]]))),(SamplingData[[#This Row],[Total]]+SamplingData[[#This Row],[Winning Candidate]]-SamplingData[[#This Row],[Candidate 5]])/(SamplingData[[#Totals],[Winning Candidate]]-SamplingData[[#Totals],[Candidate 5]]), 0)</f>
        <v>4.8649963512527367E-5</v>
      </c>
      <c r="O1033" s="100">
        <f>IF(AND(SamplingData[[#This Row],[Total]]&lt;&gt; 0, NOT(ISBLANK(SamplingData[[#This Row],[Candidate 6]]))),(SamplingData[[#This Row],[Total]]+SamplingData[[#This Row],[Winning Candidate]]-SamplingData[[#This Row],[Candidate 6]])/(SamplingData[[#Totals],[Winning Candidate]]-SamplingData[[#Totals],[Candidate 6]]), 0)</f>
        <v>4.8635766742862701E-5</v>
      </c>
      <c r="P1033" s="100">
        <f>MAX(SamplingData[[#This Row],[Error Bound (up) - Max. possible relative overstatement - Losing Candidate]:[Error Bound (up) - Max. possible relative overstatement - Candidate 6]])</f>
        <v>1.224889759921607E-4</v>
      </c>
      <c r="Q1033" s="100">
        <f>IF(SamplingData[[#This Row],[Max Error Bound (up)]] = 0,0,SamplingData[[#This Row],[Max Error Bound (up)]]/SamplingData[[#Totals],[Max Error Bound (up)]])</f>
        <v>1.9385896556891663E-5</v>
      </c>
      <c r="R1033" s="101">
        <f>SUM($Q$5:Q1033)</f>
        <v>0.26683341993566156</v>
      </c>
      <c r="S1033" s="100" t="str">
        <f t="array" ref="S1033">IF(SamplingData[[#This Row],[up/U Selection Probability]] = 0, "Zero", TEXT(SamplingData[[#This Row],[Lower Range]], REPT("0",LEN('General Info'!$B$40))) &amp; " - " &amp; TEXT(SamplingData[[#This Row],[Upper Range]], REPT("0",LEN('General Info'!$B$40))))</f>
        <v>26681 - 26682</v>
      </c>
      <c r="T1033" s="100">
        <f>SamplingData[[#This Row],[Upper Range]]-SamplingData[[#This Row],[Span]]</f>
        <v>26681.403423296364</v>
      </c>
      <c r="U1033" s="100">
        <f>IF(ISNUMBER('General Info'!$B$40), ((SamplingData[[#This Row],[up/U Selection Probability]]) * 'General Info'!$B$40) - 1, 0)</f>
        <v>0.93857026979260949</v>
      </c>
      <c r="V1033" s="100">
        <f>IF(ISNUMBER('General Info'!$B$40), (SamplingData[[#This Row],[Running (cumulative) sum]] * ('General Info'!$B$40 -'General Info'!$B$41 + 1)) + 'General Info'!$B$41 - 1, 0)</f>
        <v>26682.341993566155</v>
      </c>
      <c r="W1033" s="100" t="str">
        <f>IF(ISERROR(MATCH(SamplingData[[#This Row],[Batch by Type (p)]],SelectedPrecincts[Batch Name], 0)), "", INDEX(SelectedPrecincts[Draw], MATCH(SamplingData[[#This Row],[Batch by Type (p)]],SelectedPrecincts[Batch Name], 0)))</f>
        <v/>
      </c>
      <c r="X1033" s="102">
        <f>IF(COUNTIF(SelectedPrecincts[Batch Name],SamplingData[[#This Row],[Batch by Type (p)]]) &lt;&gt; 0, COUNTIF(SelectedPrecincts[Batch Name],SamplingData[[#This Row],[Batch by Type (p)]]), 0)</f>
        <v>0</v>
      </c>
    </row>
    <row r="1034" spans="1:24" ht="15" customHeight="1">
      <c r="A1034" s="18" t="s">
        <v>1210</v>
      </c>
      <c r="B1034" s="18">
        <v>0</v>
      </c>
      <c r="C1034" s="18">
        <v>0</v>
      </c>
      <c r="D1034" s="18">
        <v>0</v>
      </c>
      <c r="E1034" s="18">
        <v>0</v>
      </c>
      <c r="F1034" s="18">
        <v>0</v>
      </c>
      <c r="G1034" s="18">
        <v>0</v>
      </c>
      <c r="H1034" s="18">
        <v>0</v>
      </c>
      <c r="I1034" s="18">
        <v>1</v>
      </c>
      <c r="J1034" s="99">
        <f>SUM(SamplingData[[#This Row],[Losing Candidate]:[Under Votes]])</f>
        <v>1</v>
      </c>
      <c r="K103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34" s="100">
        <f>IF(AND(SamplingData[[#This Row],[Total]]&lt;&gt; 0, NOT(ISBLANK(SamplingData[[#This Row],[Candidate 3]]))),(SamplingData[[#This Row],[Total]]+SamplingData[[#This Row],[Winning Candidate]]-SamplingData[[#This Row],[Candidate 3]])/(SamplingData[[#Totals],[Winning Candidate]]-SamplingData[[#Totals],[Candidate 3]]), 0)</f>
        <v>3.2261186566441917E-5</v>
      </c>
      <c r="M1034" s="100">
        <f>IF(AND(SamplingData[[#This Row],[Total]]&lt;&gt; 0, NOT(ISBLANK(SamplingData[[#This Row],[Candidate 4]]))),(SamplingData[[#This Row],[Total]]+SamplingData[[#This Row],[Winning Candidate]]-SamplingData[[#This Row],[Candidate 4]])/(SamplingData[[#Totals],[Winning Candidate]]-SamplingData[[#Totals],[Candidate 4]]), 0)</f>
        <v>2.923207343096846E-5</v>
      </c>
      <c r="N1034" s="100">
        <f>IF(AND(SamplingData[[#This Row],[Total]]&lt;&gt; 0, NOT(ISBLANK(SamplingData[[#This Row],[Candidate 5]]))),(SamplingData[[#This Row],[Total]]+SamplingData[[#This Row],[Winning Candidate]]-SamplingData[[#This Row],[Candidate 5]])/(SamplingData[[#Totals],[Winning Candidate]]-SamplingData[[#Totals],[Candidate 5]]), 0)</f>
        <v>2.4324981756263683E-5</v>
      </c>
      <c r="O1034" s="100">
        <f>IF(AND(SamplingData[[#This Row],[Total]]&lt;&gt; 0, NOT(ISBLANK(SamplingData[[#This Row],[Candidate 6]]))),(SamplingData[[#This Row],[Total]]+SamplingData[[#This Row],[Winning Candidate]]-SamplingData[[#This Row],[Candidate 6]])/(SamplingData[[#Totals],[Winning Candidate]]-SamplingData[[#Totals],[Candidate 6]]), 0)</f>
        <v>2.431788337143135E-5</v>
      </c>
      <c r="P1034" s="100">
        <f>MAX(SamplingData[[#This Row],[Error Bound (up) - Max. possible relative overstatement - Losing Candidate]:[Error Bound (up) - Max. possible relative overstatement - Candidate 6]])</f>
        <v>6.1244487996080352E-5</v>
      </c>
      <c r="Q1034" s="100">
        <f>IF(SamplingData[[#This Row],[Max Error Bound (up)]] = 0,0,SamplingData[[#This Row],[Max Error Bound (up)]]/SamplingData[[#Totals],[Max Error Bound (up)]])</f>
        <v>9.6929482784458315E-6</v>
      </c>
      <c r="R1034" s="101">
        <f>SUM($Q$5:Q1034)</f>
        <v>0.26684311288394003</v>
      </c>
      <c r="S1034" s="100" t="str">
        <f t="array" ref="S1034">IF(SamplingData[[#This Row],[up/U Selection Probability]] = 0, "Zero", TEXT(SamplingData[[#This Row],[Lower Range]], REPT("0",LEN('General Info'!$B$40))) &amp; " - " &amp; TEXT(SamplingData[[#This Row],[Upper Range]], REPT("0",LEN('General Info'!$B$40))))</f>
        <v>26683 - 26683</v>
      </c>
      <c r="T1034" s="100">
        <f>SamplingData[[#This Row],[Upper Range]]-SamplingData[[#This Row],[Span]]</f>
        <v>26683.342003259106</v>
      </c>
      <c r="U1034" s="100">
        <f>IF(ISNUMBER('General Info'!$B$40), ((SamplingData[[#This Row],[up/U Selection Probability]]) * 'General Info'!$B$40) - 1, 0)</f>
        <v>-3.0714865103695255E-2</v>
      </c>
      <c r="V1034" s="100">
        <f>IF(ISNUMBER('General Info'!$B$40), (SamplingData[[#This Row],[Running (cumulative) sum]] * ('General Info'!$B$40 -'General Info'!$B$41 + 1)) + 'General Info'!$B$41 - 1, 0)</f>
        <v>26683.311288394001</v>
      </c>
      <c r="W1034" s="100" t="str">
        <f>IF(ISERROR(MATCH(SamplingData[[#This Row],[Batch by Type (p)]],SelectedPrecincts[Batch Name], 0)), "", INDEX(SelectedPrecincts[Draw], MATCH(SamplingData[[#This Row],[Batch by Type (p)]],SelectedPrecincts[Batch Name], 0)))</f>
        <v/>
      </c>
      <c r="X1034" s="102">
        <f>IF(COUNTIF(SelectedPrecincts[Batch Name],SamplingData[[#This Row],[Batch by Type (p)]]) &lt;&gt; 0, COUNTIF(SelectedPrecincts[Batch Name],SamplingData[[#This Row],[Batch by Type (p)]]), 0)</f>
        <v>0</v>
      </c>
    </row>
    <row r="1035" spans="1:24" ht="15" customHeight="1">
      <c r="A1035" s="18" t="s">
        <v>1211</v>
      </c>
      <c r="B1035" s="18">
        <v>0</v>
      </c>
      <c r="C1035" s="18">
        <v>0</v>
      </c>
      <c r="D1035" s="16">
        <v>0</v>
      </c>
      <c r="E1035" s="16">
        <v>0</v>
      </c>
      <c r="F1035" s="37">
        <v>0</v>
      </c>
      <c r="G1035" s="37">
        <v>0</v>
      </c>
      <c r="H1035" s="17">
        <v>0</v>
      </c>
      <c r="I1035" s="17">
        <v>0</v>
      </c>
      <c r="J1035" s="99">
        <f>SUM(SamplingData[[#This Row],[Losing Candidate]:[Under Votes]])</f>
        <v>0</v>
      </c>
      <c r="K1035" s="100">
        <f>IF(AND(SamplingData[[#This Row],[Total]]&lt;&gt; 0, NOT(ISBLANK(SamplingData[[#This Row],[Losing Candidate]]))),(SamplingData[[#This Row],[Total]]+SamplingData[[#This Row],[Winning Candidate]]-SamplingData[[#This Row],[Losing Candidate]])/(SamplingData[[#Totals],[Winning Candidate]]-SamplingData[[#Totals],[Losing Candidate]]), 0)</f>
        <v>0</v>
      </c>
      <c r="L1035" s="100">
        <f>IF(AND(SamplingData[[#This Row],[Total]]&lt;&gt; 0, NOT(ISBLANK(SamplingData[[#This Row],[Candidate 3]]))),(SamplingData[[#This Row],[Total]]+SamplingData[[#This Row],[Winning Candidate]]-SamplingData[[#This Row],[Candidate 3]])/(SamplingData[[#Totals],[Winning Candidate]]-SamplingData[[#Totals],[Candidate 3]]), 0)</f>
        <v>0</v>
      </c>
      <c r="M1035" s="100">
        <f>IF(AND(SamplingData[[#This Row],[Total]]&lt;&gt; 0, NOT(ISBLANK(SamplingData[[#This Row],[Candidate 4]]))),(SamplingData[[#This Row],[Total]]+SamplingData[[#This Row],[Winning Candidate]]-SamplingData[[#This Row],[Candidate 4]])/(SamplingData[[#Totals],[Winning Candidate]]-SamplingData[[#Totals],[Candidate 4]]), 0)</f>
        <v>0</v>
      </c>
      <c r="N1035" s="100">
        <f>IF(AND(SamplingData[[#This Row],[Total]]&lt;&gt; 0, NOT(ISBLANK(SamplingData[[#This Row],[Candidate 5]]))),(SamplingData[[#This Row],[Total]]+SamplingData[[#This Row],[Winning Candidate]]-SamplingData[[#This Row],[Candidate 5]])/(SamplingData[[#Totals],[Winning Candidate]]-SamplingData[[#Totals],[Candidate 5]]), 0)</f>
        <v>0</v>
      </c>
      <c r="O1035" s="100">
        <f>IF(AND(SamplingData[[#This Row],[Total]]&lt;&gt; 0, NOT(ISBLANK(SamplingData[[#This Row],[Candidate 6]]))),(SamplingData[[#This Row],[Total]]+SamplingData[[#This Row],[Winning Candidate]]-SamplingData[[#This Row],[Candidate 6]])/(SamplingData[[#Totals],[Winning Candidate]]-SamplingData[[#Totals],[Candidate 6]]), 0)</f>
        <v>0</v>
      </c>
      <c r="P1035" s="100">
        <f>MAX(SamplingData[[#This Row],[Error Bound (up) - Max. possible relative overstatement - Losing Candidate]:[Error Bound (up) - Max. possible relative overstatement - Candidate 6]])</f>
        <v>0</v>
      </c>
      <c r="Q1035" s="100">
        <f>IF(SamplingData[[#This Row],[Max Error Bound (up)]] = 0,0,SamplingData[[#This Row],[Max Error Bound (up)]]/SamplingData[[#Totals],[Max Error Bound (up)]])</f>
        <v>0</v>
      </c>
      <c r="R1035" s="101">
        <f>SUM($Q$5:Q1035)</f>
        <v>0.26684311288394003</v>
      </c>
      <c r="S1035" s="100" t="str">
        <f t="array" ref="S1035">IF(SamplingData[[#This Row],[up/U Selection Probability]] = 0, "Zero", TEXT(SamplingData[[#This Row],[Lower Range]], REPT("0",LEN('General Info'!$B$40))) &amp; " - " &amp; TEXT(SamplingData[[#This Row],[Upper Range]], REPT("0",LEN('General Info'!$B$40))))</f>
        <v>Zero</v>
      </c>
      <c r="T1035" s="100">
        <f>SamplingData[[#This Row],[Upper Range]]-SamplingData[[#This Row],[Span]]</f>
        <v>26684.311288394001</v>
      </c>
      <c r="U1035" s="100">
        <f>IF(ISNUMBER('General Info'!$B$40), ((SamplingData[[#This Row],[up/U Selection Probability]]) * 'General Info'!$B$40) - 1, 0)</f>
        <v>-1</v>
      </c>
      <c r="V1035" s="100">
        <f>IF(ISNUMBER('General Info'!$B$40), (SamplingData[[#This Row],[Running (cumulative) sum]] * ('General Info'!$B$40 -'General Info'!$B$41 + 1)) + 'General Info'!$B$41 - 1, 0)</f>
        <v>26683.311288394001</v>
      </c>
      <c r="W1035" s="100" t="str">
        <f>IF(ISERROR(MATCH(SamplingData[[#This Row],[Batch by Type (p)]],SelectedPrecincts[Batch Name], 0)), "", INDEX(SelectedPrecincts[Draw], MATCH(SamplingData[[#This Row],[Batch by Type (p)]],SelectedPrecincts[Batch Name], 0)))</f>
        <v/>
      </c>
      <c r="X1035" s="102">
        <f>IF(COUNTIF(SelectedPrecincts[Batch Name],SamplingData[[#This Row],[Batch by Type (p)]]) &lt;&gt; 0, COUNTIF(SelectedPrecincts[Batch Name],SamplingData[[#This Row],[Batch by Type (p)]]), 0)</f>
        <v>0</v>
      </c>
    </row>
    <row r="1036" spans="1:24" ht="15" customHeight="1">
      <c r="A1036" s="18" t="s">
        <v>1212</v>
      </c>
      <c r="B1036" s="18">
        <v>0</v>
      </c>
      <c r="C1036" s="18">
        <v>0</v>
      </c>
      <c r="D1036" s="18">
        <v>0</v>
      </c>
      <c r="E1036" s="18">
        <v>0</v>
      </c>
      <c r="F1036" s="18">
        <v>0</v>
      </c>
      <c r="G1036" s="18">
        <v>0</v>
      </c>
      <c r="H1036" s="18">
        <v>0</v>
      </c>
      <c r="I1036" s="18">
        <v>0</v>
      </c>
      <c r="J1036" s="99">
        <f>SUM(SamplingData[[#This Row],[Losing Candidate]:[Under Votes]])</f>
        <v>0</v>
      </c>
      <c r="K1036" s="100">
        <f>IF(AND(SamplingData[[#This Row],[Total]]&lt;&gt; 0, NOT(ISBLANK(SamplingData[[#This Row],[Losing Candidate]]))),(SamplingData[[#This Row],[Total]]+SamplingData[[#This Row],[Winning Candidate]]-SamplingData[[#This Row],[Losing Candidate]])/(SamplingData[[#Totals],[Winning Candidate]]-SamplingData[[#Totals],[Losing Candidate]]), 0)</f>
        <v>0</v>
      </c>
      <c r="L1036" s="100">
        <f>IF(AND(SamplingData[[#This Row],[Total]]&lt;&gt; 0, NOT(ISBLANK(SamplingData[[#This Row],[Candidate 3]]))),(SamplingData[[#This Row],[Total]]+SamplingData[[#This Row],[Winning Candidate]]-SamplingData[[#This Row],[Candidate 3]])/(SamplingData[[#Totals],[Winning Candidate]]-SamplingData[[#Totals],[Candidate 3]]), 0)</f>
        <v>0</v>
      </c>
      <c r="M1036" s="100">
        <f>IF(AND(SamplingData[[#This Row],[Total]]&lt;&gt; 0, NOT(ISBLANK(SamplingData[[#This Row],[Candidate 4]]))),(SamplingData[[#This Row],[Total]]+SamplingData[[#This Row],[Winning Candidate]]-SamplingData[[#This Row],[Candidate 4]])/(SamplingData[[#Totals],[Winning Candidate]]-SamplingData[[#Totals],[Candidate 4]]), 0)</f>
        <v>0</v>
      </c>
      <c r="N1036" s="100">
        <f>IF(AND(SamplingData[[#This Row],[Total]]&lt;&gt; 0, NOT(ISBLANK(SamplingData[[#This Row],[Candidate 5]]))),(SamplingData[[#This Row],[Total]]+SamplingData[[#This Row],[Winning Candidate]]-SamplingData[[#This Row],[Candidate 5]])/(SamplingData[[#Totals],[Winning Candidate]]-SamplingData[[#Totals],[Candidate 5]]), 0)</f>
        <v>0</v>
      </c>
      <c r="O1036" s="100">
        <f>IF(AND(SamplingData[[#This Row],[Total]]&lt;&gt; 0, NOT(ISBLANK(SamplingData[[#This Row],[Candidate 6]]))),(SamplingData[[#This Row],[Total]]+SamplingData[[#This Row],[Winning Candidate]]-SamplingData[[#This Row],[Candidate 6]])/(SamplingData[[#Totals],[Winning Candidate]]-SamplingData[[#Totals],[Candidate 6]]), 0)</f>
        <v>0</v>
      </c>
      <c r="P1036" s="100">
        <f>MAX(SamplingData[[#This Row],[Error Bound (up) - Max. possible relative overstatement - Losing Candidate]:[Error Bound (up) - Max. possible relative overstatement - Candidate 6]])</f>
        <v>0</v>
      </c>
      <c r="Q1036" s="100">
        <f>IF(SamplingData[[#This Row],[Max Error Bound (up)]] = 0,0,SamplingData[[#This Row],[Max Error Bound (up)]]/SamplingData[[#Totals],[Max Error Bound (up)]])</f>
        <v>0</v>
      </c>
      <c r="R1036" s="101">
        <f>SUM($Q$5:Q1036)</f>
        <v>0.26684311288394003</v>
      </c>
      <c r="S1036" s="100" t="str">
        <f t="array" ref="S1036">IF(SamplingData[[#This Row],[up/U Selection Probability]] = 0, "Zero", TEXT(SamplingData[[#This Row],[Lower Range]], REPT("0",LEN('General Info'!$B$40))) &amp; " - " &amp; TEXT(SamplingData[[#This Row],[Upper Range]], REPT("0",LEN('General Info'!$B$40))))</f>
        <v>Zero</v>
      </c>
      <c r="T1036" s="100">
        <f>SamplingData[[#This Row],[Upper Range]]-SamplingData[[#This Row],[Span]]</f>
        <v>26684.311288394001</v>
      </c>
      <c r="U1036" s="100">
        <f>IF(ISNUMBER('General Info'!$B$40), ((SamplingData[[#This Row],[up/U Selection Probability]]) * 'General Info'!$B$40) - 1, 0)</f>
        <v>-1</v>
      </c>
      <c r="V1036" s="100">
        <f>IF(ISNUMBER('General Info'!$B$40), (SamplingData[[#This Row],[Running (cumulative) sum]] * ('General Info'!$B$40 -'General Info'!$B$41 + 1)) + 'General Info'!$B$41 - 1, 0)</f>
        <v>26683.311288394001</v>
      </c>
      <c r="W1036" s="100" t="str">
        <f>IF(ISERROR(MATCH(SamplingData[[#This Row],[Batch by Type (p)]],SelectedPrecincts[Batch Name], 0)), "", INDEX(SelectedPrecincts[Draw], MATCH(SamplingData[[#This Row],[Batch by Type (p)]],SelectedPrecincts[Batch Name], 0)))</f>
        <v/>
      </c>
      <c r="X1036" s="102">
        <f>IF(COUNTIF(SelectedPrecincts[Batch Name],SamplingData[[#This Row],[Batch by Type (p)]]) &lt;&gt; 0, COUNTIF(SelectedPrecincts[Batch Name],SamplingData[[#This Row],[Batch by Type (p)]]), 0)</f>
        <v>0</v>
      </c>
    </row>
    <row r="1037" spans="1:24" ht="15" customHeight="1">
      <c r="A1037" s="18" t="s">
        <v>1213</v>
      </c>
      <c r="B1037" s="18">
        <v>0</v>
      </c>
      <c r="C1037" s="18">
        <v>1</v>
      </c>
      <c r="D1037" s="16">
        <v>3</v>
      </c>
      <c r="E1037" s="16">
        <v>1</v>
      </c>
      <c r="F1037" s="37">
        <v>0</v>
      </c>
      <c r="G1037" s="37">
        <v>0</v>
      </c>
      <c r="H1037" s="17">
        <v>0</v>
      </c>
      <c r="I1037" s="17">
        <v>0</v>
      </c>
      <c r="J1037" s="99">
        <f>SUM(SamplingData[[#This Row],[Losing Candidate]:[Under Votes]])</f>
        <v>5</v>
      </c>
      <c r="K1037"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037" s="100">
        <f>IF(AND(SamplingData[[#This Row],[Total]]&lt;&gt; 0, NOT(ISBLANK(SamplingData[[#This Row],[Candidate 3]]))),(SamplingData[[#This Row],[Total]]+SamplingData[[#This Row],[Winning Candidate]]-SamplingData[[#This Row],[Candidate 3]])/(SamplingData[[#Totals],[Winning Candidate]]-SamplingData[[#Totals],[Candidate 3]]), 0)</f>
        <v>9.6783559699325743E-5</v>
      </c>
      <c r="M1037" s="100">
        <f>IF(AND(SamplingData[[#This Row],[Total]]&lt;&gt; 0, NOT(ISBLANK(SamplingData[[#This Row],[Candidate 4]]))),(SamplingData[[#This Row],[Total]]+SamplingData[[#This Row],[Winning Candidate]]-SamplingData[[#This Row],[Candidate 4]])/(SamplingData[[#Totals],[Winning Candidate]]-SamplingData[[#Totals],[Candidate 4]]), 0)</f>
        <v>1.4616036715484231E-4</v>
      </c>
      <c r="N1037" s="100">
        <f>IF(AND(SamplingData[[#This Row],[Total]]&lt;&gt; 0, NOT(ISBLANK(SamplingData[[#This Row],[Candidate 5]]))),(SamplingData[[#This Row],[Total]]+SamplingData[[#This Row],[Winning Candidate]]-SamplingData[[#This Row],[Candidate 5]])/(SamplingData[[#Totals],[Winning Candidate]]-SamplingData[[#Totals],[Candidate 5]]), 0)</f>
        <v>1.4594989053758211E-4</v>
      </c>
      <c r="O1037" s="100">
        <f>IF(AND(SamplingData[[#This Row],[Total]]&lt;&gt; 0, NOT(ISBLANK(SamplingData[[#This Row],[Candidate 6]]))),(SamplingData[[#This Row],[Total]]+SamplingData[[#This Row],[Winning Candidate]]-SamplingData[[#This Row],[Candidate 6]])/(SamplingData[[#Totals],[Winning Candidate]]-SamplingData[[#Totals],[Candidate 6]]), 0)</f>
        <v>1.4590730022858811E-4</v>
      </c>
      <c r="P1037" s="100">
        <f>MAX(SamplingData[[#This Row],[Error Bound (up) - Max. possible relative overstatement - Losing Candidate]:[Error Bound (up) - Max. possible relative overstatement - Candidate 6]])</f>
        <v>3.6746692797648211E-4</v>
      </c>
      <c r="Q1037" s="100">
        <f>IF(SamplingData[[#This Row],[Max Error Bound (up)]] = 0,0,SamplingData[[#This Row],[Max Error Bound (up)]]/SamplingData[[#Totals],[Max Error Bound (up)]])</f>
        <v>5.8157689670674986E-5</v>
      </c>
      <c r="R1037" s="101">
        <f>SUM($Q$5:Q1037)</f>
        <v>0.26690127057361068</v>
      </c>
      <c r="S1037" s="100" t="str">
        <f t="array" ref="S1037">IF(SamplingData[[#This Row],[up/U Selection Probability]] = 0, "Zero", TEXT(SamplingData[[#This Row],[Lower Range]], REPT("0",LEN('General Info'!$B$40))) &amp; " - " &amp; TEXT(SamplingData[[#This Row],[Upper Range]], REPT("0",LEN('General Info'!$B$40))))</f>
        <v>26684 - 26689</v>
      </c>
      <c r="T1037" s="100">
        <f>SamplingData[[#This Row],[Upper Range]]-SamplingData[[#This Row],[Span]]</f>
        <v>26684.311346551691</v>
      </c>
      <c r="U1037" s="100">
        <f>IF(ISNUMBER('General Info'!$B$40), ((SamplingData[[#This Row],[up/U Selection Probability]]) * 'General Info'!$B$40) - 1, 0)</f>
        <v>4.815710809377828</v>
      </c>
      <c r="V1037" s="100">
        <f>IF(ISNUMBER('General Info'!$B$40), (SamplingData[[#This Row],[Running (cumulative) sum]] * ('General Info'!$B$40 -'General Info'!$B$41 + 1)) + 'General Info'!$B$41 - 1, 0)</f>
        <v>26689.127057361067</v>
      </c>
      <c r="W1037" s="100" t="str">
        <f>IF(ISERROR(MATCH(SamplingData[[#This Row],[Batch by Type (p)]],SelectedPrecincts[Batch Name], 0)), "", INDEX(SelectedPrecincts[Draw], MATCH(SamplingData[[#This Row],[Batch by Type (p)]],SelectedPrecincts[Batch Name], 0)))</f>
        <v/>
      </c>
      <c r="X1037" s="102">
        <f>IF(COUNTIF(SelectedPrecincts[Batch Name],SamplingData[[#This Row],[Batch by Type (p)]]) &lt;&gt; 0, COUNTIF(SelectedPrecincts[Batch Name],SamplingData[[#This Row],[Batch by Type (p)]]), 0)</f>
        <v>0</v>
      </c>
    </row>
    <row r="1038" spans="1:24" ht="15" customHeight="1">
      <c r="A1038" s="18" t="s">
        <v>1214</v>
      </c>
      <c r="B1038" s="18">
        <v>1</v>
      </c>
      <c r="C1038" s="18">
        <v>3</v>
      </c>
      <c r="D1038" s="18">
        <v>0</v>
      </c>
      <c r="E1038" s="18">
        <v>0</v>
      </c>
      <c r="F1038" s="18">
        <v>0</v>
      </c>
      <c r="G1038" s="18">
        <v>0</v>
      </c>
      <c r="H1038" s="18">
        <v>0</v>
      </c>
      <c r="I1038" s="18">
        <v>0</v>
      </c>
      <c r="J1038" s="99">
        <f>SUM(SamplingData[[#This Row],[Losing Candidate]:[Under Votes]])</f>
        <v>4</v>
      </c>
      <c r="K1038"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038" s="100">
        <f>IF(AND(SamplingData[[#This Row],[Total]]&lt;&gt; 0, NOT(ISBLANK(SamplingData[[#This Row],[Candidate 3]]))),(SamplingData[[#This Row],[Total]]+SamplingData[[#This Row],[Winning Candidate]]-SamplingData[[#This Row],[Candidate 3]])/(SamplingData[[#Totals],[Winning Candidate]]-SamplingData[[#Totals],[Candidate 3]]), 0)</f>
        <v>2.258283059650934E-4</v>
      </c>
      <c r="M1038" s="100">
        <f>IF(AND(SamplingData[[#This Row],[Total]]&lt;&gt; 0, NOT(ISBLANK(SamplingData[[#This Row],[Candidate 4]]))),(SamplingData[[#This Row],[Total]]+SamplingData[[#This Row],[Winning Candidate]]-SamplingData[[#This Row],[Candidate 4]])/(SamplingData[[#Totals],[Winning Candidate]]-SamplingData[[#Totals],[Candidate 4]]), 0)</f>
        <v>2.0462451401677921E-4</v>
      </c>
      <c r="N1038" s="100">
        <f>IF(AND(SamplingData[[#This Row],[Total]]&lt;&gt; 0, NOT(ISBLANK(SamplingData[[#This Row],[Candidate 5]]))),(SamplingData[[#This Row],[Total]]+SamplingData[[#This Row],[Winning Candidate]]-SamplingData[[#This Row],[Candidate 5]])/(SamplingData[[#Totals],[Winning Candidate]]-SamplingData[[#Totals],[Candidate 5]]), 0)</f>
        <v>1.7027487229384579E-4</v>
      </c>
      <c r="O1038" s="100">
        <f>IF(AND(SamplingData[[#This Row],[Total]]&lt;&gt; 0, NOT(ISBLANK(SamplingData[[#This Row],[Candidate 6]]))),(SamplingData[[#This Row],[Total]]+SamplingData[[#This Row],[Winning Candidate]]-SamplingData[[#This Row],[Candidate 6]])/(SamplingData[[#Totals],[Winning Candidate]]-SamplingData[[#Totals],[Candidate 6]]), 0)</f>
        <v>1.7022518360001944E-4</v>
      </c>
      <c r="P1038" s="100">
        <f>MAX(SamplingData[[#This Row],[Error Bound (up) - Max. possible relative overstatement - Losing Candidate]:[Error Bound (up) - Max. possible relative overstatement - Candidate 6]])</f>
        <v>3.6746692797648211E-4</v>
      </c>
      <c r="Q1038" s="100">
        <f>IF(SamplingData[[#This Row],[Max Error Bound (up)]] = 0,0,SamplingData[[#This Row],[Max Error Bound (up)]]/SamplingData[[#Totals],[Max Error Bound (up)]])</f>
        <v>5.8157689670674986E-5</v>
      </c>
      <c r="R1038" s="101">
        <f>SUM($Q$5:Q1038)</f>
        <v>0.26695942826328134</v>
      </c>
      <c r="S1038" s="100" t="str">
        <f t="array" ref="S1038">IF(SamplingData[[#This Row],[up/U Selection Probability]] = 0, "Zero", TEXT(SamplingData[[#This Row],[Lower Range]], REPT("0",LEN('General Info'!$B$40))) &amp; " - " &amp; TEXT(SamplingData[[#This Row],[Upper Range]], REPT("0",LEN('General Info'!$B$40))))</f>
        <v>26690 - 26695</v>
      </c>
      <c r="T1038" s="100">
        <f>SamplingData[[#This Row],[Upper Range]]-SamplingData[[#This Row],[Span]]</f>
        <v>26690.127115518757</v>
      </c>
      <c r="U1038" s="100">
        <f>IF(ISNUMBER('General Info'!$B$40), ((SamplingData[[#This Row],[up/U Selection Probability]]) * 'General Info'!$B$40) - 1, 0)</f>
        <v>4.815710809377828</v>
      </c>
      <c r="V1038" s="100">
        <f>IF(ISNUMBER('General Info'!$B$40), (SamplingData[[#This Row],[Running (cumulative) sum]] * ('General Info'!$B$40 -'General Info'!$B$41 + 1)) + 'General Info'!$B$41 - 1, 0)</f>
        <v>26694.942826328133</v>
      </c>
      <c r="W1038" s="100" t="str">
        <f>IF(ISERROR(MATCH(SamplingData[[#This Row],[Batch by Type (p)]],SelectedPrecincts[Batch Name], 0)), "", INDEX(SelectedPrecincts[Draw], MATCH(SamplingData[[#This Row],[Batch by Type (p)]],SelectedPrecincts[Batch Name], 0)))</f>
        <v/>
      </c>
      <c r="X1038" s="102">
        <f>IF(COUNTIF(SelectedPrecincts[Batch Name],SamplingData[[#This Row],[Batch by Type (p)]]) &lt;&gt; 0, COUNTIF(SelectedPrecincts[Batch Name],SamplingData[[#This Row],[Batch by Type (p)]]), 0)</f>
        <v>0</v>
      </c>
    </row>
    <row r="1039" spans="1:24" ht="15" customHeight="1">
      <c r="A1039" s="18" t="s">
        <v>1215</v>
      </c>
      <c r="B1039" s="18">
        <v>1</v>
      </c>
      <c r="C1039" s="18">
        <v>0</v>
      </c>
      <c r="D1039" s="16">
        <v>0</v>
      </c>
      <c r="E1039" s="16">
        <v>0</v>
      </c>
      <c r="F1039" s="37">
        <v>0</v>
      </c>
      <c r="G1039" s="37">
        <v>0</v>
      </c>
      <c r="H1039" s="17">
        <v>0</v>
      </c>
      <c r="I1039" s="17">
        <v>0</v>
      </c>
      <c r="J1039" s="99">
        <f>SUM(SamplingData[[#This Row],[Losing Candidate]:[Under Votes]])</f>
        <v>1</v>
      </c>
      <c r="K1039" s="100">
        <f>IF(AND(SamplingData[[#This Row],[Total]]&lt;&gt; 0, NOT(ISBLANK(SamplingData[[#This Row],[Losing Candidate]]))),(SamplingData[[#This Row],[Total]]+SamplingData[[#This Row],[Winning Candidate]]-SamplingData[[#This Row],[Losing Candidate]])/(SamplingData[[#Totals],[Winning Candidate]]-SamplingData[[#Totals],[Losing Candidate]]), 0)</f>
        <v>0</v>
      </c>
      <c r="L1039" s="100">
        <f>IF(AND(SamplingData[[#This Row],[Total]]&lt;&gt; 0, NOT(ISBLANK(SamplingData[[#This Row],[Candidate 3]]))),(SamplingData[[#This Row],[Total]]+SamplingData[[#This Row],[Winning Candidate]]-SamplingData[[#This Row],[Candidate 3]])/(SamplingData[[#Totals],[Winning Candidate]]-SamplingData[[#Totals],[Candidate 3]]), 0)</f>
        <v>3.2261186566441917E-5</v>
      </c>
      <c r="M1039" s="100">
        <f>IF(AND(SamplingData[[#This Row],[Total]]&lt;&gt; 0, NOT(ISBLANK(SamplingData[[#This Row],[Candidate 4]]))),(SamplingData[[#This Row],[Total]]+SamplingData[[#This Row],[Winning Candidate]]-SamplingData[[#This Row],[Candidate 4]])/(SamplingData[[#Totals],[Winning Candidate]]-SamplingData[[#Totals],[Candidate 4]]), 0)</f>
        <v>2.923207343096846E-5</v>
      </c>
      <c r="N1039" s="100">
        <f>IF(AND(SamplingData[[#This Row],[Total]]&lt;&gt; 0, NOT(ISBLANK(SamplingData[[#This Row],[Candidate 5]]))),(SamplingData[[#This Row],[Total]]+SamplingData[[#This Row],[Winning Candidate]]-SamplingData[[#This Row],[Candidate 5]])/(SamplingData[[#Totals],[Winning Candidate]]-SamplingData[[#Totals],[Candidate 5]]), 0)</f>
        <v>2.4324981756263683E-5</v>
      </c>
      <c r="O1039" s="100">
        <f>IF(AND(SamplingData[[#This Row],[Total]]&lt;&gt; 0, NOT(ISBLANK(SamplingData[[#This Row],[Candidate 6]]))),(SamplingData[[#This Row],[Total]]+SamplingData[[#This Row],[Winning Candidate]]-SamplingData[[#This Row],[Candidate 6]])/(SamplingData[[#Totals],[Winning Candidate]]-SamplingData[[#Totals],[Candidate 6]]), 0)</f>
        <v>2.431788337143135E-5</v>
      </c>
      <c r="P1039" s="100">
        <f>MAX(SamplingData[[#This Row],[Error Bound (up) - Max. possible relative overstatement - Losing Candidate]:[Error Bound (up) - Max. possible relative overstatement - Candidate 6]])</f>
        <v>3.2261186566441917E-5</v>
      </c>
      <c r="Q1039" s="100">
        <f>IF(SamplingData[[#This Row],[Max Error Bound (up)]] = 0,0,SamplingData[[#This Row],[Max Error Bound (up)]]/SamplingData[[#Totals],[Max Error Bound (up)]])</f>
        <v>5.1058637768320663E-6</v>
      </c>
      <c r="R1039" s="101">
        <f>SUM($Q$5:Q1039)</f>
        <v>0.26696453412705817</v>
      </c>
      <c r="S1039" s="100" t="str">
        <f t="array" ref="S1039">IF(SamplingData[[#This Row],[up/U Selection Probability]] = 0, "Zero", TEXT(SamplingData[[#This Row],[Lower Range]], REPT("0",LEN('General Info'!$B$40))) &amp; " - " &amp; TEXT(SamplingData[[#This Row],[Upper Range]], REPT("0",LEN('General Info'!$B$40))))</f>
        <v>26696 - 26695</v>
      </c>
      <c r="T1039" s="100">
        <f>SamplingData[[#This Row],[Upper Range]]-SamplingData[[#This Row],[Span]]</f>
        <v>26695.942831433997</v>
      </c>
      <c r="U1039" s="100">
        <f>IF(ISNUMBER('General Info'!$B$40), ((SamplingData[[#This Row],[up/U Selection Probability]]) * 'General Info'!$B$40) - 1, 0)</f>
        <v>-0.4894187281805702</v>
      </c>
      <c r="V1039" s="100">
        <f>IF(ISNUMBER('General Info'!$B$40), (SamplingData[[#This Row],[Running (cumulative) sum]] * ('General Info'!$B$40 -'General Info'!$B$41 + 1)) + 'General Info'!$B$41 - 1, 0)</f>
        <v>26695.453412705818</v>
      </c>
      <c r="W1039" s="100" t="str">
        <f>IF(ISERROR(MATCH(SamplingData[[#This Row],[Batch by Type (p)]],SelectedPrecincts[Batch Name], 0)), "", INDEX(SelectedPrecincts[Draw], MATCH(SamplingData[[#This Row],[Batch by Type (p)]],SelectedPrecincts[Batch Name], 0)))</f>
        <v/>
      </c>
      <c r="X1039" s="102">
        <f>IF(COUNTIF(SelectedPrecincts[Batch Name],SamplingData[[#This Row],[Batch by Type (p)]]) &lt;&gt; 0, COUNTIF(SelectedPrecincts[Batch Name],SamplingData[[#This Row],[Batch by Type (p)]]), 0)</f>
        <v>0</v>
      </c>
    </row>
    <row r="1040" spans="1:24" ht="15" customHeight="1">
      <c r="A1040" s="18" t="s">
        <v>1216</v>
      </c>
      <c r="B1040" s="18">
        <v>0</v>
      </c>
      <c r="C1040" s="18">
        <v>0</v>
      </c>
      <c r="D1040" s="18">
        <v>0</v>
      </c>
      <c r="E1040" s="18">
        <v>0</v>
      </c>
      <c r="F1040" s="18">
        <v>0</v>
      </c>
      <c r="G1040" s="18">
        <v>0</v>
      </c>
      <c r="H1040" s="18">
        <v>0</v>
      </c>
      <c r="I1040" s="18">
        <v>0</v>
      </c>
      <c r="J1040" s="99">
        <f>SUM(SamplingData[[#This Row],[Losing Candidate]:[Under Votes]])</f>
        <v>0</v>
      </c>
      <c r="K1040" s="100">
        <f>IF(AND(SamplingData[[#This Row],[Total]]&lt;&gt; 0, NOT(ISBLANK(SamplingData[[#This Row],[Losing Candidate]]))),(SamplingData[[#This Row],[Total]]+SamplingData[[#This Row],[Winning Candidate]]-SamplingData[[#This Row],[Losing Candidate]])/(SamplingData[[#Totals],[Winning Candidate]]-SamplingData[[#Totals],[Losing Candidate]]), 0)</f>
        <v>0</v>
      </c>
      <c r="L1040" s="100">
        <f>IF(AND(SamplingData[[#This Row],[Total]]&lt;&gt; 0, NOT(ISBLANK(SamplingData[[#This Row],[Candidate 3]]))),(SamplingData[[#This Row],[Total]]+SamplingData[[#This Row],[Winning Candidate]]-SamplingData[[#This Row],[Candidate 3]])/(SamplingData[[#Totals],[Winning Candidate]]-SamplingData[[#Totals],[Candidate 3]]), 0)</f>
        <v>0</v>
      </c>
      <c r="M1040" s="100">
        <f>IF(AND(SamplingData[[#This Row],[Total]]&lt;&gt; 0, NOT(ISBLANK(SamplingData[[#This Row],[Candidate 4]]))),(SamplingData[[#This Row],[Total]]+SamplingData[[#This Row],[Winning Candidate]]-SamplingData[[#This Row],[Candidate 4]])/(SamplingData[[#Totals],[Winning Candidate]]-SamplingData[[#Totals],[Candidate 4]]), 0)</f>
        <v>0</v>
      </c>
      <c r="N1040" s="100">
        <f>IF(AND(SamplingData[[#This Row],[Total]]&lt;&gt; 0, NOT(ISBLANK(SamplingData[[#This Row],[Candidate 5]]))),(SamplingData[[#This Row],[Total]]+SamplingData[[#This Row],[Winning Candidate]]-SamplingData[[#This Row],[Candidate 5]])/(SamplingData[[#Totals],[Winning Candidate]]-SamplingData[[#Totals],[Candidate 5]]), 0)</f>
        <v>0</v>
      </c>
      <c r="O1040" s="100">
        <f>IF(AND(SamplingData[[#This Row],[Total]]&lt;&gt; 0, NOT(ISBLANK(SamplingData[[#This Row],[Candidate 6]]))),(SamplingData[[#This Row],[Total]]+SamplingData[[#This Row],[Winning Candidate]]-SamplingData[[#This Row],[Candidate 6]])/(SamplingData[[#Totals],[Winning Candidate]]-SamplingData[[#Totals],[Candidate 6]]), 0)</f>
        <v>0</v>
      </c>
      <c r="P1040" s="100">
        <f>MAX(SamplingData[[#This Row],[Error Bound (up) - Max. possible relative overstatement - Losing Candidate]:[Error Bound (up) - Max. possible relative overstatement - Candidate 6]])</f>
        <v>0</v>
      </c>
      <c r="Q1040" s="100">
        <f>IF(SamplingData[[#This Row],[Max Error Bound (up)]] = 0,0,SamplingData[[#This Row],[Max Error Bound (up)]]/SamplingData[[#Totals],[Max Error Bound (up)]])</f>
        <v>0</v>
      </c>
      <c r="R1040" s="101">
        <f>SUM($Q$5:Q1040)</f>
        <v>0.26696453412705817</v>
      </c>
      <c r="S1040" s="100" t="str">
        <f t="array" ref="S1040">IF(SamplingData[[#This Row],[up/U Selection Probability]] = 0, "Zero", TEXT(SamplingData[[#This Row],[Lower Range]], REPT("0",LEN('General Info'!$B$40))) &amp; " - " &amp; TEXT(SamplingData[[#This Row],[Upper Range]], REPT("0",LEN('General Info'!$B$40))))</f>
        <v>Zero</v>
      </c>
      <c r="T1040" s="100">
        <f>SamplingData[[#This Row],[Upper Range]]-SamplingData[[#This Row],[Span]]</f>
        <v>26696.453412705818</v>
      </c>
      <c r="U1040" s="100">
        <f>IF(ISNUMBER('General Info'!$B$40), ((SamplingData[[#This Row],[up/U Selection Probability]]) * 'General Info'!$B$40) - 1, 0)</f>
        <v>-1</v>
      </c>
      <c r="V1040" s="100">
        <f>IF(ISNUMBER('General Info'!$B$40), (SamplingData[[#This Row],[Running (cumulative) sum]] * ('General Info'!$B$40 -'General Info'!$B$41 + 1)) + 'General Info'!$B$41 - 1, 0)</f>
        <v>26695.453412705818</v>
      </c>
      <c r="W1040" s="100" t="str">
        <f>IF(ISERROR(MATCH(SamplingData[[#This Row],[Batch by Type (p)]],SelectedPrecincts[Batch Name], 0)), "", INDEX(SelectedPrecincts[Draw], MATCH(SamplingData[[#This Row],[Batch by Type (p)]],SelectedPrecincts[Batch Name], 0)))</f>
        <v/>
      </c>
      <c r="X1040" s="102">
        <f>IF(COUNTIF(SelectedPrecincts[Batch Name],SamplingData[[#This Row],[Batch by Type (p)]]) &lt;&gt; 0, COUNTIF(SelectedPrecincts[Batch Name],SamplingData[[#This Row],[Batch by Type (p)]]), 0)</f>
        <v>0</v>
      </c>
    </row>
    <row r="1041" spans="1:24" ht="15" customHeight="1">
      <c r="A1041" s="18" t="s">
        <v>1217</v>
      </c>
      <c r="B1041" s="18">
        <v>0</v>
      </c>
      <c r="C1041" s="18">
        <v>0</v>
      </c>
      <c r="D1041" s="16">
        <v>0</v>
      </c>
      <c r="E1041" s="16">
        <v>0</v>
      </c>
      <c r="F1041" s="37">
        <v>0</v>
      </c>
      <c r="G1041" s="37">
        <v>0</v>
      </c>
      <c r="H1041" s="17">
        <v>1</v>
      </c>
      <c r="I1041" s="17">
        <v>0</v>
      </c>
      <c r="J1041" s="99">
        <f>SUM(SamplingData[[#This Row],[Losing Candidate]:[Under Votes]])</f>
        <v>1</v>
      </c>
      <c r="K1041"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41" s="100">
        <f>IF(AND(SamplingData[[#This Row],[Total]]&lt;&gt; 0, NOT(ISBLANK(SamplingData[[#This Row],[Candidate 3]]))),(SamplingData[[#This Row],[Total]]+SamplingData[[#This Row],[Winning Candidate]]-SamplingData[[#This Row],[Candidate 3]])/(SamplingData[[#Totals],[Winning Candidate]]-SamplingData[[#Totals],[Candidate 3]]), 0)</f>
        <v>3.2261186566441917E-5</v>
      </c>
      <c r="M1041" s="100">
        <f>IF(AND(SamplingData[[#This Row],[Total]]&lt;&gt; 0, NOT(ISBLANK(SamplingData[[#This Row],[Candidate 4]]))),(SamplingData[[#This Row],[Total]]+SamplingData[[#This Row],[Winning Candidate]]-SamplingData[[#This Row],[Candidate 4]])/(SamplingData[[#Totals],[Winning Candidate]]-SamplingData[[#Totals],[Candidate 4]]), 0)</f>
        <v>2.923207343096846E-5</v>
      </c>
      <c r="N1041" s="100">
        <f>IF(AND(SamplingData[[#This Row],[Total]]&lt;&gt; 0, NOT(ISBLANK(SamplingData[[#This Row],[Candidate 5]]))),(SamplingData[[#This Row],[Total]]+SamplingData[[#This Row],[Winning Candidate]]-SamplingData[[#This Row],[Candidate 5]])/(SamplingData[[#Totals],[Winning Candidate]]-SamplingData[[#Totals],[Candidate 5]]), 0)</f>
        <v>2.4324981756263683E-5</v>
      </c>
      <c r="O1041" s="100">
        <f>IF(AND(SamplingData[[#This Row],[Total]]&lt;&gt; 0, NOT(ISBLANK(SamplingData[[#This Row],[Candidate 6]]))),(SamplingData[[#This Row],[Total]]+SamplingData[[#This Row],[Winning Candidate]]-SamplingData[[#This Row],[Candidate 6]])/(SamplingData[[#Totals],[Winning Candidate]]-SamplingData[[#Totals],[Candidate 6]]), 0)</f>
        <v>2.431788337143135E-5</v>
      </c>
      <c r="P1041" s="100">
        <f>MAX(SamplingData[[#This Row],[Error Bound (up) - Max. possible relative overstatement - Losing Candidate]:[Error Bound (up) - Max. possible relative overstatement - Candidate 6]])</f>
        <v>6.1244487996080352E-5</v>
      </c>
      <c r="Q1041" s="100">
        <f>IF(SamplingData[[#This Row],[Max Error Bound (up)]] = 0,0,SamplingData[[#This Row],[Max Error Bound (up)]]/SamplingData[[#Totals],[Max Error Bound (up)]])</f>
        <v>9.6929482784458315E-6</v>
      </c>
      <c r="R1041" s="101">
        <f>SUM($Q$5:Q1041)</f>
        <v>0.26697422707533663</v>
      </c>
      <c r="S1041" s="100" t="str">
        <f t="array" ref="S1041">IF(SamplingData[[#This Row],[up/U Selection Probability]] = 0, "Zero", TEXT(SamplingData[[#This Row],[Lower Range]], REPT("0",LEN('General Info'!$B$40))) &amp; " - " &amp; TEXT(SamplingData[[#This Row],[Upper Range]], REPT("0",LEN('General Info'!$B$40))))</f>
        <v>26696 - 26696</v>
      </c>
      <c r="T1041" s="100">
        <f>SamplingData[[#This Row],[Upper Range]]-SamplingData[[#This Row],[Span]]</f>
        <v>26696.453422398768</v>
      </c>
      <c r="U1041" s="100">
        <f>IF(ISNUMBER('General Info'!$B$40), ((SamplingData[[#This Row],[up/U Selection Probability]]) * 'General Info'!$B$40) - 1, 0)</f>
        <v>-3.0714865103695255E-2</v>
      </c>
      <c r="V1041" s="100">
        <f>IF(ISNUMBER('General Info'!$B$40), (SamplingData[[#This Row],[Running (cumulative) sum]] * ('General Info'!$B$40 -'General Info'!$B$41 + 1)) + 'General Info'!$B$41 - 1, 0)</f>
        <v>26696.422707533664</v>
      </c>
      <c r="W1041" s="100" t="str">
        <f>IF(ISERROR(MATCH(SamplingData[[#This Row],[Batch by Type (p)]],SelectedPrecincts[Batch Name], 0)), "", INDEX(SelectedPrecincts[Draw], MATCH(SamplingData[[#This Row],[Batch by Type (p)]],SelectedPrecincts[Batch Name], 0)))</f>
        <v/>
      </c>
      <c r="X1041" s="102">
        <f>IF(COUNTIF(SelectedPrecincts[Batch Name],SamplingData[[#This Row],[Batch by Type (p)]]) &lt;&gt; 0, COUNTIF(SelectedPrecincts[Batch Name],SamplingData[[#This Row],[Batch by Type (p)]]), 0)</f>
        <v>0</v>
      </c>
    </row>
    <row r="1042" spans="1:24" ht="15" customHeight="1">
      <c r="A1042" s="18" t="s">
        <v>1218</v>
      </c>
      <c r="B1042" s="18">
        <v>0</v>
      </c>
      <c r="C1042" s="18">
        <v>0</v>
      </c>
      <c r="D1042" s="18">
        <v>0</v>
      </c>
      <c r="E1042" s="18">
        <v>0</v>
      </c>
      <c r="F1042" s="18">
        <v>0</v>
      </c>
      <c r="G1042" s="18">
        <v>0</v>
      </c>
      <c r="H1042" s="18">
        <v>0</v>
      </c>
      <c r="I1042" s="18">
        <v>0</v>
      </c>
      <c r="J1042" s="99">
        <f>SUM(SamplingData[[#This Row],[Losing Candidate]:[Under Votes]])</f>
        <v>0</v>
      </c>
      <c r="K1042" s="100">
        <f>IF(AND(SamplingData[[#This Row],[Total]]&lt;&gt; 0, NOT(ISBLANK(SamplingData[[#This Row],[Losing Candidate]]))),(SamplingData[[#This Row],[Total]]+SamplingData[[#This Row],[Winning Candidate]]-SamplingData[[#This Row],[Losing Candidate]])/(SamplingData[[#Totals],[Winning Candidate]]-SamplingData[[#Totals],[Losing Candidate]]), 0)</f>
        <v>0</v>
      </c>
      <c r="L1042" s="100">
        <f>IF(AND(SamplingData[[#This Row],[Total]]&lt;&gt; 0, NOT(ISBLANK(SamplingData[[#This Row],[Candidate 3]]))),(SamplingData[[#This Row],[Total]]+SamplingData[[#This Row],[Winning Candidate]]-SamplingData[[#This Row],[Candidate 3]])/(SamplingData[[#Totals],[Winning Candidate]]-SamplingData[[#Totals],[Candidate 3]]), 0)</f>
        <v>0</v>
      </c>
      <c r="M1042" s="100">
        <f>IF(AND(SamplingData[[#This Row],[Total]]&lt;&gt; 0, NOT(ISBLANK(SamplingData[[#This Row],[Candidate 4]]))),(SamplingData[[#This Row],[Total]]+SamplingData[[#This Row],[Winning Candidate]]-SamplingData[[#This Row],[Candidate 4]])/(SamplingData[[#Totals],[Winning Candidate]]-SamplingData[[#Totals],[Candidate 4]]), 0)</f>
        <v>0</v>
      </c>
      <c r="N1042" s="100">
        <f>IF(AND(SamplingData[[#This Row],[Total]]&lt;&gt; 0, NOT(ISBLANK(SamplingData[[#This Row],[Candidate 5]]))),(SamplingData[[#This Row],[Total]]+SamplingData[[#This Row],[Winning Candidate]]-SamplingData[[#This Row],[Candidate 5]])/(SamplingData[[#Totals],[Winning Candidate]]-SamplingData[[#Totals],[Candidate 5]]), 0)</f>
        <v>0</v>
      </c>
      <c r="O1042" s="100">
        <f>IF(AND(SamplingData[[#This Row],[Total]]&lt;&gt; 0, NOT(ISBLANK(SamplingData[[#This Row],[Candidate 6]]))),(SamplingData[[#This Row],[Total]]+SamplingData[[#This Row],[Winning Candidate]]-SamplingData[[#This Row],[Candidate 6]])/(SamplingData[[#Totals],[Winning Candidate]]-SamplingData[[#Totals],[Candidate 6]]), 0)</f>
        <v>0</v>
      </c>
      <c r="P1042" s="100">
        <f>MAX(SamplingData[[#This Row],[Error Bound (up) - Max. possible relative overstatement - Losing Candidate]:[Error Bound (up) - Max. possible relative overstatement - Candidate 6]])</f>
        <v>0</v>
      </c>
      <c r="Q1042" s="100">
        <f>IF(SamplingData[[#This Row],[Max Error Bound (up)]] = 0,0,SamplingData[[#This Row],[Max Error Bound (up)]]/SamplingData[[#Totals],[Max Error Bound (up)]])</f>
        <v>0</v>
      </c>
      <c r="R1042" s="101">
        <f>SUM($Q$5:Q1042)</f>
        <v>0.26697422707533663</v>
      </c>
      <c r="S1042" s="100" t="str">
        <f t="array" ref="S1042">IF(SamplingData[[#This Row],[up/U Selection Probability]] = 0, "Zero", TEXT(SamplingData[[#This Row],[Lower Range]], REPT("0",LEN('General Info'!$B$40))) &amp; " - " &amp; TEXT(SamplingData[[#This Row],[Upper Range]], REPT("0",LEN('General Info'!$B$40))))</f>
        <v>Zero</v>
      </c>
      <c r="T1042" s="100">
        <f>SamplingData[[#This Row],[Upper Range]]-SamplingData[[#This Row],[Span]]</f>
        <v>26697.422707533664</v>
      </c>
      <c r="U1042" s="100">
        <f>IF(ISNUMBER('General Info'!$B$40), ((SamplingData[[#This Row],[up/U Selection Probability]]) * 'General Info'!$B$40) - 1, 0)</f>
        <v>-1</v>
      </c>
      <c r="V1042" s="100">
        <f>IF(ISNUMBER('General Info'!$B$40), (SamplingData[[#This Row],[Running (cumulative) sum]] * ('General Info'!$B$40 -'General Info'!$B$41 + 1)) + 'General Info'!$B$41 - 1, 0)</f>
        <v>26696.422707533664</v>
      </c>
      <c r="W1042" s="100" t="str">
        <f>IF(ISERROR(MATCH(SamplingData[[#This Row],[Batch by Type (p)]],SelectedPrecincts[Batch Name], 0)), "", INDEX(SelectedPrecincts[Draw], MATCH(SamplingData[[#This Row],[Batch by Type (p)]],SelectedPrecincts[Batch Name], 0)))</f>
        <v/>
      </c>
      <c r="X1042" s="102">
        <f>IF(COUNTIF(SelectedPrecincts[Batch Name],SamplingData[[#This Row],[Batch by Type (p)]]) &lt;&gt; 0, COUNTIF(SelectedPrecincts[Batch Name],SamplingData[[#This Row],[Batch by Type (p)]]), 0)</f>
        <v>0</v>
      </c>
    </row>
    <row r="1043" spans="1:24" ht="15" customHeight="1">
      <c r="A1043" s="18" t="s">
        <v>1219</v>
      </c>
      <c r="B1043" s="18">
        <v>0</v>
      </c>
      <c r="C1043" s="18">
        <v>0</v>
      </c>
      <c r="D1043" s="16">
        <v>0</v>
      </c>
      <c r="E1043" s="16">
        <v>0</v>
      </c>
      <c r="F1043" s="37">
        <v>0</v>
      </c>
      <c r="G1043" s="37">
        <v>0</v>
      </c>
      <c r="H1043" s="17">
        <v>0</v>
      </c>
      <c r="I1043" s="17">
        <v>0</v>
      </c>
      <c r="J1043" s="99">
        <f>SUM(SamplingData[[#This Row],[Losing Candidate]:[Under Votes]])</f>
        <v>0</v>
      </c>
      <c r="K1043" s="100">
        <f>IF(AND(SamplingData[[#This Row],[Total]]&lt;&gt; 0, NOT(ISBLANK(SamplingData[[#This Row],[Losing Candidate]]))),(SamplingData[[#This Row],[Total]]+SamplingData[[#This Row],[Winning Candidate]]-SamplingData[[#This Row],[Losing Candidate]])/(SamplingData[[#Totals],[Winning Candidate]]-SamplingData[[#Totals],[Losing Candidate]]), 0)</f>
        <v>0</v>
      </c>
      <c r="L1043" s="100">
        <f>IF(AND(SamplingData[[#This Row],[Total]]&lt;&gt; 0, NOT(ISBLANK(SamplingData[[#This Row],[Candidate 3]]))),(SamplingData[[#This Row],[Total]]+SamplingData[[#This Row],[Winning Candidate]]-SamplingData[[#This Row],[Candidate 3]])/(SamplingData[[#Totals],[Winning Candidate]]-SamplingData[[#Totals],[Candidate 3]]), 0)</f>
        <v>0</v>
      </c>
      <c r="M1043" s="100">
        <f>IF(AND(SamplingData[[#This Row],[Total]]&lt;&gt; 0, NOT(ISBLANK(SamplingData[[#This Row],[Candidate 4]]))),(SamplingData[[#This Row],[Total]]+SamplingData[[#This Row],[Winning Candidate]]-SamplingData[[#This Row],[Candidate 4]])/(SamplingData[[#Totals],[Winning Candidate]]-SamplingData[[#Totals],[Candidate 4]]), 0)</f>
        <v>0</v>
      </c>
      <c r="N1043" s="100">
        <f>IF(AND(SamplingData[[#This Row],[Total]]&lt;&gt; 0, NOT(ISBLANK(SamplingData[[#This Row],[Candidate 5]]))),(SamplingData[[#This Row],[Total]]+SamplingData[[#This Row],[Winning Candidate]]-SamplingData[[#This Row],[Candidate 5]])/(SamplingData[[#Totals],[Winning Candidate]]-SamplingData[[#Totals],[Candidate 5]]), 0)</f>
        <v>0</v>
      </c>
      <c r="O1043" s="100">
        <f>IF(AND(SamplingData[[#This Row],[Total]]&lt;&gt; 0, NOT(ISBLANK(SamplingData[[#This Row],[Candidate 6]]))),(SamplingData[[#This Row],[Total]]+SamplingData[[#This Row],[Winning Candidate]]-SamplingData[[#This Row],[Candidate 6]])/(SamplingData[[#Totals],[Winning Candidate]]-SamplingData[[#Totals],[Candidate 6]]), 0)</f>
        <v>0</v>
      </c>
      <c r="P1043" s="100">
        <f>MAX(SamplingData[[#This Row],[Error Bound (up) - Max. possible relative overstatement - Losing Candidate]:[Error Bound (up) - Max. possible relative overstatement - Candidate 6]])</f>
        <v>0</v>
      </c>
      <c r="Q1043" s="100">
        <f>IF(SamplingData[[#This Row],[Max Error Bound (up)]] = 0,0,SamplingData[[#This Row],[Max Error Bound (up)]]/SamplingData[[#Totals],[Max Error Bound (up)]])</f>
        <v>0</v>
      </c>
      <c r="R1043" s="101">
        <f>SUM($Q$5:Q1043)</f>
        <v>0.26697422707533663</v>
      </c>
      <c r="S1043" s="100" t="str">
        <f t="array" ref="S1043">IF(SamplingData[[#This Row],[up/U Selection Probability]] = 0, "Zero", TEXT(SamplingData[[#This Row],[Lower Range]], REPT("0",LEN('General Info'!$B$40))) &amp; " - " &amp; TEXT(SamplingData[[#This Row],[Upper Range]], REPT("0",LEN('General Info'!$B$40))))</f>
        <v>Zero</v>
      </c>
      <c r="T1043" s="100">
        <f>SamplingData[[#This Row],[Upper Range]]-SamplingData[[#This Row],[Span]]</f>
        <v>26697.422707533664</v>
      </c>
      <c r="U1043" s="100">
        <f>IF(ISNUMBER('General Info'!$B$40), ((SamplingData[[#This Row],[up/U Selection Probability]]) * 'General Info'!$B$40) - 1, 0)</f>
        <v>-1</v>
      </c>
      <c r="V1043" s="100">
        <f>IF(ISNUMBER('General Info'!$B$40), (SamplingData[[#This Row],[Running (cumulative) sum]] * ('General Info'!$B$40 -'General Info'!$B$41 + 1)) + 'General Info'!$B$41 - 1, 0)</f>
        <v>26696.422707533664</v>
      </c>
      <c r="W1043" s="100" t="str">
        <f>IF(ISERROR(MATCH(SamplingData[[#This Row],[Batch by Type (p)]],SelectedPrecincts[Batch Name], 0)), "", INDEX(SelectedPrecincts[Draw], MATCH(SamplingData[[#This Row],[Batch by Type (p)]],SelectedPrecincts[Batch Name], 0)))</f>
        <v/>
      </c>
      <c r="X1043" s="102">
        <f>IF(COUNTIF(SelectedPrecincts[Batch Name],SamplingData[[#This Row],[Batch by Type (p)]]) &lt;&gt; 0, COUNTIF(SelectedPrecincts[Batch Name],SamplingData[[#This Row],[Batch by Type (p)]]), 0)</f>
        <v>0</v>
      </c>
    </row>
    <row r="1044" spans="1:24" ht="15" customHeight="1">
      <c r="A1044" s="18" t="s">
        <v>1220</v>
      </c>
      <c r="B1044" s="18">
        <v>0</v>
      </c>
      <c r="C1044" s="18">
        <v>0</v>
      </c>
      <c r="D1044" s="18">
        <v>0</v>
      </c>
      <c r="E1044" s="18">
        <v>0</v>
      </c>
      <c r="F1044" s="18">
        <v>0</v>
      </c>
      <c r="G1044" s="18">
        <v>0</v>
      </c>
      <c r="H1044" s="18">
        <v>0</v>
      </c>
      <c r="I1044" s="18">
        <v>1</v>
      </c>
      <c r="J1044" s="99">
        <f>SUM(SamplingData[[#This Row],[Losing Candidate]:[Under Votes]])</f>
        <v>1</v>
      </c>
      <c r="K104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44" s="100">
        <f>IF(AND(SamplingData[[#This Row],[Total]]&lt;&gt; 0, NOT(ISBLANK(SamplingData[[#This Row],[Candidate 3]]))),(SamplingData[[#This Row],[Total]]+SamplingData[[#This Row],[Winning Candidate]]-SamplingData[[#This Row],[Candidate 3]])/(SamplingData[[#Totals],[Winning Candidate]]-SamplingData[[#Totals],[Candidate 3]]), 0)</f>
        <v>3.2261186566441917E-5</v>
      </c>
      <c r="M1044" s="100">
        <f>IF(AND(SamplingData[[#This Row],[Total]]&lt;&gt; 0, NOT(ISBLANK(SamplingData[[#This Row],[Candidate 4]]))),(SamplingData[[#This Row],[Total]]+SamplingData[[#This Row],[Winning Candidate]]-SamplingData[[#This Row],[Candidate 4]])/(SamplingData[[#Totals],[Winning Candidate]]-SamplingData[[#Totals],[Candidate 4]]), 0)</f>
        <v>2.923207343096846E-5</v>
      </c>
      <c r="N1044" s="100">
        <f>IF(AND(SamplingData[[#This Row],[Total]]&lt;&gt; 0, NOT(ISBLANK(SamplingData[[#This Row],[Candidate 5]]))),(SamplingData[[#This Row],[Total]]+SamplingData[[#This Row],[Winning Candidate]]-SamplingData[[#This Row],[Candidate 5]])/(SamplingData[[#Totals],[Winning Candidate]]-SamplingData[[#Totals],[Candidate 5]]), 0)</f>
        <v>2.4324981756263683E-5</v>
      </c>
      <c r="O1044" s="100">
        <f>IF(AND(SamplingData[[#This Row],[Total]]&lt;&gt; 0, NOT(ISBLANK(SamplingData[[#This Row],[Candidate 6]]))),(SamplingData[[#This Row],[Total]]+SamplingData[[#This Row],[Winning Candidate]]-SamplingData[[#This Row],[Candidate 6]])/(SamplingData[[#Totals],[Winning Candidate]]-SamplingData[[#Totals],[Candidate 6]]), 0)</f>
        <v>2.431788337143135E-5</v>
      </c>
      <c r="P1044" s="100">
        <f>MAX(SamplingData[[#This Row],[Error Bound (up) - Max. possible relative overstatement - Losing Candidate]:[Error Bound (up) - Max. possible relative overstatement - Candidate 6]])</f>
        <v>6.1244487996080352E-5</v>
      </c>
      <c r="Q1044" s="100">
        <f>IF(SamplingData[[#This Row],[Max Error Bound (up)]] = 0,0,SamplingData[[#This Row],[Max Error Bound (up)]]/SamplingData[[#Totals],[Max Error Bound (up)]])</f>
        <v>9.6929482784458315E-6</v>
      </c>
      <c r="R1044" s="101">
        <f>SUM($Q$5:Q1044)</f>
        <v>0.2669839200236151</v>
      </c>
      <c r="S1044" s="100" t="str">
        <f t="array" ref="S1044">IF(SamplingData[[#This Row],[up/U Selection Probability]] = 0, "Zero", TEXT(SamplingData[[#This Row],[Lower Range]], REPT("0",LEN('General Info'!$B$40))) &amp; " - " &amp; TEXT(SamplingData[[#This Row],[Upper Range]], REPT("0",LEN('General Info'!$B$40))))</f>
        <v>26697 - 26697</v>
      </c>
      <c r="T1044" s="100">
        <f>SamplingData[[#This Row],[Upper Range]]-SamplingData[[#This Row],[Span]]</f>
        <v>26697.422717226615</v>
      </c>
      <c r="U1044" s="100">
        <f>IF(ISNUMBER('General Info'!$B$40), ((SamplingData[[#This Row],[up/U Selection Probability]]) * 'General Info'!$B$40) - 1, 0)</f>
        <v>-3.0714865103695255E-2</v>
      </c>
      <c r="V1044" s="100">
        <f>IF(ISNUMBER('General Info'!$B$40), (SamplingData[[#This Row],[Running (cumulative) sum]] * ('General Info'!$B$40 -'General Info'!$B$41 + 1)) + 'General Info'!$B$41 - 1, 0)</f>
        <v>26697.39200236151</v>
      </c>
      <c r="W1044" s="100" t="str">
        <f>IF(ISERROR(MATCH(SamplingData[[#This Row],[Batch by Type (p)]],SelectedPrecincts[Batch Name], 0)), "", INDEX(SelectedPrecincts[Draw], MATCH(SamplingData[[#This Row],[Batch by Type (p)]],SelectedPrecincts[Batch Name], 0)))</f>
        <v/>
      </c>
      <c r="X1044" s="102">
        <f>IF(COUNTIF(SelectedPrecincts[Batch Name],SamplingData[[#This Row],[Batch by Type (p)]]) &lt;&gt; 0, COUNTIF(SelectedPrecincts[Batch Name],SamplingData[[#This Row],[Batch by Type (p)]]), 0)</f>
        <v>0</v>
      </c>
    </row>
    <row r="1045" spans="1:24" ht="15" customHeight="1">
      <c r="A1045" s="18" t="s">
        <v>1221</v>
      </c>
      <c r="B1045" s="18">
        <v>0</v>
      </c>
      <c r="C1045" s="18">
        <v>1</v>
      </c>
      <c r="D1045" s="16">
        <v>0</v>
      </c>
      <c r="E1045" s="16">
        <v>0</v>
      </c>
      <c r="F1045" s="37">
        <v>0</v>
      </c>
      <c r="G1045" s="37">
        <v>1</v>
      </c>
      <c r="H1045" s="17">
        <v>0</v>
      </c>
      <c r="I1045" s="17">
        <v>0</v>
      </c>
      <c r="J1045" s="99">
        <f>SUM(SamplingData[[#This Row],[Losing Candidate]:[Under Votes]])</f>
        <v>2</v>
      </c>
      <c r="K1045"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045" s="100">
        <f>IF(AND(SamplingData[[#This Row],[Total]]&lt;&gt; 0, NOT(ISBLANK(SamplingData[[#This Row],[Candidate 3]]))),(SamplingData[[#This Row],[Total]]+SamplingData[[#This Row],[Winning Candidate]]-SamplingData[[#This Row],[Candidate 3]])/(SamplingData[[#Totals],[Winning Candidate]]-SamplingData[[#Totals],[Candidate 3]]), 0)</f>
        <v>9.6783559699325743E-5</v>
      </c>
      <c r="M1045" s="100">
        <f>IF(AND(SamplingData[[#This Row],[Total]]&lt;&gt; 0, NOT(ISBLANK(SamplingData[[#This Row],[Candidate 4]]))),(SamplingData[[#This Row],[Total]]+SamplingData[[#This Row],[Winning Candidate]]-SamplingData[[#This Row],[Candidate 4]])/(SamplingData[[#Totals],[Winning Candidate]]-SamplingData[[#Totals],[Candidate 4]]), 0)</f>
        <v>8.7696220292905373E-5</v>
      </c>
      <c r="N1045" s="100">
        <f>IF(AND(SamplingData[[#This Row],[Total]]&lt;&gt; 0, NOT(ISBLANK(SamplingData[[#This Row],[Candidate 5]]))),(SamplingData[[#This Row],[Total]]+SamplingData[[#This Row],[Winning Candidate]]-SamplingData[[#This Row],[Candidate 5]])/(SamplingData[[#Totals],[Winning Candidate]]-SamplingData[[#Totals],[Candidate 5]]), 0)</f>
        <v>7.2974945268791054E-5</v>
      </c>
      <c r="O1045" s="100">
        <f>IF(AND(SamplingData[[#This Row],[Total]]&lt;&gt; 0, NOT(ISBLANK(SamplingData[[#This Row],[Candidate 6]]))),(SamplingData[[#This Row],[Total]]+SamplingData[[#This Row],[Winning Candidate]]-SamplingData[[#This Row],[Candidate 6]])/(SamplingData[[#Totals],[Winning Candidate]]-SamplingData[[#Totals],[Candidate 6]]), 0)</f>
        <v>4.8635766742862701E-5</v>
      </c>
      <c r="P1045" s="100">
        <f>MAX(SamplingData[[#This Row],[Error Bound (up) - Max. possible relative overstatement - Losing Candidate]:[Error Bound (up) - Max. possible relative overstatement - Candidate 6]])</f>
        <v>1.8373346398824106E-4</v>
      </c>
      <c r="Q1045" s="100">
        <f>IF(SamplingData[[#This Row],[Max Error Bound (up)]] = 0,0,SamplingData[[#This Row],[Max Error Bound (up)]]/SamplingData[[#Totals],[Max Error Bound (up)]])</f>
        <v>2.9078844835337493E-5</v>
      </c>
      <c r="R1045" s="101">
        <f>SUM($Q$5:Q1045)</f>
        <v>0.26701299886845042</v>
      </c>
      <c r="S1045" s="100" t="str">
        <f t="array" ref="S1045">IF(SamplingData[[#This Row],[up/U Selection Probability]] = 0, "Zero", TEXT(SamplingData[[#This Row],[Lower Range]], REPT("0",LEN('General Info'!$B$40))) &amp; " - " &amp; TEXT(SamplingData[[#This Row],[Upper Range]], REPT("0",LEN('General Info'!$B$40))))</f>
        <v>26698 - 26700</v>
      </c>
      <c r="T1045" s="100">
        <f>SamplingData[[#This Row],[Upper Range]]-SamplingData[[#This Row],[Span]]</f>
        <v>26698.392031440351</v>
      </c>
      <c r="U1045" s="100">
        <f>IF(ISNUMBER('General Info'!$B$40), ((SamplingData[[#This Row],[up/U Selection Probability]]) * 'General Info'!$B$40) - 1, 0)</f>
        <v>1.907855404688914</v>
      </c>
      <c r="V1045" s="100">
        <f>IF(ISNUMBER('General Info'!$B$40), (SamplingData[[#This Row],[Running (cumulative) sum]] * ('General Info'!$B$40 -'General Info'!$B$41 + 1)) + 'General Info'!$B$41 - 1, 0)</f>
        <v>26700.299886845041</v>
      </c>
      <c r="W1045" s="100" t="str">
        <f>IF(ISERROR(MATCH(SamplingData[[#This Row],[Batch by Type (p)]],SelectedPrecincts[Batch Name], 0)), "", INDEX(SelectedPrecincts[Draw], MATCH(SamplingData[[#This Row],[Batch by Type (p)]],SelectedPrecincts[Batch Name], 0)))</f>
        <v/>
      </c>
      <c r="X1045" s="102">
        <f>IF(COUNTIF(SelectedPrecincts[Batch Name],SamplingData[[#This Row],[Batch by Type (p)]]) &lt;&gt; 0, COUNTIF(SelectedPrecincts[Batch Name],SamplingData[[#This Row],[Batch by Type (p)]]), 0)</f>
        <v>0</v>
      </c>
    </row>
    <row r="1046" spans="1:24" ht="15" customHeight="1">
      <c r="A1046" s="18" t="s">
        <v>1222</v>
      </c>
      <c r="B1046" s="18">
        <v>0</v>
      </c>
      <c r="C1046" s="18">
        <v>0</v>
      </c>
      <c r="D1046" s="18">
        <v>0</v>
      </c>
      <c r="E1046" s="18">
        <v>0</v>
      </c>
      <c r="F1046" s="18">
        <v>0</v>
      </c>
      <c r="G1046" s="18">
        <v>1</v>
      </c>
      <c r="H1046" s="18">
        <v>0</v>
      </c>
      <c r="I1046" s="18">
        <v>0</v>
      </c>
      <c r="J1046" s="99">
        <f>SUM(SamplingData[[#This Row],[Losing Candidate]:[Under Votes]])</f>
        <v>1</v>
      </c>
      <c r="K104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46" s="100">
        <f>IF(AND(SamplingData[[#This Row],[Total]]&lt;&gt; 0, NOT(ISBLANK(SamplingData[[#This Row],[Candidate 3]]))),(SamplingData[[#This Row],[Total]]+SamplingData[[#This Row],[Winning Candidate]]-SamplingData[[#This Row],[Candidate 3]])/(SamplingData[[#Totals],[Winning Candidate]]-SamplingData[[#Totals],[Candidate 3]]), 0)</f>
        <v>3.2261186566441917E-5</v>
      </c>
      <c r="M1046" s="100">
        <f>IF(AND(SamplingData[[#This Row],[Total]]&lt;&gt; 0, NOT(ISBLANK(SamplingData[[#This Row],[Candidate 4]]))),(SamplingData[[#This Row],[Total]]+SamplingData[[#This Row],[Winning Candidate]]-SamplingData[[#This Row],[Candidate 4]])/(SamplingData[[#Totals],[Winning Candidate]]-SamplingData[[#Totals],[Candidate 4]]), 0)</f>
        <v>2.923207343096846E-5</v>
      </c>
      <c r="N1046" s="100">
        <f>IF(AND(SamplingData[[#This Row],[Total]]&lt;&gt; 0, NOT(ISBLANK(SamplingData[[#This Row],[Candidate 5]]))),(SamplingData[[#This Row],[Total]]+SamplingData[[#This Row],[Winning Candidate]]-SamplingData[[#This Row],[Candidate 5]])/(SamplingData[[#Totals],[Winning Candidate]]-SamplingData[[#Totals],[Candidate 5]]), 0)</f>
        <v>2.4324981756263683E-5</v>
      </c>
      <c r="O1046" s="100">
        <f>IF(AND(SamplingData[[#This Row],[Total]]&lt;&gt; 0, NOT(ISBLANK(SamplingData[[#This Row],[Candidate 6]]))),(SamplingData[[#This Row],[Total]]+SamplingData[[#This Row],[Winning Candidate]]-SamplingData[[#This Row],[Candidate 6]])/(SamplingData[[#Totals],[Winning Candidate]]-SamplingData[[#Totals],[Candidate 6]]), 0)</f>
        <v>0</v>
      </c>
      <c r="P1046" s="100">
        <f>MAX(SamplingData[[#This Row],[Error Bound (up) - Max. possible relative overstatement - Losing Candidate]:[Error Bound (up) - Max. possible relative overstatement - Candidate 6]])</f>
        <v>6.1244487996080352E-5</v>
      </c>
      <c r="Q1046" s="100">
        <f>IF(SamplingData[[#This Row],[Max Error Bound (up)]] = 0,0,SamplingData[[#This Row],[Max Error Bound (up)]]/SamplingData[[#Totals],[Max Error Bound (up)]])</f>
        <v>9.6929482784458315E-6</v>
      </c>
      <c r="R1046" s="101">
        <f>SUM($Q$5:Q1046)</f>
        <v>0.26702269181672889</v>
      </c>
      <c r="S1046" s="100" t="str">
        <f t="array" ref="S1046">IF(SamplingData[[#This Row],[up/U Selection Probability]] = 0, "Zero", TEXT(SamplingData[[#This Row],[Lower Range]], REPT("0",LEN('General Info'!$B$40))) &amp; " - " &amp; TEXT(SamplingData[[#This Row],[Upper Range]], REPT("0",LEN('General Info'!$B$40))))</f>
        <v>26701 - 26701</v>
      </c>
      <c r="T1046" s="100">
        <f>SamplingData[[#This Row],[Upper Range]]-SamplingData[[#This Row],[Span]]</f>
        <v>26701.299896537992</v>
      </c>
      <c r="U1046" s="100">
        <f>IF(ISNUMBER('General Info'!$B$40), ((SamplingData[[#This Row],[up/U Selection Probability]]) * 'General Info'!$B$40) - 1, 0)</f>
        <v>-3.0714865103695255E-2</v>
      </c>
      <c r="V1046" s="100">
        <f>IF(ISNUMBER('General Info'!$B$40), (SamplingData[[#This Row],[Running (cumulative) sum]] * ('General Info'!$B$40 -'General Info'!$B$41 + 1)) + 'General Info'!$B$41 - 1, 0)</f>
        <v>26701.269181672887</v>
      </c>
      <c r="W1046" s="100" t="str">
        <f>IF(ISERROR(MATCH(SamplingData[[#This Row],[Batch by Type (p)]],SelectedPrecincts[Batch Name], 0)), "", INDEX(SelectedPrecincts[Draw], MATCH(SamplingData[[#This Row],[Batch by Type (p)]],SelectedPrecincts[Batch Name], 0)))</f>
        <v/>
      </c>
      <c r="X1046" s="102">
        <f>IF(COUNTIF(SelectedPrecincts[Batch Name],SamplingData[[#This Row],[Batch by Type (p)]]) &lt;&gt; 0, COUNTIF(SelectedPrecincts[Batch Name],SamplingData[[#This Row],[Batch by Type (p)]]), 0)</f>
        <v>0</v>
      </c>
    </row>
    <row r="1047" spans="1:24" ht="15" customHeight="1">
      <c r="A1047" s="18" t="s">
        <v>1223</v>
      </c>
      <c r="B1047" s="18">
        <v>0</v>
      </c>
      <c r="C1047" s="18">
        <v>0</v>
      </c>
      <c r="D1047" s="16">
        <v>0</v>
      </c>
      <c r="E1047" s="16">
        <v>0</v>
      </c>
      <c r="F1047" s="37">
        <v>0</v>
      </c>
      <c r="G1047" s="37">
        <v>0</v>
      </c>
      <c r="H1047" s="17">
        <v>0</v>
      </c>
      <c r="I1047" s="17">
        <v>0</v>
      </c>
      <c r="J1047" s="99">
        <f>SUM(SamplingData[[#This Row],[Losing Candidate]:[Under Votes]])</f>
        <v>0</v>
      </c>
      <c r="K1047" s="100">
        <f>IF(AND(SamplingData[[#This Row],[Total]]&lt;&gt; 0, NOT(ISBLANK(SamplingData[[#This Row],[Losing Candidate]]))),(SamplingData[[#This Row],[Total]]+SamplingData[[#This Row],[Winning Candidate]]-SamplingData[[#This Row],[Losing Candidate]])/(SamplingData[[#Totals],[Winning Candidate]]-SamplingData[[#Totals],[Losing Candidate]]), 0)</f>
        <v>0</v>
      </c>
      <c r="L1047" s="100">
        <f>IF(AND(SamplingData[[#This Row],[Total]]&lt;&gt; 0, NOT(ISBLANK(SamplingData[[#This Row],[Candidate 3]]))),(SamplingData[[#This Row],[Total]]+SamplingData[[#This Row],[Winning Candidate]]-SamplingData[[#This Row],[Candidate 3]])/(SamplingData[[#Totals],[Winning Candidate]]-SamplingData[[#Totals],[Candidate 3]]), 0)</f>
        <v>0</v>
      </c>
      <c r="M1047" s="100">
        <f>IF(AND(SamplingData[[#This Row],[Total]]&lt;&gt; 0, NOT(ISBLANK(SamplingData[[#This Row],[Candidate 4]]))),(SamplingData[[#This Row],[Total]]+SamplingData[[#This Row],[Winning Candidate]]-SamplingData[[#This Row],[Candidate 4]])/(SamplingData[[#Totals],[Winning Candidate]]-SamplingData[[#Totals],[Candidate 4]]), 0)</f>
        <v>0</v>
      </c>
      <c r="N1047" s="100">
        <f>IF(AND(SamplingData[[#This Row],[Total]]&lt;&gt; 0, NOT(ISBLANK(SamplingData[[#This Row],[Candidate 5]]))),(SamplingData[[#This Row],[Total]]+SamplingData[[#This Row],[Winning Candidate]]-SamplingData[[#This Row],[Candidate 5]])/(SamplingData[[#Totals],[Winning Candidate]]-SamplingData[[#Totals],[Candidate 5]]), 0)</f>
        <v>0</v>
      </c>
      <c r="O1047" s="100">
        <f>IF(AND(SamplingData[[#This Row],[Total]]&lt;&gt; 0, NOT(ISBLANK(SamplingData[[#This Row],[Candidate 6]]))),(SamplingData[[#This Row],[Total]]+SamplingData[[#This Row],[Winning Candidate]]-SamplingData[[#This Row],[Candidate 6]])/(SamplingData[[#Totals],[Winning Candidate]]-SamplingData[[#Totals],[Candidate 6]]), 0)</f>
        <v>0</v>
      </c>
      <c r="P1047" s="100">
        <f>MAX(SamplingData[[#This Row],[Error Bound (up) - Max. possible relative overstatement - Losing Candidate]:[Error Bound (up) - Max. possible relative overstatement - Candidate 6]])</f>
        <v>0</v>
      </c>
      <c r="Q1047" s="100">
        <f>IF(SamplingData[[#This Row],[Max Error Bound (up)]] = 0,0,SamplingData[[#This Row],[Max Error Bound (up)]]/SamplingData[[#Totals],[Max Error Bound (up)]])</f>
        <v>0</v>
      </c>
      <c r="R1047" s="101">
        <f>SUM($Q$5:Q1047)</f>
        <v>0.26702269181672889</v>
      </c>
      <c r="S1047" s="100" t="str">
        <f t="array" ref="S1047">IF(SamplingData[[#This Row],[up/U Selection Probability]] = 0, "Zero", TEXT(SamplingData[[#This Row],[Lower Range]], REPT("0",LEN('General Info'!$B$40))) &amp; " - " &amp; TEXT(SamplingData[[#This Row],[Upper Range]], REPT("0",LEN('General Info'!$B$40))))</f>
        <v>Zero</v>
      </c>
      <c r="T1047" s="100">
        <f>SamplingData[[#This Row],[Upper Range]]-SamplingData[[#This Row],[Span]]</f>
        <v>26702.269181672887</v>
      </c>
      <c r="U1047" s="100">
        <f>IF(ISNUMBER('General Info'!$B$40), ((SamplingData[[#This Row],[up/U Selection Probability]]) * 'General Info'!$B$40) - 1, 0)</f>
        <v>-1</v>
      </c>
      <c r="V1047" s="100">
        <f>IF(ISNUMBER('General Info'!$B$40), (SamplingData[[#This Row],[Running (cumulative) sum]] * ('General Info'!$B$40 -'General Info'!$B$41 + 1)) + 'General Info'!$B$41 - 1, 0)</f>
        <v>26701.269181672887</v>
      </c>
      <c r="W1047" s="100" t="str">
        <f>IF(ISERROR(MATCH(SamplingData[[#This Row],[Batch by Type (p)]],SelectedPrecincts[Batch Name], 0)), "", INDEX(SelectedPrecincts[Draw], MATCH(SamplingData[[#This Row],[Batch by Type (p)]],SelectedPrecincts[Batch Name], 0)))</f>
        <v/>
      </c>
      <c r="X1047" s="102">
        <f>IF(COUNTIF(SelectedPrecincts[Batch Name],SamplingData[[#This Row],[Batch by Type (p)]]) &lt;&gt; 0, COUNTIF(SelectedPrecincts[Batch Name],SamplingData[[#This Row],[Batch by Type (p)]]), 0)</f>
        <v>0</v>
      </c>
    </row>
    <row r="1048" spans="1:24" ht="15" customHeight="1">
      <c r="A1048" s="18" t="s">
        <v>1224</v>
      </c>
      <c r="B1048" s="18">
        <v>0</v>
      </c>
      <c r="C1048" s="18">
        <v>1</v>
      </c>
      <c r="D1048" s="18">
        <v>0</v>
      </c>
      <c r="E1048" s="18">
        <v>0</v>
      </c>
      <c r="F1048" s="18">
        <v>0</v>
      </c>
      <c r="G1048" s="18">
        <v>0</v>
      </c>
      <c r="H1048" s="18">
        <v>0</v>
      </c>
      <c r="I1048" s="18">
        <v>0</v>
      </c>
      <c r="J1048" s="99">
        <f>SUM(SamplingData[[#This Row],[Losing Candidate]:[Under Votes]])</f>
        <v>1</v>
      </c>
      <c r="K104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048" s="100">
        <f>IF(AND(SamplingData[[#This Row],[Total]]&lt;&gt; 0, NOT(ISBLANK(SamplingData[[#This Row],[Candidate 3]]))),(SamplingData[[#This Row],[Total]]+SamplingData[[#This Row],[Winning Candidate]]-SamplingData[[#This Row],[Candidate 3]])/(SamplingData[[#Totals],[Winning Candidate]]-SamplingData[[#Totals],[Candidate 3]]), 0)</f>
        <v>6.4522373132883833E-5</v>
      </c>
      <c r="M1048" s="100">
        <f>IF(AND(SamplingData[[#This Row],[Total]]&lt;&gt; 0, NOT(ISBLANK(SamplingData[[#This Row],[Candidate 4]]))),(SamplingData[[#This Row],[Total]]+SamplingData[[#This Row],[Winning Candidate]]-SamplingData[[#This Row],[Candidate 4]])/(SamplingData[[#Totals],[Winning Candidate]]-SamplingData[[#Totals],[Candidate 4]]), 0)</f>
        <v>5.846414686193692E-5</v>
      </c>
      <c r="N1048" s="100">
        <f>IF(AND(SamplingData[[#This Row],[Total]]&lt;&gt; 0, NOT(ISBLANK(SamplingData[[#This Row],[Candidate 5]]))),(SamplingData[[#This Row],[Total]]+SamplingData[[#This Row],[Winning Candidate]]-SamplingData[[#This Row],[Candidate 5]])/(SamplingData[[#Totals],[Winning Candidate]]-SamplingData[[#Totals],[Candidate 5]]), 0)</f>
        <v>4.8649963512527367E-5</v>
      </c>
      <c r="O1048" s="100">
        <f>IF(AND(SamplingData[[#This Row],[Total]]&lt;&gt; 0, NOT(ISBLANK(SamplingData[[#This Row],[Candidate 6]]))),(SamplingData[[#This Row],[Total]]+SamplingData[[#This Row],[Winning Candidate]]-SamplingData[[#This Row],[Candidate 6]])/(SamplingData[[#Totals],[Winning Candidate]]-SamplingData[[#Totals],[Candidate 6]]), 0)</f>
        <v>4.8635766742862701E-5</v>
      </c>
      <c r="P1048" s="100">
        <f>MAX(SamplingData[[#This Row],[Error Bound (up) - Max. possible relative overstatement - Losing Candidate]:[Error Bound (up) - Max. possible relative overstatement - Candidate 6]])</f>
        <v>1.224889759921607E-4</v>
      </c>
      <c r="Q1048" s="100">
        <f>IF(SamplingData[[#This Row],[Max Error Bound (up)]] = 0,0,SamplingData[[#This Row],[Max Error Bound (up)]]/SamplingData[[#Totals],[Max Error Bound (up)]])</f>
        <v>1.9385896556891663E-5</v>
      </c>
      <c r="R1048" s="101">
        <f>SUM($Q$5:Q1048)</f>
        <v>0.26704207771328575</v>
      </c>
      <c r="S1048" s="100" t="str">
        <f t="array" ref="S1048">IF(SamplingData[[#This Row],[up/U Selection Probability]] = 0, "Zero", TEXT(SamplingData[[#This Row],[Lower Range]], REPT("0",LEN('General Info'!$B$40))) &amp; " - " &amp; TEXT(SamplingData[[#This Row],[Upper Range]], REPT("0",LEN('General Info'!$B$40))))</f>
        <v>26702 - 26703</v>
      </c>
      <c r="T1048" s="100">
        <f>SamplingData[[#This Row],[Upper Range]]-SamplingData[[#This Row],[Span]]</f>
        <v>26702.269201058785</v>
      </c>
      <c r="U1048" s="100">
        <f>IF(ISNUMBER('General Info'!$B$40), ((SamplingData[[#This Row],[up/U Selection Probability]]) * 'General Info'!$B$40) - 1, 0)</f>
        <v>0.93857026979260949</v>
      </c>
      <c r="V1048" s="100">
        <f>IF(ISNUMBER('General Info'!$B$40), (SamplingData[[#This Row],[Running (cumulative) sum]] * ('General Info'!$B$40 -'General Info'!$B$41 + 1)) + 'General Info'!$B$41 - 1, 0)</f>
        <v>26703.207771328576</v>
      </c>
      <c r="W1048" s="100" t="str">
        <f>IF(ISERROR(MATCH(SamplingData[[#This Row],[Batch by Type (p)]],SelectedPrecincts[Batch Name], 0)), "", INDEX(SelectedPrecincts[Draw], MATCH(SamplingData[[#This Row],[Batch by Type (p)]],SelectedPrecincts[Batch Name], 0)))</f>
        <v/>
      </c>
      <c r="X1048" s="102">
        <f>IF(COUNTIF(SelectedPrecincts[Batch Name],SamplingData[[#This Row],[Batch by Type (p)]]) &lt;&gt; 0, COUNTIF(SelectedPrecincts[Batch Name],SamplingData[[#This Row],[Batch by Type (p)]]), 0)</f>
        <v>0</v>
      </c>
    </row>
    <row r="1049" spans="1:24" ht="15" customHeight="1">
      <c r="A1049" s="18" t="s">
        <v>1225</v>
      </c>
      <c r="B1049" s="18">
        <v>0</v>
      </c>
      <c r="C1049" s="18">
        <v>0</v>
      </c>
      <c r="D1049" s="16">
        <v>0</v>
      </c>
      <c r="E1049" s="16">
        <v>0</v>
      </c>
      <c r="F1049" s="37">
        <v>0</v>
      </c>
      <c r="G1049" s="37">
        <v>0</v>
      </c>
      <c r="H1049" s="17">
        <v>0</v>
      </c>
      <c r="I1049" s="17">
        <v>0</v>
      </c>
      <c r="J1049" s="99">
        <f>SUM(SamplingData[[#This Row],[Losing Candidate]:[Under Votes]])</f>
        <v>0</v>
      </c>
      <c r="K1049" s="100">
        <f>IF(AND(SamplingData[[#This Row],[Total]]&lt;&gt; 0, NOT(ISBLANK(SamplingData[[#This Row],[Losing Candidate]]))),(SamplingData[[#This Row],[Total]]+SamplingData[[#This Row],[Winning Candidate]]-SamplingData[[#This Row],[Losing Candidate]])/(SamplingData[[#Totals],[Winning Candidate]]-SamplingData[[#Totals],[Losing Candidate]]), 0)</f>
        <v>0</v>
      </c>
      <c r="L1049" s="100">
        <f>IF(AND(SamplingData[[#This Row],[Total]]&lt;&gt; 0, NOT(ISBLANK(SamplingData[[#This Row],[Candidate 3]]))),(SamplingData[[#This Row],[Total]]+SamplingData[[#This Row],[Winning Candidate]]-SamplingData[[#This Row],[Candidate 3]])/(SamplingData[[#Totals],[Winning Candidate]]-SamplingData[[#Totals],[Candidate 3]]), 0)</f>
        <v>0</v>
      </c>
      <c r="M1049" s="100">
        <f>IF(AND(SamplingData[[#This Row],[Total]]&lt;&gt; 0, NOT(ISBLANK(SamplingData[[#This Row],[Candidate 4]]))),(SamplingData[[#This Row],[Total]]+SamplingData[[#This Row],[Winning Candidate]]-SamplingData[[#This Row],[Candidate 4]])/(SamplingData[[#Totals],[Winning Candidate]]-SamplingData[[#Totals],[Candidate 4]]), 0)</f>
        <v>0</v>
      </c>
      <c r="N1049" s="100">
        <f>IF(AND(SamplingData[[#This Row],[Total]]&lt;&gt; 0, NOT(ISBLANK(SamplingData[[#This Row],[Candidate 5]]))),(SamplingData[[#This Row],[Total]]+SamplingData[[#This Row],[Winning Candidate]]-SamplingData[[#This Row],[Candidate 5]])/(SamplingData[[#Totals],[Winning Candidate]]-SamplingData[[#Totals],[Candidate 5]]), 0)</f>
        <v>0</v>
      </c>
      <c r="O1049" s="100">
        <f>IF(AND(SamplingData[[#This Row],[Total]]&lt;&gt; 0, NOT(ISBLANK(SamplingData[[#This Row],[Candidate 6]]))),(SamplingData[[#This Row],[Total]]+SamplingData[[#This Row],[Winning Candidate]]-SamplingData[[#This Row],[Candidate 6]])/(SamplingData[[#Totals],[Winning Candidate]]-SamplingData[[#Totals],[Candidate 6]]), 0)</f>
        <v>0</v>
      </c>
      <c r="P1049" s="100">
        <f>MAX(SamplingData[[#This Row],[Error Bound (up) - Max. possible relative overstatement - Losing Candidate]:[Error Bound (up) - Max. possible relative overstatement - Candidate 6]])</f>
        <v>0</v>
      </c>
      <c r="Q1049" s="100">
        <f>IF(SamplingData[[#This Row],[Max Error Bound (up)]] = 0,0,SamplingData[[#This Row],[Max Error Bound (up)]]/SamplingData[[#Totals],[Max Error Bound (up)]])</f>
        <v>0</v>
      </c>
      <c r="R1049" s="101">
        <f>SUM($Q$5:Q1049)</f>
        <v>0.26704207771328575</v>
      </c>
      <c r="S1049" s="100" t="str">
        <f t="array" ref="S1049">IF(SamplingData[[#This Row],[up/U Selection Probability]] = 0, "Zero", TEXT(SamplingData[[#This Row],[Lower Range]], REPT("0",LEN('General Info'!$B$40))) &amp; " - " &amp; TEXT(SamplingData[[#This Row],[Upper Range]], REPT("0",LEN('General Info'!$B$40))))</f>
        <v>Zero</v>
      </c>
      <c r="T1049" s="100">
        <f>SamplingData[[#This Row],[Upper Range]]-SamplingData[[#This Row],[Span]]</f>
        <v>26704.207771328576</v>
      </c>
      <c r="U1049" s="100">
        <f>IF(ISNUMBER('General Info'!$B$40), ((SamplingData[[#This Row],[up/U Selection Probability]]) * 'General Info'!$B$40) - 1, 0)</f>
        <v>-1</v>
      </c>
      <c r="V1049" s="100">
        <f>IF(ISNUMBER('General Info'!$B$40), (SamplingData[[#This Row],[Running (cumulative) sum]] * ('General Info'!$B$40 -'General Info'!$B$41 + 1)) + 'General Info'!$B$41 - 1, 0)</f>
        <v>26703.207771328576</v>
      </c>
      <c r="W1049" s="100" t="str">
        <f>IF(ISERROR(MATCH(SamplingData[[#This Row],[Batch by Type (p)]],SelectedPrecincts[Batch Name], 0)), "", INDEX(SelectedPrecincts[Draw], MATCH(SamplingData[[#This Row],[Batch by Type (p)]],SelectedPrecincts[Batch Name], 0)))</f>
        <v/>
      </c>
      <c r="X1049" s="102">
        <f>IF(COUNTIF(SelectedPrecincts[Batch Name],SamplingData[[#This Row],[Batch by Type (p)]]) &lt;&gt; 0, COUNTIF(SelectedPrecincts[Batch Name],SamplingData[[#This Row],[Batch by Type (p)]]), 0)</f>
        <v>0</v>
      </c>
    </row>
    <row r="1050" spans="1:24" ht="15" customHeight="1">
      <c r="A1050" s="18" t="s">
        <v>1226</v>
      </c>
      <c r="B1050" s="18">
        <v>0</v>
      </c>
      <c r="C1050" s="18">
        <v>0</v>
      </c>
      <c r="D1050" s="18">
        <v>0</v>
      </c>
      <c r="E1050" s="18">
        <v>0</v>
      </c>
      <c r="F1050" s="18">
        <v>0</v>
      </c>
      <c r="G1050" s="18">
        <v>0</v>
      </c>
      <c r="H1050" s="18">
        <v>0</v>
      </c>
      <c r="I1050" s="18">
        <v>0</v>
      </c>
      <c r="J1050" s="99">
        <f>SUM(SamplingData[[#This Row],[Losing Candidate]:[Under Votes]])</f>
        <v>0</v>
      </c>
      <c r="K1050" s="100">
        <f>IF(AND(SamplingData[[#This Row],[Total]]&lt;&gt; 0, NOT(ISBLANK(SamplingData[[#This Row],[Losing Candidate]]))),(SamplingData[[#This Row],[Total]]+SamplingData[[#This Row],[Winning Candidate]]-SamplingData[[#This Row],[Losing Candidate]])/(SamplingData[[#Totals],[Winning Candidate]]-SamplingData[[#Totals],[Losing Candidate]]), 0)</f>
        <v>0</v>
      </c>
      <c r="L1050" s="100">
        <f>IF(AND(SamplingData[[#This Row],[Total]]&lt;&gt; 0, NOT(ISBLANK(SamplingData[[#This Row],[Candidate 3]]))),(SamplingData[[#This Row],[Total]]+SamplingData[[#This Row],[Winning Candidate]]-SamplingData[[#This Row],[Candidate 3]])/(SamplingData[[#Totals],[Winning Candidate]]-SamplingData[[#Totals],[Candidate 3]]), 0)</f>
        <v>0</v>
      </c>
      <c r="M1050" s="100">
        <f>IF(AND(SamplingData[[#This Row],[Total]]&lt;&gt; 0, NOT(ISBLANK(SamplingData[[#This Row],[Candidate 4]]))),(SamplingData[[#This Row],[Total]]+SamplingData[[#This Row],[Winning Candidate]]-SamplingData[[#This Row],[Candidate 4]])/(SamplingData[[#Totals],[Winning Candidate]]-SamplingData[[#Totals],[Candidate 4]]), 0)</f>
        <v>0</v>
      </c>
      <c r="N1050" s="100">
        <f>IF(AND(SamplingData[[#This Row],[Total]]&lt;&gt; 0, NOT(ISBLANK(SamplingData[[#This Row],[Candidate 5]]))),(SamplingData[[#This Row],[Total]]+SamplingData[[#This Row],[Winning Candidate]]-SamplingData[[#This Row],[Candidate 5]])/(SamplingData[[#Totals],[Winning Candidate]]-SamplingData[[#Totals],[Candidate 5]]), 0)</f>
        <v>0</v>
      </c>
      <c r="O1050" s="100">
        <f>IF(AND(SamplingData[[#This Row],[Total]]&lt;&gt; 0, NOT(ISBLANK(SamplingData[[#This Row],[Candidate 6]]))),(SamplingData[[#This Row],[Total]]+SamplingData[[#This Row],[Winning Candidate]]-SamplingData[[#This Row],[Candidate 6]])/(SamplingData[[#Totals],[Winning Candidate]]-SamplingData[[#Totals],[Candidate 6]]), 0)</f>
        <v>0</v>
      </c>
      <c r="P1050" s="100">
        <f>MAX(SamplingData[[#This Row],[Error Bound (up) - Max. possible relative overstatement - Losing Candidate]:[Error Bound (up) - Max. possible relative overstatement - Candidate 6]])</f>
        <v>0</v>
      </c>
      <c r="Q1050" s="100">
        <f>IF(SamplingData[[#This Row],[Max Error Bound (up)]] = 0,0,SamplingData[[#This Row],[Max Error Bound (up)]]/SamplingData[[#Totals],[Max Error Bound (up)]])</f>
        <v>0</v>
      </c>
      <c r="R1050" s="101">
        <f>SUM($Q$5:Q1050)</f>
        <v>0.26704207771328575</v>
      </c>
      <c r="S1050" s="100" t="str">
        <f t="array" ref="S1050">IF(SamplingData[[#This Row],[up/U Selection Probability]] = 0, "Zero", TEXT(SamplingData[[#This Row],[Lower Range]], REPT("0",LEN('General Info'!$B$40))) &amp; " - " &amp; TEXT(SamplingData[[#This Row],[Upper Range]], REPT("0",LEN('General Info'!$B$40))))</f>
        <v>Zero</v>
      </c>
      <c r="T1050" s="100">
        <f>SamplingData[[#This Row],[Upper Range]]-SamplingData[[#This Row],[Span]]</f>
        <v>26704.207771328576</v>
      </c>
      <c r="U1050" s="100">
        <f>IF(ISNUMBER('General Info'!$B$40), ((SamplingData[[#This Row],[up/U Selection Probability]]) * 'General Info'!$B$40) - 1, 0)</f>
        <v>-1</v>
      </c>
      <c r="V1050" s="100">
        <f>IF(ISNUMBER('General Info'!$B$40), (SamplingData[[#This Row],[Running (cumulative) sum]] * ('General Info'!$B$40 -'General Info'!$B$41 + 1)) + 'General Info'!$B$41 - 1, 0)</f>
        <v>26703.207771328576</v>
      </c>
      <c r="W1050" s="100" t="str">
        <f>IF(ISERROR(MATCH(SamplingData[[#This Row],[Batch by Type (p)]],SelectedPrecincts[Batch Name], 0)), "", INDEX(SelectedPrecincts[Draw], MATCH(SamplingData[[#This Row],[Batch by Type (p)]],SelectedPrecincts[Batch Name], 0)))</f>
        <v/>
      </c>
      <c r="X1050" s="102">
        <f>IF(COUNTIF(SelectedPrecincts[Batch Name],SamplingData[[#This Row],[Batch by Type (p)]]) &lt;&gt; 0, COUNTIF(SelectedPrecincts[Batch Name],SamplingData[[#This Row],[Batch by Type (p)]]), 0)</f>
        <v>0</v>
      </c>
    </row>
    <row r="1051" spans="1:24" ht="15" customHeight="1">
      <c r="A1051" s="18" t="s">
        <v>1227</v>
      </c>
      <c r="B1051" s="18">
        <v>2</v>
      </c>
      <c r="C1051" s="18">
        <v>2</v>
      </c>
      <c r="D1051" s="16">
        <v>0</v>
      </c>
      <c r="E1051" s="16">
        <v>2</v>
      </c>
      <c r="F1051" s="37">
        <v>0</v>
      </c>
      <c r="G1051" s="37">
        <v>0</v>
      </c>
      <c r="H1051" s="17">
        <v>0</v>
      </c>
      <c r="I1051" s="17">
        <v>0</v>
      </c>
      <c r="J1051" s="99">
        <f>SUM(SamplingData[[#This Row],[Losing Candidate]:[Under Votes]])</f>
        <v>6</v>
      </c>
      <c r="K1051"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051" s="100">
        <f>IF(AND(SamplingData[[#This Row],[Total]]&lt;&gt; 0, NOT(ISBLANK(SamplingData[[#This Row],[Candidate 3]]))),(SamplingData[[#This Row],[Total]]+SamplingData[[#This Row],[Winning Candidate]]-SamplingData[[#This Row],[Candidate 3]])/(SamplingData[[#Totals],[Winning Candidate]]-SamplingData[[#Totals],[Candidate 3]]), 0)</f>
        <v>2.5808949253153533E-4</v>
      </c>
      <c r="M1051" s="100">
        <f>IF(AND(SamplingData[[#This Row],[Total]]&lt;&gt; 0, NOT(ISBLANK(SamplingData[[#This Row],[Candidate 4]]))),(SamplingData[[#This Row],[Total]]+SamplingData[[#This Row],[Winning Candidate]]-SamplingData[[#This Row],[Candidate 4]])/(SamplingData[[#Totals],[Winning Candidate]]-SamplingData[[#Totals],[Candidate 4]]), 0)</f>
        <v>1.7539244058581075E-4</v>
      </c>
      <c r="N1051" s="100">
        <f>IF(AND(SamplingData[[#This Row],[Total]]&lt;&gt; 0, NOT(ISBLANK(SamplingData[[#This Row],[Candidate 5]]))),(SamplingData[[#This Row],[Total]]+SamplingData[[#This Row],[Winning Candidate]]-SamplingData[[#This Row],[Candidate 5]])/(SamplingData[[#Totals],[Winning Candidate]]-SamplingData[[#Totals],[Candidate 5]]), 0)</f>
        <v>1.9459985405010947E-4</v>
      </c>
      <c r="O1051" s="100">
        <f>IF(AND(SamplingData[[#This Row],[Total]]&lt;&gt; 0, NOT(ISBLANK(SamplingData[[#This Row],[Candidate 6]]))),(SamplingData[[#This Row],[Total]]+SamplingData[[#This Row],[Winning Candidate]]-SamplingData[[#This Row],[Candidate 6]])/(SamplingData[[#Totals],[Winning Candidate]]-SamplingData[[#Totals],[Candidate 6]]), 0)</f>
        <v>1.945430669714508E-4</v>
      </c>
      <c r="P1051" s="100">
        <f>MAX(SamplingData[[#This Row],[Error Bound (up) - Max. possible relative overstatement - Losing Candidate]:[Error Bound (up) - Max. possible relative overstatement - Candidate 6]])</f>
        <v>3.6746692797648211E-4</v>
      </c>
      <c r="Q1051" s="100">
        <f>IF(SamplingData[[#This Row],[Max Error Bound (up)]] = 0,0,SamplingData[[#This Row],[Max Error Bound (up)]]/SamplingData[[#Totals],[Max Error Bound (up)]])</f>
        <v>5.8157689670674986E-5</v>
      </c>
      <c r="R1051" s="101">
        <f>SUM($Q$5:Q1051)</f>
        <v>0.26710023540295641</v>
      </c>
      <c r="S1051" s="100" t="str">
        <f t="array" ref="S1051">IF(SamplingData[[#This Row],[up/U Selection Probability]] = 0, "Zero", TEXT(SamplingData[[#This Row],[Lower Range]], REPT("0",LEN('General Info'!$B$40))) &amp; " - " &amp; TEXT(SamplingData[[#This Row],[Upper Range]], REPT("0",LEN('General Info'!$B$40))))</f>
        <v>26704 - 26709</v>
      </c>
      <c r="T1051" s="100">
        <f>SamplingData[[#This Row],[Upper Range]]-SamplingData[[#This Row],[Span]]</f>
        <v>26704.207829486266</v>
      </c>
      <c r="U1051" s="100">
        <f>IF(ISNUMBER('General Info'!$B$40), ((SamplingData[[#This Row],[up/U Selection Probability]]) * 'General Info'!$B$40) - 1, 0)</f>
        <v>4.815710809377828</v>
      </c>
      <c r="V1051" s="100">
        <f>IF(ISNUMBER('General Info'!$B$40), (SamplingData[[#This Row],[Running (cumulative) sum]] * ('General Info'!$B$40 -'General Info'!$B$41 + 1)) + 'General Info'!$B$41 - 1, 0)</f>
        <v>26709.023540295642</v>
      </c>
      <c r="W1051" s="100" t="str">
        <f>IF(ISERROR(MATCH(SamplingData[[#This Row],[Batch by Type (p)]],SelectedPrecincts[Batch Name], 0)), "", INDEX(SelectedPrecincts[Draw], MATCH(SamplingData[[#This Row],[Batch by Type (p)]],SelectedPrecincts[Batch Name], 0)))</f>
        <v/>
      </c>
      <c r="X1051" s="102">
        <f>IF(COUNTIF(SelectedPrecincts[Batch Name],SamplingData[[#This Row],[Batch by Type (p)]]) &lt;&gt; 0, COUNTIF(SelectedPrecincts[Batch Name],SamplingData[[#This Row],[Batch by Type (p)]]), 0)</f>
        <v>0</v>
      </c>
    </row>
    <row r="1052" spans="1:24" ht="15" customHeight="1">
      <c r="A1052" s="18" t="s">
        <v>1228</v>
      </c>
      <c r="B1052" s="18">
        <v>0</v>
      </c>
      <c r="C1052" s="18">
        <v>2</v>
      </c>
      <c r="D1052" s="18">
        <v>2</v>
      </c>
      <c r="E1052" s="18">
        <v>2</v>
      </c>
      <c r="F1052" s="18">
        <v>0</v>
      </c>
      <c r="G1052" s="18">
        <v>0</v>
      </c>
      <c r="H1052" s="18">
        <v>0</v>
      </c>
      <c r="I1052" s="18">
        <v>1</v>
      </c>
      <c r="J1052" s="99">
        <f>SUM(SamplingData[[#This Row],[Losing Candidate]:[Under Votes]])</f>
        <v>7</v>
      </c>
      <c r="K1052"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052" s="100">
        <f>IF(AND(SamplingData[[#This Row],[Total]]&lt;&gt; 0, NOT(ISBLANK(SamplingData[[#This Row],[Candidate 3]]))),(SamplingData[[#This Row],[Total]]+SamplingData[[#This Row],[Winning Candidate]]-SamplingData[[#This Row],[Candidate 3]])/(SamplingData[[#Totals],[Winning Candidate]]-SamplingData[[#Totals],[Candidate 3]]), 0)</f>
        <v>2.258283059650934E-4</v>
      </c>
      <c r="M1052" s="100">
        <f>IF(AND(SamplingData[[#This Row],[Total]]&lt;&gt; 0, NOT(ISBLANK(SamplingData[[#This Row],[Candidate 4]]))),(SamplingData[[#This Row],[Total]]+SamplingData[[#This Row],[Winning Candidate]]-SamplingData[[#This Row],[Candidate 4]])/(SamplingData[[#Totals],[Winning Candidate]]-SamplingData[[#Totals],[Candidate 4]]), 0)</f>
        <v>2.0462451401677921E-4</v>
      </c>
      <c r="N1052" s="100">
        <f>IF(AND(SamplingData[[#This Row],[Total]]&lt;&gt; 0, NOT(ISBLANK(SamplingData[[#This Row],[Candidate 5]]))),(SamplingData[[#This Row],[Total]]+SamplingData[[#This Row],[Winning Candidate]]-SamplingData[[#This Row],[Candidate 5]])/(SamplingData[[#Totals],[Winning Candidate]]-SamplingData[[#Totals],[Candidate 5]]), 0)</f>
        <v>2.1892483580637315E-4</v>
      </c>
      <c r="O1052" s="100">
        <f>IF(AND(SamplingData[[#This Row],[Total]]&lt;&gt; 0, NOT(ISBLANK(SamplingData[[#This Row],[Candidate 6]]))),(SamplingData[[#This Row],[Total]]+SamplingData[[#This Row],[Winning Candidate]]-SamplingData[[#This Row],[Candidate 6]])/(SamplingData[[#Totals],[Winning Candidate]]-SamplingData[[#Totals],[Candidate 6]]), 0)</f>
        <v>2.1886095034288216E-4</v>
      </c>
      <c r="P1052" s="100">
        <f>MAX(SamplingData[[#This Row],[Error Bound (up) - Max. possible relative overstatement - Losing Candidate]:[Error Bound (up) - Max. possible relative overstatement - Candidate 6]])</f>
        <v>5.5120039196472322E-4</v>
      </c>
      <c r="Q1052" s="100">
        <f>IF(SamplingData[[#This Row],[Max Error Bound (up)]] = 0,0,SamplingData[[#This Row],[Max Error Bound (up)]]/SamplingData[[#Totals],[Max Error Bound (up)]])</f>
        <v>8.7236534506012492E-5</v>
      </c>
      <c r="R1052" s="101">
        <f>SUM($Q$5:Q1052)</f>
        <v>0.2671874719374624</v>
      </c>
      <c r="S1052" s="100" t="str">
        <f t="array" ref="S1052">IF(SamplingData[[#This Row],[up/U Selection Probability]] = 0, "Zero", TEXT(SamplingData[[#This Row],[Lower Range]], REPT("0",LEN('General Info'!$B$40))) &amp; " - " &amp; TEXT(SamplingData[[#This Row],[Upper Range]], REPT("0",LEN('General Info'!$B$40))))</f>
        <v>26710 - 26718</v>
      </c>
      <c r="T1052" s="100">
        <f>SamplingData[[#This Row],[Upper Range]]-SamplingData[[#This Row],[Span]]</f>
        <v>26710.023627532173</v>
      </c>
      <c r="U1052" s="100">
        <f>IF(ISNUMBER('General Info'!$B$40), ((SamplingData[[#This Row],[up/U Selection Probability]]) * 'General Info'!$B$40) - 1, 0)</f>
        <v>7.7235662140667429</v>
      </c>
      <c r="V1052" s="100">
        <f>IF(ISNUMBER('General Info'!$B$40), (SamplingData[[#This Row],[Running (cumulative) sum]] * ('General Info'!$B$40 -'General Info'!$B$41 + 1)) + 'General Info'!$B$41 - 1, 0)</f>
        <v>26717.74719374624</v>
      </c>
      <c r="W1052" s="100" t="str">
        <f>IF(ISERROR(MATCH(SamplingData[[#This Row],[Batch by Type (p)]],SelectedPrecincts[Batch Name], 0)), "", INDEX(SelectedPrecincts[Draw], MATCH(SamplingData[[#This Row],[Batch by Type (p)]],SelectedPrecincts[Batch Name], 0)))</f>
        <v/>
      </c>
      <c r="X1052" s="102">
        <f>IF(COUNTIF(SelectedPrecincts[Batch Name],SamplingData[[#This Row],[Batch by Type (p)]]) &lt;&gt; 0, COUNTIF(SelectedPrecincts[Batch Name],SamplingData[[#This Row],[Batch by Type (p)]]), 0)</f>
        <v>0</v>
      </c>
    </row>
    <row r="1053" spans="1:24" ht="15" customHeight="1">
      <c r="A1053" s="18" t="s">
        <v>1229</v>
      </c>
      <c r="B1053" s="18">
        <v>0</v>
      </c>
      <c r="C1053" s="18">
        <v>1</v>
      </c>
      <c r="D1053" s="16">
        <v>0</v>
      </c>
      <c r="E1053" s="16">
        <v>0</v>
      </c>
      <c r="F1053" s="37">
        <v>0</v>
      </c>
      <c r="G1053" s="37">
        <v>0</v>
      </c>
      <c r="H1053" s="17">
        <v>0</v>
      </c>
      <c r="I1053" s="17">
        <v>0</v>
      </c>
      <c r="J1053" s="99">
        <f>SUM(SamplingData[[#This Row],[Losing Candidate]:[Under Votes]])</f>
        <v>1</v>
      </c>
      <c r="K1053"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053" s="100">
        <f>IF(AND(SamplingData[[#This Row],[Total]]&lt;&gt; 0, NOT(ISBLANK(SamplingData[[#This Row],[Candidate 3]]))),(SamplingData[[#This Row],[Total]]+SamplingData[[#This Row],[Winning Candidate]]-SamplingData[[#This Row],[Candidate 3]])/(SamplingData[[#Totals],[Winning Candidate]]-SamplingData[[#Totals],[Candidate 3]]), 0)</f>
        <v>6.4522373132883833E-5</v>
      </c>
      <c r="M1053" s="100">
        <f>IF(AND(SamplingData[[#This Row],[Total]]&lt;&gt; 0, NOT(ISBLANK(SamplingData[[#This Row],[Candidate 4]]))),(SamplingData[[#This Row],[Total]]+SamplingData[[#This Row],[Winning Candidate]]-SamplingData[[#This Row],[Candidate 4]])/(SamplingData[[#Totals],[Winning Candidate]]-SamplingData[[#Totals],[Candidate 4]]), 0)</f>
        <v>5.846414686193692E-5</v>
      </c>
      <c r="N1053" s="100">
        <f>IF(AND(SamplingData[[#This Row],[Total]]&lt;&gt; 0, NOT(ISBLANK(SamplingData[[#This Row],[Candidate 5]]))),(SamplingData[[#This Row],[Total]]+SamplingData[[#This Row],[Winning Candidate]]-SamplingData[[#This Row],[Candidate 5]])/(SamplingData[[#Totals],[Winning Candidate]]-SamplingData[[#Totals],[Candidate 5]]), 0)</f>
        <v>4.8649963512527367E-5</v>
      </c>
      <c r="O1053" s="100">
        <f>IF(AND(SamplingData[[#This Row],[Total]]&lt;&gt; 0, NOT(ISBLANK(SamplingData[[#This Row],[Candidate 6]]))),(SamplingData[[#This Row],[Total]]+SamplingData[[#This Row],[Winning Candidate]]-SamplingData[[#This Row],[Candidate 6]])/(SamplingData[[#Totals],[Winning Candidate]]-SamplingData[[#Totals],[Candidate 6]]), 0)</f>
        <v>4.8635766742862701E-5</v>
      </c>
      <c r="P1053" s="100">
        <f>MAX(SamplingData[[#This Row],[Error Bound (up) - Max. possible relative overstatement - Losing Candidate]:[Error Bound (up) - Max. possible relative overstatement - Candidate 6]])</f>
        <v>1.224889759921607E-4</v>
      </c>
      <c r="Q1053" s="100">
        <f>IF(SamplingData[[#This Row],[Max Error Bound (up)]] = 0,0,SamplingData[[#This Row],[Max Error Bound (up)]]/SamplingData[[#Totals],[Max Error Bound (up)]])</f>
        <v>1.9385896556891663E-5</v>
      </c>
      <c r="R1053" s="101">
        <f>SUM($Q$5:Q1053)</f>
        <v>0.26720685783401926</v>
      </c>
      <c r="S1053" s="100" t="str">
        <f t="array" ref="S1053">IF(SamplingData[[#This Row],[up/U Selection Probability]] = 0, "Zero", TEXT(SamplingData[[#This Row],[Lower Range]], REPT("0",LEN('General Info'!$B$40))) &amp; " - " &amp; TEXT(SamplingData[[#This Row],[Upper Range]], REPT("0",LEN('General Info'!$B$40))))</f>
        <v>26719 - 26720</v>
      </c>
      <c r="T1053" s="100">
        <f>SamplingData[[#This Row],[Upper Range]]-SamplingData[[#This Row],[Span]]</f>
        <v>26718.747213132134</v>
      </c>
      <c r="U1053" s="100">
        <f>IF(ISNUMBER('General Info'!$B$40), ((SamplingData[[#This Row],[up/U Selection Probability]]) * 'General Info'!$B$40) - 1, 0)</f>
        <v>0.93857026979260949</v>
      </c>
      <c r="V1053" s="100">
        <f>IF(ISNUMBER('General Info'!$B$40), (SamplingData[[#This Row],[Running (cumulative) sum]] * ('General Info'!$B$40 -'General Info'!$B$41 + 1)) + 'General Info'!$B$41 - 1, 0)</f>
        <v>26719.685783401925</v>
      </c>
      <c r="W1053" s="100" t="str">
        <f>IF(ISERROR(MATCH(SamplingData[[#This Row],[Batch by Type (p)]],SelectedPrecincts[Batch Name], 0)), "", INDEX(SelectedPrecincts[Draw], MATCH(SamplingData[[#This Row],[Batch by Type (p)]],SelectedPrecincts[Batch Name], 0)))</f>
        <v/>
      </c>
      <c r="X1053" s="102">
        <f>IF(COUNTIF(SelectedPrecincts[Batch Name],SamplingData[[#This Row],[Batch by Type (p)]]) &lt;&gt; 0, COUNTIF(SelectedPrecincts[Batch Name],SamplingData[[#This Row],[Batch by Type (p)]]), 0)</f>
        <v>0</v>
      </c>
    </row>
    <row r="1054" spans="1:24" ht="15" customHeight="1">
      <c r="A1054" s="18" t="s">
        <v>1230</v>
      </c>
      <c r="B1054" s="18">
        <v>0</v>
      </c>
      <c r="C1054" s="18">
        <v>0</v>
      </c>
      <c r="D1054" s="18">
        <v>0</v>
      </c>
      <c r="E1054" s="18">
        <v>0</v>
      </c>
      <c r="F1054" s="18">
        <v>0</v>
      </c>
      <c r="G1054" s="18">
        <v>0</v>
      </c>
      <c r="H1054" s="18">
        <v>0</v>
      </c>
      <c r="I1054" s="18">
        <v>0</v>
      </c>
      <c r="J1054" s="99">
        <f>SUM(SamplingData[[#This Row],[Losing Candidate]:[Under Votes]])</f>
        <v>0</v>
      </c>
      <c r="K1054" s="100">
        <f>IF(AND(SamplingData[[#This Row],[Total]]&lt;&gt; 0, NOT(ISBLANK(SamplingData[[#This Row],[Losing Candidate]]))),(SamplingData[[#This Row],[Total]]+SamplingData[[#This Row],[Winning Candidate]]-SamplingData[[#This Row],[Losing Candidate]])/(SamplingData[[#Totals],[Winning Candidate]]-SamplingData[[#Totals],[Losing Candidate]]), 0)</f>
        <v>0</v>
      </c>
      <c r="L1054" s="100">
        <f>IF(AND(SamplingData[[#This Row],[Total]]&lt;&gt; 0, NOT(ISBLANK(SamplingData[[#This Row],[Candidate 3]]))),(SamplingData[[#This Row],[Total]]+SamplingData[[#This Row],[Winning Candidate]]-SamplingData[[#This Row],[Candidate 3]])/(SamplingData[[#Totals],[Winning Candidate]]-SamplingData[[#Totals],[Candidate 3]]), 0)</f>
        <v>0</v>
      </c>
      <c r="M1054" s="100">
        <f>IF(AND(SamplingData[[#This Row],[Total]]&lt;&gt; 0, NOT(ISBLANK(SamplingData[[#This Row],[Candidate 4]]))),(SamplingData[[#This Row],[Total]]+SamplingData[[#This Row],[Winning Candidate]]-SamplingData[[#This Row],[Candidate 4]])/(SamplingData[[#Totals],[Winning Candidate]]-SamplingData[[#Totals],[Candidate 4]]), 0)</f>
        <v>0</v>
      </c>
      <c r="N1054" s="100">
        <f>IF(AND(SamplingData[[#This Row],[Total]]&lt;&gt; 0, NOT(ISBLANK(SamplingData[[#This Row],[Candidate 5]]))),(SamplingData[[#This Row],[Total]]+SamplingData[[#This Row],[Winning Candidate]]-SamplingData[[#This Row],[Candidate 5]])/(SamplingData[[#Totals],[Winning Candidate]]-SamplingData[[#Totals],[Candidate 5]]), 0)</f>
        <v>0</v>
      </c>
      <c r="O1054" s="100">
        <f>IF(AND(SamplingData[[#This Row],[Total]]&lt;&gt; 0, NOT(ISBLANK(SamplingData[[#This Row],[Candidate 6]]))),(SamplingData[[#This Row],[Total]]+SamplingData[[#This Row],[Winning Candidate]]-SamplingData[[#This Row],[Candidate 6]])/(SamplingData[[#Totals],[Winning Candidate]]-SamplingData[[#Totals],[Candidate 6]]), 0)</f>
        <v>0</v>
      </c>
      <c r="P1054" s="100">
        <f>MAX(SamplingData[[#This Row],[Error Bound (up) - Max. possible relative overstatement - Losing Candidate]:[Error Bound (up) - Max. possible relative overstatement - Candidate 6]])</f>
        <v>0</v>
      </c>
      <c r="Q1054" s="100">
        <f>IF(SamplingData[[#This Row],[Max Error Bound (up)]] = 0,0,SamplingData[[#This Row],[Max Error Bound (up)]]/SamplingData[[#Totals],[Max Error Bound (up)]])</f>
        <v>0</v>
      </c>
      <c r="R1054" s="101">
        <f>SUM($Q$5:Q1054)</f>
        <v>0.26720685783401926</v>
      </c>
      <c r="S1054" s="100" t="str">
        <f t="array" ref="S1054">IF(SamplingData[[#This Row],[up/U Selection Probability]] = 0, "Zero", TEXT(SamplingData[[#This Row],[Lower Range]], REPT("0",LEN('General Info'!$B$40))) &amp; " - " &amp; TEXT(SamplingData[[#This Row],[Upper Range]], REPT("0",LEN('General Info'!$B$40))))</f>
        <v>Zero</v>
      </c>
      <c r="T1054" s="100">
        <f>SamplingData[[#This Row],[Upper Range]]-SamplingData[[#This Row],[Span]]</f>
        <v>26720.685783401925</v>
      </c>
      <c r="U1054" s="100">
        <f>IF(ISNUMBER('General Info'!$B$40), ((SamplingData[[#This Row],[up/U Selection Probability]]) * 'General Info'!$B$40) - 1, 0)</f>
        <v>-1</v>
      </c>
      <c r="V1054" s="100">
        <f>IF(ISNUMBER('General Info'!$B$40), (SamplingData[[#This Row],[Running (cumulative) sum]] * ('General Info'!$B$40 -'General Info'!$B$41 + 1)) + 'General Info'!$B$41 - 1, 0)</f>
        <v>26719.685783401925</v>
      </c>
      <c r="W1054" s="100" t="str">
        <f>IF(ISERROR(MATCH(SamplingData[[#This Row],[Batch by Type (p)]],SelectedPrecincts[Batch Name], 0)), "", INDEX(SelectedPrecincts[Draw], MATCH(SamplingData[[#This Row],[Batch by Type (p)]],SelectedPrecincts[Batch Name], 0)))</f>
        <v/>
      </c>
      <c r="X1054" s="102">
        <f>IF(COUNTIF(SelectedPrecincts[Batch Name],SamplingData[[#This Row],[Batch by Type (p)]]) &lt;&gt; 0, COUNTIF(SelectedPrecincts[Batch Name],SamplingData[[#This Row],[Batch by Type (p)]]), 0)</f>
        <v>0</v>
      </c>
    </row>
    <row r="1055" spans="1:24" ht="15" customHeight="1">
      <c r="A1055" s="18" t="s">
        <v>1231</v>
      </c>
      <c r="B1055" s="18">
        <v>1</v>
      </c>
      <c r="C1055" s="18">
        <v>1</v>
      </c>
      <c r="D1055" s="16">
        <v>0</v>
      </c>
      <c r="E1055" s="16">
        <v>0</v>
      </c>
      <c r="F1055" s="37">
        <v>0</v>
      </c>
      <c r="G1055" s="37">
        <v>0</v>
      </c>
      <c r="H1055" s="17">
        <v>0</v>
      </c>
      <c r="I1055" s="17">
        <v>0</v>
      </c>
      <c r="J1055" s="99">
        <f>SUM(SamplingData[[#This Row],[Losing Candidate]:[Under Votes]])</f>
        <v>2</v>
      </c>
      <c r="K1055"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055" s="100">
        <f>IF(AND(SamplingData[[#This Row],[Total]]&lt;&gt; 0, NOT(ISBLANK(SamplingData[[#This Row],[Candidate 3]]))),(SamplingData[[#This Row],[Total]]+SamplingData[[#This Row],[Winning Candidate]]-SamplingData[[#This Row],[Candidate 3]])/(SamplingData[[#Totals],[Winning Candidate]]-SamplingData[[#Totals],[Candidate 3]]), 0)</f>
        <v>9.6783559699325743E-5</v>
      </c>
      <c r="M1055" s="100">
        <f>IF(AND(SamplingData[[#This Row],[Total]]&lt;&gt; 0, NOT(ISBLANK(SamplingData[[#This Row],[Candidate 4]]))),(SamplingData[[#This Row],[Total]]+SamplingData[[#This Row],[Winning Candidate]]-SamplingData[[#This Row],[Candidate 4]])/(SamplingData[[#Totals],[Winning Candidate]]-SamplingData[[#Totals],[Candidate 4]]), 0)</f>
        <v>8.7696220292905373E-5</v>
      </c>
      <c r="N1055" s="100">
        <f>IF(AND(SamplingData[[#This Row],[Total]]&lt;&gt; 0, NOT(ISBLANK(SamplingData[[#This Row],[Candidate 5]]))),(SamplingData[[#This Row],[Total]]+SamplingData[[#This Row],[Winning Candidate]]-SamplingData[[#This Row],[Candidate 5]])/(SamplingData[[#Totals],[Winning Candidate]]-SamplingData[[#Totals],[Candidate 5]]), 0)</f>
        <v>7.2974945268791054E-5</v>
      </c>
      <c r="O1055" s="100">
        <f>IF(AND(SamplingData[[#This Row],[Total]]&lt;&gt; 0, NOT(ISBLANK(SamplingData[[#This Row],[Candidate 6]]))),(SamplingData[[#This Row],[Total]]+SamplingData[[#This Row],[Winning Candidate]]-SamplingData[[#This Row],[Candidate 6]])/(SamplingData[[#Totals],[Winning Candidate]]-SamplingData[[#Totals],[Candidate 6]]), 0)</f>
        <v>7.2953650114294054E-5</v>
      </c>
      <c r="P1055" s="100">
        <f>MAX(SamplingData[[#This Row],[Error Bound (up) - Max. possible relative overstatement - Losing Candidate]:[Error Bound (up) - Max. possible relative overstatement - Candidate 6]])</f>
        <v>1.224889759921607E-4</v>
      </c>
      <c r="Q1055" s="100">
        <f>IF(SamplingData[[#This Row],[Max Error Bound (up)]] = 0,0,SamplingData[[#This Row],[Max Error Bound (up)]]/SamplingData[[#Totals],[Max Error Bound (up)]])</f>
        <v>1.9385896556891663E-5</v>
      </c>
      <c r="R1055" s="101">
        <f>SUM($Q$5:Q1055)</f>
        <v>0.26722624373057613</v>
      </c>
      <c r="S1055" s="100" t="str">
        <f t="array" ref="S1055">IF(SamplingData[[#This Row],[up/U Selection Probability]] = 0, "Zero", TEXT(SamplingData[[#This Row],[Lower Range]], REPT("0",LEN('General Info'!$B$40))) &amp; " - " &amp; TEXT(SamplingData[[#This Row],[Upper Range]], REPT("0",LEN('General Info'!$B$40))))</f>
        <v>26721 - 26722</v>
      </c>
      <c r="T1055" s="100">
        <f>SamplingData[[#This Row],[Upper Range]]-SamplingData[[#This Row],[Span]]</f>
        <v>26720.685802787822</v>
      </c>
      <c r="U1055" s="100">
        <f>IF(ISNUMBER('General Info'!$B$40), ((SamplingData[[#This Row],[up/U Selection Probability]]) * 'General Info'!$B$40) - 1, 0)</f>
        <v>0.93857026979260949</v>
      </c>
      <c r="V1055" s="100">
        <f>IF(ISNUMBER('General Info'!$B$40), (SamplingData[[#This Row],[Running (cumulative) sum]] * ('General Info'!$B$40 -'General Info'!$B$41 + 1)) + 'General Info'!$B$41 - 1, 0)</f>
        <v>26721.624373057613</v>
      </c>
      <c r="W1055" s="100" t="str">
        <f>IF(ISERROR(MATCH(SamplingData[[#This Row],[Batch by Type (p)]],SelectedPrecincts[Batch Name], 0)), "", INDEX(SelectedPrecincts[Draw], MATCH(SamplingData[[#This Row],[Batch by Type (p)]],SelectedPrecincts[Batch Name], 0)))</f>
        <v/>
      </c>
      <c r="X1055" s="102">
        <f>IF(COUNTIF(SelectedPrecincts[Batch Name],SamplingData[[#This Row],[Batch by Type (p)]]) &lt;&gt; 0, COUNTIF(SelectedPrecincts[Batch Name],SamplingData[[#This Row],[Batch by Type (p)]]), 0)</f>
        <v>0</v>
      </c>
    </row>
    <row r="1056" spans="1:24" ht="15" customHeight="1">
      <c r="A1056" s="18" t="s">
        <v>1232</v>
      </c>
      <c r="B1056" s="18">
        <v>0</v>
      </c>
      <c r="C1056" s="18">
        <v>0</v>
      </c>
      <c r="D1056" s="18">
        <v>0</v>
      </c>
      <c r="E1056" s="18">
        <v>0</v>
      </c>
      <c r="F1056" s="18">
        <v>0</v>
      </c>
      <c r="G1056" s="18">
        <v>0</v>
      </c>
      <c r="H1056" s="18">
        <v>0</v>
      </c>
      <c r="I1056" s="18">
        <v>0</v>
      </c>
      <c r="J1056" s="99">
        <f>SUM(SamplingData[[#This Row],[Losing Candidate]:[Under Votes]])</f>
        <v>0</v>
      </c>
      <c r="K1056" s="100">
        <f>IF(AND(SamplingData[[#This Row],[Total]]&lt;&gt; 0, NOT(ISBLANK(SamplingData[[#This Row],[Losing Candidate]]))),(SamplingData[[#This Row],[Total]]+SamplingData[[#This Row],[Winning Candidate]]-SamplingData[[#This Row],[Losing Candidate]])/(SamplingData[[#Totals],[Winning Candidate]]-SamplingData[[#Totals],[Losing Candidate]]), 0)</f>
        <v>0</v>
      </c>
      <c r="L1056" s="100">
        <f>IF(AND(SamplingData[[#This Row],[Total]]&lt;&gt; 0, NOT(ISBLANK(SamplingData[[#This Row],[Candidate 3]]))),(SamplingData[[#This Row],[Total]]+SamplingData[[#This Row],[Winning Candidate]]-SamplingData[[#This Row],[Candidate 3]])/(SamplingData[[#Totals],[Winning Candidate]]-SamplingData[[#Totals],[Candidate 3]]), 0)</f>
        <v>0</v>
      </c>
      <c r="M1056" s="100">
        <f>IF(AND(SamplingData[[#This Row],[Total]]&lt;&gt; 0, NOT(ISBLANK(SamplingData[[#This Row],[Candidate 4]]))),(SamplingData[[#This Row],[Total]]+SamplingData[[#This Row],[Winning Candidate]]-SamplingData[[#This Row],[Candidate 4]])/(SamplingData[[#Totals],[Winning Candidate]]-SamplingData[[#Totals],[Candidate 4]]), 0)</f>
        <v>0</v>
      </c>
      <c r="N1056" s="100">
        <f>IF(AND(SamplingData[[#This Row],[Total]]&lt;&gt; 0, NOT(ISBLANK(SamplingData[[#This Row],[Candidate 5]]))),(SamplingData[[#This Row],[Total]]+SamplingData[[#This Row],[Winning Candidate]]-SamplingData[[#This Row],[Candidate 5]])/(SamplingData[[#Totals],[Winning Candidate]]-SamplingData[[#Totals],[Candidate 5]]), 0)</f>
        <v>0</v>
      </c>
      <c r="O1056" s="100">
        <f>IF(AND(SamplingData[[#This Row],[Total]]&lt;&gt; 0, NOT(ISBLANK(SamplingData[[#This Row],[Candidate 6]]))),(SamplingData[[#This Row],[Total]]+SamplingData[[#This Row],[Winning Candidate]]-SamplingData[[#This Row],[Candidate 6]])/(SamplingData[[#Totals],[Winning Candidate]]-SamplingData[[#Totals],[Candidate 6]]), 0)</f>
        <v>0</v>
      </c>
      <c r="P1056" s="100">
        <f>MAX(SamplingData[[#This Row],[Error Bound (up) - Max. possible relative overstatement - Losing Candidate]:[Error Bound (up) - Max. possible relative overstatement - Candidate 6]])</f>
        <v>0</v>
      </c>
      <c r="Q1056" s="100">
        <f>IF(SamplingData[[#This Row],[Max Error Bound (up)]] = 0,0,SamplingData[[#This Row],[Max Error Bound (up)]]/SamplingData[[#Totals],[Max Error Bound (up)]])</f>
        <v>0</v>
      </c>
      <c r="R1056" s="101">
        <f>SUM($Q$5:Q1056)</f>
        <v>0.26722624373057613</v>
      </c>
      <c r="S1056" s="100" t="str">
        <f t="array" ref="S1056">IF(SamplingData[[#This Row],[up/U Selection Probability]] = 0, "Zero", TEXT(SamplingData[[#This Row],[Lower Range]], REPT("0",LEN('General Info'!$B$40))) &amp; " - " &amp; TEXT(SamplingData[[#This Row],[Upper Range]], REPT("0",LEN('General Info'!$B$40))))</f>
        <v>Zero</v>
      </c>
      <c r="T1056" s="100">
        <f>SamplingData[[#This Row],[Upper Range]]-SamplingData[[#This Row],[Span]]</f>
        <v>26722.624373057613</v>
      </c>
      <c r="U1056" s="100">
        <f>IF(ISNUMBER('General Info'!$B$40), ((SamplingData[[#This Row],[up/U Selection Probability]]) * 'General Info'!$B$40) - 1, 0)</f>
        <v>-1</v>
      </c>
      <c r="V1056" s="100">
        <f>IF(ISNUMBER('General Info'!$B$40), (SamplingData[[#This Row],[Running (cumulative) sum]] * ('General Info'!$B$40 -'General Info'!$B$41 + 1)) + 'General Info'!$B$41 - 1, 0)</f>
        <v>26721.624373057613</v>
      </c>
      <c r="W1056" s="100" t="str">
        <f>IF(ISERROR(MATCH(SamplingData[[#This Row],[Batch by Type (p)]],SelectedPrecincts[Batch Name], 0)), "", INDEX(SelectedPrecincts[Draw], MATCH(SamplingData[[#This Row],[Batch by Type (p)]],SelectedPrecincts[Batch Name], 0)))</f>
        <v/>
      </c>
      <c r="X1056" s="102">
        <f>IF(COUNTIF(SelectedPrecincts[Batch Name],SamplingData[[#This Row],[Batch by Type (p)]]) &lt;&gt; 0, COUNTIF(SelectedPrecincts[Batch Name],SamplingData[[#This Row],[Batch by Type (p)]]), 0)</f>
        <v>0</v>
      </c>
    </row>
    <row r="1057" spans="1:24" ht="15" customHeight="1">
      <c r="A1057" s="18" t="s">
        <v>1233</v>
      </c>
      <c r="B1057" s="18">
        <v>11</v>
      </c>
      <c r="C1057" s="18">
        <v>8</v>
      </c>
      <c r="D1057" s="16">
        <v>7</v>
      </c>
      <c r="E1057" s="16">
        <v>1</v>
      </c>
      <c r="F1057" s="37">
        <v>0</v>
      </c>
      <c r="G1057" s="37">
        <v>1</v>
      </c>
      <c r="H1057" s="17">
        <v>0</v>
      </c>
      <c r="I1057" s="17">
        <v>1</v>
      </c>
      <c r="J1057" s="99">
        <f>SUM(SamplingData[[#This Row],[Losing Candidate]:[Under Votes]])</f>
        <v>29</v>
      </c>
      <c r="K1057"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057" s="100">
        <f>IF(AND(SamplingData[[#This Row],[Total]]&lt;&gt; 0, NOT(ISBLANK(SamplingData[[#This Row],[Candidate 3]]))),(SamplingData[[#This Row],[Total]]+SamplingData[[#This Row],[Winning Candidate]]-SamplingData[[#This Row],[Candidate 3]])/(SamplingData[[#Totals],[Winning Candidate]]-SamplingData[[#Totals],[Candidate 3]]), 0)</f>
        <v>9.6783559699325746E-4</v>
      </c>
      <c r="M1057" s="100">
        <f>IF(AND(SamplingData[[#This Row],[Total]]&lt;&gt; 0, NOT(ISBLANK(SamplingData[[#This Row],[Candidate 4]]))),(SamplingData[[#This Row],[Total]]+SamplingData[[#This Row],[Winning Candidate]]-SamplingData[[#This Row],[Candidate 4]])/(SamplingData[[#Totals],[Winning Candidate]]-SamplingData[[#Totals],[Candidate 4]]), 0)</f>
        <v>1.0523546435148646E-3</v>
      </c>
      <c r="N1057" s="100">
        <f>IF(AND(SamplingData[[#This Row],[Total]]&lt;&gt; 0, NOT(ISBLANK(SamplingData[[#This Row],[Candidate 5]]))),(SamplingData[[#This Row],[Total]]+SamplingData[[#This Row],[Winning Candidate]]-SamplingData[[#This Row],[Candidate 5]])/(SamplingData[[#Totals],[Winning Candidate]]-SamplingData[[#Totals],[Candidate 5]]), 0)</f>
        <v>9.0002432498175627E-4</v>
      </c>
      <c r="O1057" s="100">
        <f>IF(AND(SamplingData[[#This Row],[Total]]&lt;&gt; 0, NOT(ISBLANK(SamplingData[[#This Row],[Candidate 6]]))),(SamplingData[[#This Row],[Total]]+SamplingData[[#This Row],[Winning Candidate]]-SamplingData[[#This Row],[Candidate 6]])/(SamplingData[[#Totals],[Winning Candidate]]-SamplingData[[#Totals],[Candidate 6]]), 0)</f>
        <v>8.7544380137152865E-4</v>
      </c>
      <c r="P1057" s="100">
        <f>MAX(SamplingData[[#This Row],[Error Bound (up) - Max. possible relative overstatement - Losing Candidate]:[Error Bound (up) - Max. possible relative overstatement - Candidate 6]])</f>
        <v>1.5923566878980893E-3</v>
      </c>
      <c r="Q1057" s="100">
        <f>IF(SamplingData[[#This Row],[Max Error Bound (up)]] = 0,0,SamplingData[[#This Row],[Max Error Bound (up)]]/SamplingData[[#Totals],[Max Error Bound (up)]])</f>
        <v>2.5201665523959162E-4</v>
      </c>
      <c r="R1057" s="101">
        <f>SUM($Q$5:Q1057)</f>
        <v>0.26747826038581574</v>
      </c>
      <c r="S1057" s="100" t="str">
        <f t="array" ref="S1057">IF(SamplingData[[#This Row],[up/U Selection Probability]] = 0, "Zero", TEXT(SamplingData[[#This Row],[Lower Range]], REPT("0",LEN('General Info'!$B$40))) &amp; " - " &amp; TEXT(SamplingData[[#This Row],[Upper Range]], REPT("0",LEN('General Info'!$B$40))))</f>
        <v>26723 - 26747</v>
      </c>
      <c r="T1057" s="100">
        <f>SamplingData[[#This Row],[Upper Range]]-SamplingData[[#This Row],[Span]]</f>
        <v>26722.62462507427</v>
      </c>
      <c r="U1057" s="100">
        <f>IF(ISNUMBER('General Info'!$B$40), ((SamplingData[[#This Row],[up/U Selection Probability]]) * 'General Info'!$B$40) - 1, 0)</f>
        <v>24.201413507303922</v>
      </c>
      <c r="V1057" s="100">
        <f>IF(ISNUMBER('General Info'!$B$40), (SamplingData[[#This Row],[Running (cumulative) sum]] * ('General Info'!$B$40 -'General Info'!$B$41 + 1)) + 'General Info'!$B$41 - 1, 0)</f>
        <v>26746.826038581574</v>
      </c>
      <c r="W1057" s="100" t="str">
        <f>IF(ISERROR(MATCH(SamplingData[[#This Row],[Batch by Type (p)]],SelectedPrecincts[Batch Name], 0)), "", INDEX(SelectedPrecincts[Draw], MATCH(SamplingData[[#This Row],[Batch by Type (p)]],SelectedPrecincts[Batch Name], 0)))</f>
        <v/>
      </c>
      <c r="X1057" s="102">
        <f>IF(COUNTIF(SelectedPrecincts[Batch Name],SamplingData[[#This Row],[Batch by Type (p)]]) &lt;&gt; 0, COUNTIF(SelectedPrecincts[Batch Name],SamplingData[[#This Row],[Batch by Type (p)]]), 0)</f>
        <v>0</v>
      </c>
    </row>
    <row r="1058" spans="1:24" ht="15" customHeight="1">
      <c r="A1058" s="18" t="s">
        <v>1234</v>
      </c>
      <c r="B1058" s="18">
        <v>3</v>
      </c>
      <c r="C1058" s="18">
        <v>8</v>
      </c>
      <c r="D1058" s="18">
        <v>1</v>
      </c>
      <c r="E1058" s="18">
        <v>1</v>
      </c>
      <c r="F1058" s="18">
        <v>0</v>
      </c>
      <c r="G1058" s="18">
        <v>0</v>
      </c>
      <c r="H1058" s="18">
        <v>0</v>
      </c>
      <c r="I1058" s="18">
        <v>0</v>
      </c>
      <c r="J1058" s="99">
        <f>SUM(SamplingData[[#This Row],[Losing Candidate]:[Under Votes]])</f>
        <v>13</v>
      </c>
      <c r="K1058"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1058" s="100">
        <f>IF(AND(SamplingData[[#This Row],[Total]]&lt;&gt; 0, NOT(ISBLANK(SamplingData[[#This Row],[Candidate 3]]))),(SamplingData[[#This Row],[Total]]+SamplingData[[#This Row],[Winning Candidate]]-SamplingData[[#This Row],[Candidate 3]])/(SamplingData[[#Totals],[Winning Candidate]]-SamplingData[[#Totals],[Candidate 3]]), 0)</f>
        <v>6.4522373132883831E-4</v>
      </c>
      <c r="M1058" s="100">
        <f>IF(AND(SamplingData[[#This Row],[Total]]&lt;&gt; 0, NOT(ISBLANK(SamplingData[[#This Row],[Candidate 4]]))),(SamplingData[[#This Row],[Total]]+SamplingData[[#This Row],[Winning Candidate]]-SamplingData[[#This Row],[Candidate 4]])/(SamplingData[[#Totals],[Winning Candidate]]-SamplingData[[#Totals],[Candidate 4]]), 0)</f>
        <v>5.8464146861936922E-4</v>
      </c>
      <c r="N1058" s="100">
        <f>IF(AND(SamplingData[[#This Row],[Total]]&lt;&gt; 0, NOT(ISBLANK(SamplingData[[#This Row],[Candidate 5]]))),(SamplingData[[#This Row],[Total]]+SamplingData[[#This Row],[Winning Candidate]]-SamplingData[[#This Row],[Candidate 5]])/(SamplingData[[#Totals],[Winning Candidate]]-SamplingData[[#Totals],[Candidate 5]]), 0)</f>
        <v>5.1082461688153739E-4</v>
      </c>
      <c r="O1058" s="100">
        <f>IF(AND(SamplingData[[#This Row],[Total]]&lt;&gt; 0, NOT(ISBLANK(SamplingData[[#This Row],[Candidate 6]]))),(SamplingData[[#This Row],[Total]]+SamplingData[[#This Row],[Winning Candidate]]-SamplingData[[#This Row],[Candidate 6]])/(SamplingData[[#Totals],[Winning Candidate]]-SamplingData[[#Totals],[Candidate 6]]), 0)</f>
        <v>5.1067555080005838E-4</v>
      </c>
      <c r="P1058" s="100">
        <f>MAX(SamplingData[[#This Row],[Error Bound (up) - Max. possible relative overstatement - Losing Candidate]:[Error Bound (up) - Max. possible relative overstatement - Candidate 6]])</f>
        <v>1.1024007839294464E-3</v>
      </c>
      <c r="Q1058" s="100">
        <f>IF(SamplingData[[#This Row],[Max Error Bound (up)]] = 0,0,SamplingData[[#This Row],[Max Error Bound (up)]]/SamplingData[[#Totals],[Max Error Bound (up)]])</f>
        <v>1.7447306901202498E-4</v>
      </c>
      <c r="R1058" s="101">
        <f>SUM($Q$5:Q1058)</f>
        <v>0.26765273345482776</v>
      </c>
      <c r="S1058" s="100" t="str">
        <f t="array" ref="S1058">IF(SamplingData[[#This Row],[up/U Selection Probability]] = 0, "Zero", TEXT(SamplingData[[#This Row],[Lower Range]], REPT("0",LEN('General Info'!$B$40))) &amp; " - " &amp; TEXT(SamplingData[[#This Row],[Upper Range]], REPT("0",LEN('General Info'!$B$40))))</f>
        <v>26748 - 26764</v>
      </c>
      <c r="T1058" s="100">
        <f>SamplingData[[#This Row],[Upper Range]]-SamplingData[[#This Row],[Span]]</f>
        <v>26747.826213054643</v>
      </c>
      <c r="U1058" s="100">
        <f>IF(ISNUMBER('General Info'!$B$40), ((SamplingData[[#This Row],[up/U Selection Probability]]) * 'General Info'!$B$40) - 1, 0)</f>
        <v>16.447132428133486</v>
      </c>
      <c r="V1058" s="100">
        <f>IF(ISNUMBER('General Info'!$B$40), (SamplingData[[#This Row],[Running (cumulative) sum]] * ('General Info'!$B$40 -'General Info'!$B$41 + 1)) + 'General Info'!$B$41 - 1, 0)</f>
        <v>26764.273345482776</v>
      </c>
      <c r="W1058" s="100" t="str">
        <f>IF(ISERROR(MATCH(SamplingData[[#This Row],[Batch by Type (p)]],SelectedPrecincts[Batch Name], 0)), "", INDEX(SelectedPrecincts[Draw], MATCH(SamplingData[[#This Row],[Batch by Type (p)]],SelectedPrecincts[Batch Name], 0)))</f>
        <v/>
      </c>
      <c r="X1058" s="102">
        <f>IF(COUNTIF(SelectedPrecincts[Batch Name],SamplingData[[#This Row],[Batch by Type (p)]]) &lt;&gt; 0, COUNTIF(SelectedPrecincts[Batch Name],SamplingData[[#This Row],[Batch by Type (p)]]), 0)</f>
        <v>0</v>
      </c>
    </row>
    <row r="1059" spans="1:24" ht="15" customHeight="1">
      <c r="A1059" s="18" t="s">
        <v>1235</v>
      </c>
      <c r="B1059" s="18">
        <v>1</v>
      </c>
      <c r="C1059" s="18">
        <v>5</v>
      </c>
      <c r="D1059" s="16">
        <v>2</v>
      </c>
      <c r="E1059" s="16">
        <v>3</v>
      </c>
      <c r="F1059" s="37">
        <v>0</v>
      </c>
      <c r="G1059" s="37">
        <v>0</v>
      </c>
      <c r="H1059" s="17">
        <v>0</v>
      </c>
      <c r="I1059" s="17">
        <v>0</v>
      </c>
      <c r="J1059" s="99">
        <f>SUM(SamplingData[[#This Row],[Losing Candidate]:[Under Votes]])</f>
        <v>11</v>
      </c>
      <c r="K1059"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059" s="100">
        <f>IF(AND(SamplingData[[#This Row],[Total]]&lt;&gt; 0, NOT(ISBLANK(SamplingData[[#This Row],[Candidate 3]]))),(SamplingData[[#This Row],[Total]]+SamplingData[[#This Row],[Winning Candidate]]-SamplingData[[#This Row],[Candidate 3]])/(SamplingData[[#Totals],[Winning Candidate]]-SamplingData[[#Totals],[Candidate 3]]), 0)</f>
        <v>4.5165661193018679E-4</v>
      </c>
      <c r="M1059" s="100">
        <f>IF(AND(SamplingData[[#This Row],[Total]]&lt;&gt; 0, NOT(ISBLANK(SamplingData[[#This Row],[Candidate 4]]))),(SamplingData[[#This Row],[Total]]+SamplingData[[#This Row],[Winning Candidate]]-SamplingData[[#This Row],[Candidate 4]])/(SamplingData[[#Totals],[Winning Candidate]]-SamplingData[[#Totals],[Candidate 4]]), 0)</f>
        <v>3.8001695460258996E-4</v>
      </c>
      <c r="N1059" s="100">
        <f>IF(AND(SamplingData[[#This Row],[Total]]&lt;&gt; 0, NOT(ISBLANK(SamplingData[[#This Row],[Candidate 5]]))),(SamplingData[[#This Row],[Total]]+SamplingData[[#This Row],[Winning Candidate]]-SamplingData[[#This Row],[Candidate 5]])/(SamplingData[[#Totals],[Winning Candidate]]-SamplingData[[#Totals],[Candidate 5]]), 0)</f>
        <v>3.8919970810021893E-4</v>
      </c>
      <c r="O1059" s="100">
        <f>IF(AND(SamplingData[[#This Row],[Total]]&lt;&gt; 0, NOT(ISBLANK(SamplingData[[#This Row],[Candidate 6]]))),(SamplingData[[#This Row],[Total]]+SamplingData[[#This Row],[Winning Candidate]]-SamplingData[[#This Row],[Candidate 6]])/(SamplingData[[#Totals],[Winning Candidate]]-SamplingData[[#Totals],[Candidate 6]]), 0)</f>
        <v>3.8908613394290161E-4</v>
      </c>
      <c r="P1059" s="100">
        <f>MAX(SamplingData[[#This Row],[Error Bound (up) - Max. possible relative overstatement - Losing Candidate]:[Error Bound (up) - Max. possible relative overstatement - Candidate 6]])</f>
        <v>9.1866731994120533E-4</v>
      </c>
      <c r="Q1059" s="100">
        <f>IF(SamplingData[[#This Row],[Max Error Bound (up)]] = 0,0,SamplingData[[#This Row],[Max Error Bound (up)]]/SamplingData[[#Totals],[Max Error Bound (up)]])</f>
        <v>1.4539422417668749E-4</v>
      </c>
      <c r="R1059" s="101">
        <f>SUM($Q$5:Q1059)</f>
        <v>0.26779812767900446</v>
      </c>
      <c r="S1059" s="100" t="str">
        <f t="array" ref="S1059">IF(SamplingData[[#This Row],[up/U Selection Probability]] = 0, "Zero", TEXT(SamplingData[[#This Row],[Lower Range]], REPT("0",LEN('General Info'!$B$40))) &amp; " - " &amp; TEXT(SamplingData[[#This Row],[Upper Range]], REPT("0",LEN('General Info'!$B$40))))</f>
        <v>26765 - 26779</v>
      </c>
      <c r="T1059" s="100">
        <f>SamplingData[[#This Row],[Upper Range]]-SamplingData[[#This Row],[Span]]</f>
        <v>26765.273490877003</v>
      </c>
      <c r="U1059" s="100">
        <f>IF(ISNUMBER('General Info'!$B$40), ((SamplingData[[#This Row],[up/U Selection Probability]]) * 'General Info'!$B$40) - 1, 0)</f>
        <v>13.539277023444573</v>
      </c>
      <c r="V1059" s="100">
        <f>IF(ISNUMBER('General Info'!$B$40), (SamplingData[[#This Row],[Running (cumulative) sum]] * ('General Info'!$B$40 -'General Info'!$B$41 + 1)) + 'General Info'!$B$41 - 1, 0)</f>
        <v>26778.812767900446</v>
      </c>
      <c r="W1059" s="100" t="str">
        <f>IF(ISERROR(MATCH(SamplingData[[#This Row],[Batch by Type (p)]],SelectedPrecincts[Batch Name], 0)), "", INDEX(SelectedPrecincts[Draw], MATCH(SamplingData[[#This Row],[Batch by Type (p)]],SelectedPrecincts[Batch Name], 0)))</f>
        <v/>
      </c>
      <c r="X1059" s="102">
        <f>IF(COUNTIF(SelectedPrecincts[Batch Name],SamplingData[[#This Row],[Batch by Type (p)]]) &lt;&gt; 0, COUNTIF(SelectedPrecincts[Batch Name],SamplingData[[#This Row],[Batch by Type (p)]]), 0)</f>
        <v>0</v>
      </c>
    </row>
    <row r="1060" spans="1:24" ht="15" customHeight="1">
      <c r="A1060" s="18" t="s">
        <v>1236</v>
      </c>
      <c r="B1060" s="18">
        <v>3</v>
      </c>
      <c r="C1060" s="18">
        <v>2</v>
      </c>
      <c r="D1060" s="18">
        <v>1</v>
      </c>
      <c r="E1060" s="18">
        <v>1</v>
      </c>
      <c r="F1060" s="18">
        <v>0</v>
      </c>
      <c r="G1060" s="18">
        <v>0</v>
      </c>
      <c r="H1060" s="18">
        <v>0</v>
      </c>
      <c r="I1060" s="18">
        <v>0</v>
      </c>
      <c r="J1060" s="99">
        <f>SUM(SamplingData[[#This Row],[Losing Candidate]:[Under Votes]])</f>
        <v>7</v>
      </c>
      <c r="K1060"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060" s="100">
        <f>IF(AND(SamplingData[[#This Row],[Total]]&lt;&gt; 0, NOT(ISBLANK(SamplingData[[#This Row],[Candidate 3]]))),(SamplingData[[#This Row],[Total]]+SamplingData[[#This Row],[Winning Candidate]]-SamplingData[[#This Row],[Candidate 3]])/(SamplingData[[#Totals],[Winning Candidate]]-SamplingData[[#Totals],[Candidate 3]]), 0)</f>
        <v>2.5808949253153533E-4</v>
      </c>
      <c r="M1060" s="100">
        <f>IF(AND(SamplingData[[#This Row],[Total]]&lt;&gt; 0, NOT(ISBLANK(SamplingData[[#This Row],[Candidate 4]]))),(SamplingData[[#This Row],[Total]]+SamplingData[[#This Row],[Winning Candidate]]-SamplingData[[#This Row],[Candidate 4]])/(SamplingData[[#Totals],[Winning Candidate]]-SamplingData[[#Totals],[Candidate 4]]), 0)</f>
        <v>2.3385658744774768E-4</v>
      </c>
      <c r="N1060" s="100">
        <f>IF(AND(SamplingData[[#This Row],[Total]]&lt;&gt; 0, NOT(ISBLANK(SamplingData[[#This Row],[Candidate 5]]))),(SamplingData[[#This Row],[Total]]+SamplingData[[#This Row],[Winning Candidate]]-SamplingData[[#This Row],[Candidate 5]])/(SamplingData[[#Totals],[Winning Candidate]]-SamplingData[[#Totals],[Candidate 5]]), 0)</f>
        <v>2.1892483580637315E-4</v>
      </c>
      <c r="O1060" s="100">
        <f>IF(AND(SamplingData[[#This Row],[Total]]&lt;&gt; 0, NOT(ISBLANK(SamplingData[[#This Row],[Candidate 6]]))),(SamplingData[[#This Row],[Total]]+SamplingData[[#This Row],[Winning Candidate]]-SamplingData[[#This Row],[Candidate 6]])/(SamplingData[[#Totals],[Winning Candidate]]-SamplingData[[#Totals],[Candidate 6]]), 0)</f>
        <v>2.1886095034288216E-4</v>
      </c>
      <c r="P1060" s="100">
        <f>MAX(SamplingData[[#This Row],[Error Bound (up) - Max. possible relative overstatement - Losing Candidate]:[Error Bound (up) - Max. possible relative overstatement - Candidate 6]])</f>
        <v>3.6746692797648211E-4</v>
      </c>
      <c r="Q1060" s="100">
        <f>IF(SamplingData[[#This Row],[Max Error Bound (up)]] = 0,0,SamplingData[[#This Row],[Max Error Bound (up)]]/SamplingData[[#Totals],[Max Error Bound (up)]])</f>
        <v>5.8157689670674986E-5</v>
      </c>
      <c r="R1060" s="101">
        <f>SUM($Q$5:Q1060)</f>
        <v>0.26785628536867512</v>
      </c>
      <c r="S1060" s="100" t="str">
        <f t="array" ref="S1060">IF(SamplingData[[#This Row],[up/U Selection Probability]] = 0, "Zero", TEXT(SamplingData[[#This Row],[Lower Range]], REPT("0",LEN('General Info'!$B$40))) &amp; " - " &amp; TEXT(SamplingData[[#This Row],[Upper Range]], REPT("0",LEN('General Info'!$B$40))))</f>
        <v>26780 - 26785</v>
      </c>
      <c r="T1060" s="100">
        <f>SamplingData[[#This Row],[Upper Range]]-SamplingData[[#This Row],[Span]]</f>
        <v>26779.812826058136</v>
      </c>
      <c r="U1060" s="100">
        <f>IF(ISNUMBER('General Info'!$B$40), ((SamplingData[[#This Row],[up/U Selection Probability]]) * 'General Info'!$B$40) - 1, 0)</f>
        <v>4.815710809377828</v>
      </c>
      <c r="V1060" s="100">
        <f>IF(ISNUMBER('General Info'!$B$40), (SamplingData[[#This Row],[Running (cumulative) sum]] * ('General Info'!$B$40 -'General Info'!$B$41 + 1)) + 'General Info'!$B$41 - 1, 0)</f>
        <v>26784.628536867513</v>
      </c>
      <c r="W1060" s="100" t="str">
        <f>IF(ISERROR(MATCH(SamplingData[[#This Row],[Batch by Type (p)]],SelectedPrecincts[Batch Name], 0)), "", INDEX(SelectedPrecincts[Draw], MATCH(SamplingData[[#This Row],[Batch by Type (p)]],SelectedPrecincts[Batch Name], 0)))</f>
        <v/>
      </c>
      <c r="X1060" s="102">
        <f>IF(COUNTIF(SelectedPrecincts[Batch Name],SamplingData[[#This Row],[Batch by Type (p)]]) &lt;&gt; 0, COUNTIF(SelectedPrecincts[Batch Name],SamplingData[[#This Row],[Batch by Type (p)]]), 0)</f>
        <v>0</v>
      </c>
    </row>
    <row r="1061" spans="1:24" ht="15" customHeight="1">
      <c r="A1061" s="18" t="s">
        <v>1237</v>
      </c>
      <c r="B1061" s="18">
        <v>3</v>
      </c>
      <c r="C1061" s="18">
        <v>7</v>
      </c>
      <c r="D1061" s="16">
        <v>2</v>
      </c>
      <c r="E1061" s="16">
        <v>2</v>
      </c>
      <c r="F1061" s="37">
        <v>0</v>
      </c>
      <c r="G1061" s="37">
        <v>0</v>
      </c>
      <c r="H1061" s="17">
        <v>0</v>
      </c>
      <c r="I1061" s="17">
        <v>0</v>
      </c>
      <c r="J1061" s="99">
        <f>SUM(SamplingData[[#This Row],[Losing Candidate]:[Under Votes]])</f>
        <v>14</v>
      </c>
      <c r="K1061"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1061" s="100">
        <f>IF(AND(SamplingData[[#This Row],[Total]]&lt;&gt; 0, NOT(ISBLANK(SamplingData[[#This Row],[Candidate 3]]))),(SamplingData[[#This Row],[Total]]+SamplingData[[#This Row],[Winning Candidate]]-SamplingData[[#This Row],[Candidate 3]])/(SamplingData[[#Totals],[Winning Candidate]]-SamplingData[[#Totals],[Candidate 3]]), 0)</f>
        <v>6.1296254476239632E-4</v>
      </c>
      <c r="M1061" s="100">
        <f>IF(AND(SamplingData[[#This Row],[Total]]&lt;&gt; 0, NOT(ISBLANK(SamplingData[[#This Row],[Candidate 4]]))),(SamplingData[[#This Row],[Total]]+SamplingData[[#This Row],[Winning Candidate]]-SamplingData[[#This Row],[Candidate 4]])/(SamplingData[[#Totals],[Winning Candidate]]-SamplingData[[#Totals],[Candidate 4]]), 0)</f>
        <v>5.5540939518840076E-4</v>
      </c>
      <c r="N1061" s="100">
        <f>IF(AND(SamplingData[[#This Row],[Total]]&lt;&gt; 0, NOT(ISBLANK(SamplingData[[#This Row],[Candidate 5]]))),(SamplingData[[#This Row],[Total]]+SamplingData[[#This Row],[Winning Candidate]]-SamplingData[[#This Row],[Candidate 5]])/(SamplingData[[#Totals],[Winning Candidate]]-SamplingData[[#Totals],[Candidate 5]]), 0)</f>
        <v>5.1082461688153739E-4</v>
      </c>
      <c r="O1061" s="100">
        <f>IF(AND(SamplingData[[#This Row],[Total]]&lt;&gt; 0, NOT(ISBLANK(SamplingData[[#This Row],[Candidate 6]]))),(SamplingData[[#This Row],[Total]]+SamplingData[[#This Row],[Winning Candidate]]-SamplingData[[#This Row],[Candidate 6]])/(SamplingData[[#Totals],[Winning Candidate]]-SamplingData[[#Totals],[Candidate 6]]), 0)</f>
        <v>5.1067555080005838E-4</v>
      </c>
      <c r="P1061" s="100">
        <f>MAX(SamplingData[[#This Row],[Error Bound (up) - Max. possible relative overstatement - Losing Candidate]:[Error Bound (up) - Max. possible relative overstatement - Candidate 6]])</f>
        <v>1.1024007839294464E-3</v>
      </c>
      <c r="Q1061" s="100">
        <f>IF(SamplingData[[#This Row],[Max Error Bound (up)]] = 0,0,SamplingData[[#This Row],[Max Error Bound (up)]]/SamplingData[[#Totals],[Max Error Bound (up)]])</f>
        <v>1.7447306901202498E-4</v>
      </c>
      <c r="R1061" s="101">
        <f>SUM($Q$5:Q1061)</f>
        <v>0.26803075843768714</v>
      </c>
      <c r="S1061" s="100" t="str">
        <f t="array" ref="S1061">IF(SamplingData[[#This Row],[up/U Selection Probability]] = 0, "Zero", TEXT(SamplingData[[#This Row],[Lower Range]], REPT("0",LEN('General Info'!$B$40))) &amp; " - " &amp; TEXT(SamplingData[[#This Row],[Upper Range]], REPT("0",LEN('General Info'!$B$40))))</f>
        <v>26786 - 26802</v>
      </c>
      <c r="T1061" s="100">
        <f>SamplingData[[#This Row],[Upper Range]]-SamplingData[[#This Row],[Span]]</f>
        <v>26785.628711340582</v>
      </c>
      <c r="U1061" s="100">
        <f>IF(ISNUMBER('General Info'!$B$40), ((SamplingData[[#This Row],[up/U Selection Probability]]) * 'General Info'!$B$40) - 1, 0)</f>
        <v>16.447132428133486</v>
      </c>
      <c r="V1061" s="100">
        <f>IF(ISNUMBER('General Info'!$B$40), (SamplingData[[#This Row],[Running (cumulative) sum]] * ('General Info'!$B$40 -'General Info'!$B$41 + 1)) + 'General Info'!$B$41 - 1, 0)</f>
        <v>26802.075843768715</v>
      </c>
      <c r="W1061" s="100" t="str">
        <f>IF(ISERROR(MATCH(SamplingData[[#This Row],[Batch by Type (p)]],SelectedPrecincts[Batch Name], 0)), "", INDEX(SelectedPrecincts[Draw], MATCH(SamplingData[[#This Row],[Batch by Type (p)]],SelectedPrecincts[Batch Name], 0)))</f>
        <v/>
      </c>
      <c r="X1061" s="102">
        <f>IF(COUNTIF(SelectedPrecincts[Batch Name],SamplingData[[#This Row],[Batch by Type (p)]]) &lt;&gt; 0, COUNTIF(SelectedPrecincts[Batch Name],SamplingData[[#This Row],[Batch by Type (p)]]), 0)</f>
        <v>0</v>
      </c>
    </row>
    <row r="1062" spans="1:24" ht="15" customHeight="1">
      <c r="A1062" s="18" t="s">
        <v>1238</v>
      </c>
      <c r="B1062" s="18">
        <v>2</v>
      </c>
      <c r="C1062" s="18">
        <v>4</v>
      </c>
      <c r="D1062" s="18">
        <v>2</v>
      </c>
      <c r="E1062" s="18">
        <v>0</v>
      </c>
      <c r="F1062" s="18">
        <v>0</v>
      </c>
      <c r="G1062" s="18">
        <v>1</v>
      </c>
      <c r="H1062" s="18">
        <v>0</v>
      </c>
      <c r="I1062" s="18">
        <v>0</v>
      </c>
      <c r="J1062" s="99">
        <f>SUM(SamplingData[[#This Row],[Losing Candidate]:[Under Votes]])</f>
        <v>9</v>
      </c>
      <c r="K1062"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062" s="100">
        <f>IF(AND(SamplingData[[#This Row],[Total]]&lt;&gt; 0, NOT(ISBLANK(SamplingData[[#This Row],[Candidate 3]]))),(SamplingData[[#This Row],[Total]]+SamplingData[[#This Row],[Winning Candidate]]-SamplingData[[#This Row],[Candidate 3]])/(SamplingData[[#Totals],[Winning Candidate]]-SamplingData[[#Totals],[Candidate 3]]), 0)</f>
        <v>3.5487305223086104E-4</v>
      </c>
      <c r="M1062" s="100">
        <f>IF(AND(SamplingData[[#This Row],[Total]]&lt;&gt; 0, NOT(ISBLANK(SamplingData[[#This Row],[Candidate 4]]))),(SamplingData[[#This Row],[Total]]+SamplingData[[#This Row],[Winning Candidate]]-SamplingData[[#This Row],[Candidate 4]])/(SamplingData[[#Totals],[Winning Candidate]]-SamplingData[[#Totals],[Candidate 4]]), 0)</f>
        <v>3.8001695460258996E-4</v>
      </c>
      <c r="N1062" s="100">
        <f>IF(AND(SamplingData[[#This Row],[Total]]&lt;&gt; 0, NOT(ISBLANK(SamplingData[[#This Row],[Candidate 5]]))),(SamplingData[[#This Row],[Total]]+SamplingData[[#This Row],[Winning Candidate]]-SamplingData[[#This Row],[Candidate 5]])/(SamplingData[[#Totals],[Winning Candidate]]-SamplingData[[#Totals],[Candidate 5]]), 0)</f>
        <v>3.1622476283142789E-4</v>
      </c>
      <c r="O1062" s="100">
        <f>IF(AND(SamplingData[[#This Row],[Total]]&lt;&gt; 0, NOT(ISBLANK(SamplingData[[#This Row],[Candidate 6]]))),(SamplingData[[#This Row],[Total]]+SamplingData[[#This Row],[Winning Candidate]]-SamplingData[[#This Row],[Candidate 6]])/(SamplingData[[#Totals],[Winning Candidate]]-SamplingData[[#Totals],[Candidate 6]]), 0)</f>
        <v>2.9181460045717622E-4</v>
      </c>
      <c r="P1062" s="100">
        <f>MAX(SamplingData[[#This Row],[Error Bound (up) - Max. possible relative overstatement - Losing Candidate]:[Error Bound (up) - Max. possible relative overstatement - Candidate 6]])</f>
        <v>6.7368936795688392E-4</v>
      </c>
      <c r="Q1062" s="100">
        <f>IF(SamplingData[[#This Row],[Max Error Bound (up)]] = 0,0,SamplingData[[#This Row],[Max Error Bound (up)]]/SamplingData[[#Totals],[Max Error Bound (up)]])</f>
        <v>1.0662243106290416E-4</v>
      </c>
      <c r="R1062" s="101">
        <f>SUM($Q$5:Q1062)</f>
        <v>0.26813738086875005</v>
      </c>
      <c r="S1062" s="100" t="str">
        <f t="array" ref="S1062">IF(SamplingData[[#This Row],[up/U Selection Probability]] = 0, "Zero", TEXT(SamplingData[[#This Row],[Lower Range]], REPT("0",LEN('General Info'!$B$40))) &amp; " - " &amp; TEXT(SamplingData[[#This Row],[Upper Range]], REPT("0",LEN('General Info'!$B$40))))</f>
        <v>26803 - 26813</v>
      </c>
      <c r="T1062" s="100">
        <f>SamplingData[[#This Row],[Upper Range]]-SamplingData[[#This Row],[Span]]</f>
        <v>26803.075950391143</v>
      </c>
      <c r="U1062" s="100">
        <f>IF(ISNUMBER('General Info'!$B$40), ((SamplingData[[#This Row],[up/U Selection Probability]]) * 'General Info'!$B$40) - 1, 0)</f>
        <v>9.6621364838593529</v>
      </c>
      <c r="V1062" s="100">
        <f>IF(ISNUMBER('General Info'!$B$40), (SamplingData[[#This Row],[Running (cumulative) sum]] * ('General Info'!$B$40 -'General Info'!$B$41 + 1)) + 'General Info'!$B$41 - 1, 0)</f>
        <v>26812.738086875004</v>
      </c>
      <c r="W1062" s="100" t="str">
        <f>IF(ISERROR(MATCH(SamplingData[[#This Row],[Batch by Type (p)]],SelectedPrecincts[Batch Name], 0)), "", INDEX(SelectedPrecincts[Draw], MATCH(SamplingData[[#This Row],[Batch by Type (p)]],SelectedPrecincts[Batch Name], 0)))</f>
        <v/>
      </c>
      <c r="X1062" s="102">
        <f>IF(COUNTIF(SelectedPrecincts[Batch Name],SamplingData[[#This Row],[Batch by Type (p)]]) &lt;&gt; 0, COUNTIF(SelectedPrecincts[Batch Name],SamplingData[[#This Row],[Batch by Type (p)]]), 0)</f>
        <v>0</v>
      </c>
    </row>
    <row r="1063" spans="1:24" ht="15" customHeight="1">
      <c r="A1063" s="18" t="s">
        <v>1239</v>
      </c>
      <c r="B1063" s="18">
        <v>0</v>
      </c>
      <c r="C1063" s="18">
        <v>1</v>
      </c>
      <c r="D1063" s="16">
        <v>1</v>
      </c>
      <c r="E1063" s="16">
        <v>1</v>
      </c>
      <c r="F1063" s="37">
        <v>0</v>
      </c>
      <c r="G1063" s="37">
        <v>0</v>
      </c>
      <c r="H1063" s="17">
        <v>0</v>
      </c>
      <c r="I1063" s="17">
        <v>0</v>
      </c>
      <c r="J1063" s="99">
        <f>SUM(SamplingData[[#This Row],[Losing Candidate]:[Under Votes]])</f>
        <v>3</v>
      </c>
      <c r="K1063"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063" s="100">
        <f>IF(AND(SamplingData[[#This Row],[Total]]&lt;&gt; 0, NOT(ISBLANK(SamplingData[[#This Row],[Candidate 3]]))),(SamplingData[[#This Row],[Total]]+SamplingData[[#This Row],[Winning Candidate]]-SamplingData[[#This Row],[Candidate 3]])/(SamplingData[[#Totals],[Winning Candidate]]-SamplingData[[#Totals],[Candidate 3]]), 0)</f>
        <v>9.6783559699325743E-5</v>
      </c>
      <c r="M1063" s="100">
        <f>IF(AND(SamplingData[[#This Row],[Total]]&lt;&gt; 0, NOT(ISBLANK(SamplingData[[#This Row],[Candidate 4]]))),(SamplingData[[#This Row],[Total]]+SamplingData[[#This Row],[Winning Candidate]]-SamplingData[[#This Row],[Candidate 4]])/(SamplingData[[#Totals],[Winning Candidate]]-SamplingData[[#Totals],[Candidate 4]]), 0)</f>
        <v>8.7696220292905373E-5</v>
      </c>
      <c r="N1063" s="100">
        <f>IF(AND(SamplingData[[#This Row],[Total]]&lt;&gt; 0, NOT(ISBLANK(SamplingData[[#This Row],[Candidate 5]]))),(SamplingData[[#This Row],[Total]]+SamplingData[[#This Row],[Winning Candidate]]-SamplingData[[#This Row],[Candidate 5]])/(SamplingData[[#Totals],[Winning Candidate]]-SamplingData[[#Totals],[Candidate 5]]), 0)</f>
        <v>9.7299927025054734E-5</v>
      </c>
      <c r="O1063" s="100">
        <f>IF(AND(SamplingData[[#This Row],[Total]]&lt;&gt; 0, NOT(ISBLANK(SamplingData[[#This Row],[Candidate 6]]))),(SamplingData[[#This Row],[Total]]+SamplingData[[#This Row],[Winning Candidate]]-SamplingData[[#This Row],[Candidate 6]])/(SamplingData[[#Totals],[Winning Candidate]]-SamplingData[[#Totals],[Candidate 6]]), 0)</f>
        <v>9.7271533485725401E-5</v>
      </c>
      <c r="P1063" s="100">
        <f>MAX(SamplingData[[#This Row],[Error Bound (up) - Max. possible relative overstatement - Losing Candidate]:[Error Bound (up) - Max. possible relative overstatement - Candidate 6]])</f>
        <v>2.4497795198432141E-4</v>
      </c>
      <c r="Q1063" s="100">
        <f>IF(SamplingData[[#This Row],[Max Error Bound (up)]] = 0,0,SamplingData[[#This Row],[Max Error Bound (up)]]/SamplingData[[#Totals],[Max Error Bound (up)]])</f>
        <v>3.8771793113783326E-5</v>
      </c>
      <c r="R1063" s="101">
        <f>SUM($Q$5:Q1063)</f>
        <v>0.26817615266186384</v>
      </c>
      <c r="S1063" s="100" t="str">
        <f t="array" ref="S1063">IF(SamplingData[[#This Row],[up/U Selection Probability]] = 0, "Zero", TEXT(SamplingData[[#This Row],[Lower Range]], REPT("0",LEN('General Info'!$B$40))) &amp; " - " &amp; TEXT(SamplingData[[#This Row],[Upper Range]], REPT("0",LEN('General Info'!$B$40))))</f>
        <v>26814 - 26817</v>
      </c>
      <c r="T1063" s="100">
        <f>SamplingData[[#This Row],[Upper Range]]-SamplingData[[#This Row],[Span]]</f>
        <v>26813.7381256468</v>
      </c>
      <c r="U1063" s="100">
        <f>IF(ISNUMBER('General Info'!$B$40), ((SamplingData[[#This Row],[up/U Selection Probability]]) * 'General Info'!$B$40) - 1, 0)</f>
        <v>2.877140539585219</v>
      </c>
      <c r="V1063" s="100">
        <f>IF(ISNUMBER('General Info'!$B$40), (SamplingData[[#This Row],[Running (cumulative) sum]] * ('General Info'!$B$40 -'General Info'!$B$41 + 1)) + 'General Info'!$B$41 - 1, 0)</f>
        <v>26816.615266186385</v>
      </c>
      <c r="W1063" s="100" t="str">
        <f>IF(ISERROR(MATCH(SamplingData[[#This Row],[Batch by Type (p)]],SelectedPrecincts[Batch Name], 0)), "", INDEX(SelectedPrecincts[Draw], MATCH(SamplingData[[#This Row],[Batch by Type (p)]],SelectedPrecincts[Batch Name], 0)))</f>
        <v/>
      </c>
      <c r="X1063" s="102">
        <f>IF(COUNTIF(SelectedPrecincts[Batch Name],SamplingData[[#This Row],[Batch by Type (p)]]) &lt;&gt; 0, COUNTIF(SelectedPrecincts[Batch Name],SamplingData[[#This Row],[Batch by Type (p)]]), 0)</f>
        <v>0</v>
      </c>
    </row>
    <row r="1064" spans="1:24" ht="15" customHeight="1">
      <c r="A1064" s="18" t="s">
        <v>1240</v>
      </c>
      <c r="B1064" s="18">
        <v>1</v>
      </c>
      <c r="C1064" s="18">
        <v>0</v>
      </c>
      <c r="D1064" s="18">
        <v>0</v>
      </c>
      <c r="E1064" s="18">
        <v>0</v>
      </c>
      <c r="F1064" s="18">
        <v>0</v>
      </c>
      <c r="G1064" s="18">
        <v>0</v>
      </c>
      <c r="H1064" s="18">
        <v>0</v>
      </c>
      <c r="I1064" s="18">
        <v>1</v>
      </c>
      <c r="J1064" s="99">
        <f>SUM(SamplingData[[#This Row],[Losing Candidate]:[Under Votes]])</f>
        <v>2</v>
      </c>
      <c r="K106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64" s="100">
        <f>IF(AND(SamplingData[[#This Row],[Total]]&lt;&gt; 0, NOT(ISBLANK(SamplingData[[#This Row],[Candidate 3]]))),(SamplingData[[#This Row],[Total]]+SamplingData[[#This Row],[Winning Candidate]]-SamplingData[[#This Row],[Candidate 3]])/(SamplingData[[#Totals],[Winning Candidate]]-SamplingData[[#Totals],[Candidate 3]]), 0)</f>
        <v>6.4522373132883833E-5</v>
      </c>
      <c r="M1064" s="100">
        <f>IF(AND(SamplingData[[#This Row],[Total]]&lt;&gt; 0, NOT(ISBLANK(SamplingData[[#This Row],[Candidate 4]]))),(SamplingData[[#This Row],[Total]]+SamplingData[[#This Row],[Winning Candidate]]-SamplingData[[#This Row],[Candidate 4]])/(SamplingData[[#Totals],[Winning Candidate]]-SamplingData[[#Totals],[Candidate 4]]), 0)</f>
        <v>5.846414686193692E-5</v>
      </c>
      <c r="N1064" s="100">
        <f>IF(AND(SamplingData[[#This Row],[Total]]&lt;&gt; 0, NOT(ISBLANK(SamplingData[[#This Row],[Candidate 5]]))),(SamplingData[[#This Row],[Total]]+SamplingData[[#This Row],[Winning Candidate]]-SamplingData[[#This Row],[Candidate 5]])/(SamplingData[[#Totals],[Winning Candidate]]-SamplingData[[#Totals],[Candidate 5]]), 0)</f>
        <v>4.8649963512527367E-5</v>
      </c>
      <c r="O1064" s="100">
        <f>IF(AND(SamplingData[[#This Row],[Total]]&lt;&gt; 0, NOT(ISBLANK(SamplingData[[#This Row],[Candidate 6]]))),(SamplingData[[#This Row],[Total]]+SamplingData[[#This Row],[Winning Candidate]]-SamplingData[[#This Row],[Candidate 6]])/(SamplingData[[#Totals],[Winning Candidate]]-SamplingData[[#Totals],[Candidate 6]]), 0)</f>
        <v>4.8635766742862701E-5</v>
      </c>
      <c r="P1064" s="100">
        <f>MAX(SamplingData[[#This Row],[Error Bound (up) - Max. possible relative overstatement - Losing Candidate]:[Error Bound (up) - Max. possible relative overstatement - Candidate 6]])</f>
        <v>6.4522373132883833E-5</v>
      </c>
      <c r="Q1064" s="100">
        <f>IF(SamplingData[[#This Row],[Max Error Bound (up)]] = 0,0,SamplingData[[#This Row],[Max Error Bound (up)]]/SamplingData[[#Totals],[Max Error Bound (up)]])</f>
        <v>1.0211727553664133E-5</v>
      </c>
      <c r="R1064" s="101">
        <f>SUM($Q$5:Q1064)</f>
        <v>0.26818636438941751</v>
      </c>
      <c r="S1064" s="100" t="str">
        <f t="array" ref="S1064">IF(SamplingData[[#This Row],[up/U Selection Probability]] = 0, "Zero", TEXT(SamplingData[[#This Row],[Lower Range]], REPT("0",LEN('General Info'!$B$40))) &amp; " - " &amp; TEXT(SamplingData[[#This Row],[Upper Range]], REPT("0",LEN('General Info'!$B$40))))</f>
        <v>26818 - 26818</v>
      </c>
      <c r="T1064" s="100">
        <f>SamplingData[[#This Row],[Upper Range]]-SamplingData[[#This Row],[Span]]</f>
        <v>26817.615276398112</v>
      </c>
      <c r="U1064" s="100">
        <f>IF(ISNUMBER('General Info'!$B$40), ((SamplingData[[#This Row],[up/U Selection Probability]]) * 'General Info'!$B$40) - 1, 0)</f>
        <v>2.116254363885961E-2</v>
      </c>
      <c r="V1064" s="100">
        <f>IF(ISNUMBER('General Info'!$B$40), (SamplingData[[#This Row],[Running (cumulative) sum]] * ('General Info'!$B$40 -'General Info'!$B$41 + 1)) + 'General Info'!$B$41 - 1, 0)</f>
        <v>26817.63643894175</v>
      </c>
      <c r="W1064" s="100" t="str">
        <f>IF(ISERROR(MATCH(SamplingData[[#This Row],[Batch by Type (p)]],SelectedPrecincts[Batch Name], 0)), "", INDEX(SelectedPrecincts[Draw], MATCH(SamplingData[[#This Row],[Batch by Type (p)]],SelectedPrecincts[Batch Name], 0)))</f>
        <v/>
      </c>
      <c r="X1064" s="102">
        <f>IF(COUNTIF(SelectedPrecincts[Batch Name],SamplingData[[#This Row],[Batch by Type (p)]]) &lt;&gt; 0, COUNTIF(SelectedPrecincts[Batch Name],SamplingData[[#This Row],[Batch by Type (p)]]), 0)</f>
        <v>0</v>
      </c>
    </row>
    <row r="1065" spans="1:24" ht="15" customHeight="1">
      <c r="A1065" s="18" t="s">
        <v>1241</v>
      </c>
      <c r="B1065" s="18">
        <v>0</v>
      </c>
      <c r="C1065" s="18">
        <v>1</v>
      </c>
      <c r="D1065" s="16">
        <v>1</v>
      </c>
      <c r="E1065" s="16">
        <v>2</v>
      </c>
      <c r="F1065" s="37">
        <v>0</v>
      </c>
      <c r="G1065" s="37">
        <v>0</v>
      </c>
      <c r="H1065" s="17">
        <v>0</v>
      </c>
      <c r="I1065" s="17">
        <v>0</v>
      </c>
      <c r="J1065" s="99">
        <f>SUM(SamplingData[[#This Row],[Losing Candidate]:[Under Votes]])</f>
        <v>4</v>
      </c>
      <c r="K1065"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1065" s="100">
        <f>IF(AND(SamplingData[[#This Row],[Total]]&lt;&gt; 0, NOT(ISBLANK(SamplingData[[#This Row],[Candidate 3]]))),(SamplingData[[#This Row],[Total]]+SamplingData[[#This Row],[Winning Candidate]]-SamplingData[[#This Row],[Candidate 3]])/(SamplingData[[#Totals],[Winning Candidate]]-SamplingData[[#Totals],[Candidate 3]]), 0)</f>
        <v>1.2904474626576767E-4</v>
      </c>
      <c r="M1065" s="100">
        <f>IF(AND(SamplingData[[#This Row],[Total]]&lt;&gt; 0, NOT(ISBLANK(SamplingData[[#This Row],[Candidate 4]]))),(SamplingData[[#This Row],[Total]]+SamplingData[[#This Row],[Winning Candidate]]-SamplingData[[#This Row],[Candidate 4]])/(SamplingData[[#Totals],[Winning Candidate]]-SamplingData[[#Totals],[Candidate 4]]), 0)</f>
        <v>8.7696220292905373E-5</v>
      </c>
      <c r="N1065" s="100">
        <f>IF(AND(SamplingData[[#This Row],[Total]]&lt;&gt; 0, NOT(ISBLANK(SamplingData[[#This Row],[Candidate 5]]))),(SamplingData[[#This Row],[Total]]+SamplingData[[#This Row],[Winning Candidate]]-SamplingData[[#This Row],[Candidate 5]])/(SamplingData[[#Totals],[Winning Candidate]]-SamplingData[[#Totals],[Candidate 5]]), 0)</f>
        <v>1.2162490878131841E-4</v>
      </c>
      <c r="O1065" s="100">
        <f>IF(AND(SamplingData[[#This Row],[Total]]&lt;&gt; 0, NOT(ISBLANK(SamplingData[[#This Row],[Candidate 6]]))),(SamplingData[[#This Row],[Total]]+SamplingData[[#This Row],[Winning Candidate]]-SamplingData[[#This Row],[Candidate 6]])/(SamplingData[[#Totals],[Winning Candidate]]-SamplingData[[#Totals],[Candidate 6]]), 0)</f>
        <v>1.2158941685715675E-4</v>
      </c>
      <c r="P1065" s="100">
        <f>MAX(SamplingData[[#This Row],[Error Bound (up) - Max. possible relative overstatement - Losing Candidate]:[Error Bound (up) - Max. possible relative overstatement - Candidate 6]])</f>
        <v>3.0622243998040176E-4</v>
      </c>
      <c r="Q1065" s="100">
        <f>IF(SamplingData[[#This Row],[Max Error Bound (up)]] = 0,0,SamplingData[[#This Row],[Max Error Bound (up)]]/SamplingData[[#Totals],[Max Error Bound (up)]])</f>
        <v>4.8464741392229159E-5</v>
      </c>
      <c r="R1065" s="101">
        <f>SUM($Q$5:Q1065)</f>
        <v>0.26823482913080976</v>
      </c>
      <c r="S1065" s="100" t="str">
        <f t="array" ref="S1065">IF(SamplingData[[#This Row],[up/U Selection Probability]] = 0, "Zero", TEXT(SamplingData[[#This Row],[Lower Range]], REPT("0",LEN('General Info'!$B$40))) &amp; " - " &amp; TEXT(SamplingData[[#This Row],[Upper Range]], REPT("0",LEN('General Info'!$B$40))))</f>
        <v>26819 - 26822</v>
      </c>
      <c r="T1065" s="100">
        <f>SamplingData[[#This Row],[Upper Range]]-SamplingData[[#This Row],[Span]]</f>
        <v>26818.636487406497</v>
      </c>
      <c r="U1065" s="100">
        <f>IF(ISNUMBER('General Info'!$B$40), ((SamplingData[[#This Row],[up/U Selection Probability]]) * 'General Info'!$B$40) - 1, 0)</f>
        <v>3.8464256744815239</v>
      </c>
      <c r="V1065" s="100">
        <f>IF(ISNUMBER('General Info'!$B$40), (SamplingData[[#This Row],[Running (cumulative) sum]] * ('General Info'!$B$40 -'General Info'!$B$41 + 1)) + 'General Info'!$B$41 - 1, 0)</f>
        <v>26822.482913080978</v>
      </c>
      <c r="W1065" s="100" t="str">
        <f>IF(ISERROR(MATCH(SamplingData[[#This Row],[Batch by Type (p)]],SelectedPrecincts[Batch Name], 0)), "", INDEX(SelectedPrecincts[Draw], MATCH(SamplingData[[#This Row],[Batch by Type (p)]],SelectedPrecincts[Batch Name], 0)))</f>
        <v/>
      </c>
      <c r="X1065" s="102">
        <f>IF(COUNTIF(SelectedPrecincts[Batch Name],SamplingData[[#This Row],[Batch by Type (p)]]) &lt;&gt; 0, COUNTIF(SelectedPrecincts[Batch Name],SamplingData[[#This Row],[Batch by Type (p)]]), 0)</f>
        <v>0</v>
      </c>
    </row>
    <row r="1066" spans="1:24" ht="15" customHeight="1">
      <c r="A1066" s="18" t="s">
        <v>1242</v>
      </c>
      <c r="B1066" s="18">
        <v>2</v>
      </c>
      <c r="C1066" s="18">
        <v>1</v>
      </c>
      <c r="D1066" s="18">
        <v>1</v>
      </c>
      <c r="E1066" s="18">
        <v>1</v>
      </c>
      <c r="F1066" s="18">
        <v>0</v>
      </c>
      <c r="G1066" s="18">
        <v>0</v>
      </c>
      <c r="H1066" s="18">
        <v>0</v>
      </c>
      <c r="I1066" s="18">
        <v>1</v>
      </c>
      <c r="J1066" s="99">
        <f>SUM(SamplingData[[#This Row],[Losing Candidate]:[Under Votes]])</f>
        <v>6</v>
      </c>
      <c r="K1066"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1066" s="100">
        <f>IF(AND(SamplingData[[#This Row],[Total]]&lt;&gt; 0, NOT(ISBLANK(SamplingData[[#This Row],[Candidate 3]]))),(SamplingData[[#This Row],[Total]]+SamplingData[[#This Row],[Winning Candidate]]-SamplingData[[#This Row],[Candidate 3]])/(SamplingData[[#Totals],[Winning Candidate]]-SamplingData[[#Totals],[Candidate 3]]), 0)</f>
        <v>1.9356711939865149E-4</v>
      </c>
      <c r="M1066" s="100">
        <f>IF(AND(SamplingData[[#This Row],[Total]]&lt;&gt; 0, NOT(ISBLANK(SamplingData[[#This Row],[Candidate 4]]))),(SamplingData[[#This Row],[Total]]+SamplingData[[#This Row],[Winning Candidate]]-SamplingData[[#This Row],[Candidate 4]])/(SamplingData[[#Totals],[Winning Candidate]]-SamplingData[[#Totals],[Candidate 4]]), 0)</f>
        <v>1.7539244058581075E-4</v>
      </c>
      <c r="N1066" s="100">
        <f>IF(AND(SamplingData[[#This Row],[Total]]&lt;&gt; 0, NOT(ISBLANK(SamplingData[[#This Row],[Candidate 5]]))),(SamplingData[[#This Row],[Total]]+SamplingData[[#This Row],[Winning Candidate]]-SamplingData[[#This Row],[Candidate 5]])/(SamplingData[[#Totals],[Winning Candidate]]-SamplingData[[#Totals],[Candidate 5]]), 0)</f>
        <v>1.7027487229384579E-4</v>
      </c>
      <c r="O1066" s="100">
        <f>IF(AND(SamplingData[[#This Row],[Total]]&lt;&gt; 0, NOT(ISBLANK(SamplingData[[#This Row],[Candidate 6]]))),(SamplingData[[#This Row],[Total]]+SamplingData[[#This Row],[Winning Candidate]]-SamplingData[[#This Row],[Candidate 6]])/(SamplingData[[#Totals],[Winning Candidate]]-SamplingData[[#Totals],[Candidate 6]]), 0)</f>
        <v>1.7022518360001944E-4</v>
      </c>
      <c r="P1066" s="100">
        <f>MAX(SamplingData[[#This Row],[Error Bound (up) - Max. possible relative overstatement - Losing Candidate]:[Error Bound (up) - Max. possible relative overstatement - Candidate 6]])</f>
        <v>3.0622243998040176E-4</v>
      </c>
      <c r="Q1066" s="100">
        <f>IF(SamplingData[[#This Row],[Max Error Bound (up)]] = 0,0,SamplingData[[#This Row],[Max Error Bound (up)]]/SamplingData[[#Totals],[Max Error Bound (up)]])</f>
        <v>4.8464741392229159E-5</v>
      </c>
      <c r="R1066" s="101">
        <f>SUM($Q$5:Q1066)</f>
        <v>0.26828329387220201</v>
      </c>
      <c r="S1066" s="100" t="str">
        <f t="array" ref="S1066">IF(SamplingData[[#This Row],[up/U Selection Probability]] = 0, "Zero", TEXT(SamplingData[[#This Row],[Lower Range]], REPT("0",LEN('General Info'!$B$40))) &amp; " - " &amp; TEXT(SamplingData[[#This Row],[Upper Range]], REPT("0",LEN('General Info'!$B$40))))</f>
        <v>26823 - 26827</v>
      </c>
      <c r="T1066" s="100">
        <f>SamplingData[[#This Row],[Upper Range]]-SamplingData[[#This Row],[Span]]</f>
        <v>26823.48296154572</v>
      </c>
      <c r="U1066" s="100">
        <f>IF(ISNUMBER('General Info'!$B$40), ((SamplingData[[#This Row],[up/U Selection Probability]]) * 'General Info'!$B$40) - 1, 0)</f>
        <v>3.8464256744815239</v>
      </c>
      <c r="V1066" s="100">
        <f>IF(ISNUMBER('General Info'!$B$40), (SamplingData[[#This Row],[Running (cumulative) sum]] * ('General Info'!$B$40 -'General Info'!$B$41 + 1)) + 'General Info'!$B$41 - 1, 0)</f>
        <v>26827.329387220201</v>
      </c>
      <c r="W1066" s="100" t="str">
        <f>IF(ISERROR(MATCH(SamplingData[[#This Row],[Batch by Type (p)]],SelectedPrecincts[Batch Name], 0)), "", INDEX(SelectedPrecincts[Draw], MATCH(SamplingData[[#This Row],[Batch by Type (p)]],SelectedPrecincts[Batch Name], 0)))</f>
        <v/>
      </c>
      <c r="X1066" s="102">
        <f>IF(COUNTIF(SelectedPrecincts[Batch Name],SamplingData[[#This Row],[Batch by Type (p)]]) &lt;&gt; 0, COUNTIF(SelectedPrecincts[Batch Name],SamplingData[[#This Row],[Batch by Type (p)]]), 0)</f>
        <v>0</v>
      </c>
    </row>
    <row r="1067" spans="1:24" ht="15" customHeight="1">
      <c r="A1067" s="18" t="s">
        <v>1243</v>
      </c>
      <c r="B1067" s="18">
        <v>3</v>
      </c>
      <c r="C1067" s="18">
        <v>9</v>
      </c>
      <c r="D1067" s="16">
        <v>4</v>
      </c>
      <c r="E1067" s="16">
        <v>1</v>
      </c>
      <c r="F1067" s="37">
        <v>0</v>
      </c>
      <c r="G1067" s="37">
        <v>0</v>
      </c>
      <c r="H1067" s="17">
        <v>0</v>
      </c>
      <c r="I1067" s="17">
        <v>1</v>
      </c>
      <c r="J1067" s="99">
        <f>SUM(SamplingData[[#This Row],[Losing Candidate]:[Under Votes]])</f>
        <v>18</v>
      </c>
      <c r="K1067"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1067" s="100">
        <f>IF(AND(SamplingData[[#This Row],[Total]]&lt;&gt; 0, NOT(ISBLANK(SamplingData[[#This Row],[Candidate 3]]))),(SamplingData[[#This Row],[Total]]+SamplingData[[#This Row],[Winning Candidate]]-SamplingData[[#This Row],[Candidate 3]])/(SamplingData[[#Totals],[Winning Candidate]]-SamplingData[[#Totals],[Candidate 3]]), 0)</f>
        <v>7.4200729102816406E-4</v>
      </c>
      <c r="M1067" s="100">
        <f>IF(AND(SamplingData[[#This Row],[Total]]&lt;&gt; 0, NOT(ISBLANK(SamplingData[[#This Row],[Candidate 4]]))),(SamplingData[[#This Row],[Total]]+SamplingData[[#This Row],[Winning Candidate]]-SamplingData[[#This Row],[Candidate 4]])/(SamplingData[[#Totals],[Winning Candidate]]-SamplingData[[#Totals],[Candidate 4]]), 0)</f>
        <v>7.6003390920517991E-4</v>
      </c>
      <c r="N1067" s="100">
        <f>IF(AND(SamplingData[[#This Row],[Total]]&lt;&gt; 0, NOT(ISBLANK(SamplingData[[#This Row],[Candidate 5]]))),(SamplingData[[#This Row],[Total]]+SamplingData[[#This Row],[Winning Candidate]]-SamplingData[[#This Row],[Candidate 5]])/(SamplingData[[#Totals],[Winning Candidate]]-SamplingData[[#Totals],[Candidate 5]]), 0)</f>
        <v>6.5677450741911947E-4</v>
      </c>
      <c r="O1067" s="100">
        <f>IF(AND(SamplingData[[#This Row],[Total]]&lt;&gt; 0, NOT(ISBLANK(SamplingData[[#This Row],[Candidate 6]]))),(SamplingData[[#This Row],[Total]]+SamplingData[[#This Row],[Winning Candidate]]-SamplingData[[#This Row],[Candidate 6]])/(SamplingData[[#Totals],[Winning Candidate]]-SamplingData[[#Totals],[Candidate 6]]), 0)</f>
        <v>6.5658285102864649E-4</v>
      </c>
      <c r="P1067" s="100">
        <f>MAX(SamplingData[[#This Row],[Error Bound (up) - Max. possible relative overstatement - Losing Candidate]:[Error Bound (up) - Max. possible relative overstatement - Candidate 6]])</f>
        <v>1.4698677119059284E-3</v>
      </c>
      <c r="Q1067" s="100">
        <f>IF(SamplingData[[#This Row],[Max Error Bound (up)]] = 0,0,SamplingData[[#This Row],[Max Error Bound (up)]]/SamplingData[[#Totals],[Max Error Bound (up)]])</f>
        <v>2.3263075868269994E-4</v>
      </c>
      <c r="R1067" s="101">
        <f>SUM($Q$5:Q1067)</f>
        <v>0.26851592463088469</v>
      </c>
      <c r="S1067" s="100" t="str">
        <f t="array" ref="S1067">IF(SamplingData[[#This Row],[up/U Selection Probability]] = 0, "Zero", TEXT(SamplingData[[#This Row],[Lower Range]], REPT("0",LEN('General Info'!$B$40))) &amp; " - " &amp; TEXT(SamplingData[[#This Row],[Upper Range]], REPT("0",LEN('General Info'!$B$40))))</f>
        <v>26828 - 26851</v>
      </c>
      <c r="T1067" s="100">
        <f>SamplingData[[#This Row],[Upper Range]]-SamplingData[[#This Row],[Span]]</f>
        <v>26828.32961985096</v>
      </c>
      <c r="U1067" s="100">
        <f>IF(ISNUMBER('General Info'!$B$40), ((SamplingData[[#This Row],[up/U Selection Probability]]) * 'General Info'!$B$40) - 1, 0)</f>
        <v>22.262843237511312</v>
      </c>
      <c r="V1067" s="100">
        <f>IF(ISNUMBER('General Info'!$B$40), (SamplingData[[#This Row],[Running (cumulative) sum]] * ('General Info'!$B$40 -'General Info'!$B$41 + 1)) + 'General Info'!$B$41 - 1, 0)</f>
        <v>26850.592463088469</v>
      </c>
      <c r="W1067" s="100" t="str">
        <f>IF(ISERROR(MATCH(SamplingData[[#This Row],[Batch by Type (p)]],SelectedPrecincts[Batch Name], 0)), "", INDEX(SelectedPrecincts[Draw], MATCH(SamplingData[[#This Row],[Batch by Type (p)]],SelectedPrecincts[Batch Name], 0)))</f>
        <v/>
      </c>
      <c r="X1067" s="102">
        <f>IF(COUNTIF(SelectedPrecincts[Batch Name],SamplingData[[#This Row],[Batch by Type (p)]]) &lt;&gt; 0, COUNTIF(SelectedPrecincts[Batch Name],SamplingData[[#This Row],[Batch by Type (p)]]), 0)</f>
        <v>0</v>
      </c>
    </row>
    <row r="1068" spans="1:24" ht="15" customHeight="1">
      <c r="A1068" s="18" t="s">
        <v>1244</v>
      </c>
      <c r="B1068" s="18">
        <v>2</v>
      </c>
      <c r="C1068" s="18">
        <v>6</v>
      </c>
      <c r="D1068" s="18">
        <v>0</v>
      </c>
      <c r="E1068" s="18">
        <v>0</v>
      </c>
      <c r="F1068" s="18">
        <v>0</v>
      </c>
      <c r="G1068" s="18">
        <v>0</v>
      </c>
      <c r="H1068" s="18">
        <v>0</v>
      </c>
      <c r="I1068" s="18">
        <v>0</v>
      </c>
      <c r="J1068" s="99">
        <f>SUM(SamplingData[[#This Row],[Losing Candidate]:[Under Votes]])</f>
        <v>8</v>
      </c>
      <c r="K1068"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1068" s="100">
        <f>IF(AND(SamplingData[[#This Row],[Total]]&lt;&gt; 0, NOT(ISBLANK(SamplingData[[#This Row],[Candidate 3]]))),(SamplingData[[#This Row],[Total]]+SamplingData[[#This Row],[Winning Candidate]]-SamplingData[[#This Row],[Candidate 3]])/(SamplingData[[#Totals],[Winning Candidate]]-SamplingData[[#Totals],[Candidate 3]]), 0)</f>
        <v>4.5165661193018679E-4</v>
      </c>
      <c r="M1068" s="100">
        <f>IF(AND(SamplingData[[#This Row],[Total]]&lt;&gt; 0, NOT(ISBLANK(SamplingData[[#This Row],[Candidate 4]]))),(SamplingData[[#This Row],[Total]]+SamplingData[[#This Row],[Winning Candidate]]-SamplingData[[#This Row],[Candidate 4]])/(SamplingData[[#Totals],[Winning Candidate]]-SamplingData[[#Totals],[Candidate 4]]), 0)</f>
        <v>4.0924902803355842E-4</v>
      </c>
      <c r="N1068" s="100">
        <f>IF(AND(SamplingData[[#This Row],[Total]]&lt;&gt; 0, NOT(ISBLANK(SamplingData[[#This Row],[Candidate 5]]))),(SamplingData[[#This Row],[Total]]+SamplingData[[#This Row],[Winning Candidate]]-SamplingData[[#This Row],[Candidate 5]])/(SamplingData[[#Totals],[Winning Candidate]]-SamplingData[[#Totals],[Candidate 5]]), 0)</f>
        <v>3.4054974458769157E-4</v>
      </c>
      <c r="O1068" s="100">
        <f>IF(AND(SamplingData[[#This Row],[Total]]&lt;&gt; 0, NOT(ISBLANK(SamplingData[[#This Row],[Candidate 6]]))),(SamplingData[[#This Row],[Total]]+SamplingData[[#This Row],[Winning Candidate]]-SamplingData[[#This Row],[Candidate 6]])/(SamplingData[[#Totals],[Winning Candidate]]-SamplingData[[#Totals],[Candidate 6]]), 0)</f>
        <v>3.4045036720003888E-4</v>
      </c>
      <c r="P1068" s="100">
        <f>MAX(SamplingData[[#This Row],[Error Bound (up) - Max. possible relative overstatement - Losing Candidate]:[Error Bound (up) - Max. possible relative overstatement - Candidate 6]])</f>
        <v>7.3493385595296422E-4</v>
      </c>
      <c r="Q1068" s="100">
        <f>IF(SamplingData[[#This Row],[Max Error Bound (up)]] = 0,0,SamplingData[[#This Row],[Max Error Bound (up)]]/SamplingData[[#Totals],[Max Error Bound (up)]])</f>
        <v>1.1631537934134997E-4</v>
      </c>
      <c r="R1068" s="101">
        <f>SUM($Q$5:Q1068)</f>
        <v>0.26863224001022606</v>
      </c>
      <c r="S1068" s="100" t="str">
        <f t="array" ref="S1068">IF(SamplingData[[#This Row],[up/U Selection Probability]] = 0, "Zero", TEXT(SamplingData[[#This Row],[Lower Range]], REPT("0",LEN('General Info'!$B$40))) &amp; " - " &amp; TEXT(SamplingData[[#This Row],[Upper Range]], REPT("0",LEN('General Info'!$B$40))))</f>
        <v>26852 - 26862</v>
      </c>
      <c r="T1068" s="100">
        <f>SamplingData[[#This Row],[Upper Range]]-SamplingData[[#This Row],[Span]]</f>
        <v>26851.592579403849</v>
      </c>
      <c r="U1068" s="100">
        <f>IF(ISNUMBER('General Info'!$B$40), ((SamplingData[[#This Row],[up/U Selection Probability]]) * 'General Info'!$B$40) - 1, 0)</f>
        <v>10.631421618755656</v>
      </c>
      <c r="V1068" s="100">
        <f>IF(ISNUMBER('General Info'!$B$40), (SamplingData[[#This Row],[Running (cumulative) sum]] * ('General Info'!$B$40 -'General Info'!$B$41 + 1)) + 'General Info'!$B$41 - 1, 0)</f>
        <v>26862.224001022605</v>
      </c>
      <c r="W1068" s="100" t="str">
        <f>IF(ISERROR(MATCH(SamplingData[[#This Row],[Batch by Type (p)]],SelectedPrecincts[Batch Name], 0)), "", INDEX(SelectedPrecincts[Draw], MATCH(SamplingData[[#This Row],[Batch by Type (p)]],SelectedPrecincts[Batch Name], 0)))</f>
        <v/>
      </c>
      <c r="X1068" s="102">
        <f>IF(COUNTIF(SelectedPrecincts[Batch Name],SamplingData[[#This Row],[Batch by Type (p)]]) &lt;&gt; 0, COUNTIF(SelectedPrecincts[Batch Name],SamplingData[[#This Row],[Batch by Type (p)]]), 0)</f>
        <v>0</v>
      </c>
    </row>
    <row r="1069" spans="1:24" ht="15" customHeight="1">
      <c r="A1069" s="18" t="s">
        <v>1245</v>
      </c>
      <c r="B1069" s="18">
        <v>15</v>
      </c>
      <c r="C1069" s="18">
        <v>13</v>
      </c>
      <c r="D1069" s="16">
        <v>5</v>
      </c>
      <c r="E1069" s="16">
        <v>0</v>
      </c>
      <c r="F1069" s="37">
        <v>0</v>
      </c>
      <c r="G1069" s="37">
        <v>1</v>
      </c>
      <c r="H1069" s="17">
        <v>0</v>
      </c>
      <c r="I1069" s="17">
        <v>0</v>
      </c>
      <c r="J1069" s="99">
        <f>SUM(SamplingData[[#This Row],[Losing Candidate]:[Under Votes]])</f>
        <v>34</v>
      </c>
      <c r="K1069"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069" s="100">
        <f>IF(AND(SamplingData[[#This Row],[Total]]&lt;&gt; 0, NOT(ISBLANK(SamplingData[[#This Row],[Candidate 3]]))),(SamplingData[[#This Row],[Total]]+SamplingData[[#This Row],[Winning Candidate]]-SamplingData[[#This Row],[Candidate 3]])/(SamplingData[[#Totals],[Winning Candidate]]-SamplingData[[#Totals],[Candidate 3]]), 0)</f>
        <v>1.3549698357905604E-3</v>
      </c>
      <c r="M1069" s="100">
        <f>IF(AND(SamplingData[[#This Row],[Total]]&lt;&gt; 0, NOT(ISBLANK(SamplingData[[#This Row],[Candidate 4]]))),(SamplingData[[#This Row],[Total]]+SamplingData[[#This Row],[Winning Candidate]]-SamplingData[[#This Row],[Candidate 4]])/(SamplingData[[#Totals],[Winning Candidate]]-SamplingData[[#Totals],[Candidate 4]]), 0)</f>
        <v>1.3739074512555175E-3</v>
      </c>
      <c r="N1069" s="100">
        <f>IF(AND(SamplingData[[#This Row],[Total]]&lt;&gt; 0, NOT(ISBLANK(SamplingData[[#This Row],[Candidate 5]]))),(SamplingData[[#This Row],[Total]]+SamplingData[[#This Row],[Winning Candidate]]-SamplingData[[#This Row],[Candidate 5]])/(SamplingData[[#Totals],[Winning Candidate]]-SamplingData[[#Totals],[Candidate 5]]), 0)</f>
        <v>1.1432741425443931E-3</v>
      </c>
      <c r="O1069" s="100">
        <f>IF(AND(SamplingData[[#This Row],[Total]]&lt;&gt; 0, NOT(ISBLANK(SamplingData[[#This Row],[Candidate 6]]))),(SamplingData[[#This Row],[Total]]+SamplingData[[#This Row],[Winning Candidate]]-SamplingData[[#This Row],[Candidate 6]])/(SamplingData[[#Totals],[Winning Candidate]]-SamplingData[[#Totals],[Candidate 6]]), 0)</f>
        <v>1.1186226350858421E-3</v>
      </c>
      <c r="P1069" s="100">
        <f>MAX(SamplingData[[#This Row],[Error Bound (up) - Max. possible relative overstatement - Losing Candidate]:[Error Bound (up) - Max. possible relative overstatement - Candidate 6]])</f>
        <v>1.9598236158745713E-3</v>
      </c>
      <c r="Q1069" s="100">
        <f>IF(SamplingData[[#This Row],[Max Error Bound (up)]] = 0,0,SamplingData[[#This Row],[Max Error Bound (up)]]/SamplingData[[#Totals],[Max Error Bound (up)]])</f>
        <v>3.1017434491026661E-4</v>
      </c>
      <c r="R1069" s="101">
        <f>SUM($Q$5:Q1069)</f>
        <v>0.26894241435513633</v>
      </c>
      <c r="S1069" s="100" t="str">
        <f t="array" ref="S1069">IF(SamplingData[[#This Row],[up/U Selection Probability]] = 0, "Zero", TEXT(SamplingData[[#This Row],[Lower Range]], REPT("0",LEN('General Info'!$B$40))) &amp; " - " &amp; TEXT(SamplingData[[#This Row],[Upper Range]], REPT("0",LEN('General Info'!$B$40))))</f>
        <v>26863 - 26893</v>
      </c>
      <c r="T1069" s="100">
        <f>SamplingData[[#This Row],[Upper Range]]-SamplingData[[#This Row],[Span]]</f>
        <v>26863.224311196951</v>
      </c>
      <c r="U1069" s="100">
        <f>IF(ISNUMBER('General Info'!$B$40), ((SamplingData[[#This Row],[up/U Selection Probability]]) * 'General Info'!$B$40) - 1, 0)</f>
        <v>30.017124316681752</v>
      </c>
      <c r="V1069" s="100">
        <f>IF(ISNUMBER('General Info'!$B$40), (SamplingData[[#This Row],[Running (cumulative) sum]] * ('General Info'!$B$40 -'General Info'!$B$41 + 1)) + 'General Info'!$B$41 - 1, 0)</f>
        <v>26893.241435513632</v>
      </c>
      <c r="W1069" s="100" t="str">
        <f>IF(ISERROR(MATCH(SamplingData[[#This Row],[Batch by Type (p)]],SelectedPrecincts[Batch Name], 0)), "", INDEX(SelectedPrecincts[Draw], MATCH(SamplingData[[#This Row],[Batch by Type (p)]],SelectedPrecincts[Batch Name], 0)))</f>
        <v/>
      </c>
      <c r="X1069" s="102">
        <f>IF(COUNTIF(SelectedPrecincts[Batch Name],SamplingData[[#This Row],[Batch by Type (p)]]) &lt;&gt; 0, COUNTIF(SelectedPrecincts[Batch Name],SamplingData[[#This Row],[Batch by Type (p)]]), 0)</f>
        <v>0</v>
      </c>
    </row>
    <row r="1070" spans="1:24" ht="15" customHeight="1">
      <c r="A1070" s="18" t="s">
        <v>1246</v>
      </c>
      <c r="B1070" s="18">
        <v>2</v>
      </c>
      <c r="C1070" s="18">
        <v>8</v>
      </c>
      <c r="D1070" s="18">
        <v>3</v>
      </c>
      <c r="E1070" s="18">
        <v>0</v>
      </c>
      <c r="F1070" s="18">
        <v>0</v>
      </c>
      <c r="G1070" s="18">
        <v>0</v>
      </c>
      <c r="H1070" s="18">
        <v>0</v>
      </c>
      <c r="I1070" s="18">
        <v>0</v>
      </c>
      <c r="J1070" s="99">
        <f>SUM(SamplingData[[#This Row],[Losing Candidate]:[Under Votes]])</f>
        <v>13</v>
      </c>
      <c r="K1070"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070" s="100">
        <f>IF(AND(SamplingData[[#This Row],[Total]]&lt;&gt; 0, NOT(ISBLANK(SamplingData[[#This Row],[Candidate 3]]))),(SamplingData[[#This Row],[Total]]+SamplingData[[#This Row],[Winning Candidate]]-SamplingData[[#This Row],[Candidate 3]])/(SamplingData[[#Totals],[Winning Candidate]]-SamplingData[[#Totals],[Candidate 3]]), 0)</f>
        <v>5.8070135819595443E-4</v>
      </c>
      <c r="M1070" s="100">
        <f>IF(AND(SamplingData[[#This Row],[Total]]&lt;&gt; 0, NOT(ISBLANK(SamplingData[[#This Row],[Candidate 4]]))),(SamplingData[[#This Row],[Total]]+SamplingData[[#This Row],[Winning Candidate]]-SamplingData[[#This Row],[Candidate 4]])/(SamplingData[[#Totals],[Winning Candidate]]-SamplingData[[#Totals],[Candidate 4]]), 0)</f>
        <v>6.1387354205033758E-4</v>
      </c>
      <c r="N1070" s="100">
        <f>IF(AND(SamplingData[[#This Row],[Total]]&lt;&gt; 0, NOT(ISBLANK(SamplingData[[#This Row],[Candidate 5]]))),(SamplingData[[#This Row],[Total]]+SamplingData[[#This Row],[Winning Candidate]]-SamplingData[[#This Row],[Candidate 5]])/(SamplingData[[#Totals],[Winning Candidate]]-SamplingData[[#Totals],[Candidate 5]]), 0)</f>
        <v>5.1082461688153739E-4</v>
      </c>
      <c r="O1070" s="100">
        <f>IF(AND(SamplingData[[#This Row],[Total]]&lt;&gt; 0, NOT(ISBLANK(SamplingData[[#This Row],[Candidate 6]]))),(SamplingData[[#This Row],[Total]]+SamplingData[[#This Row],[Winning Candidate]]-SamplingData[[#This Row],[Candidate 6]])/(SamplingData[[#Totals],[Winning Candidate]]-SamplingData[[#Totals],[Candidate 6]]), 0)</f>
        <v>5.1067555080005838E-4</v>
      </c>
      <c r="P1070" s="100">
        <f>MAX(SamplingData[[#This Row],[Error Bound (up) - Max. possible relative overstatement - Losing Candidate]:[Error Bound (up) - Max. possible relative overstatement - Candidate 6]])</f>
        <v>1.1636452719255266E-3</v>
      </c>
      <c r="Q1070" s="100">
        <f>IF(SamplingData[[#This Row],[Max Error Bound (up)]] = 0,0,SamplingData[[#This Row],[Max Error Bound (up)]]/SamplingData[[#Totals],[Max Error Bound (up)]])</f>
        <v>1.841660172904708E-4</v>
      </c>
      <c r="R1070" s="101">
        <f>SUM($Q$5:Q1070)</f>
        <v>0.26912658037242682</v>
      </c>
      <c r="S1070" s="100" t="str">
        <f t="array" ref="S1070">IF(SamplingData[[#This Row],[up/U Selection Probability]] = 0, "Zero", TEXT(SamplingData[[#This Row],[Lower Range]], REPT("0",LEN('General Info'!$B$40))) &amp; " - " &amp; TEXT(SamplingData[[#This Row],[Upper Range]], REPT("0",LEN('General Info'!$B$40))))</f>
        <v>26894 - 26912</v>
      </c>
      <c r="T1070" s="100">
        <f>SamplingData[[#This Row],[Upper Range]]-SamplingData[[#This Row],[Span]]</f>
        <v>26894.241619679655</v>
      </c>
      <c r="U1070" s="100">
        <f>IF(ISNUMBER('General Info'!$B$40), ((SamplingData[[#This Row],[up/U Selection Probability]]) * 'General Info'!$B$40) - 1, 0)</f>
        <v>17.416417563029789</v>
      </c>
      <c r="V1070" s="100">
        <f>IF(ISNUMBER('General Info'!$B$40), (SamplingData[[#This Row],[Running (cumulative) sum]] * ('General Info'!$B$40 -'General Info'!$B$41 + 1)) + 'General Info'!$B$41 - 1, 0)</f>
        <v>26911.658037242683</v>
      </c>
      <c r="W1070" s="100" t="str">
        <f>IF(ISERROR(MATCH(SamplingData[[#This Row],[Batch by Type (p)]],SelectedPrecincts[Batch Name], 0)), "", INDEX(SelectedPrecincts[Draw], MATCH(SamplingData[[#This Row],[Batch by Type (p)]],SelectedPrecincts[Batch Name], 0)))</f>
        <v/>
      </c>
      <c r="X1070" s="102">
        <f>IF(COUNTIF(SelectedPrecincts[Batch Name],SamplingData[[#This Row],[Batch by Type (p)]]) &lt;&gt; 0, COUNTIF(SelectedPrecincts[Batch Name],SamplingData[[#This Row],[Batch by Type (p)]]), 0)</f>
        <v>0</v>
      </c>
    </row>
    <row r="1071" spans="1:24" ht="15" customHeight="1">
      <c r="A1071" s="18" t="s">
        <v>1247</v>
      </c>
      <c r="B1071" s="18">
        <v>12</v>
      </c>
      <c r="C1071" s="18">
        <v>16</v>
      </c>
      <c r="D1071" s="16">
        <v>4</v>
      </c>
      <c r="E1071" s="16">
        <v>1</v>
      </c>
      <c r="F1071" s="37">
        <v>0</v>
      </c>
      <c r="G1071" s="37">
        <v>0</v>
      </c>
      <c r="H1071" s="17">
        <v>0</v>
      </c>
      <c r="I1071" s="17">
        <v>0</v>
      </c>
      <c r="J1071" s="99">
        <f>SUM(SamplingData[[#This Row],[Losing Candidate]:[Under Votes]])</f>
        <v>33</v>
      </c>
      <c r="K1071" s="100">
        <f>IF(AND(SamplingData[[#This Row],[Total]]&lt;&gt; 0, NOT(ISBLANK(SamplingData[[#This Row],[Losing Candidate]]))),(SamplingData[[#This Row],[Total]]+SamplingData[[#This Row],[Winning Candidate]]-SamplingData[[#This Row],[Losing Candidate]])/(SamplingData[[#Totals],[Winning Candidate]]-SamplingData[[#Totals],[Losing Candidate]]), 0)</f>
        <v>2.2660460558549728E-3</v>
      </c>
      <c r="L1071" s="100">
        <f>IF(AND(SamplingData[[#This Row],[Total]]&lt;&gt; 0, NOT(ISBLANK(SamplingData[[#This Row],[Candidate 3]]))),(SamplingData[[#This Row],[Total]]+SamplingData[[#This Row],[Winning Candidate]]-SamplingData[[#This Row],[Candidate 3]])/(SamplingData[[#Totals],[Winning Candidate]]-SamplingData[[#Totals],[Candidate 3]]), 0)</f>
        <v>1.4517533954898861E-3</v>
      </c>
      <c r="M1071" s="100">
        <f>IF(AND(SamplingData[[#This Row],[Total]]&lt;&gt; 0, NOT(ISBLANK(SamplingData[[#This Row],[Candidate 4]]))),(SamplingData[[#This Row],[Total]]+SamplingData[[#This Row],[Winning Candidate]]-SamplingData[[#This Row],[Candidate 4]])/(SamplingData[[#Totals],[Winning Candidate]]-SamplingData[[#Totals],[Candidate 4]]), 0)</f>
        <v>1.403139524686486E-3</v>
      </c>
      <c r="N1071" s="100">
        <f>IF(AND(SamplingData[[#This Row],[Total]]&lt;&gt; 0, NOT(ISBLANK(SamplingData[[#This Row],[Candidate 5]]))),(SamplingData[[#This Row],[Total]]+SamplingData[[#This Row],[Winning Candidate]]-SamplingData[[#This Row],[Candidate 5]])/(SamplingData[[#Totals],[Winning Candidate]]-SamplingData[[#Totals],[Candidate 5]]), 0)</f>
        <v>1.1919241060569204E-3</v>
      </c>
      <c r="O1071" s="100">
        <f>IF(AND(SamplingData[[#This Row],[Total]]&lt;&gt; 0, NOT(ISBLANK(SamplingData[[#This Row],[Candidate 6]]))),(SamplingData[[#This Row],[Total]]+SamplingData[[#This Row],[Winning Candidate]]-SamplingData[[#This Row],[Candidate 6]])/(SamplingData[[#Totals],[Winning Candidate]]-SamplingData[[#Totals],[Candidate 6]]), 0)</f>
        <v>1.1915762852001363E-3</v>
      </c>
      <c r="P1071" s="100">
        <f>MAX(SamplingData[[#This Row],[Error Bound (up) - Max. possible relative overstatement - Losing Candidate]:[Error Bound (up) - Max. possible relative overstatement - Candidate 6]])</f>
        <v>2.2660460558549728E-3</v>
      </c>
      <c r="Q1071" s="100">
        <f>IF(SamplingData[[#This Row],[Max Error Bound (up)]] = 0,0,SamplingData[[#This Row],[Max Error Bound (up)]]/SamplingData[[#Totals],[Max Error Bound (up)]])</f>
        <v>3.5863908630249576E-4</v>
      </c>
      <c r="R1071" s="101">
        <f>SUM($Q$5:Q1071)</f>
        <v>0.26948521945872933</v>
      </c>
      <c r="S1071" s="100" t="str">
        <f t="array" ref="S1071">IF(SamplingData[[#This Row],[up/U Selection Probability]] = 0, "Zero", TEXT(SamplingData[[#This Row],[Lower Range]], REPT("0",LEN('General Info'!$B$40))) &amp; " - " &amp; TEXT(SamplingData[[#This Row],[Upper Range]], REPT("0",LEN('General Info'!$B$40))))</f>
        <v>26913 - 26948</v>
      </c>
      <c r="T1071" s="100">
        <f>SamplingData[[#This Row],[Upper Range]]-SamplingData[[#This Row],[Span]]</f>
        <v>26912.658395881772</v>
      </c>
      <c r="U1071" s="100">
        <f>IF(ISNUMBER('General Info'!$B$40), ((SamplingData[[#This Row],[up/U Selection Probability]]) * 'General Info'!$B$40) - 1, 0)</f>
        <v>34.863549991163275</v>
      </c>
      <c r="V1071" s="100">
        <f>IF(ISNUMBER('General Info'!$B$40), (SamplingData[[#This Row],[Running (cumulative) sum]] * ('General Info'!$B$40 -'General Info'!$B$41 + 1)) + 'General Info'!$B$41 - 1, 0)</f>
        <v>26947.521945872933</v>
      </c>
      <c r="W1071" s="100" t="str">
        <f>IF(ISERROR(MATCH(SamplingData[[#This Row],[Batch by Type (p)]],SelectedPrecincts[Batch Name], 0)), "", INDEX(SelectedPrecincts[Draw], MATCH(SamplingData[[#This Row],[Batch by Type (p)]],SelectedPrecincts[Batch Name], 0)))</f>
        <v/>
      </c>
      <c r="X1071" s="102">
        <f>IF(COUNTIF(SelectedPrecincts[Batch Name],SamplingData[[#This Row],[Batch by Type (p)]]) &lt;&gt; 0, COUNTIF(SelectedPrecincts[Batch Name],SamplingData[[#This Row],[Batch by Type (p)]]), 0)</f>
        <v>0</v>
      </c>
    </row>
    <row r="1072" spans="1:24" ht="15" customHeight="1">
      <c r="A1072" s="18" t="s">
        <v>1248</v>
      </c>
      <c r="B1072" s="18">
        <v>4</v>
      </c>
      <c r="C1072" s="18">
        <v>5</v>
      </c>
      <c r="D1072" s="18">
        <v>1</v>
      </c>
      <c r="E1072" s="18">
        <v>0</v>
      </c>
      <c r="F1072" s="18">
        <v>0</v>
      </c>
      <c r="G1072" s="18">
        <v>0</v>
      </c>
      <c r="H1072" s="18">
        <v>0</v>
      </c>
      <c r="I1072" s="18">
        <v>0</v>
      </c>
      <c r="J1072" s="99">
        <f>SUM(SamplingData[[#This Row],[Losing Candidate]:[Under Votes]])</f>
        <v>10</v>
      </c>
      <c r="K1072"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072" s="100">
        <f>IF(AND(SamplingData[[#This Row],[Total]]&lt;&gt; 0, NOT(ISBLANK(SamplingData[[#This Row],[Candidate 3]]))),(SamplingData[[#This Row],[Total]]+SamplingData[[#This Row],[Winning Candidate]]-SamplingData[[#This Row],[Candidate 3]])/(SamplingData[[#Totals],[Winning Candidate]]-SamplingData[[#Totals],[Candidate 3]]), 0)</f>
        <v>4.5165661193018679E-4</v>
      </c>
      <c r="M1072" s="100">
        <f>IF(AND(SamplingData[[#This Row],[Total]]&lt;&gt; 0, NOT(ISBLANK(SamplingData[[#This Row],[Candidate 4]]))),(SamplingData[[#This Row],[Total]]+SamplingData[[#This Row],[Winning Candidate]]-SamplingData[[#This Row],[Candidate 4]])/(SamplingData[[#Totals],[Winning Candidate]]-SamplingData[[#Totals],[Candidate 4]]), 0)</f>
        <v>4.3848110146452689E-4</v>
      </c>
      <c r="N1072" s="100">
        <f>IF(AND(SamplingData[[#This Row],[Total]]&lt;&gt; 0, NOT(ISBLANK(SamplingData[[#This Row],[Candidate 5]]))),(SamplingData[[#This Row],[Total]]+SamplingData[[#This Row],[Winning Candidate]]-SamplingData[[#This Row],[Candidate 5]])/(SamplingData[[#Totals],[Winning Candidate]]-SamplingData[[#Totals],[Candidate 5]]), 0)</f>
        <v>3.6487472634395525E-4</v>
      </c>
      <c r="O1072" s="100">
        <f>IF(AND(SamplingData[[#This Row],[Total]]&lt;&gt; 0, NOT(ISBLANK(SamplingData[[#This Row],[Candidate 6]]))),(SamplingData[[#This Row],[Total]]+SamplingData[[#This Row],[Winning Candidate]]-SamplingData[[#This Row],[Candidate 6]])/(SamplingData[[#Totals],[Winning Candidate]]-SamplingData[[#Totals],[Candidate 6]]), 0)</f>
        <v>3.6476825057147027E-4</v>
      </c>
      <c r="P1072" s="100">
        <f>MAX(SamplingData[[#This Row],[Error Bound (up) - Max. possible relative overstatement - Losing Candidate]:[Error Bound (up) - Max. possible relative overstatement - Candidate 6]])</f>
        <v>6.7368936795688392E-4</v>
      </c>
      <c r="Q1072" s="100">
        <f>IF(SamplingData[[#This Row],[Max Error Bound (up)]] = 0,0,SamplingData[[#This Row],[Max Error Bound (up)]]/SamplingData[[#Totals],[Max Error Bound (up)]])</f>
        <v>1.0662243106290416E-4</v>
      </c>
      <c r="R1072" s="101">
        <f>SUM($Q$5:Q1072)</f>
        <v>0.26959184188979224</v>
      </c>
      <c r="S1072" s="100" t="str">
        <f t="array" ref="S1072">IF(SamplingData[[#This Row],[up/U Selection Probability]] = 0, "Zero", TEXT(SamplingData[[#This Row],[Lower Range]], REPT("0",LEN('General Info'!$B$40))) &amp; " - " &amp; TEXT(SamplingData[[#This Row],[Upper Range]], REPT("0",LEN('General Info'!$B$40))))</f>
        <v>26949 - 26958</v>
      </c>
      <c r="T1072" s="100">
        <f>SamplingData[[#This Row],[Upper Range]]-SamplingData[[#This Row],[Span]]</f>
        <v>26948.522052495362</v>
      </c>
      <c r="U1072" s="100">
        <f>IF(ISNUMBER('General Info'!$B$40), ((SamplingData[[#This Row],[up/U Selection Probability]]) * 'General Info'!$B$40) - 1, 0)</f>
        <v>9.6621364838593529</v>
      </c>
      <c r="V1072" s="100">
        <f>IF(ISNUMBER('General Info'!$B$40), (SamplingData[[#This Row],[Running (cumulative) sum]] * ('General Info'!$B$40 -'General Info'!$B$41 + 1)) + 'General Info'!$B$41 - 1, 0)</f>
        <v>26958.184188979223</v>
      </c>
      <c r="W1072" s="100" t="str">
        <f>IF(ISERROR(MATCH(SamplingData[[#This Row],[Batch by Type (p)]],SelectedPrecincts[Batch Name], 0)), "", INDEX(SelectedPrecincts[Draw], MATCH(SamplingData[[#This Row],[Batch by Type (p)]],SelectedPrecincts[Batch Name], 0)))</f>
        <v/>
      </c>
      <c r="X1072" s="102">
        <f>IF(COUNTIF(SelectedPrecincts[Batch Name],SamplingData[[#This Row],[Batch by Type (p)]]) &lt;&gt; 0, COUNTIF(SelectedPrecincts[Batch Name],SamplingData[[#This Row],[Batch by Type (p)]]), 0)</f>
        <v>0</v>
      </c>
    </row>
    <row r="1073" spans="1:24" ht="15" customHeight="1">
      <c r="A1073" s="18" t="s">
        <v>1249</v>
      </c>
      <c r="B1073" s="18">
        <v>4</v>
      </c>
      <c r="C1073" s="18">
        <v>1</v>
      </c>
      <c r="D1073" s="16">
        <v>1</v>
      </c>
      <c r="E1073" s="16">
        <v>0</v>
      </c>
      <c r="F1073" s="37">
        <v>0</v>
      </c>
      <c r="G1073" s="37">
        <v>0</v>
      </c>
      <c r="H1073" s="17">
        <v>0</v>
      </c>
      <c r="I1073" s="17">
        <v>0</v>
      </c>
      <c r="J1073" s="99">
        <f>SUM(SamplingData[[#This Row],[Losing Candidate]:[Under Votes]])</f>
        <v>6</v>
      </c>
      <c r="K1073"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073" s="100">
        <f>IF(AND(SamplingData[[#This Row],[Total]]&lt;&gt; 0, NOT(ISBLANK(SamplingData[[#This Row],[Candidate 3]]))),(SamplingData[[#This Row],[Total]]+SamplingData[[#This Row],[Winning Candidate]]-SamplingData[[#This Row],[Candidate 3]])/(SamplingData[[#Totals],[Winning Candidate]]-SamplingData[[#Totals],[Candidate 3]]), 0)</f>
        <v>1.9356711939865149E-4</v>
      </c>
      <c r="M1073" s="100">
        <f>IF(AND(SamplingData[[#This Row],[Total]]&lt;&gt; 0, NOT(ISBLANK(SamplingData[[#This Row],[Candidate 4]]))),(SamplingData[[#This Row],[Total]]+SamplingData[[#This Row],[Winning Candidate]]-SamplingData[[#This Row],[Candidate 4]])/(SamplingData[[#Totals],[Winning Candidate]]-SamplingData[[#Totals],[Candidate 4]]), 0)</f>
        <v>2.0462451401677921E-4</v>
      </c>
      <c r="N1073" s="100">
        <f>IF(AND(SamplingData[[#This Row],[Total]]&lt;&gt; 0, NOT(ISBLANK(SamplingData[[#This Row],[Candidate 5]]))),(SamplingData[[#This Row],[Total]]+SamplingData[[#This Row],[Winning Candidate]]-SamplingData[[#This Row],[Candidate 5]])/(SamplingData[[#Totals],[Winning Candidate]]-SamplingData[[#Totals],[Candidate 5]]), 0)</f>
        <v>1.7027487229384579E-4</v>
      </c>
      <c r="O1073" s="100">
        <f>IF(AND(SamplingData[[#This Row],[Total]]&lt;&gt; 0, NOT(ISBLANK(SamplingData[[#This Row],[Candidate 6]]))),(SamplingData[[#This Row],[Total]]+SamplingData[[#This Row],[Winning Candidate]]-SamplingData[[#This Row],[Candidate 6]])/(SamplingData[[#Totals],[Winning Candidate]]-SamplingData[[#Totals],[Candidate 6]]), 0)</f>
        <v>1.7022518360001944E-4</v>
      </c>
      <c r="P1073" s="100">
        <f>MAX(SamplingData[[#This Row],[Error Bound (up) - Max. possible relative overstatement - Losing Candidate]:[Error Bound (up) - Max. possible relative overstatement - Candidate 6]])</f>
        <v>2.0462451401677921E-4</v>
      </c>
      <c r="Q1073" s="100">
        <f>IF(SamplingData[[#This Row],[Max Error Bound (up)]] = 0,0,SamplingData[[#This Row],[Max Error Bound (up)]]/SamplingData[[#Totals],[Max Error Bound (up)]])</f>
        <v>3.2385197358392374E-5</v>
      </c>
      <c r="R1073" s="101">
        <f>SUM($Q$5:Q1073)</f>
        <v>0.26962422708715061</v>
      </c>
      <c r="S1073" s="100" t="str">
        <f t="array" ref="S1073">IF(SamplingData[[#This Row],[up/U Selection Probability]] = 0, "Zero", TEXT(SamplingData[[#This Row],[Lower Range]], REPT("0",LEN('General Info'!$B$40))) &amp; " - " &amp; TEXT(SamplingData[[#This Row],[Upper Range]], REPT("0",LEN('General Info'!$B$40))))</f>
        <v>26959 - 26961</v>
      </c>
      <c r="T1073" s="100">
        <f>SamplingData[[#This Row],[Upper Range]]-SamplingData[[#This Row],[Span]]</f>
        <v>26959.184221364419</v>
      </c>
      <c r="U1073" s="100">
        <f>IF(ISNUMBER('General Info'!$B$40), ((SamplingData[[#This Row],[up/U Selection Probability]]) * 'General Info'!$B$40) - 1, 0)</f>
        <v>2.2384873506418792</v>
      </c>
      <c r="V1073" s="100">
        <f>IF(ISNUMBER('General Info'!$B$40), (SamplingData[[#This Row],[Running (cumulative) sum]] * ('General Info'!$B$40 -'General Info'!$B$41 + 1)) + 'General Info'!$B$41 - 1, 0)</f>
        <v>26961.422708715061</v>
      </c>
      <c r="W1073" s="100" t="str">
        <f>IF(ISERROR(MATCH(SamplingData[[#This Row],[Batch by Type (p)]],SelectedPrecincts[Batch Name], 0)), "", INDEX(SelectedPrecincts[Draw], MATCH(SamplingData[[#This Row],[Batch by Type (p)]],SelectedPrecincts[Batch Name], 0)))</f>
        <v/>
      </c>
      <c r="X1073" s="102">
        <f>IF(COUNTIF(SelectedPrecincts[Batch Name],SamplingData[[#This Row],[Batch by Type (p)]]) &lt;&gt; 0, COUNTIF(SelectedPrecincts[Batch Name],SamplingData[[#This Row],[Batch by Type (p)]]), 0)</f>
        <v>0</v>
      </c>
    </row>
    <row r="1074" spans="1:24" ht="15" customHeight="1">
      <c r="A1074" s="18" t="s">
        <v>1250</v>
      </c>
      <c r="B1074" s="18">
        <v>4</v>
      </c>
      <c r="C1074" s="18">
        <v>5</v>
      </c>
      <c r="D1074" s="18">
        <v>3</v>
      </c>
      <c r="E1074" s="18">
        <v>1</v>
      </c>
      <c r="F1074" s="18">
        <v>0</v>
      </c>
      <c r="G1074" s="18">
        <v>0</v>
      </c>
      <c r="H1074" s="18">
        <v>0</v>
      </c>
      <c r="I1074" s="18">
        <v>0</v>
      </c>
      <c r="J1074" s="99">
        <f>SUM(SamplingData[[#This Row],[Losing Candidate]:[Under Votes]])</f>
        <v>13</v>
      </c>
      <c r="K1074"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074" s="100">
        <f>IF(AND(SamplingData[[#This Row],[Total]]&lt;&gt; 0, NOT(ISBLANK(SamplingData[[#This Row],[Candidate 3]]))),(SamplingData[[#This Row],[Total]]+SamplingData[[#This Row],[Winning Candidate]]-SamplingData[[#This Row],[Candidate 3]])/(SamplingData[[#Totals],[Winning Candidate]]-SamplingData[[#Totals],[Candidate 3]]), 0)</f>
        <v>4.8391779849662873E-4</v>
      </c>
      <c r="M1074" s="100">
        <f>IF(AND(SamplingData[[#This Row],[Total]]&lt;&gt; 0, NOT(ISBLANK(SamplingData[[#This Row],[Candidate 4]]))),(SamplingData[[#This Row],[Total]]+SamplingData[[#This Row],[Winning Candidate]]-SamplingData[[#This Row],[Candidate 4]])/(SamplingData[[#Totals],[Winning Candidate]]-SamplingData[[#Totals],[Candidate 4]]), 0)</f>
        <v>4.9694524832646382E-4</v>
      </c>
      <c r="N1074" s="100">
        <f>IF(AND(SamplingData[[#This Row],[Total]]&lt;&gt; 0, NOT(ISBLANK(SamplingData[[#This Row],[Candidate 5]]))),(SamplingData[[#This Row],[Total]]+SamplingData[[#This Row],[Winning Candidate]]-SamplingData[[#This Row],[Candidate 5]])/(SamplingData[[#Totals],[Winning Candidate]]-SamplingData[[#Totals],[Candidate 5]]), 0)</f>
        <v>4.3784967161274629E-4</v>
      </c>
      <c r="O1074" s="100">
        <f>IF(AND(SamplingData[[#This Row],[Total]]&lt;&gt; 0, NOT(ISBLANK(SamplingData[[#This Row],[Candidate 6]]))),(SamplingData[[#This Row],[Total]]+SamplingData[[#This Row],[Winning Candidate]]-SamplingData[[#This Row],[Candidate 6]])/(SamplingData[[#Totals],[Winning Candidate]]-SamplingData[[#Totals],[Candidate 6]]), 0)</f>
        <v>4.3772190068576433E-4</v>
      </c>
      <c r="P1074" s="100">
        <f>MAX(SamplingData[[#This Row],[Error Bound (up) - Max. possible relative overstatement - Losing Candidate]:[Error Bound (up) - Max. possible relative overstatement - Candidate 6]])</f>
        <v>8.5742283194512492E-4</v>
      </c>
      <c r="Q1074" s="100">
        <f>IF(SamplingData[[#This Row],[Max Error Bound (up)]] = 0,0,SamplingData[[#This Row],[Max Error Bound (up)]]/SamplingData[[#Totals],[Max Error Bound (up)]])</f>
        <v>1.3570127589824165E-4</v>
      </c>
      <c r="R1074" s="101">
        <f>SUM($Q$5:Q1074)</f>
        <v>0.26975992836304885</v>
      </c>
      <c r="S1074" s="100" t="str">
        <f t="array" ref="S1074">IF(SamplingData[[#This Row],[up/U Selection Probability]] = 0, "Zero", TEXT(SamplingData[[#This Row],[Lower Range]], REPT("0",LEN('General Info'!$B$40))) &amp; " - " &amp; TEXT(SamplingData[[#This Row],[Upper Range]], REPT("0",LEN('General Info'!$B$40))))</f>
        <v>26962 - 26975</v>
      </c>
      <c r="T1074" s="100">
        <f>SamplingData[[#This Row],[Upper Range]]-SamplingData[[#This Row],[Span]]</f>
        <v>26962.422844416338</v>
      </c>
      <c r="U1074" s="100">
        <f>IF(ISNUMBER('General Info'!$B$40), ((SamplingData[[#This Row],[up/U Selection Probability]]) * 'General Info'!$B$40) - 1, 0)</f>
        <v>12.569991888548268</v>
      </c>
      <c r="V1074" s="100">
        <f>IF(ISNUMBER('General Info'!$B$40), (SamplingData[[#This Row],[Running (cumulative) sum]] * ('General Info'!$B$40 -'General Info'!$B$41 + 1)) + 'General Info'!$B$41 - 1, 0)</f>
        <v>26974.992836304886</v>
      </c>
      <c r="W1074" s="100" t="str">
        <f>IF(ISERROR(MATCH(SamplingData[[#This Row],[Batch by Type (p)]],SelectedPrecincts[Batch Name], 0)), "", INDEX(SelectedPrecincts[Draw], MATCH(SamplingData[[#This Row],[Batch by Type (p)]],SelectedPrecincts[Batch Name], 0)))</f>
        <v/>
      </c>
      <c r="X1074" s="102">
        <f>IF(COUNTIF(SelectedPrecincts[Batch Name],SamplingData[[#This Row],[Batch by Type (p)]]) &lt;&gt; 0, COUNTIF(SelectedPrecincts[Batch Name],SamplingData[[#This Row],[Batch by Type (p)]]), 0)</f>
        <v>0</v>
      </c>
    </row>
    <row r="1075" spans="1:24" ht="15" customHeight="1">
      <c r="A1075" s="18" t="s">
        <v>1251</v>
      </c>
      <c r="B1075" s="18">
        <v>31</v>
      </c>
      <c r="C1075" s="18">
        <v>20</v>
      </c>
      <c r="D1075" s="16">
        <v>5</v>
      </c>
      <c r="E1075" s="16">
        <v>4</v>
      </c>
      <c r="F1075" s="37">
        <v>0</v>
      </c>
      <c r="G1075" s="37">
        <v>0</v>
      </c>
      <c r="H1075" s="17">
        <v>0</v>
      </c>
      <c r="I1075" s="17">
        <v>1</v>
      </c>
      <c r="J1075" s="99">
        <f>SUM(SamplingData[[#This Row],[Losing Candidate]:[Under Votes]])</f>
        <v>61</v>
      </c>
      <c r="K1075" s="100">
        <f>IF(AND(SamplingData[[#This Row],[Total]]&lt;&gt; 0, NOT(ISBLANK(SamplingData[[#This Row],[Losing Candidate]]))),(SamplingData[[#This Row],[Total]]+SamplingData[[#This Row],[Winning Candidate]]-SamplingData[[#This Row],[Losing Candidate]])/(SamplingData[[#Totals],[Winning Candidate]]-SamplingData[[#Totals],[Losing Candidate]]), 0)</f>
        <v>3.0622243998040177E-3</v>
      </c>
      <c r="L1075" s="100">
        <f>IF(AND(SamplingData[[#This Row],[Total]]&lt;&gt; 0, NOT(ISBLANK(SamplingData[[#This Row],[Candidate 3]]))),(SamplingData[[#This Row],[Total]]+SamplingData[[#This Row],[Winning Candidate]]-SamplingData[[#This Row],[Candidate 3]])/(SamplingData[[#Totals],[Winning Candidate]]-SamplingData[[#Totals],[Candidate 3]]), 0)</f>
        <v>2.4518501790495853E-3</v>
      </c>
      <c r="M1075" s="100">
        <f>IF(AND(SamplingData[[#This Row],[Total]]&lt;&gt; 0, NOT(ISBLANK(SamplingData[[#This Row],[Candidate 4]]))),(SamplingData[[#This Row],[Total]]+SamplingData[[#This Row],[Winning Candidate]]-SamplingData[[#This Row],[Candidate 4]])/(SamplingData[[#Totals],[Winning Candidate]]-SamplingData[[#Totals],[Candidate 4]]), 0)</f>
        <v>2.2508696541845715E-3</v>
      </c>
      <c r="N1075" s="100">
        <f>IF(AND(SamplingData[[#This Row],[Total]]&lt;&gt; 0, NOT(ISBLANK(SamplingData[[#This Row],[Candidate 5]]))),(SamplingData[[#This Row],[Total]]+SamplingData[[#This Row],[Winning Candidate]]-SamplingData[[#This Row],[Candidate 5]])/(SamplingData[[#Totals],[Winning Candidate]]-SamplingData[[#Totals],[Candidate 5]]), 0)</f>
        <v>1.9703235222573584E-3</v>
      </c>
      <c r="O1075" s="100">
        <f>IF(AND(SamplingData[[#This Row],[Total]]&lt;&gt; 0, NOT(ISBLANK(SamplingData[[#This Row],[Candidate 6]]))),(SamplingData[[#This Row],[Total]]+SamplingData[[#This Row],[Winning Candidate]]-SamplingData[[#This Row],[Candidate 6]])/(SamplingData[[#Totals],[Winning Candidate]]-SamplingData[[#Totals],[Candidate 6]]), 0)</f>
        <v>1.9697485530859394E-3</v>
      </c>
      <c r="P1075" s="100">
        <f>MAX(SamplingData[[#This Row],[Error Bound (up) - Max. possible relative overstatement - Losing Candidate]:[Error Bound (up) - Max. possible relative overstatement - Candidate 6]])</f>
        <v>3.0622243998040177E-3</v>
      </c>
      <c r="Q1075" s="100">
        <f>IF(SamplingData[[#This Row],[Max Error Bound (up)]] = 0,0,SamplingData[[#This Row],[Max Error Bound (up)]]/SamplingData[[#Totals],[Max Error Bound (up)]])</f>
        <v>4.8464741392229157E-4</v>
      </c>
      <c r="R1075" s="101">
        <f>SUM($Q$5:Q1075)</f>
        <v>0.27024457577697114</v>
      </c>
      <c r="S1075" s="100" t="str">
        <f t="array" ref="S1075">IF(SamplingData[[#This Row],[up/U Selection Probability]] = 0, "Zero", TEXT(SamplingData[[#This Row],[Lower Range]], REPT("0",LEN('General Info'!$B$40))) &amp; " - " &amp; TEXT(SamplingData[[#This Row],[Upper Range]], REPT("0",LEN('General Info'!$B$40))))</f>
        <v>26976 - 27023</v>
      </c>
      <c r="T1075" s="100">
        <f>SamplingData[[#This Row],[Upper Range]]-SamplingData[[#This Row],[Span]]</f>
        <v>26975.993320952301</v>
      </c>
      <c r="U1075" s="100">
        <f>IF(ISNUMBER('General Info'!$B$40), ((SamplingData[[#This Row],[up/U Selection Probability]]) * 'General Info'!$B$40) - 1, 0)</f>
        <v>47.464256744815238</v>
      </c>
      <c r="V1075" s="100">
        <f>IF(ISNUMBER('General Info'!$B$40), (SamplingData[[#This Row],[Running (cumulative) sum]] * ('General Info'!$B$40 -'General Info'!$B$41 + 1)) + 'General Info'!$B$41 - 1, 0)</f>
        <v>27023.457577697114</v>
      </c>
      <c r="W1075" s="100" t="str">
        <f>IF(ISERROR(MATCH(SamplingData[[#This Row],[Batch by Type (p)]],SelectedPrecincts[Batch Name], 0)), "", INDEX(SelectedPrecincts[Draw], MATCH(SamplingData[[#This Row],[Batch by Type (p)]],SelectedPrecincts[Batch Name], 0)))</f>
        <v/>
      </c>
      <c r="X1075" s="102">
        <f>IF(COUNTIF(SelectedPrecincts[Batch Name],SamplingData[[#This Row],[Batch by Type (p)]]) &lt;&gt; 0, COUNTIF(SelectedPrecincts[Batch Name],SamplingData[[#This Row],[Batch by Type (p)]]), 0)</f>
        <v>0</v>
      </c>
    </row>
    <row r="1076" spans="1:24" ht="15" customHeight="1">
      <c r="A1076" s="18" t="s">
        <v>1252</v>
      </c>
      <c r="B1076" s="18">
        <v>13</v>
      </c>
      <c r="C1076" s="18">
        <v>23</v>
      </c>
      <c r="D1076" s="18">
        <v>5</v>
      </c>
      <c r="E1076" s="18">
        <v>4</v>
      </c>
      <c r="F1076" s="18">
        <v>0</v>
      </c>
      <c r="G1076" s="18">
        <v>1</v>
      </c>
      <c r="H1076" s="18">
        <v>0</v>
      </c>
      <c r="I1076" s="18">
        <v>2</v>
      </c>
      <c r="J1076" s="99">
        <f>SUM(SamplingData[[#This Row],[Losing Candidate]:[Under Votes]])</f>
        <v>48</v>
      </c>
      <c r="K1076" s="100">
        <f>IF(AND(SamplingData[[#This Row],[Total]]&lt;&gt; 0, NOT(ISBLANK(SamplingData[[#This Row],[Losing Candidate]]))),(SamplingData[[#This Row],[Total]]+SamplingData[[#This Row],[Winning Candidate]]-SamplingData[[#This Row],[Losing Candidate]])/(SamplingData[[#Totals],[Winning Candidate]]-SamplingData[[#Totals],[Losing Candidate]]), 0)</f>
        <v>3.5521803037726605E-3</v>
      </c>
      <c r="L1076" s="100">
        <f>IF(AND(SamplingData[[#This Row],[Total]]&lt;&gt; 0, NOT(ISBLANK(SamplingData[[#This Row],[Candidate 3]]))),(SamplingData[[#This Row],[Total]]+SamplingData[[#This Row],[Winning Candidate]]-SamplingData[[#This Row],[Candidate 3]])/(SamplingData[[#Totals],[Winning Candidate]]-SamplingData[[#Totals],[Candidate 3]]), 0)</f>
        <v>2.1292383133851662E-3</v>
      </c>
      <c r="M1076" s="100">
        <f>IF(AND(SamplingData[[#This Row],[Total]]&lt;&gt; 0, NOT(ISBLANK(SamplingData[[#This Row],[Candidate 4]]))),(SamplingData[[#This Row],[Total]]+SamplingData[[#This Row],[Winning Candidate]]-SamplingData[[#This Row],[Candidate 4]])/(SamplingData[[#Totals],[Winning Candidate]]-SamplingData[[#Totals],[Candidate 4]]), 0)</f>
        <v>1.9585489198748868E-3</v>
      </c>
      <c r="N1076" s="100">
        <f>IF(AND(SamplingData[[#This Row],[Total]]&lt;&gt; 0, NOT(ISBLANK(SamplingData[[#This Row],[Candidate 5]]))),(SamplingData[[#This Row],[Total]]+SamplingData[[#This Row],[Winning Candidate]]-SamplingData[[#This Row],[Candidate 5]])/(SamplingData[[#Totals],[Winning Candidate]]-SamplingData[[#Totals],[Candidate 5]]), 0)</f>
        <v>1.7270737046947214E-3</v>
      </c>
      <c r="O1076" s="100">
        <f>IF(AND(SamplingData[[#This Row],[Total]]&lt;&gt; 0, NOT(ISBLANK(SamplingData[[#This Row],[Candidate 6]]))),(SamplingData[[#This Row],[Total]]+SamplingData[[#This Row],[Winning Candidate]]-SamplingData[[#This Row],[Candidate 6]])/(SamplingData[[#Totals],[Winning Candidate]]-SamplingData[[#Totals],[Candidate 6]]), 0)</f>
        <v>1.7022518360001945E-3</v>
      </c>
      <c r="P1076" s="100">
        <f>MAX(SamplingData[[#This Row],[Error Bound (up) - Max. possible relative overstatement - Losing Candidate]:[Error Bound (up) - Max. possible relative overstatement - Candidate 6]])</f>
        <v>3.5521803037726605E-3</v>
      </c>
      <c r="Q1076" s="100">
        <f>IF(SamplingData[[#This Row],[Max Error Bound (up)]] = 0,0,SamplingData[[#This Row],[Max Error Bound (up)]]/SamplingData[[#Totals],[Max Error Bound (up)]])</f>
        <v>5.6219100014985829E-4</v>
      </c>
      <c r="R1076" s="101">
        <f>SUM($Q$5:Q1076)</f>
        <v>0.27080676677712101</v>
      </c>
      <c r="S1076" s="100" t="str">
        <f t="array" ref="S1076">IF(SamplingData[[#This Row],[up/U Selection Probability]] = 0, "Zero", TEXT(SamplingData[[#This Row],[Lower Range]], REPT("0",LEN('General Info'!$B$40))) &amp; " - " &amp; TEXT(SamplingData[[#This Row],[Upper Range]], REPT("0",LEN('General Info'!$B$40))))</f>
        <v>27024 - 27080</v>
      </c>
      <c r="T1076" s="100">
        <f>SamplingData[[#This Row],[Upper Range]]-SamplingData[[#This Row],[Span]]</f>
        <v>27024.458139888116</v>
      </c>
      <c r="U1076" s="100">
        <f>IF(ISNUMBER('General Info'!$B$40), ((SamplingData[[#This Row],[up/U Selection Probability]]) * 'General Info'!$B$40) - 1, 0)</f>
        <v>55.218537823985677</v>
      </c>
      <c r="V1076" s="100">
        <f>IF(ISNUMBER('General Info'!$B$40), (SamplingData[[#This Row],[Running (cumulative) sum]] * ('General Info'!$B$40 -'General Info'!$B$41 + 1)) + 'General Info'!$B$41 - 1, 0)</f>
        <v>27079.676677712101</v>
      </c>
      <c r="W1076" s="100" t="str">
        <f>IF(ISERROR(MATCH(SamplingData[[#This Row],[Batch by Type (p)]],SelectedPrecincts[Batch Name], 0)), "", INDEX(SelectedPrecincts[Draw], MATCH(SamplingData[[#This Row],[Batch by Type (p)]],SelectedPrecincts[Batch Name], 0)))</f>
        <v/>
      </c>
      <c r="X1076" s="102">
        <f>IF(COUNTIF(SelectedPrecincts[Batch Name],SamplingData[[#This Row],[Batch by Type (p)]]) &lt;&gt; 0, COUNTIF(SelectedPrecincts[Batch Name],SamplingData[[#This Row],[Batch by Type (p)]]), 0)</f>
        <v>0</v>
      </c>
    </row>
    <row r="1077" spans="1:24" ht="15" customHeight="1">
      <c r="A1077" s="18" t="s">
        <v>1253</v>
      </c>
      <c r="B1077" s="18">
        <v>16</v>
      </c>
      <c r="C1077" s="18">
        <v>14</v>
      </c>
      <c r="D1077" s="16">
        <v>4</v>
      </c>
      <c r="E1077" s="16">
        <v>2</v>
      </c>
      <c r="F1077" s="37">
        <v>0</v>
      </c>
      <c r="G1077" s="37">
        <v>0</v>
      </c>
      <c r="H1077" s="17">
        <v>0</v>
      </c>
      <c r="I1077" s="17">
        <v>1</v>
      </c>
      <c r="J1077" s="99">
        <f>SUM(SamplingData[[#This Row],[Losing Candidate]:[Under Votes]])</f>
        <v>37</v>
      </c>
      <c r="K1077" s="100">
        <f>IF(AND(SamplingData[[#This Row],[Total]]&lt;&gt; 0, NOT(ISBLANK(SamplingData[[#This Row],[Losing Candidate]]))),(SamplingData[[#This Row],[Total]]+SamplingData[[#This Row],[Winning Candidate]]-SamplingData[[#This Row],[Losing Candidate]])/(SamplingData[[#Totals],[Winning Candidate]]-SamplingData[[#Totals],[Losing Candidate]]), 0)</f>
        <v>2.1435570798628125E-3</v>
      </c>
      <c r="L1077" s="100">
        <f>IF(AND(SamplingData[[#This Row],[Total]]&lt;&gt; 0, NOT(ISBLANK(SamplingData[[#This Row],[Candidate 3]]))),(SamplingData[[#This Row],[Total]]+SamplingData[[#This Row],[Winning Candidate]]-SamplingData[[#This Row],[Candidate 3]])/(SamplingData[[#Totals],[Winning Candidate]]-SamplingData[[#Totals],[Candidate 3]]), 0)</f>
        <v>1.5162757686227699E-3</v>
      </c>
      <c r="M1077" s="100">
        <f>IF(AND(SamplingData[[#This Row],[Total]]&lt;&gt; 0, NOT(ISBLANK(SamplingData[[#This Row],[Candidate 4]]))),(SamplingData[[#This Row],[Total]]+SamplingData[[#This Row],[Winning Candidate]]-SamplingData[[#This Row],[Candidate 4]])/(SamplingData[[#Totals],[Winning Candidate]]-SamplingData[[#Totals],[Candidate 4]]), 0)</f>
        <v>1.4323715981174544E-3</v>
      </c>
      <c r="N1077" s="100">
        <f>IF(AND(SamplingData[[#This Row],[Total]]&lt;&gt; 0, NOT(ISBLANK(SamplingData[[#This Row],[Candidate 5]]))),(SamplingData[[#This Row],[Total]]+SamplingData[[#This Row],[Winning Candidate]]-SamplingData[[#This Row],[Candidate 5]])/(SamplingData[[#Totals],[Winning Candidate]]-SamplingData[[#Totals],[Candidate 5]]), 0)</f>
        <v>1.2405740695694478E-3</v>
      </c>
      <c r="O1077" s="100">
        <f>IF(AND(SamplingData[[#This Row],[Total]]&lt;&gt; 0, NOT(ISBLANK(SamplingData[[#This Row],[Candidate 6]]))),(SamplingData[[#This Row],[Total]]+SamplingData[[#This Row],[Winning Candidate]]-SamplingData[[#This Row],[Candidate 6]])/(SamplingData[[#Totals],[Winning Candidate]]-SamplingData[[#Totals],[Candidate 6]]), 0)</f>
        <v>1.2402120519429988E-3</v>
      </c>
      <c r="P1077" s="100">
        <f>MAX(SamplingData[[#This Row],[Error Bound (up) - Max. possible relative overstatement - Losing Candidate]:[Error Bound (up) - Max. possible relative overstatement - Candidate 6]])</f>
        <v>2.1435570798628125E-3</v>
      </c>
      <c r="Q1077" s="100">
        <f>IF(SamplingData[[#This Row],[Max Error Bound (up)]] = 0,0,SamplingData[[#This Row],[Max Error Bound (up)]]/SamplingData[[#Totals],[Max Error Bound (up)]])</f>
        <v>3.3925318974560413E-4</v>
      </c>
      <c r="R1077" s="101">
        <f>SUM($Q$5:Q1077)</f>
        <v>0.2711460199668666</v>
      </c>
      <c r="S1077" s="100" t="str">
        <f t="array" ref="S1077">IF(SamplingData[[#This Row],[up/U Selection Probability]] = 0, "Zero", TEXT(SamplingData[[#This Row],[Lower Range]], REPT("0",LEN('General Info'!$B$40))) &amp; " - " &amp; TEXT(SamplingData[[#This Row],[Upper Range]], REPT("0",LEN('General Info'!$B$40))))</f>
        <v>27081 - 27114</v>
      </c>
      <c r="T1077" s="100">
        <f>SamplingData[[#This Row],[Upper Range]]-SamplingData[[#This Row],[Span]]</f>
        <v>27080.677016965288</v>
      </c>
      <c r="U1077" s="100">
        <f>IF(ISNUMBER('General Info'!$B$40), ((SamplingData[[#This Row],[up/U Selection Probability]]) * 'General Info'!$B$40) - 1, 0)</f>
        <v>32.924979721370669</v>
      </c>
      <c r="V1077" s="100">
        <f>IF(ISNUMBER('General Info'!$B$40), (SamplingData[[#This Row],[Running (cumulative) sum]] * ('General Info'!$B$40 -'General Info'!$B$41 + 1)) + 'General Info'!$B$41 - 1, 0)</f>
        <v>27113.601996686659</v>
      </c>
      <c r="W1077" s="100" t="str">
        <f>IF(ISERROR(MATCH(SamplingData[[#This Row],[Batch by Type (p)]],SelectedPrecincts[Batch Name], 0)), "", INDEX(SelectedPrecincts[Draw], MATCH(SamplingData[[#This Row],[Batch by Type (p)]],SelectedPrecincts[Batch Name], 0)))</f>
        <v/>
      </c>
      <c r="X1077" s="102">
        <f>IF(COUNTIF(SelectedPrecincts[Batch Name],SamplingData[[#This Row],[Batch by Type (p)]]) &lt;&gt; 0, COUNTIF(SelectedPrecincts[Batch Name],SamplingData[[#This Row],[Batch by Type (p)]]), 0)</f>
        <v>0</v>
      </c>
    </row>
    <row r="1078" spans="1:24" ht="15" customHeight="1">
      <c r="A1078" s="18" t="s">
        <v>1254</v>
      </c>
      <c r="B1078" s="18">
        <v>4</v>
      </c>
      <c r="C1078" s="18">
        <v>6</v>
      </c>
      <c r="D1078" s="18">
        <v>1</v>
      </c>
      <c r="E1078" s="18">
        <v>0</v>
      </c>
      <c r="F1078" s="18">
        <v>0</v>
      </c>
      <c r="G1078" s="18">
        <v>0</v>
      </c>
      <c r="H1078" s="18">
        <v>0</v>
      </c>
      <c r="I1078" s="18">
        <v>0</v>
      </c>
      <c r="J1078" s="99">
        <f>SUM(SamplingData[[#This Row],[Losing Candidate]:[Under Votes]])</f>
        <v>11</v>
      </c>
      <c r="K1078"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1078" s="100">
        <f>IF(AND(SamplingData[[#This Row],[Total]]&lt;&gt; 0, NOT(ISBLANK(SamplingData[[#This Row],[Candidate 3]]))),(SamplingData[[#This Row],[Total]]+SamplingData[[#This Row],[Winning Candidate]]-SamplingData[[#This Row],[Candidate 3]])/(SamplingData[[#Totals],[Winning Candidate]]-SamplingData[[#Totals],[Candidate 3]]), 0)</f>
        <v>5.1617898506307067E-4</v>
      </c>
      <c r="M1078" s="100">
        <f>IF(AND(SamplingData[[#This Row],[Total]]&lt;&gt; 0, NOT(ISBLANK(SamplingData[[#This Row],[Candidate 4]]))),(SamplingData[[#This Row],[Total]]+SamplingData[[#This Row],[Winning Candidate]]-SamplingData[[#This Row],[Candidate 4]])/(SamplingData[[#Totals],[Winning Candidate]]-SamplingData[[#Totals],[Candidate 4]]), 0)</f>
        <v>4.9694524832646382E-4</v>
      </c>
      <c r="N1078" s="100">
        <f>IF(AND(SamplingData[[#This Row],[Total]]&lt;&gt; 0, NOT(ISBLANK(SamplingData[[#This Row],[Candidate 5]]))),(SamplingData[[#This Row],[Total]]+SamplingData[[#This Row],[Winning Candidate]]-SamplingData[[#This Row],[Candidate 5]])/(SamplingData[[#Totals],[Winning Candidate]]-SamplingData[[#Totals],[Candidate 5]]), 0)</f>
        <v>4.1352468985648261E-4</v>
      </c>
      <c r="O1078" s="100">
        <f>IF(AND(SamplingData[[#This Row],[Total]]&lt;&gt; 0, NOT(ISBLANK(SamplingData[[#This Row],[Candidate 6]]))),(SamplingData[[#This Row],[Total]]+SamplingData[[#This Row],[Winning Candidate]]-SamplingData[[#This Row],[Candidate 6]])/(SamplingData[[#Totals],[Winning Candidate]]-SamplingData[[#Totals],[Candidate 6]]), 0)</f>
        <v>4.1340401731433294E-4</v>
      </c>
      <c r="P1078" s="100">
        <f>MAX(SamplingData[[#This Row],[Error Bound (up) - Max. possible relative overstatement - Losing Candidate]:[Error Bound (up) - Max. possible relative overstatement - Candidate 6]])</f>
        <v>7.9617834394904463E-4</v>
      </c>
      <c r="Q1078" s="100">
        <f>IF(SamplingData[[#This Row],[Max Error Bound (up)]] = 0,0,SamplingData[[#This Row],[Max Error Bound (up)]]/SamplingData[[#Totals],[Max Error Bound (up)]])</f>
        <v>1.2600832761979581E-4</v>
      </c>
      <c r="R1078" s="101">
        <f>SUM($Q$5:Q1078)</f>
        <v>0.27127202829448638</v>
      </c>
      <c r="S1078" s="100" t="str">
        <f t="array" ref="S1078">IF(SamplingData[[#This Row],[up/U Selection Probability]] = 0, "Zero", TEXT(SamplingData[[#This Row],[Lower Range]], REPT("0",LEN('General Info'!$B$40))) &amp; " - " &amp; TEXT(SamplingData[[#This Row],[Upper Range]], REPT("0",LEN('General Info'!$B$40))))</f>
        <v>27115 - 27126</v>
      </c>
      <c r="T1078" s="100">
        <f>SamplingData[[#This Row],[Upper Range]]-SamplingData[[#This Row],[Span]]</f>
        <v>27114.602122694985</v>
      </c>
      <c r="U1078" s="100">
        <f>IF(ISNUMBER('General Info'!$B$40), ((SamplingData[[#This Row],[up/U Selection Probability]]) * 'General Info'!$B$40) - 1, 0)</f>
        <v>11.600706753651961</v>
      </c>
      <c r="V1078" s="100">
        <f>IF(ISNUMBER('General Info'!$B$40), (SamplingData[[#This Row],[Running (cumulative) sum]] * ('General Info'!$B$40 -'General Info'!$B$41 + 1)) + 'General Info'!$B$41 - 1, 0)</f>
        <v>27126.202829448637</v>
      </c>
      <c r="W1078" s="100" t="str">
        <f>IF(ISERROR(MATCH(SamplingData[[#This Row],[Batch by Type (p)]],SelectedPrecincts[Batch Name], 0)), "", INDEX(SelectedPrecincts[Draw], MATCH(SamplingData[[#This Row],[Batch by Type (p)]],SelectedPrecincts[Batch Name], 0)))</f>
        <v/>
      </c>
      <c r="X1078" s="102">
        <f>IF(COUNTIF(SelectedPrecincts[Batch Name],SamplingData[[#This Row],[Batch by Type (p)]]) &lt;&gt; 0, COUNTIF(SelectedPrecincts[Batch Name],SamplingData[[#This Row],[Batch by Type (p)]]), 0)</f>
        <v>0</v>
      </c>
    </row>
    <row r="1079" spans="1:24" ht="15" customHeight="1">
      <c r="A1079" s="18" t="s">
        <v>1255</v>
      </c>
      <c r="B1079" s="18">
        <v>10</v>
      </c>
      <c r="C1079" s="18">
        <v>8</v>
      </c>
      <c r="D1079" s="16">
        <v>4</v>
      </c>
      <c r="E1079" s="16">
        <v>2</v>
      </c>
      <c r="F1079" s="37">
        <v>0</v>
      </c>
      <c r="G1079" s="37">
        <v>0</v>
      </c>
      <c r="H1079" s="17">
        <v>0</v>
      </c>
      <c r="I1079" s="17">
        <v>0</v>
      </c>
      <c r="J1079" s="99">
        <f>SUM(SamplingData[[#This Row],[Losing Candidate]:[Under Votes]])</f>
        <v>24</v>
      </c>
      <c r="K1079"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1079" s="100">
        <f>IF(AND(SamplingData[[#This Row],[Total]]&lt;&gt; 0, NOT(ISBLANK(SamplingData[[#This Row],[Candidate 3]]))),(SamplingData[[#This Row],[Total]]+SamplingData[[#This Row],[Winning Candidate]]-SamplingData[[#This Row],[Candidate 3]])/(SamplingData[[#Totals],[Winning Candidate]]-SamplingData[[#Totals],[Candidate 3]]), 0)</f>
        <v>9.0331322386037359E-4</v>
      </c>
      <c r="M1079" s="100">
        <f>IF(AND(SamplingData[[#This Row],[Total]]&lt;&gt; 0, NOT(ISBLANK(SamplingData[[#This Row],[Candidate 4]]))),(SamplingData[[#This Row],[Total]]+SamplingData[[#This Row],[Winning Candidate]]-SamplingData[[#This Row],[Candidate 4]])/(SamplingData[[#Totals],[Winning Candidate]]-SamplingData[[#Totals],[Candidate 4]]), 0)</f>
        <v>8.7696220292905378E-4</v>
      </c>
      <c r="N1079" s="100">
        <f>IF(AND(SamplingData[[#This Row],[Total]]&lt;&gt; 0, NOT(ISBLANK(SamplingData[[#This Row],[Candidate 5]]))),(SamplingData[[#This Row],[Total]]+SamplingData[[#This Row],[Winning Candidate]]-SamplingData[[#This Row],[Candidate 5]])/(SamplingData[[#Totals],[Winning Candidate]]-SamplingData[[#Totals],[Candidate 5]]), 0)</f>
        <v>7.7839941620043787E-4</v>
      </c>
      <c r="O1079" s="100">
        <f>IF(AND(SamplingData[[#This Row],[Total]]&lt;&gt; 0, NOT(ISBLANK(SamplingData[[#This Row],[Candidate 6]]))),(SamplingData[[#This Row],[Total]]+SamplingData[[#This Row],[Winning Candidate]]-SamplingData[[#This Row],[Candidate 6]])/(SamplingData[[#Totals],[Winning Candidate]]-SamplingData[[#Totals],[Candidate 6]]), 0)</f>
        <v>7.7817226788580321E-4</v>
      </c>
      <c r="P1079" s="100">
        <f>MAX(SamplingData[[#This Row],[Error Bound (up) - Max. possible relative overstatement - Losing Candidate]:[Error Bound (up) - Max. possible relative overstatement - Candidate 6]])</f>
        <v>1.3473787359137678E-3</v>
      </c>
      <c r="Q1079" s="100">
        <f>IF(SamplingData[[#This Row],[Max Error Bound (up)]] = 0,0,SamplingData[[#This Row],[Max Error Bound (up)]]/SamplingData[[#Totals],[Max Error Bound (up)]])</f>
        <v>2.1324486212580832E-4</v>
      </c>
      <c r="R1079" s="101">
        <f>SUM($Q$5:Q1079)</f>
        <v>0.27148527315661219</v>
      </c>
      <c r="S1079" s="100" t="str">
        <f t="array" ref="S1079">IF(SamplingData[[#This Row],[up/U Selection Probability]] = 0, "Zero", TEXT(SamplingData[[#This Row],[Lower Range]], REPT("0",LEN('General Info'!$B$40))) &amp; " - " &amp; TEXT(SamplingData[[#This Row],[Upper Range]], REPT("0",LEN('General Info'!$B$40))))</f>
        <v>27127 - 27148</v>
      </c>
      <c r="T1079" s="100">
        <f>SamplingData[[#This Row],[Upper Range]]-SamplingData[[#This Row],[Span]]</f>
        <v>27127.203042693502</v>
      </c>
      <c r="U1079" s="100">
        <f>IF(ISNUMBER('General Info'!$B$40), ((SamplingData[[#This Row],[up/U Selection Probability]]) * 'General Info'!$B$40) - 1, 0)</f>
        <v>20.324272967718706</v>
      </c>
      <c r="V1079" s="100">
        <f>IF(ISNUMBER('General Info'!$B$40), (SamplingData[[#This Row],[Running (cumulative) sum]] * ('General Info'!$B$40 -'General Info'!$B$41 + 1)) + 'General Info'!$B$41 - 1, 0)</f>
        <v>27147.52731566122</v>
      </c>
      <c r="W1079" s="100" t="str">
        <f>IF(ISERROR(MATCH(SamplingData[[#This Row],[Batch by Type (p)]],SelectedPrecincts[Batch Name], 0)), "", INDEX(SelectedPrecincts[Draw], MATCH(SamplingData[[#This Row],[Batch by Type (p)]],SelectedPrecincts[Batch Name], 0)))</f>
        <v/>
      </c>
      <c r="X1079" s="102">
        <f>IF(COUNTIF(SelectedPrecincts[Batch Name],SamplingData[[#This Row],[Batch by Type (p)]]) &lt;&gt; 0, COUNTIF(SelectedPrecincts[Batch Name],SamplingData[[#This Row],[Batch by Type (p)]]), 0)</f>
        <v>0</v>
      </c>
    </row>
    <row r="1080" spans="1:24" ht="15" customHeight="1">
      <c r="A1080" s="18" t="s">
        <v>1256</v>
      </c>
      <c r="B1080" s="18">
        <v>8</v>
      </c>
      <c r="C1080" s="18">
        <v>9</v>
      </c>
      <c r="D1080" s="18">
        <v>0</v>
      </c>
      <c r="E1080" s="18">
        <v>0</v>
      </c>
      <c r="F1080" s="18">
        <v>0</v>
      </c>
      <c r="G1080" s="18">
        <v>0</v>
      </c>
      <c r="H1080" s="18">
        <v>0</v>
      </c>
      <c r="I1080" s="18">
        <v>0</v>
      </c>
      <c r="J1080" s="99">
        <f>SUM(SamplingData[[#This Row],[Losing Candidate]:[Under Votes]])</f>
        <v>17</v>
      </c>
      <c r="K1080"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1080" s="100">
        <f>IF(AND(SamplingData[[#This Row],[Total]]&lt;&gt; 0, NOT(ISBLANK(SamplingData[[#This Row],[Candidate 3]]))),(SamplingData[[#This Row],[Total]]+SamplingData[[#This Row],[Winning Candidate]]-SamplingData[[#This Row],[Candidate 3]])/(SamplingData[[#Totals],[Winning Candidate]]-SamplingData[[#Totals],[Candidate 3]]), 0)</f>
        <v>8.3879085072748971E-4</v>
      </c>
      <c r="M1080" s="100">
        <f>IF(AND(SamplingData[[#This Row],[Total]]&lt;&gt; 0, NOT(ISBLANK(SamplingData[[#This Row],[Candidate 4]]))),(SamplingData[[#This Row],[Total]]+SamplingData[[#This Row],[Winning Candidate]]-SamplingData[[#This Row],[Candidate 4]])/(SamplingData[[#Totals],[Winning Candidate]]-SamplingData[[#Totals],[Candidate 4]]), 0)</f>
        <v>7.6003390920517991E-4</v>
      </c>
      <c r="N1080" s="100">
        <f>IF(AND(SamplingData[[#This Row],[Total]]&lt;&gt; 0, NOT(ISBLANK(SamplingData[[#This Row],[Candidate 5]]))),(SamplingData[[#This Row],[Total]]+SamplingData[[#This Row],[Winning Candidate]]-SamplingData[[#This Row],[Candidate 5]])/(SamplingData[[#Totals],[Winning Candidate]]-SamplingData[[#Totals],[Candidate 5]]), 0)</f>
        <v>6.3244952566285579E-4</v>
      </c>
      <c r="O1080" s="100">
        <f>IF(AND(SamplingData[[#This Row],[Total]]&lt;&gt; 0, NOT(ISBLANK(SamplingData[[#This Row],[Candidate 6]]))),(SamplingData[[#This Row],[Total]]+SamplingData[[#This Row],[Winning Candidate]]-SamplingData[[#This Row],[Candidate 6]])/(SamplingData[[#Totals],[Winning Candidate]]-SamplingData[[#Totals],[Candidate 6]]), 0)</f>
        <v>6.322649676572151E-4</v>
      </c>
      <c r="P1080" s="100">
        <f>MAX(SamplingData[[#This Row],[Error Bound (up) - Max. possible relative overstatement - Losing Candidate]:[Error Bound (up) - Max. possible relative overstatement - Candidate 6]])</f>
        <v>1.1024007839294464E-3</v>
      </c>
      <c r="Q1080" s="100">
        <f>IF(SamplingData[[#This Row],[Max Error Bound (up)]] = 0,0,SamplingData[[#This Row],[Max Error Bound (up)]]/SamplingData[[#Totals],[Max Error Bound (up)]])</f>
        <v>1.7447306901202498E-4</v>
      </c>
      <c r="R1080" s="101">
        <f>SUM($Q$5:Q1080)</f>
        <v>0.27165974622562422</v>
      </c>
      <c r="S1080" s="100" t="str">
        <f t="array" ref="S1080">IF(SamplingData[[#This Row],[up/U Selection Probability]] = 0, "Zero", TEXT(SamplingData[[#This Row],[Lower Range]], REPT("0",LEN('General Info'!$B$40))) &amp; " - " &amp; TEXT(SamplingData[[#This Row],[Upper Range]], REPT("0",LEN('General Info'!$B$40))))</f>
        <v>27149 - 27165</v>
      </c>
      <c r="T1080" s="100">
        <f>SamplingData[[#This Row],[Upper Range]]-SamplingData[[#This Row],[Span]]</f>
        <v>27148.527490134289</v>
      </c>
      <c r="U1080" s="100">
        <f>IF(ISNUMBER('General Info'!$B$40), ((SamplingData[[#This Row],[up/U Selection Probability]]) * 'General Info'!$B$40) - 1, 0)</f>
        <v>16.447132428133486</v>
      </c>
      <c r="V1080" s="100">
        <f>IF(ISNUMBER('General Info'!$B$40), (SamplingData[[#This Row],[Running (cumulative) sum]] * ('General Info'!$B$40 -'General Info'!$B$41 + 1)) + 'General Info'!$B$41 - 1, 0)</f>
        <v>27164.974622562422</v>
      </c>
      <c r="W1080" s="100" t="str">
        <f>IF(ISERROR(MATCH(SamplingData[[#This Row],[Batch by Type (p)]],SelectedPrecincts[Batch Name], 0)), "", INDEX(SelectedPrecincts[Draw], MATCH(SamplingData[[#This Row],[Batch by Type (p)]],SelectedPrecincts[Batch Name], 0)))</f>
        <v/>
      </c>
      <c r="X1080" s="102">
        <f>IF(COUNTIF(SelectedPrecincts[Batch Name],SamplingData[[#This Row],[Batch by Type (p)]]) &lt;&gt; 0, COUNTIF(SelectedPrecincts[Batch Name],SamplingData[[#This Row],[Batch by Type (p)]]), 0)</f>
        <v>0</v>
      </c>
    </row>
    <row r="1081" spans="1:24" ht="15" customHeight="1">
      <c r="A1081" s="18" t="s">
        <v>1257</v>
      </c>
      <c r="B1081" s="18">
        <v>9</v>
      </c>
      <c r="C1081" s="18">
        <v>17</v>
      </c>
      <c r="D1081" s="16">
        <v>3</v>
      </c>
      <c r="E1081" s="16">
        <v>2</v>
      </c>
      <c r="F1081" s="37">
        <v>0</v>
      </c>
      <c r="G1081" s="37">
        <v>1</v>
      </c>
      <c r="H1081" s="17">
        <v>0</v>
      </c>
      <c r="I1081" s="17">
        <v>0</v>
      </c>
      <c r="J1081" s="99">
        <f>SUM(SamplingData[[#This Row],[Losing Candidate]:[Under Votes]])</f>
        <v>32</v>
      </c>
      <c r="K1081"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081" s="100">
        <f>IF(AND(SamplingData[[#This Row],[Total]]&lt;&gt; 0, NOT(ISBLANK(SamplingData[[#This Row],[Candidate 3]]))),(SamplingData[[#This Row],[Total]]+SamplingData[[#This Row],[Winning Candidate]]-SamplingData[[#This Row],[Candidate 3]])/(SamplingData[[#Totals],[Winning Candidate]]-SamplingData[[#Totals],[Candidate 3]]), 0)</f>
        <v>1.4840145820563281E-3</v>
      </c>
      <c r="M1081" s="100">
        <f>IF(AND(SamplingData[[#This Row],[Total]]&lt;&gt; 0, NOT(ISBLANK(SamplingData[[#This Row],[Candidate 4]]))),(SamplingData[[#This Row],[Total]]+SamplingData[[#This Row],[Winning Candidate]]-SamplingData[[#This Row],[Candidate 4]])/(SamplingData[[#Totals],[Winning Candidate]]-SamplingData[[#Totals],[Candidate 4]]), 0)</f>
        <v>1.3739074512555175E-3</v>
      </c>
      <c r="N1081" s="100">
        <f>IF(AND(SamplingData[[#This Row],[Total]]&lt;&gt; 0, NOT(ISBLANK(SamplingData[[#This Row],[Candidate 5]]))),(SamplingData[[#This Row],[Total]]+SamplingData[[#This Row],[Winning Candidate]]-SamplingData[[#This Row],[Candidate 5]])/(SamplingData[[#Totals],[Winning Candidate]]-SamplingData[[#Totals],[Candidate 5]]), 0)</f>
        <v>1.1919241060569204E-3</v>
      </c>
      <c r="O1081" s="100">
        <f>IF(AND(SamplingData[[#This Row],[Total]]&lt;&gt; 0, NOT(ISBLANK(SamplingData[[#This Row],[Candidate 6]]))),(SamplingData[[#This Row],[Total]]+SamplingData[[#This Row],[Winning Candidate]]-SamplingData[[#This Row],[Candidate 6]])/(SamplingData[[#Totals],[Winning Candidate]]-SamplingData[[#Totals],[Candidate 6]]), 0)</f>
        <v>1.1672584018287049E-3</v>
      </c>
      <c r="P1081" s="100">
        <f>MAX(SamplingData[[#This Row],[Error Bound (up) - Max. possible relative overstatement - Losing Candidate]:[Error Bound (up) - Max. possible relative overstatement - Candidate 6]])</f>
        <v>2.4497795198432141E-3</v>
      </c>
      <c r="Q1081" s="100">
        <f>IF(SamplingData[[#This Row],[Max Error Bound (up)]] = 0,0,SamplingData[[#This Row],[Max Error Bound (up)]]/SamplingData[[#Totals],[Max Error Bound (up)]])</f>
        <v>3.8771793113783328E-4</v>
      </c>
      <c r="R1081" s="101">
        <f>SUM($Q$5:Q1081)</f>
        <v>0.27204746415676206</v>
      </c>
      <c r="S1081" s="100" t="str">
        <f t="array" ref="S1081">IF(SamplingData[[#This Row],[up/U Selection Probability]] = 0, "Zero", TEXT(SamplingData[[#This Row],[Lower Range]], REPT("0",LEN('General Info'!$B$40))) &amp; " - " &amp; TEXT(SamplingData[[#This Row],[Upper Range]], REPT("0",LEN('General Info'!$B$40))))</f>
        <v>27166 - 27204</v>
      </c>
      <c r="T1081" s="100">
        <f>SamplingData[[#This Row],[Upper Range]]-SamplingData[[#This Row],[Span]]</f>
        <v>27165.975010280355</v>
      </c>
      <c r="U1081" s="100">
        <f>IF(ISNUMBER('General Info'!$B$40), ((SamplingData[[#This Row],[up/U Selection Probability]]) * 'General Info'!$B$40) - 1, 0)</f>
        <v>37.771405395852192</v>
      </c>
      <c r="V1081" s="100">
        <f>IF(ISNUMBER('General Info'!$B$40), (SamplingData[[#This Row],[Running (cumulative) sum]] * ('General Info'!$B$40 -'General Info'!$B$41 + 1)) + 'General Info'!$B$41 - 1, 0)</f>
        <v>27203.746415676207</v>
      </c>
      <c r="W1081" s="100" t="str">
        <f>IF(ISERROR(MATCH(SamplingData[[#This Row],[Batch by Type (p)]],SelectedPrecincts[Batch Name], 0)), "", INDEX(SelectedPrecincts[Draw], MATCH(SamplingData[[#This Row],[Batch by Type (p)]],SelectedPrecincts[Batch Name], 0)))</f>
        <v/>
      </c>
      <c r="X1081" s="102">
        <f>IF(COUNTIF(SelectedPrecincts[Batch Name],SamplingData[[#This Row],[Batch by Type (p)]]) &lt;&gt; 0, COUNTIF(SelectedPrecincts[Batch Name],SamplingData[[#This Row],[Batch by Type (p)]]), 0)</f>
        <v>0</v>
      </c>
    </row>
    <row r="1082" spans="1:24" ht="15" customHeight="1">
      <c r="A1082" s="18" t="s">
        <v>1258</v>
      </c>
      <c r="B1082" s="18">
        <v>15</v>
      </c>
      <c r="C1082" s="18">
        <v>12</v>
      </c>
      <c r="D1082" s="18">
        <v>4</v>
      </c>
      <c r="E1082" s="18">
        <v>0</v>
      </c>
      <c r="F1082" s="18">
        <v>0</v>
      </c>
      <c r="G1082" s="18">
        <v>0</v>
      </c>
      <c r="H1082" s="18">
        <v>0</v>
      </c>
      <c r="I1082" s="18">
        <v>1</v>
      </c>
      <c r="J1082" s="99">
        <f>SUM(SamplingData[[#This Row],[Losing Candidate]:[Under Votes]])</f>
        <v>32</v>
      </c>
      <c r="K1082"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1082" s="100">
        <f>IF(AND(SamplingData[[#This Row],[Total]]&lt;&gt; 0, NOT(ISBLANK(SamplingData[[#This Row],[Candidate 3]]))),(SamplingData[[#This Row],[Total]]+SamplingData[[#This Row],[Winning Candidate]]-SamplingData[[#This Row],[Candidate 3]])/(SamplingData[[#Totals],[Winning Candidate]]-SamplingData[[#Totals],[Candidate 3]]), 0)</f>
        <v>1.2904474626576766E-3</v>
      </c>
      <c r="M1082" s="100">
        <f>IF(AND(SamplingData[[#This Row],[Total]]&lt;&gt; 0, NOT(ISBLANK(SamplingData[[#This Row],[Candidate 4]]))),(SamplingData[[#This Row],[Total]]+SamplingData[[#This Row],[Winning Candidate]]-SamplingData[[#This Row],[Candidate 4]])/(SamplingData[[#Totals],[Winning Candidate]]-SamplingData[[#Totals],[Candidate 4]]), 0)</f>
        <v>1.2862112309626121E-3</v>
      </c>
      <c r="N1082" s="100">
        <f>IF(AND(SamplingData[[#This Row],[Total]]&lt;&gt; 0, NOT(ISBLANK(SamplingData[[#This Row],[Candidate 5]]))),(SamplingData[[#This Row],[Total]]+SamplingData[[#This Row],[Winning Candidate]]-SamplingData[[#This Row],[Candidate 5]])/(SamplingData[[#Totals],[Winning Candidate]]-SamplingData[[#Totals],[Candidate 5]]), 0)</f>
        <v>1.0702991972756021E-3</v>
      </c>
      <c r="O1082" s="100">
        <f>IF(AND(SamplingData[[#This Row],[Total]]&lt;&gt; 0, NOT(ISBLANK(SamplingData[[#This Row],[Candidate 6]]))),(SamplingData[[#This Row],[Total]]+SamplingData[[#This Row],[Winning Candidate]]-SamplingData[[#This Row],[Candidate 6]])/(SamplingData[[#Totals],[Winning Candidate]]-SamplingData[[#Totals],[Candidate 6]]), 0)</f>
        <v>1.0699868683429793E-3</v>
      </c>
      <c r="P1082" s="100">
        <f>MAX(SamplingData[[#This Row],[Error Bound (up) - Max. possible relative overstatement - Losing Candidate]:[Error Bound (up) - Max. possible relative overstatement - Candidate 6]])</f>
        <v>1.7760901518863303E-3</v>
      </c>
      <c r="Q1082" s="100">
        <f>IF(SamplingData[[#This Row],[Max Error Bound (up)]] = 0,0,SamplingData[[#This Row],[Max Error Bound (up)]]/SamplingData[[#Totals],[Max Error Bound (up)]])</f>
        <v>2.8109550007492914E-4</v>
      </c>
      <c r="R1082" s="101">
        <f>SUM($Q$5:Q1082)</f>
        <v>0.272328559656837</v>
      </c>
      <c r="S1082" s="100" t="str">
        <f t="array" ref="S1082">IF(SamplingData[[#This Row],[up/U Selection Probability]] = 0, "Zero", TEXT(SamplingData[[#This Row],[Lower Range]], REPT("0",LEN('General Info'!$B$40))) &amp; " - " &amp; TEXT(SamplingData[[#This Row],[Upper Range]], REPT("0",LEN('General Info'!$B$40))))</f>
        <v>27205 - 27232</v>
      </c>
      <c r="T1082" s="100">
        <f>SamplingData[[#This Row],[Upper Range]]-SamplingData[[#This Row],[Span]]</f>
        <v>27204.746696771705</v>
      </c>
      <c r="U1082" s="100">
        <f>IF(ISNUMBER('General Info'!$B$40), ((SamplingData[[#This Row],[up/U Selection Probability]]) * 'General Info'!$B$40) - 1, 0)</f>
        <v>27.109268911992839</v>
      </c>
      <c r="V1082" s="100">
        <f>IF(ISNUMBER('General Info'!$B$40), (SamplingData[[#This Row],[Running (cumulative) sum]] * ('General Info'!$B$40 -'General Info'!$B$41 + 1)) + 'General Info'!$B$41 - 1, 0)</f>
        <v>27231.855965683699</v>
      </c>
      <c r="W1082" s="100" t="str">
        <f>IF(ISERROR(MATCH(SamplingData[[#This Row],[Batch by Type (p)]],SelectedPrecincts[Batch Name], 0)), "", INDEX(SelectedPrecincts[Draw], MATCH(SamplingData[[#This Row],[Batch by Type (p)]],SelectedPrecincts[Batch Name], 0)))</f>
        <v/>
      </c>
      <c r="X1082" s="102">
        <f>IF(COUNTIF(SelectedPrecincts[Batch Name],SamplingData[[#This Row],[Batch by Type (p)]]) &lt;&gt; 0, COUNTIF(SelectedPrecincts[Batch Name],SamplingData[[#This Row],[Batch by Type (p)]]), 0)</f>
        <v>0</v>
      </c>
    </row>
    <row r="1083" spans="1:24" ht="15" customHeight="1">
      <c r="A1083" s="18" t="s">
        <v>1259</v>
      </c>
      <c r="B1083" s="18">
        <v>2</v>
      </c>
      <c r="C1083" s="18">
        <v>2</v>
      </c>
      <c r="D1083" s="16">
        <v>3</v>
      </c>
      <c r="E1083" s="16">
        <v>0</v>
      </c>
      <c r="F1083" s="37">
        <v>0</v>
      </c>
      <c r="G1083" s="37">
        <v>1</v>
      </c>
      <c r="H1083" s="17">
        <v>0</v>
      </c>
      <c r="I1083" s="17">
        <v>0</v>
      </c>
      <c r="J1083" s="99">
        <f>SUM(SamplingData[[#This Row],[Losing Candidate]:[Under Votes]])</f>
        <v>8</v>
      </c>
      <c r="K1083"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083" s="100">
        <f>IF(AND(SamplingData[[#This Row],[Total]]&lt;&gt; 0, NOT(ISBLANK(SamplingData[[#This Row],[Candidate 3]]))),(SamplingData[[#This Row],[Total]]+SamplingData[[#This Row],[Winning Candidate]]-SamplingData[[#This Row],[Candidate 3]])/(SamplingData[[#Totals],[Winning Candidate]]-SamplingData[[#Totals],[Candidate 3]]), 0)</f>
        <v>2.258283059650934E-4</v>
      </c>
      <c r="M1083" s="100">
        <f>IF(AND(SamplingData[[#This Row],[Total]]&lt;&gt; 0, NOT(ISBLANK(SamplingData[[#This Row],[Candidate 4]]))),(SamplingData[[#This Row],[Total]]+SamplingData[[#This Row],[Winning Candidate]]-SamplingData[[#This Row],[Candidate 4]])/(SamplingData[[#Totals],[Winning Candidate]]-SamplingData[[#Totals],[Candidate 4]]), 0)</f>
        <v>2.9232073430968461E-4</v>
      </c>
      <c r="N1083" s="100">
        <f>IF(AND(SamplingData[[#This Row],[Total]]&lt;&gt; 0, NOT(ISBLANK(SamplingData[[#This Row],[Candidate 5]]))),(SamplingData[[#This Row],[Total]]+SamplingData[[#This Row],[Winning Candidate]]-SamplingData[[#This Row],[Candidate 5]])/(SamplingData[[#Totals],[Winning Candidate]]-SamplingData[[#Totals],[Candidate 5]]), 0)</f>
        <v>2.4324981756263683E-4</v>
      </c>
      <c r="O1083" s="100">
        <f>IF(AND(SamplingData[[#This Row],[Total]]&lt;&gt; 0, NOT(ISBLANK(SamplingData[[#This Row],[Candidate 6]]))),(SamplingData[[#This Row],[Total]]+SamplingData[[#This Row],[Winning Candidate]]-SamplingData[[#This Row],[Candidate 6]])/(SamplingData[[#Totals],[Winning Candidate]]-SamplingData[[#Totals],[Candidate 6]]), 0)</f>
        <v>2.1886095034288216E-4</v>
      </c>
      <c r="P1083" s="100">
        <f>MAX(SamplingData[[#This Row],[Error Bound (up) - Max. possible relative overstatement - Losing Candidate]:[Error Bound (up) - Max. possible relative overstatement - Candidate 6]])</f>
        <v>4.8995590396864281E-4</v>
      </c>
      <c r="Q1083" s="100">
        <f>IF(SamplingData[[#This Row],[Max Error Bound (up)]] = 0,0,SamplingData[[#This Row],[Max Error Bound (up)]]/SamplingData[[#Totals],[Max Error Bound (up)]])</f>
        <v>7.7543586227566652E-5</v>
      </c>
      <c r="R1083" s="101">
        <f>SUM($Q$5:Q1083)</f>
        <v>0.27240610324306458</v>
      </c>
      <c r="S1083" s="100" t="str">
        <f t="array" ref="S1083">IF(SamplingData[[#This Row],[up/U Selection Probability]] = 0, "Zero", TEXT(SamplingData[[#This Row],[Lower Range]], REPT("0",LEN('General Info'!$B$40))) &amp; " - " &amp; TEXT(SamplingData[[#This Row],[Upper Range]], REPT("0",LEN('General Info'!$B$40))))</f>
        <v>27233 - 27240</v>
      </c>
      <c r="T1083" s="100">
        <f>SamplingData[[#This Row],[Upper Range]]-SamplingData[[#This Row],[Span]]</f>
        <v>27232.856043227286</v>
      </c>
      <c r="U1083" s="100">
        <f>IF(ISNUMBER('General Info'!$B$40), ((SamplingData[[#This Row],[up/U Selection Probability]]) * 'General Info'!$B$40) - 1, 0)</f>
        <v>6.754281079170438</v>
      </c>
      <c r="V1083" s="100">
        <f>IF(ISNUMBER('General Info'!$B$40), (SamplingData[[#This Row],[Running (cumulative) sum]] * ('General Info'!$B$40 -'General Info'!$B$41 + 1)) + 'General Info'!$B$41 - 1, 0)</f>
        <v>27239.610324306457</v>
      </c>
      <c r="W1083" s="100" t="str">
        <f>IF(ISERROR(MATCH(SamplingData[[#This Row],[Batch by Type (p)]],SelectedPrecincts[Batch Name], 0)), "", INDEX(SelectedPrecincts[Draw], MATCH(SamplingData[[#This Row],[Batch by Type (p)]],SelectedPrecincts[Batch Name], 0)))</f>
        <v/>
      </c>
      <c r="X1083" s="102">
        <f>IF(COUNTIF(SelectedPrecincts[Batch Name],SamplingData[[#This Row],[Batch by Type (p)]]) &lt;&gt; 0, COUNTIF(SelectedPrecincts[Batch Name],SamplingData[[#This Row],[Batch by Type (p)]]), 0)</f>
        <v>0</v>
      </c>
    </row>
    <row r="1084" spans="1:24" ht="15" customHeight="1">
      <c r="A1084" s="18" t="s">
        <v>1260</v>
      </c>
      <c r="B1084" s="18">
        <v>2</v>
      </c>
      <c r="C1084" s="18">
        <v>2</v>
      </c>
      <c r="D1084" s="18">
        <v>2</v>
      </c>
      <c r="E1084" s="18">
        <v>0</v>
      </c>
      <c r="F1084" s="18">
        <v>0</v>
      </c>
      <c r="G1084" s="18">
        <v>1</v>
      </c>
      <c r="H1084" s="18">
        <v>0</v>
      </c>
      <c r="I1084" s="18">
        <v>0</v>
      </c>
      <c r="J1084" s="99">
        <f>SUM(SamplingData[[#This Row],[Losing Candidate]:[Under Votes]])</f>
        <v>7</v>
      </c>
      <c r="K1084"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084" s="100">
        <f>IF(AND(SamplingData[[#This Row],[Total]]&lt;&gt; 0, NOT(ISBLANK(SamplingData[[#This Row],[Candidate 3]]))),(SamplingData[[#This Row],[Total]]+SamplingData[[#This Row],[Winning Candidate]]-SamplingData[[#This Row],[Candidate 3]])/(SamplingData[[#Totals],[Winning Candidate]]-SamplingData[[#Totals],[Candidate 3]]), 0)</f>
        <v>2.258283059650934E-4</v>
      </c>
      <c r="M1084" s="100">
        <f>IF(AND(SamplingData[[#This Row],[Total]]&lt;&gt; 0, NOT(ISBLANK(SamplingData[[#This Row],[Candidate 4]]))),(SamplingData[[#This Row],[Total]]+SamplingData[[#This Row],[Winning Candidate]]-SamplingData[[#This Row],[Candidate 4]])/(SamplingData[[#Totals],[Winning Candidate]]-SamplingData[[#Totals],[Candidate 4]]), 0)</f>
        <v>2.6308866087871614E-4</v>
      </c>
      <c r="N1084" s="100">
        <f>IF(AND(SamplingData[[#This Row],[Total]]&lt;&gt; 0, NOT(ISBLANK(SamplingData[[#This Row],[Candidate 5]]))),(SamplingData[[#This Row],[Total]]+SamplingData[[#This Row],[Winning Candidate]]-SamplingData[[#This Row],[Candidate 5]])/(SamplingData[[#Totals],[Winning Candidate]]-SamplingData[[#Totals],[Candidate 5]]), 0)</f>
        <v>2.1892483580637315E-4</v>
      </c>
      <c r="O1084" s="100">
        <f>IF(AND(SamplingData[[#This Row],[Total]]&lt;&gt; 0, NOT(ISBLANK(SamplingData[[#This Row],[Candidate 6]]))),(SamplingData[[#This Row],[Total]]+SamplingData[[#This Row],[Winning Candidate]]-SamplingData[[#This Row],[Candidate 6]])/(SamplingData[[#Totals],[Winning Candidate]]-SamplingData[[#Totals],[Candidate 6]]), 0)</f>
        <v>1.945430669714508E-4</v>
      </c>
      <c r="P1084" s="100">
        <f>MAX(SamplingData[[#This Row],[Error Bound (up) - Max. possible relative overstatement - Losing Candidate]:[Error Bound (up) - Max. possible relative overstatement - Candidate 6]])</f>
        <v>4.2871141597256246E-4</v>
      </c>
      <c r="Q1084" s="100">
        <f>IF(SamplingData[[#This Row],[Max Error Bound (up)]] = 0,0,SamplingData[[#This Row],[Max Error Bound (up)]]/SamplingData[[#Totals],[Max Error Bound (up)]])</f>
        <v>6.7850637949120826E-5</v>
      </c>
      <c r="R1084" s="101">
        <f>SUM($Q$5:Q1084)</f>
        <v>0.2724739538810137</v>
      </c>
      <c r="S1084" s="100" t="str">
        <f t="array" ref="S1084">IF(SamplingData[[#This Row],[up/U Selection Probability]] = 0, "Zero", TEXT(SamplingData[[#This Row],[Lower Range]], REPT("0",LEN('General Info'!$B$40))) &amp; " - " &amp; TEXT(SamplingData[[#This Row],[Upper Range]], REPT("0",LEN('General Info'!$B$40))))</f>
        <v>27241 - 27246</v>
      </c>
      <c r="T1084" s="100">
        <f>SamplingData[[#This Row],[Upper Range]]-SamplingData[[#This Row],[Span]]</f>
        <v>27240.610392157094</v>
      </c>
      <c r="U1084" s="100">
        <f>IF(ISNUMBER('General Info'!$B$40), ((SamplingData[[#This Row],[up/U Selection Probability]]) * 'General Info'!$B$40) - 1, 0)</f>
        <v>5.7849959442741339</v>
      </c>
      <c r="V1084" s="100">
        <f>IF(ISNUMBER('General Info'!$B$40), (SamplingData[[#This Row],[Running (cumulative) sum]] * ('General Info'!$B$40 -'General Info'!$B$41 + 1)) + 'General Info'!$B$41 - 1, 0)</f>
        <v>27246.395388101369</v>
      </c>
      <c r="W1084" s="100" t="str">
        <f>IF(ISERROR(MATCH(SamplingData[[#This Row],[Batch by Type (p)]],SelectedPrecincts[Batch Name], 0)), "", INDEX(SelectedPrecincts[Draw], MATCH(SamplingData[[#This Row],[Batch by Type (p)]],SelectedPrecincts[Batch Name], 0)))</f>
        <v/>
      </c>
      <c r="X1084" s="102">
        <f>IF(COUNTIF(SelectedPrecincts[Batch Name],SamplingData[[#This Row],[Batch by Type (p)]]) &lt;&gt; 0, COUNTIF(SelectedPrecincts[Batch Name],SamplingData[[#This Row],[Batch by Type (p)]]), 0)</f>
        <v>0</v>
      </c>
    </row>
    <row r="1085" spans="1:24" ht="15" customHeight="1">
      <c r="A1085" s="18" t="s">
        <v>1261</v>
      </c>
      <c r="B1085" s="18">
        <v>2</v>
      </c>
      <c r="C1085" s="18">
        <v>3</v>
      </c>
      <c r="D1085" s="16">
        <v>0</v>
      </c>
      <c r="E1085" s="16">
        <v>0</v>
      </c>
      <c r="F1085" s="37">
        <v>0</v>
      </c>
      <c r="G1085" s="37">
        <v>0</v>
      </c>
      <c r="H1085" s="17">
        <v>0</v>
      </c>
      <c r="I1085" s="17">
        <v>0</v>
      </c>
      <c r="J1085" s="99">
        <f>SUM(SamplingData[[#This Row],[Losing Candidate]:[Under Votes]])</f>
        <v>5</v>
      </c>
      <c r="K1085"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085" s="100">
        <f>IF(AND(SamplingData[[#This Row],[Total]]&lt;&gt; 0, NOT(ISBLANK(SamplingData[[#This Row],[Candidate 3]]))),(SamplingData[[#This Row],[Total]]+SamplingData[[#This Row],[Winning Candidate]]-SamplingData[[#This Row],[Candidate 3]])/(SamplingData[[#Totals],[Winning Candidate]]-SamplingData[[#Totals],[Candidate 3]]), 0)</f>
        <v>2.5808949253153533E-4</v>
      </c>
      <c r="M1085" s="100">
        <f>IF(AND(SamplingData[[#This Row],[Total]]&lt;&gt; 0, NOT(ISBLANK(SamplingData[[#This Row],[Candidate 4]]))),(SamplingData[[#This Row],[Total]]+SamplingData[[#This Row],[Winning Candidate]]-SamplingData[[#This Row],[Candidate 4]])/(SamplingData[[#Totals],[Winning Candidate]]-SamplingData[[#Totals],[Candidate 4]]), 0)</f>
        <v>2.3385658744774768E-4</v>
      </c>
      <c r="N1085" s="100">
        <f>IF(AND(SamplingData[[#This Row],[Total]]&lt;&gt; 0, NOT(ISBLANK(SamplingData[[#This Row],[Candidate 5]]))),(SamplingData[[#This Row],[Total]]+SamplingData[[#This Row],[Winning Candidate]]-SamplingData[[#This Row],[Candidate 5]])/(SamplingData[[#Totals],[Winning Candidate]]-SamplingData[[#Totals],[Candidate 5]]), 0)</f>
        <v>1.9459985405010947E-4</v>
      </c>
      <c r="O1085" s="100">
        <f>IF(AND(SamplingData[[#This Row],[Total]]&lt;&gt; 0, NOT(ISBLANK(SamplingData[[#This Row],[Candidate 6]]))),(SamplingData[[#This Row],[Total]]+SamplingData[[#This Row],[Winning Candidate]]-SamplingData[[#This Row],[Candidate 6]])/(SamplingData[[#Totals],[Winning Candidate]]-SamplingData[[#Totals],[Candidate 6]]), 0)</f>
        <v>1.945430669714508E-4</v>
      </c>
      <c r="P1085" s="100">
        <f>MAX(SamplingData[[#This Row],[Error Bound (up) - Max. possible relative overstatement - Losing Candidate]:[Error Bound (up) - Max. possible relative overstatement - Candidate 6]])</f>
        <v>3.6746692797648211E-4</v>
      </c>
      <c r="Q1085" s="100">
        <f>IF(SamplingData[[#This Row],[Max Error Bound (up)]] = 0,0,SamplingData[[#This Row],[Max Error Bound (up)]]/SamplingData[[#Totals],[Max Error Bound (up)]])</f>
        <v>5.8157689670674986E-5</v>
      </c>
      <c r="R1085" s="101">
        <f>SUM($Q$5:Q1085)</f>
        <v>0.27253211157068435</v>
      </c>
      <c r="S1085" s="100" t="str">
        <f t="array" ref="S1085">IF(SamplingData[[#This Row],[up/U Selection Probability]] = 0, "Zero", TEXT(SamplingData[[#This Row],[Lower Range]], REPT("0",LEN('General Info'!$B$40))) &amp; " - " &amp; TEXT(SamplingData[[#This Row],[Upper Range]], REPT("0",LEN('General Info'!$B$40))))</f>
        <v>27247 - 27252</v>
      </c>
      <c r="T1085" s="100">
        <f>SamplingData[[#This Row],[Upper Range]]-SamplingData[[#This Row],[Span]]</f>
        <v>27247.395446259059</v>
      </c>
      <c r="U1085" s="100">
        <f>IF(ISNUMBER('General Info'!$B$40), ((SamplingData[[#This Row],[up/U Selection Probability]]) * 'General Info'!$B$40) - 1, 0)</f>
        <v>4.815710809377828</v>
      </c>
      <c r="V1085" s="100">
        <f>IF(ISNUMBER('General Info'!$B$40), (SamplingData[[#This Row],[Running (cumulative) sum]] * ('General Info'!$B$40 -'General Info'!$B$41 + 1)) + 'General Info'!$B$41 - 1, 0)</f>
        <v>27252.211157068436</v>
      </c>
      <c r="W1085" s="100" t="str">
        <f>IF(ISERROR(MATCH(SamplingData[[#This Row],[Batch by Type (p)]],SelectedPrecincts[Batch Name], 0)), "", INDEX(SelectedPrecincts[Draw], MATCH(SamplingData[[#This Row],[Batch by Type (p)]],SelectedPrecincts[Batch Name], 0)))</f>
        <v/>
      </c>
      <c r="X1085" s="102">
        <f>IF(COUNTIF(SelectedPrecincts[Batch Name],SamplingData[[#This Row],[Batch by Type (p)]]) &lt;&gt; 0, COUNTIF(SelectedPrecincts[Batch Name],SamplingData[[#This Row],[Batch by Type (p)]]), 0)</f>
        <v>0</v>
      </c>
    </row>
    <row r="1086" spans="1:24" ht="15" customHeight="1">
      <c r="A1086" s="18" t="s">
        <v>1262</v>
      </c>
      <c r="B1086" s="18">
        <v>1</v>
      </c>
      <c r="C1086" s="18">
        <v>1</v>
      </c>
      <c r="D1086" s="18">
        <v>0</v>
      </c>
      <c r="E1086" s="18">
        <v>0</v>
      </c>
      <c r="F1086" s="18">
        <v>0</v>
      </c>
      <c r="G1086" s="18">
        <v>0</v>
      </c>
      <c r="H1086" s="18">
        <v>0</v>
      </c>
      <c r="I1086" s="18">
        <v>0</v>
      </c>
      <c r="J1086" s="99">
        <f>SUM(SamplingData[[#This Row],[Losing Candidate]:[Under Votes]])</f>
        <v>2</v>
      </c>
      <c r="K108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086" s="100">
        <f>IF(AND(SamplingData[[#This Row],[Total]]&lt;&gt; 0, NOT(ISBLANK(SamplingData[[#This Row],[Candidate 3]]))),(SamplingData[[#This Row],[Total]]+SamplingData[[#This Row],[Winning Candidate]]-SamplingData[[#This Row],[Candidate 3]])/(SamplingData[[#Totals],[Winning Candidate]]-SamplingData[[#Totals],[Candidate 3]]), 0)</f>
        <v>9.6783559699325743E-5</v>
      </c>
      <c r="M1086" s="100">
        <f>IF(AND(SamplingData[[#This Row],[Total]]&lt;&gt; 0, NOT(ISBLANK(SamplingData[[#This Row],[Candidate 4]]))),(SamplingData[[#This Row],[Total]]+SamplingData[[#This Row],[Winning Candidate]]-SamplingData[[#This Row],[Candidate 4]])/(SamplingData[[#Totals],[Winning Candidate]]-SamplingData[[#Totals],[Candidate 4]]), 0)</f>
        <v>8.7696220292905373E-5</v>
      </c>
      <c r="N1086" s="100">
        <f>IF(AND(SamplingData[[#This Row],[Total]]&lt;&gt; 0, NOT(ISBLANK(SamplingData[[#This Row],[Candidate 5]]))),(SamplingData[[#This Row],[Total]]+SamplingData[[#This Row],[Winning Candidate]]-SamplingData[[#This Row],[Candidate 5]])/(SamplingData[[#Totals],[Winning Candidate]]-SamplingData[[#Totals],[Candidate 5]]), 0)</f>
        <v>7.2974945268791054E-5</v>
      </c>
      <c r="O1086" s="100">
        <f>IF(AND(SamplingData[[#This Row],[Total]]&lt;&gt; 0, NOT(ISBLANK(SamplingData[[#This Row],[Candidate 6]]))),(SamplingData[[#This Row],[Total]]+SamplingData[[#This Row],[Winning Candidate]]-SamplingData[[#This Row],[Candidate 6]])/(SamplingData[[#Totals],[Winning Candidate]]-SamplingData[[#Totals],[Candidate 6]]), 0)</f>
        <v>7.2953650114294054E-5</v>
      </c>
      <c r="P1086" s="100">
        <f>MAX(SamplingData[[#This Row],[Error Bound (up) - Max. possible relative overstatement - Losing Candidate]:[Error Bound (up) - Max. possible relative overstatement - Candidate 6]])</f>
        <v>1.224889759921607E-4</v>
      </c>
      <c r="Q1086" s="100">
        <f>IF(SamplingData[[#This Row],[Max Error Bound (up)]] = 0,0,SamplingData[[#This Row],[Max Error Bound (up)]]/SamplingData[[#Totals],[Max Error Bound (up)]])</f>
        <v>1.9385896556891663E-5</v>
      </c>
      <c r="R1086" s="101">
        <f>SUM($Q$5:Q1086)</f>
        <v>0.27255149746724122</v>
      </c>
      <c r="S1086" s="100" t="str">
        <f t="array" ref="S1086">IF(SamplingData[[#This Row],[up/U Selection Probability]] = 0, "Zero", TEXT(SamplingData[[#This Row],[Lower Range]], REPT("0",LEN('General Info'!$B$40))) &amp; " - " &amp; TEXT(SamplingData[[#This Row],[Upper Range]], REPT("0",LEN('General Info'!$B$40))))</f>
        <v>27253 - 27254</v>
      </c>
      <c r="T1086" s="100">
        <f>SamplingData[[#This Row],[Upper Range]]-SamplingData[[#This Row],[Span]]</f>
        <v>27253.21117645433</v>
      </c>
      <c r="U1086" s="100">
        <f>IF(ISNUMBER('General Info'!$B$40), ((SamplingData[[#This Row],[up/U Selection Probability]]) * 'General Info'!$B$40) - 1, 0)</f>
        <v>0.93857026979260949</v>
      </c>
      <c r="V1086" s="100">
        <f>IF(ISNUMBER('General Info'!$B$40), (SamplingData[[#This Row],[Running (cumulative) sum]] * ('General Info'!$B$40 -'General Info'!$B$41 + 1)) + 'General Info'!$B$41 - 1, 0)</f>
        <v>27254.149746724121</v>
      </c>
      <c r="W1086" s="100" t="str">
        <f>IF(ISERROR(MATCH(SamplingData[[#This Row],[Batch by Type (p)]],SelectedPrecincts[Batch Name], 0)), "", INDEX(SelectedPrecincts[Draw], MATCH(SamplingData[[#This Row],[Batch by Type (p)]],SelectedPrecincts[Batch Name], 0)))</f>
        <v/>
      </c>
      <c r="X1086" s="102">
        <f>IF(COUNTIF(SelectedPrecincts[Batch Name],SamplingData[[#This Row],[Batch by Type (p)]]) &lt;&gt; 0, COUNTIF(SelectedPrecincts[Batch Name],SamplingData[[#This Row],[Batch by Type (p)]]), 0)</f>
        <v>0</v>
      </c>
    </row>
    <row r="1087" spans="1:24" ht="15" customHeight="1">
      <c r="A1087" s="18" t="s">
        <v>1263</v>
      </c>
      <c r="B1087" s="18">
        <v>2</v>
      </c>
      <c r="C1087" s="18">
        <v>2</v>
      </c>
      <c r="D1087" s="16">
        <v>1</v>
      </c>
      <c r="E1087" s="16">
        <v>0</v>
      </c>
      <c r="F1087" s="37">
        <v>0</v>
      </c>
      <c r="G1087" s="37">
        <v>0</v>
      </c>
      <c r="H1087" s="17">
        <v>0</v>
      </c>
      <c r="I1087" s="17">
        <v>0</v>
      </c>
      <c r="J1087" s="99">
        <f>SUM(SamplingData[[#This Row],[Losing Candidate]:[Under Votes]])</f>
        <v>5</v>
      </c>
      <c r="K1087"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1087" s="100">
        <f>IF(AND(SamplingData[[#This Row],[Total]]&lt;&gt; 0, NOT(ISBLANK(SamplingData[[#This Row],[Candidate 3]]))),(SamplingData[[#This Row],[Total]]+SamplingData[[#This Row],[Winning Candidate]]-SamplingData[[#This Row],[Candidate 3]])/(SamplingData[[#Totals],[Winning Candidate]]-SamplingData[[#Totals],[Candidate 3]]), 0)</f>
        <v>1.9356711939865149E-4</v>
      </c>
      <c r="M1087" s="100">
        <f>IF(AND(SamplingData[[#This Row],[Total]]&lt;&gt; 0, NOT(ISBLANK(SamplingData[[#This Row],[Candidate 4]]))),(SamplingData[[#This Row],[Total]]+SamplingData[[#This Row],[Winning Candidate]]-SamplingData[[#This Row],[Candidate 4]])/(SamplingData[[#Totals],[Winning Candidate]]-SamplingData[[#Totals],[Candidate 4]]), 0)</f>
        <v>2.0462451401677921E-4</v>
      </c>
      <c r="N1087" s="100">
        <f>IF(AND(SamplingData[[#This Row],[Total]]&lt;&gt; 0, NOT(ISBLANK(SamplingData[[#This Row],[Candidate 5]]))),(SamplingData[[#This Row],[Total]]+SamplingData[[#This Row],[Winning Candidate]]-SamplingData[[#This Row],[Candidate 5]])/(SamplingData[[#Totals],[Winning Candidate]]-SamplingData[[#Totals],[Candidate 5]]), 0)</f>
        <v>1.7027487229384579E-4</v>
      </c>
      <c r="O1087" s="100">
        <f>IF(AND(SamplingData[[#This Row],[Total]]&lt;&gt; 0, NOT(ISBLANK(SamplingData[[#This Row],[Candidate 6]]))),(SamplingData[[#This Row],[Total]]+SamplingData[[#This Row],[Winning Candidate]]-SamplingData[[#This Row],[Candidate 6]])/(SamplingData[[#Totals],[Winning Candidate]]-SamplingData[[#Totals],[Candidate 6]]), 0)</f>
        <v>1.7022518360001944E-4</v>
      </c>
      <c r="P1087" s="100">
        <f>MAX(SamplingData[[#This Row],[Error Bound (up) - Max. possible relative overstatement - Losing Candidate]:[Error Bound (up) - Max. possible relative overstatement - Candidate 6]])</f>
        <v>3.0622243998040176E-4</v>
      </c>
      <c r="Q1087" s="100">
        <f>IF(SamplingData[[#This Row],[Max Error Bound (up)]] = 0,0,SamplingData[[#This Row],[Max Error Bound (up)]]/SamplingData[[#Totals],[Max Error Bound (up)]])</f>
        <v>4.8464741392229159E-5</v>
      </c>
      <c r="R1087" s="101">
        <f>SUM($Q$5:Q1087)</f>
        <v>0.27259996220863347</v>
      </c>
      <c r="S1087" s="100" t="str">
        <f t="array" ref="S1087">IF(SamplingData[[#This Row],[up/U Selection Probability]] = 0, "Zero", TEXT(SamplingData[[#This Row],[Lower Range]], REPT("0",LEN('General Info'!$B$40))) &amp; " - " &amp; TEXT(SamplingData[[#This Row],[Upper Range]], REPT("0",LEN('General Info'!$B$40))))</f>
        <v>27255 - 27259</v>
      </c>
      <c r="T1087" s="100">
        <f>SamplingData[[#This Row],[Upper Range]]-SamplingData[[#This Row],[Span]]</f>
        <v>27255.149795188867</v>
      </c>
      <c r="U1087" s="100">
        <f>IF(ISNUMBER('General Info'!$B$40), ((SamplingData[[#This Row],[up/U Selection Probability]]) * 'General Info'!$B$40) - 1, 0)</f>
        <v>3.8464256744815239</v>
      </c>
      <c r="V1087" s="100">
        <f>IF(ISNUMBER('General Info'!$B$40), (SamplingData[[#This Row],[Running (cumulative) sum]] * ('General Info'!$B$40 -'General Info'!$B$41 + 1)) + 'General Info'!$B$41 - 1, 0)</f>
        <v>27258.996220863348</v>
      </c>
      <c r="W1087" s="100" t="str">
        <f>IF(ISERROR(MATCH(SamplingData[[#This Row],[Batch by Type (p)]],SelectedPrecincts[Batch Name], 0)), "", INDEX(SelectedPrecincts[Draw], MATCH(SamplingData[[#This Row],[Batch by Type (p)]],SelectedPrecincts[Batch Name], 0)))</f>
        <v/>
      </c>
      <c r="X1087" s="102">
        <f>IF(COUNTIF(SelectedPrecincts[Batch Name],SamplingData[[#This Row],[Batch by Type (p)]]) &lt;&gt; 0, COUNTIF(SelectedPrecincts[Batch Name],SamplingData[[#This Row],[Batch by Type (p)]]), 0)</f>
        <v>0</v>
      </c>
    </row>
    <row r="1088" spans="1:24" ht="15" customHeight="1">
      <c r="A1088" s="18" t="s">
        <v>1264</v>
      </c>
      <c r="B1088" s="18">
        <v>0</v>
      </c>
      <c r="C1088" s="18">
        <v>0</v>
      </c>
      <c r="D1088" s="18">
        <v>0</v>
      </c>
      <c r="E1088" s="18">
        <v>0</v>
      </c>
      <c r="F1088" s="18">
        <v>0</v>
      </c>
      <c r="G1088" s="18">
        <v>0</v>
      </c>
      <c r="H1088" s="18">
        <v>0</v>
      </c>
      <c r="I1088" s="18">
        <v>0</v>
      </c>
      <c r="J1088" s="99">
        <f>SUM(SamplingData[[#This Row],[Losing Candidate]:[Under Votes]])</f>
        <v>0</v>
      </c>
      <c r="K1088" s="100">
        <f>IF(AND(SamplingData[[#This Row],[Total]]&lt;&gt; 0, NOT(ISBLANK(SamplingData[[#This Row],[Losing Candidate]]))),(SamplingData[[#This Row],[Total]]+SamplingData[[#This Row],[Winning Candidate]]-SamplingData[[#This Row],[Losing Candidate]])/(SamplingData[[#Totals],[Winning Candidate]]-SamplingData[[#Totals],[Losing Candidate]]), 0)</f>
        <v>0</v>
      </c>
      <c r="L1088" s="100">
        <f>IF(AND(SamplingData[[#This Row],[Total]]&lt;&gt; 0, NOT(ISBLANK(SamplingData[[#This Row],[Candidate 3]]))),(SamplingData[[#This Row],[Total]]+SamplingData[[#This Row],[Winning Candidate]]-SamplingData[[#This Row],[Candidate 3]])/(SamplingData[[#Totals],[Winning Candidate]]-SamplingData[[#Totals],[Candidate 3]]), 0)</f>
        <v>0</v>
      </c>
      <c r="M1088" s="100">
        <f>IF(AND(SamplingData[[#This Row],[Total]]&lt;&gt; 0, NOT(ISBLANK(SamplingData[[#This Row],[Candidate 4]]))),(SamplingData[[#This Row],[Total]]+SamplingData[[#This Row],[Winning Candidate]]-SamplingData[[#This Row],[Candidate 4]])/(SamplingData[[#Totals],[Winning Candidate]]-SamplingData[[#Totals],[Candidate 4]]), 0)</f>
        <v>0</v>
      </c>
      <c r="N1088" s="100">
        <f>IF(AND(SamplingData[[#This Row],[Total]]&lt;&gt; 0, NOT(ISBLANK(SamplingData[[#This Row],[Candidate 5]]))),(SamplingData[[#This Row],[Total]]+SamplingData[[#This Row],[Winning Candidate]]-SamplingData[[#This Row],[Candidate 5]])/(SamplingData[[#Totals],[Winning Candidate]]-SamplingData[[#Totals],[Candidate 5]]), 0)</f>
        <v>0</v>
      </c>
      <c r="O1088" s="100">
        <f>IF(AND(SamplingData[[#This Row],[Total]]&lt;&gt; 0, NOT(ISBLANK(SamplingData[[#This Row],[Candidate 6]]))),(SamplingData[[#This Row],[Total]]+SamplingData[[#This Row],[Winning Candidate]]-SamplingData[[#This Row],[Candidate 6]])/(SamplingData[[#Totals],[Winning Candidate]]-SamplingData[[#Totals],[Candidate 6]]), 0)</f>
        <v>0</v>
      </c>
      <c r="P1088" s="100">
        <f>MAX(SamplingData[[#This Row],[Error Bound (up) - Max. possible relative overstatement - Losing Candidate]:[Error Bound (up) - Max. possible relative overstatement - Candidate 6]])</f>
        <v>0</v>
      </c>
      <c r="Q1088" s="100">
        <f>IF(SamplingData[[#This Row],[Max Error Bound (up)]] = 0,0,SamplingData[[#This Row],[Max Error Bound (up)]]/SamplingData[[#Totals],[Max Error Bound (up)]])</f>
        <v>0</v>
      </c>
      <c r="R1088" s="101">
        <f>SUM($Q$5:Q1088)</f>
        <v>0.27259996220863347</v>
      </c>
      <c r="S1088" s="100" t="str">
        <f t="array" ref="S1088">IF(SamplingData[[#This Row],[up/U Selection Probability]] = 0, "Zero", TEXT(SamplingData[[#This Row],[Lower Range]], REPT("0",LEN('General Info'!$B$40))) &amp; " - " &amp; TEXT(SamplingData[[#This Row],[Upper Range]], REPT("0",LEN('General Info'!$B$40))))</f>
        <v>Zero</v>
      </c>
      <c r="T1088" s="100">
        <f>SamplingData[[#This Row],[Upper Range]]-SamplingData[[#This Row],[Span]]</f>
        <v>27259.996220863348</v>
      </c>
      <c r="U1088" s="100">
        <f>IF(ISNUMBER('General Info'!$B$40), ((SamplingData[[#This Row],[up/U Selection Probability]]) * 'General Info'!$B$40) - 1, 0)</f>
        <v>-1</v>
      </c>
      <c r="V1088" s="100">
        <f>IF(ISNUMBER('General Info'!$B$40), (SamplingData[[#This Row],[Running (cumulative) sum]] * ('General Info'!$B$40 -'General Info'!$B$41 + 1)) + 'General Info'!$B$41 - 1, 0)</f>
        <v>27258.996220863348</v>
      </c>
      <c r="W1088" s="100" t="str">
        <f>IF(ISERROR(MATCH(SamplingData[[#This Row],[Batch by Type (p)]],SelectedPrecincts[Batch Name], 0)), "", INDEX(SelectedPrecincts[Draw], MATCH(SamplingData[[#This Row],[Batch by Type (p)]],SelectedPrecincts[Batch Name], 0)))</f>
        <v/>
      </c>
      <c r="X1088" s="102">
        <f>IF(COUNTIF(SelectedPrecincts[Batch Name],SamplingData[[#This Row],[Batch by Type (p)]]) &lt;&gt; 0, COUNTIF(SelectedPrecincts[Batch Name],SamplingData[[#This Row],[Batch by Type (p)]]), 0)</f>
        <v>0</v>
      </c>
    </row>
    <row r="1089" spans="1:24" ht="15" customHeight="1">
      <c r="A1089" s="18" t="s">
        <v>1265</v>
      </c>
      <c r="B1089" s="18">
        <v>7</v>
      </c>
      <c r="C1089" s="18">
        <v>1</v>
      </c>
      <c r="D1089" s="16">
        <v>0</v>
      </c>
      <c r="E1089" s="16">
        <v>1</v>
      </c>
      <c r="F1089" s="37">
        <v>0</v>
      </c>
      <c r="G1089" s="37">
        <v>0</v>
      </c>
      <c r="H1089" s="17">
        <v>0</v>
      </c>
      <c r="I1089" s="17">
        <v>0</v>
      </c>
      <c r="J1089" s="99">
        <f>SUM(SamplingData[[#This Row],[Losing Candidate]:[Under Votes]])</f>
        <v>9</v>
      </c>
      <c r="K1089"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089" s="100">
        <f>IF(AND(SamplingData[[#This Row],[Total]]&lt;&gt; 0, NOT(ISBLANK(SamplingData[[#This Row],[Candidate 3]]))),(SamplingData[[#This Row],[Total]]+SamplingData[[#This Row],[Winning Candidate]]-SamplingData[[#This Row],[Candidate 3]])/(SamplingData[[#Totals],[Winning Candidate]]-SamplingData[[#Totals],[Candidate 3]]), 0)</f>
        <v>3.2261186566441915E-4</v>
      </c>
      <c r="M1089" s="100">
        <f>IF(AND(SamplingData[[#This Row],[Total]]&lt;&gt; 0, NOT(ISBLANK(SamplingData[[#This Row],[Candidate 4]]))),(SamplingData[[#This Row],[Total]]+SamplingData[[#This Row],[Winning Candidate]]-SamplingData[[#This Row],[Candidate 4]])/(SamplingData[[#Totals],[Winning Candidate]]-SamplingData[[#Totals],[Candidate 4]]), 0)</f>
        <v>2.6308866087871614E-4</v>
      </c>
      <c r="N1089" s="100">
        <f>IF(AND(SamplingData[[#This Row],[Total]]&lt;&gt; 0, NOT(ISBLANK(SamplingData[[#This Row],[Candidate 5]]))),(SamplingData[[#This Row],[Total]]+SamplingData[[#This Row],[Winning Candidate]]-SamplingData[[#This Row],[Candidate 5]])/(SamplingData[[#Totals],[Winning Candidate]]-SamplingData[[#Totals],[Candidate 5]]), 0)</f>
        <v>2.4324981756263683E-4</v>
      </c>
      <c r="O1089" s="100">
        <f>IF(AND(SamplingData[[#This Row],[Total]]&lt;&gt; 0, NOT(ISBLANK(SamplingData[[#This Row],[Candidate 6]]))),(SamplingData[[#This Row],[Total]]+SamplingData[[#This Row],[Winning Candidate]]-SamplingData[[#This Row],[Candidate 6]])/(SamplingData[[#Totals],[Winning Candidate]]-SamplingData[[#Totals],[Candidate 6]]), 0)</f>
        <v>2.431788337143135E-4</v>
      </c>
      <c r="P1089" s="100">
        <f>MAX(SamplingData[[#This Row],[Error Bound (up) - Max. possible relative overstatement - Losing Candidate]:[Error Bound (up) - Max. possible relative overstatement - Candidate 6]])</f>
        <v>3.2261186566441915E-4</v>
      </c>
      <c r="Q1089" s="100">
        <f>IF(SamplingData[[#This Row],[Max Error Bound (up)]] = 0,0,SamplingData[[#This Row],[Max Error Bound (up)]]/SamplingData[[#Totals],[Max Error Bound (up)]])</f>
        <v>5.1058637768320656E-5</v>
      </c>
      <c r="R1089" s="101">
        <f>SUM($Q$5:Q1089)</f>
        <v>0.2726510208464018</v>
      </c>
      <c r="S1089" s="100" t="str">
        <f t="array" ref="S1089">IF(SamplingData[[#This Row],[up/U Selection Probability]] = 0, "Zero", TEXT(SamplingData[[#This Row],[Lower Range]], REPT("0",LEN('General Info'!$B$40))) &amp; " - " &amp; TEXT(SamplingData[[#This Row],[Upper Range]], REPT("0",LEN('General Info'!$B$40))))</f>
        <v>27260 - 27264</v>
      </c>
      <c r="T1089" s="100">
        <f>SamplingData[[#This Row],[Upper Range]]-SamplingData[[#This Row],[Span]]</f>
        <v>27259.996271921987</v>
      </c>
      <c r="U1089" s="100">
        <f>IF(ISNUMBER('General Info'!$B$40), ((SamplingData[[#This Row],[up/U Selection Probability]]) * 'General Info'!$B$40) - 1, 0)</f>
        <v>4.1058127181942972</v>
      </c>
      <c r="V1089" s="100">
        <f>IF(ISNUMBER('General Info'!$B$40), (SamplingData[[#This Row],[Running (cumulative) sum]] * ('General Info'!$B$40 -'General Info'!$B$41 + 1)) + 'General Info'!$B$41 - 1, 0)</f>
        <v>27264.102084640181</v>
      </c>
      <c r="W1089" s="100" t="str">
        <f>IF(ISERROR(MATCH(SamplingData[[#This Row],[Batch by Type (p)]],SelectedPrecincts[Batch Name], 0)), "", INDEX(SelectedPrecincts[Draw], MATCH(SamplingData[[#This Row],[Batch by Type (p)]],SelectedPrecincts[Batch Name], 0)))</f>
        <v/>
      </c>
      <c r="X1089" s="102">
        <f>IF(COUNTIF(SelectedPrecincts[Batch Name],SamplingData[[#This Row],[Batch by Type (p)]]) &lt;&gt; 0, COUNTIF(SelectedPrecincts[Batch Name],SamplingData[[#This Row],[Batch by Type (p)]]), 0)</f>
        <v>0</v>
      </c>
    </row>
    <row r="1090" spans="1:24" ht="15" customHeight="1">
      <c r="A1090" s="18" t="s">
        <v>1266</v>
      </c>
      <c r="B1090" s="18">
        <v>2</v>
      </c>
      <c r="C1090" s="18">
        <v>9</v>
      </c>
      <c r="D1090" s="18">
        <v>1</v>
      </c>
      <c r="E1090" s="18">
        <v>2</v>
      </c>
      <c r="F1090" s="18">
        <v>0</v>
      </c>
      <c r="G1090" s="18">
        <v>0</v>
      </c>
      <c r="H1090" s="18">
        <v>0</v>
      </c>
      <c r="I1090" s="18">
        <v>0</v>
      </c>
      <c r="J1090" s="99">
        <f>SUM(SamplingData[[#This Row],[Losing Candidate]:[Under Votes]])</f>
        <v>14</v>
      </c>
      <c r="K1090"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090" s="100">
        <f>IF(AND(SamplingData[[#This Row],[Total]]&lt;&gt; 0, NOT(ISBLANK(SamplingData[[#This Row],[Candidate 3]]))),(SamplingData[[#This Row],[Total]]+SamplingData[[#This Row],[Winning Candidate]]-SamplingData[[#This Row],[Candidate 3]])/(SamplingData[[#Totals],[Winning Candidate]]-SamplingData[[#Totals],[Candidate 3]]), 0)</f>
        <v>7.0974610446172207E-4</v>
      </c>
      <c r="M1090" s="100">
        <f>IF(AND(SamplingData[[#This Row],[Total]]&lt;&gt; 0, NOT(ISBLANK(SamplingData[[#This Row],[Candidate 4]]))),(SamplingData[[#This Row],[Total]]+SamplingData[[#This Row],[Winning Candidate]]-SamplingData[[#This Row],[Candidate 4]])/(SamplingData[[#Totals],[Winning Candidate]]-SamplingData[[#Totals],[Candidate 4]]), 0)</f>
        <v>6.1387354205033758E-4</v>
      </c>
      <c r="N1090" s="100">
        <f>IF(AND(SamplingData[[#This Row],[Total]]&lt;&gt; 0, NOT(ISBLANK(SamplingData[[#This Row],[Candidate 5]]))),(SamplingData[[#This Row],[Total]]+SamplingData[[#This Row],[Winning Candidate]]-SamplingData[[#This Row],[Candidate 5]])/(SamplingData[[#Totals],[Winning Candidate]]-SamplingData[[#Totals],[Candidate 5]]), 0)</f>
        <v>5.5947458039406475E-4</v>
      </c>
      <c r="O1090" s="100">
        <f>IF(AND(SamplingData[[#This Row],[Total]]&lt;&gt; 0, NOT(ISBLANK(SamplingData[[#This Row],[Candidate 6]]))),(SamplingData[[#This Row],[Total]]+SamplingData[[#This Row],[Winning Candidate]]-SamplingData[[#This Row],[Candidate 6]])/(SamplingData[[#Totals],[Winning Candidate]]-SamplingData[[#Totals],[Candidate 6]]), 0)</f>
        <v>5.5931131754292105E-4</v>
      </c>
      <c r="P1090" s="100">
        <f>MAX(SamplingData[[#This Row],[Error Bound (up) - Max. possible relative overstatement - Losing Candidate]:[Error Bound (up) - Max. possible relative overstatement - Candidate 6]])</f>
        <v>1.2861342479176874E-3</v>
      </c>
      <c r="Q1090" s="100">
        <f>IF(SamplingData[[#This Row],[Max Error Bound (up)]] = 0,0,SamplingData[[#This Row],[Max Error Bound (up)]]/SamplingData[[#Totals],[Max Error Bound (up)]])</f>
        <v>2.0355191384736248E-4</v>
      </c>
      <c r="R1090" s="101">
        <f>SUM($Q$5:Q1090)</f>
        <v>0.27285457276024916</v>
      </c>
      <c r="S1090" s="100" t="str">
        <f t="array" ref="S1090">IF(SamplingData[[#This Row],[up/U Selection Probability]] = 0, "Zero", TEXT(SamplingData[[#This Row],[Lower Range]], REPT("0",LEN('General Info'!$B$40))) &amp; " - " &amp; TEXT(SamplingData[[#This Row],[Upper Range]], REPT("0",LEN('General Info'!$B$40))))</f>
        <v>27265 - 27284</v>
      </c>
      <c r="T1090" s="100">
        <f>SamplingData[[#This Row],[Upper Range]]-SamplingData[[#This Row],[Span]]</f>
        <v>27265.102288192094</v>
      </c>
      <c r="U1090" s="100">
        <f>IF(ISNUMBER('General Info'!$B$40), ((SamplingData[[#This Row],[up/U Selection Probability]]) * 'General Info'!$B$40) - 1, 0)</f>
        <v>19.354987832822399</v>
      </c>
      <c r="V1090" s="100">
        <f>IF(ISNUMBER('General Info'!$B$40), (SamplingData[[#This Row],[Running (cumulative) sum]] * ('General Info'!$B$40 -'General Info'!$B$41 + 1)) + 'General Info'!$B$41 - 1, 0)</f>
        <v>27284.457276024918</v>
      </c>
      <c r="W1090" s="100" t="str">
        <f>IF(ISERROR(MATCH(SamplingData[[#This Row],[Batch by Type (p)]],SelectedPrecincts[Batch Name], 0)), "", INDEX(SelectedPrecincts[Draw], MATCH(SamplingData[[#This Row],[Batch by Type (p)]],SelectedPrecincts[Batch Name], 0)))</f>
        <v/>
      </c>
      <c r="X1090" s="102">
        <f>IF(COUNTIF(SelectedPrecincts[Batch Name],SamplingData[[#This Row],[Batch by Type (p)]]) &lt;&gt; 0, COUNTIF(SelectedPrecincts[Batch Name],SamplingData[[#This Row],[Batch by Type (p)]]), 0)</f>
        <v>0</v>
      </c>
    </row>
    <row r="1091" spans="1:24" ht="15" customHeight="1">
      <c r="A1091" s="18" t="s">
        <v>1267</v>
      </c>
      <c r="B1091" s="18">
        <v>0</v>
      </c>
      <c r="C1091" s="18">
        <v>0</v>
      </c>
      <c r="D1091" s="16">
        <v>1</v>
      </c>
      <c r="E1091" s="16">
        <v>0</v>
      </c>
      <c r="F1091" s="37">
        <v>0</v>
      </c>
      <c r="G1091" s="37">
        <v>0</v>
      </c>
      <c r="H1091" s="17">
        <v>0</v>
      </c>
      <c r="I1091" s="17">
        <v>0</v>
      </c>
      <c r="J1091" s="99">
        <f>SUM(SamplingData[[#This Row],[Losing Candidate]:[Under Votes]])</f>
        <v>1</v>
      </c>
      <c r="K1091"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91" s="100">
        <f>IF(AND(SamplingData[[#This Row],[Total]]&lt;&gt; 0, NOT(ISBLANK(SamplingData[[#This Row],[Candidate 3]]))),(SamplingData[[#This Row],[Total]]+SamplingData[[#This Row],[Winning Candidate]]-SamplingData[[#This Row],[Candidate 3]])/(SamplingData[[#Totals],[Winning Candidate]]-SamplingData[[#Totals],[Candidate 3]]), 0)</f>
        <v>0</v>
      </c>
      <c r="M1091" s="100">
        <f>IF(AND(SamplingData[[#This Row],[Total]]&lt;&gt; 0, NOT(ISBLANK(SamplingData[[#This Row],[Candidate 4]]))),(SamplingData[[#This Row],[Total]]+SamplingData[[#This Row],[Winning Candidate]]-SamplingData[[#This Row],[Candidate 4]])/(SamplingData[[#Totals],[Winning Candidate]]-SamplingData[[#Totals],[Candidate 4]]), 0)</f>
        <v>2.923207343096846E-5</v>
      </c>
      <c r="N1091" s="100">
        <f>IF(AND(SamplingData[[#This Row],[Total]]&lt;&gt; 0, NOT(ISBLANK(SamplingData[[#This Row],[Candidate 5]]))),(SamplingData[[#This Row],[Total]]+SamplingData[[#This Row],[Winning Candidate]]-SamplingData[[#This Row],[Candidate 5]])/(SamplingData[[#Totals],[Winning Candidate]]-SamplingData[[#Totals],[Candidate 5]]), 0)</f>
        <v>2.4324981756263683E-5</v>
      </c>
      <c r="O1091" s="100">
        <f>IF(AND(SamplingData[[#This Row],[Total]]&lt;&gt; 0, NOT(ISBLANK(SamplingData[[#This Row],[Candidate 6]]))),(SamplingData[[#This Row],[Total]]+SamplingData[[#This Row],[Winning Candidate]]-SamplingData[[#This Row],[Candidate 6]])/(SamplingData[[#Totals],[Winning Candidate]]-SamplingData[[#Totals],[Candidate 6]]), 0)</f>
        <v>2.431788337143135E-5</v>
      </c>
      <c r="P1091" s="100">
        <f>MAX(SamplingData[[#This Row],[Error Bound (up) - Max. possible relative overstatement - Losing Candidate]:[Error Bound (up) - Max. possible relative overstatement - Candidate 6]])</f>
        <v>6.1244487996080352E-5</v>
      </c>
      <c r="Q1091" s="100">
        <f>IF(SamplingData[[#This Row],[Max Error Bound (up)]] = 0,0,SamplingData[[#This Row],[Max Error Bound (up)]]/SamplingData[[#Totals],[Max Error Bound (up)]])</f>
        <v>9.6929482784458315E-6</v>
      </c>
      <c r="R1091" s="101">
        <f>SUM($Q$5:Q1091)</f>
        <v>0.27286426570852762</v>
      </c>
      <c r="S1091" s="100" t="str">
        <f t="array" ref="S1091">IF(SamplingData[[#This Row],[up/U Selection Probability]] = 0, "Zero", TEXT(SamplingData[[#This Row],[Lower Range]], REPT("0",LEN('General Info'!$B$40))) &amp; " - " &amp; TEXT(SamplingData[[#This Row],[Upper Range]], REPT("0",LEN('General Info'!$B$40))))</f>
        <v>27285 - 27285</v>
      </c>
      <c r="T1091" s="100">
        <f>SamplingData[[#This Row],[Upper Range]]-SamplingData[[#This Row],[Span]]</f>
        <v>27285.457285717868</v>
      </c>
      <c r="U1091" s="100">
        <f>IF(ISNUMBER('General Info'!$B$40), ((SamplingData[[#This Row],[up/U Selection Probability]]) * 'General Info'!$B$40) - 1, 0)</f>
        <v>-3.0714865103695255E-2</v>
      </c>
      <c r="V1091" s="100">
        <f>IF(ISNUMBER('General Info'!$B$40), (SamplingData[[#This Row],[Running (cumulative) sum]] * ('General Info'!$B$40 -'General Info'!$B$41 + 1)) + 'General Info'!$B$41 - 1, 0)</f>
        <v>27285.426570852764</v>
      </c>
      <c r="W1091" s="100" t="str">
        <f>IF(ISERROR(MATCH(SamplingData[[#This Row],[Batch by Type (p)]],SelectedPrecincts[Batch Name], 0)), "", INDEX(SelectedPrecincts[Draw], MATCH(SamplingData[[#This Row],[Batch by Type (p)]],SelectedPrecincts[Batch Name], 0)))</f>
        <v/>
      </c>
      <c r="X1091" s="102">
        <f>IF(COUNTIF(SelectedPrecincts[Batch Name],SamplingData[[#This Row],[Batch by Type (p)]]) &lt;&gt; 0, COUNTIF(SelectedPrecincts[Batch Name],SamplingData[[#This Row],[Batch by Type (p)]]), 0)</f>
        <v>0</v>
      </c>
    </row>
    <row r="1092" spans="1:24" ht="15" customHeight="1">
      <c r="A1092" s="18" t="s">
        <v>1268</v>
      </c>
      <c r="B1092" s="18">
        <v>0</v>
      </c>
      <c r="C1092" s="18">
        <v>0</v>
      </c>
      <c r="D1092" s="18">
        <v>1</v>
      </c>
      <c r="E1092" s="18">
        <v>0</v>
      </c>
      <c r="F1092" s="18">
        <v>0</v>
      </c>
      <c r="G1092" s="18">
        <v>0</v>
      </c>
      <c r="H1092" s="18">
        <v>0</v>
      </c>
      <c r="I1092" s="18">
        <v>0</v>
      </c>
      <c r="J1092" s="99">
        <f>SUM(SamplingData[[#This Row],[Losing Candidate]:[Under Votes]])</f>
        <v>1</v>
      </c>
      <c r="K109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92" s="100">
        <f>IF(AND(SamplingData[[#This Row],[Total]]&lt;&gt; 0, NOT(ISBLANK(SamplingData[[#This Row],[Candidate 3]]))),(SamplingData[[#This Row],[Total]]+SamplingData[[#This Row],[Winning Candidate]]-SamplingData[[#This Row],[Candidate 3]])/(SamplingData[[#Totals],[Winning Candidate]]-SamplingData[[#Totals],[Candidate 3]]), 0)</f>
        <v>0</v>
      </c>
      <c r="M1092" s="100">
        <f>IF(AND(SamplingData[[#This Row],[Total]]&lt;&gt; 0, NOT(ISBLANK(SamplingData[[#This Row],[Candidate 4]]))),(SamplingData[[#This Row],[Total]]+SamplingData[[#This Row],[Winning Candidate]]-SamplingData[[#This Row],[Candidate 4]])/(SamplingData[[#Totals],[Winning Candidate]]-SamplingData[[#Totals],[Candidate 4]]), 0)</f>
        <v>2.923207343096846E-5</v>
      </c>
      <c r="N1092" s="100">
        <f>IF(AND(SamplingData[[#This Row],[Total]]&lt;&gt; 0, NOT(ISBLANK(SamplingData[[#This Row],[Candidate 5]]))),(SamplingData[[#This Row],[Total]]+SamplingData[[#This Row],[Winning Candidate]]-SamplingData[[#This Row],[Candidate 5]])/(SamplingData[[#Totals],[Winning Candidate]]-SamplingData[[#Totals],[Candidate 5]]), 0)</f>
        <v>2.4324981756263683E-5</v>
      </c>
      <c r="O1092" s="100">
        <f>IF(AND(SamplingData[[#This Row],[Total]]&lt;&gt; 0, NOT(ISBLANK(SamplingData[[#This Row],[Candidate 6]]))),(SamplingData[[#This Row],[Total]]+SamplingData[[#This Row],[Winning Candidate]]-SamplingData[[#This Row],[Candidate 6]])/(SamplingData[[#Totals],[Winning Candidate]]-SamplingData[[#Totals],[Candidate 6]]), 0)</f>
        <v>2.431788337143135E-5</v>
      </c>
      <c r="P1092" s="100">
        <f>MAX(SamplingData[[#This Row],[Error Bound (up) - Max. possible relative overstatement - Losing Candidate]:[Error Bound (up) - Max. possible relative overstatement - Candidate 6]])</f>
        <v>6.1244487996080352E-5</v>
      </c>
      <c r="Q1092" s="100">
        <f>IF(SamplingData[[#This Row],[Max Error Bound (up)]] = 0,0,SamplingData[[#This Row],[Max Error Bound (up)]]/SamplingData[[#Totals],[Max Error Bound (up)]])</f>
        <v>9.6929482784458315E-6</v>
      </c>
      <c r="R1092" s="101">
        <f>SUM($Q$5:Q1092)</f>
        <v>0.27287395865680608</v>
      </c>
      <c r="S1092" s="100" t="str">
        <f t="array" ref="S1092">IF(SamplingData[[#This Row],[up/U Selection Probability]] = 0, "Zero", TEXT(SamplingData[[#This Row],[Lower Range]], REPT("0",LEN('General Info'!$B$40))) &amp; " - " &amp; TEXT(SamplingData[[#This Row],[Upper Range]], REPT("0",LEN('General Info'!$B$40))))</f>
        <v>27286 - 27286</v>
      </c>
      <c r="T1092" s="100">
        <f>SamplingData[[#This Row],[Upper Range]]-SamplingData[[#This Row],[Span]]</f>
        <v>27286.426580545714</v>
      </c>
      <c r="U1092" s="100">
        <f>IF(ISNUMBER('General Info'!$B$40), ((SamplingData[[#This Row],[up/U Selection Probability]]) * 'General Info'!$B$40) - 1, 0)</f>
        <v>-3.0714865103695255E-2</v>
      </c>
      <c r="V1092" s="100">
        <f>IF(ISNUMBER('General Info'!$B$40), (SamplingData[[#This Row],[Running (cumulative) sum]] * ('General Info'!$B$40 -'General Info'!$B$41 + 1)) + 'General Info'!$B$41 - 1, 0)</f>
        <v>27286.39586568061</v>
      </c>
      <c r="W1092" s="100" t="str">
        <f>IF(ISERROR(MATCH(SamplingData[[#This Row],[Batch by Type (p)]],SelectedPrecincts[Batch Name], 0)), "", INDEX(SelectedPrecincts[Draw], MATCH(SamplingData[[#This Row],[Batch by Type (p)]],SelectedPrecincts[Batch Name], 0)))</f>
        <v/>
      </c>
      <c r="X1092" s="102">
        <f>IF(COUNTIF(SelectedPrecincts[Batch Name],SamplingData[[#This Row],[Batch by Type (p)]]) &lt;&gt; 0, COUNTIF(SelectedPrecincts[Batch Name],SamplingData[[#This Row],[Batch by Type (p)]]), 0)</f>
        <v>0</v>
      </c>
    </row>
    <row r="1093" spans="1:24" ht="15" customHeight="1">
      <c r="A1093" s="18" t="s">
        <v>1269</v>
      </c>
      <c r="B1093" s="18">
        <v>16</v>
      </c>
      <c r="C1093" s="18">
        <v>44</v>
      </c>
      <c r="D1093" s="16">
        <v>5</v>
      </c>
      <c r="E1093" s="16">
        <v>10</v>
      </c>
      <c r="F1093" s="37">
        <v>0</v>
      </c>
      <c r="G1093" s="37">
        <v>0</v>
      </c>
      <c r="H1093" s="17">
        <v>0</v>
      </c>
      <c r="I1093" s="17">
        <v>0</v>
      </c>
      <c r="J1093" s="99">
        <f>SUM(SamplingData[[#This Row],[Losing Candidate]:[Under Votes]])</f>
        <v>75</v>
      </c>
      <c r="K1093" s="100">
        <f>IF(AND(SamplingData[[#This Row],[Total]]&lt;&gt; 0, NOT(ISBLANK(SamplingData[[#This Row],[Losing Candidate]]))),(SamplingData[[#This Row],[Total]]+SamplingData[[#This Row],[Winning Candidate]]-SamplingData[[#This Row],[Losing Candidate]])/(SamplingData[[#Totals],[Winning Candidate]]-SamplingData[[#Totals],[Losing Candidate]]), 0)</f>
        <v>6.3081822635962766E-3</v>
      </c>
      <c r="L1093" s="100">
        <f>IF(AND(SamplingData[[#This Row],[Total]]&lt;&gt; 0, NOT(ISBLANK(SamplingData[[#This Row],[Candidate 3]]))),(SamplingData[[#This Row],[Total]]+SamplingData[[#This Row],[Winning Candidate]]-SamplingData[[#This Row],[Candidate 3]])/(SamplingData[[#Totals],[Winning Candidate]]-SamplingData[[#Totals],[Candidate 3]]), 0)</f>
        <v>3.6777752685743783E-3</v>
      </c>
      <c r="M1093" s="100">
        <f>IF(AND(SamplingData[[#This Row],[Total]]&lt;&gt; 0, NOT(ISBLANK(SamplingData[[#This Row],[Candidate 4]]))),(SamplingData[[#This Row],[Total]]+SamplingData[[#This Row],[Winning Candidate]]-SamplingData[[#This Row],[Candidate 4]])/(SamplingData[[#Totals],[Winning Candidate]]-SamplingData[[#Totals],[Candidate 4]]), 0)</f>
        <v>3.186296003975562E-3</v>
      </c>
      <c r="N1093" s="100">
        <f>IF(AND(SamplingData[[#This Row],[Total]]&lt;&gt; 0, NOT(ISBLANK(SamplingData[[#This Row],[Candidate 5]]))),(SamplingData[[#This Row],[Total]]+SamplingData[[#This Row],[Winning Candidate]]-SamplingData[[#This Row],[Candidate 5]])/(SamplingData[[#Totals],[Winning Candidate]]-SamplingData[[#Totals],[Candidate 5]]), 0)</f>
        <v>2.8946728289953785E-3</v>
      </c>
      <c r="O1093" s="100">
        <f>IF(AND(SamplingData[[#This Row],[Total]]&lt;&gt; 0, NOT(ISBLANK(SamplingData[[#This Row],[Candidate 6]]))),(SamplingData[[#This Row],[Total]]+SamplingData[[#This Row],[Winning Candidate]]-SamplingData[[#This Row],[Candidate 6]])/(SamplingData[[#Totals],[Winning Candidate]]-SamplingData[[#Totals],[Candidate 6]]), 0)</f>
        <v>2.8938281212003308E-3</v>
      </c>
      <c r="P1093" s="100">
        <f>MAX(SamplingData[[#This Row],[Error Bound (up) - Max. possible relative overstatement - Losing Candidate]:[Error Bound (up) - Max. possible relative overstatement - Candidate 6]])</f>
        <v>6.3081822635962766E-3</v>
      </c>
      <c r="Q1093" s="100">
        <f>IF(SamplingData[[#This Row],[Max Error Bound (up)]] = 0,0,SamplingData[[#This Row],[Max Error Bound (up)]]/SamplingData[[#Totals],[Max Error Bound (up)]])</f>
        <v>9.9837367267992076E-4</v>
      </c>
      <c r="R1093" s="101">
        <f>SUM($Q$5:Q1093)</f>
        <v>0.27387233232948599</v>
      </c>
      <c r="S1093" s="100" t="str">
        <f t="array" ref="S1093">IF(SamplingData[[#This Row],[up/U Selection Probability]] = 0, "Zero", TEXT(SamplingData[[#This Row],[Lower Range]], REPT("0",LEN('General Info'!$B$40))) &amp; " - " &amp; TEXT(SamplingData[[#This Row],[Upper Range]], REPT("0",LEN('General Info'!$B$40))))</f>
        <v>27287 - 27386</v>
      </c>
      <c r="T1093" s="100">
        <f>SamplingData[[#This Row],[Upper Range]]-SamplingData[[#This Row],[Span]]</f>
        <v>27287.396864054277</v>
      </c>
      <c r="U1093" s="100">
        <f>IF(ISNUMBER('General Info'!$B$40), ((SamplingData[[#This Row],[up/U Selection Probability]]) * 'General Info'!$B$40) - 1, 0)</f>
        <v>98.836368894319392</v>
      </c>
      <c r="V1093" s="100">
        <f>IF(ISNUMBER('General Info'!$B$40), (SamplingData[[#This Row],[Running (cumulative) sum]] * ('General Info'!$B$40 -'General Info'!$B$41 + 1)) + 'General Info'!$B$41 - 1, 0)</f>
        <v>27386.233232948598</v>
      </c>
      <c r="W1093" s="100" t="str">
        <f>IF(ISERROR(MATCH(SamplingData[[#This Row],[Batch by Type (p)]],SelectedPrecincts[Batch Name], 0)), "", INDEX(SelectedPrecincts[Draw], MATCH(SamplingData[[#This Row],[Batch by Type (p)]],SelectedPrecincts[Batch Name], 0)))</f>
        <v/>
      </c>
      <c r="X1093" s="102">
        <f>IF(COUNTIF(SelectedPrecincts[Batch Name],SamplingData[[#This Row],[Batch by Type (p)]]) &lt;&gt; 0, COUNTIF(SelectedPrecincts[Batch Name],SamplingData[[#This Row],[Batch by Type (p)]]), 0)</f>
        <v>0</v>
      </c>
    </row>
    <row r="1094" spans="1:24" ht="15" customHeight="1">
      <c r="A1094" s="18" t="s">
        <v>1270</v>
      </c>
      <c r="B1094" s="18">
        <v>11</v>
      </c>
      <c r="C1094" s="18">
        <v>13</v>
      </c>
      <c r="D1094" s="18">
        <v>2</v>
      </c>
      <c r="E1094" s="18">
        <v>1</v>
      </c>
      <c r="F1094" s="18">
        <v>0</v>
      </c>
      <c r="G1094" s="18">
        <v>0</v>
      </c>
      <c r="H1094" s="18">
        <v>0</v>
      </c>
      <c r="I1094" s="18">
        <v>0</v>
      </c>
      <c r="J1094" s="99">
        <f>SUM(SamplingData[[#This Row],[Losing Candidate]:[Under Votes]])</f>
        <v>27</v>
      </c>
      <c r="K1094"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1094" s="100">
        <f>IF(AND(SamplingData[[#This Row],[Total]]&lt;&gt; 0, NOT(ISBLANK(SamplingData[[#This Row],[Candidate 3]]))),(SamplingData[[#This Row],[Total]]+SamplingData[[#This Row],[Winning Candidate]]-SamplingData[[#This Row],[Candidate 3]])/(SamplingData[[#Totals],[Winning Candidate]]-SamplingData[[#Totals],[Candidate 3]]), 0)</f>
        <v>1.2259250895247926E-3</v>
      </c>
      <c r="M1094" s="100">
        <f>IF(AND(SamplingData[[#This Row],[Total]]&lt;&gt; 0, NOT(ISBLANK(SamplingData[[#This Row],[Candidate 4]]))),(SamplingData[[#This Row],[Total]]+SamplingData[[#This Row],[Winning Candidate]]-SamplingData[[#This Row],[Candidate 4]])/(SamplingData[[#Totals],[Winning Candidate]]-SamplingData[[#Totals],[Candidate 4]]), 0)</f>
        <v>1.14005086380777E-3</v>
      </c>
      <c r="N1094" s="100">
        <f>IF(AND(SamplingData[[#This Row],[Total]]&lt;&gt; 0, NOT(ISBLANK(SamplingData[[#This Row],[Candidate 5]]))),(SamplingData[[#This Row],[Total]]+SamplingData[[#This Row],[Winning Candidate]]-SamplingData[[#This Row],[Candidate 5]])/(SamplingData[[#Totals],[Winning Candidate]]-SamplingData[[#Totals],[Candidate 5]]), 0)</f>
        <v>9.7299927025054731E-4</v>
      </c>
      <c r="O1094" s="100">
        <f>IF(AND(SamplingData[[#This Row],[Total]]&lt;&gt; 0, NOT(ISBLANK(SamplingData[[#This Row],[Candidate 6]]))),(SamplingData[[#This Row],[Total]]+SamplingData[[#This Row],[Winning Candidate]]-SamplingData[[#This Row],[Candidate 6]])/(SamplingData[[#Totals],[Winning Candidate]]-SamplingData[[#Totals],[Candidate 6]]), 0)</f>
        <v>9.7271533485725399E-4</v>
      </c>
      <c r="P1094" s="100">
        <f>MAX(SamplingData[[#This Row],[Error Bound (up) - Max. possible relative overstatement - Losing Candidate]:[Error Bound (up) - Max. possible relative overstatement - Candidate 6]])</f>
        <v>1.7760901518863303E-3</v>
      </c>
      <c r="Q1094" s="100">
        <f>IF(SamplingData[[#This Row],[Max Error Bound (up)]] = 0,0,SamplingData[[#This Row],[Max Error Bound (up)]]/SamplingData[[#Totals],[Max Error Bound (up)]])</f>
        <v>2.8109550007492914E-4</v>
      </c>
      <c r="R1094" s="101">
        <f>SUM($Q$5:Q1094)</f>
        <v>0.27415342782956093</v>
      </c>
      <c r="S1094" s="100" t="str">
        <f t="array" ref="S1094">IF(SamplingData[[#This Row],[up/U Selection Probability]] = 0, "Zero", TEXT(SamplingData[[#This Row],[Lower Range]], REPT("0",LEN('General Info'!$B$40))) &amp; " - " &amp; TEXT(SamplingData[[#This Row],[Upper Range]], REPT("0",LEN('General Info'!$B$40))))</f>
        <v>27387 - 27414</v>
      </c>
      <c r="T1094" s="100">
        <f>SamplingData[[#This Row],[Upper Range]]-SamplingData[[#This Row],[Span]]</f>
        <v>27387.233514044099</v>
      </c>
      <c r="U1094" s="100">
        <f>IF(ISNUMBER('General Info'!$B$40), ((SamplingData[[#This Row],[up/U Selection Probability]]) * 'General Info'!$B$40) - 1, 0)</f>
        <v>27.109268911992839</v>
      </c>
      <c r="V1094" s="100">
        <f>IF(ISNUMBER('General Info'!$B$40), (SamplingData[[#This Row],[Running (cumulative) sum]] * ('General Info'!$B$40 -'General Info'!$B$41 + 1)) + 'General Info'!$B$41 - 1, 0)</f>
        <v>27414.342782956093</v>
      </c>
      <c r="W1094" s="100" t="str">
        <f>IF(ISERROR(MATCH(SamplingData[[#This Row],[Batch by Type (p)]],SelectedPrecincts[Batch Name], 0)), "", INDEX(SelectedPrecincts[Draw], MATCH(SamplingData[[#This Row],[Batch by Type (p)]],SelectedPrecincts[Batch Name], 0)))</f>
        <v/>
      </c>
      <c r="X1094" s="102">
        <f>IF(COUNTIF(SelectedPrecincts[Batch Name],SamplingData[[#This Row],[Batch by Type (p)]]) &lt;&gt; 0, COUNTIF(SelectedPrecincts[Batch Name],SamplingData[[#This Row],[Batch by Type (p)]]), 0)</f>
        <v>0</v>
      </c>
    </row>
    <row r="1095" spans="1:24" ht="15" customHeight="1">
      <c r="A1095" s="18" t="s">
        <v>1271</v>
      </c>
      <c r="B1095" s="18">
        <v>6</v>
      </c>
      <c r="C1095" s="18">
        <v>16</v>
      </c>
      <c r="D1095" s="16">
        <v>2</v>
      </c>
      <c r="E1095" s="16">
        <v>4</v>
      </c>
      <c r="F1095" s="37">
        <v>0</v>
      </c>
      <c r="G1095" s="37">
        <v>1</v>
      </c>
      <c r="H1095" s="17">
        <v>0</v>
      </c>
      <c r="I1095" s="17">
        <v>0</v>
      </c>
      <c r="J1095" s="99">
        <f>SUM(SamplingData[[#This Row],[Losing Candidate]:[Under Votes]])</f>
        <v>29</v>
      </c>
      <c r="K1095"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1095" s="100">
        <f>IF(AND(SamplingData[[#This Row],[Total]]&lt;&gt; 0, NOT(ISBLANK(SamplingData[[#This Row],[Candidate 3]]))),(SamplingData[[#This Row],[Total]]+SamplingData[[#This Row],[Winning Candidate]]-SamplingData[[#This Row],[Candidate 3]])/(SamplingData[[#Totals],[Winning Candidate]]-SamplingData[[#Totals],[Candidate 3]]), 0)</f>
        <v>1.3872310223570024E-3</v>
      </c>
      <c r="M1095" s="100">
        <f>IF(AND(SamplingData[[#This Row],[Total]]&lt;&gt; 0, NOT(ISBLANK(SamplingData[[#This Row],[Candidate 4]]))),(SamplingData[[#This Row],[Total]]+SamplingData[[#This Row],[Winning Candidate]]-SamplingData[[#This Row],[Candidate 4]])/(SamplingData[[#Totals],[Winning Candidate]]-SamplingData[[#Totals],[Candidate 4]]), 0)</f>
        <v>1.1985150106697067E-3</v>
      </c>
      <c r="N1095" s="100">
        <f>IF(AND(SamplingData[[#This Row],[Total]]&lt;&gt; 0, NOT(ISBLANK(SamplingData[[#This Row],[Candidate 5]]))),(SamplingData[[#This Row],[Total]]+SamplingData[[#This Row],[Winning Candidate]]-SamplingData[[#This Row],[Candidate 5]])/(SamplingData[[#Totals],[Winning Candidate]]-SamplingData[[#Totals],[Candidate 5]]), 0)</f>
        <v>1.0946241790318657E-3</v>
      </c>
      <c r="O1095" s="100">
        <f>IF(AND(SamplingData[[#This Row],[Total]]&lt;&gt; 0, NOT(ISBLANK(SamplingData[[#This Row],[Candidate 6]]))),(SamplingData[[#This Row],[Total]]+SamplingData[[#This Row],[Winning Candidate]]-SamplingData[[#This Row],[Candidate 6]])/(SamplingData[[#Totals],[Winning Candidate]]-SamplingData[[#Totals],[Candidate 6]]), 0)</f>
        <v>1.0699868683429793E-3</v>
      </c>
      <c r="P1095" s="100">
        <f>MAX(SamplingData[[#This Row],[Error Bound (up) - Max. possible relative overstatement - Losing Candidate]:[Error Bound (up) - Max. possible relative overstatement - Candidate 6]])</f>
        <v>2.3885350318471337E-3</v>
      </c>
      <c r="Q1095" s="100">
        <f>IF(SamplingData[[#This Row],[Max Error Bound (up)]] = 0,0,SamplingData[[#This Row],[Max Error Bound (up)]]/SamplingData[[#Totals],[Max Error Bound (up)]])</f>
        <v>3.7802498285938744E-4</v>
      </c>
      <c r="R1095" s="101">
        <f>SUM($Q$5:Q1095)</f>
        <v>0.27453145281242031</v>
      </c>
      <c r="S1095" s="100" t="str">
        <f t="array" ref="S1095">IF(SamplingData[[#This Row],[up/U Selection Probability]] = 0, "Zero", TEXT(SamplingData[[#This Row],[Lower Range]], REPT("0",LEN('General Info'!$B$40))) &amp; " - " &amp; TEXT(SamplingData[[#This Row],[Upper Range]], REPT("0",LEN('General Info'!$B$40))))</f>
        <v>27415 - 27452</v>
      </c>
      <c r="T1095" s="100">
        <f>SamplingData[[#This Row],[Upper Range]]-SamplingData[[#This Row],[Span]]</f>
        <v>27415.343160981076</v>
      </c>
      <c r="U1095" s="100">
        <f>IF(ISNUMBER('General Info'!$B$40), ((SamplingData[[#This Row],[up/U Selection Probability]]) * 'General Info'!$B$40) - 1, 0)</f>
        <v>36.802120260955881</v>
      </c>
      <c r="V1095" s="100">
        <f>IF(ISNUMBER('General Info'!$B$40), (SamplingData[[#This Row],[Running (cumulative) sum]] * ('General Info'!$B$40 -'General Info'!$B$41 + 1)) + 'General Info'!$B$41 - 1, 0)</f>
        <v>27452.145281242032</v>
      </c>
      <c r="W1095" s="100" t="str">
        <f>IF(ISERROR(MATCH(SamplingData[[#This Row],[Batch by Type (p)]],SelectedPrecincts[Batch Name], 0)), "", INDEX(SelectedPrecincts[Draw], MATCH(SamplingData[[#This Row],[Batch by Type (p)]],SelectedPrecincts[Batch Name], 0)))</f>
        <v/>
      </c>
      <c r="X1095" s="102">
        <f>IF(COUNTIF(SelectedPrecincts[Batch Name],SamplingData[[#This Row],[Batch by Type (p)]]) &lt;&gt; 0, COUNTIF(SelectedPrecincts[Batch Name],SamplingData[[#This Row],[Batch by Type (p)]]), 0)</f>
        <v>0</v>
      </c>
    </row>
    <row r="1096" spans="1:24" ht="15" customHeight="1">
      <c r="A1096" s="18" t="s">
        <v>1272</v>
      </c>
      <c r="B1096" s="18">
        <v>3</v>
      </c>
      <c r="C1096" s="18">
        <v>3</v>
      </c>
      <c r="D1096" s="18">
        <v>0</v>
      </c>
      <c r="E1096" s="18">
        <v>2</v>
      </c>
      <c r="F1096" s="18">
        <v>0</v>
      </c>
      <c r="G1096" s="18">
        <v>0</v>
      </c>
      <c r="H1096" s="18">
        <v>0</v>
      </c>
      <c r="I1096" s="18">
        <v>0</v>
      </c>
      <c r="J1096" s="99">
        <f>SUM(SamplingData[[#This Row],[Losing Candidate]:[Under Votes]])</f>
        <v>8</v>
      </c>
      <c r="K1096"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096" s="100">
        <f>IF(AND(SamplingData[[#This Row],[Total]]&lt;&gt; 0, NOT(ISBLANK(SamplingData[[#This Row],[Candidate 3]]))),(SamplingData[[#This Row],[Total]]+SamplingData[[#This Row],[Winning Candidate]]-SamplingData[[#This Row],[Candidate 3]])/(SamplingData[[#Totals],[Winning Candidate]]-SamplingData[[#Totals],[Candidate 3]]), 0)</f>
        <v>3.5487305223086104E-4</v>
      </c>
      <c r="M1096" s="100">
        <f>IF(AND(SamplingData[[#This Row],[Total]]&lt;&gt; 0, NOT(ISBLANK(SamplingData[[#This Row],[Candidate 4]]))),(SamplingData[[#This Row],[Total]]+SamplingData[[#This Row],[Winning Candidate]]-SamplingData[[#This Row],[Candidate 4]])/(SamplingData[[#Totals],[Winning Candidate]]-SamplingData[[#Totals],[Candidate 4]]), 0)</f>
        <v>2.6308866087871614E-4</v>
      </c>
      <c r="N1096" s="100">
        <f>IF(AND(SamplingData[[#This Row],[Total]]&lt;&gt; 0, NOT(ISBLANK(SamplingData[[#This Row],[Candidate 5]]))),(SamplingData[[#This Row],[Total]]+SamplingData[[#This Row],[Winning Candidate]]-SamplingData[[#This Row],[Candidate 5]])/(SamplingData[[#Totals],[Winning Candidate]]-SamplingData[[#Totals],[Candidate 5]]), 0)</f>
        <v>2.6757479931890053E-4</v>
      </c>
      <c r="O1096" s="100">
        <f>IF(AND(SamplingData[[#This Row],[Total]]&lt;&gt; 0, NOT(ISBLANK(SamplingData[[#This Row],[Candidate 6]]))),(SamplingData[[#This Row],[Total]]+SamplingData[[#This Row],[Winning Candidate]]-SamplingData[[#This Row],[Candidate 6]])/(SamplingData[[#Totals],[Winning Candidate]]-SamplingData[[#Totals],[Candidate 6]]), 0)</f>
        <v>2.6749671708574483E-4</v>
      </c>
      <c r="P1096" s="100">
        <f>MAX(SamplingData[[#This Row],[Error Bound (up) - Max. possible relative overstatement - Losing Candidate]:[Error Bound (up) - Max. possible relative overstatement - Candidate 6]])</f>
        <v>4.8995590396864281E-4</v>
      </c>
      <c r="Q1096" s="100">
        <f>IF(SamplingData[[#This Row],[Max Error Bound (up)]] = 0,0,SamplingData[[#This Row],[Max Error Bound (up)]]/SamplingData[[#Totals],[Max Error Bound (up)]])</f>
        <v>7.7543586227566652E-5</v>
      </c>
      <c r="R1096" s="101">
        <f>SUM($Q$5:Q1096)</f>
        <v>0.27460899639864789</v>
      </c>
      <c r="S1096" s="100" t="str">
        <f t="array" ref="S1096">IF(SamplingData[[#This Row],[up/U Selection Probability]] = 0, "Zero", TEXT(SamplingData[[#This Row],[Lower Range]], REPT("0",LEN('General Info'!$B$40))) &amp; " - " &amp; TEXT(SamplingData[[#This Row],[Upper Range]], REPT("0",LEN('General Info'!$B$40))))</f>
        <v>27453 - 27460</v>
      </c>
      <c r="T1096" s="100">
        <f>SamplingData[[#This Row],[Upper Range]]-SamplingData[[#This Row],[Span]]</f>
        <v>27453.145358785616</v>
      </c>
      <c r="U1096" s="100">
        <f>IF(ISNUMBER('General Info'!$B$40), ((SamplingData[[#This Row],[up/U Selection Probability]]) * 'General Info'!$B$40) - 1, 0)</f>
        <v>6.754281079170438</v>
      </c>
      <c r="V1096" s="100">
        <f>IF(ISNUMBER('General Info'!$B$40), (SamplingData[[#This Row],[Running (cumulative) sum]] * ('General Info'!$B$40 -'General Info'!$B$41 + 1)) + 'General Info'!$B$41 - 1, 0)</f>
        <v>27459.899639864787</v>
      </c>
      <c r="W1096" s="100" t="str">
        <f>IF(ISERROR(MATCH(SamplingData[[#This Row],[Batch by Type (p)]],SelectedPrecincts[Batch Name], 0)), "", INDEX(SelectedPrecincts[Draw], MATCH(SamplingData[[#This Row],[Batch by Type (p)]],SelectedPrecincts[Batch Name], 0)))</f>
        <v/>
      </c>
      <c r="X1096" s="102">
        <f>IF(COUNTIF(SelectedPrecincts[Batch Name],SamplingData[[#This Row],[Batch by Type (p)]]) &lt;&gt; 0, COUNTIF(SelectedPrecincts[Batch Name],SamplingData[[#This Row],[Batch by Type (p)]]), 0)</f>
        <v>0</v>
      </c>
    </row>
    <row r="1097" spans="1:24" ht="15" customHeight="1">
      <c r="A1097" s="18" t="s">
        <v>1273</v>
      </c>
      <c r="B1097" s="18">
        <v>3</v>
      </c>
      <c r="C1097" s="18">
        <v>10</v>
      </c>
      <c r="D1097" s="16">
        <v>4</v>
      </c>
      <c r="E1097" s="16">
        <v>7</v>
      </c>
      <c r="F1097" s="37">
        <v>0</v>
      </c>
      <c r="G1097" s="37">
        <v>0</v>
      </c>
      <c r="H1097" s="17">
        <v>0</v>
      </c>
      <c r="I1097" s="17">
        <v>1</v>
      </c>
      <c r="J1097" s="99">
        <f>SUM(SamplingData[[#This Row],[Losing Candidate]:[Under Votes]])</f>
        <v>25</v>
      </c>
      <c r="K1097"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097" s="100">
        <f>IF(AND(SamplingData[[#This Row],[Total]]&lt;&gt; 0, NOT(ISBLANK(SamplingData[[#This Row],[Candidate 3]]))),(SamplingData[[#This Row],[Total]]+SamplingData[[#This Row],[Winning Candidate]]-SamplingData[[#This Row],[Candidate 3]])/(SamplingData[[#Totals],[Winning Candidate]]-SamplingData[[#Totals],[Candidate 3]]), 0)</f>
        <v>1.0000967835596993E-3</v>
      </c>
      <c r="M1097" s="100">
        <f>IF(AND(SamplingData[[#This Row],[Total]]&lt;&gt; 0, NOT(ISBLANK(SamplingData[[#This Row],[Candidate 4]]))),(SamplingData[[#This Row],[Total]]+SamplingData[[#This Row],[Winning Candidate]]-SamplingData[[#This Row],[Candidate 4]])/(SamplingData[[#Totals],[Winning Candidate]]-SamplingData[[#Totals],[Candidate 4]]), 0)</f>
        <v>8.1849805606711685E-4</v>
      </c>
      <c r="N1097" s="100">
        <f>IF(AND(SamplingData[[#This Row],[Total]]&lt;&gt; 0, NOT(ISBLANK(SamplingData[[#This Row],[Candidate 5]]))),(SamplingData[[#This Row],[Total]]+SamplingData[[#This Row],[Winning Candidate]]-SamplingData[[#This Row],[Candidate 5]])/(SamplingData[[#Totals],[Winning Candidate]]-SamplingData[[#Totals],[Candidate 5]]), 0)</f>
        <v>8.5137436146922891E-4</v>
      </c>
      <c r="O1097" s="100">
        <f>IF(AND(SamplingData[[#This Row],[Total]]&lt;&gt; 0, NOT(ISBLANK(SamplingData[[#This Row],[Candidate 6]]))),(SamplingData[[#This Row],[Total]]+SamplingData[[#This Row],[Winning Candidate]]-SamplingData[[#This Row],[Candidate 6]])/(SamplingData[[#Totals],[Winning Candidate]]-SamplingData[[#Totals],[Candidate 6]]), 0)</f>
        <v>8.5112591800009726E-4</v>
      </c>
      <c r="P1097" s="100">
        <f>MAX(SamplingData[[#This Row],[Error Bound (up) - Max. possible relative overstatement - Losing Candidate]:[Error Bound (up) - Max. possible relative overstatement - Candidate 6]])</f>
        <v>1.9598236158745713E-3</v>
      </c>
      <c r="Q1097" s="100">
        <f>IF(SamplingData[[#This Row],[Max Error Bound (up)]] = 0,0,SamplingData[[#This Row],[Max Error Bound (up)]]/SamplingData[[#Totals],[Max Error Bound (up)]])</f>
        <v>3.1017434491026661E-4</v>
      </c>
      <c r="R1097" s="101">
        <f>SUM($Q$5:Q1097)</f>
        <v>0.27491917074355815</v>
      </c>
      <c r="S1097" s="100" t="str">
        <f t="array" ref="S1097">IF(SamplingData[[#This Row],[up/U Selection Probability]] = 0, "Zero", TEXT(SamplingData[[#This Row],[Lower Range]], REPT("0",LEN('General Info'!$B$40))) &amp; " - " &amp; TEXT(SamplingData[[#This Row],[Upper Range]], REPT("0",LEN('General Info'!$B$40))))</f>
        <v>27461 - 27491</v>
      </c>
      <c r="T1097" s="100">
        <f>SamplingData[[#This Row],[Upper Range]]-SamplingData[[#This Row],[Span]]</f>
        <v>27460.899950039133</v>
      </c>
      <c r="U1097" s="100">
        <f>IF(ISNUMBER('General Info'!$B$40), ((SamplingData[[#This Row],[up/U Selection Probability]]) * 'General Info'!$B$40) - 1, 0)</f>
        <v>30.017124316681752</v>
      </c>
      <c r="V1097" s="100">
        <f>IF(ISNUMBER('General Info'!$B$40), (SamplingData[[#This Row],[Running (cumulative) sum]] * ('General Info'!$B$40 -'General Info'!$B$41 + 1)) + 'General Info'!$B$41 - 1, 0)</f>
        <v>27490.917074355813</v>
      </c>
      <c r="W1097" s="100" t="str">
        <f>IF(ISERROR(MATCH(SamplingData[[#This Row],[Batch by Type (p)]],SelectedPrecincts[Batch Name], 0)), "", INDEX(SelectedPrecincts[Draw], MATCH(SamplingData[[#This Row],[Batch by Type (p)]],SelectedPrecincts[Batch Name], 0)))</f>
        <v/>
      </c>
      <c r="X1097" s="102">
        <f>IF(COUNTIF(SelectedPrecincts[Batch Name],SamplingData[[#This Row],[Batch by Type (p)]]) &lt;&gt; 0, COUNTIF(SelectedPrecincts[Batch Name],SamplingData[[#This Row],[Batch by Type (p)]]), 0)</f>
        <v>0</v>
      </c>
    </row>
    <row r="1098" spans="1:24" ht="15" customHeight="1">
      <c r="A1098" s="18" t="s">
        <v>1274</v>
      </c>
      <c r="B1098" s="18">
        <v>3</v>
      </c>
      <c r="C1098" s="18">
        <v>0</v>
      </c>
      <c r="D1098" s="18">
        <v>1</v>
      </c>
      <c r="E1098" s="18">
        <v>0</v>
      </c>
      <c r="F1098" s="18">
        <v>0</v>
      </c>
      <c r="G1098" s="18">
        <v>0</v>
      </c>
      <c r="H1098" s="18">
        <v>0</v>
      </c>
      <c r="I1098" s="18">
        <v>0</v>
      </c>
      <c r="J1098" s="99">
        <f>SUM(SamplingData[[#This Row],[Losing Candidate]:[Under Votes]])</f>
        <v>4</v>
      </c>
      <c r="K109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098" s="100">
        <f>IF(AND(SamplingData[[#This Row],[Total]]&lt;&gt; 0, NOT(ISBLANK(SamplingData[[#This Row],[Candidate 3]]))),(SamplingData[[#This Row],[Total]]+SamplingData[[#This Row],[Winning Candidate]]-SamplingData[[#This Row],[Candidate 3]])/(SamplingData[[#Totals],[Winning Candidate]]-SamplingData[[#Totals],[Candidate 3]]), 0)</f>
        <v>9.6783559699325743E-5</v>
      </c>
      <c r="M1098" s="100">
        <f>IF(AND(SamplingData[[#This Row],[Total]]&lt;&gt; 0, NOT(ISBLANK(SamplingData[[#This Row],[Candidate 4]]))),(SamplingData[[#This Row],[Total]]+SamplingData[[#This Row],[Winning Candidate]]-SamplingData[[#This Row],[Candidate 4]])/(SamplingData[[#Totals],[Winning Candidate]]-SamplingData[[#Totals],[Candidate 4]]), 0)</f>
        <v>1.1692829372387384E-4</v>
      </c>
      <c r="N1098" s="100">
        <f>IF(AND(SamplingData[[#This Row],[Total]]&lt;&gt; 0, NOT(ISBLANK(SamplingData[[#This Row],[Candidate 5]]))),(SamplingData[[#This Row],[Total]]+SamplingData[[#This Row],[Winning Candidate]]-SamplingData[[#This Row],[Candidate 5]])/(SamplingData[[#Totals],[Winning Candidate]]-SamplingData[[#Totals],[Candidate 5]]), 0)</f>
        <v>9.7299927025054734E-5</v>
      </c>
      <c r="O1098" s="100">
        <f>IF(AND(SamplingData[[#This Row],[Total]]&lt;&gt; 0, NOT(ISBLANK(SamplingData[[#This Row],[Candidate 6]]))),(SamplingData[[#This Row],[Total]]+SamplingData[[#This Row],[Winning Candidate]]-SamplingData[[#This Row],[Candidate 6]])/(SamplingData[[#Totals],[Winning Candidate]]-SamplingData[[#Totals],[Candidate 6]]), 0)</f>
        <v>9.7271533485725401E-5</v>
      </c>
      <c r="P1098" s="100">
        <f>MAX(SamplingData[[#This Row],[Error Bound (up) - Max. possible relative overstatement - Losing Candidate]:[Error Bound (up) - Max. possible relative overstatement - Candidate 6]])</f>
        <v>1.1692829372387384E-4</v>
      </c>
      <c r="Q1098" s="100">
        <f>IF(SamplingData[[#This Row],[Max Error Bound (up)]] = 0,0,SamplingData[[#This Row],[Max Error Bound (up)]]/SamplingData[[#Totals],[Max Error Bound (up)]])</f>
        <v>1.85058270619385E-5</v>
      </c>
      <c r="R1098" s="101">
        <f>SUM($Q$5:Q1098)</f>
        <v>0.27493767657062007</v>
      </c>
      <c r="S1098" s="100" t="str">
        <f t="array" ref="S1098">IF(SamplingData[[#This Row],[up/U Selection Probability]] = 0, "Zero", TEXT(SamplingData[[#This Row],[Lower Range]], REPT("0",LEN('General Info'!$B$40))) &amp; " - " &amp; TEXT(SamplingData[[#This Row],[Upper Range]], REPT("0",LEN('General Info'!$B$40))))</f>
        <v>27492 - 27493</v>
      </c>
      <c r="T1098" s="100">
        <f>SamplingData[[#This Row],[Upper Range]]-SamplingData[[#This Row],[Span]]</f>
        <v>27491.91709286164</v>
      </c>
      <c r="U1098" s="100">
        <f>IF(ISNUMBER('General Info'!$B$40), ((SamplingData[[#This Row],[up/U Selection Probability]]) * 'General Info'!$B$40) - 1, 0)</f>
        <v>0.85056420036678815</v>
      </c>
      <c r="V1098" s="100">
        <f>IF(ISNUMBER('General Info'!$B$40), (SamplingData[[#This Row],[Running (cumulative) sum]] * ('General Info'!$B$40 -'General Info'!$B$41 + 1)) + 'General Info'!$B$41 - 1, 0)</f>
        <v>27492.767657062006</v>
      </c>
      <c r="W1098" s="100" t="str">
        <f>IF(ISERROR(MATCH(SamplingData[[#This Row],[Batch by Type (p)]],SelectedPrecincts[Batch Name], 0)), "", INDEX(SelectedPrecincts[Draw], MATCH(SamplingData[[#This Row],[Batch by Type (p)]],SelectedPrecincts[Batch Name], 0)))</f>
        <v/>
      </c>
      <c r="X1098" s="102">
        <f>IF(COUNTIF(SelectedPrecincts[Batch Name],SamplingData[[#This Row],[Batch by Type (p)]]) &lt;&gt; 0, COUNTIF(SelectedPrecincts[Batch Name],SamplingData[[#This Row],[Batch by Type (p)]]), 0)</f>
        <v>0</v>
      </c>
    </row>
    <row r="1099" spans="1:24" ht="15" customHeight="1">
      <c r="A1099" s="18" t="s">
        <v>1275</v>
      </c>
      <c r="B1099" s="18">
        <v>8</v>
      </c>
      <c r="C1099" s="18">
        <v>7</v>
      </c>
      <c r="D1099" s="16">
        <v>1</v>
      </c>
      <c r="E1099" s="16">
        <v>3</v>
      </c>
      <c r="F1099" s="37">
        <v>0</v>
      </c>
      <c r="G1099" s="37">
        <v>0</v>
      </c>
      <c r="H1099" s="17">
        <v>0</v>
      </c>
      <c r="I1099" s="17">
        <v>0</v>
      </c>
      <c r="J1099" s="99">
        <f>SUM(SamplingData[[#This Row],[Losing Candidate]:[Under Votes]])</f>
        <v>19</v>
      </c>
      <c r="K1099"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1099" s="100">
        <f>IF(AND(SamplingData[[#This Row],[Total]]&lt;&gt; 0, NOT(ISBLANK(SamplingData[[#This Row],[Candidate 3]]))),(SamplingData[[#This Row],[Total]]+SamplingData[[#This Row],[Winning Candidate]]-SamplingData[[#This Row],[Candidate 3]])/(SamplingData[[#Totals],[Winning Candidate]]-SamplingData[[#Totals],[Candidate 3]]), 0)</f>
        <v>8.0652966416104783E-4</v>
      </c>
      <c r="M1099" s="100">
        <f>IF(AND(SamplingData[[#This Row],[Total]]&lt;&gt; 0, NOT(ISBLANK(SamplingData[[#This Row],[Candidate 4]]))),(SamplingData[[#This Row],[Total]]+SamplingData[[#This Row],[Winning Candidate]]-SamplingData[[#This Row],[Candidate 4]])/(SamplingData[[#Totals],[Winning Candidate]]-SamplingData[[#Totals],[Candidate 4]]), 0)</f>
        <v>6.7233768891227451E-4</v>
      </c>
      <c r="N1099" s="100">
        <f>IF(AND(SamplingData[[#This Row],[Total]]&lt;&gt; 0, NOT(ISBLANK(SamplingData[[#This Row],[Candidate 5]]))),(SamplingData[[#This Row],[Total]]+SamplingData[[#This Row],[Winning Candidate]]-SamplingData[[#This Row],[Candidate 5]])/(SamplingData[[#Totals],[Winning Candidate]]-SamplingData[[#Totals],[Candidate 5]]), 0)</f>
        <v>6.3244952566285579E-4</v>
      </c>
      <c r="O1099" s="100">
        <f>IF(AND(SamplingData[[#This Row],[Total]]&lt;&gt; 0, NOT(ISBLANK(SamplingData[[#This Row],[Candidate 6]]))),(SamplingData[[#This Row],[Total]]+SamplingData[[#This Row],[Winning Candidate]]-SamplingData[[#This Row],[Candidate 6]])/(SamplingData[[#Totals],[Winning Candidate]]-SamplingData[[#Totals],[Candidate 6]]), 0)</f>
        <v>6.322649676572151E-4</v>
      </c>
      <c r="P1099" s="100">
        <f>MAX(SamplingData[[#This Row],[Error Bound (up) - Max. possible relative overstatement - Losing Candidate]:[Error Bound (up) - Max. possible relative overstatement - Candidate 6]])</f>
        <v>1.1024007839294464E-3</v>
      </c>
      <c r="Q1099" s="100">
        <f>IF(SamplingData[[#This Row],[Max Error Bound (up)]] = 0,0,SamplingData[[#This Row],[Max Error Bound (up)]]/SamplingData[[#Totals],[Max Error Bound (up)]])</f>
        <v>1.7447306901202498E-4</v>
      </c>
      <c r="R1099" s="101">
        <f>SUM($Q$5:Q1099)</f>
        <v>0.2751121496396321</v>
      </c>
      <c r="S1099" s="100" t="str">
        <f t="array" ref="S1099">IF(SamplingData[[#This Row],[up/U Selection Probability]] = 0, "Zero", TEXT(SamplingData[[#This Row],[Lower Range]], REPT("0",LEN('General Info'!$B$40))) &amp; " - " &amp; TEXT(SamplingData[[#This Row],[Upper Range]], REPT("0",LEN('General Info'!$B$40))))</f>
        <v>27494 - 27510</v>
      </c>
      <c r="T1099" s="100">
        <f>SamplingData[[#This Row],[Upper Range]]-SamplingData[[#This Row],[Span]]</f>
        <v>27493.767831535075</v>
      </c>
      <c r="U1099" s="100">
        <f>IF(ISNUMBER('General Info'!$B$40), ((SamplingData[[#This Row],[up/U Selection Probability]]) * 'General Info'!$B$40) - 1, 0)</f>
        <v>16.447132428133486</v>
      </c>
      <c r="V1099" s="100">
        <f>IF(ISNUMBER('General Info'!$B$40), (SamplingData[[#This Row],[Running (cumulative) sum]] * ('General Info'!$B$40 -'General Info'!$B$41 + 1)) + 'General Info'!$B$41 - 1, 0)</f>
        <v>27510.214963963208</v>
      </c>
      <c r="W1099" s="100" t="str">
        <f>IF(ISERROR(MATCH(SamplingData[[#This Row],[Batch by Type (p)]],SelectedPrecincts[Batch Name], 0)), "", INDEX(SelectedPrecincts[Draw], MATCH(SamplingData[[#This Row],[Batch by Type (p)]],SelectedPrecincts[Batch Name], 0)))</f>
        <v/>
      </c>
      <c r="X1099" s="102">
        <f>IF(COUNTIF(SelectedPrecincts[Batch Name],SamplingData[[#This Row],[Batch by Type (p)]]) &lt;&gt; 0, COUNTIF(SelectedPrecincts[Batch Name],SamplingData[[#This Row],[Batch by Type (p)]]), 0)</f>
        <v>0</v>
      </c>
    </row>
    <row r="1100" spans="1:24" ht="15" customHeight="1">
      <c r="A1100" s="18" t="s">
        <v>1276</v>
      </c>
      <c r="B1100" s="18">
        <v>5</v>
      </c>
      <c r="C1100" s="18">
        <v>9</v>
      </c>
      <c r="D1100" s="18">
        <v>5</v>
      </c>
      <c r="E1100" s="18">
        <v>0</v>
      </c>
      <c r="F1100" s="18">
        <v>0</v>
      </c>
      <c r="G1100" s="18">
        <v>0</v>
      </c>
      <c r="H1100" s="18">
        <v>0</v>
      </c>
      <c r="I1100" s="18">
        <v>0</v>
      </c>
      <c r="J1100" s="99">
        <f>SUM(SamplingData[[#This Row],[Losing Candidate]:[Under Votes]])</f>
        <v>19</v>
      </c>
      <c r="K1100"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100" s="100">
        <f>IF(AND(SamplingData[[#This Row],[Total]]&lt;&gt; 0, NOT(ISBLANK(SamplingData[[#This Row],[Candidate 3]]))),(SamplingData[[#This Row],[Total]]+SamplingData[[#This Row],[Winning Candidate]]-SamplingData[[#This Row],[Candidate 3]])/(SamplingData[[#Totals],[Winning Candidate]]-SamplingData[[#Totals],[Candidate 3]]), 0)</f>
        <v>7.4200729102816406E-4</v>
      </c>
      <c r="M1100" s="100">
        <f>IF(AND(SamplingData[[#This Row],[Total]]&lt;&gt; 0, NOT(ISBLANK(SamplingData[[#This Row],[Candidate 4]]))),(SamplingData[[#This Row],[Total]]+SamplingData[[#This Row],[Winning Candidate]]-SamplingData[[#This Row],[Candidate 4]])/(SamplingData[[#Totals],[Winning Candidate]]-SamplingData[[#Totals],[Candidate 4]]), 0)</f>
        <v>8.1849805606711685E-4</v>
      </c>
      <c r="N1100" s="100">
        <f>IF(AND(SamplingData[[#This Row],[Total]]&lt;&gt; 0, NOT(ISBLANK(SamplingData[[#This Row],[Candidate 5]]))),(SamplingData[[#This Row],[Total]]+SamplingData[[#This Row],[Winning Candidate]]-SamplingData[[#This Row],[Candidate 5]])/(SamplingData[[#Totals],[Winning Candidate]]-SamplingData[[#Totals],[Candidate 5]]), 0)</f>
        <v>6.8109948917538315E-4</v>
      </c>
      <c r="O1100" s="100">
        <f>IF(AND(SamplingData[[#This Row],[Total]]&lt;&gt; 0, NOT(ISBLANK(SamplingData[[#This Row],[Candidate 6]]))),(SamplingData[[#This Row],[Total]]+SamplingData[[#This Row],[Winning Candidate]]-SamplingData[[#This Row],[Candidate 6]])/(SamplingData[[#Totals],[Winning Candidate]]-SamplingData[[#Totals],[Candidate 6]]), 0)</f>
        <v>6.8090073440007777E-4</v>
      </c>
      <c r="P1100" s="100">
        <f>MAX(SamplingData[[#This Row],[Error Bound (up) - Max. possible relative overstatement - Losing Candidate]:[Error Bound (up) - Max. possible relative overstatement - Candidate 6]])</f>
        <v>1.408623223909848E-3</v>
      </c>
      <c r="Q1100" s="100">
        <f>IF(SamplingData[[#This Row],[Max Error Bound (up)]] = 0,0,SamplingData[[#This Row],[Max Error Bound (up)]]/SamplingData[[#Totals],[Max Error Bound (up)]])</f>
        <v>2.229378104042541E-4</v>
      </c>
      <c r="R1100" s="101">
        <f>SUM($Q$5:Q1100)</f>
        <v>0.27533508745003638</v>
      </c>
      <c r="S1100" s="100" t="str">
        <f t="array" ref="S1100">IF(SamplingData[[#This Row],[up/U Selection Probability]] = 0, "Zero", TEXT(SamplingData[[#This Row],[Lower Range]], REPT("0",LEN('General Info'!$B$40))) &amp; " - " &amp; TEXT(SamplingData[[#This Row],[Upper Range]], REPT("0",LEN('General Info'!$B$40))))</f>
        <v>27511 - 27533</v>
      </c>
      <c r="T1100" s="100">
        <f>SamplingData[[#This Row],[Upper Range]]-SamplingData[[#This Row],[Span]]</f>
        <v>27511.215186901023</v>
      </c>
      <c r="U1100" s="100">
        <f>IF(ISNUMBER('General Info'!$B$40), ((SamplingData[[#This Row],[up/U Selection Probability]]) * 'General Info'!$B$40) - 1, 0)</f>
        <v>21.293558102615005</v>
      </c>
      <c r="V1100" s="100">
        <f>IF(ISNUMBER('General Info'!$B$40), (SamplingData[[#This Row],[Running (cumulative) sum]] * ('General Info'!$B$40 -'General Info'!$B$41 + 1)) + 'General Info'!$B$41 - 1, 0)</f>
        <v>27532.508745003637</v>
      </c>
      <c r="W1100" s="100" t="str">
        <f>IF(ISERROR(MATCH(SamplingData[[#This Row],[Batch by Type (p)]],SelectedPrecincts[Batch Name], 0)), "", INDEX(SelectedPrecincts[Draw], MATCH(SamplingData[[#This Row],[Batch by Type (p)]],SelectedPrecincts[Batch Name], 0)))</f>
        <v/>
      </c>
      <c r="X1100" s="102">
        <f>IF(COUNTIF(SelectedPrecincts[Batch Name],SamplingData[[#This Row],[Batch by Type (p)]]) &lt;&gt; 0, COUNTIF(SelectedPrecincts[Batch Name],SamplingData[[#This Row],[Batch by Type (p)]]), 0)</f>
        <v>0</v>
      </c>
    </row>
    <row r="1101" spans="1:24" ht="15" customHeight="1">
      <c r="A1101" s="18" t="s">
        <v>1277</v>
      </c>
      <c r="B1101" s="18">
        <v>7</v>
      </c>
      <c r="C1101" s="18">
        <v>16</v>
      </c>
      <c r="D1101" s="16">
        <v>6</v>
      </c>
      <c r="E1101" s="16">
        <v>3</v>
      </c>
      <c r="F1101" s="37">
        <v>0</v>
      </c>
      <c r="G1101" s="37">
        <v>0</v>
      </c>
      <c r="H1101" s="17">
        <v>0</v>
      </c>
      <c r="I1101" s="17">
        <v>0</v>
      </c>
      <c r="J1101" s="99">
        <f>SUM(SamplingData[[#This Row],[Losing Candidate]:[Under Votes]])</f>
        <v>32</v>
      </c>
      <c r="K1101" s="100">
        <f>IF(AND(SamplingData[[#This Row],[Total]]&lt;&gt; 0, NOT(ISBLANK(SamplingData[[#This Row],[Losing Candidate]]))),(SamplingData[[#This Row],[Total]]+SamplingData[[#This Row],[Winning Candidate]]-SamplingData[[#This Row],[Losing Candidate]])/(SamplingData[[#Totals],[Winning Candidate]]-SamplingData[[#Totals],[Losing Candidate]]), 0)</f>
        <v>2.5110240078392945E-3</v>
      </c>
      <c r="L1101" s="100">
        <f>IF(AND(SamplingData[[#This Row],[Total]]&lt;&gt; 0, NOT(ISBLANK(SamplingData[[#This Row],[Candidate 3]]))),(SamplingData[[#This Row],[Total]]+SamplingData[[#This Row],[Winning Candidate]]-SamplingData[[#This Row],[Candidate 3]])/(SamplingData[[#Totals],[Winning Candidate]]-SamplingData[[#Totals],[Candidate 3]]), 0)</f>
        <v>1.3549698357905604E-3</v>
      </c>
      <c r="M1101" s="100">
        <f>IF(AND(SamplingData[[#This Row],[Total]]&lt;&gt; 0, NOT(ISBLANK(SamplingData[[#This Row],[Candidate 4]]))),(SamplingData[[#This Row],[Total]]+SamplingData[[#This Row],[Winning Candidate]]-SamplingData[[#This Row],[Candidate 4]])/(SamplingData[[#Totals],[Winning Candidate]]-SamplingData[[#Totals],[Candidate 4]]), 0)</f>
        <v>1.3154433043935806E-3</v>
      </c>
      <c r="N1101" s="100">
        <f>IF(AND(SamplingData[[#This Row],[Total]]&lt;&gt; 0, NOT(ISBLANK(SamplingData[[#This Row],[Candidate 5]]))),(SamplingData[[#This Row],[Total]]+SamplingData[[#This Row],[Winning Candidate]]-SamplingData[[#This Row],[Candidate 5]])/(SamplingData[[#Totals],[Winning Candidate]]-SamplingData[[#Totals],[Candidate 5]]), 0)</f>
        <v>1.1675991243006569E-3</v>
      </c>
      <c r="O1101" s="100">
        <f>IF(AND(SamplingData[[#This Row],[Total]]&lt;&gt; 0, NOT(ISBLANK(SamplingData[[#This Row],[Candidate 6]]))),(SamplingData[[#This Row],[Total]]+SamplingData[[#This Row],[Winning Candidate]]-SamplingData[[#This Row],[Candidate 6]])/(SamplingData[[#Totals],[Winning Candidate]]-SamplingData[[#Totals],[Candidate 6]]), 0)</f>
        <v>1.1672584018287049E-3</v>
      </c>
      <c r="P1101" s="100">
        <f>MAX(SamplingData[[#This Row],[Error Bound (up) - Max. possible relative overstatement - Losing Candidate]:[Error Bound (up) - Max. possible relative overstatement - Candidate 6]])</f>
        <v>2.5110240078392945E-3</v>
      </c>
      <c r="Q1101" s="100">
        <f>IF(SamplingData[[#This Row],[Max Error Bound (up)]] = 0,0,SamplingData[[#This Row],[Max Error Bound (up)]]/SamplingData[[#Totals],[Max Error Bound (up)]])</f>
        <v>3.9741087941627912E-4</v>
      </c>
      <c r="R1101" s="101">
        <f>SUM($Q$5:Q1101)</f>
        <v>0.27573249832945268</v>
      </c>
      <c r="S1101" s="100" t="str">
        <f t="array" ref="S1101">IF(SamplingData[[#This Row],[up/U Selection Probability]] = 0, "Zero", TEXT(SamplingData[[#This Row],[Lower Range]], REPT("0",LEN('General Info'!$B$40))) &amp; " - " &amp; TEXT(SamplingData[[#This Row],[Upper Range]], REPT("0",LEN('General Info'!$B$40))))</f>
        <v>27534 - 27572</v>
      </c>
      <c r="T1101" s="100">
        <f>SamplingData[[#This Row],[Upper Range]]-SamplingData[[#This Row],[Span]]</f>
        <v>27533.509142414521</v>
      </c>
      <c r="U1101" s="100">
        <f>IF(ISNUMBER('General Info'!$B$40), ((SamplingData[[#This Row],[up/U Selection Probability]]) * 'General Info'!$B$40) - 1, 0)</f>
        <v>38.740690530748495</v>
      </c>
      <c r="V1101" s="100">
        <f>IF(ISNUMBER('General Info'!$B$40), (SamplingData[[#This Row],[Running (cumulative) sum]] * ('General Info'!$B$40 -'General Info'!$B$41 + 1)) + 'General Info'!$B$41 - 1, 0)</f>
        <v>27572.249832945268</v>
      </c>
      <c r="W1101" s="100" t="str">
        <f>IF(ISERROR(MATCH(SamplingData[[#This Row],[Batch by Type (p)]],SelectedPrecincts[Batch Name], 0)), "", INDEX(SelectedPrecincts[Draw], MATCH(SamplingData[[#This Row],[Batch by Type (p)]],SelectedPrecincts[Batch Name], 0)))</f>
        <v/>
      </c>
      <c r="X1101" s="102">
        <f>IF(COUNTIF(SelectedPrecincts[Batch Name],SamplingData[[#This Row],[Batch by Type (p)]]) &lt;&gt; 0, COUNTIF(SelectedPrecincts[Batch Name],SamplingData[[#This Row],[Batch by Type (p)]]), 0)</f>
        <v>0</v>
      </c>
    </row>
    <row r="1102" spans="1:24" ht="15" customHeight="1">
      <c r="A1102" s="18" t="s">
        <v>1278</v>
      </c>
      <c r="B1102" s="18">
        <v>8</v>
      </c>
      <c r="C1102" s="18">
        <v>7</v>
      </c>
      <c r="D1102" s="18">
        <v>3</v>
      </c>
      <c r="E1102" s="18">
        <v>2</v>
      </c>
      <c r="F1102" s="18">
        <v>0</v>
      </c>
      <c r="G1102" s="18">
        <v>0</v>
      </c>
      <c r="H1102" s="18">
        <v>0</v>
      </c>
      <c r="I1102" s="18">
        <v>0</v>
      </c>
      <c r="J1102" s="99">
        <f>SUM(SamplingData[[#This Row],[Losing Candidate]:[Under Votes]])</f>
        <v>20</v>
      </c>
      <c r="K1102"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102" s="100">
        <f>IF(AND(SamplingData[[#This Row],[Total]]&lt;&gt; 0, NOT(ISBLANK(SamplingData[[#This Row],[Candidate 3]]))),(SamplingData[[#This Row],[Total]]+SamplingData[[#This Row],[Winning Candidate]]-SamplingData[[#This Row],[Candidate 3]])/(SamplingData[[#Totals],[Winning Candidate]]-SamplingData[[#Totals],[Candidate 3]]), 0)</f>
        <v>7.7426847759460595E-4</v>
      </c>
      <c r="M1102" s="100">
        <f>IF(AND(SamplingData[[#This Row],[Total]]&lt;&gt; 0, NOT(ISBLANK(SamplingData[[#This Row],[Candidate 4]]))),(SamplingData[[#This Row],[Total]]+SamplingData[[#This Row],[Winning Candidate]]-SamplingData[[#This Row],[Candidate 4]])/(SamplingData[[#Totals],[Winning Candidate]]-SamplingData[[#Totals],[Candidate 4]]), 0)</f>
        <v>7.3080183577421145E-4</v>
      </c>
      <c r="N1102" s="100">
        <f>IF(AND(SamplingData[[#This Row],[Total]]&lt;&gt; 0, NOT(ISBLANK(SamplingData[[#This Row],[Candidate 5]]))),(SamplingData[[#This Row],[Total]]+SamplingData[[#This Row],[Winning Candidate]]-SamplingData[[#This Row],[Candidate 5]])/(SamplingData[[#Totals],[Winning Candidate]]-SamplingData[[#Totals],[Candidate 5]]), 0)</f>
        <v>6.5677450741911947E-4</v>
      </c>
      <c r="O1102" s="100">
        <f>IF(AND(SamplingData[[#This Row],[Total]]&lt;&gt; 0, NOT(ISBLANK(SamplingData[[#This Row],[Candidate 6]]))),(SamplingData[[#This Row],[Total]]+SamplingData[[#This Row],[Winning Candidate]]-SamplingData[[#This Row],[Candidate 6]])/(SamplingData[[#Totals],[Winning Candidate]]-SamplingData[[#Totals],[Candidate 6]]), 0)</f>
        <v>6.5658285102864649E-4</v>
      </c>
      <c r="P1102" s="100">
        <f>MAX(SamplingData[[#This Row],[Error Bound (up) - Max. possible relative overstatement - Losing Candidate]:[Error Bound (up) - Max. possible relative overstatement - Candidate 6]])</f>
        <v>1.1636452719255266E-3</v>
      </c>
      <c r="Q1102" s="100">
        <f>IF(SamplingData[[#This Row],[Max Error Bound (up)]] = 0,0,SamplingData[[#This Row],[Max Error Bound (up)]]/SamplingData[[#Totals],[Max Error Bound (up)]])</f>
        <v>1.841660172904708E-4</v>
      </c>
      <c r="R1102" s="101">
        <f>SUM($Q$5:Q1102)</f>
        <v>0.27591666434674317</v>
      </c>
      <c r="S1102" s="100" t="str">
        <f t="array" ref="S1102">IF(SamplingData[[#This Row],[up/U Selection Probability]] = 0, "Zero", TEXT(SamplingData[[#This Row],[Lower Range]], REPT("0",LEN('General Info'!$B$40))) &amp; " - " &amp; TEXT(SamplingData[[#This Row],[Upper Range]], REPT("0",LEN('General Info'!$B$40))))</f>
        <v>27573 - 27591</v>
      </c>
      <c r="T1102" s="100">
        <f>SamplingData[[#This Row],[Upper Range]]-SamplingData[[#This Row],[Span]]</f>
        <v>27573.250017111288</v>
      </c>
      <c r="U1102" s="100">
        <f>IF(ISNUMBER('General Info'!$B$40), ((SamplingData[[#This Row],[up/U Selection Probability]]) * 'General Info'!$B$40) - 1, 0)</f>
        <v>17.416417563029789</v>
      </c>
      <c r="V1102" s="100">
        <f>IF(ISNUMBER('General Info'!$B$40), (SamplingData[[#This Row],[Running (cumulative) sum]] * ('General Info'!$B$40 -'General Info'!$B$41 + 1)) + 'General Info'!$B$41 - 1, 0)</f>
        <v>27590.666434674316</v>
      </c>
      <c r="W1102" s="100" t="str">
        <f>IF(ISERROR(MATCH(SamplingData[[#This Row],[Batch by Type (p)]],SelectedPrecincts[Batch Name], 0)), "", INDEX(SelectedPrecincts[Draw], MATCH(SamplingData[[#This Row],[Batch by Type (p)]],SelectedPrecincts[Batch Name], 0)))</f>
        <v/>
      </c>
      <c r="X1102" s="102">
        <f>IF(COUNTIF(SelectedPrecincts[Batch Name],SamplingData[[#This Row],[Batch by Type (p)]]) &lt;&gt; 0, COUNTIF(SelectedPrecincts[Batch Name],SamplingData[[#This Row],[Batch by Type (p)]]), 0)</f>
        <v>0</v>
      </c>
    </row>
    <row r="1103" spans="1:24" ht="15" customHeight="1">
      <c r="A1103" s="18" t="s">
        <v>1279</v>
      </c>
      <c r="B1103" s="18">
        <v>8</v>
      </c>
      <c r="C1103" s="18">
        <v>5</v>
      </c>
      <c r="D1103" s="16">
        <v>4</v>
      </c>
      <c r="E1103" s="16">
        <v>1</v>
      </c>
      <c r="F1103" s="37">
        <v>0</v>
      </c>
      <c r="G1103" s="37">
        <v>1</v>
      </c>
      <c r="H1103" s="17">
        <v>0</v>
      </c>
      <c r="I1103" s="17">
        <v>0</v>
      </c>
      <c r="J1103" s="99">
        <f>SUM(SamplingData[[#This Row],[Losing Candidate]:[Under Votes]])</f>
        <v>19</v>
      </c>
      <c r="K1103"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103" s="100">
        <f>IF(AND(SamplingData[[#This Row],[Total]]&lt;&gt; 0, NOT(ISBLANK(SamplingData[[#This Row],[Candidate 3]]))),(SamplingData[[#This Row],[Total]]+SamplingData[[#This Row],[Winning Candidate]]-SamplingData[[#This Row],[Candidate 3]])/(SamplingData[[#Totals],[Winning Candidate]]-SamplingData[[#Totals],[Candidate 3]]), 0)</f>
        <v>6.4522373132883831E-4</v>
      </c>
      <c r="M1103" s="100">
        <f>IF(AND(SamplingData[[#This Row],[Total]]&lt;&gt; 0, NOT(ISBLANK(SamplingData[[#This Row],[Candidate 4]]))),(SamplingData[[#This Row],[Total]]+SamplingData[[#This Row],[Winning Candidate]]-SamplingData[[#This Row],[Candidate 4]])/(SamplingData[[#Totals],[Winning Candidate]]-SamplingData[[#Totals],[Candidate 4]]), 0)</f>
        <v>6.7233768891227451E-4</v>
      </c>
      <c r="N1103" s="100">
        <f>IF(AND(SamplingData[[#This Row],[Total]]&lt;&gt; 0, NOT(ISBLANK(SamplingData[[#This Row],[Candidate 5]]))),(SamplingData[[#This Row],[Total]]+SamplingData[[#This Row],[Winning Candidate]]-SamplingData[[#This Row],[Candidate 5]])/(SamplingData[[#Totals],[Winning Candidate]]-SamplingData[[#Totals],[Candidate 5]]), 0)</f>
        <v>5.8379956215032843E-4</v>
      </c>
      <c r="O1103" s="100">
        <f>IF(AND(SamplingData[[#This Row],[Total]]&lt;&gt; 0, NOT(ISBLANK(SamplingData[[#This Row],[Candidate 6]]))),(SamplingData[[#This Row],[Total]]+SamplingData[[#This Row],[Winning Candidate]]-SamplingData[[#This Row],[Candidate 6]])/(SamplingData[[#Totals],[Winning Candidate]]-SamplingData[[#Totals],[Candidate 6]]), 0)</f>
        <v>5.5931131754292105E-4</v>
      </c>
      <c r="P1103" s="100">
        <f>MAX(SamplingData[[#This Row],[Error Bound (up) - Max. possible relative overstatement - Losing Candidate]:[Error Bound (up) - Max. possible relative overstatement - Candidate 6]])</f>
        <v>9.7991180793728563E-4</v>
      </c>
      <c r="Q1103" s="100">
        <f>IF(SamplingData[[#This Row],[Max Error Bound (up)]] = 0,0,SamplingData[[#This Row],[Max Error Bound (up)]]/SamplingData[[#Totals],[Max Error Bound (up)]])</f>
        <v>1.550871724551333E-4</v>
      </c>
      <c r="R1103" s="101">
        <f>SUM($Q$5:Q1103)</f>
        <v>0.27607175151919833</v>
      </c>
      <c r="S1103" s="100" t="str">
        <f t="array" ref="S1103">IF(SamplingData[[#This Row],[up/U Selection Probability]] = 0, "Zero", TEXT(SamplingData[[#This Row],[Lower Range]], REPT("0",LEN('General Info'!$B$40))) &amp; " - " &amp; TEXT(SamplingData[[#This Row],[Upper Range]], REPT("0",LEN('General Info'!$B$40))))</f>
        <v>27592 - 27606</v>
      </c>
      <c r="T1103" s="100">
        <f>SamplingData[[#This Row],[Upper Range]]-SamplingData[[#This Row],[Span]]</f>
        <v>27591.666589761491</v>
      </c>
      <c r="U1103" s="100">
        <f>IF(ISNUMBER('General Info'!$B$40), ((SamplingData[[#This Row],[up/U Selection Probability]]) * 'General Info'!$B$40) - 1, 0)</f>
        <v>14.508562158340876</v>
      </c>
      <c r="V1103" s="100">
        <f>IF(ISNUMBER('General Info'!$B$40), (SamplingData[[#This Row],[Running (cumulative) sum]] * ('General Info'!$B$40 -'General Info'!$B$41 + 1)) + 'General Info'!$B$41 - 1, 0)</f>
        <v>27606.175151919833</v>
      </c>
      <c r="W1103" s="100" t="str">
        <f>IF(ISERROR(MATCH(SamplingData[[#This Row],[Batch by Type (p)]],SelectedPrecincts[Batch Name], 0)), "", INDEX(SelectedPrecincts[Draw], MATCH(SamplingData[[#This Row],[Batch by Type (p)]],SelectedPrecincts[Batch Name], 0)))</f>
        <v/>
      </c>
      <c r="X1103" s="102">
        <f>IF(COUNTIF(SelectedPrecincts[Batch Name],SamplingData[[#This Row],[Batch by Type (p)]]) &lt;&gt; 0, COUNTIF(SelectedPrecincts[Batch Name],SamplingData[[#This Row],[Batch by Type (p)]]), 0)</f>
        <v>0</v>
      </c>
    </row>
    <row r="1104" spans="1:24" ht="15" customHeight="1">
      <c r="A1104" s="18" t="s">
        <v>1280</v>
      </c>
      <c r="B1104" s="18">
        <v>2</v>
      </c>
      <c r="C1104" s="18">
        <v>5</v>
      </c>
      <c r="D1104" s="18">
        <v>1</v>
      </c>
      <c r="E1104" s="18">
        <v>0</v>
      </c>
      <c r="F1104" s="18">
        <v>0</v>
      </c>
      <c r="G1104" s="18">
        <v>0</v>
      </c>
      <c r="H1104" s="18">
        <v>0</v>
      </c>
      <c r="I1104" s="18">
        <v>0</v>
      </c>
      <c r="J1104" s="99">
        <f>SUM(SamplingData[[#This Row],[Losing Candidate]:[Under Votes]])</f>
        <v>8</v>
      </c>
      <c r="K1104"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104" s="100">
        <f>IF(AND(SamplingData[[#This Row],[Total]]&lt;&gt; 0, NOT(ISBLANK(SamplingData[[#This Row],[Candidate 3]]))),(SamplingData[[#This Row],[Total]]+SamplingData[[#This Row],[Winning Candidate]]-SamplingData[[#This Row],[Candidate 3]])/(SamplingData[[#Totals],[Winning Candidate]]-SamplingData[[#Totals],[Candidate 3]]), 0)</f>
        <v>3.8713423879730297E-4</v>
      </c>
      <c r="M1104" s="100">
        <f>IF(AND(SamplingData[[#This Row],[Total]]&lt;&gt; 0, NOT(ISBLANK(SamplingData[[#This Row],[Candidate 4]]))),(SamplingData[[#This Row],[Total]]+SamplingData[[#This Row],[Winning Candidate]]-SamplingData[[#This Row],[Candidate 4]])/(SamplingData[[#Totals],[Winning Candidate]]-SamplingData[[#Totals],[Candidate 4]]), 0)</f>
        <v>3.8001695460258996E-4</v>
      </c>
      <c r="N1104" s="100">
        <f>IF(AND(SamplingData[[#This Row],[Total]]&lt;&gt; 0, NOT(ISBLANK(SamplingData[[#This Row],[Candidate 5]]))),(SamplingData[[#This Row],[Total]]+SamplingData[[#This Row],[Winning Candidate]]-SamplingData[[#This Row],[Candidate 5]])/(SamplingData[[#Totals],[Winning Candidate]]-SamplingData[[#Totals],[Candidate 5]]), 0)</f>
        <v>3.1622476283142789E-4</v>
      </c>
      <c r="O1104" s="100">
        <f>IF(AND(SamplingData[[#This Row],[Total]]&lt;&gt; 0, NOT(ISBLANK(SamplingData[[#This Row],[Candidate 6]]))),(SamplingData[[#This Row],[Total]]+SamplingData[[#This Row],[Winning Candidate]]-SamplingData[[#This Row],[Candidate 6]])/(SamplingData[[#Totals],[Winning Candidate]]-SamplingData[[#Totals],[Candidate 6]]), 0)</f>
        <v>3.1613248382860755E-4</v>
      </c>
      <c r="P1104" s="100">
        <f>MAX(SamplingData[[#This Row],[Error Bound (up) - Max. possible relative overstatement - Losing Candidate]:[Error Bound (up) - Max. possible relative overstatement - Candidate 6]])</f>
        <v>6.7368936795688392E-4</v>
      </c>
      <c r="Q1104" s="100">
        <f>IF(SamplingData[[#This Row],[Max Error Bound (up)]] = 0,0,SamplingData[[#This Row],[Max Error Bound (up)]]/SamplingData[[#Totals],[Max Error Bound (up)]])</f>
        <v>1.0662243106290416E-4</v>
      </c>
      <c r="R1104" s="101">
        <f>SUM($Q$5:Q1104)</f>
        <v>0.27617837395026124</v>
      </c>
      <c r="S1104" s="100" t="str">
        <f t="array" ref="S1104">IF(SamplingData[[#This Row],[up/U Selection Probability]] = 0, "Zero", TEXT(SamplingData[[#This Row],[Lower Range]], REPT("0",LEN('General Info'!$B$40))) &amp; " - " &amp; TEXT(SamplingData[[#This Row],[Upper Range]], REPT("0",LEN('General Info'!$B$40))))</f>
        <v>27607 - 27617</v>
      </c>
      <c r="T1104" s="100">
        <f>SamplingData[[#This Row],[Upper Range]]-SamplingData[[#This Row],[Span]]</f>
        <v>27607.175258542262</v>
      </c>
      <c r="U1104" s="100">
        <f>IF(ISNUMBER('General Info'!$B$40), ((SamplingData[[#This Row],[up/U Selection Probability]]) * 'General Info'!$B$40) - 1, 0)</f>
        <v>9.6621364838593529</v>
      </c>
      <c r="V1104" s="100">
        <f>IF(ISNUMBER('General Info'!$B$40), (SamplingData[[#This Row],[Running (cumulative) sum]] * ('General Info'!$B$40 -'General Info'!$B$41 + 1)) + 'General Info'!$B$41 - 1, 0)</f>
        <v>27616.837395026123</v>
      </c>
      <c r="W1104" s="100" t="str">
        <f>IF(ISERROR(MATCH(SamplingData[[#This Row],[Batch by Type (p)]],SelectedPrecincts[Batch Name], 0)), "", INDEX(SelectedPrecincts[Draw], MATCH(SamplingData[[#This Row],[Batch by Type (p)]],SelectedPrecincts[Batch Name], 0)))</f>
        <v/>
      </c>
      <c r="X1104" s="102">
        <f>IF(COUNTIF(SelectedPrecincts[Batch Name],SamplingData[[#This Row],[Batch by Type (p)]]) &lt;&gt; 0, COUNTIF(SelectedPrecincts[Batch Name],SamplingData[[#This Row],[Batch by Type (p)]]), 0)</f>
        <v>0</v>
      </c>
    </row>
    <row r="1105" spans="1:24" ht="15" customHeight="1">
      <c r="A1105" s="18" t="s">
        <v>1281</v>
      </c>
      <c r="B1105" s="18">
        <v>12</v>
      </c>
      <c r="C1105" s="18">
        <v>20</v>
      </c>
      <c r="D1105" s="16">
        <v>7</v>
      </c>
      <c r="E1105" s="16">
        <v>4</v>
      </c>
      <c r="F1105" s="37">
        <v>0</v>
      </c>
      <c r="G1105" s="37">
        <v>1</v>
      </c>
      <c r="H1105" s="17">
        <v>0</v>
      </c>
      <c r="I1105" s="17">
        <v>0</v>
      </c>
      <c r="J1105" s="99">
        <f>SUM(SamplingData[[#This Row],[Losing Candidate]:[Under Votes]])</f>
        <v>44</v>
      </c>
      <c r="K1105"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1105" s="100">
        <f>IF(AND(SamplingData[[#This Row],[Total]]&lt;&gt; 0, NOT(ISBLANK(SamplingData[[#This Row],[Candidate 3]]))),(SamplingData[[#This Row],[Total]]+SamplingData[[#This Row],[Winning Candidate]]-SamplingData[[#This Row],[Candidate 3]])/(SamplingData[[#Totals],[Winning Candidate]]-SamplingData[[#Totals],[Candidate 3]]), 0)</f>
        <v>1.8388876342871892E-3</v>
      </c>
      <c r="M1105" s="100">
        <f>IF(AND(SamplingData[[#This Row],[Total]]&lt;&gt; 0, NOT(ISBLANK(SamplingData[[#This Row],[Candidate 4]]))),(SamplingData[[#This Row],[Total]]+SamplingData[[#This Row],[Winning Candidate]]-SamplingData[[#This Row],[Candidate 4]])/(SamplingData[[#Totals],[Winning Candidate]]-SamplingData[[#Totals],[Candidate 4]]), 0)</f>
        <v>1.7539244058581076E-3</v>
      </c>
      <c r="N1105" s="100">
        <f>IF(AND(SamplingData[[#This Row],[Total]]&lt;&gt; 0, NOT(ISBLANK(SamplingData[[#This Row],[Candidate 5]]))),(SamplingData[[#This Row],[Total]]+SamplingData[[#This Row],[Winning Candidate]]-SamplingData[[#This Row],[Candidate 5]])/(SamplingData[[#Totals],[Winning Candidate]]-SamplingData[[#Totals],[Candidate 5]]), 0)</f>
        <v>1.5567988324008757E-3</v>
      </c>
      <c r="O1105" s="100">
        <f>IF(AND(SamplingData[[#This Row],[Total]]&lt;&gt; 0, NOT(ISBLANK(SamplingData[[#This Row],[Candidate 6]]))),(SamplingData[[#This Row],[Total]]+SamplingData[[#This Row],[Winning Candidate]]-SamplingData[[#This Row],[Candidate 6]])/(SamplingData[[#Totals],[Winning Candidate]]-SamplingData[[#Totals],[Candidate 6]]), 0)</f>
        <v>1.532026652400175E-3</v>
      </c>
      <c r="P1105" s="100">
        <f>MAX(SamplingData[[#This Row],[Error Bound (up) - Max. possible relative overstatement - Losing Candidate]:[Error Bound (up) - Max. possible relative overstatement - Candidate 6]])</f>
        <v>3.1847133757961785E-3</v>
      </c>
      <c r="Q1105" s="100">
        <f>IF(SamplingData[[#This Row],[Max Error Bound (up)]] = 0,0,SamplingData[[#This Row],[Max Error Bound (up)]]/SamplingData[[#Totals],[Max Error Bound (up)]])</f>
        <v>5.0403331047918325E-4</v>
      </c>
      <c r="R1105" s="101">
        <f>SUM($Q$5:Q1105)</f>
        <v>0.27668240726074039</v>
      </c>
      <c r="S1105" s="100" t="str">
        <f t="array" ref="S1105">IF(SamplingData[[#This Row],[up/U Selection Probability]] = 0, "Zero", TEXT(SamplingData[[#This Row],[Lower Range]], REPT("0",LEN('General Info'!$B$40))) &amp; " - " &amp; TEXT(SamplingData[[#This Row],[Upper Range]], REPT("0",LEN('General Info'!$B$40))))</f>
        <v>27618 - 27667</v>
      </c>
      <c r="T1105" s="100">
        <f>SamplingData[[#This Row],[Upper Range]]-SamplingData[[#This Row],[Span]]</f>
        <v>27617.837899059432</v>
      </c>
      <c r="U1105" s="100">
        <f>IF(ISNUMBER('General Info'!$B$40), ((SamplingData[[#This Row],[up/U Selection Probability]]) * 'General Info'!$B$40) - 1, 0)</f>
        <v>49.402827014607844</v>
      </c>
      <c r="V1105" s="100">
        <f>IF(ISNUMBER('General Info'!$B$40), (SamplingData[[#This Row],[Running (cumulative) sum]] * ('General Info'!$B$40 -'General Info'!$B$41 + 1)) + 'General Info'!$B$41 - 1, 0)</f>
        <v>27667.24072607404</v>
      </c>
      <c r="W1105" s="100" t="str">
        <f>IF(ISERROR(MATCH(SamplingData[[#This Row],[Batch by Type (p)]],SelectedPrecincts[Batch Name], 0)), "", INDEX(SelectedPrecincts[Draw], MATCH(SamplingData[[#This Row],[Batch by Type (p)]],SelectedPrecincts[Batch Name], 0)))</f>
        <v/>
      </c>
      <c r="X1105" s="102">
        <f>IF(COUNTIF(SelectedPrecincts[Batch Name],SamplingData[[#This Row],[Batch by Type (p)]]) &lt;&gt; 0, COUNTIF(SelectedPrecincts[Batch Name],SamplingData[[#This Row],[Batch by Type (p)]]), 0)</f>
        <v>0</v>
      </c>
    </row>
    <row r="1106" spans="1:24" ht="15" customHeight="1">
      <c r="A1106" s="18" t="s">
        <v>1282</v>
      </c>
      <c r="B1106" s="18">
        <v>3</v>
      </c>
      <c r="C1106" s="18">
        <v>11</v>
      </c>
      <c r="D1106" s="18">
        <v>3</v>
      </c>
      <c r="E1106" s="18">
        <v>0</v>
      </c>
      <c r="F1106" s="18">
        <v>0</v>
      </c>
      <c r="G1106" s="18">
        <v>0</v>
      </c>
      <c r="H1106" s="18">
        <v>0</v>
      </c>
      <c r="I1106" s="18">
        <v>1</v>
      </c>
      <c r="J1106" s="99">
        <f>SUM(SamplingData[[#This Row],[Losing Candidate]:[Under Votes]])</f>
        <v>18</v>
      </c>
      <c r="K1106"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106" s="100">
        <f>IF(AND(SamplingData[[#This Row],[Total]]&lt;&gt; 0, NOT(ISBLANK(SamplingData[[#This Row],[Candidate 3]]))),(SamplingData[[#This Row],[Total]]+SamplingData[[#This Row],[Winning Candidate]]-SamplingData[[#This Row],[Candidate 3]])/(SamplingData[[#Totals],[Winning Candidate]]-SamplingData[[#Totals],[Candidate 3]]), 0)</f>
        <v>8.3879085072748971E-4</v>
      </c>
      <c r="M1106" s="100">
        <f>IF(AND(SamplingData[[#This Row],[Total]]&lt;&gt; 0, NOT(ISBLANK(SamplingData[[#This Row],[Candidate 4]]))),(SamplingData[[#This Row],[Total]]+SamplingData[[#This Row],[Winning Candidate]]-SamplingData[[#This Row],[Candidate 4]])/(SamplingData[[#Totals],[Winning Candidate]]-SamplingData[[#Totals],[Candidate 4]]), 0)</f>
        <v>8.4773012949808531E-4</v>
      </c>
      <c r="N1106" s="100">
        <f>IF(AND(SamplingData[[#This Row],[Total]]&lt;&gt; 0, NOT(ISBLANK(SamplingData[[#This Row],[Candidate 5]]))),(SamplingData[[#This Row],[Total]]+SamplingData[[#This Row],[Winning Candidate]]-SamplingData[[#This Row],[Candidate 5]])/(SamplingData[[#Totals],[Winning Candidate]]-SamplingData[[#Totals],[Candidate 5]]), 0)</f>
        <v>7.0542447093164683E-4</v>
      </c>
      <c r="O1106" s="100">
        <f>IF(AND(SamplingData[[#This Row],[Total]]&lt;&gt; 0, NOT(ISBLANK(SamplingData[[#This Row],[Candidate 6]]))),(SamplingData[[#This Row],[Total]]+SamplingData[[#This Row],[Winning Candidate]]-SamplingData[[#This Row],[Candidate 6]])/(SamplingData[[#Totals],[Winning Candidate]]-SamplingData[[#Totals],[Candidate 6]]), 0)</f>
        <v>7.0521861777150916E-4</v>
      </c>
      <c r="P1106" s="100">
        <f>MAX(SamplingData[[#This Row],[Error Bound (up) - Max. possible relative overstatement - Losing Candidate]:[Error Bound (up) - Max. possible relative overstatement - Candidate 6]])</f>
        <v>1.5923566878980893E-3</v>
      </c>
      <c r="Q1106" s="100">
        <f>IF(SamplingData[[#This Row],[Max Error Bound (up)]] = 0,0,SamplingData[[#This Row],[Max Error Bound (up)]]/SamplingData[[#Totals],[Max Error Bound (up)]])</f>
        <v>2.5201665523959162E-4</v>
      </c>
      <c r="R1106" s="101">
        <f>SUM($Q$5:Q1106)</f>
        <v>0.27693442391598</v>
      </c>
      <c r="S1106" s="100" t="str">
        <f t="array" ref="S1106">IF(SamplingData[[#This Row],[up/U Selection Probability]] = 0, "Zero", TEXT(SamplingData[[#This Row],[Lower Range]], REPT("0",LEN('General Info'!$B$40))) &amp; " - " &amp; TEXT(SamplingData[[#This Row],[Upper Range]], REPT("0",LEN('General Info'!$B$40))))</f>
        <v>27668 - 27692</v>
      </c>
      <c r="T1106" s="100">
        <f>SamplingData[[#This Row],[Upper Range]]-SamplingData[[#This Row],[Span]]</f>
        <v>27668.240978090696</v>
      </c>
      <c r="U1106" s="100">
        <f>IF(ISNUMBER('General Info'!$B$40), ((SamplingData[[#This Row],[up/U Selection Probability]]) * 'General Info'!$B$40) - 1, 0)</f>
        <v>24.201413507303922</v>
      </c>
      <c r="V1106" s="100">
        <f>IF(ISNUMBER('General Info'!$B$40), (SamplingData[[#This Row],[Running (cumulative) sum]] * ('General Info'!$B$40 -'General Info'!$B$41 + 1)) + 'General Info'!$B$41 - 1, 0)</f>
        <v>27692.442391598001</v>
      </c>
      <c r="W1106" s="100" t="str">
        <f>IF(ISERROR(MATCH(SamplingData[[#This Row],[Batch by Type (p)]],SelectedPrecincts[Batch Name], 0)), "", INDEX(SelectedPrecincts[Draw], MATCH(SamplingData[[#This Row],[Batch by Type (p)]],SelectedPrecincts[Batch Name], 0)))</f>
        <v/>
      </c>
      <c r="X1106" s="102">
        <f>IF(COUNTIF(SelectedPrecincts[Batch Name],SamplingData[[#This Row],[Batch by Type (p)]]) &lt;&gt; 0, COUNTIF(SelectedPrecincts[Batch Name],SamplingData[[#This Row],[Batch by Type (p)]]), 0)</f>
        <v>0</v>
      </c>
    </row>
    <row r="1107" spans="1:24" ht="15" customHeight="1">
      <c r="A1107" s="18" t="s">
        <v>1283</v>
      </c>
      <c r="B1107" s="18">
        <v>9</v>
      </c>
      <c r="C1107" s="18">
        <v>13</v>
      </c>
      <c r="D1107" s="16">
        <v>3</v>
      </c>
      <c r="E1107" s="16">
        <v>4</v>
      </c>
      <c r="F1107" s="37">
        <v>1</v>
      </c>
      <c r="G1107" s="37">
        <v>0</v>
      </c>
      <c r="H1107" s="17">
        <v>0</v>
      </c>
      <c r="I1107" s="17">
        <v>0</v>
      </c>
      <c r="J1107" s="99">
        <f>SUM(SamplingData[[#This Row],[Losing Candidate]:[Under Votes]])</f>
        <v>30</v>
      </c>
      <c r="K1107"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1107" s="100">
        <f>IF(AND(SamplingData[[#This Row],[Total]]&lt;&gt; 0, NOT(ISBLANK(SamplingData[[#This Row],[Candidate 3]]))),(SamplingData[[#This Row],[Total]]+SamplingData[[#This Row],[Winning Candidate]]-SamplingData[[#This Row],[Candidate 3]])/(SamplingData[[#Totals],[Winning Candidate]]-SamplingData[[#Totals],[Candidate 3]]), 0)</f>
        <v>1.2904474626576766E-3</v>
      </c>
      <c r="M1107" s="100">
        <f>IF(AND(SamplingData[[#This Row],[Total]]&lt;&gt; 0, NOT(ISBLANK(SamplingData[[#This Row],[Candidate 4]]))),(SamplingData[[#This Row],[Total]]+SamplingData[[#This Row],[Winning Candidate]]-SamplingData[[#This Row],[Candidate 4]])/(SamplingData[[#Totals],[Winning Candidate]]-SamplingData[[#Totals],[Candidate 4]]), 0)</f>
        <v>1.14005086380777E-3</v>
      </c>
      <c r="N1107" s="100">
        <f>IF(AND(SamplingData[[#This Row],[Total]]&lt;&gt; 0, NOT(ISBLANK(SamplingData[[#This Row],[Candidate 5]]))),(SamplingData[[#This Row],[Total]]+SamplingData[[#This Row],[Winning Candidate]]-SamplingData[[#This Row],[Candidate 5]])/(SamplingData[[#Totals],[Winning Candidate]]-SamplingData[[#Totals],[Candidate 5]]), 0)</f>
        <v>1.0216492337630748E-3</v>
      </c>
      <c r="O1107" s="100">
        <f>IF(AND(SamplingData[[#This Row],[Total]]&lt;&gt; 0, NOT(ISBLANK(SamplingData[[#This Row],[Candidate 6]]))),(SamplingData[[#This Row],[Total]]+SamplingData[[#This Row],[Winning Candidate]]-SamplingData[[#This Row],[Candidate 6]])/(SamplingData[[#Totals],[Winning Candidate]]-SamplingData[[#Totals],[Candidate 6]]), 0)</f>
        <v>1.0456689849715481E-3</v>
      </c>
      <c r="P1107" s="100">
        <f>MAX(SamplingData[[#This Row],[Error Bound (up) - Max. possible relative overstatement - Losing Candidate]:[Error Bound (up) - Max. possible relative overstatement - Candidate 6]])</f>
        <v>2.0823125918667321E-3</v>
      </c>
      <c r="Q1107" s="100">
        <f>IF(SamplingData[[#This Row],[Max Error Bound (up)]] = 0,0,SamplingData[[#This Row],[Max Error Bound (up)]]/SamplingData[[#Totals],[Max Error Bound (up)]])</f>
        <v>3.2956024146715829E-4</v>
      </c>
      <c r="R1107" s="101">
        <f>SUM($Q$5:Q1107)</f>
        <v>0.27726398415744713</v>
      </c>
      <c r="S1107" s="100" t="str">
        <f t="array" ref="S1107">IF(SamplingData[[#This Row],[up/U Selection Probability]] = 0, "Zero", TEXT(SamplingData[[#This Row],[Lower Range]], REPT("0",LEN('General Info'!$B$40))) &amp; " - " &amp; TEXT(SamplingData[[#This Row],[Upper Range]], REPT("0",LEN('General Info'!$B$40))))</f>
        <v>27693 - 27725</v>
      </c>
      <c r="T1107" s="100">
        <f>SamplingData[[#This Row],[Upper Range]]-SamplingData[[#This Row],[Span]]</f>
        <v>27693.442721158237</v>
      </c>
      <c r="U1107" s="100">
        <f>IF(ISNUMBER('General Info'!$B$40), ((SamplingData[[#This Row],[up/U Selection Probability]]) * 'General Info'!$B$40) - 1, 0)</f>
        <v>31.955694586474358</v>
      </c>
      <c r="V1107" s="100">
        <f>IF(ISNUMBER('General Info'!$B$40), (SamplingData[[#This Row],[Running (cumulative) sum]] * ('General Info'!$B$40 -'General Info'!$B$41 + 1)) + 'General Info'!$B$41 - 1, 0)</f>
        <v>27725.398415744712</v>
      </c>
      <c r="W1107" s="100" t="str">
        <f>IF(ISERROR(MATCH(SamplingData[[#This Row],[Batch by Type (p)]],SelectedPrecincts[Batch Name], 0)), "", INDEX(SelectedPrecincts[Draw], MATCH(SamplingData[[#This Row],[Batch by Type (p)]],SelectedPrecincts[Batch Name], 0)))</f>
        <v/>
      </c>
      <c r="X1107" s="102">
        <f>IF(COUNTIF(SelectedPrecincts[Batch Name],SamplingData[[#This Row],[Batch by Type (p)]]) &lt;&gt; 0, COUNTIF(SelectedPrecincts[Batch Name],SamplingData[[#This Row],[Batch by Type (p)]]), 0)</f>
        <v>0</v>
      </c>
    </row>
    <row r="1108" spans="1:24" ht="15" customHeight="1">
      <c r="A1108" s="18" t="s">
        <v>1284</v>
      </c>
      <c r="B1108" s="18">
        <v>1</v>
      </c>
      <c r="C1108" s="18">
        <v>9</v>
      </c>
      <c r="D1108" s="18">
        <v>3</v>
      </c>
      <c r="E1108" s="18">
        <v>0</v>
      </c>
      <c r="F1108" s="18">
        <v>0</v>
      </c>
      <c r="G1108" s="18">
        <v>0</v>
      </c>
      <c r="H1108" s="18">
        <v>0</v>
      </c>
      <c r="I1108" s="18">
        <v>0</v>
      </c>
      <c r="J1108" s="99">
        <f>SUM(SamplingData[[#This Row],[Losing Candidate]:[Under Votes]])</f>
        <v>13</v>
      </c>
      <c r="K1108"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108" s="100">
        <f>IF(AND(SamplingData[[#This Row],[Total]]&lt;&gt; 0, NOT(ISBLANK(SamplingData[[#This Row],[Candidate 3]]))),(SamplingData[[#This Row],[Total]]+SamplingData[[#This Row],[Winning Candidate]]-SamplingData[[#This Row],[Candidate 3]])/(SamplingData[[#Totals],[Winning Candidate]]-SamplingData[[#Totals],[Candidate 3]]), 0)</f>
        <v>6.1296254476239632E-4</v>
      </c>
      <c r="M1108" s="100">
        <f>IF(AND(SamplingData[[#This Row],[Total]]&lt;&gt; 0, NOT(ISBLANK(SamplingData[[#This Row],[Candidate 4]]))),(SamplingData[[#This Row],[Total]]+SamplingData[[#This Row],[Winning Candidate]]-SamplingData[[#This Row],[Candidate 4]])/(SamplingData[[#Totals],[Winning Candidate]]-SamplingData[[#Totals],[Candidate 4]]), 0)</f>
        <v>6.4310561548130605E-4</v>
      </c>
      <c r="N1108" s="100">
        <f>IF(AND(SamplingData[[#This Row],[Total]]&lt;&gt; 0, NOT(ISBLANK(SamplingData[[#This Row],[Candidate 5]]))),(SamplingData[[#This Row],[Total]]+SamplingData[[#This Row],[Winning Candidate]]-SamplingData[[#This Row],[Candidate 5]])/(SamplingData[[#Totals],[Winning Candidate]]-SamplingData[[#Totals],[Candidate 5]]), 0)</f>
        <v>5.3514959863780107E-4</v>
      </c>
      <c r="O1108" s="100">
        <f>IF(AND(SamplingData[[#This Row],[Total]]&lt;&gt; 0, NOT(ISBLANK(SamplingData[[#This Row],[Candidate 6]]))),(SamplingData[[#This Row],[Total]]+SamplingData[[#This Row],[Winning Candidate]]-SamplingData[[#This Row],[Candidate 6]])/(SamplingData[[#Totals],[Winning Candidate]]-SamplingData[[#Totals],[Candidate 6]]), 0)</f>
        <v>5.3499343417148966E-4</v>
      </c>
      <c r="P1108" s="100">
        <f>MAX(SamplingData[[#This Row],[Error Bound (up) - Max. possible relative overstatement - Losing Candidate]:[Error Bound (up) - Max. possible relative overstatement - Candidate 6]])</f>
        <v>1.2861342479176874E-3</v>
      </c>
      <c r="Q1108" s="100">
        <f>IF(SamplingData[[#This Row],[Max Error Bound (up)]] = 0,0,SamplingData[[#This Row],[Max Error Bound (up)]]/SamplingData[[#Totals],[Max Error Bound (up)]])</f>
        <v>2.0355191384736248E-4</v>
      </c>
      <c r="R1108" s="101">
        <f>SUM($Q$5:Q1108)</f>
        <v>0.27746753607129448</v>
      </c>
      <c r="S1108" s="100" t="str">
        <f t="array" ref="S1108">IF(SamplingData[[#This Row],[up/U Selection Probability]] = 0, "Zero", TEXT(SamplingData[[#This Row],[Lower Range]], REPT("0",LEN('General Info'!$B$40))) &amp; " - " &amp; TEXT(SamplingData[[#This Row],[Upper Range]], REPT("0",LEN('General Info'!$B$40))))</f>
        <v>27726 - 27746</v>
      </c>
      <c r="T1108" s="100">
        <f>SamplingData[[#This Row],[Upper Range]]-SamplingData[[#This Row],[Span]]</f>
        <v>27726.398619296626</v>
      </c>
      <c r="U1108" s="100">
        <f>IF(ISNUMBER('General Info'!$B$40), ((SamplingData[[#This Row],[up/U Selection Probability]]) * 'General Info'!$B$40) - 1, 0)</f>
        <v>19.354987832822399</v>
      </c>
      <c r="V1108" s="100">
        <f>IF(ISNUMBER('General Info'!$B$40), (SamplingData[[#This Row],[Running (cumulative) sum]] * ('General Info'!$B$40 -'General Info'!$B$41 + 1)) + 'General Info'!$B$41 - 1, 0)</f>
        <v>27745.753607129449</v>
      </c>
      <c r="W1108" s="100" t="str">
        <f>IF(ISERROR(MATCH(SamplingData[[#This Row],[Batch by Type (p)]],SelectedPrecincts[Batch Name], 0)), "", INDEX(SelectedPrecincts[Draw], MATCH(SamplingData[[#This Row],[Batch by Type (p)]],SelectedPrecincts[Batch Name], 0)))</f>
        <v/>
      </c>
      <c r="X1108" s="102">
        <f>IF(COUNTIF(SelectedPrecincts[Batch Name],SamplingData[[#This Row],[Batch by Type (p)]]) &lt;&gt; 0, COUNTIF(SelectedPrecincts[Batch Name],SamplingData[[#This Row],[Batch by Type (p)]]), 0)</f>
        <v>0</v>
      </c>
    </row>
    <row r="1109" spans="1:24" ht="15" customHeight="1">
      <c r="A1109" s="18" t="s">
        <v>1285</v>
      </c>
      <c r="B1109" s="18">
        <v>5</v>
      </c>
      <c r="C1109" s="18">
        <v>7</v>
      </c>
      <c r="D1109" s="16">
        <v>2</v>
      </c>
      <c r="E1109" s="16">
        <v>3</v>
      </c>
      <c r="F1109" s="37">
        <v>0</v>
      </c>
      <c r="G1109" s="37">
        <v>0</v>
      </c>
      <c r="H1109" s="17">
        <v>0</v>
      </c>
      <c r="I1109" s="17">
        <v>0</v>
      </c>
      <c r="J1109" s="99">
        <f>SUM(SamplingData[[#This Row],[Losing Candidate]:[Under Votes]])</f>
        <v>17</v>
      </c>
      <c r="K1109"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109" s="100">
        <f>IF(AND(SamplingData[[#This Row],[Total]]&lt;&gt; 0, NOT(ISBLANK(SamplingData[[#This Row],[Candidate 3]]))),(SamplingData[[#This Row],[Total]]+SamplingData[[#This Row],[Winning Candidate]]-SamplingData[[#This Row],[Candidate 3]])/(SamplingData[[#Totals],[Winning Candidate]]-SamplingData[[#Totals],[Candidate 3]]), 0)</f>
        <v>7.0974610446172207E-4</v>
      </c>
      <c r="M1109" s="100">
        <f>IF(AND(SamplingData[[#This Row],[Total]]&lt;&gt; 0, NOT(ISBLANK(SamplingData[[#This Row],[Candidate 4]]))),(SamplingData[[#This Row],[Total]]+SamplingData[[#This Row],[Winning Candidate]]-SamplingData[[#This Row],[Candidate 4]])/(SamplingData[[#Totals],[Winning Candidate]]-SamplingData[[#Totals],[Candidate 4]]), 0)</f>
        <v>6.1387354205033758E-4</v>
      </c>
      <c r="N1109" s="100">
        <f>IF(AND(SamplingData[[#This Row],[Total]]&lt;&gt; 0, NOT(ISBLANK(SamplingData[[#This Row],[Candidate 5]]))),(SamplingData[[#This Row],[Total]]+SamplingData[[#This Row],[Winning Candidate]]-SamplingData[[#This Row],[Candidate 5]])/(SamplingData[[#Totals],[Winning Candidate]]-SamplingData[[#Totals],[Candidate 5]]), 0)</f>
        <v>5.8379956215032843E-4</v>
      </c>
      <c r="O1109" s="100">
        <f>IF(AND(SamplingData[[#This Row],[Total]]&lt;&gt; 0, NOT(ISBLANK(SamplingData[[#This Row],[Candidate 6]]))),(SamplingData[[#This Row],[Total]]+SamplingData[[#This Row],[Winning Candidate]]-SamplingData[[#This Row],[Candidate 6]])/(SamplingData[[#Totals],[Winning Candidate]]-SamplingData[[#Totals],[Candidate 6]]), 0)</f>
        <v>5.8362920091435243E-4</v>
      </c>
      <c r="P1109" s="100">
        <f>MAX(SamplingData[[#This Row],[Error Bound (up) - Max. possible relative overstatement - Losing Candidate]:[Error Bound (up) - Max. possible relative overstatement - Candidate 6]])</f>
        <v>1.1636452719255266E-3</v>
      </c>
      <c r="Q1109" s="100">
        <f>IF(SamplingData[[#This Row],[Max Error Bound (up)]] = 0,0,SamplingData[[#This Row],[Max Error Bound (up)]]/SamplingData[[#Totals],[Max Error Bound (up)]])</f>
        <v>1.841660172904708E-4</v>
      </c>
      <c r="R1109" s="101">
        <f>SUM($Q$5:Q1109)</f>
        <v>0.27765170208858497</v>
      </c>
      <c r="S1109" s="100" t="str">
        <f t="array" ref="S1109">IF(SamplingData[[#This Row],[up/U Selection Probability]] = 0, "Zero", TEXT(SamplingData[[#This Row],[Lower Range]], REPT("0",LEN('General Info'!$B$40))) &amp; " - " &amp; TEXT(SamplingData[[#This Row],[Upper Range]], REPT("0",LEN('General Info'!$B$40))))</f>
        <v>27747 - 27764</v>
      </c>
      <c r="T1109" s="100">
        <f>SamplingData[[#This Row],[Upper Range]]-SamplingData[[#This Row],[Span]]</f>
        <v>27746.753791295469</v>
      </c>
      <c r="U1109" s="100">
        <f>IF(ISNUMBER('General Info'!$B$40), ((SamplingData[[#This Row],[up/U Selection Probability]]) * 'General Info'!$B$40) - 1, 0)</f>
        <v>17.416417563029789</v>
      </c>
      <c r="V1109" s="100">
        <f>IF(ISNUMBER('General Info'!$B$40), (SamplingData[[#This Row],[Running (cumulative) sum]] * ('General Info'!$B$40 -'General Info'!$B$41 + 1)) + 'General Info'!$B$41 - 1, 0)</f>
        <v>27764.170208858497</v>
      </c>
      <c r="W1109" s="100" t="str">
        <f>IF(ISERROR(MATCH(SamplingData[[#This Row],[Batch by Type (p)]],SelectedPrecincts[Batch Name], 0)), "", INDEX(SelectedPrecincts[Draw], MATCH(SamplingData[[#This Row],[Batch by Type (p)]],SelectedPrecincts[Batch Name], 0)))</f>
        <v/>
      </c>
      <c r="X1109" s="102">
        <f>IF(COUNTIF(SelectedPrecincts[Batch Name],SamplingData[[#This Row],[Batch by Type (p)]]) &lt;&gt; 0, COUNTIF(SelectedPrecincts[Batch Name],SamplingData[[#This Row],[Batch by Type (p)]]), 0)</f>
        <v>0</v>
      </c>
    </row>
    <row r="1110" spans="1:24" ht="15" customHeight="1">
      <c r="A1110" s="18" t="s">
        <v>1286</v>
      </c>
      <c r="B1110" s="18">
        <v>8</v>
      </c>
      <c r="C1110" s="18">
        <v>1</v>
      </c>
      <c r="D1110" s="18">
        <v>0</v>
      </c>
      <c r="E1110" s="18">
        <v>1</v>
      </c>
      <c r="F1110" s="18">
        <v>0</v>
      </c>
      <c r="G1110" s="18">
        <v>0</v>
      </c>
      <c r="H1110" s="18">
        <v>0</v>
      </c>
      <c r="I1110" s="18">
        <v>0</v>
      </c>
      <c r="J1110" s="99">
        <f>SUM(SamplingData[[#This Row],[Losing Candidate]:[Under Votes]])</f>
        <v>10</v>
      </c>
      <c r="K111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110" s="100">
        <f>IF(AND(SamplingData[[#This Row],[Total]]&lt;&gt; 0, NOT(ISBLANK(SamplingData[[#This Row],[Candidate 3]]))),(SamplingData[[#This Row],[Total]]+SamplingData[[#This Row],[Winning Candidate]]-SamplingData[[#This Row],[Candidate 3]])/(SamplingData[[#Totals],[Winning Candidate]]-SamplingData[[#Totals],[Candidate 3]]), 0)</f>
        <v>3.5487305223086104E-4</v>
      </c>
      <c r="M1110" s="100">
        <f>IF(AND(SamplingData[[#This Row],[Total]]&lt;&gt; 0, NOT(ISBLANK(SamplingData[[#This Row],[Candidate 4]]))),(SamplingData[[#This Row],[Total]]+SamplingData[[#This Row],[Winning Candidate]]-SamplingData[[#This Row],[Candidate 4]])/(SamplingData[[#Totals],[Winning Candidate]]-SamplingData[[#Totals],[Candidate 4]]), 0)</f>
        <v>2.9232073430968461E-4</v>
      </c>
      <c r="N1110" s="100">
        <f>IF(AND(SamplingData[[#This Row],[Total]]&lt;&gt; 0, NOT(ISBLANK(SamplingData[[#This Row],[Candidate 5]]))),(SamplingData[[#This Row],[Total]]+SamplingData[[#This Row],[Winning Candidate]]-SamplingData[[#This Row],[Candidate 5]])/(SamplingData[[#Totals],[Winning Candidate]]-SamplingData[[#Totals],[Candidate 5]]), 0)</f>
        <v>2.6757479931890053E-4</v>
      </c>
      <c r="O1110" s="100">
        <f>IF(AND(SamplingData[[#This Row],[Total]]&lt;&gt; 0, NOT(ISBLANK(SamplingData[[#This Row],[Candidate 6]]))),(SamplingData[[#This Row],[Total]]+SamplingData[[#This Row],[Winning Candidate]]-SamplingData[[#This Row],[Candidate 6]])/(SamplingData[[#Totals],[Winning Candidate]]-SamplingData[[#Totals],[Candidate 6]]), 0)</f>
        <v>2.6749671708574483E-4</v>
      </c>
      <c r="P1110" s="100">
        <f>MAX(SamplingData[[#This Row],[Error Bound (up) - Max. possible relative overstatement - Losing Candidate]:[Error Bound (up) - Max. possible relative overstatement - Candidate 6]])</f>
        <v>3.5487305223086104E-4</v>
      </c>
      <c r="Q1110" s="100">
        <f>IF(SamplingData[[#This Row],[Max Error Bound (up)]] = 0,0,SamplingData[[#This Row],[Max Error Bound (up)]]/SamplingData[[#Totals],[Max Error Bound (up)]])</f>
        <v>5.6164501545152719E-5</v>
      </c>
      <c r="R1110" s="101">
        <f>SUM($Q$5:Q1110)</f>
        <v>0.27770786659013014</v>
      </c>
      <c r="S1110" s="100" t="str">
        <f t="array" ref="S1110">IF(SamplingData[[#This Row],[up/U Selection Probability]] = 0, "Zero", TEXT(SamplingData[[#This Row],[Lower Range]], REPT("0",LEN('General Info'!$B$40))) &amp; " - " &amp; TEXT(SamplingData[[#This Row],[Upper Range]], REPT("0",LEN('General Info'!$B$40))))</f>
        <v>27765 - 27770</v>
      </c>
      <c r="T1110" s="100">
        <f>SamplingData[[#This Row],[Upper Range]]-SamplingData[[#This Row],[Span]]</f>
        <v>27765.170265023</v>
      </c>
      <c r="U1110" s="100">
        <f>IF(ISNUMBER('General Info'!$B$40), ((SamplingData[[#This Row],[up/U Selection Probability]]) * 'General Info'!$B$40) - 1, 0)</f>
        <v>4.6163939900137265</v>
      </c>
      <c r="V1110" s="100">
        <f>IF(ISNUMBER('General Info'!$B$40), (SamplingData[[#This Row],[Running (cumulative) sum]] * ('General Info'!$B$40 -'General Info'!$B$41 + 1)) + 'General Info'!$B$41 - 1, 0)</f>
        <v>27769.786659013014</v>
      </c>
      <c r="W1110" s="100" t="str">
        <f>IF(ISERROR(MATCH(SamplingData[[#This Row],[Batch by Type (p)]],SelectedPrecincts[Batch Name], 0)), "", INDEX(SelectedPrecincts[Draw], MATCH(SamplingData[[#This Row],[Batch by Type (p)]],SelectedPrecincts[Batch Name], 0)))</f>
        <v/>
      </c>
      <c r="X1110" s="102">
        <f>IF(COUNTIF(SelectedPrecincts[Batch Name],SamplingData[[#This Row],[Batch by Type (p)]]) &lt;&gt; 0, COUNTIF(SelectedPrecincts[Batch Name],SamplingData[[#This Row],[Batch by Type (p)]]), 0)</f>
        <v>0</v>
      </c>
    </row>
    <row r="1111" spans="1:24" ht="15" customHeight="1">
      <c r="A1111" s="18" t="s">
        <v>1287</v>
      </c>
      <c r="B1111" s="18">
        <v>13</v>
      </c>
      <c r="C1111" s="18">
        <v>14</v>
      </c>
      <c r="D1111" s="16">
        <v>2</v>
      </c>
      <c r="E1111" s="16">
        <v>4</v>
      </c>
      <c r="F1111" s="37">
        <v>2</v>
      </c>
      <c r="G1111" s="37">
        <v>0</v>
      </c>
      <c r="H1111" s="17">
        <v>0</v>
      </c>
      <c r="I1111" s="17">
        <v>2</v>
      </c>
      <c r="J1111" s="99">
        <f>SUM(SamplingData[[#This Row],[Losing Candidate]:[Under Votes]])</f>
        <v>37</v>
      </c>
      <c r="K1111"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1111" s="100">
        <f>IF(AND(SamplingData[[#This Row],[Total]]&lt;&gt; 0, NOT(ISBLANK(SamplingData[[#This Row],[Candidate 3]]))),(SamplingData[[#This Row],[Total]]+SamplingData[[#This Row],[Winning Candidate]]-SamplingData[[#This Row],[Candidate 3]])/(SamplingData[[#Totals],[Winning Candidate]]-SamplingData[[#Totals],[Candidate 3]]), 0)</f>
        <v>1.5807981417556537E-3</v>
      </c>
      <c r="M1111" s="100">
        <f>IF(AND(SamplingData[[#This Row],[Total]]&lt;&gt; 0, NOT(ISBLANK(SamplingData[[#This Row],[Candidate 4]]))),(SamplingData[[#This Row],[Total]]+SamplingData[[#This Row],[Winning Candidate]]-SamplingData[[#This Row],[Candidate 4]])/(SamplingData[[#Totals],[Winning Candidate]]-SamplingData[[#Totals],[Candidate 4]]), 0)</f>
        <v>1.3739074512555175E-3</v>
      </c>
      <c r="N1111" s="100">
        <f>IF(AND(SamplingData[[#This Row],[Total]]&lt;&gt; 0, NOT(ISBLANK(SamplingData[[#This Row],[Candidate 5]]))),(SamplingData[[#This Row],[Total]]+SamplingData[[#This Row],[Winning Candidate]]-SamplingData[[#This Row],[Candidate 5]])/(SamplingData[[#Totals],[Winning Candidate]]-SamplingData[[#Totals],[Candidate 5]]), 0)</f>
        <v>1.1919241060569204E-3</v>
      </c>
      <c r="O1111" s="100">
        <f>IF(AND(SamplingData[[#This Row],[Total]]&lt;&gt; 0, NOT(ISBLANK(SamplingData[[#This Row],[Candidate 6]]))),(SamplingData[[#This Row],[Total]]+SamplingData[[#This Row],[Winning Candidate]]-SamplingData[[#This Row],[Candidate 6]])/(SamplingData[[#Totals],[Winning Candidate]]-SamplingData[[#Totals],[Candidate 6]]), 0)</f>
        <v>1.2402120519429988E-3</v>
      </c>
      <c r="P1111" s="100">
        <f>MAX(SamplingData[[#This Row],[Error Bound (up) - Max. possible relative overstatement - Losing Candidate]:[Error Bound (up) - Max. possible relative overstatement - Candidate 6]])</f>
        <v>2.3272905438510533E-3</v>
      </c>
      <c r="Q1111" s="100">
        <f>IF(SamplingData[[#This Row],[Max Error Bound (up)]] = 0,0,SamplingData[[#This Row],[Max Error Bound (up)]]/SamplingData[[#Totals],[Max Error Bound (up)]])</f>
        <v>3.683320345809416E-4</v>
      </c>
      <c r="R1111" s="101">
        <f>SUM($Q$5:Q1111)</f>
        <v>0.27807619862471106</v>
      </c>
      <c r="S1111" s="100" t="str">
        <f t="array" ref="S1111">IF(SamplingData[[#This Row],[up/U Selection Probability]] = 0, "Zero", TEXT(SamplingData[[#This Row],[Lower Range]], REPT("0",LEN('General Info'!$B$40))) &amp; " - " &amp; TEXT(SamplingData[[#This Row],[Upper Range]], REPT("0",LEN('General Info'!$B$40))))</f>
        <v>27771 - 27807</v>
      </c>
      <c r="T1111" s="100">
        <f>SamplingData[[#This Row],[Upper Range]]-SamplingData[[#This Row],[Span]]</f>
        <v>27770.787027345046</v>
      </c>
      <c r="U1111" s="100">
        <f>IF(ISNUMBER('General Info'!$B$40), ((SamplingData[[#This Row],[up/U Selection Probability]]) * 'General Info'!$B$40) - 1, 0)</f>
        <v>35.832835126059578</v>
      </c>
      <c r="V1111" s="100">
        <f>IF(ISNUMBER('General Info'!$B$40), (SamplingData[[#This Row],[Running (cumulative) sum]] * ('General Info'!$B$40 -'General Info'!$B$41 + 1)) + 'General Info'!$B$41 - 1, 0)</f>
        <v>27806.619862471107</v>
      </c>
      <c r="W1111" s="100" t="str">
        <f>IF(ISERROR(MATCH(SamplingData[[#This Row],[Batch by Type (p)]],SelectedPrecincts[Batch Name], 0)), "", INDEX(SelectedPrecincts[Draw], MATCH(SamplingData[[#This Row],[Batch by Type (p)]],SelectedPrecincts[Batch Name], 0)))</f>
        <v/>
      </c>
      <c r="X1111" s="102">
        <f>IF(COUNTIF(SelectedPrecincts[Batch Name],SamplingData[[#This Row],[Batch by Type (p)]]) &lt;&gt; 0, COUNTIF(SelectedPrecincts[Batch Name],SamplingData[[#This Row],[Batch by Type (p)]]), 0)</f>
        <v>0</v>
      </c>
    </row>
    <row r="1112" spans="1:24" ht="15" customHeight="1">
      <c r="A1112" s="18" t="s">
        <v>1288</v>
      </c>
      <c r="B1112" s="18">
        <v>5</v>
      </c>
      <c r="C1112" s="18">
        <v>9</v>
      </c>
      <c r="D1112" s="18">
        <v>3</v>
      </c>
      <c r="E1112" s="18">
        <v>0</v>
      </c>
      <c r="F1112" s="18">
        <v>0</v>
      </c>
      <c r="G1112" s="18">
        <v>0</v>
      </c>
      <c r="H1112" s="18">
        <v>0</v>
      </c>
      <c r="I1112" s="18">
        <v>0</v>
      </c>
      <c r="J1112" s="99">
        <f>SUM(SamplingData[[#This Row],[Losing Candidate]:[Under Votes]])</f>
        <v>17</v>
      </c>
      <c r="K1112"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112" s="100">
        <f>IF(AND(SamplingData[[#This Row],[Total]]&lt;&gt; 0, NOT(ISBLANK(SamplingData[[#This Row],[Candidate 3]]))),(SamplingData[[#This Row],[Total]]+SamplingData[[#This Row],[Winning Candidate]]-SamplingData[[#This Row],[Candidate 3]])/(SamplingData[[#Totals],[Winning Candidate]]-SamplingData[[#Totals],[Candidate 3]]), 0)</f>
        <v>7.4200729102816406E-4</v>
      </c>
      <c r="M1112" s="100">
        <f>IF(AND(SamplingData[[#This Row],[Total]]&lt;&gt; 0, NOT(ISBLANK(SamplingData[[#This Row],[Candidate 4]]))),(SamplingData[[#This Row],[Total]]+SamplingData[[#This Row],[Winning Candidate]]-SamplingData[[#This Row],[Candidate 4]])/(SamplingData[[#Totals],[Winning Candidate]]-SamplingData[[#Totals],[Candidate 4]]), 0)</f>
        <v>7.6003390920517991E-4</v>
      </c>
      <c r="N1112" s="100">
        <f>IF(AND(SamplingData[[#This Row],[Total]]&lt;&gt; 0, NOT(ISBLANK(SamplingData[[#This Row],[Candidate 5]]))),(SamplingData[[#This Row],[Total]]+SamplingData[[#This Row],[Winning Candidate]]-SamplingData[[#This Row],[Candidate 5]])/(SamplingData[[#Totals],[Winning Candidate]]-SamplingData[[#Totals],[Candidate 5]]), 0)</f>
        <v>6.3244952566285579E-4</v>
      </c>
      <c r="O1112" s="100">
        <f>IF(AND(SamplingData[[#This Row],[Total]]&lt;&gt; 0, NOT(ISBLANK(SamplingData[[#This Row],[Candidate 6]]))),(SamplingData[[#This Row],[Total]]+SamplingData[[#This Row],[Winning Candidate]]-SamplingData[[#This Row],[Candidate 6]])/(SamplingData[[#Totals],[Winning Candidate]]-SamplingData[[#Totals],[Candidate 6]]), 0)</f>
        <v>6.322649676572151E-4</v>
      </c>
      <c r="P1112" s="100">
        <f>MAX(SamplingData[[#This Row],[Error Bound (up) - Max. possible relative overstatement - Losing Candidate]:[Error Bound (up) - Max. possible relative overstatement - Candidate 6]])</f>
        <v>1.2861342479176874E-3</v>
      </c>
      <c r="Q1112" s="100">
        <f>IF(SamplingData[[#This Row],[Max Error Bound (up)]] = 0,0,SamplingData[[#This Row],[Max Error Bound (up)]]/SamplingData[[#Totals],[Max Error Bound (up)]])</f>
        <v>2.0355191384736248E-4</v>
      </c>
      <c r="R1112" s="101">
        <f>SUM($Q$5:Q1112)</f>
        <v>0.27827975053855841</v>
      </c>
      <c r="S1112" s="100" t="str">
        <f t="array" ref="S1112">IF(SamplingData[[#This Row],[up/U Selection Probability]] = 0, "Zero", TEXT(SamplingData[[#This Row],[Lower Range]], REPT("0",LEN('General Info'!$B$40))) &amp; " - " &amp; TEXT(SamplingData[[#This Row],[Upper Range]], REPT("0",LEN('General Info'!$B$40))))</f>
        <v>27808 - 27827</v>
      </c>
      <c r="T1112" s="100">
        <f>SamplingData[[#This Row],[Upper Range]]-SamplingData[[#This Row],[Span]]</f>
        <v>27807.620066023017</v>
      </c>
      <c r="U1112" s="100">
        <f>IF(ISNUMBER('General Info'!$B$40), ((SamplingData[[#This Row],[up/U Selection Probability]]) * 'General Info'!$B$40) - 1, 0)</f>
        <v>19.354987832822399</v>
      </c>
      <c r="V1112" s="100">
        <f>IF(ISNUMBER('General Info'!$B$40), (SamplingData[[#This Row],[Running (cumulative) sum]] * ('General Info'!$B$40 -'General Info'!$B$41 + 1)) + 'General Info'!$B$41 - 1, 0)</f>
        <v>27826.97505385584</v>
      </c>
      <c r="W1112" s="100" t="str">
        <f>IF(ISERROR(MATCH(SamplingData[[#This Row],[Batch by Type (p)]],SelectedPrecincts[Batch Name], 0)), "", INDEX(SelectedPrecincts[Draw], MATCH(SamplingData[[#This Row],[Batch by Type (p)]],SelectedPrecincts[Batch Name], 0)))</f>
        <v/>
      </c>
      <c r="X1112" s="102">
        <f>IF(COUNTIF(SelectedPrecincts[Batch Name],SamplingData[[#This Row],[Batch by Type (p)]]) &lt;&gt; 0, COUNTIF(SelectedPrecincts[Batch Name],SamplingData[[#This Row],[Batch by Type (p)]]), 0)</f>
        <v>0</v>
      </c>
    </row>
    <row r="1113" spans="1:24" ht="15" customHeight="1">
      <c r="A1113" s="18" t="s">
        <v>1289</v>
      </c>
      <c r="B1113" s="18">
        <v>36</v>
      </c>
      <c r="C1113" s="18">
        <v>42</v>
      </c>
      <c r="D1113" s="16">
        <v>12</v>
      </c>
      <c r="E1113" s="16">
        <v>5</v>
      </c>
      <c r="F1113" s="37">
        <v>0</v>
      </c>
      <c r="G1113" s="37">
        <v>1</v>
      </c>
      <c r="H1113" s="17">
        <v>0</v>
      </c>
      <c r="I1113" s="17">
        <v>0</v>
      </c>
      <c r="J1113" s="99">
        <f>SUM(SamplingData[[#This Row],[Losing Candidate]:[Under Votes]])</f>
        <v>96</v>
      </c>
      <c r="K1113" s="100">
        <f>IF(AND(SamplingData[[#This Row],[Total]]&lt;&gt; 0, NOT(ISBLANK(SamplingData[[#This Row],[Losing Candidate]]))),(SamplingData[[#This Row],[Total]]+SamplingData[[#This Row],[Winning Candidate]]-SamplingData[[#This Row],[Losing Candidate]])/(SamplingData[[#Totals],[Winning Candidate]]-SamplingData[[#Totals],[Losing Candidate]]), 0)</f>
        <v>6.2469377756001962E-3</v>
      </c>
      <c r="L1113" s="100">
        <f>IF(AND(SamplingData[[#This Row],[Total]]&lt;&gt; 0, NOT(ISBLANK(SamplingData[[#This Row],[Candidate 3]]))),(SamplingData[[#This Row],[Total]]+SamplingData[[#This Row],[Winning Candidate]]-SamplingData[[#This Row],[Candidate 3]])/(SamplingData[[#Totals],[Winning Candidate]]-SamplingData[[#Totals],[Candidate 3]]), 0)</f>
        <v>4.0649095073716814E-3</v>
      </c>
      <c r="M1113" s="100">
        <f>IF(AND(SamplingData[[#This Row],[Total]]&lt;&gt; 0, NOT(ISBLANK(SamplingData[[#This Row],[Candidate 4]]))),(SamplingData[[#This Row],[Total]]+SamplingData[[#This Row],[Winning Candidate]]-SamplingData[[#This Row],[Candidate 4]])/(SamplingData[[#Totals],[Winning Candidate]]-SamplingData[[#Totals],[Candidate 4]]), 0)</f>
        <v>3.8878657663188052E-3</v>
      </c>
      <c r="N1113" s="100">
        <f>IF(AND(SamplingData[[#This Row],[Total]]&lt;&gt; 0, NOT(ISBLANK(SamplingData[[#This Row],[Candidate 5]]))),(SamplingData[[#This Row],[Total]]+SamplingData[[#This Row],[Winning Candidate]]-SamplingData[[#This Row],[Candidate 5]])/(SamplingData[[#Totals],[Winning Candidate]]-SamplingData[[#Totals],[Candidate 5]]), 0)</f>
        <v>3.3568474823643881E-3</v>
      </c>
      <c r="O1113" s="100">
        <f>IF(AND(SamplingData[[#This Row],[Total]]&lt;&gt; 0, NOT(ISBLANK(SamplingData[[#This Row],[Candidate 6]]))),(SamplingData[[#This Row],[Total]]+SamplingData[[#This Row],[Winning Candidate]]-SamplingData[[#This Row],[Candidate 6]])/(SamplingData[[#Totals],[Winning Candidate]]-SamplingData[[#Totals],[Candidate 6]]), 0)</f>
        <v>3.3315500218860949E-3</v>
      </c>
      <c r="P1113" s="100">
        <f>MAX(SamplingData[[#This Row],[Error Bound (up) - Max. possible relative overstatement - Losing Candidate]:[Error Bound (up) - Max. possible relative overstatement - Candidate 6]])</f>
        <v>6.2469377756001962E-3</v>
      </c>
      <c r="Q1113" s="100">
        <f>IF(SamplingData[[#This Row],[Max Error Bound (up)]] = 0,0,SamplingData[[#This Row],[Max Error Bound (up)]]/SamplingData[[#Totals],[Max Error Bound (up)]])</f>
        <v>9.8868072440147481E-4</v>
      </c>
      <c r="R1113" s="101">
        <f>SUM($Q$5:Q1113)</f>
        <v>0.27926843126295986</v>
      </c>
      <c r="S1113" s="100" t="str">
        <f t="array" ref="S1113">IF(SamplingData[[#This Row],[up/U Selection Probability]] = 0, "Zero", TEXT(SamplingData[[#This Row],[Lower Range]], REPT("0",LEN('General Info'!$B$40))) &amp; " - " &amp; TEXT(SamplingData[[#This Row],[Upper Range]], REPT("0",LEN('General Info'!$B$40))))</f>
        <v>27828 - 27926</v>
      </c>
      <c r="T1113" s="100">
        <f>SamplingData[[#This Row],[Upper Range]]-SamplingData[[#This Row],[Span]]</f>
        <v>27827.976042536564</v>
      </c>
      <c r="U1113" s="100">
        <f>IF(ISNUMBER('General Info'!$B$40), ((SamplingData[[#This Row],[up/U Selection Probability]]) * 'General Info'!$B$40) - 1, 0)</f>
        <v>97.867083759423082</v>
      </c>
      <c r="V1113" s="100">
        <f>IF(ISNUMBER('General Info'!$B$40), (SamplingData[[#This Row],[Running (cumulative) sum]] * ('General Info'!$B$40 -'General Info'!$B$41 + 1)) + 'General Info'!$B$41 - 1, 0)</f>
        <v>27925.843126295986</v>
      </c>
      <c r="W1113" s="100" t="str">
        <f>IF(ISERROR(MATCH(SamplingData[[#This Row],[Batch by Type (p)]],SelectedPrecincts[Batch Name], 0)), "", INDEX(SelectedPrecincts[Draw], MATCH(SamplingData[[#This Row],[Batch by Type (p)]],SelectedPrecincts[Batch Name], 0)))</f>
        <v/>
      </c>
      <c r="X1113" s="102">
        <f>IF(COUNTIF(SelectedPrecincts[Batch Name],SamplingData[[#This Row],[Batch by Type (p)]]) &lt;&gt; 0, COUNTIF(SelectedPrecincts[Batch Name],SamplingData[[#This Row],[Batch by Type (p)]]), 0)</f>
        <v>0</v>
      </c>
    </row>
    <row r="1114" spans="1:24" ht="15" customHeight="1">
      <c r="A1114" s="18" t="s">
        <v>1290</v>
      </c>
      <c r="B1114" s="18">
        <v>14</v>
      </c>
      <c r="C1114" s="18">
        <v>20</v>
      </c>
      <c r="D1114" s="18">
        <v>1</v>
      </c>
      <c r="E1114" s="18">
        <v>1</v>
      </c>
      <c r="F1114" s="18">
        <v>0</v>
      </c>
      <c r="G1114" s="18">
        <v>0</v>
      </c>
      <c r="H1114" s="18">
        <v>0</v>
      </c>
      <c r="I1114" s="18">
        <v>1</v>
      </c>
      <c r="J1114" s="99">
        <f>SUM(SamplingData[[#This Row],[Losing Candidate]:[Under Votes]])</f>
        <v>37</v>
      </c>
      <c r="K1114"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1114" s="100">
        <f>IF(AND(SamplingData[[#This Row],[Total]]&lt;&gt; 0, NOT(ISBLANK(SamplingData[[#This Row],[Candidate 3]]))),(SamplingData[[#This Row],[Total]]+SamplingData[[#This Row],[Winning Candidate]]-SamplingData[[#This Row],[Candidate 3]])/(SamplingData[[#Totals],[Winning Candidate]]-SamplingData[[#Totals],[Candidate 3]]), 0)</f>
        <v>1.8066264477207472E-3</v>
      </c>
      <c r="M1114" s="100">
        <f>IF(AND(SamplingData[[#This Row],[Total]]&lt;&gt; 0, NOT(ISBLANK(SamplingData[[#This Row],[Candidate 4]]))),(SamplingData[[#This Row],[Total]]+SamplingData[[#This Row],[Winning Candidate]]-SamplingData[[#This Row],[Candidate 4]])/(SamplingData[[#Totals],[Winning Candidate]]-SamplingData[[#Totals],[Candidate 4]]), 0)</f>
        <v>1.6369961121342337E-3</v>
      </c>
      <c r="N1114" s="100">
        <f>IF(AND(SamplingData[[#This Row],[Total]]&lt;&gt; 0, NOT(ISBLANK(SamplingData[[#This Row],[Candidate 5]]))),(SamplingData[[#This Row],[Total]]+SamplingData[[#This Row],[Winning Candidate]]-SamplingData[[#This Row],[Candidate 5]])/(SamplingData[[#Totals],[Winning Candidate]]-SamplingData[[#Totals],[Candidate 5]]), 0)</f>
        <v>1.3865239601070299E-3</v>
      </c>
      <c r="O1114" s="100">
        <f>IF(AND(SamplingData[[#This Row],[Total]]&lt;&gt; 0, NOT(ISBLANK(SamplingData[[#This Row],[Candidate 6]]))),(SamplingData[[#This Row],[Total]]+SamplingData[[#This Row],[Winning Candidate]]-SamplingData[[#This Row],[Candidate 6]])/(SamplingData[[#Totals],[Winning Candidate]]-SamplingData[[#Totals],[Candidate 6]]), 0)</f>
        <v>1.3861193521715869E-3</v>
      </c>
      <c r="P1114" s="100">
        <f>MAX(SamplingData[[#This Row],[Error Bound (up) - Max. possible relative overstatement - Losing Candidate]:[Error Bound (up) - Max. possible relative overstatement - Candidate 6]])</f>
        <v>2.6335129838314553E-3</v>
      </c>
      <c r="Q1114" s="100">
        <f>IF(SamplingData[[#This Row],[Max Error Bound (up)]] = 0,0,SamplingData[[#This Row],[Max Error Bound (up)]]/SamplingData[[#Totals],[Max Error Bound (up)]])</f>
        <v>4.167967759731708E-4</v>
      </c>
      <c r="R1114" s="101">
        <f>SUM($Q$5:Q1114)</f>
        <v>0.27968522803893303</v>
      </c>
      <c r="S1114" s="100" t="str">
        <f t="array" ref="S1114">IF(SamplingData[[#This Row],[up/U Selection Probability]] = 0, "Zero", TEXT(SamplingData[[#This Row],[Lower Range]], REPT("0",LEN('General Info'!$B$40))) &amp; " - " &amp; TEXT(SamplingData[[#This Row],[Upper Range]], REPT("0",LEN('General Info'!$B$40))))</f>
        <v>27927 - 27968</v>
      </c>
      <c r="T1114" s="100">
        <f>SamplingData[[#This Row],[Upper Range]]-SamplingData[[#This Row],[Span]]</f>
        <v>27926.84354309276</v>
      </c>
      <c r="U1114" s="100">
        <f>IF(ISNUMBER('General Info'!$B$40), ((SamplingData[[#This Row],[up/U Selection Probability]]) * 'General Info'!$B$40) - 1, 0)</f>
        <v>40.679260800541108</v>
      </c>
      <c r="V1114" s="100">
        <f>IF(ISNUMBER('General Info'!$B$40), (SamplingData[[#This Row],[Running (cumulative) sum]] * ('General Info'!$B$40 -'General Info'!$B$41 + 1)) + 'General Info'!$B$41 - 1, 0)</f>
        <v>27967.522803893302</v>
      </c>
      <c r="W1114" s="100" t="str">
        <f>IF(ISERROR(MATCH(SamplingData[[#This Row],[Batch by Type (p)]],SelectedPrecincts[Batch Name], 0)), "", INDEX(SelectedPrecincts[Draw], MATCH(SamplingData[[#This Row],[Batch by Type (p)]],SelectedPrecincts[Batch Name], 0)))</f>
        <v/>
      </c>
      <c r="X1114" s="102">
        <f>IF(COUNTIF(SelectedPrecincts[Batch Name],SamplingData[[#This Row],[Batch by Type (p)]]) &lt;&gt; 0, COUNTIF(SelectedPrecincts[Batch Name],SamplingData[[#This Row],[Batch by Type (p)]]), 0)</f>
        <v>0</v>
      </c>
    </row>
    <row r="1115" spans="1:24" ht="15" customHeight="1">
      <c r="A1115" s="18" t="s">
        <v>1291</v>
      </c>
      <c r="B1115" s="18">
        <v>14</v>
      </c>
      <c r="C1115" s="18">
        <v>26</v>
      </c>
      <c r="D1115" s="16">
        <v>4</v>
      </c>
      <c r="E1115" s="16">
        <v>9</v>
      </c>
      <c r="F1115" s="37">
        <v>0</v>
      </c>
      <c r="G1115" s="37">
        <v>0</v>
      </c>
      <c r="H1115" s="17">
        <v>0</v>
      </c>
      <c r="I1115" s="17">
        <v>1</v>
      </c>
      <c r="J1115" s="99">
        <f>SUM(SamplingData[[#This Row],[Losing Candidate]:[Under Votes]])</f>
        <v>54</v>
      </c>
      <c r="K1115" s="100">
        <f>IF(AND(SamplingData[[#This Row],[Total]]&lt;&gt; 0, NOT(ISBLANK(SamplingData[[#This Row],[Losing Candidate]]))),(SamplingData[[#This Row],[Total]]+SamplingData[[#This Row],[Winning Candidate]]-SamplingData[[#This Row],[Losing Candidate]])/(SamplingData[[#Totals],[Winning Candidate]]-SamplingData[[#Totals],[Losing Candidate]]), 0)</f>
        <v>4.0421362077413033E-3</v>
      </c>
      <c r="L1115" s="100">
        <f>IF(AND(SamplingData[[#This Row],[Total]]&lt;&gt; 0, NOT(ISBLANK(SamplingData[[#This Row],[Candidate 3]]))),(SamplingData[[#This Row],[Total]]+SamplingData[[#This Row],[Winning Candidate]]-SamplingData[[#This Row],[Candidate 3]])/(SamplingData[[#Totals],[Winning Candidate]]-SamplingData[[#Totals],[Candidate 3]]), 0)</f>
        <v>2.4518501790495853E-3</v>
      </c>
      <c r="M1115" s="100">
        <f>IF(AND(SamplingData[[#This Row],[Total]]&lt;&gt; 0, NOT(ISBLANK(SamplingData[[#This Row],[Candidate 4]]))),(SamplingData[[#This Row],[Total]]+SamplingData[[#This Row],[Winning Candidate]]-SamplingData[[#This Row],[Candidate 4]])/(SamplingData[[#Totals],[Winning Candidate]]-SamplingData[[#Totals],[Candidate 4]]), 0)</f>
        <v>2.0754772135987607E-3</v>
      </c>
      <c r="N1115" s="100">
        <f>IF(AND(SamplingData[[#This Row],[Total]]&lt;&gt; 0, NOT(ISBLANK(SamplingData[[#This Row],[Candidate 5]]))),(SamplingData[[#This Row],[Total]]+SamplingData[[#This Row],[Winning Candidate]]-SamplingData[[#This Row],[Candidate 5]])/(SamplingData[[#Totals],[Winning Candidate]]-SamplingData[[#Totals],[Candidate 5]]), 0)</f>
        <v>1.9459985405010946E-3</v>
      </c>
      <c r="O1115" s="100">
        <f>IF(AND(SamplingData[[#This Row],[Total]]&lt;&gt; 0, NOT(ISBLANK(SamplingData[[#This Row],[Candidate 6]]))),(SamplingData[[#This Row],[Total]]+SamplingData[[#This Row],[Winning Candidate]]-SamplingData[[#This Row],[Candidate 6]])/(SamplingData[[#Totals],[Winning Candidate]]-SamplingData[[#Totals],[Candidate 6]]), 0)</f>
        <v>1.945430669714508E-3</v>
      </c>
      <c r="P1115" s="100">
        <f>MAX(SamplingData[[#This Row],[Error Bound (up) - Max. possible relative overstatement - Losing Candidate]:[Error Bound (up) - Max. possible relative overstatement - Candidate 6]])</f>
        <v>4.0421362077413033E-3</v>
      </c>
      <c r="Q1115" s="100">
        <f>IF(SamplingData[[#This Row],[Max Error Bound (up)]] = 0,0,SamplingData[[#This Row],[Max Error Bound (up)]]/SamplingData[[#Totals],[Max Error Bound (up)]])</f>
        <v>6.397345863774249E-4</v>
      </c>
      <c r="R1115" s="101">
        <f>SUM($Q$5:Q1115)</f>
        <v>0.28032496262531048</v>
      </c>
      <c r="S1115" s="100" t="str">
        <f t="array" ref="S1115">IF(SamplingData[[#This Row],[up/U Selection Probability]] = 0, "Zero", TEXT(SamplingData[[#This Row],[Lower Range]], REPT("0",LEN('General Info'!$B$40))) &amp; " - " &amp; TEXT(SamplingData[[#This Row],[Upper Range]], REPT("0",LEN('General Info'!$B$40))))</f>
        <v>27969 - 28031</v>
      </c>
      <c r="T1115" s="100">
        <f>SamplingData[[#This Row],[Upper Range]]-SamplingData[[#This Row],[Span]]</f>
        <v>27968.523443627892</v>
      </c>
      <c r="U1115" s="100">
        <f>IF(ISNUMBER('General Info'!$B$40), ((SamplingData[[#This Row],[up/U Selection Probability]]) * 'General Info'!$B$40) - 1, 0)</f>
        <v>62.97281890315611</v>
      </c>
      <c r="V1115" s="100">
        <f>IF(ISNUMBER('General Info'!$B$40), (SamplingData[[#This Row],[Running (cumulative) sum]] * ('General Info'!$B$40 -'General Info'!$B$41 + 1)) + 'General Info'!$B$41 - 1, 0)</f>
        <v>28031.496262531047</v>
      </c>
      <c r="W1115" s="100" t="str">
        <f>IF(ISERROR(MATCH(SamplingData[[#This Row],[Batch by Type (p)]],SelectedPrecincts[Batch Name], 0)), "", INDEX(SelectedPrecincts[Draw], MATCH(SamplingData[[#This Row],[Batch by Type (p)]],SelectedPrecincts[Batch Name], 0)))</f>
        <v/>
      </c>
      <c r="X1115" s="102">
        <f>IF(COUNTIF(SelectedPrecincts[Batch Name],SamplingData[[#This Row],[Batch by Type (p)]]) &lt;&gt; 0, COUNTIF(SelectedPrecincts[Batch Name],SamplingData[[#This Row],[Batch by Type (p)]]), 0)</f>
        <v>0</v>
      </c>
    </row>
    <row r="1116" spans="1:24" ht="15" customHeight="1">
      <c r="A1116" s="18" t="s">
        <v>1292</v>
      </c>
      <c r="B1116" s="18">
        <v>5</v>
      </c>
      <c r="C1116" s="18">
        <v>9</v>
      </c>
      <c r="D1116" s="18">
        <v>0</v>
      </c>
      <c r="E1116" s="18">
        <v>2</v>
      </c>
      <c r="F1116" s="18">
        <v>1</v>
      </c>
      <c r="G1116" s="18">
        <v>0</v>
      </c>
      <c r="H1116" s="18">
        <v>0</v>
      </c>
      <c r="I1116" s="18">
        <v>0</v>
      </c>
      <c r="J1116" s="99">
        <f>SUM(SamplingData[[#This Row],[Losing Candidate]:[Under Votes]])</f>
        <v>17</v>
      </c>
      <c r="K1116"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116" s="100">
        <f>IF(AND(SamplingData[[#This Row],[Total]]&lt;&gt; 0, NOT(ISBLANK(SamplingData[[#This Row],[Candidate 3]]))),(SamplingData[[#This Row],[Total]]+SamplingData[[#This Row],[Winning Candidate]]-SamplingData[[#This Row],[Candidate 3]])/(SamplingData[[#Totals],[Winning Candidate]]-SamplingData[[#Totals],[Candidate 3]]), 0)</f>
        <v>8.3879085072748971E-4</v>
      </c>
      <c r="M1116" s="100">
        <f>IF(AND(SamplingData[[#This Row],[Total]]&lt;&gt; 0, NOT(ISBLANK(SamplingData[[#This Row],[Candidate 4]]))),(SamplingData[[#This Row],[Total]]+SamplingData[[#This Row],[Winning Candidate]]-SamplingData[[#This Row],[Candidate 4]])/(SamplingData[[#Totals],[Winning Candidate]]-SamplingData[[#Totals],[Candidate 4]]), 0)</f>
        <v>7.0156976234324298E-4</v>
      </c>
      <c r="N1116" s="100">
        <f>IF(AND(SamplingData[[#This Row],[Total]]&lt;&gt; 0, NOT(ISBLANK(SamplingData[[#This Row],[Candidate 5]]))),(SamplingData[[#This Row],[Total]]+SamplingData[[#This Row],[Winning Candidate]]-SamplingData[[#This Row],[Candidate 5]])/(SamplingData[[#Totals],[Winning Candidate]]-SamplingData[[#Totals],[Candidate 5]]), 0)</f>
        <v>6.0812454390659211E-4</v>
      </c>
      <c r="O1116" s="100">
        <f>IF(AND(SamplingData[[#This Row],[Total]]&lt;&gt; 0, NOT(ISBLANK(SamplingData[[#This Row],[Candidate 6]]))),(SamplingData[[#This Row],[Total]]+SamplingData[[#This Row],[Winning Candidate]]-SamplingData[[#This Row],[Candidate 6]])/(SamplingData[[#Totals],[Winning Candidate]]-SamplingData[[#Totals],[Candidate 6]]), 0)</f>
        <v>6.322649676572151E-4</v>
      </c>
      <c r="P1116" s="100">
        <f>MAX(SamplingData[[#This Row],[Error Bound (up) - Max. possible relative overstatement - Losing Candidate]:[Error Bound (up) - Max. possible relative overstatement - Candidate 6]])</f>
        <v>1.2861342479176874E-3</v>
      </c>
      <c r="Q1116" s="100">
        <f>IF(SamplingData[[#This Row],[Max Error Bound (up)]] = 0,0,SamplingData[[#This Row],[Max Error Bound (up)]]/SamplingData[[#Totals],[Max Error Bound (up)]])</f>
        <v>2.0355191384736248E-4</v>
      </c>
      <c r="R1116" s="101">
        <f>SUM($Q$5:Q1116)</f>
        <v>0.28052851453915784</v>
      </c>
      <c r="S1116" s="100" t="str">
        <f t="array" ref="S1116">IF(SamplingData[[#This Row],[up/U Selection Probability]] = 0, "Zero", TEXT(SamplingData[[#This Row],[Lower Range]], REPT("0",LEN('General Info'!$B$40))) &amp; " - " &amp; TEXT(SamplingData[[#This Row],[Upper Range]], REPT("0",LEN('General Info'!$B$40))))</f>
        <v>28032 - 28052</v>
      </c>
      <c r="T1116" s="100">
        <f>SamplingData[[#This Row],[Upper Range]]-SamplingData[[#This Row],[Span]]</f>
        <v>28032.496466082961</v>
      </c>
      <c r="U1116" s="100">
        <f>IF(ISNUMBER('General Info'!$B$40), ((SamplingData[[#This Row],[up/U Selection Probability]]) * 'General Info'!$B$40) - 1, 0)</f>
        <v>19.354987832822399</v>
      </c>
      <c r="V1116" s="100">
        <f>IF(ISNUMBER('General Info'!$B$40), (SamplingData[[#This Row],[Running (cumulative) sum]] * ('General Info'!$B$40 -'General Info'!$B$41 + 1)) + 'General Info'!$B$41 - 1, 0)</f>
        <v>28051.851453915784</v>
      </c>
      <c r="W1116" s="100" t="str">
        <f>IF(ISERROR(MATCH(SamplingData[[#This Row],[Batch by Type (p)]],SelectedPrecincts[Batch Name], 0)), "", INDEX(SelectedPrecincts[Draw], MATCH(SamplingData[[#This Row],[Batch by Type (p)]],SelectedPrecincts[Batch Name], 0)))</f>
        <v/>
      </c>
      <c r="X1116" s="102">
        <f>IF(COUNTIF(SelectedPrecincts[Batch Name],SamplingData[[#This Row],[Batch by Type (p)]]) &lt;&gt; 0, COUNTIF(SelectedPrecincts[Batch Name],SamplingData[[#This Row],[Batch by Type (p)]]), 0)</f>
        <v>0</v>
      </c>
    </row>
    <row r="1117" spans="1:24" ht="15" customHeight="1">
      <c r="A1117" s="18" t="s">
        <v>1293</v>
      </c>
      <c r="B1117" s="18">
        <v>22</v>
      </c>
      <c r="C1117" s="18">
        <v>28</v>
      </c>
      <c r="D1117" s="16">
        <v>12</v>
      </c>
      <c r="E1117" s="16">
        <v>5</v>
      </c>
      <c r="F1117" s="37">
        <v>0</v>
      </c>
      <c r="G1117" s="37">
        <v>0</v>
      </c>
      <c r="H1117" s="17">
        <v>0</v>
      </c>
      <c r="I1117" s="17">
        <v>0</v>
      </c>
      <c r="J1117" s="99">
        <f>SUM(SamplingData[[#This Row],[Losing Candidate]:[Under Votes]])</f>
        <v>67</v>
      </c>
      <c r="K1117" s="100">
        <f>IF(AND(SamplingData[[#This Row],[Total]]&lt;&gt; 0, NOT(ISBLANK(SamplingData[[#This Row],[Losing Candidate]]))),(SamplingData[[#This Row],[Total]]+SamplingData[[#This Row],[Winning Candidate]]-SamplingData[[#This Row],[Losing Candidate]])/(SamplingData[[#Totals],[Winning Candidate]]-SamplingData[[#Totals],[Losing Candidate]]), 0)</f>
        <v>4.4708476237138662E-3</v>
      </c>
      <c r="L1117" s="100">
        <f>IF(AND(SamplingData[[#This Row],[Total]]&lt;&gt; 0, NOT(ISBLANK(SamplingData[[#This Row],[Candidate 3]]))),(SamplingData[[#This Row],[Total]]+SamplingData[[#This Row],[Winning Candidate]]-SamplingData[[#This Row],[Candidate 3]])/(SamplingData[[#Totals],[Winning Candidate]]-SamplingData[[#Totals],[Candidate 3]]), 0)</f>
        <v>2.6776784850146788E-3</v>
      </c>
      <c r="M1117" s="100">
        <f>IF(AND(SamplingData[[#This Row],[Total]]&lt;&gt; 0, NOT(ISBLANK(SamplingData[[#This Row],[Candidate 4]]))),(SamplingData[[#This Row],[Total]]+SamplingData[[#This Row],[Winning Candidate]]-SamplingData[[#This Row],[Candidate 4]])/(SamplingData[[#Totals],[Winning Candidate]]-SamplingData[[#Totals],[Candidate 4]]), 0)</f>
        <v>2.6308866087871611E-3</v>
      </c>
      <c r="N1117" s="100">
        <f>IF(AND(SamplingData[[#This Row],[Total]]&lt;&gt; 0, NOT(ISBLANK(SamplingData[[#This Row],[Candidate 5]]))),(SamplingData[[#This Row],[Total]]+SamplingData[[#This Row],[Winning Candidate]]-SamplingData[[#This Row],[Candidate 5]])/(SamplingData[[#Totals],[Winning Candidate]]-SamplingData[[#Totals],[Candidate 5]]), 0)</f>
        <v>2.3108732668450497E-3</v>
      </c>
      <c r="O1117" s="100">
        <f>IF(AND(SamplingData[[#This Row],[Total]]&lt;&gt; 0, NOT(ISBLANK(SamplingData[[#This Row],[Candidate 6]]))),(SamplingData[[#This Row],[Total]]+SamplingData[[#This Row],[Winning Candidate]]-SamplingData[[#This Row],[Candidate 6]])/(SamplingData[[#Totals],[Winning Candidate]]-SamplingData[[#Totals],[Candidate 6]]), 0)</f>
        <v>2.3101989202859784E-3</v>
      </c>
      <c r="P1117" s="100">
        <f>MAX(SamplingData[[#This Row],[Error Bound (up) - Max. possible relative overstatement - Losing Candidate]:[Error Bound (up) - Max. possible relative overstatement - Candidate 6]])</f>
        <v>4.4708476237138662E-3</v>
      </c>
      <c r="Q1117" s="100">
        <f>IF(SamplingData[[#This Row],[Max Error Bound (up)]] = 0,0,SamplingData[[#This Row],[Max Error Bound (up)]]/SamplingData[[#Totals],[Max Error Bound (up)]])</f>
        <v>7.0758522432654578E-4</v>
      </c>
      <c r="R1117" s="101">
        <f>SUM($Q$5:Q1117)</f>
        <v>0.2812360997634844</v>
      </c>
      <c r="S1117" s="100" t="str">
        <f t="array" ref="S1117">IF(SamplingData[[#This Row],[up/U Selection Probability]] = 0, "Zero", TEXT(SamplingData[[#This Row],[Lower Range]], REPT("0",LEN('General Info'!$B$40))) &amp; " - " &amp; TEXT(SamplingData[[#This Row],[Upper Range]], REPT("0",LEN('General Info'!$B$40))))</f>
        <v>28053 - 28123</v>
      </c>
      <c r="T1117" s="100">
        <f>SamplingData[[#This Row],[Upper Range]]-SamplingData[[#This Row],[Span]]</f>
        <v>28052.85216150101</v>
      </c>
      <c r="U1117" s="100">
        <f>IF(ISNUMBER('General Info'!$B$40), ((SamplingData[[#This Row],[up/U Selection Probability]]) * 'General Info'!$B$40) - 1, 0)</f>
        <v>69.757814847430254</v>
      </c>
      <c r="V1117" s="100">
        <f>IF(ISNUMBER('General Info'!$B$40), (SamplingData[[#This Row],[Running (cumulative) sum]] * ('General Info'!$B$40 -'General Info'!$B$41 + 1)) + 'General Info'!$B$41 - 1, 0)</f>
        <v>28122.609976348442</v>
      </c>
      <c r="W1117" s="100" t="str">
        <f>IF(ISERROR(MATCH(SamplingData[[#This Row],[Batch by Type (p)]],SelectedPrecincts[Batch Name], 0)), "", INDEX(SelectedPrecincts[Draw], MATCH(SamplingData[[#This Row],[Batch by Type (p)]],SelectedPrecincts[Batch Name], 0)))</f>
        <v/>
      </c>
      <c r="X1117" s="102">
        <f>IF(COUNTIF(SelectedPrecincts[Batch Name],SamplingData[[#This Row],[Batch by Type (p)]]) &lt;&gt; 0, COUNTIF(SelectedPrecincts[Batch Name],SamplingData[[#This Row],[Batch by Type (p)]]), 0)</f>
        <v>0</v>
      </c>
    </row>
    <row r="1118" spans="1:24" ht="15" customHeight="1">
      <c r="A1118" s="18" t="s">
        <v>1294</v>
      </c>
      <c r="B1118" s="18">
        <v>5</v>
      </c>
      <c r="C1118" s="18">
        <v>15</v>
      </c>
      <c r="D1118" s="18">
        <v>7</v>
      </c>
      <c r="E1118" s="18">
        <v>4</v>
      </c>
      <c r="F1118" s="18">
        <v>0</v>
      </c>
      <c r="G1118" s="18">
        <v>0</v>
      </c>
      <c r="H1118" s="18">
        <v>0</v>
      </c>
      <c r="I1118" s="18">
        <v>1</v>
      </c>
      <c r="J1118" s="99">
        <f>SUM(SamplingData[[#This Row],[Losing Candidate]:[Under Votes]])</f>
        <v>32</v>
      </c>
      <c r="K1118"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118" s="100">
        <f>IF(AND(SamplingData[[#This Row],[Total]]&lt;&gt; 0, NOT(ISBLANK(SamplingData[[#This Row],[Candidate 3]]))),(SamplingData[[#This Row],[Total]]+SamplingData[[#This Row],[Winning Candidate]]-SamplingData[[#This Row],[Candidate 3]])/(SamplingData[[#Totals],[Winning Candidate]]-SamplingData[[#Totals],[Candidate 3]]), 0)</f>
        <v>1.2904474626576766E-3</v>
      </c>
      <c r="M1118" s="100">
        <f>IF(AND(SamplingData[[#This Row],[Total]]&lt;&gt; 0, NOT(ISBLANK(SamplingData[[#This Row],[Candidate 4]]))),(SamplingData[[#This Row],[Total]]+SamplingData[[#This Row],[Winning Candidate]]-SamplingData[[#This Row],[Candidate 4]])/(SamplingData[[#Totals],[Winning Candidate]]-SamplingData[[#Totals],[Candidate 4]]), 0)</f>
        <v>1.2569791575316436E-3</v>
      </c>
      <c r="N1118" s="100">
        <f>IF(AND(SamplingData[[#This Row],[Total]]&lt;&gt; 0, NOT(ISBLANK(SamplingData[[#This Row],[Candidate 5]]))),(SamplingData[[#This Row],[Total]]+SamplingData[[#This Row],[Winning Candidate]]-SamplingData[[#This Row],[Candidate 5]])/(SamplingData[[#Totals],[Winning Candidate]]-SamplingData[[#Totals],[Candidate 5]]), 0)</f>
        <v>1.1432741425443931E-3</v>
      </c>
      <c r="O1118" s="100">
        <f>IF(AND(SamplingData[[#This Row],[Total]]&lt;&gt; 0, NOT(ISBLANK(SamplingData[[#This Row],[Candidate 6]]))),(SamplingData[[#This Row],[Total]]+SamplingData[[#This Row],[Winning Candidate]]-SamplingData[[#This Row],[Candidate 6]])/(SamplingData[[#Totals],[Winning Candidate]]-SamplingData[[#Totals],[Candidate 6]]), 0)</f>
        <v>1.1429405184572735E-3</v>
      </c>
      <c r="P1118" s="100">
        <f>MAX(SamplingData[[#This Row],[Error Bound (up) - Max. possible relative overstatement - Losing Candidate]:[Error Bound (up) - Max. possible relative overstatement - Candidate 6]])</f>
        <v>2.5722684958353749E-3</v>
      </c>
      <c r="Q1118" s="100">
        <f>IF(SamplingData[[#This Row],[Max Error Bound (up)]] = 0,0,SamplingData[[#This Row],[Max Error Bound (up)]]/SamplingData[[#Totals],[Max Error Bound (up)]])</f>
        <v>4.0710382769472496E-4</v>
      </c>
      <c r="R1118" s="101">
        <f>SUM($Q$5:Q1118)</f>
        <v>0.28164320359117911</v>
      </c>
      <c r="S1118" s="100" t="str">
        <f t="array" ref="S1118">IF(SamplingData[[#This Row],[up/U Selection Probability]] = 0, "Zero", TEXT(SamplingData[[#This Row],[Lower Range]], REPT("0",LEN('General Info'!$B$40))) &amp; " - " &amp; TEXT(SamplingData[[#This Row],[Upper Range]], REPT("0",LEN('General Info'!$B$40))))</f>
        <v>28124 - 28163</v>
      </c>
      <c r="T1118" s="100">
        <f>SamplingData[[#This Row],[Upper Range]]-SamplingData[[#This Row],[Span]]</f>
        <v>28123.610383452266</v>
      </c>
      <c r="U1118" s="100">
        <f>IF(ISNUMBER('General Info'!$B$40), ((SamplingData[[#This Row],[up/U Selection Probability]]) * 'General Info'!$B$40) - 1, 0)</f>
        <v>39.709975665644798</v>
      </c>
      <c r="V1118" s="100">
        <f>IF(ISNUMBER('General Info'!$B$40), (SamplingData[[#This Row],[Running (cumulative) sum]] * ('General Info'!$B$40 -'General Info'!$B$41 + 1)) + 'General Info'!$B$41 - 1, 0)</f>
        <v>28163.320359117912</v>
      </c>
      <c r="W1118" s="100" t="str">
        <f>IF(ISERROR(MATCH(SamplingData[[#This Row],[Batch by Type (p)]],SelectedPrecincts[Batch Name], 0)), "", INDEX(SelectedPrecincts[Draw], MATCH(SamplingData[[#This Row],[Batch by Type (p)]],SelectedPrecincts[Batch Name], 0)))</f>
        <v/>
      </c>
      <c r="X1118" s="102">
        <f>IF(COUNTIF(SelectedPrecincts[Batch Name],SamplingData[[#This Row],[Batch by Type (p)]]) &lt;&gt; 0, COUNTIF(SelectedPrecincts[Batch Name],SamplingData[[#This Row],[Batch by Type (p)]]), 0)</f>
        <v>0</v>
      </c>
    </row>
    <row r="1119" spans="1:24" ht="15" customHeight="1">
      <c r="A1119" s="18" t="s">
        <v>1295</v>
      </c>
      <c r="B1119" s="18">
        <v>19</v>
      </c>
      <c r="C1119" s="18">
        <v>27</v>
      </c>
      <c r="D1119" s="16">
        <v>10</v>
      </c>
      <c r="E1119" s="16">
        <v>12</v>
      </c>
      <c r="F1119" s="37">
        <v>0</v>
      </c>
      <c r="G1119" s="37">
        <v>0</v>
      </c>
      <c r="H1119" s="17">
        <v>0</v>
      </c>
      <c r="I1119" s="17">
        <v>0</v>
      </c>
      <c r="J1119" s="99">
        <f>SUM(SamplingData[[#This Row],[Losing Candidate]:[Under Votes]])</f>
        <v>68</v>
      </c>
      <c r="K1119" s="100">
        <f>IF(AND(SamplingData[[#This Row],[Total]]&lt;&gt; 0, NOT(ISBLANK(SamplingData[[#This Row],[Losing Candidate]]))),(SamplingData[[#This Row],[Total]]+SamplingData[[#This Row],[Winning Candidate]]-SamplingData[[#This Row],[Losing Candidate]])/(SamplingData[[#Totals],[Winning Candidate]]-SamplingData[[#Totals],[Losing Candidate]]), 0)</f>
        <v>4.6545810877021065E-3</v>
      </c>
      <c r="L1119" s="100">
        <f>IF(AND(SamplingData[[#This Row],[Total]]&lt;&gt; 0, NOT(ISBLANK(SamplingData[[#This Row],[Candidate 3]]))),(SamplingData[[#This Row],[Total]]+SamplingData[[#This Row],[Winning Candidate]]-SamplingData[[#This Row],[Candidate 3]])/(SamplingData[[#Totals],[Winning Candidate]]-SamplingData[[#Totals],[Candidate 3]]), 0)</f>
        <v>2.7422008581475628E-3</v>
      </c>
      <c r="M1119" s="100">
        <f>IF(AND(SamplingData[[#This Row],[Total]]&lt;&gt; 0, NOT(ISBLANK(SamplingData[[#This Row],[Candidate 4]]))),(SamplingData[[#This Row],[Total]]+SamplingData[[#This Row],[Winning Candidate]]-SamplingData[[#This Row],[Candidate 4]])/(SamplingData[[#Totals],[Winning Candidate]]-SamplingData[[#Totals],[Candidate 4]]), 0)</f>
        <v>2.4262620947703819E-3</v>
      </c>
      <c r="N1119" s="100">
        <f>IF(AND(SamplingData[[#This Row],[Total]]&lt;&gt; 0, NOT(ISBLANK(SamplingData[[#This Row],[Candidate 5]]))),(SamplingData[[#This Row],[Total]]+SamplingData[[#This Row],[Winning Candidate]]-SamplingData[[#This Row],[Candidate 5]])/(SamplingData[[#Totals],[Winning Candidate]]-SamplingData[[#Totals],[Candidate 5]]), 0)</f>
        <v>2.3108732668450497E-3</v>
      </c>
      <c r="O1119" s="100">
        <f>IF(AND(SamplingData[[#This Row],[Total]]&lt;&gt; 0, NOT(ISBLANK(SamplingData[[#This Row],[Candidate 6]]))),(SamplingData[[#This Row],[Total]]+SamplingData[[#This Row],[Winning Candidate]]-SamplingData[[#This Row],[Candidate 6]])/(SamplingData[[#Totals],[Winning Candidate]]-SamplingData[[#Totals],[Candidate 6]]), 0)</f>
        <v>2.3101989202859784E-3</v>
      </c>
      <c r="P1119" s="100">
        <f>MAX(SamplingData[[#This Row],[Error Bound (up) - Max. possible relative overstatement - Losing Candidate]:[Error Bound (up) - Max. possible relative overstatement - Candidate 6]])</f>
        <v>4.6545810877021065E-3</v>
      </c>
      <c r="Q1119" s="100">
        <f>IF(SamplingData[[#This Row],[Max Error Bound (up)]] = 0,0,SamplingData[[#This Row],[Max Error Bound (up)]]/SamplingData[[#Totals],[Max Error Bound (up)]])</f>
        <v>7.3666406916188319E-4</v>
      </c>
      <c r="R1119" s="101">
        <f>SUM($Q$5:Q1119)</f>
        <v>0.28237986766034101</v>
      </c>
      <c r="S1119" s="100" t="str">
        <f t="array" ref="S1119">IF(SamplingData[[#This Row],[up/U Selection Probability]] = 0, "Zero", TEXT(SamplingData[[#This Row],[Lower Range]], REPT("0",LEN('General Info'!$B$40))) &amp; " - " &amp; TEXT(SamplingData[[#This Row],[Upper Range]], REPT("0",LEN('General Info'!$B$40))))</f>
        <v>28164 - 28237</v>
      </c>
      <c r="T1119" s="100">
        <f>SamplingData[[#This Row],[Upper Range]]-SamplingData[[#This Row],[Span]]</f>
        <v>28164.321095781983</v>
      </c>
      <c r="U1119" s="100">
        <f>IF(ISNUMBER('General Info'!$B$40), ((SamplingData[[#This Row],[up/U Selection Probability]]) * 'General Info'!$B$40) - 1, 0)</f>
        <v>72.665670252119156</v>
      </c>
      <c r="V1119" s="100">
        <f>IF(ISNUMBER('General Info'!$B$40), (SamplingData[[#This Row],[Running (cumulative) sum]] * ('General Info'!$B$40 -'General Info'!$B$41 + 1)) + 'General Info'!$B$41 - 1, 0)</f>
        <v>28236.986766034101</v>
      </c>
      <c r="W1119" s="100" t="str">
        <f>IF(ISERROR(MATCH(SamplingData[[#This Row],[Batch by Type (p)]],SelectedPrecincts[Batch Name], 0)), "", INDEX(SelectedPrecincts[Draw], MATCH(SamplingData[[#This Row],[Batch by Type (p)]],SelectedPrecincts[Batch Name], 0)))</f>
        <v/>
      </c>
      <c r="X1119" s="102">
        <f>IF(COUNTIF(SelectedPrecincts[Batch Name],SamplingData[[#This Row],[Batch by Type (p)]]) &lt;&gt; 0, COUNTIF(SelectedPrecincts[Batch Name],SamplingData[[#This Row],[Batch by Type (p)]]), 0)</f>
        <v>0</v>
      </c>
    </row>
    <row r="1120" spans="1:24" ht="15" customHeight="1">
      <c r="A1120" s="18" t="s">
        <v>1296</v>
      </c>
      <c r="B1120" s="18">
        <v>15</v>
      </c>
      <c r="C1120" s="18">
        <v>11</v>
      </c>
      <c r="D1120" s="18">
        <v>2</v>
      </c>
      <c r="E1120" s="18">
        <v>0</v>
      </c>
      <c r="F1120" s="18">
        <v>0</v>
      </c>
      <c r="G1120" s="18">
        <v>0</v>
      </c>
      <c r="H1120" s="18">
        <v>0</v>
      </c>
      <c r="I1120" s="18">
        <v>0</v>
      </c>
      <c r="J1120" s="99">
        <f>SUM(SamplingData[[#This Row],[Losing Candidate]:[Under Votes]])</f>
        <v>28</v>
      </c>
      <c r="K1120"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1120" s="100">
        <f>IF(AND(SamplingData[[#This Row],[Total]]&lt;&gt; 0, NOT(ISBLANK(SamplingData[[#This Row],[Candidate 3]]))),(SamplingData[[#This Row],[Total]]+SamplingData[[#This Row],[Winning Candidate]]-SamplingData[[#This Row],[Candidate 3]])/(SamplingData[[#Totals],[Winning Candidate]]-SamplingData[[#Totals],[Candidate 3]]), 0)</f>
        <v>1.1936639029583509E-3</v>
      </c>
      <c r="M1120" s="100">
        <f>IF(AND(SamplingData[[#This Row],[Total]]&lt;&gt; 0, NOT(ISBLANK(SamplingData[[#This Row],[Candidate 4]]))),(SamplingData[[#This Row],[Total]]+SamplingData[[#This Row],[Winning Candidate]]-SamplingData[[#This Row],[Candidate 4]])/(SamplingData[[#Totals],[Winning Candidate]]-SamplingData[[#Totals],[Candidate 4]]), 0)</f>
        <v>1.14005086380777E-3</v>
      </c>
      <c r="N1120" s="100">
        <f>IF(AND(SamplingData[[#This Row],[Total]]&lt;&gt; 0, NOT(ISBLANK(SamplingData[[#This Row],[Candidate 5]]))),(SamplingData[[#This Row],[Total]]+SamplingData[[#This Row],[Winning Candidate]]-SamplingData[[#This Row],[Candidate 5]])/(SamplingData[[#Totals],[Winning Candidate]]-SamplingData[[#Totals],[Candidate 5]]), 0)</f>
        <v>9.4867428849428363E-4</v>
      </c>
      <c r="O1120" s="100">
        <f>IF(AND(SamplingData[[#This Row],[Total]]&lt;&gt; 0, NOT(ISBLANK(SamplingData[[#This Row],[Candidate 6]]))),(SamplingData[[#This Row],[Total]]+SamplingData[[#This Row],[Winning Candidate]]-SamplingData[[#This Row],[Candidate 6]])/(SamplingData[[#Totals],[Winning Candidate]]-SamplingData[[#Totals],[Candidate 6]]), 0)</f>
        <v>9.4839745148582271E-4</v>
      </c>
      <c r="P1120" s="100">
        <f>MAX(SamplingData[[#This Row],[Error Bound (up) - Max. possible relative overstatement - Losing Candidate]:[Error Bound (up) - Max. possible relative overstatement - Candidate 6]])</f>
        <v>1.4698677119059284E-3</v>
      </c>
      <c r="Q1120" s="100">
        <f>IF(SamplingData[[#This Row],[Max Error Bound (up)]] = 0,0,SamplingData[[#This Row],[Max Error Bound (up)]]/SamplingData[[#Totals],[Max Error Bound (up)]])</f>
        <v>2.3263075868269994E-4</v>
      </c>
      <c r="R1120" s="101">
        <f>SUM($Q$5:Q1120)</f>
        <v>0.28261249841902369</v>
      </c>
      <c r="S1120" s="100" t="str">
        <f t="array" ref="S1120">IF(SamplingData[[#This Row],[up/U Selection Probability]] = 0, "Zero", TEXT(SamplingData[[#This Row],[Lower Range]], REPT("0",LEN('General Info'!$B$40))) &amp; " - " &amp; TEXT(SamplingData[[#This Row],[Upper Range]], REPT("0",LEN('General Info'!$B$40))))</f>
        <v>28238 - 28260</v>
      </c>
      <c r="T1120" s="100">
        <f>SamplingData[[#This Row],[Upper Range]]-SamplingData[[#This Row],[Span]]</f>
        <v>28237.986998664859</v>
      </c>
      <c r="U1120" s="100">
        <f>IF(ISNUMBER('General Info'!$B$40), ((SamplingData[[#This Row],[up/U Selection Probability]]) * 'General Info'!$B$40) - 1, 0)</f>
        <v>22.262843237511312</v>
      </c>
      <c r="V1120" s="100">
        <f>IF(ISNUMBER('General Info'!$B$40), (SamplingData[[#This Row],[Running (cumulative) sum]] * ('General Info'!$B$40 -'General Info'!$B$41 + 1)) + 'General Info'!$B$41 - 1, 0)</f>
        <v>28260.249841902369</v>
      </c>
      <c r="W1120" s="100" t="str">
        <f>IF(ISERROR(MATCH(SamplingData[[#This Row],[Batch by Type (p)]],SelectedPrecincts[Batch Name], 0)), "", INDEX(SelectedPrecincts[Draw], MATCH(SamplingData[[#This Row],[Batch by Type (p)]],SelectedPrecincts[Batch Name], 0)))</f>
        <v/>
      </c>
      <c r="X1120" s="102">
        <f>IF(COUNTIF(SelectedPrecincts[Batch Name],SamplingData[[#This Row],[Batch by Type (p)]]) &lt;&gt; 0, COUNTIF(SelectedPrecincts[Batch Name],SamplingData[[#This Row],[Batch by Type (p)]]), 0)</f>
        <v>0</v>
      </c>
    </row>
    <row r="1121" spans="1:24" ht="15" customHeight="1">
      <c r="A1121" s="18" t="s">
        <v>1297</v>
      </c>
      <c r="B1121" s="18">
        <v>16</v>
      </c>
      <c r="C1121" s="18">
        <v>13</v>
      </c>
      <c r="D1121" s="16">
        <v>5</v>
      </c>
      <c r="E1121" s="16">
        <v>4</v>
      </c>
      <c r="F1121" s="37">
        <v>1</v>
      </c>
      <c r="G1121" s="37">
        <v>0</v>
      </c>
      <c r="H1121" s="17">
        <v>0</v>
      </c>
      <c r="I1121" s="17">
        <v>0</v>
      </c>
      <c r="J1121" s="99">
        <f>SUM(SamplingData[[#This Row],[Losing Candidate]:[Under Votes]])</f>
        <v>39</v>
      </c>
      <c r="K1121" s="100">
        <f>IF(AND(SamplingData[[#This Row],[Total]]&lt;&gt; 0, NOT(ISBLANK(SamplingData[[#This Row],[Losing Candidate]]))),(SamplingData[[#This Row],[Total]]+SamplingData[[#This Row],[Winning Candidate]]-SamplingData[[#This Row],[Losing Candidate]])/(SamplingData[[#Totals],[Winning Candidate]]-SamplingData[[#Totals],[Losing Candidate]]), 0)</f>
        <v>2.2048015678588929E-3</v>
      </c>
      <c r="L1121" s="100">
        <f>IF(AND(SamplingData[[#This Row],[Total]]&lt;&gt; 0, NOT(ISBLANK(SamplingData[[#This Row],[Candidate 3]]))),(SamplingData[[#This Row],[Total]]+SamplingData[[#This Row],[Winning Candidate]]-SamplingData[[#This Row],[Candidate 3]])/(SamplingData[[#Totals],[Winning Candidate]]-SamplingData[[#Totals],[Candidate 3]]), 0)</f>
        <v>1.5162757686227699E-3</v>
      </c>
      <c r="M1121" s="100">
        <f>IF(AND(SamplingData[[#This Row],[Total]]&lt;&gt; 0, NOT(ISBLANK(SamplingData[[#This Row],[Candidate 4]]))),(SamplingData[[#This Row],[Total]]+SamplingData[[#This Row],[Winning Candidate]]-SamplingData[[#This Row],[Candidate 4]])/(SamplingData[[#Totals],[Winning Candidate]]-SamplingData[[#Totals],[Candidate 4]]), 0)</f>
        <v>1.403139524686486E-3</v>
      </c>
      <c r="N1121" s="100">
        <f>IF(AND(SamplingData[[#This Row],[Total]]&lt;&gt; 0, NOT(ISBLANK(SamplingData[[#This Row],[Candidate 5]]))),(SamplingData[[#This Row],[Total]]+SamplingData[[#This Row],[Winning Candidate]]-SamplingData[[#This Row],[Candidate 5]])/(SamplingData[[#Totals],[Winning Candidate]]-SamplingData[[#Totals],[Candidate 5]]), 0)</f>
        <v>1.2405740695694478E-3</v>
      </c>
      <c r="O1121" s="100">
        <f>IF(AND(SamplingData[[#This Row],[Total]]&lt;&gt; 0, NOT(ISBLANK(SamplingData[[#This Row],[Candidate 6]]))),(SamplingData[[#This Row],[Total]]+SamplingData[[#This Row],[Winning Candidate]]-SamplingData[[#This Row],[Candidate 6]])/(SamplingData[[#Totals],[Winning Candidate]]-SamplingData[[#Totals],[Candidate 6]]), 0)</f>
        <v>1.2645299353144302E-3</v>
      </c>
      <c r="P1121" s="100">
        <f>MAX(SamplingData[[#This Row],[Error Bound (up) - Max. possible relative overstatement - Losing Candidate]:[Error Bound (up) - Max. possible relative overstatement - Candidate 6]])</f>
        <v>2.2048015678588929E-3</v>
      </c>
      <c r="Q1121" s="100">
        <f>IF(SamplingData[[#This Row],[Max Error Bound (up)]] = 0,0,SamplingData[[#This Row],[Max Error Bound (up)]]/SamplingData[[#Totals],[Max Error Bound (up)]])</f>
        <v>3.4894613802404997E-4</v>
      </c>
      <c r="R1121" s="101">
        <f>SUM($Q$5:Q1121)</f>
        <v>0.28296144455704775</v>
      </c>
      <c r="S1121" s="100" t="str">
        <f t="array" ref="S1121">IF(SamplingData[[#This Row],[up/U Selection Probability]] = 0, "Zero", TEXT(SamplingData[[#This Row],[Lower Range]], REPT("0",LEN('General Info'!$B$40))) &amp; " - " &amp; TEXT(SamplingData[[#This Row],[Upper Range]], REPT("0",LEN('General Info'!$B$40))))</f>
        <v>28261 - 28295</v>
      </c>
      <c r="T1121" s="100">
        <f>SamplingData[[#This Row],[Upper Range]]-SamplingData[[#This Row],[Span]]</f>
        <v>28261.25019084851</v>
      </c>
      <c r="U1121" s="100">
        <f>IF(ISNUMBER('General Info'!$B$40), ((SamplingData[[#This Row],[up/U Selection Probability]]) * 'General Info'!$B$40) - 1, 0)</f>
        <v>33.894264856266972</v>
      </c>
      <c r="V1121" s="100">
        <f>IF(ISNUMBER('General Info'!$B$40), (SamplingData[[#This Row],[Running (cumulative) sum]] * ('General Info'!$B$40 -'General Info'!$B$41 + 1)) + 'General Info'!$B$41 - 1, 0)</f>
        <v>28295.144455704776</v>
      </c>
      <c r="W1121" s="100" t="str">
        <f>IF(ISERROR(MATCH(SamplingData[[#This Row],[Batch by Type (p)]],SelectedPrecincts[Batch Name], 0)), "", INDEX(SelectedPrecincts[Draw], MATCH(SamplingData[[#This Row],[Batch by Type (p)]],SelectedPrecincts[Batch Name], 0)))</f>
        <v/>
      </c>
      <c r="X1121" s="102">
        <f>IF(COUNTIF(SelectedPrecincts[Batch Name],SamplingData[[#This Row],[Batch by Type (p)]]) &lt;&gt; 0, COUNTIF(SelectedPrecincts[Batch Name],SamplingData[[#This Row],[Batch by Type (p)]]), 0)</f>
        <v>0</v>
      </c>
    </row>
    <row r="1122" spans="1:24" ht="15" customHeight="1">
      <c r="A1122" s="18" t="s">
        <v>1298</v>
      </c>
      <c r="B1122" s="18">
        <v>6</v>
      </c>
      <c r="C1122" s="18">
        <v>2</v>
      </c>
      <c r="D1122" s="18">
        <v>2</v>
      </c>
      <c r="E1122" s="18">
        <v>0</v>
      </c>
      <c r="F1122" s="18">
        <v>0</v>
      </c>
      <c r="G1122" s="18">
        <v>0</v>
      </c>
      <c r="H1122" s="18">
        <v>0</v>
      </c>
      <c r="I1122" s="18">
        <v>0</v>
      </c>
      <c r="J1122" s="99">
        <f>SUM(SamplingData[[#This Row],[Losing Candidate]:[Under Votes]])</f>
        <v>10</v>
      </c>
      <c r="K1122"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122" s="100">
        <f>IF(AND(SamplingData[[#This Row],[Total]]&lt;&gt; 0, NOT(ISBLANK(SamplingData[[#This Row],[Candidate 3]]))),(SamplingData[[#This Row],[Total]]+SamplingData[[#This Row],[Winning Candidate]]-SamplingData[[#This Row],[Candidate 3]])/(SamplingData[[#Totals],[Winning Candidate]]-SamplingData[[#Totals],[Candidate 3]]), 0)</f>
        <v>3.2261186566441915E-4</v>
      </c>
      <c r="M1122" s="100">
        <f>IF(AND(SamplingData[[#This Row],[Total]]&lt;&gt; 0, NOT(ISBLANK(SamplingData[[#This Row],[Candidate 4]]))),(SamplingData[[#This Row],[Total]]+SamplingData[[#This Row],[Winning Candidate]]-SamplingData[[#This Row],[Candidate 4]])/(SamplingData[[#Totals],[Winning Candidate]]-SamplingData[[#Totals],[Candidate 4]]), 0)</f>
        <v>3.5078488117162149E-4</v>
      </c>
      <c r="N1122" s="100">
        <f>IF(AND(SamplingData[[#This Row],[Total]]&lt;&gt; 0, NOT(ISBLANK(SamplingData[[#This Row],[Candidate 5]]))),(SamplingData[[#This Row],[Total]]+SamplingData[[#This Row],[Winning Candidate]]-SamplingData[[#This Row],[Candidate 5]])/(SamplingData[[#Totals],[Winning Candidate]]-SamplingData[[#Totals],[Candidate 5]]), 0)</f>
        <v>2.9189978107516421E-4</v>
      </c>
      <c r="O1122" s="100">
        <f>IF(AND(SamplingData[[#This Row],[Total]]&lt;&gt; 0, NOT(ISBLANK(SamplingData[[#This Row],[Candidate 6]]))),(SamplingData[[#This Row],[Total]]+SamplingData[[#This Row],[Winning Candidate]]-SamplingData[[#This Row],[Candidate 6]])/(SamplingData[[#Totals],[Winning Candidate]]-SamplingData[[#Totals],[Candidate 6]]), 0)</f>
        <v>2.9181460045717622E-4</v>
      </c>
      <c r="P1122" s="100">
        <f>MAX(SamplingData[[#This Row],[Error Bound (up) - Max. possible relative overstatement - Losing Candidate]:[Error Bound (up) - Max. possible relative overstatement - Candidate 6]])</f>
        <v>3.6746692797648211E-4</v>
      </c>
      <c r="Q1122" s="100">
        <f>IF(SamplingData[[#This Row],[Max Error Bound (up)]] = 0,0,SamplingData[[#This Row],[Max Error Bound (up)]]/SamplingData[[#Totals],[Max Error Bound (up)]])</f>
        <v>5.8157689670674986E-5</v>
      </c>
      <c r="R1122" s="101">
        <f>SUM($Q$5:Q1122)</f>
        <v>0.2830196022467184</v>
      </c>
      <c r="S1122" s="100" t="str">
        <f t="array" ref="S1122">IF(SamplingData[[#This Row],[up/U Selection Probability]] = 0, "Zero", TEXT(SamplingData[[#This Row],[Lower Range]], REPT("0",LEN('General Info'!$B$40))) &amp; " - " &amp; TEXT(SamplingData[[#This Row],[Upper Range]], REPT("0",LEN('General Info'!$B$40))))</f>
        <v>28296 - 28301</v>
      </c>
      <c r="T1122" s="100">
        <f>SamplingData[[#This Row],[Upper Range]]-SamplingData[[#This Row],[Span]]</f>
        <v>28296.144513862462</v>
      </c>
      <c r="U1122" s="100">
        <f>IF(ISNUMBER('General Info'!$B$40), ((SamplingData[[#This Row],[up/U Selection Probability]]) * 'General Info'!$B$40) - 1, 0)</f>
        <v>4.815710809377828</v>
      </c>
      <c r="V1122" s="100">
        <f>IF(ISNUMBER('General Info'!$B$40), (SamplingData[[#This Row],[Running (cumulative) sum]] * ('General Info'!$B$40 -'General Info'!$B$41 + 1)) + 'General Info'!$B$41 - 1, 0)</f>
        <v>28300.960224671839</v>
      </c>
      <c r="W1122" s="100" t="str">
        <f>IF(ISERROR(MATCH(SamplingData[[#This Row],[Batch by Type (p)]],SelectedPrecincts[Batch Name], 0)), "", INDEX(SelectedPrecincts[Draw], MATCH(SamplingData[[#This Row],[Batch by Type (p)]],SelectedPrecincts[Batch Name], 0)))</f>
        <v/>
      </c>
      <c r="X1122" s="102">
        <f>IF(COUNTIF(SelectedPrecincts[Batch Name],SamplingData[[#This Row],[Batch by Type (p)]]) &lt;&gt; 0, COUNTIF(SelectedPrecincts[Batch Name],SamplingData[[#This Row],[Batch by Type (p)]]), 0)</f>
        <v>0</v>
      </c>
    </row>
    <row r="1123" spans="1:24" ht="15" customHeight="1">
      <c r="A1123" s="18" t="s">
        <v>1299</v>
      </c>
      <c r="B1123" s="18">
        <v>20</v>
      </c>
      <c r="C1123" s="18">
        <v>15</v>
      </c>
      <c r="D1123" s="16">
        <v>5</v>
      </c>
      <c r="E1123" s="16">
        <v>8</v>
      </c>
      <c r="F1123" s="37">
        <v>0</v>
      </c>
      <c r="G1123" s="37">
        <v>0</v>
      </c>
      <c r="H1123" s="17">
        <v>0</v>
      </c>
      <c r="I1123" s="17">
        <v>1</v>
      </c>
      <c r="J1123" s="99">
        <f>SUM(SamplingData[[#This Row],[Losing Candidate]:[Under Votes]])</f>
        <v>49</v>
      </c>
      <c r="K1123" s="100">
        <f>IF(AND(SamplingData[[#This Row],[Total]]&lt;&gt; 0, NOT(ISBLANK(SamplingData[[#This Row],[Losing Candidate]]))),(SamplingData[[#This Row],[Total]]+SamplingData[[#This Row],[Winning Candidate]]-SamplingData[[#This Row],[Losing Candidate]])/(SamplingData[[#Totals],[Winning Candidate]]-SamplingData[[#Totals],[Losing Candidate]]), 0)</f>
        <v>2.6947574718275357E-3</v>
      </c>
      <c r="L1123" s="100">
        <f>IF(AND(SamplingData[[#This Row],[Total]]&lt;&gt; 0, NOT(ISBLANK(SamplingData[[#This Row],[Candidate 3]]))),(SamplingData[[#This Row],[Total]]+SamplingData[[#This Row],[Winning Candidate]]-SamplingData[[#This Row],[Candidate 3]])/(SamplingData[[#Totals],[Winning Candidate]]-SamplingData[[#Totals],[Candidate 3]]), 0)</f>
        <v>1.9034100074200729E-3</v>
      </c>
      <c r="M1123" s="100">
        <f>IF(AND(SamplingData[[#This Row],[Total]]&lt;&gt; 0, NOT(ISBLANK(SamplingData[[#This Row],[Candidate 4]]))),(SamplingData[[#This Row],[Total]]+SamplingData[[#This Row],[Winning Candidate]]-SamplingData[[#This Row],[Candidate 4]])/(SamplingData[[#Totals],[Winning Candidate]]-SamplingData[[#Totals],[Candidate 4]]), 0)</f>
        <v>1.6369961121342337E-3</v>
      </c>
      <c r="N1123" s="100">
        <f>IF(AND(SamplingData[[#This Row],[Total]]&lt;&gt; 0, NOT(ISBLANK(SamplingData[[#This Row],[Candidate 5]]))),(SamplingData[[#This Row],[Total]]+SamplingData[[#This Row],[Winning Candidate]]-SamplingData[[#This Row],[Candidate 5]])/(SamplingData[[#Totals],[Winning Candidate]]-SamplingData[[#Totals],[Candidate 5]]), 0)</f>
        <v>1.5567988324008757E-3</v>
      </c>
      <c r="O1123" s="100">
        <f>IF(AND(SamplingData[[#This Row],[Total]]&lt;&gt; 0, NOT(ISBLANK(SamplingData[[#This Row],[Candidate 6]]))),(SamplingData[[#This Row],[Total]]+SamplingData[[#This Row],[Winning Candidate]]-SamplingData[[#This Row],[Candidate 6]])/(SamplingData[[#Totals],[Winning Candidate]]-SamplingData[[#Totals],[Candidate 6]]), 0)</f>
        <v>1.5563445357716064E-3</v>
      </c>
      <c r="P1123" s="100">
        <f>MAX(SamplingData[[#This Row],[Error Bound (up) - Max. possible relative overstatement - Losing Candidate]:[Error Bound (up) - Max. possible relative overstatement - Candidate 6]])</f>
        <v>2.6947574718275357E-3</v>
      </c>
      <c r="Q1123" s="100">
        <f>IF(SamplingData[[#This Row],[Max Error Bound (up)]] = 0,0,SamplingData[[#This Row],[Max Error Bound (up)]]/SamplingData[[#Totals],[Max Error Bound (up)]])</f>
        <v>4.2648972425161664E-4</v>
      </c>
      <c r="R1123" s="101">
        <f>SUM($Q$5:Q1123)</f>
        <v>0.28344609197097004</v>
      </c>
      <c r="S1123" s="100" t="str">
        <f t="array" ref="S1123">IF(SamplingData[[#This Row],[up/U Selection Probability]] = 0, "Zero", TEXT(SamplingData[[#This Row],[Lower Range]], REPT("0",LEN('General Info'!$B$40))) &amp; " - " &amp; TEXT(SamplingData[[#This Row],[Upper Range]], REPT("0",LEN('General Info'!$B$40))))</f>
        <v>28302 - 28344</v>
      </c>
      <c r="T1123" s="100">
        <f>SamplingData[[#This Row],[Upper Range]]-SamplingData[[#This Row],[Span]]</f>
        <v>28301.960651161568</v>
      </c>
      <c r="U1123" s="100">
        <f>IF(ISNUMBER('General Info'!$B$40), ((SamplingData[[#This Row],[up/U Selection Probability]]) * 'General Info'!$B$40) - 1, 0)</f>
        <v>41.648545935437411</v>
      </c>
      <c r="V1123" s="100">
        <f>IF(ISNUMBER('General Info'!$B$40), (SamplingData[[#This Row],[Running (cumulative) sum]] * ('General Info'!$B$40 -'General Info'!$B$41 + 1)) + 'General Info'!$B$41 - 1, 0)</f>
        <v>28343.609197097005</v>
      </c>
      <c r="W1123" s="100" t="str">
        <f>IF(ISERROR(MATCH(SamplingData[[#This Row],[Batch by Type (p)]],SelectedPrecincts[Batch Name], 0)), "", INDEX(SelectedPrecincts[Draw], MATCH(SamplingData[[#This Row],[Batch by Type (p)]],SelectedPrecincts[Batch Name], 0)))</f>
        <v/>
      </c>
      <c r="X1123" s="102">
        <f>IF(COUNTIF(SelectedPrecincts[Batch Name],SamplingData[[#This Row],[Batch by Type (p)]]) &lt;&gt; 0, COUNTIF(SelectedPrecincts[Batch Name],SamplingData[[#This Row],[Batch by Type (p)]]), 0)</f>
        <v>0</v>
      </c>
    </row>
    <row r="1124" spans="1:24" ht="15" customHeight="1">
      <c r="A1124" s="18" t="s">
        <v>1300</v>
      </c>
      <c r="B1124" s="18">
        <v>14</v>
      </c>
      <c r="C1124" s="18">
        <v>11</v>
      </c>
      <c r="D1124" s="18">
        <v>2</v>
      </c>
      <c r="E1124" s="18">
        <v>4</v>
      </c>
      <c r="F1124" s="18">
        <v>0</v>
      </c>
      <c r="G1124" s="18">
        <v>0</v>
      </c>
      <c r="H1124" s="18">
        <v>0</v>
      </c>
      <c r="I1124" s="18">
        <v>0</v>
      </c>
      <c r="J1124" s="99">
        <f>SUM(SamplingData[[#This Row],[Losing Candidate]:[Under Votes]])</f>
        <v>31</v>
      </c>
      <c r="K1124"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124" s="100">
        <f>IF(AND(SamplingData[[#This Row],[Total]]&lt;&gt; 0, NOT(ISBLANK(SamplingData[[#This Row],[Candidate 3]]))),(SamplingData[[#This Row],[Total]]+SamplingData[[#This Row],[Winning Candidate]]-SamplingData[[#This Row],[Candidate 3]])/(SamplingData[[#Totals],[Winning Candidate]]-SamplingData[[#Totals],[Candidate 3]]), 0)</f>
        <v>1.2904474626576766E-3</v>
      </c>
      <c r="M1124" s="100">
        <f>IF(AND(SamplingData[[#This Row],[Total]]&lt;&gt; 0, NOT(ISBLANK(SamplingData[[#This Row],[Candidate 4]]))),(SamplingData[[#This Row],[Total]]+SamplingData[[#This Row],[Winning Candidate]]-SamplingData[[#This Row],[Candidate 4]])/(SamplingData[[#Totals],[Winning Candidate]]-SamplingData[[#Totals],[Candidate 4]]), 0)</f>
        <v>1.1108187903768015E-3</v>
      </c>
      <c r="N1124" s="100">
        <f>IF(AND(SamplingData[[#This Row],[Total]]&lt;&gt; 0, NOT(ISBLANK(SamplingData[[#This Row],[Candidate 5]]))),(SamplingData[[#This Row],[Total]]+SamplingData[[#This Row],[Winning Candidate]]-SamplingData[[#This Row],[Candidate 5]])/(SamplingData[[#Totals],[Winning Candidate]]-SamplingData[[#Totals],[Candidate 5]]), 0)</f>
        <v>1.0216492337630748E-3</v>
      </c>
      <c r="O1124" s="100">
        <f>IF(AND(SamplingData[[#This Row],[Total]]&lt;&gt; 0, NOT(ISBLANK(SamplingData[[#This Row],[Candidate 6]]))),(SamplingData[[#This Row],[Total]]+SamplingData[[#This Row],[Winning Candidate]]-SamplingData[[#This Row],[Candidate 6]])/(SamplingData[[#Totals],[Winning Candidate]]-SamplingData[[#Totals],[Candidate 6]]), 0)</f>
        <v>1.0213511016001168E-3</v>
      </c>
      <c r="P1124" s="100">
        <f>MAX(SamplingData[[#This Row],[Error Bound (up) - Max. possible relative overstatement - Losing Candidate]:[Error Bound (up) - Max. possible relative overstatement - Candidate 6]])</f>
        <v>1.7148456638902498E-3</v>
      </c>
      <c r="Q1124" s="100">
        <f>IF(SamplingData[[#This Row],[Max Error Bound (up)]] = 0,0,SamplingData[[#This Row],[Max Error Bound (up)]]/SamplingData[[#Totals],[Max Error Bound (up)]])</f>
        <v>2.714025517964833E-4</v>
      </c>
      <c r="R1124" s="101">
        <f>SUM($Q$5:Q1124)</f>
        <v>0.28371749452276651</v>
      </c>
      <c r="S1124" s="100" t="str">
        <f t="array" ref="S1124">IF(SamplingData[[#This Row],[up/U Selection Probability]] = 0, "Zero", TEXT(SamplingData[[#This Row],[Lower Range]], REPT("0",LEN('General Info'!$B$40))) &amp; " - " &amp; TEXT(SamplingData[[#This Row],[Upper Range]], REPT("0",LEN('General Info'!$B$40))))</f>
        <v>28345 - 28371</v>
      </c>
      <c r="T1124" s="100">
        <f>SamplingData[[#This Row],[Upper Range]]-SamplingData[[#This Row],[Span]]</f>
        <v>28344.609468499555</v>
      </c>
      <c r="U1124" s="100">
        <f>IF(ISNUMBER('General Info'!$B$40), ((SamplingData[[#This Row],[up/U Selection Probability]]) * 'General Info'!$B$40) - 1, 0)</f>
        <v>26.139983777096536</v>
      </c>
      <c r="V1124" s="100">
        <f>IF(ISNUMBER('General Info'!$B$40), (SamplingData[[#This Row],[Running (cumulative) sum]] * ('General Info'!$B$40 -'General Info'!$B$41 + 1)) + 'General Info'!$B$41 - 1, 0)</f>
        <v>28370.74945227665</v>
      </c>
      <c r="W1124" s="100" t="str">
        <f>IF(ISERROR(MATCH(SamplingData[[#This Row],[Batch by Type (p)]],SelectedPrecincts[Batch Name], 0)), "", INDEX(SelectedPrecincts[Draw], MATCH(SamplingData[[#This Row],[Batch by Type (p)]],SelectedPrecincts[Batch Name], 0)))</f>
        <v/>
      </c>
      <c r="X1124" s="102">
        <f>IF(COUNTIF(SelectedPrecincts[Batch Name],SamplingData[[#This Row],[Batch by Type (p)]]) &lt;&gt; 0, COUNTIF(SelectedPrecincts[Batch Name],SamplingData[[#This Row],[Batch by Type (p)]]), 0)</f>
        <v>0</v>
      </c>
    </row>
    <row r="1125" spans="1:24" ht="15" customHeight="1">
      <c r="A1125" s="18" t="s">
        <v>1301</v>
      </c>
      <c r="B1125" s="18">
        <v>17</v>
      </c>
      <c r="C1125" s="18">
        <v>20</v>
      </c>
      <c r="D1125" s="16">
        <v>4</v>
      </c>
      <c r="E1125" s="16">
        <v>3</v>
      </c>
      <c r="F1125" s="37">
        <v>0</v>
      </c>
      <c r="G1125" s="37">
        <v>0</v>
      </c>
      <c r="H1125" s="17">
        <v>0</v>
      </c>
      <c r="I1125" s="17">
        <v>1</v>
      </c>
      <c r="J1125" s="99">
        <f>SUM(SamplingData[[#This Row],[Losing Candidate]:[Under Votes]])</f>
        <v>45</v>
      </c>
      <c r="K1125" s="100">
        <f>IF(AND(SamplingData[[#This Row],[Total]]&lt;&gt; 0, NOT(ISBLANK(SamplingData[[#This Row],[Losing Candidate]]))),(SamplingData[[#This Row],[Total]]+SamplingData[[#This Row],[Winning Candidate]]-SamplingData[[#This Row],[Losing Candidate]])/(SamplingData[[#Totals],[Winning Candidate]]-SamplingData[[#Totals],[Losing Candidate]]), 0)</f>
        <v>2.9397354238118569E-3</v>
      </c>
      <c r="L1125" s="100">
        <f>IF(AND(SamplingData[[#This Row],[Total]]&lt;&gt; 0, NOT(ISBLANK(SamplingData[[#This Row],[Candidate 3]]))),(SamplingData[[#This Row],[Total]]+SamplingData[[#This Row],[Winning Candidate]]-SamplingData[[#This Row],[Candidate 3]])/(SamplingData[[#Totals],[Winning Candidate]]-SamplingData[[#Totals],[Candidate 3]]), 0)</f>
        <v>1.9679323805529567E-3</v>
      </c>
      <c r="M1125" s="100">
        <f>IF(AND(SamplingData[[#This Row],[Total]]&lt;&gt; 0, NOT(ISBLANK(SamplingData[[#This Row],[Candidate 4]]))),(SamplingData[[#This Row],[Total]]+SamplingData[[#This Row],[Winning Candidate]]-SamplingData[[#This Row],[Candidate 4]])/(SamplingData[[#Totals],[Winning Candidate]]-SamplingData[[#Totals],[Candidate 4]]), 0)</f>
        <v>1.8123885527200445E-3</v>
      </c>
      <c r="N1125" s="100">
        <f>IF(AND(SamplingData[[#This Row],[Total]]&lt;&gt; 0, NOT(ISBLANK(SamplingData[[#This Row],[Candidate 5]]))),(SamplingData[[#This Row],[Total]]+SamplingData[[#This Row],[Winning Candidate]]-SamplingData[[#This Row],[Candidate 5]])/(SamplingData[[#Totals],[Winning Candidate]]-SamplingData[[#Totals],[Candidate 5]]), 0)</f>
        <v>1.5811238141571393E-3</v>
      </c>
      <c r="O1125" s="100">
        <f>IF(AND(SamplingData[[#This Row],[Total]]&lt;&gt; 0, NOT(ISBLANK(SamplingData[[#This Row],[Candidate 6]]))),(SamplingData[[#This Row],[Total]]+SamplingData[[#This Row],[Winning Candidate]]-SamplingData[[#This Row],[Candidate 6]])/(SamplingData[[#Totals],[Winning Candidate]]-SamplingData[[#Totals],[Candidate 6]]), 0)</f>
        <v>1.5806624191430378E-3</v>
      </c>
      <c r="P1125" s="100">
        <f>MAX(SamplingData[[#This Row],[Error Bound (up) - Max. possible relative overstatement - Losing Candidate]:[Error Bound (up) - Max. possible relative overstatement - Candidate 6]])</f>
        <v>2.9397354238118569E-3</v>
      </c>
      <c r="Q1125" s="100">
        <f>IF(SamplingData[[#This Row],[Max Error Bound (up)]] = 0,0,SamplingData[[#This Row],[Max Error Bound (up)]]/SamplingData[[#Totals],[Max Error Bound (up)]])</f>
        <v>4.6526151736539989E-4</v>
      </c>
      <c r="R1125" s="101">
        <f>SUM($Q$5:Q1125)</f>
        <v>0.28418275604013193</v>
      </c>
      <c r="S1125" s="100" t="str">
        <f t="array" ref="S1125">IF(SamplingData[[#This Row],[up/U Selection Probability]] = 0, "Zero", TEXT(SamplingData[[#This Row],[Lower Range]], REPT("0",LEN('General Info'!$B$40))) &amp; " - " &amp; TEXT(SamplingData[[#This Row],[Upper Range]], REPT("0",LEN('General Info'!$B$40))))</f>
        <v>28372 - 28417</v>
      </c>
      <c r="T1125" s="100">
        <f>SamplingData[[#This Row],[Upper Range]]-SamplingData[[#This Row],[Span]]</f>
        <v>28371.749917538171</v>
      </c>
      <c r="U1125" s="100">
        <f>IF(ISNUMBER('General Info'!$B$40), ((SamplingData[[#This Row],[up/U Selection Probability]]) * 'General Info'!$B$40) - 1, 0)</f>
        <v>45.525686475022624</v>
      </c>
      <c r="V1125" s="100">
        <f>IF(ISNUMBER('General Info'!$B$40), (SamplingData[[#This Row],[Running (cumulative) sum]] * ('General Info'!$B$40 -'General Info'!$B$41 + 1)) + 'General Info'!$B$41 - 1, 0)</f>
        <v>28417.275604013194</v>
      </c>
      <c r="W1125" s="100" t="str">
        <f>IF(ISERROR(MATCH(SamplingData[[#This Row],[Batch by Type (p)]],SelectedPrecincts[Batch Name], 0)), "", INDEX(SelectedPrecincts[Draw], MATCH(SamplingData[[#This Row],[Batch by Type (p)]],SelectedPrecincts[Batch Name], 0)))</f>
        <v/>
      </c>
      <c r="X1125" s="102">
        <f>IF(COUNTIF(SelectedPrecincts[Batch Name],SamplingData[[#This Row],[Batch by Type (p)]]) &lt;&gt; 0, COUNTIF(SelectedPrecincts[Batch Name],SamplingData[[#This Row],[Batch by Type (p)]]), 0)</f>
        <v>0</v>
      </c>
    </row>
    <row r="1126" spans="1:24" ht="15" customHeight="1">
      <c r="A1126" s="18" t="s">
        <v>1302</v>
      </c>
      <c r="B1126" s="18">
        <v>8</v>
      </c>
      <c r="C1126" s="18">
        <v>11</v>
      </c>
      <c r="D1126" s="18">
        <v>2</v>
      </c>
      <c r="E1126" s="18">
        <v>3</v>
      </c>
      <c r="F1126" s="18">
        <v>0</v>
      </c>
      <c r="G1126" s="18">
        <v>0</v>
      </c>
      <c r="H1126" s="18">
        <v>0</v>
      </c>
      <c r="I1126" s="18">
        <v>0</v>
      </c>
      <c r="J1126" s="99">
        <f>SUM(SamplingData[[#This Row],[Losing Candidate]:[Under Votes]])</f>
        <v>24</v>
      </c>
      <c r="K1126"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1126" s="100">
        <f>IF(AND(SamplingData[[#This Row],[Total]]&lt;&gt; 0, NOT(ISBLANK(SamplingData[[#This Row],[Candidate 3]]))),(SamplingData[[#This Row],[Total]]+SamplingData[[#This Row],[Winning Candidate]]-SamplingData[[#This Row],[Candidate 3]])/(SamplingData[[#Totals],[Winning Candidate]]-SamplingData[[#Totals],[Candidate 3]]), 0)</f>
        <v>1.0646191566925831E-3</v>
      </c>
      <c r="M1126" s="100">
        <f>IF(AND(SamplingData[[#This Row],[Total]]&lt;&gt; 0, NOT(ISBLANK(SamplingData[[#This Row],[Candidate 4]]))),(SamplingData[[#This Row],[Total]]+SamplingData[[#This Row],[Winning Candidate]]-SamplingData[[#This Row],[Candidate 4]])/(SamplingData[[#Totals],[Winning Candidate]]-SamplingData[[#Totals],[Candidate 4]]), 0)</f>
        <v>9.3542634979099071E-4</v>
      </c>
      <c r="N1126" s="100">
        <f>IF(AND(SamplingData[[#This Row],[Total]]&lt;&gt; 0, NOT(ISBLANK(SamplingData[[#This Row],[Candidate 5]]))),(SamplingData[[#This Row],[Total]]+SamplingData[[#This Row],[Winning Candidate]]-SamplingData[[#This Row],[Candidate 5]])/(SamplingData[[#Totals],[Winning Candidate]]-SamplingData[[#Totals],[Candidate 5]]), 0)</f>
        <v>8.5137436146922891E-4</v>
      </c>
      <c r="O1126" s="100">
        <f>IF(AND(SamplingData[[#This Row],[Total]]&lt;&gt; 0, NOT(ISBLANK(SamplingData[[#This Row],[Candidate 6]]))),(SamplingData[[#This Row],[Total]]+SamplingData[[#This Row],[Winning Candidate]]-SamplingData[[#This Row],[Candidate 6]])/(SamplingData[[#Totals],[Winning Candidate]]-SamplingData[[#Totals],[Candidate 6]]), 0)</f>
        <v>8.5112591800009726E-4</v>
      </c>
      <c r="P1126" s="100">
        <f>MAX(SamplingData[[#This Row],[Error Bound (up) - Max. possible relative overstatement - Losing Candidate]:[Error Bound (up) - Max. possible relative overstatement - Candidate 6]])</f>
        <v>1.6536011758941694E-3</v>
      </c>
      <c r="Q1126" s="100">
        <f>IF(SamplingData[[#This Row],[Max Error Bound (up)]] = 0,0,SamplingData[[#This Row],[Max Error Bound (up)]]/SamplingData[[#Totals],[Max Error Bound (up)]])</f>
        <v>2.6170960351803746E-4</v>
      </c>
      <c r="R1126" s="101">
        <f>SUM($Q$5:Q1126)</f>
        <v>0.28444446564364995</v>
      </c>
      <c r="S1126" s="100" t="str">
        <f t="array" ref="S1126">IF(SamplingData[[#This Row],[up/U Selection Probability]] = 0, "Zero", TEXT(SamplingData[[#This Row],[Lower Range]], REPT("0",LEN('General Info'!$B$40))) &amp; " - " &amp; TEXT(SamplingData[[#This Row],[Upper Range]], REPT("0",LEN('General Info'!$B$40))))</f>
        <v>28418 - 28443</v>
      </c>
      <c r="T1126" s="100">
        <f>SamplingData[[#This Row],[Upper Range]]-SamplingData[[#This Row],[Span]]</f>
        <v>28418.275865722797</v>
      </c>
      <c r="U1126" s="100">
        <f>IF(ISNUMBER('General Info'!$B$40), ((SamplingData[[#This Row],[up/U Selection Probability]]) * 'General Info'!$B$40) - 1, 0)</f>
        <v>25.170698642200229</v>
      </c>
      <c r="V1126" s="100">
        <f>IF(ISNUMBER('General Info'!$B$40), (SamplingData[[#This Row],[Running (cumulative) sum]] * ('General Info'!$B$40 -'General Info'!$B$41 + 1)) + 'General Info'!$B$41 - 1, 0)</f>
        <v>28443.446564364996</v>
      </c>
      <c r="W1126" s="100" t="str">
        <f>IF(ISERROR(MATCH(SamplingData[[#This Row],[Batch by Type (p)]],SelectedPrecincts[Batch Name], 0)), "", INDEX(SelectedPrecincts[Draw], MATCH(SamplingData[[#This Row],[Batch by Type (p)]],SelectedPrecincts[Batch Name], 0)))</f>
        <v/>
      </c>
      <c r="X1126" s="102">
        <f>IF(COUNTIF(SelectedPrecincts[Batch Name],SamplingData[[#This Row],[Batch by Type (p)]]) &lt;&gt; 0, COUNTIF(SelectedPrecincts[Batch Name],SamplingData[[#This Row],[Batch by Type (p)]]), 0)</f>
        <v>0</v>
      </c>
    </row>
    <row r="1127" spans="1:24" ht="15" customHeight="1">
      <c r="A1127" s="18" t="s">
        <v>1303</v>
      </c>
      <c r="B1127" s="18">
        <v>13</v>
      </c>
      <c r="C1127" s="18">
        <v>17</v>
      </c>
      <c r="D1127" s="16">
        <v>3</v>
      </c>
      <c r="E1127" s="16">
        <v>8</v>
      </c>
      <c r="F1127" s="37">
        <v>0</v>
      </c>
      <c r="G1127" s="37">
        <v>0</v>
      </c>
      <c r="H1127" s="17">
        <v>0</v>
      </c>
      <c r="I1127" s="17">
        <v>0</v>
      </c>
      <c r="J1127" s="99">
        <f>SUM(SamplingData[[#This Row],[Losing Candidate]:[Under Votes]])</f>
        <v>41</v>
      </c>
      <c r="K1127"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127" s="100">
        <f>IF(AND(SamplingData[[#This Row],[Total]]&lt;&gt; 0, NOT(ISBLANK(SamplingData[[#This Row],[Candidate 3]]))),(SamplingData[[#This Row],[Total]]+SamplingData[[#This Row],[Winning Candidate]]-SamplingData[[#This Row],[Candidate 3]])/(SamplingData[[#Totals],[Winning Candidate]]-SamplingData[[#Totals],[Candidate 3]]), 0)</f>
        <v>1.7743652611543052E-3</v>
      </c>
      <c r="M1127" s="100">
        <f>IF(AND(SamplingData[[#This Row],[Total]]&lt;&gt; 0, NOT(ISBLANK(SamplingData[[#This Row],[Candidate 4]]))),(SamplingData[[#This Row],[Total]]+SamplingData[[#This Row],[Winning Candidate]]-SamplingData[[#This Row],[Candidate 4]])/(SamplingData[[#Totals],[Winning Candidate]]-SamplingData[[#Totals],[Candidate 4]]), 0)</f>
        <v>1.4616036715484229E-3</v>
      </c>
      <c r="N1127" s="100">
        <f>IF(AND(SamplingData[[#This Row],[Total]]&lt;&gt; 0, NOT(ISBLANK(SamplingData[[#This Row],[Candidate 5]]))),(SamplingData[[#This Row],[Total]]+SamplingData[[#This Row],[Winning Candidate]]-SamplingData[[#This Row],[Candidate 5]])/(SamplingData[[#Totals],[Winning Candidate]]-SamplingData[[#Totals],[Candidate 5]]), 0)</f>
        <v>1.4108489418632937E-3</v>
      </c>
      <c r="O1127" s="100">
        <f>IF(AND(SamplingData[[#This Row],[Total]]&lt;&gt; 0, NOT(ISBLANK(SamplingData[[#This Row],[Candidate 6]]))),(SamplingData[[#This Row],[Total]]+SamplingData[[#This Row],[Winning Candidate]]-SamplingData[[#This Row],[Candidate 6]])/(SamplingData[[#Totals],[Winning Candidate]]-SamplingData[[#Totals],[Candidate 6]]), 0)</f>
        <v>1.4104372355430183E-3</v>
      </c>
      <c r="P1127" s="100">
        <f>MAX(SamplingData[[#This Row],[Error Bound (up) - Max. possible relative overstatement - Losing Candidate]:[Error Bound (up) - Max. possible relative overstatement - Candidate 6]])</f>
        <v>2.7560019598236157E-3</v>
      </c>
      <c r="Q1127" s="100">
        <f>IF(SamplingData[[#This Row],[Max Error Bound (up)]] = 0,0,SamplingData[[#This Row],[Max Error Bound (up)]]/SamplingData[[#Totals],[Max Error Bound (up)]])</f>
        <v>4.3618267253006237E-4</v>
      </c>
      <c r="R1127" s="101">
        <f>SUM($Q$5:Q1127)</f>
        <v>0.28488064831617999</v>
      </c>
      <c r="S1127" s="100" t="str">
        <f t="array" ref="S1127">IF(SamplingData[[#This Row],[up/U Selection Probability]] = 0, "Zero", TEXT(SamplingData[[#This Row],[Lower Range]], REPT("0",LEN('General Info'!$B$40))) &amp; " - " &amp; TEXT(SamplingData[[#This Row],[Upper Range]], REPT("0",LEN('General Info'!$B$40))))</f>
        <v>28444 - 28487</v>
      </c>
      <c r="T1127" s="100">
        <f>SamplingData[[#This Row],[Upper Range]]-SamplingData[[#This Row],[Span]]</f>
        <v>28444.447000547665</v>
      </c>
      <c r="U1127" s="100">
        <f>IF(ISNUMBER('General Info'!$B$40), ((SamplingData[[#This Row],[up/U Selection Probability]]) * 'General Info'!$B$40) - 1, 0)</f>
        <v>42.617831070333708</v>
      </c>
      <c r="V1127" s="100">
        <f>IF(ISNUMBER('General Info'!$B$40), (SamplingData[[#This Row],[Running (cumulative) sum]] * ('General Info'!$B$40 -'General Info'!$B$41 + 1)) + 'General Info'!$B$41 - 1, 0)</f>
        <v>28487.064831617998</v>
      </c>
      <c r="W1127" s="100" t="str">
        <f>IF(ISERROR(MATCH(SamplingData[[#This Row],[Batch by Type (p)]],SelectedPrecincts[Batch Name], 0)), "", INDEX(SelectedPrecincts[Draw], MATCH(SamplingData[[#This Row],[Batch by Type (p)]],SelectedPrecincts[Batch Name], 0)))</f>
        <v/>
      </c>
      <c r="X1127" s="102">
        <f>IF(COUNTIF(SelectedPrecincts[Batch Name],SamplingData[[#This Row],[Batch by Type (p)]]) &lt;&gt; 0, COUNTIF(SelectedPrecincts[Batch Name],SamplingData[[#This Row],[Batch by Type (p)]]), 0)</f>
        <v>0</v>
      </c>
    </row>
    <row r="1128" spans="1:24" ht="15" customHeight="1">
      <c r="A1128" s="18" t="s">
        <v>1304</v>
      </c>
      <c r="B1128" s="18">
        <v>8</v>
      </c>
      <c r="C1128" s="18">
        <v>9</v>
      </c>
      <c r="D1128" s="18">
        <v>3</v>
      </c>
      <c r="E1128" s="18">
        <v>2</v>
      </c>
      <c r="F1128" s="18">
        <v>0</v>
      </c>
      <c r="G1128" s="18">
        <v>0</v>
      </c>
      <c r="H1128" s="18">
        <v>0</v>
      </c>
      <c r="I1128" s="18">
        <v>0</v>
      </c>
      <c r="J1128" s="99">
        <f>SUM(SamplingData[[#This Row],[Losing Candidate]:[Under Votes]])</f>
        <v>22</v>
      </c>
      <c r="K1128"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128" s="100">
        <f>IF(AND(SamplingData[[#This Row],[Total]]&lt;&gt; 0, NOT(ISBLANK(SamplingData[[#This Row],[Candidate 3]]))),(SamplingData[[#This Row],[Total]]+SamplingData[[#This Row],[Winning Candidate]]-SamplingData[[#This Row],[Candidate 3]])/(SamplingData[[#Totals],[Winning Candidate]]-SamplingData[[#Totals],[Candidate 3]]), 0)</f>
        <v>9.0331322386037359E-4</v>
      </c>
      <c r="M1128" s="100">
        <f>IF(AND(SamplingData[[#This Row],[Total]]&lt;&gt; 0, NOT(ISBLANK(SamplingData[[#This Row],[Candidate 4]]))),(SamplingData[[#This Row],[Total]]+SamplingData[[#This Row],[Winning Candidate]]-SamplingData[[#This Row],[Candidate 4]])/(SamplingData[[#Totals],[Winning Candidate]]-SamplingData[[#Totals],[Candidate 4]]), 0)</f>
        <v>8.4773012949808531E-4</v>
      </c>
      <c r="N1128" s="100">
        <f>IF(AND(SamplingData[[#This Row],[Total]]&lt;&gt; 0, NOT(ISBLANK(SamplingData[[#This Row],[Candidate 5]]))),(SamplingData[[#This Row],[Total]]+SamplingData[[#This Row],[Winning Candidate]]-SamplingData[[#This Row],[Candidate 5]])/(SamplingData[[#Totals],[Winning Candidate]]-SamplingData[[#Totals],[Candidate 5]]), 0)</f>
        <v>7.5407443444417419E-4</v>
      </c>
      <c r="O1128" s="100">
        <f>IF(AND(SamplingData[[#This Row],[Total]]&lt;&gt; 0, NOT(ISBLANK(SamplingData[[#This Row],[Candidate 6]]))),(SamplingData[[#This Row],[Total]]+SamplingData[[#This Row],[Winning Candidate]]-SamplingData[[#This Row],[Candidate 6]])/(SamplingData[[#Totals],[Winning Candidate]]-SamplingData[[#Totals],[Candidate 6]]), 0)</f>
        <v>7.5385438451437182E-4</v>
      </c>
      <c r="P1128" s="100">
        <f>MAX(SamplingData[[#This Row],[Error Bound (up) - Max. possible relative overstatement - Losing Candidate]:[Error Bound (up) - Max. possible relative overstatement - Candidate 6]])</f>
        <v>1.408623223909848E-3</v>
      </c>
      <c r="Q1128" s="100">
        <f>IF(SamplingData[[#This Row],[Max Error Bound (up)]] = 0,0,SamplingData[[#This Row],[Max Error Bound (up)]]/SamplingData[[#Totals],[Max Error Bound (up)]])</f>
        <v>2.229378104042541E-4</v>
      </c>
      <c r="R1128" s="101">
        <f>SUM($Q$5:Q1128)</f>
        <v>0.28510358612658426</v>
      </c>
      <c r="S1128" s="100" t="str">
        <f t="array" ref="S1128">IF(SamplingData[[#This Row],[up/U Selection Probability]] = 0, "Zero", TEXT(SamplingData[[#This Row],[Lower Range]], REPT("0",LEN('General Info'!$B$40))) &amp; " - " &amp; TEXT(SamplingData[[#This Row],[Upper Range]], REPT("0",LEN('General Info'!$B$40))))</f>
        <v>28488 - 28509</v>
      </c>
      <c r="T1128" s="100">
        <f>SamplingData[[#This Row],[Upper Range]]-SamplingData[[#This Row],[Span]]</f>
        <v>28488.065054555813</v>
      </c>
      <c r="U1128" s="100">
        <f>IF(ISNUMBER('General Info'!$B$40), ((SamplingData[[#This Row],[up/U Selection Probability]]) * 'General Info'!$B$40) - 1, 0)</f>
        <v>21.293558102615005</v>
      </c>
      <c r="V1128" s="100">
        <f>IF(ISNUMBER('General Info'!$B$40), (SamplingData[[#This Row],[Running (cumulative) sum]] * ('General Info'!$B$40 -'General Info'!$B$41 + 1)) + 'General Info'!$B$41 - 1, 0)</f>
        <v>28509.358612658427</v>
      </c>
      <c r="W1128" s="100" t="str">
        <f>IF(ISERROR(MATCH(SamplingData[[#This Row],[Batch by Type (p)]],SelectedPrecincts[Batch Name], 0)), "", INDEX(SelectedPrecincts[Draw], MATCH(SamplingData[[#This Row],[Batch by Type (p)]],SelectedPrecincts[Batch Name], 0)))</f>
        <v/>
      </c>
      <c r="X1128" s="102">
        <f>IF(COUNTIF(SelectedPrecincts[Batch Name],SamplingData[[#This Row],[Batch by Type (p)]]) &lt;&gt; 0, COUNTIF(SelectedPrecincts[Batch Name],SamplingData[[#This Row],[Batch by Type (p)]]), 0)</f>
        <v>0</v>
      </c>
    </row>
    <row r="1129" spans="1:24" ht="15" customHeight="1">
      <c r="A1129" s="18" t="s">
        <v>1305</v>
      </c>
      <c r="B1129" s="18">
        <v>15</v>
      </c>
      <c r="C1129" s="18">
        <v>16</v>
      </c>
      <c r="D1129" s="16">
        <v>6</v>
      </c>
      <c r="E1129" s="16">
        <v>4</v>
      </c>
      <c r="F1129" s="37">
        <v>0</v>
      </c>
      <c r="G1129" s="37">
        <v>0</v>
      </c>
      <c r="H1129" s="17">
        <v>0</v>
      </c>
      <c r="I1129" s="17">
        <v>1</v>
      </c>
      <c r="J1129" s="99">
        <f>SUM(SamplingData[[#This Row],[Losing Candidate]:[Under Votes]])</f>
        <v>42</v>
      </c>
      <c r="K1129"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1129" s="100">
        <f>IF(AND(SamplingData[[#This Row],[Total]]&lt;&gt; 0, NOT(ISBLANK(SamplingData[[#This Row],[Candidate 3]]))),(SamplingData[[#This Row],[Total]]+SamplingData[[#This Row],[Winning Candidate]]-SamplingData[[#This Row],[Candidate 3]])/(SamplingData[[#Totals],[Winning Candidate]]-SamplingData[[#Totals],[Candidate 3]]), 0)</f>
        <v>1.6775817014549794E-3</v>
      </c>
      <c r="M1129" s="100">
        <f>IF(AND(SamplingData[[#This Row],[Total]]&lt;&gt; 0, NOT(ISBLANK(SamplingData[[#This Row],[Candidate 4]]))),(SamplingData[[#This Row],[Total]]+SamplingData[[#This Row],[Winning Candidate]]-SamplingData[[#This Row],[Candidate 4]])/(SamplingData[[#Totals],[Winning Candidate]]-SamplingData[[#Totals],[Candidate 4]]), 0)</f>
        <v>1.5785319652722968E-3</v>
      </c>
      <c r="N1129" s="100">
        <f>IF(AND(SamplingData[[#This Row],[Total]]&lt;&gt; 0, NOT(ISBLANK(SamplingData[[#This Row],[Candidate 5]]))),(SamplingData[[#This Row],[Total]]+SamplingData[[#This Row],[Winning Candidate]]-SamplingData[[#This Row],[Candidate 5]])/(SamplingData[[#Totals],[Winning Candidate]]-SamplingData[[#Totals],[Candidate 5]]), 0)</f>
        <v>1.4108489418632937E-3</v>
      </c>
      <c r="O1129" s="100">
        <f>IF(AND(SamplingData[[#This Row],[Total]]&lt;&gt; 0, NOT(ISBLANK(SamplingData[[#This Row],[Candidate 6]]))),(SamplingData[[#This Row],[Total]]+SamplingData[[#This Row],[Winning Candidate]]-SamplingData[[#This Row],[Candidate 6]])/(SamplingData[[#Totals],[Winning Candidate]]-SamplingData[[#Totals],[Candidate 6]]), 0)</f>
        <v>1.4104372355430183E-3</v>
      </c>
      <c r="P1129" s="100">
        <f>MAX(SamplingData[[#This Row],[Error Bound (up) - Max. possible relative overstatement - Losing Candidate]:[Error Bound (up) - Max. possible relative overstatement - Candidate 6]])</f>
        <v>2.6335129838314553E-3</v>
      </c>
      <c r="Q1129" s="100">
        <f>IF(SamplingData[[#This Row],[Max Error Bound (up)]] = 0,0,SamplingData[[#This Row],[Max Error Bound (up)]]/SamplingData[[#Totals],[Max Error Bound (up)]])</f>
        <v>4.167967759731708E-4</v>
      </c>
      <c r="R1129" s="101">
        <f>SUM($Q$5:Q1129)</f>
        <v>0.28552038290255743</v>
      </c>
      <c r="S1129" s="100" t="str">
        <f t="array" ref="S1129">IF(SamplingData[[#This Row],[up/U Selection Probability]] = 0, "Zero", TEXT(SamplingData[[#This Row],[Lower Range]], REPT("0",LEN('General Info'!$B$40))) &amp; " - " &amp; TEXT(SamplingData[[#This Row],[Upper Range]], REPT("0",LEN('General Info'!$B$40))))</f>
        <v>28510 - 28551</v>
      </c>
      <c r="T1129" s="100">
        <f>SamplingData[[#This Row],[Upper Range]]-SamplingData[[#This Row],[Span]]</f>
        <v>28510.359029455201</v>
      </c>
      <c r="U1129" s="100">
        <f>IF(ISNUMBER('General Info'!$B$40), ((SamplingData[[#This Row],[up/U Selection Probability]]) * 'General Info'!$B$40) - 1, 0)</f>
        <v>40.679260800541108</v>
      </c>
      <c r="V1129" s="100">
        <f>IF(ISNUMBER('General Info'!$B$40), (SamplingData[[#This Row],[Running (cumulative) sum]] * ('General Info'!$B$40 -'General Info'!$B$41 + 1)) + 'General Info'!$B$41 - 1, 0)</f>
        <v>28551.038290255743</v>
      </c>
      <c r="W1129" s="100" t="str">
        <f>IF(ISERROR(MATCH(SamplingData[[#This Row],[Batch by Type (p)]],SelectedPrecincts[Batch Name], 0)), "", INDEX(SelectedPrecincts[Draw], MATCH(SamplingData[[#This Row],[Batch by Type (p)]],SelectedPrecincts[Batch Name], 0)))</f>
        <v/>
      </c>
      <c r="X1129" s="102">
        <f>IF(COUNTIF(SelectedPrecincts[Batch Name],SamplingData[[#This Row],[Batch by Type (p)]]) &lt;&gt; 0, COUNTIF(SelectedPrecincts[Batch Name],SamplingData[[#This Row],[Batch by Type (p)]]), 0)</f>
        <v>0</v>
      </c>
    </row>
    <row r="1130" spans="1:24" ht="15" customHeight="1">
      <c r="A1130" s="18" t="s">
        <v>1306</v>
      </c>
      <c r="B1130" s="18">
        <v>8</v>
      </c>
      <c r="C1130" s="18">
        <v>5</v>
      </c>
      <c r="D1130" s="18">
        <v>1</v>
      </c>
      <c r="E1130" s="18">
        <v>0</v>
      </c>
      <c r="F1130" s="18">
        <v>0</v>
      </c>
      <c r="G1130" s="18">
        <v>0</v>
      </c>
      <c r="H1130" s="18">
        <v>0</v>
      </c>
      <c r="I1130" s="18">
        <v>0</v>
      </c>
      <c r="J1130" s="99">
        <f>SUM(SamplingData[[#This Row],[Losing Candidate]:[Under Votes]])</f>
        <v>14</v>
      </c>
      <c r="K1130"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130" s="100">
        <f>IF(AND(SamplingData[[#This Row],[Total]]&lt;&gt; 0, NOT(ISBLANK(SamplingData[[#This Row],[Candidate 3]]))),(SamplingData[[#This Row],[Total]]+SamplingData[[#This Row],[Winning Candidate]]-SamplingData[[#This Row],[Candidate 3]])/(SamplingData[[#Totals],[Winning Candidate]]-SamplingData[[#Totals],[Candidate 3]]), 0)</f>
        <v>5.8070135819595443E-4</v>
      </c>
      <c r="M1130" s="100">
        <f>IF(AND(SamplingData[[#This Row],[Total]]&lt;&gt; 0, NOT(ISBLANK(SamplingData[[#This Row],[Candidate 4]]))),(SamplingData[[#This Row],[Total]]+SamplingData[[#This Row],[Winning Candidate]]-SamplingData[[#This Row],[Candidate 4]])/(SamplingData[[#Totals],[Winning Candidate]]-SamplingData[[#Totals],[Candidate 4]]), 0)</f>
        <v>5.5540939518840076E-4</v>
      </c>
      <c r="N1130" s="100">
        <f>IF(AND(SamplingData[[#This Row],[Total]]&lt;&gt; 0, NOT(ISBLANK(SamplingData[[#This Row],[Candidate 5]]))),(SamplingData[[#This Row],[Total]]+SamplingData[[#This Row],[Winning Candidate]]-SamplingData[[#This Row],[Candidate 5]])/(SamplingData[[#Totals],[Winning Candidate]]-SamplingData[[#Totals],[Candidate 5]]), 0)</f>
        <v>4.6217465336900997E-4</v>
      </c>
      <c r="O1130" s="100">
        <f>IF(AND(SamplingData[[#This Row],[Total]]&lt;&gt; 0, NOT(ISBLANK(SamplingData[[#This Row],[Candidate 6]]))),(SamplingData[[#This Row],[Total]]+SamplingData[[#This Row],[Winning Candidate]]-SamplingData[[#This Row],[Candidate 6]])/(SamplingData[[#Totals],[Winning Candidate]]-SamplingData[[#Totals],[Candidate 6]]), 0)</f>
        <v>4.6203978405719566E-4</v>
      </c>
      <c r="P1130" s="100">
        <f>MAX(SamplingData[[#This Row],[Error Bound (up) - Max. possible relative overstatement - Losing Candidate]:[Error Bound (up) - Max. possible relative overstatement - Candidate 6]])</f>
        <v>6.7368936795688392E-4</v>
      </c>
      <c r="Q1130" s="100">
        <f>IF(SamplingData[[#This Row],[Max Error Bound (up)]] = 0,0,SamplingData[[#This Row],[Max Error Bound (up)]]/SamplingData[[#Totals],[Max Error Bound (up)]])</f>
        <v>1.0662243106290416E-4</v>
      </c>
      <c r="R1130" s="101">
        <f>SUM($Q$5:Q1130)</f>
        <v>0.28562700533362034</v>
      </c>
      <c r="S1130" s="100" t="str">
        <f t="array" ref="S1130">IF(SamplingData[[#This Row],[up/U Selection Probability]] = 0, "Zero", TEXT(SamplingData[[#This Row],[Lower Range]], REPT("0",LEN('General Info'!$B$40))) &amp; " - " &amp; TEXT(SamplingData[[#This Row],[Upper Range]], REPT("0",LEN('General Info'!$B$40))))</f>
        <v>28552 - 28562</v>
      </c>
      <c r="T1130" s="100">
        <f>SamplingData[[#This Row],[Upper Range]]-SamplingData[[#This Row],[Span]]</f>
        <v>28552.038396878172</v>
      </c>
      <c r="U1130" s="100">
        <f>IF(ISNUMBER('General Info'!$B$40), ((SamplingData[[#This Row],[up/U Selection Probability]]) * 'General Info'!$B$40) - 1, 0)</f>
        <v>9.6621364838593529</v>
      </c>
      <c r="V1130" s="100">
        <f>IF(ISNUMBER('General Info'!$B$40), (SamplingData[[#This Row],[Running (cumulative) sum]] * ('General Info'!$B$40 -'General Info'!$B$41 + 1)) + 'General Info'!$B$41 - 1, 0)</f>
        <v>28561.700533362033</v>
      </c>
      <c r="W1130" s="100" t="str">
        <f>IF(ISERROR(MATCH(SamplingData[[#This Row],[Batch by Type (p)]],SelectedPrecincts[Batch Name], 0)), "", INDEX(SelectedPrecincts[Draw], MATCH(SamplingData[[#This Row],[Batch by Type (p)]],SelectedPrecincts[Batch Name], 0)))</f>
        <v/>
      </c>
      <c r="X1130" s="102">
        <f>IF(COUNTIF(SelectedPrecincts[Batch Name],SamplingData[[#This Row],[Batch by Type (p)]]) &lt;&gt; 0, COUNTIF(SelectedPrecincts[Batch Name],SamplingData[[#This Row],[Batch by Type (p)]]), 0)</f>
        <v>0</v>
      </c>
    </row>
    <row r="1131" spans="1:24" ht="15" customHeight="1">
      <c r="A1131" s="18" t="s">
        <v>1307</v>
      </c>
      <c r="B1131" s="18">
        <v>8</v>
      </c>
      <c r="C1131" s="18">
        <v>12</v>
      </c>
      <c r="D1131" s="16">
        <v>2</v>
      </c>
      <c r="E1131" s="16">
        <v>1</v>
      </c>
      <c r="F1131" s="37">
        <v>0</v>
      </c>
      <c r="G1131" s="37">
        <v>0</v>
      </c>
      <c r="H1131" s="17">
        <v>0</v>
      </c>
      <c r="I1131" s="17">
        <v>0</v>
      </c>
      <c r="J1131" s="99">
        <f>SUM(SamplingData[[#This Row],[Losing Candidate]:[Under Votes]])</f>
        <v>23</v>
      </c>
      <c r="K1131"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1131" s="100">
        <f>IF(AND(SamplingData[[#This Row],[Total]]&lt;&gt; 0, NOT(ISBLANK(SamplingData[[#This Row],[Candidate 3]]))),(SamplingData[[#This Row],[Total]]+SamplingData[[#This Row],[Winning Candidate]]-SamplingData[[#This Row],[Candidate 3]])/(SamplingData[[#Totals],[Winning Candidate]]-SamplingData[[#Totals],[Candidate 3]]), 0)</f>
        <v>1.0646191566925831E-3</v>
      </c>
      <c r="M1131" s="100">
        <f>IF(AND(SamplingData[[#This Row],[Total]]&lt;&gt; 0, NOT(ISBLANK(SamplingData[[#This Row],[Candidate 4]]))),(SamplingData[[#This Row],[Total]]+SamplingData[[#This Row],[Winning Candidate]]-SamplingData[[#This Row],[Candidate 4]])/(SamplingData[[#Totals],[Winning Candidate]]-SamplingData[[#Totals],[Candidate 4]]), 0)</f>
        <v>9.9389049665292765E-4</v>
      </c>
      <c r="N1131" s="100">
        <f>IF(AND(SamplingData[[#This Row],[Total]]&lt;&gt; 0, NOT(ISBLANK(SamplingData[[#This Row],[Candidate 5]]))),(SamplingData[[#This Row],[Total]]+SamplingData[[#This Row],[Winning Candidate]]-SamplingData[[#This Row],[Candidate 5]])/(SamplingData[[#Totals],[Winning Candidate]]-SamplingData[[#Totals],[Candidate 5]]), 0)</f>
        <v>8.5137436146922891E-4</v>
      </c>
      <c r="O1131" s="100">
        <f>IF(AND(SamplingData[[#This Row],[Total]]&lt;&gt; 0, NOT(ISBLANK(SamplingData[[#This Row],[Candidate 6]]))),(SamplingData[[#This Row],[Total]]+SamplingData[[#This Row],[Winning Candidate]]-SamplingData[[#This Row],[Candidate 6]])/(SamplingData[[#Totals],[Winning Candidate]]-SamplingData[[#Totals],[Candidate 6]]), 0)</f>
        <v>8.5112591800009726E-4</v>
      </c>
      <c r="P1131" s="100">
        <f>MAX(SamplingData[[#This Row],[Error Bound (up) - Max. possible relative overstatement - Losing Candidate]:[Error Bound (up) - Max. possible relative overstatement - Candidate 6]])</f>
        <v>1.6536011758941694E-3</v>
      </c>
      <c r="Q1131" s="100">
        <f>IF(SamplingData[[#This Row],[Max Error Bound (up)]] = 0,0,SamplingData[[#This Row],[Max Error Bound (up)]]/SamplingData[[#Totals],[Max Error Bound (up)]])</f>
        <v>2.6170960351803746E-4</v>
      </c>
      <c r="R1131" s="101">
        <f>SUM($Q$5:Q1131)</f>
        <v>0.28588871493713836</v>
      </c>
      <c r="S1131" s="100" t="str">
        <f t="array" ref="S1131">IF(SamplingData[[#This Row],[up/U Selection Probability]] = 0, "Zero", TEXT(SamplingData[[#This Row],[Lower Range]], REPT("0",LEN('General Info'!$B$40))) &amp; " - " &amp; TEXT(SamplingData[[#This Row],[Upper Range]], REPT("0",LEN('General Info'!$B$40))))</f>
        <v>28563 - 28588</v>
      </c>
      <c r="T1131" s="100">
        <f>SamplingData[[#This Row],[Upper Range]]-SamplingData[[#This Row],[Span]]</f>
        <v>28562.700795071636</v>
      </c>
      <c r="U1131" s="100">
        <f>IF(ISNUMBER('General Info'!$B$40), ((SamplingData[[#This Row],[up/U Selection Probability]]) * 'General Info'!$B$40) - 1, 0)</f>
        <v>25.170698642200229</v>
      </c>
      <c r="V1131" s="100">
        <f>IF(ISNUMBER('General Info'!$B$40), (SamplingData[[#This Row],[Running (cumulative) sum]] * ('General Info'!$B$40 -'General Info'!$B$41 + 1)) + 'General Info'!$B$41 - 1, 0)</f>
        <v>28587.871493713836</v>
      </c>
      <c r="W1131" s="100" t="str">
        <f>IF(ISERROR(MATCH(SamplingData[[#This Row],[Batch by Type (p)]],SelectedPrecincts[Batch Name], 0)), "", INDEX(SelectedPrecincts[Draw], MATCH(SamplingData[[#This Row],[Batch by Type (p)]],SelectedPrecincts[Batch Name], 0)))</f>
        <v/>
      </c>
      <c r="X1131" s="102">
        <f>IF(COUNTIF(SelectedPrecincts[Batch Name],SamplingData[[#This Row],[Batch by Type (p)]]) &lt;&gt; 0, COUNTIF(SelectedPrecincts[Batch Name],SamplingData[[#This Row],[Batch by Type (p)]]), 0)</f>
        <v>0</v>
      </c>
    </row>
    <row r="1132" spans="1:24" ht="15" customHeight="1">
      <c r="A1132" s="18" t="s">
        <v>1308</v>
      </c>
      <c r="B1132" s="18">
        <v>7</v>
      </c>
      <c r="C1132" s="18">
        <v>1</v>
      </c>
      <c r="D1132" s="18">
        <v>1</v>
      </c>
      <c r="E1132" s="18">
        <v>0</v>
      </c>
      <c r="F1132" s="18">
        <v>0</v>
      </c>
      <c r="G1132" s="18">
        <v>0</v>
      </c>
      <c r="H1132" s="18">
        <v>0</v>
      </c>
      <c r="I1132" s="18">
        <v>0</v>
      </c>
      <c r="J1132" s="99">
        <f>SUM(SamplingData[[#This Row],[Losing Candidate]:[Under Votes]])</f>
        <v>9</v>
      </c>
      <c r="K1132"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132" s="100">
        <f>IF(AND(SamplingData[[#This Row],[Total]]&lt;&gt; 0, NOT(ISBLANK(SamplingData[[#This Row],[Candidate 3]]))),(SamplingData[[#This Row],[Total]]+SamplingData[[#This Row],[Winning Candidate]]-SamplingData[[#This Row],[Candidate 3]])/(SamplingData[[#Totals],[Winning Candidate]]-SamplingData[[#Totals],[Candidate 3]]), 0)</f>
        <v>2.9035067909797722E-4</v>
      </c>
      <c r="M1132" s="100">
        <f>IF(AND(SamplingData[[#This Row],[Total]]&lt;&gt; 0, NOT(ISBLANK(SamplingData[[#This Row],[Candidate 4]]))),(SamplingData[[#This Row],[Total]]+SamplingData[[#This Row],[Winning Candidate]]-SamplingData[[#This Row],[Candidate 4]])/(SamplingData[[#Totals],[Winning Candidate]]-SamplingData[[#Totals],[Candidate 4]]), 0)</f>
        <v>2.9232073430968461E-4</v>
      </c>
      <c r="N1132" s="100">
        <f>IF(AND(SamplingData[[#This Row],[Total]]&lt;&gt; 0, NOT(ISBLANK(SamplingData[[#This Row],[Candidate 5]]))),(SamplingData[[#This Row],[Total]]+SamplingData[[#This Row],[Winning Candidate]]-SamplingData[[#This Row],[Candidate 5]])/(SamplingData[[#Totals],[Winning Candidate]]-SamplingData[[#Totals],[Candidate 5]]), 0)</f>
        <v>2.4324981756263683E-4</v>
      </c>
      <c r="O1132" s="100">
        <f>IF(AND(SamplingData[[#This Row],[Total]]&lt;&gt; 0, NOT(ISBLANK(SamplingData[[#This Row],[Candidate 6]]))),(SamplingData[[#This Row],[Total]]+SamplingData[[#This Row],[Winning Candidate]]-SamplingData[[#This Row],[Candidate 6]])/(SamplingData[[#Totals],[Winning Candidate]]-SamplingData[[#Totals],[Candidate 6]]), 0)</f>
        <v>2.431788337143135E-4</v>
      </c>
      <c r="P1132" s="100">
        <f>MAX(SamplingData[[#This Row],[Error Bound (up) - Max. possible relative overstatement - Losing Candidate]:[Error Bound (up) - Max. possible relative overstatement - Candidate 6]])</f>
        <v>2.9232073430968461E-4</v>
      </c>
      <c r="Q1132" s="100">
        <f>IF(SamplingData[[#This Row],[Max Error Bound (up)]] = 0,0,SamplingData[[#This Row],[Max Error Bound (up)]]/SamplingData[[#Totals],[Max Error Bound (up)]])</f>
        <v>4.6264567654846254E-5</v>
      </c>
      <c r="R1132" s="101">
        <f>SUM($Q$5:Q1132)</f>
        <v>0.28593497950479319</v>
      </c>
      <c r="S1132" s="100" t="str">
        <f t="array" ref="S1132">IF(SamplingData[[#This Row],[up/U Selection Probability]] = 0, "Zero", TEXT(SamplingData[[#This Row],[Lower Range]], REPT("0",LEN('General Info'!$B$40))) &amp; " - " &amp; TEXT(SamplingData[[#This Row],[Upper Range]], REPT("0",LEN('General Info'!$B$40))))</f>
        <v>28589 - 28592</v>
      </c>
      <c r="T1132" s="100">
        <f>SamplingData[[#This Row],[Upper Range]]-SamplingData[[#This Row],[Span]]</f>
        <v>28588.871539978401</v>
      </c>
      <c r="U1132" s="100">
        <f>IF(ISNUMBER('General Info'!$B$40), ((SamplingData[[#This Row],[up/U Selection Probability]]) * 'General Info'!$B$40) - 1, 0)</f>
        <v>3.6264105009169709</v>
      </c>
      <c r="V1132" s="100">
        <f>IF(ISNUMBER('General Info'!$B$40), (SamplingData[[#This Row],[Running (cumulative) sum]] * ('General Info'!$B$40 -'General Info'!$B$41 + 1)) + 'General Info'!$B$41 - 1, 0)</f>
        <v>28592.497950479319</v>
      </c>
      <c r="W1132" s="100" t="str">
        <f>IF(ISERROR(MATCH(SamplingData[[#This Row],[Batch by Type (p)]],SelectedPrecincts[Batch Name], 0)), "", INDEX(SelectedPrecincts[Draw], MATCH(SamplingData[[#This Row],[Batch by Type (p)]],SelectedPrecincts[Batch Name], 0)))</f>
        <v/>
      </c>
      <c r="X1132" s="102">
        <f>IF(COUNTIF(SelectedPrecincts[Batch Name],SamplingData[[#This Row],[Batch by Type (p)]]) &lt;&gt; 0, COUNTIF(SelectedPrecincts[Batch Name],SamplingData[[#This Row],[Batch by Type (p)]]), 0)</f>
        <v>0</v>
      </c>
    </row>
    <row r="1133" spans="1:24" ht="15" customHeight="1">
      <c r="A1133" s="18" t="s">
        <v>1309</v>
      </c>
      <c r="B1133" s="18">
        <v>3</v>
      </c>
      <c r="C1133" s="18">
        <v>2</v>
      </c>
      <c r="D1133" s="16">
        <v>1</v>
      </c>
      <c r="E1133" s="16">
        <v>0</v>
      </c>
      <c r="F1133" s="37">
        <v>0</v>
      </c>
      <c r="G1133" s="37">
        <v>0</v>
      </c>
      <c r="H1133" s="17">
        <v>0</v>
      </c>
      <c r="I1133" s="17">
        <v>0</v>
      </c>
      <c r="J1133" s="99">
        <f>SUM(SamplingData[[#This Row],[Losing Candidate]:[Under Votes]])</f>
        <v>6</v>
      </c>
      <c r="K1133"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1133" s="100">
        <f>IF(AND(SamplingData[[#This Row],[Total]]&lt;&gt; 0, NOT(ISBLANK(SamplingData[[#This Row],[Candidate 3]]))),(SamplingData[[#This Row],[Total]]+SamplingData[[#This Row],[Winning Candidate]]-SamplingData[[#This Row],[Candidate 3]])/(SamplingData[[#Totals],[Winning Candidate]]-SamplingData[[#Totals],[Candidate 3]]), 0)</f>
        <v>2.258283059650934E-4</v>
      </c>
      <c r="M1133" s="100">
        <f>IF(AND(SamplingData[[#This Row],[Total]]&lt;&gt; 0, NOT(ISBLANK(SamplingData[[#This Row],[Candidate 4]]))),(SamplingData[[#This Row],[Total]]+SamplingData[[#This Row],[Winning Candidate]]-SamplingData[[#This Row],[Candidate 4]])/(SamplingData[[#Totals],[Winning Candidate]]-SamplingData[[#Totals],[Candidate 4]]), 0)</f>
        <v>2.3385658744774768E-4</v>
      </c>
      <c r="N1133" s="100">
        <f>IF(AND(SamplingData[[#This Row],[Total]]&lt;&gt; 0, NOT(ISBLANK(SamplingData[[#This Row],[Candidate 5]]))),(SamplingData[[#This Row],[Total]]+SamplingData[[#This Row],[Winning Candidate]]-SamplingData[[#This Row],[Candidate 5]])/(SamplingData[[#Totals],[Winning Candidate]]-SamplingData[[#Totals],[Candidate 5]]), 0)</f>
        <v>1.9459985405010947E-4</v>
      </c>
      <c r="O1133" s="100">
        <f>IF(AND(SamplingData[[#This Row],[Total]]&lt;&gt; 0, NOT(ISBLANK(SamplingData[[#This Row],[Candidate 6]]))),(SamplingData[[#This Row],[Total]]+SamplingData[[#This Row],[Winning Candidate]]-SamplingData[[#This Row],[Candidate 6]])/(SamplingData[[#Totals],[Winning Candidate]]-SamplingData[[#Totals],[Candidate 6]]), 0)</f>
        <v>1.945430669714508E-4</v>
      </c>
      <c r="P1133" s="100">
        <f>MAX(SamplingData[[#This Row],[Error Bound (up) - Max. possible relative overstatement - Losing Candidate]:[Error Bound (up) - Max. possible relative overstatement - Candidate 6]])</f>
        <v>3.0622243998040176E-4</v>
      </c>
      <c r="Q1133" s="100">
        <f>IF(SamplingData[[#This Row],[Max Error Bound (up)]] = 0,0,SamplingData[[#This Row],[Max Error Bound (up)]]/SamplingData[[#Totals],[Max Error Bound (up)]])</f>
        <v>4.8464741392229159E-5</v>
      </c>
      <c r="R1133" s="101">
        <f>SUM($Q$5:Q1133)</f>
        <v>0.28598344424618544</v>
      </c>
      <c r="S1133" s="100" t="str">
        <f t="array" ref="S1133">IF(SamplingData[[#This Row],[up/U Selection Probability]] = 0, "Zero", TEXT(SamplingData[[#This Row],[Lower Range]], REPT("0",LEN('General Info'!$B$40))) &amp; " - " &amp; TEXT(SamplingData[[#This Row],[Upper Range]], REPT("0",LEN('General Info'!$B$40))))</f>
        <v>28593 - 28597</v>
      </c>
      <c r="T1133" s="100">
        <f>SamplingData[[#This Row],[Upper Range]]-SamplingData[[#This Row],[Span]]</f>
        <v>28593.497998944062</v>
      </c>
      <c r="U1133" s="100">
        <f>IF(ISNUMBER('General Info'!$B$40), ((SamplingData[[#This Row],[up/U Selection Probability]]) * 'General Info'!$B$40) - 1, 0)</f>
        <v>3.8464256744815239</v>
      </c>
      <c r="V1133" s="100">
        <f>IF(ISNUMBER('General Info'!$B$40), (SamplingData[[#This Row],[Running (cumulative) sum]] * ('General Info'!$B$40 -'General Info'!$B$41 + 1)) + 'General Info'!$B$41 - 1, 0)</f>
        <v>28597.344424618543</v>
      </c>
      <c r="W1133" s="100" t="str">
        <f>IF(ISERROR(MATCH(SamplingData[[#This Row],[Batch by Type (p)]],SelectedPrecincts[Batch Name], 0)), "", INDEX(SelectedPrecincts[Draw], MATCH(SamplingData[[#This Row],[Batch by Type (p)]],SelectedPrecincts[Batch Name], 0)))</f>
        <v/>
      </c>
      <c r="X1133" s="102">
        <f>IF(COUNTIF(SelectedPrecincts[Batch Name],SamplingData[[#This Row],[Batch by Type (p)]]) &lt;&gt; 0, COUNTIF(SelectedPrecincts[Batch Name],SamplingData[[#This Row],[Batch by Type (p)]]), 0)</f>
        <v>0</v>
      </c>
    </row>
    <row r="1134" spans="1:24" ht="15" customHeight="1">
      <c r="A1134" s="18" t="s">
        <v>1310</v>
      </c>
      <c r="B1134" s="18">
        <v>0</v>
      </c>
      <c r="C1134" s="18">
        <v>0</v>
      </c>
      <c r="D1134" s="18">
        <v>0</v>
      </c>
      <c r="E1134" s="18">
        <v>2</v>
      </c>
      <c r="F1134" s="18">
        <v>0</v>
      </c>
      <c r="G1134" s="18">
        <v>0</v>
      </c>
      <c r="H1134" s="18">
        <v>0</v>
      </c>
      <c r="I1134" s="18">
        <v>0</v>
      </c>
      <c r="J1134" s="99">
        <f>SUM(SamplingData[[#This Row],[Losing Candidate]:[Under Votes]])</f>
        <v>2</v>
      </c>
      <c r="K113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134" s="100">
        <f>IF(AND(SamplingData[[#This Row],[Total]]&lt;&gt; 0, NOT(ISBLANK(SamplingData[[#This Row],[Candidate 3]]))),(SamplingData[[#This Row],[Total]]+SamplingData[[#This Row],[Winning Candidate]]-SamplingData[[#This Row],[Candidate 3]])/(SamplingData[[#Totals],[Winning Candidate]]-SamplingData[[#Totals],[Candidate 3]]), 0)</f>
        <v>6.4522373132883833E-5</v>
      </c>
      <c r="M1134" s="100">
        <f>IF(AND(SamplingData[[#This Row],[Total]]&lt;&gt; 0, NOT(ISBLANK(SamplingData[[#This Row],[Candidate 4]]))),(SamplingData[[#This Row],[Total]]+SamplingData[[#This Row],[Winning Candidate]]-SamplingData[[#This Row],[Candidate 4]])/(SamplingData[[#Totals],[Winning Candidate]]-SamplingData[[#Totals],[Candidate 4]]), 0)</f>
        <v>0</v>
      </c>
      <c r="N1134" s="100">
        <f>IF(AND(SamplingData[[#This Row],[Total]]&lt;&gt; 0, NOT(ISBLANK(SamplingData[[#This Row],[Candidate 5]]))),(SamplingData[[#This Row],[Total]]+SamplingData[[#This Row],[Winning Candidate]]-SamplingData[[#This Row],[Candidate 5]])/(SamplingData[[#Totals],[Winning Candidate]]-SamplingData[[#Totals],[Candidate 5]]), 0)</f>
        <v>4.8649963512527367E-5</v>
      </c>
      <c r="O1134" s="100">
        <f>IF(AND(SamplingData[[#This Row],[Total]]&lt;&gt; 0, NOT(ISBLANK(SamplingData[[#This Row],[Candidate 6]]))),(SamplingData[[#This Row],[Total]]+SamplingData[[#This Row],[Winning Candidate]]-SamplingData[[#This Row],[Candidate 6]])/(SamplingData[[#Totals],[Winning Candidate]]-SamplingData[[#Totals],[Candidate 6]]), 0)</f>
        <v>4.8635766742862701E-5</v>
      </c>
      <c r="P1134" s="100">
        <f>MAX(SamplingData[[#This Row],[Error Bound (up) - Max. possible relative overstatement - Losing Candidate]:[Error Bound (up) - Max. possible relative overstatement - Candidate 6]])</f>
        <v>1.224889759921607E-4</v>
      </c>
      <c r="Q1134" s="100">
        <f>IF(SamplingData[[#This Row],[Max Error Bound (up)]] = 0,0,SamplingData[[#This Row],[Max Error Bound (up)]]/SamplingData[[#Totals],[Max Error Bound (up)]])</f>
        <v>1.9385896556891663E-5</v>
      </c>
      <c r="R1134" s="101">
        <f>SUM($Q$5:Q1134)</f>
        <v>0.2860028301427423</v>
      </c>
      <c r="S1134" s="100" t="str">
        <f t="array" ref="S1134">IF(SamplingData[[#This Row],[up/U Selection Probability]] = 0, "Zero", TEXT(SamplingData[[#This Row],[Lower Range]], REPT("0",LEN('General Info'!$B$40))) &amp; " - " &amp; TEXT(SamplingData[[#This Row],[Upper Range]], REPT("0",LEN('General Info'!$B$40))))</f>
        <v>28598 - 28599</v>
      </c>
      <c r="T1134" s="100">
        <f>SamplingData[[#This Row],[Upper Range]]-SamplingData[[#This Row],[Span]]</f>
        <v>28598.34444400444</v>
      </c>
      <c r="U1134" s="100">
        <f>IF(ISNUMBER('General Info'!$B$40), ((SamplingData[[#This Row],[up/U Selection Probability]]) * 'General Info'!$B$40) - 1, 0)</f>
        <v>0.93857026979260949</v>
      </c>
      <c r="V1134" s="100">
        <f>IF(ISNUMBER('General Info'!$B$40), (SamplingData[[#This Row],[Running (cumulative) sum]] * ('General Info'!$B$40 -'General Info'!$B$41 + 1)) + 'General Info'!$B$41 - 1, 0)</f>
        <v>28599.283014274231</v>
      </c>
      <c r="W1134" s="100" t="str">
        <f>IF(ISERROR(MATCH(SamplingData[[#This Row],[Batch by Type (p)]],SelectedPrecincts[Batch Name], 0)), "", INDEX(SelectedPrecincts[Draw], MATCH(SamplingData[[#This Row],[Batch by Type (p)]],SelectedPrecincts[Batch Name], 0)))</f>
        <v/>
      </c>
      <c r="X1134" s="102">
        <f>IF(COUNTIF(SelectedPrecincts[Batch Name],SamplingData[[#This Row],[Batch by Type (p)]]) &lt;&gt; 0, COUNTIF(SelectedPrecincts[Batch Name],SamplingData[[#This Row],[Batch by Type (p)]]), 0)</f>
        <v>0</v>
      </c>
    </row>
    <row r="1135" spans="1:24" ht="15" customHeight="1">
      <c r="A1135" s="18" t="s">
        <v>1311</v>
      </c>
      <c r="B1135" s="18">
        <v>1</v>
      </c>
      <c r="C1135" s="18">
        <v>2</v>
      </c>
      <c r="D1135" s="16">
        <v>0</v>
      </c>
      <c r="E1135" s="16">
        <v>1</v>
      </c>
      <c r="F1135" s="37">
        <v>1</v>
      </c>
      <c r="G1135" s="37">
        <v>0</v>
      </c>
      <c r="H1135" s="17">
        <v>0</v>
      </c>
      <c r="I1135" s="17">
        <v>0</v>
      </c>
      <c r="J1135" s="99">
        <f>SUM(SamplingData[[#This Row],[Losing Candidate]:[Under Votes]])</f>
        <v>5</v>
      </c>
      <c r="K1135"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135" s="100">
        <f>IF(AND(SamplingData[[#This Row],[Total]]&lt;&gt; 0, NOT(ISBLANK(SamplingData[[#This Row],[Candidate 3]]))),(SamplingData[[#This Row],[Total]]+SamplingData[[#This Row],[Winning Candidate]]-SamplingData[[#This Row],[Candidate 3]])/(SamplingData[[#Totals],[Winning Candidate]]-SamplingData[[#Totals],[Candidate 3]]), 0)</f>
        <v>2.258283059650934E-4</v>
      </c>
      <c r="M1135" s="100">
        <f>IF(AND(SamplingData[[#This Row],[Total]]&lt;&gt; 0, NOT(ISBLANK(SamplingData[[#This Row],[Candidate 4]]))),(SamplingData[[#This Row],[Total]]+SamplingData[[#This Row],[Winning Candidate]]-SamplingData[[#This Row],[Candidate 4]])/(SamplingData[[#Totals],[Winning Candidate]]-SamplingData[[#Totals],[Candidate 4]]), 0)</f>
        <v>1.7539244058581075E-4</v>
      </c>
      <c r="N1135" s="100">
        <f>IF(AND(SamplingData[[#This Row],[Total]]&lt;&gt; 0, NOT(ISBLANK(SamplingData[[#This Row],[Candidate 5]]))),(SamplingData[[#This Row],[Total]]+SamplingData[[#This Row],[Winning Candidate]]-SamplingData[[#This Row],[Candidate 5]])/(SamplingData[[#Totals],[Winning Candidate]]-SamplingData[[#Totals],[Candidate 5]]), 0)</f>
        <v>1.4594989053758211E-4</v>
      </c>
      <c r="O1135" s="100">
        <f>IF(AND(SamplingData[[#This Row],[Total]]&lt;&gt; 0, NOT(ISBLANK(SamplingData[[#This Row],[Candidate 6]]))),(SamplingData[[#This Row],[Total]]+SamplingData[[#This Row],[Winning Candidate]]-SamplingData[[#This Row],[Candidate 6]])/(SamplingData[[#Totals],[Winning Candidate]]-SamplingData[[#Totals],[Candidate 6]]), 0)</f>
        <v>1.7022518360001944E-4</v>
      </c>
      <c r="P1135" s="100">
        <f>MAX(SamplingData[[#This Row],[Error Bound (up) - Max. possible relative overstatement - Losing Candidate]:[Error Bound (up) - Max. possible relative overstatement - Candidate 6]])</f>
        <v>3.6746692797648211E-4</v>
      </c>
      <c r="Q1135" s="100">
        <f>IF(SamplingData[[#This Row],[Max Error Bound (up)]] = 0,0,SamplingData[[#This Row],[Max Error Bound (up)]]/SamplingData[[#Totals],[Max Error Bound (up)]])</f>
        <v>5.8157689670674986E-5</v>
      </c>
      <c r="R1135" s="101">
        <f>SUM($Q$5:Q1135)</f>
        <v>0.28606098783241296</v>
      </c>
      <c r="S1135" s="100" t="str">
        <f t="array" ref="S1135">IF(SamplingData[[#This Row],[up/U Selection Probability]] = 0, "Zero", TEXT(SamplingData[[#This Row],[Lower Range]], REPT("0",LEN('General Info'!$B$40))) &amp; " - " &amp; TEXT(SamplingData[[#This Row],[Upper Range]], REPT("0",LEN('General Info'!$B$40))))</f>
        <v>28600 - 28605</v>
      </c>
      <c r="T1135" s="100">
        <f>SamplingData[[#This Row],[Upper Range]]-SamplingData[[#This Row],[Span]]</f>
        <v>28600.283072431921</v>
      </c>
      <c r="U1135" s="100">
        <f>IF(ISNUMBER('General Info'!$B$40), ((SamplingData[[#This Row],[up/U Selection Probability]]) * 'General Info'!$B$40) - 1, 0)</f>
        <v>4.815710809377828</v>
      </c>
      <c r="V1135" s="100">
        <f>IF(ISNUMBER('General Info'!$B$40), (SamplingData[[#This Row],[Running (cumulative) sum]] * ('General Info'!$B$40 -'General Info'!$B$41 + 1)) + 'General Info'!$B$41 - 1, 0)</f>
        <v>28605.098783241297</v>
      </c>
      <c r="W1135" s="100" t="str">
        <f>IF(ISERROR(MATCH(SamplingData[[#This Row],[Batch by Type (p)]],SelectedPrecincts[Batch Name], 0)), "", INDEX(SelectedPrecincts[Draw], MATCH(SamplingData[[#This Row],[Batch by Type (p)]],SelectedPrecincts[Batch Name], 0)))</f>
        <v/>
      </c>
      <c r="X1135" s="102">
        <f>IF(COUNTIF(SelectedPrecincts[Batch Name],SamplingData[[#This Row],[Batch by Type (p)]]) &lt;&gt; 0, COUNTIF(SelectedPrecincts[Batch Name],SamplingData[[#This Row],[Batch by Type (p)]]), 0)</f>
        <v>0</v>
      </c>
    </row>
    <row r="1136" spans="1:24" ht="15" customHeight="1">
      <c r="A1136" s="18" t="s">
        <v>1312</v>
      </c>
      <c r="B1136" s="18">
        <v>1</v>
      </c>
      <c r="C1136" s="18">
        <v>1</v>
      </c>
      <c r="D1136" s="18">
        <v>1</v>
      </c>
      <c r="E1136" s="18">
        <v>0</v>
      </c>
      <c r="F1136" s="18">
        <v>0</v>
      </c>
      <c r="G1136" s="18">
        <v>0</v>
      </c>
      <c r="H1136" s="18">
        <v>0</v>
      </c>
      <c r="I1136" s="18">
        <v>1</v>
      </c>
      <c r="J1136" s="99">
        <f>SUM(SamplingData[[#This Row],[Losing Candidate]:[Under Votes]])</f>
        <v>4</v>
      </c>
      <c r="K1136"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136" s="100">
        <f>IF(AND(SamplingData[[#This Row],[Total]]&lt;&gt; 0, NOT(ISBLANK(SamplingData[[#This Row],[Candidate 3]]))),(SamplingData[[#This Row],[Total]]+SamplingData[[#This Row],[Winning Candidate]]-SamplingData[[#This Row],[Candidate 3]])/(SamplingData[[#Totals],[Winning Candidate]]-SamplingData[[#Totals],[Candidate 3]]), 0)</f>
        <v>1.2904474626576767E-4</v>
      </c>
      <c r="M1136" s="100">
        <f>IF(AND(SamplingData[[#This Row],[Total]]&lt;&gt; 0, NOT(ISBLANK(SamplingData[[#This Row],[Candidate 4]]))),(SamplingData[[#This Row],[Total]]+SamplingData[[#This Row],[Winning Candidate]]-SamplingData[[#This Row],[Candidate 4]])/(SamplingData[[#Totals],[Winning Candidate]]-SamplingData[[#Totals],[Candidate 4]]), 0)</f>
        <v>1.4616036715484231E-4</v>
      </c>
      <c r="N1136" s="100">
        <f>IF(AND(SamplingData[[#This Row],[Total]]&lt;&gt; 0, NOT(ISBLANK(SamplingData[[#This Row],[Candidate 5]]))),(SamplingData[[#This Row],[Total]]+SamplingData[[#This Row],[Winning Candidate]]-SamplingData[[#This Row],[Candidate 5]])/(SamplingData[[#Totals],[Winning Candidate]]-SamplingData[[#Totals],[Candidate 5]]), 0)</f>
        <v>1.2162490878131841E-4</v>
      </c>
      <c r="O1136" s="100">
        <f>IF(AND(SamplingData[[#This Row],[Total]]&lt;&gt; 0, NOT(ISBLANK(SamplingData[[#This Row],[Candidate 6]]))),(SamplingData[[#This Row],[Total]]+SamplingData[[#This Row],[Winning Candidate]]-SamplingData[[#This Row],[Candidate 6]])/(SamplingData[[#Totals],[Winning Candidate]]-SamplingData[[#Totals],[Candidate 6]]), 0)</f>
        <v>1.2158941685715675E-4</v>
      </c>
      <c r="P1136" s="100">
        <f>MAX(SamplingData[[#This Row],[Error Bound (up) - Max. possible relative overstatement - Losing Candidate]:[Error Bound (up) - Max. possible relative overstatement - Candidate 6]])</f>
        <v>2.4497795198432141E-4</v>
      </c>
      <c r="Q1136" s="100">
        <f>IF(SamplingData[[#This Row],[Max Error Bound (up)]] = 0,0,SamplingData[[#This Row],[Max Error Bound (up)]]/SamplingData[[#Totals],[Max Error Bound (up)]])</f>
        <v>3.8771793113783326E-5</v>
      </c>
      <c r="R1136" s="101">
        <f>SUM($Q$5:Q1136)</f>
        <v>0.28609975962552675</v>
      </c>
      <c r="S1136" s="100" t="str">
        <f t="array" ref="S1136">IF(SamplingData[[#This Row],[up/U Selection Probability]] = 0, "Zero", TEXT(SamplingData[[#This Row],[Lower Range]], REPT("0",LEN('General Info'!$B$40))) &amp; " - " &amp; TEXT(SamplingData[[#This Row],[Upper Range]], REPT("0",LEN('General Info'!$B$40))))</f>
        <v>28606 - 28609</v>
      </c>
      <c r="T1136" s="100">
        <f>SamplingData[[#This Row],[Upper Range]]-SamplingData[[#This Row],[Span]]</f>
        <v>28606.098822013089</v>
      </c>
      <c r="U1136" s="100">
        <f>IF(ISNUMBER('General Info'!$B$40), ((SamplingData[[#This Row],[up/U Selection Probability]]) * 'General Info'!$B$40) - 1, 0)</f>
        <v>2.877140539585219</v>
      </c>
      <c r="V1136" s="100">
        <f>IF(ISNUMBER('General Info'!$B$40), (SamplingData[[#This Row],[Running (cumulative) sum]] * ('General Info'!$B$40 -'General Info'!$B$41 + 1)) + 'General Info'!$B$41 - 1, 0)</f>
        <v>28608.975962552675</v>
      </c>
      <c r="W1136" s="100" t="str">
        <f>IF(ISERROR(MATCH(SamplingData[[#This Row],[Batch by Type (p)]],SelectedPrecincts[Batch Name], 0)), "", INDEX(SelectedPrecincts[Draw], MATCH(SamplingData[[#This Row],[Batch by Type (p)]],SelectedPrecincts[Batch Name], 0)))</f>
        <v/>
      </c>
      <c r="X1136" s="102">
        <f>IF(COUNTIF(SelectedPrecincts[Batch Name],SamplingData[[#This Row],[Batch by Type (p)]]) &lt;&gt; 0, COUNTIF(SelectedPrecincts[Batch Name],SamplingData[[#This Row],[Batch by Type (p)]]), 0)</f>
        <v>0</v>
      </c>
    </row>
    <row r="1137" spans="1:24" ht="15" customHeight="1">
      <c r="A1137" s="18" t="s">
        <v>1313</v>
      </c>
      <c r="B1137" s="18">
        <v>1</v>
      </c>
      <c r="C1137" s="18">
        <v>3</v>
      </c>
      <c r="D1137" s="16">
        <v>3</v>
      </c>
      <c r="E1137" s="16">
        <v>1</v>
      </c>
      <c r="F1137" s="37">
        <v>0</v>
      </c>
      <c r="G1137" s="37">
        <v>0</v>
      </c>
      <c r="H1137" s="17">
        <v>0</v>
      </c>
      <c r="I1137" s="17">
        <v>0</v>
      </c>
      <c r="J1137" s="99">
        <f>SUM(SamplingData[[#This Row],[Losing Candidate]:[Under Votes]])</f>
        <v>8</v>
      </c>
      <c r="K1137"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1137" s="100">
        <f>IF(AND(SamplingData[[#This Row],[Total]]&lt;&gt; 0, NOT(ISBLANK(SamplingData[[#This Row],[Candidate 3]]))),(SamplingData[[#This Row],[Total]]+SamplingData[[#This Row],[Winning Candidate]]-SamplingData[[#This Row],[Candidate 3]])/(SamplingData[[#Totals],[Winning Candidate]]-SamplingData[[#Totals],[Candidate 3]]), 0)</f>
        <v>2.5808949253153533E-4</v>
      </c>
      <c r="M1137" s="100">
        <f>IF(AND(SamplingData[[#This Row],[Total]]&lt;&gt; 0, NOT(ISBLANK(SamplingData[[#This Row],[Candidate 4]]))),(SamplingData[[#This Row],[Total]]+SamplingData[[#This Row],[Winning Candidate]]-SamplingData[[#This Row],[Candidate 4]])/(SamplingData[[#Totals],[Winning Candidate]]-SamplingData[[#Totals],[Candidate 4]]), 0)</f>
        <v>2.9232073430968461E-4</v>
      </c>
      <c r="N1137" s="100">
        <f>IF(AND(SamplingData[[#This Row],[Total]]&lt;&gt; 0, NOT(ISBLANK(SamplingData[[#This Row],[Candidate 5]]))),(SamplingData[[#This Row],[Total]]+SamplingData[[#This Row],[Winning Candidate]]-SamplingData[[#This Row],[Candidate 5]])/(SamplingData[[#Totals],[Winning Candidate]]-SamplingData[[#Totals],[Candidate 5]]), 0)</f>
        <v>2.6757479931890053E-4</v>
      </c>
      <c r="O1137" s="100">
        <f>IF(AND(SamplingData[[#This Row],[Total]]&lt;&gt; 0, NOT(ISBLANK(SamplingData[[#This Row],[Candidate 6]]))),(SamplingData[[#This Row],[Total]]+SamplingData[[#This Row],[Winning Candidate]]-SamplingData[[#This Row],[Candidate 6]])/(SamplingData[[#Totals],[Winning Candidate]]-SamplingData[[#Totals],[Candidate 6]]), 0)</f>
        <v>2.6749671708574483E-4</v>
      </c>
      <c r="P1137" s="100">
        <f>MAX(SamplingData[[#This Row],[Error Bound (up) - Max. possible relative overstatement - Losing Candidate]:[Error Bound (up) - Max. possible relative overstatement - Candidate 6]])</f>
        <v>6.1244487996080352E-4</v>
      </c>
      <c r="Q1137" s="100">
        <f>IF(SamplingData[[#This Row],[Max Error Bound (up)]] = 0,0,SamplingData[[#This Row],[Max Error Bound (up)]]/SamplingData[[#Totals],[Max Error Bound (up)]])</f>
        <v>9.6929482784458319E-5</v>
      </c>
      <c r="R1137" s="101">
        <f>SUM($Q$5:Q1137)</f>
        <v>0.2861966891083112</v>
      </c>
      <c r="S1137" s="100" t="str">
        <f t="array" ref="S1137">IF(SamplingData[[#This Row],[up/U Selection Probability]] = 0, "Zero", TEXT(SamplingData[[#This Row],[Lower Range]], REPT("0",LEN('General Info'!$B$40))) &amp; " - " &amp; TEXT(SamplingData[[#This Row],[Upper Range]], REPT("0",LEN('General Info'!$B$40))))</f>
        <v>28610 - 28619</v>
      </c>
      <c r="T1137" s="100">
        <f>SamplingData[[#This Row],[Upper Range]]-SamplingData[[#This Row],[Span]]</f>
        <v>28609.976059482156</v>
      </c>
      <c r="U1137" s="100">
        <f>IF(ISNUMBER('General Info'!$B$40), ((SamplingData[[#This Row],[up/U Selection Probability]]) * 'General Info'!$B$40) - 1, 0)</f>
        <v>8.6928513489630479</v>
      </c>
      <c r="V1137" s="100">
        <f>IF(ISNUMBER('General Info'!$B$40), (SamplingData[[#This Row],[Running (cumulative) sum]] * ('General Info'!$B$40 -'General Info'!$B$41 + 1)) + 'General Info'!$B$41 - 1, 0)</f>
        <v>28618.668910831118</v>
      </c>
      <c r="W1137" s="100" t="str">
        <f>IF(ISERROR(MATCH(SamplingData[[#This Row],[Batch by Type (p)]],SelectedPrecincts[Batch Name], 0)), "", INDEX(SelectedPrecincts[Draw], MATCH(SamplingData[[#This Row],[Batch by Type (p)]],SelectedPrecincts[Batch Name], 0)))</f>
        <v/>
      </c>
      <c r="X1137" s="102">
        <f>IF(COUNTIF(SelectedPrecincts[Batch Name],SamplingData[[#This Row],[Batch by Type (p)]]) &lt;&gt; 0, COUNTIF(SelectedPrecincts[Batch Name],SamplingData[[#This Row],[Batch by Type (p)]]), 0)</f>
        <v>0</v>
      </c>
    </row>
    <row r="1138" spans="1:24" ht="15" customHeight="1">
      <c r="A1138" s="18" t="s">
        <v>1314</v>
      </c>
      <c r="B1138" s="18">
        <v>1</v>
      </c>
      <c r="C1138" s="18">
        <v>0</v>
      </c>
      <c r="D1138" s="18">
        <v>0</v>
      </c>
      <c r="E1138" s="18">
        <v>0</v>
      </c>
      <c r="F1138" s="18">
        <v>0</v>
      </c>
      <c r="G1138" s="18">
        <v>0</v>
      </c>
      <c r="H1138" s="18">
        <v>0</v>
      </c>
      <c r="I1138" s="18">
        <v>0</v>
      </c>
      <c r="J1138" s="99">
        <f>SUM(SamplingData[[#This Row],[Losing Candidate]:[Under Votes]])</f>
        <v>1</v>
      </c>
      <c r="K1138" s="100">
        <f>IF(AND(SamplingData[[#This Row],[Total]]&lt;&gt; 0, NOT(ISBLANK(SamplingData[[#This Row],[Losing Candidate]]))),(SamplingData[[#This Row],[Total]]+SamplingData[[#This Row],[Winning Candidate]]-SamplingData[[#This Row],[Losing Candidate]])/(SamplingData[[#Totals],[Winning Candidate]]-SamplingData[[#Totals],[Losing Candidate]]), 0)</f>
        <v>0</v>
      </c>
      <c r="L1138" s="100">
        <f>IF(AND(SamplingData[[#This Row],[Total]]&lt;&gt; 0, NOT(ISBLANK(SamplingData[[#This Row],[Candidate 3]]))),(SamplingData[[#This Row],[Total]]+SamplingData[[#This Row],[Winning Candidate]]-SamplingData[[#This Row],[Candidate 3]])/(SamplingData[[#Totals],[Winning Candidate]]-SamplingData[[#Totals],[Candidate 3]]), 0)</f>
        <v>3.2261186566441917E-5</v>
      </c>
      <c r="M1138" s="100">
        <f>IF(AND(SamplingData[[#This Row],[Total]]&lt;&gt; 0, NOT(ISBLANK(SamplingData[[#This Row],[Candidate 4]]))),(SamplingData[[#This Row],[Total]]+SamplingData[[#This Row],[Winning Candidate]]-SamplingData[[#This Row],[Candidate 4]])/(SamplingData[[#Totals],[Winning Candidate]]-SamplingData[[#Totals],[Candidate 4]]), 0)</f>
        <v>2.923207343096846E-5</v>
      </c>
      <c r="N1138" s="100">
        <f>IF(AND(SamplingData[[#This Row],[Total]]&lt;&gt; 0, NOT(ISBLANK(SamplingData[[#This Row],[Candidate 5]]))),(SamplingData[[#This Row],[Total]]+SamplingData[[#This Row],[Winning Candidate]]-SamplingData[[#This Row],[Candidate 5]])/(SamplingData[[#Totals],[Winning Candidate]]-SamplingData[[#Totals],[Candidate 5]]), 0)</f>
        <v>2.4324981756263683E-5</v>
      </c>
      <c r="O1138" s="100">
        <f>IF(AND(SamplingData[[#This Row],[Total]]&lt;&gt; 0, NOT(ISBLANK(SamplingData[[#This Row],[Candidate 6]]))),(SamplingData[[#This Row],[Total]]+SamplingData[[#This Row],[Winning Candidate]]-SamplingData[[#This Row],[Candidate 6]])/(SamplingData[[#Totals],[Winning Candidate]]-SamplingData[[#Totals],[Candidate 6]]), 0)</f>
        <v>2.431788337143135E-5</v>
      </c>
      <c r="P1138" s="100">
        <f>MAX(SamplingData[[#This Row],[Error Bound (up) - Max. possible relative overstatement - Losing Candidate]:[Error Bound (up) - Max. possible relative overstatement - Candidate 6]])</f>
        <v>3.2261186566441917E-5</v>
      </c>
      <c r="Q1138" s="100">
        <f>IF(SamplingData[[#This Row],[Max Error Bound (up)]] = 0,0,SamplingData[[#This Row],[Max Error Bound (up)]]/SamplingData[[#Totals],[Max Error Bound (up)]])</f>
        <v>5.1058637768320663E-6</v>
      </c>
      <c r="R1138" s="101">
        <f>SUM($Q$5:Q1138)</f>
        <v>0.28620179497208803</v>
      </c>
      <c r="S1138" s="100" t="str">
        <f t="array" ref="S1138">IF(SamplingData[[#This Row],[up/U Selection Probability]] = 0, "Zero", TEXT(SamplingData[[#This Row],[Lower Range]], REPT("0",LEN('General Info'!$B$40))) &amp; " - " &amp; TEXT(SamplingData[[#This Row],[Upper Range]], REPT("0",LEN('General Info'!$B$40))))</f>
        <v>28620 - 28619</v>
      </c>
      <c r="T1138" s="100">
        <f>SamplingData[[#This Row],[Upper Range]]-SamplingData[[#This Row],[Span]]</f>
        <v>28619.668915936982</v>
      </c>
      <c r="U1138" s="100">
        <f>IF(ISNUMBER('General Info'!$B$40), ((SamplingData[[#This Row],[up/U Selection Probability]]) * 'General Info'!$B$40) - 1, 0)</f>
        <v>-0.4894187281805702</v>
      </c>
      <c r="V1138" s="100">
        <f>IF(ISNUMBER('General Info'!$B$40), (SamplingData[[#This Row],[Running (cumulative) sum]] * ('General Info'!$B$40 -'General Info'!$B$41 + 1)) + 'General Info'!$B$41 - 1, 0)</f>
        <v>28619.179497208803</v>
      </c>
      <c r="W1138" s="100" t="str">
        <f>IF(ISERROR(MATCH(SamplingData[[#This Row],[Batch by Type (p)]],SelectedPrecincts[Batch Name], 0)), "", INDEX(SelectedPrecincts[Draw], MATCH(SamplingData[[#This Row],[Batch by Type (p)]],SelectedPrecincts[Batch Name], 0)))</f>
        <v/>
      </c>
      <c r="X1138" s="102">
        <f>IF(COUNTIF(SelectedPrecincts[Batch Name],SamplingData[[#This Row],[Batch by Type (p)]]) &lt;&gt; 0, COUNTIF(SelectedPrecincts[Batch Name],SamplingData[[#This Row],[Batch by Type (p)]]), 0)</f>
        <v>0</v>
      </c>
    </row>
    <row r="1139" spans="1:24" ht="15" customHeight="1">
      <c r="A1139" s="18" t="s">
        <v>1315</v>
      </c>
      <c r="B1139" s="18">
        <v>11</v>
      </c>
      <c r="C1139" s="18">
        <v>19</v>
      </c>
      <c r="D1139" s="16">
        <v>5</v>
      </c>
      <c r="E1139" s="16">
        <v>1</v>
      </c>
      <c r="F1139" s="37">
        <v>0</v>
      </c>
      <c r="G1139" s="37">
        <v>0</v>
      </c>
      <c r="H1139" s="17">
        <v>0</v>
      </c>
      <c r="I1139" s="17">
        <v>0</v>
      </c>
      <c r="J1139" s="99">
        <f>SUM(SamplingData[[#This Row],[Losing Candidate]:[Under Votes]])</f>
        <v>36</v>
      </c>
      <c r="K1139" s="100">
        <f>IF(AND(SamplingData[[#This Row],[Total]]&lt;&gt; 0, NOT(ISBLANK(SamplingData[[#This Row],[Losing Candidate]]))),(SamplingData[[#This Row],[Total]]+SamplingData[[#This Row],[Winning Candidate]]-SamplingData[[#This Row],[Losing Candidate]])/(SamplingData[[#Totals],[Winning Candidate]]-SamplingData[[#Totals],[Losing Candidate]]), 0)</f>
        <v>2.6947574718275357E-3</v>
      </c>
      <c r="L1139" s="100">
        <f>IF(AND(SamplingData[[#This Row],[Total]]&lt;&gt; 0, NOT(ISBLANK(SamplingData[[#This Row],[Candidate 3]]))),(SamplingData[[#This Row],[Total]]+SamplingData[[#This Row],[Winning Candidate]]-SamplingData[[#This Row],[Candidate 3]])/(SamplingData[[#Totals],[Winning Candidate]]-SamplingData[[#Totals],[Candidate 3]]), 0)</f>
        <v>1.6130593283220957E-3</v>
      </c>
      <c r="M1139" s="100">
        <f>IF(AND(SamplingData[[#This Row],[Total]]&lt;&gt; 0, NOT(ISBLANK(SamplingData[[#This Row],[Candidate 4]]))),(SamplingData[[#This Row],[Total]]+SamplingData[[#This Row],[Winning Candidate]]-SamplingData[[#This Row],[Candidate 4]])/(SamplingData[[#Totals],[Winning Candidate]]-SamplingData[[#Totals],[Candidate 4]]), 0)</f>
        <v>1.5785319652722968E-3</v>
      </c>
      <c r="N1139" s="100">
        <f>IF(AND(SamplingData[[#This Row],[Total]]&lt;&gt; 0, NOT(ISBLANK(SamplingData[[#This Row],[Candidate 5]]))),(SamplingData[[#This Row],[Total]]+SamplingData[[#This Row],[Winning Candidate]]-SamplingData[[#This Row],[Candidate 5]])/(SamplingData[[#Totals],[Winning Candidate]]-SamplingData[[#Totals],[Candidate 5]]), 0)</f>
        <v>1.3378739965945025E-3</v>
      </c>
      <c r="O1139" s="100">
        <f>IF(AND(SamplingData[[#This Row],[Total]]&lt;&gt; 0, NOT(ISBLANK(SamplingData[[#This Row],[Candidate 6]]))),(SamplingData[[#This Row],[Total]]+SamplingData[[#This Row],[Winning Candidate]]-SamplingData[[#This Row],[Candidate 6]])/(SamplingData[[#Totals],[Winning Candidate]]-SamplingData[[#Totals],[Candidate 6]]), 0)</f>
        <v>1.3374835854287244E-3</v>
      </c>
      <c r="P1139" s="100">
        <f>MAX(SamplingData[[#This Row],[Error Bound (up) - Max. possible relative overstatement - Losing Candidate]:[Error Bound (up) - Max. possible relative overstatement - Candidate 6]])</f>
        <v>2.6947574718275357E-3</v>
      </c>
      <c r="Q1139" s="100">
        <f>IF(SamplingData[[#This Row],[Max Error Bound (up)]] = 0,0,SamplingData[[#This Row],[Max Error Bound (up)]]/SamplingData[[#Totals],[Max Error Bound (up)]])</f>
        <v>4.2648972425161664E-4</v>
      </c>
      <c r="R1139" s="101">
        <f>SUM($Q$5:Q1139)</f>
        <v>0.28662828469633966</v>
      </c>
      <c r="S1139" s="100" t="str">
        <f t="array" ref="S1139">IF(SamplingData[[#This Row],[up/U Selection Probability]] = 0, "Zero", TEXT(SamplingData[[#This Row],[Lower Range]], REPT("0",LEN('General Info'!$B$40))) &amp; " - " &amp; TEXT(SamplingData[[#This Row],[Upper Range]], REPT("0",LEN('General Info'!$B$40))))</f>
        <v>28620 - 28662</v>
      </c>
      <c r="T1139" s="100">
        <f>SamplingData[[#This Row],[Upper Range]]-SamplingData[[#This Row],[Span]]</f>
        <v>28620.179923698528</v>
      </c>
      <c r="U1139" s="100">
        <f>IF(ISNUMBER('General Info'!$B$40), ((SamplingData[[#This Row],[up/U Selection Probability]]) * 'General Info'!$B$40) - 1, 0)</f>
        <v>41.648545935437411</v>
      </c>
      <c r="V1139" s="100">
        <f>IF(ISNUMBER('General Info'!$B$40), (SamplingData[[#This Row],[Running (cumulative) sum]] * ('General Info'!$B$40 -'General Info'!$B$41 + 1)) + 'General Info'!$B$41 - 1, 0)</f>
        <v>28661.828469633965</v>
      </c>
      <c r="W1139" s="100" t="str">
        <f>IF(ISERROR(MATCH(SamplingData[[#This Row],[Batch by Type (p)]],SelectedPrecincts[Batch Name], 0)), "", INDEX(SelectedPrecincts[Draw], MATCH(SamplingData[[#This Row],[Batch by Type (p)]],SelectedPrecincts[Batch Name], 0)))</f>
        <v/>
      </c>
      <c r="X1139" s="102">
        <f>IF(COUNTIF(SelectedPrecincts[Batch Name],SamplingData[[#This Row],[Batch by Type (p)]]) &lt;&gt; 0, COUNTIF(SelectedPrecincts[Batch Name],SamplingData[[#This Row],[Batch by Type (p)]]), 0)</f>
        <v>0</v>
      </c>
    </row>
    <row r="1140" spans="1:24" ht="15" customHeight="1">
      <c r="A1140" s="18" t="s">
        <v>1316</v>
      </c>
      <c r="B1140" s="18">
        <v>10</v>
      </c>
      <c r="C1140" s="18">
        <v>6</v>
      </c>
      <c r="D1140" s="18">
        <v>1</v>
      </c>
      <c r="E1140" s="18">
        <v>0</v>
      </c>
      <c r="F1140" s="18">
        <v>0</v>
      </c>
      <c r="G1140" s="18">
        <v>0</v>
      </c>
      <c r="H1140" s="18">
        <v>1</v>
      </c>
      <c r="I1140" s="18">
        <v>0</v>
      </c>
      <c r="J1140" s="99">
        <f>SUM(SamplingData[[#This Row],[Losing Candidate]:[Under Votes]])</f>
        <v>18</v>
      </c>
      <c r="K1140"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140" s="100">
        <f>IF(AND(SamplingData[[#This Row],[Total]]&lt;&gt; 0, NOT(ISBLANK(SamplingData[[#This Row],[Candidate 3]]))),(SamplingData[[#This Row],[Total]]+SamplingData[[#This Row],[Winning Candidate]]-SamplingData[[#This Row],[Candidate 3]])/(SamplingData[[#Totals],[Winning Candidate]]-SamplingData[[#Totals],[Candidate 3]]), 0)</f>
        <v>7.4200729102816406E-4</v>
      </c>
      <c r="M1140" s="100">
        <f>IF(AND(SamplingData[[#This Row],[Total]]&lt;&gt; 0, NOT(ISBLANK(SamplingData[[#This Row],[Candidate 4]]))),(SamplingData[[#This Row],[Total]]+SamplingData[[#This Row],[Winning Candidate]]-SamplingData[[#This Row],[Candidate 4]])/(SamplingData[[#Totals],[Winning Candidate]]-SamplingData[[#Totals],[Candidate 4]]), 0)</f>
        <v>7.0156976234324298E-4</v>
      </c>
      <c r="N1140" s="100">
        <f>IF(AND(SamplingData[[#This Row],[Total]]&lt;&gt; 0, NOT(ISBLANK(SamplingData[[#This Row],[Candidate 5]]))),(SamplingData[[#This Row],[Total]]+SamplingData[[#This Row],[Winning Candidate]]-SamplingData[[#This Row],[Candidate 5]])/(SamplingData[[#Totals],[Winning Candidate]]-SamplingData[[#Totals],[Candidate 5]]), 0)</f>
        <v>5.8379956215032843E-4</v>
      </c>
      <c r="O1140" s="100">
        <f>IF(AND(SamplingData[[#This Row],[Total]]&lt;&gt; 0, NOT(ISBLANK(SamplingData[[#This Row],[Candidate 6]]))),(SamplingData[[#This Row],[Total]]+SamplingData[[#This Row],[Winning Candidate]]-SamplingData[[#This Row],[Candidate 6]])/(SamplingData[[#Totals],[Winning Candidate]]-SamplingData[[#Totals],[Candidate 6]]), 0)</f>
        <v>5.8362920091435243E-4</v>
      </c>
      <c r="P1140" s="100">
        <f>MAX(SamplingData[[#This Row],[Error Bound (up) - Max. possible relative overstatement - Losing Candidate]:[Error Bound (up) - Max. possible relative overstatement - Candidate 6]])</f>
        <v>8.5742283194512492E-4</v>
      </c>
      <c r="Q1140" s="100">
        <f>IF(SamplingData[[#This Row],[Max Error Bound (up)]] = 0,0,SamplingData[[#This Row],[Max Error Bound (up)]]/SamplingData[[#Totals],[Max Error Bound (up)]])</f>
        <v>1.3570127589824165E-4</v>
      </c>
      <c r="R1140" s="101">
        <f>SUM($Q$5:Q1140)</f>
        <v>0.2867639859722379</v>
      </c>
      <c r="S1140" s="100" t="str">
        <f t="array" ref="S1140">IF(SamplingData[[#This Row],[up/U Selection Probability]] = 0, "Zero", TEXT(SamplingData[[#This Row],[Lower Range]], REPT("0",LEN('General Info'!$B$40))) &amp; " - " &amp; TEXT(SamplingData[[#This Row],[Upper Range]], REPT("0",LEN('General Info'!$B$40))))</f>
        <v>28663 - 28675</v>
      </c>
      <c r="T1140" s="100">
        <f>SamplingData[[#This Row],[Upper Range]]-SamplingData[[#This Row],[Span]]</f>
        <v>28662.828605335242</v>
      </c>
      <c r="U1140" s="100">
        <f>IF(ISNUMBER('General Info'!$B$40), ((SamplingData[[#This Row],[up/U Selection Probability]]) * 'General Info'!$B$40) - 1, 0)</f>
        <v>12.569991888548268</v>
      </c>
      <c r="V1140" s="100">
        <f>IF(ISNUMBER('General Info'!$B$40), (SamplingData[[#This Row],[Running (cumulative) sum]] * ('General Info'!$B$40 -'General Info'!$B$41 + 1)) + 'General Info'!$B$41 - 1, 0)</f>
        <v>28675.39859722379</v>
      </c>
      <c r="W1140" s="100" t="str">
        <f>IF(ISERROR(MATCH(SamplingData[[#This Row],[Batch by Type (p)]],SelectedPrecincts[Batch Name], 0)), "", INDEX(SelectedPrecincts[Draw], MATCH(SamplingData[[#This Row],[Batch by Type (p)]],SelectedPrecincts[Batch Name], 0)))</f>
        <v/>
      </c>
      <c r="X1140" s="102">
        <f>IF(COUNTIF(SelectedPrecincts[Batch Name],SamplingData[[#This Row],[Batch by Type (p)]]) &lt;&gt; 0, COUNTIF(SelectedPrecincts[Batch Name],SamplingData[[#This Row],[Batch by Type (p)]]), 0)</f>
        <v>0</v>
      </c>
    </row>
    <row r="1141" spans="1:24" ht="15" customHeight="1">
      <c r="A1141" s="18" t="s">
        <v>1317</v>
      </c>
      <c r="B1141" s="18">
        <v>8</v>
      </c>
      <c r="C1141" s="18">
        <v>11</v>
      </c>
      <c r="D1141" s="16">
        <v>4</v>
      </c>
      <c r="E1141" s="16">
        <v>3</v>
      </c>
      <c r="F1141" s="37">
        <v>0</v>
      </c>
      <c r="G1141" s="37">
        <v>1</v>
      </c>
      <c r="H1141" s="17">
        <v>0</v>
      </c>
      <c r="I1141" s="17">
        <v>1</v>
      </c>
      <c r="J1141" s="99">
        <f>SUM(SamplingData[[#This Row],[Losing Candidate]:[Under Votes]])</f>
        <v>28</v>
      </c>
      <c r="K1141"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141" s="100">
        <f>IF(AND(SamplingData[[#This Row],[Total]]&lt;&gt; 0, NOT(ISBLANK(SamplingData[[#This Row],[Candidate 3]]))),(SamplingData[[#This Row],[Total]]+SamplingData[[#This Row],[Winning Candidate]]-SamplingData[[#This Row],[Candidate 3]])/(SamplingData[[#Totals],[Winning Candidate]]-SamplingData[[#Totals],[Candidate 3]]), 0)</f>
        <v>1.1291415298254669E-3</v>
      </c>
      <c r="M1141" s="100">
        <f>IF(AND(SamplingData[[#This Row],[Total]]&lt;&gt; 0, NOT(ISBLANK(SamplingData[[#This Row],[Candidate 4]]))),(SamplingData[[#This Row],[Total]]+SamplingData[[#This Row],[Winning Candidate]]-SamplingData[[#This Row],[Candidate 4]])/(SamplingData[[#Totals],[Winning Candidate]]-SamplingData[[#Totals],[Candidate 4]]), 0)</f>
        <v>1.0523546435148646E-3</v>
      </c>
      <c r="N1141" s="100">
        <f>IF(AND(SamplingData[[#This Row],[Total]]&lt;&gt; 0, NOT(ISBLANK(SamplingData[[#This Row],[Candidate 5]]))),(SamplingData[[#This Row],[Total]]+SamplingData[[#This Row],[Winning Candidate]]-SamplingData[[#This Row],[Candidate 5]])/(SamplingData[[#Totals],[Winning Candidate]]-SamplingData[[#Totals],[Candidate 5]]), 0)</f>
        <v>9.4867428849428363E-4</v>
      </c>
      <c r="O1141" s="100">
        <f>IF(AND(SamplingData[[#This Row],[Total]]&lt;&gt; 0, NOT(ISBLANK(SamplingData[[#This Row],[Candidate 6]]))),(SamplingData[[#This Row],[Total]]+SamplingData[[#This Row],[Winning Candidate]]-SamplingData[[#This Row],[Candidate 6]])/(SamplingData[[#Totals],[Winning Candidate]]-SamplingData[[#Totals],[Candidate 6]]), 0)</f>
        <v>9.2407956811439132E-4</v>
      </c>
      <c r="P1141" s="100">
        <f>MAX(SamplingData[[#This Row],[Error Bound (up) - Max. possible relative overstatement - Losing Candidate]:[Error Bound (up) - Max. possible relative overstatement - Candidate 6]])</f>
        <v>1.8985791278784908E-3</v>
      </c>
      <c r="Q1141" s="100">
        <f>IF(SamplingData[[#This Row],[Max Error Bound (up)]] = 0,0,SamplingData[[#This Row],[Max Error Bound (up)]]/SamplingData[[#Totals],[Max Error Bound (up)]])</f>
        <v>3.0048139663182077E-4</v>
      </c>
      <c r="R1141" s="101">
        <f>SUM($Q$5:Q1141)</f>
        <v>0.2870644673688697</v>
      </c>
      <c r="S1141" s="100" t="str">
        <f t="array" ref="S1141">IF(SamplingData[[#This Row],[up/U Selection Probability]] = 0, "Zero", TEXT(SamplingData[[#This Row],[Lower Range]], REPT("0",LEN('General Info'!$B$40))) &amp; " - " &amp; TEXT(SamplingData[[#This Row],[Upper Range]], REPT("0",LEN('General Info'!$B$40))))</f>
        <v>28676 - 28705</v>
      </c>
      <c r="T1141" s="100">
        <f>SamplingData[[#This Row],[Upper Range]]-SamplingData[[#This Row],[Span]]</f>
        <v>28676.398897705185</v>
      </c>
      <c r="U1141" s="100">
        <f>IF(ISNUMBER('General Info'!$B$40), ((SamplingData[[#This Row],[up/U Selection Probability]]) * 'General Info'!$B$40) - 1, 0)</f>
        <v>29.047839181785445</v>
      </c>
      <c r="V1141" s="100">
        <f>IF(ISNUMBER('General Info'!$B$40), (SamplingData[[#This Row],[Running (cumulative) sum]] * ('General Info'!$B$40 -'General Info'!$B$41 + 1)) + 'General Info'!$B$41 - 1, 0)</f>
        <v>28705.44673688697</v>
      </c>
      <c r="W1141" s="100" t="str">
        <f>IF(ISERROR(MATCH(SamplingData[[#This Row],[Batch by Type (p)]],SelectedPrecincts[Batch Name], 0)), "", INDEX(SelectedPrecincts[Draw], MATCH(SamplingData[[#This Row],[Batch by Type (p)]],SelectedPrecincts[Batch Name], 0)))</f>
        <v/>
      </c>
      <c r="X1141" s="102">
        <f>IF(COUNTIF(SelectedPrecincts[Batch Name],SamplingData[[#This Row],[Batch by Type (p)]]) &lt;&gt; 0, COUNTIF(SelectedPrecincts[Batch Name],SamplingData[[#This Row],[Batch by Type (p)]]), 0)</f>
        <v>0</v>
      </c>
    </row>
    <row r="1142" spans="1:24" ht="15" customHeight="1">
      <c r="A1142" s="18" t="s">
        <v>1318</v>
      </c>
      <c r="B1142" s="18">
        <v>6</v>
      </c>
      <c r="C1142" s="18">
        <v>7</v>
      </c>
      <c r="D1142" s="18">
        <v>1</v>
      </c>
      <c r="E1142" s="18">
        <v>1</v>
      </c>
      <c r="F1142" s="18">
        <v>0</v>
      </c>
      <c r="G1142" s="18">
        <v>0</v>
      </c>
      <c r="H1142" s="18">
        <v>0</v>
      </c>
      <c r="I1142" s="18">
        <v>0</v>
      </c>
      <c r="J1142" s="99">
        <f>SUM(SamplingData[[#This Row],[Losing Candidate]:[Under Votes]])</f>
        <v>15</v>
      </c>
      <c r="K1142"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142" s="100">
        <f>IF(AND(SamplingData[[#This Row],[Total]]&lt;&gt; 0, NOT(ISBLANK(SamplingData[[#This Row],[Candidate 3]]))),(SamplingData[[#This Row],[Total]]+SamplingData[[#This Row],[Winning Candidate]]-SamplingData[[#This Row],[Candidate 3]])/(SamplingData[[#Totals],[Winning Candidate]]-SamplingData[[#Totals],[Candidate 3]]), 0)</f>
        <v>6.7748491789528019E-4</v>
      </c>
      <c r="M1142" s="100">
        <f>IF(AND(SamplingData[[#This Row],[Total]]&lt;&gt; 0, NOT(ISBLANK(SamplingData[[#This Row],[Candidate 4]]))),(SamplingData[[#This Row],[Total]]+SamplingData[[#This Row],[Winning Candidate]]-SamplingData[[#This Row],[Candidate 4]])/(SamplingData[[#Totals],[Winning Candidate]]-SamplingData[[#Totals],[Candidate 4]]), 0)</f>
        <v>6.1387354205033758E-4</v>
      </c>
      <c r="N1142" s="100">
        <f>IF(AND(SamplingData[[#This Row],[Total]]&lt;&gt; 0, NOT(ISBLANK(SamplingData[[#This Row],[Candidate 5]]))),(SamplingData[[#This Row],[Total]]+SamplingData[[#This Row],[Winning Candidate]]-SamplingData[[#This Row],[Candidate 5]])/(SamplingData[[#Totals],[Winning Candidate]]-SamplingData[[#Totals],[Candidate 5]]), 0)</f>
        <v>5.3514959863780107E-4</v>
      </c>
      <c r="O1142" s="100">
        <f>IF(AND(SamplingData[[#This Row],[Total]]&lt;&gt; 0, NOT(ISBLANK(SamplingData[[#This Row],[Candidate 6]]))),(SamplingData[[#This Row],[Total]]+SamplingData[[#This Row],[Winning Candidate]]-SamplingData[[#This Row],[Candidate 6]])/(SamplingData[[#Totals],[Winning Candidate]]-SamplingData[[#Totals],[Candidate 6]]), 0)</f>
        <v>5.3499343417148966E-4</v>
      </c>
      <c r="P1142" s="100">
        <f>MAX(SamplingData[[#This Row],[Error Bound (up) - Max. possible relative overstatement - Losing Candidate]:[Error Bound (up) - Max. possible relative overstatement - Candidate 6]])</f>
        <v>9.7991180793728563E-4</v>
      </c>
      <c r="Q1142" s="100">
        <f>IF(SamplingData[[#This Row],[Max Error Bound (up)]] = 0,0,SamplingData[[#This Row],[Max Error Bound (up)]]/SamplingData[[#Totals],[Max Error Bound (up)]])</f>
        <v>1.550871724551333E-4</v>
      </c>
      <c r="R1142" s="101">
        <f>SUM($Q$5:Q1142)</f>
        <v>0.28721955454132486</v>
      </c>
      <c r="S1142" s="100" t="str">
        <f t="array" ref="S1142">IF(SamplingData[[#This Row],[up/U Selection Probability]] = 0, "Zero", TEXT(SamplingData[[#This Row],[Lower Range]], REPT("0",LEN('General Info'!$B$40))) &amp; " - " &amp; TEXT(SamplingData[[#This Row],[Upper Range]], REPT("0",LEN('General Info'!$B$40))))</f>
        <v>28706 - 28721</v>
      </c>
      <c r="T1142" s="100">
        <f>SamplingData[[#This Row],[Upper Range]]-SamplingData[[#This Row],[Span]]</f>
        <v>28706.446891974145</v>
      </c>
      <c r="U1142" s="100">
        <f>IF(ISNUMBER('General Info'!$B$40), ((SamplingData[[#This Row],[up/U Selection Probability]]) * 'General Info'!$B$40) - 1, 0)</f>
        <v>14.508562158340876</v>
      </c>
      <c r="V1142" s="100">
        <f>IF(ISNUMBER('General Info'!$B$40), (SamplingData[[#This Row],[Running (cumulative) sum]] * ('General Info'!$B$40 -'General Info'!$B$41 + 1)) + 'General Info'!$B$41 - 1, 0)</f>
        <v>28720.955454132487</v>
      </c>
      <c r="W1142" s="100" t="str">
        <f>IF(ISERROR(MATCH(SamplingData[[#This Row],[Batch by Type (p)]],SelectedPrecincts[Batch Name], 0)), "", INDEX(SelectedPrecincts[Draw], MATCH(SamplingData[[#This Row],[Batch by Type (p)]],SelectedPrecincts[Batch Name], 0)))</f>
        <v/>
      </c>
      <c r="X1142" s="102">
        <f>IF(COUNTIF(SelectedPrecincts[Batch Name],SamplingData[[#This Row],[Batch by Type (p)]]) &lt;&gt; 0, COUNTIF(SelectedPrecincts[Batch Name],SamplingData[[#This Row],[Batch by Type (p)]]), 0)</f>
        <v>0</v>
      </c>
    </row>
    <row r="1143" spans="1:24" ht="15" customHeight="1">
      <c r="A1143" s="18" t="s">
        <v>1319</v>
      </c>
      <c r="B1143" s="18">
        <v>11</v>
      </c>
      <c r="C1143" s="18">
        <v>7</v>
      </c>
      <c r="D1143" s="16">
        <v>1</v>
      </c>
      <c r="E1143" s="16">
        <v>3</v>
      </c>
      <c r="F1143" s="37">
        <v>0</v>
      </c>
      <c r="G1143" s="37">
        <v>1</v>
      </c>
      <c r="H1143" s="17">
        <v>0</v>
      </c>
      <c r="I1143" s="17">
        <v>0</v>
      </c>
      <c r="J1143" s="99">
        <f>SUM(SamplingData[[#This Row],[Losing Candidate]:[Under Votes]])</f>
        <v>23</v>
      </c>
      <c r="K1143"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143" s="100">
        <f>IF(AND(SamplingData[[#This Row],[Total]]&lt;&gt; 0, NOT(ISBLANK(SamplingData[[#This Row],[Candidate 3]]))),(SamplingData[[#This Row],[Total]]+SamplingData[[#This Row],[Winning Candidate]]-SamplingData[[#This Row],[Candidate 3]])/(SamplingData[[#Totals],[Winning Candidate]]-SamplingData[[#Totals],[Candidate 3]]), 0)</f>
        <v>9.3557441042681547E-4</v>
      </c>
      <c r="M1143" s="100">
        <f>IF(AND(SamplingData[[#This Row],[Total]]&lt;&gt; 0, NOT(ISBLANK(SamplingData[[#This Row],[Candidate 4]]))),(SamplingData[[#This Row],[Total]]+SamplingData[[#This Row],[Winning Candidate]]-SamplingData[[#This Row],[Candidate 4]])/(SamplingData[[#Totals],[Winning Candidate]]-SamplingData[[#Totals],[Candidate 4]]), 0)</f>
        <v>7.8926598263614838E-4</v>
      </c>
      <c r="N1143" s="100">
        <f>IF(AND(SamplingData[[#This Row],[Total]]&lt;&gt; 0, NOT(ISBLANK(SamplingData[[#This Row],[Candidate 5]]))),(SamplingData[[#This Row],[Total]]+SamplingData[[#This Row],[Winning Candidate]]-SamplingData[[#This Row],[Candidate 5]])/(SamplingData[[#Totals],[Winning Candidate]]-SamplingData[[#Totals],[Candidate 5]]), 0)</f>
        <v>7.2974945268791051E-4</v>
      </c>
      <c r="O1143" s="100">
        <f>IF(AND(SamplingData[[#This Row],[Total]]&lt;&gt; 0, NOT(ISBLANK(SamplingData[[#This Row],[Candidate 6]]))),(SamplingData[[#This Row],[Total]]+SamplingData[[#This Row],[Winning Candidate]]-SamplingData[[#This Row],[Candidate 6]])/(SamplingData[[#Totals],[Winning Candidate]]-SamplingData[[#Totals],[Candidate 6]]), 0)</f>
        <v>7.0521861777150916E-4</v>
      </c>
      <c r="P1143" s="100">
        <f>MAX(SamplingData[[#This Row],[Error Bound (up) - Max. possible relative overstatement - Losing Candidate]:[Error Bound (up) - Max. possible relative overstatement - Candidate 6]])</f>
        <v>1.1636452719255266E-3</v>
      </c>
      <c r="Q1143" s="100">
        <f>IF(SamplingData[[#This Row],[Max Error Bound (up)]] = 0,0,SamplingData[[#This Row],[Max Error Bound (up)]]/SamplingData[[#Totals],[Max Error Bound (up)]])</f>
        <v>1.841660172904708E-4</v>
      </c>
      <c r="R1143" s="101">
        <f>SUM($Q$5:Q1143)</f>
        <v>0.28740372055861535</v>
      </c>
      <c r="S1143" s="100" t="str">
        <f t="array" ref="S1143">IF(SamplingData[[#This Row],[up/U Selection Probability]] = 0, "Zero", TEXT(SamplingData[[#This Row],[Lower Range]], REPT("0",LEN('General Info'!$B$40))) &amp; " - " &amp; TEXT(SamplingData[[#This Row],[Upper Range]], REPT("0",LEN('General Info'!$B$40))))</f>
        <v>28722 - 28739</v>
      </c>
      <c r="T1143" s="100">
        <f>SamplingData[[#This Row],[Upper Range]]-SamplingData[[#This Row],[Span]]</f>
        <v>28721.955638298507</v>
      </c>
      <c r="U1143" s="100">
        <f>IF(ISNUMBER('General Info'!$B$40), ((SamplingData[[#This Row],[up/U Selection Probability]]) * 'General Info'!$B$40) - 1, 0)</f>
        <v>17.416417563029789</v>
      </c>
      <c r="V1143" s="100">
        <f>IF(ISNUMBER('General Info'!$B$40), (SamplingData[[#This Row],[Running (cumulative) sum]] * ('General Info'!$B$40 -'General Info'!$B$41 + 1)) + 'General Info'!$B$41 - 1, 0)</f>
        <v>28739.372055861535</v>
      </c>
      <c r="W1143" s="100" t="str">
        <f>IF(ISERROR(MATCH(SamplingData[[#This Row],[Batch by Type (p)]],SelectedPrecincts[Batch Name], 0)), "", INDEX(SelectedPrecincts[Draw], MATCH(SamplingData[[#This Row],[Batch by Type (p)]],SelectedPrecincts[Batch Name], 0)))</f>
        <v/>
      </c>
      <c r="X1143" s="102">
        <f>IF(COUNTIF(SelectedPrecincts[Batch Name],SamplingData[[#This Row],[Batch by Type (p)]]) &lt;&gt; 0, COUNTIF(SelectedPrecincts[Batch Name],SamplingData[[#This Row],[Batch by Type (p)]]), 0)</f>
        <v>0</v>
      </c>
    </row>
    <row r="1144" spans="1:24" ht="15" customHeight="1">
      <c r="A1144" s="18" t="s">
        <v>1320</v>
      </c>
      <c r="B1144" s="18">
        <v>7</v>
      </c>
      <c r="C1144" s="18">
        <v>8</v>
      </c>
      <c r="D1144" s="18">
        <v>3</v>
      </c>
      <c r="E1144" s="18">
        <v>2</v>
      </c>
      <c r="F1144" s="18">
        <v>0</v>
      </c>
      <c r="G1144" s="18">
        <v>0</v>
      </c>
      <c r="H1144" s="18">
        <v>0</v>
      </c>
      <c r="I1144" s="18">
        <v>0</v>
      </c>
      <c r="J1144" s="99">
        <f>SUM(SamplingData[[#This Row],[Losing Candidate]:[Under Votes]])</f>
        <v>20</v>
      </c>
      <c r="K1144"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144" s="100">
        <f>IF(AND(SamplingData[[#This Row],[Total]]&lt;&gt; 0, NOT(ISBLANK(SamplingData[[#This Row],[Candidate 3]]))),(SamplingData[[#This Row],[Total]]+SamplingData[[#This Row],[Winning Candidate]]-SamplingData[[#This Row],[Candidate 3]])/(SamplingData[[#Totals],[Winning Candidate]]-SamplingData[[#Totals],[Candidate 3]]), 0)</f>
        <v>8.0652966416104783E-4</v>
      </c>
      <c r="M1144" s="100">
        <f>IF(AND(SamplingData[[#This Row],[Total]]&lt;&gt; 0, NOT(ISBLANK(SamplingData[[#This Row],[Candidate 4]]))),(SamplingData[[#This Row],[Total]]+SamplingData[[#This Row],[Winning Candidate]]-SamplingData[[#This Row],[Candidate 4]])/(SamplingData[[#Totals],[Winning Candidate]]-SamplingData[[#Totals],[Candidate 4]]), 0)</f>
        <v>7.6003390920517991E-4</v>
      </c>
      <c r="N1144" s="100">
        <f>IF(AND(SamplingData[[#This Row],[Total]]&lt;&gt; 0, NOT(ISBLANK(SamplingData[[#This Row],[Candidate 5]]))),(SamplingData[[#This Row],[Total]]+SamplingData[[#This Row],[Winning Candidate]]-SamplingData[[#This Row],[Candidate 5]])/(SamplingData[[#Totals],[Winning Candidate]]-SamplingData[[#Totals],[Candidate 5]]), 0)</f>
        <v>6.8109948917538315E-4</v>
      </c>
      <c r="O1144" s="100">
        <f>IF(AND(SamplingData[[#This Row],[Total]]&lt;&gt; 0, NOT(ISBLANK(SamplingData[[#This Row],[Candidate 6]]))),(SamplingData[[#This Row],[Total]]+SamplingData[[#This Row],[Winning Candidate]]-SamplingData[[#This Row],[Candidate 6]])/(SamplingData[[#Totals],[Winning Candidate]]-SamplingData[[#Totals],[Candidate 6]]), 0)</f>
        <v>6.8090073440007777E-4</v>
      </c>
      <c r="P1144" s="100">
        <f>MAX(SamplingData[[#This Row],[Error Bound (up) - Max. possible relative overstatement - Losing Candidate]:[Error Bound (up) - Max. possible relative overstatement - Candidate 6]])</f>
        <v>1.2861342479176874E-3</v>
      </c>
      <c r="Q1144" s="100">
        <f>IF(SamplingData[[#This Row],[Max Error Bound (up)]] = 0,0,SamplingData[[#This Row],[Max Error Bound (up)]]/SamplingData[[#Totals],[Max Error Bound (up)]])</f>
        <v>2.0355191384736248E-4</v>
      </c>
      <c r="R1144" s="101">
        <f>SUM($Q$5:Q1144)</f>
        <v>0.2876072724724627</v>
      </c>
      <c r="S1144" s="100" t="str">
        <f t="array" ref="S1144">IF(SamplingData[[#This Row],[up/U Selection Probability]] = 0, "Zero", TEXT(SamplingData[[#This Row],[Lower Range]], REPT("0",LEN('General Info'!$B$40))) &amp; " - " &amp; TEXT(SamplingData[[#This Row],[Upper Range]], REPT("0",LEN('General Info'!$B$40))))</f>
        <v>28740 - 28760</v>
      </c>
      <c r="T1144" s="100">
        <f>SamplingData[[#This Row],[Upper Range]]-SamplingData[[#This Row],[Span]]</f>
        <v>28740.372259413449</v>
      </c>
      <c r="U1144" s="100">
        <f>IF(ISNUMBER('General Info'!$B$40), ((SamplingData[[#This Row],[up/U Selection Probability]]) * 'General Info'!$B$40) - 1, 0)</f>
        <v>19.354987832822399</v>
      </c>
      <c r="V1144" s="100">
        <f>IF(ISNUMBER('General Info'!$B$40), (SamplingData[[#This Row],[Running (cumulative) sum]] * ('General Info'!$B$40 -'General Info'!$B$41 + 1)) + 'General Info'!$B$41 - 1, 0)</f>
        <v>28759.727247246272</v>
      </c>
      <c r="W1144" s="100" t="str">
        <f>IF(ISERROR(MATCH(SamplingData[[#This Row],[Batch by Type (p)]],SelectedPrecincts[Batch Name], 0)), "", INDEX(SelectedPrecincts[Draw], MATCH(SamplingData[[#This Row],[Batch by Type (p)]],SelectedPrecincts[Batch Name], 0)))</f>
        <v/>
      </c>
      <c r="X1144" s="102">
        <f>IF(COUNTIF(SelectedPrecincts[Batch Name],SamplingData[[#This Row],[Batch by Type (p)]]) &lt;&gt; 0, COUNTIF(SelectedPrecincts[Batch Name],SamplingData[[#This Row],[Batch by Type (p)]]), 0)</f>
        <v>0</v>
      </c>
    </row>
    <row r="1145" spans="1:24" ht="15" customHeight="1">
      <c r="A1145" s="18" t="s">
        <v>1321</v>
      </c>
      <c r="B1145" s="18">
        <v>6</v>
      </c>
      <c r="C1145" s="18">
        <v>5</v>
      </c>
      <c r="D1145" s="16">
        <v>4</v>
      </c>
      <c r="E1145" s="16">
        <v>0</v>
      </c>
      <c r="F1145" s="37">
        <v>0</v>
      </c>
      <c r="G1145" s="37">
        <v>0</v>
      </c>
      <c r="H1145" s="17">
        <v>0</v>
      </c>
      <c r="I1145" s="17">
        <v>0</v>
      </c>
      <c r="J1145" s="99">
        <f>SUM(SamplingData[[#This Row],[Losing Candidate]:[Under Votes]])</f>
        <v>15</v>
      </c>
      <c r="K1145"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145" s="100">
        <f>IF(AND(SamplingData[[#This Row],[Total]]&lt;&gt; 0, NOT(ISBLANK(SamplingData[[#This Row],[Candidate 3]]))),(SamplingData[[#This Row],[Total]]+SamplingData[[#This Row],[Winning Candidate]]-SamplingData[[#This Row],[Candidate 3]])/(SamplingData[[#Totals],[Winning Candidate]]-SamplingData[[#Totals],[Candidate 3]]), 0)</f>
        <v>5.1617898506307067E-4</v>
      </c>
      <c r="M1145" s="100">
        <f>IF(AND(SamplingData[[#This Row],[Total]]&lt;&gt; 0, NOT(ISBLANK(SamplingData[[#This Row],[Candidate 4]]))),(SamplingData[[#This Row],[Total]]+SamplingData[[#This Row],[Winning Candidate]]-SamplingData[[#This Row],[Candidate 4]])/(SamplingData[[#Totals],[Winning Candidate]]-SamplingData[[#Totals],[Candidate 4]]), 0)</f>
        <v>5.8464146861936922E-4</v>
      </c>
      <c r="N1145" s="100">
        <f>IF(AND(SamplingData[[#This Row],[Total]]&lt;&gt; 0, NOT(ISBLANK(SamplingData[[#This Row],[Candidate 5]]))),(SamplingData[[#This Row],[Total]]+SamplingData[[#This Row],[Winning Candidate]]-SamplingData[[#This Row],[Candidate 5]])/(SamplingData[[#Totals],[Winning Candidate]]-SamplingData[[#Totals],[Candidate 5]]), 0)</f>
        <v>4.8649963512527365E-4</v>
      </c>
      <c r="O1145" s="100">
        <f>IF(AND(SamplingData[[#This Row],[Total]]&lt;&gt; 0, NOT(ISBLANK(SamplingData[[#This Row],[Candidate 6]]))),(SamplingData[[#This Row],[Total]]+SamplingData[[#This Row],[Winning Candidate]]-SamplingData[[#This Row],[Candidate 6]])/(SamplingData[[#Totals],[Winning Candidate]]-SamplingData[[#Totals],[Candidate 6]]), 0)</f>
        <v>4.8635766742862699E-4</v>
      </c>
      <c r="P1145" s="100">
        <f>MAX(SamplingData[[#This Row],[Error Bound (up) - Max. possible relative overstatement - Losing Candidate]:[Error Bound (up) - Max. possible relative overstatement - Candidate 6]])</f>
        <v>8.5742283194512492E-4</v>
      </c>
      <c r="Q1145" s="100">
        <f>IF(SamplingData[[#This Row],[Max Error Bound (up)]] = 0,0,SamplingData[[#This Row],[Max Error Bound (up)]]/SamplingData[[#Totals],[Max Error Bound (up)]])</f>
        <v>1.3570127589824165E-4</v>
      </c>
      <c r="R1145" s="101">
        <f>SUM($Q$5:Q1145)</f>
        <v>0.28774297374836094</v>
      </c>
      <c r="S1145" s="100" t="str">
        <f t="array" ref="S1145">IF(SamplingData[[#This Row],[up/U Selection Probability]] = 0, "Zero", TEXT(SamplingData[[#This Row],[Lower Range]], REPT("0",LEN('General Info'!$B$40))) &amp; " - " &amp; TEXT(SamplingData[[#This Row],[Upper Range]], REPT("0",LEN('General Info'!$B$40))))</f>
        <v>28761 - 28773</v>
      </c>
      <c r="T1145" s="100">
        <f>SamplingData[[#This Row],[Upper Range]]-SamplingData[[#This Row],[Span]]</f>
        <v>28760.727382947545</v>
      </c>
      <c r="U1145" s="100">
        <f>IF(ISNUMBER('General Info'!$B$40), ((SamplingData[[#This Row],[up/U Selection Probability]]) * 'General Info'!$B$40) - 1, 0)</f>
        <v>12.569991888548268</v>
      </c>
      <c r="V1145" s="100">
        <f>IF(ISNUMBER('General Info'!$B$40), (SamplingData[[#This Row],[Running (cumulative) sum]] * ('General Info'!$B$40 -'General Info'!$B$41 + 1)) + 'General Info'!$B$41 - 1, 0)</f>
        <v>28773.297374836093</v>
      </c>
      <c r="W1145" s="100" t="str">
        <f>IF(ISERROR(MATCH(SamplingData[[#This Row],[Batch by Type (p)]],SelectedPrecincts[Batch Name], 0)), "", INDEX(SelectedPrecincts[Draw], MATCH(SamplingData[[#This Row],[Batch by Type (p)]],SelectedPrecincts[Batch Name], 0)))</f>
        <v/>
      </c>
      <c r="X1145" s="102">
        <f>IF(COUNTIF(SelectedPrecincts[Batch Name],SamplingData[[#This Row],[Batch by Type (p)]]) &lt;&gt; 0, COUNTIF(SelectedPrecincts[Batch Name],SamplingData[[#This Row],[Batch by Type (p)]]), 0)</f>
        <v>0</v>
      </c>
    </row>
    <row r="1146" spans="1:24" ht="15" customHeight="1">
      <c r="A1146" s="18" t="s">
        <v>1322</v>
      </c>
      <c r="B1146" s="18">
        <v>3</v>
      </c>
      <c r="C1146" s="18">
        <v>1</v>
      </c>
      <c r="D1146" s="18">
        <v>2</v>
      </c>
      <c r="E1146" s="18">
        <v>0</v>
      </c>
      <c r="F1146" s="18">
        <v>0</v>
      </c>
      <c r="G1146" s="18">
        <v>0</v>
      </c>
      <c r="H1146" s="18">
        <v>0</v>
      </c>
      <c r="I1146" s="18">
        <v>2</v>
      </c>
      <c r="J1146" s="99">
        <f>SUM(SamplingData[[#This Row],[Losing Candidate]:[Under Votes]])</f>
        <v>8</v>
      </c>
      <c r="K1146"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146" s="100">
        <f>IF(AND(SamplingData[[#This Row],[Total]]&lt;&gt; 0, NOT(ISBLANK(SamplingData[[#This Row],[Candidate 3]]))),(SamplingData[[#This Row],[Total]]+SamplingData[[#This Row],[Winning Candidate]]-SamplingData[[#This Row],[Candidate 3]])/(SamplingData[[#Totals],[Winning Candidate]]-SamplingData[[#Totals],[Candidate 3]]), 0)</f>
        <v>2.258283059650934E-4</v>
      </c>
      <c r="M1146" s="100">
        <f>IF(AND(SamplingData[[#This Row],[Total]]&lt;&gt; 0, NOT(ISBLANK(SamplingData[[#This Row],[Candidate 4]]))),(SamplingData[[#This Row],[Total]]+SamplingData[[#This Row],[Winning Candidate]]-SamplingData[[#This Row],[Candidate 4]])/(SamplingData[[#Totals],[Winning Candidate]]-SamplingData[[#Totals],[Candidate 4]]), 0)</f>
        <v>2.6308866087871614E-4</v>
      </c>
      <c r="N1146" s="100">
        <f>IF(AND(SamplingData[[#This Row],[Total]]&lt;&gt; 0, NOT(ISBLANK(SamplingData[[#This Row],[Candidate 5]]))),(SamplingData[[#This Row],[Total]]+SamplingData[[#This Row],[Winning Candidate]]-SamplingData[[#This Row],[Candidate 5]])/(SamplingData[[#Totals],[Winning Candidate]]-SamplingData[[#Totals],[Candidate 5]]), 0)</f>
        <v>2.1892483580637315E-4</v>
      </c>
      <c r="O1146" s="100">
        <f>IF(AND(SamplingData[[#This Row],[Total]]&lt;&gt; 0, NOT(ISBLANK(SamplingData[[#This Row],[Candidate 6]]))),(SamplingData[[#This Row],[Total]]+SamplingData[[#This Row],[Winning Candidate]]-SamplingData[[#This Row],[Candidate 6]])/(SamplingData[[#Totals],[Winning Candidate]]-SamplingData[[#Totals],[Candidate 6]]), 0)</f>
        <v>2.1886095034288216E-4</v>
      </c>
      <c r="P1146" s="100">
        <f>MAX(SamplingData[[#This Row],[Error Bound (up) - Max. possible relative overstatement - Losing Candidate]:[Error Bound (up) - Max. possible relative overstatement - Candidate 6]])</f>
        <v>3.6746692797648211E-4</v>
      </c>
      <c r="Q1146" s="100">
        <f>IF(SamplingData[[#This Row],[Max Error Bound (up)]] = 0,0,SamplingData[[#This Row],[Max Error Bound (up)]]/SamplingData[[#Totals],[Max Error Bound (up)]])</f>
        <v>5.8157689670674986E-5</v>
      </c>
      <c r="R1146" s="101">
        <f>SUM($Q$5:Q1146)</f>
        <v>0.2878011314380316</v>
      </c>
      <c r="S1146" s="100" t="str">
        <f t="array" ref="S1146">IF(SamplingData[[#This Row],[up/U Selection Probability]] = 0, "Zero", TEXT(SamplingData[[#This Row],[Lower Range]], REPT("0",LEN('General Info'!$B$40))) &amp; " - " &amp; TEXT(SamplingData[[#This Row],[Upper Range]], REPT("0",LEN('General Info'!$B$40))))</f>
        <v>28774 - 28779</v>
      </c>
      <c r="T1146" s="100">
        <f>SamplingData[[#This Row],[Upper Range]]-SamplingData[[#This Row],[Span]]</f>
        <v>28774.297432993782</v>
      </c>
      <c r="U1146" s="100">
        <f>IF(ISNUMBER('General Info'!$B$40), ((SamplingData[[#This Row],[up/U Selection Probability]]) * 'General Info'!$B$40) - 1, 0)</f>
        <v>4.815710809377828</v>
      </c>
      <c r="V1146" s="100">
        <f>IF(ISNUMBER('General Info'!$B$40), (SamplingData[[#This Row],[Running (cumulative) sum]] * ('General Info'!$B$40 -'General Info'!$B$41 + 1)) + 'General Info'!$B$41 - 1, 0)</f>
        <v>28779.113143803159</v>
      </c>
      <c r="W1146" s="100" t="str">
        <f>IF(ISERROR(MATCH(SamplingData[[#This Row],[Batch by Type (p)]],SelectedPrecincts[Batch Name], 0)), "", INDEX(SelectedPrecincts[Draw], MATCH(SamplingData[[#This Row],[Batch by Type (p)]],SelectedPrecincts[Batch Name], 0)))</f>
        <v/>
      </c>
      <c r="X1146" s="102">
        <f>IF(COUNTIF(SelectedPrecincts[Batch Name],SamplingData[[#This Row],[Batch by Type (p)]]) &lt;&gt; 0, COUNTIF(SelectedPrecincts[Batch Name],SamplingData[[#This Row],[Batch by Type (p)]]), 0)</f>
        <v>0</v>
      </c>
    </row>
    <row r="1147" spans="1:24" ht="15" customHeight="1">
      <c r="A1147" s="18" t="s">
        <v>1323</v>
      </c>
      <c r="B1147" s="18">
        <v>13</v>
      </c>
      <c r="C1147" s="18">
        <v>14</v>
      </c>
      <c r="D1147" s="16">
        <v>3</v>
      </c>
      <c r="E1147" s="16">
        <v>2</v>
      </c>
      <c r="F1147" s="37">
        <v>1</v>
      </c>
      <c r="G1147" s="37">
        <v>0</v>
      </c>
      <c r="H1147" s="17">
        <v>0</v>
      </c>
      <c r="I1147" s="17">
        <v>0</v>
      </c>
      <c r="J1147" s="99">
        <f>SUM(SamplingData[[#This Row],[Losing Candidate]:[Under Votes]])</f>
        <v>33</v>
      </c>
      <c r="K1147"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1147" s="100">
        <f>IF(AND(SamplingData[[#This Row],[Total]]&lt;&gt; 0, NOT(ISBLANK(SamplingData[[#This Row],[Candidate 3]]))),(SamplingData[[#This Row],[Total]]+SamplingData[[#This Row],[Winning Candidate]]-SamplingData[[#This Row],[Candidate 3]])/(SamplingData[[#Totals],[Winning Candidate]]-SamplingData[[#Totals],[Candidate 3]]), 0)</f>
        <v>1.4194922089234441E-3</v>
      </c>
      <c r="M1147" s="100">
        <f>IF(AND(SamplingData[[#This Row],[Total]]&lt;&gt; 0, NOT(ISBLANK(SamplingData[[#This Row],[Candidate 4]]))),(SamplingData[[#This Row],[Total]]+SamplingData[[#This Row],[Winning Candidate]]-SamplingData[[#This Row],[Candidate 4]])/(SamplingData[[#Totals],[Winning Candidate]]-SamplingData[[#Totals],[Candidate 4]]), 0)</f>
        <v>1.3154433043935806E-3</v>
      </c>
      <c r="N1147" s="100">
        <f>IF(AND(SamplingData[[#This Row],[Total]]&lt;&gt; 0, NOT(ISBLANK(SamplingData[[#This Row],[Candidate 5]]))),(SamplingData[[#This Row],[Total]]+SamplingData[[#This Row],[Winning Candidate]]-SamplingData[[#This Row],[Candidate 5]])/(SamplingData[[#Totals],[Winning Candidate]]-SamplingData[[#Totals],[Candidate 5]]), 0)</f>
        <v>1.1189491607881295E-3</v>
      </c>
      <c r="O1147" s="100">
        <f>IF(AND(SamplingData[[#This Row],[Total]]&lt;&gt; 0, NOT(ISBLANK(SamplingData[[#This Row],[Candidate 6]]))),(SamplingData[[#This Row],[Total]]+SamplingData[[#This Row],[Winning Candidate]]-SamplingData[[#This Row],[Candidate 6]])/(SamplingData[[#Totals],[Winning Candidate]]-SamplingData[[#Totals],[Candidate 6]]), 0)</f>
        <v>1.1429405184572735E-3</v>
      </c>
      <c r="P1147" s="100">
        <f>MAX(SamplingData[[#This Row],[Error Bound (up) - Max. possible relative overstatement - Losing Candidate]:[Error Bound (up) - Max. possible relative overstatement - Candidate 6]])</f>
        <v>2.0823125918667321E-3</v>
      </c>
      <c r="Q1147" s="100">
        <f>IF(SamplingData[[#This Row],[Max Error Bound (up)]] = 0,0,SamplingData[[#This Row],[Max Error Bound (up)]]/SamplingData[[#Totals],[Max Error Bound (up)]])</f>
        <v>3.2956024146715829E-4</v>
      </c>
      <c r="R1147" s="101">
        <f>SUM($Q$5:Q1147)</f>
        <v>0.28813069167949873</v>
      </c>
      <c r="S1147" s="100" t="str">
        <f t="array" ref="S1147">IF(SamplingData[[#This Row],[up/U Selection Probability]] = 0, "Zero", TEXT(SamplingData[[#This Row],[Lower Range]], REPT("0",LEN('General Info'!$B$40))) &amp; " - " &amp; TEXT(SamplingData[[#This Row],[Upper Range]], REPT("0",LEN('General Info'!$B$40))))</f>
        <v>28780 - 28812</v>
      </c>
      <c r="T1147" s="100">
        <f>SamplingData[[#This Row],[Upper Range]]-SamplingData[[#This Row],[Span]]</f>
        <v>28780.113473363399</v>
      </c>
      <c r="U1147" s="100">
        <f>IF(ISNUMBER('General Info'!$B$40), ((SamplingData[[#This Row],[up/U Selection Probability]]) * 'General Info'!$B$40) - 1, 0)</f>
        <v>31.955694586474358</v>
      </c>
      <c r="V1147" s="100">
        <f>IF(ISNUMBER('General Info'!$B$40), (SamplingData[[#This Row],[Running (cumulative) sum]] * ('General Info'!$B$40 -'General Info'!$B$41 + 1)) + 'General Info'!$B$41 - 1, 0)</f>
        <v>28812.069167949874</v>
      </c>
      <c r="W1147" s="100" t="str">
        <f>IF(ISERROR(MATCH(SamplingData[[#This Row],[Batch by Type (p)]],SelectedPrecincts[Batch Name], 0)), "", INDEX(SelectedPrecincts[Draw], MATCH(SamplingData[[#This Row],[Batch by Type (p)]],SelectedPrecincts[Batch Name], 0)))</f>
        <v/>
      </c>
      <c r="X1147" s="102">
        <f>IF(COUNTIF(SelectedPrecincts[Batch Name],SamplingData[[#This Row],[Batch by Type (p)]]) &lt;&gt; 0, COUNTIF(SelectedPrecincts[Batch Name],SamplingData[[#This Row],[Batch by Type (p)]]), 0)</f>
        <v>0</v>
      </c>
    </row>
    <row r="1148" spans="1:24" ht="15" customHeight="1">
      <c r="A1148" s="18" t="s">
        <v>1324</v>
      </c>
      <c r="B1148" s="18">
        <v>5</v>
      </c>
      <c r="C1148" s="18">
        <v>9</v>
      </c>
      <c r="D1148" s="18">
        <v>6</v>
      </c>
      <c r="E1148" s="18">
        <v>2</v>
      </c>
      <c r="F1148" s="18">
        <v>0</v>
      </c>
      <c r="G1148" s="18">
        <v>0</v>
      </c>
      <c r="H1148" s="18">
        <v>0</v>
      </c>
      <c r="I1148" s="18">
        <v>1</v>
      </c>
      <c r="J1148" s="99">
        <f>SUM(SamplingData[[#This Row],[Losing Candidate]:[Under Votes]])</f>
        <v>23</v>
      </c>
      <c r="K1148"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1148" s="100">
        <f>IF(AND(SamplingData[[#This Row],[Total]]&lt;&gt; 0, NOT(ISBLANK(SamplingData[[#This Row],[Candidate 3]]))),(SamplingData[[#This Row],[Total]]+SamplingData[[#This Row],[Winning Candidate]]-SamplingData[[#This Row],[Candidate 3]])/(SamplingData[[#Totals],[Winning Candidate]]-SamplingData[[#Totals],[Candidate 3]]), 0)</f>
        <v>8.3879085072748971E-4</v>
      </c>
      <c r="M1148" s="100">
        <f>IF(AND(SamplingData[[#This Row],[Total]]&lt;&gt; 0, NOT(ISBLANK(SamplingData[[#This Row],[Candidate 4]]))),(SamplingData[[#This Row],[Total]]+SamplingData[[#This Row],[Winning Candidate]]-SamplingData[[#This Row],[Candidate 4]])/(SamplingData[[#Totals],[Winning Candidate]]-SamplingData[[#Totals],[Candidate 4]]), 0)</f>
        <v>8.7696220292905378E-4</v>
      </c>
      <c r="N1148" s="100">
        <f>IF(AND(SamplingData[[#This Row],[Total]]&lt;&gt; 0, NOT(ISBLANK(SamplingData[[#This Row],[Candidate 5]]))),(SamplingData[[#This Row],[Total]]+SamplingData[[#This Row],[Winning Candidate]]-SamplingData[[#This Row],[Candidate 5]])/(SamplingData[[#Totals],[Winning Candidate]]-SamplingData[[#Totals],[Candidate 5]]), 0)</f>
        <v>7.7839941620043787E-4</v>
      </c>
      <c r="O1148" s="100">
        <f>IF(AND(SamplingData[[#This Row],[Total]]&lt;&gt; 0, NOT(ISBLANK(SamplingData[[#This Row],[Candidate 6]]))),(SamplingData[[#This Row],[Total]]+SamplingData[[#This Row],[Winning Candidate]]-SamplingData[[#This Row],[Candidate 6]])/(SamplingData[[#Totals],[Winning Candidate]]-SamplingData[[#Totals],[Candidate 6]]), 0)</f>
        <v>7.7817226788580321E-4</v>
      </c>
      <c r="P1148" s="100">
        <f>MAX(SamplingData[[#This Row],[Error Bound (up) - Max. possible relative overstatement - Losing Candidate]:[Error Bound (up) - Max. possible relative overstatement - Candidate 6]])</f>
        <v>1.6536011758941694E-3</v>
      </c>
      <c r="Q1148" s="100">
        <f>IF(SamplingData[[#This Row],[Max Error Bound (up)]] = 0,0,SamplingData[[#This Row],[Max Error Bound (up)]]/SamplingData[[#Totals],[Max Error Bound (up)]])</f>
        <v>2.6170960351803746E-4</v>
      </c>
      <c r="R1148" s="101">
        <f>SUM($Q$5:Q1148)</f>
        <v>0.28839240128301674</v>
      </c>
      <c r="S1148" s="100" t="str">
        <f t="array" ref="S1148">IF(SamplingData[[#This Row],[up/U Selection Probability]] = 0, "Zero", TEXT(SamplingData[[#This Row],[Lower Range]], REPT("0",LEN('General Info'!$B$40))) &amp; " - " &amp; TEXT(SamplingData[[#This Row],[Upper Range]], REPT("0",LEN('General Info'!$B$40))))</f>
        <v>28813 - 28838</v>
      </c>
      <c r="T1148" s="100">
        <f>SamplingData[[#This Row],[Upper Range]]-SamplingData[[#This Row],[Span]]</f>
        <v>28813.069429659474</v>
      </c>
      <c r="U1148" s="100">
        <f>IF(ISNUMBER('General Info'!$B$40), ((SamplingData[[#This Row],[up/U Selection Probability]]) * 'General Info'!$B$40) - 1, 0)</f>
        <v>25.170698642200229</v>
      </c>
      <c r="V1148" s="100">
        <f>IF(ISNUMBER('General Info'!$B$40), (SamplingData[[#This Row],[Running (cumulative) sum]] * ('General Info'!$B$40 -'General Info'!$B$41 + 1)) + 'General Info'!$B$41 - 1, 0)</f>
        <v>28838.240128301673</v>
      </c>
      <c r="W1148" s="100" t="str">
        <f>IF(ISERROR(MATCH(SamplingData[[#This Row],[Batch by Type (p)]],SelectedPrecincts[Batch Name], 0)), "", INDEX(SelectedPrecincts[Draw], MATCH(SamplingData[[#This Row],[Batch by Type (p)]],SelectedPrecincts[Batch Name], 0)))</f>
        <v/>
      </c>
      <c r="X1148" s="102">
        <f>IF(COUNTIF(SelectedPrecincts[Batch Name],SamplingData[[#This Row],[Batch by Type (p)]]) &lt;&gt; 0, COUNTIF(SelectedPrecincts[Batch Name],SamplingData[[#This Row],[Batch by Type (p)]]), 0)</f>
        <v>0</v>
      </c>
    </row>
    <row r="1149" spans="1:24" ht="15" customHeight="1">
      <c r="A1149" s="18" t="s">
        <v>1325</v>
      </c>
      <c r="B1149" s="18">
        <v>5</v>
      </c>
      <c r="C1149" s="18">
        <v>12</v>
      </c>
      <c r="D1149" s="16">
        <v>3</v>
      </c>
      <c r="E1149" s="16">
        <v>3</v>
      </c>
      <c r="F1149" s="37">
        <v>0</v>
      </c>
      <c r="G1149" s="37">
        <v>0</v>
      </c>
      <c r="H1149" s="17">
        <v>0</v>
      </c>
      <c r="I1149" s="17">
        <v>1</v>
      </c>
      <c r="J1149" s="99">
        <f>SUM(SamplingData[[#This Row],[Losing Candidate]:[Under Votes]])</f>
        <v>24</v>
      </c>
      <c r="K1149"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149" s="100">
        <f>IF(AND(SamplingData[[#This Row],[Total]]&lt;&gt; 0, NOT(ISBLANK(SamplingData[[#This Row],[Candidate 3]]))),(SamplingData[[#This Row],[Total]]+SamplingData[[#This Row],[Winning Candidate]]-SamplingData[[#This Row],[Candidate 3]])/(SamplingData[[#Totals],[Winning Candidate]]-SamplingData[[#Totals],[Candidate 3]]), 0)</f>
        <v>1.0646191566925831E-3</v>
      </c>
      <c r="M1149" s="100">
        <f>IF(AND(SamplingData[[#This Row],[Total]]&lt;&gt; 0, NOT(ISBLANK(SamplingData[[#This Row],[Candidate 4]]))),(SamplingData[[#This Row],[Total]]+SamplingData[[#This Row],[Winning Candidate]]-SamplingData[[#This Row],[Candidate 4]])/(SamplingData[[#Totals],[Winning Candidate]]-SamplingData[[#Totals],[Candidate 4]]), 0)</f>
        <v>9.6465842322195918E-4</v>
      </c>
      <c r="N1149" s="100">
        <f>IF(AND(SamplingData[[#This Row],[Total]]&lt;&gt; 0, NOT(ISBLANK(SamplingData[[#This Row],[Candidate 5]]))),(SamplingData[[#This Row],[Total]]+SamplingData[[#This Row],[Winning Candidate]]-SamplingData[[#This Row],[Candidate 5]])/(SamplingData[[#Totals],[Winning Candidate]]-SamplingData[[#Totals],[Candidate 5]]), 0)</f>
        <v>8.7569934322549259E-4</v>
      </c>
      <c r="O1149" s="100">
        <f>IF(AND(SamplingData[[#This Row],[Total]]&lt;&gt; 0, NOT(ISBLANK(SamplingData[[#This Row],[Candidate 6]]))),(SamplingData[[#This Row],[Total]]+SamplingData[[#This Row],[Winning Candidate]]-SamplingData[[#This Row],[Candidate 6]])/(SamplingData[[#Totals],[Winning Candidate]]-SamplingData[[#Totals],[Candidate 6]]), 0)</f>
        <v>8.7544380137152865E-4</v>
      </c>
      <c r="P1149" s="100">
        <f>MAX(SamplingData[[#This Row],[Error Bound (up) - Max. possible relative overstatement - Losing Candidate]:[Error Bound (up) - Max. possible relative overstatement - Candidate 6]])</f>
        <v>1.8985791278784908E-3</v>
      </c>
      <c r="Q1149" s="100">
        <f>IF(SamplingData[[#This Row],[Max Error Bound (up)]] = 0,0,SamplingData[[#This Row],[Max Error Bound (up)]]/SamplingData[[#Totals],[Max Error Bound (up)]])</f>
        <v>3.0048139663182077E-4</v>
      </c>
      <c r="R1149" s="101">
        <f>SUM($Q$5:Q1149)</f>
        <v>0.28869288267964854</v>
      </c>
      <c r="S1149" s="100" t="str">
        <f t="array" ref="S1149">IF(SamplingData[[#This Row],[up/U Selection Probability]] = 0, "Zero", TEXT(SamplingData[[#This Row],[Lower Range]], REPT("0",LEN('General Info'!$B$40))) &amp; " - " &amp; TEXT(SamplingData[[#This Row],[Upper Range]], REPT("0",LEN('General Info'!$B$40))))</f>
        <v>28839 - 28868</v>
      </c>
      <c r="T1149" s="100">
        <f>SamplingData[[#This Row],[Upper Range]]-SamplingData[[#This Row],[Span]]</f>
        <v>28839.240428783069</v>
      </c>
      <c r="U1149" s="100">
        <f>IF(ISNUMBER('General Info'!$B$40), ((SamplingData[[#This Row],[up/U Selection Probability]]) * 'General Info'!$B$40) - 1, 0)</f>
        <v>29.047839181785445</v>
      </c>
      <c r="V1149" s="100">
        <f>IF(ISNUMBER('General Info'!$B$40), (SamplingData[[#This Row],[Running (cumulative) sum]] * ('General Info'!$B$40 -'General Info'!$B$41 + 1)) + 'General Info'!$B$41 - 1, 0)</f>
        <v>28868.288267964854</v>
      </c>
      <c r="W1149" s="100" t="str">
        <f>IF(ISERROR(MATCH(SamplingData[[#This Row],[Batch by Type (p)]],SelectedPrecincts[Batch Name], 0)), "", INDEX(SelectedPrecincts[Draw], MATCH(SamplingData[[#This Row],[Batch by Type (p)]],SelectedPrecincts[Batch Name], 0)))</f>
        <v/>
      </c>
      <c r="X1149" s="102">
        <f>IF(COUNTIF(SelectedPrecincts[Batch Name],SamplingData[[#This Row],[Batch by Type (p)]]) &lt;&gt; 0, COUNTIF(SelectedPrecincts[Batch Name],SamplingData[[#This Row],[Batch by Type (p)]]), 0)</f>
        <v>0</v>
      </c>
    </row>
    <row r="1150" spans="1:24" ht="15" customHeight="1">
      <c r="A1150" s="18" t="s">
        <v>1326</v>
      </c>
      <c r="B1150" s="18">
        <v>4</v>
      </c>
      <c r="C1150" s="18">
        <v>4</v>
      </c>
      <c r="D1150" s="18">
        <v>1</v>
      </c>
      <c r="E1150" s="18">
        <v>0</v>
      </c>
      <c r="F1150" s="18">
        <v>0</v>
      </c>
      <c r="G1150" s="18">
        <v>0</v>
      </c>
      <c r="H1150" s="18">
        <v>0</v>
      </c>
      <c r="I1150" s="18">
        <v>0</v>
      </c>
      <c r="J1150" s="99">
        <f>SUM(SamplingData[[#This Row],[Losing Candidate]:[Under Votes]])</f>
        <v>9</v>
      </c>
      <c r="K1150"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150" s="100">
        <f>IF(AND(SamplingData[[#This Row],[Total]]&lt;&gt; 0, NOT(ISBLANK(SamplingData[[#This Row],[Candidate 3]]))),(SamplingData[[#This Row],[Total]]+SamplingData[[#This Row],[Winning Candidate]]-SamplingData[[#This Row],[Candidate 3]])/(SamplingData[[#Totals],[Winning Candidate]]-SamplingData[[#Totals],[Candidate 3]]), 0)</f>
        <v>3.8713423879730297E-4</v>
      </c>
      <c r="M1150" s="100">
        <f>IF(AND(SamplingData[[#This Row],[Total]]&lt;&gt; 0, NOT(ISBLANK(SamplingData[[#This Row],[Candidate 4]]))),(SamplingData[[#This Row],[Total]]+SamplingData[[#This Row],[Winning Candidate]]-SamplingData[[#This Row],[Candidate 4]])/(SamplingData[[#Totals],[Winning Candidate]]-SamplingData[[#Totals],[Candidate 4]]), 0)</f>
        <v>3.8001695460258996E-4</v>
      </c>
      <c r="N1150" s="100">
        <f>IF(AND(SamplingData[[#This Row],[Total]]&lt;&gt; 0, NOT(ISBLANK(SamplingData[[#This Row],[Candidate 5]]))),(SamplingData[[#This Row],[Total]]+SamplingData[[#This Row],[Winning Candidate]]-SamplingData[[#This Row],[Candidate 5]])/(SamplingData[[#Totals],[Winning Candidate]]-SamplingData[[#Totals],[Candidate 5]]), 0)</f>
        <v>3.1622476283142789E-4</v>
      </c>
      <c r="O1150" s="100">
        <f>IF(AND(SamplingData[[#This Row],[Total]]&lt;&gt; 0, NOT(ISBLANK(SamplingData[[#This Row],[Candidate 6]]))),(SamplingData[[#This Row],[Total]]+SamplingData[[#This Row],[Winning Candidate]]-SamplingData[[#This Row],[Candidate 6]])/(SamplingData[[#Totals],[Winning Candidate]]-SamplingData[[#Totals],[Candidate 6]]), 0)</f>
        <v>3.1613248382860755E-4</v>
      </c>
      <c r="P1150" s="100">
        <f>MAX(SamplingData[[#This Row],[Error Bound (up) - Max. possible relative overstatement - Losing Candidate]:[Error Bound (up) - Max. possible relative overstatement - Candidate 6]])</f>
        <v>5.5120039196472322E-4</v>
      </c>
      <c r="Q1150" s="100">
        <f>IF(SamplingData[[#This Row],[Max Error Bound (up)]] = 0,0,SamplingData[[#This Row],[Max Error Bound (up)]]/SamplingData[[#Totals],[Max Error Bound (up)]])</f>
        <v>8.7236534506012492E-5</v>
      </c>
      <c r="R1150" s="101">
        <f>SUM($Q$5:Q1150)</f>
        <v>0.28878011921415453</v>
      </c>
      <c r="S1150" s="100" t="str">
        <f t="array" ref="S1150">IF(SamplingData[[#This Row],[up/U Selection Probability]] = 0, "Zero", TEXT(SamplingData[[#This Row],[Lower Range]], REPT("0",LEN('General Info'!$B$40))) &amp; " - " &amp; TEXT(SamplingData[[#This Row],[Upper Range]], REPT("0",LEN('General Info'!$B$40))))</f>
        <v>28869 - 28877</v>
      </c>
      <c r="T1150" s="100">
        <f>SamplingData[[#This Row],[Upper Range]]-SamplingData[[#This Row],[Span]]</f>
        <v>28869.288355201388</v>
      </c>
      <c r="U1150" s="100">
        <f>IF(ISNUMBER('General Info'!$B$40), ((SamplingData[[#This Row],[up/U Selection Probability]]) * 'General Info'!$B$40) - 1, 0)</f>
        <v>7.7235662140667429</v>
      </c>
      <c r="V1150" s="100">
        <f>IF(ISNUMBER('General Info'!$B$40), (SamplingData[[#This Row],[Running (cumulative) sum]] * ('General Info'!$B$40 -'General Info'!$B$41 + 1)) + 'General Info'!$B$41 - 1, 0)</f>
        <v>28877.011921415455</v>
      </c>
      <c r="W1150" s="100" t="str">
        <f>IF(ISERROR(MATCH(SamplingData[[#This Row],[Batch by Type (p)]],SelectedPrecincts[Batch Name], 0)), "", INDEX(SelectedPrecincts[Draw], MATCH(SamplingData[[#This Row],[Batch by Type (p)]],SelectedPrecincts[Batch Name], 0)))</f>
        <v/>
      </c>
      <c r="X1150" s="102">
        <f>IF(COUNTIF(SelectedPrecincts[Batch Name],SamplingData[[#This Row],[Batch by Type (p)]]) &lt;&gt; 0, COUNTIF(SelectedPrecincts[Batch Name],SamplingData[[#This Row],[Batch by Type (p)]]), 0)</f>
        <v>0</v>
      </c>
    </row>
    <row r="1151" spans="1:24" ht="15" customHeight="1">
      <c r="A1151" s="18" t="s">
        <v>1327</v>
      </c>
      <c r="B1151" s="18">
        <v>7</v>
      </c>
      <c r="C1151" s="18">
        <v>7</v>
      </c>
      <c r="D1151" s="16">
        <v>4</v>
      </c>
      <c r="E1151" s="16">
        <v>1</v>
      </c>
      <c r="F1151" s="37">
        <v>0</v>
      </c>
      <c r="G1151" s="37">
        <v>0</v>
      </c>
      <c r="H1151" s="17">
        <v>0</v>
      </c>
      <c r="I1151" s="17">
        <v>0</v>
      </c>
      <c r="J1151" s="99">
        <f>SUM(SamplingData[[#This Row],[Losing Candidate]:[Under Votes]])</f>
        <v>19</v>
      </c>
      <c r="K1151"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151" s="100">
        <f>IF(AND(SamplingData[[#This Row],[Total]]&lt;&gt; 0, NOT(ISBLANK(SamplingData[[#This Row],[Candidate 3]]))),(SamplingData[[#This Row],[Total]]+SamplingData[[#This Row],[Winning Candidate]]-SamplingData[[#This Row],[Candidate 3]])/(SamplingData[[#Totals],[Winning Candidate]]-SamplingData[[#Totals],[Candidate 3]]), 0)</f>
        <v>7.0974610446172207E-4</v>
      </c>
      <c r="M1151" s="100">
        <f>IF(AND(SamplingData[[#This Row],[Total]]&lt;&gt; 0, NOT(ISBLANK(SamplingData[[#This Row],[Candidate 4]]))),(SamplingData[[#This Row],[Total]]+SamplingData[[#This Row],[Winning Candidate]]-SamplingData[[#This Row],[Candidate 4]])/(SamplingData[[#Totals],[Winning Candidate]]-SamplingData[[#Totals],[Candidate 4]]), 0)</f>
        <v>7.3080183577421145E-4</v>
      </c>
      <c r="N1151" s="100">
        <f>IF(AND(SamplingData[[#This Row],[Total]]&lt;&gt; 0, NOT(ISBLANK(SamplingData[[#This Row],[Candidate 5]]))),(SamplingData[[#This Row],[Total]]+SamplingData[[#This Row],[Winning Candidate]]-SamplingData[[#This Row],[Candidate 5]])/(SamplingData[[#Totals],[Winning Candidate]]-SamplingData[[#Totals],[Candidate 5]]), 0)</f>
        <v>6.3244952566285579E-4</v>
      </c>
      <c r="O1151" s="100">
        <f>IF(AND(SamplingData[[#This Row],[Total]]&lt;&gt; 0, NOT(ISBLANK(SamplingData[[#This Row],[Candidate 6]]))),(SamplingData[[#This Row],[Total]]+SamplingData[[#This Row],[Winning Candidate]]-SamplingData[[#This Row],[Candidate 6]])/(SamplingData[[#Totals],[Winning Candidate]]-SamplingData[[#Totals],[Candidate 6]]), 0)</f>
        <v>6.322649676572151E-4</v>
      </c>
      <c r="P1151" s="100">
        <f>MAX(SamplingData[[#This Row],[Error Bound (up) - Max. possible relative overstatement - Losing Candidate]:[Error Bound (up) - Max. possible relative overstatement - Candidate 6]])</f>
        <v>1.1636452719255266E-3</v>
      </c>
      <c r="Q1151" s="100">
        <f>IF(SamplingData[[#This Row],[Max Error Bound (up)]] = 0,0,SamplingData[[#This Row],[Max Error Bound (up)]]/SamplingData[[#Totals],[Max Error Bound (up)]])</f>
        <v>1.841660172904708E-4</v>
      </c>
      <c r="R1151" s="101">
        <f>SUM($Q$5:Q1151)</f>
        <v>0.28896428523144502</v>
      </c>
      <c r="S1151" s="100" t="str">
        <f t="array" ref="S1151">IF(SamplingData[[#This Row],[up/U Selection Probability]] = 0, "Zero", TEXT(SamplingData[[#This Row],[Lower Range]], REPT("0",LEN('General Info'!$B$40))) &amp; " - " &amp; TEXT(SamplingData[[#This Row],[Upper Range]], REPT("0",LEN('General Info'!$B$40))))</f>
        <v>28878 - 28895</v>
      </c>
      <c r="T1151" s="100">
        <f>SamplingData[[#This Row],[Upper Range]]-SamplingData[[#This Row],[Span]]</f>
        <v>28878.012105581474</v>
      </c>
      <c r="U1151" s="100">
        <f>IF(ISNUMBER('General Info'!$B$40), ((SamplingData[[#This Row],[up/U Selection Probability]]) * 'General Info'!$B$40) - 1, 0)</f>
        <v>17.416417563029789</v>
      </c>
      <c r="V1151" s="100">
        <f>IF(ISNUMBER('General Info'!$B$40), (SamplingData[[#This Row],[Running (cumulative) sum]] * ('General Info'!$B$40 -'General Info'!$B$41 + 1)) + 'General Info'!$B$41 - 1, 0)</f>
        <v>28895.428523144503</v>
      </c>
      <c r="W1151" s="100" t="str">
        <f>IF(ISERROR(MATCH(SamplingData[[#This Row],[Batch by Type (p)]],SelectedPrecincts[Batch Name], 0)), "", INDEX(SelectedPrecincts[Draw], MATCH(SamplingData[[#This Row],[Batch by Type (p)]],SelectedPrecincts[Batch Name], 0)))</f>
        <v/>
      </c>
      <c r="X1151" s="102">
        <f>IF(COUNTIF(SelectedPrecincts[Batch Name],SamplingData[[#This Row],[Batch by Type (p)]]) &lt;&gt; 0, COUNTIF(SelectedPrecincts[Batch Name],SamplingData[[#This Row],[Batch by Type (p)]]), 0)</f>
        <v>0</v>
      </c>
    </row>
    <row r="1152" spans="1:24" ht="15" customHeight="1">
      <c r="A1152" s="18" t="s">
        <v>1328</v>
      </c>
      <c r="B1152" s="18">
        <v>4</v>
      </c>
      <c r="C1152" s="18">
        <v>3</v>
      </c>
      <c r="D1152" s="18">
        <v>0</v>
      </c>
      <c r="E1152" s="18">
        <v>2</v>
      </c>
      <c r="F1152" s="18">
        <v>0</v>
      </c>
      <c r="G1152" s="18">
        <v>0</v>
      </c>
      <c r="H1152" s="18">
        <v>0</v>
      </c>
      <c r="I1152" s="18">
        <v>0</v>
      </c>
      <c r="J1152" s="99">
        <f>SUM(SamplingData[[#This Row],[Losing Candidate]:[Under Votes]])</f>
        <v>9</v>
      </c>
      <c r="K1152"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152" s="100">
        <f>IF(AND(SamplingData[[#This Row],[Total]]&lt;&gt; 0, NOT(ISBLANK(SamplingData[[#This Row],[Candidate 3]]))),(SamplingData[[#This Row],[Total]]+SamplingData[[#This Row],[Winning Candidate]]-SamplingData[[#This Row],[Candidate 3]])/(SamplingData[[#Totals],[Winning Candidate]]-SamplingData[[#Totals],[Candidate 3]]), 0)</f>
        <v>3.8713423879730297E-4</v>
      </c>
      <c r="M1152" s="100">
        <f>IF(AND(SamplingData[[#This Row],[Total]]&lt;&gt; 0, NOT(ISBLANK(SamplingData[[#This Row],[Candidate 4]]))),(SamplingData[[#This Row],[Total]]+SamplingData[[#This Row],[Winning Candidate]]-SamplingData[[#This Row],[Candidate 4]])/(SamplingData[[#Totals],[Winning Candidate]]-SamplingData[[#Totals],[Candidate 4]]), 0)</f>
        <v>2.9232073430968461E-4</v>
      </c>
      <c r="N1152" s="100">
        <f>IF(AND(SamplingData[[#This Row],[Total]]&lt;&gt; 0, NOT(ISBLANK(SamplingData[[#This Row],[Candidate 5]]))),(SamplingData[[#This Row],[Total]]+SamplingData[[#This Row],[Winning Candidate]]-SamplingData[[#This Row],[Candidate 5]])/(SamplingData[[#Totals],[Winning Candidate]]-SamplingData[[#Totals],[Candidate 5]]), 0)</f>
        <v>2.9189978107516421E-4</v>
      </c>
      <c r="O1152" s="100">
        <f>IF(AND(SamplingData[[#This Row],[Total]]&lt;&gt; 0, NOT(ISBLANK(SamplingData[[#This Row],[Candidate 6]]))),(SamplingData[[#This Row],[Total]]+SamplingData[[#This Row],[Winning Candidate]]-SamplingData[[#This Row],[Candidate 6]])/(SamplingData[[#Totals],[Winning Candidate]]-SamplingData[[#Totals],[Candidate 6]]), 0)</f>
        <v>2.9181460045717622E-4</v>
      </c>
      <c r="P1152" s="100">
        <f>MAX(SamplingData[[#This Row],[Error Bound (up) - Max. possible relative overstatement - Losing Candidate]:[Error Bound (up) - Max. possible relative overstatement - Candidate 6]])</f>
        <v>4.8995590396864281E-4</v>
      </c>
      <c r="Q1152" s="100">
        <f>IF(SamplingData[[#This Row],[Max Error Bound (up)]] = 0,0,SamplingData[[#This Row],[Max Error Bound (up)]]/SamplingData[[#Totals],[Max Error Bound (up)]])</f>
        <v>7.7543586227566652E-5</v>
      </c>
      <c r="R1152" s="101">
        <f>SUM($Q$5:Q1152)</f>
        <v>0.2890418288176726</v>
      </c>
      <c r="S1152" s="100" t="str">
        <f t="array" ref="S1152">IF(SamplingData[[#This Row],[up/U Selection Probability]] = 0, "Zero", TEXT(SamplingData[[#This Row],[Lower Range]], REPT("0",LEN('General Info'!$B$40))) &amp; " - " &amp; TEXT(SamplingData[[#This Row],[Upper Range]], REPT("0",LEN('General Info'!$B$40))))</f>
        <v>28896 - 28903</v>
      </c>
      <c r="T1152" s="100">
        <f>SamplingData[[#This Row],[Upper Range]]-SamplingData[[#This Row],[Span]]</f>
        <v>28896.42860068809</v>
      </c>
      <c r="U1152" s="100">
        <f>IF(ISNUMBER('General Info'!$B$40), ((SamplingData[[#This Row],[up/U Selection Probability]]) * 'General Info'!$B$40) - 1, 0)</f>
        <v>6.754281079170438</v>
      </c>
      <c r="V1152" s="100">
        <f>IF(ISNUMBER('General Info'!$B$40), (SamplingData[[#This Row],[Running (cumulative) sum]] * ('General Info'!$B$40 -'General Info'!$B$41 + 1)) + 'General Info'!$B$41 - 1, 0)</f>
        <v>28903.182881767261</v>
      </c>
      <c r="W1152" s="100" t="str">
        <f>IF(ISERROR(MATCH(SamplingData[[#This Row],[Batch by Type (p)]],SelectedPrecincts[Batch Name], 0)), "", INDEX(SelectedPrecincts[Draw], MATCH(SamplingData[[#This Row],[Batch by Type (p)]],SelectedPrecincts[Batch Name], 0)))</f>
        <v/>
      </c>
      <c r="X1152" s="102">
        <f>IF(COUNTIF(SelectedPrecincts[Batch Name],SamplingData[[#This Row],[Batch by Type (p)]]) &lt;&gt; 0, COUNTIF(SelectedPrecincts[Batch Name],SamplingData[[#This Row],[Batch by Type (p)]]), 0)</f>
        <v>0</v>
      </c>
    </row>
    <row r="1153" spans="1:24" ht="15" customHeight="1">
      <c r="A1153" s="18" t="s">
        <v>1329</v>
      </c>
      <c r="B1153" s="18">
        <v>30</v>
      </c>
      <c r="C1153" s="18">
        <v>78</v>
      </c>
      <c r="D1153" s="16">
        <v>10</v>
      </c>
      <c r="E1153" s="16">
        <v>5</v>
      </c>
      <c r="F1153" s="37">
        <v>0</v>
      </c>
      <c r="G1153" s="37">
        <v>0</v>
      </c>
      <c r="H1153" s="17">
        <v>0</v>
      </c>
      <c r="I1153" s="17">
        <v>3</v>
      </c>
      <c r="J1153" s="99">
        <f>SUM(SamplingData[[#This Row],[Losing Candidate]:[Under Votes]])</f>
        <v>126</v>
      </c>
      <c r="K1153" s="100">
        <f>IF(AND(SamplingData[[#This Row],[Total]]&lt;&gt; 0, NOT(ISBLANK(SamplingData[[#This Row],[Losing Candidate]]))),(SamplingData[[#This Row],[Total]]+SamplingData[[#This Row],[Winning Candidate]]-SamplingData[[#This Row],[Losing Candidate]])/(SamplingData[[#Totals],[Winning Candidate]]-SamplingData[[#Totals],[Losing Candidate]]), 0)</f>
        <v>1.0656540911317982E-2</v>
      </c>
      <c r="L1153" s="100">
        <f>IF(AND(SamplingData[[#This Row],[Total]]&lt;&gt; 0, NOT(ISBLANK(SamplingData[[#This Row],[Candidate 3]]))),(SamplingData[[#This Row],[Total]]+SamplingData[[#This Row],[Winning Candidate]]-SamplingData[[#This Row],[Candidate 3]])/(SamplingData[[#Totals],[Winning Candidate]]-SamplingData[[#Totals],[Candidate 3]]), 0)</f>
        <v>6.2586701938897316E-3</v>
      </c>
      <c r="M1153" s="100">
        <f>IF(AND(SamplingData[[#This Row],[Total]]&lt;&gt; 0, NOT(ISBLANK(SamplingData[[#This Row],[Candidate 4]]))),(SamplingData[[#This Row],[Total]]+SamplingData[[#This Row],[Winning Candidate]]-SamplingData[[#This Row],[Candidate 4]])/(SamplingData[[#Totals],[Winning Candidate]]-SamplingData[[#Totals],[Candidate 4]]), 0)</f>
        <v>5.8171826127627231E-3</v>
      </c>
      <c r="N1153" s="100">
        <f>IF(AND(SamplingData[[#This Row],[Total]]&lt;&gt; 0, NOT(ISBLANK(SamplingData[[#This Row],[Candidate 5]]))),(SamplingData[[#This Row],[Total]]+SamplingData[[#This Row],[Winning Candidate]]-SamplingData[[#This Row],[Candidate 5]])/(SamplingData[[#Totals],[Winning Candidate]]-SamplingData[[#Totals],[Candidate 5]]), 0)</f>
        <v>4.9622962782777912E-3</v>
      </c>
      <c r="O1153" s="100">
        <f>IF(AND(SamplingData[[#This Row],[Total]]&lt;&gt; 0, NOT(ISBLANK(SamplingData[[#This Row],[Candidate 6]]))),(SamplingData[[#This Row],[Total]]+SamplingData[[#This Row],[Winning Candidate]]-SamplingData[[#This Row],[Candidate 6]])/(SamplingData[[#Totals],[Winning Candidate]]-SamplingData[[#Totals],[Candidate 6]]), 0)</f>
        <v>4.9608482077719953E-3</v>
      </c>
      <c r="P1153" s="100">
        <f>MAX(SamplingData[[#This Row],[Error Bound (up) - Max. possible relative overstatement - Losing Candidate]:[Error Bound (up) - Max. possible relative overstatement - Candidate 6]])</f>
        <v>1.0656540911317982E-2</v>
      </c>
      <c r="Q1153" s="100">
        <f>IF(SamplingData[[#This Row],[Max Error Bound (up)]] = 0,0,SamplingData[[#This Row],[Max Error Bound (up)]]/SamplingData[[#Totals],[Max Error Bound (up)]])</f>
        <v>1.6865730004495749E-3</v>
      </c>
      <c r="R1153" s="101">
        <f>SUM($Q$5:Q1153)</f>
        <v>0.29072840181812215</v>
      </c>
      <c r="S1153" s="100" t="str">
        <f t="array" ref="S1153">IF(SamplingData[[#This Row],[up/U Selection Probability]] = 0, "Zero", TEXT(SamplingData[[#This Row],[Lower Range]], REPT("0",LEN('General Info'!$B$40))) &amp; " - " &amp; TEXT(SamplingData[[#This Row],[Upper Range]], REPT("0",LEN('General Info'!$B$40))))</f>
        <v>28904 - 29072</v>
      </c>
      <c r="T1153" s="100">
        <f>SamplingData[[#This Row],[Upper Range]]-SamplingData[[#This Row],[Span]]</f>
        <v>28904.184568340257</v>
      </c>
      <c r="U1153" s="100">
        <f>IF(ISNUMBER('General Info'!$B$40), ((SamplingData[[#This Row],[up/U Selection Probability]]) * 'General Info'!$B$40) - 1, 0)</f>
        <v>167.65561347195703</v>
      </c>
      <c r="V1153" s="100">
        <f>IF(ISNUMBER('General Info'!$B$40), (SamplingData[[#This Row],[Running (cumulative) sum]] * ('General Info'!$B$40 -'General Info'!$B$41 + 1)) + 'General Info'!$B$41 - 1, 0)</f>
        <v>29071.840181812215</v>
      </c>
      <c r="W1153" s="100" t="str">
        <f>IF(ISERROR(MATCH(SamplingData[[#This Row],[Batch by Type (p)]],SelectedPrecincts[Batch Name], 0)), "", INDEX(SelectedPrecincts[Draw], MATCH(SamplingData[[#This Row],[Batch by Type (p)]],SelectedPrecincts[Batch Name], 0)))</f>
        <v/>
      </c>
      <c r="X1153" s="102">
        <f>IF(COUNTIF(SelectedPrecincts[Batch Name],SamplingData[[#This Row],[Batch by Type (p)]]) &lt;&gt; 0, COUNTIF(SelectedPrecincts[Batch Name],SamplingData[[#This Row],[Batch by Type (p)]]), 0)</f>
        <v>0</v>
      </c>
    </row>
    <row r="1154" spans="1:24" ht="15" customHeight="1">
      <c r="A1154" s="18" t="s">
        <v>1330</v>
      </c>
      <c r="B1154" s="18">
        <v>20</v>
      </c>
      <c r="C1154" s="18">
        <v>34</v>
      </c>
      <c r="D1154" s="18">
        <v>10</v>
      </c>
      <c r="E1154" s="18">
        <v>4</v>
      </c>
      <c r="F1154" s="18">
        <v>1</v>
      </c>
      <c r="G1154" s="18">
        <v>0</v>
      </c>
      <c r="H1154" s="18">
        <v>0</v>
      </c>
      <c r="I1154" s="18">
        <v>2</v>
      </c>
      <c r="J1154" s="99">
        <f>SUM(SamplingData[[#This Row],[Losing Candidate]:[Under Votes]])</f>
        <v>71</v>
      </c>
      <c r="K1154" s="100">
        <f>IF(AND(SamplingData[[#This Row],[Total]]&lt;&gt; 0, NOT(ISBLANK(SamplingData[[#This Row],[Losing Candidate]]))),(SamplingData[[#This Row],[Total]]+SamplingData[[#This Row],[Winning Candidate]]-SamplingData[[#This Row],[Losing Candidate]])/(SamplingData[[#Totals],[Winning Candidate]]-SamplingData[[#Totals],[Losing Candidate]]), 0)</f>
        <v>5.2057814796668302E-3</v>
      </c>
      <c r="L1154" s="100">
        <f>IF(AND(SamplingData[[#This Row],[Total]]&lt;&gt; 0, NOT(ISBLANK(SamplingData[[#This Row],[Candidate 3]]))),(SamplingData[[#This Row],[Total]]+SamplingData[[#This Row],[Winning Candidate]]-SamplingData[[#This Row],[Candidate 3]])/(SamplingData[[#Totals],[Winning Candidate]]-SamplingData[[#Totals],[Candidate 3]]), 0)</f>
        <v>3.0648127238119818E-3</v>
      </c>
      <c r="M1154" s="100">
        <f>IF(AND(SamplingData[[#This Row],[Total]]&lt;&gt; 0, NOT(ISBLANK(SamplingData[[#This Row],[Candidate 4]]))),(SamplingData[[#This Row],[Total]]+SamplingData[[#This Row],[Winning Candidate]]-SamplingData[[#This Row],[Candidate 4]])/(SamplingData[[#Totals],[Winning Candidate]]-SamplingData[[#Totals],[Candidate 4]]), 0)</f>
        <v>2.9524394165278143E-3</v>
      </c>
      <c r="N1154" s="100">
        <f>IF(AND(SamplingData[[#This Row],[Total]]&lt;&gt; 0, NOT(ISBLANK(SamplingData[[#This Row],[Candidate 5]]))),(SamplingData[[#This Row],[Total]]+SamplingData[[#This Row],[Winning Candidate]]-SamplingData[[#This Row],[Candidate 5]])/(SamplingData[[#Totals],[Winning Candidate]]-SamplingData[[#Totals],[Candidate 5]]), 0)</f>
        <v>2.5297981026514232E-3</v>
      </c>
      <c r="O1154" s="100">
        <f>IF(AND(SamplingData[[#This Row],[Total]]&lt;&gt; 0, NOT(ISBLANK(SamplingData[[#This Row],[Candidate 6]]))),(SamplingData[[#This Row],[Total]]+SamplingData[[#This Row],[Winning Candidate]]-SamplingData[[#This Row],[Candidate 6]])/(SamplingData[[#Totals],[Winning Candidate]]-SamplingData[[#Totals],[Candidate 6]]), 0)</f>
        <v>2.5533777540002918E-3</v>
      </c>
      <c r="P1154" s="100">
        <f>MAX(SamplingData[[#This Row],[Error Bound (up) - Max. possible relative overstatement - Losing Candidate]:[Error Bound (up) - Max. possible relative overstatement - Candidate 6]])</f>
        <v>5.2057814796668302E-3</v>
      </c>
      <c r="Q1154" s="100">
        <f>IF(SamplingData[[#This Row],[Max Error Bound (up)]] = 0,0,SamplingData[[#This Row],[Max Error Bound (up)]]/SamplingData[[#Totals],[Max Error Bound (up)]])</f>
        <v>8.2390060366789575E-4</v>
      </c>
      <c r="R1154" s="101">
        <f>SUM($Q$5:Q1154)</f>
        <v>0.29155230242179003</v>
      </c>
      <c r="S1154" s="100" t="str">
        <f t="array" ref="S1154">IF(SamplingData[[#This Row],[up/U Selection Probability]] = 0, "Zero", TEXT(SamplingData[[#This Row],[Lower Range]], REPT("0",LEN('General Info'!$B$40))) &amp; " - " &amp; TEXT(SamplingData[[#This Row],[Upper Range]], REPT("0",LEN('General Info'!$B$40))))</f>
        <v>29073 - 29154</v>
      </c>
      <c r="T1154" s="100">
        <f>SamplingData[[#This Row],[Upper Range]]-SamplingData[[#This Row],[Span]]</f>
        <v>29072.84100571282</v>
      </c>
      <c r="U1154" s="100">
        <f>IF(ISNUMBER('General Info'!$B$40), ((SamplingData[[#This Row],[up/U Selection Probability]]) * 'General Info'!$B$40) - 1, 0)</f>
        <v>81.389236466185906</v>
      </c>
      <c r="V1154" s="100">
        <f>IF(ISNUMBER('General Info'!$B$40), (SamplingData[[#This Row],[Running (cumulative) sum]] * ('General Info'!$B$40 -'General Info'!$B$41 + 1)) + 'General Info'!$B$41 - 1, 0)</f>
        <v>29154.230242179005</v>
      </c>
      <c r="W1154" s="100" t="str">
        <f>IF(ISERROR(MATCH(SamplingData[[#This Row],[Batch by Type (p)]],SelectedPrecincts[Batch Name], 0)), "", INDEX(SelectedPrecincts[Draw], MATCH(SamplingData[[#This Row],[Batch by Type (p)]],SelectedPrecincts[Batch Name], 0)))</f>
        <v/>
      </c>
      <c r="X1154" s="102">
        <f>IF(COUNTIF(SelectedPrecincts[Batch Name],SamplingData[[#This Row],[Batch by Type (p)]]) &lt;&gt; 0, COUNTIF(SelectedPrecincts[Batch Name],SamplingData[[#This Row],[Batch by Type (p)]]), 0)</f>
        <v>0</v>
      </c>
    </row>
    <row r="1155" spans="1:24" ht="15" customHeight="1">
      <c r="A1155" s="18" t="s">
        <v>1331</v>
      </c>
      <c r="B1155" s="18">
        <v>30</v>
      </c>
      <c r="C1155" s="18">
        <v>63</v>
      </c>
      <c r="D1155" s="16">
        <v>11</v>
      </c>
      <c r="E1155" s="16">
        <v>8</v>
      </c>
      <c r="F1155" s="37">
        <v>0</v>
      </c>
      <c r="G1155" s="37">
        <v>0</v>
      </c>
      <c r="H1155" s="17">
        <v>0</v>
      </c>
      <c r="I1155" s="17">
        <v>0</v>
      </c>
      <c r="J1155" s="99">
        <f>SUM(SamplingData[[#This Row],[Losing Candidate]:[Under Votes]])</f>
        <v>112</v>
      </c>
      <c r="K1155" s="100">
        <f>IF(AND(SamplingData[[#This Row],[Total]]&lt;&gt; 0, NOT(ISBLANK(SamplingData[[#This Row],[Losing Candidate]]))),(SamplingData[[#This Row],[Total]]+SamplingData[[#This Row],[Winning Candidate]]-SamplingData[[#This Row],[Losing Candidate]])/(SamplingData[[#Totals],[Winning Candidate]]-SamplingData[[#Totals],[Losing Candidate]]), 0)</f>
        <v>8.880450759431651E-3</v>
      </c>
      <c r="L1155" s="100">
        <f>IF(AND(SamplingData[[#This Row],[Total]]&lt;&gt; 0, NOT(ISBLANK(SamplingData[[#This Row],[Candidate 3]]))),(SamplingData[[#This Row],[Total]]+SamplingData[[#This Row],[Winning Candidate]]-SamplingData[[#This Row],[Candidate 3]])/(SamplingData[[#Totals],[Winning Candidate]]-SamplingData[[#Totals],[Candidate 3]]), 0)</f>
        <v>5.2908345968964736E-3</v>
      </c>
      <c r="M1155" s="100">
        <f>IF(AND(SamplingData[[#This Row],[Total]]&lt;&gt; 0, NOT(ISBLANK(SamplingData[[#This Row],[Candidate 4]]))),(SamplingData[[#This Row],[Total]]+SamplingData[[#This Row],[Winning Candidate]]-SamplingData[[#This Row],[Candidate 4]])/(SamplingData[[#Totals],[Winning Candidate]]-SamplingData[[#Totals],[Candidate 4]]), 0)</f>
        <v>4.8817562629717322E-3</v>
      </c>
      <c r="N1155" s="100">
        <f>IF(AND(SamplingData[[#This Row],[Total]]&lt;&gt; 0, NOT(ISBLANK(SamplingData[[#This Row],[Candidate 5]]))),(SamplingData[[#This Row],[Total]]+SamplingData[[#This Row],[Winning Candidate]]-SamplingData[[#This Row],[Candidate 5]])/(SamplingData[[#Totals],[Winning Candidate]]-SamplingData[[#Totals],[Candidate 5]]), 0)</f>
        <v>4.2568718073461445E-3</v>
      </c>
      <c r="O1155" s="100">
        <f>IF(AND(SamplingData[[#This Row],[Total]]&lt;&gt; 0, NOT(ISBLANK(SamplingData[[#This Row],[Candidate 6]]))),(SamplingData[[#This Row],[Total]]+SamplingData[[#This Row],[Winning Candidate]]-SamplingData[[#This Row],[Candidate 6]])/(SamplingData[[#Totals],[Winning Candidate]]-SamplingData[[#Totals],[Candidate 6]]), 0)</f>
        <v>4.2556295900004863E-3</v>
      </c>
      <c r="P1155" s="100">
        <f>MAX(SamplingData[[#This Row],[Error Bound (up) - Max. possible relative overstatement - Losing Candidate]:[Error Bound (up) - Max. possible relative overstatement - Candidate 6]])</f>
        <v>8.880450759431651E-3</v>
      </c>
      <c r="Q1155" s="100">
        <f>IF(SamplingData[[#This Row],[Max Error Bound (up)]] = 0,0,SamplingData[[#This Row],[Max Error Bound (up)]]/SamplingData[[#Totals],[Max Error Bound (up)]])</f>
        <v>1.4054775003746456E-3</v>
      </c>
      <c r="R1155" s="101">
        <f>SUM($Q$5:Q1155)</f>
        <v>0.29295777992216465</v>
      </c>
      <c r="S1155" s="100" t="str">
        <f t="array" ref="S1155">IF(SamplingData[[#This Row],[up/U Selection Probability]] = 0, "Zero", TEXT(SamplingData[[#This Row],[Lower Range]], REPT("0",LEN('General Info'!$B$40))) &amp; " - " &amp; TEXT(SamplingData[[#This Row],[Upper Range]], REPT("0",LEN('General Info'!$B$40))))</f>
        <v>29155 - 29295</v>
      </c>
      <c r="T1155" s="100">
        <f>SamplingData[[#This Row],[Upper Range]]-SamplingData[[#This Row],[Span]]</f>
        <v>29155.231647656503</v>
      </c>
      <c r="U1155" s="100">
        <f>IF(ISNUMBER('General Info'!$B$40), ((SamplingData[[#This Row],[up/U Selection Probability]]) * 'General Info'!$B$40) - 1, 0)</f>
        <v>139.54634455996418</v>
      </c>
      <c r="V1155" s="100">
        <f>IF(ISNUMBER('General Info'!$B$40), (SamplingData[[#This Row],[Running (cumulative) sum]] * ('General Info'!$B$40 -'General Info'!$B$41 + 1)) + 'General Info'!$B$41 - 1, 0)</f>
        <v>29294.777992216466</v>
      </c>
      <c r="W1155" s="100" t="str">
        <f>IF(ISERROR(MATCH(SamplingData[[#This Row],[Batch by Type (p)]],SelectedPrecincts[Batch Name], 0)), "", INDEX(SelectedPrecincts[Draw], MATCH(SamplingData[[#This Row],[Batch by Type (p)]],SelectedPrecincts[Batch Name], 0)))</f>
        <v/>
      </c>
      <c r="X1155" s="102">
        <f>IF(COUNTIF(SelectedPrecincts[Batch Name],SamplingData[[#This Row],[Batch by Type (p)]]) &lt;&gt; 0, COUNTIF(SelectedPrecincts[Batch Name],SamplingData[[#This Row],[Batch by Type (p)]]), 0)</f>
        <v>0</v>
      </c>
    </row>
    <row r="1156" spans="1:24" ht="15" customHeight="1">
      <c r="A1156" s="18" t="s">
        <v>1332</v>
      </c>
      <c r="B1156" s="18">
        <v>13</v>
      </c>
      <c r="C1156" s="18">
        <v>18</v>
      </c>
      <c r="D1156" s="18">
        <v>3</v>
      </c>
      <c r="E1156" s="18">
        <v>2</v>
      </c>
      <c r="F1156" s="18">
        <v>0</v>
      </c>
      <c r="G1156" s="18">
        <v>0</v>
      </c>
      <c r="H1156" s="18">
        <v>0</v>
      </c>
      <c r="I1156" s="18">
        <v>1</v>
      </c>
      <c r="J1156" s="99">
        <f>SUM(SamplingData[[#This Row],[Losing Candidate]:[Under Votes]])</f>
        <v>37</v>
      </c>
      <c r="K1156"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156" s="100">
        <f>IF(AND(SamplingData[[#This Row],[Total]]&lt;&gt; 0, NOT(ISBLANK(SamplingData[[#This Row],[Candidate 3]]))),(SamplingData[[#This Row],[Total]]+SamplingData[[#This Row],[Winning Candidate]]-SamplingData[[#This Row],[Candidate 3]])/(SamplingData[[#Totals],[Winning Candidate]]-SamplingData[[#Totals],[Candidate 3]]), 0)</f>
        <v>1.6775817014549794E-3</v>
      </c>
      <c r="M1156" s="100">
        <f>IF(AND(SamplingData[[#This Row],[Total]]&lt;&gt; 0, NOT(ISBLANK(SamplingData[[#This Row],[Candidate 4]]))),(SamplingData[[#This Row],[Total]]+SamplingData[[#This Row],[Winning Candidate]]-SamplingData[[#This Row],[Candidate 4]])/(SamplingData[[#Totals],[Winning Candidate]]-SamplingData[[#Totals],[Candidate 4]]), 0)</f>
        <v>1.5492998918413283E-3</v>
      </c>
      <c r="N1156" s="100">
        <f>IF(AND(SamplingData[[#This Row],[Total]]&lt;&gt; 0, NOT(ISBLANK(SamplingData[[#This Row],[Candidate 5]]))),(SamplingData[[#This Row],[Total]]+SamplingData[[#This Row],[Winning Candidate]]-SamplingData[[#This Row],[Candidate 5]])/(SamplingData[[#Totals],[Winning Candidate]]-SamplingData[[#Totals],[Candidate 5]]), 0)</f>
        <v>1.3378739965945025E-3</v>
      </c>
      <c r="O1156" s="100">
        <f>IF(AND(SamplingData[[#This Row],[Total]]&lt;&gt; 0, NOT(ISBLANK(SamplingData[[#This Row],[Candidate 6]]))),(SamplingData[[#This Row],[Total]]+SamplingData[[#This Row],[Winning Candidate]]-SamplingData[[#This Row],[Candidate 6]])/(SamplingData[[#Totals],[Winning Candidate]]-SamplingData[[#Totals],[Candidate 6]]), 0)</f>
        <v>1.3374835854287244E-3</v>
      </c>
      <c r="P1156" s="100">
        <f>MAX(SamplingData[[#This Row],[Error Bound (up) - Max. possible relative overstatement - Losing Candidate]:[Error Bound (up) - Max. possible relative overstatement - Candidate 6]])</f>
        <v>2.5722684958353749E-3</v>
      </c>
      <c r="Q1156" s="100">
        <f>IF(SamplingData[[#This Row],[Max Error Bound (up)]] = 0,0,SamplingData[[#This Row],[Max Error Bound (up)]]/SamplingData[[#Totals],[Max Error Bound (up)]])</f>
        <v>4.0710382769472496E-4</v>
      </c>
      <c r="R1156" s="101">
        <f>SUM($Q$5:Q1156)</f>
        <v>0.29336488374985936</v>
      </c>
      <c r="S1156" s="100" t="str">
        <f t="array" ref="S1156">IF(SamplingData[[#This Row],[up/U Selection Probability]] = 0, "Zero", TEXT(SamplingData[[#This Row],[Lower Range]], REPT("0",LEN('General Info'!$B$40))) &amp; " - " &amp; TEXT(SamplingData[[#This Row],[Upper Range]], REPT("0",LEN('General Info'!$B$40))))</f>
        <v>29296 - 29335</v>
      </c>
      <c r="T1156" s="100">
        <f>SamplingData[[#This Row],[Upper Range]]-SamplingData[[#This Row],[Span]]</f>
        <v>29295.77839932029</v>
      </c>
      <c r="U1156" s="100">
        <f>IF(ISNUMBER('General Info'!$B$40), ((SamplingData[[#This Row],[up/U Selection Probability]]) * 'General Info'!$B$40) - 1, 0)</f>
        <v>39.709975665644798</v>
      </c>
      <c r="V1156" s="100">
        <f>IF(ISNUMBER('General Info'!$B$40), (SamplingData[[#This Row],[Running (cumulative) sum]] * ('General Info'!$B$40 -'General Info'!$B$41 + 1)) + 'General Info'!$B$41 - 1, 0)</f>
        <v>29335.488374985936</v>
      </c>
      <c r="W1156" s="100" t="str">
        <f>IF(ISERROR(MATCH(SamplingData[[#This Row],[Batch by Type (p)]],SelectedPrecincts[Batch Name], 0)), "", INDEX(SelectedPrecincts[Draw], MATCH(SamplingData[[#This Row],[Batch by Type (p)]],SelectedPrecincts[Batch Name], 0)))</f>
        <v/>
      </c>
      <c r="X1156" s="102">
        <f>IF(COUNTIF(SelectedPrecincts[Batch Name],SamplingData[[#This Row],[Batch by Type (p)]]) &lt;&gt; 0, COUNTIF(SelectedPrecincts[Batch Name],SamplingData[[#This Row],[Batch by Type (p)]]), 0)</f>
        <v>0</v>
      </c>
    </row>
    <row r="1157" spans="1:24" ht="15" customHeight="1">
      <c r="A1157" s="18" t="s">
        <v>1333</v>
      </c>
      <c r="B1157" s="18">
        <v>11</v>
      </c>
      <c r="C1157" s="18">
        <v>36</v>
      </c>
      <c r="D1157" s="16">
        <v>11</v>
      </c>
      <c r="E1157" s="16">
        <v>9</v>
      </c>
      <c r="F1157" s="37">
        <v>0</v>
      </c>
      <c r="G1157" s="37">
        <v>1</v>
      </c>
      <c r="H1157" s="17">
        <v>0</v>
      </c>
      <c r="I1157" s="17">
        <v>1</v>
      </c>
      <c r="J1157" s="99">
        <f>SUM(SamplingData[[#This Row],[Losing Candidate]:[Under Votes]])</f>
        <v>69</v>
      </c>
      <c r="K1157" s="100">
        <f>IF(AND(SamplingData[[#This Row],[Total]]&lt;&gt; 0, NOT(ISBLANK(SamplingData[[#This Row],[Losing Candidate]]))),(SamplingData[[#This Row],[Total]]+SamplingData[[#This Row],[Winning Candidate]]-SamplingData[[#This Row],[Losing Candidate]])/(SamplingData[[#Totals],[Winning Candidate]]-SamplingData[[#Totals],[Losing Candidate]]), 0)</f>
        <v>5.7569818716315529E-3</v>
      </c>
      <c r="L1157" s="100">
        <f>IF(AND(SamplingData[[#This Row],[Total]]&lt;&gt; 0, NOT(ISBLANK(SamplingData[[#This Row],[Candidate 3]]))),(SamplingData[[#This Row],[Total]]+SamplingData[[#This Row],[Winning Candidate]]-SamplingData[[#This Row],[Candidate 3]])/(SamplingData[[#Totals],[Winning Candidate]]-SamplingData[[#Totals],[Candidate 3]]), 0)</f>
        <v>3.0325515372455398E-3</v>
      </c>
      <c r="M1157" s="100">
        <f>IF(AND(SamplingData[[#This Row],[Total]]&lt;&gt; 0, NOT(ISBLANK(SamplingData[[#This Row],[Candidate 4]]))),(SamplingData[[#This Row],[Total]]+SamplingData[[#This Row],[Winning Candidate]]-SamplingData[[#This Row],[Candidate 4]])/(SamplingData[[#Totals],[Winning Candidate]]-SamplingData[[#Totals],[Candidate 4]]), 0)</f>
        <v>2.8062790493729719E-3</v>
      </c>
      <c r="N1157" s="100">
        <f>IF(AND(SamplingData[[#This Row],[Total]]&lt;&gt; 0, NOT(ISBLANK(SamplingData[[#This Row],[Candidate 5]]))),(SamplingData[[#This Row],[Total]]+SamplingData[[#This Row],[Winning Candidate]]-SamplingData[[#This Row],[Candidate 5]])/(SamplingData[[#Totals],[Winning Candidate]]-SamplingData[[#Totals],[Candidate 5]]), 0)</f>
        <v>2.5541230844076867E-3</v>
      </c>
      <c r="O1157" s="100">
        <f>IF(AND(SamplingData[[#This Row],[Total]]&lt;&gt; 0, NOT(ISBLANK(SamplingData[[#This Row],[Candidate 6]]))),(SamplingData[[#This Row],[Total]]+SamplingData[[#This Row],[Winning Candidate]]-SamplingData[[#This Row],[Candidate 6]])/(SamplingData[[#Totals],[Winning Candidate]]-SamplingData[[#Totals],[Candidate 6]]), 0)</f>
        <v>2.5290598706288604E-3</v>
      </c>
      <c r="P1157" s="100">
        <f>MAX(SamplingData[[#This Row],[Error Bound (up) - Max. possible relative overstatement - Losing Candidate]:[Error Bound (up) - Max. possible relative overstatement - Candidate 6]])</f>
        <v>5.7569818716315529E-3</v>
      </c>
      <c r="Q1157" s="100">
        <f>IF(SamplingData[[#This Row],[Max Error Bound (up)]] = 0,0,SamplingData[[#This Row],[Max Error Bound (up)]]/SamplingData[[#Totals],[Max Error Bound (up)]])</f>
        <v>9.1113713817390809E-4</v>
      </c>
      <c r="R1157" s="101">
        <f>SUM($Q$5:Q1157)</f>
        <v>0.29427602088803329</v>
      </c>
      <c r="S1157" s="100" t="str">
        <f t="array" ref="S1157">IF(SamplingData[[#This Row],[up/U Selection Probability]] = 0, "Zero", TEXT(SamplingData[[#This Row],[Lower Range]], REPT("0",LEN('General Info'!$B$40))) &amp; " - " &amp; TEXT(SamplingData[[#This Row],[Upper Range]], REPT("0",LEN('General Info'!$B$40))))</f>
        <v>29336 - 29427</v>
      </c>
      <c r="T1157" s="100">
        <f>SamplingData[[#This Row],[Upper Range]]-SamplingData[[#This Row],[Span]]</f>
        <v>29336.489286123073</v>
      </c>
      <c r="U1157" s="100">
        <f>IF(ISNUMBER('General Info'!$B$40), ((SamplingData[[#This Row],[up/U Selection Probability]]) * 'General Info'!$B$40) - 1, 0)</f>
        <v>90.112802680252642</v>
      </c>
      <c r="V1157" s="100">
        <f>IF(ISNUMBER('General Info'!$B$40), (SamplingData[[#This Row],[Running (cumulative) sum]] * ('General Info'!$B$40 -'General Info'!$B$41 + 1)) + 'General Info'!$B$41 - 1, 0)</f>
        <v>29426.602088803327</v>
      </c>
      <c r="W1157" s="100" t="str">
        <f>IF(ISERROR(MATCH(SamplingData[[#This Row],[Batch by Type (p)]],SelectedPrecincts[Batch Name], 0)), "", INDEX(SelectedPrecincts[Draw], MATCH(SamplingData[[#This Row],[Batch by Type (p)]],SelectedPrecincts[Batch Name], 0)))</f>
        <v/>
      </c>
      <c r="X1157" s="102">
        <f>IF(COUNTIF(SelectedPrecincts[Batch Name],SamplingData[[#This Row],[Batch by Type (p)]]) &lt;&gt; 0, COUNTIF(SelectedPrecincts[Batch Name],SamplingData[[#This Row],[Batch by Type (p)]]), 0)</f>
        <v>0</v>
      </c>
    </row>
    <row r="1158" spans="1:24" ht="15" customHeight="1">
      <c r="A1158" s="18" t="s">
        <v>1334</v>
      </c>
      <c r="B1158" s="18">
        <v>6</v>
      </c>
      <c r="C1158" s="18">
        <v>10</v>
      </c>
      <c r="D1158" s="18">
        <v>2</v>
      </c>
      <c r="E1158" s="18">
        <v>4</v>
      </c>
      <c r="F1158" s="18">
        <v>0</v>
      </c>
      <c r="G1158" s="18">
        <v>0</v>
      </c>
      <c r="H1158" s="18">
        <v>0</v>
      </c>
      <c r="I1158" s="18">
        <v>0</v>
      </c>
      <c r="J1158" s="99">
        <f>SUM(SamplingData[[#This Row],[Losing Candidate]:[Under Votes]])</f>
        <v>22</v>
      </c>
      <c r="K1158"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158" s="100">
        <f>IF(AND(SamplingData[[#This Row],[Total]]&lt;&gt; 0, NOT(ISBLANK(SamplingData[[#This Row],[Candidate 3]]))),(SamplingData[[#This Row],[Total]]+SamplingData[[#This Row],[Winning Candidate]]-SamplingData[[#This Row],[Candidate 3]])/(SamplingData[[#Totals],[Winning Candidate]]-SamplingData[[#Totals],[Candidate 3]]), 0)</f>
        <v>9.6783559699325746E-4</v>
      </c>
      <c r="M1158" s="100">
        <f>IF(AND(SamplingData[[#This Row],[Total]]&lt;&gt; 0, NOT(ISBLANK(SamplingData[[#This Row],[Candidate 4]]))),(SamplingData[[#This Row],[Total]]+SamplingData[[#This Row],[Winning Candidate]]-SamplingData[[#This Row],[Candidate 4]])/(SamplingData[[#Totals],[Winning Candidate]]-SamplingData[[#Totals],[Candidate 4]]), 0)</f>
        <v>8.1849805606711685E-4</v>
      </c>
      <c r="N1158" s="100">
        <f>IF(AND(SamplingData[[#This Row],[Total]]&lt;&gt; 0, NOT(ISBLANK(SamplingData[[#This Row],[Candidate 5]]))),(SamplingData[[#This Row],[Total]]+SamplingData[[#This Row],[Winning Candidate]]-SamplingData[[#This Row],[Candidate 5]])/(SamplingData[[#Totals],[Winning Candidate]]-SamplingData[[#Totals],[Candidate 5]]), 0)</f>
        <v>7.7839941620043787E-4</v>
      </c>
      <c r="O1158" s="100">
        <f>IF(AND(SamplingData[[#This Row],[Total]]&lt;&gt; 0, NOT(ISBLANK(SamplingData[[#This Row],[Candidate 6]]))),(SamplingData[[#This Row],[Total]]+SamplingData[[#This Row],[Winning Candidate]]-SamplingData[[#This Row],[Candidate 6]])/(SamplingData[[#Totals],[Winning Candidate]]-SamplingData[[#Totals],[Candidate 6]]), 0)</f>
        <v>7.7817226788580321E-4</v>
      </c>
      <c r="P1158" s="100">
        <f>MAX(SamplingData[[#This Row],[Error Bound (up) - Max. possible relative overstatement - Losing Candidate]:[Error Bound (up) - Max. possible relative overstatement - Candidate 6]])</f>
        <v>1.5923566878980893E-3</v>
      </c>
      <c r="Q1158" s="100">
        <f>IF(SamplingData[[#This Row],[Max Error Bound (up)]] = 0,0,SamplingData[[#This Row],[Max Error Bound (up)]]/SamplingData[[#Totals],[Max Error Bound (up)]])</f>
        <v>2.5201665523959162E-4</v>
      </c>
      <c r="R1158" s="101">
        <f>SUM($Q$5:Q1158)</f>
        <v>0.29452803754327289</v>
      </c>
      <c r="S1158" s="100" t="str">
        <f t="array" ref="S1158">IF(SamplingData[[#This Row],[up/U Selection Probability]] = 0, "Zero", TEXT(SamplingData[[#This Row],[Lower Range]], REPT("0",LEN('General Info'!$B$40))) &amp; " - " &amp; TEXT(SamplingData[[#This Row],[Upper Range]], REPT("0",LEN('General Info'!$B$40))))</f>
        <v>29428 - 29452</v>
      </c>
      <c r="T1158" s="100">
        <f>SamplingData[[#This Row],[Upper Range]]-SamplingData[[#This Row],[Span]]</f>
        <v>29427.602340819984</v>
      </c>
      <c r="U1158" s="100">
        <f>IF(ISNUMBER('General Info'!$B$40), ((SamplingData[[#This Row],[up/U Selection Probability]]) * 'General Info'!$B$40) - 1, 0)</f>
        <v>24.201413507303922</v>
      </c>
      <c r="V1158" s="100">
        <f>IF(ISNUMBER('General Info'!$B$40), (SamplingData[[#This Row],[Running (cumulative) sum]] * ('General Info'!$B$40 -'General Info'!$B$41 + 1)) + 'General Info'!$B$41 - 1, 0)</f>
        <v>29451.803754327288</v>
      </c>
      <c r="W1158" s="100" t="str">
        <f>IF(ISERROR(MATCH(SamplingData[[#This Row],[Batch by Type (p)]],SelectedPrecincts[Batch Name], 0)), "", INDEX(SelectedPrecincts[Draw], MATCH(SamplingData[[#This Row],[Batch by Type (p)]],SelectedPrecincts[Batch Name], 0)))</f>
        <v/>
      </c>
      <c r="X1158" s="102">
        <f>IF(COUNTIF(SelectedPrecincts[Batch Name],SamplingData[[#This Row],[Batch by Type (p)]]) &lt;&gt; 0, COUNTIF(SelectedPrecincts[Batch Name],SamplingData[[#This Row],[Batch by Type (p)]]), 0)</f>
        <v>0</v>
      </c>
    </row>
    <row r="1159" spans="1:24" ht="15" customHeight="1">
      <c r="A1159" s="18" t="s">
        <v>1335</v>
      </c>
      <c r="B1159" s="18">
        <v>3</v>
      </c>
      <c r="C1159" s="18">
        <v>13</v>
      </c>
      <c r="D1159" s="16">
        <v>3</v>
      </c>
      <c r="E1159" s="16">
        <v>4</v>
      </c>
      <c r="F1159" s="37">
        <v>0</v>
      </c>
      <c r="G1159" s="37">
        <v>0</v>
      </c>
      <c r="H1159" s="17">
        <v>0</v>
      </c>
      <c r="I1159" s="17">
        <v>0</v>
      </c>
      <c r="J1159" s="99">
        <f>SUM(SamplingData[[#This Row],[Losing Candidate]:[Under Votes]])</f>
        <v>23</v>
      </c>
      <c r="K1159" s="100">
        <f>IF(AND(SamplingData[[#This Row],[Total]]&lt;&gt; 0, NOT(ISBLANK(SamplingData[[#This Row],[Losing Candidate]]))),(SamplingData[[#This Row],[Total]]+SamplingData[[#This Row],[Winning Candidate]]-SamplingData[[#This Row],[Losing Candidate]])/(SamplingData[[#Totals],[Winning Candidate]]-SamplingData[[#Totals],[Losing Candidate]]), 0)</f>
        <v>2.0210681038706517E-3</v>
      </c>
      <c r="L1159" s="100">
        <f>IF(AND(SamplingData[[#This Row],[Total]]&lt;&gt; 0, NOT(ISBLANK(SamplingData[[#This Row],[Candidate 3]]))),(SamplingData[[#This Row],[Total]]+SamplingData[[#This Row],[Winning Candidate]]-SamplingData[[#This Row],[Candidate 3]])/(SamplingData[[#Totals],[Winning Candidate]]-SamplingData[[#Totals],[Candidate 3]]), 0)</f>
        <v>1.0646191566925831E-3</v>
      </c>
      <c r="M1159" s="100">
        <f>IF(AND(SamplingData[[#This Row],[Total]]&lt;&gt; 0, NOT(ISBLANK(SamplingData[[#This Row],[Candidate 4]]))),(SamplingData[[#This Row],[Total]]+SamplingData[[#This Row],[Winning Candidate]]-SamplingData[[#This Row],[Candidate 4]])/(SamplingData[[#Totals],[Winning Candidate]]-SamplingData[[#Totals],[Candidate 4]]), 0)</f>
        <v>9.3542634979099071E-4</v>
      </c>
      <c r="N1159" s="100">
        <f>IF(AND(SamplingData[[#This Row],[Total]]&lt;&gt; 0, NOT(ISBLANK(SamplingData[[#This Row],[Candidate 5]]))),(SamplingData[[#This Row],[Total]]+SamplingData[[#This Row],[Winning Candidate]]-SamplingData[[#This Row],[Candidate 5]])/(SamplingData[[#Totals],[Winning Candidate]]-SamplingData[[#Totals],[Candidate 5]]), 0)</f>
        <v>8.7569934322549259E-4</v>
      </c>
      <c r="O1159" s="100">
        <f>IF(AND(SamplingData[[#This Row],[Total]]&lt;&gt; 0, NOT(ISBLANK(SamplingData[[#This Row],[Candidate 6]]))),(SamplingData[[#This Row],[Total]]+SamplingData[[#This Row],[Winning Candidate]]-SamplingData[[#This Row],[Candidate 6]])/(SamplingData[[#Totals],[Winning Candidate]]-SamplingData[[#Totals],[Candidate 6]]), 0)</f>
        <v>8.7544380137152865E-4</v>
      </c>
      <c r="P1159" s="100">
        <f>MAX(SamplingData[[#This Row],[Error Bound (up) - Max. possible relative overstatement - Losing Candidate]:[Error Bound (up) - Max. possible relative overstatement - Candidate 6]])</f>
        <v>2.0210681038706517E-3</v>
      </c>
      <c r="Q1159" s="100">
        <f>IF(SamplingData[[#This Row],[Max Error Bound (up)]] = 0,0,SamplingData[[#This Row],[Max Error Bound (up)]]/SamplingData[[#Totals],[Max Error Bound (up)]])</f>
        <v>3.1986729318871245E-4</v>
      </c>
      <c r="R1159" s="101">
        <f>SUM($Q$5:Q1159)</f>
        <v>0.29484790483646162</v>
      </c>
      <c r="S1159" s="100" t="str">
        <f t="array" ref="S1159">IF(SamplingData[[#This Row],[up/U Selection Probability]] = 0, "Zero", TEXT(SamplingData[[#This Row],[Lower Range]], REPT("0",LEN('General Info'!$B$40))) &amp; " - " &amp; TEXT(SamplingData[[#This Row],[Upper Range]], REPT("0",LEN('General Info'!$B$40))))</f>
        <v>29453 - 29484</v>
      </c>
      <c r="T1159" s="100">
        <f>SamplingData[[#This Row],[Upper Range]]-SamplingData[[#This Row],[Span]]</f>
        <v>29452.804074194581</v>
      </c>
      <c r="U1159" s="100">
        <f>IF(ISNUMBER('General Info'!$B$40), ((SamplingData[[#This Row],[up/U Selection Probability]]) * 'General Info'!$B$40) - 1, 0)</f>
        <v>30.986409451578055</v>
      </c>
      <c r="V1159" s="100">
        <f>IF(ISNUMBER('General Info'!$B$40), (SamplingData[[#This Row],[Running (cumulative) sum]] * ('General Info'!$B$40 -'General Info'!$B$41 + 1)) + 'General Info'!$B$41 - 1, 0)</f>
        <v>29483.79048364616</v>
      </c>
      <c r="W1159" s="100" t="str">
        <f>IF(ISERROR(MATCH(SamplingData[[#This Row],[Batch by Type (p)]],SelectedPrecincts[Batch Name], 0)), "", INDEX(SelectedPrecincts[Draw], MATCH(SamplingData[[#This Row],[Batch by Type (p)]],SelectedPrecincts[Batch Name], 0)))</f>
        <v/>
      </c>
      <c r="X1159" s="102">
        <f>IF(COUNTIF(SelectedPrecincts[Batch Name],SamplingData[[#This Row],[Batch by Type (p)]]) &lt;&gt; 0, COUNTIF(SelectedPrecincts[Batch Name],SamplingData[[#This Row],[Batch by Type (p)]]), 0)</f>
        <v>0</v>
      </c>
    </row>
    <row r="1160" spans="1:24" ht="15" customHeight="1">
      <c r="A1160" s="18" t="s">
        <v>1336</v>
      </c>
      <c r="B1160" s="18">
        <v>3</v>
      </c>
      <c r="C1160" s="18">
        <v>3</v>
      </c>
      <c r="D1160" s="18">
        <v>1</v>
      </c>
      <c r="E1160" s="18">
        <v>3</v>
      </c>
      <c r="F1160" s="18">
        <v>0</v>
      </c>
      <c r="G1160" s="18">
        <v>1</v>
      </c>
      <c r="H1160" s="18">
        <v>0</v>
      </c>
      <c r="I1160" s="18">
        <v>0</v>
      </c>
      <c r="J1160" s="99">
        <f>SUM(SamplingData[[#This Row],[Losing Candidate]:[Under Votes]])</f>
        <v>11</v>
      </c>
      <c r="K1160"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160" s="100">
        <f>IF(AND(SamplingData[[#This Row],[Total]]&lt;&gt; 0, NOT(ISBLANK(SamplingData[[#This Row],[Candidate 3]]))),(SamplingData[[#This Row],[Total]]+SamplingData[[#This Row],[Winning Candidate]]-SamplingData[[#This Row],[Candidate 3]])/(SamplingData[[#Totals],[Winning Candidate]]-SamplingData[[#Totals],[Candidate 3]]), 0)</f>
        <v>4.1939542536374486E-4</v>
      </c>
      <c r="M1160" s="100">
        <f>IF(AND(SamplingData[[#This Row],[Total]]&lt;&gt; 0, NOT(ISBLANK(SamplingData[[#This Row],[Candidate 4]]))),(SamplingData[[#This Row],[Total]]+SamplingData[[#This Row],[Winning Candidate]]-SamplingData[[#This Row],[Candidate 4]])/(SamplingData[[#Totals],[Winning Candidate]]-SamplingData[[#Totals],[Candidate 4]]), 0)</f>
        <v>3.2155280774065302E-4</v>
      </c>
      <c r="N1160" s="100">
        <f>IF(AND(SamplingData[[#This Row],[Total]]&lt;&gt; 0, NOT(ISBLANK(SamplingData[[#This Row],[Candidate 5]]))),(SamplingData[[#This Row],[Total]]+SamplingData[[#This Row],[Winning Candidate]]-SamplingData[[#This Row],[Candidate 5]])/(SamplingData[[#Totals],[Winning Candidate]]-SamplingData[[#Totals],[Candidate 5]]), 0)</f>
        <v>3.4054974458769157E-4</v>
      </c>
      <c r="O1160" s="100">
        <f>IF(AND(SamplingData[[#This Row],[Total]]&lt;&gt; 0, NOT(ISBLANK(SamplingData[[#This Row],[Candidate 6]]))),(SamplingData[[#This Row],[Total]]+SamplingData[[#This Row],[Winning Candidate]]-SamplingData[[#This Row],[Candidate 6]])/(SamplingData[[#Totals],[Winning Candidate]]-SamplingData[[#Totals],[Candidate 6]]), 0)</f>
        <v>3.1613248382860755E-4</v>
      </c>
      <c r="P1160" s="100">
        <f>MAX(SamplingData[[#This Row],[Error Bound (up) - Max. possible relative overstatement - Losing Candidate]:[Error Bound (up) - Max. possible relative overstatement - Candidate 6]])</f>
        <v>6.7368936795688392E-4</v>
      </c>
      <c r="Q1160" s="100">
        <f>IF(SamplingData[[#This Row],[Max Error Bound (up)]] = 0,0,SamplingData[[#This Row],[Max Error Bound (up)]]/SamplingData[[#Totals],[Max Error Bound (up)]])</f>
        <v>1.0662243106290416E-4</v>
      </c>
      <c r="R1160" s="101">
        <f>SUM($Q$5:Q1160)</f>
        <v>0.29495452726752452</v>
      </c>
      <c r="S1160" s="100" t="str">
        <f t="array" ref="S1160">IF(SamplingData[[#This Row],[up/U Selection Probability]] = 0, "Zero", TEXT(SamplingData[[#This Row],[Lower Range]], REPT("0",LEN('General Info'!$B$40))) &amp; " - " &amp; TEXT(SamplingData[[#This Row],[Upper Range]], REPT("0",LEN('General Info'!$B$40))))</f>
        <v>29485 - 29494</v>
      </c>
      <c r="T1160" s="100">
        <f>SamplingData[[#This Row],[Upper Range]]-SamplingData[[#This Row],[Span]]</f>
        <v>29484.790590268592</v>
      </c>
      <c r="U1160" s="100">
        <f>IF(ISNUMBER('General Info'!$B$40), ((SamplingData[[#This Row],[up/U Selection Probability]]) * 'General Info'!$B$40) - 1, 0)</f>
        <v>9.6621364838593529</v>
      </c>
      <c r="V1160" s="100">
        <f>IF(ISNUMBER('General Info'!$B$40), (SamplingData[[#This Row],[Running (cumulative) sum]] * ('General Info'!$B$40 -'General Info'!$B$41 + 1)) + 'General Info'!$B$41 - 1, 0)</f>
        <v>29494.452726752454</v>
      </c>
      <c r="W1160" s="100" t="str">
        <f>IF(ISERROR(MATCH(SamplingData[[#This Row],[Batch by Type (p)]],SelectedPrecincts[Batch Name], 0)), "", INDEX(SelectedPrecincts[Draw], MATCH(SamplingData[[#This Row],[Batch by Type (p)]],SelectedPrecincts[Batch Name], 0)))</f>
        <v/>
      </c>
      <c r="X1160" s="102">
        <f>IF(COUNTIF(SelectedPrecincts[Batch Name],SamplingData[[#This Row],[Batch by Type (p)]]) &lt;&gt; 0, COUNTIF(SelectedPrecincts[Batch Name],SamplingData[[#This Row],[Batch by Type (p)]]), 0)</f>
        <v>0</v>
      </c>
    </row>
    <row r="1161" spans="1:24" ht="15" customHeight="1">
      <c r="A1161" s="18" t="s">
        <v>1337</v>
      </c>
      <c r="B1161" s="18">
        <v>29</v>
      </c>
      <c r="C1161" s="18">
        <v>46</v>
      </c>
      <c r="D1161" s="16">
        <v>12</v>
      </c>
      <c r="E1161" s="16">
        <v>8</v>
      </c>
      <c r="F1161" s="37">
        <v>0</v>
      </c>
      <c r="G1161" s="37">
        <v>0</v>
      </c>
      <c r="H1161" s="17">
        <v>0</v>
      </c>
      <c r="I1161" s="17">
        <v>0</v>
      </c>
      <c r="J1161" s="99">
        <f>SUM(SamplingData[[#This Row],[Losing Candidate]:[Under Votes]])</f>
        <v>95</v>
      </c>
      <c r="K1161" s="100">
        <f>IF(AND(SamplingData[[#This Row],[Total]]&lt;&gt; 0, NOT(ISBLANK(SamplingData[[#This Row],[Losing Candidate]]))),(SamplingData[[#This Row],[Total]]+SamplingData[[#This Row],[Winning Candidate]]-SamplingData[[#This Row],[Losing Candidate]])/(SamplingData[[#Totals],[Winning Candidate]]-SamplingData[[#Totals],[Losing Candidate]]), 0)</f>
        <v>6.8593826555609994E-3</v>
      </c>
      <c r="L1161" s="100">
        <f>IF(AND(SamplingData[[#This Row],[Total]]&lt;&gt; 0, NOT(ISBLANK(SamplingData[[#This Row],[Candidate 3]]))),(SamplingData[[#This Row],[Total]]+SamplingData[[#This Row],[Winning Candidate]]-SamplingData[[#This Row],[Candidate 3]])/(SamplingData[[#Totals],[Winning Candidate]]-SamplingData[[#Totals],[Candidate 3]]), 0)</f>
        <v>4.1616930670710069E-3</v>
      </c>
      <c r="M1161" s="100">
        <f>IF(AND(SamplingData[[#This Row],[Total]]&lt;&gt; 0, NOT(ISBLANK(SamplingData[[#This Row],[Candidate 4]]))),(SamplingData[[#This Row],[Total]]+SamplingData[[#This Row],[Winning Candidate]]-SamplingData[[#This Row],[Candidate 4]])/(SamplingData[[#Totals],[Winning Candidate]]-SamplingData[[#Totals],[Candidate 4]]), 0)</f>
        <v>3.8878657663188052E-3</v>
      </c>
      <c r="N1161" s="100">
        <f>IF(AND(SamplingData[[#This Row],[Total]]&lt;&gt; 0, NOT(ISBLANK(SamplingData[[#This Row],[Candidate 5]]))),(SamplingData[[#This Row],[Total]]+SamplingData[[#This Row],[Winning Candidate]]-SamplingData[[#This Row],[Candidate 5]])/(SamplingData[[#Totals],[Winning Candidate]]-SamplingData[[#Totals],[Candidate 5]]), 0)</f>
        <v>3.4298224276331792E-3</v>
      </c>
      <c r="O1161" s="100">
        <f>IF(AND(SamplingData[[#This Row],[Total]]&lt;&gt; 0, NOT(ISBLANK(SamplingData[[#This Row],[Candidate 6]]))),(SamplingData[[#This Row],[Total]]+SamplingData[[#This Row],[Winning Candidate]]-SamplingData[[#This Row],[Candidate 6]])/(SamplingData[[#Totals],[Winning Candidate]]-SamplingData[[#Totals],[Candidate 6]]), 0)</f>
        <v>3.4288215553718204E-3</v>
      </c>
      <c r="P1161" s="100">
        <f>MAX(SamplingData[[#This Row],[Error Bound (up) - Max. possible relative overstatement - Losing Candidate]:[Error Bound (up) - Max. possible relative overstatement - Candidate 6]])</f>
        <v>6.8593826555609994E-3</v>
      </c>
      <c r="Q1161" s="100">
        <f>IF(SamplingData[[#This Row],[Max Error Bound (up)]] = 0,0,SamplingData[[#This Row],[Max Error Bound (up)]]/SamplingData[[#Totals],[Max Error Bound (up)]])</f>
        <v>1.0856102071859332E-3</v>
      </c>
      <c r="R1161" s="101">
        <f>SUM($Q$5:Q1161)</f>
        <v>0.29604013747471047</v>
      </c>
      <c r="S1161" s="100" t="str">
        <f t="array" ref="S1161">IF(SamplingData[[#This Row],[up/U Selection Probability]] = 0, "Zero", TEXT(SamplingData[[#This Row],[Lower Range]], REPT("0",LEN('General Info'!$B$40))) &amp; " - " &amp; TEXT(SamplingData[[#This Row],[Upper Range]], REPT("0",LEN('General Info'!$B$40))))</f>
        <v>29495 - 29603</v>
      </c>
      <c r="T1161" s="100">
        <f>SamplingData[[#This Row],[Upper Range]]-SamplingData[[#This Row],[Span]]</f>
        <v>29495.453812362659</v>
      </c>
      <c r="U1161" s="100">
        <f>IF(ISNUMBER('General Info'!$B$40), ((SamplingData[[#This Row],[up/U Selection Probability]]) * 'General Info'!$B$40) - 1, 0)</f>
        <v>107.55993510838614</v>
      </c>
      <c r="V1161" s="100">
        <f>IF(ISNUMBER('General Info'!$B$40), (SamplingData[[#This Row],[Running (cumulative) sum]] * ('General Info'!$B$40 -'General Info'!$B$41 + 1)) + 'General Info'!$B$41 - 1, 0)</f>
        <v>29603.013747471046</v>
      </c>
      <c r="W1161" s="100" t="str">
        <f>IF(ISERROR(MATCH(SamplingData[[#This Row],[Batch by Type (p)]],SelectedPrecincts[Batch Name], 0)), "", INDEX(SelectedPrecincts[Draw], MATCH(SamplingData[[#This Row],[Batch by Type (p)]],SelectedPrecincts[Batch Name], 0)))</f>
        <v/>
      </c>
      <c r="X1161" s="102">
        <f>IF(COUNTIF(SelectedPrecincts[Batch Name],SamplingData[[#This Row],[Batch by Type (p)]]) &lt;&gt; 0, COUNTIF(SelectedPrecincts[Batch Name],SamplingData[[#This Row],[Batch by Type (p)]]), 0)</f>
        <v>0</v>
      </c>
    </row>
    <row r="1162" spans="1:24" ht="15" customHeight="1">
      <c r="A1162" s="18" t="s">
        <v>1338</v>
      </c>
      <c r="B1162" s="18">
        <v>6</v>
      </c>
      <c r="C1162" s="18">
        <v>7</v>
      </c>
      <c r="D1162" s="18">
        <v>4</v>
      </c>
      <c r="E1162" s="18">
        <v>3</v>
      </c>
      <c r="F1162" s="18">
        <v>0</v>
      </c>
      <c r="G1162" s="18">
        <v>1</v>
      </c>
      <c r="H1162" s="18">
        <v>0</v>
      </c>
      <c r="I1162" s="18">
        <v>0</v>
      </c>
      <c r="J1162" s="99">
        <f>SUM(SamplingData[[#This Row],[Losing Candidate]:[Under Votes]])</f>
        <v>21</v>
      </c>
      <c r="K1162"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1162" s="100">
        <f>IF(AND(SamplingData[[#This Row],[Total]]&lt;&gt; 0, NOT(ISBLANK(SamplingData[[#This Row],[Candidate 3]]))),(SamplingData[[#This Row],[Total]]+SamplingData[[#This Row],[Winning Candidate]]-SamplingData[[#This Row],[Candidate 3]])/(SamplingData[[#Totals],[Winning Candidate]]-SamplingData[[#Totals],[Candidate 3]]), 0)</f>
        <v>7.7426847759460595E-4</v>
      </c>
      <c r="M1162" s="100">
        <f>IF(AND(SamplingData[[#This Row],[Total]]&lt;&gt; 0, NOT(ISBLANK(SamplingData[[#This Row],[Candidate 4]]))),(SamplingData[[#This Row],[Total]]+SamplingData[[#This Row],[Winning Candidate]]-SamplingData[[#This Row],[Candidate 4]])/(SamplingData[[#Totals],[Winning Candidate]]-SamplingData[[#Totals],[Candidate 4]]), 0)</f>
        <v>7.3080183577421145E-4</v>
      </c>
      <c r="N1162" s="100">
        <f>IF(AND(SamplingData[[#This Row],[Total]]&lt;&gt; 0, NOT(ISBLANK(SamplingData[[#This Row],[Candidate 5]]))),(SamplingData[[#This Row],[Total]]+SamplingData[[#This Row],[Winning Candidate]]-SamplingData[[#This Row],[Candidate 5]])/(SamplingData[[#Totals],[Winning Candidate]]-SamplingData[[#Totals],[Candidate 5]]), 0)</f>
        <v>6.8109948917538315E-4</v>
      </c>
      <c r="O1162" s="100">
        <f>IF(AND(SamplingData[[#This Row],[Total]]&lt;&gt; 0, NOT(ISBLANK(SamplingData[[#This Row],[Candidate 6]]))),(SamplingData[[#This Row],[Total]]+SamplingData[[#This Row],[Winning Candidate]]-SamplingData[[#This Row],[Candidate 6]])/(SamplingData[[#Totals],[Winning Candidate]]-SamplingData[[#Totals],[Candidate 6]]), 0)</f>
        <v>6.5658285102864649E-4</v>
      </c>
      <c r="P1162" s="100">
        <f>MAX(SamplingData[[#This Row],[Error Bound (up) - Max. possible relative overstatement - Losing Candidate]:[Error Bound (up) - Max. possible relative overstatement - Candidate 6]])</f>
        <v>1.3473787359137678E-3</v>
      </c>
      <c r="Q1162" s="100">
        <f>IF(SamplingData[[#This Row],[Max Error Bound (up)]] = 0,0,SamplingData[[#This Row],[Max Error Bound (up)]]/SamplingData[[#Totals],[Max Error Bound (up)]])</f>
        <v>2.1324486212580832E-4</v>
      </c>
      <c r="R1162" s="101">
        <f>SUM($Q$5:Q1162)</f>
        <v>0.29625338233683629</v>
      </c>
      <c r="S1162" s="100" t="str">
        <f t="array" ref="S1162">IF(SamplingData[[#This Row],[up/U Selection Probability]] = 0, "Zero", TEXT(SamplingData[[#This Row],[Lower Range]], REPT("0",LEN('General Info'!$B$40))) &amp; " - " &amp; TEXT(SamplingData[[#This Row],[Upper Range]], REPT("0",LEN('General Info'!$B$40))))</f>
        <v>29604 - 29624</v>
      </c>
      <c r="T1162" s="100">
        <f>SamplingData[[#This Row],[Upper Range]]-SamplingData[[#This Row],[Span]]</f>
        <v>29604.013960715911</v>
      </c>
      <c r="U1162" s="100">
        <f>IF(ISNUMBER('General Info'!$B$40), ((SamplingData[[#This Row],[up/U Selection Probability]]) * 'General Info'!$B$40) - 1, 0)</f>
        <v>20.324272967718706</v>
      </c>
      <c r="V1162" s="100">
        <f>IF(ISNUMBER('General Info'!$B$40), (SamplingData[[#This Row],[Running (cumulative) sum]] * ('General Info'!$B$40 -'General Info'!$B$41 + 1)) + 'General Info'!$B$41 - 1, 0)</f>
        <v>29624.338233683629</v>
      </c>
      <c r="W1162" s="100" t="str">
        <f>IF(ISERROR(MATCH(SamplingData[[#This Row],[Batch by Type (p)]],SelectedPrecincts[Batch Name], 0)), "", INDEX(SelectedPrecincts[Draw], MATCH(SamplingData[[#This Row],[Batch by Type (p)]],SelectedPrecincts[Batch Name], 0)))</f>
        <v/>
      </c>
      <c r="X1162" s="102">
        <f>IF(COUNTIF(SelectedPrecincts[Batch Name],SamplingData[[#This Row],[Batch by Type (p)]]) &lt;&gt; 0, COUNTIF(SelectedPrecincts[Batch Name],SamplingData[[#This Row],[Batch by Type (p)]]), 0)</f>
        <v>0</v>
      </c>
    </row>
    <row r="1163" spans="1:24" ht="15" customHeight="1">
      <c r="A1163" s="18" t="s">
        <v>1339</v>
      </c>
      <c r="B1163" s="18">
        <v>26</v>
      </c>
      <c r="C1163" s="18">
        <v>39</v>
      </c>
      <c r="D1163" s="16">
        <v>15</v>
      </c>
      <c r="E1163" s="16">
        <v>9</v>
      </c>
      <c r="F1163" s="37">
        <v>0</v>
      </c>
      <c r="G1163" s="37">
        <v>2</v>
      </c>
      <c r="H1163" s="17">
        <v>0</v>
      </c>
      <c r="I1163" s="17">
        <v>1</v>
      </c>
      <c r="J1163" s="99">
        <f>SUM(SamplingData[[#This Row],[Losing Candidate]:[Under Votes]])</f>
        <v>92</v>
      </c>
      <c r="K1163" s="100">
        <f>IF(AND(SamplingData[[#This Row],[Total]]&lt;&gt; 0, NOT(ISBLANK(SamplingData[[#This Row],[Losing Candidate]]))),(SamplingData[[#This Row],[Total]]+SamplingData[[#This Row],[Winning Candidate]]-SamplingData[[#This Row],[Losing Candidate]])/(SamplingData[[#Totals],[Winning Candidate]]-SamplingData[[#Totals],[Losing Candidate]]), 0)</f>
        <v>6.4306712395884374E-3</v>
      </c>
      <c r="L1163" s="100">
        <f>IF(AND(SamplingData[[#This Row],[Total]]&lt;&gt; 0, NOT(ISBLANK(SamplingData[[#This Row],[Candidate 3]]))),(SamplingData[[#This Row],[Total]]+SamplingData[[#This Row],[Winning Candidate]]-SamplingData[[#This Row],[Candidate 3]])/(SamplingData[[#Totals],[Winning Candidate]]-SamplingData[[#Totals],[Candidate 3]]), 0)</f>
        <v>3.7422976417072619E-3</v>
      </c>
      <c r="M1163" s="100">
        <f>IF(AND(SamplingData[[#This Row],[Total]]&lt;&gt; 0, NOT(ISBLANK(SamplingData[[#This Row],[Candidate 4]]))),(SamplingData[[#This Row],[Total]]+SamplingData[[#This Row],[Winning Candidate]]-SamplingData[[#This Row],[Candidate 4]])/(SamplingData[[#Totals],[Winning Candidate]]-SamplingData[[#Totals],[Candidate 4]]), 0)</f>
        <v>3.5663129585781521E-3</v>
      </c>
      <c r="N1163" s="100">
        <f>IF(AND(SamplingData[[#This Row],[Total]]&lt;&gt; 0, NOT(ISBLANK(SamplingData[[#This Row],[Candidate 5]]))),(SamplingData[[#This Row],[Total]]+SamplingData[[#This Row],[Winning Candidate]]-SamplingData[[#This Row],[Candidate 5]])/(SamplingData[[#Totals],[Winning Candidate]]-SamplingData[[#Totals],[Candidate 5]]), 0)</f>
        <v>3.1865726100705426E-3</v>
      </c>
      <c r="O1163" s="100">
        <f>IF(AND(SamplingData[[#This Row],[Total]]&lt;&gt; 0, NOT(ISBLANK(SamplingData[[#This Row],[Candidate 6]]))),(SamplingData[[#This Row],[Total]]+SamplingData[[#This Row],[Winning Candidate]]-SamplingData[[#This Row],[Candidate 6]])/(SamplingData[[#Totals],[Winning Candidate]]-SamplingData[[#Totals],[Candidate 6]]), 0)</f>
        <v>3.1370069549146442E-3</v>
      </c>
      <c r="P1163" s="100">
        <f>MAX(SamplingData[[#This Row],[Error Bound (up) - Max. possible relative overstatement - Losing Candidate]:[Error Bound (up) - Max. possible relative overstatement - Candidate 6]])</f>
        <v>6.4306712395884374E-3</v>
      </c>
      <c r="Q1163" s="100">
        <f>IF(SamplingData[[#This Row],[Max Error Bound (up)]] = 0,0,SamplingData[[#This Row],[Max Error Bound (up)]]/SamplingData[[#Totals],[Max Error Bound (up)]])</f>
        <v>1.0177595692368124E-3</v>
      </c>
      <c r="R1163" s="101">
        <f>SUM($Q$5:Q1163)</f>
        <v>0.29727114190607312</v>
      </c>
      <c r="S1163" s="100" t="str">
        <f t="array" ref="S1163">IF(SamplingData[[#This Row],[up/U Selection Probability]] = 0, "Zero", TEXT(SamplingData[[#This Row],[Lower Range]], REPT("0",LEN('General Info'!$B$40))) &amp; " - " &amp; TEXT(SamplingData[[#This Row],[Upper Range]], REPT("0",LEN('General Info'!$B$40))))</f>
        <v>29625 - 29726</v>
      </c>
      <c r="T1163" s="100">
        <f>SamplingData[[#This Row],[Upper Range]]-SamplingData[[#This Row],[Span]]</f>
        <v>29625.339251443202</v>
      </c>
      <c r="U1163" s="100">
        <f>IF(ISNUMBER('General Info'!$B$40), ((SamplingData[[#This Row],[up/U Selection Probability]]) * 'General Info'!$B$40) - 1, 0)</f>
        <v>100.77493916411201</v>
      </c>
      <c r="V1163" s="100">
        <f>IF(ISNUMBER('General Info'!$B$40), (SamplingData[[#This Row],[Running (cumulative) sum]] * ('General Info'!$B$40 -'General Info'!$B$41 + 1)) + 'General Info'!$B$41 - 1, 0)</f>
        <v>29726.114190607314</v>
      </c>
      <c r="W1163" s="100" t="str">
        <f>IF(ISERROR(MATCH(SamplingData[[#This Row],[Batch by Type (p)]],SelectedPrecincts[Batch Name], 0)), "", INDEX(SelectedPrecincts[Draw], MATCH(SamplingData[[#This Row],[Batch by Type (p)]],SelectedPrecincts[Batch Name], 0)))</f>
        <v/>
      </c>
      <c r="X1163" s="102">
        <f>IF(COUNTIF(SelectedPrecincts[Batch Name],SamplingData[[#This Row],[Batch by Type (p)]]) &lt;&gt; 0, COUNTIF(SelectedPrecincts[Batch Name],SamplingData[[#This Row],[Batch by Type (p)]]), 0)</f>
        <v>0</v>
      </c>
    </row>
    <row r="1164" spans="1:24" ht="15" customHeight="1">
      <c r="A1164" s="18" t="s">
        <v>1340</v>
      </c>
      <c r="B1164" s="18">
        <v>25</v>
      </c>
      <c r="C1164" s="18">
        <v>16</v>
      </c>
      <c r="D1164" s="18">
        <v>5</v>
      </c>
      <c r="E1164" s="18">
        <v>6</v>
      </c>
      <c r="F1164" s="18">
        <v>0</v>
      </c>
      <c r="G1164" s="18">
        <v>1</v>
      </c>
      <c r="H1164" s="18">
        <v>0</v>
      </c>
      <c r="I1164" s="18">
        <v>0</v>
      </c>
      <c r="J1164" s="99">
        <f>SUM(SamplingData[[#This Row],[Losing Candidate]:[Under Votes]])</f>
        <v>53</v>
      </c>
      <c r="K1164" s="100">
        <f>IF(AND(SamplingData[[#This Row],[Total]]&lt;&gt; 0, NOT(ISBLANK(SamplingData[[#This Row],[Losing Candidate]]))),(SamplingData[[#This Row],[Total]]+SamplingData[[#This Row],[Winning Candidate]]-SamplingData[[#This Row],[Losing Candidate]])/(SamplingData[[#Totals],[Winning Candidate]]-SamplingData[[#Totals],[Losing Candidate]]), 0)</f>
        <v>2.6947574718275357E-3</v>
      </c>
      <c r="L1164" s="100">
        <f>IF(AND(SamplingData[[#This Row],[Total]]&lt;&gt; 0, NOT(ISBLANK(SamplingData[[#This Row],[Candidate 3]]))),(SamplingData[[#This Row],[Total]]+SamplingData[[#This Row],[Winning Candidate]]-SamplingData[[#This Row],[Candidate 3]])/(SamplingData[[#Totals],[Winning Candidate]]-SamplingData[[#Totals],[Candidate 3]]), 0)</f>
        <v>2.0647159402522827E-3</v>
      </c>
      <c r="M1164" s="100">
        <f>IF(AND(SamplingData[[#This Row],[Total]]&lt;&gt; 0, NOT(ISBLANK(SamplingData[[#This Row],[Candidate 4]]))),(SamplingData[[#This Row],[Total]]+SamplingData[[#This Row],[Winning Candidate]]-SamplingData[[#This Row],[Candidate 4]])/(SamplingData[[#Totals],[Winning Candidate]]-SamplingData[[#Totals],[Candidate 4]]), 0)</f>
        <v>1.841620626151013E-3</v>
      </c>
      <c r="N1164" s="100">
        <f>IF(AND(SamplingData[[#This Row],[Total]]&lt;&gt; 0, NOT(ISBLANK(SamplingData[[#This Row],[Candidate 5]]))),(SamplingData[[#This Row],[Total]]+SamplingData[[#This Row],[Winning Candidate]]-SamplingData[[#This Row],[Candidate 5]])/(SamplingData[[#Totals],[Winning Candidate]]-SamplingData[[#Totals],[Candidate 5]]), 0)</f>
        <v>1.678423741182194E-3</v>
      </c>
      <c r="O1164" s="100">
        <f>IF(AND(SamplingData[[#This Row],[Total]]&lt;&gt; 0, NOT(ISBLANK(SamplingData[[#This Row],[Candidate 6]]))),(SamplingData[[#This Row],[Total]]+SamplingData[[#This Row],[Winning Candidate]]-SamplingData[[#This Row],[Candidate 6]])/(SamplingData[[#Totals],[Winning Candidate]]-SamplingData[[#Totals],[Candidate 6]]), 0)</f>
        <v>1.6536160692573318E-3</v>
      </c>
      <c r="P1164" s="100">
        <f>MAX(SamplingData[[#This Row],[Error Bound (up) - Max. possible relative overstatement - Losing Candidate]:[Error Bound (up) - Max. possible relative overstatement - Candidate 6]])</f>
        <v>2.6947574718275357E-3</v>
      </c>
      <c r="Q1164" s="100">
        <f>IF(SamplingData[[#This Row],[Max Error Bound (up)]] = 0,0,SamplingData[[#This Row],[Max Error Bound (up)]]/SamplingData[[#Totals],[Max Error Bound (up)]])</f>
        <v>4.2648972425161664E-4</v>
      </c>
      <c r="R1164" s="101">
        <f>SUM($Q$5:Q1164)</f>
        <v>0.29769763163032475</v>
      </c>
      <c r="S1164" s="100" t="str">
        <f t="array" ref="S1164">IF(SamplingData[[#This Row],[up/U Selection Probability]] = 0, "Zero", TEXT(SamplingData[[#This Row],[Lower Range]], REPT("0",LEN('General Info'!$B$40))) &amp; " - " &amp; TEXT(SamplingData[[#This Row],[Upper Range]], REPT("0",LEN('General Info'!$B$40))))</f>
        <v>29727 - 29769</v>
      </c>
      <c r="T1164" s="100">
        <f>SamplingData[[#This Row],[Upper Range]]-SamplingData[[#This Row],[Span]]</f>
        <v>29727.114617097039</v>
      </c>
      <c r="U1164" s="100">
        <f>IF(ISNUMBER('General Info'!$B$40), ((SamplingData[[#This Row],[up/U Selection Probability]]) * 'General Info'!$B$40) - 1, 0)</f>
        <v>41.648545935437411</v>
      </c>
      <c r="V1164" s="100">
        <f>IF(ISNUMBER('General Info'!$B$40), (SamplingData[[#This Row],[Running (cumulative) sum]] * ('General Info'!$B$40 -'General Info'!$B$41 + 1)) + 'General Info'!$B$41 - 1, 0)</f>
        <v>29768.763163032476</v>
      </c>
      <c r="W1164" s="100" t="str">
        <f>IF(ISERROR(MATCH(SamplingData[[#This Row],[Batch by Type (p)]],SelectedPrecincts[Batch Name], 0)), "", INDEX(SelectedPrecincts[Draw], MATCH(SamplingData[[#This Row],[Batch by Type (p)]],SelectedPrecincts[Batch Name], 0)))</f>
        <v/>
      </c>
      <c r="X1164" s="102">
        <f>IF(COUNTIF(SelectedPrecincts[Batch Name],SamplingData[[#This Row],[Batch by Type (p)]]) &lt;&gt; 0, COUNTIF(SelectedPrecincts[Batch Name],SamplingData[[#This Row],[Batch by Type (p)]]), 0)</f>
        <v>0</v>
      </c>
    </row>
    <row r="1165" spans="1:24" ht="15" customHeight="1">
      <c r="A1165" s="18" t="s">
        <v>1341</v>
      </c>
      <c r="B1165" s="18">
        <v>32</v>
      </c>
      <c r="C1165" s="18">
        <v>31</v>
      </c>
      <c r="D1165" s="16">
        <v>14</v>
      </c>
      <c r="E1165" s="16">
        <v>6</v>
      </c>
      <c r="F1165" s="37">
        <v>0</v>
      </c>
      <c r="G1165" s="37">
        <v>1</v>
      </c>
      <c r="H1165" s="17">
        <v>0</v>
      </c>
      <c r="I1165" s="17">
        <v>0</v>
      </c>
      <c r="J1165" s="99">
        <f>SUM(SamplingData[[#This Row],[Losing Candidate]:[Under Votes]])</f>
        <v>84</v>
      </c>
      <c r="K1165" s="100">
        <f>IF(AND(SamplingData[[#This Row],[Total]]&lt;&gt; 0, NOT(ISBLANK(SamplingData[[#This Row],[Losing Candidate]]))),(SamplingData[[#This Row],[Total]]+SamplingData[[#This Row],[Winning Candidate]]-SamplingData[[#This Row],[Losing Candidate]])/(SamplingData[[#Totals],[Winning Candidate]]-SamplingData[[#Totals],[Losing Candidate]]), 0)</f>
        <v>5.0832925036746694E-3</v>
      </c>
      <c r="L1165" s="100">
        <f>IF(AND(SamplingData[[#This Row],[Total]]&lt;&gt; 0, NOT(ISBLANK(SamplingData[[#This Row],[Candidate 3]]))),(SamplingData[[#This Row],[Total]]+SamplingData[[#This Row],[Winning Candidate]]-SamplingData[[#This Row],[Candidate 3]])/(SamplingData[[#Totals],[Winning Candidate]]-SamplingData[[#Totals],[Candidate 3]]), 0)</f>
        <v>3.2583798432106333E-3</v>
      </c>
      <c r="M1165" s="100">
        <f>IF(AND(SamplingData[[#This Row],[Total]]&lt;&gt; 0, NOT(ISBLANK(SamplingData[[#This Row],[Candidate 4]]))),(SamplingData[[#This Row],[Total]]+SamplingData[[#This Row],[Winning Candidate]]-SamplingData[[#This Row],[Candidate 4]])/(SamplingData[[#Totals],[Winning Candidate]]-SamplingData[[#Totals],[Candidate 4]]), 0)</f>
        <v>3.186296003975562E-3</v>
      </c>
      <c r="N1165" s="100">
        <f>IF(AND(SamplingData[[#This Row],[Total]]&lt;&gt; 0, NOT(ISBLANK(SamplingData[[#This Row],[Candidate 5]]))),(SamplingData[[#This Row],[Total]]+SamplingData[[#This Row],[Winning Candidate]]-SamplingData[[#This Row],[Candidate 5]])/(SamplingData[[#Totals],[Winning Candidate]]-SamplingData[[#Totals],[Candidate 5]]), 0)</f>
        <v>2.7973729019703233E-3</v>
      </c>
      <c r="O1165" s="100">
        <f>IF(AND(SamplingData[[#This Row],[Total]]&lt;&gt; 0, NOT(ISBLANK(SamplingData[[#This Row],[Candidate 6]]))),(SamplingData[[#This Row],[Total]]+SamplingData[[#This Row],[Winning Candidate]]-SamplingData[[#This Row],[Candidate 6]])/(SamplingData[[#Totals],[Winning Candidate]]-SamplingData[[#Totals],[Candidate 6]]), 0)</f>
        <v>2.7722387043431738E-3</v>
      </c>
      <c r="P1165" s="100">
        <f>MAX(SamplingData[[#This Row],[Error Bound (up) - Max. possible relative overstatement - Losing Candidate]:[Error Bound (up) - Max. possible relative overstatement - Candidate 6]])</f>
        <v>5.0832925036746694E-3</v>
      </c>
      <c r="Q1165" s="100">
        <f>IF(SamplingData[[#This Row],[Max Error Bound (up)]] = 0,0,SamplingData[[#This Row],[Max Error Bound (up)]]/SamplingData[[#Totals],[Max Error Bound (up)]])</f>
        <v>8.0451470711100407E-4</v>
      </c>
      <c r="R1165" s="101">
        <f>SUM($Q$5:Q1165)</f>
        <v>0.29850214633743577</v>
      </c>
      <c r="S1165" s="100" t="str">
        <f t="array" ref="S1165">IF(SamplingData[[#This Row],[up/U Selection Probability]] = 0, "Zero", TEXT(SamplingData[[#This Row],[Lower Range]], REPT("0",LEN('General Info'!$B$40))) &amp; " - " &amp; TEXT(SamplingData[[#This Row],[Upper Range]], REPT("0",LEN('General Info'!$B$40))))</f>
        <v>29770 - 29849</v>
      </c>
      <c r="T1165" s="100">
        <f>SamplingData[[#This Row],[Upper Range]]-SamplingData[[#This Row],[Span]]</f>
        <v>29769.763967547184</v>
      </c>
      <c r="U1165" s="100">
        <f>IF(ISNUMBER('General Info'!$B$40), ((SamplingData[[#This Row],[up/U Selection Probability]]) * 'General Info'!$B$40) - 1, 0)</f>
        <v>79.4506661963933</v>
      </c>
      <c r="V1165" s="100">
        <f>IF(ISNUMBER('General Info'!$B$40), (SamplingData[[#This Row],[Running (cumulative) sum]] * ('General Info'!$B$40 -'General Info'!$B$41 + 1)) + 'General Info'!$B$41 - 1, 0)</f>
        <v>29849.214633743577</v>
      </c>
      <c r="W1165" s="100" t="str">
        <f>IF(ISERROR(MATCH(SamplingData[[#This Row],[Batch by Type (p)]],SelectedPrecincts[Batch Name], 0)), "", INDEX(SelectedPrecincts[Draw], MATCH(SamplingData[[#This Row],[Batch by Type (p)]],SelectedPrecincts[Batch Name], 0)))</f>
        <v/>
      </c>
      <c r="X1165" s="102">
        <f>IF(COUNTIF(SelectedPrecincts[Batch Name],SamplingData[[#This Row],[Batch by Type (p)]]) &lt;&gt; 0, COUNTIF(SelectedPrecincts[Batch Name],SamplingData[[#This Row],[Batch by Type (p)]]), 0)</f>
        <v>0</v>
      </c>
    </row>
    <row r="1166" spans="1:24" ht="15" customHeight="1">
      <c r="A1166" s="18" t="s">
        <v>1342</v>
      </c>
      <c r="B1166" s="18">
        <v>7</v>
      </c>
      <c r="C1166" s="18">
        <v>24</v>
      </c>
      <c r="D1166" s="18">
        <v>8</v>
      </c>
      <c r="E1166" s="18">
        <v>2</v>
      </c>
      <c r="F1166" s="18">
        <v>0</v>
      </c>
      <c r="G1166" s="18">
        <v>0</v>
      </c>
      <c r="H1166" s="18">
        <v>0</v>
      </c>
      <c r="I1166" s="18">
        <v>1</v>
      </c>
      <c r="J1166" s="99">
        <f>SUM(SamplingData[[#This Row],[Losing Candidate]:[Under Votes]])</f>
        <v>42</v>
      </c>
      <c r="K1166" s="100">
        <f>IF(AND(SamplingData[[#This Row],[Total]]&lt;&gt; 0, NOT(ISBLANK(SamplingData[[#This Row],[Losing Candidate]]))),(SamplingData[[#This Row],[Total]]+SamplingData[[#This Row],[Winning Candidate]]-SamplingData[[#This Row],[Losing Candidate]])/(SamplingData[[#Totals],[Winning Candidate]]-SamplingData[[#Totals],[Losing Candidate]]), 0)</f>
        <v>3.6134247917687409E-3</v>
      </c>
      <c r="L1166" s="100">
        <f>IF(AND(SamplingData[[#This Row],[Total]]&lt;&gt; 0, NOT(ISBLANK(SamplingData[[#This Row],[Candidate 3]]))),(SamplingData[[#This Row],[Total]]+SamplingData[[#This Row],[Winning Candidate]]-SamplingData[[#This Row],[Candidate 3]])/(SamplingData[[#Totals],[Winning Candidate]]-SamplingData[[#Totals],[Candidate 3]]), 0)</f>
        <v>1.8711488208536309E-3</v>
      </c>
      <c r="M1166" s="100">
        <f>IF(AND(SamplingData[[#This Row],[Total]]&lt;&gt; 0, NOT(ISBLANK(SamplingData[[#This Row],[Candidate 4]]))),(SamplingData[[#This Row],[Total]]+SamplingData[[#This Row],[Winning Candidate]]-SamplingData[[#This Row],[Candidate 4]])/(SamplingData[[#Totals],[Winning Candidate]]-SamplingData[[#Totals],[Candidate 4]]), 0)</f>
        <v>1.8708526995819814E-3</v>
      </c>
      <c r="N1166" s="100">
        <f>IF(AND(SamplingData[[#This Row],[Total]]&lt;&gt; 0, NOT(ISBLANK(SamplingData[[#This Row],[Candidate 5]]))),(SamplingData[[#This Row],[Total]]+SamplingData[[#This Row],[Winning Candidate]]-SamplingData[[#This Row],[Candidate 5]])/(SamplingData[[#Totals],[Winning Candidate]]-SamplingData[[#Totals],[Candidate 5]]), 0)</f>
        <v>1.6054487959134031E-3</v>
      </c>
      <c r="O1166" s="100">
        <f>IF(AND(SamplingData[[#This Row],[Total]]&lt;&gt; 0, NOT(ISBLANK(SamplingData[[#This Row],[Candidate 6]]))),(SamplingData[[#This Row],[Total]]+SamplingData[[#This Row],[Winning Candidate]]-SamplingData[[#This Row],[Candidate 6]])/(SamplingData[[#Totals],[Winning Candidate]]-SamplingData[[#Totals],[Candidate 6]]), 0)</f>
        <v>1.6049803025144692E-3</v>
      </c>
      <c r="P1166" s="100">
        <f>MAX(SamplingData[[#This Row],[Error Bound (up) - Max. possible relative overstatement - Losing Candidate]:[Error Bound (up) - Max. possible relative overstatement - Candidate 6]])</f>
        <v>3.6134247917687409E-3</v>
      </c>
      <c r="Q1166" s="100">
        <f>IF(SamplingData[[#This Row],[Max Error Bound (up)]] = 0,0,SamplingData[[#This Row],[Max Error Bound (up)]]/SamplingData[[#Totals],[Max Error Bound (up)]])</f>
        <v>5.7188394842830413E-4</v>
      </c>
      <c r="R1166" s="101">
        <f>SUM($Q$5:Q1166)</f>
        <v>0.2990740302858641</v>
      </c>
      <c r="S1166" s="100" t="str">
        <f t="array" ref="S1166">IF(SamplingData[[#This Row],[up/U Selection Probability]] = 0, "Zero", TEXT(SamplingData[[#This Row],[Lower Range]], REPT("0",LEN('General Info'!$B$40))) &amp; " - " &amp; TEXT(SamplingData[[#This Row],[Upper Range]], REPT("0",LEN('General Info'!$B$40))))</f>
        <v>29850 - 29906</v>
      </c>
      <c r="T1166" s="100">
        <f>SamplingData[[#This Row],[Upper Range]]-SamplingData[[#This Row],[Span]]</f>
        <v>29850.215205627526</v>
      </c>
      <c r="U1166" s="100">
        <f>IF(ISNUMBER('General Info'!$B$40), ((SamplingData[[#This Row],[up/U Selection Probability]]) * 'General Info'!$B$40) - 1, 0)</f>
        <v>56.187822958881988</v>
      </c>
      <c r="V1166" s="100">
        <f>IF(ISNUMBER('General Info'!$B$40), (SamplingData[[#This Row],[Running (cumulative) sum]] * ('General Info'!$B$40 -'General Info'!$B$41 + 1)) + 'General Info'!$B$41 - 1, 0)</f>
        <v>29906.40302858641</v>
      </c>
      <c r="W1166" s="100" t="str">
        <f>IF(ISERROR(MATCH(SamplingData[[#This Row],[Batch by Type (p)]],SelectedPrecincts[Batch Name], 0)), "", INDEX(SelectedPrecincts[Draw], MATCH(SamplingData[[#This Row],[Batch by Type (p)]],SelectedPrecincts[Batch Name], 0)))</f>
        <v/>
      </c>
      <c r="X1166" s="102">
        <f>IF(COUNTIF(SelectedPrecincts[Batch Name],SamplingData[[#This Row],[Batch by Type (p)]]) &lt;&gt; 0, COUNTIF(SelectedPrecincts[Batch Name],SamplingData[[#This Row],[Batch by Type (p)]]), 0)</f>
        <v>0</v>
      </c>
    </row>
    <row r="1167" spans="1:24" ht="15" customHeight="1">
      <c r="A1167" s="18" t="s">
        <v>1343</v>
      </c>
      <c r="B1167" s="18">
        <v>29</v>
      </c>
      <c r="C1167" s="18">
        <v>56</v>
      </c>
      <c r="D1167" s="16">
        <v>18</v>
      </c>
      <c r="E1167" s="16">
        <v>10</v>
      </c>
      <c r="F1167" s="37">
        <v>0</v>
      </c>
      <c r="G1167" s="37">
        <v>0</v>
      </c>
      <c r="H1167" s="17">
        <v>0</v>
      </c>
      <c r="I1167" s="17">
        <v>1</v>
      </c>
      <c r="J1167" s="99">
        <f>SUM(SamplingData[[#This Row],[Losing Candidate]:[Under Votes]])</f>
        <v>114</v>
      </c>
      <c r="K1167" s="100">
        <f>IF(AND(SamplingData[[#This Row],[Total]]&lt;&gt; 0, NOT(ISBLANK(SamplingData[[#This Row],[Losing Candidate]]))),(SamplingData[[#This Row],[Total]]+SamplingData[[#This Row],[Winning Candidate]]-SamplingData[[#This Row],[Losing Candidate]])/(SamplingData[[#Totals],[Winning Candidate]]-SamplingData[[#Totals],[Losing Candidate]]), 0)</f>
        <v>8.6354728074473294E-3</v>
      </c>
      <c r="L1167" s="100">
        <f>IF(AND(SamplingData[[#This Row],[Total]]&lt;&gt; 0, NOT(ISBLANK(SamplingData[[#This Row],[Candidate 3]]))),(SamplingData[[#This Row],[Total]]+SamplingData[[#This Row],[Winning Candidate]]-SamplingData[[#This Row],[Candidate 3]])/(SamplingData[[#Totals],[Winning Candidate]]-SamplingData[[#Totals],[Candidate 3]]), 0)</f>
        <v>4.9037003580991705E-3</v>
      </c>
      <c r="M1167" s="100">
        <f>IF(AND(SamplingData[[#This Row],[Total]]&lt;&gt; 0, NOT(ISBLANK(SamplingData[[#This Row],[Candidate 4]]))),(SamplingData[[#This Row],[Total]]+SamplingData[[#This Row],[Winning Candidate]]-SamplingData[[#This Row],[Candidate 4]])/(SamplingData[[#Totals],[Winning Candidate]]-SamplingData[[#Totals],[Candidate 4]]), 0)</f>
        <v>4.6771317489549538E-3</v>
      </c>
      <c r="N1167" s="100">
        <f>IF(AND(SamplingData[[#This Row],[Total]]&lt;&gt; 0, NOT(ISBLANK(SamplingData[[#This Row],[Candidate 5]]))),(SamplingData[[#This Row],[Total]]+SamplingData[[#This Row],[Winning Candidate]]-SamplingData[[#This Row],[Candidate 5]])/(SamplingData[[#Totals],[Winning Candidate]]-SamplingData[[#Totals],[Candidate 5]]), 0)</f>
        <v>4.1352468985648263E-3</v>
      </c>
      <c r="O1167" s="100">
        <f>IF(AND(SamplingData[[#This Row],[Total]]&lt;&gt; 0, NOT(ISBLANK(SamplingData[[#This Row],[Candidate 6]]))),(SamplingData[[#This Row],[Total]]+SamplingData[[#This Row],[Winning Candidate]]-SamplingData[[#This Row],[Candidate 6]])/(SamplingData[[#Totals],[Winning Candidate]]-SamplingData[[#Totals],[Candidate 6]]), 0)</f>
        <v>4.1340401731433298E-3</v>
      </c>
      <c r="P1167" s="100">
        <f>MAX(SamplingData[[#This Row],[Error Bound (up) - Max. possible relative overstatement - Losing Candidate]:[Error Bound (up) - Max. possible relative overstatement - Candidate 6]])</f>
        <v>8.6354728074473294E-3</v>
      </c>
      <c r="Q1167" s="100">
        <f>IF(SamplingData[[#This Row],[Max Error Bound (up)]] = 0,0,SamplingData[[#This Row],[Max Error Bound (up)]]/SamplingData[[#Totals],[Max Error Bound (up)]])</f>
        <v>1.3667057072608622E-3</v>
      </c>
      <c r="R1167" s="101">
        <f>SUM($Q$5:Q1167)</f>
        <v>0.30044073599312499</v>
      </c>
      <c r="S1167" s="100" t="str">
        <f t="array" ref="S1167">IF(SamplingData[[#This Row],[up/U Selection Probability]] = 0, "Zero", TEXT(SamplingData[[#This Row],[Lower Range]], REPT("0",LEN('General Info'!$B$40))) &amp; " - " &amp; TEXT(SamplingData[[#This Row],[Upper Range]], REPT("0",LEN('General Info'!$B$40))))</f>
        <v>29907 - 30043</v>
      </c>
      <c r="T1167" s="100">
        <f>SamplingData[[#This Row],[Upper Range]]-SamplingData[[#This Row],[Span]]</f>
        <v>29907.40439529212</v>
      </c>
      <c r="U1167" s="100">
        <f>IF(ISNUMBER('General Info'!$B$40), ((SamplingData[[#This Row],[up/U Selection Probability]]) * 'General Info'!$B$40) - 1, 0)</f>
        <v>135.66920402037897</v>
      </c>
      <c r="V1167" s="100">
        <f>IF(ISNUMBER('General Info'!$B$40), (SamplingData[[#This Row],[Running (cumulative) sum]] * ('General Info'!$B$40 -'General Info'!$B$41 + 1)) + 'General Info'!$B$41 - 1, 0)</f>
        <v>30043.073599312498</v>
      </c>
      <c r="W1167" s="100" t="str">
        <f>IF(ISERROR(MATCH(SamplingData[[#This Row],[Batch by Type (p)]],SelectedPrecincts[Batch Name], 0)), "", INDEX(SelectedPrecincts[Draw], MATCH(SamplingData[[#This Row],[Batch by Type (p)]],SelectedPrecincts[Batch Name], 0)))</f>
        <v/>
      </c>
      <c r="X1167" s="102">
        <f>IF(COUNTIF(SelectedPrecincts[Batch Name],SamplingData[[#This Row],[Batch by Type (p)]]) &lt;&gt; 0, COUNTIF(SelectedPrecincts[Batch Name],SamplingData[[#This Row],[Batch by Type (p)]]), 0)</f>
        <v>0</v>
      </c>
    </row>
    <row r="1168" spans="1:24" ht="15" customHeight="1">
      <c r="A1168" s="18" t="s">
        <v>1344</v>
      </c>
      <c r="B1168" s="18">
        <v>14</v>
      </c>
      <c r="C1168" s="18">
        <v>29</v>
      </c>
      <c r="D1168" s="18">
        <v>8</v>
      </c>
      <c r="E1168" s="18">
        <v>7</v>
      </c>
      <c r="F1168" s="18">
        <v>0</v>
      </c>
      <c r="G1168" s="18">
        <v>0</v>
      </c>
      <c r="H1168" s="18">
        <v>0</v>
      </c>
      <c r="I1168" s="18">
        <v>0</v>
      </c>
      <c r="J1168" s="99">
        <f>SUM(SamplingData[[#This Row],[Losing Candidate]:[Under Votes]])</f>
        <v>58</v>
      </c>
      <c r="K1168" s="100">
        <f>IF(AND(SamplingData[[#This Row],[Total]]&lt;&gt; 0, NOT(ISBLANK(SamplingData[[#This Row],[Losing Candidate]]))),(SamplingData[[#This Row],[Total]]+SamplingData[[#This Row],[Winning Candidate]]-SamplingData[[#This Row],[Losing Candidate]])/(SamplingData[[#Totals],[Winning Candidate]]-SamplingData[[#Totals],[Losing Candidate]]), 0)</f>
        <v>4.4708476237138662E-3</v>
      </c>
      <c r="L1168" s="100">
        <f>IF(AND(SamplingData[[#This Row],[Total]]&lt;&gt; 0, NOT(ISBLANK(SamplingData[[#This Row],[Candidate 3]]))),(SamplingData[[#This Row],[Total]]+SamplingData[[#This Row],[Winning Candidate]]-SamplingData[[#This Row],[Candidate 3]])/(SamplingData[[#Totals],[Winning Candidate]]-SamplingData[[#Totals],[Candidate 3]]), 0)</f>
        <v>2.5486337387489112E-3</v>
      </c>
      <c r="M1168" s="100">
        <f>IF(AND(SamplingData[[#This Row],[Total]]&lt;&gt; 0, NOT(ISBLANK(SamplingData[[#This Row],[Candidate 4]]))),(SamplingData[[#This Row],[Total]]+SamplingData[[#This Row],[Winning Candidate]]-SamplingData[[#This Row],[Candidate 4]])/(SamplingData[[#Totals],[Winning Candidate]]-SamplingData[[#Totals],[Candidate 4]]), 0)</f>
        <v>2.3385658744774769E-3</v>
      </c>
      <c r="N1168" s="100">
        <f>IF(AND(SamplingData[[#This Row],[Total]]&lt;&gt; 0, NOT(ISBLANK(SamplingData[[#This Row],[Candidate 5]]))),(SamplingData[[#This Row],[Total]]+SamplingData[[#This Row],[Winning Candidate]]-SamplingData[[#This Row],[Candidate 5]])/(SamplingData[[#Totals],[Winning Candidate]]-SamplingData[[#Totals],[Candidate 5]]), 0)</f>
        <v>2.1162734127949403E-3</v>
      </c>
      <c r="O1168" s="100">
        <f>IF(AND(SamplingData[[#This Row],[Total]]&lt;&gt; 0, NOT(ISBLANK(SamplingData[[#This Row],[Candidate 6]]))),(SamplingData[[#This Row],[Total]]+SamplingData[[#This Row],[Winning Candidate]]-SamplingData[[#This Row],[Candidate 6]])/(SamplingData[[#Totals],[Winning Candidate]]-SamplingData[[#Totals],[Candidate 6]]), 0)</f>
        <v>2.1156558533145277E-3</v>
      </c>
      <c r="P1168" s="100">
        <f>MAX(SamplingData[[#This Row],[Error Bound (up) - Max. possible relative overstatement - Losing Candidate]:[Error Bound (up) - Max. possible relative overstatement - Candidate 6]])</f>
        <v>4.4708476237138662E-3</v>
      </c>
      <c r="Q1168" s="100">
        <f>IF(SamplingData[[#This Row],[Max Error Bound (up)]] = 0,0,SamplingData[[#This Row],[Max Error Bound (up)]]/SamplingData[[#Totals],[Max Error Bound (up)]])</f>
        <v>7.0758522432654578E-4</v>
      </c>
      <c r="R1168" s="101">
        <f>SUM($Q$5:Q1168)</f>
        <v>0.30114832121745155</v>
      </c>
      <c r="S1168" s="100" t="str">
        <f t="array" ref="S1168">IF(SamplingData[[#This Row],[up/U Selection Probability]] = 0, "Zero", TEXT(SamplingData[[#This Row],[Lower Range]], REPT("0",LEN('General Info'!$B$40))) &amp; " - " &amp; TEXT(SamplingData[[#This Row],[Upper Range]], REPT("0",LEN('General Info'!$B$40))))</f>
        <v>30044 - 30114</v>
      </c>
      <c r="T1168" s="100">
        <f>SamplingData[[#This Row],[Upper Range]]-SamplingData[[#This Row],[Span]]</f>
        <v>30044.074306897724</v>
      </c>
      <c r="U1168" s="100">
        <f>IF(ISNUMBER('General Info'!$B$40), ((SamplingData[[#This Row],[up/U Selection Probability]]) * 'General Info'!$B$40) - 1, 0)</f>
        <v>69.757814847430254</v>
      </c>
      <c r="V1168" s="100">
        <f>IF(ISNUMBER('General Info'!$B$40), (SamplingData[[#This Row],[Running (cumulative) sum]] * ('General Info'!$B$40 -'General Info'!$B$41 + 1)) + 'General Info'!$B$41 - 1, 0)</f>
        <v>30113.832121745156</v>
      </c>
      <c r="W1168" s="100" t="str">
        <f>IF(ISERROR(MATCH(SamplingData[[#This Row],[Batch by Type (p)]],SelectedPrecincts[Batch Name], 0)), "", INDEX(SelectedPrecincts[Draw], MATCH(SamplingData[[#This Row],[Batch by Type (p)]],SelectedPrecincts[Batch Name], 0)))</f>
        <v/>
      </c>
      <c r="X1168" s="102">
        <f>IF(COUNTIF(SelectedPrecincts[Batch Name],SamplingData[[#This Row],[Batch by Type (p)]]) &lt;&gt; 0, COUNTIF(SelectedPrecincts[Batch Name],SamplingData[[#This Row],[Batch by Type (p)]]), 0)</f>
        <v>0</v>
      </c>
    </row>
    <row r="1169" spans="1:24" ht="15" customHeight="1">
      <c r="A1169" s="18" t="s">
        <v>1345</v>
      </c>
      <c r="B1169" s="18">
        <v>31</v>
      </c>
      <c r="C1169" s="18">
        <v>40</v>
      </c>
      <c r="D1169" s="16">
        <v>14</v>
      </c>
      <c r="E1169" s="16">
        <v>6</v>
      </c>
      <c r="F1169" s="37">
        <v>0</v>
      </c>
      <c r="G1169" s="37">
        <v>0</v>
      </c>
      <c r="H1169" s="17">
        <v>0</v>
      </c>
      <c r="I1169" s="17">
        <v>0</v>
      </c>
      <c r="J1169" s="99">
        <f>SUM(SamplingData[[#This Row],[Losing Candidate]:[Under Votes]])</f>
        <v>91</v>
      </c>
      <c r="K1169" s="100">
        <f>IF(AND(SamplingData[[#This Row],[Total]]&lt;&gt; 0, NOT(ISBLANK(SamplingData[[#This Row],[Losing Candidate]]))),(SamplingData[[#This Row],[Total]]+SamplingData[[#This Row],[Winning Candidate]]-SamplingData[[#This Row],[Losing Candidate]])/(SamplingData[[#Totals],[Winning Candidate]]-SamplingData[[#Totals],[Losing Candidate]]), 0)</f>
        <v>6.1244487996080354E-3</v>
      </c>
      <c r="L1169" s="100">
        <f>IF(AND(SamplingData[[#This Row],[Total]]&lt;&gt; 0, NOT(ISBLANK(SamplingData[[#This Row],[Candidate 3]]))),(SamplingData[[#This Row],[Total]]+SamplingData[[#This Row],[Winning Candidate]]-SamplingData[[#This Row],[Candidate 3]])/(SamplingData[[#Totals],[Winning Candidate]]-SamplingData[[#Totals],[Candidate 3]]), 0)</f>
        <v>3.7745588282737039E-3</v>
      </c>
      <c r="M1169" s="100">
        <f>IF(AND(SamplingData[[#This Row],[Total]]&lt;&gt; 0, NOT(ISBLANK(SamplingData[[#This Row],[Candidate 4]]))),(SamplingData[[#This Row],[Total]]+SamplingData[[#This Row],[Winning Candidate]]-SamplingData[[#This Row],[Candidate 4]])/(SamplingData[[#Totals],[Winning Candidate]]-SamplingData[[#Totals],[Candidate 4]]), 0)</f>
        <v>3.6540091788710575E-3</v>
      </c>
      <c r="N1169" s="100">
        <f>IF(AND(SamplingData[[#This Row],[Total]]&lt;&gt; 0, NOT(ISBLANK(SamplingData[[#This Row],[Candidate 5]]))),(SamplingData[[#This Row],[Total]]+SamplingData[[#This Row],[Winning Candidate]]-SamplingData[[#This Row],[Candidate 5]])/(SamplingData[[#Totals],[Winning Candidate]]-SamplingData[[#Totals],[Candidate 5]]), 0)</f>
        <v>3.1865726100705426E-3</v>
      </c>
      <c r="O1169" s="100">
        <f>IF(AND(SamplingData[[#This Row],[Total]]&lt;&gt; 0, NOT(ISBLANK(SamplingData[[#This Row],[Candidate 6]]))),(SamplingData[[#This Row],[Total]]+SamplingData[[#This Row],[Winning Candidate]]-SamplingData[[#This Row],[Candidate 6]])/(SamplingData[[#Totals],[Winning Candidate]]-SamplingData[[#Totals],[Candidate 6]]), 0)</f>
        <v>3.185642721657507E-3</v>
      </c>
      <c r="P1169" s="100">
        <f>MAX(SamplingData[[#This Row],[Error Bound (up) - Max. possible relative overstatement - Losing Candidate]:[Error Bound (up) - Max. possible relative overstatement - Candidate 6]])</f>
        <v>6.1244487996080354E-3</v>
      </c>
      <c r="Q1169" s="100">
        <f>IF(SamplingData[[#This Row],[Max Error Bound (up)]] = 0,0,SamplingData[[#This Row],[Max Error Bound (up)]]/SamplingData[[#Totals],[Max Error Bound (up)]])</f>
        <v>9.6929482784458313E-4</v>
      </c>
      <c r="R1169" s="101">
        <f>SUM($Q$5:Q1169)</f>
        <v>0.30211761604529613</v>
      </c>
      <c r="S1169" s="100" t="str">
        <f t="array" ref="S1169">IF(SamplingData[[#This Row],[up/U Selection Probability]] = 0, "Zero", TEXT(SamplingData[[#This Row],[Lower Range]], REPT("0",LEN('General Info'!$B$40))) &amp; " - " &amp; TEXT(SamplingData[[#This Row],[Upper Range]], REPT("0",LEN('General Info'!$B$40))))</f>
        <v>30115 - 30211</v>
      </c>
      <c r="T1169" s="100">
        <f>SamplingData[[#This Row],[Upper Range]]-SamplingData[[#This Row],[Span]]</f>
        <v>30114.833091039982</v>
      </c>
      <c r="U1169" s="100">
        <f>IF(ISNUMBER('General Info'!$B$40), ((SamplingData[[#This Row],[up/U Selection Probability]]) * 'General Info'!$B$40) - 1, 0)</f>
        <v>95.928513489630475</v>
      </c>
      <c r="V1169" s="100">
        <f>IF(ISNUMBER('General Info'!$B$40), (SamplingData[[#This Row],[Running (cumulative) sum]] * ('General Info'!$B$40 -'General Info'!$B$41 + 1)) + 'General Info'!$B$41 - 1, 0)</f>
        <v>30210.761604529613</v>
      </c>
      <c r="W1169" s="100" t="str">
        <f>IF(ISERROR(MATCH(SamplingData[[#This Row],[Batch by Type (p)]],SelectedPrecincts[Batch Name], 0)), "", INDEX(SelectedPrecincts[Draw], MATCH(SamplingData[[#This Row],[Batch by Type (p)]],SelectedPrecincts[Batch Name], 0)))</f>
        <v/>
      </c>
      <c r="X1169" s="102">
        <f>IF(COUNTIF(SelectedPrecincts[Batch Name],SamplingData[[#This Row],[Batch by Type (p)]]) &lt;&gt; 0, COUNTIF(SelectedPrecincts[Batch Name],SamplingData[[#This Row],[Batch by Type (p)]]), 0)</f>
        <v>0</v>
      </c>
    </row>
    <row r="1170" spans="1:24" ht="15" customHeight="1">
      <c r="A1170" s="18" t="s">
        <v>1346</v>
      </c>
      <c r="B1170" s="18">
        <v>20</v>
      </c>
      <c r="C1170" s="18">
        <v>11</v>
      </c>
      <c r="D1170" s="18">
        <v>4</v>
      </c>
      <c r="E1170" s="18">
        <v>3</v>
      </c>
      <c r="F1170" s="18">
        <v>0</v>
      </c>
      <c r="G1170" s="18">
        <v>0</v>
      </c>
      <c r="H1170" s="18">
        <v>0</v>
      </c>
      <c r="I1170" s="18">
        <v>1</v>
      </c>
      <c r="J1170" s="99">
        <f>SUM(SamplingData[[#This Row],[Losing Candidate]:[Under Votes]])</f>
        <v>39</v>
      </c>
      <c r="K1170"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1170" s="100">
        <f>IF(AND(SamplingData[[#This Row],[Total]]&lt;&gt; 0, NOT(ISBLANK(SamplingData[[#This Row],[Candidate 3]]))),(SamplingData[[#This Row],[Total]]+SamplingData[[#This Row],[Winning Candidate]]-SamplingData[[#This Row],[Candidate 3]])/(SamplingData[[#Totals],[Winning Candidate]]-SamplingData[[#Totals],[Candidate 3]]), 0)</f>
        <v>1.4840145820563281E-3</v>
      </c>
      <c r="M1170" s="100">
        <f>IF(AND(SamplingData[[#This Row],[Total]]&lt;&gt; 0, NOT(ISBLANK(SamplingData[[#This Row],[Candidate 4]]))),(SamplingData[[#This Row],[Total]]+SamplingData[[#This Row],[Winning Candidate]]-SamplingData[[#This Row],[Candidate 4]])/(SamplingData[[#Totals],[Winning Candidate]]-SamplingData[[#Totals],[Candidate 4]]), 0)</f>
        <v>1.3739074512555175E-3</v>
      </c>
      <c r="N1170" s="100">
        <f>IF(AND(SamplingData[[#This Row],[Total]]&lt;&gt; 0, NOT(ISBLANK(SamplingData[[#This Row],[Candidate 5]]))),(SamplingData[[#This Row],[Total]]+SamplingData[[#This Row],[Winning Candidate]]-SamplingData[[#This Row],[Candidate 5]])/(SamplingData[[#Totals],[Winning Candidate]]-SamplingData[[#Totals],[Candidate 5]]), 0)</f>
        <v>1.2162490878131842E-3</v>
      </c>
      <c r="O1170" s="100">
        <f>IF(AND(SamplingData[[#This Row],[Total]]&lt;&gt; 0, NOT(ISBLANK(SamplingData[[#This Row],[Candidate 6]]))),(SamplingData[[#This Row],[Total]]+SamplingData[[#This Row],[Winning Candidate]]-SamplingData[[#This Row],[Candidate 6]])/(SamplingData[[#Totals],[Winning Candidate]]-SamplingData[[#Totals],[Candidate 6]]), 0)</f>
        <v>1.2158941685715674E-3</v>
      </c>
      <c r="P1170" s="100">
        <f>MAX(SamplingData[[#This Row],[Error Bound (up) - Max. possible relative overstatement - Losing Candidate]:[Error Bound (up) - Max. possible relative overstatement - Candidate 6]])</f>
        <v>1.8373346398824107E-3</v>
      </c>
      <c r="Q1170" s="100">
        <f>IF(SamplingData[[#This Row],[Max Error Bound (up)]] = 0,0,SamplingData[[#This Row],[Max Error Bound (up)]]/SamplingData[[#Totals],[Max Error Bound (up)]])</f>
        <v>2.9078844835337498E-4</v>
      </c>
      <c r="R1170" s="101">
        <f>SUM($Q$5:Q1170)</f>
        <v>0.30240840449364953</v>
      </c>
      <c r="S1170" s="100" t="str">
        <f t="array" ref="S1170">IF(SamplingData[[#This Row],[up/U Selection Probability]] = 0, "Zero", TEXT(SamplingData[[#This Row],[Lower Range]], REPT("0",LEN('General Info'!$B$40))) &amp; " - " &amp; TEXT(SamplingData[[#This Row],[Upper Range]], REPT("0",LEN('General Info'!$B$40))))</f>
        <v>30212 - 30240</v>
      </c>
      <c r="T1170" s="100">
        <f>SamplingData[[#This Row],[Upper Range]]-SamplingData[[#This Row],[Span]]</f>
        <v>30211.761895318064</v>
      </c>
      <c r="U1170" s="100">
        <f>IF(ISNUMBER('General Info'!$B$40), ((SamplingData[[#This Row],[up/U Selection Probability]]) * 'General Info'!$B$40) - 1, 0)</f>
        <v>28.078554046889145</v>
      </c>
      <c r="V1170" s="100">
        <f>IF(ISNUMBER('General Info'!$B$40), (SamplingData[[#This Row],[Running (cumulative) sum]] * ('General Info'!$B$40 -'General Info'!$B$41 + 1)) + 'General Info'!$B$41 - 1, 0)</f>
        <v>30239.840449364954</v>
      </c>
      <c r="W1170" s="100" t="str">
        <f>IF(ISERROR(MATCH(SamplingData[[#This Row],[Batch by Type (p)]],SelectedPrecincts[Batch Name], 0)), "", INDEX(SelectedPrecincts[Draw], MATCH(SamplingData[[#This Row],[Batch by Type (p)]],SelectedPrecincts[Batch Name], 0)))</f>
        <v/>
      </c>
      <c r="X1170" s="102">
        <f>IF(COUNTIF(SelectedPrecincts[Batch Name],SamplingData[[#This Row],[Batch by Type (p)]]) &lt;&gt; 0, COUNTIF(SelectedPrecincts[Batch Name],SamplingData[[#This Row],[Batch by Type (p)]]), 0)</f>
        <v>0</v>
      </c>
    </row>
    <row r="1171" spans="1:24" ht="15" customHeight="1">
      <c r="A1171" s="18" t="s">
        <v>1347</v>
      </c>
      <c r="B1171" s="18">
        <v>25</v>
      </c>
      <c r="C1171" s="18">
        <v>46</v>
      </c>
      <c r="D1171" s="16">
        <v>8</v>
      </c>
      <c r="E1171" s="16">
        <v>6</v>
      </c>
      <c r="F1171" s="37">
        <v>0</v>
      </c>
      <c r="G1171" s="37">
        <v>0</v>
      </c>
      <c r="H1171" s="17">
        <v>0</v>
      </c>
      <c r="I1171" s="17">
        <v>0</v>
      </c>
      <c r="J1171" s="99">
        <f>SUM(SamplingData[[#This Row],[Losing Candidate]:[Under Votes]])</f>
        <v>85</v>
      </c>
      <c r="K1171" s="100">
        <f>IF(AND(SamplingData[[#This Row],[Total]]&lt;&gt; 0, NOT(ISBLANK(SamplingData[[#This Row],[Losing Candidate]]))),(SamplingData[[#This Row],[Total]]+SamplingData[[#This Row],[Winning Candidate]]-SamplingData[[#This Row],[Losing Candidate]])/(SamplingData[[#Totals],[Winning Candidate]]-SamplingData[[#Totals],[Losing Candidate]]), 0)</f>
        <v>6.4919157275845178E-3</v>
      </c>
      <c r="L1171" s="100">
        <f>IF(AND(SamplingData[[#This Row],[Total]]&lt;&gt; 0, NOT(ISBLANK(SamplingData[[#This Row],[Candidate 3]]))),(SamplingData[[#This Row],[Total]]+SamplingData[[#This Row],[Winning Candidate]]-SamplingData[[#This Row],[Candidate 3]])/(SamplingData[[#Totals],[Winning Candidate]]-SamplingData[[#Totals],[Candidate 3]]), 0)</f>
        <v>3.9681259476723558E-3</v>
      </c>
      <c r="M1171" s="100">
        <f>IF(AND(SamplingData[[#This Row],[Total]]&lt;&gt; 0, NOT(ISBLANK(SamplingData[[#This Row],[Candidate 4]]))),(SamplingData[[#This Row],[Total]]+SamplingData[[#This Row],[Winning Candidate]]-SamplingData[[#This Row],[Candidate 4]])/(SamplingData[[#Totals],[Winning Candidate]]-SamplingData[[#Totals],[Candidate 4]]), 0)</f>
        <v>3.6540091788710575E-3</v>
      </c>
      <c r="N1171" s="100">
        <f>IF(AND(SamplingData[[#This Row],[Total]]&lt;&gt; 0, NOT(ISBLANK(SamplingData[[#This Row],[Candidate 5]]))),(SamplingData[[#This Row],[Total]]+SamplingData[[#This Row],[Winning Candidate]]-SamplingData[[#This Row],[Candidate 5]])/(SamplingData[[#Totals],[Winning Candidate]]-SamplingData[[#Totals],[Candidate 5]]), 0)</f>
        <v>3.1865726100705426E-3</v>
      </c>
      <c r="O1171" s="100">
        <f>IF(AND(SamplingData[[#This Row],[Total]]&lt;&gt; 0, NOT(ISBLANK(SamplingData[[#This Row],[Candidate 6]]))),(SamplingData[[#This Row],[Total]]+SamplingData[[#This Row],[Winning Candidate]]-SamplingData[[#This Row],[Candidate 6]])/(SamplingData[[#Totals],[Winning Candidate]]-SamplingData[[#Totals],[Candidate 6]]), 0)</f>
        <v>3.185642721657507E-3</v>
      </c>
      <c r="P1171" s="100">
        <f>MAX(SamplingData[[#This Row],[Error Bound (up) - Max. possible relative overstatement - Losing Candidate]:[Error Bound (up) - Max. possible relative overstatement - Candidate 6]])</f>
        <v>6.4919157275845178E-3</v>
      </c>
      <c r="Q1171" s="100">
        <f>IF(SamplingData[[#This Row],[Max Error Bound (up)]] = 0,0,SamplingData[[#This Row],[Max Error Bound (up)]]/SamplingData[[#Totals],[Max Error Bound (up)]])</f>
        <v>1.0274525175152582E-3</v>
      </c>
      <c r="R1171" s="101">
        <f>SUM($Q$5:Q1171)</f>
        <v>0.30343585701116477</v>
      </c>
      <c r="S1171" s="100" t="str">
        <f t="array" ref="S1171">IF(SamplingData[[#This Row],[up/U Selection Probability]] = 0, "Zero", TEXT(SamplingData[[#This Row],[Lower Range]], REPT("0",LEN('General Info'!$B$40))) &amp; " - " &amp; TEXT(SamplingData[[#This Row],[Upper Range]], REPT("0",LEN('General Info'!$B$40))))</f>
        <v>30241 - 30343</v>
      </c>
      <c r="T1171" s="100">
        <f>SamplingData[[#This Row],[Upper Range]]-SamplingData[[#This Row],[Span]]</f>
        <v>30240.84147681747</v>
      </c>
      <c r="U1171" s="100">
        <f>IF(ISNUMBER('General Info'!$B$40), ((SamplingData[[#This Row],[up/U Selection Probability]]) * 'General Info'!$B$40) - 1, 0)</f>
        <v>101.74422429900831</v>
      </c>
      <c r="V1171" s="100">
        <f>IF(ISNUMBER('General Info'!$B$40), (SamplingData[[#This Row],[Running (cumulative) sum]] * ('General Info'!$B$40 -'General Info'!$B$41 + 1)) + 'General Info'!$B$41 - 1, 0)</f>
        <v>30342.585701116477</v>
      </c>
      <c r="W1171" s="100" t="str">
        <f>IF(ISERROR(MATCH(SamplingData[[#This Row],[Batch by Type (p)]],SelectedPrecincts[Batch Name], 0)), "", INDEX(SelectedPrecincts[Draw], MATCH(SamplingData[[#This Row],[Batch by Type (p)]],SelectedPrecincts[Batch Name], 0)))</f>
        <v/>
      </c>
      <c r="X1171" s="102">
        <f>IF(COUNTIF(SelectedPrecincts[Batch Name],SamplingData[[#This Row],[Batch by Type (p)]]) &lt;&gt; 0, COUNTIF(SelectedPrecincts[Batch Name],SamplingData[[#This Row],[Batch by Type (p)]]), 0)</f>
        <v>0</v>
      </c>
    </row>
    <row r="1172" spans="1:24" ht="15" customHeight="1">
      <c r="A1172" s="18" t="s">
        <v>1348</v>
      </c>
      <c r="B1172" s="18">
        <v>8</v>
      </c>
      <c r="C1172" s="18">
        <v>16</v>
      </c>
      <c r="D1172" s="18">
        <v>4</v>
      </c>
      <c r="E1172" s="18">
        <v>1</v>
      </c>
      <c r="F1172" s="18">
        <v>0</v>
      </c>
      <c r="G1172" s="18">
        <v>1</v>
      </c>
      <c r="H1172" s="18">
        <v>0</v>
      </c>
      <c r="I1172" s="18">
        <v>0</v>
      </c>
      <c r="J1172" s="99">
        <f>SUM(SamplingData[[#This Row],[Losing Candidate]:[Under Votes]])</f>
        <v>30</v>
      </c>
      <c r="K1172"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1172" s="100">
        <f>IF(AND(SamplingData[[#This Row],[Total]]&lt;&gt; 0, NOT(ISBLANK(SamplingData[[#This Row],[Candidate 3]]))),(SamplingData[[#This Row],[Total]]+SamplingData[[#This Row],[Winning Candidate]]-SamplingData[[#This Row],[Candidate 3]])/(SamplingData[[#Totals],[Winning Candidate]]-SamplingData[[#Totals],[Candidate 3]]), 0)</f>
        <v>1.3549698357905604E-3</v>
      </c>
      <c r="M1172" s="100">
        <f>IF(AND(SamplingData[[#This Row],[Total]]&lt;&gt; 0, NOT(ISBLANK(SamplingData[[#This Row],[Candidate 4]]))),(SamplingData[[#This Row],[Total]]+SamplingData[[#This Row],[Winning Candidate]]-SamplingData[[#This Row],[Candidate 4]])/(SamplingData[[#Totals],[Winning Candidate]]-SamplingData[[#Totals],[Candidate 4]]), 0)</f>
        <v>1.3154433043935806E-3</v>
      </c>
      <c r="N1172" s="100">
        <f>IF(AND(SamplingData[[#This Row],[Total]]&lt;&gt; 0, NOT(ISBLANK(SamplingData[[#This Row],[Candidate 5]]))),(SamplingData[[#This Row],[Total]]+SamplingData[[#This Row],[Winning Candidate]]-SamplingData[[#This Row],[Candidate 5]])/(SamplingData[[#Totals],[Winning Candidate]]-SamplingData[[#Totals],[Candidate 5]]), 0)</f>
        <v>1.1189491607881295E-3</v>
      </c>
      <c r="O1172" s="100">
        <f>IF(AND(SamplingData[[#This Row],[Total]]&lt;&gt; 0, NOT(ISBLANK(SamplingData[[#This Row],[Candidate 6]]))),(SamplingData[[#This Row],[Total]]+SamplingData[[#This Row],[Winning Candidate]]-SamplingData[[#This Row],[Candidate 6]])/(SamplingData[[#Totals],[Winning Candidate]]-SamplingData[[#Totals],[Candidate 6]]), 0)</f>
        <v>1.0943047517144107E-3</v>
      </c>
      <c r="P1172" s="100">
        <f>MAX(SamplingData[[#This Row],[Error Bound (up) - Max. possible relative overstatement - Losing Candidate]:[Error Bound (up) - Max. possible relative overstatement - Candidate 6]])</f>
        <v>2.3272905438510533E-3</v>
      </c>
      <c r="Q1172" s="100">
        <f>IF(SamplingData[[#This Row],[Max Error Bound (up)]] = 0,0,SamplingData[[#This Row],[Max Error Bound (up)]]/SamplingData[[#Totals],[Max Error Bound (up)]])</f>
        <v>3.683320345809416E-4</v>
      </c>
      <c r="R1172" s="101">
        <f>SUM($Q$5:Q1172)</f>
        <v>0.30380418904574569</v>
      </c>
      <c r="S1172" s="100" t="str">
        <f t="array" ref="S1172">IF(SamplingData[[#This Row],[up/U Selection Probability]] = 0, "Zero", TEXT(SamplingData[[#This Row],[Lower Range]], REPT("0",LEN('General Info'!$B$40))) &amp; " - " &amp; TEXT(SamplingData[[#This Row],[Upper Range]], REPT("0",LEN('General Info'!$B$40))))</f>
        <v>30344 - 30379</v>
      </c>
      <c r="T1172" s="100">
        <f>SamplingData[[#This Row],[Upper Range]]-SamplingData[[#This Row],[Span]]</f>
        <v>30343.586069448509</v>
      </c>
      <c r="U1172" s="100">
        <f>IF(ISNUMBER('General Info'!$B$40), ((SamplingData[[#This Row],[up/U Selection Probability]]) * 'General Info'!$B$40) - 1, 0)</f>
        <v>35.832835126059578</v>
      </c>
      <c r="V1172" s="100">
        <f>IF(ISNUMBER('General Info'!$B$40), (SamplingData[[#This Row],[Running (cumulative) sum]] * ('General Info'!$B$40 -'General Info'!$B$41 + 1)) + 'General Info'!$B$41 - 1, 0)</f>
        <v>30379.41890457457</v>
      </c>
      <c r="W1172" s="100" t="str">
        <f>IF(ISERROR(MATCH(SamplingData[[#This Row],[Batch by Type (p)]],SelectedPrecincts[Batch Name], 0)), "", INDEX(SelectedPrecincts[Draw], MATCH(SamplingData[[#This Row],[Batch by Type (p)]],SelectedPrecincts[Batch Name], 0)))</f>
        <v/>
      </c>
      <c r="X1172" s="102">
        <f>IF(COUNTIF(SelectedPrecincts[Batch Name],SamplingData[[#This Row],[Batch by Type (p)]]) &lt;&gt; 0, COUNTIF(SelectedPrecincts[Batch Name],SamplingData[[#This Row],[Batch by Type (p)]]), 0)</f>
        <v>0</v>
      </c>
    </row>
    <row r="1173" spans="1:24" ht="15" customHeight="1">
      <c r="A1173" s="18" t="s">
        <v>1349</v>
      </c>
      <c r="B1173" s="18">
        <v>28</v>
      </c>
      <c r="C1173" s="18">
        <v>31</v>
      </c>
      <c r="D1173" s="16">
        <v>9</v>
      </c>
      <c r="E1173" s="16">
        <v>13</v>
      </c>
      <c r="F1173" s="37">
        <v>0</v>
      </c>
      <c r="G1173" s="37">
        <v>0</v>
      </c>
      <c r="H1173" s="17">
        <v>0</v>
      </c>
      <c r="I1173" s="17">
        <v>0</v>
      </c>
      <c r="J1173" s="99">
        <f>SUM(SamplingData[[#This Row],[Losing Candidate]:[Under Votes]])</f>
        <v>81</v>
      </c>
      <c r="K1173" s="100">
        <f>IF(AND(SamplingData[[#This Row],[Total]]&lt;&gt; 0, NOT(ISBLANK(SamplingData[[#This Row],[Losing Candidate]]))),(SamplingData[[#This Row],[Total]]+SamplingData[[#This Row],[Winning Candidate]]-SamplingData[[#This Row],[Losing Candidate]])/(SamplingData[[#Totals],[Winning Candidate]]-SamplingData[[#Totals],[Losing Candidate]]), 0)</f>
        <v>5.1445369916707498E-3</v>
      </c>
      <c r="L1173" s="100">
        <f>IF(AND(SamplingData[[#This Row],[Total]]&lt;&gt; 0, NOT(ISBLANK(SamplingData[[#This Row],[Candidate 3]]))),(SamplingData[[#This Row],[Total]]+SamplingData[[#This Row],[Winning Candidate]]-SamplingData[[#This Row],[Candidate 3]])/(SamplingData[[#Totals],[Winning Candidate]]-SamplingData[[#Totals],[Candidate 3]]), 0)</f>
        <v>3.3229022163435173E-3</v>
      </c>
      <c r="M1173" s="100">
        <f>IF(AND(SamplingData[[#This Row],[Total]]&lt;&gt; 0, NOT(ISBLANK(SamplingData[[#This Row],[Candidate 4]]))),(SamplingData[[#This Row],[Total]]+SamplingData[[#This Row],[Winning Candidate]]-SamplingData[[#This Row],[Candidate 4]])/(SamplingData[[#Totals],[Winning Candidate]]-SamplingData[[#Totals],[Candidate 4]]), 0)</f>
        <v>2.8939752696658773E-3</v>
      </c>
      <c r="N1173" s="100">
        <f>IF(AND(SamplingData[[#This Row],[Total]]&lt;&gt; 0, NOT(ISBLANK(SamplingData[[#This Row],[Candidate 5]]))),(SamplingData[[#This Row],[Total]]+SamplingData[[#This Row],[Winning Candidate]]-SamplingData[[#This Row],[Candidate 5]])/(SamplingData[[#Totals],[Winning Candidate]]-SamplingData[[#Totals],[Candidate 5]]), 0)</f>
        <v>2.7243979567015326E-3</v>
      </c>
      <c r="O1173" s="100">
        <f>IF(AND(SamplingData[[#This Row],[Total]]&lt;&gt; 0, NOT(ISBLANK(SamplingData[[#This Row],[Candidate 6]]))),(SamplingData[[#This Row],[Total]]+SamplingData[[#This Row],[Winning Candidate]]-SamplingData[[#This Row],[Candidate 6]])/(SamplingData[[#Totals],[Winning Candidate]]-SamplingData[[#Totals],[Candidate 6]]), 0)</f>
        <v>2.7236029376003111E-3</v>
      </c>
      <c r="P1173" s="100">
        <f>MAX(SamplingData[[#This Row],[Error Bound (up) - Max. possible relative overstatement - Losing Candidate]:[Error Bound (up) - Max. possible relative overstatement - Candidate 6]])</f>
        <v>5.1445369916707498E-3</v>
      </c>
      <c r="Q1173" s="100">
        <f>IF(SamplingData[[#This Row],[Max Error Bound (up)]] = 0,0,SamplingData[[#This Row],[Max Error Bound (up)]]/SamplingData[[#Totals],[Max Error Bound (up)]])</f>
        <v>8.1420765538944991E-4</v>
      </c>
      <c r="R1173" s="101">
        <f>SUM($Q$5:Q1173)</f>
        <v>0.30461839670113516</v>
      </c>
      <c r="S1173" s="100" t="str">
        <f t="array" ref="S1173">IF(SamplingData[[#This Row],[up/U Selection Probability]] = 0, "Zero", TEXT(SamplingData[[#This Row],[Lower Range]], REPT("0",LEN('General Info'!$B$40))) &amp; " - " &amp; TEXT(SamplingData[[#This Row],[Upper Range]], REPT("0",LEN('General Info'!$B$40))))</f>
        <v>30380 - 30461</v>
      </c>
      <c r="T1173" s="100">
        <f>SamplingData[[#This Row],[Upper Range]]-SamplingData[[#This Row],[Span]]</f>
        <v>30380.419718782228</v>
      </c>
      <c r="U1173" s="100">
        <f>IF(ISNUMBER('General Info'!$B$40), ((SamplingData[[#This Row],[up/U Selection Probability]]) * 'General Info'!$B$40) - 1, 0)</f>
        <v>80.419951331289596</v>
      </c>
      <c r="V1173" s="100">
        <f>IF(ISNUMBER('General Info'!$B$40), (SamplingData[[#This Row],[Running (cumulative) sum]] * ('General Info'!$B$40 -'General Info'!$B$41 + 1)) + 'General Info'!$B$41 - 1, 0)</f>
        <v>30460.839670113517</v>
      </c>
      <c r="W1173" s="100" t="str">
        <f>IF(ISERROR(MATCH(SamplingData[[#This Row],[Batch by Type (p)]],SelectedPrecincts[Batch Name], 0)), "", INDEX(SelectedPrecincts[Draw], MATCH(SamplingData[[#This Row],[Batch by Type (p)]],SelectedPrecincts[Batch Name], 0)))</f>
        <v/>
      </c>
      <c r="X1173" s="102">
        <f>IF(COUNTIF(SelectedPrecincts[Batch Name],SamplingData[[#This Row],[Batch by Type (p)]]) &lt;&gt; 0, COUNTIF(SelectedPrecincts[Batch Name],SamplingData[[#This Row],[Batch by Type (p)]]), 0)</f>
        <v>0</v>
      </c>
    </row>
    <row r="1174" spans="1:24" ht="15" customHeight="1">
      <c r="A1174" s="18" t="s">
        <v>1350</v>
      </c>
      <c r="B1174" s="18">
        <v>14</v>
      </c>
      <c r="C1174" s="18">
        <v>12</v>
      </c>
      <c r="D1174" s="18">
        <v>4</v>
      </c>
      <c r="E1174" s="18">
        <v>6</v>
      </c>
      <c r="F1174" s="18">
        <v>1</v>
      </c>
      <c r="G1174" s="18">
        <v>0</v>
      </c>
      <c r="H1174" s="18">
        <v>0</v>
      </c>
      <c r="I1174" s="18">
        <v>1</v>
      </c>
      <c r="J1174" s="99">
        <f>SUM(SamplingData[[#This Row],[Losing Candidate]:[Under Votes]])</f>
        <v>38</v>
      </c>
      <c r="K1174" s="100">
        <f>IF(AND(SamplingData[[#This Row],[Total]]&lt;&gt; 0, NOT(ISBLANK(SamplingData[[#This Row],[Losing Candidate]]))),(SamplingData[[#This Row],[Total]]+SamplingData[[#This Row],[Winning Candidate]]-SamplingData[[#This Row],[Losing Candidate]])/(SamplingData[[#Totals],[Winning Candidate]]-SamplingData[[#Totals],[Losing Candidate]]), 0)</f>
        <v>2.2048015678588929E-3</v>
      </c>
      <c r="L1174" s="100">
        <f>IF(AND(SamplingData[[#This Row],[Total]]&lt;&gt; 0, NOT(ISBLANK(SamplingData[[#This Row],[Candidate 3]]))),(SamplingData[[#This Row],[Total]]+SamplingData[[#This Row],[Winning Candidate]]-SamplingData[[#This Row],[Candidate 3]])/(SamplingData[[#Totals],[Winning Candidate]]-SamplingData[[#Totals],[Candidate 3]]), 0)</f>
        <v>1.4840145820563281E-3</v>
      </c>
      <c r="M1174" s="100">
        <f>IF(AND(SamplingData[[#This Row],[Total]]&lt;&gt; 0, NOT(ISBLANK(SamplingData[[#This Row],[Candidate 4]]))),(SamplingData[[#This Row],[Total]]+SamplingData[[#This Row],[Winning Candidate]]-SamplingData[[#This Row],[Candidate 4]])/(SamplingData[[#Totals],[Winning Candidate]]-SamplingData[[#Totals],[Candidate 4]]), 0)</f>
        <v>1.2862112309626121E-3</v>
      </c>
      <c r="N1174" s="100">
        <f>IF(AND(SamplingData[[#This Row],[Total]]&lt;&gt; 0, NOT(ISBLANK(SamplingData[[#This Row],[Candidate 5]]))),(SamplingData[[#This Row],[Total]]+SamplingData[[#This Row],[Winning Candidate]]-SamplingData[[#This Row],[Candidate 5]])/(SamplingData[[#Totals],[Winning Candidate]]-SamplingData[[#Totals],[Candidate 5]]), 0)</f>
        <v>1.1919241060569204E-3</v>
      </c>
      <c r="O1174" s="100">
        <f>IF(AND(SamplingData[[#This Row],[Total]]&lt;&gt; 0, NOT(ISBLANK(SamplingData[[#This Row],[Candidate 6]]))),(SamplingData[[#This Row],[Total]]+SamplingData[[#This Row],[Winning Candidate]]-SamplingData[[#This Row],[Candidate 6]])/(SamplingData[[#Totals],[Winning Candidate]]-SamplingData[[#Totals],[Candidate 6]]), 0)</f>
        <v>1.2158941685715674E-3</v>
      </c>
      <c r="P1174" s="100">
        <f>MAX(SamplingData[[#This Row],[Error Bound (up) - Max. possible relative overstatement - Losing Candidate]:[Error Bound (up) - Max. possible relative overstatement - Candidate 6]])</f>
        <v>2.2048015678588929E-3</v>
      </c>
      <c r="Q1174" s="100">
        <f>IF(SamplingData[[#This Row],[Max Error Bound (up)]] = 0,0,SamplingData[[#This Row],[Max Error Bound (up)]]/SamplingData[[#Totals],[Max Error Bound (up)]])</f>
        <v>3.4894613802404997E-4</v>
      </c>
      <c r="R1174" s="101">
        <f>SUM($Q$5:Q1174)</f>
        <v>0.30496734283915922</v>
      </c>
      <c r="S1174" s="100" t="str">
        <f t="array" ref="S1174">IF(SamplingData[[#This Row],[up/U Selection Probability]] = 0, "Zero", TEXT(SamplingData[[#This Row],[Lower Range]], REPT("0",LEN('General Info'!$B$40))) &amp; " - " &amp; TEXT(SamplingData[[#This Row],[Upper Range]], REPT("0",LEN('General Info'!$B$40))))</f>
        <v>30462 - 30496</v>
      </c>
      <c r="T1174" s="100">
        <f>SamplingData[[#This Row],[Upper Range]]-SamplingData[[#This Row],[Span]]</f>
        <v>30461.840019059655</v>
      </c>
      <c r="U1174" s="100">
        <f>IF(ISNUMBER('General Info'!$B$40), ((SamplingData[[#This Row],[up/U Selection Probability]]) * 'General Info'!$B$40) - 1, 0)</f>
        <v>33.894264856266972</v>
      </c>
      <c r="V1174" s="100">
        <f>IF(ISNUMBER('General Info'!$B$40), (SamplingData[[#This Row],[Running (cumulative) sum]] * ('General Info'!$B$40 -'General Info'!$B$41 + 1)) + 'General Info'!$B$41 - 1, 0)</f>
        <v>30495.734283915921</v>
      </c>
      <c r="W1174" s="100" t="str">
        <f>IF(ISERROR(MATCH(SamplingData[[#This Row],[Batch by Type (p)]],SelectedPrecincts[Batch Name], 0)), "", INDEX(SelectedPrecincts[Draw], MATCH(SamplingData[[#This Row],[Batch by Type (p)]],SelectedPrecincts[Batch Name], 0)))</f>
        <v/>
      </c>
      <c r="X1174" s="102">
        <f>IF(COUNTIF(SelectedPrecincts[Batch Name],SamplingData[[#This Row],[Batch by Type (p)]]) &lt;&gt; 0, COUNTIF(SelectedPrecincts[Batch Name],SamplingData[[#This Row],[Batch by Type (p)]]), 0)</f>
        <v>0</v>
      </c>
    </row>
    <row r="1175" spans="1:24" ht="15" customHeight="1">
      <c r="A1175" s="18" t="s">
        <v>1351</v>
      </c>
      <c r="B1175" s="18">
        <v>16</v>
      </c>
      <c r="C1175" s="18">
        <v>25</v>
      </c>
      <c r="D1175" s="16">
        <v>10</v>
      </c>
      <c r="E1175" s="16">
        <v>4</v>
      </c>
      <c r="F1175" s="37">
        <v>1</v>
      </c>
      <c r="G1175" s="37">
        <v>0</v>
      </c>
      <c r="H1175" s="17">
        <v>0</v>
      </c>
      <c r="I1175" s="17">
        <v>0</v>
      </c>
      <c r="J1175" s="99">
        <f>SUM(SamplingData[[#This Row],[Losing Candidate]:[Under Votes]])</f>
        <v>56</v>
      </c>
      <c r="K1175"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1175" s="100">
        <f>IF(AND(SamplingData[[#This Row],[Total]]&lt;&gt; 0, NOT(ISBLANK(SamplingData[[#This Row],[Candidate 3]]))),(SamplingData[[#This Row],[Total]]+SamplingData[[#This Row],[Winning Candidate]]-SamplingData[[#This Row],[Candidate 3]])/(SamplingData[[#Totals],[Winning Candidate]]-SamplingData[[#Totals],[Candidate 3]]), 0)</f>
        <v>2.2905442462173757E-3</v>
      </c>
      <c r="M1175" s="100">
        <f>IF(AND(SamplingData[[#This Row],[Total]]&lt;&gt; 0, NOT(ISBLANK(SamplingData[[#This Row],[Candidate 4]]))),(SamplingData[[#This Row],[Total]]+SamplingData[[#This Row],[Winning Candidate]]-SamplingData[[#This Row],[Candidate 4]])/(SamplingData[[#Totals],[Winning Candidate]]-SamplingData[[#Totals],[Candidate 4]]), 0)</f>
        <v>2.2508696541845715E-3</v>
      </c>
      <c r="N1175" s="100">
        <f>IF(AND(SamplingData[[#This Row],[Total]]&lt;&gt; 0, NOT(ISBLANK(SamplingData[[#This Row],[Candidate 5]]))),(SamplingData[[#This Row],[Total]]+SamplingData[[#This Row],[Winning Candidate]]-SamplingData[[#This Row],[Candidate 5]])/(SamplingData[[#Totals],[Winning Candidate]]-SamplingData[[#Totals],[Candidate 5]]), 0)</f>
        <v>1.9459985405010946E-3</v>
      </c>
      <c r="O1175" s="100">
        <f>IF(AND(SamplingData[[#This Row],[Total]]&lt;&gt; 0, NOT(ISBLANK(SamplingData[[#This Row],[Candidate 6]]))),(SamplingData[[#This Row],[Total]]+SamplingData[[#This Row],[Winning Candidate]]-SamplingData[[#This Row],[Candidate 6]])/(SamplingData[[#Totals],[Winning Candidate]]-SamplingData[[#Totals],[Candidate 6]]), 0)</f>
        <v>1.9697485530859394E-3</v>
      </c>
      <c r="P1175" s="100">
        <f>MAX(SamplingData[[#This Row],[Error Bound (up) - Max. possible relative overstatement - Losing Candidate]:[Error Bound (up) - Max. possible relative overstatement - Candidate 6]])</f>
        <v>3.9808917197452229E-3</v>
      </c>
      <c r="Q1175" s="100">
        <f>IF(SamplingData[[#This Row],[Max Error Bound (up)]] = 0,0,SamplingData[[#This Row],[Max Error Bound (up)]]/SamplingData[[#Totals],[Max Error Bound (up)]])</f>
        <v>6.3004163809897906E-4</v>
      </c>
      <c r="R1175" s="101">
        <f>SUM($Q$5:Q1175)</f>
        <v>0.3055973844772582</v>
      </c>
      <c r="S1175" s="100" t="str">
        <f t="array" ref="S1175">IF(SamplingData[[#This Row],[up/U Selection Probability]] = 0, "Zero", TEXT(SamplingData[[#This Row],[Lower Range]], REPT("0",LEN('General Info'!$B$40))) &amp; " - " &amp; TEXT(SamplingData[[#This Row],[Upper Range]], REPT("0",LEN('General Info'!$B$40))))</f>
        <v>30497 - 30559</v>
      </c>
      <c r="T1175" s="100">
        <f>SamplingData[[#This Row],[Upper Range]]-SamplingData[[#This Row],[Span]]</f>
        <v>30496.73491395756</v>
      </c>
      <c r="U1175" s="100">
        <f>IF(ISNUMBER('General Info'!$B$40), ((SamplingData[[#This Row],[up/U Selection Probability]]) * 'General Info'!$B$40) - 1, 0)</f>
        <v>62.003533768259807</v>
      </c>
      <c r="V1175" s="100">
        <f>IF(ISNUMBER('General Info'!$B$40), (SamplingData[[#This Row],[Running (cumulative) sum]] * ('General Info'!$B$40 -'General Info'!$B$41 + 1)) + 'General Info'!$B$41 - 1, 0)</f>
        <v>30558.73844772582</v>
      </c>
      <c r="W1175" s="100" t="str">
        <f>IF(ISERROR(MATCH(SamplingData[[#This Row],[Batch by Type (p)]],SelectedPrecincts[Batch Name], 0)), "", INDEX(SelectedPrecincts[Draw], MATCH(SamplingData[[#This Row],[Batch by Type (p)]],SelectedPrecincts[Batch Name], 0)))</f>
        <v/>
      </c>
      <c r="X1175" s="102">
        <f>IF(COUNTIF(SelectedPrecincts[Batch Name],SamplingData[[#This Row],[Batch by Type (p)]]) &lt;&gt; 0, COUNTIF(SelectedPrecincts[Batch Name],SamplingData[[#This Row],[Batch by Type (p)]]), 0)</f>
        <v>0</v>
      </c>
    </row>
    <row r="1176" spans="1:24" ht="15" customHeight="1">
      <c r="A1176" s="18" t="s">
        <v>1352</v>
      </c>
      <c r="B1176" s="18">
        <v>7</v>
      </c>
      <c r="C1176" s="18">
        <v>6</v>
      </c>
      <c r="D1176" s="18">
        <v>5</v>
      </c>
      <c r="E1176" s="18">
        <v>0</v>
      </c>
      <c r="F1176" s="18">
        <v>0</v>
      </c>
      <c r="G1176" s="18">
        <v>1</v>
      </c>
      <c r="H1176" s="18">
        <v>1</v>
      </c>
      <c r="I1176" s="18">
        <v>0</v>
      </c>
      <c r="J1176" s="99">
        <f>SUM(SamplingData[[#This Row],[Losing Candidate]:[Under Votes]])</f>
        <v>20</v>
      </c>
      <c r="K1176"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176" s="100">
        <f>IF(AND(SamplingData[[#This Row],[Total]]&lt;&gt; 0, NOT(ISBLANK(SamplingData[[#This Row],[Candidate 3]]))),(SamplingData[[#This Row],[Total]]+SamplingData[[#This Row],[Winning Candidate]]-SamplingData[[#This Row],[Candidate 3]])/(SamplingData[[#Totals],[Winning Candidate]]-SamplingData[[#Totals],[Candidate 3]]), 0)</f>
        <v>6.7748491789528019E-4</v>
      </c>
      <c r="M1176" s="100">
        <f>IF(AND(SamplingData[[#This Row],[Total]]&lt;&gt; 0, NOT(ISBLANK(SamplingData[[#This Row],[Candidate 4]]))),(SamplingData[[#This Row],[Total]]+SamplingData[[#This Row],[Winning Candidate]]-SamplingData[[#This Row],[Candidate 4]])/(SamplingData[[#Totals],[Winning Candidate]]-SamplingData[[#Totals],[Candidate 4]]), 0)</f>
        <v>7.6003390920517991E-4</v>
      </c>
      <c r="N1176" s="100">
        <f>IF(AND(SamplingData[[#This Row],[Total]]&lt;&gt; 0, NOT(ISBLANK(SamplingData[[#This Row],[Candidate 5]]))),(SamplingData[[#This Row],[Total]]+SamplingData[[#This Row],[Winning Candidate]]-SamplingData[[#This Row],[Candidate 5]])/(SamplingData[[#Totals],[Winning Candidate]]-SamplingData[[#Totals],[Candidate 5]]), 0)</f>
        <v>6.3244952566285579E-4</v>
      </c>
      <c r="O1176" s="100">
        <f>IF(AND(SamplingData[[#This Row],[Total]]&lt;&gt; 0, NOT(ISBLANK(SamplingData[[#This Row],[Candidate 6]]))),(SamplingData[[#This Row],[Total]]+SamplingData[[#This Row],[Winning Candidate]]-SamplingData[[#This Row],[Candidate 6]])/(SamplingData[[#Totals],[Winning Candidate]]-SamplingData[[#Totals],[Candidate 6]]), 0)</f>
        <v>6.0794708428578371E-4</v>
      </c>
      <c r="P1176" s="100">
        <f>MAX(SamplingData[[#This Row],[Error Bound (up) - Max. possible relative overstatement - Losing Candidate]:[Error Bound (up) - Max. possible relative overstatement - Candidate 6]])</f>
        <v>1.1636452719255266E-3</v>
      </c>
      <c r="Q1176" s="100">
        <f>IF(SamplingData[[#This Row],[Max Error Bound (up)]] = 0,0,SamplingData[[#This Row],[Max Error Bound (up)]]/SamplingData[[#Totals],[Max Error Bound (up)]])</f>
        <v>1.841660172904708E-4</v>
      </c>
      <c r="R1176" s="101">
        <f>SUM($Q$5:Q1176)</f>
        <v>0.30578155049454869</v>
      </c>
      <c r="S1176" s="100" t="str">
        <f t="array" ref="S1176">IF(SamplingData[[#This Row],[up/U Selection Probability]] = 0, "Zero", TEXT(SamplingData[[#This Row],[Lower Range]], REPT("0",LEN('General Info'!$B$40))) &amp; " - " &amp; TEXT(SamplingData[[#This Row],[Upper Range]], REPT("0",LEN('General Info'!$B$40))))</f>
        <v>30560 - 30577</v>
      </c>
      <c r="T1176" s="100">
        <f>SamplingData[[#This Row],[Upper Range]]-SamplingData[[#This Row],[Span]]</f>
        <v>30559.73863189184</v>
      </c>
      <c r="U1176" s="100">
        <f>IF(ISNUMBER('General Info'!$B$40), ((SamplingData[[#This Row],[up/U Selection Probability]]) * 'General Info'!$B$40) - 1, 0)</f>
        <v>17.416417563029789</v>
      </c>
      <c r="V1176" s="100">
        <f>IF(ISNUMBER('General Info'!$B$40), (SamplingData[[#This Row],[Running (cumulative) sum]] * ('General Info'!$B$40 -'General Info'!$B$41 + 1)) + 'General Info'!$B$41 - 1, 0)</f>
        <v>30577.155049454868</v>
      </c>
      <c r="W1176" s="100" t="str">
        <f>IF(ISERROR(MATCH(SamplingData[[#This Row],[Batch by Type (p)]],SelectedPrecincts[Batch Name], 0)), "", INDEX(SelectedPrecincts[Draw], MATCH(SamplingData[[#This Row],[Batch by Type (p)]],SelectedPrecincts[Batch Name], 0)))</f>
        <v/>
      </c>
      <c r="X1176" s="102">
        <f>IF(COUNTIF(SelectedPrecincts[Batch Name],SamplingData[[#This Row],[Batch by Type (p)]]) &lt;&gt; 0, COUNTIF(SelectedPrecincts[Batch Name],SamplingData[[#This Row],[Batch by Type (p)]]), 0)</f>
        <v>0</v>
      </c>
    </row>
    <row r="1177" spans="1:24" ht="15" customHeight="1">
      <c r="A1177" s="18" t="s">
        <v>1353</v>
      </c>
      <c r="B1177" s="18">
        <v>21</v>
      </c>
      <c r="C1177" s="18">
        <v>60</v>
      </c>
      <c r="D1177" s="16">
        <v>10</v>
      </c>
      <c r="E1177" s="16">
        <v>5</v>
      </c>
      <c r="F1177" s="37">
        <v>1</v>
      </c>
      <c r="G1177" s="37">
        <v>0</v>
      </c>
      <c r="H1177" s="17">
        <v>0</v>
      </c>
      <c r="I1177" s="17">
        <v>1</v>
      </c>
      <c r="J1177" s="99">
        <f>SUM(SamplingData[[#This Row],[Losing Candidate]:[Under Votes]])</f>
        <v>98</v>
      </c>
      <c r="K1177" s="100">
        <f>IF(AND(SamplingData[[#This Row],[Total]]&lt;&gt; 0, NOT(ISBLANK(SamplingData[[#This Row],[Losing Candidate]]))),(SamplingData[[#This Row],[Total]]+SamplingData[[#This Row],[Winning Candidate]]-SamplingData[[#This Row],[Losing Candidate]])/(SamplingData[[#Totals],[Winning Candidate]]-SamplingData[[#Totals],[Losing Candidate]]), 0)</f>
        <v>8.3904948554630078E-3</v>
      </c>
      <c r="L1177" s="100">
        <f>IF(AND(SamplingData[[#This Row],[Total]]&lt;&gt; 0, NOT(ISBLANK(SamplingData[[#This Row],[Candidate 3]]))),(SamplingData[[#This Row],[Total]]+SamplingData[[#This Row],[Winning Candidate]]-SamplingData[[#This Row],[Candidate 3]])/(SamplingData[[#Totals],[Winning Candidate]]-SamplingData[[#Totals],[Candidate 3]]), 0)</f>
        <v>4.7746556118334034E-3</v>
      </c>
      <c r="M1177" s="100">
        <f>IF(AND(SamplingData[[#This Row],[Total]]&lt;&gt; 0, NOT(ISBLANK(SamplingData[[#This Row],[Candidate 4]]))),(SamplingData[[#This Row],[Total]]+SamplingData[[#This Row],[Winning Candidate]]-SamplingData[[#This Row],[Candidate 4]])/(SamplingData[[#Totals],[Winning Candidate]]-SamplingData[[#Totals],[Candidate 4]]), 0)</f>
        <v>4.4725072349381745E-3</v>
      </c>
      <c r="N1177" s="100">
        <f>IF(AND(SamplingData[[#This Row],[Total]]&lt;&gt; 0, NOT(ISBLANK(SamplingData[[#This Row],[Candidate 5]]))),(SamplingData[[#This Row],[Total]]+SamplingData[[#This Row],[Winning Candidate]]-SamplingData[[#This Row],[Candidate 5]])/(SamplingData[[#Totals],[Winning Candidate]]-SamplingData[[#Totals],[Candidate 5]]), 0)</f>
        <v>3.8190221357333981E-3</v>
      </c>
      <c r="O1177" s="100">
        <f>IF(AND(SamplingData[[#This Row],[Total]]&lt;&gt; 0, NOT(ISBLANK(SamplingData[[#This Row],[Candidate 6]]))),(SamplingData[[#This Row],[Total]]+SamplingData[[#This Row],[Winning Candidate]]-SamplingData[[#This Row],[Candidate 6]])/(SamplingData[[#Totals],[Winning Candidate]]-SamplingData[[#Totals],[Candidate 6]]), 0)</f>
        <v>3.8422255726861536E-3</v>
      </c>
      <c r="P1177" s="100">
        <f>MAX(SamplingData[[#This Row],[Error Bound (up) - Max. possible relative overstatement - Losing Candidate]:[Error Bound (up) - Max. possible relative overstatement - Candidate 6]])</f>
        <v>8.3904948554630078E-3</v>
      </c>
      <c r="Q1177" s="100">
        <f>IF(SamplingData[[#This Row],[Max Error Bound (up)]] = 0,0,SamplingData[[#This Row],[Max Error Bound (up)]]/SamplingData[[#Totals],[Max Error Bound (up)]])</f>
        <v>1.3279339141470789E-3</v>
      </c>
      <c r="R1177" s="101">
        <f>SUM($Q$5:Q1177)</f>
        <v>0.30710948440869579</v>
      </c>
      <c r="S1177" s="100" t="str">
        <f t="array" ref="S1177">IF(SamplingData[[#This Row],[up/U Selection Probability]] = 0, "Zero", TEXT(SamplingData[[#This Row],[Lower Range]], REPT("0",LEN('General Info'!$B$40))) &amp; " - " &amp; TEXT(SamplingData[[#This Row],[Upper Range]], REPT("0",LEN('General Info'!$B$40))))</f>
        <v>30578 - 30710</v>
      </c>
      <c r="T1177" s="100">
        <f>SamplingData[[#This Row],[Upper Range]]-SamplingData[[#This Row],[Span]]</f>
        <v>30578.156377388786</v>
      </c>
      <c r="U1177" s="100">
        <f>IF(ISNUMBER('General Info'!$B$40), ((SamplingData[[#This Row],[up/U Selection Probability]]) * 'General Info'!$B$40) - 1, 0)</f>
        <v>131.79206348079373</v>
      </c>
      <c r="V1177" s="100">
        <f>IF(ISNUMBER('General Info'!$B$40), (SamplingData[[#This Row],[Running (cumulative) sum]] * ('General Info'!$B$40 -'General Info'!$B$41 + 1)) + 'General Info'!$B$41 - 1, 0)</f>
        <v>30709.948440869579</v>
      </c>
      <c r="W1177" s="100" t="str">
        <f>IF(ISERROR(MATCH(SamplingData[[#This Row],[Batch by Type (p)]],SelectedPrecincts[Batch Name], 0)), "", INDEX(SelectedPrecincts[Draw], MATCH(SamplingData[[#This Row],[Batch by Type (p)]],SelectedPrecincts[Batch Name], 0)))</f>
        <v/>
      </c>
      <c r="X1177" s="102">
        <f>IF(COUNTIF(SelectedPrecincts[Batch Name],SamplingData[[#This Row],[Batch by Type (p)]]) &lt;&gt; 0, COUNTIF(SelectedPrecincts[Batch Name],SamplingData[[#This Row],[Batch by Type (p)]]), 0)</f>
        <v>0</v>
      </c>
    </row>
    <row r="1178" spans="1:24" ht="15" customHeight="1">
      <c r="A1178" s="18" t="s">
        <v>1354</v>
      </c>
      <c r="B1178" s="18">
        <v>18</v>
      </c>
      <c r="C1178" s="18">
        <v>12</v>
      </c>
      <c r="D1178" s="18">
        <v>3</v>
      </c>
      <c r="E1178" s="18">
        <v>4</v>
      </c>
      <c r="F1178" s="18">
        <v>0</v>
      </c>
      <c r="G1178" s="18">
        <v>0</v>
      </c>
      <c r="H1178" s="18">
        <v>0</v>
      </c>
      <c r="I1178" s="18">
        <v>1</v>
      </c>
      <c r="J1178" s="99">
        <f>SUM(SamplingData[[#This Row],[Losing Candidate]:[Under Votes]])</f>
        <v>38</v>
      </c>
      <c r="K1178"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178" s="100">
        <f>IF(AND(SamplingData[[#This Row],[Total]]&lt;&gt; 0, NOT(ISBLANK(SamplingData[[#This Row],[Candidate 3]]))),(SamplingData[[#This Row],[Total]]+SamplingData[[#This Row],[Winning Candidate]]-SamplingData[[#This Row],[Candidate 3]])/(SamplingData[[#Totals],[Winning Candidate]]-SamplingData[[#Totals],[Candidate 3]]), 0)</f>
        <v>1.5162757686227699E-3</v>
      </c>
      <c r="M1178" s="100">
        <f>IF(AND(SamplingData[[#This Row],[Total]]&lt;&gt; 0, NOT(ISBLANK(SamplingData[[#This Row],[Candidate 4]]))),(SamplingData[[#This Row],[Total]]+SamplingData[[#This Row],[Winning Candidate]]-SamplingData[[#This Row],[Candidate 4]])/(SamplingData[[#Totals],[Winning Candidate]]-SamplingData[[#Totals],[Candidate 4]]), 0)</f>
        <v>1.344675377824549E-3</v>
      </c>
      <c r="N1178" s="100">
        <f>IF(AND(SamplingData[[#This Row],[Total]]&lt;&gt; 0, NOT(ISBLANK(SamplingData[[#This Row],[Candidate 5]]))),(SamplingData[[#This Row],[Total]]+SamplingData[[#This Row],[Winning Candidate]]-SamplingData[[#This Row],[Candidate 5]])/(SamplingData[[#Totals],[Winning Candidate]]-SamplingData[[#Totals],[Candidate 5]]), 0)</f>
        <v>1.2162490878131842E-3</v>
      </c>
      <c r="O1178" s="100">
        <f>IF(AND(SamplingData[[#This Row],[Total]]&lt;&gt; 0, NOT(ISBLANK(SamplingData[[#This Row],[Candidate 6]]))),(SamplingData[[#This Row],[Total]]+SamplingData[[#This Row],[Winning Candidate]]-SamplingData[[#This Row],[Candidate 6]])/(SamplingData[[#Totals],[Winning Candidate]]-SamplingData[[#Totals],[Candidate 6]]), 0)</f>
        <v>1.2158941685715674E-3</v>
      </c>
      <c r="P1178" s="100">
        <f>MAX(SamplingData[[#This Row],[Error Bound (up) - Max. possible relative overstatement - Losing Candidate]:[Error Bound (up) - Max. possible relative overstatement - Candidate 6]])</f>
        <v>1.9598236158745713E-3</v>
      </c>
      <c r="Q1178" s="100">
        <f>IF(SamplingData[[#This Row],[Max Error Bound (up)]] = 0,0,SamplingData[[#This Row],[Max Error Bound (up)]]/SamplingData[[#Totals],[Max Error Bound (up)]])</f>
        <v>3.1017434491026661E-4</v>
      </c>
      <c r="R1178" s="101">
        <f>SUM($Q$5:Q1178)</f>
        <v>0.30741965875360605</v>
      </c>
      <c r="S1178" s="100" t="str">
        <f t="array" ref="S1178">IF(SamplingData[[#This Row],[up/U Selection Probability]] = 0, "Zero", TEXT(SamplingData[[#This Row],[Lower Range]], REPT("0",LEN('General Info'!$B$40))) &amp; " - " &amp; TEXT(SamplingData[[#This Row],[Upper Range]], REPT("0",LEN('General Info'!$B$40))))</f>
        <v>30711 - 30741</v>
      </c>
      <c r="T1178" s="100">
        <f>SamplingData[[#This Row],[Upper Range]]-SamplingData[[#This Row],[Span]]</f>
        <v>30710.948751043925</v>
      </c>
      <c r="U1178" s="100">
        <f>IF(ISNUMBER('General Info'!$B$40), ((SamplingData[[#This Row],[up/U Selection Probability]]) * 'General Info'!$B$40) - 1, 0)</f>
        <v>30.017124316681752</v>
      </c>
      <c r="V1178" s="100">
        <f>IF(ISNUMBER('General Info'!$B$40), (SamplingData[[#This Row],[Running (cumulative) sum]] * ('General Info'!$B$40 -'General Info'!$B$41 + 1)) + 'General Info'!$B$41 - 1, 0)</f>
        <v>30740.965875360605</v>
      </c>
      <c r="W1178" s="100" t="str">
        <f>IF(ISERROR(MATCH(SamplingData[[#This Row],[Batch by Type (p)]],SelectedPrecincts[Batch Name], 0)), "", INDEX(SelectedPrecincts[Draw], MATCH(SamplingData[[#This Row],[Batch by Type (p)]],SelectedPrecincts[Batch Name], 0)))</f>
        <v/>
      </c>
      <c r="X1178" s="102">
        <f>IF(COUNTIF(SelectedPrecincts[Batch Name],SamplingData[[#This Row],[Batch by Type (p)]]) &lt;&gt; 0, COUNTIF(SelectedPrecincts[Batch Name],SamplingData[[#This Row],[Batch by Type (p)]]), 0)</f>
        <v>0</v>
      </c>
    </row>
    <row r="1179" spans="1:24" ht="15" customHeight="1">
      <c r="A1179" s="18" t="s">
        <v>1355</v>
      </c>
      <c r="B1179" s="18">
        <v>33</v>
      </c>
      <c r="C1179" s="18">
        <v>39</v>
      </c>
      <c r="D1179" s="16">
        <v>7</v>
      </c>
      <c r="E1179" s="16">
        <v>2</v>
      </c>
      <c r="F1179" s="37">
        <v>0</v>
      </c>
      <c r="G1179" s="37">
        <v>1</v>
      </c>
      <c r="H1179" s="17">
        <v>0</v>
      </c>
      <c r="I1179" s="17">
        <v>2</v>
      </c>
      <c r="J1179" s="99">
        <f>SUM(SamplingData[[#This Row],[Losing Candidate]:[Under Votes]])</f>
        <v>84</v>
      </c>
      <c r="K1179" s="100">
        <f>IF(AND(SamplingData[[#This Row],[Total]]&lt;&gt; 0, NOT(ISBLANK(SamplingData[[#This Row],[Losing Candidate]]))),(SamplingData[[#This Row],[Total]]+SamplingData[[#This Row],[Winning Candidate]]-SamplingData[[#This Row],[Losing Candidate]])/(SamplingData[[#Totals],[Winning Candidate]]-SamplingData[[#Totals],[Losing Candidate]]), 0)</f>
        <v>5.5120039196472313E-3</v>
      </c>
      <c r="L1179" s="100">
        <f>IF(AND(SamplingData[[#This Row],[Total]]&lt;&gt; 0, NOT(ISBLANK(SamplingData[[#This Row],[Candidate 3]]))),(SamplingData[[#This Row],[Total]]+SamplingData[[#This Row],[Winning Candidate]]-SamplingData[[#This Row],[Candidate 3]])/(SamplingData[[#Totals],[Winning Candidate]]-SamplingData[[#Totals],[Candidate 3]]), 0)</f>
        <v>3.7422976417072619E-3</v>
      </c>
      <c r="M1179" s="100">
        <f>IF(AND(SamplingData[[#This Row],[Total]]&lt;&gt; 0, NOT(ISBLANK(SamplingData[[#This Row],[Candidate 4]]))),(SamplingData[[#This Row],[Total]]+SamplingData[[#This Row],[Winning Candidate]]-SamplingData[[#This Row],[Candidate 4]])/(SamplingData[[#Totals],[Winning Candidate]]-SamplingData[[#Totals],[Candidate 4]]), 0)</f>
        <v>3.5370808851471836E-3</v>
      </c>
      <c r="N1179" s="100">
        <f>IF(AND(SamplingData[[#This Row],[Total]]&lt;&gt; 0, NOT(ISBLANK(SamplingData[[#This Row],[Candidate 5]]))),(SamplingData[[#This Row],[Total]]+SamplingData[[#This Row],[Winning Candidate]]-SamplingData[[#This Row],[Candidate 5]])/(SamplingData[[#Totals],[Winning Candidate]]-SamplingData[[#Totals],[Candidate 5]]), 0)</f>
        <v>2.9919727560204332E-3</v>
      </c>
      <c r="O1179" s="100">
        <f>IF(AND(SamplingData[[#This Row],[Total]]&lt;&gt; 0, NOT(ISBLANK(SamplingData[[#This Row],[Candidate 6]]))),(SamplingData[[#This Row],[Total]]+SamplingData[[#This Row],[Winning Candidate]]-SamplingData[[#This Row],[Candidate 6]])/(SamplingData[[#Totals],[Winning Candidate]]-SamplingData[[#Totals],[Candidate 6]]), 0)</f>
        <v>2.9667817713146249E-3</v>
      </c>
      <c r="P1179" s="100">
        <f>MAX(SamplingData[[#This Row],[Error Bound (up) - Max. possible relative overstatement - Losing Candidate]:[Error Bound (up) - Max. possible relative overstatement - Candidate 6]])</f>
        <v>5.5120039196472313E-3</v>
      </c>
      <c r="Q1179" s="100">
        <f>IF(SamplingData[[#This Row],[Max Error Bound (up)]] = 0,0,SamplingData[[#This Row],[Max Error Bound (up)]]/SamplingData[[#Totals],[Max Error Bound (up)]])</f>
        <v>8.7236534506012473E-4</v>
      </c>
      <c r="R1179" s="101">
        <f>SUM($Q$5:Q1179)</f>
        <v>0.30829202409866618</v>
      </c>
      <c r="S1179" s="100" t="str">
        <f t="array" ref="S1179">IF(SamplingData[[#This Row],[up/U Selection Probability]] = 0, "Zero", TEXT(SamplingData[[#This Row],[Lower Range]], REPT("0",LEN('General Info'!$B$40))) &amp; " - " &amp; TEXT(SamplingData[[#This Row],[Upper Range]], REPT("0",LEN('General Info'!$B$40))))</f>
        <v>30742 - 30828</v>
      </c>
      <c r="T1179" s="100">
        <f>SamplingData[[#This Row],[Upper Range]]-SamplingData[[#This Row],[Span]]</f>
        <v>30741.96674772595</v>
      </c>
      <c r="U1179" s="100">
        <f>IF(ISNUMBER('General Info'!$B$40), ((SamplingData[[#This Row],[up/U Selection Probability]]) * 'General Info'!$B$40) - 1, 0)</f>
        <v>86.235662140667415</v>
      </c>
      <c r="V1179" s="100">
        <f>IF(ISNUMBER('General Info'!$B$40), (SamplingData[[#This Row],[Running (cumulative) sum]] * ('General Info'!$B$40 -'General Info'!$B$41 + 1)) + 'General Info'!$B$41 - 1, 0)</f>
        <v>30828.202409866619</v>
      </c>
      <c r="W1179" s="100" t="str">
        <f>IF(ISERROR(MATCH(SamplingData[[#This Row],[Batch by Type (p)]],SelectedPrecincts[Batch Name], 0)), "", INDEX(SelectedPrecincts[Draw], MATCH(SamplingData[[#This Row],[Batch by Type (p)]],SelectedPrecincts[Batch Name], 0)))</f>
        <v/>
      </c>
      <c r="X1179" s="102">
        <f>IF(COUNTIF(SelectedPrecincts[Batch Name],SamplingData[[#This Row],[Batch by Type (p)]]) &lt;&gt; 0, COUNTIF(SelectedPrecincts[Batch Name],SamplingData[[#This Row],[Batch by Type (p)]]), 0)</f>
        <v>0</v>
      </c>
    </row>
    <row r="1180" spans="1:24" ht="15" customHeight="1">
      <c r="A1180" s="18" t="s">
        <v>1356</v>
      </c>
      <c r="B1180" s="18">
        <v>19</v>
      </c>
      <c r="C1180" s="18">
        <v>22</v>
      </c>
      <c r="D1180" s="18">
        <v>1</v>
      </c>
      <c r="E1180" s="18">
        <v>2</v>
      </c>
      <c r="F1180" s="18">
        <v>0</v>
      </c>
      <c r="G1180" s="18">
        <v>0</v>
      </c>
      <c r="H1180" s="18">
        <v>0</v>
      </c>
      <c r="I1180" s="18">
        <v>0</v>
      </c>
      <c r="J1180" s="99">
        <f>SUM(SamplingData[[#This Row],[Losing Candidate]:[Under Votes]])</f>
        <v>44</v>
      </c>
      <c r="K1180" s="100">
        <f>IF(AND(SamplingData[[#This Row],[Total]]&lt;&gt; 0, NOT(ISBLANK(SamplingData[[#This Row],[Losing Candidate]]))),(SamplingData[[#This Row],[Total]]+SamplingData[[#This Row],[Winning Candidate]]-SamplingData[[#This Row],[Losing Candidate]])/(SamplingData[[#Totals],[Winning Candidate]]-SamplingData[[#Totals],[Losing Candidate]]), 0)</f>
        <v>2.8784909358157765E-3</v>
      </c>
      <c r="L1180" s="100">
        <f>IF(AND(SamplingData[[#This Row],[Total]]&lt;&gt; 0, NOT(ISBLANK(SamplingData[[#This Row],[Candidate 3]]))),(SamplingData[[#This Row],[Total]]+SamplingData[[#This Row],[Winning Candidate]]-SamplingData[[#This Row],[Candidate 3]])/(SamplingData[[#Totals],[Winning Candidate]]-SamplingData[[#Totals],[Candidate 3]]), 0)</f>
        <v>2.0969771268187242E-3</v>
      </c>
      <c r="M1180" s="100">
        <f>IF(AND(SamplingData[[#This Row],[Total]]&lt;&gt; 0, NOT(ISBLANK(SamplingData[[#This Row],[Candidate 4]]))),(SamplingData[[#This Row],[Total]]+SamplingData[[#This Row],[Winning Candidate]]-SamplingData[[#This Row],[Candidate 4]])/(SamplingData[[#Totals],[Winning Candidate]]-SamplingData[[#Totals],[Candidate 4]]), 0)</f>
        <v>1.8708526995819814E-3</v>
      </c>
      <c r="N1180" s="100">
        <f>IF(AND(SamplingData[[#This Row],[Total]]&lt;&gt; 0, NOT(ISBLANK(SamplingData[[#This Row],[Candidate 5]]))),(SamplingData[[#This Row],[Total]]+SamplingData[[#This Row],[Winning Candidate]]-SamplingData[[#This Row],[Candidate 5]])/(SamplingData[[#Totals],[Winning Candidate]]-SamplingData[[#Totals],[Candidate 5]]), 0)</f>
        <v>1.6054487959134031E-3</v>
      </c>
      <c r="O1180" s="100">
        <f>IF(AND(SamplingData[[#This Row],[Total]]&lt;&gt; 0, NOT(ISBLANK(SamplingData[[#This Row],[Candidate 6]]))),(SamplingData[[#This Row],[Total]]+SamplingData[[#This Row],[Winning Candidate]]-SamplingData[[#This Row],[Candidate 6]])/(SamplingData[[#Totals],[Winning Candidate]]-SamplingData[[#Totals],[Candidate 6]]), 0)</f>
        <v>1.6049803025144692E-3</v>
      </c>
      <c r="P1180" s="100">
        <f>MAX(SamplingData[[#This Row],[Error Bound (up) - Max. possible relative overstatement - Losing Candidate]:[Error Bound (up) - Max. possible relative overstatement - Candidate 6]])</f>
        <v>2.8784909358157765E-3</v>
      </c>
      <c r="Q1180" s="100">
        <f>IF(SamplingData[[#This Row],[Max Error Bound (up)]] = 0,0,SamplingData[[#This Row],[Max Error Bound (up)]]/SamplingData[[#Totals],[Max Error Bound (up)]])</f>
        <v>4.5556856908695405E-4</v>
      </c>
      <c r="R1180" s="101">
        <f>SUM($Q$5:Q1180)</f>
        <v>0.30874759266775315</v>
      </c>
      <c r="S1180" s="100" t="str">
        <f t="array" ref="S1180">IF(SamplingData[[#This Row],[up/U Selection Probability]] = 0, "Zero", TEXT(SamplingData[[#This Row],[Lower Range]], REPT("0",LEN('General Info'!$B$40))) &amp; " - " &amp; TEXT(SamplingData[[#This Row],[Upper Range]], REPT("0",LEN('General Info'!$B$40))))</f>
        <v>30829 - 30874</v>
      </c>
      <c r="T1180" s="100">
        <f>SamplingData[[#This Row],[Upper Range]]-SamplingData[[#This Row],[Span]]</f>
        <v>30829.202865435189</v>
      </c>
      <c r="U1180" s="100">
        <f>IF(ISNUMBER('General Info'!$B$40), ((SamplingData[[#This Row],[up/U Selection Probability]]) * 'General Info'!$B$40) - 1, 0)</f>
        <v>44.556401340126321</v>
      </c>
      <c r="V1180" s="100">
        <f>IF(ISNUMBER('General Info'!$B$40), (SamplingData[[#This Row],[Running (cumulative) sum]] * ('General Info'!$B$40 -'General Info'!$B$41 + 1)) + 'General Info'!$B$41 - 1, 0)</f>
        <v>30873.759266775316</v>
      </c>
      <c r="W1180" s="100" t="str">
        <f>IF(ISERROR(MATCH(SamplingData[[#This Row],[Batch by Type (p)]],SelectedPrecincts[Batch Name], 0)), "", INDEX(SelectedPrecincts[Draw], MATCH(SamplingData[[#This Row],[Batch by Type (p)]],SelectedPrecincts[Batch Name], 0)))</f>
        <v/>
      </c>
      <c r="X1180" s="102">
        <f>IF(COUNTIF(SelectedPrecincts[Batch Name],SamplingData[[#This Row],[Batch by Type (p)]]) &lt;&gt; 0, COUNTIF(SelectedPrecincts[Batch Name],SamplingData[[#This Row],[Batch by Type (p)]]), 0)</f>
        <v>0</v>
      </c>
    </row>
    <row r="1181" spans="1:24" ht="15" customHeight="1">
      <c r="A1181" s="18" t="s">
        <v>1357</v>
      </c>
      <c r="B1181" s="18">
        <v>33</v>
      </c>
      <c r="C1181" s="18">
        <v>38</v>
      </c>
      <c r="D1181" s="16">
        <v>16</v>
      </c>
      <c r="E1181" s="16">
        <v>10</v>
      </c>
      <c r="F1181" s="37">
        <v>1</v>
      </c>
      <c r="G1181" s="37">
        <v>1</v>
      </c>
      <c r="H1181" s="17">
        <v>0</v>
      </c>
      <c r="I1181" s="17">
        <v>1</v>
      </c>
      <c r="J1181" s="99">
        <f>SUM(SamplingData[[#This Row],[Losing Candidate]:[Under Votes]])</f>
        <v>100</v>
      </c>
      <c r="K1181" s="100">
        <f>IF(AND(SamplingData[[#This Row],[Total]]&lt;&gt; 0, NOT(ISBLANK(SamplingData[[#This Row],[Losing Candidate]]))),(SamplingData[[#This Row],[Total]]+SamplingData[[#This Row],[Winning Candidate]]-SamplingData[[#This Row],[Losing Candidate]])/(SamplingData[[#Totals],[Winning Candidate]]-SamplingData[[#Totals],[Losing Candidate]]), 0)</f>
        <v>6.4306712395884374E-3</v>
      </c>
      <c r="L1181" s="100">
        <f>IF(AND(SamplingData[[#This Row],[Total]]&lt;&gt; 0, NOT(ISBLANK(SamplingData[[#This Row],[Candidate 3]]))),(SamplingData[[#This Row],[Total]]+SamplingData[[#This Row],[Winning Candidate]]-SamplingData[[#This Row],[Candidate 3]])/(SamplingData[[#Totals],[Winning Candidate]]-SamplingData[[#Totals],[Candidate 3]]), 0)</f>
        <v>3.9358647611059134E-3</v>
      </c>
      <c r="M1181" s="100">
        <f>IF(AND(SamplingData[[#This Row],[Total]]&lt;&gt; 0, NOT(ISBLANK(SamplingData[[#This Row],[Candidate 4]]))),(SamplingData[[#This Row],[Total]]+SamplingData[[#This Row],[Winning Candidate]]-SamplingData[[#This Row],[Candidate 4]])/(SamplingData[[#Totals],[Winning Candidate]]-SamplingData[[#Totals],[Candidate 4]]), 0)</f>
        <v>3.7417053991639629E-3</v>
      </c>
      <c r="N1181" s="100">
        <f>IF(AND(SamplingData[[#This Row],[Total]]&lt;&gt; 0, NOT(ISBLANK(SamplingData[[#This Row],[Candidate 5]]))),(SamplingData[[#This Row],[Total]]+SamplingData[[#This Row],[Winning Candidate]]-SamplingData[[#This Row],[Candidate 5]])/(SamplingData[[#Totals],[Winning Candidate]]-SamplingData[[#Totals],[Candidate 5]]), 0)</f>
        <v>3.3325225006081245E-3</v>
      </c>
      <c r="O1181" s="100">
        <f>IF(AND(SamplingData[[#This Row],[Total]]&lt;&gt; 0, NOT(ISBLANK(SamplingData[[#This Row],[Candidate 6]]))),(SamplingData[[#This Row],[Total]]+SamplingData[[#This Row],[Winning Candidate]]-SamplingData[[#This Row],[Candidate 6]])/(SamplingData[[#Totals],[Winning Candidate]]-SamplingData[[#Totals],[Candidate 6]]), 0)</f>
        <v>3.3315500218860949E-3</v>
      </c>
      <c r="P1181" s="100">
        <f>MAX(SamplingData[[#This Row],[Error Bound (up) - Max. possible relative overstatement - Losing Candidate]:[Error Bound (up) - Max. possible relative overstatement - Candidate 6]])</f>
        <v>6.4306712395884374E-3</v>
      </c>
      <c r="Q1181" s="100">
        <f>IF(SamplingData[[#This Row],[Max Error Bound (up)]] = 0,0,SamplingData[[#This Row],[Max Error Bound (up)]]/SamplingData[[#Totals],[Max Error Bound (up)]])</f>
        <v>1.0177595692368124E-3</v>
      </c>
      <c r="R1181" s="101">
        <f>SUM($Q$5:Q1181)</f>
        <v>0.30976535223698998</v>
      </c>
      <c r="S1181" s="100" t="str">
        <f t="array" ref="S1181">IF(SamplingData[[#This Row],[up/U Selection Probability]] = 0, "Zero", TEXT(SamplingData[[#This Row],[Lower Range]], REPT("0",LEN('General Info'!$B$40))) &amp; " - " &amp; TEXT(SamplingData[[#This Row],[Upper Range]], REPT("0",LEN('General Info'!$B$40))))</f>
        <v>30875 - 30976</v>
      </c>
      <c r="T1181" s="100">
        <f>SamplingData[[#This Row],[Upper Range]]-SamplingData[[#This Row],[Span]]</f>
        <v>30874.760284534885</v>
      </c>
      <c r="U1181" s="100">
        <f>IF(ISNUMBER('General Info'!$B$40), ((SamplingData[[#This Row],[up/U Selection Probability]]) * 'General Info'!$B$40) - 1, 0)</f>
        <v>100.77493916411201</v>
      </c>
      <c r="V1181" s="100">
        <f>IF(ISNUMBER('General Info'!$B$40), (SamplingData[[#This Row],[Running (cumulative) sum]] * ('General Info'!$B$40 -'General Info'!$B$41 + 1)) + 'General Info'!$B$41 - 1, 0)</f>
        <v>30975.535223698997</v>
      </c>
      <c r="W1181" s="100" t="str">
        <f>IF(ISERROR(MATCH(SamplingData[[#This Row],[Batch by Type (p)]],SelectedPrecincts[Batch Name], 0)), "", INDEX(SelectedPrecincts[Draw], MATCH(SamplingData[[#This Row],[Batch by Type (p)]],SelectedPrecincts[Batch Name], 0)))</f>
        <v/>
      </c>
      <c r="X1181" s="102">
        <f>IF(COUNTIF(SelectedPrecincts[Batch Name],SamplingData[[#This Row],[Batch by Type (p)]]) &lt;&gt; 0, COUNTIF(SelectedPrecincts[Batch Name],SamplingData[[#This Row],[Batch by Type (p)]]), 0)</f>
        <v>0</v>
      </c>
    </row>
    <row r="1182" spans="1:24" ht="15" customHeight="1">
      <c r="A1182" s="18" t="s">
        <v>1358</v>
      </c>
      <c r="B1182" s="18">
        <v>13</v>
      </c>
      <c r="C1182" s="18">
        <v>11</v>
      </c>
      <c r="D1182" s="18">
        <v>9</v>
      </c>
      <c r="E1182" s="18">
        <v>3</v>
      </c>
      <c r="F1182" s="18">
        <v>0</v>
      </c>
      <c r="G1182" s="18">
        <v>0</v>
      </c>
      <c r="H1182" s="18">
        <v>0</v>
      </c>
      <c r="I1182" s="18">
        <v>1</v>
      </c>
      <c r="J1182" s="99">
        <f>SUM(SamplingData[[#This Row],[Losing Candidate]:[Under Votes]])</f>
        <v>37</v>
      </c>
      <c r="K1182" s="100">
        <f>IF(AND(SamplingData[[#This Row],[Total]]&lt;&gt; 0, NOT(ISBLANK(SamplingData[[#This Row],[Losing Candidate]]))),(SamplingData[[#This Row],[Total]]+SamplingData[[#This Row],[Winning Candidate]]-SamplingData[[#This Row],[Losing Candidate]])/(SamplingData[[#Totals],[Winning Candidate]]-SamplingData[[#Totals],[Losing Candidate]]), 0)</f>
        <v>2.1435570798628125E-3</v>
      </c>
      <c r="L1182" s="100">
        <f>IF(AND(SamplingData[[#This Row],[Total]]&lt;&gt; 0, NOT(ISBLANK(SamplingData[[#This Row],[Candidate 3]]))),(SamplingData[[#This Row],[Total]]+SamplingData[[#This Row],[Winning Candidate]]-SamplingData[[#This Row],[Candidate 3]])/(SamplingData[[#Totals],[Winning Candidate]]-SamplingData[[#Totals],[Candidate 3]]), 0)</f>
        <v>1.2581862760912346E-3</v>
      </c>
      <c r="M1182" s="100">
        <f>IF(AND(SamplingData[[#This Row],[Total]]&lt;&gt; 0, NOT(ISBLANK(SamplingData[[#This Row],[Candidate 4]]))),(SamplingData[[#This Row],[Total]]+SamplingData[[#This Row],[Winning Candidate]]-SamplingData[[#This Row],[Candidate 4]])/(SamplingData[[#Totals],[Winning Candidate]]-SamplingData[[#Totals],[Candidate 4]]), 0)</f>
        <v>1.3154433043935806E-3</v>
      </c>
      <c r="N1182" s="100">
        <f>IF(AND(SamplingData[[#This Row],[Total]]&lt;&gt; 0, NOT(ISBLANK(SamplingData[[#This Row],[Candidate 5]]))),(SamplingData[[#This Row],[Total]]+SamplingData[[#This Row],[Winning Candidate]]-SamplingData[[#This Row],[Candidate 5]])/(SamplingData[[#Totals],[Winning Candidate]]-SamplingData[[#Totals],[Candidate 5]]), 0)</f>
        <v>1.1675991243006569E-3</v>
      </c>
      <c r="O1182" s="100">
        <f>IF(AND(SamplingData[[#This Row],[Total]]&lt;&gt; 0, NOT(ISBLANK(SamplingData[[#This Row],[Candidate 6]]))),(SamplingData[[#This Row],[Total]]+SamplingData[[#This Row],[Winning Candidate]]-SamplingData[[#This Row],[Candidate 6]])/(SamplingData[[#Totals],[Winning Candidate]]-SamplingData[[#Totals],[Candidate 6]]), 0)</f>
        <v>1.1672584018287049E-3</v>
      </c>
      <c r="P1182" s="100">
        <f>MAX(SamplingData[[#This Row],[Error Bound (up) - Max. possible relative overstatement - Losing Candidate]:[Error Bound (up) - Max. possible relative overstatement - Candidate 6]])</f>
        <v>2.1435570798628125E-3</v>
      </c>
      <c r="Q1182" s="100">
        <f>IF(SamplingData[[#This Row],[Max Error Bound (up)]] = 0,0,SamplingData[[#This Row],[Max Error Bound (up)]]/SamplingData[[#Totals],[Max Error Bound (up)]])</f>
        <v>3.3925318974560413E-4</v>
      </c>
      <c r="R1182" s="101">
        <f>SUM($Q$5:Q1182)</f>
        <v>0.31010460542673557</v>
      </c>
      <c r="S1182" s="100" t="str">
        <f t="array" ref="S1182">IF(SamplingData[[#This Row],[up/U Selection Probability]] = 0, "Zero", TEXT(SamplingData[[#This Row],[Lower Range]], REPT("0",LEN('General Info'!$B$40))) &amp; " - " &amp; TEXT(SamplingData[[#This Row],[Upper Range]], REPT("0",LEN('General Info'!$B$40))))</f>
        <v>30977 - 31009</v>
      </c>
      <c r="T1182" s="100">
        <f>SamplingData[[#This Row],[Upper Range]]-SamplingData[[#This Row],[Span]]</f>
        <v>30976.535562952187</v>
      </c>
      <c r="U1182" s="100">
        <f>IF(ISNUMBER('General Info'!$B$40), ((SamplingData[[#This Row],[up/U Selection Probability]]) * 'General Info'!$B$40) - 1, 0)</f>
        <v>32.924979721370669</v>
      </c>
      <c r="V1182" s="100">
        <f>IF(ISNUMBER('General Info'!$B$40), (SamplingData[[#This Row],[Running (cumulative) sum]] * ('General Info'!$B$40 -'General Info'!$B$41 + 1)) + 'General Info'!$B$41 - 1, 0)</f>
        <v>31009.460542673558</v>
      </c>
      <c r="W1182" s="100" t="str">
        <f>IF(ISERROR(MATCH(SamplingData[[#This Row],[Batch by Type (p)]],SelectedPrecincts[Batch Name], 0)), "", INDEX(SelectedPrecincts[Draw], MATCH(SamplingData[[#This Row],[Batch by Type (p)]],SelectedPrecincts[Batch Name], 0)))</f>
        <v/>
      </c>
      <c r="X1182" s="102">
        <f>IF(COUNTIF(SelectedPrecincts[Batch Name],SamplingData[[#This Row],[Batch by Type (p)]]) &lt;&gt; 0, COUNTIF(SelectedPrecincts[Batch Name],SamplingData[[#This Row],[Batch by Type (p)]]), 0)</f>
        <v>0</v>
      </c>
    </row>
    <row r="1183" spans="1:24" ht="15" customHeight="1">
      <c r="A1183" s="18" t="s">
        <v>1359</v>
      </c>
      <c r="B1183" s="18">
        <v>4</v>
      </c>
      <c r="C1183" s="18">
        <v>1</v>
      </c>
      <c r="D1183" s="16">
        <v>2</v>
      </c>
      <c r="E1183" s="16">
        <v>2</v>
      </c>
      <c r="F1183" s="37">
        <v>0</v>
      </c>
      <c r="G1183" s="37">
        <v>1</v>
      </c>
      <c r="H1183" s="17">
        <v>0</v>
      </c>
      <c r="I1183" s="17">
        <v>2</v>
      </c>
      <c r="J1183" s="99">
        <f>SUM(SamplingData[[#This Row],[Losing Candidate]:[Under Votes]])</f>
        <v>12</v>
      </c>
      <c r="K1183"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183" s="100">
        <f>IF(AND(SamplingData[[#This Row],[Total]]&lt;&gt; 0, NOT(ISBLANK(SamplingData[[#This Row],[Candidate 3]]))),(SamplingData[[#This Row],[Total]]+SamplingData[[#This Row],[Winning Candidate]]-SamplingData[[#This Row],[Candidate 3]])/(SamplingData[[#Totals],[Winning Candidate]]-SamplingData[[#Totals],[Candidate 3]]), 0)</f>
        <v>3.5487305223086104E-4</v>
      </c>
      <c r="M1183" s="100">
        <f>IF(AND(SamplingData[[#This Row],[Total]]&lt;&gt; 0, NOT(ISBLANK(SamplingData[[#This Row],[Candidate 4]]))),(SamplingData[[#This Row],[Total]]+SamplingData[[#This Row],[Winning Candidate]]-SamplingData[[#This Row],[Candidate 4]])/(SamplingData[[#Totals],[Winning Candidate]]-SamplingData[[#Totals],[Candidate 4]]), 0)</f>
        <v>3.2155280774065302E-4</v>
      </c>
      <c r="N1183" s="100">
        <f>IF(AND(SamplingData[[#This Row],[Total]]&lt;&gt; 0, NOT(ISBLANK(SamplingData[[#This Row],[Candidate 5]]))),(SamplingData[[#This Row],[Total]]+SamplingData[[#This Row],[Winning Candidate]]-SamplingData[[#This Row],[Candidate 5]])/(SamplingData[[#Totals],[Winning Candidate]]-SamplingData[[#Totals],[Candidate 5]]), 0)</f>
        <v>3.1622476283142789E-4</v>
      </c>
      <c r="O1183" s="100">
        <f>IF(AND(SamplingData[[#This Row],[Total]]&lt;&gt; 0, NOT(ISBLANK(SamplingData[[#This Row],[Candidate 6]]))),(SamplingData[[#This Row],[Total]]+SamplingData[[#This Row],[Winning Candidate]]-SamplingData[[#This Row],[Candidate 6]])/(SamplingData[[#Totals],[Winning Candidate]]-SamplingData[[#Totals],[Candidate 6]]), 0)</f>
        <v>2.9181460045717622E-4</v>
      </c>
      <c r="P1183" s="100">
        <f>MAX(SamplingData[[#This Row],[Error Bound (up) - Max. possible relative overstatement - Losing Candidate]:[Error Bound (up) - Max. possible relative overstatement - Candidate 6]])</f>
        <v>5.5120039196472322E-4</v>
      </c>
      <c r="Q1183" s="100">
        <f>IF(SamplingData[[#This Row],[Max Error Bound (up)]] = 0,0,SamplingData[[#This Row],[Max Error Bound (up)]]/SamplingData[[#Totals],[Max Error Bound (up)]])</f>
        <v>8.7236534506012492E-5</v>
      </c>
      <c r="R1183" s="101">
        <f>SUM($Q$5:Q1183)</f>
        <v>0.31019184196124155</v>
      </c>
      <c r="S1183" s="100" t="str">
        <f t="array" ref="S1183">IF(SamplingData[[#This Row],[up/U Selection Probability]] = 0, "Zero", TEXT(SamplingData[[#This Row],[Lower Range]], REPT("0",LEN('General Info'!$B$40))) &amp; " - " &amp; TEXT(SamplingData[[#This Row],[Upper Range]], REPT("0",LEN('General Info'!$B$40))))</f>
        <v>31010 - 31018</v>
      </c>
      <c r="T1183" s="100">
        <f>SamplingData[[#This Row],[Upper Range]]-SamplingData[[#This Row],[Span]]</f>
        <v>31010.460629910089</v>
      </c>
      <c r="U1183" s="100">
        <f>IF(ISNUMBER('General Info'!$B$40), ((SamplingData[[#This Row],[up/U Selection Probability]]) * 'General Info'!$B$40) - 1, 0)</f>
        <v>7.7235662140667429</v>
      </c>
      <c r="V1183" s="100">
        <f>IF(ISNUMBER('General Info'!$B$40), (SamplingData[[#This Row],[Running (cumulative) sum]] * ('General Info'!$B$40 -'General Info'!$B$41 + 1)) + 'General Info'!$B$41 - 1, 0)</f>
        <v>31018.184196124155</v>
      </c>
      <c r="W1183" s="100" t="str">
        <f>IF(ISERROR(MATCH(SamplingData[[#This Row],[Batch by Type (p)]],SelectedPrecincts[Batch Name], 0)), "", INDEX(SelectedPrecincts[Draw], MATCH(SamplingData[[#This Row],[Batch by Type (p)]],SelectedPrecincts[Batch Name], 0)))</f>
        <v/>
      </c>
      <c r="X1183" s="102">
        <f>IF(COUNTIF(SelectedPrecincts[Batch Name],SamplingData[[#This Row],[Batch by Type (p)]]) &lt;&gt; 0, COUNTIF(SelectedPrecincts[Batch Name],SamplingData[[#This Row],[Batch by Type (p)]]), 0)</f>
        <v>0</v>
      </c>
    </row>
    <row r="1184" spans="1:24" ht="15" customHeight="1">
      <c r="A1184" s="18" t="s">
        <v>1360</v>
      </c>
      <c r="B1184" s="18">
        <v>1</v>
      </c>
      <c r="C1184" s="18">
        <v>0</v>
      </c>
      <c r="D1184" s="18">
        <v>0</v>
      </c>
      <c r="E1184" s="18">
        <v>1</v>
      </c>
      <c r="F1184" s="18">
        <v>0</v>
      </c>
      <c r="G1184" s="18">
        <v>0</v>
      </c>
      <c r="H1184" s="18">
        <v>0</v>
      </c>
      <c r="I1184" s="18">
        <v>0</v>
      </c>
      <c r="J1184" s="99">
        <f>SUM(SamplingData[[#This Row],[Losing Candidate]:[Under Votes]])</f>
        <v>2</v>
      </c>
      <c r="K118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184" s="100">
        <f>IF(AND(SamplingData[[#This Row],[Total]]&lt;&gt; 0, NOT(ISBLANK(SamplingData[[#This Row],[Candidate 3]]))),(SamplingData[[#This Row],[Total]]+SamplingData[[#This Row],[Winning Candidate]]-SamplingData[[#This Row],[Candidate 3]])/(SamplingData[[#Totals],[Winning Candidate]]-SamplingData[[#Totals],[Candidate 3]]), 0)</f>
        <v>6.4522373132883833E-5</v>
      </c>
      <c r="M1184" s="100">
        <f>IF(AND(SamplingData[[#This Row],[Total]]&lt;&gt; 0, NOT(ISBLANK(SamplingData[[#This Row],[Candidate 4]]))),(SamplingData[[#This Row],[Total]]+SamplingData[[#This Row],[Winning Candidate]]-SamplingData[[#This Row],[Candidate 4]])/(SamplingData[[#Totals],[Winning Candidate]]-SamplingData[[#Totals],[Candidate 4]]), 0)</f>
        <v>2.923207343096846E-5</v>
      </c>
      <c r="N1184" s="100">
        <f>IF(AND(SamplingData[[#This Row],[Total]]&lt;&gt; 0, NOT(ISBLANK(SamplingData[[#This Row],[Candidate 5]]))),(SamplingData[[#This Row],[Total]]+SamplingData[[#This Row],[Winning Candidate]]-SamplingData[[#This Row],[Candidate 5]])/(SamplingData[[#Totals],[Winning Candidate]]-SamplingData[[#Totals],[Candidate 5]]), 0)</f>
        <v>4.8649963512527367E-5</v>
      </c>
      <c r="O1184" s="100">
        <f>IF(AND(SamplingData[[#This Row],[Total]]&lt;&gt; 0, NOT(ISBLANK(SamplingData[[#This Row],[Candidate 6]]))),(SamplingData[[#This Row],[Total]]+SamplingData[[#This Row],[Winning Candidate]]-SamplingData[[#This Row],[Candidate 6]])/(SamplingData[[#Totals],[Winning Candidate]]-SamplingData[[#Totals],[Candidate 6]]), 0)</f>
        <v>4.8635766742862701E-5</v>
      </c>
      <c r="P1184" s="100">
        <f>MAX(SamplingData[[#This Row],[Error Bound (up) - Max. possible relative overstatement - Losing Candidate]:[Error Bound (up) - Max. possible relative overstatement - Candidate 6]])</f>
        <v>6.4522373132883833E-5</v>
      </c>
      <c r="Q1184" s="100">
        <f>IF(SamplingData[[#This Row],[Max Error Bound (up)]] = 0,0,SamplingData[[#This Row],[Max Error Bound (up)]]/SamplingData[[#Totals],[Max Error Bound (up)]])</f>
        <v>1.0211727553664133E-5</v>
      </c>
      <c r="R1184" s="101">
        <f>SUM($Q$5:Q1184)</f>
        <v>0.31020205368879522</v>
      </c>
      <c r="S1184" s="100" t="str">
        <f t="array" ref="S1184">IF(SamplingData[[#This Row],[up/U Selection Probability]] = 0, "Zero", TEXT(SamplingData[[#This Row],[Lower Range]], REPT("0",LEN('General Info'!$B$40))) &amp; " - " &amp; TEXT(SamplingData[[#This Row],[Upper Range]], REPT("0",LEN('General Info'!$B$40))))</f>
        <v>31019 - 31019</v>
      </c>
      <c r="T1184" s="100">
        <f>SamplingData[[#This Row],[Upper Range]]-SamplingData[[#This Row],[Span]]</f>
        <v>31019.184206335882</v>
      </c>
      <c r="U1184" s="100">
        <f>IF(ISNUMBER('General Info'!$B$40), ((SamplingData[[#This Row],[up/U Selection Probability]]) * 'General Info'!$B$40) - 1, 0)</f>
        <v>2.116254363885961E-2</v>
      </c>
      <c r="V1184" s="100">
        <f>IF(ISNUMBER('General Info'!$B$40), (SamplingData[[#This Row],[Running (cumulative) sum]] * ('General Info'!$B$40 -'General Info'!$B$41 + 1)) + 'General Info'!$B$41 - 1, 0)</f>
        <v>31019.20536887952</v>
      </c>
      <c r="W1184" s="100" t="str">
        <f>IF(ISERROR(MATCH(SamplingData[[#This Row],[Batch by Type (p)]],SelectedPrecincts[Batch Name], 0)), "", INDEX(SelectedPrecincts[Draw], MATCH(SamplingData[[#This Row],[Batch by Type (p)]],SelectedPrecincts[Batch Name], 0)))</f>
        <v/>
      </c>
      <c r="X1184" s="102">
        <f>IF(COUNTIF(SelectedPrecincts[Batch Name],SamplingData[[#This Row],[Batch by Type (p)]]) &lt;&gt; 0, COUNTIF(SelectedPrecincts[Batch Name],SamplingData[[#This Row],[Batch by Type (p)]]), 0)</f>
        <v>0</v>
      </c>
    </row>
    <row r="1185" spans="1:24" ht="15" customHeight="1">
      <c r="A1185" s="18" t="s">
        <v>1361</v>
      </c>
      <c r="B1185" s="18">
        <v>0</v>
      </c>
      <c r="C1185" s="18">
        <v>2</v>
      </c>
      <c r="D1185" s="16">
        <v>0</v>
      </c>
      <c r="E1185" s="16">
        <v>0</v>
      </c>
      <c r="F1185" s="37">
        <v>0</v>
      </c>
      <c r="G1185" s="37">
        <v>0</v>
      </c>
      <c r="H1185" s="17">
        <v>0</v>
      </c>
      <c r="I1185" s="17">
        <v>0</v>
      </c>
      <c r="J1185" s="99">
        <f>SUM(SamplingData[[#This Row],[Losing Candidate]:[Under Votes]])</f>
        <v>2</v>
      </c>
      <c r="K1185"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185" s="100">
        <f>IF(AND(SamplingData[[#This Row],[Total]]&lt;&gt; 0, NOT(ISBLANK(SamplingData[[#This Row],[Candidate 3]]))),(SamplingData[[#This Row],[Total]]+SamplingData[[#This Row],[Winning Candidate]]-SamplingData[[#This Row],[Candidate 3]])/(SamplingData[[#Totals],[Winning Candidate]]-SamplingData[[#Totals],[Candidate 3]]), 0)</f>
        <v>1.2904474626576767E-4</v>
      </c>
      <c r="M1185" s="100">
        <f>IF(AND(SamplingData[[#This Row],[Total]]&lt;&gt; 0, NOT(ISBLANK(SamplingData[[#This Row],[Candidate 4]]))),(SamplingData[[#This Row],[Total]]+SamplingData[[#This Row],[Winning Candidate]]-SamplingData[[#This Row],[Candidate 4]])/(SamplingData[[#Totals],[Winning Candidate]]-SamplingData[[#Totals],[Candidate 4]]), 0)</f>
        <v>1.1692829372387384E-4</v>
      </c>
      <c r="N1185" s="100">
        <f>IF(AND(SamplingData[[#This Row],[Total]]&lt;&gt; 0, NOT(ISBLANK(SamplingData[[#This Row],[Candidate 5]]))),(SamplingData[[#This Row],[Total]]+SamplingData[[#This Row],[Winning Candidate]]-SamplingData[[#This Row],[Candidate 5]])/(SamplingData[[#Totals],[Winning Candidate]]-SamplingData[[#Totals],[Candidate 5]]), 0)</f>
        <v>9.7299927025054734E-5</v>
      </c>
      <c r="O1185" s="100">
        <f>IF(AND(SamplingData[[#This Row],[Total]]&lt;&gt; 0, NOT(ISBLANK(SamplingData[[#This Row],[Candidate 6]]))),(SamplingData[[#This Row],[Total]]+SamplingData[[#This Row],[Winning Candidate]]-SamplingData[[#This Row],[Candidate 6]])/(SamplingData[[#Totals],[Winning Candidate]]-SamplingData[[#Totals],[Candidate 6]]), 0)</f>
        <v>9.7271533485725401E-5</v>
      </c>
      <c r="P1185" s="100">
        <f>MAX(SamplingData[[#This Row],[Error Bound (up) - Max. possible relative overstatement - Losing Candidate]:[Error Bound (up) - Max. possible relative overstatement - Candidate 6]])</f>
        <v>2.4497795198432141E-4</v>
      </c>
      <c r="Q1185" s="100">
        <f>IF(SamplingData[[#This Row],[Max Error Bound (up)]] = 0,0,SamplingData[[#This Row],[Max Error Bound (up)]]/SamplingData[[#Totals],[Max Error Bound (up)]])</f>
        <v>3.8771793113783326E-5</v>
      </c>
      <c r="R1185" s="101">
        <f>SUM($Q$5:Q1185)</f>
        <v>0.31024082548190901</v>
      </c>
      <c r="S1185" s="100" t="str">
        <f t="array" ref="S1185">IF(SamplingData[[#This Row],[up/U Selection Probability]] = 0, "Zero", TEXT(SamplingData[[#This Row],[Lower Range]], REPT("0",LEN('General Info'!$B$40))) &amp; " - " &amp; TEXT(SamplingData[[#This Row],[Upper Range]], REPT("0",LEN('General Info'!$B$40))))</f>
        <v>31020 - 31023</v>
      </c>
      <c r="T1185" s="100">
        <f>SamplingData[[#This Row],[Upper Range]]-SamplingData[[#This Row],[Span]]</f>
        <v>31020.205407651316</v>
      </c>
      <c r="U1185" s="100">
        <f>IF(ISNUMBER('General Info'!$B$40), ((SamplingData[[#This Row],[up/U Selection Probability]]) * 'General Info'!$B$40) - 1, 0)</f>
        <v>2.877140539585219</v>
      </c>
      <c r="V1185" s="100">
        <f>IF(ISNUMBER('General Info'!$B$40), (SamplingData[[#This Row],[Running (cumulative) sum]] * ('General Info'!$B$40 -'General Info'!$B$41 + 1)) + 'General Info'!$B$41 - 1, 0)</f>
        <v>31023.082548190901</v>
      </c>
      <c r="W1185" s="100" t="str">
        <f>IF(ISERROR(MATCH(SamplingData[[#This Row],[Batch by Type (p)]],SelectedPrecincts[Batch Name], 0)), "", INDEX(SelectedPrecincts[Draw], MATCH(SamplingData[[#This Row],[Batch by Type (p)]],SelectedPrecincts[Batch Name], 0)))</f>
        <v/>
      </c>
      <c r="X1185" s="102">
        <f>IF(COUNTIF(SelectedPrecincts[Batch Name],SamplingData[[#This Row],[Batch by Type (p)]]) &lt;&gt; 0, COUNTIF(SelectedPrecincts[Batch Name],SamplingData[[#This Row],[Batch by Type (p)]]), 0)</f>
        <v>0</v>
      </c>
    </row>
    <row r="1186" spans="1:24" ht="15" customHeight="1">
      <c r="A1186" s="18" t="s">
        <v>1362</v>
      </c>
      <c r="B1186" s="18">
        <v>0</v>
      </c>
      <c r="C1186" s="18">
        <v>0</v>
      </c>
      <c r="D1186" s="18">
        <v>0</v>
      </c>
      <c r="E1186" s="18">
        <v>0</v>
      </c>
      <c r="F1186" s="18">
        <v>0</v>
      </c>
      <c r="G1186" s="18">
        <v>0</v>
      </c>
      <c r="H1186" s="18">
        <v>0</v>
      </c>
      <c r="I1186" s="18">
        <v>0</v>
      </c>
      <c r="J1186" s="99">
        <f>SUM(SamplingData[[#This Row],[Losing Candidate]:[Under Votes]])</f>
        <v>0</v>
      </c>
      <c r="K1186" s="100">
        <f>IF(AND(SamplingData[[#This Row],[Total]]&lt;&gt; 0, NOT(ISBLANK(SamplingData[[#This Row],[Losing Candidate]]))),(SamplingData[[#This Row],[Total]]+SamplingData[[#This Row],[Winning Candidate]]-SamplingData[[#This Row],[Losing Candidate]])/(SamplingData[[#Totals],[Winning Candidate]]-SamplingData[[#Totals],[Losing Candidate]]), 0)</f>
        <v>0</v>
      </c>
      <c r="L1186" s="100">
        <f>IF(AND(SamplingData[[#This Row],[Total]]&lt;&gt; 0, NOT(ISBLANK(SamplingData[[#This Row],[Candidate 3]]))),(SamplingData[[#This Row],[Total]]+SamplingData[[#This Row],[Winning Candidate]]-SamplingData[[#This Row],[Candidate 3]])/(SamplingData[[#Totals],[Winning Candidate]]-SamplingData[[#Totals],[Candidate 3]]), 0)</f>
        <v>0</v>
      </c>
      <c r="M1186" s="100">
        <f>IF(AND(SamplingData[[#This Row],[Total]]&lt;&gt; 0, NOT(ISBLANK(SamplingData[[#This Row],[Candidate 4]]))),(SamplingData[[#This Row],[Total]]+SamplingData[[#This Row],[Winning Candidate]]-SamplingData[[#This Row],[Candidate 4]])/(SamplingData[[#Totals],[Winning Candidate]]-SamplingData[[#Totals],[Candidate 4]]), 0)</f>
        <v>0</v>
      </c>
      <c r="N1186" s="100">
        <f>IF(AND(SamplingData[[#This Row],[Total]]&lt;&gt; 0, NOT(ISBLANK(SamplingData[[#This Row],[Candidate 5]]))),(SamplingData[[#This Row],[Total]]+SamplingData[[#This Row],[Winning Candidate]]-SamplingData[[#This Row],[Candidate 5]])/(SamplingData[[#Totals],[Winning Candidate]]-SamplingData[[#Totals],[Candidate 5]]), 0)</f>
        <v>0</v>
      </c>
      <c r="O1186" s="100">
        <f>IF(AND(SamplingData[[#This Row],[Total]]&lt;&gt; 0, NOT(ISBLANK(SamplingData[[#This Row],[Candidate 6]]))),(SamplingData[[#This Row],[Total]]+SamplingData[[#This Row],[Winning Candidate]]-SamplingData[[#This Row],[Candidate 6]])/(SamplingData[[#Totals],[Winning Candidate]]-SamplingData[[#Totals],[Candidate 6]]), 0)</f>
        <v>0</v>
      </c>
      <c r="P1186" s="100">
        <f>MAX(SamplingData[[#This Row],[Error Bound (up) - Max. possible relative overstatement - Losing Candidate]:[Error Bound (up) - Max. possible relative overstatement - Candidate 6]])</f>
        <v>0</v>
      </c>
      <c r="Q1186" s="100">
        <f>IF(SamplingData[[#This Row],[Max Error Bound (up)]] = 0,0,SamplingData[[#This Row],[Max Error Bound (up)]]/SamplingData[[#Totals],[Max Error Bound (up)]])</f>
        <v>0</v>
      </c>
      <c r="R1186" s="101">
        <f>SUM($Q$5:Q1186)</f>
        <v>0.31024082548190901</v>
      </c>
      <c r="S1186" s="100" t="str">
        <f t="array" ref="S1186">IF(SamplingData[[#This Row],[up/U Selection Probability]] = 0, "Zero", TEXT(SamplingData[[#This Row],[Lower Range]], REPT("0",LEN('General Info'!$B$40))) &amp; " - " &amp; TEXT(SamplingData[[#This Row],[Upper Range]], REPT("0",LEN('General Info'!$B$40))))</f>
        <v>Zero</v>
      </c>
      <c r="T1186" s="100">
        <f>SamplingData[[#This Row],[Upper Range]]-SamplingData[[#This Row],[Span]]</f>
        <v>31024.082548190901</v>
      </c>
      <c r="U1186" s="100">
        <f>IF(ISNUMBER('General Info'!$B$40), ((SamplingData[[#This Row],[up/U Selection Probability]]) * 'General Info'!$B$40) - 1, 0)</f>
        <v>-1</v>
      </c>
      <c r="V1186" s="100">
        <f>IF(ISNUMBER('General Info'!$B$40), (SamplingData[[#This Row],[Running (cumulative) sum]] * ('General Info'!$B$40 -'General Info'!$B$41 + 1)) + 'General Info'!$B$41 - 1, 0)</f>
        <v>31023.082548190901</v>
      </c>
      <c r="W1186" s="100" t="str">
        <f>IF(ISERROR(MATCH(SamplingData[[#This Row],[Batch by Type (p)]],SelectedPrecincts[Batch Name], 0)), "", INDEX(SelectedPrecincts[Draw], MATCH(SamplingData[[#This Row],[Batch by Type (p)]],SelectedPrecincts[Batch Name], 0)))</f>
        <v/>
      </c>
      <c r="X1186" s="102">
        <f>IF(COUNTIF(SelectedPrecincts[Batch Name],SamplingData[[#This Row],[Batch by Type (p)]]) &lt;&gt; 0, COUNTIF(SelectedPrecincts[Batch Name],SamplingData[[#This Row],[Batch by Type (p)]]), 0)</f>
        <v>0</v>
      </c>
    </row>
    <row r="1187" spans="1:24" ht="15" customHeight="1">
      <c r="A1187" s="18" t="s">
        <v>1363</v>
      </c>
      <c r="B1187" s="18">
        <v>0</v>
      </c>
      <c r="C1187" s="18">
        <v>2</v>
      </c>
      <c r="D1187" s="16">
        <v>0</v>
      </c>
      <c r="E1187" s="16">
        <v>0</v>
      </c>
      <c r="F1187" s="37">
        <v>0</v>
      </c>
      <c r="G1187" s="37">
        <v>0</v>
      </c>
      <c r="H1187" s="17">
        <v>0</v>
      </c>
      <c r="I1187" s="17">
        <v>0</v>
      </c>
      <c r="J1187" s="99">
        <f>SUM(SamplingData[[#This Row],[Losing Candidate]:[Under Votes]])</f>
        <v>2</v>
      </c>
      <c r="K1187"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187" s="100">
        <f>IF(AND(SamplingData[[#This Row],[Total]]&lt;&gt; 0, NOT(ISBLANK(SamplingData[[#This Row],[Candidate 3]]))),(SamplingData[[#This Row],[Total]]+SamplingData[[#This Row],[Winning Candidate]]-SamplingData[[#This Row],[Candidate 3]])/(SamplingData[[#Totals],[Winning Candidate]]-SamplingData[[#Totals],[Candidate 3]]), 0)</f>
        <v>1.2904474626576767E-4</v>
      </c>
      <c r="M1187" s="100">
        <f>IF(AND(SamplingData[[#This Row],[Total]]&lt;&gt; 0, NOT(ISBLANK(SamplingData[[#This Row],[Candidate 4]]))),(SamplingData[[#This Row],[Total]]+SamplingData[[#This Row],[Winning Candidate]]-SamplingData[[#This Row],[Candidate 4]])/(SamplingData[[#Totals],[Winning Candidate]]-SamplingData[[#Totals],[Candidate 4]]), 0)</f>
        <v>1.1692829372387384E-4</v>
      </c>
      <c r="N1187" s="100">
        <f>IF(AND(SamplingData[[#This Row],[Total]]&lt;&gt; 0, NOT(ISBLANK(SamplingData[[#This Row],[Candidate 5]]))),(SamplingData[[#This Row],[Total]]+SamplingData[[#This Row],[Winning Candidate]]-SamplingData[[#This Row],[Candidate 5]])/(SamplingData[[#Totals],[Winning Candidate]]-SamplingData[[#Totals],[Candidate 5]]), 0)</f>
        <v>9.7299927025054734E-5</v>
      </c>
      <c r="O1187" s="100">
        <f>IF(AND(SamplingData[[#This Row],[Total]]&lt;&gt; 0, NOT(ISBLANK(SamplingData[[#This Row],[Candidate 6]]))),(SamplingData[[#This Row],[Total]]+SamplingData[[#This Row],[Winning Candidate]]-SamplingData[[#This Row],[Candidate 6]])/(SamplingData[[#Totals],[Winning Candidate]]-SamplingData[[#Totals],[Candidate 6]]), 0)</f>
        <v>9.7271533485725401E-5</v>
      </c>
      <c r="P1187" s="100">
        <f>MAX(SamplingData[[#This Row],[Error Bound (up) - Max. possible relative overstatement - Losing Candidate]:[Error Bound (up) - Max. possible relative overstatement - Candidate 6]])</f>
        <v>2.4497795198432141E-4</v>
      </c>
      <c r="Q1187" s="100">
        <f>IF(SamplingData[[#This Row],[Max Error Bound (up)]] = 0,0,SamplingData[[#This Row],[Max Error Bound (up)]]/SamplingData[[#Totals],[Max Error Bound (up)]])</f>
        <v>3.8771793113783326E-5</v>
      </c>
      <c r="R1187" s="101">
        <f>SUM($Q$5:Q1187)</f>
        <v>0.3102795972750228</v>
      </c>
      <c r="S1187" s="100" t="str">
        <f t="array" ref="S1187">IF(SamplingData[[#This Row],[up/U Selection Probability]] = 0, "Zero", TEXT(SamplingData[[#This Row],[Lower Range]], REPT("0",LEN('General Info'!$B$40))) &amp; " - " &amp; TEXT(SamplingData[[#This Row],[Upper Range]], REPT("0",LEN('General Info'!$B$40))))</f>
        <v>31024 - 31027</v>
      </c>
      <c r="T1187" s="100">
        <f>SamplingData[[#This Row],[Upper Range]]-SamplingData[[#This Row],[Span]]</f>
        <v>31024.082586962693</v>
      </c>
      <c r="U1187" s="100">
        <f>IF(ISNUMBER('General Info'!$B$40), ((SamplingData[[#This Row],[up/U Selection Probability]]) * 'General Info'!$B$40) - 1, 0)</f>
        <v>2.877140539585219</v>
      </c>
      <c r="V1187" s="100">
        <f>IF(ISNUMBER('General Info'!$B$40), (SamplingData[[#This Row],[Running (cumulative) sum]] * ('General Info'!$B$40 -'General Info'!$B$41 + 1)) + 'General Info'!$B$41 - 1, 0)</f>
        <v>31026.959727502279</v>
      </c>
      <c r="W1187" s="100" t="str">
        <f>IF(ISERROR(MATCH(SamplingData[[#This Row],[Batch by Type (p)]],SelectedPrecincts[Batch Name], 0)), "", INDEX(SelectedPrecincts[Draw], MATCH(SamplingData[[#This Row],[Batch by Type (p)]],SelectedPrecincts[Batch Name], 0)))</f>
        <v/>
      </c>
      <c r="X1187" s="102">
        <f>IF(COUNTIF(SelectedPrecincts[Batch Name],SamplingData[[#This Row],[Batch by Type (p)]]) &lt;&gt; 0, COUNTIF(SelectedPrecincts[Batch Name],SamplingData[[#This Row],[Batch by Type (p)]]), 0)</f>
        <v>0</v>
      </c>
    </row>
    <row r="1188" spans="1:24" ht="15" customHeight="1">
      <c r="A1188" s="18" t="s">
        <v>1364</v>
      </c>
      <c r="B1188" s="18">
        <v>2</v>
      </c>
      <c r="C1188" s="18">
        <v>0</v>
      </c>
      <c r="D1188" s="18">
        <v>1</v>
      </c>
      <c r="E1188" s="18">
        <v>0</v>
      </c>
      <c r="F1188" s="18">
        <v>0</v>
      </c>
      <c r="G1188" s="18">
        <v>0</v>
      </c>
      <c r="H1188" s="18">
        <v>0</v>
      </c>
      <c r="I1188" s="18">
        <v>0</v>
      </c>
      <c r="J1188" s="99">
        <f>SUM(SamplingData[[#This Row],[Losing Candidate]:[Under Votes]])</f>
        <v>3</v>
      </c>
      <c r="K118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188" s="100">
        <f>IF(AND(SamplingData[[#This Row],[Total]]&lt;&gt; 0, NOT(ISBLANK(SamplingData[[#This Row],[Candidate 3]]))),(SamplingData[[#This Row],[Total]]+SamplingData[[#This Row],[Winning Candidate]]-SamplingData[[#This Row],[Candidate 3]])/(SamplingData[[#Totals],[Winning Candidate]]-SamplingData[[#Totals],[Candidate 3]]), 0)</f>
        <v>6.4522373132883833E-5</v>
      </c>
      <c r="M1188" s="100">
        <f>IF(AND(SamplingData[[#This Row],[Total]]&lt;&gt; 0, NOT(ISBLANK(SamplingData[[#This Row],[Candidate 4]]))),(SamplingData[[#This Row],[Total]]+SamplingData[[#This Row],[Winning Candidate]]-SamplingData[[#This Row],[Candidate 4]])/(SamplingData[[#Totals],[Winning Candidate]]-SamplingData[[#Totals],[Candidate 4]]), 0)</f>
        <v>8.7696220292905373E-5</v>
      </c>
      <c r="N1188" s="100">
        <f>IF(AND(SamplingData[[#This Row],[Total]]&lt;&gt; 0, NOT(ISBLANK(SamplingData[[#This Row],[Candidate 5]]))),(SamplingData[[#This Row],[Total]]+SamplingData[[#This Row],[Winning Candidate]]-SamplingData[[#This Row],[Candidate 5]])/(SamplingData[[#Totals],[Winning Candidate]]-SamplingData[[#Totals],[Candidate 5]]), 0)</f>
        <v>7.2974945268791054E-5</v>
      </c>
      <c r="O1188" s="100">
        <f>IF(AND(SamplingData[[#This Row],[Total]]&lt;&gt; 0, NOT(ISBLANK(SamplingData[[#This Row],[Candidate 6]]))),(SamplingData[[#This Row],[Total]]+SamplingData[[#This Row],[Winning Candidate]]-SamplingData[[#This Row],[Candidate 6]])/(SamplingData[[#Totals],[Winning Candidate]]-SamplingData[[#Totals],[Candidate 6]]), 0)</f>
        <v>7.2953650114294054E-5</v>
      </c>
      <c r="P1188" s="100">
        <f>MAX(SamplingData[[#This Row],[Error Bound (up) - Max. possible relative overstatement - Losing Candidate]:[Error Bound (up) - Max. possible relative overstatement - Candidate 6]])</f>
        <v>8.7696220292905373E-5</v>
      </c>
      <c r="Q1188" s="100">
        <f>IF(SamplingData[[#This Row],[Max Error Bound (up)]] = 0,0,SamplingData[[#This Row],[Max Error Bound (up)]]/SamplingData[[#Totals],[Max Error Bound (up)]])</f>
        <v>1.3879370296453875E-5</v>
      </c>
      <c r="R1188" s="101">
        <f>SUM($Q$5:Q1188)</f>
        <v>0.31029347664531925</v>
      </c>
      <c r="S1188" s="100" t="str">
        <f t="array" ref="S1188">IF(SamplingData[[#This Row],[up/U Selection Probability]] = 0, "Zero", TEXT(SamplingData[[#This Row],[Lower Range]], REPT("0",LEN('General Info'!$B$40))) &amp; " - " &amp; TEXT(SamplingData[[#This Row],[Upper Range]], REPT("0",LEN('General Info'!$B$40))))</f>
        <v>31028 - 31028</v>
      </c>
      <c r="T1188" s="100">
        <f>SamplingData[[#This Row],[Upper Range]]-SamplingData[[#This Row],[Span]]</f>
        <v>31027.959741381648</v>
      </c>
      <c r="U1188" s="100">
        <f>IF(ISNUMBER('General Info'!$B$40), ((SamplingData[[#This Row],[up/U Selection Probability]]) * 'General Info'!$B$40) - 1, 0)</f>
        <v>0.38792315027509106</v>
      </c>
      <c r="V1188" s="100">
        <f>IF(ISNUMBER('General Info'!$B$40), (SamplingData[[#This Row],[Running (cumulative) sum]] * ('General Info'!$B$40 -'General Info'!$B$41 + 1)) + 'General Info'!$B$41 - 1, 0)</f>
        <v>31028.347664531924</v>
      </c>
      <c r="W1188" s="100" t="str">
        <f>IF(ISERROR(MATCH(SamplingData[[#This Row],[Batch by Type (p)]],SelectedPrecincts[Batch Name], 0)), "", INDEX(SelectedPrecincts[Draw], MATCH(SamplingData[[#This Row],[Batch by Type (p)]],SelectedPrecincts[Batch Name], 0)))</f>
        <v/>
      </c>
      <c r="X1188" s="102">
        <f>IF(COUNTIF(SelectedPrecincts[Batch Name],SamplingData[[#This Row],[Batch by Type (p)]]) &lt;&gt; 0, COUNTIF(SelectedPrecincts[Batch Name],SamplingData[[#This Row],[Batch by Type (p)]]), 0)</f>
        <v>0</v>
      </c>
    </row>
    <row r="1189" spans="1:24" ht="15" customHeight="1">
      <c r="A1189" s="18" t="s">
        <v>1365</v>
      </c>
      <c r="B1189" s="18">
        <v>0</v>
      </c>
      <c r="C1189" s="18">
        <v>0</v>
      </c>
      <c r="D1189" s="16">
        <v>0</v>
      </c>
      <c r="E1189" s="16">
        <v>1</v>
      </c>
      <c r="F1189" s="37">
        <v>0</v>
      </c>
      <c r="G1189" s="37">
        <v>0</v>
      </c>
      <c r="H1189" s="17">
        <v>0</v>
      </c>
      <c r="I1189" s="17">
        <v>0</v>
      </c>
      <c r="J1189" s="99">
        <f>SUM(SamplingData[[#This Row],[Losing Candidate]:[Under Votes]])</f>
        <v>1</v>
      </c>
      <c r="K1189"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189" s="100">
        <f>IF(AND(SamplingData[[#This Row],[Total]]&lt;&gt; 0, NOT(ISBLANK(SamplingData[[#This Row],[Candidate 3]]))),(SamplingData[[#This Row],[Total]]+SamplingData[[#This Row],[Winning Candidate]]-SamplingData[[#This Row],[Candidate 3]])/(SamplingData[[#Totals],[Winning Candidate]]-SamplingData[[#Totals],[Candidate 3]]), 0)</f>
        <v>3.2261186566441917E-5</v>
      </c>
      <c r="M1189" s="100">
        <f>IF(AND(SamplingData[[#This Row],[Total]]&lt;&gt; 0, NOT(ISBLANK(SamplingData[[#This Row],[Candidate 4]]))),(SamplingData[[#This Row],[Total]]+SamplingData[[#This Row],[Winning Candidate]]-SamplingData[[#This Row],[Candidate 4]])/(SamplingData[[#Totals],[Winning Candidate]]-SamplingData[[#Totals],[Candidate 4]]), 0)</f>
        <v>0</v>
      </c>
      <c r="N1189" s="100">
        <f>IF(AND(SamplingData[[#This Row],[Total]]&lt;&gt; 0, NOT(ISBLANK(SamplingData[[#This Row],[Candidate 5]]))),(SamplingData[[#This Row],[Total]]+SamplingData[[#This Row],[Winning Candidate]]-SamplingData[[#This Row],[Candidate 5]])/(SamplingData[[#Totals],[Winning Candidate]]-SamplingData[[#Totals],[Candidate 5]]), 0)</f>
        <v>2.4324981756263683E-5</v>
      </c>
      <c r="O1189" s="100">
        <f>IF(AND(SamplingData[[#This Row],[Total]]&lt;&gt; 0, NOT(ISBLANK(SamplingData[[#This Row],[Candidate 6]]))),(SamplingData[[#This Row],[Total]]+SamplingData[[#This Row],[Winning Candidate]]-SamplingData[[#This Row],[Candidate 6]])/(SamplingData[[#Totals],[Winning Candidate]]-SamplingData[[#Totals],[Candidate 6]]), 0)</f>
        <v>2.431788337143135E-5</v>
      </c>
      <c r="P1189" s="100">
        <f>MAX(SamplingData[[#This Row],[Error Bound (up) - Max. possible relative overstatement - Losing Candidate]:[Error Bound (up) - Max. possible relative overstatement - Candidate 6]])</f>
        <v>6.1244487996080352E-5</v>
      </c>
      <c r="Q1189" s="100">
        <f>IF(SamplingData[[#This Row],[Max Error Bound (up)]] = 0,0,SamplingData[[#This Row],[Max Error Bound (up)]]/SamplingData[[#Totals],[Max Error Bound (up)]])</f>
        <v>9.6929482784458315E-6</v>
      </c>
      <c r="R1189" s="101">
        <f>SUM($Q$5:Q1189)</f>
        <v>0.31030316959359772</v>
      </c>
      <c r="S1189" s="100" t="str">
        <f t="array" ref="S1189">IF(SamplingData[[#This Row],[up/U Selection Probability]] = 0, "Zero", TEXT(SamplingData[[#This Row],[Lower Range]], REPT("0",LEN('General Info'!$B$40))) &amp; " - " &amp; TEXT(SamplingData[[#This Row],[Upper Range]], REPT("0",LEN('General Info'!$B$40))))</f>
        <v>31029 - 31029</v>
      </c>
      <c r="T1189" s="100">
        <f>SamplingData[[#This Row],[Upper Range]]-SamplingData[[#This Row],[Span]]</f>
        <v>31029.347674224875</v>
      </c>
      <c r="U1189" s="100">
        <f>IF(ISNUMBER('General Info'!$B$40), ((SamplingData[[#This Row],[up/U Selection Probability]]) * 'General Info'!$B$40) - 1, 0)</f>
        <v>-3.0714865103695255E-2</v>
      </c>
      <c r="V1189" s="100">
        <f>IF(ISNUMBER('General Info'!$B$40), (SamplingData[[#This Row],[Running (cumulative) sum]] * ('General Info'!$B$40 -'General Info'!$B$41 + 1)) + 'General Info'!$B$41 - 1, 0)</f>
        <v>31029.31695935977</v>
      </c>
      <c r="W1189" s="100" t="str">
        <f>IF(ISERROR(MATCH(SamplingData[[#This Row],[Batch by Type (p)]],SelectedPrecincts[Batch Name], 0)), "", INDEX(SelectedPrecincts[Draw], MATCH(SamplingData[[#This Row],[Batch by Type (p)]],SelectedPrecincts[Batch Name], 0)))</f>
        <v/>
      </c>
      <c r="X1189" s="102">
        <f>IF(COUNTIF(SelectedPrecincts[Batch Name],SamplingData[[#This Row],[Batch by Type (p)]]) &lt;&gt; 0, COUNTIF(SelectedPrecincts[Batch Name],SamplingData[[#This Row],[Batch by Type (p)]]), 0)</f>
        <v>0</v>
      </c>
    </row>
    <row r="1190" spans="1:24" ht="15" customHeight="1">
      <c r="A1190" s="18" t="s">
        <v>1366</v>
      </c>
      <c r="B1190" s="18">
        <v>1</v>
      </c>
      <c r="C1190" s="18">
        <v>2</v>
      </c>
      <c r="D1190" s="18">
        <v>0</v>
      </c>
      <c r="E1190" s="18">
        <v>0</v>
      </c>
      <c r="F1190" s="18">
        <v>0</v>
      </c>
      <c r="G1190" s="18">
        <v>0</v>
      </c>
      <c r="H1190" s="18">
        <v>0</v>
      </c>
      <c r="I1190" s="18">
        <v>0</v>
      </c>
      <c r="J1190" s="99">
        <f>SUM(SamplingData[[#This Row],[Losing Candidate]:[Under Votes]])</f>
        <v>3</v>
      </c>
      <c r="K1190"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190" s="100">
        <f>IF(AND(SamplingData[[#This Row],[Total]]&lt;&gt; 0, NOT(ISBLANK(SamplingData[[#This Row],[Candidate 3]]))),(SamplingData[[#This Row],[Total]]+SamplingData[[#This Row],[Winning Candidate]]-SamplingData[[#This Row],[Candidate 3]])/(SamplingData[[#Totals],[Winning Candidate]]-SamplingData[[#Totals],[Candidate 3]]), 0)</f>
        <v>1.6130593283220958E-4</v>
      </c>
      <c r="M1190" s="100">
        <f>IF(AND(SamplingData[[#This Row],[Total]]&lt;&gt; 0, NOT(ISBLANK(SamplingData[[#This Row],[Candidate 4]]))),(SamplingData[[#This Row],[Total]]+SamplingData[[#This Row],[Winning Candidate]]-SamplingData[[#This Row],[Candidate 4]])/(SamplingData[[#Totals],[Winning Candidate]]-SamplingData[[#Totals],[Candidate 4]]), 0)</f>
        <v>1.4616036715484231E-4</v>
      </c>
      <c r="N1190" s="100">
        <f>IF(AND(SamplingData[[#This Row],[Total]]&lt;&gt; 0, NOT(ISBLANK(SamplingData[[#This Row],[Candidate 5]]))),(SamplingData[[#This Row],[Total]]+SamplingData[[#This Row],[Winning Candidate]]-SamplingData[[#This Row],[Candidate 5]])/(SamplingData[[#Totals],[Winning Candidate]]-SamplingData[[#Totals],[Candidate 5]]), 0)</f>
        <v>1.2162490878131841E-4</v>
      </c>
      <c r="O1190" s="100">
        <f>IF(AND(SamplingData[[#This Row],[Total]]&lt;&gt; 0, NOT(ISBLANK(SamplingData[[#This Row],[Candidate 6]]))),(SamplingData[[#This Row],[Total]]+SamplingData[[#This Row],[Winning Candidate]]-SamplingData[[#This Row],[Candidate 6]])/(SamplingData[[#Totals],[Winning Candidate]]-SamplingData[[#Totals],[Candidate 6]]), 0)</f>
        <v>1.2158941685715675E-4</v>
      </c>
      <c r="P1190" s="100">
        <f>MAX(SamplingData[[#This Row],[Error Bound (up) - Max. possible relative overstatement - Losing Candidate]:[Error Bound (up) - Max. possible relative overstatement - Candidate 6]])</f>
        <v>2.4497795198432141E-4</v>
      </c>
      <c r="Q1190" s="100">
        <f>IF(SamplingData[[#This Row],[Max Error Bound (up)]] = 0,0,SamplingData[[#This Row],[Max Error Bound (up)]]/SamplingData[[#Totals],[Max Error Bound (up)]])</f>
        <v>3.8771793113783326E-5</v>
      </c>
      <c r="R1190" s="101">
        <f>SUM($Q$5:Q1190)</f>
        <v>0.31034194138671151</v>
      </c>
      <c r="S1190" s="100" t="str">
        <f t="array" ref="S1190">IF(SamplingData[[#This Row],[up/U Selection Probability]] = 0, "Zero", TEXT(SamplingData[[#This Row],[Lower Range]], REPT("0",LEN('General Info'!$B$40))) &amp; " - " &amp; TEXT(SamplingData[[#This Row],[Upper Range]], REPT("0",LEN('General Info'!$B$40))))</f>
        <v>31030 - 31033</v>
      </c>
      <c r="T1190" s="100">
        <f>SamplingData[[#This Row],[Upper Range]]-SamplingData[[#This Row],[Span]]</f>
        <v>31030.316998131566</v>
      </c>
      <c r="U1190" s="100">
        <f>IF(ISNUMBER('General Info'!$B$40), ((SamplingData[[#This Row],[up/U Selection Probability]]) * 'General Info'!$B$40) - 1, 0)</f>
        <v>2.877140539585219</v>
      </c>
      <c r="V1190" s="100">
        <f>IF(ISNUMBER('General Info'!$B$40), (SamplingData[[#This Row],[Running (cumulative) sum]] * ('General Info'!$B$40 -'General Info'!$B$41 + 1)) + 'General Info'!$B$41 - 1, 0)</f>
        <v>31033.194138671151</v>
      </c>
      <c r="W1190" s="100" t="str">
        <f>IF(ISERROR(MATCH(SamplingData[[#This Row],[Batch by Type (p)]],SelectedPrecincts[Batch Name], 0)), "", INDEX(SelectedPrecincts[Draw], MATCH(SamplingData[[#This Row],[Batch by Type (p)]],SelectedPrecincts[Batch Name], 0)))</f>
        <v/>
      </c>
      <c r="X1190" s="102">
        <f>IF(COUNTIF(SelectedPrecincts[Batch Name],SamplingData[[#This Row],[Batch by Type (p)]]) &lt;&gt; 0, COUNTIF(SelectedPrecincts[Batch Name],SamplingData[[#This Row],[Batch by Type (p)]]), 0)</f>
        <v>0</v>
      </c>
    </row>
    <row r="1191" spans="1:24" ht="15" customHeight="1">
      <c r="A1191" s="18" t="s">
        <v>1367</v>
      </c>
      <c r="B1191" s="18">
        <v>17</v>
      </c>
      <c r="C1191" s="18">
        <v>10</v>
      </c>
      <c r="D1191" s="16">
        <v>8</v>
      </c>
      <c r="E1191" s="16">
        <v>4</v>
      </c>
      <c r="F1191" s="37">
        <v>0</v>
      </c>
      <c r="G1191" s="37">
        <v>0</v>
      </c>
      <c r="H1191" s="17">
        <v>0</v>
      </c>
      <c r="I1191" s="17">
        <v>1</v>
      </c>
      <c r="J1191" s="99">
        <f>SUM(SamplingData[[#This Row],[Losing Candidate]:[Under Votes]])</f>
        <v>40</v>
      </c>
      <c r="K1191" s="100">
        <f>IF(AND(SamplingData[[#This Row],[Total]]&lt;&gt; 0, NOT(ISBLANK(SamplingData[[#This Row],[Losing Candidate]]))),(SamplingData[[#This Row],[Total]]+SamplingData[[#This Row],[Winning Candidate]]-SamplingData[[#This Row],[Losing Candidate]])/(SamplingData[[#Totals],[Winning Candidate]]-SamplingData[[#Totals],[Losing Candidate]]), 0)</f>
        <v>2.0210681038706517E-3</v>
      </c>
      <c r="L1191" s="100">
        <f>IF(AND(SamplingData[[#This Row],[Total]]&lt;&gt; 0, NOT(ISBLANK(SamplingData[[#This Row],[Candidate 3]]))),(SamplingData[[#This Row],[Total]]+SamplingData[[#This Row],[Winning Candidate]]-SamplingData[[#This Row],[Candidate 3]])/(SamplingData[[#Totals],[Winning Candidate]]-SamplingData[[#Totals],[Candidate 3]]), 0)</f>
        <v>1.3549698357905604E-3</v>
      </c>
      <c r="M1191" s="100">
        <f>IF(AND(SamplingData[[#This Row],[Total]]&lt;&gt; 0, NOT(ISBLANK(SamplingData[[#This Row],[Candidate 4]]))),(SamplingData[[#This Row],[Total]]+SamplingData[[#This Row],[Winning Candidate]]-SamplingData[[#This Row],[Candidate 4]])/(SamplingData[[#Totals],[Winning Candidate]]-SamplingData[[#Totals],[Candidate 4]]), 0)</f>
        <v>1.344675377824549E-3</v>
      </c>
      <c r="N1191" s="100">
        <f>IF(AND(SamplingData[[#This Row],[Total]]&lt;&gt; 0, NOT(ISBLANK(SamplingData[[#This Row],[Candidate 5]]))),(SamplingData[[#This Row],[Total]]+SamplingData[[#This Row],[Winning Candidate]]-SamplingData[[#This Row],[Candidate 5]])/(SamplingData[[#Totals],[Winning Candidate]]-SamplingData[[#Totals],[Candidate 5]]), 0)</f>
        <v>1.2162490878131842E-3</v>
      </c>
      <c r="O1191" s="100">
        <f>IF(AND(SamplingData[[#This Row],[Total]]&lt;&gt; 0, NOT(ISBLANK(SamplingData[[#This Row],[Candidate 6]]))),(SamplingData[[#This Row],[Total]]+SamplingData[[#This Row],[Winning Candidate]]-SamplingData[[#This Row],[Candidate 6]])/(SamplingData[[#Totals],[Winning Candidate]]-SamplingData[[#Totals],[Candidate 6]]), 0)</f>
        <v>1.2158941685715674E-3</v>
      </c>
      <c r="P1191" s="100">
        <f>MAX(SamplingData[[#This Row],[Error Bound (up) - Max. possible relative overstatement - Losing Candidate]:[Error Bound (up) - Max. possible relative overstatement - Candidate 6]])</f>
        <v>2.0210681038706517E-3</v>
      </c>
      <c r="Q1191" s="100">
        <f>IF(SamplingData[[#This Row],[Max Error Bound (up)]] = 0,0,SamplingData[[#This Row],[Max Error Bound (up)]]/SamplingData[[#Totals],[Max Error Bound (up)]])</f>
        <v>3.1986729318871245E-4</v>
      </c>
      <c r="R1191" s="101">
        <f>SUM($Q$5:Q1191)</f>
        <v>0.31066180867990023</v>
      </c>
      <c r="S1191" s="100" t="str">
        <f t="array" ref="S1191">IF(SamplingData[[#This Row],[up/U Selection Probability]] = 0, "Zero", TEXT(SamplingData[[#This Row],[Lower Range]], REPT("0",LEN('General Info'!$B$40))) &amp; " - " &amp; TEXT(SamplingData[[#This Row],[Upper Range]], REPT("0",LEN('General Info'!$B$40))))</f>
        <v>31034 - 31065</v>
      </c>
      <c r="T1191" s="100">
        <f>SamplingData[[#This Row],[Upper Range]]-SamplingData[[#This Row],[Span]]</f>
        <v>31034.194458538444</v>
      </c>
      <c r="U1191" s="100">
        <f>IF(ISNUMBER('General Info'!$B$40), ((SamplingData[[#This Row],[up/U Selection Probability]]) * 'General Info'!$B$40) - 1, 0)</f>
        <v>30.986409451578055</v>
      </c>
      <c r="V1191" s="100">
        <f>IF(ISNUMBER('General Info'!$B$40), (SamplingData[[#This Row],[Running (cumulative) sum]] * ('General Info'!$B$40 -'General Info'!$B$41 + 1)) + 'General Info'!$B$41 - 1, 0)</f>
        <v>31065.180867990024</v>
      </c>
      <c r="W1191" s="100" t="str">
        <f>IF(ISERROR(MATCH(SamplingData[[#This Row],[Batch by Type (p)]],SelectedPrecincts[Batch Name], 0)), "", INDEX(SelectedPrecincts[Draw], MATCH(SamplingData[[#This Row],[Batch by Type (p)]],SelectedPrecincts[Batch Name], 0)))</f>
        <v/>
      </c>
      <c r="X1191" s="102">
        <f>IF(COUNTIF(SelectedPrecincts[Batch Name],SamplingData[[#This Row],[Batch by Type (p)]]) &lt;&gt; 0, COUNTIF(SelectedPrecincts[Batch Name],SamplingData[[#This Row],[Batch by Type (p)]]), 0)</f>
        <v>0</v>
      </c>
    </row>
    <row r="1192" spans="1:24" ht="15" customHeight="1">
      <c r="A1192" s="18" t="s">
        <v>1368</v>
      </c>
      <c r="B1192" s="18">
        <v>5</v>
      </c>
      <c r="C1192" s="18">
        <v>3</v>
      </c>
      <c r="D1192" s="18">
        <v>1</v>
      </c>
      <c r="E1192" s="18">
        <v>0</v>
      </c>
      <c r="F1192" s="18">
        <v>0</v>
      </c>
      <c r="G1192" s="18">
        <v>0</v>
      </c>
      <c r="H1192" s="18">
        <v>0</v>
      </c>
      <c r="I1192" s="18">
        <v>0</v>
      </c>
      <c r="J1192" s="99">
        <f>SUM(SamplingData[[#This Row],[Losing Candidate]:[Under Votes]])</f>
        <v>9</v>
      </c>
      <c r="K1192"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192" s="100">
        <f>IF(AND(SamplingData[[#This Row],[Total]]&lt;&gt; 0, NOT(ISBLANK(SamplingData[[#This Row],[Candidate 3]]))),(SamplingData[[#This Row],[Total]]+SamplingData[[#This Row],[Winning Candidate]]-SamplingData[[#This Row],[Candidate 3]])/(SamplingData[[#Totals],[Winning Candidate]]-SamplingData[[#Totals],[Candidate 3]]), 0)</f>
        <v>3.5487305223086104E-4</v>
      </c>
      <c r="M1192" s="100">
        <f>IF(AND(SamplingData[[#This Row],[Total]]&lt;&gt; 0, NOT(ISBLANK(SamplingData[[#This Row],[Candidate 4]]))),(SamplingData[[#This Row],[Total]]+SamplingData[[#This Row],[Winning Candidate]]-SamplingData[[#This Row],[Candidate 4]])/(SamplingData[[#Totals],[Winning Candidate]]-SamplingData[[#Totals],[Candidate 4]]), 0)</f>
        <v>3.5078488117162149E-4</v>
      </c>
      <c r="N1192" s="100">
        <f>IF(AND(SamplingData[[#This Row],[Total]]&lt;&gt; 0, NOT(ISBLANK(SamplingData[[#This Row],[Candidate 5]]))),(SamplingData[[#This Row],[Total]]+SamplingData[[#This Row],[Winning Candidate]]-SamplingData[[#This Row],[Candidate 5]])/(SamplingData[[#Totals],[Winning Candidate]]-SamplingData[[#Totals],[Candidate 5]]), 0)</f>
        <v>2.9189978107516421E-4</v>
      </c>
      <c r="O1192" s="100">
        <f>IF(AND(SamplingData[[#This Row],[Total]]&lt;&gt; 0, NOT(ISBLANK(SamplingData[[#This Row],[Candidate 6]]))),(SamplingData[[#This Row],[Total]]+SamplingData[[#This Row],[Winning Candidate]]-SamplingData[[#This Row],[Candidate 6]])/(SamplingData[[#Totals],[Winning Candidate]]-SamplingData[[#Totals],[Candidate 6]]), 0)</f>
        <v>2.9181460045717622E-4</v>
      </c>
      <c r="P1192" s="100">
        <f>MAX(SamplingData[[#This Row],[Error Bound (up) - Max. possible relative overstatement - Losing Candidate]:[Error Bound (up) - Max. possible relative overstatement - Candidate 6]])</f>
        <v>4.2871141597256246E-4</v>
      </c>
      <c r="Q1192" s="100">
        <f>IF(SamplingData[[#This Row],[Max Error Bound (up)]] = 0,0,SamplingData[[#This Row],[Max Error Bound (up)]]/SamplingData[[#Totals],[Max Error Bound (up)]])</f>
        <v>6.7850637949120826E-5</v>
      </c>
      <c r="R1192" s="101">
        <f>SUM($Q$5:Q1192)</f>
        <v>0.31072965931784935</v>
      </c>
      <c r="S1192" s="100" t="str">
        <f t="array" ref="S1192">IF(SamplingData[[#This Row],[up/U Selection Probability]] = 0, "Zero", TEXT(SamplingData[[#This Row],[Lower Range]], REPT("0",LEN('General Info'!$B$40))) &amp; " - " &amp; TEXT(SamplingData[[#This Row],[Upper Range]], REPT("0",LEN('General Info'!$B$40))))</f>
        <v>31066 - 31072</v>
      </c>
      <c r="T1192" s="100">
        <f>SamplingData[[#This Row],[Upper Range]]-SamplingData[[#This Row],[Span]]</f>
        <v>31066.180935840661</v>
      </c>
      <c r="U1192" s="100">
        <f>IF(ISNUMBER('General Info'!$B$40), ((SamplingData[[#This Row],[up/U Selection Probability]]) * 'General Info'!$B$40) - 1, 0)</f>
        <v>5.7849959442741339</v>
      </c>
      <c r="V1192" s="100">
        <f>IF(ISNUMBER('General Info'!$B$40), (SamplingData[[#This Row],[Running (cumulative) sum]] * ('General Info'!$B$40 -'General Info'!$B$41 + 1)) + 'General Info'!$B$41 - 1, 0)</f>
        <v>31071.965931784936</v>
      </c>
      <c r="W1192" s="100" t="str">
        <f>IF(ISERROR(MATCH(SamplingData[[#This Row],[Batch by Type (p)]],SelectedPrecincts[Batch Name], 0)), "", INDEX(SelectedPrecincts[Draw], MATCH(SamplingData[[#This Row],[Batch by Type (p)]],SelectedPrecincts[Batch Name], 0)))</f>
        <v/>
      </c>
      <c r="X1192" s="102">
        <f>IF(COUNTIF(SelectedPrecincts[Batch Name],SamplingData[[#This Row],[Batch by Type (p)]]) &lt;&gt; 0, COUNTIF(SelectedPrecincts[Batch Name],SamplingData[[#This Row],[Batch by Type (p)]]), 0)</f>
        <v>0</v>
      </c>
    </row>
    <row r="1193" spans="1:24" ht="15" customHeight="1">
      <c r="A1193" s="18" t="s">
        <v>1369</v>
      </c>
      <c r="B1193" s="18">
        <v>13</v>
      </c>
      <c r="C1193" s="18">
        <v>15</v>
      </c>
      <c r="D1193" s="16">
        <v>11</v>
      </c>
      <c r="E1193" s="16">
        <v>4</v>
      </c>
      <c r="F1193" s="37">
        <v>0</v>
      </c>
      <c r="G1193" s="37">
        <v>0</v>
      </c>
      <c r="H1193" s="17">
        <v>0</v>
      </c>
      <c r="I1193" s="17">
        <v>1</v>
      </c>
      <c r="J1193" s="99">
        <f>SUM(SamplingData[[#This Row],[Losing Candidate]:[Under Votes]])</f>
        <v>44</v>
      </c>
      <c r="K1193" s="100">
        <f>IF(AND(SamplingData[[#This Row],[Total]]&lt;&gt; 0, NOT(ISBLANK(SamplingData[[#This Row],[Losing Candidate]]))),(SamplingData[[#This Row],[Total]]+SamplingData[[#This Row],[Winning Candidate]]-SamplingData[[#This Row],[Losing Candidate]])/(SamplingData[[#Totals],[Winning Candidate]]-SamplingData[[#Totals],[Losing Candidate]]), 0)</f>
        <v>2.8172464478196961E-3</v>
      </c>
      <c r="L1193" s="100">
        <f>IF(AND(SamplingData[[#This Row],[Total]]&lt;&gt; 0, NOT(ISBLANK(SamplingData[[#This Row],[Candidate 3]]))),(SamplingData[[#This Row],[Total]]+SamplingData[[#This Row],[Winning Candidate]]-SamplingData[[#This Row],[Candidate 3]])/(SamplingData[[#Totals],[Winning Candidate]]-SamplingData[[#Totals],[Candidate 3]]), 0)</f>
        <v>1.5485369551892119E-3</v>
      </c>
      <c r="M1193" s="100">
        <f>IF(AND(SamplingData[[#This Row],[Total]]&lt;&gt; 0, NOT(ISBLANK(SamplingData[[#This Row],[Candidate 4]]))),(SamplingData[[#This Row],[Total]]+SamplingData[[#This Row],[Winning Candidate]]-SamplingData[[#This Row],[Candidate 4]])/(SamplingData[[#Totals],[Winning Candidate]]-SamplingData[[#Totals],[Candidate 4]]), 0)</f>
        <v>1.6077640387032652E-3</v>
      </c>
      <c r="N1193" s="100">
        <f>IF(AND(SamplingData[[#This Row],[Total]]&lt;&gt; 0, NOT(ISBLANK(SamplingData[[#This Row],[Candidate 5]]))),(SamplingData[[#This Row],[Total]]+SamplingData[[#This Row],[Winning Candidate]]-SamplingData[[#This Row],[Candidate 5]])/(SamplingData[[#Totals],[Winning Candidate]]-SamplingData[[#Totals],[Candidate 5]]), 0)</f>
        <v>1.4351739236195572E-3</v>
      </c>
      <c r="O1193" s="100">
        <f>IF(AND(SamplingData[[#This Row],[Total]]&lt;&gt; 0, NOT(ISBLANK(SamplingData[[#This Row],[Candidate 6]]))),(SamplingData[[#This Row],[Total]]+SamplingData[[#This Row],[Winning Candidate]]-SamplingData[[#This Row],[Candidate 6]])/(SamplingData[[#Totals],[Winning Candidate]]-SamplingData[[#Totals],[Candidate 6]]), 0)</f>
        <v>1.4347551189144497E-3</v>
      </c>
      <c r="P1193" s="100">
        <f>MAX(SamplingData[[#This Row],[Error Bound (up) - Max. possible relative overstatement - Losing Candidate]:[Error Bound (up) - Max. possible relative overstatement - Candidate 6]])</f>
        <v>2.8172464478196961E-3</v>
      </c>
      <c r="Q1193" s="100">
        <f>IF(SamplingData[[#This Row],[Max Error Bound (up)]] = 0,0,SamplingData[[#This Row],[Max Error Bound (up)]]/SamplingData[[#Totals],[Max Error Bound (up)]])</f>
        <v>4.4587562080850821E-4</v>
      </c>
      <c r="R1193" s="101">
        <f>SUM($Q$5:Q1193)</f>
        <v>0.31117553493865785</v>
      </c>
      <c r="S1193" s="100" t="str">
        <f t="array" ref="S1193">IF(SamplingData[[#This Row],[up/U Selection Probability]] = 0, "Zero", TEXT(SamplingData[[#This Row],[Lower Range]], REPT("0",LEN('General Info'!$B$40))) &amp; " - " &amp; TEXT(SamplingData[[#This Row],[Upper Range]], REPT("0",LEN('General Info'!$B$40))))</f>
        <v>31073 - 31117</v>
      </c>
      <c r="T1193" s="100">
        <f>SamplingData[[#This Row],[Upper Range]]-SamplingData[[#This Row],[Span]]</f>
        <v>31072.966377660552</v>
      </c>
      <c r="U1193" s="100">
        <f>IF(ISNUMBER('General Info'!$B$40), ((SamplingData[[#This Row],[up/U Selection Probability]]) * 'General Info'!$B$40) - 1, 0)</f>
        <v>43.587116205230011</v>
      </c>
      <c r="V1193" s="100">
        <f>IF(ISNUMBER('General Info'!$B$40), (SamplingData[[#This Row],[Running (cumulative) sum]] * ('General Info'!$B$40 -'General Info'!$B$41 + 1)) + 'General Info'!$B$41 - 1, 0)</f>
        <v>31116.553493865784</v>
      </c>
      <c r="W1193" s="100" t="str">
        <f>IF(ISERROR(MATCH(SamplingData[[#This Row],[Batch by Type (p)]],SelectedPrecincts[Batch Name], 0)), "", INDEX(SelectedPrecincts[Draw], MATCH(SamplingData[[#This Row],[Batch by Type (p)]],SelectedPrecincts[Batch Name], 0)))</f>
        <v/>
      </c>
      <c r="X1193" s="102">
        <f>IF(COUNTIF(SelectedPrecincts[Batch Name],SamplingData[[#This Row],[Batch by Type (p)]]) &lt;&gt; 0, COUNTIF(SelectedPrecincts[Batch Name],SamplingData[[#This Row],[Batch by Type (p)]]), 0)</f>
        <v>0</v>
      </c>
    </row>
    <row r="1194" spans="1:24" ht="15" customHeight="1">
      <c r="A1194" s="18" t="s">
        <v>1370</v>
      </c>
      <c r="B1194" s="18">
        <v>9</v>
      </c>
      <c r="C1194" s="18">
        <v>4</v>
      </c>
      <c r="D1194" s="18">
        <v>2</v>
      </c>
      <c r="E1194" s="18">
        <v>0</v>
      </c>
      <c r="F1194" s="18">
        <v>0</v>
      </c>
      <c r="G1194" s="18">
        <v>0</v>
      </c>
      <c r="H1194" s="18">
        <v>0</v>
      </c>
      <c r="I1194" s="18">
        <v>0</v>
      </c>
      <c r="J1194" s="99">
        <f>SUM(SamplingData[[#This Row],[Losing Candidate]:[Under Votes]])</f>
        <v>15</v>
      </c>
      <c r="K119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1194" s="100">
        <f>IF(AND(SamplingData[[#This Row],[Total]]&lt;&gt; 0, NOT(ISBLANK(SamplingData[[#This Row],[Candidate 3]]))),(SamplingData[[#This Row],[Total]]+SamplingData[[#This Row],[Winning Candidate]]-SamplingData[[#This Row],[Candidate 3]])/(SamplingData[[#Totals],[Winning Candidate]]-SamplingData[[#Totals],[Candidate 3]]), 0)</f>
        <v>5.4844017162951255E-4</v>
      </c>
      <c r="M1194" s="100">
        <f>IF(AND(SamplingData[[#This Row],[Total]]&lt;&gt; 0, NOT(ISBLANK(SamplingData[[#This Row],[Candidate 4]]))),(SamplingData[[#This Row],[Total]]+SamplingData[[#This Row],[Winning Candidate]]-SamplingData[[#This Row],[Candidate 4]])/(SamplingData[[#Totals],[Winning Candidate]]-SamplingData[[#Totals],[Candidate 4]]), 0)</f>
        <v>5.5540939518840076E-4</v>
      </c>
      <c r="N1194" s="100">
        <f>IF(AND(SamplingData[[#This Row],[Total]]&lt;&gt; 0, NOT(ISBLANK(SamplingData[[#This Row],[Candidate 5]]))),(SamplingData[[#This Row],[Total]]+SamplingData[[#This Row],[Winning Candidate]]-SamplingData[[#This Row],[Candidate 5]])/(SamplingData[[#Totals],[Winning Candidate]]-SamplingData[[#Totals],[Candidate 5]]), 0)</f>
        <v>4.6217465336900997E-4</v>
      </c>
      <c r="O1194" s="100">
        <f>IF(AND(SamplingData[[#This Row],[Total]]&lt;&gt; 0, NOT(ISBLANK(SamplingData[[#This Row],[Candidate 6]]))),(SamplingData[[#This Row],[Total]]+SamplingData[[#This Row],[Winning Candidate]]-SamplingData[[#This Row],[Candidate 6]])/(SamplingData[[#Totals],[Winning Candidate]]-SamplingData[[#Totals],[Candidate 6]]), 0)</f>
        <v>4.6203978405719566E-4</v>
      </c>
      <c r="P1194" s="100">
        <f>MAX(SamplingData[[#This Row],[Error Bound (up) - Max. possible relative overstatement - Losing Candidate]:[Error Bound (up) - Max. possible relative overstatement - Candidate 6]])</f>
        <v>6.1244487996080352E-4</v>
      </c>
      <c r="Q1194" s="100">
        <f>IF(SamplingData[[#This Row],[Max Error Bound (up)]] = 0,0,SamplingData[[#This Row],[Max Error Bound (up)]]/SamplingData[[#Totals],[Max Error Bound (up)]])</f>
        <v>9.6929482784458319E-5</v>
      </c>
      <c r="R1194" s="101">
        <f>SUM($Q$5:Q1194)</f>
        <v>0.3112724644214423</v>
      </c>
      <c r="S1194" s="100" t="str">
        <f t="array" ref="S1194">IF(SamplingData[[#This Row],[up/U Selection Probability]] = 0, "Zero", TEXT(SamplingData[[#This Row],[Lower Range]], REPT("0",LEN('General Info'!$B$40))) &amp; " - " &amp; TEXT(SamplingData[[#This Row],[Upper Range]], REPT("0",LEN('General Info'!$B$40))))</f>
        <v>31118 - 31126</v>
      </c>
      <c r="T1194" s="100">
        <f>SamplingData[[#This Row],[Upper Range]]-SamplingData[[#This Row],[Span]]</f>
        <v>31117.553590795269</v>
      </c>
      <c r="U1194" s="100">
        <f>IF(ISNUMBER('General Info'!$B$40), ((SamplingData[[#This Row],[up/U Selection Probability]]) * 'General Info'!$B$40) - 1, 0)</f>
        <v>8.6928513489630479</v>
      </c>
      <c r="V1194" s="100">
        <f>IF(ISNUMBER('General Info'!$B$40), (SamplingData[[#This Row],[Running (cumulative) sum]] * ('General Info'!$B$40 -'General Info'!$B$41 + 1)) + 'General Info'!$B$41 - 1, 0)</f>
        <v>31126.246442144231</v>
      </c>
      <c r="W1194" s="100" t="str">
        <f>IF(ISERROR(MATCH(SamplingData[[#This Row],[Batch by Type (p)]],SelectedPrecincts[Batch Name], 0)), "", INDEX(SelectedPrecincts[Draw], MATCH(SamplingData[[#This Row],[Batch by Type (p)]],SelectedPrecincts[Batch Name], 0)))</f>
        <v/>
      </c>
      <c r="X1194" s="102">
        <f>IF(COUNTIF(SelectedPrecincts[Batch Name],SamplingData[[#This Row],[Batch by Type (p)]]) &lt;&gt; 0, COUNTIF(SelectedPrecincts[Batch Name],SamplingData[[#This Row],[Batch by Type (p)]]), 0)</f>
        <v>0</v>
      </c>
    </row>
    <row r="1195" spans="1:24" ht="15" customHeight="1">
      <c r="A1195" s="18" t="s">
        <v>1371</v>
      </c>
      <c r="B1195" s="18">
        <v>13</v>
      </c>
      <c r="C1195" s="18">
        <v>16</v>
      </c>
      <c r="D1195" s="16">
        <v>5</v>
      </c>
      <c r="E1195" s="16">
        <v>5</v>
      </c>
      <c r="F1195" s="37">
        <v>0</v>
      </c>
      <c r="G1195" s="37">
        <v>1</v>
      </c>
      <c r="H1195" s="17">
        <v>0</v>
      </c>
      <c r="I1195" s="17">
        <v>0</v>
      </c>
      <c r="J1195" s="99">
        <f>SUM(SamplingData[[#This Row],[Losing Candidate]:[Under Votes]])</f>
        <v>40</v>
      </c>
      <c r="K1195"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1195" s="100">
        <f>IF(AND(SamplingData[[#This Row],[Total]]&lt;&gt; 0, NOT(ISBLANK(SamplingData[[#This Row],[Candidate 3]]))),(SamplingData[[#This Row],[Total]]+SamplingData[[#This Row],[Winning Candidate]]-SamplingData[[#This Row],[Candidate 3]])/(SamplingData[[#Totals],[Winning Candidate]]-SamplingData[[#Totals],[Candidate 3]]), 0)</f>
        <v>1.6453205148885377E-3</v>
      </c>
      <c r="M1195" s="100">
        <f>IF(AND(SamplingData[[#This Row],[Total]]&lt;&gt; 0, NOT(ISBLANK(SamplingData[[#This Row],[Candidate 4]]))),(SamplingData[[#This Row],[Total]]+SamplingData[[#This Row],[Winning Candidate]]-SamplingData[[#This Row],[Candidate 4]])/(SamplingData[[#Totals],[Winning Candidate]]-SamplingData[[#Totals],[Candidate 4]]), 0)</f>
        <v>1.4908357449793914E-3</v>
      </c>
      <c r="N1195" s="100">
        <f>IF(AND(SamplingData[[#This Row],[Total]]&lt;&gt; 0, NOT(ISBLANK(SamplingData[[#This Row],[Candidate 5]]))),(SamplingData[[#This Row],[Total]]+SamplingData[[#This Row],[Winning Candidate]]-SamplingData[[#This Row],[Candidate 5]])/(SamplingData[[#Totals],[Winning Candidate]]-SamplingData[[#Totals],[Candidate 5]]), 0)</f>
        <v>1.3621989783507663E-3</v>
      </c>
      <c r="O1195" s="100">
        <f>IF(AND(SamplingData[[#This Row],[Total]]&lt;&gt; 0, NOT(ISBLANK(SamplingData[[#This Row],[Candidate 6]]))),(SamplingData[[#This Row],[Total]]+SamplingData[[#This Row],[Winning Candidate]]-SamplingData[[#This Row],[Candidate 6]])/(SamplingData[[#Totals],[Winning Candidate]]-SamplingData[[#Totals],[Candidate 6]]), 0)</f>
        <v>1.3374835854287244E-3</v>
      </c>
      <c r="P1195" s="100">
        <f>MAX(SamplingData[[#This Row],[Error Bound (up) - Max. possible relative overstatement - Losing Candidate]:[Error Bound (up) - Max. possible relative overstatement - Candidate 6]])</f>
        <v>2.6335129838314553E-3</v>
      </c>
      <c r="Q1195" s="100">
        <f>IF(SamplingData[[#This Row],[Max Error Bound (up)]] = 0,0,SamplingData[[#This Row],[Max Error Bound (up)]]/SamplingData[[#Totals],[Max Error Bound (up)]])</f>
        <v>4.167967759731708E-4</v>
      </c>
      <c r="R1195" s="101">
        <f>SUM($Q$5:Q1195)</f>
        <v>0.31168926119741547</v>
      </c>
      <c r="S1195" s="100" t="str">
        <f t="array" ref="S1195">IF(SamplingData[[#This Row],[up/U Selection Probability]] = 0, "Zero", TEXT(SamplingData[[#This Row],[Lower Range]], REPT("0",LEN('General Info'!$B$40))) &amp; " - " &amp; TEXT(SamplingData[[#This Row],[Upper Range]], REPT("0",LEN('General Info'!$B$40))))</f>
        <v>31127 - 31168</v>
      </c>
      <c r="T1195" s="100">
        <f>SamplingData[[#This Row],[Upper Range]]-SamplingData[[#This Row],[Span]]</f>
        <v>31127.246858941005</v>
      </c>
      <c r="U1195" s="100">
        <f>IF(ISNUMBER('General Info'!$B$40), ((SamplingData[[#This Row],[up/U Selection Probability]]) * 'General Info'!$B$40) - 1, 0)</f>
        <v>40.679260800541108</v>
      </c>
      <c r="V1195" s="100">
        <f>IF(ISNUMBER('General Info'!$B$40), (SamplingData[[#This Row],[Running (cumulative) sum]] * ('General Info'!$B$40 -'General Info'!$B$41 + 1)) + 'General Info'!$B$41 - 1, 0)</f>
        <v>31167.926119741547</v>
      </c>
      <c r="W1195" s="100" t="str">
        <f>IF(ISERROR(MATCH(SamplingData[[#This Row],[Batch by Type (p)]],SelectedPrecincts[Batch Name], 0)), "", INDEX(SelectedPrecincts[Draw], MATCH(SamplingData[[#This Row],[Batch by Type (p)]],SelectedPrecincts[Batch Name], 0)))</f>
        <v/>
      </c>
      <c r="X1195" s="102">
        <f>IF(COUNTIF(SelectedPrecincts[Batch Name],SamplingData[[#This Row],[Batch by Type (p)]]) &lt;&gt; 0, COUNTIF(SelectedPrecincts[Batch Name],SamplingData[[#This Row],[Batch by Type (p)]]), 0)</f>
        <v>0</v>
      </c>
    </row>
    <row r="1196" spans="1:24" ht="15" customHeight="1">
      <c r="A1196" s="18" t="s">
        <v>1372</v>
      </c>
      <c r="B1196" s="18">
        <v>6</v>
      </c>
      <c r="C1196" s="18">
        <v>2</v>
      </c>
      <c r="D1196" s="18">
        <v>3</v>
      </c>
      <c r="E1196" s="18">
        <v>0</v>
      </c>
      <c r="F1196" s="18">
        <v>0</v>
      </c>
      <c r="G1196" s="18">
        <v>0</v>
      </c>
      <c r="H1196" s="18">
        <v>0</v>
      </c>
      <c r="I1196" s="18">
        <v>0</v>
      </c>
      <c r="J1196" s="99">
        <f>SUM(SamplingData[[#This Row],[Losing Candidate]:[Under Votes]])</f>
        <v>11</v>
      </c>
      <c r="K1196"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196" s="100">
        <f>IF(AND(SamplingData[[#This Row],[Total]]&lt;&gt; 0, NOT(ISBLANK(SamplingData[[#This Row],[Candidate 3]]))),(SamplingData[[#This Row],[Total]]+SamplingData[[#This Row],[Winning Candidate]]-SamplingData[[#This Row],[Candidate 3]])/(SamplingData[[#Totals],[Winning Candidate]]-SamplingData[[#Totals],[Candidate 3]]), 0)</f>
        <v>3.2261186566441915E-4</v>
      </c>
      <c r="M1196" s="100">
        <f>IF(AND(SamplingData[[#This Row],[Total]]&lt;&gt; 0, NOT(ISBLANK(SamplingData[[#This Row],[Candidate 4]]))),(SamplingData[[#This Row],[Total]]+SamplingData[[#This Row],[Winning Candidate]]-SamplingData[[#This Row],[Candidate 4]])/(SamplingData[[#Totals],[Winning Candidate]]-SamplingData[[#Totals],[Candidate 4]]), 0)</f>
        <v>3.8001695460258996E-4</v>
      </c>
      <c r="N1196" s="100">
        <f>IF(AND(SamplingData[[#This Row],[Total]]&lt;&gt; 0, NOT(ISBLANK(SamplingData[[#This Row],[Candidate 5]]))),(SamplingData[[#This Row],[Total]]+SamplingData[[#This Row],[Winning Candidate]]-SamplingData[[#This Row],[Candidate 5]])/(SamplingData[[#Totals],[Winning Candidate]]-SamplingData[[#Totals],[Candidate 5]]), 0)</f>
        <v>3.1622476283142789E-4</v>
      </c>
      <c r="O1196" s="100">
        <f>IF(AND(SamplingData[[#This Row],[Total]]&lt;&gt; 0, NOT(ISBLANK(SamplingData[[#This Row],[Candidate 6]]))),(SamplingData[[#This Row],[Total]]+SamplingData[[#This Row],[Winning Candidate]]-SamplingData[[#This Row],[Candidate 6]])/(SamplingData[[#Totals],[Winning Candidate]]-SamplingData[[#Totals],[Candidate 6]]), 0)</f>
        <v>3.1613248382860755E-4</v>
      </c>
      <c r="P1196" s="100">
        <f>MAX(SamplingData[[#This Row],[Error Bound (up) - Max. possible relative overstatement - Losing Candidate]:[Error Bound (up) - Max. possible relative overstatement - Candidate 6]])</f>
        <v>4.2871141597256246E-4</v>
      </c>
      <c r="Q1196" s="100">
        <f>IF(SamplingData[[#This Row],[Max Error Bound (up)]] = 0,0,SamplingData[[#This Row],[Max Error Bound (up)]]/SamplingData[[#Totals],[Max Error Bound (up)]])</f>
        <v>6.7850637949120826E-5</v>
      </c>
      <c r="R1196" s="101">
        <f>SUM($Q$5:Q1196)</f>
        <v>0.31175711183536459</v>
      </c>
      <c r="S1196" s="100" t="str">
        <f t="array" ref="S1196">IF(SamplingData[[#This Row],[up/U Selection Probability]] = 0, "Zero", TEXT(SamplingData[[#This Row],[Lower Range]], REPT("0",LEN('General Info'!$B$40))) &amp; " - " &amp; TEXT(SamplingData[[#This Row],[Upper Range]], REPT("0",LEN('General Info'!$B$40))))</f>
        <v>31169 - 31175</v>
      </c>
      <c r="T1196" s="100">
        <f>SamplingData[[#This Row],[Upper Range]]-SamplingData[[#This Row],[Span]]</f>
        <v>31168.926187592184</v>
      </c>
      <c r="U1196" s="100">
        <f>IF(ISNUMBER('General Info'!$B$40), ((SamplingData[[#This Row],[up/U Selection Probability]]) * 'General Info'!$B$40) - 1, 0)</f>
        <v>5.7849959442741339</v>
      </c>
      <c r="V1196" s="100">
        <f>IF(ISNUMBER('General Info'!$B$40), (SamplingData[[#This Row],[Running (cumulative) sum]] * ('General Info'!$B$40 -'General Info'!$B$41 + 1)) + 'General Info'!$B$41 - 1, 0)</f>
        <v>31174.711183536459</v>
      </c>
      <c r="W1196" s="100" t="str">
        <f>IF(ISERROR(MATCH(SamplingData[[#This Row],[Batch by Type (p)]],SelectedPrecincts[Batch Name], 0)), "", INDEX(SelectedPrecincts[Draw], MATCH(SamplingData[[#This Row],[Batch by Type (p)]],SelectedPrecincts[Batch Name], 0)))</f>
        <v/>
      </c>
      <c r="X1196" s="102">
        <f>IF(COUNTIF(SelectedPrecincts[Batch Name],SamplingData[[#This Row],[Batch by Type (p)]]) &lt;&gt; 0, COUNTIF(SelectedPrecincts[Batch Name],SamplingData[[#This Row],[Batch by Type (p)]]), 0)</f>
        <v>0</v>
      </c>
    </row>
    <row r="1197" spans="1:24" ht="15" customHeight="1">
      <c r="A1197" s="18" t="s">
        <v>1373</v>
      </c>
      <c r="B1197" s="18">
        <v>16</v>
      </c>
      <c r="C1197" s="18">
        <v>12</v>
      </c>
      <c r="D1197" s="16">
        <v>6</v>
      </c>
      <c r="E1197" s="16">
        <v>6</v>
      </c>
      <c r="F1197" s="37">
        <v>0</v>
      </c>
      <c r="G1197" s="37">
        <v>0</v>
      </c>
      <c r="H1197" s="17">
        <v>0</v>
      </c>
      <c r="I1197" s="17">
        <v>2</v>
      </c>
      <c r="J1197" s="99">
        <f>SUM(SamplingData[[#This Row],[Losing Candidate]:[Under Votes]])</f>
        <v>42</v>
      </c>
      <c r="K1197"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1197" s="100">
        <f>IF(AND(SamplingData[[#This Row],[Total]]&lt;&gt; 0, NOT(ISBLANK(SamplingData[[#This Row],[Candidate 3]]))),(SamplingData[[#This Row],[Total]]+SamplingData[[#This Row],[Winning Candidate]]-SamplingData[[#This Row],[Candidate 3]])/(SamplingData[[#Totals],[Winning Candidate]]-SamplingData[[#Totals],[Candidate 3]]), 0)</f>
        <v>1.5485369551892119E-3</v>
      </c>
      <c r="M1197" s="100">
        <f>IF(AND(SamplingData[[#This Row],[Total]]&lt;&gt; 0, NOT(ISBLANK(SamplingData[[#This Row],[Candidate 4]]))),(SamplingData[[#This Row],[Total]]+SamplingData[[#This Row],[Winning Candidate]]-SamplingData[[#This Row],[Candidate 4]])/(SamplingData[[#Totals],[Winning Candidate]]-SamplingData[[#Totals],[Candidate 4]]), 0)</f>
        <v>1.403139524686486E-3</v>
      </c>
      <c r="N1197" s="100">
        <f>IF(AND(SamplingData[[#This Row],[Total]]&lt;&gt; 0, NOT(ISBLANK(SamplingData[[#This Row],[Candidate 5]]))),(SamplingData[[#This Row],[Total]]+SamplingData[[#This Row],[Winning Candidate]]-SamplingData[[#This Row],[Candidate 5]])/(SamplingData[[#Totals],[Winning Candidate]]-SamplingData[[#Totals],[Candidate 5]]), 0)</f>
        <v>1.3135490148382389E-3</v>
      </c>
      <c r="O1197" s="100">
        <f>IF(AND(SamplingData[[#This Row],[Total]]&lt;&gt; 0, NOT(ISBLANK(SamplingData[[#This Row],[Candidate 6]]))),(SamplingData[[#This Row],[Total]]+SamplingData[[#This Row],[Winning Candidate]]-SamplingData[[#This Row],[Candidate 6]])/(SamplingData[[#Totals],[Winning Candidate]]-SamplingData[[#Totals],[Candidate 6]]), 0)</f>
        <v>1.313165702057293E-3</v>
      </c>
      <c r="P1197" s="100">
        <f>MAX(SamplingData[[#This Row],[Error Bound (up) - Max. possible relative overstatement - Losing Candidate]:[Error Bound (up) - Max. possible relative overstatement - Candidate 6]])</f>
        <v>2.3272905438510533E-3</v>
      </c>
      <c r="Q1197" s="100">
        <f>IF(SamplingData[[#This Row],[Max Error Bound (up)]] = 0,0,SamplingData[[#This Row],[Max Error Bound (up)]]/SamplingData[[#Totals],[Max Error Bound (up)]])</f>
        <v>3.683320345809416E-4</v>
      </c>
      <c r="R1197" s="101">
        <f>SUM($Q$5:Q1197)</f>
        <v>0.31212544386994551</v>
      </c>
      <c r="S1197" s="100" t="str">
        <f t="array" ref="S1197">IF(SamplingData[[#This Row],[up/U Selection Probability]] = 0, "Zero", TEXT(SamplingData[[#This Row],[Lower Range]], REPT("0",LEN('General Info'!$B$40))) &amp; " - " &amp; TEXT(SamplingData[[#This Row],[Upper Range]], REPT("0",LEN('General Info'!$B$40))))</f>
        <v>31176 - 31212</v>
      </c>
      <c r="T1197" s="100">
        <f>SamplingData[[#This Row],[Upper Range]]-SamplingData[[#This Row],[Span]]</f>
        <v>31175.711551868491</v>
      </c>
      <c r="U1197" s="100">
        <f>IF(ISNUMBER('General Info'!$B$40), ((SamplingData[[#This Row],[up/U Selection Probability]]) * 'General Info'!$B$40) - 1, 0)</f>
        <v>35.832835126059578</v>
      </c>
      <c r="V1197" s="100">
        <f>IF(ISNUMBER('General Info'!$B$40), (SamplingData[[#This Row],[Running (cumulative) sum]] * ('General Info'!$B$40 -'General Info'!$B$41 + 1)) + 'General Info'!$B$41 - 1, 0)</f>
        <v>31211.544386994552</v>
      </c>
      <c r="W1197" s="100" t="str">
        <f>IF(ISERROR(MATCH(SamplingData[[#This Row],[Batch by Type (p)]],SelectedPrecincts[Batch Name], 0)), "", INDEX(SelectedPrecincts[Draw], MATCH(SamplingData[[#This Row],[Batch by Type (p)]],SelectedPrecincts[Batch Name], 0)))</f>
        <v/>
      </c>
      <c r="X1197" s="102">
        <f>IF(COUNTIF(SelectedPrecincts[Batch Name],SamplingData[[#This Row],[Batch by Type (p)]]) &lt;&gt; 0, COUNTIF(SelectedPrecincts[Batch Name],SamplingData[[#This Row],[Batch by Type (p)]]), 0)</f>
        <v>0</v>
      </c>
    </row>
    <row r="1198" spans="1:24" ht="15" customHeight="1">
      <c r="A1198" s="18" t="s">
        <v>1374</v>
      </c>
      <c r="B1198" s="18">
        <v>4</v>
      </c>
      <c r="C1198" s="18">
        <v>3</v>
      </c>
      <c r="D1198" s="18">
        <v>2</v>
      </c>
      <c r="E1198" s="18">
        <v>1</v>
      </c>
      <c r="F1198" s="18">
        <v>0</v>
      </c>
      <c r="G1198" s="18">
        <v>0</v>
      </c>
      <c r="H1198" s="18">
        <v>0</v>
      </c>
      <c r="I1198" s="18">
        <v>0</v>
      </c>
      <c r="J1198" s="99">
        <f>SUM(SamplingData[[#This Row],[Losing Candidate]:[Under Votes]])</f>
        <v>10</v>
      </c>
      <c r="K1198"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198" s="100">
        <f>IF(AND(SamplingData[[#This Row],[Total]]&lt;&gt; 0, NOT(ISBLANK(SamplingData[[#This Row],[Candidate 3]]))),(SamplingData[[#This Row],[Total]]+SamplingData[[#This Row],[Winning Candidate]]-SamplingData[[#This Row],[Candidate 3]])/(SamplingData[[#Totals],[Winning Candidate]]-SamplingData[[#Totals],[Candidate 3]]), 0)</f>
        <v>3.5487305223086104E-4</v>
      </c>
      <c r="M1198" s="100">
        <f>IF(AND(SamplingData[[#This Row],[Total]]&lt;&gt; 0, NOT(ISBLANK(SamplingData[[#This Row],[Candidate 4]]))),(SamplingData[[#This Row],[Total]]+SamplingData[[#This Row],[Winning Candidate]]-SamplingData[[#This Row],[Candidate 4]])/(SamplingData[[#Totals],[Winning Candidate]]-SamplingData[[#Totals],[Candidate 4]]), 0)</f>
        <v>3.5078488117162149E-4</v>
      </c>
      <c r="N1198" s="100">
        <f>IF(AND(SamplingData[[#This Row],[Total]]&lt;&gt; 0, NOT(ISBLANK(SamplingData[[#This Row],[Candidate 5]]))),(SamplingData[[#This Row],[Total]]+SamplingData[[#This Row],[Winning Candidate]]-SamplingData[[#This Row],[Candidate 5]])/(SamplingData[[#Totals],[Winning Candidate]]-SamplingData[[#Totals],[Candidate 5]]), 0)</f>
        <v>3.1622476283142789E-4</v>
      </c>
      <c r="O1198" s="100">
        <f>IF(AND(SamplingData[[#This Row],[Total]]&lt;&gt; 0, NOT(ISBLANK(SamplingData[[#This Row],[Candidate 6]]))),(SamplingData[[#This Row],[Total]]+SamplingData[[#This Row],[Winning Candidate]]-SamplingData[[#This Row],[Candidate 6]])/(SamplingData[[#Totals],[Winning Candidate]]-SamplingData[[#Totals],[Candidate 6]]), 0)</f>
        <v>3.1613248382860755E-4</v>
      </c>
      <c r="P1198" s="100">
        <f>MAX(SamplingData[[#This Row],[Error Bound (up) - Max. possible relative overstatement - Losing Candidate]:[Error Bound (up) - Max. possible relative overstatement - Candidate 6]])</f>
        <v>5.5120039196472322E-4</v>
      </c>
      <c r="Q1198" s="100">
        <f>IF(SamplingData[[#This Row],[Max Error Bound (up)]] = 0,0,SamplingData[[#This Row],[Max Error Bound (up)]]/SamplingData[[#Totals],[Max Error Bound (up)]])</f>
        <v>8.7236534506012492E-5</v>
      </c>
      <c r="R1198" s="101">
        <f>SUM($Q$5:Q1198)</f>
        <v>0.31221268040445149</v>
      </c>
      <c r="S1198" s="100" t="str">
        <f t="array" ref="S1198">IF(SamplingData[[#This Row],[up/U Selection Probability]] = 0, "Zero", TEXT(SamplingData[[#This Row],[Lower Range]], REPT("0",LEN('General Info'!$B$40))) &amp; " - " &amp; TEXT(SamplingData[[#This Row],[Upper Range]], REPT("0",LEN('General Info'!$B$40))))</f>
        <v>31213 - 31220</v>
      </c>
      <c r="T1198" s="100">
        <f>SamplingData[[#This Row],[Upper Range]]-SamplingData[[#This Row],[Span]]</f>
        <v>31212.544474231083</v>
      </c>
      <c r="U1198" s="100">
        <f>IF(ISNUMBER('General Info'!$B$40), ((SamplingData[[#This Row],[up/U Selection Probability]]) * 'General Info'!$B$40) - 1, 0)</f>
        <v>7.7235662140667429</v>
      </c>
      <c r="V1198" s="100">
        <f>IF(ISNUMBER('General Info'!$B$40), (SamplingData[[#This Row],[Running (cumulative) sum]] * ('General Info'!$B$40 -'General Info'!$B$41 + 1)) + 'General Info'!$B$41 - 1, 0)</f>
        <v>31220.268040445149</v>
      </c>
      <c r="W1198" s="100" t="str">
        <f>IF(ISERROR(MATCH(SamplingData[[#This Row],[Batch by Type (p)]],SelectedPrecincts[Batch Name], 0)), "", INDEX(SelectedPrecincts[Draw], MATCH(SamplingData[[#This Row],[Batch by Type (p)]],SelectedPrecincts[Batch Name], 0)))</f>
        <v/>
      </c>
      <c r="X1198" s="102">
        <f>IF(COUNTIF(SelectedPrecincts[Batch Name],SamplingData[[#This Row],[Batch by Type (p)]]) &lt;&gt; 0, COUNTIF(SelectedPrecincts[Batch Name],SamplingData[[#This Row],[Batch by Type (p)]]), 0)</f>
        <v>0</v>
      </c>
    </row>
    <row r="1199" spans="1:24" ht="15" customHeight="1">
      <c r="A1199" s="18" t="s">
        <v>1375</v>
      </c>
      <c r="B1199" s="18">
        <v>16</v>
      </c>
      <c r="C1199" s="18">
        <v>24</v>
      </c>
      <c r="D1199" s="16">
        <v>5</v>
      </c>
      <c r="E1199" s="16">
        <v>10</v>
      </c>
      <c r="F1199" s="37">
        <v>0</v>
      </c>
      <c r="G1199" s="37">
        <v>0</v>
      </c>
      <c r="H1199" s="17">
        <v>0</v>
      </c>
      <c r="I1199" s="17">
        <v>0</v>
      </c>
      <c r="J1199" s="99">
        <f>SUM(SamplingData[[#This Row],[Losing Candidate]:[Under Votes]])</f>
        <v>55</v>
      </c>
      <c r="K1199" s="100">
        <f>IF(AND(SamplingData[[#This Row],[Total]]&lt;&gt; 0, NOT(ISBLANK(SamplingData[[#This Row],[Losing Candidate]]))),(SamplingData[[#This Row],[Total]]+SamplingData[[#This Row],[Winning Candidate]]-SamplingData[[#This Row],[Losing Candidate]])/(SamplingData[[#Totals],[Winning Candidate]]-SamplingData[[#Totals],[Losing Candidate]]), 0)</f>
        <v>3.8584027437530621E-3</v>
      </c>
      <c r="L1199" s="100">
        <f>IF(AND(SamplingData[[#This Row],[Total]]&lt;&gt; 0, NOT(ISBLANK(SamplingData[[#This Row],[Candidate 3]]))),(SamplingData[[#This Row],[Total]]+SamplingData[[#This Row],[Winning Candidate]]-SamplingData[[#This Row],[Candidate 3]])/(SamplingData[[#Totals],[Winning Candidate]]-SamplingData[[#Totals],[Candidate 3]]), 0)</f>
        <v>2.3873278059167017E-3</v>
      </c>
      <c r="M1199" s="100">
        <f>IF(AND(SamplingData[[#This Row],[Total]]&lt;&gt; 0, NOT(ISBLANK(SamplingData[[#This Row],[Candidate 4]]))),(SamplingData[[#This Row],[Total]]+SamplingData[[#This Row],[Winning Candidate]]-SamplingData[[#This Row],[Candidate 4]])/(SamplingData[[#Totals],[Winning Candidate]]-SamplingData[[#Totals],[Candidate 4]]), 0)</f>
        <v>2.0170130667368238E-3</v>
      </c>
      <c r="N1199" s="100">
        <f>IF(AND(SamplingData[[#This Row],[Total]]&lt;&gt; 0, NOT(ISBLANK(SamplingData[[#This Row],[Candidate 5]]))),(SamplingData[[#This Row],[Total]]+SamplingData[[#This Row],[Winning Candidate]]-SamplingData[[#This Row],[Candidate 5]])/(SamplingData[[#Totals],[Winning Candidate]]-SamplingData[[#Totals],[Candidate 5]]), 0)</f>
        <v>1.921673558744831E-3</v>
      </c>
      <c r="O1199" s="100">
        <f>IF(AND(SamplingData[[#This Row],[Total]]&lt;&gt; 0, NOT(ISBLANK(SamplingData[[#This Row],[Candidate 6]]))),(SamplingData[[#This Row],[Total]]+SamplingData[[#This Row],[Winning Candidate]]-SamplingData[[#This Row],[Candidate 6]])/(SamplingData[[#Totals],[Winning Candidate]]-SamplingData[[#Totals],[Candidate 6]]), 0)</f>
        <v>1.9211127863430768E-3</v>
      </c>
      <c r="P1199" s="100">
        <f>MAX(SamplingData[[#This Row],[Error Bound (up) - Max. possible relative overstatement - Losing Candidate]:[Error Bound (up) - Max. possible relative overstatement - Candidate 6]])</f>
        <v>3.8584027437530621E-3</v>
      </c>
      <c r="Q1199" s="100">
        <f>IF(SamplingData[[#This Row],[Max Error Bound (up)]] = 0,0,SamplingData[[#This Row],[Max Error Bound (up)]]/SamplingData[[#Totals],[Max Error Bound (up)]])</f>
        <v>6.1065574154208738E-4</v>
      </c>
      <c r="R1199" s="101">
        <f>SUM($Q$5:Q1199)</f>
        <v>0.31282333614599356</v>
      </c>
      <c r="S1199" s="100" t="str">
        <f t="array" ref="S1199">IF(SamplingData[[#This Row],[up/U Selection Probability]] = 0, "Zero", TEXT(SamplingData[[#This Row],[Lower Range]], REPT("0",LEN('General Info'!$B$40))) &amp; " - " &amp; TEXT(SamplingData[[#This Row],[Upper Range]], REPT("0",LEN('General Info'!$B$40))))</f>
        <v>31221 - 31281</v>
      </c>
      <c r="T1199" s="100">
        <f>SamplingData[[#This Row],[Upper Range]]-SamplingData[[#This Row],[Span]]</f>
        <v>31221.268651100891</v>
      </c>
      <c r="U1199" s="100">
        <f>IF(ISNUMBER('General Info'!$B$40), ((SamplingData[[#This Row],[up/U Selection Probability]]) * 'General Info'!$B$40) - 1, 0)</f>
        <v>60.064963498467193</v>
      </c>
      <c r="V1199" s="100">
        <f>IF(ISNUMBER('General Info'!$B$40), (SamplingData[[#This Row],[Running (cumulative) sum]] * ('General Info'!$B$40 -'General Info'!$B$41 + 1)) + 'General Info'!$B$41 - 1, 0)</f>
        <v>31281.333614599356</v>
      </c>
      <c r="W1199" s="100" t="str">
        <f>IF(ISERROR(MATCH(SamplingData[[#This Row],[Batch by Type (p)]],SelectedPrecincts[Batch Name], 0)), "", INDEX(SelectedPrecincts[Draw], MATCH(SamplingData[[#This Row],[Batch by Type (p)]],SelectedPrecincts[Batch Name], 0)))</f>
        <v/>
      </c>
      <c r="X1199" s="102">
        <f>IF(COUNTIF(SelectedPrecincts[Batch Name],SamplingData[[#This Row],[Batch by Type (p)]]) &lt;&gt; 0, COUNTIF(SelectedPrecincts[Batch Name],SamplingData[[#This Row],[Batch by Type (p)]]), 0)</f>
        <v>0</v>
      </c>
    </row>
    <row r="1200" spans="1:24" ht="15" customHeight="1">
      <c r="A1200" s="18" t="s">
        <v>1376</v>
      </c>
      <c r="B1200" s="18">
        <v>8</v>
      </c>
      <c r="C1200" s="18">
        <v>5</v>
      </c>
      <c r="D1200" s="18">
        <v>0</v>
      </c>
      <c r="E1200" s="18">
        <v>0</v>
      </c>
      <c r="F1200" s="18">
        <v>0</v>
      </c>
      <c r="G1200" s="18">
        <v>1</v>
      </c>
      <c r="H1200" s="18">
        <v>0</v>
      </c>
      <c r="I1200" s="18">
        <v>0</v>
      </c>
      <c r="J1200" s="99">
        <f>SUM(SamplingData[[#This Row],[Losing Candidate]:[Under Votes]])</f>
        <v>14</v>
      </c>
      <c r="K1200"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200" s="100">
        <f>IF(AND(SamplingData[[#This Row],[Total]]&lt;&gt; 0, NOT(ISBLANK(SamplingData[[#This Row],[Candidate 3]]))),(SamplingData[[#This Row],[Total]]+SamplingData[[#This Row],[Winning Candidate]]-SamplingData[[#This Row],[Candidate 3]])/(SamplingData[[#Totals],[Winning Candidate]]-SamplingData[[#Totals],[Candidate 3]]), 0)</f>
        <v>6.1296254476239632E-4</v>
      </c>
      <c r="M1200" s="100">
        <f>IF(AND(SamplingData[[#This Row],[Total]]&lt;&gt; 0, NOT(ISBLANK(SamplingData[[#This Row],[Candidate 4]]))),(SamplingData[[#This Row],[Total]]+SamplingData[[#This Row],[Winning Candidate]]-SamplingData[[#This Row],[Candidate 4]])/(SamplingData[[#Totals],[Winning Candidate]]-SamplingData[[#Totals],[Candidate 4]]), 0)</f>
        <v>5.5540939518840076E-4</v>
      </c>
      <c r="N1200" s="100">
        <f>IF(AND(SamplingData[[#This Row],[Total]]&lt;&gt; 0, NOT(ISBLANK(SamplingData[[#This Row],[Candidate 5]]))),(SamplingData[[#This Row],[Total]]+SamplingData[[#This Row],[Winning Candidate]]-SamplingData[[#This Row],[Candidate 5]])/(SamplingData[[#Totals],[Winning Candidate]]-SamplingData[[#Totals],[Candidate 5]]), 0)</f>
        <v>4.6217465336900997E-4</v>
      </c>
      <c r="O1200" s="100">
        <f>IF(AND(SamplingData[[#This Row],[Total]]&lt;&gt; 0, NOT(ISBLANK(SamplingData[[#This Row],[Candidate 6]]))),(SamplingData[[#This Row],[Total]]+SamplingData[[#This Row],[Winning Candidate]]-SamplingData[[#This Row],[Candidate 6]])/(SamplingData[[#Totals],[Winning Candidate]]-SamplingData[[#Totals],[Candidate 6]]), 0)</f>
        <v>4.3772190068576433E-4</v>
      </c>
      <c r="P1200" s="100">
        <f>MAX(SamplingData[[#This Row],[Error Bound (up) - Max. possible relative overstatement - Losing Candidate]:[Error Bound (up) - Max. possible relative overstatement - Candidate 6]])</f>
        <v>6.7368936795688392E-4</v>
      </c>
      <c r="Q1200" s="100">
        <f>IF(SamplingData[[#This Row],[Max Error Bound (up)]] = 0,0,SamplingData[[#This Row],[Max Error Bound (up)]]/SamplingData[[#Totals],[Max Error Bound (up)]])</f>
        <v>1.0662243106290416E-4</v>
      </c>
      <c r="R1200" s="101">
        <f>SUM($Q$5:Q1200)</f>
        <v>0.31292995857705647</v>
      </c>
      <c r="S1200" s="100" t="str">
        <f t="array" ref="S1200">IF(SamplingData[[#This Row],[up/U Selection Probability]] = 0, "Zero", TEXT(SamplingData[[#This Row],[Lower Range]], REPT("0",LEN('General Info'!$B$40))) &amp; " - " &amp; TEXT(SamplingData[[#This Row],[Upper Range]], REPT("0",LEN('General Info'!$B$40))))</f>
        <v>31282 - 31292</v>
      </c>
      <c r="T1200" s="100">
        <f>SamplingData[[#This Row],[Upper Range]]-SamplingData[[#This Row],[Span]]</f>
        <v>31282.333721221785</v>
      </c>
      <c r="U1200" s="100">
        <f>IF(ISNUMBER('General Info'!$B$40), ((SamplingData[[#This Row],[up/U Selection Probability]]) * 'General Info'!$B$40) - 1, 0)</f>
        <v>9.6621364838593529</v>
      </c>
      <c r="V1200" s="100">
        <f>IF(ISNUMBER('General Info'!$B$40), (SamplingData[[#This Row],[Running (cumulative) sum]] * ('General Info'!$B$40 -'General Info'!$B$41 + 1)) + 'General Info'!$B$41 - 1, 0)</f>
        <v>31291.995857705646</v>
      </c>
      <c r="W1200" s="100" t="str">
        <f>IF(ISERROR(MATCH(SamplingData[[#This Row],[Batch by Type (p)]],SelectedPrecincts[Batch Name], 0)), "", INDEX(SelectedPrecincts[Draw], MATCH(SamplingData[[#This Row],[Batch by Type (p)]],SelectedPrecincts[Batch Name], 0)))</f>
        <v/>
      </c>
      <c r="X1200" s="102">
        <f>IF(COUNTIF(SelectedPrecincts[Batch Name],SamplingData[[#This Row],[Batch by Type (p)]]) &lt;&gt; 0, COUNTIF(SelectedPrecincts[Batch Name],SamplingData[[#This Row],[Batch by Type (p)]]), 0)</f>
        <v>0</v>
      </c>
    </row>
    <row r="1201" spans="1:24" ht="15" customHeight="1">
      <c r="A1201" s="18" t="s">
        <v>1377</v>
      </c>
      <c r="B1201" s="18">
        <v>15</v>
      </c>
      <c r="C1201" s="18">
        <v>15</v>
      </c>
      <c r="D1201" s="16">
        <v>4</v>
      </c>
      <c r="E1201" s="16">
        <v>6</v>
      </c>
      <c r="F1201" s="37">
        <v>0</v>
      </c>
      <c r="G1201" s="37">
        <v>0</v>
      </c>
      <c r="H1201" s="17">
        <v>0</v>
      </c>
      <c r="I1201" s="17">
        <v>0</v>
      </c>
      <c r="J1201" s="99">
        <f>SUM(SamplingData[[#This Row],[Losing Candidate]:[Under Votes]])</f>
        <v>40</v>
      </c>
      <c r="K1201"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201" s="100">
        <f>IF(AND(SamplingData[[#This Row],[Total]]&lt;&gt; 0, NOT(ISBLANK(SamplingData[[#This Row],[Candidate 3]]))),(SamplingData[[#This Row],[Total]]+SamplingData[[#This Row],[Winning Candidate]]-SamplingData[[#This Row],[Candidate 3]])/(SamplingData[[#Totals],[Winning Candidate]]-SamplingData[[#Totals],[Candidate 3]]), 0)</f>
        <v>1.6453205148885377E-3</v>
      </c>
      <c r="M1201" s="100">
        <f>IF(AND(SamplingData[[#This Row],[Total]]&lt;&gt; 0, NOT(ISBLANK(SamplingData[[#This Row],[Candidate 4]]))),(SamplingData[[#This Row],[Total]]+SamplingData[[#This Row],[Winning Candidate]]-SamplingData[[#This Row],[Candidate 4]])/(SamplingData[[#Totals],[Winning Candidate]]-SamplingData[[#Totals],[Candidate 4]]), 0)</f>
        <v>1.4323715981174544E-3</v>
      </c>
      <c r="N1201" s="100">
        <f>IF(AND(SamplingData[[#This Row],[Total]]&lt;&gt; 0, NOT(ISBLANK(SamplingData[[#This Row],[Candidate 5]]))),(SamplingData[[#This Row],[Total]]+SamplingData[[#This Row],[Winning Candidate]]-SamplingData[[#This Row],[Candidate 5]])/(SamplingData[[#Totals],[Winning Candidate]]-SamplingData[[#Totals],[Candidate 5]]), 0)</f>
        <v>1.3378739965945025E-3</v>
      </c>
      <c r="O1201" s="100">
        <f>IF(AND(SamplingData[[#This Row],[Total]]&lt;&gt; 0, NOT(ISBLANK(SamplingData[[#This Row],[Candidate 6]]))),(SamplingData[[#This Row],[Total]]+SamplingData[[#This Row],[Winning Candidate]]-SamplingData[[#This Row],[Candidate 6]])/(SamplingData[[#Totals],[Winning Candidate]]-SamplingData[[#Totals],[Candidate 6]]), 0)</f>
        <v>1.3374835854287244E-3</v>
      </c>
      <c r="P1201" s="100">
        <f>MAX(SamplingData[[#This Row],[Error Bound (up) - Max. possible relative overstatement - Losing Candidate]:[Error Bound (up) - Max. possible relative overstatement - Candidate 6]])</f>
        <v>2.4497795198432141E-3</v>
      </c>
      <c r="Q1201" s="100">
        <f>IF(SamplingData[[#This Row],[Max Error Bound (up)]] = 0,0,SamplingData[[#This Row],[Max Error Bound (up)]]/SamplingData[[#Totals],[Max Error Bound (up)]])</f>
        <v>3.8771793113783328E-4</v>
      </c>
      <c r="R1201" s="101">
        <f>SUM($Q$5:Q1201)</f>
        <v>0.31331767650819431</v>
      </c>
      <c r="S1201" s="100" t="str">
        <f t="array" ref="S1201">IF(SamplingData[[#This Row],[up/U Selection Probability]] = 0, "Zero", TEXT(SamplingData[[#This Row],[Lower Range]], REPT("0",LEN('General Info'!$B$40))) &amp; " - " &amp; TEXT(SamplingData[[#This Row],[Upper Range]], REPT("0",LEN('General Info'!$B$40))))</f>
        <v>31293 - 31331</v>
      </c>
      <c r="T1201" s="100">
        <f>SamplingData[[#This Row],[Upper Range]]-SamplingData[[#This Row],[Span]]</f>
        <v>31292.996245423579</v>
      </c>
      <c r="U1201" s="100">
        <f>IF(ISNUMBER('General Info'!$B$40), ((SamplingData[[#This Row],[up/U Selection Probability]]) * 'General Info'!$B$40) - 1, 0)</f>
        <v>37.771405395852192</v>
      </c>
      <c r="V1201" s="100">
        <f>IF(ISNUMBER('General Info'!$B$40), (SamplingData[[#This Row],[Running (cumulative) sum]] * ('General Info'!$B$40 -'General Info'!$B$41 + 1)) + 'General Info'!$B$41 - 1, 0)</f>
        <v>31330.767650819431</v>
      </c>
      <c r="W1201" s="100" t="str">
        <f>IF(ISERROR(MATCH(SamplingData[[#This Row],[Batch by Type (p)]],SelectedPrecincts[Batch Name], 0)), "", INDEX(SelectedPrecincts[Draw], MATCH(SamplingData[[#This Row],[Batch by Type (p)]],SelectedPrecincts[Batch Name], 0)))</f>
        <v/>
      </c>
      <c r="X1201" s="102">
        <f>IF(COUNTIF(SelectedPrecincts[Batch Name],SamplingData[[#This Row],[Batch by Type (p)]]) &lt;&gt; 0, COUNTIF(SelectedPrecincts[Batch Name],SamplingData[[#This Row],[Batch by Type (p)]]), 0)</f>
        <v>0</v>
      </c>
    </row>
    <row r="1202" spans="1:24" ht="15" customHeight="1">
      <c r="A1202" s="18" t="s">
        <v>1378</v>
      </c>
      <c r="B1202" s="18">
        <v>6</v>
      </c>
      <c r="C1202" s="18">
        <v>10</v>
      </c>
      <c r="D1202" s="18">
        <v>1</v>
      </c>
      <c r="E1202" s="18">
        <v>2</v>
      </c>
      <c r="F1202" s="18">
        <v>0</v>
      </c>
      <c r="G1202" s="18">
        <v>0</v>
      </c>
      <c r="H1202" s="18">
        <v>0</v>
      </c>
      <c r="I1202" s="18">
        <v>1</v>
      </c>
      <c r="J1202" s="99">
        <f>SUM(SamplingData[[#This Row],[Losing Candidate]:[Under Votes]])</f>
        <v>20</v>
      </c>
      <c r="K1202"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1202" s="100">
        <f>IF(AND(SamplingData[[#This Row],[Total]]&lt;&gt; 0, NOT(ISBLANK(SamplingData[[#This Row],[Candidate 3]]))),(SamplingData[[#This Row],[Total]]+SamplingData[[#This Row],[Winning Candidate]]-SamplingData[[#This Row],[Candidate 3]])/(SamplingData[[#Totals],[Winning Candidate]]-SamplingData[[#Totals],[Candidate 3]]), 0)</f>
        <v>9.3557441042681547E-4</v>
      </c>
      <c r="M1202" s="100">
        <f>IF(AND(SamplingData[[#This Row],[Total]]&lt;&gt; 0, NOT(ISBLANK(SamplingData[[#This Row],[Candidate 4]]))),(SamplingData[[#This Row],[Total]]+SamplingData[[#This Row],[Winning Candidate]]-SamplingData[[#This Row],[Candidate 4]])/(SamplingData[[#Totals],[Winning Candidate]]-SamplingData[[#Totals],[Candidate 4]]), 0)</f>
        <v>8.1849805606711685E-4</v>
      </c>
      <c r="N1202" s="100">
        <f>IF(AND(SamplingData[[#This Row],[Total]]&lt;&gt; 0, NOT(ISBLANK(SamplingData[[#This Row],[Candidate 5]]))),(SamplingData[[#This Row],[Total]]+SamplingData[[#This Row],[Winning Candidate]]-SamplingData[[#This Row],[Candidate 5]])/(SamplingData[[#Totals],[Winning Candidate]]-SamplingData[[#Totals],[Candidate 5]]), 0)</f>
        <v>7.2974945268791051E-4</v>
      </c>
      <c r="O1202" s="100">
        <f>IF(AND(SamplingData[[#This Row],[Total]]&lt;&gt; 0, NOT(ISBLANK(SamplingData[[#This Row],[Candidate 6]]))),(SamplingData[[#This Row],[Total]]+SamplingData[[#This Row],[Winning Candidate]]-SamplingData[[#This Row],[Candidate 6]])/(SamplingData[[#Totals],[Winning Candidate]]-SamplingData[[#Totals],[Candidate 6]]), 0)</f>
        <v>7.2953650114294054E-4</v>
      </c>
      <c r="P1202" s="100">
        <f>MAX(SamplingData[[#This Row],[Error Bound (up) - Max. possible relative overstatement - Losing Candidate]:[Error Bound (up) - Max. possible relative overstatement - Candidate 6]])</f>
        <v>1.4698677119059284E-3</v>
      </c>
      <c r="Q1202" s="100">
        <f>IF(SamplingData[[#This Row],[Max Error Bound (up)]] = 0,0,SamplingData[[#This Row],[Max Error Bound (up)]]/SamplingData[[#Totals],[Max Error Bound (up)]])</f>
        <v>2.3263075868269994E-4</v>
      </c>
      <c r="R1202" s="101">
        <f>SUM($Q$5:Q1202)</f>
        <v>0.31355030726687699</v>
      </c>
      <c r="S1202" s="100" t="str">
        <f t="array" ref="S1202">IF(SamplingData[[#This Row],[up/U Selection Probability]] = 0, "Zero", TEXT(SamplingData[[#This Row],[Lower Range]], REPT("0",LEN('General Info'!$B$40))) &amp; " - " &amp; TEXT(SamplingData[[#This Row],[Upper Range]], REPT("0",LEN('General Info'!$B$40))))</f>
        <v>31332 - 31354</v>
      </c>
      <c r="T1202" s="100">
        <f>SamplingData[[#This Row],[Upper Range]]-SamplingData[[#This Row],[Span]]</f>
        <v>31331.767883450189</v>
      </c>
      <c r="U1202" s="100">
        <f>IF(ISNUMBER('General Info'!$B$40), ((SamplingData[[#This Row],[up/U Selection Probability]]) * 'General Info'!$B$40) - 1, 0)</f>
        <v>22.262843237511312</v>
      </c>
      <c r="V1202" s="100">
        <f>IF(ISNUMBER('General Info'!$B$40), (SamplingData[[#This Row],[Running (cumulative) sum]] * ('General Info'!$B$40 -'General Info'!$B$41 + 1)) + 'General Info'!$B$41 - 1, 0)</f>
        <v>31354.030726687699</v>
      </c>
      <c r="W1202" s="100" t="str">
        <f>IF(ISERROR(MATCH(SamplingData[[#This Row],[Batch by Type (p)]],SelectedPrecincts[Batch Name], 0)), "", INDEX(SelectedPrecincts[Draw], MATCH(SamplingData[[#This Row],[Batch by Type (p)]],SelectedPrecincts[Batch Name], 0)))</f>
        <v/>
      </c>
      <c r="X1202" s="102">
        <f>IF(COUNTIF(SelectedPrecincts[Batch Name],SamplingData[[#This Row],[Batch by Type (p)]]) &lt;&gt; 0, COUNTIF(SelectedPrecincts[Batch Name],SamplingData[[#This Row],[Batch by Type (p)]]), 0)</f>
        <v>0</v>
      </c>
    </row>
    <row r="1203" spans="1:24" ht="15" customHeight="1">
      <c r="A1203" s="18" t="s">
        <v>1379</v>
      </c>
      <c r="B1203" s="18">
        <v>15</v>
      </c>
      <c r="C1203" s="18">
        <v>13</v>
      </c>
      <c r="D1203" s="16">
        <v>7</v>
      </c>
      <c r="E1203" s="16">
        <v>7</v>
      </c>
      <c r="F1203" s="37">
        <v>0</v>
      </c>
      <c r="G1203" s="37">
        <v>0</v>
      </c>
      <c r="H1203" s="17">
        <v>0</v>
      </c>
      <c r="I1203" s="17">
        <v>2</v>
      </c>
      <c r="J1203" s="99">
        <f>SUM(SamplingData[[#This Row],[Losing Candidate]:[Under Votes]])</f>
        <v>44</v>
      </c>
      <c r="K1203"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203" s="100">
        <f>IF(AND(SamplingData[[#This Row],[Total]]&lt;&gt; 0, NOT(ISBLANK(SamplingData[[#This Row],[Candidate 3]]))),(SamplingData[[#This Row],[Total]]+SamplingData[[#This Row],[Winning Candidate]]-SamplingData[[#This Row],[Candidate 3]])/(SamplingData[[#Totals],[Winning Candidate]]-SamplingData[[#Totals],[Candidate 3]]), 0)</f>
        <v>1.6130593283220957E-3</v>
      </c>
      <c r="M1203" s="100">
        <f>IF(AND(SamplingData[[#This Row],[Total]]&lt;&gt; 0, NOT(ISBLANK(SamplingData[[#This Row],[Candidate 4]]))),(SamplingData[[#This Row],[Total]]+SamplingData[[#This Row],[Winning Candidate]]-SamplingData[[#This Row],[Candidate 4]])/(SamplingData[[#Totals],[Winning Candidate]]-SamplingData[[#Totals],[Candidate 4]]), 0)</f>
        <v>1.4616036715484229E-3</v>
      </c>
      <c r="N1203" s="100">
        <f>IF(AND(SamplingData[[#This Row],[Total]]&lt;&gt; 0, NOT(ISBLANK(SamplingData[[#This Row],[Candidate 5]]))),(SamplingData[[#This Row],[Total]]+SamplingData[[#This Row],[Winning Candidate]]-SamplingData[[#This Row],[Candidate 5]])/(SamplingData[[#Totals],[Winning Candidate]]-SamplingData[[#Totals],[Candidate 5]]), 0)</f>
        <v>1.3865239601070299E-3</v>
      </c>
      <c r="O1203" s="100">
        <f>IF(AND(SamplingData[[#This Row],[Total]]&lt;&gt; 0, NOT(ISBLANK(SamplingData[[#This Row],[Candidate 6]]))),(SamplingData[[#This Row],[Total]]+SamplingData[[#This Row],[Winning Candidate]]-SamplingData[[#This Row],[Candidate 6]])/(SamplingData[[#Totals],[Winning Candidate]]-SamplingData[[#Totals],[Candidate 6]]), 0)</f>
        <v>1.3861193521715869E-3</v>
      </c>
      <c r="P1203" s="100">
        <f>MAX(SamplingData[[#This Row],[Error Bound (up) - Max. possible relative overstatement - Losing Candidate]:[Error Bound (up) - Max. possible relative overstatement - Candidate 6]])</f>
        <v>2.5722684958353749E-3</v>
      </c>
      <c r="Q1203" s="100">
        <f>IF(SamplingData[[#This Row],[Max Error Bound (up)]] = 0,0,SamplingData[[#This Row],[Max Error Bound (up)]]/SamplingData[[#Totals],[Max Error Bound (up)]])</f>
        <v>4.0710382769472496E-4</v>
      </c>
      <c r="R1203" s="101">
        <f>SUM($Q$5:Q1203)</f>
        <v>0.3139574110945717</v>
      </c>
      <c r="S1203" s="100" t="str">
        <f t="array" ref="S1203">IF(SamplingData[[#This Row],[up/U Selection Probability]] = 0, "Zero", TEXT(SamplingData[[#This Row],[Lower Range]], REPT("0",LEN('General Info'!$B$40))) &amp; " - " &amp; TEXT(SamplingData[[#This Row],[Upper Range]], REPT("0",LEN('General Info'!$B$40))))</f>
        <v>31355 - 31395</v>
      </c>
      <c r="T1203" s="100">
        <f>SamplingData[[#This Row],[Upper Range]]-SamplingData[[#This Row],[Span]]</f>
        <v>31355.031133791523</v>
      </c>
      <c r="U1203" s="100">
        <f>IF(ISNUMBER('General Info'!$B$40), ((SamplingData[[#This Row],[up/U Selection Probability]]) * 'General Info'!$B$40) - 1, 0)</f>
        <v>39.709975665644798</v>
      </c>
      <c r="V1203" s="100">
        <f>IF(ISNUMBER('General Info'!$B$40), (SamplingData[[#This Row],[Running (cumulative) sum]] * ('General Info'!$B$40 -'General Info'!$B$41 + 1)) + 'General Info'!$B$41 - 1, 0)</f>
        <v>31394.741109457169</v>
      </c>
      <c r="W1203" s="100" t="str">
        <f>IF(ISERROR(MATCH(SamplingData[[#This Row],[Batch by Type (p)]],SelectedPrecincts[Batch Name], 0)), "", INDEX(SelectedPrecincts[Draw], MATCH(SamplingData[[#This Row],[Batch by Type (p)]],SelectedPrecincts[Batch Name], 0)))</f>
        <v/>
      </c>
      <c r="X1203" s="102">
        <f>IF(COUNTIF(SelectedPrecincts[Batch Name],SamplingData[[#This Row],[Batch by Type (p)]]) &lt;&gt; 0, COUNTIF(SelectedPrecincts[Batch Name],SamplingData[[#This Row],[Batch by Type (p)]]), 0)</f>
        <v>0</v>
      </c>
    </row>
    <row r="1204" spans="1:24" ht="15" customHeight="1">
      <c r="A1204" s="18" t="s">
        <v>1380</v>
      </c>
      <c r="B1204" s="18">
        <v>5</v>
      </c>
      <c r="C1204" s="18">
        <v>6</v>
      </c>
      <c r="D1204" s="18">
        <v>3</v>
      </c>
      <c r="E1204" s="18">
        <v>1</v>
      </c>
      <c r="F1204" s="18">
        <v>0</v>
      </c>
      <c r="G1204" s="18">
        <v>0</v>
      </c>
      <c r="H1204" s="18">
        <v>0</v>
      </c>
      <c r="I1204" s="18">
        <v>1</v>
      </c>
      <c r="J1204" s="99">
        <f>SUM(SamplingData[[#This Row],[Losing Candidate]:[Under Votes]])</f>
        <v>16</v>
      </c>
      <c r="K1204"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204" s="100">
        <f>IF(AND(SamplingData[[#This Row],[Total]]&lt;&gt; 0, NOT(ISBLANK(SamplingData[[#This Row],[Candidate 3]]))),(SamplingData[[#This Row],[Total]]+SamplingData[[#This Row],[Winning Candidate]]-SamplingData[[#This Row],[Candidate 3]])/(SamplingData[[#Totals],[Winning Candidate]]-SamplingData[[#Totals],[Candidate 3]]), 0)</f>
        <v>6.1296254476239632E-4</v>
      </c>
      <c r="M1204" s="100">
        <f>IF(AND(SamplingData[[#This Row],[Total]]&lt;&gt; 0, NOT(ISBLANK(SamplingData[[#This Row],[Candidate 4]]))),(SamplingData[[#This Row],[Total]]+SamplingData[[#This Row],[Winning Candidate]]-SamplingData[[#This Row],[Candidate 4]])/(SamplingData[[#Totals],[Winning Candidate]]-SamplingData[[#Totals],[Candidate 4]]), 0)</f>
        <v>6.1387354205033758E-4</v>
      </c>
      <c r="N1204" s="100">
        <f>IF(AND(SamplingData[[#This Row],[Total]]&lt;&gt; 0, NOT(ISBLANK(SamplingData[[#This Row],[Candidate 5]]))),(SamplingData[[#This Row],[Total]]+SamplingData[[#This Row],[Winning Candidate]]-SamplingData[[#This Row],[Candidate 5]])/(SamplingData[[#Totals],[Winning Candidate]]-SamplingData[[#Totals],[Candidate 5]]), 0)</f>
        <v>5.3514959863780107E-4</v>
      </c>
      <c r="O1204" s="100">
        <f>IF(AND(SamplingData[[#This Row],[Total]]&lt;&gt; 0, NOT(ISBLANK(SamplingData[[#This Row],[Candidate 6]]))),(SamplingData[[#This Row],[Total]]+SamplingData[[#This Row],[Winning Candidate]]-SamplingData[[#This Row],[Candidate 6]])/(SamplingData[[#Totals],[Winning Candidate]]-SamplingData[[#Totals],[Candidate 6]]), 0)</f>
        <v>5.3499343417148966E-4</v>
      </c>
      <c r="P1204" s="100">
        <f>MAX(SamplingData[[#This Row],[Error Bound (up) - Max. possible relative overstatement - Losing Candidate]:[Error Bound (up) - Max. possible relative overstatement - Candidate 6]])</f>
        <v>1.041156295933366E-3</v>
      </c>
      <c r="Q1204" s="100">
        <f>IF(SamplingData[[#This Row],[Max Error Bound (up)]] = 0,0,SamplingData[[#This Row],[Max Error Bound (up)]]/SamplingData[[#Totals],[Max Error Bound (up)]])</f>
        <v>1.6478012073357914E-4</v>
      </c>
      <c r="R1204" s="101">
        <f>SUM($Q$5:Q1204)</f>
        <v>0.31412219121530527</v>
      </c>
      <c r="S1204" s="100" t="str">
        <f t="array" ref="S1204">IF(SamplingData[[#This Row],[up/U Selection Probability]] = 0, "Zero", TEXT(SamplingData[[#This Row],[Lower Range]], REPT("0",LEN('General Info'!$B$40))) &amp; " - " &amp; TEXT(SamplingData[[#This Row],[Upper Range]], REPT("0",LEN('General Info'!$B$40))))</f>
        <v>31396 - 31411</v>
      </c>
      <c r="T1204" s="100">
        <f>SamplingData[[#This Row],[Upper Range]]-SamplingData[[#This Row],[Span]]</f>
        <v>31395.741274237291</v>
      </c>
      <c r="U1204" s="100">
        <f>IF(ISNUMBER('General Info'!$B$40), ((SamplingData[[#This Row],[up/U Selection Probability]]) * 'General Info'!$B$40) - 1, 0)</f>
        <v>15.477847293237179</v>
      </c>
      <c r="V1204" s="100">
        <f>IF(ISNUMBER('General Info'!$B$40), (SamplingData[[#This Row],[Running (cumulative) sum]] * ('General Info'!$B$40 -'General Info'!$B$41 + 1)) + 'General Info'!$B$41 - 1, 0)</f>
        <v>31411.219121530528</v>
      </c>
      <c r="W1204" s="100" t="str">
        <f>IF(ISERROR(MATCH(SamplingData[[#This Row],[Batch by Type (p)]],SelectedPrecincts[Batch Name], 0)), "", INDEX(SelectedPrecincts[Draw], MATCH(SamplingData[[#This Row],[Batch by Type (p)]],SelectedPrecincts[Batch Name], 0)))</f>
        <v/>
      </c>
      <c r="X1204" s="102">
        <f>IF(COUNTIF(SelectedPrecincts[Batch Name],SamplingData[[#This Row],[Batch by Type (p)]]) &lt;&gt; 0, COUNTIF(SelectedPrecincts[Batch Name],SamplingData[[#This Row],[Batch by Type (p)]]), 0)</f>
        <v>0</v>
      </c>
    </row>
    <row r="1205" spans="1:24" ht="15" customHeight="1">
      <c r="A1205" s="18" t="s">
        <v>1381</v>
      </c>
      <c r="B1205" s="18">
        <v>21</v>
      </c>
      <c r="C1205" s="18">
        <v>20</v>
      </c>
      <c r="D1205" s="16">
        <v>9</v>
      </c>
      <c r="E1205" s="16">
        <v>11</v>
      </c>
      <c r="F1205" s="37">
        <v>0</v>
      </c>
      <c r="G1205" s="37">
        <v>0</v>
      </c>
      <c r="H1205" s="17">
        <v>0</v>
      </c>
      <c r="I1205" s="17">
        <v>0</v>
      </c>
      <c r="J1205" s="99">
        <f>SUM(SamplingData[[#This Row],[Losing Candidate]:[Under Votes]])</f>
        <v>61</v>
      </c>
      <c r="K1205"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205" s="100">
        <f>IF(AND(SamplingData[[#This Row],[Total]]&lt;&gt; 0, NOT(ISBLANK(SamplingData[[#This Row],[Candidate 3]]))),(SamplingData[[#This Row],[Total]]+SamplingData[[#This Row],[Winning Candidate]]-SamplingData[[#This Row],[Candidate 3]])/(SamplingData[[#Totals],[Winning Candidate]]-SamplingData[[#Totals],[Candidate 3]]), 0)</f>
        <v>2.3228054327838177E-3</v>
      </c>
      <c r="M1205" s="100">
        <f>IF(AND(SamplingData[[#This Row],[Total]]&lt;&gt; 0, NOT(ISBLANK(SamplingData[[#This Row],[Candidate 4]]))),(SamplingData[[#This Row],[Total]]+SamplingData[[#This Row],[Winning Candidate]]-SamplingData[[#This Row],[Candidate 4]])/(SamplingData[[#Totals],[Winning Candidate]]-SamplingData[[#Totals],[Candidate 4]]), 0)</f>
        <v>2.0462451401677922E-3</v>
      </c>
      <c r="N1205" s="100">
        <f>IF(AND(SamplingData[[#This Row],[Total]]&lt;&gt; 0, NOT(ISBLANK(SamplingData[[#This Row],[Candidate 5]]))),(SamplingData[[#This Row],[Total]]+SamplingData[[#This Row],[Winning Candidate]]-SamplingData[[#This Row],[Candidate 5]])/(SamplingData[[#Totals],[Winning Candidate]]-SamplingData[[#Totals],[Candidate 5]]), 0)</f>
        <v>1.9703235222573584E-3</v>
      </c>
      <c r="O1205" s="100">
        <f>IF(AND(SamplingData[[#This Row],[Total]]&lt;&gt; 0, NOT(ISBLANK(SamplingData[[#This Row],[Candidate 6]]))),(SamplingData[[#This Row],[Total]]+SamplingData[[#This Row],[Winning Candidate]]-SamplingData[[#This Row],[Candidate 6]])/(SamplingData[[#Totals],[Winning Candidate]]-SamplingData[[#Totals],[Candidate 6]]), 0)</f>
        <v>1.9697485530859394E-3</v>
      </c>
      <c r="P1205" s="100">
        <f>MAX(SamplingData[[#This Row],[Error Bound (up) - Max. possible relative overstatement - Losing Candidate]:[Error Bound (up) - Max. possible relative overstatement - Candidate 6]])</f>
        <v>3.6746692797648213E-3</v>
      </c>
      <c r="Q1205" s="100">
        <f>IF(SamplingData[[#This Row],[Max Error Bound (up)]] = 0,0,SamplingData[[#This Row],[Max Error Bound (up)]]/SamplingData[[#Totals],[Max Error Bound (up)]])</f>
        <v>5.8157689670674997E-4</v>
      </c>
      <c r="R1205" s="101">
        <f>SUM($Q$5:Q1205)</f>
        <v>0.31470376811201201</v>
      </c>
      <c r="S1205" s="100" t="str">
        <f t="array" ref="S1205">IF(SamplingData[[#This Row],[up/U Selection Probability]] = 0, "Zero", TEXT(SamplingData[[#This Row],[Lower Range]], REPT("0",LEN('General Info'!$B$40))) &amp; " - " &amp; TEXT(SamplingData[[#This Row],[Upper Range]], REPT("0",LEN('General Info'!$B$40))))</f>
        <v>31412 - 31469</v>
      </c>
      <c r="T1205" s="100">
        <f>SamplingData[[#This Row],[Upper Range]]-SamplingData[[#This Row],[Span]]</f>
        <v>31412.219703107421</v>
      </c>
      <c r="U1205" s="100">
        <f>IF(ISNUMBER('General Info'!$B$40), ((SamplingData[[#This Row],[up/U Selection Probability]]) * 'General Info'!$B$40) - 1, 0)</f>
        <v>57.157108093778291</v>
      </c>
      <c r="V1205" s="100">
        <f>IF(ISNUMBER('General Info'!$B$40), (SamplingData[[#This Row],[Running (cumulative) sum]] * ('General Info'!$B$40 -'General Info'!$B$41 + 1)) + 'General Info'!$B$41 - 1, 0)</f>
        <v>31469.3768112012</v>
      </c>
      <c r="W1205" s="100" t="str">
        <f>IF(ISERROR(MATCH(SamplingData[[#This Row],[Batch by Type (p)]],SelectedPrecincts[Batch Name], 0)), "", INDEX(SelectedPrecincts[Draw], MATCH(SamplingData[[#This Row],[Batch by Type (p)]],SelectedPrecincts[Batch Name], 0)))</f>
        <v/>
      </c>
      <c r="X1205" s="102">
        <f>IF(COUNTIF(SelectedPrecincts[Batch Name],SamplingData[[#This Row],[Batch by Type (p)]]) &lt;&gt; 0, COUNTIF(SelectedPrecincts[Batch Name],SamplingData[[#This Row],[Batch by Type (p)]]), 0)</f>
        <v>0</v>
      </c>
    </row>
    <row r="1206" spans="1:24" ht="15" customHeight="1">
      <c r="A1206" s="18" t="s">
        <v>1382</v>
      </c>
      <c r="B1206" s="18">
        <v>17</v>
      </c>
      <c r="C1206" s="18">
        <v>3</v>
      </c>
      <c r="D1206" s="18">
        <v>2</v>
      </c>
      <c r="E1206" s="18">
        <v>3</v>
      </c>
      <c r="F1206" s="18">
        <v>0</v>
      </c>
      <c r="G1206" s="18">
        <v>0</v>
      </c>
      <c r="H1206" s="18">
        <v>0</v>
      </c>
      <c r="I1206" s="18">
        <v>2</v>
      </c>
      <c r="J1206" s="99">
        <f>SUM(SamplingData[[#This Row],[Losing Candidate]:[Under Votes]])</f>
        <v>27</v>
      </c>
      <c r="K1206"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1206" s="100">
        <f>IF(AND(SamplingData[[#This Row],[Total]]&lt;&gt; 0, NOT(ISBLANK(SamplingData[[#This Row],[Candidate 3]]))),(SamplingData[[#This Row],[Total]]+SamplingData[[#This Row],[Winning Candidate]]-SamplingData[[#This Row],[Candidate 3]])/(SamplingData[[#Totals],[Winning Candidate]]-SamplingData[[#Totals],[Candidate 3]]), 0)</f>
        <v>9.0331322386037359E-4</v>
      </c>
      <c r="M1206" s="100">
        <f>IF(AND(SamplingData[[#This Row],[Total]]&lt;&gt; 0, NOT(ISBLANK(SamplingData[[#This Row],[Candidate 4]]))),(SamplingData[[#This Row],[Total]]+SamplingData[[#This Row],[Winning Candidate]]-SamplingData[[#This Row],[Candidate 4]])/(SamplingData[[#Totals],[Winning Candidate]]-SamplingData[[#Totals],[Candidate 4]]), 0)</f>
        <v>7.8926598263614838E-4</v>
      </c>
      <c r="N1206" s="100">
        <f>IF(AND(SamplingData[[#This Row],[Total]]&lt;&gt; 0, NOT(ISBLANK(SamplingData[[#This Row],[Candidate 5]]))),(SamplingData[[#This Row],[Total]]+SamplingData[[#This Row],[Winning Candidate]]-SamplingData[[#This Row],[Candidate 5]])/(SamplingData[[#Totals],[Winning Candidate]]-SamplingData[[#Totals],[Candidate 5]]), 0)</f>
        <v>7.2974945268791051E-4</v>
      </c>
      <c r="O1206" s="100">
        <f>IF(AND(SamplingData[[#This Row],[Total]]&lt;&gt; 0, NOT(ISBLANK(SamplingData[[#This Row],[Candidate 6]]))),(SamplingData[[#This Row],[Total]]+SamplingData[[#This Row],[Winning Candidate]]-SamplingData[[#This Row],[Candidate 6]])/(SamplingData[[#Totals],[Winning Candidate]]-SamplingData[[#Totals],[Candidate 6]]), 0)</f>
        <v>7.2953650114294054E-4</v>
      </c>
      <c r="P1206" s="100">
        <f>MAX(SamplingData[[#This Row],[Error Bound (up) - Max. possible relative overstatement - Losing Candidate]:[Error Bound (up) - Max. possible relative overstatement - Candidate 6]])</f>
        <v>9.0331322386037359E-4</v>
      </c>
      <c r="Q1206" s="100">
        <f>IF(SamplingData[[#This Row],[Max Error Bound (up)]] = 0,0,SamplingData[[#This Row],[Max Error Bound (up)]]/SamplingData[[#Totals],[Max Error Bound (up)]])</f>
        <v>1.4296418575129784E-4</v>
      </c>
      <c r="R1206" s="101">
        <f>SUM($Q$5:Q1206)</f>
        <v>0.31484673229776328</v>
      </c>
      <c r="S1206" s="100" t="str">
        <f t="array" ref="S1206">IF(SamplingData[[#This Row],[up/U Selection Probability]] = 0, "Zero", TEXT(SamplingData[[#This Row],[Lower Range]], REPT("0",LEN('General Info'!$B$40))) &amp; " - " &amp; TEXT(SamplingData[[#This Row],[Upper Range]], REPT("0",LEN('General Info'!$B$40))))</f>
        <v>31470 - 31484</v>
      </c>
      <c r="T1206" s="100">
        <f>SamplingData[[#This Row],[Upper Range]]-SamplingData[[#This Row],[Span]]</f>
        <v>31470.376954165382</v>
      </c>
      <c r="U1206" s="100">
        <f>IF(ISNUMBER('General Info'!$B$40), ((SamplingData[[#This Row],[up/U Selection Probability]]) * 'General Info'!$B$40) - 1, 0)</f>
        <v>13.296275610944033</v>
      </c>
      <c r="V1206" s="100">
        <f>IF(ISNUMBER('General Info'!$B$40), (SamplingData[[#This Row],[Running (cumulative) sum]] * ('General Info'!$B$40 -'General Info'!$B$41 + 1)) + 'General Info'!$B$41 - 1, 0)</f>
        <v>31483.673229776326</v>
      </c>
      <c r="W1206" s="100" t="str">
        <f>IF(ISERROR(MATCH(SamplingData[[#This Row],[Batch by Type (p)]],SelectedPrecincts[Batch Name], 0)), "", INDEX(SelectedPrecincts[Draw], MATCH(SamplingData[[#This Row],[Batch by Type (p)]],SelectedPrecincts[Batch Name], 0)))</f>
        <v/>
      </c>
      <c r="X1206" s="102">
        <f>IF(COUNTIF(SelectedPrecincts[Batch Name],SamplingData[[#This Row],[Batch by Type (p)]]) &lt;&gt; 0, COUNTIF(SelectedPrecincts[Batch Name],SamplingData[[#This Row],[Batch by Type (p)]]), 0)</f>
        <v>0</v>
      </c>
    </row>
    <row r="1207" spans="1:24" ht="15" customHeight="1">
      <c r="A1207" s="18" t="s">
        <v>1383</v>
      </c>
      <c r="B1207" s="18">
        <v>35</v>
      </c>
      <c r="C1207" s="18">
        <v>31</v>
      </c>
      <c r="D1207" s="16">
        <v>19</v>
      </c>
      <c r="E1207" s="16">
        <v>10</v>
      </c>
      <c r="F1207" s="37">
        <v>1</v>
      </c>
      <c r="G1207" s="37">
        <v>1</v>
      </c>
      <c r="H1207" s="17">
        <v>0</v>
      </c>
      <c r="I1207" s="17">
        <v>3</v>
      </c>
      <c r="J1207" s="99">
        <f>SUM(SamplingData[[#This Row],[Losing Candidate]:[Under Votes]])</f>
        <v>100</v>
      </c>
      <c r="K1207" s="100">
        <f>IF(AND(SamplingData[[#This Row],[Total]]&lt;&gt; 0, NOT(ISBLANK(SamplingData[[#This Row],[Losing Candidate]]))),(SamplingData[[#This Row],[Total]]+SamplingData[[#This Row],[Winning Candidate]]-SamplingData[[#This Row],[Losing Candidate]])/(SamplingData[[#Totals],[Winning Candidate]]-SamplingData[[#Totals],[Losing Candidate]]), 0)</f>
        <v>5.8794708476237138E-3</v>
      </c>
      <c r="L1207" s="100">
        <f>IF(AND(SamplingData[[#This Row],[Total]]&lt;&gt; 0, NOT(ISBLANK(SamplingData[[#This Row],[Candidate 3]]))),(SamplingData[[#This Row],[Total]]+SamplingData[[#This Row],[Winning Candidate]]-SamplingData[[#This Row],[Candidate 3]])/(SamplingData[[#Totals],[Winning Candidate]]-SamplingData[[#Totals],[Candidate 3]]), 0)</f>
        <v>3.6132528954414943E-3</v>
      </c>
      <c r="M1207" s="100">
        <f>IF(AND(SamplingData[[#This Row],[Total]]&lt;&gt; 0, NOT(ISBLANK(SamplingData[[#This Row],[Candidate 4]]))),(SamplingData[[#This Row],[Total]]+SamplingData[[#This Row],[Winning Candidate]]-SamplingData[[#This Row],[Candidate 4]])/(SamplingData[[#Totals],[Winning Candidate]]-SamplingData[[#Totals],[Candidate 4]]), 0)</f>
        <v>3.5370808851471836E-3</v>
      </c>
      <c r="N1207" s="100">
        <f>IF(AND(SamplingData[[#This Row],[Total]]&lt;&gt; 0, NOT(ISBLANK(SamplingData[[#This Row],[Candidate 5]]))),(SamplingData[[#This Row],[Total]]+SamplingData[[#This Row],[Winning Candidate]]-SamplingData[[#This Row],[Candidate 5]])/(SamplingData[[#Totals],[Winning Candidate]]-SamplingData[[#Totals],[Candidate 5]]), 0)</f>
        <v>3.1622476283142786E-3</v>
      </c>
      <c r="O1207" s="100">
        <f>IF(AND(SamplingData[[#This Row],[Total]]&lt;&gt; 0, NOT(ISBLANK(SamplingData[[#This Row],[Candidate 6]]))),(SamplingData[[#This Row],[Total]]+SamplingData[[#This Row],[Winning Candidate]]-SamplingData[[#This Row],[Candidate 6]])/(SamplingData[[#Totals],[Winning Candidate]]-SamplingData[[#Totals],[Candidate 6]]), 0)</f>
        <v>3.1613248382860756E-3</v>
      </c>
      <c r="P1207" s="100">
        <f>MAX(SamplingData[[#This Row],[Error Bound (up) - Max. possible relative overstatement - Losing Candidate]:[Error Bound (up) - Max. possible relative overstatement - Candidate 6]])</f>
        <v>5.8794708476237138E-3</v>
      </c>
      <c r="Q1207" s="100">
        <f>IF(SamplingData[[#This Row],[Max Error Bound (up)]] = 0,0,SamplingData[[#This Row],[Max Error Bound (up)]]/SamplingData[[#Totals],[Max Error Bound (up)]])</f>
        <v>9.3052303473079977E-4</v>
      </c>
      <c r="R1207" s="101">
        <f>SUM($Q$5:Q1207)</f>
        <v>0.31577725533249407</v>
      </c>
      <c r="S1207" s="100" t="str">
        <f t="array" ref="S1207">IF(SamplingData[[#This Row],[up/U Selection Probability]] = 0, "Zero", TEXT(SamplingData[[#This Row],[Lower Range]], REPT("0",LEN('General Info'!$B$40))) &amp; " - " &amp; TEXT(SamplingData[[#This Row],[Upper Range]], REPT("0",LEN('General Info'!$B$40))))</f>
        <v>31485 - 31577</v>
      </c>
      <c r="T1207" s="100">
        <f>SamplingData[[#This Row],[Upper Range]]-SamplingData[[#This Row],[Span]]</f>
        <v>31484.674160299361</v>
      </c>
      <c r="U1207" s="100">
        <f>IF(ISNUMBER('General Info'!$B$40), ((SamplingData[[#This Row],[up/U Selection Probability]]) * 'General Info'!$B$40) - 1, 0)</f>
        <v>92.051372950045248</v>
      </c>
      <c r="V1207" s="100">
        <f>IF(ISNUMBER('General Info'!$B$40), (SamplingData[[#This Row],[Running (cumulative) sum]] * ('General Info'!$B$40 -'General Info'!$B$41 + 1)) + 'General Info'!$B$41 - 1, 0)</f>
        <v>31576.725533249406</v>
      </c>
      <c r="W1207" s="100" t="str">
        <f>IF(ISERROR(MATCH(SamplingData[[#This Row],[Batch by Type (p)]],SelectedPrecincts[Batch Name], 0)), "", INDEX(SelectedPrecincts[Draw], MATCH(SamplingData[[#This Row],[Batch by Type (p)]],SelectedPrecincts[Batch Name], 0)))</f>
        <v/>
      </c>
      <c r="X1207" s="102">
        <f>IF(COUNTIF(SelectedPrecincts[Batch Name],SamplingData[[#This Row],[Batch by Type (p)]]) &lt;&gt; 0, COUNTIF(SelectedPrecincts[Batch Name],SamplingData[[#This Row],[Batch by Type (p)]]), 0)</f>
        <v>0</v>
      </c>
    </row>
    <row r="1208" spans="1:24" ht="15" customHeight="1">
      <c r="A1208" s="18" t="s">
        <v>1384</v>
      </c>
      <c r="B1208" s="18">
        <v>8</v>
      </c>
      <c r="C1208" s="18">
        <v>10</v>
      </c>
      <c r="D1208" s="18">
        <v>6</v>
      </c>
      <c r="E1208" s="18">
        <v>1</v>
      </c>
      <c r="F1208" s="18">
        <v>1</v>
      </c>
      <c r="G1208" s="18">
        <v>0</v>
      </c>
      <c r="H1208" s="18">
        <v>0</v>
      </c>
      <c r="I1208" s="18">
        <v>0</v>
      </c>
      <c r="J1208" s="99">
        <f>SUM(SamplingData[[#This Row],[Losing Candidate]:[Under Votes]])</f>
        <v>26</v>
      </c>
      <c r="K1208"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208" s="100">
        <f>IF(AND(SamplingData[[#This Row],[Total]]&lt;&gt; 0, NOT(ISBLANK(SamplingData[[#This Row],[Candidate 3]]))),(SamplingData[[#This Row],[Total]]+SamplingData[[#This Row],[Winning Candidate]]-SamplingData[[#This Row],[Candidate 3]])/(SamplingData[[#Totals],[Winning Candidate]]-SamplingData[[#Totals],[Candidate 3]]), 0)</f>
        <v>9.6783559699325746E-4</v>
      </c>
      <c r="M1208" s="100">
        <f>IF(AND(SamplingData[[#This Row],[Total]]&lt;&gt; 0, NOT(ISBLANK(SamplingData[[#This Row],[Candidate 4]]))),(SamplingData[[#This Row],[Total]]+SamplingData[[#This Row],[Winning Candidate]]-SamplingData[[#This Row],[Candidate 4]])/(SamplingData[[#Totals],[Winning Candidate]]-SamplingData[[#Totals],[Candidate 4]]), 0)</f>
        <v>1.0231225700838961E-3</v>
      </c>
      <c r="N1208" s="100">
        <f>IF(AND(SamplingData[[#This Row],[Total]]&lt;&gt; 0, NOT(ISBLANK(SamplingData[[#This Row],[Candidate 5]]))),(SamplingData[[#This Row],[Total]]+SamplingData[[#This Row],[Winning Candidate]]-SamplingData[[#This Row],[Candidate 5]])/(SamplingData[[#Totals],[Winning Candidate]]-SamplingData[[#Totals],[Candidate 5]]), 0)</f>
        <v>8.5137436146922891E-4</v>
      </c>
      <c r="O1208" s="100">
        <f>IF(AND(SamplingData[[#This Row],[Total]]&lt;&gt; 0, NOT(ISBLANK(SamplingData[[#This Row],[Candidate 6]]))),(SamplingData[[#This Row],[Total]]+SamplingData[[#This Row],[Winning Candidate]]-SamplingData[[#This Row],[Candidate 6]])/(SamplingData[[#Totals],[Winning Candidate]]-SamplingData[[#Totals],[Candidate 6]]), 0)</f>
        <v>8.7544380137152865E-4</v>
      </c>
      <c r="P1208" s="100">
        <f>MAX(SamplingData[[#This Row],[Error Bound (up) - Max. possible relative overstatement - Losing Candidate]:[Error Bound (up) - Max. possible relative overstatement - Candidate 6]])</f>
        <v>1.7148456638902498E-3</v>
      </c>
      <c r="Q1208" s="100">
        <f>IF(SamplingData[[#This Row],[Max Error Bound (up)]] = 0,0,SamplingData[[#This Row],[Max Error Bound (up)]]/SamplingData[[#Totals],[Max Error Bound (up)]])</f>
        <v>2.714025517964833E-4</v>
      </c>
      <c r="R1208" s="101">
        <f>SUM($Q$5:Q1208)</f>
        <v>0.31604865788429054</v>
      </c>
      <c r="S1208" s="100" t="str">
        <f t="array" ref="S1208">IF(SamplingData[[#This Row],[up/U Selection Probability]] = 0, "Zero", TEXT(SamplingData[[#This Row],[Lower Range]], REPT("0",LEN('General Info'!$B$40))) &amp; " - " &amp; TEXT(SamplingData[[#This Row],[Upper Range]], REPT("0",LEN('General Info'!$B$40))))</f>
        <v>31578 - 31604</v>
      </c>
      <c r="T1208" s="100">
        <f>SamplingData[[#This Row],[Upper Range]]-SamplingData[[#This Row],[Span]]</f>
        <v>31577.72580465196</v>
      </c>
      <c r="U1208" s="100">
        <f>IF(ISNUMBER('General Info'!$B$40), ((SamplingData[[#This Row],[up/U Selection Probability]]) * 'General Info'!$B$40) - 1, 0)</f>
        <v>26.139983777096536</v>
      </c>
      <c r="V1208" s="100">
        <f>IF(ISNUMBER('General Info'!$B$40), (SamplingData[[#This Row],[Running (cumulative) sum]] * ('General Info'!$B$40 -'General Info'!$B$41 + 1)) + 'General Info'!$B$41 - 1, 0)</f>
        <v>31603.865788429055</v>
      </c>
      <c r="W1208" s="100" t="str">
        <f>IF(ISERROR(MATCH(SamplingData[[#This Row],[Batch by Type (p)]],SelectedPrecincts[Batch Name], 0)), "", INDEX(SelectedPrecincts[Draw], MATCH(SamplingData[[#This Row],[Batch by Type (p)]],SelectedPrecincts[Batch Name], 0)))</f>
        <v/>
      </c>
      <c r="X1208" s="102">
        <f>IF(COUNTIF(SelectedPrecincts[Batch Name],SamplingData[[#This Row],[Batch by Type (p)]]) &lt;&gt; 0, COUNTIF(SelectedPrecincts[Batch Name],SamplingData[[#This Row],[Batch by Type (p)]]), 0)</f>
        <v>0</v>
      </c>
    </row>
    <row r="1209" spans="1:24" ht="15" customHeight="1">
      <c r="A1209" s="18" t="s">
        <v>1385</v>
      </c>
      <c r="B1209" s="18">
        <v>23</v>
      </c>
      <c r="C1209" s="18">
        <v>27</v>
      </c>
      <c r="D1209" s="16">
        <v>12</v>
      </c>
      <c r="E1209" s="16">
        <v>15</v>
      </c>
      <c r="F1209" s="37">
        <v>1</v>
      </c>
      <c r="G1209" s="37">
        <v>0</v>
      </c>
      <c r="H1209" s="17">
        <v>0</v>
      </c>
      <c r="I1209" s="17">
        <v>4</v>
      </c>
      <c r="J1209" s="99">
        <f>SUM(SamplingData[[#This Row],[Losing Candidate]:[Under Votes]])</f>
        <v>82</v>
      </c>
      <c r="K1209"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1209" s="100">
        <f>IF(AND(SamplingData[[#This Row],[Total]]&lt;&gt; 0, NOT(ISBLANK(SamplingData[[#This Row],[Candidate 3]]))),(SamplingData[[#This Row],[Total]]+SamplingData[[#This Row],[Winning Candidate]]-SamplingData[[#This Row],[Candidate 3]])/(SamplingData[[#Totals],[Winning Candidate]]-SamplingData[[#Totals],[Candidate 3]]), 0)</f>
        <v>3.1293350969448658E-3</v>
      </c>
      <c r="M1209" s="100">
        <f>IF(AND(SamplingData[[#This Row],[Total]]&lt;&gt; 0, NOT(ISBLANK(SamplingData[[#This Row],[Candidate 4]]))),(SamplingData[[#This Row],[Total]]+SamplingData[[#This Row],[Winning Candidate]]-SamplingData[[#This Row],[Candidate 4]])/(SamplingData[[#Totals],[Winning Candidate]]-SamplingData[[#Totals],[Candidate 4]]), 0)</f>
        <v>2.747814902511035E-3</v>
      </c>
      <c r="N1209" s="100">
        <f>IF(AND(SamplingData[[#This Row],[Total]]&lt;&gt; 0, NOT(ISBLANK(SamplingData[[#This Row],[Candidate 5]]))),(SamplingData[[#This Row],[Total]]+SamplingData[[#This Row],[Winning Candidate]]-SamplingData[[#This Row],[Candidate 5]])/(SamplingData[[#Totals],[Winning Candidate]]-SamplingData[[#Totals],[Candidate 5]]), 0)</f>
        <v>2.6270980296764779E-3</v>
      </c>
      <c r="O1209" s="100">
        <f>IF(AND(SamplingData[[#This Row],[Total]]&lt;&gt; 0, NOT(ISBLANK(SamplingData[[#This Row],[Candidate 6]]))),(SamplingData[[#This Row],[Total]]+SamplingData[[#This Row],[Winning Candidate]]-SamplingData[[#This Row],[Candidate 6]])/(SamplingData[[#Totals],[Winning Candidate]]-SamplingData[[#Totals],[Candidate 6]]), 0)</f>
        <v>2.6506492874860173E-3</v>
      </c>
      <c r="P1209" s="100">
        <f>MAX(SamplingData[[#This Row],[Error Bound (up) - Max. possible relative overstatement - Losing Candidate]:[Error Bound (up) - Max. possible relative overstatement - Candidate 6]])</f>
        <v>5.2670259676629106E-3</v>
      </c>
      <c r="Q1209" s="100">
        <f>IF(SamplingData[[#This Row],[Max Error Bound (up)]] = 0,0,SamplingData[[#This Row],[Max Error Bound (up)]]/SamplingData[[#Totals],[Max Error Bound (up)]])</f>
        <v>8.3359355194634159E-4</v>
      </c>
      <c r="R1209" s="101">
        <f>SUM($Q$5:Q1209)</f>
        <v>0.31688225143623688</v>
      </c>
      <c r="S1209" s="100" t="str">
        <f t="array" ref="S1209">IF(SamplingData[[#This Row],[up/U Selection Probability]] = 0, "Zero", TEXT(SamplingData[[#This Row],[Lower Range]], REPT("0",LEN('General Info'!$B$40))) &amp; " - " &amp; TEXT(SamplingData[[#This Row],[Upper Range]], REPT("0",LEN('General Info'!$B$40))))</f>
        <v>31605 - 31687</v>
      </c>
      <c r="T1209" s="100">
        <f>SamplingData[[#This Row],[Upper Range]]-SamplingData[[#This Row],[Span]]</f>
        <v>31604.866622022604</v>
      </c>
      <c r="U1209" s="100">
        <f>IF(ISNUMBER('General Info'!$B$40), ((SamplingData[[#This Row],[up/U Selection Probability]]) * 'General Info'!$B$40) - 1, 0)</f>
        <v>82.358521601082217</v>
      </c>
      <c r="V1209" s="100">
        <f>IF(ISNUMBER('General Info'!$B$40), (SamplingData[[#This Row],[Running (cumulative) sum]] * ('General Info'!$B$40 -'General Info'!$B$41 + 1)) + 'General Info'!$B$41 - 1, 0)</f>
        <v>31687.225143623687</v>
      </c>
      <c r="W1209" s="100" t="str">
        <f>IF(ISERROR(MATCH(SamplingData[[#This Row],[Batch by Type (p)]],SelectedPrecincts[Batch Name], 0)), "", INDEX(SelectedPrecincts[Draw], MATCH(SamplingData[[#This Row],[Batch by Type (p)]],SelectedPrecincts[Batch Name], 0)))</f>
        <v/>
      </c>
      <c r="X1209" s="102">
        <f>IF(COUNTIF(SelectedPrecincts[Batch Name],SamplingData[[#This Row],[Batch by Type (p)]]) &lt;&gt; 0, COUNTIF(SelectedPrecincts[Batch Name],SamplingData[[#This Row],[Batch by Type (p)]]), 0)</f>
        <v>0</v>
      </c>
    </row>
    <row r="1210" spans="1:24" ht="15" customHeight="1">
      <c r="A1210" s="18" t="s">
        <v>1386</v>
      </c>
      <c r="B1210" s="18">
        <v>12</v>
      </c>
      <c r="C1210" s="18">
        <v>5</v>
      </c>
      <c r="D1210" s="18">
        <v>3</v>
      </c>
      <c r="E1210" s="18">
        <v>2</v>
      </c>
      <c r="F1210" s="18">
        <v>0</v>
      </c>
      <c r="G1210" s="18">
        <v>0</v>
      </c>
      <c r="H1210" s="18">
        <v>0</v>
      </c>
      <c r="I1210" s="18">
        <v>0</v>
      </c>
      <c r="J1210" s="99">
        <f>SUM(SamplingData[[#This Row],[Losing Candidate]:[Under Votes]])</f>
        <v>22</v>
      </c>
      <c r="K1210"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210" s="100">
        <f>IF(AND(SamplingData[[#This Row],[Total]]&lt;&gt; 0, NOT(ISBLANK(SamplingData[[#This Row],[Candidate 3]]))),(SamplingData[[#This Row],[Total]]+SamplingData[[#This Row],[Winning Candidate]]-SamplingData[[#This Row],[Candidate 3]])/(SamplingData[[#Totals],[Winning Candidate]]-SamplingData[[#Totals],[Candidate 3]]), 0)</f>
        <v>7.7426847759460595E-4</v>
      </c>
      <c r="M1210" s="100">
        <f>IF(AND(SamplingData[[#This Row],[Total]]&lt;&gt; 0, NOT(ISBLANK(SamplingData[[#This Row],[Candidate 4]]))),(SamplingData[[#This Row],[Total]]+SamplingData[[#This Row],[Winning Candidate]]-SamplingData[[#This Row],[Candidate 4]])/(SamplingData[[#Totals],[Winning Candidate]]-SamplingData[[#Totals],[Candidate 4]]), 0)</f>
        <v>7.3080183577421145E-4</v>
      </c>
      <c r="N1210" s="100">
        <f>IF(AND(SamplingData[[#This Row],[Total]]&lt;&gt; 0, NOT(ISBLANK(SamplingData[[#This Row],[Candidate 5]]))),(SamplingData[[#This Row],[Total]]+SamplingData[[#This Row],[Winning Candidate]]-SamplingData[[#This Row],[Candidate 5]])/(SamplingData[[#Totals],[Winning Candidate]]-SamplingData[[#Totals],[Candidate 5]]), 0)</f>
        <v>6.5677450741911947E-4</v>
      </c>
      <c r="O1210" s="100">
        <f>IF(AND(SamplingData[[#This Row],[Total]]&lt;&gt; 0, NOT(ISBLANK(SamplingData[[#This Row],[Candidate 6]]))),(SamplingData[[#This Row],[Total]]+SamplingData[[#This Row],[Winning Candidate]]-SamplingData[[#This Row],[Candidate 6]])/(SamplingData[[#Totals],[Winning Candidate]]-SamplingData[[#Totals],[Candidate 6]]), 0)</f>
        <v>6.5658285102864649E-4</v>
      </c>
      <c r="P1210" s="100">
        <f>MAX(SamplingData[[#This Row],[Error Bound (up) - Max. possible relative overstatement - Losing Candidate]:[Error Bound (up) - Max. possible relative overstatement - Candidate 6]])</f>
        <v>9.1866731994120533E-4</v>
      </c>
      <c r="Q1210" s="100">
        <f>IF(SamplingData[[#This Row],[Max Error Bound (up)]] = 0,0,SamplingData[[#This Row],[Max Error Bound (up)]]/SamplingData[[#Totals],[Max Error Bound (up)]])</f>
        <v>1.4539422417668749E-4</v>
      </c>
      <c r="R1210" s="101">
        <f>SUM($Q$5:Q1210)</f>
        <v>0.31702764566041358</v>
      </c>
      <c r="S1210" s="100" t="str">
        <f t="array" ref="S1210">IF(SamplingData[[#This Row],[up/U Selection Probability]] = 0, "Zero", TEXT(SamplingData[[#This Row],[Lower Range]], REPT("0",LEN('General Info'!$B$40))) &amp; " - " &amp; TEXT(SamplingData[[#This Row],[Upper Range]], REPT("0",LEN('General Info'!$B$40))))</f>
        <v>31688 - 31702</v>
      </c>
      <c r="T1210" s="100">
        <f>SamplingData[[#This Row],[Upper Range]]-SamplingData[[#This Row],[Span]]</f>
        <v>31688.225289017915</v>
      </c>
      <c r="U1210" s="100">
        <f>IF(ISNUMBER('General Info'!$B$40), ((SamplingData[[#This Row],[up/U Selection Probability]]) * 'General Info'!$B$40) - 1, 0)</f>
        <v>13.539277023444573</v>
      </c>
      <c r="V1210" s="100">
        <f>IF(ISNUMBER('General Info'!$B$40), (SamplingData[[#This Row],[Running (cumulative) sum]] * ('General Info'!$B$40 -'General Info'!$B$41 + 1)) + 'General Info'!$B$41 - 1, 0)</f>
        <v>31701.764566041358</v>
      </c>
      <c r="W1210" s="100" t="str">
        <f>IF(ISERROR(MATCH(SamplingData[[#This Row],[Batch by Type (p)]],SelectedPrecincts[Batch Name], 0)), "", INDEX(SelectedPrecincts[Draw], MATCH(SamplingData[[#This Row],[Batch by Type (p)]],SelectedPrecincts[Batch Name], 0)))</f>
        <v/>
      </c>
      <c r="X1210" s="102">
        <f>IF(COUNTIF(SelectedPrecincts[Batch Name],SamplingData[[#This Row],[Batch by Type (p)]]) &lt;&gt; 0, COUNTIF(SelectedPrecincts[Batch Name],SamplingData[[#This Row],[Batch by Type (p)]]), 0)</f>
        <v>0</v>
      </c>
    </row>
    <row r="1211" spans="1:24" ht="15" customHeight="1">
      <c r="A1211" s="18" t="s">
        <v>1387</v>
      </c>
      <c r="B1211" s="18">
        <v>12</v>
      </c>
      <c r="C1211" s="18">
        <v>10</v>
      </c>
      <c r="D1211" s="16">
        <v>6</v>
      </c>
      <c r="E1211" s="16">
        <v>2</v>
      </c>
      <c r="F1211" s="37">
        <v>0</v>
      </c>
      <c r="G1211" s="37">
        <v>2</v>
      </c>
      <c r="H1211" s="17">
        <v>0</v>
      </c>
      <c r="I1211" s="17">
        <v>0</v>
      </c>
      <c r="J1211" s="99">
        <f>SUM(SamplingData[[#This Row],[Losing Candidate]:[Under Votes]])</f>
        <v>32</v>
      </c>
      <c r="K1211"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1211" s="100">
        <f>IF(AND(SamplingData[[#This Row],[Total]]&lt;&gt; 0, NOT(ISBLANK(SamplingData[[#This Row],[Candidate 3]]))),(SamplingData[[#This Row],[Total]]+SamplingData[[#This Row],[Winning Candidate]]-SamplingData[[#This Row],[Candidate 3]])/(SamplingData[[#Totals],[Winning Candidate]]-SamplingData[[#Totals],[Candidate 3]]), 0)</f>
        <v>1.1614027163919089E-3</v>
      </c>
      <c r="M1211" s="100">
        <f>IF(AND(SamplingData[[#This Row],[Total]]&lt;&gt; 0, NOT(ISBLANK(SamplingData[[#This Row],[Candidate 4]]))),(SamplingData[[#This Row],[Total]]+SamplingData[[#This Row],[Winning Candidate]]-SamplingData[[#This Row],[Candidate 4]])/(SamplingData[[#Totals],[Winning Candidate]]-SamplingData[[#Totals],[Candidate 4]]), 0)</f>
        <v>1.1692829372387384E-3</v>
      </c>
      <c r="N1211" s="100">
        <f>IF(AND(SamplingData[[#This Row],[Total]]&lt;&gt; 0, NOT(ISBLANK(SamplingData[[#This Row],[Candidate 5]]))),(SamplingData[[#This Row],[Total]]+SamplingData[[#This Row],[Winning Candidate]]-SamplingData[[#This Row],[Candidate 5]])/(SamplingData[[#Totals],[Winning Candidate]]-SamplingData[[#Totals],[Candidate 5]]), 0)</f>
        <v>1.0216492337630748E-3</v>
      </c>
      <c r="O1211" s="100">
        <f>IF(AND(SamplingData[[#This Row],[Total]]&lt;&gt; 0, NOT(ISBLANK(SamplingData[[#This Row],[Candidate 6]]))),(SamplingData[[#This Row],[Total]]+SamplingData[[#This Row],[Winning Candidate]]-SamplingData[[#This Row],[Candidate 6]])/(SamplingData[[#Totals],[Winning Candidate]]-SamplingData[[#Totals],[Candidate 6]]), 0)</f>
        <v>9.7271533485725399E-4</v>
      </c>
      <c r="P1211" s="100">
        <f>MAX(SamplingData[[#This Row],[Error Bound (up) - Max. possible relative overstatement - Losing Candidate]:[Error Bound (up) - Max. possible relative overstatement - Candidate 6]])</f>
        <v>1.8373346398824107E-3</v>
      </c>
      <c r="Q1211" s="100">
        <f>IF(SamplingData[[#This Row],[Max Error Bound (up)]] = 0,0,SamplingData[[#This Row],[Max Error Bound (up)]]/SamplingData[[#Totals],[Max Error Bound (up)]])</f>
        <v>2.9078844835337498E-4</v>
      </c>
      <c r="R1211" s="101">
        <f>SUM($Q$5:Q1211)</f>
        <v>0.31731843410876698</v>
      </c>
      <c r="S1211" s="100" t="str">
        <f t="array" ref="S1211">IF(SamplingData[[#This Row],[up/U Selection Probability]] = 0, "Zero", TEXT(SamplingData[[#This Row],[Lower Range]], REPT("0",LEN('General Info'!$B$40))) &amp; " - " &amp; TEXT(SamplingData[[#This Row],[Upper Range]], REPT("0",LEN('General Info'!$B$40))))</f>
        <v>31703 - 31731</v>
      </c>
      <c r="T1211" s="100">
        <f>SamplingData[[#This Row],[Upper Range]]-SamplingData[[#This Row],[Span]]</f>
        <v>31702.764856829806</v>
      </c>
      <c r="U1211" s="100">
        <f>IF(ISNUMBER('General Info'!$B$40), ((SamplingData[[#This Row],[up/U Selection Probability]]) * 'General Info'!$B$40) - 1, 0)</f>
        <v>28.078554046889145</v>
      </c>
      <c r="V1211" s="100">
        <f>IF(ISNUMBER('General Info'!$B$40), (SamplingData[[#This Row],[Running (cumulative) sum]] * ('General Info'!$B$40 -'General Info'!$B$41 + 1)) + 'General Info'!$B$41 - 1, 0)</f>
        <v>31730.843410876696</v>
      </c>
      <c r="W1211" s="100" t="str">
        <f>IF(ISERROR(MATCH(SamplingData[[#This Row],[Batch by Type (p)]],SelectedPrecincts[Batch Name], 0)), "", INDEX(SelectedPrecincts[Draw], MATCH(SamplingData[[#This Row],[Batch by Type (p)]],SelectedPrecincts[Batch Name], 0)))</f>
        <v/>
      </c>
      <c r="X1211" s="102">
        <f>IF(COUNTIF(SelectedPrecincts[Batch Name],SamplingData[[#This Row],[Batch by Type (p)]]) &lt;&gt; 0, COUNTIF(SelectedPrecincts[Batch Name],SamplingData[[#This Row],[Batch by Type (p)]]), 0)</f>
        <v>0</v>
      </c>
    </row>
    <row r="1212" spans="1:24" ht="15" customHeight="1">
      <c r="A1212" s="18" t="s">
        <v>1388</v>
      </c>
      <c r="B1212" s="18">
        <v>13</v>
      </c>
      <c r="C1212" s="18">
        <v>14</v>
      </c>
      <c r="D1212" s="18">
        <v>2</v>
      </c>
      <c r="E1212" s="18">
        <v>2</v>
      </c>
      <c r="F1212" s="18">
        <v>2</v>
      </c>
      <c r="G1212" s="18">
        <v>1</v>
      </c>
      <c r="H1212" s="18">
        <v>0</v>
      </c>
      <c r="I1212" s="18">
        <v>0</v>
      </c>
      <c r="J1212" s="99">
        <f>SUM(SamplingData[[#This Row],[Losing Candidate]:[Under Votes]])</f>
        <v>34</v>
      </c>
      <c r="K1212" s="100">
        <f>IF(AND(SamplingData[[#This Row],[Total]]&lt;&gt; 0, NOT(ISBLANK(SamplingData[[#This Row],[Losing Candidate]]))),(SamplingData[[#This Row],[Total]]+SamplingData[[#This Row],[Winning Candidate]]-SamplingData[[#This Row],[Losing Candidate]])/(SamplingData[[#Totals],[Winning Candidate]]-SamplingData[[#Totals],[Losing Candidate]]), 0)</f>
        <v>2.1435570798628125E-3</v>
      </c>
      <c r="L1212" s="100">
        <f>IF(AND(SamplingData[[#This Row],[Total]]&lt;&gt; 0, NOT(ISBLANK(SamplingData[[#This Row],[Candidate 3]]))),(SamplingData[[#This Row],[Total]]+SamplingData[[#This Row],[Winning Candidate]]-SamplingData[[#This Row],[Candidate 3]])/(SamplingData[[#Totals],[Winning Candidate]]-SamplingData[[#Totals],[Candidate 3]]), 0)</f>
        <v>1.4840145820563281E-3</v>
      </c>
      <c r="M1212" s="100">
        <f>IF(AND(SamplingData[[#This Row],[Total]]&lt;&gt; 0, NOT(ISBLANK(SamplingData[[#This Row],[Candidate 4]]))),(SamplingData[[#This Row],[Total]]+SamplingData[[#This Row],[Winning Candidate]]-SamplingData[[#This Row],[Candidate 4]])/(SamplingData[[#Totals],[Winning Candidate]]-SamplingData[[#Totals],[Candidate 4]]), 0)</f>
        <v>1.344675377824549E-3</v>
      </c>
      <c r="N1212" s="100">
        <f>IF(AND(SamplingData[[#This Row],[Total]]&lt;&gt; 0, NOT(ISBLANK(SamplingData[[#This Row],[Candidate 5]]))),(SamplingData[[#This Row],[Total]]+SamplingData[[#This Row],[Winning Candidate]]-SamplingData[[#This Row],[Candidate 5]])/(SamplingData[[#Totals],[Winning Candidate]]-SamplingData[[#Totals],[Candidate 5]]), 0)</f>
        <v>1.1189491607881295E-3</v>
      </c>
      <c r="O1212" s="100">
        <f>IF(AND(SamplingData[[#This Row],[Total]]&lt;&gt; 0, NOT(ISBLANK(SamplingData[[#This Row],[Candidate 6]]))),(SamplingData[[#This Row],[Total]]+SamplingData[[#This Row],[Winning Candidate]]-SamplingData[[#This Row],[Candidate 6]])/(SamplingData[[#Totals],[Winning Candidate]]-SamplingData[[#Totals],[Candidate 6]]), 0)</f>
        <v>1.1429405184572735E-3</v>
      </c>
      <c r="P1212" s="100">
        <f>MAX(SamplingData[[#This Row],[Error Bound (up) - Max. possible relative overstatement - Losing Candidate]:[Error Bound (up) - Max. possible relative overstatement - Candidate 6]])</f>
        <v>2.1435570798628125E-3</v>
      </c>
      <c r="Q1212" s="100">
        <f>IF(SamplingData[[#This Row],[Max Error Bound (up)]] = 0,0,SamplingData[[#This Row],[Max Error Bound (up)]]/SamplingData[[#Totals],[Max Error Bound (up)]])</f>
        <v>3.3925318974560413E-4</v>
      </c>
      <c r="R1212" s="101">
        <f>SUM($Q$5:Q1212)</f>
        <v>0.31765768729851257</v>
      </c>
      <c r="S1212" s="100" t="str">
        <f t="array" ref="S1212">IF(SamplingData[[#This Row],[up/U Selection Probability]] = 0, "Zero", TEXT(SamplingData[[#This Row],[Lower Range]], REPT("0",LEN('General Info'!$B$40))) &amp; " - " &amp; TEXT(SamplingData[[#This Row],[Upper Range]], REPT("0",LEN('General Info'!$B$40))))</f>
        <v>31732 - 31765</v>
      </c>
      <c r="T1212" s="100">
        <f>SamplingData[[#This Row],[Upper Range]]-SamplingData[[#This Row],[Span]]</f>
        <v>31731.843750129887</v>
      </c>
      <c r="U1212" s="100">
        <f>IF(ISNUMBER('General Info'!$B$40), ((SamplingData[[#This Row],[up/U Selection Probability]]) * 'General Info'!$B$40) - 1, 0)</f>
        <v>32.924979721370669</v>
      </c>
      <c r="V1212" s="100">
        <f>IF(ISNUMBER('General Info'!$B$40), (SamplingData[[#This Row],[Running (cumulative) sum]] * ('General Info'!$B$40 -'General Info'!$B$41 + 1)) + 'General Info'!$B$41 - 1, 0)</f>
        <v>31764.768729851257</v>
      </c>
      <c r="W1212" s="100" t="str">
        <f>IF(ISERROR(MATCH(SamplingData[[#This Row],[Batch by Type (p)]],SelectedPrecincts[Batch Name], 0)), "", INDEX(SelectedPrecincts[Draw], MATCH(SamplingData[[#This Row],[Batch by Type (p)]],SelectedPrecincts[Batch Name], 0)))</f>
        <v/>
      </c>
      <c r="X1212" s="102">
        <f>IF(COUNTIF(SelectedPrecincts[Batch Name],SamplingData[[#This Row],[Batch by Type (p)]]) &lt;&gt; 0, COUNTIF(SelectedPrecincts[Batch Name],SamplingData[[#This Row],[Batch by Type (p)]]), 0)</f>
        <v>0</v>
      </c>
    </row>
    <row r="1213" spans="1:24" ht="15" customHeight="1">
      <c r="A1213" s="18" t="s">
        <v>1389</v>
      </c>
      <c r="B1213" s="18">
        <v>16</v>
      </c>
      <c r="C1213" s="18">
        <v>23</v>
      </c>
      <c r="D1213" s="16">
        <v>7</v>
      </c>
      <c r="E1213" s="16">
        <v>8</v>
      </c>
      <c r="F1213" s="37">
        <v>0</v>
      </c>
      <c r="G1213" s="37">
        <v>0</v>
      </c>
      <c r="H1213" s="17">
        <v>0</v>
      </c>
      <c r="I1213" s="17">
        <v>0</v>
      </c>
      <c r="J1213" s="99">
        <f>SUM(SamplingData[[#This Row],[Losing Candidate]:[Under Votes]])</f>
        <v>54</v>
      </c>
      <c r="K1213"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213" s="100">
        <f>IF(AND(SamplingData[[#This Row],[Total]]&lt;&gt; 0, NOT(ISBLANK(SamplingData[[#This Row],[Candidate 3]]))),(SamplingData[[#This Row],[Total]]+SamplingData[[#This Row],[Winning Candidate]]-SamplingData[[#This Row],[Candidate 3]])/(SamplingData[[#Totals],[Winning Candidate]]-SamplingData[[#Totals],[Candidate 3]]), 0)</f>
        <v>2.2582830596509338E-3</v>
      </c>
      <c r="M1213" s="100">
        <f>IF(AND(SamplingData[[#This Row],[Total]]&lt;&gt; 0, NOT(ISBLANK(SamplingData[[#This Row],[Candidate 4]]))),(SamplingData[[#This Row],[Total]]+SamplingData[[#This Row],[Winning Candidate]]-SamplingData[[#This Row],[Candidate 4]])/(SamplingData[[#Totals],[Winning Candidate]]-SamplingData[[#Totals],[Candidate 4]]), 0)</f>
        <v>2.0170130667368238E-3</v>
      </c>
      <c r="N1213" s="100">
        <f>IF(AND(SamplingData[[#This Row],[Total]]&lt;&gt; 0, NOT(ISBLANK(SamplingData[[#This Row],[Candidate 5]]))),(SamplingData[[#This Row],[Total]]+SamplingData[[#This Row],[Winning Candidate]]-SamplingData[[#This Row],[Candidate 5]])/(SamplingData[[#Totals],[Winning Candidate]]-SamplingData[[#Totals],[Candidate 5]]), 0)</f>
        <v>1.8730235952323035E-3</v>
      </c>
      <c r="O1213" s="100">
        <f>IF(AND(SamplingData[[#This Row],[Total]]&lt;&gt; 0, NOT(ISBLANK(SamplingData[[#This Row],[Candidate 6]]))),(SamplingData[[#This Row],[Total]]+SamplingData[[#This Row],[Winning Candidate]]-SamplingData[[#This Row],[Candidate 6]])/(SamplingData[[#Totals],[Winning Candidate]]-SamplingData[[#Totals],[Candidate 6]]), 0)</f>
        <v>1.872477019600214E-3</v>
      </c>
      <c r="P1213" s="100">
        <f>MAX(SamplingData[[#This Row],[Error Bound (up) - Max. possible relative overstatement - Losing Candidate]:[Error Bound (up) - Max. possible relative overstatement - Candidate 6]])</f>
        <v>3.7359137677609017E-3</v>
      </c>
      <c r="Q1213" s="100">
        <f>IF(SamplingData[[#This Row],[Max Error Bound (up)]] = 0,0,SamplingData[[#This Row],[Max Error Bound (up)]]/SamplingData[[#Totals],[Max Error Bound (up)]])</f>
        <v>5.9126984498519581E-4</v>
      </c>
      <c r="R1213" s="101">
        <f>SUM($Q$5:Q1213)</f>
        <v>0.31824895714349777</v>
      </c>
      <c r="S1213" s="100" t="str">
        <f t="array" ref="S1213">IF(SamplingData[[#This Row],[up/U Selection Probability]] = 0, "Zero", TEXT(SamplingData[[#This Row],[Lower Range]], REPT("0",LEN('General Info'!$B$40))) &amp; " - " &amp; TEXT(SamplingData[[#This Row],[Upper Range]], REPT("0",LEN('General Info'!$B$40))))</f>
        <v>31766 - 31824</v>
      </c>
      <c r="T1213" s="100">
        <f>SamplingData[[#This Row],[Upper Range]]-SamplingData[[#This Row],[Span]]</f>
        <v>31765.769321121101</v>
      </c>
      <c r="U1213" s="100">
        <f>IF(ISNUMBER('General Info'!$B$40), ((SamplingData[[#This Row],[up/U Selection Probability]]) * 'General Info'!$B$40) - 1, 0)</f>
        <v>58.126393228674594</v>
      </c>
      <c r="V1213" s="100">
        <f>IF(ISNUMBER('General Info'!$B$40), (SamplingData[[#This Row],[Running (cumulative) sum]] * ('General Info'!$B$40 -'General Info'!$B$41 + 1)) + 'General Info'!$B$41 - 1, 0)</f>
        <v>31823.895714349776</v>
      </c>
      <c r="W1213" s="100" t="str">
        <f>IF(ISERROR(MATCH(SamplingData[[#This Row],[Batch by Type (p)]],SelectedPrecincts[Batch Name], 0)), "", INDEX(SelectedPrecincts[Draw], MATCH(SamplingData[[#This Row],[Batch by Type (p)]],SelectedPrecincts[Batch Name], 0)))</f>
        <v/>
      </c>
      <c r="X1213" s="102">
        <f>IF(COUNTIF(SelectedPrecincts[Batch Name],SamplingData[[#This Row],[Batch by Type (p)]]) &lt;&gt; 0, COUNTIF(SelectedPrecincts[Batch Name],SamplingData[[#This Row],[Batch by Type (p)]]), 0)</f>
        <v>0</v>
      </c>
    </row>
    <row r="1214" spans="1:24" ht="15" customHeight="1">
      <c r="A1214" s="18" t="s">
        <v>1390</v>
      </c>
      <c r="B1214" s="18">
        <v>13</v>
      </c>
      <c r="C1214" s="18">
        <v>5</v>
      </c>
      <c r="D1214" s="18">
        <v>3</v>
      </c>
      <c r="E1214" s="18">
        <v>5</v>
      </c>
      <c r="F1214" s="18">
        <v>0</v>
      </c>
      <c r="G1214" s="18">
        <v>0</v>
      </c>
      <c r="H1214" s="18">
        <v>0</v>
      </c>
      <c r="I1214" s="18">
        <v>2</v>
      </c>
      <c r="J1214" s="99">
        <f>SUM(SamplingData[[#This Row],[Losing Candidate]:[Under Votes]])</f>
        <v>28</v>
      </c>
      <c r="K121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214" s="100">
        <f>IF(AND(SamplingData[[#This Row],[Total]]&lt;&gt; 0, NOT(ISBLANK(SamplingData[[#This Row],[Candidate 3]]))),(SamplingData[[#This Row],[Total]]+SamplingData[[#This Row],[Winning Candidate]]-SamplingData[[#This Row],[Candidate 3]])/(SamplingData[[#Totals],[Winning Candidate]]-SamplingData[[#Totals],[Candidate 3]]), 0)</f>
        <v>9.6783559699325746E-4</v>
      </c>
      <c r="M1214" s="100">
        <f>IF(AND(SamplingData[[#This Row],[Total]]&lt;&gt; 0, NOT(ISBLANK(SamplingData[[#This Row],[Candidate 4]]))),(SamplingData[[#This Row],[Total]]+SamplingData[[#This Row],[Winning Candidate]]-SamplingData[[#This Row],[Candidate 4]])/(SamplingData[[#Totals],[Winning Candidate]]-SamplingData[[#Totals],[Candidate 4]]), 0)</f>
        <v>8.1849805606711685E-4</v>
      </c>
      <c r="N1214" s="100">
        <f>IF(AND(SamplingData[[#This Row],[Total]]&lt;&gt; 0, NOT(ISBLANK(SamplingData[[#This Row],[Candidate 5]]))),(SamplingData[[#This Row],[Total]]+SamplingData[[#This Row],[Winning Candidate]]-SamplingData[[#This Row],[Candidate 5]])/(SamplingData[[#Totals],[Winning Candidate]]-SamplingData[[#Totals],[Candidate 5]]), 0)</f>
        <v>8.0272439795670155E-4</v>
      </c>
      <c r="O1214" s="100">
        <f>IF(AND(SamplingData[[#This Row],[Total]]&lt;&gt; 0, NOT(ISBLANK(SamplingData[[#This Row],[Candidate 6]]))),(SamplingData[[#This Row],[Total]]+SamplingData[[#This Row],[Winning Candidate]]-SamplingData[[#This Row],[Candidate 6]])/(SamplingData[[#Totals],[Winning Candidate]]-SamplingData[[#Totals],[Candidate 6]]), 0)</f>
        <v>8.024901512572346E-4</v>
      </c>
      <c r="P1214" s="100">
        <f>MAX(SamplingData[[#This Row],[Error Bound (up) - Max. possible relative overstatement - Losing Candidate]:[Error Bound (up) - Max. possible relative overstatement - Candidate 6]])</f>
        <v>1.224889759921607E-3</v>
      </c>
      <c r="Q1214" s="100">
        <f>IF(SamplingData[[#This Row],[Max Error Bound (up)]] = 0,0,SamplingData[[#This Row],[Max Error Bound (up)]]/SamplingData[[#Totals],[Max Error Bound (up)]])</f>
        <v>1.9385896556891664E-4</v>
      </c>
      <c r="R1214" s="101">
        <f>SUM($Q$5:Q1214)</f>
        <v>0.31844281610906666</v>
      </c>
      <c r="S1214" s="100" t="str">
        <f t="array" ref="S1214">IF(SamplingData[[#This Row],[up/U Selection Probability]] = 0, "Zero", TEXT(SamplingData[[#This Row],[Lower Range]], REPT("0",LEN('General Info'!$B$40))) &amp; " - " &amp; TEXT(SamplingData[[#This Row],[Upper Range]], REPT("0",LEN('General Info'!$B$40))))</f>
        <v>31825 - 31843</v>
      </c>
      <c r="T1214" s="100">
        <f>SamplingData[[#This Row],[Upper Range]]-SamplingData[[#This Row],[Span]]</f>
        <v>31824.895908208739</v>
      </c>
      <c r="U1214" s="100">
        <f>IF(ISNUMBER('General Info'!$B$40), ((SamplingData[[#This Row],[up/U Selection Probability]]) * 'General Info'!$B$40) - 1, 0)</f>
        <v>18.385702697926096</v>
      </c>
      <c r="V1214" s="100">
        <f>IF(ISNUMBER('General Info'!$B$40), (SamplingData[[#This Row],[Running (cumulative) sum]] * ('General Info'!$B$40 -'General Info'!$B$41 + 1)) + 'General Info'!$B$41 - 1, 0)</f>
        <v>31843.281610906666</v>
      </c>
      <c r="W1214" s="100" t="str">
        <f>IF(ISERROR(MATCH(SamplingData[[#This Row],[Batch by Type (p)]],SelectedPrecincts[Batch Name], 0)), "", INDEX(SelectedPrecincts[Draw], MATCH(SamplingData[[#This Row],[Batch by Type (p)]],SelectedPrecincts[Batch Name], 0)))</f>
        <v/>
      </c>
      <c r="X1214" s="102">
        <f>IF(COUNTIF(SelectedPrecincts[Batch Name],SamplingData[[#This Row],[Batch by Type (p)]]) &lt;&gt; 0, COUNTIF(SelectedPrecincts[Batch Name],SamplingData[[#This Row],[Batch by Type (p)]]), 0)</f>
        <v>0</v>
      </c>
    </row>
    <row r="1215" spans="1:24" ht="15" customHeight="1">
      <c r="A1215" s="18" t="s">
        <v>1391</v>
      </c>
      <c r="B1215" s="18">
        <v>16</v>
      </c>
      <c r="C1215" s="18">
        <v>33</v>
      </c>
      <c r="D1215" s="16">
        <v>18</v>
      </c>
      <c r="E1215" s="16">
        <v>4</v>
      </c>
      <c r="F1215" s="37">
        <v>0</v>
      </c>
      <c r="G1215" s="37">
        <v>0</v>
      </c>
      <c r="H1215" s="17">
        <v>0</v>
      </c>
      <c r="I1215" s="17">
        <v>2</v>
      </c>
      <c r="J1215" s="99">
        <f>SUM(SamplingData[[#This Row],[Losing Candidate]:[Under Votes]])</f>
        <v>73</v>
      </c>
      <c r="K1215" s="100">
        <f>IF(AND(SamplingData[[#This Row],[Total]]&lt;&gt; 0, NOT(ISBLANK(SamplingData[[#This Row],[Losing Candidate]]))),(SamplingData[[#This Row],[Total]]+SamplingData[[#This Row],[Winning Candidate]]-SamplingData[[#This Row],[Losing Candidate]])/(SamplingData[[#Totals],[Winning Candidate]]-SamplingData[[#Totals],[Losing Candidate]]), 0)</f>
        <v>5.5120039196472313E-3</v>
      </c>
      <c r="L1215" s="100">
        <f>IF(AND(SamplingData[[#This Row],[Total]]&lt;&gt; 0, NOT(ISBLANK(SamplingData[[#This Row],[Candidate 3]]))),(SamplingData[[#This Row],[Total]]+SamplingData[[#This Row],[Winning Candidate]]-SamplingData[[#This Row],[Candidate 3]])/(SamplingData[[#Totals],[Winning Candidate]]-SamplingData[[#Totals],[Candidate 3]]), 0)</f>
        <v>2.8389844178468883E-3</v>
      </c>
      <c r="M1215" s="100">
        <f>IF(AND(SamplingData[[#This Row],[Total]]&lt;&gt; 0, NOT(ISBLANK(SamplingData[[#This Row],[Candidate 4]]))),(SamplingData[[#This Row],[Total]]+SamplingData[[#This Row],[Winning Candidate]]-SamplingData[[#This Row],[Candidate 4]])/(SamplingData[[#Totals],[Winning Candidate]]-SamplingData[[#Totals],[Candidate 4]]), 0)</f>
        <v>2.9816714899587827E-3</v>
      </c>
      <c r="N1215" s="100">
        <f>IF(AND(SamplingData[[#This Row],[Total]]&lt;&gt; 0, NOT(ISBLANK(SamplingData[[#This Row],[Candidate 5]]))),(SamplingData[[#This Row],[Total]]+SamplingData[[#This Row],[Winning Candidate]]-SamplingData[[#This Row],[Candidate 5]])/(SamplingData[[#Totals],[Winning Candidate]]-SamplingData[[#Totals],[Candidate 5]]), 0)</f>
        <v>2.5784480661639503E-3</v>
      </c>
      <c r="O1215" s="100">
        <f>IF(AND(SamplingData[[#This Row],[Total]]&lt;&gt; 0, NOT(ISBLANK(SamplingData[[#This Row],[Candidate 6]]))),(SamplingData[[#This Row],[Total]]+SamplingData[[#This Row],[Winning Candidate]]-SamplingData[[#This Row],[Candidate 6]])/(SamplingData[[#Totals],[Winning Candidate]]-SamplingData[[#Totals],[Candidate 6]]), 0)</f>
        <v>2.5776956373717232E-3</v>
      </c>
      <c r="P1215" s="100">
        <f>MAX(SamplingData[[#This Row],[Error Bound (up) - Max. possible relative overstatement - Losing Candidate]:[Error Bound (up) - Max. possible relative overstatement - Candidate 6]])</f>
        <v>5.5120039196472313E-3</v>
      </c>
      <c r="Q1215" s="100">
        <f>IF(SamplingData[[#This Row],[Max Error Bound (up)]] = 0,0,SamplingData[[#This Row],[Max Error Bound (up)]]/SamplingData[[#Totals],[Max Error Bound (up)]])</f>
        <v>8.7236534506012473E-4</v>
      </c>
      <c r="R1215" s="101">
        <f>SUM($Q$5:Q1215)</f>
        <v>0.3193151814541268</v>
      </c>
      <c r="S1215" s="100" t="str">
        <f t="array" ref="S1215">IF(SamplingData[[#This Row],[up/U Selection Probability]] = 0, "Zero", TEXT(SamplingData[[#This Row],[Lower Range]], REPT("0",LEN('General Info'!$B$40))) &amp; " - " &amp; TEXT(SamplingData[[#This Row],[Upper Range]], REPT("0",LEN('General Info'!$B$40))))</f>
        <v>31844 - 31931</v>
      </c>
      <c r="T1215" s="100">
        <f>SamplingData[[#This Row],[Upper Range]]-SamplingData[[#This Row],[Span]]</f>
        <v>31844.282483272011</v>
      </c>
      <c r="U1215" s="100">
        <f>IF(ISNUMBER('General Info'!$B$40), ((SamplingData[[#This Row],[up/U Selection Probability]]) * 'General Info'!$B$40) - 1, 0)</f>
        <v>86.235662140667415</v>
      </c>
      <c r="V1215" s="100">
        <f>IF(ISNUMBER('General Info'!$B$40), (SamplingData[[#This Row],[Running (cumulative) sum]] * ('General Info'!$B$40 -'General Info'!$B$41 + 1)) + 'General Info'!$B$41 - 1, 0)</f>
        <v>31930.51814541268</v>
      </c>
      <c r="W1215" s="100" t="str">
        <f>IF(ISERROR(MATCH(SamplingData[[#This Row],[Batch by Type (p)]],SelectedPrecincts[Batch Name], 0)), "", INDEX(SelectedPrecincts[Draw], MATCH(SamplingData[[#This Row],[Batch by Type (p)]],SelectedPrecincts[Batch Name], 0)))</f>
        <v/>
      </c>
      <c r="X1215" s="102">
        <f>IF(COUNTIF(SelectedPrecincts[Batch Name],SamplingData[[#This Row],[Batch by Type (p)]]) &lt;&gt; 0, COUNTIF(SelectedPrecincts[Batch Name],SamplingData[[#This Row],[Batch by Type (p)]]), 0)</f>
        <v>0</v>
      </c>
    </row>
    <row r="1216" spans="1:24" ht="15" customHeight="1">
      <c r="A1216" s="18" t="s">
        <v>1392</v>
      </c>
      <c r="B1216" s="18">
        <v>12</v>
      </c>
      <c r="C1216" s="18">
        <v>17</v>
      </c>
      <c r="D1216" s="18">
        <v>4</v>
      </c>
      <c r="E1216" s="18">
        <v>3</v>
      </c>
      <c r="F1216" s="18">
        <v>0</v>
      </c>
      <c r="G1216" s="18">
        <v>0</v>
      </c>
      <c r="H1216" s="18">
        <v>0</v>
      </c>
      <c r="I1216" s="18">
        <v>1</v>
      </c>
      <c r="J1216" s="99">
        <f>SUM(SamplingData[[#This Row],[Losing Candidate]:[Under Votes]])</f>
        <v>37</v>
      </c>
      <c r="K1216"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216" s="100">
        <f>IF(AND(SamplingData[[#This Row],[Total]]&lt;&gt; 0, NOT(ISBLANK(SamplingData[[#This Row],[Candidate 3]]))),(SamplingData[[#This Row],[Total]]+SamplingData[[#This Row],[Winning Candidate]]-SamplingData[[#This Row],[Candidate 3]])/(SamplingData[[#Totals],[Winning Candidate]]-SamplingData[[#Totals],[Candidate 3]]), 0)</f>
        <v>1.6130593283220957E-3</v>
      </c>
      <c r="M1216" s="100">
        <f>IF(AND(SamplingData[[#This Row],[Total]]&lt;&gt; 0, NOT(ISBLANK(SamplingData[[#This Row],[Candidate 4]]))),(SamplingData[[#This Row],[Total]]+SamplingData[[#This Row],[Winning Candidate]]-SamplingData[[#This Row],[Candidate 4]])/(SamplingData[[#Totals],[Winning Candidate]]-SamplingData[[#Totals],[Candidate 4]]), 0)</f>
        <v>1.4908357449793914E-3</v>
      </c>
      <c r="N1216" s="100">
        <f>IF(AND(SamplingData[[#This Row],[Total]]&lt;&gt; 0, NOT(ISBLANK(SamplingData[[#This Row],[Candidate 5]]))),(SamplingData[[#This Row],[Total]]+SamplingData[[#This Row],[Winning Candidate]]-SamplingData[[#This Row],[Candidate 5]])/(SamplingData[[#Totals],[Winning Candidate]]-SamplingData[[#Totals],[Candidate 5]]), 0)</f>
        <v>1.3135490148382389E-3</v>
      </c>
      <c r="O1216" s="100">
        <f>IF(AND(SamplingData[[#This Row],[Total]]&lt;&gt; 0, NOT(ISBLANK(SamplingData[[#This Row],[Candidate 6]]))),(SamplingData[[#This Row],[Total]]+SamplingData[[#This Row],[Winning Candidate]]-SamplingData[[#This Row],[Candidate 6]])/(SamplingData[[#Totals],[Winning Candidate]]-SamplingData[[#Totals],[Candidate 6]]), 0)</f>
        <v>1.313165702057293E-3</v>
      </c>
      <c r="P1216" s="100">
        <f>MAX(SamplingData[[#This Row],[Error Bound (up) - Max. possible relative overstatement - Losing Candidate]:[Error Bound (up) - Max. possible relative overstatement - Candidate 6]])</f>
        <v>2.5722684958353749E-3</v>
      </c>
      <c r="Q1216" s="100">
        <f>IF(SamplingData[[#This Row],[Max Error Bound (up)]] = 0,0,SamplingData[[#This Row],[Max Error Bound (up)]]/SamplingData[[#Totals],[Max Error Bound (up)]])</f>
        <v>4.0710382769472496E-4</v>
      </c>
      <c r="R1216" s="101">
        <f>SUM($Q$5:Q1216)</f>
        <v>0.31972228528182151</v>
      </c>
      <c r="S1216" s="100" t="str">
        <f t="array" ref="S1216">IF(SamplingData[[#This Row],[up/U Selection Probability]] = 0, "Zero", TEXT(SamplingData[[#This Row],[Lower Range]], REPT("0",LEN('General Info'!$B$40))) &amp; " - " &amp; TEXT(SamplingData[[#This Row],[Upper Range]], REPT("0",LEN('General Info'!$B$40))))</f>
        <v>31932 - 31971</v>
      </c>
      <c r="T1216" s="100">
        <f>SamplingData[[#This Row],[Upper Range]]-SamplingData[[#This Row],[Span]]</f>
        <v>31931.518552516503</v>
      </c>
      <c r="U1216" s="100">
        <f>IF(ISNUMBER('General Info'!$B$40), ((SamplingData[[#This Row],[up/U Selection Probability]]) * 'General Info'!$B$40) - 1, 0)</f>
        <v>39.709975665644798</v>
      </c>
      <c r="V1216" s="100">
        <f>IF(ISNUMBER('General Info'!$B$40), (SamplingData[[#This Row],[Running (cumulative) sum]] * ('General Info'!$B$40 -'General Info'!$B$41 + 1)) + 'General Info'!$B$41 - 1, 0)</f>
        <v>31971.22852818215</v>
      </c>
      <c r="W1216" s="100" t="str">
        <f>IF(ISERROR(MATCH(SamplingData[[#This Row],[Batch by Type (p)]],SelectedPrecincts[Batch Name], 0)), "", INDEX(SelectedPrecincts[Draw], MATCH(SamplingData[[#This Row],[Batch by Type (p)]],SelectedPrecincts[Batch Name], 0)))</f>
        <v/>
      </c>
      <c r="X1216" s="102">
        <f>IF(COUNTIF(SelectedPrecincts[Batch Name],SamplingData[[#This Row],[Batch by Type (p)]]) &lt;&gt; 0, COUNTIF(SelectedPrecincts[Batch Name],SamplingData[[#This Row],[Batch by Type (p)]]), 0)</f>
        <v>0</v>
      </c>
    </row>
    <row r="1217" spans="1:24" ht="15" customHeight="1">
      <c r="A1217" s="18" t="s">
        <v>1393</v>
      </c>
      <c r="B1217" s="18">
        <v>26</v>
      </c>
      <c r="C1217" s="18">
        <v>28</v>
      </c>
      <c r="D1217" s="16">
        <v>12</v>
      </c>
      <c r="E1217" s="16">
        <v>10</v>
      </c>
      <c r="F1217" s="37">
        <v>0</v>
      </c>
      <c r="G1217" s="37">
        <v>1</v>
      </c>
      <c r="H1217" s="17">
        <v>0</v>
      </c>
      <c r="I1217" s="17">
        <v>1</v>
      </c>
      <c r="J1217" s="99">
        <f>SUM(SamplingData[[#This Row],[Losing Candidate]:[Under Votes]])</f>
        <v>78</v>
      </c>
      <c r="K1217"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4.8995590396864281E-3</v>
      </c>
      <c r="L1217" s="100">
        <f>IF(AND(SamplingData[[#This Row],[Total]]&lt;&gt; 0, NOT(ISBLANK(SamplingData[[#This Row],[Candidate 3]]))),(SamplingData[[#This Row],[Total]]+SamplingData[[#This Row],[Winning Candidate]]-SamplingData[[#This Row],[Candidate 3]])/(SamplingData[[#Totals],[Winning Candidate]]-SamplingData[[#Totals],[Candidate 3]]), 0)</f>
        <v>3.0325515372455398E-3</v>
      </c>
      <c r="M1217" s="100">
        <f>IF(AND(SamplingData[[#This Row],[Total]]&lt;&gt; 0, NOT(ISBLANK(SamplingData[[#This Row],[Candidate 4]]))),(SamplingData[[#This Row],[Total]]+SamplingData[[#This Row],[Winning Candidate]]-SamplingData[[#This Row],[Candidate 4]])/(SamplingData[[#Totals],[Winning Candidate]]-SamplingData[[#Totals],[Candidate 4]]), 0)</f>
        <v>2.8062790493729719E-3</v>
      </c>
      <c r="N1217" s="100">
        <f>IF(AND(SamplingData[[#This Row],[Total]]&lt;&gt; 0, NOT(ISBLANK(SamplingData[[#This Row],[Candidate 5]]))),(SamplingData[[#This Row],[Total]]+SamplingData[[#This Row],[Winning Candidate]]-SamplingData[[#This Row],[Candidate 5]])/(SamplingData[[#Totals],[Winning Candidate]]-SamplingData[[#Totals],[Candidate 5]]), 0)</f>
        <v>2.5784480661639503E-3</v>
      </c>
      <c r="O1217" s="100">
        <f>IF(AND(SamplingData[[#This Row],[Total]]&lt;&gt; 0, NOT(ISBLANK(SamplingData[[#This Row],[Candidate 6]]))),(SamplingData[[#This Row],[Total]]+SamplingData[[#This Row],[Winning Candidate]]-SamplingData[[#This Row],[Candidate 6]])/(SamplingData[[#Totals],[Winning Candidate]]-SamplingData[[#Totals],[Candidate 6]]), 0)</f>
        <v>2.5533777540002918E-3</v>
      </c>
      <c r="P1217" s="100">
        <f>MAX(SamplingData[[#This Row],[Error Bound (up) - Max. possible relative overstatement - Losing Candidate]:[Error Bound (up) - Max. possible relative overstatement - Candidate 6]])</f>
        <v>4.8995590396864281E-3</v>
      </c>
      <c r="Q1217" s="100">
        <f>IF(SamplingData[[#This Row],[Max Error Bound (up)]] = 0,0,SamplingData[[#This Row],[Max Error Bound (up)]]/SamplingData[[#Totals],[Max Error Bound (up)]])</f>
        <v>7.7543586227566655E-4</v>
      </c>
      <c r="R1217" s="101">
        <f>SUM($Q$5:Q1217)</f>
        <v>0.32049772114409719</v>
      </c>
      <c r="S1217" s="100" t="str">
        <f t="array" ref="S1217">IF(SamplingData[[#This Row],[up/U Selection Probability]] = 0, "Zero", TEXT(SamplingData[[#This Row],[Lower Range]], REPT("0",LEN('General Info'!$B$40))) &amp; " - " &amp; TEXT(SamplingData[[#This Row],[Upper Range]], REPT("0",LEN('General Info'!$B$40))))</f>
        <v>31972 - 32049</v>
      </c>
      <c r="T1217" s="100">
        <f>SamplingData[[#This Row],[Upper Range]]-SamplingData[[#This Row],[Span]]</f>
        <v>31972.229303618016</v>
      </c>
      <c r="U1217" s="100">
        <f>IF(ISNUMBER('General Info'!$B$40), ((SamplingData[[#This Row],[up/U Selection Probability]]) * 'General Info'!$B$40) - 1, 0)</f>
        <v>76.542810791704383</v>
      </c>
      <c r="V1217" s="100">
        <f>IF(ISNUMBER('General Info'!$B$40), (SamplingData[[#This Row],[Running (cumulative) sum]] * ('General Info'!$B$40 -'General Info'!$B$41 + 1)) + 'General Info'!$B$41 - 1, 0)</f>
        <v>32048.77211440972</v>
      </c>
      <c r="W1217" s="100" t="str">
        <f>IF(ISERROR(MATCH(SamplingData[[#This Row],[Batch by Type (p)]],SelectedPrecincts[Batch Name], 0)), "", INDEX(SelectedPrecincts[Draw], MATCH(SamplingData[[#This Row],[Batch by Type (p)]],SelectedPrecincts[Batch Name], 0)))</f>
        <v/>
      </c>
      <c r="X1217" s="102">
        <f>IF(COUNTIF(SelectedPrecincts[Batch Name],SamplingData[[#This Row],[Batch by Type (p)]]) &lt;&gt; 0, COUNTIF(SelectedPrecincts[Batch Name],SamplingData[[#This Row],[Batch by Type (p)]]), 0)</f>
        <v>0</v>
      </c>
    </row>
    <row r="1218" spans="1:24" ht="15" customHeight="1">
      <c r="A1218" s="18" t="s">
        <v>1394</v>
      </c>
      <c r="B1218" s="18">
        <v>9</v>
      </c>
      <c r="C1218" s="18">
        <v>12</v>
      </c>
      <c r="D1218" s="18">
        <v>0</v>
      </c>
      <c r="E1218" s="18">
        <v>2</v>
      </c>
      <c r="F1218" s="18">
        <v>0</v>
      </c>
      <c r="G1218" s="18">
        <v>1</v>
      </c>
      <c r="H1218" s="18">
        <v>0</v>
      </c>
      <c r="I1218" s="18">
        <v>0</v>
      </c>
      <c r="J1218" s="99">
        <f>SUM(SamplingData[[#This Row],[Losing Candidate]:[Under Votes]])</f>
        <v>24</v>
      </c>
      <c r="K1218"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1218" s="100">
        <f>IF(AND(SamplingData[[#This Row],[Total]]&lt;&gt; 0, NOT(ISBLANK(SamplingData[[#This Row],[Candidate 3]]))),(SamplingData[[#This Row],[Total]]+SamplingData[[#This Row],[Winning Candidate]]-SamplingData[[#This Row],[Candidate 3]])/(SamplingData[[#Totals],[Winning Candidate]]-SamplingData[[#Totals],[Candidate 3]]), 0)</f>
        <v>1.1614027163919089E-3</v>
      </c>
      <c r="M1218" s="100">
        <f>IF(AND(SamplingData[[#This Row],[Total]]&lt;&gt; 0, NOT(ISBLANK(SamplingData[[#This Row],[Candidate 4]]))),(SamplingData[[#This Row],[Total]]+SamplingData[[#This Row],[Winning Candidate]]-SamplingData[[#This Row],[Candidate 4]])/(SamplingData[[#Totals],[Winning Candidate]]-SamplingData[[#Totals],[Candidate 4]]), 0)</f>
        <v>9.9389049665292765E-4</v>
      </c>
      <c r="N1218" s="100">
        <f>IF(AND(SamplingData[[#This Row],[Total]]&lt;&gt; 0, NOT(ISBLANK(SamplingData[[#This Row],[Candidate 5]]))),(SamplingData[[#This Row],[Total]]+SamplingData[[#This Row],[Winning Candidate]]-SamplingData[[#This Row],[Candidate 5]])/(SamplingData[[#Totals],[Winning Candidate]]-SamplingData[[#Totals],[Candidate 5]]), 0)</f>
        <v>8.7569934322549259E-4</v>
      </c>
      <c r="O1218" s="100">
        <f>IF(AND(SamplingData[[#This Row],[Total]]&lt;&gt; 0, NOT(ISBLANK(SamplingData[[#This Row],[Candidate 6]]))),(SamplingData[[#This Row],[Total]]+SamplingData[[#This Row],[Winning Candidate]]-SamplingData[[#This Row],[Candidate 6]])/(SamplingData[[#Totals],[Winning Candidate]]-SamplingData[[#Totals],[Candidate 6]]), 0)</f>
        <v>8.5112591800009726E-4</v>
      </c>
      <c r="P1218" s="100">
        <f>MAX(SamplingData[[#This Row],[Error Bound (up) - Max. possible relative overstatement - Losing Candidate]:[Error Bound (up) - Max. possible relative overstatement - Candidate 6]])</f>
        <v>1.6536011758941694E-3</v>
      </c>
      <c r="Q1218" s="100">
        <f>IF(SamplingData[[#This Row],[Max Error Bound (up)]] = 0,0,SamplingData[[#This Row],[Max Error Bound (up)]]/SamplingData[[#Totals],[Max Error Bound (up)]])</f>
        <v>2.6170960351803746E-4</v>
      </c>
      <c r="R1218" s="101">
        <f>SUM($Q$5:Q1218)</f>
        <v>0.3207594307476152</v>
      </c>
      <c r="S1218" s="100" t="str">
        <f t="array" ref="S1218">IF(SamplingData[[#This Row],[up/U Selection Probability]] = 0, "Zero", TEXT(SamplingData[[#This Row],[Lower Range]], REPT("0",LEN('General Info'!$B$40))) &amp; " - " &amp; TEXT(SamplingData[[#This Row],[Upper Range]], REPT("0",LEN('General Info'!$B$40))))</f>
        <v>32050 - 32075</v>
      </c>
      <c r="T1218" s="100">
        <f>SamplingData[[#This Row],[Upper Range]]-SamplingData[[#This Row],[Span]]</f>
        <v>32049.772376119319</v>
      </c>
      <c r="U1218" s="100">
        <f>IF(ISNUMBER('General Info'!$B$40), ((SamplingData[[#This Row],[up/U Selection Probability]]) * 'General Info'!$B$40) - 1, 0)</f>
        <v>25.170698642200229</v>
      </c>
      <c r="V1218" s="100">
        <f>IF(ISNUMBER('General Info'!$B$40), (SamplingData[[#This Row],[Running (cumulative) sum]] * ('General Info'!$B$40 -'General Info'!$B$41 + 1)) + 'General Info'!$B$41 - 1, 0)</f>
        <v>32074.943074761519</v>
      </c>
      <c r="W1218" s="100" t="str">
        <f>IF(ISERROR(MATCH(SamplingData[[#This Row],[Batch by Type (p)]],SelectedPrecincts[Batch Name], 0)), "", INDEX(SelectedPrecincts[Draw], MATCH(SamplingData[[#This Row],[Batch by Type (p)]],SelectedPrecincts[Batch Name], 0)))</f>
        <v/>
      </c>
      <c r="X1218" s="102">
        <f>IF(COUNTIF(SelectedPrecincts[Batch Name],SamplingData[[#This Row],[Batch by Type (p)]]) &lt;&gt; 0, COUNTIF(SelectedPrecincts[Batch Name],SamplingData[[#This Row],[Batch by Type (p)]]), 0)</f>
        <v>0</v>
      </c>
    </row>
    <row r="1219" spans="1:24" ht="15" customHeight="1">
      <c r="A1219" s="18" t="s">
        <v>1395</v>
      </c>
      <c r="B1219" s="18">
        <v>17</v>
      </c>
      <c r="C1219" s="18">
        <v>32</v>
      </c>
      <c r="D1219" s="16">
        <v>5</v>
      </c>
      <c r="E1219" s="16">
        <v>6</v>
      </c>
      <c r="F1219" s="37">
        <v>0</v>
      </c>
      <c r="G1219" s="37">
        <v>0</v>
      </c>
      <c r="H1219" s="17">
        <v>0</v>
      </c>
      <c r="I1219" s="17">
        <v>1</v>
      </c>
      <c r="J1219" s="99">
        <f>SUM(SamplingData[[#This Row],[Losing Candidate]:[Under Votes]])</f>
        <v>61</v>
      </c>
      <c r="K1219" s="100">
        <f>IF(AND(SamplingData[[#This Row],[Total]]&lt;&gt; 0, NOT(ISBLANK(SamplingData[[#This Row],[Losing Candidate]]))),(SamplingData[[#This Row],[Total]]+SamplingData[[#This Row],[Winning Candidate]]-SamplingData[[#This Row],[Losing Candidate]])/(SamplingData[[#Totals],[Winning Candidate]]-SamplingData[[#Totals],[Losing Candidate]]), 0)</f>
        <v>4.6545810877021065E-3</v>
      </c>
      <c r="L1219" s="100">
        <f>IF(AND(SamplingData[[#This Row],[Total]]&lt;&gt; 0, NOT(ISBLANK(SamplingData[[#This Row],[Candidate 3]]))),(SamplingData[[#This Row],[Total]]+SamplingData[[#This Row],[Winning Candidate]]-SamplingData[[#This Row],[Candidate 3]])/(SamplingData[[#Totals],[Winning Candidate]]-SamplingData[[#Totals],[Candidate 3]]), 0)</f>
        <v>2.8389844178468883E-3</v>
      </c>
      <c r="M1219" s="100">
        <f>IF(AND(SamplingData[[#This Row],[Total]]&lt;&gt; 0, NOT(ISBLANK(SamplingData[[#This Row],[Candidate 4]]))),(SamplingData[[#This Row],[Total]]+SamplingData[[#This Row],[Winning Candidate]]-SamplingData[[#This Row],[Candidate 4]])/(SamplingData[[#Totals],[Winning Candidate]]-SamplingData[[#Totals],[Candidate 4]]), 0)</f>
        <v>2.5431903884942557E-3</v>
      </c>
      <c r="N1219" s="100">
        <f>IF(AND(SamplingData[[#This Row],[Total]]&lt;&gt; 0, NOT(ISBLANK(SamplingData[[#This Row],[Candidate 5]]))),(SamplingData[[#This Row],[Total]]+SamplingData[[#This Row],[Winning Candidate]]-SamplingData[[#This Row],[Candidate 5]])/(SamplingData[[#Totals],[Winning Candidate]]-SamplingData[[#Totals],[Candidate 5]]), 0)</f>
        <v>2.2622233033325226E-3</v>
      </c>
      <c r="O1219" s="100">
        <f>IF(AND(SamplingData[[#This Row],[Total]]&lt;&gt; 0, NOT(ISBLANK(SamplingData[[#This Row],[Candidate 6]]))),(SamplingData[[#This Row],[Total]]+SamplingData[[#This Row],[Winning Candidate]]-SamplingData[[#This Row],[Candidate 6]])/(SamplingData[[#Totals],[Winning Candidate]]-SamplingData[[#Totals],[Candidate 6]]), 0)</f>
        <v>2.2615631535431156E-3</v>
      </c>
      <c r="P1219" s="100">
        <f>MAX(SamplingData[[#This Row],[Error Bound (up) - Max. possible relative overstatement - Losing Candidate]:[Error Bound (up) - Max. possible relative overstatement - Candidate 6]])</f>
        <v>4.6545810877021065E-3</v>
      </c>
      <c r="Q1219" s="100">
        <f>IF(SamplingData[[#This Row],[Max Error Bound (up)]] = 0,0,SamplingData[[#This Row],[Max Error Bound (up)]]/SamplingData[[#Totals],[Max Error Bound (up)]])</f>
        <v>7.3666406916188319E-4</v>
      </c>
      <c r="R1219" s="101">
        <f>SUM($Q$5:Q1219)</f>
        <v>0.3214960948167771</v>
      </c>
      <c r="S1219" s="100" t="str">
        <f t="array" ref="S1219">IF(SamplingData[[#This Row],[up/U Selection Probability]] = 0, "Zero", TEXT(SamplingData[[#This Row],[Lower Range]], REPT("0",LEN('General Info'!$B$40))) &amp; " - " &amp; TEXT(SamplingData[[#This Row],[Upper Range]], REPT("0",LEN('General Info'!$B$40))))</f>
        <v>32076 - 32149</v>
      </c>
      <c r="T1219" s="100">
        <f>SamplingData[[#This Row],[Upper Range]]-SamplingData[[#This Row],[Span]]</f>
        <v>32075.943811425594</v>
      </c>
      <c r="U1219" s="100">
        <f>IF(ISNUMBER('General Info'!$B$40), ((SamplingData[[#This Row],[up/U Selection Probability]]) * 'General Info'!$B$40) - 1, 0)</f>
        <v>72.665670252119156</v>
      </c>
      <c r="V1219" s="100">
        <f>IF(ISNUMBER('General Info'!$B$40), (SamplingData[[#This Row],[Running (cumulative) sum]] * ('General Info'!$B$40 -'General Info'!$B$41 + 1)) + 'General Info'!$B$41 - 1, 0)</f>
        <v>32148.609481677711</v>
      </c>
      <c r="W1219" s="100" t="str">
        <f>IF(ISERROR(MATCH(SamplingData[[#This Row],[Batch by Type (p)]],SelectedPrecincts[Batch Name], 0)), "", INDEX(SelectedPrecincts[Draw], MATCH(SamplingData[[#This Row],[Batch by Type (p)]],SelectedPrecincts[Batch Name], 0)))</f>
        <v/>
      </c>
      <c r="X1219" s="102">
        <f>IF(COUNTIF(SelectedPrecincts[Batch Name],SamplingData[[#This Row],[Batch by Type (p)]]) &lt;&gt; 0, COUNTIF(SelectedPrecincts[Batch Name],SamplingData[[#This Row],[Batch by Type (p)]]), 0)</f>
        <v>0</v>
      </c>
    </row>
    <row r="1220" spans="1:24" ht="15" customHeight="1">
      <c r="A1220" s="18" t="s">
        <v>1396</v>
      </c>
      <c r="B1220" s="18">
        <v>22</v>
      </c>
      <c r="C1220" s="18">
        <v>9</v>
      </c>
      <c r="D1220" s="18">
        <v>4</v>
      </c>
      <c r="E1220" s="18">
        <v>3</v>
      </c>
      <c r="F1220" s="18">
        <v>0</v>
      </c>
      <c r="G1220" s="18">
        <v>1</v>
      </c>
      <c r="H1220" s="18">
        <v>0</v>
      </c>
      <c r="I1220" s="18">
        <v>0</v>
      </c>
      <c r="J1220" s="99">
        <f>SUM(SamplingData[[#This Row],[Losing Candidate]:[Under Votes]])</f>
        <v>39</v>
      </c>
      <c r="K1220"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220" s="100">
        <f>IF(AND(SamplingData[[#This Row],[Total]]&lt;&gt; 0, NOT(ISBLANK(SamplingData[[#This Row],[Candidate 3]]))),(SamplingData[[#This Row],[Total]]+SamplingData[[#This Row],[Winning Candidate]]-SamplingData[[#This Row],[Candidate 3]])/(SamplingData[[#Totals],[Winning Candidate]]-SamplingData[[#Totals],[Candidate 3]]), 0)</f>
        <v>1.4194922089234441E-3</v>
      </c>
      <c r="M1220" s="100">
        <f>IF(AND(SamplingData[[#This Row],[Total]]&lt;&gt; 0, NOT(ISBLANK(SamplingData[[#This Row],[Candidate 4]]))),(SamplingData[[#This Row],[Total]]+SamplingData[[#This Row],[Winning Candidate]]-SamplingData[[#This Row],[Candidate 4]])/(SamplingData[[#Totals],[Winning Candidate]]-SamplingData[[#Totals],[Candidate 4]]), 0)</f>
        <v>1.3154433043935806E-3</v>
      </c>
      <c r="N1220" s="100">
        <f>IF(AND(SamplingData[[#This Row],[Total]]&lt;&gt; 0, NOT(ISBLANK(SamplingData[[#This Row],[Candidate 5]]))),(SamplingData[[#This Row],[Total]]+SamplingData[[#This Row],[Winning Candidate]]-SamplingData[[#This Row],[Candidate 5]])/(SamplingData[[#Totals],[Winning Candidate]]-SamplingData[[#Totals],[Candidate 5]]), 0)</f>
        <v>1.1675991243006569E-3</v>
      </c>
      <c r="O1220" s="100">
        <f>IF(AND(SamplingData[[#This Row],[Total]]&lt;&gt; 0, NOT(ISBLANK(SamplingData[[#This Row],[Candidate 6]]))),(SamplingData[[#This Row],[Total]]+SamplingData[[#This Row],[Winning Candidate]]-SamplingData[[#This Row],[Candidate 6]])/(SamplingData[[#Totals],[Winning Candidate]]-SamplingData[[#Totals],[Candidate 6]]), 0)</f>
        <v>1.1429405184572735E-3</v>
      </c>
      <c r="P1220" s="100">
        <f>MAX(SamplingData[[#This Row],[Error Bound (up) - Max. possible relative overstatement - Losing Candidate]:[Error Bound (up) - Max. possible relative overstatement - Candidate 6]])</f>
        <v>1.5923566878980893E-3</v>
      </c>
      <c r="Q1220" s="100">
        <f>IF(SamplingData[[#This Row],[Max Error Bound (up)]] = 0,0,SamplingData[[#This Row],[Max Error Bound (up)]]/SamplingData[[#Totals],[Max Error Bound (up)]])</f>
        <v>2.5201665523959162E-4</v>
      </c>
      <c r="R1220" s="101">
        <f>SUM($Q$5:Q1220)</f>
        <v>0.32174811147201671</v>
      </c>
      <c r="S1220" s="100" t="str">
        <f t="array" ref="S1220">IF(SamplingData[[#This Row],[up/U Selection Probability]] = 0, "Zero", TEXT(SamplingData[[#This Row],[Lower Range]], REPT("0",LEN('General Info'!$B$40))) &amp; " - " &amp; TEXT(SamplingData[[#This Row],[Upper Range]], REPT("0",LEN('General Info'!$B$40))))</f>
        <v>32150 - 32174</v>
      </c>
      <c r="T1220" s="100">
        <f>SamplingData[[#This Row],[Upper Range]]-SamplingData[[#This Row],[Span]]</f>
        <v>32149.609733694368</v>
      </c>
      <c r="U1220" s="100">
        <f>IF(ISNUMBER('General Info'!$B$40), ((SamplingData[[#This Row],[up/U Selection Probability]]) * 'General Info'!$B$40) - 1, 0)</f>
        <v>24.201413507303922</v>
      </c>
      <c r="V1220" s="100">
        <f>IF(ISNUMBER('General Info'!$B$40), (SamplingData[[#This Row],[Running (cumulative) sum]] * ('General Info'!$B$40 -'General Info'!$B$41 + 1)) + 'General Info'!$B$41 - 1, 0)</f>
        <v>32173.811147201672</v>
      </c>
      <c r="W1220" s="100" t="str">
        <f>IF(ISERROR(MATCH(SamplingData[[#This Row],[Batch by Type (p)]],SelectedPrecincts[Batch Name], 0)), "", INDEX(SelectedPrecincts[Draw], MATCH(SamplingData[[#This Row],[Batch by Type (p)]],SelectedPrecincts[Batch Name], 0)))</f>
        <v/>
      </c>
      <c r="X1220" s="102">
        <f>IF(COUNTIF(SelectedPrecincts[Batch Name],SamplingData[[#This Row],[Batch by Type (p)]]) &lt;&gt; 0, COUNTIF(SelectedPrecincts[Batch Name],SamplingData[[#This Row],[Batch by Type (p)]]), 0)</f>
        <v>0</v>
      </c>
    </row>
    <row r="1221" spans="1:24" ht="15" customHeight="1">
      <c r="A1221" s="18" t="s">
        <v>1397</v>
      </c>
      <c r="B1221" s="18">
        <v>20</v>
      </c>
      <c r="C1221" s="18">
        <v>33</v>
      </c>
      <c r="D1221" s="16">
        <v>4</v>
      </c>
      <c r="E1221" s="16">
        <v>6</v>
      </c>
      <c r="F1221" s="37">
        <v>0</v>
      </c>
      <c r="G1221" s="37">
        <v>0</v>
      </c>
      <c r="H1221" s="17">
        <v>0</v>
      </c>
      <c r="I1221" s="17">
        <v>4</v>
      </c>
      <c r="J1221" s="99">
        <f>SUM(SamplingData[[#This Row],[Losing Candidate]:[Under Votes]])</f>
        <v>67</v>
      </c>
      <c r="K1221"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4.8995590396864281E-3</v>
      </c>
      <c r="L1221" s="100">
        <f>IF(AND(SamplingData[[#This Row],[Total]]&lt;&gt; 0, NOT(ISBLANK(SamplingData[[#This Row],[Candidate 3]]))),(SamplingData[[#This Row],[Total]]+SamplingData[[#This Row],[Winning Candidate]]-SamplingData[[#This Row],[Candidate 3]])/(SamplingData[[#Totals],[Winning Candidate]]-SamplingData[[#Totals],[Candidate 3]]), 0)</f>
        <v>3.0970739103784238E-3</v>
      </c>
      <c r="M1221" s="100">
        <f>IF(AND(SamplingData[[#This Row],[Total]]&lt;&gt; 0, NOT(ISBLANK(SamplingData[[#This Row],[Candidate 4]]))),(SamplingData[[#This Row],[Total]]+SamplingData[[#This Row],[Winning Candidate]]-SamplingData[[#This Row],[Candidate 4]])/(SamplingData[[#Totals],[Winning Candidate]]-SamplingData[[#Totals],[Candidate 4]]), 0)</f>
        <v>2.747814902511035E-3</v>
      </c>
      <c r="N1221" s="100">
        <f>IF(AND(SamplingData[[#This Row],[Total]]&lt;&gt; 0, NOT(ISBLANK(SamplingData[[#This Row],[Candidate 5]]))),(SamplingData[[#This Row],[Total]]+SamplingData[[#This Row],[Winning Candidate]]-SamplingData[[#This Row],[Candidate 5]])/(SamplingData[[#Totals],[Winning Candidate]]-SamplingData[[#Totals],[Candidate 5]]), 0)</f>
        <v>2.4324981756263684E-3</v>
      </c>
      <c r="O1221" s="100">
        <f>IF(AND(SamplingData[[#This Row],[Total]]&lt;&gt; 0, NOT(ISBLANK(SamplingData[[#This Row],[Candidate 6]]))),(SamplingData[[#This Row],[Total]]+SamplingData[[#This Row],[Winning Candidate]]-SamplingData[[#This Row],[Candidate 6]])/(SamplingData[[#Totals],[Winning Candidate]]-SamplingData[[#Totals],[Candidate 6]]), 0)</f>
        <v>2.4317883371431349E-3</v>
      </c>
      <c r="P1221" s="100">
        <f>MAX(SamplingData[[#This Row],[Error Bound (up) - Max. possible relative overstatement - Losing Candidate]:[Error Bound (up) - Max. possible relative overstatement - Candidate 6]])</f>
        <v>4.8995590396864281E-3</v>
      </c>
      <c r="Q1221" s="100">
        <f>IF(SamplingData[[#This Row],[Max Error Bound (up)]] = 0,0,SamplingData[[#This Row],[Max Error Bound (up)]]/SamplingData[[#Totals],[Max Error Bound (up)]])</f>
        <v>7.7543586227566655E-4</v>
      </c>
      <c r="R1221" s="101">
        <f>SUM($Q$5:Q1221)</f>
        <v>0.32252354733429239</v>
      </c>
      <c r="S1221" s="100" t="str">
        <f t="array" ref="S1221">IF(SamplingData[[#This Row],[up/U Selection Probability]] = 0, "Zero", TEXT(SamplingData[[#This Row],[Lower Range]], REPT("0",LEN('General Info'!$B$40))) &amp; " - " &amp; TEXT(SamplingData[[#This Row],[Upper Range]], REPT("0",LEN('General Info'!$B$40))))</f>
        <v>32175 - 32251</v>
      </c>
      <c r="T1221" s="100">
        <f>SamplingData[[#This Row],[Upper Range]]-SamplingData[[#This Row],[Span]]</f>
        <v>32174.811922637535</v>
      </c>
      <c r="U1221" s="100">
        <f>IF(ISNUMBER('General Info'!$B$40), ((SamplingData[[#This Row],[up/U Selection Probability]]) * 'General Info'!$B$40) - 1, 0)</f>
        <v>76.542810791704383</v>
      </c>
      <c r="V1221" s="100">
        <f>IF(ISNUMBER('General Info'!$B$40), (SamplingData[[#This Row],[Running (cumulative) sum]] * ('General Info'!$B$40 -'General Info'!$B$41 + 1)) + 'General Info'!$B$41 - 1, 0)</f>
        <v>32251.354733429238</v>
      </c>
      <c r="W1221" s="100" t="str">
        <f>IF(ISERROR(MATCH(SamplingData[[#This Row],[Batch by Type (p)]],SelectedPrecincts[Batch Name], 0)), "", INDEX(SelectedPrecincts[Draw], MATCH(SamplingData[[#This Row],[Batch by Type (p)]],SelectedPrecincts[Batch Name], 0)))</f>
        <v/>
      </c>
      <c r="X1221" s="102">
        <f>IF(COUNTIF(SelectedPrecincts[Batch Name],SamplingData[[#This Row],[Batch by Type (p)]]) &lt;&gt; 0, COUNTIF(SelectedPrecincts[Batch Name],SamplingData[[#This Row],[Batch by Type (p)]]), 0)</f>
        <v>0</v>
      </c>
    </row>
    <row r="1222" spans="1:24" ht="15" customHeight="1">
      <c r="A1222" s="18" t="s">
        <v>1398</v>
      </c>
      <c r="B1222" s="18">
        <v>11</v>
      </c>
      <c r="C1222" s="18">
        <v>22</v>
      </c>
      <c r="D1222" s="18">
        <v>9</v>
      </c>
      <c r="E1222" s="18">
        <v>0</v>
      </c>
      <c r="F1222" s="18">
        <v>0</v>
      </c>
      <c r="G1222" s="18">
        <v>0</v>
      </c>
      <c r="H1222" s="18">
        <v>0</v>
      </c>
      <c r="I1222" s="18">
        <v>2</v>
      </c>
      <c r="J1222" s="99">
        <f>SUM(SamplingData[[#This Row],[Losing Candidate]:[Under Votes]])</f>
        <v>44</v>
      </c>
      <c r="K1222" s="100">
        <f>IF(AND(SamplingData[[#This Row],[Total]]&lt;&gt; 0, NOT(ISBLANK(SamplingData[[#This Row],[Losing Candidate]]))),(SamplingData[[#This Row],[Total]]+SamplingData[[#This Row],[Winning Candidate]]-SamplingData[[#This Row],[Losing Candidate]])/(SamplingData[[#Totals],[Winning Candidate]]-SamplingData[[#Totals],[Losing Candidate]]), 0)</f>
        <v>3.3684468397844193E-3</v>
      </c>
      <c r="L1222" s="100">
        <f>IF(AND(SamplingData[[#This Row],[Total]]&lt;&gt; 0, NOT(ISBLANK(SamplingData[[#This Row],[Candidate 3]]))),(SamplingData[[#This Row],[Total]]+SamplingData[[#This Row],[Winning Candidate]]-SamplingData[[#This Row],[Candidate 3]])/(SamplingData[[#Totals],[Winning Candidate]]-SamplingData[[#Totals],[Candidate 3]]), 0)</f>
        <v>1.8388876342871892E-3</v>
      </c>
      <c r="M1222" s="100">
        <f>IF(AND(SamplingData[[#This Row],[Total]]&lt;&gt; 0, NOT(ISBLANK(SamplingData[[#This Row],[Candidate 4]]))),(SamplingData[[#This Row],[Total]]+SamplingData[[#This Row],[Winning Candidate]]-SamplingData[[#This Row],[Candidate 4]])/(SamplingData[[#Totals],[Winning Candidate]]-SamplingData[[#Totals],[Candidate 4]]), 0)</f>
        <v>1.9293168464439184E-3</v>
      </c>
      <c r="N1222" s="100">
        <f>IF(AND(SamplingData[[#This Row],[Total]]&lt;&gt; 0, NOT(ISBLANK(SamplingData[[#This Row],[Candidate 5]]))),(SamplingData[[#This Row],[Total]]+SamplingData[[#This Row],[Winning Candidate]]-SamplingData[[#This Row],[Candidate 5]])/(SamplingData[[#Totals],[Winning Candidate]]-SamplingData[[#Totals],[Candidate 5]]), 0)</f>
        <v>1.6054487959134031E-3</v>
      </c>
      <c r="O1222" s="100">
        <f>IF(AND(SamplingData[[#This Row],[Total]]&lt;&gt; 0, NOT(ISBLANK(SamplingData[[#This Row],[Candidate 6]]))),(SamplingData[[#This Row],[Total]]+SamplingData[[#This Row],[Winning Candidate]]-SamplingData[[#This Row],[Candidate 6]])/(SamplingData[[#Totals],[Winning Candidate]]-SamplingData[[#Totals],[Candidate 6]]), 0)</f>
        <v>1.6049803025144692E-3</v>
      </c>
      <c r="P1222" s="100">
        <f>MAX(SamplingData[[#This Row],[Error Bound (up) - Max. possible relative overstatement - Losing Candidate]:[Error Bound (up) - Max. possible relative overstatement - Candidate 6]])</f>
        <v>3.3684468397844193E-3</v>
      </c>
      <c r="Q1222" s="100">
        <f>IF(SamplingData[[#This Row],[Max Error Bound (up)]] = 0,0,SamplingData[[#This Row],[Max Error Bound (up)]]/SamplingData[[#Totals],[Max Error Bound (up)]])</f>
        <v>5.3311215531452077E-4</v>
      </c>
      <c r="R1222" s="101">
        <f>SUM($Q$5:Q1222)</f>
        <v>0.32305665948960693</v>
      </c>
      <c r="S1222" s="100" t="str">
        <f t="array" ref="S1222">IF(SamplingData[[#This Row],[up/U Selection Probability]] = 0, "Zero", TEXT(SamplingData[[#This Row],[Lower Range]], REPT("0",LEN('General Info'!$B$40))) &amp; " - " &amp; TEXT(SamplingData[[#This Row],[Upper Range]], REPT("0",LEN('General Info'!$B$40))))</f>
        <v>32252 - 32305</v>
      </c>
      <c r="T1222" s="100">
        <f>SamplingData[[#This Row],[Upper Range]]-SamplingData[[#This Row],[Span]]</f>
        <v>32252.355266541395</v>
      </c>
      <c r="U1222" s="100">
        <f>IF(ISNUMBER('General Info'!$B$40), ((SamplingData[[#This Row],[up/U Selection Probability]]) * 'General Info'!$B$40) - 1, 0)</f>
        <v>52.310682419296761</v>
      </c>
      <c r="V1222" s="100">
        <f>IF(ISNUMBER('General Info'!$B$40), (SamplingData[[#This Row],[Running (cumulative) sum]] * ('General Info'!$B$40 -'General Info'!$B$41 + 1)) + 'General Info'!$B$41 - 1, 0)</f>
        <v>32304.665948960694</v>
      </c>
      <c r="W1222" s="100" t="str">
        <f>IF(ISERROR(MATCH(SamplingData[[#This Row],[Batch by Type (p)]],SelectedPrecincts[Batch Name], 0)), "", INDEX(SelectedPrecincts[Draw], MATCH(SamplingData[[#This Row],[Batch by Type (p)]],SelectedPrecincts[Batch Name], 0)))</f>
        <v/>
      </c>
      <c r="X1222" s="102">
        <f>IF(COUNTIF(SelectedPrecincts[Batch Name],SamplingData[[#This Row],[Batch by Type (p)]]) &lt;&gt; 0, COUNTIF(SelectedPrecincts[Batch Name],SamplingData[[#This Row],[Batch by Type (p)]]), 0)</f>
        <v>0</v>
      </c>
    </row>
    <row r="1223" spans="1:24" ht="15" customHeight="1">
      <c r="A1223" s="18" t="s">
        <v>1399</v>
      </c>
      <c r="B1223" s="18">
        <v>18</v>
      </c>
      <c r="C1223" s="18">
        <v>17</v>
      </c>
      <c r="D1223" s="16">
        <v>12</v>
      </c>
      <c r="E1223" s="16">
        <v>7</v>
      </c>
      <c r="F1223" s="37">
        <v>0</v>
      </c>
      <c r="G1223" s="37">
        <v>0</v>
      </c>
      <c r="H1223" s="17">
        <v>0</v>
      </c>
      <c r="I1223" s="17">
        <v>3</v>
      </c>
      <c r="J1223" s="99">
        <f>SUM(SamplingData[[#This Row],[Losing Candidate]:[Under Votes]])</f>
        <v>57</v>
      </c>
      <c r="K1223"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1223" s="100">
        <f>IF(AND(SamplingData[[#This Row],[Total]]&lt;&gt; 0, NOT(ISBLANK(SamplingData[[#This Row],[Candidate 3]]))),(SamplingData[[#This Row],[Total]]+SamplingData[[#This Row],[Winning Candidate]]-SamplingData[[#This Row],[Candidate 3]])/(SamplingData[[#Totals],[Winning Candidate]]-SamplingData[[#Totals],[Candidate 3]]), 0)</f>
        <v>2.0001935671193987E-3</v>
      </c>
      <c r="M1223" s="100">
        <f>IF(AND(SamplingData[[#This Row],[Total]]&lt;&gt; 0, NOT(ISBLANK(SamplingData[[#This Row],[Candidate 4]]))),(SamplingData[[#This Row],[Total]]+SamplingData[[#This Row],[Winning Candidate]]-SamplingData[[#This Row],[Candidate 4]])/(SamplingData[[#Totals],[Winning Candidate]]-SamplingData[[#Totals],[Candidate 4]]), 0)</f>
        <v>1.9585489198748868E-3</v>
      </c>
      <c r="N1223" s="100">
        <f>IF(AND(SamplingData[[#This Row],[Total]]&lt;&gt; 0, NOT(ISBLANK(SamplingData[[#This Row],[Candidate 5]]))),(SamplingData[[#This Row],[Total]]+SamplingData[[#This Row],[Winning Candidate]]-SamplingData[[#This Row],[Candidate 5]])/(SamplingData[[#Totals],[Winning Candidate]]-SamplingData[[#Totals],[Candidate 5]]), 0)</f>
        <v>1.8000486499635125E-3</v>
      </c>
      <c r="O1223" s="100">
        <f>IF(AND(SamplingData[[#This Row],[Total]]&lt;&gt; 0, NOT(ISBLANK(SamplingData[[#This Row],[Candidate 6]]))),(SamplingData[[#This Row],[Total]]+SamplingData[[#This Row],[Winning Candidate]]-SamplingData[[#This Row],[Candidate 6]])/(SamplingData[[#Totals],[Winning Candidate]]-SamplingData[[#Totals],[Candidate 6]]), 0)</f>
        <v>1.7995233694859199E-3</v>
      </c>
      <c r="P1223" s="100">
        <f>MAX(SamplingData[[#This Row],[Error Bound (up) - Max. possible relative overstatement - Losing Candidate]:[Error Bound (up) - Max. possible relative overstatement - Candidate 6]])</f>
        <v>3.4296913277804997E-3</v>
      </c>
      <c r="Q1223" s="100">
        <f>IF(SamplingData[[#This Row],[Max Error Bound (up)]] = 0,0,SamplingData[[#This Row],[Max Error Bound (up)]]/SamplingData[[#Totals],[Max Error Bound (up)]])</f>
        <v>5.4280510359296661E-4</v>
      </c>
      <c r="R1223" s="101">
        <f>SUM($Q$5:Q1223)</f>
        <v>0.32359946459319988</v>
      </c>
      <c r="S1223" s="100" t="str">
        <f t="array" ref="S1223">IF(SamplingData[[#This Row],[up/U Selection Probability]] = 0, "Zero", TEXT(SamplingData[[#This Row],[Lower Range]], REPT("0",LEN('General Info'!$B$40))) &amp; " - " &amp; TEXT(SamplingData[[#This Row],[Upper Range]], REPT("0",LEN('General Info'!$B$40))))</f>
        <v>32306 - 32359</v>
      </c>
      <c r="T1223" s="100">
        <f>SamplingData[[#This Row],[Upper Range]]-SamplingData[[#This Row],[Span]]</f>
        <v>32305.666491765794</v>
      </c>
      <c r="U1223" s="100">
        <f>IF(ISNUMBER('General Info'!$B$40), ((SamplingData[[#This Row],[up/U Selection Probability]]) * 'General Info'!$B$40) - 1, 0)</f>
        <v>53.279967554193071</v>
      </c>
      <c r="V1223" s="100">
        <f>IF(ISNUMBER('General Info'!$B$40), (SamplingData[[#This Row],[Running (cumulative) sum]] * ('General Info'!$B$40 -'General Info'!$B$41 + 1)) + 'General Info'!$B$41 - 1, 0)</f>
        <v>32358.946459319988</v>
      </c>
      <c r="W1223" s="100" t="str">
        <f>IF(ISERROR(MATCH(SamplingData[[#This Row],[Batch by Type (p)]],SelectedPrecincts[Batch Name], 0)), "", INDEX(SelectedPrecincts[Draw], MATCH(SamplingData[[#This Row],[Batch by Type (p)]],SelectedPrecincts[Batch Name], 0)))</f>
        <v/>
      </c>
      <c r="X1223" s="102">
        <f>IF(COUNTIF(SelectedPrecincts[Batch Name],SamplingData[[#This Row],[Batch by Type (p)]]) &lt;&gt; 0, COUNTIF(SelectedPrecincts[Batch Name],SamplingData[[#This Row],[Batch by Type (p)]]), 0)</f>
        <v>0</v>
      </c>
    </row>
    <row r="1224" spans="1:24" ht="15" customHeight="1">
      <c r="A1224" s="18" t="s">
        <v>1400</v>
      </c>
      <c r="B1224" s="18">
        <v>9</v>
      </c>
      <c r="C1224" s="18">
        <v>17</v>
      </c>
      <c r="D1224" s="18">
        <v>9</v>
      </c>
      <c r="E1224" s="18">
        <v>0</v>
      </c>
      <c r="F1224" s="18">
        <v>0</v>
      </c>
      <c r="G1224" s="18">
        <v>0</v>
      </c>
      <c r="H1224" s="18">
        <v>0</v>
      </c>
      <c r="I1224" s="18">
        <v>2</v>
      </c>
      <c r="J1224" s="99">
        <f>SUM(SamplingData[[#This Row],[Losing Candidate]:[Under Votes]])</f>
        <v>37</v>
      </c>
      <c r="K1224"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224" s="100">
        <f>IF(AND(SamplingData[[#This Row],[Total]]&lt;&gt; 0, NOT(ISBLANK(SamplingData[[#This Row],[Candidate 3]]))),(SamplingData[[#This Row],[Total]]+SamplingData[[#This Row],[Winning Candidate]]-SamplingData[[#This Row],[Candidate 3]])/(SamplingData[[#Totals],[Winning Candidate]]-SamplingData[[#Totals],[Candidate 3]]), 0)</f>
        <v>1.4517533954898861E-3</v>
      </c>
      <c r="M1224" s="100">
        <f>IF(AND(SamplingData[[#This Row],[Total]]&lt;&gt; 0, NOT(ISBLANK(SamplingData[[#This Row],[Candidate 4]]))),(SamplingData[[#This Row],[Total]]+SamplingData[[#This Row],[Winning Candidate]]-SamplingData[[#This Row],[Candidate 4]])/(SamplingData[[#Totals],[Winning Candidate]]-SamplingData[[#Totals],[Candidate 4]]), 0)</f>
        <v>1.5785319652722968E-3</v>
      </c>
      <c r="N1224" s="100">
        <f>IF(AND(SamplingData[[#This Row],[Total]]&lt;&gt; 0, NOT(ISBLANK(SamplingData[[#This Row],[Candidate 5]]))),(SamplingData[[#This Row],[Total]]+SamplingData[[#This Row],[Winning Candidate]]-SamplingData[[#This Row],[Candidate 5]])/(SamplingData[[#Totals],[Winning Candidate]]-SamplingData[[#Totals],[Candidate 5]]), 0)</f>
        <v>1.3135490148382389E-3</v>
      </c>
      <c r="O1224" s="100">
        <f>IF(AND(SamplingData[[#This Row],[Total]]&lt;&gt; 0, NOT(ISBLANK(SamplingData[[#This Row],[Candidate 6]]))),(SamplingData[[#This Row],[Total]]+SamplingData[[#This Row],[Winning Candidate]]-SamplingData[[#This Row],[Candidate 6]])/(SamplingData[[#Totals],[Winning Candidate]]-SamplingData[[#Totals],[Candidate 6]]), 0)</f>
        <v>1.313165702057293E-3</v>
      </c>
      <c r="P1224" s="100">
        <f>MAX(SamplingData[[#This Row],[Error Bound (up) - Max. possible relative overstatement - Losing Candidate]:[Error Bound (up) - Max. possible relative overstatement - Candidate 6]])</f>
        <v>2.7560019598236157E-3</v>
      </c>
      <c r="Q1224" s="100">
        <f>IF(SamplingData[[#This Row],[Max Error Bound (up)]] = 0,0,SamplingData[[#This Row],[Max Error Bound (up)]]/SamplingData[[#Totals],[Max Error Bound (up)]])</f>
        <v>4.3618267253006237E-4</v>
      </c>
      <c r="R1224" s="101">
        <f>SUM($Q$5:Q1224)</f>
        <v>0.32403564726572992</v>
      </c>
      <c r="S1224" s="100" t="str">
        <f t="array" ref="S1224">IF(SamplingData[[#This Row],[up/U Selection Probability]] = 0, "Zero", TEXT(SamplingData[[#This Row],[Lower Range]], REPT("0",LEN('General Info'!$B$40))) &amp; " - " &amp; TEXT(SamplingData[[#This Row],[Upper Range]], REPT("0",LEN('General Info'!$B$40))))</f>
        <v>32360 - 32403</v>
      </c>
      <c r="T1224" s="100">
        <f>SamplingData[[#This Row],[Upper Range]]-SamplingData[[#This Row],[Span]]</f>
        <v>32359.94689550266</v>
      </c>
      <c r="U1224" s="100">
        <f>IF(ISNUMBER('General Info'!$B$40), ((SamplingData[[#This Row],[up/U Selection Probability]]) * 'General Info'!$B$40) - 1, 0)</f>
        <v>42.617831070333708</v>
      </c>
      <c r="V1224" s="100">
        <f>IF(ISNUMBER('General Info'!$B$40), (SamplingData[[#This Row],[Running (cumulative) sum]] * ('General Info'!$B$40 -'General Info'!$B$41 + 1)) + 'General Info'!$B$41 - 1, 0)</f>
        <v>32402.564726572993</v>
      </c>
      <c r="W1224" s="100" t="str">
        <f>IF(ISERROR(MATCH(SamplingData[[#This Row],[Batch by Type (p)]],SelectedPrecincts[Batch Name], 0)), "", INDEX(SelectedPrecincts[Draw], MATCH(SamplingData[[#This Row],[Batch by Type (p)]],SelectedPrecincts[Batch Name], 0)))</f>
        <v/>
      </c>
      <c r="X1224" s="102">
        <f>IF(COUNTIF(SelectedPrecincts[Batch Name],SamplingData[[#This Row],[Batch by Type (p)]]) &lt;&gt; 0, COUNTIF(SelectedPrecincts[Batch Name],SamplingData[[#This Row],[Batch by Type (p)]]), 0)</f>
        <v>0</v>
      </c>
    </row>
    <row r="1225" spans="1:24" ht="15" customHeight="1">
      <c r="A1225" s="18" t="s">
        <v>1401</v>
      </c>
      <c r="B1225" s="18">
        <v>18</v>
      </c>
      <c r="C1225" s="18">
        <v>40</v>
      </c>
      <c r="D1225" s="16">
        <v>15</v>
      </c>
      <c r="E1225" s="16">
        <v>12</v>
      </c>
      <c r="F1225" s="37">
        <v>0</v>
      </c>
      <c r="G1225" s="37">
        <v>0</v>
      </c>
      <c r="H1225" s="17">
        <v>0</v>
      </c>
      <c r="I1225" s="17">
        <v>1</v>
      </c>
      <c r="J1225" s="99">
        <f>SUM(SamplingData[[#This Row],[Losing Candidate]:[Under Votes]])</f>
        <v>86</v>
      </c>
      <c r="K1225" s="100">
        <f>IF(AND(SamplingData[[#This Row],[Total]]&lt;&gt; 0, NOT(ISBLANK(SamplingData[[#This Row],[Losing Candidate]]))),(SamplingData[[#This Row],[Total]]+SamplingData[[#This Row],[Winning Candidate]]-SamplingData[[#This Row],[Losing Candidate]])/(SamplingData[[#Totals],[Winning Candidate]]-SamplingData[[#Totals],[Losing Candidate]]), 0)</f>
        <v>6.6144047035766778E-3</v>
      </c>
      <c r="L1225" s="100">
        <f>IF(AND(SamplingData[[#This Row],[Total]]&lt;&gt; 0, NOT(ISBLANK(SamplingData[[#This Row],[Candidate 3]]))),(SamplingData[[#This Row],[Total]]+SamplingData[[#This Row],[Winning Candidate]]-SamplingData[[#This Row],[Candidate 3]])/(SamplingData[[#Totals],[Winning Candidate]]-SamplingData[[#Totals],[Candidate 3]]), 0)</f>
        <v>3.5809917088750524E-3</v>
      </c>
      <c r="M1225" s="100">
        <f>IF(AND(SamplingData[[#This Row],[Total]]&lt;&gt; 0, NOT(ISBLANK(SamplingData[[#This Row],[Candidate 4]]))),(SamplingData[[#This Row],[Total]]+SamplingData[[#This Row],[Winning Candidate]]-SamplingData[[#This Row],[Candidate 4]])/(SamplingData[[#Totals],[Winning Candidate]]-SamplingData[[#Totals],[Candidate 4]]), 0)</f>
        <v>3.3324563711304043E-3</v>
      </c>
      <c r="N1225" s="100">
        <f>IF(AND(SamplingData[[#This Row],[Total]]&lt;&gt; 0, NOT(ISBLANK(SamplingData[[#This Row],[Candidate 5]]))),(SamplingData[[#This Row],[Total]]+SamplingData[[#This Row],[Winning Candidate]]-SamplingData[[#This Row],[Candidate 5]])/(SamplingData[[#Totals],[Winning Candidate]]-SamplingData[[#Totals],[Candidate 5]]), 0)</f>
        <v>3.0649477012892239E-3</v>
      </c>
      <c r="O1225" s="100">
        <f>IF(AND(SamplingData[[#This Row],[Total]]&lt;&gt; 0, NOT(ISBLANK(SamplingData[[#This Row],[Candidate 6]]))),(SamplingData[[#This Row],[Total]]+SamplingData[[#This Row],[Winning Candidate]]-SamplingData[[#This Row],[Candidate 6]])/(SamplingData[[#Totals],[Winning Candidate]]-SamplingData[[#Totals],[Candidate 6]]), 0)</f>
        <v>3.0640533048003501E-3</v>
      </c>
      <c r="P1225" s="100">
        <f>MAX(SamplingData[[#This Row],[Error Bound (up) - Max. possible relative overstatement - Losing Candidate]:[Error Bound (up) - Max. possible relative overstatement - Candidate 6]])</f>
        <v>6.6144047035766778E-3</v>
      </c>
      <c r="Q1225" s="100">
        <f>IF(SamplingData[[#This Row],[Max Error Bound (up)]] = 0,0,SamplingData[[#This Row],[Max Error Bound (up)]]/SamplingData[[#Totals],[Max Error Bound (up)]])</f>
        <v>1.0468384140721499E-3</v>
      </c>
      <c r="R1225" s="101">
        <f>SUM($Q$5:Q1225)</f>
        <v>0.32508248567980208</v>
      </c>
      <c r="S1225" s="100" t="str">
        <f t="array" ref="S1225">IF(SamplingData[[#This Row],[up/U Selection Probability]] = 0, "Zero", TEXT(SamplingData[[#This Row],[Lower Range]], REPT("0",LEN('General Info'!$B$40))) &amp; " - " &amp; TEXT(SamplingData[[#This Row],[Upper Range]], REPT("0",LEN('General Info'!$B$40))))</f>
        <v>32404 - 32507</v>
      </c>
      <c r="T1225" s="100">
        <f>SamplingData[[#This Row],[Upper Range]]-SamplingData[[#This Row],[Span]]</f>
        <v>32403.565773411407</v>
      </c>
      <c r="U1225" s="100">
        <f>IF(ISNUMBER('General Info'!$B$40), ((SamplingData[[#This Row],[up/U Selection Probability]]) * 'General Info'!$B$40) - 1, 0)</f>
        <v>103.68279456880092</v>
      </c>
      <c r="V1225" s="100">
        <f>IF(ISNUMBER('General Info'!$B$40), (SamplingData[[#This Row],[Running (cumulative) sum]] * ('General Info'!$B$40 -'General Info'!$B$41 + 1)) + 'General Info'!$B$41 - 1, 0)</f>
        <v>32507.248567980208</v>
      </c>
      <c r="W1225" s="100" t="str">
        <f>IF(ISERROR(MATCH(SamplingData[[#This Row],[Batch by Type (p)]],SelectedPrecincts[Batch Name], 0)), "", INDEX(SelectedPrecincts[Draw], MATCH(SamplingData[[#This Row],[Batch by Type (p)]],SelectedPrecincts[Batch Name], 0)))</f>
        <v/>
      </c>
      <c r="X1225" s="102">
        <f>IF(COUNTIF(SelectedPrecincts[Batch Name],SamplingData[[#This Row],[Batch by Type (p)]]) &lt;&gt; 0, COUNTIF(SelectedPrecincts[Batch Name],SamplingData[[#This Row],[Batch by Type (p)]]), 0)</f>
        <v>0</v>
      </c>
    </row>
    <row r="1226" spans="1:24" ht="15" customHeight="1">
      <c r="A1226" s="18" t="s">
        <v>1402</v>
      </c>
      <c r="B1226" s="18">
        <v>20</v>
      </c>
      <c r="C1226" s="18">
        <v>18</v>
      </c>
      <c r="D1226" s="18">
        <v>3</v>
      </c>
      <c r="E1226" s="18">
        <v>5</v>
      </c>
      <c r="F1226" s="18">
        <v>1</v>
      </c>
      <c r="G1226" s="18">
        <v>1</v>
      </c>
      <c r="H1226" s="18">
        <v>0</v>
      </c>
      <c r="I1226" s="18">
        <v>3</v>
      </c>
      <c r="J1226" s="99">
        <f>SUM(SamplingData[[#This Row],[Losing Candidate]:[Under Votes]])</f>
        <v>51</v>
      </c>
      <c r="K1226"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1226" s="100">
        <f>IF(AND(SamplingData[[#This Row],[Total]]&lt;&gt; 0, NOT(ISBLANK(SamplingData[[#This Row],[Candidate 3]]))),(SamplingData[[#This Row],[Total]]+SamplingData[[#This Row],[Winning Candidate]]-SamplingData[[#This Row],[Candidate 3]])/(SamplingData[[#Totals],[Winning Candidate]]-SamplingData[[#Totals],[Candidate 3]]), 0)</f>
        <v>2.1292383133851662E-3</v>
      </c>
      <c r="M1226" s="100">
        <f>IF(AND(SamplingData[[#This Row],[Total]]&lt;&gt; 0, NOT(ISBLANK(SamplingData[[#This Row],[Candidate 4]]))),(SamplingData[[#This Row],[Total]]+SamplingData[[#This Row],[Winning Candidate]]-SamplingData[[#This Row],[Candidate 4]])/(SamplingData[[#Totals],[Winning Candidate]]-SamplingData[[#Totals],[Candidate 4]]), 0)</f>
        <v>1.8708526995819814E-3</v>
      </c>
      <c r="N1226" s="100">
        <f>IF(AND(SamplingData[[#This Row],[Total]]&lt;&gt; 0, NOT(ISBLANK(SamplingData[[#This Row],[Candidate 5]]))),(SamplingData[[#This Row],[Total]]+SamplingData[[#This Row],[Winning Candidate]]-SamplingData[[#This Row],[Candidate 5]])/(SamplingData[[#Totals],[Winning Candidate]]-SamplingData[[#Totals],[Candidate 5]]), 0)</f>
        <v>1.6540987594259305E-3</v>
      </c>
      <c r="O1226" s="100">
        <f>IF(AND(SamplingData[[#This Row],[Total]]&lt;&gt; 0, NOT(ISBLANK(SamplingData[[#This Row],[Candidate 6]]))),(SamplingData[[#This Row],[Total]]+SamplingData[[#This Row],[Winning Candidate]]-SamplingData[[#This Row],[Candidate 6]])/(SamplingData[[#Totals],[Winning Candidate]]-SamplingData[[#Totals],[Candidate 6]]), 0)</f>
        <v>1.6536160692573318E-3</v>
      </c>
      <c r="P1226" s="100">
        <f>MAX(SamplingData[[#This Row],[Error Bound (up) - Max. possible relative overstatement - Losing Candidate]:[Error Bound (up) - Max. possible relative overstatement - Candidate 6]])</f>
        <v>3.0009799118079373E-3</v>
      </c>
      <c r="Q1226" s="100">
        <f>IF(SamplingData[[#This Row],[Max Error Bound (up)]] = 0,0,SamplingData[[#This Row],[Max Error Bound (up)]]/SamplingData[[#Totals],[Max Error Bound (up)]])</f>
        <v>4.7495446564384573E-4</v>
      </c>
      <c r="R1226" s="101">
        <f>SUM($Q$5:Q1226)</f>
        <v>0.32555744014544591</v>
      </c>
      <c r="S1226" s="100" t="str">
        <f t="array" ref="S1226">IF(SamplingData[[#This Row],[up/U Selection Probability]] = 0, "Zero", TEXT(SamplingData[[#This Row],[Lower Range]], REPT("0",LEN('General Info'!$B$40))) &amp; " - " &amp; TEXT(SamplingData[[#This Row],[Upper Range]], REPT("0",LEN('General Info'!$B$40))))</f>
        <v>32508 - 32555</v>
      </c>
      <c r="T1226" s="100">
        <f>SamplingData[[#This Row],[Upper Range]]-SamplingData[[#This Row],[Span]]</f>
        <v>32508.249042934673</v>
      </c>
      <c r="U1226" s="100">
        <f>IF(ISNUMBER('General Info'!$B$40), ((SamplingData[[#This Row],[up/U Selection Probability]]) * 'General Info'!$B$40) - 1, 0)</f>
        <v>46.494971609918927</v>
      </c>
      <c r="V1226" s="100">
        <f>IF(ISNUMBER('General Info'!$B$40), (SamplingData[[#This Row],[Running (cumulative) sum]] * ('General Info'!$B$40 -'General Info'!$B$41 + 1)) + 'General Info'!$B$41 - 1, 0)</f>
        <v>32554.744014544591</v>
      </c>
      <c r="W1226" s="100" t="str">
        <f>IF(ISERROR(MATCH(SamplingData[[#This Row],[Batch by Type (p)]],SelectedPrecincts[Batch Name], 0)), "", INDEX(SelectedPrecincts[Draw], MATCH(SamplingData[[#This Row],[Batch by Type (p)]],SelectedPrecincts[Batch Name], 0)))</f>
        <v/>
      </c>
      <c r="X1226" s="102">
        <f>IF(COUNTIF(SelectedPrecincts[Batch Name],SamplingData[[#This Row],[Batch by Type (p)]]) &lt;&gt; 0, COUNTIF(SelectedPrecincts[Batch Name],SamplingData[[#This Row],[Batch by Type (p)]]), 0)</f>
        <v>0</v>
      </c>
    </row>
    <row r="1227" spans="1:24" ht="15" customHeight="1">
      <c r="A1227" s="18" t="s">
        <v>1403</v>
      </c>
      <c r="B1227" s="18">
        <v>34</v>
      </c>
      <c r="C1227" s="18">
        <v>149</v>
      </c>
      <c r="D1227" s="16">
        <v>23</v>
      </c>
      <c r="E1227" s="16">
        <v>9</v>
      </c>
      <c r="F1227" s="37">
        <v>1</v>
      </c>
      <c r="G1227" s="37">
        <v>1</v>
      </c>
      <c r="H1227" s="17">
        <v>0</v>
      </c>
      <c r="I1227" s="17">
        <v>1</v>
      </c>
      <c r="J1227" s="99">
        <f>SUM(SamplingData[[#This Row],[Losing Candidate]:[Under Votes]])</f>
        <v>218</v>
      </c>
      <c r="K1227" s="100">
        <f>IF(AND(SamplingData[[#This Row],[Total]]&lt;&gt; 0, NOT(ISBLANK(SamplingData[[#This Row],[Losing Candidate]]))),(SamplingData[[#This Row],[Total]]+SamplingData[[#This Row],[Winning Candidate]]-SamplingData[[#This Row],[Losing Candidate]])/(SamplingData[[#Totals],[Winning Candidate]]-SamplingData[[#Totals],[Losing Candidate]]), 0)</f>
        <v>2.0394414502694757E-2</v>
      </c>
      <c r="L1227" s="100">
        <f>IF(AND(SamplingData[[#This Row],[Total]]&lt;&gt; 0, NOT(ISBLANK(SamplingData[[#This Row],[Candidate 3]]))),(SamplingData[[#This Row],[Total]]+SamplingData[[#This Row],[Winning Candidate]]-SamplingData[[#This Row],[Candidate 3]])/(SamplingData[[#Totals],[Winning Candidate]]-SamplingData[[#Totals],[Candidate 3]]), 0)</f>
        <v>1.1097848178856019E-2</v>
      </c>
      <c r="M1227" s="100">
        <f>IF(AND(SamplingData[[#This Row],[Total]]&lt;&gt; 0, NOT(ISBLANK(SamplingData[[#This Row],[Candidate 4]]))),(SamplingData[[#This Row],[Total]]+SamplingData[[#This Row],[Winning Candidate]]-SamplingData[[#This Row],[Candidate 4]])/(SamplingData[[#Totals],[Winning Candidate]]-SamplingData[[#Totals],[Candidate 4]]), 0)</f>
        <v>1.0465082288286708E-2</v>
      </c>
      <c r="N1227" s="100">
        <f>IF(AND(SamplingData[[#This Row],[Total]]&lt;&gt; 0, NOT(ISBLANK(SamplingData[[#This Row],[Candidate 5]]))),(SamplingData[[#This Row],[Total]]+SamplingData[[#This Row],[Winning Candidate]]-SamplingData[[#This Row],[Candidate 5]])/(SamplingData[[#Totals],[Winning Candidate]]-SamplingData[[#Totals],[Candidate 5]]), 0)</f>
        <v>8.902943322792508E-3</v>
      </c>
      <c r="O1227" s="100">
        <f>IF(AND(SamplingData[[#This Row],[Total]]&lt;&gt; 0, NOT(ISBLANK(SamplingData[[#This Row],[Candidate 6]]))),(SamplingData[[#This Row],[Total]]+SamplingData[[#This Row],[Winning Candidate]]-SamplingData[[#This Row],[Candidate 6]])/(SamplingData[[#Totals],[Winning Candidate]]-SamplingData[[#Totals],[Candidate 6]]), 0)</f>
        <v>8.9003453139438748E-3</v>
      </c>
      <c r="P1227" s="100">
        <f>MAX(SamplingData[[#This Row],[Error Bound (up) - Max. possible relative overstatement - Losing Candidate]:[Error Bound (up) - Max. possible relative overstatement - Candidate 6]])</f>
        <v>2.0394414502694757E-2</v>
      </c>
      <c r="Q1227" s="100">
        <f>IF(SamplingData[[#This Row],[Max Error Bound (up)]] = 0,0,SamplingData[[#This Row],[Max Error Bound (up)]]/SamplingData[[#Totals],[Max Error Bound (up)]])</f>
        <v>3.227751776722462E-3</v>
      </c>
      <c r="R1227" s="101">
        <f>SUM($Q$5:Q1227)</f>
        <v>0.32878519192216837</v>
      </c>
      <c r="S1227" s="100" t="str">
        <f t="array" ref="S1227">IF(SamplingData[[#This Row],[up/U Selection Probability]] = 0, "Zero", TEXT(SamplingData[[#This Row],[Lower Range]], REPT("0",LEN('General Info'!$B$40))) &amp; " - " &amp; TEXT(SamplingData[[#This Row],[Upper Range]], REPT("0",LEN('General Info'!$B$40))))</f>
        <v>32556 - 32878</v>
      </c>
      <c r="T1227" s="100">
        <f>SamplingData[[#This Row],[Upper Range]]-SamplingData[[#This Row],[Span]]</f>
        <v>32555.747242296369</v>
      </c>
      <c r="U1227" s="100">
        <f>IF(ISNUMBER('General Info'!$B$40), ((SamplingData[[#This Row],[up/U Selection Probability]]) * 'General Info'!$B$40) - 1, 0)</f>
        <v>321.77194992046947</v>
      </c>
      <c r="V1227" s="100">
        <f>IF(ISNUMBER('General Info'!$B$40), (SamplingData[[#This Row],[Running (cumulative) sum]] * ('General Info'!$B$40 -'General Info'!$B$41 + 1)) + 'General Info'!$B$41 - 1, 0)</f>
        <v>32877.519192216838</v>
      </c>
      <c r="W1227" s="100" t="str">
        <f>IF(ISERROR(MATCH(SamplingData[[#This Row],[Batch by Type (p)]],SelectedPrecincts[Batch Name], 0)), "", INDEX(SelectedPrecincts[Draw], MATCH(SamplingData[[#This Row],[Batch by Type (p)]],SelectedPrecincts[Batch Name], 0)))</f>
        <v/>
      </c>
      <c r="X1227" s="102">
        <f>IF(COUNTIF(SelectedPrecincts[Batch Name],SamplingData[[#This Row],[Batch by Type (p)]]) &lt;&gt; 0, COUNTIF(SelectedPrecincts[Batch Name],SamplingData[[#This Row],[Batch by Type (p)]]), 0)</f>
        <v>0</v>
      </c>
    </row>
    <row r="1228" spans="1:24" ht="15" customHeight="1">
      <c r="A1228" s="18" t="s">
        <v>1404</v>
      </c>
      <c r="B1228" s="18">
        <v>20</v>
      </c>
      <c r="C1228" s="18">
        <v>34</v>
      </c>
      <c r="D1228" s="18">
        <v>12</v>
      </c>
      <c r="E1228" s="18">
        <v>3</v>
      </c>
      <c r="F1228" s="18">
        <v>0</v>
      </c>
      <c r="G1228" s="18">
        <v>0</v>
      </c>
      <c r="H1228" s="18">
        <v>0</v>
      </c>
      <c r="I1228" s="18">
        <v>0</v>
      </c>
      <c r="J1228" s="99">
        <f>SUM(SamplingData[[#This Row],[Losing Candidate]:[Under Votes]])</f>
        <v>69</v>
      </c>
      <c r="K1228" s="100">
        <f>IF(AND(SamplingData[[#This Row],[Total]]&lt;&gt; 0, NOT(ISBLANK(SamplingData[[#This Row],[Losing Candidate]]))),(SamplingData[[#This Row],[Total]]+SamplingData[[#This Row],[Winning Candidate]]-SamplingData[[#This Row],[Losing Candidate]])/(SamplingData[[#Totals],[Winning Candidate]]-SamplingData[[#Totals],[Losing Candidate]]), 0)</f>
        <v>5.0832925036746694E-3</v>
      </c>
      <c r="L1228" s="100">
        <f>IF(AND(SamplingData[[#This Row],[Total]]&lt;&gt; 0, NOT(ISBLANK(SamplingData[[#This Row],[Candidate 3]]))),(SamplingData[[#This Row],[Total]]+SamplingData[[#This Row],[Winning Candidate]]-SamplingData[[#This Row],[Candidate 3]])/(SamplingData[[#Totals],[Winning Candidate]]-SamplingData[[#Totals],[Candidate 3]]), 0)</f>
        <v>2.9357679775462143E-3</v>
      </c>
      <c r="M1228" s="100">
        <f>IF(AND(SamplingData[[#This Row],[Total]]&lt;&gt; 0, NOT(ISBLANK(SamplingData[[#This Row],[Candidate 4]]))),(SamplingData[[#This Row],[Total]]+SamplingData[[#This Row],[Winning Candidate]]-SamplingData[[#This Row],[Candidate 4]])/(SamplingData[[#Totals],[Winning Candidate]]-SamplingData[[#Totals],[Candidate 4]]), 0)</f>
        <v>2.9232073430968458E-3</v>
      </c>
      <c r="N1228" s="100">
        <f>IF(AND(SamplingData[[#This Row],[Total]]&lt;&gt; 0, NOT(ISBLANK(SamplingData[[#This Row],[Candidate 5]]))),(SamplingData[[#This Row],[Total]]+SamplingData[[#This Row],[Winning Candidate]]-SamplingData[[#This Row],[Candidate 5]])/(SamplingData[[#Totals],[Winning Candidate]]-SamplingData[[#Totals],[Candidate 5]]), 0)</f>
        <v>2.5054731208951591E-3</v>
      </c>
      <c r="O1228" s="100">
        <f>IF(AND(SamplingData[[#This Row],[Total]]&lt;&gt; 0, NOT(ISBLANK(SamplingData[[#This Row],[Candidate 6]]))),(SamplingData[[#This Row],[Total]]+SamplingData[[#This Row],[Winning Candidate]]-SamplingData[[#This Row],[Candidate 6]])/(SamplingData[[#Totals],[Winning Candidate]]-SamplingData[[#Totals],[Candidate 6]]), 0)</f>
        <v>2.504741987257429E-3</v>
      </c>
      <c r="P1228" s="100">
        <f>MAX(SamplingData[[#This Row],[Error Bound (up) - Max. possible relative overstatement - Losing Candidate]:[Error Bound (up) - Max. possible relative overstatement - Candidate 6]])</f>
        <v>5.0832925036746694E-3</v>
      </c>
      <c r="Q1228" s="100">
        <f>IF(SamplingData[[#This Row],[Max Error Bound (up)]] = 0,0,SamplingData[[#This Row],[Max Error Bound (up)]]/SamplingData[[#Totals],[Max Error Bound (up)]])</f>
        <v>8.0451470711100407E-4</v>
      </c>
      <c r="R1228" s="101">
        <f>SUM($Q$5:Q1228)</f>
        <v>0.32958970662927939</v>
      </c>
      <c r="S1228" s="100" t="str">
        <f t="array" ref="S1228">IF(SamplingData[[#This Row],[up/U Selection Probability]] = 0, "Zero", TEXT(SamplingData[[#This Row],[Lower Range]], REPT("0",LEN('General Info'!$B$40))) &amp; " - " &amp; TEXT(SamplingData[[#This Row],[Upper Range]], REPT("0",LEN('General Info'!$B$40))))</f>
        <v>32879 - 32958</v>
      </c>
      <c r="T1228" s="100">
        <f>SamplingData[[#This Row],[Upper Range]]-SamplingData[[#This Row],[Span]]</f>
        <v>32878.519996731542</v>
      </c>
      <c r="U1228" s="100">
        <f>IF(ISNUMBER('General Info'!$B$40), ((SamplingData[[#This Row],[up/U Selection Probability]]) * 'General Info'!$B$40) - 1, 0)</f>
        <v>79.4506661963933</v>
      </c>
      <c r="V1228" s="100">
        <f>IF(ISNUMBER('General Info'!$B$40), (SamplingData[[#This Row],[Running (cumulative) sum]] * ('General Info'!$B$40 -'General Info'!$B$41 + 1)) + 'General Info'!$B$41 - 1, 0)</f>
        <v>32957.970662927939</v>
      </c>
      <c r="W1228" s="100" t="str">
        <f>IF(ISERROR(MATCH(SamplingData[[#This Row],[Batch by Type (p)]],SelectedPrecincts[Batch Name], 0)), "", INDEX(SelectedPrecincts[Draw], MATCH(SamplingData[[#This Row],[Batch by Type (p)]],SelectedPrecincts[Batch Name], 0)))</f>
        <v/>
      </c>
      <c r="X1228" s="102">
        <f>IF(COUNTIF(SelectedPrecincts[Batch Name],SamplingData[[#This Row],[Batch by Type (p)]]) &lt;&gt; 0, COUNTIF(SelectedPrecincts[Batch Name],SamplingData[[#This Row],[Batch by Type (p)]]), 0)</f>
        <v>0</v>
      </c>
    </row>
    <row r="1229" spans="1:24" ht="15" customHeight="1">
      <c r="A1229" s="18" t="s">
        <v>1405</v>
      </c>
      <c r="B1229" s="18">
        <v>27</v>
      </c>
      <c r="C1229" s="18">
        <v>151</v>
      </c>
      <c r="D1229" s="16">
        <v>29</v>
      </c>
      <c r="E1229" s="16">
        <v>9</v>
      </c>
      <c r="F1229" s="37">
        <v>1</v>
      </c>
      <c r="G1229" s="37">
        <v>1</v>
      </c>
      <c r="H1229" s="17">
        <v>0</v>
      </c>
      <c r="I1229" s="17">
        <v>3</v>
      </c>
      <c r="J1229" s="99">
        <f>SUM(SamplingData[[#This Row],[Losing Candidate]:[Under Votes]])</f>
        <v>221</v>
      </c>
      <c r="K1229" s="100">
        <f>IF(AND(SamplingData[[#This Row],[Total]]&lt;&gt; 0, NOT(ISBLANK(SamplingData[[#This Row],[Losing Candidate]]))),(SamplingData[[#This Row],[Total]]+SamplingData[[#This Row],[Winning Candidate]]-SamplingData[[#This Row],[Losing Candidate]])/(SamplingData[[#Totals],[Winning Candidate]]-SamplingData[[#Totals],[Losing Candidate]]), 0)</f>
        <v>2.1129348358647722E-2</v>
      </c>
      <c r="L1229" s="100">
        <f>IF(AND(SamplingData[[#This Row],[Total]]&lt;&gt; 0, NOT(ISBLANK(SamplingData[[#This Row],[Candidate 3]]))),(SamplingData[[#This Row],[Total]]+SamplingData[[#This Row],[Winning Candidate]]-SamplingData[[#This Row],[Candidate 3]])/(SamplingData[[#Totals],[Winning Candidate]]-SamplingData[[#Totals],[Candidate 3]]), 0)</f>
        <v>1.1065586992289576E-2</v>
      </c>
      <c r="M1229" s="100">
        <f>IF(AND(SamplingData[[#This Row],[Total]]&lt;&gt; 0, NOT(ISBLANK(SamplingData[[#This Row],[Candidate 4]]))),(SamplingData[[#This Row],[Total]]+SamplingData[[#This Row],[Winning Candidate]]-SamplingData[[#This Row],[Candidate 4]])/(SamplingData[[#Totals],[Winning Candidate]]-SamplingData[[#Totals],[Candidate 4]]), 0)</f>
        <v>1.061124265544155E-2</v>
      </c>
      <c r="N1229" s="100">
        <f>IF(AND(SamplingData[[#This Row],[Total]]&lt;&gt; 0, NOT(ISBLANK(SamplingData[[#This Row],[Candidate 5]]))),(SamplingData[[#This Row],[Total]]+SamplingData[[#This Row],[Winning Candidate]]-SamplingData[[#This Row],[Candidate 5]])/(SamplingData[[#Totals],[Winning Candidate]]-SamplingData[[#Totals],[Candidate 5]]), 0)</f>
        <v>9.0245682315738263E-3</v>
      </c>
      <c r="O1229" s="100">
        <f>IF(AND(SamplingData[[#This Row],[Total]]&lt;&gt; 0, NOT(ISBLANK(SamplingData[[#This Row],[Candidate 6]]))),(SamplingData[[#This Row],[Total]]+SamplingData[[#This Row],[Winning Candidate]]-SamplingData[[#This Row],[Candidate 6]])/(SamplingData[[#Totals],[Winning Candidate]]-SamplingData[[#Totals],[Candidate 6]]), 0)</f>
        <v>9.0219347308010314E-3</v>
      </c>
      <c r="P1229" s="100">
        <f>MAX(SamplingData[[#This Row],[Error Bound (up) - Max. possible relative overstatement - Losing Candidate]:[Error Bound (up) - Max. possible relative overstatement - Candidate 6]])</f>
        <v>2.1129348358647722E-2</v>
      </c>
      <c r="Q1229" s="100">
        <f>IF(SamplingData[[#This Row],[Max Error Bound (up)]] = 0,0,SamplingData[[#This Row],[Max Error Bound (up)]]/SamplingData[[#Totals],[Max Error Bound (up)]])</f>
        <v>3.3440671560638121E-3</v>
      </c>
      <c r="R1229" s="101">
        <f>SUM($Q$5:Q1229)</f>
        <v>0.33293377378534322</v>
      </c>
      <c r="S1229" s="100" t="str">
        <f t="array" ref="S1229">IF(SamplingData[[#This Row],[up/U Selection Probability]] = 0, "Zero", TEXT(SamplingData[[#This Row],[Lower Range]], REPT("0",LEN('General Info'!$B$40))) &amp; " - " &amp; TEXT(SamplingData[[#This Row],[Upper Range]], REPT("0",LEN('General Info'!$B$40))))</f>
        <v>32959 - 33292</v>
      </c>
      <c r="T1229" s="100">
        <f>SamplingData[[#This Row],[Upper Range]]-SamplingData[[#This Row],[Span]]</f>
        <v>32958.9740069951</v>
      </c>
      <c r="U1229" s="100">
        <f>IF(ISNUMBER('General Info'!$B$40), ((SamplingData[[#This Row],[up/U Selection Probability]]) * 'General Info'!$B$40) - 1, 0)</f>
        <v>333.40337153922513</v>
      </c>
      <c r="V1229" s="100">
        <f>IF(ISNUMBER('General Info'!$B$40), (SamplingData[[#This Row],[Running (cumulative) sum]] * ('General Info'!$B$40 -'General Info'!$B$41 + 1)) + 'General Info'!$B$41 - 1, 0)</f>
        <v>33292.377378534322</v>
      </c>
      <c r="W1229" s="100" t="str">
        <f>IF(ISERROR(MATCH(SamplingData[[#This Row],[Batch by Type (p)]],SelectedPrecincts[Batch Name], 0)), "", INDEX(SelectedPrecincts[Draw], MATCH(SamplingData[[#This Row],[Batch by Type (p)]],SelectedPrecincts[Batch Name], 0)))</f>
        <v/>
      </c>
      <c r="X1229" s="102">
        <f>IF(COUNTIF(SelectedPrecincts[Batch Name],SamplingData[[#This Row],[Batch by Type (p)]]) &lt;&gt; 0, COUNTIF(SelectedPrecincts[Batch Name],SamplingData[[#This Row],[Batch by Type (p)]]), 0)</f>
        <v>0</v>
      </c>
    </row>
    <row r="1230" spans="1:24" ht="15" customHeight="1">
      <c r="A1230" s="18" t="s">
        <v>1406</v>
      </c>
      <c r="B1230" s="18">
        <v>18</v>
      </c>
      <c r="C1230" s="18">
        <v>58</v>
      </c>
      <c r="D1230" s="18">
        <v>15</v>
      </c>
      <c r="E1230" s="18">
        <v>3</v>
      </c>
      <c r="F1230" s="18">
        <v>0</v>
      </c>
      <c r="G1230" s="18">
        <v>0</v>
      </c>
      <c r="H1230" s="18">
        <v>0</v>
      </c>
      <c r="I1230" s="18">
        <v>2</v>
      </c>
      <c r="J1230" s="99">
        <f>SUM(SamplingData[[#This Row],[Losing Candidate]:[Under Votes]])</f>
        <v>96</v>
      </c>
      <c r="K1230" s="100">
        <f>IF(AND(SamplingData[[#This Row],[Total]]&lt;&gt; 0, NOT(ISBLANK(SamplingData[[#This Row],[Losing Candidate]]))),(SamplingData[[#This Row],[Total]]+SamplingData[[#This Row],[Winning Candidate]]-SamplingData[[#This Row],[Losing Candidate]])/(SamplingData[[#Totals],[Winning Candidate]]-SamplingData[[#Totals],[Losing Candidate]]), 0)</f>
        <v>8.3292503674669283E-3</v>
      </c>
      <c r="L1230" s="100">
        <f>IF(AND(SamplingData[[#This Row],[Total]]&lt;&gt; 0, NOT(ISBLANK(SamplingData[[#This Row],[Candidate 3]]))),(SamplingData[[#This Row],[Total]]+SamplingData[[#This Row],[Winning Candidate]]-SamplingData[[#This Row],[Candidate 3]])/(SamplingData[[#Totals],[Winning Candidate]]-SamplingData[[#Totals],[Candidate 3]]), 0)</f>
        <v>4.4843049327354259E-3</v>
      </c>
      <c r="M1230" s="100">
        <f>IF(AND(SamplingData[[#This Row],[Total]]&lt;&gt; 0, NOT(ISBLANK(SamplingData[[#This Row],[Candidate 4]]))),(SamplingData[[#This Row],[Total]]+SamplingData[[#This Row],[Winning Candidate]]-SamplingData[[#This Row],[Candidate 4]])/(SamplingData[[#Totals],[Winning Candidate]]-SamplingData[[#Totals],[Candidate 4]]), 0)</f>
        <v>4.4140430880762376E-3</v>
      </c>
      <c r="N1230" s="100">
        <f>IF(AND(SamplingData[[#This Row],[Total]]&lt;&gt; 0, NOT(ISBLANK(SamplingData[[#This Row],[Candidate 5]]))),(SamplingData[[#This Row],[Total]]+SamplingData[[#This Row],[Winning Candidate]]-SamplingData[[#This Row],[Candidate 5]])/(SamplingData[[#Totals],[Winning Candidate]]-SamplingData[[#Totals],[Candidate 5]]), 0)</f>
        <v>3.7460471904646069E-3</v>
      </c>
      <c r="O1230" s="100">
        <f>IF(AND(SamplingData[[#This Row],[Total]]&lt;&gt; 0, NOT(ISBLANK(SamplingData[[#This Row],[Candidate 6]]))),(SamplingData[[#This Row],[Total]]+SamplingData[[#This Row],[Winning Candidate]]-SamplingData[[#This Row],[Candidate 6]])/(SamplingData[[#Totals],[Winning Candidate]]-SamplingData[[#Totals],[Candidate 6]]), 0)</f>
        <v>3.7449540392004281E-3</v>
      </c>
      <c r="P1230" s="100">
        <f>MAX(SamplingData[[#This Row],[Error Bound (up) - Max. possible relative overstatement - Losing Candidate]:[Error Bound (up) - Max. possible relative overstatement - Candidate 6]])</f>
        <v>8.3292503674669283E-3</v>
      </c>
      <c r="Q1230" s="100">
        <f>IF(SamplingData[[#This Row],[Max Error Bound (up)]] = 0,0,SamplingData[[#This Row],[Max Error Bound (up)]]/SamplingData[[#Totals],[Max Error Bound (up)]])</f>
        <v>1.3182409658686332E-3</v>
      </c>
      <c r="R1230" s="101">
        <f>SUM($Q$5:Q1230)</f>
        <v>0.33425201475121186</v>
      </c>
      <c r="S1230" s="100" t="str">
        <f t="array" ref="S1230">IF(SamplingData[[#This Row],[up/U Selection Probability]] = 0, "Zero", TEXT(SamplingData[[#This Row],[Lower Range]], REPT("0",LEN('General Info'!$B$40))) &amp; " - " &amp; TEXT(SamplingData[[#This Row],[Upper Range]], REPT("0",LEN('General Info'!$B$40))))</f>
        <v>33293 - 33424</v>
      </c>
      <c r="T1230" s="100">
        <f>SamplingData[[#This Row],[Upper Range]]-SamplingData[[#This Row],[Span]]</f>
        <v>33293.378696775282</v>
      </c>
      <c r="U1230" s="100">
        <f>IF(ISNUMBER('General Info'!$B$40), ((SamplingData[[#This Row],[up/U Selection Probability]]) * 'General Info'!$B$40) - 1, 0)</f>
        <v>130.82277834589743</v>
      </c>
      <c r="V1230" s="100">
        <f>IF(ISNUMBER('General Info'!$B$40), (SamplingData[[#This Row],[Running (cumulative) sum]] * ('General Info'!$B$40 -'General Info'!$B$41 + 1)) + 'General Info'!$B$41 - 1, 0)</f>
        <v>33424.201475121183</v>
      </c>
      <c r="W1230" s="100" t="str">
        <f>IF(ISERROR(MATCH(SamplingData[[#This Row],[Batch by Type (p)]],SelectedPrecincts[Batch Name], 0)), "", INDEX(SelectedPrecincts[Draw], MATCH(SamplingData[[#This Row],[Batch by Type (p)]],SelectedPrecincts[Batch Name], 0)))</f>
        <v/>
      </c>
      <c r="X1230" s="102">
        <f>IF(COUNTIF(SelectedPrecincts[Batch Name],SamplingData[[#This Row],[Batch by Type (p)]]) &lt;&gt; 0, COUNTIF(SelectedPrecincts[Batch Name],SamplingData[[#This Row],[Batch by Type (p)]]), 0)</f>
        <v>0</v>
      </c>
    </row>
    <row r="1231" spans="1:24" ht="15" customHeight="1">
      <c r="A1231" s="18" t="s">
        <v>1407</v>
      </c>
      <c r="B1231" s="18">
        <v>3</v>
      </c>
      <c r="C1231" s="18">
        <v>5</v>
      </c>
      <c r="D1231" s="16">
        <v>2</v>
      </c>
      <c r="E1231" s="16">
        <v>6</v>
      </c>
      <c r="F1231" s="37">
        <v>0</v>
      </c>
      <c r="G1231" s="37">
        <v>0</v>
      </c>
      <c r="H1231" s="17">
        <v>0</v>
      </c>
      <c r="I1231" s="17">
        <v>0</v>
      </c>
      <c r="J1231" s="99">
        <f>SUM(SamplingData[[#This Row],[Losing Candidate]:[Under Votes]])</f>
        <v>16</v>
      </c>
      <c r="K1231"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1231" s="100">
        <f>IF(AND(SamplingData[[#This Row],[Total]]&lt;&gt; 0, NOT(ISBLANK(SamplingData[[#This Row],[Candidate 3]]))),(SamplingData[[#This Row],[Total]]+SamplingData[[#This Row],[Winning Candidate]]-SamplingData[[#This Row],[Candidate 3]])/(SamplingData[[#Totals],[Winning Candidate]]-SamplingData[[#Totals],[Candidate 3]]), 0)</f>
        <v>6.1296254476239632E-4</v>
      </c>
      <c r="M1231" s="100">
        <f>IF(AND(SamplingData[[#This Row],[Total]]&lt;&gt; 0, NOT(ISBLANK(SamplingData[[#This Row],[Candidate 4]]))),(SamplingData[[#This Row],[Total]]+SamplingData[[#This Row],[Winning Candidate]]-SamplingData[[#This Row],[Candidate 4]])/(SamplingData[[#Totals],[Winning Candidate]]-SamplingData[[#Totals],[Candidate 4]]), 0)</f>
        <v>4.3848110146452689E-4</v>
      </c>
      <c r="N1231" s="100">
        <f>IF(AND(SamplingData[[#This Row],[Total]]&lt;&gt; 0, NOT(ISBLANK(SamplingData[[#This Row],[Candidate 5]]))),(SamplingData[[#This Row],[Total]]+SamplingData[[#This Row],[Winning Candidate]]-SamplingData[[#This Row],[Candidate 5]])/(SamplingData[[#Totals],[Winning Candidate]]-SamplingData[[#Totals],[Candidate 5]]), 0)</f>
        <v>5.1082461688153739E-4</v>
      </c>
      <c r="O1231" s="100">
        <f>IF(AND(SamplingData[[#This Row],[Total]]&lt;&gt; 0, NOT(ISBLANK(SamplingData[[#This Row],[Candidate 6]]))),(SamplingData[[#This Row],[Total]]+SamplingData[[#This Row],[Winning Candidate]]-SamplingData[[#This Row],[Candidate 6]])/(SamplingData[[#Totals],[Winning Candidate]]-SamplingData[[#Totals],[Candidate 6]]), 0)</f>
        <v>5.1067555080005838E-4</v>
      </c>
      <c r="P1231" s="100">
        <f>MAX(SamplingData[[#This Row],[Error Bound (up) - Max. possible relative overstatement - Losing Candidate]:[Error Bound (up) - Max. possible relative overstatement - Candidate 6]])</f>
        <v>1.1024007839294464E-3</v>
      </c>
      <c r="Q1231" s="100">
        <f>IF(SamplingData[[#This Row],[Max Error Bound (up)]] = 0,0,SamplingData[[#This Row],[Max Error Bound (up)]]/SamplingData[[#Totals],[Max Error Bound (up)]])</f>
        <v>1.7447306901202498E-4</v>
      </c>
      <c r="R1231" s="101">
        <f>SUM($Q$5:Q1231)</f>
        <v>0.33442648782022388</v>
      </c>
      <c r="S1231" s="100" t="str">
        <f t="array" ref="S1231">IF(SamplingData[[#This Row],[up/U Selection Probability]] = 0, "Zero", TEXT(SamplingData[[#This Row],[Lower Range]], REPT("0",LEN('General Info'!$B$40))) &amp; " - " &amp; TEXT(SamplingData[[#This Row],[Upper Range]], REPT("0",LEN('General Info'!$B$40))))</f>
        <v>33425 - 33442</v>
      </c>
      <c r="T1231" s="100">
        <f>SamplingData[[#This Row],[Upper Range]]-SamplingData[[#This Row],[Span]]</f>
        <v>33425.201649594252</v>
      </c>
      <c r="U1231" s="100">
        <f>IF(ISNUMBER('General Info'!$B$40), ((SamplingData[[#This Row],[up/U Selection Probability]]) * 'General Info'!$B$40) - 1, 0)</f>
        <v>16.447132428133486</v>
      </c>
      <c r="V1231" s="100">
        <f>IF(ISNUMBER('General Info'!$B$40), (SamplingData[[#This Row],[Running (cumulative) sum]] * ('General Info'!$B$40 -'General Info'!$B$41 + 1)) + 'General Info'!$B$41 - 1, 0)</f>
        <v>33441.648782022385</v>
      </c>
      <c r="W1231" s="100" t="str">
        <f>IF(ISERROR(MATCH(SamplingData[[#This Row],[Batch by Type (p)]],SelectedPrecincts[Batch Name], 0)), "", INDEX(SelectedPrecincts[Draw], MATCH(SamplingData[[#This Row],[Batch by Type (p)]],SelectedPrecincts[Batch Name], 0)))</f>
        <v/>
      </c>
      <c r="X1231" s="102">
        <f>IF(COUNTIF(SelectedPrecincts[Batch Name],SamplingData[[#This Row],[Batch by Type (p)]]) &lt;&gt; 0, COUNTIF(SelectedPrecincts[Batch Name],SamplingData[[#This Row],[Batch by Type (p)]]), 0)</f>
        <v>0</v>
      </c>
    </row>
    <row r="1232" spans="1:24" ht="15" customHeight="1">
      <c r="A1232" s="18" t="s">
        <v>1408</v>
      </c>
      <c r="B1232" s="18">
        <v>2</v>
      </c>
      <c r="C1232" s="18">
        <v>2</v>
      </c>
      <c r="D1232" s="18">
        <v>1</v>
      </c>
      <c r="E1232" s="18">
        <v>0</v>
      </c>
      <c r="F1232" s="18">
        <v>0</v>
      </c>
      <c r="G1232" s="18">
        <v>0</v>
      </c>
      <c r="H1232" s="18">
        <v>0</v>
      </c>
      <c r="I1232" s="18">
        <v>0</v>
      </c>
      <c r="J1232" s="99">
        <f>SUM(SamplingData[[#This Row],[Losing Candidate]:[Under Votes]])</f>
        <v>5</v>
      </c>
      <c r="K1232"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1232" s="100">
        <f>IF(AND(SamplingData[[#This Row],[Total]]&lt;&gt; 0, NOT(ISBLANK(SamplingData[[#This Row],[Candidate 3]]))),(SamplingData[[#This Row],[Total]]+SamplingData[[#This Row],[Winning Candidate]]-SamplingData[[#This Row],[Candidate 3]])/(SamplingData[[#Totals],[Winning Candidate]]-SamplingData[[#Totals],[Candidate 3]]), 0)</f>
        <v>1.9356711939865149E-4</v>
      </c>
      <c r="M1232" s="100">
        <f>IF(AND(SamplingData[[#This Row],[Total]]&lt;&gt; 0, NOT(ISBLANK(SamplingData[[#This Row],[Candidate 4]]))),(SamplingData[[#This Row],[Total]]+SamplingData[[#This Row],[Winning Candidate]]-SamplingData[[#This Row],[Candidate 4]])/(SamplingData[[#Totals],[Winning Candidate]]-SamplingData[[#Totals],[Candidate 4]]), 0)</f>
        <v>2.0462451401677921E-4</v>
      </c>
      <c r="N1232" s="100">
        <f>IF(AND(SamplingData[[#This Row],[Total]]&lt;&gt; 0, NOT(ISBLANK(SamplingData[[#This Row],[Candidate 5]]))),(SamplingData[[#This Row],[Total]]+SamplingData[[#This Row],[Winning Candidate]]-SamplingData[[#This Row],[Candidate 5]])/(SamplingData[[#Totals],[Winning Candidate]]-SamplingData[[#Totals],[Candidate 5]]), 0)</f>
        <v>1.7027487229384579E-4</v>
      </c>
      <c r="O1232" s="100">
        <f>IF(AND(SamplingData[[#This Row],[Total]]&lt;&gt; 0, NOT(ISBLANK(SamplingData[[#This Row],[Candidate 6]]))),(SamplingData[[#This Row],[Total]]+SamplingData[[#This Row],[Winning Candidate]]-SamplingData[[#This Row],[Candidate 6]])/(SamplingData[[#Totals],[Winning Candidate]]-SamplingData[[#Totals],[Candidate 6]]), 0)</f>
        <v>1.7022518360001944E-4</v>
      </c>
      <c r="P1232" s="100">
        <f>MAX(SamplingData[[#This Row],[Error Bound (up) - Max. possible relative overstatement - Losing Candidate]:[Error Bound (up) - Max. possible relative overstatement - Candidate 6]])</f>
        <v>3.0622243998040176E-4</v>
      </c>
      <c r="Q1232" s="100">
        <f>IF(SamplingData[[#This Row],[Max Error Bound (up)]] = 0,0,SamplingData[[#This Row],[Max Error Bound (up)]]/SamplingData[[#Totals],[Max Error Bound (up)]])</f>
        <v>4.8464741392229159E-5</v>
      </c>
      <c r="R1232" s="101">
        <f>SUM($Q$5:Q1232)</f>
        <v>0.33447495256161613</v>
      </c>
      <c r="S1232" s="100" t="str">
        <f t="array" ref="S1232">IF(SamplingData[[#This Row],[up/U Selection Probability]] = 0, "Zero", TEXT(SamplingData[[#This Row],[Lower Range]], REPT("0",LEN('General Info'!$B$40))) &amp; " - " &amp; TEXT(SamplingData[[#This Row],[Upper Range]], REPT("0",LEN('General Info'!$B$40))))</f>
        <v>33443 - 33446</v>
      </c>
      <c r="T1232" s="100">
        <f>SamplingData[[#This Row],[Upper Range]]-SamplingData[[#This Row],[Span]]</f>
        <v>33442.648830487131</v>
      </c>
      <c r="U1232" s="100">
        <f>IF(ISNUMBER('General Info'!$B$40), ((SamplingData[[#This Row],[up/U Selection Probability]]) * 'General Info'!$B$40) - 1, 0)</f>
        <v>3.8464256744815239</v>
      </c>
      <c r="V1232" s="100">
        <f>IF(ISNUMBER('General Info'!$B$40), (SamplingData[[#This Row],[Running (cumulative) sum]] * ('General Info'!$B$40 -'General Info'!$B$41 + 1)) + 'General Info'!$B$41 - 1, 0)</f>
        <v>33446.495256161616</v>
      </c>
      <c r="W1232" s="100" t="str">
        <f>IF(ISERROR(MATCH(SamplingData[[#This Row],[Batch by Type (p)]],SelectedPrecincts[Batch Name], 0)), "", INDEX(SelectedPrecincts[Draw], MATCH(SamplingData[[#This Row],[Batch by Type (p)]],SelectedPrecincts[Batch Name], 0)))</f>
        <v/>
      </c>
      <c r="X1232" s="102">
        <f>IF(COUNTIF(SelectedPrecincts[Batch Name],SamplingData[[#This Row],[Batch by Type (p)]]) &lt;&gt; 0, COUNTIF(SelectedPrecincts[Batch Name],SamplingData[[#This Row],[Batch by Type (p)]]), 0)</f>
        <v>0</v>
      </c>
    </row>
    <row r="1233" spans="1:24" ht="15" customHeight="1">
      <c r="A1233" s="18" t="s">
        <v>1409</v>
      </c>
      <c r="B1233" s="18">
        <v>3</v>
      </c>
      <c r="C1233" s="18">
        <v>7</v>
      </c>
      <c r="D1233" s="16">
        <v>3</v>
      </c>
      <c r="E1233" s="16">
        <v>0</v>
      </c>
      <c r="F1233" s="37">
        <v>0</v>
      </c>
      <c r="G1233" s="37">
        <v>0</v>
      </c>
      <c r="H1233" s="17">
        <v>0</v>
      </c>
      <c r="I1233" s="17">
        <v>1</v>
      </c>
      <c r="J1233" s="99">
        <f>SUM(SamplingData[[#This Row],[Losing Candidate]:[Under Votes]])</f>
        <v>14</v>
      </c>
      <c r="K1233"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1233" s="100">
        <f>IF(AND(SamplingData[[#This Row],[Total]]&lt;&gt; 0, NOT(ISBLANK(SamplingData[[#This Row],[Candidate 3]]))),(SamplingData[[#This Row],[Total]]+SamplingData[[#This Row],[Winning Candidate]]-SamplingData[[#This Row],[Candidate 3]])/(SamplingData[[#Totals],[Winning Candidate]]-SamplingData[[#Totals],[Candidate 3]]), 0)</f>
        <v>5.8070135819595443E-4</v>
      </c>
      <c r="M1233" s="100">
        <f>IF(AND(SamplingData[[#This Row],[Total]]&lt;&gt; 0, NOT(ISBLANK(SamplingData[[#This Row],[Candidate 4]]))),(SamplingData[[#This Row],[Total]]+SamplingData[[#This Row],[Winning Candidate]]-SamplingData[[#This Row],[Candidate 4]])/(SamplingData[[#Totals],[Winning Candidate]]-SamplingData[[#Totals],[Candidate 4]]), 0)</f>
        <v>6.1387354205033758E-4</v>
      </c>
      <c r="N1233" s="100">
        <f>IF(AND(SamplingData[[#This Row],[Total]]&lt;&gt; 0, NOT(ISBLANK(SamplingData[[#This Row],[Candidate 5]]))),(SamplingData[[#This Row],[Total]]+SamplingData[[#This Row],[Winning Candidate]]-SamplingData[[#This Row],[Candidate 5]])/(SamplingData[[#Totals],[Winning Candidate]]-SamplingData[[#Totals],[Candidate 5]]), 0)</f>
        <v>5.1082461688153739E-4</v>
      </c>
      <c r="O1233" s="100">
        <f>IF(AND(SamplingData[[#This Row],[Total]]&lt;&gt; 0, NOT(ISBLANK(SamplingData[[#This Row],[Candidate 6]]))),(SamplingData[[#This Row],[Total]]+SamplingData[[#This Row],[Winning Candidate]]-SamplingData[[#This Row],[Candidate 6]])/(SamplingData[[#Totals],[Winning Candidate]]-SamplingData[[#Totals],[Candidate 6]]), 0)</f>
        <v>5.1067555080005838E-4</v>
      </c>
      <c r="P1233" s="100">
        <f>MAX(SamplingData[[#This Row],[Error Bound (up) - Max. possible relative overstatement - Losing Candidate]:[Error Bound (up) - Max. possible relative overstatement - Candidate 6]])</f>
        <v>1.1024007839294464E-3</v>
      </c>
      <c r="Q1233" s="100">
        <f>IF(SamplingData[[#This Row],[Max Error Bound (up)]] = 0,0,SamplingData[[#This Row],[Max Error Bound (up)]]/SamplingData[[#Totals],[Max Error Bound (up)]])</f>
        <v>1.7447306901202498E-4</v>
      </c>
      <c r="R1233" s="101">
        <f>SUM($Q$5:Q1233)</f>
        <v>0.33464942563062816</v>
      </c>
      <c r="S1233" s="100" t="str">
        <f t="array" ref="S1233">IF(SamplingData[[#This Row],[up/U Selection Probability]] = 0, "Zero", TEXT(SamplingData[[#This Row],[Lower Range]], REPT("0",LEN('General Info'!$B$40))) &amp; " - " &amp; TEXT(SamplingData[[#This Row],[Upper Range]], REPT("0",LEN('General Info'!$B$40))))</f>
        <v>33447 - 33464</v>
      </c>
      <c r="T1233" s="100">
        <f>SamplingData[[#This Row],[Upper Range]]-SamplingData[[#This Row],[Span]]</f>
        <v>33447.495430634684</v>
      </c>
      <c r="U1233" s="100">
        <f>IF(ISNUMBER('General Info'!$B$40), ((SamplingData[[#This Row],[up/U Selection Probability]]) * 'General Info'!$B$40) - 1, 0)</f>
        <v>16.447132428133486</v>
      </c>
      <c r="V1233" s="100">
        <f>IF(ISNUMBER('General Info'!$B$40), (SamplingData[[#This Row],[Running (cumulative) sum]] * ('General Info'!$B$40 -'General Info'!$B$41 + 1)) + 'General Info'!$B$41 - 1, 0)</f>
        <v>33463.942563062817</v>
      </c>
      <c r="W1233" s="100" t="str">
        <f>IF(ISERROR(MATCH(SamplingData[[#This Row],[Batch by Type (p)]],SelectedPrecincts[Batch Name], 0)), "", INDEX(SelectedPrecincts[Draw], MATCH(SamplingData[[#This Row],[Batch by Type (p)]],SelectedPrecincts[Batch Name], 0)))</f>
        <v/>
      </c>
      <c r="X1233" s="102">
        <f>IF(COUNTIF(SelectedPrecincts[Batch Name],SamplingData[[#This Row],[Batch by Type (p)]]) &lt;&gt; 0, COUNTIF(SelectedPrecincts[Batch Name],SamplingData[[#This Row],[Batch by Type (p)]]), 0)</f>
        <v>0</v>
      </c>
    </row>
    <row r="1234" spans="1:24" ht="15" customHeight="1">
      <c r="A1234" s="18" t="s">
        <v>1410</v>
      </c>
      <c r="B1234" s="18">
        <v>3</v>
      </c>
      <c r="C1234" s="18">
        <v>2</v>
      </c>
      <c r="D1234" s="18">
        <v>0</v>
      </c>
      <c r="E1234" s="18">
        <v>1</v>
      </c>
      <c r="F1234" s="18">
        <v>0</v>
      </c>
      <c r="G1234" s="18">
        <v>0</v>
      </c>
      <c r="H1234" s="18">
        <v>0</v>
      </c>
      <c r="I1234" s="18">
        <v>1</v>
      </c>
      <c r="J1234" s="99">
        <f>SUM(SamplingData[[#This Row],[Losing Candidate]:[Under Votes]])</f>
        <v>7</v>
      </c>
      <c r="K1234"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234" s="100">
        <f>IF(AND(SamplingData[[#This Row],[Total]]&lt;&gt; 0, NOT(ISBLANK(SamplingData[[#This Row],[Candidate 3]]))),(SamplingData[[#This Row],[Total]]+SamplingData[[#This Row],[Winning Candidate]]-SamplingData[[#This Row],[Candidate 3]])/(SamplingData[[#Totals],[Winning Candidate]]-SamplingData[[#Totals],[Candidate 3]]), 0)</f>
        <v>2.9035067909797722E-4</v>
      </c>
      <c r="M1234" s="100">
        <f>IF(AND(SamplingData[[#This Row],[Total]]&lt;&gt; 0, NOT(ISBLANK(SamplingData[[#This Row],[Candidate 4]]))),(SamplingData[[#This Row],[Total]]+SamplingData[[#This Row],[Winning Candidate]]-SamplingData[[#This Row],[Candidate 4]])/(SamplingData[[#Totals],[Winning Candidate]]-SamplingData[[#Totals],[Candidate 4]]), 0)</f>
        <v>2.3385658744774768E-4</v>
      </c>
      <c r="N1234" s="100">
        <f>IF(AND(SamplingData[[#This Row],[Total]]&lt;&gt; 0, NOT(ISBLANK(SamplingData[[#This Row],[Candidate 5]]))),(SamplingData[[#This Row],[Total]]+SamplingData[[#This Row],[Winning Candidate]]-SamplingData[[#This Row],[Candidate 5]])/(SamplingData[[#Totals],[Winning Candidate]]-SamplingData[[#Totals],[Candidate 5]]), 0)</f>
        <v>2.1892483580637315E-4</v>
      </c>
      <c r="O1234" s="100">
        <f>IF(AND(SamplingData[[#This Row],[Total]]&lt;&gt; 0, NOT(ISBLANK(SamplingData[[#This Row],[Candidate 6]]))),(SamplingData[[#This Row],[Total]]+SamplingData[[#This Row],[Winning Candidate]]-SamplingData[[#This Row],[Candidate 6]])/(SamplingData[[#Totals],[Winning Candidate]]-SamplingData[[#Totals],[Candidate 6]]), 0)</f>
        <v>2.1886095034288216E-4</v>
      </c>
      <c r="P1234" s="100">
        <f>MAX(SamplingData[[#This Row],[Error Bound (up) - Max. possible relative overstatement - Losing Candidate]:[Error Bound (up) - Max. possible relative overstatement - Candidate 6]])</f>
        <v>3.6746692797648211E-4</v>
      </c>
      <c r="Q1234" s="100">
        <f>IF(SamplingData[[#This Row],[Max Error Bound (up)]] = 0,0,SamplingData[[#This Row],[Max Error Bound (up)]]/SamplingData[[#Totals],[Max Error Bound (up)]])</f>
        <v>5.8157689670674986E-5</v>
      </c>
      <c r="R1234" s="101">
        <f>SUM($Q$5:Q1234)</f>
        <v>0.33470758332029882</v>
      </c>
      <c r="S1234" s="100" t="str">
        <f t="array" ref="S1234">IF(SamplingData[[#This Row],[up/U Selection Probability]] = 0, "Zero", TEXT(SamplingData[[#This Row],[Lower Range]], REPT("0",LEN('General Info'!$B$40))) &amp; " - " &amp; TEXT(SamplingData[[#This Row],[Upper Range]], REPT("0",LEN('General Info'!$B$40))))</f>
        <v>33465 - 33470</v>
      </c>
      <c r="T1234" s="100">
        <f>SamplingData[[#This Row],[Upper Range]]-SamplingData[[#This Row],[Span]]</f>
        <v>33464.9426212205</v>
      </c>
      <c r="U1234" s="100">
        <f>IF(ISNUMBER('General Info'!$B$40), ((SamplingData[[#This Row],[up/U Selection Probability]]) * 'General Info'!$B$40) - 1, 0)</f>
        <v>4.815710809377828</v>
      </c>
      <c r="V1234" s="100">
        <f>IF(ISNUMBER('General Info'!$B$40), (SamplingData[[#This Row],[Running (cumulative) sum]] * ('General Info'!$B$40 -'General Info'!$B$41 + 1)) + 'General Info'!$B$41 - 1, 0)</f>
        <v>33469.75833202988</v>
      </c>
      <c r="W1234" s="100" t="str">
        <f>IF(ISERROR(MATCH(SamplingData[[#This Row],[Batch by Type (p)]],SelectedPrecincts[Batch Name], 0)), "", INDEX(SelectedPrecincts[Draw], MATCH(SamplingData[[#This Row],[Batch by Type (p)]],SelectedPrecincts[Batch Name], 0)))</f>
        <v/>
      </c>
      <c r="X1234" s="102">
        <f>IF(COUNTIF(SelectedPrecincts[Batch Name],SamplingData[[#This Row],[Batch by Type (p)]]) &lt;&gt; 0, COUNTIF(SelectedPrecincts[Batch Name],SamplingData[[#This Row],[Batch by Type (p)]]), 0)</f>
        <v>0</v>
      </c>
    </row>
    <row r="1235" spans="1:24" ht="15" customHeight="1">
      <c r="A1235" s="18" t="s">
        <v>1411</v>
      </c>
      <c r="B1235" s="18">
        <v>1</v>
      </c>
      <c r="C1235" s="18">
        <v>0</v>
      </c>
      <c r="D1235" s="16">
        <v>0</v>
      </c>
      <c r="E1235" s="16">
        <v>0</v>
      </c>
      <c r="F1235" s="37">
        <v>0</v>
      </c>
      <c r="G1235" s="37">
        <v>0</v>
      </c>
      <c r="H1235" s="17">
        <v>0</v>
      </c>
      <c r="I1235" s="17">
        <v>0</v>
      </c>
      <c r="J1235" s="99">
        <f>SUM(SamplingData[[#This Row],[Losing Candidate]:[Under Votes]])</f>
        <v>1</v>
      </c>
      <c r="K1235" s="100">
        <f>IF(AND(SamplingData[[#This Row],[Total]]&lt;&gt; 0, NOT(ISBLANK(SamplingData[[#This Row],[Losing Candidate]]))),(SamplingData[[#This Row],[Total]]+SamplingData[[#This Row],[Winning Candidate]]-SamplingData[[#This Row],[Losing Candidate]])/(SamplingData[[#Totals],[Winning Candidate]]-SamplingData[[#Totals],[Losing Candidate]]), 0)</f>
        <v>0</v>
      </c>
      <c r="L1235" s="100">
        <f>IF(AND(SamplingData[[#This Row],[Total]]&lt;&gt; 0, NOT(ISBLANK(SamplingData[[#This Row],[Candidate 3]]))),(SamplingData[[#This Row],[Total]]+SamplingData[[#This Row],[Winning Candidate]]-SamplingData[[#This Row],[Candidate 3]])/(SamplingData[[#Totals],[Winning Candidate]]-SamplingData[[#Totals],[Candidate 3]]), 0)</f>
        <v>3.2261186566441917E-5</v>
      </c>
      <c r="M1235" s="100">
        <f>IF(AND(SamplingData[[#This Row],[Total]]&lt;&gt; 0, NOT(ISBLANK(SamplingData[[#This Row],[Candidate 4]]))),(SamplingData[[#This Row],[Total]]+SamplingData[[#This Row],[Winning Candidate]]-SamplingData[[#This Row],[Candidate 4]])/(SamplingData[[#Totals],[Winning Candidate]]-SamplingData[[#Totals],[Candidate 4]]), 0)</f>
        <v>2.923207343096846E-5</v>
      </c>
      <c r="N1235" s="100">
        <f>IF(AND(SamplingData[[#This Row],[Total]]&lt;&gt; 0, NOT(ISBLANK(SamplingData[[#This Row],[Candidate 5]]))),(SamplingData[[#This Row],[Total]]+SamplingData[[#This Row],[Winning Candidate]]-SamplingData[[#This Row],[Candidate 5]])/(SamplingData[[#Totals],[Winning Candidate]]-SamplingData[[#Totals],[Candidate 5]]), 0)</f>
        <v>2.4324981756263683E-5</v>
      </c>
      <c r="O1235" s="100">
        <f>IF(AND(SamplingData[[#This Row],[Total]]&lt;&gt; 0, NOT(ISBLANK(SamplingData[[#This Row],[Candidate 6]]))),(SamplingData[[#This Row],[Total]]+SamplingData[[#This Row],[Winning Candidate]]-SamplingData[[#This Row],[Candidate 6]])/(SamplingData[[#Totals],[Winning Candidate]]-SamplingData[[#Totals],[Candidate 6]]), 0)</f>
        <v>2.431788337143135E-5</v>
      </c>
      <c r="P1235" s="100">
        <f>MAX(SamplingData[[#This Row],[Error Bound (up) - Max. possible relative overstatement - Losing Candidate]:[Error Bound (up) - Max. possible relative overstatement - Candidate 6]])</f>
        <v>3.2261186566441917E-5</v>
      </c>
      <c r="Q1235" s="100">
        <f>IF(SamplingData[[#This Row],[Max Error Bound (up)]] = 0,0,SamplingData[[#This Row],[Max Error Bound (up)]]/SamplingData[[#Totals],[Max Error Bound (up)]])</f>
        <v>5.1058637768320663E-6</v>
      </c>
      <c r="R1235" s="101">
        <f>SUM($Q$5:Q1235)</f>
        <v>0.33471268918407565</v>
      </c>
      <c r="S1235" s="100" t="str">
        <f t="array" ref="S1235">IF(SamplingData[[#This Row],[up/U Selection Probability]] = 0, "Zero", TEXT(SamplingData[[#This Row],[Lower Range]], REPT("0",LEN('General Info'!$B$40))) &amp; " - " &amp; TEXT(SamplingData[[#This Row],[Upper Range]], REPT("0",LEN('General Info'!$B$40))))</f>
        <v>33471 - 33470</v>
      </c>
      <c r="T1235" s="100">
        <f>SamplingData[[#This Row],[Upper Range]]-SamplingData[[#This Row],[Span]]</f>
        <v>33470.758337135747</v>
      </c>
      <c r="U1235" s="100">
        <f>IF(ISNUMBER('General Info'!$B$40), ((SamplingData[[#This Row],[up/U Selection Probability]]) * 'General Info'!$B$40) - 1, 0)</f>
        <v>-0.4894187281805702</v>
      </c>
      <c r="V1235" s="100">
        <f>IF(ISNUMBER('General Info'!$B$40), (SamplingData[[#This Row],[Running (cumulative) sum]] * ('General Info'!$B$40 -'General Info'!$B$41 + 1)) + 'General Info'!$B$41 - 1, 0)</f>
        <v>33470.268918407564</v>
      </c>
      <c r="W1235" s="100" t="str">
        <f>IF(ISERROR(MATCH(SamplingData[[#This Row],[Batch by Type (p)]],SelectedPrecincts[Batch Name], 0)), "", INDEX(SelectedPrecincts[Draw], MATCH(SamplingData[[#This Row],[Batch by Type (p)]],SelectedPrecincts[Batch Name], 0)))</f>
        <v/>
      </c>
      <c r="X1235" s="102">
        <f>IF(COUNTIF(SelectedPrecincts[Batch Name],SamplingData[[#This Row],[Batch by Type (p)]]) &lt;&gt; 0, COUNTIF(SelectedPrecincts[Batch Name],SamplingData[[#This Row],[Batch by Type (p)]]), 0)</f>
        <v>0</v>
      </c>
    </row>
    <row r="1236" spans="1:24" ht="15" customHeight="1">
      <c r="A1236" s="18" t="s">
        <v>1412</v>
      </c>
      <c r="B1236" s="18">
        <v>0</v>
      </c>
      <c r="C1236" s="18">
        <v>0</v>
      </c>
      <c r="D1236" s="18">
        <v>0</v>
      </c>
      <c r="E1236" s="18">
        <v>2</v>
      </c>
      <c r="F1236" s="18">
        <v>0</v>
      </c>
      <c r="G1236" s="18">
        <v>0</v>
      </c>
      <c r="H1236" s="18">
        <v>0</v>
      </c>
      <c r="I1236" s="18">
        <v>0</v>
      </c>
      <c r="J1236" s="99">
        <f>SUM(SamplingData[[#This Row],[Losing Candidate]:[Under Votes]])</f>
        <v>2</v>
      </c>
      <c r="K123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236" s="100">
        <f>IF(AND(SamplingData[[#This Row],[Total]]&lt;&gt; 0, NOT(ISBLANK(SamplingData[[#This Row],[Candidate 3]]))),(SamplingData[[#This Row],[Total]]+SamplingData[[#This Row],[Winning Candidate]]-SamplingData[[#This Row],[Candidate 3]])/(SamplingData[[#Totals],[Winning Candidate]]-SamplingData[[#Totals],[Candidate 3]]), 0)</f>
        <v>6.4522373132883833E-5</v>
      </c>
      <c r="M1236" s="100">
        <f>IF(AND(SamplingData[[#This Row],[Total]]&lt;&gt; 0, NOT(ISBLANK(SamplingData[[#This Row],[Candidate 4]]))),(SamplingData[[#This Row],[Total]]+SamplingData[[#This Row],[Winning Candidate]]-SamplingData[[#This Row],[Candidate 4]])/(SamplingData[[#Totals],[Winning Candidate]]-SamplingData[[#Totals],[Candidate 4]]), 0)</f>
        <v>0</v>
      </c>
      <c r="N1236" s="100">
        <f>IF(AND(SamplingData[[#This Row],[Total]]&lt;&gt; 0, NOT(ISBLANK(SamplingData[[#This Row],[Candidate 5]]))),(SamplingData[[#This Row],[Total]]+SamplingData[[#This Row],[Winning Candidate]]-SamplingData[[#This Row],[Candidate 5]])/(SamplingData[[#Totals],[Winning Candidate]]-SamplingData[[#Totals],[Candidate 5]]), 0)</f>
        <v>4.8649963512527367E-5</v>
      </c>
      <c r="O1236" s="100">
        <f>IF(AND(SamplingData[[#This Row],[Total]]&lt;&gt; 0, NOT(ISBLANK(SamplingData[[#This Row],[Candidate 6]]))),(SamplingData[[#This Row],[Total]]+SamplingData[[#This Row],[Winning Candidate]]-SamplingData[[#This Row],[Candidate 6]])/(SamplingData[[#Totals],[Winning Candidate]]-SamplingData[[#Totals],[Candidate 6]]), 0)</f>
        <v>4.8635766742862701E-5</v>
      </c>
      <c r="P1236" s="100">
        <f>MAX(SamplingData[[#This Row],[Error Bound (up) - Max. possible relative overstatement - Losing Candidate]:[Error Bound (up) - Max. possible relative overstatement - Candidate 6]])</f>
        <v>1.224889759921607E-4</v>
      </c>
      <c r="Q1236" s="100">
        <f>IF(SamplingData[[#This Row],[Max Error Bound (up)]] = 0,0,SamplingData[[#This Row],[Max Error Bound (up)]]/SamplingData[[#Totals],[Max Error Bound (up)]])</f>
        <v>1.9385896556891663E-5</v>
      </c>
      <c r="R1236" s="101">
        <f>SUM($Q$5:Q1236)</f>
        <v>0.33473207508063252</v>
      </c>
      <c r="S1236" s="100" t="str">
        <f t="array" ref="S1236">IF(SamplingData[[#This Row],[up/U Selection Probability]] = 0, "Zero", TEXT(SamplingData[[#This Row],[Lower Range]], REPT("0",LEN('General Info'!$B$40))) &amp; " - " &amp; TEXT(SamplingData[[#This Row],[Upper Range]], REPT("0",LEN('General Info'!$B$40))))</f>
        <v>33471 - 33472</v>
      </c>
      <c r="T1236" s="100">
        <f>SamplingData[[#This Row],[Upper Range]]-SamplingData[[#This Row],[Span]]</f>
        <v>33471.268937793458</v>
      </c>
      <c r="U1236" s="100">
        <f>IF(ISNUMBER('General Info'!$B$40), ((SamplingData[[#This Row],[up/U Selection Probability]]) * 'General Info'!$B$40) - 1, 0)</f>
        <v>0.93857026979260949</v>
      </c>
      <c r="V1236" s="100">
        <f>IF(ISNUMBER('General Info'!$B$40), (SamplingData[[#This Row],[Running (cumulative) sum]] * ('General Info'!$B$40 -'General Info'!$B$41 + 1)) + 'General Info'!$B$41 - 1, 0)</f>
        <v>33472.207508063249</v>
      </c>
      <c r="W1236" s="100" t="str">
        <f>IF(ISERROR(MATCH(SamplingData[[#This Row],[Batch by Type (p)]],SelectedPrecincts[Batch Name], 0)), "", INDEX(SelectedPrecincts[Draw], MATCH(SamplingData[[#This Row],[Batch by Type (p)]],SelectedPrecincts[Batch Name], 0)))</f>
        <v/>
      </c>
      <c r="X1236" s="102">
        <f>IF(COUNTIF(SelectedPrecincts[Batch Name],SamplingData[[#This Row],[Batch by Type (p)]]) &lt;&gt; 0, COUNTIF(SelectedPrecincts[Batch Name],SamplingData[[#This Row],[Batch by Type (p)]]), 0)</f>
        <v>0</v>
      </c>
    </row>
    <row r="1237" spans="1:24" ht="15" customHeight="1">
      <c r="A1237" s="18" t="s">
        <v>1413</v>
      </c>
      <c r="B1237" s="18">
        <v>24</v>
      </c>
      <c r="C1237" s="18">
        <v>84</v>
      </c>
      <c r="D1237" s="16">
        <v>14</v>
      </c>
      <c r="E1237" s="16">
        <v>10</v>
      </c>
      <c r="F1237" s="37">
        <v>0</v>
      </c>
      <c r="G1237" s="37">
        <v>0</v>
      </c>
      <c r="H1237" s="17">
        <v>0</v>
      </c>
      <c r="I1237" s="17">
        <v>3</v>
      </c>
      <c r="J1237" s="99">
        <f>SUM(SamplingData[[#This Row],[Losing Candidate]:[Under Votes]])</f>
        <v>135</v>
      </c>
      <c r="K1237" s="100">
        <f>IF(AND(SamplingData[[#This Row],[Total]]&lt;&gt; 0, NOT(ISBLANK(SamplingData[[#This Row],[Losing Candidate]]))),(SamplingData[[#This Row],[Total]]+SamplingData[[#This Row],[Winning Candidate]]-SamplingData[[#This Row],[Losing Candidate]])/(SamplingData[[#Totals],[Winning Candidate]]-SamplingData[[#Totals],[Losing Candidate]]), 0)</f>
        <v>1.194267515923567E-2</v>
      </c>
      <c r="L1237" s="100">
        <f>IF(AND(SamplingData[[#This Row],[Total]]&lt;&gt; 0, NOT(ISBLANK(SamplingData[[#This Row],[Candidate 3]]))),(SamplingData[[#This Row],[Total]]+SamplingData[[#This Row],[Winning Candidate]]-SamplingData[[#This Row],[Candidate 3]])/(SamplingData[[#Totals],[Winning Candidate]]-SamplingData[[#Totals],[Candidate 3]]), 0)</f>
        <v>6.6135432461205922E-3</v>
      </c>
      <c r="M1237" s="100">
        <f>IF(AND(SamplingData[[#This Row],[Total]]&lt;&gt; 0, NOT(ISBLANK(SamplingData[[#This Row],[Candidate 4]]))),(SamplingData[[#This Row],[Total]]+SamplingData[[#This Row],[Winning Candidate]]-SamplingData[[#This Row],[Candidate 4]])/(SamplingData[[#Totals],[Winning Candidate]]-SamplingData[[#Totals],[Candidate 4]]), 0)</f>
        <v>6.1095033470724078E-3</v>
      </c>
      <c r="N1237" s="100">
        <f>IF(AND(SamplingData[[#This Row],[Total]]&lt;&gt; 0, NOT(ISBLANK(SamplingData[[#This Row],[Candidate 5]]))),(SamplingData[[#This Row],[Total]]+SamplingData[[#This Row],[Winning Candidate]]-SamplingData[[#This Row],[Candidate 5]])/(SamplingData[[#Totals],[Winning Candidate]]-SamplingData[[#Totals],[Candidate 5]]), 0)</f>
        <v>5.3271710046217469E-3</v>
      </c>
      <c r="O1237" s="100">
        <f>IF(AND(SamplingData[[#This Row],[Total]]&lt;&gt; 0, NOT(ISBLANK(SamplingData[[#This Row],[Candidate 6]]))),(SamplingData[[#This Row],[Total]]+SamplingData[[#This Row],[Winning Candidate]]-SamplingData[[#This Row],[Candidate 6]])/(SamplingData[[#Totals],[Winning Candidate]]-SamplingData[[#Totals],[Candidate 6]]), 0)</f>
        <v>5.3256164583434656E-3</v>
      </c>
      <c r="P1237" s="100">
        <f>MAX(SamplingData[[#This Row],[Error Bound (up) - Max. possible relative overstatement - Losing Candidate]:[Error Bound (up) - Max. possible relative overstatement - Candidate 6]])</f>
        <v>1.194267515923567E-2</v>
      </c>
      <c r="Q1237" s="100">
        <f>IF(SamplingData[[#This Row],[Max Error Bound (up)]] = 0,0,SamplingData[[#This Row],[Max Error Bound (up)]]/SamplingData[[#Totals],[Max Error Bound (up)]])</f>
        <v>1.8901249142969374E-3</v>
      </c>
      <c r="R1237" s="101">
        <f>SUM($Q$5:Q1237)</f>
        <v>0.33662219999492948</v>
      </c>
      <c r="S1237" s="100" t="str">
        <f t="array" ref="S1237">IF(SamplingData[[#This Row],[up/U Selection Probability]] = 0, "Zero", TEXT(SamplingData[[#This Row],[Lower Range]], REPT("0",LEN('General Info'!$B$40))) &amp; " - " &amp; TEXT(SamplingData[[#This Row],[Upper Range]], REPT("0",LEN('General Info'!$B$40))))</f>
        <v>33473 - 33661</v>
      </c>
      <c r="T1237" s="100">
        <f>SamplingData[[#This Row],[Upper Range]]-SamplingData[[#This Row],[Span]]</f>
        <v>33473.20939818817</v>
      </c>
      <c r="U1237" s="100">
        <f>IF(ISNUMBER('General Info'!$B$40), ((SamplingData[[#This Row],[up/U Selection Probability]]) * 'General Info'!$B$40) - 1, 0)</f>
        <v>188.01060130477944</v>
      </c>
      <c r="V1237" s="100">
        <f>IF(ISNUMBER('General Info'!$B$40), (SamplingData[[#This Row],[Running (cumulative) sum]] * ('General Info'!$B$40 -'General Info'!$B$41 + 1)) + 'General Info'!$B$41 - 1, 0)</f>
        <v>33661.219999492947</v>
      </c>
      <c r="W1237" s="100" t="str">
        <f>IF(ISERROR(MATCH(SamplingData[[#This Row],[Batch by Type (p)]],SelectedPrecincts[Batch Name], 0)), "", INDEX(SelectedPrecincts[Draw], MATCH(SamplingData[[#This Row],[Batch by Type (p)]],SelectedPrecincts[Batch Name], 0)))</f>
        <v/>
      </c>
      <c r="X1237" s="102">
        <f>IF(COUNTIF(SelectedPrecincts[Batch Name],SamplingData[[#This Row],[Batch by Type (p)]]) &lt;&gt; 0, COUNTIF(SelectedPrecincts[Batch Name],SamplingData[[#This Row],[Batch by Type (p)]]), 0)</f>
        <v>0</v>
      </c>
    </row>
    <row r="1238" spans="1:24" ht="15" customHeight="1">
      <c r="A1238" s="18" t="s">
        <v>1414</v>
      </c>
      <c r="B1238" s="18">
        <v>11</v>
      </c>
      <c r="C1238" s="18">
        <v>47</v>
      </c>
      <c r="D1238" s="18">
        <v>9</v>
      </c>
      <c r="E1238" s="18">
        <v>1</v>
      </c>
      <c r="F1238" s="18">
        <v>0</v>
      </c>
      <c r="G1238" s="18">
        <v>0</v>
      </c>
      <c r="H1238" s="18">
        <v>0</v>
      </c>
      <c r="I1238" s="18">
        <v>1</v>
      </c>
      <c r="J1238" s="99">
        <f>SUM(SamplingData[[#This Row],[Losing Candidate]:[Under Votes]])</f>
        <v>69</v>
      </c>
      <c r="K1238" s="100">
        <f>IF(AND(SamplingData[[#This Row],[Total]]&lt;&gt; 0, NOT(ISBLANK(SamplingData[[#This Row],[Losing Candidate]]))),(SamplingData[[#This Row],[Total]]+SamplingData[[#This Row],[Winning Candidate]]-SamplingData[[#This Row],[Losing Candidate]])/(SamplingData[[#Totals],[Winning Candidate]]-SamplingData[[#Totals],[Losing Candidate]]), 0)</f>
        <v>6.4306712395884374E-3</v>
      </c>
      <c r="L1238" s="100">
        <f>IF(AND(SamplingData[[#This Row],[Total]]&lt;&gt; 0, NOT(ISBLANK(SamplingData[[#This Row],[Candidate 3]]))),(SamplingData[[#This Row],[Total]]+SamplingData[[#This Row],[Winning Candidate]]-SamplingData[[#This Row],[Candidate 3]])/(SamplingData[[#Totals],[Winning Candidate]]-SamplingData[[#Totals],[Candidate 3]]), 0)</f>
        <v>3.4519469626092848E-3</v>
      </c>
      <c r="M1238" s="100">
        <f>IF(AND(SamplingData[[#This Row],[Total]]&lt;&gt; 0, NOT(ISBLANK(SamplingData[[#This Row],[Candidate 4]]))),(SamplingData[[#This Row],[Total]]+SamplingData[[#This Row],[Winning Candidate]]-SamplingData[[#This Row],[Candidate 4]])/(SamplingData[[#Totals],[Winning Candidate]]-SamplingData[[#Totals],[Candidate 4]]), 0)</f>
        <v>3.3616884445613728E-3</v>
      </c>
      <c r="N1238" s="100">
        <f>IF(AND(SamplingData[[#This Row],[Total]]&lt;&gt; 0, NOT(ISBLANK(SamplingData[[#This Row],[Candidate 5]]))),(SamplingData[[#This Row],[Total]]+SamplingData[[#This Row],[Winning Candidate]]-SamplingData[[#This Row],[Candidate 5]])/(SamplingData[[#Totals],[Winning Candidate]]-SamplingData[[#Totals],[Candidate 5]]), 0)</f>
        <v>2.8216978837265873E-3</v>
      </c>
      <c r="O1238" s="100">
        <f>IF(AND(SamplingData[[#This Row],[Total]]&lt;&gt; 0, NOT(ISBLANK(SamplingData[[#This Row],[Candidate 6]]))),(SamplingData[[#This Row],[Total]]+SamplingData[[#This Row],[Winning Candidate]]-SamplingData[[#This Row],[Candidate 6]])/(SamplingData[[#Totals],[Winning Candidate]]-SamplingData[[#Totals],[Candidate 6]]), 0)</f>
        <v>2.8208744710860366E-3</v>
      </c>
      <c r="P1238" s="100">
        <f>MAX(SamplingData[[#This Row],[Error Bound (up) - Max. possible relative overstatement - Losing Candidate]:[Error Bound (up) - Max. possible relative overstatement - Candidate 6]])</f>
        <v>6.4306712395884374E-3</v>
      </c>
      <c r="Q1238" s="100">
        <f>IF(SamplingData[[#This Row],[Max Error Bound (up)]] = 0,0,SamplingData[[#This Row],[Max Error Bound (up)]]/SamplingData[[#Totals],[Max Error Bound (up)]])</f>
        <v>1.0177595692368124E-3</v>
      </c>
      <c r="R1238" s="101">
        <f>SUM($Q$5:Q1238)</f>
        <v>0.33763995956416631</v>
      </c>
      <c r="S1238" s="100" t="str">
        <f t="array" ref="S1238">IF(SamplingData[[#This Row],[up/U Selection Probability]] = 0, "Zero", TEXT(SamplingData[[#This Row],[Lower Range]], REPT("0",LEN('General Info'!$B$40))) &amp; " - " &amp; TEXT(SamplingData[[#This Row],[Upper Range]], REPT("0",LEN('General Info'!$B$40))))</f>
        <v>33662 - 33763</v>
      </c>
      <c r="T1238" s="100">
        <f>SamplingData[[#This Row],[Upper Range]]-SamplingData[[#This Row],[Span]]</f>
        <v>33662.221017252523</v>
      </c>
      <c r="U1238" s="100">
        <f>IF(ISNUMBER('General Info'!$B$40), ((SamplingData[[#This Row],[up/U Selection Probability]]) * 'General Info'!$B$40) - 1, 0)</f>
        <v>100.77493916411201</v>
      </c>
      <c r="V1238" s="100">
        <f>IF(ISNUMBER('General Info'!$B$40), (SamplingData[[#This Row],[Running (cumulative) sum]] * ('General Info'!$B$40 -'General Info'!$B$41 + 1)) + 'General Info'!$B$41 - 1, 0)</f>
        <v>33762.995956416635</v>
      </c>
      <c r="W1238" s="100" t="str">
        <f>IF(ISERROR(MATCH(SamplingData[[#This Row],[Batch by Type (p)]],SelectedPrecincts[Batch Name], 0)), "", INDEX(SelectedPrecincts[Draw], MATCH(SamplingData[[#This Row],[Batch by Type (p)]],SelectedPrecincts[Batch Name], 0)))</f>
        <v/>
      </c>
      <c r="X1238" s="102">
        <f>IF(COUNTIF(SelectedPrecincts[Batch Name],SamplingData[[#This Row],[Batch by Type (p)]]) &lt;&gt; 0, COUNTIF(SelectedPrecincts[Batch Name],SamplingData[[#This Row],[Batch by Type (p)]]), 0)</f>
        <v>0</v>
      </c>
    </row>
    <row r="1239" spans="1:24" ht="15" customHeight="1">
      <c r="A1239" s="18" t="s">
        <v>1415</v>
      </c>
      <c r="B1239" s="18">
        <v>28</v>
      </c>
      <c r="C1239" s="18">
        <v>57</v>
      </c>
      <c r="D1239" s="16">
        <v>12</v>
      </c>
      <c r="E1239" s="16">
        <v>9</v>
      </c>
      <c r="F1239" s="37">
        <v>0</v>
      </c>
      <c r="G1239" s="37">
        <v>0</v>
      </c>
      <c r="H1239" s="17">
        <v>0</v>
      </c>
      <c r="I1239" s="17">
        <v>6</v>
      </c>
      <c r="J1239" s="99">
        <f>SUM(SamplingData[[#This Row],[Losing Candidate]:[Under Votes]])</f>
        <v>112</v>
      </c>
      <c r="K1239" s="100">
        <f>IF(AND(SamplingData[[#This Row],[Total]]&lt;&gt; 0, NOT(ISBLANK(SamplingData[[#This Row],[Losing Candidate]]))),(SamplingData[[#This Row],[Total]]+SamplingData[[#This Row],[Winning Candidate]]-SamplingData[[#This Row],[Losing Candidate]])/(SamplingData[[#Totals],[Winning Candidate]]-SamplingData[[#Totals],[Losing Candidate]]), 0)</f>
        <v>8.6354728074473294E-3</v>
      </c>
      <c r="L1239" s="100">
        <f>IF(AND(SamplingData[[#This Row],[Total]]&lt;&gt; 0, NOT(ISBLANK(SamplingData[[#This Row],[Candidate 3]]))),(SamplingData[[#This Row],[Total]]+SamplingData[[#This Row],[Winning Candidate]]-SamplingData[[#This Row],[Candidate 3]])/(SamplingData[[#Totals],[Winning Candidate]]-SamplingData[[#Totals],[Candidate 3]]), 0)</f>
        <v>5.0650062909313801E-3</v>
      </c>
      <c r="M1239" s="100">
        <f>IF(AND(SamplingData[[#This Row],[Total]]&lt;&gt; 0, NOT(ISBLANK(SamplingData[[#This Row],[Candidate 4]]))),(SamplingData[[#This Row],[Total]]+SamplingData[[#This Row],[Winning Candidate]]-SamplingData[[#This Row],[Candidate 4]])/(SamplingData[[#Totals],[Winning Candidate]]-SamplingData[[#Totals],[Candidate 4]]), 0)</f>
        <v>4.6771317489549538E-3</v>
      </c>
      <c r="N1239" s="100">
        <f>IF(AND(SamplingData[[#This Row],[Total]]&lt;&gt; 0, NOT(ISBLANK(SamplingData[[#This Row],[Candidate 5]]))),(SamplingData[[#This Row],[Total]]+SamplingData[[#This Row],[Winning Candidate]]-SamplingData[[#This Row],[Candidate 5]])/(SamplingData[[#Totals],[Winning Candidate]]-SamplingData[[#Totals],[Candidate 5]]), 0)</f>
        <v>4.1109219168085622E-3</v>
      </c>
      <c r="O1239" s="100">
        <f>IF(AND(SamplingData[[#This Row],[Total]]&lt;&gt; 0, NOT(ISBLANK(SamplingData[[#This Row],[Candidate 6]]))),(SamplingData[[#This Row],[Total]]+SamplingData[[#This Row],[Winning Candidate]]-SamplingData[[#This Row],[Candidate 6]])/(SamplingData[[#Totals],[Winning Candidate]]-SamplingData[[#Totals],[Candidate 6]]), 0)</f>
        <v>4.109722289771898E-3</v>
      </c>
      <c r="P1239" s="100">
        <f>MAX(SamplingData[[#This Row],[Error Bound (up) - Max. possible relative overstatement - Losing Candidate]:[Error Bound (up) - Max. possible relative overstatement - Candidate 6]])</f>
        <v>8.6354728074473294E-3</v>
      </c>
      <c r="Q1239" s="100">
        <f>IF(SamplingData[[#This Row],[Max Error Bound (up)]] = 0,0,SamplingData[[#This Row],[Max Error Bound (up)]]/SamplingData[[#Totals],[Max Error Bound (up)]])</f>
        <v>1.3667057072608622E-3</v>
      </c>
      <c r="R1239" s="101">
        <f>SUM($Q$5:Q1239)</f>
        <v>0.3390066652714272</v>
      </c>
      <c r="S1239" s="100" t="str">
        <f t="array" ref="S1239">IF(SamplingData[[#This Row],[up/U Selection Probability]] = 0, "Zero", TEXT(SamplingData[[#This Row],[Lower Range]], REPT("0",LEN('General Info'!$B$40))) &amp; " - " &amp; TEXT(SamplingData[[#This Row],[Upper Range]], REPT("0",LEN('General Info'!$B$40))))</f>
        <v>33764 - 33900</v>
      </c>
      <c r="T1239" s="100">
        <f>SamplingData[[#This Row],[Upper Range]]-SamplingData[[#This Row],[Span]]</f>
        <v>33763.997323122341</v>
      </c>
      <c r="U1239" s="100">
        <f>IF(ISNUMBER('General Info'!$B$40), ((SamplingData[[#This Row],[up/U Selection Probability]]) * 'General Info'!$B$40) - 1, 0)</f>
        <v>135.66920402037897</v>
      </c>
      <c r="V1239" s="100">
        <f>IF(ISNUMBER('General Info'!$B$40), (SamplingData[[#This Row],[Running (cumulative) sum]] * ('General Info'!$B$40 -'General Info'!$B$41 + 1)) + 'General Info'!$B$41 - 1, 0)</f>
        <v>33899.666527142719</v>
      </c>
      <c r="W1239" s="100" t="str">
        <f>IF(ISERROR(MATCH(SamplingData[[#This Row],[Batch by Type (p)]],SelectedPrecincts[Batch Name], 0)), "", INDEX(SelectedPrecincts[Draw], MATCH(SamplingData[[#This Row],[Batch by Type (p)]],SelectedPrecincts[Batch Name], 0)))</f>
        <v/>
      </c>
      <c r="X1239" s="102">
        <f>IF(COUNTIF(SelectedPrecincts[Batch Name],SamplingData[[#This Row],[Batch by Type (p)]]) &lt;&gt; 0, COUNTIF(SelectedPrecincts[Batch Name],SamplingData[[#This Row],[Batch by Type (p)]]), 0)</f>
        <v>0</v>
      </c>
    </row>
    <row r="1240" spans="1:24" ht="15" customHeight="1">
      <c r="A1240" s="18" t="s">
        <v>1416</v>
      </c>
      <c r="B1240" s="18">
        <v>23</v>
      </c>
      <c r="C1240" s="18">
        <v>30</v>
      </c>
      <c r="D1240" s="18">
        <v>6</v>
      </c>
      <c r="E1240" s="18">
        <v>2</v>
      </c>
      <c r="F1240" s="18">
        <v>0</v>
      </c>
      <c r="G1240" s="18">
        <v>0</v>
      </c>
      <c r="H1240" s="18">
        <v>0</v>
      </c>
      <c r="I1240" s="18">
        <v>1</v>
      </c>
      <c r="J1240" s="99">
        <f>SUM(SamplingData[[#This Row],[Losing Candidate]:[Under Votes]])</f>
        <v>62</v>
      </c>
      <c r="K1240" s="100">
        <f>IF(AND(SamplingData[[#This Row],[Total]]&lt;&gt; 0, NOT(ISBLANK(SamplingData[[#This Row],[Losing Candidate]]))),(SamplingData[[#This Row],[Total]]+SamplingData[[#This Row],[Winning Candidate]]-SamplingData[[#This Row],[Losing Candidate]])/(SamplingData[[#Totals],[Winning Candidate]]-SamplingData[[#Totals],[Losing Candidate]]), 0)</f>
        <v>4.2258696717295445E-3</v>
      </c>
      <c r="L1240" s="100">
        <f>IF(AND(SamplingData[[#This Row],[Total]]&lt;&gt; 0, NOT(ISBLANK(SamplingData[[#This Row],[Candidate 3]]))),(SamplingData[[#This Row],[Total]]+SamplingData[[#This Row],[Winning Candidate]]-SamplingData[[#This Row],[Candidate 3]])/(SamplingData[[#Totals],[Winning Candidate]]-SamplingData[[#Totals],[Candidate 3]]), 0)</f>
        <v>2.7744620447140047E-3</v>
      </c>
      <c r="M1240" s="100">
        <f>IF(AND(SamplingData[[#This Row],[Total]]&lt;&gt; 0, NOT(ISBLANK(SamplingData[[#This Row],[Candidate 4]]))),(SamplingData[[#This Row],[Total]]+SamplingData[[#This Row],[Winning Candidate]]-SamplingData[[#This Row],[Candidate 4]])/(SamplingData[[#Totals],[Winning Candidate]]-SamplingData[[#Totals],[Candidate 4]]), 0)</f>
        <v>2.6308866087871611E-3</v>
      </c>
      <c r="N1240" s="100">
        <f>IF(AND(SamplingData[[#This Row],[Total]]&lt;&gt; 0, NOT(ISBLANK(SamplingData[[#This Row],[Candidate 5]]))),(SamplingData[[#This Row],[Total]]+SamplingData[[#This Row],[Winning Candidate]]-SamplingData[[#This Row],[Candidate 5]])/(SamplingData[[#Totals],[Winning Candidate]]-SamplingData[[#Totals],[Candidate 5]]), 0)</f>
        <v>2.237898321576259E-3</v>
      </c>
      <c r="O1240" s="100">
        <f>IF(AND(SamplingData[[#This Row],[Total]]&lt;&gt; 0, NOT(ISBLANK(SamplingData[[#This Row],[Candidate 6]]))),(SamplingData[[#This Row],[Total]]+SamplingData[[#This Row],[Winning Candidate]]-SamplingData[[#This Row],[Candidate 6]])/(SamplingData[[#Totals],[Winning Candidate]]-SamplingData[[#Totals],[Candidate 6]]), 0)</f>
        <v>2.2372452701716842E-3</v>
      </c>
      <c r="P1240" s="100">
        <f>MAX(SamplingData[[#This Row],[Error Bound (up) - Max. possible relative overstatement - Losing Candidate]:[Error Bound (up) - Max. possible relative overstatement - Candidate 6]])</f>
        <v>4.2258696717295445E-3</v>
      </c>
      <c r="Q1240" s="100">
        <f>IF(SamplingData[[#This Row],[Max Error Bound (up)]] = 0,0,SamplingData[[#This Row],[Max Error Bound (up)]]/SamplingData[[#Totals],[Max Error Bound (up)]])</f>
        <v>6.6881343121276242E-4</v>
      </c>
      <c r="R1240" s="101">
        <f>SUM($Q$5:Q1240)</f>
        <v>0.33967547870263998</v>
      </c>
      <c r="S1240" s="100" t="str">
        <f t="array" ref="S1240">IF(SamplingData[[#This Row],[up/U Selection Probability]] = 0, "Zero", TEXT(SamplingData[[#This Row],[Lower Range]], REPT("0",LEN('General Info'!$B$40))) &amp; " - " &amp; TEXT(SamplingData[[#This Row],[Upper Range]], REPT("0",LEN('General Info'!$B$40))))</f>
        <v>33901 - 33967</v>
      </c>
      <c r="T1240" s="100">
        <f>SamplingData[[#This Row],[Upper Range]]-SamplingData[[#This Row],[Span]]</f>
        <v>33900.66719595615</v>
      </c>
      <c r="U1240" s="100">
        <f>IF(ISNUMBER('General Info'!$B$40), ((SamplingData[[#This Row],[up/U Selection Probability]]) * 'General Info'!$B$40) - 1, 0)</f>
        <v>65.880674307845027</v>
      </c>
      <c r="V1240" s="100">
        <f>IF(ISNUMBER('General Info'!$B$40), (SamplingData[[#This Row],[Running (cumulative) sum]] * ('General Info'!$B$40 -'General Info'!$B$41 + 1)) + 'General Info'!$B$41 - 1, 0)</f>
        <v>33966.547870263996</v>
      </c>
      <c r="W1240" s="100" t="str">
        <f>IF(ISERROR(MATCH(SamplingData[[#This Row],[Batch by Type (p)]],SelectedPrecincts[Batch Name], 0)), "", INDEX(SelectedPrecincts[Draw], MATCH(SamplingData[[#This Row],[Batch by Type (p)]],SelectedPrecincts[Batch Name], 0)))</f>
        <v/>
      </c>
      <c r="X1240" s="102">
        <f>IF(COUNTIF(SelectedPrecincts[Batch Name],SamplingData[[#This Row],[Batch by Type (p)]]) &lt;&gt; 0, COUNTIF(SelectedPrecincts[Batch Name],SamplingData[[#This Row],[Batch by Type (p)]]), 0)</f>
        <v>0</v>
      </c>
    </row>
    <row r="1241" spans="1:24" ht="15" customHeight="1">
      <c r="A1241" s="18" t="s">
        <v>1417</v>
      </c>
      <c r="B1241" s="18">
        <v>44</v>
      </c>
      <c r="C1241" s="18">
        <v>112</v>
      </c>
      <c r="D1241" s="16">
        <v>11</v>
      </c>
      <c r="E1241" s="16">
        <v>13</v>
      </c>
      <c r="F1241" s="37">
        <v>0</v>
      </c>
      <c r="G1241" s="37">
        <v>0</v>
      </c>
      <c r="H1241" s="17">
        <v>1</v>
      </c>
      <c r="I1241" s="17">
        <v>4</v>
      </c>
      <c r="J1241" s="99">
        <f>SUM(SamplingData[[#This Row],[Losing Candidate]:[Under Votes]])</f>
        <v>185</v>
      </c>
      <c r="K1241" s="100">
        <f>IF(AND(SamplingData[[#This Row],[Total]]&lt;&gt; 0, NOT(ISBLANK(SamplingData[[#This Row],[Losing Candidate]]))),(SamplingData[[#This Row],[Total]]+SamplingData[[#This Row],[Winning Candidate]]-SamplingData[[#This Row],[Losing Candidate]])/(SamplingData[[#Totals],[Winning Candidate]]-SamplingData[[#Totals],[Losing Candidate]]), 0)</f>
        <v>1.549485546300833E-2</v>
      </c>
      <c r="L1241" s="100">
        <f>IF(AND(SamplingData[[#This Row],[Total]]&lt;&gt; 0, NOT(ISBLANK(SamplingData[[#This Row],[Candidate 3]]))),(SamplingData[[#This Row],[Total]]+SamplingData[[#This Row],[Winning Candidate]]-SamplingData[[#This Row],[Candidate 3]])/(SamplingData[[#Totals],[Winning Candidate]]-SamplingData[[#Totals],[Candidate 3]]), 0)</f>
        <v>9.2266993580023878E-3</v>
      </c>
      <c r="M1241" s="100">
        <f>IF(AND(SamplingData[[#This Row],[Total]]&lt;&gt; 0, NOT(ISBLANK(SamplingData[[#This Row],[Candidate 4]]))),(SamplingData[[#This Row],[Total]]+SamplingData[[#This Row],[Winning Candidate]]-SamplingData[[#This Row],[Candidate 4]])/(SamplingData[[#Totals],[Winning Candidate]]-SamplingData[[#Totals],[Candidate 4]]), 0)</f>
        <v>8.3019088543950428E-3</v>
      </c>
      <c r="N1241" s="100">
        <f>IF(AND(SamplingData[[#This Row],[Total]]&lt;&gt; 0, NOT(ISBLANK(SamplingData[[#This Row],[Candidate 5]]))),(SamplingData[[#This Row],[Total]]+SamplingData[[#This Row],[Winning Candidate]]-SamplingData[[#This Row],[Candidate 5]])/(SamplingData[[#Totals],[Winning Candidate]]-SamplingData[[#Totals],[Candidate 5]]), 0)</f>
        <v>7.2245195816103142E-3</v>
      </c>
      <c r="O1241" s="100">
        <f>IF(AND(SamplingData[[#This Row],[Total]]&lt;&gt; 0, NOT(ISBLANK(SamplingData[[#This Row],[Candidate 6]]))),(SamplingData[[#This Row],[Total]]+SamplingData[[#This Row],[Winning Candidate]]-SamplingData[[#This Row],[Candidate 6]])/(SamplingData[[#Totals],[Winning Candidate]]-SamplingData[[#Totals],[Candidate 6]]), 0)</f>
        <v>7.2224113613151113E-3</v>
      </c>
      <c r="P1241" s="100">
        <f>MAX(SamplingData[[#This Row],[Error Bound (up) - Max. possible relative overstatement - Losing Candidate]:[Error Bound (up) - Max. possible relative overstatement - Candidate 6]])</f>
        <v>1.549485546300833E-2</v>
      </c>
      <c r="Q1241" s="100">
        <f>IF(SamplingData[[#This Row],[Max Error Bound (up)]] = 0,0,SamplingData[[#This Row],[Max Error Bound (up)]]/SamplingData[[#Totals],[Max Error Bound (up)]])</f>
        <v>2.4523159144467957E-3</v>
      </c>
      <c r="R1241" s="101">
        <f>SUM($Q$5:Q1241)</f>
        <v>0.34212779461708676</v>
      </c>
      <c r="S1241" s="100" t="str">
        <f t="array" ref="S1241">IF(SamplingData[[#This Row],[up/U Selection Probability]] = 0, "Zero", TEXT(SamplingData[[#This Row],[Lower Range]], REPT("0",LEN('General Info'!$B$40))) &amp; " - " &amp; TEXT(SamplingData[[#This Row],[Upper Range]], REPT("0",LEN('General Info'!$B$40))))</f>
        <v>33968 - 34212</v>
      </c>
      <c r="T1241" s="100">
        <f>SamplingData[[#This Row],[Upper Range]]-SamplingData[[#This Row],[Span]]</f>
        <v>33967.550322579911</v>
      </c>
      <c r="U1241" s="100">
        <f>IF(ISNUMBER('General Info'!$B$40), ((SamplingData[[#This Row],[up/U Selection Probability]]) * 'General Info'!$B$40) - 1, 0)</f>
        <v>244.22913912876513</v>
      </c>
      <c r="V1241" s="100">
        <f>IF(ISNUMBER('General Info'!$B$40), (SamplingData[[#This Row],[Running (cumulative) sum]] * ('General Info'!$B$40 -'General Info'!$B$41 + 1)) + 'General Info'!$B$41 - 1, 0)</f>
        <v>34211.779461708677</v>
      </c>
      <c r="W1241" s="100" t="str">
        <f>IF(ISERROR(MATCH(SamplingData[[#This Row],[Batch by Type (p)]],SelectedPrecincts[Batch Name], 0)), "", INDEX(SelectedPrecincts[Draw], MATCH(SamplingData[[#This Row],[Batch by Type (p)]],SelectedPrecincts[Batch Name], 0)))</f>
        <v/>
      </c>
      <c r="X1241" s="102">
        <f>IF(COUNTIF(SelectedPrecincts[Batch Name],SamplingData[[#This Row],[Batch by Type (p)]]) &lt;&gt; 0, COUNTIF(SelectedPrecincts[Batch Name],SamplingData[[#This Row],[Batch by Type (p)]]), 0)</f>
        <v>0</v>
      </c>
    </row>
    <row r="1242" spans="1:24" ht="15" customHeight="1">
      <c r="A1242" s="18" t="s">
        <v>1418</v>
      </c>
      <c r="B1242" s="18">
        <v>15</v>
      </c>
      <c r="C1242" s="18">
        <v>35</v>
      </c>
      <c r="D1242" s="18">
        <v>6</v>
      </c>
      <c r="E1242" s="18">
        <v>1</v>
      </c>
      <c r="F1242" s="18">
        <v>0</v>
      </c>
      <c r="G1242" s="18">
        <v>0</v>
      </c>
      <c r="H1242" s="18">
        <v>0</v>
      </c>
      <c r="I1242" s="18">
        <v>6</v>
      </c>
      <c r="J1242" s="99">
        <f>SUM(SamplingData[[#This Row],[Losing Candidate]:[Under Votes]])</f>
        <v>63</v>
      </c>
      <c r="K1242" s="100">
        <f>IF(AND(SamplingData[[#This Row],[Total]]&lt;&gt; 0, NOT(ISBLANK(SamplingData[[#This Row],[Losing Candidate]]))),(SamplingData[[#This Row],[Total]]+SamplingData[[#This Row],[Winning Candidate]]-SamplingData[[#This Row],[Losing Candidate]])/(SamplingData[[#Totals],[Winning Candidate]]-SamplingData[[#Totals],[Losing Candidate]]), 0)</f>
        <v>5.0832925036746694E-3</v>
      </c>
      <c r="L1242" s="100">
        <f>IF(AND(SamplingData[[#This Row],[Total]]&lt;&gt; 0, NOT(ISBLANK(SamplingData[[#This Row],[Candidate 3]]))),(SamplingData[[#This Row],[Total]]+SamplingData[[#This Row],[Winning Candidate]]-SamplingData[[#This Row],[Candidate 3]])/(SamplingData[[#Totals],[Winning Candidate]]-SamplingData[[#Totals],[Candidate 3]]), 0)</f>
        <v>2.9680291641126563E-3</v>
      </c>
      <c r="M1242" s="100">
        <f>IF(AND(SamplingData[[#This Row],[Total]]&lt;&gt; 0, NOT(ISBLANK(SamplingData[[#This Row],[Candidate 4]]))),(SamplingData[[#This Row],[Total]]+SamplingData[[#This Row],[Winning Candidate]]-SamplingData[[#This Row],[Candidate 4]])/(SamplingData[[#Totals],[Winning Candidate]]-SamplingData[[#Totals],[Candidate 4]]), 0)</f>
        <v>2.8355111228039404E-3</v>
      </c>
      <c r="N1242" s="100">
        <f>IF(AND(SamplingData[[#This Row],[Total]]&lt;&gt; 0, NOT(ISBLANK(SamplingData[[#This Row],[Candidate 5]]))),(SamplingData[[#This Row],[Total]]+SamplingData[[#This Row],[Winning Candidate]]-SamplingData[[#This Row],[Candidate 5]])/(SamplingData[[#Totals],[Winning Candidate]]-SamplingData[[#Totals],[Candidate 5]]), 0)</f>
        <v>2.3838482121138409E-3</v>
      </c>
      <c r="O1242" s="100">
        <f>IF(AND(SamplingData[[#This Row],[Total]]&lt;&gt; 0, NOT(ISBLANK(SamplingData[[#This Row],[Candidate 6]]))),(SamplingData[[#This Row],[Total]]+SamplingData[[#This Row],[Winning Candidate]]-SamplingData[[#This Row],[Candidate 6]])/(SamplingData[[#Totals],[Winning Candidate]]-SamplingData[[#Totals],[Candidate 6]]), 0)</f>
        <v>2.3831525704002725E-3</v>
      </c>
      <c r="P1242" s="100">
        <f>MAX(SamplingData[[#This Row],[Error Bound (up) - Max. possible relative overstatement - Losing Candidate]:[Error Bound (up) - Max. possible relative overstatement - Candidate 6]])</f>
        <v>5.0832925036746694E-3</v>
      </c>
      <c r="Q1242" s="100">
        <f>IF(SamplingData[[#This Row],[Max Error Bound (up)]] = 0,0,SamplingData[[#This Row],[Max Error Bound (up)]]/SamplingData[[#Totals],[Max Error Bound (up)]])</f>
        <v>8.0451470711100407E-4</v>
      </c>
      <c r="R1242" s="101">
        <f>SUM($Q$5:Q1242)</f>
        <v>0.34293230932419777</v>
      </c>
      <c r="S1242" s="100" t="str">
        <f t="array" ref="S1242">IF(SamplingData[[#This Row],[up/U Selection Probability]] = 0, "Zero", TEXT(SamplingData[[#This Row],[Lower Range]], REPT("0",LEN('General Info'!$B$40))) &amp; " - " &amp; TEXT(SamplingData[[#This Row],[Upper Range]], REPT("0",LEN('General Info'!$B$40))))</f>
        <v>34213 - 34292</v>
      </c>
      <c r="T1242" s="100">
        <f>SamplingData[[#This Row],[Upper Range]]-SamplingData[[#This Row],[Span]]</f>
        <v>34212.780266223381</v>
      </c>
      <c r="U1242" s="100">
        <f>IF(ISNUMBER('General Info'!$B$40), ((SamplingData[[#This Row],[up/U Selection Probability]]) * 'General Info'!$B$40) - 1, 0)</f>
        <v>79.4506661963933</v>
      </c>
      <c r="V1242" s="100">
        <f>IF(ISNUMBER('General Info'!$B$40), (SamplingData[[#This Row],[Running (cumulative) sum]] * ('General Info'!$B$40 -'General Info'!$B$41 + 1)) + 'General Info'!$B$41 - 1, 0)</f>
        <v>34292.230932419778</v>
      </c>
      <c r="W1242" s="100" t="str">
        <f>IF(ISERROR(MATCH(SamplingData[[#This Row],[Batch by Type (p)]],SelectedPrecincts[Batch Name], 0)), "", INDEX(SelectedPrecincts[Draw], MATCH(SamplingData[[#This Row],[Batch by Type (p)]],SelectedPrecincts[Batch Name], 0)))</f>
        <v/>
      </c>
      <c r="X1242" s="102">
        <f>IF(COUNTIF(SelectedPrecincts[Batch Name],SamplingData[[#This Row],[Batch by Type (p)]]) &lt;&gt; 0, COUNTIF(SelectedPrecincts[Batch Name],SamplingData[[#This Row],[Batch by Type (p)]]), 0)</f>
        <v>0</v>
      </c>
    </row>
    <row r="1243" spans="1:24" ht="15" customHeight="1">
      <c r="A1243" s="18" t="s">
        <v>1419</v>
      </c>
      <c r="B1243" s="18">
        <v>16</v>
      </c>
      <c r="C1243" s="18">
        <v>64</v>
      </c>
      <c r="D1243" s="16">
        <v>7</v>
      </c>
      <c r="E1243" s="16">
        <v>0</v>
      </c>
      <c r="F1243" s="37">
        <v>0</v>
      </c>
      <c r="G1243" s="37">
        <v>0</v>
      </c>
      <c r="H1243" s="17">
        <v>0</v>
      </c>
      <c r="I1243" s="17">
        <v>0</v>
      </c>
      <c r="J1243" s="99">
        <f>SUM(SamplingData[[#This Row],[Losing Candidate]:[Under Votes]])</f>
        <v>87</v>
      </c>
      <c r="K1243" s="100">
        <f>IF(AND(SamplingData[[#This Row],[Total]]&lt;&gt; 0, NOT(ISBLANK(SamplingData[[#This Row],[Losing Candidate]]))),(SamplingData[[#This Row],[Total]]+SamplingData[[#This Row],[Winning Candidate]]-SamplingData[[#This Row],[Losing Candidate]])/(SamplingData[[#Totals],[Winning Candidate]]-SamplingData[[#Totals],[Losing Candidate]]), 0)</f>
        <v>8.268005879470847E-3</v>
      </c>
      <c r="L1243" s="100">
        <f>IF(AND(SamplingData[[#This Row],[Total]]&lt;&gt; 0, NOT(ISBLANK(SamplingData[[#This Row],[Candidate 3]]))),(SamplingData[[#This Row],[Total]]+SamplingData[[#This Row],[Winning Candidate]]-SamplingData[[#This Row],[Candidate 3]])/(SamplingData[[#Totals],[Winning Candidate]]-SamplingData[[#Totals],[Candidate 3]]), 0)</f>
        <v>4.6456108655676355E-3</v>
      </c>
      <c r="M1243" s="100">
        <f>IF(AND(SamplingData[[#This Row],[Total]]&lt;&gt; 0, NOT(ISBLANK(SamplingData[[#This Row],[Candidate 4]]))),(SamplingData[[#This Row],[Total]]+SamplingData[[#This Row],[Winning Candidate]]-SamplingData[[#This Row],[Candidate 4]])/(SamplingData[[#Totals],[Winning Candidate]]-SamplingData[[#Totals],[Candidate 4]]), 0)</f>
        <v>4.4140430880762376E-3</v>
      </c>
      <c r="N1243" s="100">
        <f>IF(AND(SamplingData[[#This Row],[Total]]&lt;&gt; 0, NOT(ISBLANK(SamplingData[[#This Row],[Candidate 5]]))),(SamplingData[[#This Row],[Total]]+SamplingData[[#This Row],[Winning Candidate]]-SamplingData[[#This Row],[Candidate 5]])/(SamplingData[[#Totals],[Winning Candidate]]-SamplingData[[#Totals],[Candidate 5]]), 0)</f>
        <v>3.6730722451958162E-3</v>
      </c>
      <c r="O1243" s="100">
        <f>IF(AND(SamplingData[[#This Row],[Total]]&lt;&gt; 0, NOT(ISBLANK(SamplingData[[#This Row],[Candidate 6]]))),(SamplingData[[#This Row],[Total]]+SamplingData[[#This Row],[Winning Candidate]]-SamplingData[[#This Row],[Candidate 6]])/(SamplingData[[#Totals],[Winning Candidate]]-SamplingData[[#Totals],[Candidate 6]]), 0)</f>
        <v>3.6720003890861339E-3</v>
      </c>
      <c r="P1243" s="100">
        <f>MAX(SamplingData[[#This Row],[Error Bound (up) - Max. possible relative overstatement - Losing Candidate]:[Error Bound (up) - Max. possible relative overstatement - Candidate 6]])</f>
        <v>8.268005879470847E-3</v>
      </c>
      <c r="Q1243" s="100">
        <f>IF(SamplingData[[#This Row],[Max Error Bound (up)]] = 0,0,SamplingData[[#This Row],[Max Error Bound (up)]]/SamplingData[[#Totals],[Max Error Bound (up)]])</f>
        <v>1.3085480175901872E-3</v>
      </c>
      <c r="R1243" s="101">
        <f>SUM($Q$5:Q1243)</f>
        <v>0.34424085734178794</v>
      </c>
      <c r="S1243" s="100" t="str">
        <f t="array" ref="S1243">IF(SamplingData[[#This Row],[up/U Selection Probability]] = 0, "Zero", TEXT(SamplingData[[#This Row],[Lower Range]], REPT("0",LEN('General Info'!$B$40))) &amp; " - " &amp; TEXT(SamplingData[[#This Row],[Upper Range]], REPT("0",LEN('General Info'!$B$40))))</f>
        <v>34293 - 34423</v>
      </c>
      <c r="T1243" s="100">
        <f>SamplingData[[#This Row],[Upper Range]]-SamplingData[[#This Row],[Span]]</f>
        <v>34293.232240967794</v>
      </c>
      <c r="U1243" s="100">
        <f>IF(ISNUMBER('General Info'!$B$40), ((SamplingData[[#This Row],[up/U Selection Probability]]) * 'General Info'!$B$40) - 1, 0)</f>
        <v>129.85349321100114</v>
      </c>
      <c r="V1243" s="100">
        <f>IF(ISNUMBER('General Info'!$B$40), (SamplingData[[#This Row],[Running (cumulative) sum]] * ('General Info'!$B$40 -'General Info'!$B$41 + 1)) + 'General Info'!$B$41 - 1, 0)</f>
        <v>34423.085734178792</v>
      </c>
      <c r="W1243" s="100" t="str">
        <f>IF(ISERROR(MATCH(SamplingData[[#This Row],[Batch by Type (p)]],SelectedPrecincts[Batch Name], 0)), "", INDEX(SelectedPrecincts[Draw], MATCH(SamplingData[[#This Row],[Batch by Type (p)]],SelectedPrecincts[Batch Name], 0)))</f>
        <v/>
      </c>
      <c r="X1243" s="102">
        <f>IF(COUNTIF(SelectedPrecincts[Batch Name],SamplingData[[#This Row],[Batch by Type (p)]]) &lt;&gt; 0, COUNTIF(SelectedPrecincts[Batch Name],SamplingData[[#This Row],[Batch by Type (p)]]), 0)</f>
        <v>0</v>
      </c>
    </row>
    <row r="1244" spans="1:24" ht="15" customHeight="1">
      <c r="A1244" s="18" t="s">
        <v>1420</v>
      </c>
      <c r="B1244" s="18">
        <v>9</v>
      </c>
      <c r="C1244" s="18">
        <v>30</v>
      </c>
      <c r="D1244" s="18">
        <v>8</v>
      </c>
      <c r="E1244" s="18">
        <v>0</v>
      </c>
      <c r="F1244" s="18">
        <v>0</v>
      </c>
      <c r="G1244" s="18">
        <v>0</v>
      </c>
      <c r="H1244" s="18">
        <v>0</v>
      </c>
      <c r="I1244" s="18">
        <v>1</v>
      </c>
      <c r="J1244" s="99">
        <f>SUM(SamplingData[[#This Row],[Losing Candidate]:[Under Votes]])</f>
        <v>48</v>
      </c>
      <c r="K1244" s="100">
        <f>IF(AND(SamplingData[[#This Row],[Total]]&lt;&gt; 0, NOT(ISBLANK(SamplingData[[#This Row],[Losing Candidate]]))),(SamplingData[[#This Row],[Total]]+SamplingData[[#This Row],[Winning Candidate]]-SamplingData[[#This Row],[Losing Candidate]])/(SamplingData[[#Totals],[Winning Candidate]]-SamplingData[[#Totals],[Losing Candidate]]), 0)</f>
        <v>4.2258696717295445E-3</v>
      </c>
      <c r="L1244" s="100">
        <f>IF(AND(SamplingData[[#This Row],[Total]]&lt;&gt; 0, NOT(ISBLANK(SamplingData[[#This Row],[Candidate 3]]))),(SamplingData[[#This Row],[Total]]+SamplingData[[#This Row],[Winning Candidate]]-SamplingData[[#This Row],[Candidate 3]])/(SamplingData[[#Totals],[Winning Candidate]]-SamplingData[[#Totals],[Candidate 3]]), 0)</f>
        <v>2.2582830596509338E-3</v>
      </c>
      <c r="M1244" s="100">
        <f>IF(AND(SamplingData[[#This Row],[Total]]&lt;&gt; 0, NOT(ISBLANK(SamplingData[[#This Row],[Candidate 4]]))),(SamplingData[[#This Row],[Total]]+SamplingData[[#This Row],[Winning Candidate]]-SamplingData[[#This Row],[Candidate 4]])/(SamplingData[[#Totals],[Winning Candidate]]-SamplingData[[#Totals],[Candidate 4]]), 0)</f>
        <v>2.28010172761554E-3</v>
      </c>
      <c r="N1244" s="100">
        <f>IF(AND(SamplingData[[#This Row],[Total]]&lt;&gt; 0, NOT(ISBLANK(SamplingData[[#This Row],[Candidate 5]]))),(SamplingData[[#This Row],[Total]]+SamplingData[[#This Row],[Winning Candidate]]-SamplingData[[#This Row],[Candidate 5]])/(SamplingData[[#Totals],[Winning Candidate]]-SamplingData[[#Totals],[Candidate 5]]), 0)</f>
        <v>1.8973485769885673E-3</v>
      </c>
      <c r="O1244" s="100">
        <f>IF(AND(SamplingData[[#This Row],[Total]]&lt;&gt; 0, NOT(ISBLANK(SamplingData[[#This Row],[Candidate 6]]))),(SamplingData[[#This Row],[Total]]+SamplingData[[#This Row],[Winning Candidate]]-SamplingData[[#This Row],[Candidate 6]])/(SamplingData[[#Totals],[Winning Candidate]]-SamplingData[[#Totals],[Candidate 6]]), 0)</f>
        <v>1.8967949029716454E-3</v>
      </c>
      <c r="P1244" s="100">
        <f>MAX(SamplingData[[#This Row],[Error Bound (up) - Max. possible relative overstatement - Losing Candidate]:[Error Bound (up) - Max. possible relative overstatement - Candidate 6]])</f>
        <v>4.2258696717295445E-3</v>
      </c>
      <c r="Q1244" s="100">
        <f>IF(SamplingData[[#This Row],[Max Error Bound (up)]] = 0,0,SamplingData[[#This Row],[Max Error Bound (up)]]/SamplingData[[#Totals],[Max Error Bound (up)]])</f>
        <v>6.6881343121276242E-4</v>
      </c>
      <c r="R1244" s="101">
        <f>SUM($Q$5:Q1244)</f>
        <v>0.34490967077300072</v>
      </c>
      <c r="S1244" s="100" t="str">
        <f t="array" ref="S1244">IF(SamplingData[[#This Row],[up/U Selection Probability]] = 0, "Zero", TEXT(SamplingData[[#This Row],[Lower Range]], REPT("0",LEN('General Info'!$B$40))) &amp; " - " &amp; TEXT(SamplingData[[#This Row],[Upper Range]], REPT("0",LEN('General Info'!$B$40))))</f>
        <v>34424 - 34490</v>
      </c>
      <c r="T1244" s="100">
        <f>SamplingData[[#This Row],[Upper Range]]-SamplingData[[#This Row],[Span]]</f>
        <v>34424.086402992223</v>
      </c>
      <c r="U1244" s="100">
        <f>IF(ISNUMBER('General Info'!$B$40), ((SamplingData[[#This Row],[up/U Selection Probability]]) * 'General Info'!$B$40) - 1, 0)</f>
        <v>65.880674307845027</v>
      </c>
      <c r="V1244" s="100">
        <f>IF(ISNUMBER('General Info'!$B$40), (SamplingData[[#This Row],[Running (cumulative) sum]] * ('General Info'!$B$40 -'General Info'!$B$41 + 1)) + 'General Info'!$B$41 - 1, 0)</f>
        <v>34489.967077300069</v>
      </c>
      <c r="W1244" s="100" t="str">
        <f>IF(ISERROR(MATCH(SamplingData[[#This Row],[Batch by Type (p)]],SelectedPrecincts[Batch Name], 0)), "", INDEX(SelectedPrecincts[Draw], MATCH(SamplingData[[#This Row],[Batch by Type (p)]],SelectedPrecincts[Batch Name], 0)))</f>
        <v/>
      </c>
      <c r="X1244" s="102">
        <f>IF(COUNTIF(SelectedPrecincts[Batch Name],SamplingData[[#This Row],[Batch by Type (p)]]) &lt;&gt; 0, COUNTIF(SelectedPrecincts[Batch Name],SamplingData[[#This Row],[Batch by Type (p)]]), 0)</f>
        <v>0</v>
      </c>
    </row>
    <row r="1245" spans="1:24" ht="15" customHeight="1">
      <c r="A1245" s="18" t="s">
        <v>1421</v>
      </c>
      <c r="B1245" s="18">
        <v>29</v>
      </c>
      <c r="C1245" s="18">
        <v>65</v>
      </c>
      <c r="D1245" s="16">
        <v>14</v>
      </c>
      <c r="E1245" s="16">
        <v>8</v>
      </c>
      <c r="F1245" s="37">
        <v>1</v>
      </c>
      <c r="G1245" s="37">
        <v>0</v>
      </c>
      <c r="H1245" s="17">
        <v>0</v>
      </c>
      <c r="I1245" s="17">
        <v>3</v>
      </c>
      <c r="J1245" s="99">
        <f>SUM(SamplingData[[#This Row],[Losing Candidate]:[Under Votes]])</f>
        <v>120</v>
      </c>
      <c r="K1245" s="100">
        <f>IF(AND(SamplingData[[#This Row],[Total]]&lt;&gt; 0, NOT(ISBLANK(SamplingData[[#This Row],[Losing Candidate]]))),(SamplingData[[#This Row],[Total]]+SamplingData[[#This Row],[Winning Candidate]]-SamplingData[[#This Row],[Losing Candidate]])/(SamplingData[[#Totals],[Winning Candidate]]-SamplingData[[#Totals],[Losing Candidate]]), 0)</f>
        <v>9.5541401273885346E-3</v>
      </c>
      <c r="L1245" s="100">
        <f>IF(AND(SamplingData[[#This Row],[Total]]&lt;&gt; 0, NOT(ISBLANK(SamplingData[[#This Row],[Candidate 3]]))),(SamplingData[[#This Row],[Total]]+SamplingData[[#This Row],[Winning Candidate]]-SamplingData[[#This Row],[Candidate 3]])/(SamplingData[[#Totals],[Winning Candidate]]-SamplingData[[#Totals],[Candidate 3]]), 0)</f>
        <v>5.5166629028615671E-3</v>
      </c>
      <c r="M1245" s="100">
        <f>IF(AND(SamplingData[[#This Row],[Total]]&lt;&gt; 0, NOT(ISBLANK(SamplingData[[#This Row],[Candidate 4]]))),(SamplingData[[#This Row],[Total]]+SamplingData[[#This Row],[Winning Candidate]]-SamplingData[[#This Row],[Candidate 4]])/(SamplingData[[#Totals],[Winning Candidate]]-SamplingData[[#Totals],[Candidate 4]]), 0)</f>
        <v>5.1740769972814168E-3</v>
      </c>
      <c r="N1245" s="100">
        <f>IF(AND(SamplingData[[#This Row],[Total]]&lt;&gt; 0, NOT(ISBLANK(SamplingData[[#This Row],[Candidate 5]]))),(SamplingData[[#This Row],[Total]]+SamplingData[[#This Row],[Winning Candidate]]-SamplingData[[#This Row],[Candidate 5]])/(SamplingData[[#Totals],[Winning Candidate]]-SamplingData[[#Totals],[Candidate 5]]), 0)</f>
        <v>4.475796643152518E-3</v>
      </c>
      <c r="O1245" s="100">
        <f>IF(AND(SamplingData[[#This Row],[Total]]&lt;&gt; 0, NOT(ISBLANK(SamplingData[[#This Row],[Candidate 6]]))),(SamplingData[[#This Row],[Total]]+SamplingData[[#This Row],[Winning Candidate]]-SamplingData[[#This Row],[Candidate 6]])/(SamplingData[[#Totals],[Winning Candidate]]-SamplingData[[#Totals],[Candidate 6]]), 0)</f>
        <v>4.4988084237148002E-3</v>
      </c>
      <c r="P1245" s="100">
        <f>MAX(SamplingData[[#This Row],[Error Bound (up) - Max. possible relative overstatement - Losing Candidate]:[Error Bound (up) - Max. possible relative overstatement - Candidate 6]])</f>
        <v>9.5541401273885346E-3</v>
      </c>
      <c r="Q1245" s="100">
        <f>IF(SamplingData[[#This Row],[Max Error Bound (up)]] = 0,0,SamplingData[[#This Row],[Max Error Bound (up)]]/SamplingData[[#Totals],[Max Error Bound (up)]])</f>
        <v>1.5120999314375497E-3</v>
      </c>
      <c r="R1245" s="101">
        <f>SUM($Q$5:Q1245)</f>
        <v>0.34642177070443825</v>
      </c>
      <c r="S1245" s="100" t="str">
        <f t="array" ref="S1245">IF(SamplingData[[#This Row],[up/U Selection Probability]] = 0, "Zero", TEXT(SamplingData[[#This Row],[Lower Range]], REPT("0",LEN('General Info'!$B$40))) &amp; " - " &amp; TEXT(SamplingData[[#This Row],[Upper Range]], REPT("0",LEN('General Info'!$B$40))))</f>
        <v>34491 - 34641</v>
      </c>
      <c r="T1245" s="100">
        <f>SamplingData[[#This Row],[Upper Range]]-SamplingData[[#This Row],[Span]]</f>
        <v>34490.968589399999</v>
      </c>
      <c r="U1245" s="100">
        <f>IF(ISNUMBER('General Info'!$B$40), ((SamplingData[[#This Row],[up/U Selection Probability]]) * 'General Info'!$B$40) - 1, 0)</f>
        <v>150.20848104382353</v>
      </c>
      <c r="V1245" s="100">
        <f>IF(ISNUMBER('General Info'!$B$40), (SamplingData[[#This Row],[Running (cumulative) sum]] * ('General Info'!$B$40 -'General Info'!$B$41 + 1)) + 'General Info'!$B$41 - 1, 0)</f>
        <v>34641.177070443824</v>
      </c>
      <c r="W1245" s="100" t="str">
        <f>IF(ISERROR(MATCH(SamplingData[[#This Row],[Batch by Type (p)]],SelectedPrecincts[Batch Name], 0)), "", INDEX(SelectedPrecincts[Draw], MATCH(SamplingData[[#This Row],[Batch by Type (p)]],SelectedPrecincts[Batch Name], 0)))</f>
        <v/>
      </c>
      <c r="X1245" s="102">
        <f>IF(COUNTIF(SelectedPrecincts[Batch Name],SamplingData[[#This Row],[Batch by Type (p)]]) &lt;&gt; 0, COUNTIF(SelectedPrecincts[Batch Name],SamplingData[[#This Row],[Batch by Type (p)]]), 0)</f>
        <v>0</v>
      </c>
    </row>
    <row r="1246" spans="1:24" ht="15" customHeight="1">
      <c r="A1246" s="18" t="s">
        <v>1422</v>
      </c>
      <c r="B1246" s="18">
        <v>20</v>
      </c>
      <c r="C1246" s="18">
        <v>47</v>
      </c>
      <c r="D1246" s="18">
        <v>5</v>
      </c>
      <c r="E1246" s="18">
        <v>4</v>
      </c>
      <c r="F1246" s="18">
        <v>1</v>
      </c>
      <c r="G1246" s="18">
        <v>0</v>
      </c>
      <c r="H1246" s="18">
        <v>0</v>
      </c>
      <c r="I1246" s="18">
        <v>4</v>
      </c>
      <c r="J1246" s="99">
        <f>SUM(SamplingData[[#This Row],[Losing Candidate]:[Under Votes]])</f>
        <v>81</v>
      </c>
      <c r="K1246" s="100">
        <f>IF(AND(SamplingData[[#This Row],[Total]]&lt;&gt; 0, NOT(ISBLANK(SamplingData[[#This Row],[Losing Candidate]]))),(SamplingData[[#This Row],[Total]]+SamplingData[[#This Row],[Winning Candidate]]-SamplingData[[#This Row],[Losing Candidate]])/(SamplingData[[#Totals],[Winning Candidate]]-SamplingData[[#Totals],[Losing Candidate]]), 0)</f>
        <v>6.6144047035766778E-3</v>
      </c>
      <c r="L1246" s="100">
        <f>IF(AND(SamplingData[[#This Row],[Total]]&lt;&gt; 0, NOT(ISBLANK(SamplingData[[#This Row],[Candidate 3]]))),(SamplingData[[#This Row],[Total]]+SamplingData[[#This Row],[Winning Candidate]]-SamplingData[[#This Row],[Candidate 3]])/(SamplingData[[#Totals],[Winning Candidate]]-SamplingData[[#Totals],[Candidate 3]]), 0)</f>
        <v>3.9681259476723558E-3</v>
      </c>
      <c r="M1246" s="100">
        <f>IF(AND(SamplingData[[#This Row],[Total]]&lt;&gt; 0, NOT(ISBLANK(SamplingData[[#This Row],[Candidate 4]]))),(SamplingData[[#This Row],[Total]]+SamplingData[[#This Row],[Winning Candidate]]-SamplingData[[#This Row],[Candidate 4]])/(SamplingData[[#Totals],[Winning Candidate]]-SamplingData[[#Totals],[Candidate 4]]), 0)</f>
        <v>3.624777105440089E-3</v>
      </c>
      <c r="N1246" s="100">
        <f>IF(AND(SamplingData[[#This Row],[Total]]&lt;&gt; 0, NOT(ISBLANK(SamplingData[[#This Row],[Candidate 5]]))),(SamplingData[[#This Row],[Total]]+SamplingData[[#This Row],[Winning Candidate]]-SamplingData[[#This Row],[Candidate 5]])/(SamplingData[[#Totals],[Winning Candidate]]-SamplingData[[#Totals],[Candidate 5]]), 0)</f>
        <v>3.0892726830454879E-3</v>
      </c>
      <c r="O1246" s="100">
        <f>IF(AND(SamplingData[[#This Row],[Total]]&lt;&gt; 0, NOT(ISBLANK(SamplingData[[#This Row],[Candidate 6]]))),(SamplingData[[#This Row],[Total]]+SamplingData[[#This Row],[Winning Candidate]]-SamplingData[[#This Row],[Candidate 6]])/(SamplingData[[#Totals],[Winning Candidate]]-SamplingData[[#Totals],[Candidate 6]]), 0)</f>
        <v>3.1126890715432128E-3</v>
      </c>
      <c r="P1246" s="100">
        <f>MAX(SamplingData[[#This Row],[Error Bound (up) - Max. possible relative overstatement - Losing Candidate]:[Error Bound (up) - Max. possible relative overstatement - Candidate 6]])</f>
        <v>6.6144047035766778E-3</v>
      </c>
      <c r="Q1246" s="100">
        <f>IF(SamplingData[[#This Row],[Max Error Bound (up)]] = 0,0,SamplingData[[#This Row],[Max Error Bound (up)]]/SamplingData[[#Totals],[Max Error Bound (up)]])</f>
        <v>1.0468384140721499E-3</v>
      </c>
      <c r="R1246" s="101">
        <f>SUM($Q$5:Q1246)</f>
        <v>0.34746860911851041</v>
      </c>
      <c r="S1246" s="100" t="str">
        <f t="array" ref="S1246">IF(SamplingData[[#This Row],[up/U Selection Probability]] = 0, "Zero", TEXT(SamplingData[[#This Row],[Lower Range]], REPT("0",LEN('General Info'!$B$40))) &amp; " - " &amp; TEXT(SamplingData[[#This Row],[Upper Range]], REPT("0",LEN('General Info'!$B$40))))</f>
        <v>34642 - 34746</v>
      </c>
      <c r="T1246" s="100">
        <f>SamplingData[[#This Row],[Upper Range]]-SamplingData[[#This Row],[Span]]</f>
        <v>34642.178117282245</v>
      </c>
      <c r="U1246" s="100">
        <f>IF(ISNUMBER('General Info'!$B$40), ((SamplingData[[#This Row],[up/U Selection Probability]]) * 'General Info'!$B$40) - 1, 0)</f>
        <v>103.68279456880092</v>
      </c>
      <c r="V1246" s="100">
        <f>IF(ISNUMBER('General Info'!$B$40), (SamplingData[[#This Row],[Running (cumulative) sum]] * ('General Info'!$B$40 -'General Info'!$B$41 + 1)) + 'General Info'!$B$41 - 1, 0)</f>
        <v>34745.860911851043</v>
      </c>
      <c r="W1246" s="100" t="str">
        <f>IF(ISERROR(MATCH(SamplingData[[#This Row],[Batch by Type (p)]],SelectedPrecincts[Batch Name], 0)), "", INDEX(SelectedPrecincts[Draw], MATCH(SamplingData[[#This Row],[Batch by Type (p)]],SelectedPrecincts[Batch Name], 0)))</f>
        <v/>
      </c>
      <c r="X1246" s="102">
        <f>IF(COUNTIF(SelectedPrecincts[Batch Name],SamplingData[[#This Row],[Batch by Type (p)]]) &lt;&gt; 0, COUNTIF(SelectedPrecincts[Batch Name],SamplingData[[#This Row],[Batch by Type (p)]]), 0)</f>
        <v>0</v>
      </c>
    </row>
    <row r="1247" spans="1:24" ht="15" customHeight="1">
      <c r="A1247" s="18" t="s">
        <v>1423</v>
      </c>
      <c r="B1247" s="18">
        <v>31</v>
      </c>
      <c r="C1247" s="18">
        <v>74</v>
      </c>
      <c r="D1247" s="16">
        <v>15</v>
      </c>
      <c r="E1247" s="16">
        <v>11</v>
      </c>
      <c r="F1247" s="37">
        <v>1</v>
      </c>
      <c r="G1247" s="37">
        <v>1</v>
      </c>
      <c r="H1247" s="17">
        <v>1</v>
      </c>
      <c r="I1247" s="17">
        <v>3</v>
      </c>
      <c r="J1247" s="99">
        <f>SUM(SamplingData[[#This Row],[Losing Candidate]:[Under Votes]])</f>
        <v>137</v>
      </c>
      <c r="K1247" s="100">
        <f>IF(AND(SamplingData[[#This Row],[Total]]&lt;&gt; 0, NOT(ISBLANK(SamplingData[[#This Row],[Losing Candidate]]))),(SamplingData[[#This Row],[Total]]+SamplingData[[#This Row],[Winning Candidate]]-SamplingData[[#This Row],[Losing Candidate]])/(SamplingData[[#Totals],[Winning Candidate]]-SamplingData[[#Totals],[Losing Candidate]]), 0)</f>
        <v>1.1024007839294463E-2</v>
      </c>
      <c r="L1247" s="100">
        <f>IF(AND(SamplingData[[#This Row],[Total]]&lt;&gt; 0, NOT(ISBLANK(SamplingData[[#This Row],[Candidate 3]]))),(SamplingData[[#This Row],[Total]]+SamplingData[[#This Row],[Winning Candidate]]-SamplingData[[#This Row],[Candidate 3]])/(SamplingData[[#Totals],[Winning Candidate]]-SamplingData[[#Totals],[Candidate 3]]), 0)</f>
        <v>6.3231925670226147E-3</v>
      </c>
      <c r="M1247" s="100">
        <f>IF(AND(SamplingData[[#This Row],[Total]]&lt;&gt; 0, NOT(ISBLANK(SamplingData[[#This Row],[Candidate 4]]))),(SamplingData[[#This Row],[Total]]+SamplingData[[#This Row],[Winning Candidate]]-SamplingData[[#This Row],[Candidate 4]])/(SamplingData[[#Totals],[Winning Candidate]]-SamplingData[[#Totals],[Candidate 4]]), 0)</f>
        <v>5.8464146861936916E-3</v>
      </c>
      <c r="N1247" s="100">
        <f>IF(AND(SamplingData[[#This Row],[Total]]&lt;&gt; 0, NOT(ISBLANK(SamplingData[[#This Row],[Candidate 5]]))),(SamplingData[[#This Row],[Total]]+SamplingData[[#This Row],[Winning Candidate]]-SamplingData[[#This Row],[Candidate 5]])/(SamplingData[[#Totals],[Winning Candidate]]-SamplingData[[#Totals],[Candidate 5]]), 0)</f>
        <v>5.1082461688153735E-3</v>
      </c>
      <c r="O1247" s="100">
        <f>IF(AND(SamplingData[[#This Row],[Total]]&lt;&gt; 0, NOT(ISBLANK(SamplingData[[#This Row],[Candidate 6]]))),(SamplingData[[#This Row],[Total]]+SamplingData[[#This Row],[Winning Candidate]]-SamplingData[[#This Row],[Candidate 6]])/(SamplingData[[#Totals],[Winning Candidate]]-SamplingData[[#Totals],[Candidate 6]]), 0)</f>
        <v>5.1067555080005836E-3</v>
      </c>
      <c r="P1247" s="100">
        <f>MAX(SamplingData[[#This Row],[Error Bound (up) - Max. possible relative overstatement - Losing Candidate]:[Error Bound (up) - Max. possible relative overstatement - Candidate 6]])</f>
        <v>1.1024007839294463E-2</v>
      </c>
      <c r="Q1247" s="100">
        <f>IF(SamplingData[[#This Row],[Max Error Bound (up)]] = 0,0,SamplingData[[#This Row],[Max Error Bound (up)]]/SamplingData[[#Totals],[Max Error Bound (up)]])</f>
        <v>1.7447306901202495E-3</v>
      </c>
      <c r="R1247" s="101">
        <f>SUM($Q$5:Q1247)</f>
        <v>0.34921333980863067</v>
      </c>
      <c r="S1247" s="100" t="str">
        <f t="array" ref="S1247">IF(SamplingData[[#This Row],[up/U Selection Probability]] = 0, "Zero", TEXT(SamplingData[[#This Row],[Lower Range]], REPT("0",LEN('General Info'!$B$40))) &amp; " - " &amp; TEXT(SamplingData[[#This Row],[Upper Range]], REPT("0",LEN('General Info'!$B$40))))</f>
        <v>34747 - 34920</v>
      </c>
      <c r="T1247" s="100">
        <f>SamplingData[[#This Row],[Upper Range]]-SamplingData[[#This Row],[Span]]</f>
        <v>34746.862656581732</v>
      </c>
      <c r="U1247" s="100">
        <f>IF(ISNUMBER('General Info'!$B$40), ((SamplingData[[#This Row],[up/U Selection Probability]]) * 'General Info'!$B$40) - 1, 0)</f>
        <v>173.47132428133483</v>
      </c>
      <c r="V1247" s="100">
        <f>IF(ISNUMBER('General Info'!$B$40), (SamplingData[[#This Row],[Running (cumulative) sum]] * ('General Info'!$B$40 -'General Info'!$B$41 + 1)) + 'General Info'!$B$41 - 1, 0)</f>
        <v>34920.33398086307</v>
      </c>
      <c r="W1247" s="100" t="str">
        <f>IF(ISERROR(MATCH(SamplingData[[#This Row],[Batch by Type (p)]],SelectedPrecincts[Batch Name], 0)), "", INDEX(SelectedPrecincts[Draw], MATCH(SamplingData[[#This Row],[Batch by Type (p)]],SelectedPrecincts[Batch Name], 0)))</f>
        <v/>
      </c>
      <c r="X1247" s="102">
        <f>IF(COUNTIF(SelectedPrecincts[Batch Name],SamplingData[[#This Row],[Batch by Type (p)]]) &lt;&gt; 0, COUNTIF(SelectedPrecincts[Batch Name],SamplingData[[#This Row],[Batch by Type (p)]]), 0)</f>
        <v>0</v>
      </c>
    </row>
    <row r="1248" spans="1:24" ht="15" customHeight="1">
      <c r="A1248" s="18" t="s">
        <v>1424</v>
      </c>
      <c r="B1248" s="18">
        <v>28</v>
      </c>
      <c r="C1248" s="18">
        <v>28</v>
      </c>
      <c r="D1248" s="18">
        <v>2</v>
      </c>
      <c r="E1248" s="18">
        <v>2</v>
      </c>
      <c r="F1248" s="18">
        <v>0</v>
      </c>
      <c r="G1248" s="18">
        <v>0</v>
      </c>
      <c r="H1248" s="18">
        <v>0</v>
      </c>
      <c r="I1248" s="18">
        <v>0</v>
      </c>
      <c r="J1248" s="99">
        <f>SUM(SamplingData[[#This Row],[Losing Candidate]:[Under Votes]])</f>
        <v>60</v>
      </c>
      <c r="K1248"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248" s="100">
        <f>IF(AND(SamplingData[[#This Row],[Total]]&lt;&gt; 0, NOT(ISBLANK(SamplingData[[#This Row],[Candidate 3]]))),(SamplingData[[#This Row],[Total]]+SamplingData[[#This Row],[Winning Candidate]]-SamplingData[[#This Row],[Candidate 3]])/(SamplingData[[#Totals],[Winning Candidate]]-SamplingData[[#Totals],[Candidate 3]]), 0)</f>
        <v>2.7744620447140047E-3</v>
      </c>
      <c r="M1248" s="100">
        <f>IF(AND(SamplingData[[#This Row],[Total]]&lt;&gt; 0, NOT(ISBLANK(SamplingData[[#This Row],[Candidate 4]]))),(SamplingData[[#This Row],[Total]]+SamplingData[[#This Row],[Winning Candidate]]-SamplingData[[#This Row],[Candidate 4]])/(SamplingData[[#Totals],[Winning Candidate]]-SamplingData[[#Totals],[Candidate 4]]), 0)</f>
        <v>2.5139583150632873E-3</v>
      </c>
      <c r="N1248" s="100">
        <f>IF(AND(SamplingData[[#This Row],[Total]]&lt;&gt; 0, NOT(ISBLANK(SamplingData[[#This Row],[Candidate 5]]))),(SamplingData[[#This Row],[Total]]+SamplingData[[#This Row],[Winning Candidate]]-SamplingData[[#This Row],[Candidate 5]])/(SamplingData[[#Totals],[Winning Candidate]]-SamplingData[[#Totals],[Candidate 5]]), 0)</f>
        <v>2.1405983945512043E-3</v>
      </c>
      <c r="O1248" s="100">
        <f>IF(AND(SamplingData[[#This Row],[Total]]&lt;&gt; 0, NOT(ISBLANK(SamplingData[[#This Row],[Candidate 6]]))),(SamplingData[[#This Row],[Total]]+SamplingData[[#This Row],[Winning Candidate]]-SamplingData[[#This Row],[Candidate 6]])/(SamplingData[[#Totals],[Winning Candidate]]-SamplingData[[#Totals],[Candidate 6]]), 0)</f>
        <v>2.1399737366859586E-3</v>
      </c>
      <c r="P1248" s="100">
        <f>MAX(SamplingData[[#This Row],[Error Bound (up) - Max. possible relative overstatement - Losing Candidate]:[Error Bound (up) - Max. possible relative overstatement - Candidate 6]])</f>
        <v>3.6746692797648213E-3</v>
      </c>
      <c r="Q1248" s="100">
        <f>IF(SamplingData[[#This Row],[Max Error Bound (up)]] = 0,0,SamplingData[[#This Row],[Max Error Bound (up)]]/SamplingData[[#Totals],[Max Error Bound (up)]])</f>
        <v>5.8157689670674997E-4</v>
      </c>
      <c r="R1248" s="101">
        <f>SUM($Q$5:Q1248)</f>
        <v>0.34979491670533741</v>
      </c>
      <c r="S1248" s="100" t="str">
        <f t="array" ref="S1248">IF(SamplingData[[#This Row],[up/U Selection Probability]] = 0, "Zero", TEXT(SamplingData[[#This Row],[Lower Range]], REPT("0",LEN('General Info'!$B$40))) &amp; " - " &amp; TEXT(SamplingData[[#This Row],[Upper Range]], REPT("0",LEN('General Info'!$B$40))))</f>
        <v>34921 - 34978</v>
      </c>
      <c r="T1248" s="100">
        <f>SamplingData[[#This Row],[Upper Range]]-SamplingData[[#This Row],[Span]]</f>
        <v>34921.334562439959</v>
      </c>
      <c r="U1248" s="100">
        <f>IF(ISNUMBER('General Info'!$B$40), ((SamplingData[[#This Row],[up/U Selection Probability]]) * 'General Info'!$B$40) - 1, 0)</f>
        <v>57.157108093778291</v>
      </c>
      <c r="V1248" s="100">
        <f>IF(ISNUMBER('General Info'!$B$40), (SamplingData[[#This Row],[Running (cumulative) sum]] * ('General Info'!$B$40 -'General Info'!$B$41 + 1)) + 'General Info'!$B$41 - 1, 0)</f>
        <v>34978.491670533738</v>
      </c>
      <c r="W1248" s="100" t="str">
        <f>IF(ISERROR(MATCH(SamplingData[[#This Row],[Batch by Type (p)]],SelectedPrecincts[Batch Name], 0)), "", INDEX(SelectedPrecincts[Draw], MATCH(SamplingData[[#This Row],[Batch by Type (p)]],SelectedPrecincts[Batch Name], 0)))</f>
        <v/>
      </c>
      <c r="X1248" s="102">
        <f>IF(COUNTIF(SelectedPrecincts[Batch Name],SamplingData[[#This Row],[Batch by Type (p)]]) &lt;&gt; 0, COUNTIF(SelectedPrecincts[Batch Name],SamplingData[[#This Row],[Batch by Type (p)]]), 0)</f>
        <v>0</v>
      </c>
    </row>
    <row r="1249" spans="1:24" ht="15" customHeight="1">
      <c r="A1249" s="18" t="s">
        <v>1425</v>
      </c>
      <c r="B1249" s="18">
        <v>31</v>
      </c>
      <c r="C1249" s="18">
        <v>85</v>
      </c>
      <c r="D1249" s="16">
        <v>11</v>
      </c>
      <c r="E1249" s="16">
        <v>4</v>
      </c>
      <c r="F1249" s="37">
        <v>0</v>
      </c>
      <c r="G1249" s="37">
        <v>0</v>
      </c>
      <c r="H1249" s="17">
        <v>0</v>
      </c>
      <c r="I1249" s="17">
        <v>4</v>
      </c>
      <c r="J1249" s="99">
        <f>SUM(SamplingData[[#This Row],[Losing Candidate]:[Under Votes]])</f>
        <v>135</v>
      </c>
      <c r="K1249" s="100">
        <f>IF(AND(SamplingData[[#This Row],[Total]]&lt;&gt; 0, NOT(ISBLANK(SamplingData[[#This Row],[Losing Candidate]]))),(SamplingData[[#This Row],[Total]]+SamplingData[[#This Row],[Winning Candidate]]-SamplingData[[#This Row],[Losing Candidate]])/(SamplingData[[#Totals],[Winning Candidate]]-SamplingData[[#Totals],[Losing Candidate]]), 0)</f>
        <v>1.1575208231259187E-2</v>
      </c>
      <c r="L1249" s="100">
        <f>IF(AND(SamplingData[[#This Row],[Total]]&lt;&gt; 0, NOT(ISBLANK(SamplingData[[#This Row],[Candidate 3]]))),(SamplingData[[#This Row],[Total]]+SamplingData[[#This Row],[Winning Candidate]]-SamplingData[[#This Row],[Candidate 3]])/(SamplingData[[#Totals],[Winning Candidate]]-SamplingData[[#Totals],[Candidate 3]]), 0)</f>
        <v>6.7425879923863601E-3</v>
      </c>
      <c r="M1249" s="100">
        <f>IF(AND(SamplingData[[#This Row],[Total]]&lt;&gt; 0, NOT(ISBLANK(SamplingData[[#This Row],[Candidate 4]]))),(SamplingData[[#This Row],[Total]]+SamplingData[[#This Row],[Winning Candidate]]-SamplingData[[#This Row],[Candidate 4]])/(SamplingData[[#Totals],[Winning Candidate]]-SamplingData[[#Totals],[Candidate 4]]), 0)</f>
        <v>6.314127861089187E-3</v>
      </c>
      <c r="N1249" s="100">
        <f>IF(AND(SamplingData[[#This Row],[Total]]&lt;&gt; 0, NOT(ISBLANK(SamplingData[[#This Row],[Candidate 5]]))),(SamplingData[[#This Row],[Total]]+SamplingData[[#This Row],[Winning Candidate]]-SamplingData[[#This Row],[Candidate 5]])/(SamplingData[[#Totals],[Winning Candidate]]-SamplingData[[#Totals],[Candidate 5]]), 0)</f>
        <v>5.35149598637801E-3</v>
      </c>
      <c r="O1249" s="100">
        <f>IF(AND(SamplingData[[#This Row],[Total]]&lt;&gt; 0, NOT(ISBLANK(SamplingData[[#This Row],[Candidate 6]]))),(SamplingData[[#This Row],[Total]]+SamplingData[[#This Row],[Winning Candidate]]-SamplingData[[#This Row],[Candidate 6]])/(SamplingData[[#Totals],[Winning Candidate]]-SamplingData[[#Totals],[Candidate 6]]), 0)</f>
        <v>5.3499343417148975E-3</v>
      </c>
      <c r="P1249" s="100">
        <f>MAX(SamplingData[[#This Row],[Error Bound (up) - Max. possible relative overstatement - Losing Candidate]:[Error Bound (up) - Max. possible relative overstatement - Candidate 6]])</f>
        <v>1.1575208231259187E-2</v>
      </c>
      <c r="Q1249" s="100">
        <f>IF(SamplingData[[#This Row],[Max Error Bound (up)]] = 0,0,SamplingData[[#This Row],[Max Error Bound (up)]]/SamplingData[[#Totals],[Max Error Bound (up)]])</f>
        <v>1.8319672246262624E-3</v>
      </c>
      <c r="R1249" s="101">
        <f>SUM($Q$5:Q1249)</f>
        <v>0.35162688392996366</v>
      </c>
      <c r="S1249" s="100" t="str">
        <f t="array" ref="S1249">IF(SamplingData[[#This Row],[up/U Selection Probability]] = 0, "Zero", TEXT(SamplingData[[#This Row],[Lower Range]], REPT("0",LEN('General Info'!$B$40))) &amp; " - " &amp; TEXT(SamplingData[[#This Row],[Upper Range]], REPT("0",LEN('General Info'!$B$40))))</f>
        <v>34979 - 35162</v>
      </c>
      <c r="T1249" s="100">
        <f>SamplingData[[#This Row],[Upper Range]]-SamplingData[[#This Row],[Span]]</f>
        <v>34979.493502500962</v>
      </c>
      <c r="U1249" s="100">
        <f>IF(ISNUMBER('General Info'!$B$40), ((SamplingData[[#This Row],[up/U Selection Probability]]) * 'General Info'!$B$40) - 1, 0)</f>
        <v>182.19489049540161</v>
      </c>
      <c r="V1249" s="100">
        <f>IF(ISNUMBER('General Info'!$B$40), (SamplingData[[#This Row],[Running (cumulative) sum]] * ('General Info'!$B$40 -'General Info'!$B$41 + 1)) + 'General Info'!$B$41 - 1, 0)</f>
        <v>35161.688392996366</v>
      </c>
      <c r="W1249" s="100" t="str">
        <f>IF(ISERROR(MATCH(SamplingData[[#This Row],[Batch by Type (p)]],SelectedPrecincts[Batch Name], 0)), "", INDEX(SelectedPrecincts[Draw], MATCH(SamplingData[[#This Row],[Batch by Type (p)]],SelectedPrecincts[Batch Name], 0)))</f>
        <v/>
      </c>
      <c r="X1249" s="102">
        <f>IF(COUNTIF(SelectedPrecincts[Batch Name],SamplingData[[#This Row],[Batch by Type (p)]]) &lt;&gt; 0, COUNTIF(SelectedPrecincts[Batch Name],SamplingData[[#This Row],[Batch by Type (p)]]), 0)</f>
        <v>0</v>
      </c>
    </row>
    <row r="1250" spans="1:24" ht="15" customHeight="1">
      <c r="A1250" s="18" t="s">
        <v>1426</v>
      </c>
      <c r="B1250" s="18">
        <v>18</v>
      </c>
      <c r="C1250" s="18">
        <v>27</v>
      </c>
      <c r="D1250" s="18">
        <v>5</v>
      </c>
      <c r="E1250" s="18">
        <v>5</v>
      </c>
      <c r="F1250" s="18">
        <v>0</v>
      </c>
      <c r="G1250" s="18">
        <v>0</v>
      </c>
      <c r="H1250" s="18">
        <v>0</v>
      </c>
      <c r="I1250" s="18">
        <v>1</v>
      </c>
      <c r="J1250" s="99">
        <f>SUM(SamplingData[[#This Row],[Losing Candidate]:[Under Votes]])</f>
        <v>56</v>
      </c>
      <c r="K1250"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1250" s="100">
        <f>IF(AND(SamplingData[[#This Row],[Total]]&lt;&gt; 0, NOT(ISBLANK(SamplingData[[#This Row],[Candidate 3]]))),(SamplingData[[#This Row],[Total]]+SamplingData[[#This Row],[Winning Candidate]]-SamplingData[[#This Row],[Candidate 3]])/(SamplingData[[#Totals],[Winning Candidate]]-SamplingData[[#Totals],[Candidate 3]]), 0)</f>
        <v>2.5163725521824692E-3</v>
      </c>
      <c r="M1250" s="100">
        <f>IF(AND(SamplingData[[#This Row],[Total]]&lt;&gt; 0, NOT(ISBLANK(SamplingData[[#This Row],[Candidate 4]]))),(SamplingData[[#This Row],[Total]]+SamplingData[[#This Row],[Winning Candidate]]-SamplingData[[#This Row],[Candidate 4]])/(SamplingData[[#Totals],[Winning Candidate]]-SamplingData[[#Totals],[Candidate 4]]), 0)</f>
        <v>2.28010172761554E-3</v>
      </c>
      <c r="N1250" s="100">
        <f>IF(AND(SamplingData[[#This Row],[Total]]&lt;&gt; 0, NOT(ISBLANK(SamplingData[[#This Row],[Candidate 5]]))),(SamplingData[[#This Row],[Total]]+SamplingData[[#This Row],[Winning Candidate]]-SamplingData[[#This Row],[Candidate 5]])/(SamplingData[[#Totals],[Winning Candidate]]-SamplingData[[#Totals],[Candidate 5]]), 0)</f>
        <v>2.0189734857698855E-3</v>
      </c>
      <c r="O1250" s="100">
        <f>IF(AND(SamplingData[[#This Row],[Total]]&lt;&gt; 0, NOT(ISBLANK(SamplingData[[#This Row],[Candidate 6]]))),(SamplingData[[#This Row],[Total]]+SamplingData[[#This Row],[Winning Candidate]]-SamplingData[[#This Row],[Candidate 6]])/(SamplingData[[#Totals],[Winning Candidate]]-SamplingData[[#Totals],[Candidate 6]]), 0)</f>
        <v>2.0183843198288021E-3</v>
      </c>
      <c r="P1250" s="100">
        <f>MAX(SamplingData[[#This Row],[Error Bound (up) - Max. possible relative overstatement - Losing Candidate]:[Error Bound (up) - Max. possible relative overstatement - Candidate 6]])</f>
        <v>3.9808917197452229E-3</v>
      </c>
      <c r="Q1250" s="100">
        <f>IF(SamplingData[[#This Row],[Max Error Bound (up)]] = 0,0,SamplingData[[#This Row],[Max Error Bound (up)]]/SamplingData[[#Totals],[Max Error Bound (up)]])</f>
        <v>6.3004163809897906E-4</v>
      </c>
      <c r="R1250" s="101">
        <f>SUM($Q$5:Q1250)</f>
        <v>0.35225692556806265</v>
      </c>
      <c r="S1250" s="100" t="str">
        <f t="array" ref="S1250">IF(SamplingData[[#This Row],[up/U Selection Probability]] = 0, "Zero", TEXT(SamplingData[[#This Row],[Lower Range]], REPT("0",LEN('General Info'!$B$40))) &amp; " - " &amp; TEXT(SamplingData[[#This Row],[Upper Range]], REPT("0",LEN('General Info'!$B$40))))</f>
        <v>35163 - 35225</v>
      </c>
      <c r="T1250" s="100">
        <f>SamplingData[[#This Row],[Upper Range]]-SamplingData[[#This Row],[Span]]</f>
        <v>35162.689023038009</v>
      </c>
      <c r="U1250" s="100">
        <f>IF(ISNUMBER('General Info'!$B$40), ((SamplingData[[#This Row],[up/U Selection Probability]]) * 'General Info'!$B$40) - 1, 0)</f>
        <v>62.003533768259807</v>
      </c>
      <c r="V1250" s="100">
        <f>IF(ISNUMBER('General Info'!$B$40), (SamplingData[[#This Row],[Running (cumulative) sum]] * ('General Info'!$B$40 -'General Info'!$B$41 + 1)) + 'General Info'!$B$41 - 1, 0)</f>
        <v>35224.692556806265</v>
      </c>
      <c r="W1250" s="100" t="str">
        <f>IF(ISERROR(MATCH(SamplingData[[#This Row],[Batch by Type (p)]],SelectedPrecincts[Batch Name], 0)), "", INDEX(SelectedPrecincts[Draw], MATCH(SamplingData[[#This Row],[Batch by Type (p)]],SelectedPrecincts[Batch Name], 0)))</f>
        <v/>
      </c>
      <c r="X1250" s="102">
        <f>IF(COUNTIF(SelectedPrecincts[Batch Name],SamplingData[[#This Row],[Batch by Type (p)]]) &lt;&gt; 0, COUNTIF(SelectedPrecincts[Batch Name],SamplingData[[#This Row],[Batch by Type (p)]]), 0)</f>
        <v>0</v>
      </c>
    </row>
    <row r="1251" spans="1:24" ht="15" customHeight="1">
      <c r="A1251" s="18" t="s">
        <v>1427</v>
      </c>
      <c r="B1251" s="18">
        <v>35</v>
      </c>
      <c r="C1251" s="18">
        <v>47</v>
      </c>
      <c r="D1251" s="16">
        <v>20</v>
      </c>
      <c r="E1251" s="16">
        <v>13</v>
      </c>
      <c r="F1251" s="37">
        <v>1</v>
      </c>
      <c r="G1251" s="37">
        <v>2</v>
      </c>
      <c r="H1251" s="17">
        <v>0</v>
      </c>
      <c r="I1251" s="17">
        <v>3</v>
      </c>
      <c r="J1251" s="99">
        <f>SUM(SamplingData[[#This Row],[Losing Candidate]:[Under Votes]])</f>
        <v>121</v>
      </c>
      <c r="K1251" s="100">
        <f>IF(AND(SamplingData[[#This Row],[Total]]&lt;&gt; 0, NOT(ISBLANK(SamplingData[[#This Row],[Losing Candidate]]))),(SamplingData[[#This Row],[Total]]+SamplingData[[#This Row],[Winning Candidate]]-SamplingData[[#This Row],[Losing Candidate]])/(SamplingData[[#Totals],[Winning Candidate]]-SamplingData[[#Totals],[Losing Candidate]]), 0)</f>
        <v>8.1455169034786862E-3</v>
      </c>
      <c r="L1251" s="100">
        <f>IF(AND(SamplingData[[#This Row],[Total]]&lt;&gt; 0, NOT(ISBLANK(SamplingData[[#This Row],[Candidate 3]]))),(SamplingData[[#This Row],[Total]]+SamplingData[[#This Row],[Winning Candidate]]-SamplingData[[#This Row],[Candidate 3]])/(SamplingData[[#Totals],[Winning Candidate]]-SamplingData[[#Totals],[Candidate 3]]), 0)</f>
        <v>4.7746556118334034E-3</v>
      </c>
      <c r="M1251" s="100">
        <f>IF(AND(SamplingData[[#This Row],[Total]]&lt;&gt; 0, NOT(ISBLANK(SamplingData[[#This Row],[Candidate 4]]))),(SamplingData[[#This Row],[Total]]+SamplingData[[#This Row],[Winning Candidate]]-SamplingData[[#This Row],[Candidate 4]])/(SamplingData[[#Totals],[Winning Candidate]]-SamplingData[[#Totals],[Candidate 4]]), 0)</f>
        <v>4.5309713818001114E-3</v>
      </c>
      <c r="N1251" s="100">
        <f>IF(AND(SamplingData[[#This Row],[Total]]&lt;&gt; 0, NOT(ISBLANK(SamplingData[[#This Row],[Candidate 5]]))),(SamplingData[[#This Row],[Total]]+SamplingData[[#This Row],[Winning Candidate]]-SamplingData[[#This Row],[Candidate 5]])/(SamplingData[[#Totals],[Winning Candidate]]-SamplingData[[#Totals],[Candidate 5]]), 0)</f>
        <v>4.0622719532960351E-3</v>
      </c>
      <c r="O1251" s="100">
        <f>IF(AND(SamplingData[[#This Row],[Total]]&lt;&gt; 0, NOT(ISBLANK(SamplingData[[#This Row],[Candidate 6]]))),(SamplingData[[#This Row],[Total]]+SamplingData[[#This Row],[Winning Candidate]]-SamplingData[[#This Row],[Candidate 6]])/(SamplingData[[#Totals],[Winning Candidate]]-SamplingData[[#Totals],[Candidate 6]]), 0)</f>
        <v>4.0367686396576043E-3</v>
      </c>
      <c r="P1251" s="100">
        <f>MAX(SamplingData[[#This Row],[Error Bound (up) - Max. possible relative overstatement - Losing Candidate]:[Error Bound (up) - Max. possible relative overstatement - Candidate 6]])</f>
        <v>8.1455169034786862E-3</v>
      </c>
      <c r="Q1251" s="100">
        <f>IF(SamplingData[[#This Row],[Max Error Bound (up)]] = 0,0,SamplingData[[#This Row],[Max Error Bound (up)]]/SamplingData[[#Totals],[Max Error Bound (up)]])</f>
        <v>1.2891621210332955E-3</v>
      </c>
      <c r="R1251" s="101">
        <f>SUM($Q$5:Q1251)</f>
        <v>0.35354608768909596</v>
      </c>
      <c r="S1251" s="100" t="str">
        <f t="array" ref="S1251">IF(SamplingData[[#This Row],[up/U Selection Probability]] = 0, "Zero", TEXT(SamplingData[[#This Row],[Lower Range]], REPT("0",LEN('General Info'!$B$40))) &amp; " - " &amp; TEXT(SamplingData[[#This Row],[Upper Range]], REPT("0",LEN('General Info'!$B$40))))</f>
        <v>35226 - 35354</v>
      </c>
      <c r="T1251" s="100">
        <f>SamplingData[[#This Row],[Upper Range]]-SamplingData[[#This Row],[Span]]</f>
        <v>35225.693845968388</v>
      </c>
      <c r="U1251" s="100">
        <f>IF(ISNUMBER('General Info'!$B$40), ((SamplingData[[#This Row],[up/U Selection Probability]]) * 'General Info'!$B$40) - 1, 0)</f>
        <v>127.91492294120852</v>
      </c>
      <c r="V1251" s="100">
        <f>IF(ISNUMBER('General Info'!$B$40), (SamplingData[[#This Row],[Running (cumulative) sum]] * ('General Info'!$B$40 -'General Info'!$B$41 + 1)) + 'General Info'!$B$41 - 1, 0)</f>
        <v>35353.608768909595</v>
      </c>
      <c r="W1251" s="100" t="str">
        <f>IF(ISERROR(MATCH(SamplingData[[#This Row],[Batch by Type (p)]],SelectedPrecincts[Batch Name], 0)), "", INDEX(SelectedPrecincts[Draw], MATCH(SamplingData[[#This Row],[Batch by Type (p)]],SelectedPrecincts[Batch Name], 0)))</f>
        <v/>
      </c>
      <c r="X1251" s="102">
        <f>IF(COUNTIF(SelectedPrecincts[Batch Name],SamplingData[[#This Row],[Batch by Type (p)]]) &lt;&gt; 0, COUNTIF(SelectedPrecincts[Batch Name],SamplingData[[#This Row],[Batch by Type (p)]]), 0)</f>
        <v>0</v>
      </c>
    </row>
    <row r="1252" spans="1:24" ht="15" customHeight="1">
      <c r="A1252" s="18" t="s">
        <v>1428</v>
      </c>
      <c r="B1252" s="18">
        <v>19</v>
      </c>
      <c r="C1252" s="18">
        <v>37</v>
      </c>
      <c r="D1252" s="18">
        <v>5</v>
      </c>
      <c r="E1252" s="18">
        <v>1</v>
      </c>
      <c r="F1252" s="18">
        <v>0</v>
      </c>
      <c r="G1252" s="18">
        <v>0</v>
      </c>
      <c r="H1252" s="18">
        <v>0</v>
      </c>
      <c r="I1252" s="18">
        <v>0</v>
      </c>
      <c r="J1252" s="99">
        <f>SUM(SamplingData[[#This Row],[Losing Candidate]:[Under Votes]])</f>
        <v>62</v>
      </c>
      <c r="K1252"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4.8995590396864281E-3</v>
      </c>
      <c r="L1252" s="100">
        <f>IF(AND(SamplingData[[#This Row],[Total]]&lt;&gt; 0, NOT(ISBLANK(SamplingData[[#This Row],[Candidate 3]]))),(SamplingData[[#This Row],[Total]]+SamplingData[[#This Row],[Winning Candidate]]-SamplingData[[#This Row],[Candidate 3]])/(SamplingData[[#Totals],[Winning Candidate]]-SamplingData[[#Totals],[Candidate 3]]), 0)</f>
        <v>3.0325515372455398E-3</v>
      </c>
      <c r="M1252" s="100">
        <f>IF(AND(SamplingData[[#This Row],[Total]]&lt;&gt; 0, NOT(ISBLANK(SamplingData[[#This Row],[Candidate 4]]))),(SamplingData[[#This Row],[Total]]+SamplingData[[#This Row],[Winning Candidate]]-SamplingData[[#This Row],[Candidate 4]])/(SamplingData[[#Totals],[Winning Candidate]]-SamplingData[[#Totals],[Candidate 4]]), 0)</f>
        <v>2.8647431962349089E-3</v>
      </c>
      <c r="N1252" s="100">
        <f>IF(AND(SamplingData[[#This Row],[Total]]&lt;&gt; 0, NOT(ISBLANK(SamplingData[[#This Row],[Candidate 5]]))),(SamplingData[[#This Row],[Total]]+SamplingData[[#This Row],[Winning Candidate]]-SamplingData[[#This Row],[Candidate 5]])/(SamplingData[[#Totals],[Winning Candidate]]-SamplingData[[#Totals],[Candidate 5]]), 0)</f>
        <v>2.4081731938701044E-3</v>
      </c>
      <c r="O1252" s="100">
        <f>IF(AND(SamplingData[[#This Row],[Total]]&lt;&gt; 0, NOT(ISBLANK(SamplingData[[#This Row],[Candidate 6]]))),(SamplingData[[#This Row],[Total]]+SamplingData[[#This Row],[Winning Candidate]]-SamplingData[[#This Row],[Candidate 6]])/(SamplingData[[#Totals],[Winning Candidate]]-SamplingData[[#Totals],[Candidate 6]]), 0)</f>
        <v>2.4074704537717039E-3</v>
      </c>
      <c r="P1252" s="100">
        <f>MAX(SamplingData[[#This Row],[Error Bound (up) - Max. possible relative overstatement - Losing Candidate]:[Error Bound (up) - Max. possible relative overstatement - Candidate 6]])</f>
        <v>4.8995590396864281E-3</v>
      </c>
      <c r="Q1252" s="100">
        <f>IF(SamplingData[[#This Row],[Max Error Bound (up)]] = 0,0,SamplingData[[#This Row],[Max Error Bound (up)]]/SamplingData[[#Totals],[Max Error Bound (up)]])</f>
        <v>7.7543586227566655E-4</v>
      </c>
      <c r="R1252" s="101">
        <f>SUM($Q$5:Q1252)</f>
        <v>0.35432152355137164</v>
      </c>
      <c r="S1252" s="100" t="str">
        <f t="array" ref="S1252">IF(SamplingData[[#This Row],[up/U Selection Probability]] = 0, "Zero", TEXT(SamplingData[[#This Row],[Lower Range]], REPT("0",LEN('General Info'!$B$40))) &amp; " - " &amp; TEXT(SamplingData[[#This Row],[Upper Range]], REPT("0",LEN('General Info'!$B$40))))</f>
        <v>35355 - 35431</v>
      </c>
      <c r="T1252" s="100">
        <f>SamplingData[[#This Row],[Upper Range]]-SamplingData[[#This Row],[Span]]</f>
        <v>35354.609544345461</v>
      </c>
      <c r="U1252" s="100">
        <f>IF(ISNUMBER('General Info'!$B$40), ((SamplingData[[#This Row],[up/U Selection Probability]]) * 'General Info'!$B$40) - 1, 0)</f>
        <v>76.542810791704383</v>
      </c>
      <c r="V1252" s="100">
        <f>IF(ISNUMBER('General Info'!$B$40), (SamplingData[[#This Row],[Running (cumulative) sum]] * ('General Info'!$B$40 -'General Info'!$B$41 + 1)) + 'General Info'!$B$41 - 1, 0)</f>
        <v>35431.152355137165</v>
      </c>
      <c r="W1252" s="100" t="str">
        <f>IF(ISERROR(MATCH(SamplingData[[#This Row],[Batch by Type (p)]],SelectedPrecincts[Batch Name], 0)), "", INDEX(SelectedPrecincts[Draw], MATCH(SamplingData[[#This Row],[Batch by Type (p)]],SelectedPrecincts[Batch Name], 0)))</f>
        <v/>
      </c>
      <c r="X1252" s="102">
        <f>IF(COUNTIF(SelectedPrecincts[Batch Name],SamplingData[[#This Row],[Batch by Type (p)]]) &lt;&gt; 0, COUNTIF(SelectedPrecincts[Batch Name],SamplingData[[#This Row],[Batch by Type (p)]]), 0)</f>
        <v>0</v>
      </c>
    </row>
    <row r="1253" spans="1:24" ht="15" customHeight="1">
      <c r="A1253" s="18" t="s">
        <v>1429</v>
      </c>
      <c r="B1253" s="18">
        <v>2</v>
      </c>
      <c r="C1253" s="18">
        <v>0</v>
      </c>
      <c r="D1253" s="16">
        <v>0</v>
      </c>
      <c r="E1253" s="16">
        <v>0</v>
      </c>
      <c r="F1253" s="37">
        <v>0</v>
      </c>
      <c r="G1253" s="37">
        <v>0</v>
      </c>
      <c r="H1253" s="17">
        <v>0</v>
      </c>
      <c r="I1253" s="17">
        <v>0</v>
      </c>
      <c r="J1253" s="99">
        <f>SUM(SamplingData[[#This Row],[Losing Candidate]:[Under Votes]])</f>
        <v>2</v>
      </c>
      <c r="K1253" s="100">
        <f>IF(AND(SamplingData[[#This Row],[Total]]&lt;&gt; 0, NOT(ISBLANK(SamplingData[[#This Row],[Losing Candidate]]))),(SamplingData[[#This Row],[Total]]+SamplingData[[#This Row],[Winning Candidate]]-SamplingData[[#This Row],[Losing Candidate]])/(SamplingData[[#Totals],[Winning Candidate]]-SamplingData[[#Totals],[Losing Candidate]]), 0)</f>
        <v>0</v>
      </c>
      <c r="L1253" s="100">
        <f>IF(AND(SamplingData[[#This Row],[Total]]&lt;&gt; 0, NOT(ISBLANK(SamplingData[[#This Row],[Candidate 3]]))),(SamplingData[[#This Row],[Total]]+SamplingData[[#This Row],[Winning Candidate]]-SamplingData[[#This Row],[Candidate 3]])/(SamplingData[[#Totals],[Winning Candidate]]-SamplingData[[#Totals],[Candidate 3]]), 0)</f>
        <v>6.4522373132883833E-5</v>
      </c>
      <c r="M1253" s="100">
        <f>IF(AND(SamplingData[[#This Row],[Total]]&lt;&gt; 0, NOT(ISBLANK(SamplingData[[#This Row],[Candidate 4]]))),(SamplingData[[#This Row],[Total]]+SamplingData[[#This Row],[Winning Candidate]]-SamplingData[[#This Row],[Candidate 4]])/(SamplingData[[#Totals],[Winning Candidate]]-SamplingData[[#Totals],[Candidate 4]]), 0)</f>
        <v>5.846414686193692E-5</v>
      </c>
      <c r="N1253" s="100">
        <f>IF(AND(SamplingData[[#This Row],[Total]]&lt;&gt; 0, NOT(ISBLANK(SamplingData[[#This Row],[Candidate 5]]))),(SamplingData[[#This Row],[Total]]+SamplingData[[#This Row],[Winning Candidate]]-SamplingData[[#This Row],[Candidate 5]])/(SamplingData[[#Totals],[Winning Candidate]]-SamplingData[[#Totals],[Candidate 5]]), 0)</f>
        <v>4.8649963512527367E-5</v>
      </c>
      <c r="O1253" s="100">
        <f>IF(AND(SamplingData[[#This Row],[Total]]&lt;&gt; 0, NOT(ISBLANK(SamplingData[[#This Row],[Candidate 6]]))),(SamplingData[[#This Row],[Total]]+SamplingData[[#This Row],[Winning Candidate]]-SamplingData[[#This Row],[Candidate 6]])/(SamplingData[[#Totals],[Winning Candidate]]-SamplingData[[#Totals],[Candidate 6]]), 0)</f>
        <v>4.8635766742862701E-5</v>
      </c>
      <c r="P1253" s="100">
        <f>MAX(SamplingData[[#This Row],[Error Bound (up) - Max. possible relative overstatement - Losing Candidate]:[Error Bound (up) - Max. possible relative overstatement - Candidate 6]])</f>
        <v>6.4522373132883833E-5</v>
      </c>
      <c r="Q1253" s="100">
        <f>IF(SamplingData[[#This Row],[Max Error Bound (up)]] = 0,0,SamplingData[[#This Row],[Max Error Bound (up)]]/SamplingData[[#Totals],[Max Error Bound (up)]])</f>
        <v>1.0211727553664133E-5</v>
      </c>
      <c r="R1253" s="101">
        <f>SUM($Q$5:Q1253)</f>
        <v>0.35433173527892531</v>
      </c>
      <c r="S1253" s="100" t="str">
        <f t="array" ref="S1253">IF(SamplingData[[#This Row],[up/U Selection Probability]] = 0, "Zero", TEXT(SamplingData[[#This Row],[Lower Range]], REPT("0",LEN('General Info'!$B$40))) &amp; " - " &amp; TEXT(SamplingData[[#This Row],[Upper Range]], REPT("0",LEN('General Info'!$B$40))))</f>
        <v>35432 - 35432</v>
      </c>
      <c r="T1253" s="100">
        <f>SamplingData[[#This Row],[Upper Range]]-SamplingData[[#This Row],[Span]]</f>
        <v>35432.152365348891</v>
      </c>
      <c r="U1253" s="100">
        <f>IF(ISNUMBER('General Info'!$B$40), ((SamplingData[[#This Row],[up/U Selection Probability]]) * 'General Info'!$B$40) - 1, 0)</f>
        <v>2.116254363885961E-2</v>
      </c>
      <c r="V1253" s="100">
        <f>IF(ISNUMBER('General Info'!$B$40), (SamplingData[[#This Row],[Running (cumulative) sum]] * ('General Info'!$B$40 -'General Info'!$B$41 + 1)) + 'General Info'!$B$41 - 1, 0)</f>
        <v>35432.173527892533</v>
      </c>
      <c r="W1253" s="100" t="str">
        <f>IF(ISERROR(MATCH(SamplingData[[#This Row],[Batch by Type (p)]],SelectedPrecincts[Batch Name], 0)), "", INDEX(SelectedPrecincts[Draw], MATCH(SamplingData[[#This Row],[Batch by Type (p)]],SelectedPrecincts[Batch Name], 0)))</f>
        <v/>
      </c>
      <c r="X1253" s="102">
        <f>IF(COUNTIF(SelectedPrecincts[Batch Name],SamplingData[[#This Row],[Batch by Type (p)]]) &lt;&gt; 0, COUNTIF(SelectedPrecincts[Batch Name],SamplingData[[#This Row],[Batch by Type (p)]]), 0)</f>
        <v>0</v>
      </c>
    </row>
    <row r="1254" spans="1:24" ht="15" customHeight="1">
      <c r="A1254" s="18" t="s">
        <v>1430</v>
      </c>
      <c r="B1254" s="18">
        <v>0</v>
      </c>
      <c r="C1254" s="18">
        <v>0</v>
      </c>
      <c r="D1254" s="18">
        <v>0</v>
      </c>
      <c r="E1254" s="18">
        <v>0</v>
      </c>
      <c r="F1254" s="18">
        <v>0</v>
      </c>
      <c r="G1254" s="18">
        <v>0</v>
      </c>
      <c r="H1254" s="18">
        <v>0</v>
      </c>
      <c r="I1254" s="18">
        <v>0</v>
      </c>
      <c r="J1254" s="99">
        <f>SUM(SamplingData[[#This Row],[Losing Candidate]:[Under Votes]])</f>
        <v>0</v>
      </c>
      <c r="K1254" s="100">
        <f>IF(AND(SamplingData[[#This Row],[Total]]&lt;&gt; 0, NOT(ISBLANK(SamplingData[[#This Row],[Losing Candidate]]))),(SamplingData[[#This Row],[Total]]+SamplingData[[#This Row],[Winning Candidate]]-SamplingData[[#This Row],[Losing Candidate]])/(SamplingData[[#Totals],[Winning Candidate]]-SamplingData[[#Totals],[Losing Candidate]]), 0)</f>
        <v>0</v>
      </c>
      <c r="L1254" s="100">
        <f>IF(AND(SamplingData[[#This Row],[Total]]&lt;&gt; 0, NOT(ISBLANK(SamplingData[[#This Row],[Candidate 3]]))),(SamplingData[[#This Row],[Total]]+SamplingData[[#This Row],[Winning Candidate]]-SamplingData[[#This Row],[Candidate 3]])/(SamplingData[[#Totals],[Winning Candidate]]-SamplingData[[#Totals],[Candidate 3]]), 0)</f>
        <v>0</v>
      </c>
      <c r="M1254" s="100">
        <f>IF(AND(SamplingData[[#This Row],[Total]]&lt;&gt; 0, NOT(ISBLANK(SamplingData[[#This Row],[Candidate 4]]))),(SamplingData[[#This Row],[Total]]+SamplingData[[#This Row],[Winning Candidate]]-SamplingData[[#This Row],[Candidate 4]])/(SamplingData[[#Totals],[Winning Candidate]]-SamplingData[[#Totals],[Candidate 4]]), 0)</f>
        <v>0</v>
      </c>
      <c r="N1254" s="100">
        <f>IF(AND(SamplingData[[#This Row],[Total]]&lt;&gt; 0, NOT(ISBLANK(SamplingData[[#This Row],[Candidate 5]]))),(SamplingData[[#This Row],[Total]]+SamplingData[[#This Row],[Winning Candidate]]-SamplingData[[#This Row],[Candidate 5]])/(SamplingData[[#Totals],[Winning Candidate]]-SamplingData[[#Totals],[Candidate 5]]), 0)</f>
        <v>0</v>
      </c>
      <c r="O1254" s="100">
        <f>IF(AND(SamplingData[[#This Row],[Total]]&lt;&gt; 0, NOT(ISBLANK(SamplingData[[#This Row],[Candidate 6]]))),(SamplingData[[#This Row],[Total]]+SamplingData[[#This Row],[Winning Candidate]]-SamplingData[[#This Row],[Candidate 6]])/(SamplingData[[#Totals],[Winning Candidate]]-SamplingData[[#Totals],[Candidate 6]]), 0)</f>
        <v>0</v>
      </c>
      <c r="P1254" s="100">
        <f>MAX(SamplingData[[#This Row],[Error Bound (up) - Max. possible relative overstatement - Losing Candidate]:[Error Bound (up) - Max. possible relative overstatement - Candidate 6]])</f>
        <v>0</v>
      </c>
      <c r="Q1254" s="100">
        <f>IF(SamplingData[[#This Row],[Max Error Bound (up)]] = 0,0,SamplingData[[#This Row],[Max Error Bound (up)]]/SamplingData[[#Totals],[Max Error Bound (up)]])</f>
        <v>0</v>
      </c>
      <c r="R1254" s="101">
        <f>SUM($Q$5:Q1254)</f>
        <v>0.35433173527892531</v>
      </c>
      <c r="S1254" s="100" t="str">
        <f t="array" ref="S1254">IF(SamplingData[[#This Row],[up/U Selection Probability]] = 0, "Zero", TEXT(SamplingData[[#This Row],[Lower Range]], REPT("0",LEN('General Info'!$B$40))) &amp; " - " &amp; TEXT(SamplingData[[#This Row],[Upper Range]], REPT("0",LEN('General Info'!$B$40))))</f>
        <v>Zero</v>
      </c>
      <c r="T1254" s="100">
        <f>SamplingData[[#This Row],[Upper Range]]-SamplingData[[#This Row],[Span]]</f>
        <v>35433.173527892533</v>
      </c>
      <c r="U1254" s="100">
        <f>IF(ISNUMBER('General Info'!$B$40), ((SamplingData[[#This Row],[up/U Selection Probability]]) * 'General Info'!$B$40) - 1, 0)</f>
        <v>-1</v>
      </c>
      <c r="V1254" s="100">
        <f>IF(ISNUMBER('General Info'!$B$40), (SamplingData[[#This Row],[Running (cumulative) sum]] * ('General Info'!$B$40 -'General Info'!$B$41 + 1)) + 'General Info'!$B$41 - 1, 0)</f>
        <v>35432.173527892533</v>
      </c>
      <c r="W1254" s="100" t="str">
        <f>IF(ISERROR(MATCH(SamplingData[[#This Row],[Batch by Type (p)]],SelectedPrecincts[Batch Name], 0)), "", INDEX(SelectedPrecincts[Draw], MATCH(SamplingData[[#This Row],[Batch by Type (p)]],SelectedPrecincts[Batch Name], 0)))</f>
        <v/>
      </c>
      <c r="X1254" s="102">
        <f>IF(COUNTIF(SelectedPrecincts[Batch Name],SamplingData[[#This Row],[Batch by Type (p)]]) &lt;&gt; 0, COUNTIF(SelectedPrecincts[Batch Name],SamplingData[[#This Row],[Batch by Type (p)]]), 0)</f>
        <v>0</v>
      </c>
    </row>
    <row r="1255" spans="1:24" ht="15" customHeight="1">
      <c r="A1255" s="18" t="s">
        <v>1431</v>
      </c>
      <c r="B1255" s="18">
        <v>14</v>
      </c>
      <c r="C1255" s="18">
        <v>61</v>
      </c>
      <c r="D1255" s="16">
        <v>2</v>
      </c>
      <c r="E1255" s="16">
        <v>3</v>
      </c>
      <c r="F1255" s="37">
        <v>1</v>
      </c>
      <c r="G1255" s="37">
        <v>0</v>
      </c>
      <c r="H1255" s="17">
        <v>0</v>
      </c>
      <c r="I1255" s="17">
        <v>1</v>
      </c>
      <c r="J1255" s="99">
        <f>SUM(SamplingData[[#This Row],[Losing Candidate]:[Under Votes]])</f>
        <v>82</v>
      </c>
      <c r="K1255" s="100">
        <f>IF(AND(SamplingData[[#This Row],[Total]]&lt;&gt; 0, NOT(ISBLANK(SamplingData[[#This Row],[Losing Candidate]]))),(SamplingData[[#This Row],[Total]]+SamplingData[[#This Row],[Winning Candidate]]-SamplingData[[#This Row],[Losing Candidate]])/(SamplingData[[#Totals],[Winning Candidate]]-SamplingData[[#Totals],[Losing Candidate]]), 0)</f>
        <v>7.9005389514943663E-3</v>
      </c>
      <c r="L1255" s="100">
        <f>IF(AND(SamplingData[[#This Row],[Total]]&lt;&gt; 0, NOT(ISBLANK(SamplingData[[#This Row],[Candidate 3]]))),(SamplingData[[#This Row],[Total]]+SamplingData[[#This Row],[Winning Candidate]]-SamplingData[[#This Row],[Candidate 3]])/(SamplingData[[#Totals],[Winning Candidate]]-SamplingData[[#Totals],[Candidate 3]]), 0)</f>
        <v>4.5488273058683099E-3</v>
      </c>
      <c r="M1255" s="100">
        <f>IF(AND(SamplingData[[#This Row],[Total]]&lt;&gt; 0, NOT(ISBLANK(SamplingData[[#This Row],[Candidate 4]]))),(SamplingData[[#This Row],[Total]]+SamplingData[[#This Row],[Winning Candidate]]-SamplingData[[#This Row],[Candidate 4]])/(SamplingData[[#Totals],[Winning Candidate]]-SamplingData[[#Totals],[Candidate 4]]), 0)</f>
        <v>4.0924902803355845E-3</v>
      </c>
      <c r="N1255" s="100">
        <f>IF(AND(SamplingData[[#This Row],[Total]]&lt;&gt; 0, NOT(ISBLANK(SamplingData[[#This Row],[Candidate 5]]))),(SamplingData[[#This Row],[Total]]+SamplingData[[#This Row],[Winning Candidate]]-SamplingData[[#This Row],[Candidate 5]])/(SamplingData[[#Totals],[Winning Candidate]]-SamplingData[[#Totals],[Candidate 5]]), 0)</f>
        <v>3.4541474093894428E-3</v>
      </c>
      <c r="O1255" s="100">
        <f>IF(AND(SamplingData[[#This Row],[Total]]&lt;&gt; 0, NOT(ISBLANK(SamplingData[[#This Row],[Candidate 6]]))),(SamplingData[[#This Row],[Total]]+SamplingData[[#This Row],[Winning Candidate]]-SamplingData[[#This Row],[Candidate 6]])/(SamplingData[[#Totals],[Winning Candidate]]-SamplingData[[#Totals],[Candidate 6]]), 0)</f>
        <v>3.4774573221146832E-3</v>
      </c>
      <c r="P1255" s="100">
        <f>MAX(SamplingData[[#This Row],[Error Bound (up) - Max. possible relative overstatement - Losing Candidate]:[Error Bound (up) - Max. possible relative overstatement - Candidate 6]])</f>
        <v>7.9005389514943663E-3</v>
      </c>
      <c r="Q1255" s="100">
        <f>IF(SamplingData[[#This Row],[Max Error Bound (up)]] = 0,0,SamplingData[[#This Row],[Max Error Bound (up)]]/SamplingData[[#Totals],[Max Error Bound (up)]])</f>
        <v>1.2503903279195124E-3</v>
      </c>
      <c r="R1255" s="101">
        <f>SUM($Q$5:Q1255)</f>
        <v>0.35558212560684482</v>
      </c>
      <c r="S1255" s="100" t="str">
        <f t="array" ref="S1255">IF(SamplingData[[#This Row],[up/U Selection Probability]] = 0, "Zero", TEXT(SamplingData[[#This Row],[Lower Range]], REPT("0",LEN('General Info'!$B$40))) &amp; " - " &amp; TEXT(SamplingData[[#This Row],[Upper Range]], REPT("0",LEN('General Info'!$B$40))))</f>
        <v>35433 - 35557</v>
      </c>
      <c r="T1255" s="100">
        <f>SamplingData[[#This Row],[Upper Range]]-SamplingData[[#This Row],[Span]]</f>
        <v>35433.174778282861</v>
      </c>
      <c r="U1255" s="100">
        <f>IF(ISNUMBER('General Info'!$B$40), ((SamplingData[[#This Row],[up/U Selection Probability]]) * 'General Info'!$B$40) - 1, 0)</f>
        <v>124.03778240162332</v>
      </c>
      <c r="V1255" s="100">
        <f>IF(ISNUMBER('General Info'!$B$40), (SamplingData[[#This Row],[Running (cumulative) sum]] * ('General Info'!$B$40 -'General Info'!$B$41 + 1)) + 'General Info'!$B$41 - 1, 0)</f>
        <v>35557.212560684486</v>
      </c>
      <c r="W1255" s="100" t="str">
        <f>IF(ISERROR(MATCH(SamplingData[[#This Row],[Batch by Type (p)]],SelectedPrecincts[Batch Name], 0)), "", INDEX(SelectedPrecincts[Draw], MATCH(SamplingData[[#This Row],[Batch by Type (p)]],SelectedPrecincts[Batch Name], 0)))</f>
        <v/>
      </c>
      <c r="X1255" s="102">
        <f>IF(COUNTIF(SelectedPrecincts[Batch Name],SamplingData[[#This Row],[Batch by Type (p)]]) &lt;&gt; 0, COUNTIF(SelectedPrecincts[Batch Name],SamplingData[[#This Row],[Batch by Type (p)]]), 0)</f>
        <v>0</v>
      </c>
    </row>
    <row r="1256" spans="1:24" ht="15" customHeight="1">
      <c r="A1256" s="18" t="s">
        <v>1432</v>
      </c>
      <c r="B1256" s="18">
        <v>4</v>
      </c>
      <c r="C1256" s="18">
        <v>50</v>
      </c>
      <c r="D1256" s="18">
        <v>4</v>
      </c>
      <c r="E1256" s="18">
        <v>0</v>
      </c>
      <c r="F1256" s="18">
        <v>2</v>
      </c>
      <c r="G1256" s="18">
        <v>1</v>
      </c>
      <c r="H1256" s="18">
        <v>1</v>
      </c>
      <c r="I1256" s="18">
        <v>0</v>
      </c>
      <c r="J1256" s="99">
        <f>SUM(SamplingData[[#This Row],[Losing Candidate]:[Under Votes]])</f>
        <v>62</v>
      </c>
      <c r="K1256" s="100">
        <f>IF(AND(SamplingData[[#This Row],[Total]]&lt;&gt; 0, NOT(ISBLANK(SamplingData[[#This Row],[Losing Candidate]]))),(SamplingData[[#This Row],[Total]]+SamplingData[[#This Row],[Winning Candidate]]-SamplingData[[#This Row],[Losing Candidate]])/(SamplingData[[#Totals],[Winning Candidate]]-SamplingData[[#Totals],[Losing Candidate]]), 0)</f>
        <v>6.6144047035766778E-3</v>
      </c>
      <c r="L1256" s="100">
        <f>IF(AND(SamplingData[[#This Row],[Total]]&lt;&gt; 0, NOT(ISBLANK(SamplingData[[#This Row],[Candidate 3]]))),(SamplingData[[#This Row],[Total]]+SamplingData[[#This Row],[Winning Candidate]]-SamplingData[[#This Row],[Candidate 3]])/(SamplingData[[#Totals],[Winning Candidate]]-SamplingData[[#Totals],[Candidate 3]]), 0)</f>
        <v>3.4842081491757268E-3</v>
      </c>
      <c r="M1256" s="100">
        <f>IF(AND(SamplingData[[#This Row],[Total]]&lt;&gt; 0, NOT(ISBLANK(SamplingData[[#This Row],[Candidate 4]]))),(SamplingData[[#This Row],[Total]]+SamplingData[[#This Row],[Winning Candidate]]-SamplingData[[#This Row],[Candidate 4]])/(SamplingData[[#Totals],[Winning Candidate]]-SamplingData[[#Totals],[Candidate 4]]), 0)</f>
        <v>3.2739922242684674E-3</v>
      </c>
      <c r="N1256" s="100">
        <f>IF(AND(SamplingData[[#This Row],[Total]]&lt;&gt; 0, NOT(ISBLANK(SamplingData[[#This Row],[Candidate 5]]))),(SamplingData[[#This Row],[Total]]+SamplingData[[#This Row],[Winning Candidate]]-SamplingData[[#This Row],[Candidate 5]])/(SamplingData[[#Totals],[Winning Candidate]]-SamplingData[[#Totals],[Candidate 5]]), 0)</f>
        <v>2.675747993189005E-3</v>
      </c>
      <c r="O1256" s="100">
        <f>IF(AND(SamplingData[[#This Row],[Total]]&lt;&gt; 0, NOT(ISBLANK(SamplingData[[#This Row],[Candidate 6]]))),(SamplingData[[#This Row],[Total]]+SamplingData[[#This Row],[Winning Candidate]]-SamplingData[[#This Row],[Candidate 6]])/(SamplingData[[#Totals],[Winning Candidate]]-SamplingData[[#Totals],[Candidate 6]]), 0)</f>
        <v>2.6992850542288801E-3</v>
      </c>
      <c r="P1256" s="100">
        <f>MAX(SamplingData[[#This Row],[Error Bound (up) - Max. possible relative overstatement - Losing Candidate]:[Error Bound (up) - Max. possible relative overstatement - Candidate 6]])</f>
        <v>6.6144047035766778E-3</v>
      </c>
      <c r="Q1256" s="100">
        <f>IF(SamplingData[[#This Row],[Max Error Bound (up)]] = 0,0,SamplingData[[#This Row],[Max Error Bound (up)]]/SamplingData[[#Totals],[Max Error Bound (up)]])</f>
        <v>1.0468384140721499E-3</v>
      </c>
      <c r="R1256" s="101">
        <f>SUM($Q$5:Q1256)</f>
        <v>0.35662896402091698</v>
      </c>
      <c r="S1256" s="100" t="str">
        <f t="array" ref="S1256">IF(SamplingData[[#This Row],[up/U Selection Probability]] = 0, "Zero", TEXT(SamplingData[[#This Row],[Lower Range]], REPT("0",LEN('General Info'!$B$40))) &amp; " - " &amp; TEXT(SamplingData[[#This Row],[Upper Range]], REPT("0",LEN('General Info'!$B$40))))</f>
        <v>35558 - 35662</v>
      </c>
      <c r="T1256" s="100">
        <f>SamplingData[[#This Row],[Upper Range]]-SamplingData[[#This Row],[Span]]</f>
        <v>35558.213607522899</v>
      </c>
      <c r="U1256" s="100">
        <f>IF(ISNUMBER('General Info'!$B$40), ((SamplingData[[#This Row],[up/U Selection Probability]]) * 'General Info'!$B$40) - 1, 0)</f>
        <v>103.68279456880092</v>
      </c>
      <c r="V1256" s="100">
        <f>IF(ISNUMBER('General Info'!$B$40), (SamplingData[[#This Row],[Running (cumulative) sum]] * ('General Info'!$B$40 -'General Info'!$B$41 + 1)) + 'General Info'!$B$41 - 1, 0)</f>
        <v>35661.896402091697</v>
      </c>
      <c r="W1256" s="100" t="str">
        <f>IF(ISERROR(MATCH(SamplingData[[#This Row],[Batch by Type (p)]],SelectedPrecincts[Batch Name], 0)), "", INDEX(SelectedPrecincts[Draw], MATCH(SamplingData[[#This Row],[Batch by Type (p)]],SelectedPrecincts[Batch Name], 0)))</f>
        <v/>
      </c>
      <c r="X1256" s="102">
        <f>IF(COUNTIF(SelectedPrecincts[Batch Name],SamplingData[[#This Row],[Batch by Type (p)]]) &lt;&gt; 0, COUNTIF(SelectedPrecincts[Batch Name],SamplingData[[#This Row],[Batch by Type (p)]]), 0)</f>
        <v>0</v>
      </c>
    </row>
    <row r="1257" spans="1:24" ht="15" customHeight="1">
      <c r="A1257" s="18" t="s">
        <v>1433</v>
      </c>
      <c r="B1257" s="18">
        <v>55</v>
      </c>
      <c r="C1257" s="18">
        <v>63</v>
      </c>
      <c r="D1257" s="16">
        <v>22</v>
      </c>
      <c r="E1257" s="16">
        <v>6</v>
      </c>
      <c r="F1257" s="37">
        <v>0</v>
      </c>
      <c r="G1257" s="37">
        <v>0</v>
      </c>
      <c r="H1257" s="17">
        <v>0</v>
      </c>
      <c r="I1257" s="17">
        <v>1</v>
      </c>
      <c r="J1257" s="99">
        <f>SUM(SamplingData[[#This Row],[Losing Candidate]:[Under Votes]])</f>
        <v>147</v>
      </c>
      <c r="K1257" s="100">
        <f>IF(AND(SamplingData[[#This Row],[Total]]&lt;&gt; 0, NOT(ISBLANK(SamplingData[[#This Row],[Losing Candidate]]))),(SamplingData[[#This Row],[Total]]+SamplingData[[#This Row],[Winning Candidate]]-SamplingData[[#This Row],[Losing Candidate]])/(SamplingData[[#Totals],[Winning Candidate]]-SamplingData[[#Totals],[Losing Candidate]]), 0)</f>
        <v>9.4928956393924551E-3</v>
      </c>
      <c r="L1257" s="100">
        <f>IF(AND(SamplingData[[#This Row],[Total]]&lt;&gt; 0, NOT(ISBLANK(SamplingData[[#This Row],[Candidate 3]]))),(SamplingData[[#This Row],[Total]]+SamplingData[[#This Row],[Winning Candidate]]-SamplingData[[#This Row],[Candidate 3]])/(SamplingData[[#Totals],[Winning Candidate]]-SamplingData[[#Totals],[Candidate 3]]), 0)</f>
        <v>6.0651030744910796E-3</v>
      </c>
      <c r="M1257" s="100">
        <f>IF(AND(SamplingData[[#This Row],[Total]]&lt;&gt; 0, NOT(ISBLANK(SamplingData[[#This Row],[Candidate 4]]))),(SamplingData[[#This Row],[Total]]+SamplingData[[#This Row],[Winning Candidate]]-SamplingData[[#This Row],[Candidate 4]])/(SamplingData[[#Totals],[Winning Candidate]]-SamplingData[[#Totals],[Candidate 4]]), 0)</f>
        <v>5.9633429799175654E-3</v>
      </c>
      <c r="N1257" s="100">
        <f>IF(AND(SamplingData[[#This Row],[Total]]&lt;&gt; 0, NOT(ISBLANK(SamplingData[[#This Row],[Candidate 5]]))),(SamplingData[[#This Row],[Total]]+SamplingData[[#This Row],[Winning Candidate]]-SamplingData[[#This Row],[Candidate 5]])/(SamplingData[[#Totals],[Winning Candidate]]-SamplingData[[#Totals],[Candidate 5]]), 0)</f>
        <v>5.1082461688153735E-3</v>
      </c>
      <c r="O1257" s="100">
        <f>IF(AND(SamplingData[[#This Row],[Total]]&lt;&gt; 0, NOT(ISBLANK(SamplingData[[#This Row],[Candidate 6]]))),(SamplingData[[#This Row],[Total]]+SamplingData[[#This Row],[Winning Candidate]]-SamplingData[[#This Row],[Candidate 6]])/(SamplingData[[#Totals],[Winning Candidate]]-SamplingData[[#Totals],[Candidate 6]]), 0)</f>
        <v>5.1067555080005836E-3</v>
      </c>
      <c r="P1257" s="100">
        <f>MAX(SamplingData[[#This Row],[Error Bound (up) - Max. possible relative overstatement - Losing Candidate]:[Error Bound (up) - Max. possible relative overstatement - Candidate 6]])</f>
        <v>9.4928956393924551E-3</v>
      </c>
      <c r="Q1257" s="100">
        <f>IF(SamplingData[[#This Row],[Max Error Bound (up)]] = 0,0,SamplingData[[#This Row],[Max Error Bound (up)]]/SamplingData[[#Totals],[Max Error Bound (up)]])</f>
        <v>1.502406983159104E-3</v>
      </c>
      <c r="R1257" s="101">
        <f>SUM($Q$5:Q1257)</f>
        <v>0.3581313710040761</v>
      </c>
      <c r="S1257" s="100" t="str">
        <f t="array" ref="S1257">IF(SamplingData[[#This Row],[up/U Selection Probability]] = 0, "Zero", TEXT(SamplingData[[#This Row],[Lower Range]], REPT("0",LEN('General Info'!$B$40))) &amp; " - " &amp; TEXT(SamplingData[[#This Row],[Upper Range]], REPT("0",LEN('General Info'!$B$40))))</f>
        <v>35663 - 35812</v>
      </c>
      <c r="T1257" s="100">
        <f>SamplingData[[#This Row],[Upper Range]]-SamplingData[[#This Row],[Span]]</f>
        <v>35662.897904498685</v>
      </c>
      <c r="U1257" s="100">
        <f>IF(ISNUMBER('General Info'!$B$40), ((SamplingData[[#This Row],[up/U Selection Probability]]) * 'General Info'!$B$40) - 1, 0)</f>
        <v>149.23919590892723</v>
      </c>
      <c r="V1257" s="100">
        <f>IF(ISNUMBER('General Info'!$B$40), (SamplingData[[#This Row],[Running (cumulative) sum]] * ('General Info'!$B$40 -'General Info'!$B$41 + 1)) + 'General Info'!$B$41 - 1, 0)</f>
        <v>35812.137100407614</v>
      </c>
      <c r="W1257" s="100" t="str">
        <f>IF(ISERROR(MATCH(SamplingData[[#This Row],[Batch by Type (p)]],SelectedPrecincts[Batch Name], 0)), "", INDEX(SelectedPrecincts[Draw], MATCH(SamplingData[[#This Row],[Batch by Type (p)]],SelectedPrecincts[Batch Name], 0)))</f>
        <v/>
      </c>
      <c r="X1257" s="102">
        <f>IF(COUNTIF(SelectedPrecincts[Batch Name],SamplingData[[#This Row],[Batch by Type (p)]]) &lt;&gt; 0, COUNTIF(SelectedPrecincts[Batch Name],SamplingData[[#This Row],[Batch by Type (p)]]), 0)</f>
        <v>0</v>
      </c>
    </row>
    <row r="1258" spans="1:24" ht="15" customHeight="1">
      <c r="A1258" s="18" t="s">
        <v>1434</v>
      </c>
      <c r="B1258" s="18">
        <v>25</v>
      </c>
      <c r="C1258" s="18">
        <v>33</v>
      </c>
      <c r="D1258" s="18">
        <v>7</v>
      </c>
      <c r="E1258" s="18">
        <v>4</v>
      </c>
      <c r="F1258" s="18">
        <v>0</v>
      </c>
      <c r="G1258" s="18">
        <v>0</v>
      </c>
      <c r="H1258" s="18">
        <v>0</v>
      </c>
      <c r="I1258" s="18">
        <v>4</v>
      </c>
      <c r="J1258" s="99">
        <f>SUM(SamplingData[[#This Row],[Losing Candidate]:[Under Votes]])</f>
        <v>73</v>
      </c>
      <c r="K1258"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1258" s="100">
        <f>IF(AND(SamplingData[[#This Row],[Total]]&lt;&gt; 0, NOT(ISBLANK(SamplingData[[#This Row],[Candidate 3]]))),(SamplingData[[#This Row],[Total]]+SamplingData[[#This Row],[Winning Candidate]]-SamplingData[[#This Row],[Candidate 3]])/(SamplingData[[#Totals],[Winning Candidate]]-SamplingData[[#Totals],[Candidate 3]]), 0)</f>
        <v>3.1938574700777493E-3</v>
      </c>
      <c r="M1258" s="100">
        <f>IF(AND(SamplingData[[#This Row],[Total]]&lt;&gt; 0, NOT(ISBLANK(SamplingData[[#This Row],[Candidate 4]]))),(SamplingData[[#This Row],[Total]]+SamplingData[[#This Row],[Winning Candidate]]-SamplingData[[#This Row],[Candidate 4]])/(SamplingData[[#Totals],[Winning Candidate]]-SamplingData[[#Totals],[Candidate 4]]), 0)</f>
        <v>2.9816714899587827E-3</v>
      </c>
      <c r="N1258" s="100">
        <f>IF(AND(SamplingData[[#This Row],[Total]]&lt;&gt; 0, NOT(ISBLANK(SamplingData[[#This Row],[Candidate 5]]))),(SamplingData[[#This Row],[Total]]+SamplingData[[#This Row],[Winning Candidate]]-SamplingData[[#This Row],[Candidate 5]])/(SamplingData[[#Totals],[Winning Candidate]]-SamplingData[[#Totals],[Candidate 5]]), 0)</f>
        <v>2.5784480661639503E-3</v>
      </c>
      <c r="O1258" s="100">
        <f>IF(AND(SamplingData[[#This Row],[Total]]&lt;&gt; 0, NOT(ISBLANK(SamplingData[[#This Row],[Candidate 6]]))),(SamplingData[[#This Row],[Total]]+SamplingData[[#This Row],[Winning Candidate]]-SamplingData[[#This Row],[Candidate 6]])/(SamplingData[[#Totals],[Winning Candidate]]-SamplingData[[#Totals],[Candidate 6]]), 0)</f>
        <v>2.5776956373717232E-3</v>
      </c>
      <c r="P1258" s="100">
        <f>MAX(SamplingData[[#This Row],[Error Bound (up) - Max. possible relative overstatement - Losing Candidate]:[Error Bound (up) - Max. possible relative overstatement - Candidate 6]])</f>
        <v>4.9608035276825085E-3</v>
      </c>
      <c r="Q1258" s="100">
        <f>IF(SamplingData[[#This Row],[Max Error Bound (up)]] = 0,0,SamplingData[[#This Row],[Max Error Bound (up)]]/SamplingData[[#Totals],[Max Error Bound (up)]])</f>
        <v>7.8512881055411239E-4</v>
      </c>
      <c r="R1258" s="101">
        <f>SUM($Q$5:Q1258)</f>
        <v>0.3589164998146302</v>
      </c>
      <c r="S1258" s="100" t="str">
        <f t="array" ref="S1258">IF(SamplingData[[#This Row],[up/U Selection Probability]] = 0, "Zero", TEXT(SamplingData[[#This Row],[Lower Range]], REPT("0",LEN('General Info'!$B$40))) &amp; " - " &amp; TEXT(SamplingData[[#This Row],[Upper Range]], REPT("0",LEN('General Info'!$B$40))))</f>
        <v>35813 - 35891</v>
      </c>
      <c r="T1258" s="100">
        <f>SamplingData[[#This Row],[Upper Range]]-SamplingData[[#This Row],[Span]]</f>
        <v>35813.137885536424</v>
      </c>
      <c r="U1258" s="100">
        <f>IF(ISNUMBER('General Info'!$B$40), ((SamplingData[[#This Row],[up/U Selection Probability]]) * 'General Info'!$B$40) - 1, 0)</f>
        <v>77.512095926600679</v>
      </c>
      <c r="V1258" s="100">
        <f>IF(ISNUMBER('General Info'!$B$40), (SamplingData[[#This Row],[Running (cumulative) sum]] * ('General Info'!$B$40 -'General Info'!$B$41 + 1)) + 'General Info'!$B$41 - 1, 0)</f>
        <v>35890.649981463022</v>
      </c>
      <c r="W1258" s="100" t="str">
        <f>IF(ISERROR(MATCH(SamplingData[[#This Row],[Batch by Type (p)]],SelectedPrecincts[Batch Name], 0)), "", INDEX(SelectedPrecincts[Draw], MATCH(SamplingData[[#This Row],[Batch by Type (p)]],SelectedPrecincts[Batch Name], 0)))</f>
        <v/>
      </c>
      <c r="X1258" s="102">
        <f>IF(COUNTIF(SelectedPrecincts[Batch Name],SamplingData[[#This Row],[Batch by Type (p)]]) &lt;&gt; 0, COUNTIF(SelectedPrecincts[Batch Name],SamplingData[[#This Row],[Batch by Type (p)]]), 0)</f>
        <v>0</v>
      </c>
    </row>
    <row r="1259" spans="1:24" ht="15" customHeight="1">
      <c r="A1259" s="18" t="s">
        <v>1435</v>
      </c>
      <c r="B1259" s="18">
        <v>35</v>
      </c>
      <c r="C1259" s="18">
        <v>68</v>
      </c>
      <c r="D1259" s="16">
        <v>20</v>
      </c>
      <c r="E1259" s="16">
        <v>7</v>
      </c>
      <c r="F1259" s="37">
        <v>2</v>
      </c>
      <c r="G1259" s="37">
        <v>1</v>
      </c>
      <c r="H1259" s="17">
        <v>0</v>
      </c>
      <c r="I1259" s="17">
        <v>1</v>
      </c>
      <c r="J1259" s="99">
        <f>SUM(SamplingData[[#This Row],[Losing Candidate]:[Under Votes]])</f>
        <v>134</v>
      </c>
      <c r="K1259" s="100">
        <f>IF(AND(SamplingData[[#This Row],[Total]]&lt;&gt; 0, NOT(ISBLANK(SamplingData[[#This Row],[Losing Candidate]]))),(SamplingData[[#This Row],[Total]]+SamplingData[[#This Row],[Winning Candidate]]-SamplingData[[#This Row],[Losing Candidate]])/(SamplingData[[#Totals],[Winning Candidate]]-SamplingData[[#Totals],[Losing Candidate]]), 0)</f>
        <v>1.0227829495345418E-2</v>
      </c>
      <c r="L1259" s="100">
        <f>IF(AND(SamplingData[[#This Row],[Total]]&lt;&gt; 0, NOT(ISBLANK(SamplingData[[#This Row],[Candidate 3]]))),(SamplingData[[#This Row],[Total]]+SamplingData[[#This Row],[Winning Candidate]]-SamplingData[[#This Row],[Candidate 3]])/(SamplingData[[#Totals],[Winning Candidate]]-SamplingData[[#Totals],[Candidate 3]]), 0)</f>
        <v>5.8715359550924285E-3</v>
      </c>
      <c r="M1259" s="100">
        <f>IF(AND(SamplingData[[#This Row],[Total]]&lt;&gt; 0, NOT(ISBLANK(SamplingData[[#This Row],[Candidate 4]]))),(SamplingData[[#This Row],[Total]]+SamplingData[[#This Row],[Winning Candidate]]-SamplingData[[#This Row],[Candidate 4]])/(SamplingData[[#Totals],[Winning Candidate]]-SamplingData[[#Totals],[Candidate 4]]), 0)</f>
        <v>5.7002543190388492E-3</v>
      </c>
      <c r="N1259" s="100">
        <f>IF(AND(SamplingData[[#This Row],[Total]]&lt;&gt; 0, NOT(ISBLANK(SamplingData[[#This Row],[Candidate 5]]))),(SamplingData[[#This Row],[Total]]+SamplingData[[#This Row],[Winning Candidate]]-SamplingData[[#This Row],[Candidate 5]])/(SamplingData[[#Totals],[Winning Candidate]]-SamplingData[[#Totals],[Candidate 5]]), 0)</f>
        <v>4.8649963512527369E-3</v>
      </c>
      <c r="O1259" s="100">
        <f>IF(AND(SamplingData[[#This Row],[Total]]&lt;&gt; 0, NOT(ISBLANK(SamplingData[[#This Row],[Candidate 6]]))),(SamplingData[[#This Row],[Total]]+SamplingData[[#This Row],[Winning Candidate]]-SamplingData[[#This Row],[Candidate 6]])/(SamplingData[[#Totals],[Winning Candidate]]-SamplingData[[#Totals],[Candidate 6]]), 0)</f>
        <v>4.8878945576577015E-3</v>
      </c>
      <c r="P1259" s="100">
        <f>MAX(SamplingData[[#This Row],[Error Bound (up) - Max. possible relative overstatement - Losing Candidate]:[Error Bound (up) - Max. possible relative overstatement - Candidate 6]])</f>
        <v>1.0227829495345418E-2</v>
      </c>
      <c r="Q1259" s="100">
        <f>IF(SamplingData[[#This Row],[Max Error Bound (up)]] = 0,0,SamplingData[[#This Row],[Max Error Bound (up)]]/SamplingData[[#Totals],[Max Error Bound (up)]])</f>
        <v>1.6187223625004539E-3</v>
      </c>
      <c r="R1259" s="101">
        <f>SUM($Q$5:Q1259)</f>
        <v>0.36053522217713063</v>
      </c>
      <c r="S1259" s="100" t="str">
        <f t="array" ref="S1259">IF(SamplingData[[#This Row],[up/U Selection Probability]] = 0, "Zero", TEXT(SamplingData[[#This Row],[Lower Range]], REPT("0",LEN('General Info'!$B$40))) &amp; " - " &amp; TEXT(SamplingData[[#This Row],[Upper Range]], REPT("0",LEN('General Info'!$B$40))))</f>
        <v>35892 - 36053</v>
      </c>
      <c r="T1259" s="100">
        <f>SamplingData[[#This Row],[Upper Range]]-SamplingData[[#This Row],[Span]]</f>
        <v>35891.651600185382</v>
      </c>
      <c r="U1259" s="100">
        <f>IF(ISNUMBER('General Info'!$B$40), ((SamplingData[[#This Row],[up/U Selection Probability]]) * 'General Info'!$B$40) - 1, 0)</f>
        <v>160.8706175276829</v>
      </c>
      <c r="V1259" s="100">
        <f>IF(ISNUMBER('General Info'!$B$40), (SamplingData[[#This Row],[Running (cumulative) sum]] * ('General Info'!$B$40 -'General Info'!$B$41 + 1)) + 'General Info'!$B$41 - 1, 0)</f>
        <v>36052.522217713064</v>
      </c>
      <c r="W1259" s="100" t="str">
        <f>IF(ISERROR(MATCH(SamplingData[[#This Row],[Batch by Type (p)]],SelectedPrecincts[Batch Name], 0)), "", INDEX(SelectedPrecincts[Draw], MATCH(SamplingData[[#This Row],[Batch by Type (p)]],SelectedPrecincts[Batch Name], 0)))</f>
        <v/>
      </c>
      <c r="X1259" s="102">
        <f>IF(COUNTIF(SelectedPrecincts[Batch Name],SamplingData[[#This Row],[Batch by Type (p)]]) &lt;&gt; 0, COUNTIF(SelectedPrecincts[Batch Name],SamplingData[[#This Row],[Batch by Type (p)]]), 0)</f>
        <v>0</v>
      </c>
    </row>
    <row r="1260" spans="1:24" ht="15" customHeight="1">
      <c r="A1260" s="18" t="s">
        <v>1436</v>
      </c>
      <c r="B1260" s="18">
        <v>17</v>
      </c>
      <c r="C1260" s="18">
        <v>24</v>
      </c>
      <c r="D1260" s="18">
        <v>5</v>
      </c>
      <c r="E1260" s="18">
        <v>0</v>
      </c>
      <c r="F1260" s="18">
        <v>0</v>
      </c>
      <c r="G1260" s="18">
        <v>0</v>
      </c>
      <c r="H1260" s="18">
        <v>0</v>
      </c>
      <c r="I1260" s="18">
        <v>1</v>
      </c>
      <c r="J1260" s="99">
        <f>SUM(SamplingData[[#This Row],[Losing Candidate]:[Under Votes]])</f>
        <v>47</v>
      </c>
      <c r="K1260"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1260" s="100">
        <f>IF(AND(SamplingData[[#This Row],[Total]]&lt;&gt; 0, NOT(ISBLANK(SamplingData[[#This Row],[Candidate 3]]))),(SamplingData[[#This Row],[Total]]+SamplingData[[#This Row],[Winning Candidate]]-SamplingData[[#This Row],[Candidate 3]])/(SamplingData[[#Totals],[Winning Candidate]]-SamplingData[[#Totals],[Candidate 3]]), 0)</f>
        <v>2.1292383133851662E-3</v>
      </c>
      <c r="M1260" s="100">
        <f>IF(AND(SamplingData[[#This Row],[Total]]&lt;&gt; 0, NOT(ISBLANK(SamplingData[[#This Row],[Candidate 4]]))),(SamplingData[[#This Row],[Total]]+SamplingData[[#This Row],[Winning Candidate]]-SamplingData[[#This Row],[Candidate 4]])/(SamplingData[[#Totals],[Winning Candidate]]-SamplingData[[#Totals],[Candidate 4]]), 0)</f>
        <v>2.0754772135987607E-3</v>
      </c>
      <c r="N1260" s="100">
        <f>IF(AND(SamplingData[[#This Row],[Total]]&lt;&gt; 0, NOT(ISBLANK(SamplingData[[#This Row],[Candidate 5]]))),(SamplingData[[#This Row],[Total]]+SamplingData[[#This Row],[Winning Candidate]]-SamplingData[[#This Row],[Candidate 5]])/(SamplingData[[#Totals],[Winning Candidate]]-SamplingData[[#Totals],[Candidate 5]]), 0)</f>
        <v>1.7270737046947214E-3</v>
      </c>
      <c r="O1260" s="100">
        <f>IF(AND(SamplingData[[#This Row],[Total]]&lt;&gt; 0, NOT(ISBLANK(SamplingData[[#This Row],[Candidate 6]]))),(SamplingData[[#This Row],[Total]]+SamplingData[[#This Row],[Winning Candidate]]-SamplingData[[#This Row],[Candidate 6]])/(SamplingData[[#Totals],[Winning Candidate]]-SamplingData[[#Totals],[Candidate 6]]), 0)</f>
        <v>1.7265697193716259E-3</v>
      </c>
      <c r="P1260" s="100">
        <f>MAX(SamplingData[[#This Row],[Error Bound (up) - Max. possible relative overstatement - Losing Candidate]:[Error Bound (up) - Max. possible relative overstatement - Candidate 6]])</f>
        <v>3.3072023517883389E-3</v>
      </c>
      <c r="Q1260" s="100">
        <f>IF(SamplingData[[#This Row],[Max Error Bound (up)]] = 0,0,SamplingData[[#This Row],[Max Error Bound (up)]]/SamplingData[[#Totals],[Max Error Bound (up)]])</f>
        <v>5.2341920703607493E-4</v>
      </c>
      <c r="R1260" s="101">
        <f>SUM($Q$5:Q1260)</f>
        <v>0.36105864138416671</v>
      </c>
      <c r="S1260" s="100" t="str">
        <f t="array" ref="S1260">IF(SamplingData[[#This Row],[up/U Selection Probability]] = 0, "Zero", TEXT(SamplingData[[#This Row],[Lower Range]], REPT("0",LEN('General Info'!$B$40))) &amp; " - " &amp; TEXT(SamplingData[[#This Row],[Upper Range]], REPT("0",LEN('General Info'!$B$40))))</f>
        <v>36054 - 36105</v>
      </c>
      <c r="T1260" s="100">
        <f>SamplingData[[#This Row],[Upper Range]]-SamplingData[[#This Row],[Span]]</f>
        <v>36053.52274113227</v>
      </c>
      <c r="U1260" s="100">
        <f>IF(ISNUMBER('General Info'!$B$40), ((SamplingData[[#This Row],[up/U Selection Probability]]) * 'General Info'!$B$40) - 1, 0)</f>
        <v>51.341397284400458</v>
      </c>
      <c r="V1260" s="100">
        <f>IF(ISNUMBER('General Info'!$B$40), (SamplingData[[#This Row],[Running (cumulative) sum]] * ('General Info'!$B$40 -'General Info'!$B$41 + 1)) + 'General Info'!$B$41 - 1, 0)</f>
        <v>36104.864138416669</v>
      </c>
      <c r="W1260" s="100" t="str">
        <f>IF(ISERROR(MATCH(SamplingData[[#This Row],[Batch by Type (p)]],SelectedPrecincts[Batch Name], 0)), "", INDEX(SelectedPrecincts[Draw], MATCH(SamplingData[[#This Row],[Batch by Type (p)]],SelectedPrecincts[Batch Name], 0)))</f>
        <v/>
      </c>
      <c r="X1260" s="102">
        <f>IF(COUNTIF(SelectedPrecincts[Batch Name],SamplingData[[#This Row],[Batch by Type (p)]]) &lt;&gt; 0, COUNTIF(SelectedPrecincts[Batch Name],SamplingData[[#This Row],[Batch by Type (p)]]), 0)</f>
        <v>0</v>
      </c>
    </row>
    <row r="1261" spans="1:24" ht="15" customHeight="1">
      <c r="A1261" s="18" t="s">
        <v>1437</v>
      </c>
      <c r="B1261" s="18">
        <v>49</v>
      </c>
      <c r="C1261" s="18">
        <v>57</v>
      </c>
      <c r="D1261" s="16">
        <v>20</v>
      </c>
      <c r="E1261" s="16">
        <v>7</v>
      </c>
      <c r="F1261" s="37">
        <v>0</v>
      </c>
      <c r="G1261" s="37">
        <v>0</v>
      </c>
      <c r="H1261" s="17">
        <v>0</v>
      </c>
      <c r="I1261" s="17">
        <v>1</v>
      </c>
      <c r="J1261" s="99">
        <f>SUM(SamplingData[[#This Row],[Losing Candidate]:[Under Votes]])</f>
        <v>134</v>
      </c>
      <c r="K1261" s="100">
        <f>IF(AND(SamplingData[[#This Row],[Total]]&lt;&gt; 0, NOT(ISBLANK(SamplingData[[#This Row],[Losing Candidate]]))),(SamplingData[[#This Row],[Total]]+SamplingData[[#This Row],[Winning Candidate]]-SamplingData[[#This Row],[Losing Candidate]])/(SamplingData[[#Totals],[Winning Candidate]]-SamplingData[[#Totals],[Losing Candidate]]), 0)</f>
        <v>8.6967172954434107E-3</v>
      </c>
      <c r="L1261" s="100">
        <f>IF(AND(SamplingData[[#This Row],[Total]]&lt;&gt; 0, NOT(ISBLANK(SamplingData[[#This Row],[Candidate 3]]))),(SamplingData[[#This Row],[Total]]+SamplingData[[#This Row],[Winning Candidate]]-SamplingData[[#This Row],[Candidate 3]])/(SamplingData[[#Totals],[Winning Candidate]]-SamplingData[[#Totals],[Candidate 3]]), 0)</f>
        <v>5.5166629028615671E-3</v>
      </c>
      <c r="M1261" s="100">
        <f>IF(AND(SamplingData[[#This Row],[Total]]&lt;&gt; 0, NOT(ISBLANK(SamplingData[[#This Row],[Candidate 4]]))),(SamplingData[[#This Row],[Total]]+SamplingData[[#This Row],[Winning Candidate]]-SamplingData[[#This Row],[Candidate 4]])/(SamplingData[[#Totals],[Winning Candidate]]-SamplingData[[#Totals],[Candidate 4]]), 0)</f>
        <v>5.3787015112981961E-3</v>
      </c>
      <c r="N1261" s="100">
        <f>IF(AND(SamplingData[[#This Row],[Total]]&lt;&gt; 0, NOT(ISBLANK(SamplingData[[#This Row],[Candidate 5]]))),(SamplingData[[#This Row],[Total]]+SamplingData[[#This Row],[Winning Candidate]]-SamplingData[[#This Row],[Candidate 5]])/(SamplingData[[#Totals],[Winning Candidate]]-SamplingData[[#Totals],[Candidate 5]]), 0)</f>
        <v>4.6460715154463634E-3</v>
      </c>
      <c r="O1261" s="100">
        <f>IF(AND(SamplingData[[#This Row],[Total]]&lt;&gt; 0, NOT(ISBLANK(SamplingData[[#This Row],[Candidate 6]]))),(SamplingData[[#This Row],[Total]]+SamplingData[[#This Row],[Winning Candidate]]-SamplingData[[#This Row],[Candidate 6]])/(SamplingData[[#Totals],[Winning Candidate]]-SamplingData[[#Totals],[Candidate 6]]), 0)</f>
        <v>4.6447157239433877E-3</v>
      </c>
      <c r="P1261" s="100">
        <f>MAX(SamplingData[[#This Row],[Error Bound (up) - Max. possible relative overstatement - Losing Candidate]:[Error Bound (up) - Max. possible relative overstatement - Candidate 6]])</f>
        <v>8.6967172954434107E-3</v>
      </c>
      <c r="Q1261" s="100">
        <f>IF(SamplingData[[#This Row],[Max Error Bound (up)]] = 0,0,SamplingData[[#This Row],[Max Error Bound (up)]]/SamplingData[[#Totals],[Max Error Bound (up)]])</f>
        <v>1.3763986555393082E-3</v>
      </c>
      <c r="R1261" s="101">
        <f>SUM($Q$5:Q1261)</f>
        <v>0.362435040039706</v>
      </c>
      <c r="S1261" s="100" t="str">
        <f t="array" ref="S1261">IF(SamplingData[[#This Row],[up/U Selection Probability]] = 0, "Zero", TEXT(SamplingData[[#This Row],[Lower Range]], REPT("0",LEN('General Info'!$B$40))) &amp; " - " &amp; TEXT(SamplingData[[#This Row],[Upper Range]], REPT("0",LEN('General Info'!$B$40))))</f>
        <v>36106 - 36243</v>
      </c>
      <c r="T1261" s="100">
        <f>SamplingData[[#This Row],[Upper Range]]-SamplingData[[#This Row],[Span]]</f>
        <v>36105.865514815327</v>
      </c>
      <c r="U1261" s="100">
        <f>IF(ISNUMBER('General Info'!$B$40), ((SamplingData[[#This Row],[up/U Selection Probability]]) * 'General Info'!$B$40) - 1, 0)</f>
        <v>136.63848915527527</v>
      </c>
      <c r="V1261" s="100">
        <f>IF(ISNUMBER('General Info'!$B$40), (SamplingData[[#This Row],[Running (cumulative) sum]] * ('General Info'!$B$40 -'General Info'!$B$41 + 1)) + 'General Info'!$B$41 - 1, 0)</f>
        <v>36242.5040039706</v>
      </c>
      <c r="W1261" s="100" t="str">
        <f>IF(ISERROR(MATCH(SamplingData[[#This Row],[Batch by Type (p)]],SelectedPrecincts[Batch Name], 0)), "", INDEX(SelectedPrecincts[Draw], MATCH(SamplingData[[#This Row],[Batch by Type (p)]],SelectedPrecincts[Batch Name], 0)))</f>
        <v/>
      </c>
      <c r="X1261" s="102">
        <f>IF(COUNTIF(SelectedPrecincts[Batch Name],SamplingData[[#This Row],[Batch by Type (p)]]) &lt;&gt; 0, COUNTIF(SelectedPrecincts[Batch Name],SamplingData[[#This Row],[Batch by Type (p)]]), 0)</f>
        <v>0</v>
      </c>
    </row>
    <row r="1262" spans="1:24" ht="15" customHeight="1">
      <c r="A1262" s="18" t="s">
        <v>1438</v>
      </c>
      <c r="B1262" s="18">
        <v>36</v>
      </c>
      <c r="C1262" s="18">
        <v>42</v>
      </c>
      <c r="D1262" s="18">
        <v>15</v>
      </c>
      <c r="E1262" s="18">
        <v>7</v>
      </c>
      <c r="F1262" s="18">
        <v>0</v>
      </c>
      <c r="G1262" s="18">
        <v>0</v>
      </c>
      <c r="H1262" s="18">
        <v>0</v>
      </c>
      <c r="I1262" s="18">
        <v>2</v>
      </c>
      <c r="J1262" s="99">
        <f>SUM(SamplingData[[#This Row],[Losing Candidate]:[Under Votes]])</f>
        <v>102</v>
      </c>
      <c r="K1262" s="100">
        <f>IF(AND(SamplingData[[#This Row],[Total]]&lt;&gt; 0, NOT(ISBLANK(SamplingData[[#This Row],[Losing Candidate]]))),(SamplingData[[#This Row],[Total]]+SamplingData[[#This Row],[Winning Candidate]]-SamplingData[[#This Row],[Losing Candidate]])/(SamplingData[[#Totals],[Winning Candidate]]-SamplingData[[#Totals],[Losing Candidate]]), 0)</f>
        <v>6.6144047035766778E-3</v>
      </c>
      <c r="L1262" s="100">
        <f>IF(AND(SamplingData[[#This Row],[Total]]&lt;&gt; 0, NOT(ISBLANK(SamplingData[[#This Row],[Candidate 3]]))),(SamplingData[[#This Row],[Total]]+SamplingData[[#This Row],[Winning Candidate]]-SamplingData[[#This Row],[Candidate 3]])/(SamplingData[[#Totals],[Winning Candidate]]-SamplingData[[#Totals],[Candidate 3]]), 0)</f>
        <v>4.1616930670710069E-3</v>
      </c>
      <c r="M1262" s="100">
        <f>IF(AND(SamplingData[[#This Row],[Total]]&lt;&gt; 0, NOT(ISBLANK(SamplingData[[#This Row],[Candidate 4]]))),(SamplingData[[#This Row],[Total]]+SamplingData[[#This Row],[Winning Candidate]]-SamplingData[[#This Row],[Candidate 4]])/(SamplingData[[#Totals],[Winning Candidate]]-SamplingData[[#Totals],[Candidate 4]]), 0)</f>
        <v>4.0047940600426791E-3</v>
      </c>
      <c r="N1262" s="100">
        <f>IF(AND(SamplingData[[#This Row],[Total]]&lt;&gt; 0, NOT(ISBLANK(SamplingData[[#This Row],[Candidate 5]]))),(SamplingData[[#This Row],[Total]]+SamplingData[[#This Row],[Winning Candidate]]-SamplingData[[#This Row],[Candidate 5]])/(SamplingData[[#Totals],[Winning Candidate]]-SamplingData[[#Totals],[Candidate 5]]), 0)</f>
        <v>3.5027973729019704E-3</v>
      </c>
      <c r="O1262" s="100">
        <f>IF(AND(SamplingData[[#This Row],[Total]]&lt;&gt; 0, NOT(ISBLANK(SamplingData[[#This Row],[Candidate 6]]))),(SamplingData[[#This Row],[Total]]+SamplingData[[#This Row],[Winning Candidate]]-SamplingData[[#This Row],[Candidate 6]])/(SamplingData[[#Totals],[Winning Candidate]]-SamplingData[[#Totals],[Candidate 6]]), 0)</f>
        <v>3.5017752054861146E-3</v>
      </c>
      <c r="P1262" s="100">
        <f>MAX(SamplingData[[#This Row],[Error Bound (up) - Max. possible relative overstatement - Losing Candidate]:[Error Bound (up) - Max. possible relative overstatement - Candidate 6]])</f>
        <v>6.6144047035766778E-3</v>
      </c>
      <c r="Q1262" s="100">
        <f>IF(SamplingData[[#This Row],[Max Error Bound (up)]] = 0,0,SamplingData[[#This Row],[Max Error Bound (up)]]/SamplingData[[#Totals],[Max Error Bound (up)]])</f>
        <v>1.0468384140721499E-3</v>
      </c>
      <c r="R1262" s="101">
        <f>SUM($Q$5:Q1262)</f>
        <v>0.36348187845377816</v>
      </c>
      <c r="S1262" s="100" t="str">
        <f t="array" ref="S1262">IF(SamplingData[[#This Row],[up/U Selection Probability]] = 0, "Zero", TEXT(SamplingData[[#This Row],[Lower Range]], REPT("0",LEN('General Info'!$B$40))) &amp; " - " &amp; TEXT(SamplingData[[#This Row],[Upper Range]], REPT("0",LEN('General Info'!$B$40))))</f>
        <v>36244 - 36347</v>
      </c>
      <c r="T1262" s="100">
        <f>SamplingData[[#This Row],[Upper Range]]-SamplingData[[#This Row],[Span]]</f>
        <v>36243.505050809021</v>
      </c>
      <c r="U1262" s="100">
        <f>IF(ISNUMBER('General Info'!$B$40), ((SamplingData[[#This Row],[up/U Selection Probability]]) * 'General Info'!$B$40) - 1, 0)</f>
        <v>103.68279456880092</v>
      </c>
      <c r="V1262" s="100">
        <f>IF(ISNUMBER('General Info'!$B$40), (SamplingData[[#This Row],[Running (cumulative) sum]] * ('General Info'!$B$40 -'General Info'!$B$41 + 1)) + 'General Info'!$B$41 - 1, 0)</f>
        <v>36347.187845377819</v>
      </c>
      <c r="W1262" s="100" t="str">
        <f>IF(ISERROR(MATCH(SamplingData[[#This Row],[Batch by Type (p)]],SelectedPrecincts[Batch Name], 0)), "", INDEX(SelectedPrecincts[Draw], MATCH(SamplingData[[#This Row],[Batch by Type (p)]],SelectedPrecincts[Batch Name], 0)))</f>
        <v/>
      </c>
      <c r="X1262" s="102">
        <f>IF(COUNTIF(SelectedPrecincts[Batch Name],SamplingData[[#This Row],[Batch by Type (p)]]) &lt;&gt; 0, COUNTIF(SelectedPrecincts[Batch Name],SamplingData[[#This Row],[Batch by Type (p)]]), 0)</f>
        <v>0</v>
      </c>
    </row>
    <row r="1263" spans="1:24" ht="15" customHeight="1">
      <c r="A1263" s="18" t="s">
        <v>1439</v>
      </c>
      <c r="B1263" s="18">
        <v>24</v>
      </c>
      <c r="C1263" s="18">
        <v>59</v>
      </c>
      <c r="D1263" s="16">
        <v>13</v>
      </c>
      <c r="E1263" s="16">
        <v>7</v>
      </c>
      <c r="F1263" s="37">
        <v>1</v>
      </c>
      <c r="G1263" s="37">
        <v>0</v>
      </c>
      <c r="H1263" s="17">
        <v>0</v>
      </c>
      <c r="I1263" s="17">
        <v>0</v>
      </c>
      <c r="J1263" s="99">
        <f>SUM(SamplingData[[#This Row],[Losing Candidate]:[Under Votes]])</f>
        <v>104</v>
      </c>
      <c r="K1263" s="100">
        <f>IF(AND(SamplingData[[#This Row],[Total]]&lt;&gt; 0, NOT(ISBLANK(SamplingData[[#This Row],[Losing Candidate]]))),(SamplingData[[#This Row],[Total]]+SamplingData[[#This Row],[Winning Candidate]]-SamplingData[[#This Row],[Losing Candidate]])/(SamplingData[[#Totals],[Winning Candidate]]-SamplingData[[#Totals],[Losing Candidate]]), 0)</f>
        <v>8.5129838314551686E-3</v>
      </c>
      <c r="L1263" s="100">
        <f>IF(AND(SamplingData[[#This Row],[Total]]&lt;&gt; 0, NOT(ISBLANK(SamplingData[[#This Row],[Candidate 3]]))),(SamplingData[[#This Row],[Total]]+SamplingData[[#This Row],[Winning Candidate]]-SamplingData[[#This Row],[Candidate 3]])/(SamplingData[[#Totals],[Winning Candidate]]-SamplingData[[#Totals],[Candidate 3]]), 0)</f>
        <v>4.8391779849662874E-3</v>
      </c>
      <c r="M1263" s="100">
        <f>IF(AND(SamplingData[[#This Row],[Total]]&lt;&gt; 0, NOT(ISBLANK(SamplingData[[#This Row],[Candidate 4]]))),(SamplingData[[#This Row],[Total]]+SamplingData[[#This Row],[Winning Candidate]]-SamplingData[[#This Row],[Candidate 4]])/(SamplingData[[#Totals],[Winning Candidate]]-SamplingData[[#Totals],[Candidate 4]]), 0)</f>
        <v>4.5602034552310799E-3</v>
      </c>
      <c r="N1263" s="100">
        <f>IF(AND(SamplingData[[#This Row],[Total]]&lt;&gt; 0, NOT(ISBLANK(SamplingData[[#This Row],[Candidate 5]]))),(SamplingData[[#This Row],[Total]]+SamplingData[[#This Row],[Winning Candidate]]-SamplingData[[#This Row],[Candidate 5]])/(SamplingData[[#Totals],[Winning Candidate]]-SamplingData[[#Totals],[Candidate 5]]), 0)</f>
        <v>3.9406470445147168E-3</v>
      </c>
      <c r="O1263" s="100">
        <f>IF(AND(SamplingData[[#This Row],[Total]]&lt;&gt; 0, NOT(ISBLANK(SamplingData[[#This Row],[Candidate 6]]))),(SamplingData[[#This Row],[Total]]+SamplingData[[#This Row],[Winning Candidate]]-SamplingData[[#This Row],[Candidate 6]])/(SamplingData[[#Totals],[Winning Candidate]]-SamplingData[[#Totals],[Candidate 6]]), 0)</f>
        <v>3.9638149895433105E-3</v>
      </c>
      <c r="P1263" s="100">
        <f>MAX(SamplingData[[#This Row],[Error Bound (up) - Max. possible relative overstatement - Losing Candidate]:[Error Bound (up) - Max. possible relative overstatement - Candidate 6]])</f>
        <v>8.5129838314551686E-3</v>
      </c>
      <c r="Q1263" s="100">
        <f>IF(SamplingData[[#This Row],[Max Error Bound (up)]] = 0,0,SamplingData[[#This Row],[Max Error Bound (up)]]/SamplingData[[#Totals],[Max Error Bound (up)]])</f>
        <v>1.3473198107039706E-3</v>
      </c>
      <c r="R1263" s="101">
        <f>SUM($Q$5:Q1263)</f>
        <v>0.36482919826448212</v>
      </c>
      <c r="S1263" s="100" t="str">
        <f t="array" ref="S1263">IF(SamplingData[[#This Row],[up/U Selection Probability]] = 0, "Zero", TEXT(SamplingData[[#This Row],[Lower Range]], REPT("0",LEN('General Info'!$B$40))) &amp; " - " &amp; TEXT(SamplingData[[#This Row],[Upper Range]], REPT("0",LEN('General Info'!$B$40))))</f>
        <v>36348 - 36482</v>
      </c>
      <c r="T1263" s="100">
        <f>SamplingData[[#This Row],[Upper Range]]-SamplingData[[#This Row],[Span]]</f>
        <v>36348.189192697624</v>
      </c>
      <c r="U1263" s="100">
        <f>IF(ISNUMBER('General Info'!$B$40), ((SamplingData[[#This Row],[up/U Selection Probability]]) * 'General Info'!$B$40) - 1, 0)</f>
        <v>133.73063375058635</v>
      </c>
      <c r="V1263" s="100">
        <f>IF(ISNUMBER('General Info'!$B$40), (SamplingData[[#This Row],[Running (cumulative) sum]] * ('General Info'!$B$40 -'General Info'!$B$41 + 1)) + 'General Info'!$B$41 - 1, 0)</f>
        <v>36481.919826448211</v>
      </c>
      <c r="W1263" s="100" t="str">
        <f>IF(ISERROR(MATCH(SamplingData[[#This Row],[Batch by Type (p)]],SelectedPrecincts[Batch Name], 0)), "", INDEX(SelectedPrecincts[Draw], MATCH(SamplingData[[#This Row],[Batch by Type (p)]],SelectedPrecincts[Batch Name], 0)))</f>
        <v/>
      </c>
      <c r="X1263" s="102">
        <f>IF(COUNTIF(SelectedPrecincts[Batch Name],SamplingData[[#This Row],[Batch by Type (p)]]) &lt;&gt; 0, COUNTIF(SelectedPrecincts[Batch Name],SamplingData[[#This Row],[Batch by Type (p)]]), 0)</f>
        <v>0</v>
      </c>
    </row>
    <row r="1264" spans="1:24" ht="15" customHeight="1">
      <c r="A1264" s="18" t="s">
        <v>1440</v>
      </c>
      <c r="B1264" s="18">
        <v>17</v>
      </c>
      <c r="C1264" s="18">
        <v>36</v>
      </c>
      <c r="D1264" s="18">
        <v>9</v>
      </c>
      <c r="E1264" s="18">
        <v>3</v>
      </c>
      <c r="F1264" s="18">
        <v>0</v>
      </c>
      <c r="G1264" s="18">
        <v>0</v>
      </c>
      <c r="H1264" s="18">
        <v>0</v>
      </c>
      <c r="I1264" s="18">
        <v>0</v>
      </c>
      <c r="J1264" s="99">
        <f>SUM(SamplingData[[#This Row],[Losing Candidate]:[Under Votes]])</f>
        <v>65</v>
      </c>
      <c r="K1264" s="100">
        <f>IF(AND(SamplingData[[#This Row],[Total]]&lt;&gt; 0, NOT(ISBLANK(SamplingData[[#This Row],[Losing Candidate]]))),(SamplingData[[#This Row],[Total]]+SamplingData[[#This Row],[Winning Candidate]]-SamplingData[[#This Row],[Losing Candidate]])/(SamplingData[[#Totals],[Winning Candidate]]-SamplingData[[#Totals],[Losing Candidate]]), 0)</f>
        <v>5.1445369916707498E-3</v>
      </c>
      <c r="L1264" s="100">
        <f>IF(AND(SamplingData[[#This Row],[Total]]&lt;&gt; 0, NOT(ISBLANK(SamplingData[[#This Row],[Candidate 3]]))),(SamplingData[[#This Row],[Total]]+SamplingData[[#This Row],[Winning Candidate]]-SamplingData[[#This Row],[Candidate 3]])/(SamplingData[[#Totals],[Winning Candidate]]-SamplingData[[#Totals],[Candidate 3]]), 0)</f>
        <v>2.9680291641126563E-3</v>
      </c>
      <c r="M1264" s="100">
        <f>IF(AND(SamplingData[[#This Row],[Total]]&lt;&gt; 0, NOT(ISBLANK(SamplingData[[#This Row],[Candidate 4]]))),(SamplingData[[#This Row],[Total]]+SamplingData[[#This Row],[Winning Candidate]]-SamplingData[[#This Row],[Candidate 4]])/(SamplingData[[#Totals],[Winning Candidate]]-SamplingData[[#Totals],[Candidate 4]]), 0)</f>
        <v>2.8647431962349089E-3</v>
      </c>
      <c r="N1264" s="100">
        <f>IF(AND(SamplingData[[#This Row],[Total]]&lt;&gt; 0, NOT(ISBLANK(SamplingData[[#This Row],[Candidate 5]]))),(SamplingData[[#This Row],[Total]]+SamplingData[[#This Row],[Winning Candidate]]-SamplingData[[#This Row],[Candidate 5]])/(SamplingData[[#Totals],[Winning Candidate]]-SamplingData[[#Totals],[Candidate 5]]), 0)</f>
        <v>2.456823157382632E-3</v>
      </c>
      <c r="O1264" s="100">
        <f>IF(AND(SamplingData[[#This Row],[Total]]&lt;&gt; 0, NOT(ISBLANK(SamplingData[[#This Row],[Candidate 6]]))),(SamplingData[[#This Row],[Total]]+SamplingData[[#This Row],[Winning Candidate]]-SamplingData[[#This Row],[Candidate 6]])/(SamplingData[[#Totals],[Winning Candidate]]-SamplingData[[#Totals],[Candidate 6]]), 0)</f>
        <v>2.4561062205145662E-3</v>
      </c>
      <c r="P1264" s="100">
        <f>MAX(SamplingData[[#This Row],[Error Bound (up) - Max. possible relative overstatement - Losing Candidate]:[Error Bound (up) - Max. possible relative overstatement - Candidate 6]])</f>
        <v>5.1445369916707498E-3</v>
      </c>
      <c r="Q1264" s="100">
        <f>IF(SamplingData[[#This Row],[Max Error Bound (up)]] = 0,0,SamplingData[[#This Row],[Max Error Bound (up)]]/SamplingData[[#Totals],[Max Error Bound (up)]])</f>
        <v>8.1420765538944991E-4</v>
      </c>
      <c r="R1264" s="101">
        <f>SUM($Q$5:Q1264)</f>
        <v>0.3656434059198716</v>
      </c>
      <c r="S1264" s="100" t="str">
        <f t="array" ref="S1264">IF(SamplingData[[#This Row],[up/U Selection Probability]] = 0, "Zero", TEXT(SamplingData[[#This Row],[Lower Range]], REPT("0",LEN('General Info'!$B$40))) &amp; " - " &amp; TEXT(SamplingData[[#This Row],[Upper Range]], REPT("0",LEN('General Info'!$B$40))))</f>
        <v>36483 - 36563</v>
      </c>
      <c r="T1264" s="100">
        <f>SamplingData[[#This Row],[Upper Range]]-SamplingData[[#This Row],[Span]]</f>
        <v>36482.920640655866</v>
      </c>
      <c r="U1264" s="100">
        <f>IF(ISNUMBER('General Info'!$B$40), ((SamplingData[[#This Row],[up/U Selection Probability]]) * 'General Info'!$B$40) - 1, 0)</f>
        <v>80.419951331289596</v>
      </c>
      <c r="V1264" s="100">
        <f>IF(ISNUMBER('General Info'!$B$40), (SamplingData[[#This Row],[Running (cumulative) sum]] * ('General Info'!$B$40 -'General Info'!$B$41 + 1)) + 'General Info'!$B$41 - 1, 0)</f>
        <v>36563.340591987158</v>
      </c>
      <c r="W1264" s="100" t="str">
        <f>IF(ISERROR(MATCH(SamplingData[[#This Row],[Batch by Type (p)]],SelectedPrecincts[Batch Name], 0)), "", INDEX(SelectedPrecincts[Draw], MATCH(SamplingData[[#This Row],[Batch by Type (p)]],SelectedPrecincts[Batch Name], 0)))</f>
        <v/>
      </c>
      <c r="X1264" s="102">
        <f>IF(COUNTIF(SelectedPrecincts[Batch Name],SamplingData[[#This Row],[Batch by Type (p)]]) &lt;&gt; 0, COUNTIF(SelectedPrecincts[Batch Name],SamplingData[[#This Row],[Batch by Type (p)]]), 0)</f>
        <v>0</v>
      </c>
    </row>
    <row r="1265" spans="1:24" ht="15" customHeight="1">
      <c r="A1265" s="18" t="s">
        <v>1441</v>
      </c>
      <c r="B1265" s="18">
        <v>35</v>
      </c>
      <c r="C1265" s="18">
        <v>87</v>
      </c>
      <c r="D1265" s="16">
        <v>17</v>
      </c>
      <c r="E1265" s="16">
        <v>17</v>
      </c>
      <c r="F1265" s="37">
        <v>3</v>
      </c>
      <c r="G1265" s="37">
        <v>0</v>
      </c>
      <c r="H1265" s="17">
        <v>0</v>
      </c>
      <c r="I1265" s="17">
        <v>1</v>
      </c>
      <c r="J1265" s="99">
        <f>SUM(SamplingData[[#This Row],[Losing Candidate]:[Under Votes]])</f>
        <v>160</v>
      </c>
      <c r="K1265" s="100">
        <f>IF(AND(SamplingData[[#This Row],[Total]]&lt;&gt; 0, NOT(ISBLANK(SamplingData[[#This Row],[Losing Candidate]]))),(SamplingData[[#This Row],[Total]]+SamplingData[[#This Row],[Winning Candidate]]-SamplingData[[#This Row],[Losing Candidate]])/(SamplingData[[#Totals],[Winning Candidate]]-SamplingData[[#Totals],[Losing Candidate]]), 0)</f>
        <v>1.2983831455169036E-2</v>
      </c>
      <c r="L1265" s="100">
        <f>IF(AND(SamplingData[[#This Row],[Total]]&lt;&gt; 0, NOT(ISBLANK(SamplingData[[#This Row],[Candidate 3]]))),(SamplingData[[#This Row],[Total]]+SamplingData[[#This Row],[Winning Candidate]]-SamplingData[[#This Row],[Candidate 3]])/(SamplingData[[#Totals],[Winning Candidate]]-SamplingData[[#Totals],[Candidate 3]]), 0)</f>
        <v>7.4200729102816398E-3</v>
      </c>
      <c r="M1265" s="100">
        <f>IF(AND(SamplingData[[#This Row],[Total]]&lt;&gt; 0, NOT(ISBLANK(SamplingData[[#This Row],[Candidate 4]]))),(SamplingData[[#This Row],[Total]]+SamplingData[[#This Row],[Winning Candidate]]-SamplingData[[#This Row],[Candidate 4]])/(SamplingData[[#Totals],[Winning Candidate]]-SamplingData[[#Totals],[Candidate 4]]), 0)</f>
        <v>6.7233768891227456E-3</v>
      </c>
      <c r="N1265" s="100">
        <f>IF(AND(SamplingData[[#This Row],[Total]]&lt;&gt; 0, NOT(ISBLANK(SamplingData[[#This Row],[Candidate 5]]))),(SamplingData[[#This Row],[Total]]+SamplingData[[#This Row],[Winning Candidate]]-SamplingData[[#This Row],[Candidate 5]])/(SamplingData[[#Totals],[Winning Candidate]]-SamplingData[[#Totals],[Candidate 5]]), 0)</f>
        <v>5.9352955485283384E-3</v>
      </c>
      <c r="O1265" s="100">
        <f>IF(AND(SamplingData[[#This Row],[Total]]&lt;&gt; 0, NOT(ISBLANK(SamplingData[[#This Row],[Candidate 6]]))),(SamplingData[[#This Row],[Total]]+SamplingData[[#This Row],[Winning Candidate]]-SamplingData[[#This Row],[Candidate 6]])/(SamplingData[[#Totals],[Winning Candidate]]-SamplingData[[#Totals],[Candidate 6]]), 0)</f>
        <v>6.0065171927435436E-3</v>
      </c>
      <c r="P1265" s="100">
        <f>MAX(SamplingData[[#This Row],[Error Bound (up) - Max. possible relative overstatement - Losing Candidate]:[Error Bound (up) - Max. possible relative overstatement - Candidate 6]])</f>
        <v>1.2983831455169036E-2</v>
      </c>
      <c r="Q1265" s="100">
        <f>IF(SamplingData[[#This Row],[Max Error Bound (up)]] = 0,0,SamplingData[[#This Row],[Max Error Bound (up)]]/SamplingData[[#Totals],[Max Error Bound (up)]])</f>
        <v>2.0549050350305163E-3</v>
      </c>
      <c r="R1265" s="101">
        <f>SUM($Q$5:Q1265)</f>
        <v>0.36769831095490213</v>
      </c>
      <c r="S1265" s="100" t="str">
        <f t="array" ref="S1265">IF(SamplingData[[#This Row],[up/U Selection Probability]] = 0, "Zero", TEXT(SamplingData[[#This Row],[Lower Range]], REPT("0",LEN('General Info'!$B$40))) &amp; " - " &amp; TEXT(SamplingData[[#This Row],[Upper Range]], REPT("0",LEN('General Info'!$B$40))))</f>
        <v>36564 - 36769</v>
      </c>
      <c r="T1265" s="100">
        <f>SamplingData[[#This Row],[Upper Range]]-SamplingData[[#This Row],[Span]]</f>
        <v>36564.342646892197</v>
      </c>
      <c r="U1265" s="100">
        <f>IF(ISNUMBER('General Info'!$B$40), ((SamplingData[[#This Row],[up/U Selection Probability]]) * 'General Info'!$B$40) - 1, 0)</f>
        <v>204.48844859801662</v>
      </c>
      <c r="V1265" s="100">
        <f>IF(ISNUMBER('General Info'!$B$40), (SamplingData[[#This Row],[Running (cumulative) sum]] * ('General Info'!$B$40 -'General Info'!$B$41 + 1)) + 'General Info'!$B$41 - 1, 0)</f>
        <v>36768.831095490212</v>
      </c>
      <c r="W1265" s="100">
        <f>IF(ISERROR(MATCH(SamplingData[[#This Row],[Batch by Type (p)]],SelectedPrecincts[Batch Name], 0)), "", INDEX(SelectedPrecincts[Draw], MATCH(SamplingData[[#This Row],[Batch by Type (p)]],SelectedPrecincts[Batch Name], 0)))</f>
        <v>13</v>
      </c>
      <c r="X1265" s="102">
        <f>IF(COUNTIF(SelectedPrecincts[Batch Name],SamplingData[[#This Row],[Batch by Type (p)]]) &lt;&gt; 0, COUNTIF(SelectedPrecincts[Batch Name],SamplingData[[#This Row],[Batch by Type (p)]]), 0)</f>
        <v>1</v>
      </c>
    </row>
    <row r="1266" spans="1:24" ht="15" customHeight="1">
      <c r="A1266" s="18" t="s">
        <v>1442</v>
      </c>
      <c r="B1266" s="18">
        <v>29</v>
      </c>
      <c r="C1266" s="18">
        <v>40</v>
      </c>
      <c r="D1266" s="18">
        <v>16</v>
      </c>
      <c r="E1266" s="18">
        <v>5</v>
      </c>
      <c r="F1266" s="18">
        <v>0</v>
      </c>
      <c r="G1266" s="18">
        <v>0</v>
      </c>
      <c r="H1266" s="18">
        <v>0</v>
      </c>
      <c r="I1266" s="18">
        <v>0</v>
      </c>
      <c r="J1266" s="99">
        <f>SUM(SamplingData[[#This Row],[Losing Candidate]:[Under Votes]])</f>
        <v>90</v>
      </c>
      <c r="K1266" s="100">
        <f>IF(AND(SamplingData[[#This Row],[Total]]&lt;&gt; 0, NOT(ISBLANK(SamplingData[[#This Row],[Losing Candidate]]))),(SamplingData[[#This Row],[Total]]+SamplingData[[#This Row],[Winning Candidate]]-SamplingData[[#This Row],[Losing Candidate]])/(SamplingData[[#Totals],[Winning Candidate]]-SamplingData[[#Totals],[Losing Candidate]]), 0)</f>
        <v>6.1856932876041158E-3</v>
      </c>
      <c r="L1266" s="100">
        <f>IF(AND(SamplingData[[#This Row],[Total]]&lt;&gt; 0, NOT(ISBLANK(SamplingData[[#This Row],[Candidate 3]]))),(SamplingData[[#This Row],[Total]]+SamplingData[[#This Row],[Winning Candidate]]-SamplingData[[#This Row],[Candidate 3]])/(SamplingData[[#Totals],[Winning Candidate]]-SamplingData[[#Totals],[Candidate 3]]), 0)</f>
        <v>3.6777752685743783E-3</v>
      </c>
      <c r="M1266" s="100">
        <f>IF(AND(SamplingData[[#This Row],[Total]]&lt;&gt; 0, NOT(ISBLANK(SamplingData[[#This Row],[Candidate 4]]))),(SamplingData[[#This Row],[Total]]+SamplingData[[#This Row],[Winning Candidate]]-SamplingData[[#This Row],[Candidate 4]])/(SamplingData[[#Totals],[Winning Candidate]]-SamplingData[[#Totals],[Candidate 4]]), 0)</f>
        <v>3.6540091788710575E-3</v>
      </c>
      <c r="N1266" s="100">
        <f>IF(AND(SamplingData[[#This Row],[Total]]&lt;&gt; 0, NOT(ISBLANK(SamplingData[[#This Row],[Candidate 5]]))),(SamplingData[[#This Row],[Total]]+SamplingData[[#This Row],[Winning Candidate]]-SamplingData[[#This Row],[Candidate 5]])/(SamplingData[[#Totals],[Winning Candidate]]-SamplingData[[#Totals],[Candidate 5]]), 0)</f>
        <v>3.1622476283142786E-3</v>
      </c>
      <c r="O1266" s="100">
        <f>IF(AND(SamplingData[[#This Row],[Total]]&lt;&gt; 0, NOT(ISBLANK(SamplingData[[#This Row],[Candidate 6]]))),(SamplingData[[#This Row],[Total]]+SamplingData[[#This Row],[Winning Candidate]]-SamplingData[[#This Row],[Candidate 6]])/(SamplingData[[#Totals],[Winning Candidate]]-SamplingData[[#Totals],[Candidate 6]]), 0)</f>
        <v>3.1613248382860756E-3</v>
      </c>
      <c r="P1266" s="100">
        <f>MAX(SamplingData[[#This Row],[Error Bound (up) - Max. possible relative overstatement - Losing Candidate]:[Error Bound (up) - Max. possible relative overstatement - Candidate 6]])</f>
        <v>6.1856932876041158E-3</v>
      </c>
      <c r="Q1266" s="100">
        <f>IF(SamplingData[[#This Row],[Max Error Bound (up)]] = 0,0,SamplingData[[#This Row],[Max Error Bound (up)]]/SamplingData[[#Totals],[Max Error Bound (up)]])</f>
        <v>9.7898777612302908E-4</v>
      </c>
      <c r="R1266" s="101">
        <f>SUM($Q$5:Q1266)</f>
        <v>0.36867729873102517</v>
      </c>
      <c r="S1266" s="100" t="str">
        <f t="array" ref="S1266">IF(SamplingData[[#This Row],[up/U Selection Probability]] = 0, "Zero", TEXT(SamplingData[[#This Row],[Lower Range]], REPT("0",LEN('General Info'!$B$40))) &amp; " - " &amp; TEXT(SamplingData[[#This Row],[Upper Range]], REPT("0",LEN('General Info'!$B$40))))</f>
        <v>36770 - 36867</v>
      </c>
      <c r="T1266" s="100">
        <f>SamplingData[[#This Row],[Upper Range]]-SamplingData[[#This Row],[Span]]</f>
        <v>36769.832074477985</v>
      </c>
      <c r="U1266" s="100">
        <f>IF(ISNUMBER('General Info'!$B$40), ((SamplingData[[#This Row],[up/U Selection Probability]]) * 'General Info'!$B$40) - 1, 0)</f>
        <v>96.897798624526786</v>
      </c>
      <c r="V1266" s="100">
        <f>IF(ISNUMBER('General Info'!$B$40), (SamplingData[[#This Row],[Running (cumulative) sum]] * ('General Info'!$B$40 -'General Info'!$B$41 + 1)) + 'General Info'!$B$41 - 1, 0)</f>
        <v>36866.729873102515</v>
      </c>
      <c r="W1266" s="100" t="str">
        <f>IF(ISERROR(MATCH(SamplingData[[#This Row],[Batch by Type (p)]],SelectedPrecincts[Batch Name], 0)), "", INDEX(SelectedPrecincts[Draw], MATCH(SamplingData[[#This Row],[Batch by Type (p)]],SelectedPrecincts[Batch Name], 0)))</f>
        <v/>
      </c>
      <c r="X1266" s="102">
        <f>IF(COUNTIF(SelectedPrecincts[Batch Name],SamplingData[[#This Row],[Batch by Type (p)]]) &lt;&gt; 0, COUNTIF(SelectedPrecincts[Batch Name],SamplingData[[#This Row],[Batch by Type (p)]]), 0)</f>
        <v>0</v>
      </c>
    </row>
    <row r="1267" spans="1:24" ht="15" customHeight="1">
      <c r="A1267" s="18" t="s">
        <v>1443</v>
      </c>
      <c r="B1267" s="18">
        <v>11</v>
      </c>
      <c r="C1267" s="18">
        <v>39</v>
      </c>
      <c r="D1267" s="16">
        <v>7</v>
      </c>
      <c r="E1267" s="16">
        <v>6</v>
      </c>
      <c r="F1267" s="37">
        <v>0</v>
      </c>
      <c r="G1267" s="37">
        <v>0</v>
      </c>
      <c r="H1267" s="17">
        <v>0</v>
      </c>
      <c r="I1267" s="17">
        <v>0</v>
      </c>
      <c r="J1267" s="99">
        <f>SUM(SamplingData[[#This Row],[Losing Candidate]:[Under Votes]])</f>
        <v>63</v>
      </c>
      <c r="K1267" s="100">
        <f>IF(AND(SamplingData[[#This Row],[Total]]&lt;&gt; 0, NOT(ISBLANK(SamplingData[[#This Row],[Losing Candidate]]))),(SamplingData[[#This Row],[Total]]+SamplingData[[#This Row],[Winning Candidate]]-SamplingData[[#This Row],[Losing Candidate]])/(SamplingData[[#Totals],[Winning Candidate]]-SamplingData[[#Totals],[Losing Candidate]]), 0)</f>
        <v>5.5732484076433117E-3</v>
      </c>
      <c r="L1267" s="100">
        <f>IF(AND(SamplingData[[#This Row],[Total]]&lt;&gt; 0, NOT(ISBLANK(SamplingData[[#This Row],[Candidate 3]]))),(SamplingData[[#This Row],[Total]]+SamplingData[[#This Row],[Winning Candidate]]-SamplingData[[#This Row],[Candidate 3]])/(SamplingData[[#Totals],[Winning Candidate]]-SamplingData[[#Totals],[Candidate 3]]), 0)</f>
        <v>3.0648127238119818E-3</v>
      </c>
      <c r="M1267" s="100">
        <f>IF(AND(SamplingData[[#This Row],[Total]]&lt;&gt; 0, NOT(ISBLANK(SamplingData[[#This Row],[Candidate 4]]))),(SamplingData[[#This Row],[Total]]+SamplingData[[#This Row],[Winning Candidate]]-SamplingData[[#This Row],[Candidate 4]])/(SamplingData[[#Totals],[Winning Candidate]]-SamplingData[[#Totals],[Candidate 4]]), 0)</f>
        <v>2.8062790493729719E-3</v>
      </c>
      <c r="N1267" s="100">
        <f>IF(AND(SamplingData[[#This Row],[Total]]&lt;&gt; 0, NOT(ISBLANK(SamplingData[[#This Row],[Candidate 5]]))),(SamplingData[[#This Row],[Total]]+SamplingData[[#This Row],[Winning Candidate]]-SamplingData[[#This Row],[Candidate 5]])/(SamplingData[[#Totals],[Winning Candidate]]-SamplingData[[#Totals],[Candidate 5]]), 0)</f>
        <v>2.4811481391388956E-3</v>
      </c>
      <c r="O1267" s="100">
        <f>IF(AND(SamplingData[[#This Row],[Total]]&lt;&gt; 0, NOT(ISBLANK(SamplingData[[#This Row],[Candidate 6]]))),(SamplingData[[#This Row],[Total]]+SamplingData[[#This Row],[Winning Candidate]]-SamplingData[[#This Row],[Candidate 6]])/(SamplingData[[#Totals],[Winning Candidate]]-SamplingData[[#Totals],[Candidate 6]]), 0)</f>
        <v>2.4804241038859976E-3</v>
      </c>
      <c r="P1267" s="100">
        <f>MAX(SamplingData[[#This Row],[Error Bound (up) - Max. possible relative overstatement - Losing Candidate]:[Error Bound (up) - Max. possible relative overstatement - Candidate 6]])</f>
        <v>5.5732484076433117E-3</v>
      </c>
      <c r="Q1267" s="100">
        <f>IF(SamplingData[[#This Row],[Max Error Bound (up)]] = 0,0,SamplingData[[#This Row],[Max Error Bound (up)]]/SamplingData[[#Totals],[Max Error Bound (up)]])</f>
        <v>8.8205829333857057E-4</v>
      </c>
      <c r="R1267" s="101">
        <f>SUM($Q$5:Q1267)</f>
        <v>0.36955935702436377</v>
      </c>
      <c r="S1267" s="100" t="str">
        <f t="array" ref="S1267">IF(SamplingData[[#This Row],[up/U Selection Probability]] = 0, "Zero", TEXT(SamplingData[[#This Row],[Lower Range]], REPT("0",LEN('General Info'!$B$40))) &amp; " - " &amp; TEXT(SamplingData[[#This Row],[Upper Range]], REPT("0",LEN('General Info'!$B$40))))</f>
        <v>36868 - 36955</v>
      </c>
      <c r="T1267" s="100">
        <f>SamplingData[[#This Row],[Upper Range]]-SamplingData[[#This Row],[Span]]</f>
        <v>36867.730755160817</v>
      </c>
      <c r="U1267" s="100">
        <f>IF(ISNUMBER('General Info'!$B$40), ((SamplingData[[#This Row],[up/U Selection Probability]]) * 'General Info'!$B$40) - 1, 0)</f>
        <v>87.204947275563725</v>
      </c>
      <c r="V1267" s="100">
        <f>IF(ISNUMBER('General Info'!$B$40), (SamplingData[[#This Row],[Running (cumulative) sum]] * ('General Info'!$B$40 -'General Info'!$B$41 + 1)) + 'General Info'!$B$41 - 1, 0)</f>
        <v>36954.935702436378</v>
      </c>
      <c r="W1267" s="100" t="str">
        <f>IF(ISERROR(MATCH(SamplingData[[#This Row],[Batch by Type (p)]],SelectedPrecincts[Batch Name], 0)), "", INDEX(SelectedPrecincts[Draw], MATCH(SamplingData[[#This Row],[Batch by Type (p)]],SelectedPrecincts[Batch Name], 0)))</f>
        <v/>
      </c>
      <c r="X1267" s="102">
        <f>IF(COUNTIF(SelectedPrecincts[Batch Name],SamplingData[[#This Row],[Batch by Type (p)]]) &lt;&gt; 0, COUNTIF(SelectedPrecincts[Batch Name],SamplingData[[#This Row],[Batch by Type (p)]]), 0)</f>
        <v>0</v>
      </c>
    </row>
    <row r="1268" spans="1:24" ht="15" customHeight="1">
      <c r="A1268" s="18" t="s">
        <v>1444</v>
      </c>
      <c r="B1268" s="18">
        <v>9</v>
      </c>
      <c r="C1268" s="18">
        <v>13</v>
      </c>
      <c r="D1268" s="18">
        <v>3</v>
      </c>
      <c r="E1268" s="18">
        <v>3</v>
      </c>
      <c r="F1268" s="18">
        <v>0</v>
      </c>
      <c r="G1268" s="18">
        <v>0</v>
      </c>
      <c r="H1268" s="18">
        <v>1</v>
      </c>
      <c r="I1268" s="18">
        <v>3</v>
      </c>
      <c r="J1268" s="99">
        <f>SUM(SamplingData[[#This Row],[Losing Candidate]:[Under Votes]])</f>
        <v>32</v>
      </c>
      <c r="K1268" s="100">
        <f>IF(AND(SamplingData[[#This Row],[Total]]&lt;&gt; 0, NOT(ISBLANK(SamplingData[[#This Row],[Losing Candidate]]))),(SamplingData[[#This Row],[Total]]+SamplingData[[#This Row],[Winning Candidate]]-SamplingData[[#This Row],[Losing Candidate]])/(SamplingData[[#Totals],[Winning Candidate]]-SamplingData[[#Totals],[Losing Candidate]]), 0)</f>
        <v>2.2048015678588929E-3</v>
      </c>
      <c r="L1268" s="100">
        <f>IF(AND(SamplingData[[#This Row],[Total]]&lt;&gt; 0, NOT(ISBLANK(SamplingData[[#This Row],[Candidate 3]]))),(SamplingData[[#This Row],[Total]]+SamplingData[[#This Row],[Winning Candidate]]-SamplingData[[#This Row],[Candidate 3]])/(SamplingData[[#Totals],[Winning Candidate]]-SamplingData[[#Totals],[Candidate 3]]), 0)</f>
        <v>1.3549698357905604E-3</v>
      </c>
      <c r="M1268" s="100">
        <f>IF(AND(SamplingData[[#This Row],[Total]]&lt;&gt; 0, NOT(ISBLANK(SamplingData[[#This Row],[Candidate 4]]))),(SamplingData[[#This Row],[Total]]+SamplingData[[#This Row],[Winning Candidate]]-SamplingData[[#This Row],[Candidate 4]])/(SamplingData[[#Totals],[Winning Candidate]]-SamplingData[[#Totals],[Candidate 4]]), 0)</f>
        <v>1.2277470841006752E-3</v>
      </c>
      <c r="N1268" s="100">
        <f>IF(AND(SamplingData[[#This Row],[Total]]&lt;&gt; 0, NOT(ISBLANK(SamplingData[[#This Row],[Candidate 5]]))),(SamplingData[[#This Row],[Total]]+SamplingData[[#This Row],[Winning Candidate]]-SamplingData[[#This Row],[Candidate 5]])/(SamplingData[[#Totals],[Winning Candidate]]-SamplingData[[#Totals],[Candidate 5]]), 0)</f>
        <v>1.0946241790318657E-3</v>
      </c>
      <c r="O1268" s="100">
        <f>IF(AND(SamplingData[[#This Row],[Total]]&lt;&gt; 0, NOT(ISBLANK(SamplingData[[#This Row],[Candidate 6]]))),(SamplingData[[#This Row],[Total]]+SamplingData[[#This Row],[Winning Candidate]]-SamplingData[[#This Row],[Candidate 6]])/(SamplingData[[#Totals],[Winning Candidate]]-SamplingData[[#Totals],[Candidate 6]]), 0)</f>
        <v>1.0943047517144107E-3</v>
      </c>
      <c r="P1268" s="100">
        <f>MAX(SamplingData[[#This Row],[Error Bound (up) - Max. possible relative overstatement - Losing Candidate]:[Error Bound (up) - Max. possible relative overstatement - Candidate 6]])</f>
        <v>2.2048015678588929E-3</v>
      </c>
      <c r="Q1268" s="100">
        <f>IF(SamplingData[[#This Row],[Max Error Bound (up)]] = 0,0,SamplingData[[#This Row],[Max Error Bound (up)]]/SamplingData[[#Totals],[Max Error Bound (up)]])</f>
        <v>3.4894613802404997E-4</v>
      </c>
      <c r="R1268" s="101">
        <f>SUM($Q$5:Q1268)</f>
        <v>0.36990830316238782</v>
      </c>
      <c r="S1268" s="100" t="str">
        <f t="array" ref="S1268">IF(SamplingData[[#This Row],[up/U Selection Probability]] = 0, "Zero", TEXT(SamplingData[[#This Row],[Lower Range]], REPT("0",LEN('General Info'!$B$40))) &amp; " - " &amp; TEXT(SamplingData[[#This Row],[Upper Range]], REPT("0",LEN('General Info'!$B$40))))</f>
        <v>36956 - 36990</v>
      </c>
      <c r="T1268" s="100">
        <f>SamplingData[[#This Row],[Upper Range]]-SamplingData[[#This Row],[Span]]</f>
        <v>36955.936051382516</v>
      </c>
      <c r="U1268" s="100">
        <f>IF(ISNUMBER('General Info'!$B$40), ((SamplingData[[#This Row],[up/U Selection Probability]]) * 'General Info'!$B$40) - 1, 0)</f>
        <v>33.894264856266972</v>
      </c>
      <c r="V1268" s="100">
        <f>IF(ISNUMBER('General Info'!$B$40), (SamplingData[[#This Row],[Running (cumulative) sum]] * ('General Info'!$B$40 -'General Info'!$B$41 + 1)) + 'General Info'!$B$41 - 1, 0)</f>
        <v>36989.830316238782</v>
      </c>
      <c r="W1268" s="100" t="str">
        <f>IF(ISERROR(MATCH(SamplingData[[#This Row],[Batch by Type (p)]],SelectedPrecincts[Batch Name], 0)), "", INDEX(SelectedPrecincts[Draw], MATCH(SamplingData[[#This Row],[Batch by Type (p)]],SelectedPrecincts[Batch Name], 0)))</f>
        <v/>
      </c>
      <c r="X1268" s="102">
        <f>IF(COUNTIF(SelectedPrecincts[Batch Name],SamplingData[[#This Row],[Batch by Type (p)]]) &lt;&gt; 0, COUNTIF(SelectedPrecincts[Batch Name],SamplingData[[#This Row],[Batch by Type (p)]]), 0)</f>
        <v>0</v>
      </c>
    </row>
    <row r="1269" spans="1:24" ht="15" customHeight="1">
      <c r="A1269" s="18" t="s">
        <v>1445</v>
      </c>
      <c r="B1269" s="18">
        <v>20</v>
      </c>
      <c r="C1269" s="18">
        <v>47</v>
      </c>
      <c r="D1269" s="16">
        <v>10</v>
      </c>
      <c r="E1269" s="16">
        <v>12</v>
      </c>
      <c r="F1269" s="37">
        <v>0</v>
      </c>
      <c r="G1269" s="37">
        <v>0</v>
      </c>
      <c r="H1269" s="17">
        <v>0</v>
      </c>
      <c r="I1269" s="17">
        <v>0</v>
      </c>
      <c r="J1269" s="99">
        <f>SUM(SamplingData[[#This Row],[Losing Candidate]:[Under Votes]])</f>
        <v>89</v>
      </c>
      <c r="K1269" s="100">
        <f>IF(AND(SamplingData[[#This Row],[Total]]&lt;&gt; 0, NOT(ISBLANK(SamplingData[[#This Row],[Losing Candidate]]))),(SamplingData[[#This Row],[Total]]+SamplingData[[#This Row],[Winning Candidate]]-SamplingData[[#This Row],[Losing Candidate]])/(SamplingData[[#Totals],[Winning Candidate]]-SamplingData[[#Totals],[Losing Candidate]]), 0)</f>
        <v>7.104360607545321E-3</v>
      </c>
      <c r="L1269" s="100">
        <f>IF(AND(SamplingData[[#This Row],[Total]]&lt;&gt; 0, NOT(ISBLANK(SamplingData[[#This Row],[Candidate 3]]))),(SamplingData[[#This Row],[Total]]+SamplingData[[#This Row],[Winning Candidate]]-SamplingData[[#This Row],[Candidate 3]])/(SamplingData[[#Totals],[Winning Candidate]]-SamplingData[[#Totals],[Candidate 3]]), 0)</f>
        <v>4.0649095073716814E-3</v>
      </c>
      <c r="M1269" s="100">
        <f>IF(AND(SamplingData[[#This Row],[Total]]&lt;&gt; 0, NOT(ISBLANK(SamplingData[[#This Row],[Candidate 4]]))),(SamplingData[[#This Row],[Total]]+SamplingData[[#This Row],[Winning Candidate]]-SamplingData[[#This Row],[Candidate 4]])/(SamplingData[[#Totals],[Winning Candidate]]-SamplingData[[#Totals],[Candidate 4]]), 0)</f>
        <v>3.624777105440089E-3</v>
      </c>
      <c r="N1269" s="100">
        <f>IF(AND(SamplingData[[#This Row],[Total]]&lt;&gt; 0, NOT(ISBLANK(SamplingData[[#This Row],[Candidate 5]]))),(SamplingData[[#This Row],[Total]]+SamplingData[[#This Row],[Winning Candidate]]-SamplingData[[#This Row],[Candidate 5]])/(SamplingData[[#Totals],[Winning Candidate]]-SamplingData[[#Totals],[Candidate 5]]), 0)</f>
        <v>3.3081975188518609E-3</v>
      </c>
      <c r="O1269" s="100">
        <f>IF(AND(SamplingData[[#This Row],[Total]]&lt;&gt; 0, NOT(ISBLANK(SamplingData[[#This Row],[Candidate 6]]))),(SamplingData[[#This Row],[Total]]+SamplingData[[#This Row],[Winning Candidate]]-SamplingData[[#This Row],[Candidate 6]])/(SamplingData[[#Totals],[Winning Candidate]]-SamplingData[[#Totals],[Candidate 6]]), 0)</f>
        <v>3.3072321385146635E-3</v>
      </c>
      <c r="P1269" s="100">
        <f>MAX(SamplingData[[#This Row],[Error Bound (up) - Max. possible relative overstatement - Losing Candidate]:[Error Bound (up) - Max. possible relative overstatement - Candidate 6]])</f>
        <v>7.104360607545321E-3</v>
      </c>
      <c r="Q1269" s="100">
        <f>IF(SamplingData[[#This Row],[Max Error Bound (up)]] = 0,0,SamplingData[[#This Row],[Max Error Bound (up)]]/SamplingData[[#Totals],[Max Error Bound (up)]])</f>
        <v>1.1243820002997166E-3</v>
      </c>
      <c r="R1269" s="101">
        <f>SUM($Q$5:Q1269)</f>
        <v>0.37103268516268756</v>
      </c>
      <c r="S1269" s="100" t="str">
        <f t="array" ref="S1269">IF(SamplingData[[#This Row],[up/U Selection Probability]] = 0, "Zero", TEXT(SamplingData[[#This Row],[Lower Range]], REPT("0",LEN('General Info'!$B$40))) &amp; " - " &amp; TEXT(SamplingData[[#This Row],[Upper Range]], REPT("0",LEN('General Info'!$B$40))))</f>
        <v>36991 - 37102</v>
      </c>
      <c r="T1269" s="100">
        <f>SamplingData[[#This Row],[Upper Range]]-SamplingData[[#This Row],[Span]]</f>
        <v>36990.831440620786</v>
      </c>
      <c r="U1269" s="100">
        <f>IF(ISNUMBER('General Info'!$B$40), ((SamplingData[[#This Row],[up/U Selection Probability]]) * 'General Info'!$B$40) - 1, 0)</f>
        <v>111.43707564797135</v>
      </c>
      <c r="V1269" s="100">
        <f>IF(ISNUMBER('General Info'!$B$40), (SamplingData[[#This Row],[Running (cumulative) sum]] * ('General Info'!$B$40 -'General Info'!$B$41 + 1)) + 'General Info'!$B$41 - 1, 0)</f>
        <v>37102.268516268756</v>
      </c>
      <c r="W1269" s="100" t="str">
        <f>IF(ISERROR(MATCH(SamplingData[[#This Row],[Batch by Type (p)]],SelectedPrecincts[Batch Name], 0)), "", INDEX(SelectedPrecincts[Draw], MATCH(SamplingData[[#This Row],[Batch by Type (p)]],SelectedPrecincts[Batch Name], 0)))</f>
        <v/>
      </c>
      <c r="X1269" s="102">
        <f>IF(COUNTIF(SelectedPrecincts[Batch Name],SamplingData[[#This Row],[Batch by Type (p)]]) &lt;&gt; 0, COUNTIF(SelectedPrecincts[Batch Name],SamplingData[[#This Row],[Batch by Type (p)]]), 0)</f>
        <v>0</v>
      </c>
    </row>
    <row r="1270" spans="1:24" ht="15" customHeight="1">
      <c r="A1270" s="18" t="s">
        <v>1446</v>
      </c>
      <c r="B1270" s="18">
        <v>5</v>
      </c>
      <c r="C1270" s="18">
        <v>8</v>
      </c>
      <c r="D1270" s="18">
        <v>5</v>
      </c>
      <c r="E1270" s="18">
        <v>2</v>
      </c>
      <c r="F1270" s="18">
        <v>0</v>
      </c>
      <c r="G1270" s="18">
        <v>0</v>
      </c>
      <c r="H1270" s="18">
        <v>0</v>
      </c>
      <c r="I1270" s="18">
        <v>1</v>
      </c>
      <c r="J1270" s="99">
        <f>SUM(SamplingData[[#This Row],[Losing Candidate]:[Under Votes]])</f>
        <v>21</v>
      </c>
      <c r="K1270"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1270" s="100">
        <f>IF(AND(SamplingData[[#This Row],[Total]]&lt;&gt; 0, NOT(ISBLANK(SamplingData[[#This Row],[Candidate 3]]))),(SamplingData[[#This Row],[Total]]+SamplingData[[#This Row],[Winning Candidate]]-SamplingData[[#This Row],[Candidate 3]])/(SamplingData[[#Totals],[Winning Candidate]]-SamplingData[[#Totals],[Candidate 3]]), 0)</f>
        <v>7.7426847759460595E-4</v>
      </c>
      <c r="M1270" s="100">
        <f>IF(AND(SamplingData[[#This Row],[Total]]&lt;&gt; 0, NOT(ISBLANK(SamplingData[[#This Row],[Candidate 4]]))),(SamplingData[[#This Row],[Total]]+SamplingData[[#This Row],[Winning Candidate]]-SamplingData[[#This Row],[Candidate 4]])/(SamplingData[[#Totals],[Winning Candidate]]-SamplingData[[#Totals],[Candidate 4]]), 0)</f>
        <v>7.8926598263614838E-4</v>
      </c>
      <c r="N1270" s="100">
        <f>IF(AND(SamplingData[[#This Row],[Total]]&lt;&gt; 0, NOT(ISBLANK(SamplingData[[#This Row],[Candidate 5]]))),(SamplingData[[#This Row],[Total]]+SamplingData[[#This Row],[Winning Candidate]]-SamplingData[[#This Row],[Candidate 5]])/(SamplingData[[#Totals],[Winning Candidate]]-SamplingData[[#Totals],[Candidate 5]]), 0)</f>
        <v>7.0542447093164683E-4</v>
      </c>
      <c r="O1270" s="100">
        <f>IF(AND(SamplingData[[#This Row],[Total]]&lt;&gt; 0, NOT(ISBLANK(SamplingData[[#This Row],[Candidate 6]]))),(SamplingData[[#This Row],[Total]]+SamplingData[[#This Row],[Winning Candidate]]-SamplingData[[#This Row],[Candidate 6]])/(SamplingData[[#Totals],[Winning Candidate]]-SamplingData[[#Totals],[Candidate 6]]), 0)</f>
        <v>7.0521861777150916E-4</v>
      </c>
      <c r="P1270" s="100">
        <f>MAX(SamplingData[[#This Row],[Error Bound (up) - Max. possible relative overstatement - Losing Candidate]:[Error Bound (up) - Max. possible relative overstatement - Candidate 6]])</f>
        <v>1.4698677119059284E-3</v>
      </c>
      <c r="Q1270" s="100">
        <f>IF(SamplingData[[#This Row],[Max Error Bound (up)]] = 0,0,SamplingData[[#This Row],[Max Error Bound (up)]]/SamplingData[[#Totals],[Max Error Bound (up)]])</f>
        <v>2.3263075868269994E-4</v>
      </c>
      <c r="R1270" s="101">
        <f>SUM($Q$5:Q1270)</f>
        <v>0.37126531592137024</v>
      </c>
      <c r="S1270" s="100" t="str">
        <f t="array" ref="S1270">IF(SamplingData[[#This Row],[up/U Selection Probability]] = 0, "Zero", TEXT(SamplingData[[#This Row],[Lower Range]], REPT("0",LEN('General Info'!$B$40))) &amp; " - " &amp; TEXT(SamplingData[[#This Row],[Upper Range]], REPT("0",LEN('General Info'!$B$40))))</f>
        <v>37103 - 37126</v>
      </c>
      <c r="T1270" s="100">
        <f>SamplingData[[#This Row],[Upper Range]]-SamplingData[[#This Row],[Span]]</f>
        <v>37103.268748899514</v>
      </c>
      <c r="U1270" s="100">
        <f>IF(ISNUMBER('General Info'!$B$40), ((SamplingData[[#This Row],[up/U Selection Probability]]) * 'General Info'!$B$40) - 1, 0)</f>
        <v>22.262843237511312</v>
      </c>
      <c r="V1270" s="100">
        <f>IF(ISNUMBER('General Info'!$B$40), (SamplingData[[#This Row],[Running (cumulative) sum]] * ('General Info'!$B$40 -'General Info'!$B$41 + 1)) + 'General Info'!$B$41 - 1, 0)</f>
        <v>37125.531592137027</v>
      </c>
      <c r="W1270" s="100" t="str">
        <f>IF(ISERROR(MATCH(SamplingData[[#This Row],[Batch by Type (p)]],SelectedPrecincts[Batch Name], 0)), "", INDEX(SelectedPrecincts[Draw], MATCH(SamplingData[[#This Row],[Batch by Type (p)]],SelectedPrecincts[Batch Name], 0)))</f>
        <v/>
      </c>
      <c r="X1270" s="102">
        <f>IF(COUNTIF(SelectedPrecincts[Batch Name],SamplingData[[#This Row],[Batch by Type (p)]]) &lt;&gt; 0, COUNTIF(SelectedPrecincts[Batch Name],SamplingData[[#This Row],[Batch by Type (p)]]), 0)</f>
        <v>0</v>
      </c>
    </row>
    <row r="1271" spans="1:24" ht="15" customHeight="1">
      <c r="A1271" s="18" t="s">
        <v>1447</v>
      </c>
      <c r="B1271" s="18">
        <v>13</v>
      </c>
      <c r="C1271" s="18">
        <v>29</v>
      </c>
      <c r="D1271" s="16">
        <v>4</v>
      </c>
      <c r="E1271" s="16">
        <v>18</v>
      </c>
      <c r="F1271" s="37">
        <v>0</v>
      </c>
      <c r="G1271" s="37">
        <v>0</v>
      </c>
      <c r="H1271" s="17">
        <v>0</v>
      </c>
      <c r="I1271" s="17">
        <v>1</v>
      </c>
      <c r="J1271" s="99">
        <f>SUM(SamplingData[[#This Row],[Losing Candidate]:[Under Votes]])</f>
        <v>65</v>
      </c>
      <c r="K1271"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1271" s="100">
        <f>IF(AND(SamplingData[[#This Row],[Total]]&lt;&gt; 0, NOT(ISBLANK(SamplingData[[#This Row],[Candidate 3]]))),(SamplingData[[#This Row],[Total]]+SamplingData[[#This Row],[Winning Candidate]]-SamplingData[[#This Row],[Candidate 3]])/(SamplingData[[#Totals],[Winning Candidate]]-SamplingData[[#Totals],[Candidate 3]]), 0)</f>
        <v>2.9035067909797723E-3</v>
      </c>
      <c r="M1271" s="100">
        <f>IF(AND(SamplingData[[#This Row],[Total]]&lt;&gt; 0, NOT(ISBLANK(SamplingData[[#This Row],[Candidate 4]]))),(SamplingData[[#This Row],[Total]]+SamplingData[[#This Row],[Winning Candidate]]-SamplingData[[#This Row],[Candidate 4]])/(SamplingData[[#Totals],[Winning Candidate]]-SamplingData[[#Totals],[Candidate 4]]), 0)</f>
        <v>2.221637580753603E-3</v>
      </c>
      <c r="N1271" s="100">
        <f>IF(AND(SamplingData[[#This Row],[Total]]&lt;&gt; 0, NOT(ISBLANK(SamplingData[[#This Row],[Candidate 5]]))),(SamplingData[[#This Row],[Total]]+SamplingData[[#This Row],[Winning Candidate]]-SamplingData[[#This Row],[Candidate 5]])/(SamplingData[[#Totals],[Winning Candidate]]-SamplingData[[#Totals],[Candidate 5]]), 0)</f>
        <v>2.2865482850887861E-3</v>
      </c>
      <c r="O1271" s="100">
        <f>IF(AND(SamplingData[[#This Row],[Total]]&lt;&gt; 0, NOT(ISBLANK(SamplingData[[#This Row],[Candidate 6]]))),(SamplingData[[#This Row],[Total]]+SamplingData[[#This Row],[Winning Candidate]]-SamplingData[[#This Row],[Candidate 6]])/(SamplingData[[#Totals],[Winning Candidate]]-SamplingData[[#Totals],[Candidate 6]]), 0)</f>
        <v>2.285881036914547E-3</v>
      </c>
      <c r="P1271" s="100">
        <f>MAX(SamplingData[[#This Row],[Error Bound (up) - Max. possible relative overstatement - Losing Candidate]:[Error Bound (up) - Max. possible relative overstatement - Candidate 6]])</f>
        <v>4.9608035276825085E-3</v>
      </c>
      <c r="Q1271" s="100">
        <f>IF(SamplingData[[#This Row],[Max Error Bound (up)]] = 0,0,SamplingData[[#This Row],[Max Error Bound (up)]]/SamplingData[[#Totals],[Max Error Bound (up)]])</f>
        <v>7.8512881055411239E-4</v>
      </c>
      <c r="R1271" s="101">
        <f>SUM($Q$5:Q1271)</f>
        <v>0.37205044473192433</v>
      </c>
      <c r="S1271" s="100" t="str">
        <f t="array" ref="S1271">IF(SamplingData[[#This Row],[up/U Selection Probability]] = 0, "Zero", TEXT(SamplingData[[#This Row],[Lower Range]], REPT("0",LEN('General Info'!$B$40))) &amp; " - " &amp; TEXT(SamplingData[[#This Row],[Upper Range]], REPT("0",LEN('General Info'!$B$40))))</f>
        <v>37127 - 37204</v>
      </c>
      <c r="T1271" s="100">
        <f>SamplingData[[#This Row],[Upper Range]]-SamplingData[[#This Row],[Span]]</f>
        <v>37126.532377265838</v>
      </c>
      <c r="U1271" s="100">
        <f>IF(ISNUMBER('General Info'!$B$40), ((SamplingData[[#This Row],[up/U Selection Probability]]) * 'General Info'!$B$40) - 1, 0)</f>
        <v>77.512095926600679</v>
      </c>
      <c r="V1271" s="100">
        <f>IF(ISNUMBER('General Info'!$B$40), (SamplingData[[#This Row],[Running (cumulative) sum]] * ('General Info'!$B$40 -'General Info'!$B$41 + 1)) + 'General Info'!$B$41 - 1, 0)</f>
        <v>37204.044473192436</v>
      </c>
      <c r="W1271" s="100" t="str">
        <f>IF(ISERROR(MATCH(SamplingData[[#This Row],[Batch by Type (p)]],SelectedPrecincts[Batch Name], 0)), "", INDEX(SelectedPrecincts[Draw], MATCH(SamplingData[[#This Row],[Batch by Type (p)]],SelectedPrecincts[Batch Name], 0)))</f>
        <v/>
      </c>
      <c r="X1271" s="102">
        <f>IF(COUNTIF(SelectedPrecincts[Batch Name],SamplingData[[#This Row],[Batch by Type (p)]]) &lt;&gt; 0, COUNTIF(SelectedPrecincts[Batch Name],SamplingData[[#This Row],[Batch by Type (p)]]), 0)</f>
        <v>0</v>
      </c>
    </row>
    <row r="1272" spans="1:24" ht="15" customHeight="1">
      <c r="A1272" s="18" t="s">
        <v>1448</v>
      </c>
      <c r="B1272" s="18">
        <v>7</v>
      </c>
      <c r="C1272" s="18">
        <v>5</v>
      </c>
      <c r="D1272" s="18">
        <v>0</v>
      </c>
      <c r="E1272" s="18">
        <v>0</v>
      </c>
      <c r="F1272" s="18">
        <v>1</v>
      </c>
      <c r="G1272" s="18">
        <v>0</v>
      </c>
      <c r="H1272" s="18">
        <v>0</v>
      </c>
      <c r="I1272" s="18">
        <v>0</v>
      </c>
      <c r="J1272" s="99">
        <f>SUM(SamplingData[[#This Row],[Losing Candidate]:[Under Votes]])</f>
        <v>13</v>
      </c>
      <c r="K1272"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272" s="100">
        <f>IF(AND(SamplingData[[#This Row],[Total]]&lt;&gt; 0, NOT(ISBLANK(SamplingData[[#This Row],[Candidate 3]]))),(SamplingData[[#This Row],[Total]]+SamplingData[[#This Row],[Winning Candidate]]-SamplingData[[#This Row],[Candidate 3]])/(SamplingData[[#Totals],[Winning Candidate]]-SamplingData[[#Totals],[Candidate 3]]), 0)</f>
        <v>5.8070135819595443E-4</v>
      </c>
      <c r="M1272" s="100">
        <f>IF(AND(SamplingData[[#This Row],[Total]]&lt;&gt; 0, NOT(ISBLANK(SamplingData[[#This Row],[Candidate 4]]))),(SamplingData[[#This Row],[Total]]+SamplingData[[#This Row],[Winning Candidate]]-SamplingData[[#This Row],[Candidate 4]])/(SamplingData[[#Totals],[Winning Candidate]]-SamplingData[[#Totals],[Candidate 4]]), 0)</f>
        <v>5.2617732175743229E-4</v>
      </c>
      <c r="N1272" s="100">
        <f>IF(AND(SamplingData[[#This Row],[Total]]&lt;&gt; 0, NOT(ISBLANK(SamplingData[[#This Row],[Candidate 5]]))),(SamplingData[[#This Row],[Total]]+SamplingData[[#This Row],[Winning Candidate]]-SamplingData[[#This Row],[Candidate 5]])/(SamplingData[[#Totals],[Winning Candidate]]-SamplingData[[#Totals],[Candidate 5]]), 0)</f>
        <v>4.1352468985648261E-4</v>
      </c>
      <c r="O1272" s="100">
        <f>IF(AND(SamplingData[[#This Row],[Total]]&lt;&gt; 0, NOT(ISBLANK(SamplingData[[#This Row],[Candidate 6]]))),(SamplingData[[#This Row],[Total]]+SamplingData[[#This Row],[Winning Candidate]]-SamplingData[[#This Row],[Candidate 6]])/(SamplingData[[#Totals],[Winning Candidate]]-SamplingData[[#Totals],[Candidate 6]]), 0)</f>
        <v>4.3772190068576433E-4</v>
      </c>
      <c r="P1272" s="100">
        <f>MAX(SamplingData[[#This Row],[Error Bound (up) - Max. possible relative overstatement - Losing Candidate]:[Error Bound (up) - Max. possible relative overstatement - Candidate 6]])</f>
        <v>6.7368936795688392E-4</v>
      </c>
      <c r="Q1272" s="100">
        <f>IF(SamplingData[[#This Row],[Max Error Bound (up)]] = 0,0,SamplingData[[#This Row],[Max Error Bound (up)]]/SamplingData[[#Totals],[Max Error Bound (up)]])</f>
        <v>1.0662243106290416E-4</v>
      </c>
      <c r="R1272" s="101">
        <f>SUM($Q$5:Q1272)</f>
        <v>0.37215706716298724</v>
      </c>
      <c r="S1272" s="100" t="str">
        <f t="array" ref="S1272">IF(SamplingData[[#This Row],[up/U Selection Probability]] = 0, "Zero", TEXT(SamplingData[[#This Row],[Lower Range]], REPT("0",LEN('General Info'!$B$40))) &amp; " - " &amp; TEXT(SamplingData[[#This Row],[Upper Range]], REPT("0",LEN('General Info'!$B$40))))</f>
        <v>37205 - 37215</v>
      </c>
      <c r="T1272" s="100">
        <f>SamplingData[[#This Row],[Upper Range]]-SamplingData[[#This Row],[Span]]</f>
        <v>37205.044579814865</v>
      </c>
      <c r="U1272" s="100">
        <f>IF(ISNUMBER('General Info'!$B$40), ((SamplingData[[#This Row],[up/U Selection Probability]]) * 'General Info'!$B$40) - 1, 0)</f>
        <v>9.6621364838593529</v>
      </c>
      <c r="V1272" s="100">
        <f>IF(ISNUMBER('General Info'!$B$40), (SamplingData[[#This Row],[Running (cumulative) sum]] * ('General Info'!$B$40 -'General Info'!$B$41 + 1)) + 'General Info'!$B$41 - 1, 0)</f>
        <v>37214.706716298722</v>
      </c>
      <c r="W1272" s="100" t="str">
        <f>IF(ISERROR(MATCH(SamplingData[[#This Row],[Batch by Type (p)]],SelectedPrecincts[Batch Name], 0)), "", INDEX(SelectedPrecincts[Draw], MATCH(SamplingData[[#This Row],[Batch by Type (p)]],SelectedPrecincts[Batch Name], 0)))</f>
        <v/>
      </c>
      <c r="X1272" s="102">
        <f>IF(COUNTIF(SelectedPrecincts[Batch Name],SamplingData[[#This Row],[Batch by Type (p)]]) &lt;&gt; 0, COUNTIF(SelectedPrecincts[Batch Name],SamplingData[[#This Row],[Batch by Type (p)]]), 0)</f>
        <v>0</v>
      </c>
    </row>
    <row r="1273" spans="1:24" ht="15" customHeight="1">
      <c r="A1273" s="18" t="s">
        <v>1449</v>
      </c>
      <c r="B1273" s="18">
        <v>20</v>
      </c>
      <c r="C1273" s="18">
        <v>23</v>
      </c>
      <c r="D1273" s="16">
        <v>2</v>
      </c>
      <c r="E1273" s="16">
        <v>14</v>
      </c>
      <c r="F1273" s="37">
        <v>0</v>
      </c>
      <c r="G1273" s="37">
        <v>0</v>
      </c>
      <c r="H1273" s="17">
        <v>0</v>
      </c>
      <c r="I1273" s="17">
        <v>2</v>
      </c>
      <c r="J1273" s="99">
        <f>SUM(SamplingData[[#This Row],[Losing Candidate]:[Under Votes]])</f>
        <v>61</v>
      </c>
      <c r="K1273" s="100">
        <f>IF(AND(SamplingData[[#This Row],[Total]]&lt;&gt; 0, NOT(ISBLANK(SamplingData[[#This Row],[Losing Candidate]]))),(SamplingData[[#This Row],[Total]]+SamplingData[[#This Row],[Winning Candidate]]-SamplingData[[#This Row],[Losing Candidate]])/(SamplingData[[#Totals],[Winning Candidate]]-SamplingData[[#Totals],[Losing Candidate]]), 0)</f>
        <v>3.9196472317491425E-3</v>
      </c>
      <c r="L1273" s="100">
        <f>IF(AND(SamplingData[[#This Row],[Total]]&lt;&gt; 0, NOT(ISBLANK(SamplingData[[#This Row],[Candidate 3]]))),(SamplingData[[#This Row],[Total]]+SamplingData[[#This Row],[Winning Candidate]]-SamplingData[[#This Row],[Candidate 3]])/(SamplingData[[#Totals],[Winning Candidate]]-SamplingData[[#Totals],[Candidate 3]]), 0)</f>
        <v>2.6454172984482368E-3</v>
      </c>
      <c r="M1273" s="100">
        <f>IF(AND(SamplingData[[#This Row],[Total]]&lt;&gt; 0, NOT(ISBLANK(SamplingData[[#This Row],[Candidate 4]]))),(SamplingData[[#This Row],[Total]]+SamplingData[[#This Row],[Winning Candidate]]-SamplingData[[#This Row],[Candidate 4]])/(SamplingData[[#Totals],[Winning Candidate]]-SamplingData[[#Totals],[Candidate 4]]), 0)</f>
        <v>2.0462451401677922E-3</v>
      </c>
      <c r="N1273" s="100">
        <f>IF(AND(SamplingData[[#This Row],[Total]]&lt;&gt; 0, NOT(ISBLANK(SamplingData[[#This Row],[Candidate 5]]))),(SamplingData[[#This Row],[Total]]+SamplingData[[#This Row],[Winning Candidate]]-SamplingData[[#This Row],[Candidate 5]])/(SamplingData[[#Totals],[Winning Candidate]]-SamplingData[[#Totals],[Candidate 5]]), 0)</f>
        <v>2.0432984675261496E-3</v>
      </c>
      <c r="O1273" s="100">
        <f>IF(AND(SamplingData[[#This Row],[Total]]&lt;&gt; 0, NOT(ISBLANK(SamplingData[[#This Row],[Candidate 6]]))),(SamplingData[[#This Row],[Total]]+SamplingData[[#This Row],[Winning Candidate]]-SamplingData[[#This Row],[Candidate 6]])/(SamplingData[[#Totals],[Winning Candidate]]-SamplingData[[#Totals],[Candidate 6]]), 0)</f>
        <v>2.0427022032002335E-3</v>
      </c>
      <c r="P1273" s="100">
        <f>MAX(SamplingData[[#This Row],[Error Bound (up) - Max. possible relative overstatement - Losing Candidate]:[Error Bound (up) - Max. possible relative overstatement - Candidate 6]])</f>
        <v>3.9196472317491425E-3</v>
      </c>
      <c r="Q1273" s="100">
        <f>IF(SamplingData[[#This Row],[Max Error Bound (up)]] = 0,0,SamplingData[[#This Row],[Max Error Bound (up)]]/SamplingData[[#Totals],[Max Error Bound (up)]])</f>
        <v>6.2034868982053322E-4</v>
      </c>
      <c r="R1273" s="101">
        <f>SUM($Q$5:Q1273)</f>
        <v>0.37277741585280777</v>
      </c>
      <c r="S1273" s="100" t="str">
        <f t="array" ref="S1273">IF(SamplingData[[#This Row],[up/U Selection Probability]] = 0, "Zero", TEXT(SamplingData[[#This Row],[Lower Range]], REPT("0",LEN('General Info'!$B$40))) &amp; " - " &amp; TEXT(SamplingData[[#This Row],[Upper Range]], REPT("0",LEN('General Info'!$B$40))))</f>
        <v>37216 - 37277</v>
      </c>
      <c r="T1273" s="100">
        <f>SamplingData[[#This Row],[Upper Range]]-SamplingData[[#This Row],[Span]]</f>
        <v>37215.707336647414</v>
      </c>
      <c r="U1273" s="100">
        <f>IF(ISNUMBER('General Info'!$B$40), ((SamplingData[[#This Row],[up/U Selection Probability]]) * 'General Info'!$B$40) - 1, 0)</f>
        <v>61.034248633363504</v>
      </c>
      <c r="V1273" s="100">
        <f>IF(ISNUMBER('General Info'!$B$40), (SamplingData[[#This Row],[Running (cumulative) sum]] * ('General Info'!$B$40 -'General Info'!$B$41 + 1)) + 'General Info'!$B$41 - 1, 0)</f>
        <v>37276.741585280775</v>
      </c>
      <c r="W1273" s="100" t="str">
        <f>IF(ISERROR(MATCH(SamplingData[[#This Row],[Batch by Type (p)]],SelectedPrecincts[Batch Name], 0)), "", INDEX(SelectedPrecincts[Draw], MATCH(SamplingData[[#This Row],[Batch by Type (p)]],SelectedPrecincts[Batch Name], 0)))</f>
        <v/>
      </c>
      <c r="X1273" s="102">
        <f>IF(COUNTIF(SelectedPrecincts[Batch Name],SamplingData[[#This Row],[Batch by Type (p)]]) &lt;&gt; 0, COUNTIF(SelectedPrecincts[Batch Name],SamplingData[[#This Row],[Batch by Type (p)]]), 0)</f>
        <v>0</v>
      </c>
    </row>
    <row r="1274" spans="1:24" ht="15" customHeight="1">
      <c r="A1274" s="18" t="s">
        <v>1450</v>
      </c>
      <c r="B1274" s="18">
        <v>5</v>
      </c>
      <c r="C1274" s="18">
        <v>6</v>
      </c>
      <c r="D1274" s="18">
        <v>0</v>
      </c>
      <c r="E1274" s="18">
        <v>2</v>
      </c>
      <c r="F1274" s="18">
        <v>0</v>
      </c>
      <c r="G1274" s="18">
        <v>0</v>
      </c>
      <c r="H1274" s="18">
        <v>0</v>
      </c>
      <c r="I1274" s="18">
        <v>0</v>
      </c>
      <c r="J1274" s="99">
        <f>SUM(SamplingData[[#This Row],[Losing Candidate]:[Under Votes]])</f>
        <v>13</v>
      </c>
      <c r="K1274"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274" s="100">
        <f>IF(AND(SamplingData[[#This Row],[Total]]&lt;&gt; 0, NOT(ISBLANK(SamplingData[[#This Row],[Candidate 3]]))),(SamplingData[[#This Row],[Total]]+SamplingData[[#This Row],[Winning Candidate]]-SamplingData[[#This Row],[Candidate 3]])/(SamplingData[[#Totals],[Winning Candidate]]-SamplingData[[#Totals],[Candidate 3]]), 0)</f>
        <v>6.1296254476239632E-4</v>
      </c>
      <c r="M1274" s="100">
        <f>IF(AND(SamplingData[[#This Row],[Total]]&lt;&gt; 0, NOT(ISBLANK(SamplingData[[#This Row],[Candidate 4]]))),(SamplingData[[#This Row],[Total]]+SamplingData[[#This Row],[Winning Candidate]]-SamplingData[[#This Row],[Candidate 4]])/(SamplingData[[#Totals],[Winning Candidate]]-SamplingData[[#Totals],[Candidate 4]]), 0)</f>
        <v>4.9694524832646382E-4</v>
      </c>
      <c r="N1274" s="100">
        <f>IF(AND(SamplingData[[#This Row],[Total]]&lt;&gt; 0, NOT(ISBLANK(SamplingData[[#This Row],[Candidate 5]]))),(SamplingData[[#This Row],[Total]]+SamplingData[[#This Row],[Winning Candidate]]-SamplingData[[#This Row],[Candidate 5]])/(SamplingData[[#Totals],[Winning Candidate]]-SamplingData[[#Totals],[Candidate 5]]), 0)</f>
        <v>4.6217465336900997E-4</v>
      </c>
      <c r="O1274" s="100">
        <f>IF(AND(SamplingData[[#This Row],[Total]]&lt;&gt; 0, NOT(ISBLANK(SamplingData[[#This Row],[Candidate 6]]))),(SamplingData[[#This Row],[Total]]+SamplingData[[#This Row],[Winning Candidate]]-SamplingData[[#This Row],[Candidate 6]])/(SamplingData[[#Totals],[Winning Candidate]]-SamplingData[[#Totals],[Candidate 6]]), 0)</f>
        <v>4.6203978405719566E-4</v>
      </c>
      <c r="P1274" s="100">
        <f>MAX(SamplingData[[#This Row],[Error Bound (up) - Max. possible relative overstatement - Losing Candidate]:[Error Bound (up) - Max. possible relative overstatement - Candidate 6]])</f>
        <v>8.5742283194512492E-4</v>
      </c>
      <c r="Q1274" s="100">
        <f>IF(SamplingData[[#This Row],[Max Error Bound (up)]] = 0,0,SamplingData[[#This Row],[Max Error Bound (up)]]/SamplingData[[#Totals],[Max Error Bound (up)]])</f>
        <v>1.3570127589824165E-4</v>
      </c>
      <c r="R1274" s="101">
        <f>SUM($Q$5:Q1274)</f>
        <v>0.37291311712870601</v>
      </c>
      <c r="S1274" s="100" t="str">
        <f t="array" ref="S1274">IF(SamplingData[[#This Row],[up/U Selection Probability]] = 0, "Zero", TEXT(SamplingData[[#This Row],[Lower Range]], REPT("0",LEN('General Info'!$B$40))) &amp; " - " &amp; TEXT(SamplingData[[#This Row],[Upper Range]], REPT("0",LEN('General Info'!$B$40))))</f>
        <v>37278 - 37290</v>
      </c>
      <c r="T1274" s="100">
        <f>SamplingData[[#This Row],[Upper Range]]-SamplingData[[#This Row],[Span]]</f>
        <v>37277.741720982049</v>
      </c>
      <c r="U1274" s="100">
        <f>IF(ISNUMBER('General Info'!$B$40), ((SamplingData[[#This Row],[up/U Selection Probability]]) * 'General Info'!$B$40) - 1, 0)</f>
        <v>12.569991888548268</v>
      </c>
      <c r="V1274" s="100">
        <f>IF(ISNUMBER('General Info'!$B$40), (SamplingData[[#This Row],[Running (cumulative) sum]] * ('General Info'!$B$40 -'General Info'!$B$41 + 1)) + 'General Info'!$B$41 - 1, 0)</f>
        <v>37290.3117128706</v>
      </c>
      <c r="W1274" s="100" t="str">
        <f>IF(ISERROR(MATCH(SamplingData[[#This Row],[Batch by Type (p)]],SelectedPrecincts[Batch Name], 0)), "", INDEX(SelectedPrecincts[Draw], MATCH(SamplingData[[#This Row],[Batch by Type (p)]],SelectedPrecincts[Batch Name], 0)))</f>
        <v/>
      </c>
      <c r="X1274" s="102">
        <f>IF(COUNTIF(SelectedPrecincts[Batch Name],SamplingData[[#This Row],[Batch by Type (p)]]) &lt;&gt; 0, COUNTIF(SelectedPrecincts[Batch Name],SamplingData[[#This Row],[Batch by Type (p)]]), 0)</f>
        <v>0</v>
      </c>
    </row>
    <row r="1275" spans="1:24" ht="15" customHeight="1">
      <c r="A1275" s="18" t="s">
        <v>1451</v>
      </c>
      <c r="B1275" s="18">
        <v>10</v>
      </c>
      <c r="C1275" s="18">
        <v>24</v>
      </c>
      <c r="D1275" s="16">
        <v>11</v>
      </c>
      <c r="E1275" s="16">
        <v>4</v>
      </c>
      <c r="F1275" s="37">
        <v>0</v>
      </c>
      <c r="G1275" s="37">
        <v>1</v>
      </c>
      <c r="H1275" s="17">
        <v>0</v>
      </c>
      <c r="I1275" s="17">
        <v>0</v>
      </c>
      <c r="J1275" s="99">
        <f>SUM(SamplingData[[#This Row],[Losing Candidate]:[Under Votes]])</f>
        <v>50</v>
      </c>
      <c r="K1275" s="100">
        <f>IF(AND(SamplingData[[#This Row],[Total]]&lt;&gt; 0, NOT(ISBLANK(SamplingData[[#This Row],[Losing Candidate]]))),(SamplingData[[#This Row],[Total]]+SamplingData[[#This Row],[Winning Candidate]]-SamplingData[[#This Row],[Losing Candidate]])/(SamplingData[[#Totals],[Winning Candidate]]-SamplingData[[#Totals],[Losing Candidate]]), 0)</f>
        <v>3.9196472317491425E-3</v>
      </c>
      <c r="L1275" s="100">
        <f>IF(AND(SamplingData[[#This Row],[Total]]&lt;&gt; 0, NOT(ISBLANK(SamplingData[[#This Row],[Candidate 3]]))),(SamplingData[[#This Row],[Total]]+SamplingData[[#This Row],[Winning Candidate]]-SamplingData[[#This Row],[Candidate 3]])/(SamplingData[[#Totals],[Winning Candidate]]-SamplingData[[#Totals],[Candidate 3]]), 0)</f>
        <v>2.0324547536858407E-3</v>
      </c>
      <c r="M1275" s="100">
        <f>IF(AND(SamplingData[[#This Row],[Total]]&lt;&gt; 0, NOT(ISBLANK(SamplingData[[#This Row],[Candidate 4]]))),(SamplingData[[#This Row],[Total]]+SamplingData[[#This Row],[Winning Candidate]]-SamplingData[[#This Row],[Candidate 4]])/(SamplingData[[#Totals],[Winning Candidate]]-SamplingData[[#Totals],[Candidate 4]]), 0)</f>
        <v>2.0462451401677922E-3</v>
      </c>
      <c r="N1275" s="100">
        <f>IF(AND(SamplingData[[#This Row],[Total]]&lt;&gt; 0, NOT(ISBLANK(SamplingData[[#This Row],[Candidate 5]]))),(SamplingData[[#This Row],[Total]]+SamplingData[[#This Row],[Winning Candidate]]-SamplingData[[#This Row],[Candidate 5]])/(SamplingData[[#Totals],[Winning Candidate]]-SamplingData[[#Totals],[Candidate 5]]), 0)</f>
        <v>1.8000486499635125E-3</v>
      </c>
      <c r="O1275" s="100">
        <f>IF(AND(SamplingData[[#This Row],[Total]]&lt;&gt; 0, NOT(ISBLANK(SamplingData[[#This Row],[Candidate 6]]))),(SamplingData[[#This Row],[Total]]+SamplingData[[#This Row],[Winning Candidate]]-SamplingData[[#This Row],[Candidate 6]])/(SamplingData[[#Totals],[Winning Candidate]]-SamplingData[[#Totals],[Candidate 6]]), 0)</f>
        <v>1.7752054861144887E-3</v>
      </c>
      <c r="P1275" s="100">
        <f>MAX(SamplingData[[#This Row],[Error Bound (up) - Max. possible relative overstatement - Losing Candidate]:[Error Bound (up) - Max. possible relative overstatement - Candidate 6]])</f>
        <v>3.9196472317491425E-3</v>
      </c>
      <c r="Q1275" s="100">
        <f>IF(SamplingData[[#This Row],[Max Error Bound (up)]] = 0,0,SamplingData[[#This Row],[Max Error Bound (up)]]/SamplingData[[#Totals],[Max Error Bound (up)]])</f>
        <v>6.2034868982053322E-4</v>
      </c>
      <c r="R1275" s="101">
        <f>SUM($Q$5:Q1275)</f>
        <v>0.37353346581852653</v>
      </c>
      <c r="S1275" s="100" t="str">
        <f t="array" ref="S1275">IF(SamplingData[[#This Row],[up/U Selection Probability]] = 0, "Zero", TEXT(SamplingData[[#This Row],[Lower Range]], REPT("0",LEN('General Info'!$B$40))) &amp; " - " &amp; TEXT(SamplingData[[#This Row],[Upper Range]], REPT("0",LEN('General Info'!$B$40))))</f>
        <v>37291 - 37352</v>
      </c>
      <c r="T1275" s="100">
        <f>SamplingData[[#This Row],[Upper Range]]-SamplingData[[#This Row],[Span]]</f>
        <v>37291.312333219292</v>
      </c>
      <c r="U1275" s="100">
        <f>IF(ISNUMBER('General Info'!$B$40), ((SamplingData[[#This Row],[up/U Selection Probability]]) * 'General Info'!$B$40) - 1, 0)</f>
        <v>61.034248633363504</v>
      </c>
      <c r="V1275" s="100">
        <f>IF(ISNUMBER('General Info'!$B$40), (SamplingData[[#This Row],[Running (cumulative) sum]] * ('General Info'!$B$40 -'General Info'!$B$41 + 1)) + 'General Info'!$B$41 - 1, 0)</f>
        <v>37352.346581852653</v>
      </c>
      <c r="W1275" s="100" t="str">
        <f>IF(ISERROR(MATCH(SamplingData[[#This Row],[Batch by Type (p)]],SelectedPrecincts[Batch Name], 0)), "", INDEX(SelectedPrecincts[Draw], MATCH(SamplingData[[#This Row],[Batch by Type (p)]],SelectedPrecincts[Batch Name], 0)))</f>
        <v/>
      </c>
      <c r="X1275" s="102">
        <f>IF(COUNTIF(SelectedPrecincts[Batch Name],SamplingData[[#This Row],[Batch by Type (p)]]) &lt;&gt; 0, COUNTIF(SelectedPrecincts[Batch Name],SamplingData[[#This Row],[Batch by Type (p)]]), 0)</f>
        <v>0</v>
      </c>
    </row>
    <row r="1276" spans="1:24" ht="15" customHeight="1">
      <c r="A1276" s="18" t="s">
        <v>1452</v>
      </c>
      <c r="B1276" s="18">
        <v>3</v>
      </c>
      <c r="C1276" s="18">
        <v>8</v>
      </c>
      <c r="D1276" s="18">
        <v>6</v>
      </c>
      <c r="E1276" s="18">
        <v>1</v>
      </c>
      <c r="F1276" s="18">
        <v>0</v>
      </c>
      <c r="G1276" s="18">
        <v>0</v>
      </c>
      <c r="H1276" s="18">
        <v>0</v>
      </c>
      <c r="I1276" s="18">
        <v>0</v>
      </c>
      <c r="J1276" s="99">
        <f>SUM(SamplingData[[#This Row],[Losing Candidate]:[Under Votes]])</f>
        <v>18</v>
      </c>
      <c r="K1276"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276" s="100">
        <f>IF(AND(SamplingData[[#This Row],[Total]]&lt;&gt; 0, NOT(ISBLANK(SamplingData[[#This Row],[Candidate 3]]))),(SamplingData[[#This Row],[Total]]+SamplingData[[#This Row],[Winning Candidate]]-SamplingData[[#This Row],[Candidate 3]])/(SamplingData[[#Totals],[Winning Candidate]]-SamplingData[[#Totals],[Candidate 3]]), 0)</f>
        <v>6.4522373132883831E-4</v>
      </c>
      <c r="M1276" s="100">
        <f>IF(AND(SamplingData[[#This Row],[Total]]&lt;&gt; 0, NOT(ISBLANK(SamplingData[[#This Row],[Candidate 4]]))),(SamplingData[[#This Row],[Total]]+SamplingData[[#This Row],[Winning Candidate]]-SamplingData[[#This Row],[Candidate 4]])/(SamplingData[[#Totals],[Winning Candidate]]-SamplingData[[#Totals],[Candidate 4]]), 0)</f>
        <v>7.3080183577421145E-4</v>
      </c>
      <c r="N1276" s="100">
        <f>IF(AND(SamplingData[[#This Row],[Total]]&lt;&gt; 0, NOT(ISBLANK(SamplingData[[#This Row],[Candidate 5]]))),(SamplingData[[#This Row],[Total]]+SamplingData[[#This Row],[Winning Candidate]]-SamplingData[[#This Row],[Candidate 5]])/(SamplingData[[#Totals],[Winning Candidate]]-SamplingData[[#Totals],[Candidate 5]]), 0)</f>
        <v>6.3244952566285579E-4</v>
      </c>
      <c r="O1276" s="100">
        <f>IF(AND(SamplingData[[#This Row],[Total]]&lt;&gt; 0, NOT(ISBLANK(SamplingData[[#This Row],[Candidate 6]]))),(SamplingData[[#This Row],[Total]]+SamplingData[[#This Row],[Winning Candidate]]-SamplingData[[#This Row],[Candidate 6]])/(SamplingData[[#Totals],[Winning Candidate]]-SamplingData[[#Totals],[Candidate 6]]), 0)</f>
        <v>6.322649676572151E-4</v>
      </c>
      <c r="P1276" s="100">
        <f>MAX(SamplingData[[#This Row],[Error Bound (up) - Max. possible relative overstatement - Losing Candidate]:[Error Bound (up) - Max. possible relative overstatement - Candidate 6]])</f>
        <v>1.408623223909848E-3</v>
      </c>
      <c r="Q1276" s="100">
        <f>IF(SamplingData[[#This Row],[Max Error Bound (up)]] = 0,0,SamplingData[[#This Row],[Max Error Bound (up)]]/SamplingData[[#Totals],[Max Error Bound (up)]])</f>
        <v>2.229378104042541E-4</v>
      </c>
      <c r="R1276" s="101">
        <f>SUM($Q$5:Q1276)</f>
        <v>0.37375640362893081</v>
      </c>
      <c r="S1276" s="100" t="str">
        <f t="array" ref="S1276">IF(SamplingData[[#This Row],[up/U Selection Probability]] = 0, "Zero", TEXT(SamplingData[[#This Row],[Lower Range]], REPT("0",LEN('General Info'!$B$40))) &amp; " - " &amp; TEXT(SamplingData[[#This Row],[Upper Range]], REPT("0",LEN('General Info'!$B$40))))</f>
        <v>37353 - 37375</v>
      </c>
      <c r="T1276" s="100">
        <f>SamplingData[[#This Row],[Upper Range]]-SamplingData[[#This Row],[Span]]</f>
        <v>37353.346804790461</v>
      </c>
      <c r="U1276" s="100">
        <f>IF(ISNUMBER('General Info'!$B$40), ((SamplingData[[#This Row],[up/U Selection Probability]]) * 'General Info'!$B$40) - 1, 0)</f>
        <v>21.293558102615005</v>
      </c>
      <c r="V1276" s="100">
        <f>IF(ISNUMBER('General Info'!$B$40), (SamplingData[[#This Row],[Running (cumulative) sum]] * ('General Info'!$B$40 -'General Info'!$B$41 + 1)) + 'General Info'!$B$41 - 1, 0)</f>
        <v>37374.640362893078</v>
      </c>
      <c r="W1276" s="100" t="str">
        <f>IF(ISERROR(MATCH(SamplingData[[#This Row],[Batch by Type (p)]],SelectedPrecincts[Batch Name], 0)), "", INDEX(SelectedPrecincts[Draw], MATCH(SamplingData[[#This Row],[Batch by Type (p)]],SelectedPrecincts[Batch Name], 0)))</f>
        <v/>
      </c>
      <c r="X1276" s="102">
        <f>IF(COUNTIF(SelectedPrecincts[Batch Name],SamplingData[[#This Row],[Batch by Type (p)]]) &lt;&gt; 0, COUNTIF(SelectedPrecincts[Batch Name],SamplingData[[#This Row],[Batch by Type (p)]]), 0)</f>
        <v>0</v>
      </c>
    </row>
    <row r="1277" spans="1:24" ht="15" customHeight="1">
      <c r="A1277" s="18" t="s">
        <v>1453</v>
      </c>
      <c r="B1277" s="18">
        <v>7</v>
      </c>
      <c r="C1277" s="18">
        <v>12</v>
      </c>
      <c r="D1277" s="16">
        <v>4</v>
      </c>
      <c r="E1277" s="16">
        <v>11</v>
      </c>
      <c r="F1277" s="37">
        <v>1</v>
      </c>
      <c r="G1277" s="37">
        <v>0</v>
      </c>
      <c r="H1277" s="17">
        <v>0</v>
      </c>
      <c r="I1277" s="17">
        <v>0</v>
      </c>
      <c r="J1277" s="99">
        <f>SUM(SamplingData[[#This Row],[Losing Candidate]:[Under Votes]])</f>
        <v>35</v>
      </c>
      <c r="K1277"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277" s="100">
        <f>IF(AND(SamplingData[[#This Row],[Total]]&lt;&gt; 0, NOT(ISBLANK(SamplingData[[#This Row],[Candidate 3]]))),(SamplingData[[#This Row],[Total]]+SamplingData[[#This Row],[Winning Candidate]]-SamplingData[[#This Row],[Candidate 3]])/(SamplingData[[#Totals],[Winning Candidate]]-SamplingData[[#Totals],[Candidate 3]]), 0)</f>
        <v>1.3872310223570024E-3</v>
      </c>
      <c r="M1277" s="100">
        <f>IF(AND(SamplingData[[#This Row],[Total]]&lt;&gt; 0, NOT(ISBLANK(SamplingData[[#This Row],[Candidate 4]]))),(SamplingData[[#This Row],[Total]]+SamplingData[[#This Row],[Winning Candidate]]-SamplingData[[#This Row],[Candidate 4]])/(SamplingData[[#Totals],[Winning Candidate]]-SamplingData[[#Totals],[Candidate 4]]), 0)</f>
        <v>1.0523546435148646E-3</v>
      </c>
      <c r="N1277" s="100">
        <f>IF(AND(SamplingData[[#This Row],[Total]]&lt;&gt; 0, NOT(ISBLANK(SamplingData[[#This Row],[Candidate 5]]))),(SamplingData[[#This Row],[Total]]+SamplingData[[#This Row],[Winning Candidate]]-SamplingData[[#This Row],[Candidate 5]])/(SamplingData[[#Totals],[Winning Candidate]]-SamplingData[[#Totals],[Candidate 5]]), 0)</f>
        <v>1.1189491607881295E-3</v>
      </c>
      <c r="O1277" s="100">
        <f>IF(AND(SamplingData[[#This Row],[Total]]&lt;&gt; 0, NOT(ISBLANK(SamplingData[[#This Row],[Candidate 6]]))),(SamplingData[[#This Row],[Total]]+SamplingData[[#This Row],[Winning Candidate]]-SamplingData[[#This Row],[Candidate 6]])/(SamplingData[[#Totals],[Winning Candidate]]-SamplingData[[#Totals],[Candidate 6]]), 0)</f>
        <v>1.1429405184572735E-3</v>
      </c>
      <c r="P1277" s="100">
        <f>MAX(SamplingData[[#This Row],[Error Bound (up) - Max. possible relative overstatement - Losing Candidate]:[Error Bound (up) - Max. possible relative overstatement - Candidate 6]])</f>
        <v>2.4497795198432141E-3</v>
      </c>
      <c r="Q1277" s="100">
        <f>IF(SamplingData[[#This Row],[Max Error Bound (up)]] = 0,0,SamplingData[[#This Row],[Max Error Bound (up)]]/SamplingData[[#Totals],[Max Error Bound (up)]])</f>
        <v>3.8771793113783328E-4</v>
      </c>
      <c r="R1277" s="101">
        <f>SUM($Q$5:Q1277)</f>
        <v>0.37414412156006865</v>
      </c>
      <c r="S1277" s="100" t="str">
        <f t="array" ref="S1277">IF(SamplingData[[#This Row],[up/U Selection Probability]] = 0, "Zero", TEXT(SamplingData[[#This Row],[Lower Range]], REPT("0",LEN('General Info'!$B$40))) &amp; " - " &amp; TEXT(SamplingData[[#This Row],[Upper Range]], REPT("0",LEN('General Info'!$B$40))))</f>
        <v>37376 - 37413</v>
      </c>
      <c r="T1277" s="100">
        <f>SamplingData[[#This Row],[Upper Range]]-SamplingData[[#This Row],[Span]]</f>
        <v>37375.640750611012</v>
      </c>
      <c r="U1277" s="100">
        <f>IF(ISNUMBER('General Info'!$B$40), ((SamplingData[[#This Row],[up/U Selection Probability]]) * 'General Info'!$B$40) - 1, 0)</f>
        <v>37.771405395852192</v>
      </c>
      <c r="V1277" s="100">
        <f>IF(ISNUMBER('General Info'!$B$40), (SamplingData[[#This Row],[Running (cumulative) sum]] * ('General Info'!$B$40 -'General Info'!$B$41 + 1)) + 'General Info'!$B$41 - 1, 0)</f>
        <v>37413.412156006867</v>
      </c>
      <c r="W1277" s="100" t="str">
        <f>IF(ISERROR(MATCH(SamplingData[[#This Row],[Batch by Type (p)]],SelectedPrecincts[Batch Name], 0)), "", INDEX(SelectedPrecincts[Draw], MATCH(SamplingData[[#This Row],[Batch by Type (p)]],SelectedPrecincts[Batch Name], 0)))</f>
        <v/>
      </c>
      <c r="X1277" s="102">
        <f>IF(COUNTIF(SelectedPrecincts[Batch Name],SamplingData[[#This Row],[Batch by Type (p)]]) &lt;&gt; 0, COUNTIF(SelectedPrecincts[Batch Name],SamplingData[[#This Row],[Batch by Type (p)]]), 0)</f>
        <v>0</v>
      </c>
    </row>
    <row r="1278" spans="1:24" ht="15" customHeight="1">
      <c r="A1278" s="18" t="s">
        <v>1454</v>
      </c>
      <c r="B1278" s="18">
        <v>2</v>
      </c>
      <c r="C1278" s="18">
        <v>3</v>
      </c>
      <c r="D1278" s="18">
        <v>2</v>
      </c>
      <c r="E1278" s="18">
        <v>0</v>
      </c>
      <c r="F1278" s="18">
        <v>0</v>
      </c>
      <c r="G1278" s="18">
        <v>0</v>
      </c>
      <c r="H1278" s="18">
        <v>0</v>
      </c>
      <c r="I1278" s="18">
        <v>0</v>
      </c>
      <c r="J1278" s="99">
        <f>SUM(SamplingData[[#This Row],[Losing Candidate]:[Under Votes]])</f>
        <v>7</v>
      </c>
      <c r="K1278"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278" s="100">
        <f>IF(AND(SamplingData[[#This Row],[Total]]&lt;&gt; 0, NOT(ISBLANK(SamplingData[[#This Row],[Candidate 3]]))),(SamplingData[[#This Row],[Total]]+SamplingData[[#This Row],[Winning Candidate]]-SamplingData[[#This Row],[Candidate 3]])/(SamplingData[[#Totals],[Winning Candidate]]-SamplingData[[#Totals],[Candidate 3]]), 0)</f>
        <v>2.5808949253153533E-4</v>
      </c>
      <c r="M1278" s="100">
        <f>IF(AND(SamplingData[[#This Row],[Total]]&lt;&gt; 0, NOT(ISBLANK(SamplingData[[#This Row],[Candidate 4]]))),(SamplingData[[#This Row],[Total]]+SamplingData[[#This Row],[Winning Candidate]]-SamplingData[[#This Row],[Candidate 4]])/(SamplingData[[#Totals],[Winning Candidate]]-SamplingData[[#Totals],[Candidate 4]]), 0)</f>
        <v>2.9232073430968461E-4</v>
      </c>
      <c r="N1278" s="100">
        <f>IF(AND(SamplingData[[#This Row],[Total]]&lt;&gt; 0, NOT(ISBLANK(SamplingData[[#This Row],[Candidate 5]]))),(SamplingData[[#This Row],[Total]]+SamplingData[[#This Row],[Winning Candidate]]-SamplingData[[#This Row],[Candidate 5]])/(SamplingData[[#Totals],[Winning Candidate]]-SamplingData[[#Totals],[Candidate 5]]), 0)</f>
        <v>2.4324981756263683E-4</v>
      </c>
      <c r="O1278" s="100">
        <f>IF(AND(SamplingData[[#This Row],[Total]]&lt;&gt; 0, NOT(ISBLANK(SamplingData[[#This Row],[Candidate 6]]))),(SamplingData[[#This Row],[Total]]+SamplingData[[#This Row],[Winning Candidate]]-SamplingData[[#This Row],[Candidate 6]])/(SamplingData[[#Totals],[Winning Candidate]]-SamplingData[[#Totals],[Candidate 6]]), 0)</f>
        <v>2.431788337143135E-4</v>
      </c>
      <c r="P1278" s="100">
        <f>MAX(SamplingData[[#This Row],[Error Bound (up) - Max. possible relative overstatement - Losing Candidate]:[Error Bound (up) - Max. possible relative overstatement - Candidate 6]])</f>
        <v>4.8995590396864281E-4</v>
      </c>
      <c r="Q1278" s="100">
        <f>IF(SamplingData[[#This Row],[Max Error Bound (up)]] = 0,0,SamplingData[[#This Row],[Max Error Bound (up)]]/SamplingData[[#Totals],[Max Error Bound (up)]])</f>
        <v>7.7543586227566652E-5</v>
      </c>
      <c r="R1278" s="101">
        <f>SUM($Q$5:Q1278)</f>
        <v>0.37422166514629623</v>
      </c>
      <c r="S1278" s="100" t="str">
        <f t="array" ref="S1278">IF(SamplingData[[#This Row],[up/U Selection Probability]] = 0, "Zero", TEXT(SamplingData[[#This Row],[Lower Range]], REPT("0",LEN('General Info'!$B$40))) &amp; " - " &amp; TEXT(SamplingData[[#This Row],[Upper Range]], REPT("0",LEN('General Info'!$B$40))))</f>
        <v>37414 - 37421</v>
      </c>
      <c r="T1278" s="100">
        <f>SamplingData[[#This Row],[Upper Range]]-SamplingData[[#This Row],[Span]]</f>
        <v>37414.412233550451</v>
      </c>
      <c r="U1278" s="100">
        <f>IF(ISNUMBER('General Info'!$B$40), ((SamplingData[[#This Row],[up/U Selection Probability]]) * 'General Info'!$B$40) - 1, 0)</f>
        <v>6.754281079170438</v>
      </c>
      <c r="V1278" s="100">
        <f>IF(ISNUMBER('General Info'!$B$40), (SamplingData[[#This Row],[Running (cumulative) sum]] * ('General Info'!$B$40 -'General Info'!$B$41 + 1)) + 'General Info'!$B$41 - 1, 0)</f>
        <v>37421.166514629622</v>
      </c>
      <c r="W1278" s="100" t="str">
        <f>IF(ISERROR(MATCH(SamplingData[[#This Row],[Batch by Type (p)]],SelectedPrecincts[Batch Name], 0)), "", INDEX(SelectedPrecincts[Draw], MATCH(SamplingData[[#This Row],[Batch by Type (p)]],SelectedPrecincts[Batch Name], 0)))</f>
        <v/>
      </c>
      <c r="X1278" s="102">
        <f>IF(COUNTIF(SelectedPrecincts[Batch Name],SamplingData[[#This Row],[Batch by Type (p)]]) &lt;&gt; 0, COUNTIF(SelectedPrecincts[Batch Name],SamplingData[[#This Row],[Batch by Type (p)]]), 0)</f>
        <v>0</v>
      </c>
    </row>
    <row r="1279" spans="1:24" ht="15" customHeight="1">
      <c r="A1279" s="18" t="s">
        <v>1455</v>
      </c>
      <c r="B1279" s="18">
        <v>11</v>
      </c>
      <c r="C1279" s="18">
        <v>24</v>
      </c>
      <c r="D1279" s="16">
        <v>7</v>
      </c>
      <c r="E1279" s="16">
        <v>8</v>
      </c>
      <c r="F1279" s="37">
        <v>0</v>
      </c>
      <c r="G1279" s="37">
        <v>2</v>
      </c>
      <c r="H1279" s="17">
        <v>1</v>
      </c>
      <c r="I1279" s="17">
        <v>1</v>
      </c>
      <c r="J1279" s="99">
        <f>SUM(SamplingData[[#This Row],[Losing Candidate]:[Under Votes]])</f>
        <v>54</v>
      </c>
      <c r="K1279" s="100">
        <f>IF(AND(SamplingData[[#This Row],[Total]]&lt;&gt; 0, NOT(ISBLANK(SamplingData[[#This Row],[Losing Candidate]]))),(SamplingData[[#This Row],[Total]]+SamplingData[[#This Row],[Winning Candidate]]-SamplingData[[#This Row],[Losing Candidate]])/(SamplingData[[#Totals],[Winning Candidate]]-SamplingData[[#Totals],[Losing Candidate]]), 0)</f>
        <v>4.1033806957373837E-3</v>
      </c>
      <c r="L1279" s="100">
        <f>IF(AND(SamplingData[[#This Row],[Total]]&lt;&gt; 0, NOT(ISBLANK(SamplingData[[#This Row],[Candidate 3]]))),(SamplingData[[#This Row],[Total]]+SamplingData[[#This Row],[Winning Candidate]]-SamplingData[[#This Row],[Candidate 3]])/(SamplingData[[#Totals],[Winning Candidate]]-SamplingData[[#Totals],[Candidate 3]]), 0)</f>
        <v>2.2905442462173757E-3</v>
      </c>
      <c r="M1279" s="100">
        <f>IF(AND(SamplingData[[#This Row],[Total]]&lt;&gt; 0, NOT(ISBLANK(SamplingData[[#This Row],[Candidate 4]]))),(SamplingData[[#This Row],[Total]]+SamplingData[[#This Row],[Winning Candidate]]-SamplingData[[#This Row],[Candidate 4]])/(SamplingData[[#Totals],[Winning Candidate]]-SamplingData[[#Totals],[Candidate 4]]), 0)</f>
        <v>2.0462451401677922E-3</v>
      </c>
      <c r="N1279" s="100">
        <f>IF(AND(SamplingData[[#This Row],[Total]]&lt;&gt; 0, NOT(ISBLANK(SamplingData[[#This Row],[Candidate 5]]))),(SamplingData[[#This Row],[Total]]+SamplingData[[#This Row],[Winning Candidate]]-SamplingData[[#This Row],[Candidate 5]])/(SamplingData[[#Totals],[Winning Candidate]]-SamplingData[[#Totals],[Candidate 5]]), 0)</f>
        <v>1.8973485769885673E-3</v>
      </c>
      <c r="O1279" s="100">
        <f>IF(AND(SamplingData[[#This Row],[Total]]&lt;&gt; 0, NOT(ISBLANK(SamplingData[[#This Row],[Candidate 6]]))),(SamplingData[[#This Row],[Total]]+SamplingData[[#This Row],[Winning Candidate]]-SamplingData[[#This Row],[Candidate 6]])/(SamplingData[[#Totals],[Winning Candidate]]-SamplingData[[#Totals],[Candidate 6]]), 0)</f>
        <v>1.8481591362287826E-3</v>
      </c>
      <c r="P1279" s="100">
        <f>MAX(SamplingData[[#This Row],[Error Bound (up) - Max. possible relative overstatement - Losing Candidate]:[Error Bound (up) - Max. possible relative overstatement - Candidate 6]])</f>
        <v>4.1033806957373837E-3</v>
      </c>
      <c r="Q1279" s="100">
        <f>IF(SamplingData[[#This Row],[Max Error Bound (up)]] = 0,0,SamplingData[[#This Row],[Max Error Bound (up)]]/SamplingData[[#Totals],[Max Error Bound (up)]])</f>
        <v>6.4942753465587074E-4</v>
      </c>
      <c r="R1279" s="101">
        <f>SUM($Q$5:Q1279)</f>
        <v>0.37487109268095209</v>
      </c>
      <c r="S1279" s="100" t="str">
        <f t="array" ref="S1279">IF(SamplingData[[#This Row],[up/U Selection Probability]] = 0, "Zero", TEXT(SamplingData[[#This Row],[Lower Range]], REPT("0",LEN('General Info'!$B$40))) &amp; " - " &amp; TEXT(SamplingData[[#This Row],[Upper Range]], REPT("0",LEN('General Info'!$B$40))))</f>
        <v>37422 - 37486</v>
      </c>
      <c r="T1279" s="100">
        <f>SamplingData[[#This Row],[Upper Range]]-SamplingData[[#This Row],[Span]]</f>
        <v>37422.167164057151</v>
      </c>
      <c r="U1279" s="100">
        <f>IF(ISNUMBER('General Info'!$B$40), ((SamplingData[[#This Row],[up/U Selection Probability]]) * 'General Info'!$B$40) - 1, 0)</f>
        <v>63.94210403805242</v>
      </c>
      <c r="V1279" s="100">
        <f>IF(ISNUMBER('General Info'!$B$40), (SamplingData[[#This Row],[Running (cumulative) sum]] * ('General Info'!$B$40 -'General Info'!$B$41 + 1)) + 'General Info'!$B$41 - 1, 0)</f>
        <v>37486.109268095206</v>
      </c>
      <c r="W1279" s="100" t="str">
        <f>IF(ISERROR(MATCH(SamplingData[[#This Row],[Batch by Type (p)]],SelectedPrecincts[Batch Name], 0)), "", INDEX(SelectedPrecincts[Draw], MATCH(SamplingData[[#This Row],[Batch by Type (p)]],SelectedPrecincts[Batch Name], 0)))</f>
        <v/>
      </c>
      <c r="X1279" s="102">
        <f>IF(COUNTIF(SelectedPrecincts[Batch Name],SamplingData[[#This Row],[Batch by Type (p)]]) &lt;&gt; 0, COUNTIF(SelectedPrecincts[Batch Name],SamplingData[[#This Row],[Batch by Type (p)]]), 0)</f>
        <v>0</v>
      </c>
    </row>
    <row r="1280" spans="1:24" ht="15" customHeight="1">
      <c r="A1280" s="18" t="s">
        <v>1456</v>
      </c>
      <c r="B1280" s="18">
        <v>2</v>
      </c>
      <c r="C1280" s="18">
        <v>3</v>
      </c>
      <c r="D1280" s="18">
        <v>1</v>
      </c>
      <c r="E1280" s="18">
        <v>2</v>
      </c>
      <c r="F1280" s="18">
        <v>0</v>
      </c>
      <c r="G1280" s="18">
        <v>0</v>
      </c>
      <c r="H1280" s="18">
        <v>0</v>
      </c>
      <c r="I1280" s="18">
        <v>0</v>
      </c>
      <c r="J1280" s="99">
        <f>SUM(SamplingData[[#This Row],[Losing Candidate]:[Under Votes]])</f>
        <v>8</v>
      </c>
      <c r="K1280"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280" s="100">
        <f>IF(AND(SamplingData[[#This Row],[Total]]&lt;&gt; 0, NOT(ISBLANK(SamplingData[[#This Row],[Candidate 3]]))),(SamplingData[[#This Row],[Total]]+SamplingData[[#This Row],[Winning Candidate]]-SamplingData[[#This Row],[Candidate 3]])/(SamplingData[[#Totals],[Winning Candidate]]-SamplingData[[#Totals],[Candidate 3]]), 0)</f>
        <v>3.2261186566441915E-4</v>
      </c>
      <c r="M1280" s="100">
        <f>IF(AND(SamplingData[[#This Row],[Total]]&lt;&gt; 0, NOT(ISBLANK(SamplingData[[#This Row],[Candidate 4]]))),(SamplingData[[#This Row],[Total]]+SamplingData[[#This Row],[Winning Candidate]]-SamplingData[[#This Row],[Candidate 4]])/(SamplingData[[#Totals],[Winning Candidate]]-SamplingData[[#Totals],[Candidate 4]]), 0)</f>
        <v>2.6308866087871614E-4</v>
      </c>
      <c r="N1280" s="100">
        <f>IF(AND(SamplingData[[#This Row],[Total]]&lt;&gt; 0, NOT(ISBLANK(SamplingData[[#This Row],[Candidate 5]]))),(SamplingData[[#This Row],[Total]]+SamplingData[[#This Row],[Winning Candidate]]-SamplingData[[#This Row],[Candidate 5]])/(SamplingData[[#Totals],[Winning Candidate]]-SamplingData[[#Totals],[Candidate 5]]), 0)</f>
        <v>2.6757479931890053E-4</v>
      </c>
      <c r="O1280" s="100">
        <f>IF(AND(SamplingData[[#This Row],[Total]]&lt;&gt; 0, NOT(ISBLANK(SamplingData[[#This Row],[Candidate 6]]))),(SamplingData[[#This Row],[Total]]+SamplingData[[#This Row],[Winning Candidate]]-SamplingData[[#This Row],[Candidate 6]])/(SamplingData[[#Totals],[Winning Candidate]]-SamplingData[[#Totals],[Candidate 6]]), 0)</f>
        <v>2.6749671708574483E-4</v>
      </c>
      <c r="P1280" s="100">
        <f>MAX(SamplingData[[#This Row],[Error Bound (up) - Max. possible relative overstatement - Losing Candidate]:[Error Bound (up) - Max. possible relative overstatement - Candidate 6]])</f>
        <v>5.5120039196472322E-4</v>
      </c>
      <c r="Q1280" s="100">
        <f>IF(SamplingData[[#This Row],[Max Error Bound (up)]] = 0,0,SamplingData[[#This Row],[Max Error Bound (up)]]/SamplingData[[#Totals],[Max Error Bound (up)]])</f>
        <v>8.7236534506012492E-5</v>
      </c>
      <c r="R1280" s="101">
        <f>SUM($Q$5:Q1280)</f>
        <v>0.37495832921545807</v>
      </c>
      <c r="S1280" s="100" t="str">
        <f t="array" ref="S1280">IF(SamplingData[[#This Row],[up/U Selection Probability]] = 0, "Zero", TEXT(SamplingData[[#This Row],[Lower Range]], REPT("0",LEN('General Info'!$B$40))) &amp; " - " &amp; TEXT(SamplingData[[#This Row],[Upper Range]], REPT("0",LEN('General Info'!$B$40))))</f>
        <v>37487 - 37495</v>
      </c>
      <c r="T1280" s="100">
        <f>SamplingData[[#This Row],[Upper Range]]-SamplingData[[#This Row],[Span]]</f>
        <v>37487.109355331741</v>
      </c>
      <c r="U1280" s="100">
        <f>IF(ISNUMBER('General Info'!$B$40), ((SamplingData[[#This Row],[up/U Selection Probability]]) * 'General Info'!$B$40) - 1, 0)</f>
        <v>7.7235662140667429</v>
      </c>
      <c r="V1280" s="100">
        <f>IF(ISNUMBER('General Info'!$B$40), (SamplingData[[#This Row],[Running (cumulative) sum]] * ('General Info'!$B$40 -'General Info'!$B$41 + 1)) + 'General Info'!$B$41 - 1, 0)</f>
        <v>37494.832921545807</v>
      </c>
      <c r="W1280" s="100" t="str">
        <f>IF(ISERROR(MATCH(SamplingData[[#This Row],[Batch by Type (p)]],SelectedPrecincts[Batch Name], 0)), "", INDEX(SelectedPrecincts[Draw], MATCH(SamplingData[[#This Row],[Batch by Type (p)]],SelectedPrecincts[Batch Name], 0)))</f>
        <v/>
      </c>
      <c r="X1280" s="102">
        <f>IF(COUNTIF(SelectedPrecincts[Batch Name],SamplingData[[#This Row],[Batch by Type (p)]]) &lt;&gt; 0, COUNTIF(SelectedPrecincts[Batch Name],SamplingData[[#This Row],[Batch by Type (p)]]), 0)</f>
        <v>0</v>
      </c>
    </row>
    <row r="1281" spans="1:24" ht="15" customHeight="1">
      <c r="A1281" s="18" t="s">
        <v>1457</v>
      </c>
      <c r="B1281" s="18">
        <v>16</v>
      </c>
      <c r="C1281" s="18">
        <v>78</v>
      </c>
      <c r="D1281" s="16">
        <v>21</v>
      </c>
      <c r="E1281" s="16">
        <v>12</v>
      </c>
      <c r="F1281" s="37">
        <v>1</v>
      </c>
      <c r="G1281" s="37">
        <v>1</v>
      </c>
      <c r="H1281" s="17">
        <v>0</v>
      </c>
      <c r="I1281" s="17">
        <v>0</v>
      </c>
      <c r="J1281" s="99">
        <f>SUM(SamplingData[[#This Row],[Losing Candidate]:[Under Votes]])</f>
        <v>129</v>
      </c>
      <c r="K1281" s="100">
        <f>IF(AND(SamplingData[[#This Row],[Total]]&lt;&gt; 0, NOT(ISBLANK(SamplingData[[#This Row],[Losing Candidate]]))),(SamplingData[[#This Row],[Total]]+SamplingData[[#This Row],[Winning Candidate]]-SamplingData[[#This Row],[Losing Candidate]])/(SamplingData[[#Totals],[Winning Candidate]]-SamplingData[[#Totals],[Losing Candidate]]), 0)</f>
        <v>1.1697697207251348E-2</v>
      </c>
      <c r="L1281" s="100">
        <f>IF(AND(SamplingData[[#This Row],[Total]]&lt;&gt; 0, NOT(ISBLANK(SamplingData[[#This Row],[Candidate 3]]))),(SamplingData[[#This Row],[Total]]+SamplingData[[#This Row],[Winning Candidate]]-SamplingData[[#This Row],[Candidate 3]])/(SamplingData[[#Totals],[Winning Candidate]]-SamplingData[[#Totals],[Candidate 3]]), 0)</f>
        <v>6.0005807013581956E-3</v>
      </c>
      <c r="M1281" s="100">
        <f>IF(AND(SamplingData[[#This Row],[Total]]&lt;&gt; 0, NOT(ISBLANK(SamplingData[[#This Row],[Candidate 4]]))),(SamplingData[[#This Row],[Total]]+SamplingData[[#This Row],[Winning Candidate]]-SamplingData[[#This Row],[Candidate 4]])/(SamplingData[[#Totals],[Winning Candidate]]-SamplingData[[#Totals],[Candidate 4]]), 0)</f>
        <v>5.7002543190388492E-3</v>
      </c>
      <c r="N1281" s="100">
        <f>IF(AND(SamplingData[[#This Row],[Total]]&lt;&gt; 0, NOT(ISBLANK(SamplingData[[#This Row],[Candidate 5]]))),(SamplingData[[#This Row],[Total]]+SamplingData[[#This Row],[Winning Candidate]]-SamplingData[[#This Row],[Candidate 5]])/(SamplingData[[#Totals],[Winning Candidate]]-SamplingData[[#Totals],[Candidate 5]]), 0)</f>
        <v>5.0109462417903183E-3</v>
      </c>
      <c r="O1281" s="100">
        <f>IF(AND(SamplingData[[#This Row],[Total]]&lt;&gt; 0, NOT(ISBLANK(SamplingData[[#This Row],[Candidate 6]]))),(SamplingData[[#This Row],[Total]]+SamplingData[[#This Row],[Winning Candidate]]-SamplingData[[#This Row],[Candidate 6]])/(SamplingData[[#Totals],[Winning Candidate]]-SamplingData[[#Totals],[Candidate 6]]), 0)</f>
        <v>5.009483974514858E-3</v>
      </c>
      <c r="P1281" s="100">
        <f>MAX(SamplingData[[#This Row],[Error Bound (up) - Max. possible relative overstatement - Losing Candidate]:[Error Bound (up) - Max. possible relative overstatement - Candidate 6]])</f>
        <v>1.1697697207251348E-2</v>
      </c>
      <c r="Q1281" s="100">
        <f>IF(SamplingData[[#This Row],[Max Error Bound (up)]] = 0,0,SamplingData[[#This Row],[Max Error Bound (up)]]/SamplingData[[#Totals],[Max Error Bound (up)]])</f>
        <v>1.851353121183154E-3</v>
      </c>
      <c r="R1281" s="101">
        <f>SUM($Q$5:Q1281)</f>
        <v>0.37680968233664125</v>
      </c>
      <c r="S1281" s="100" t="str">
        <f t="array" ref="S1281">IF(SamplingData[[#This Row],[up/U Selection Probability]] = 0, "Zero", TEXT(SamplingData[[#This Row],[Lower Range]], REPT("0",LEN('General Info'!$B$40))) &amp; " - " &amp; TEXT(SamplingData[[#This Row],[Upper Range]], REPT("0",LEN('General Info'!$B$40))))</f>
        <v>37496 - 37680</v>
      </c>
      <c r="T1281" s="100">
        <f>SamplingData[[#This Row],[Upper Range]]-SamplingData[[#This Row],[Span]]</f>
        <v>37495.834772898932</v>
      </c>
      <c r="U1281" s="100">
        <f>IF(ISNUMBER('General Info'!$B$40), ((SamplingData[[#This Row],[up/U Selection Probability]]) * 'General Info'!$B$40) - 1, 0)</f>
        <v>184.13346076519423</v>
      </c>
      <c r="V1281" s="100">
        <f>IF(ISNUMBER('General Info'!$B$40), (SamplingData[[#This Row],[Running (cumulative) sum]] * ('General Info'!$B$40 -'General Info'!$B$41 + 1)) + 'General Info'!$B$41 - 1, 0)</f>
        <v>37679.968233664127</v>
      </c>
      <c r="W1281" s="100" t="str">
        <f>IF(ISERROR(MATCH(SamplingData[[#This Row],[Batch by Type (p)]],SelectedPrecincts[Batch Name], 0)), "", INDEX(SelectedPrecincts[Draw], MATCH(SamplingData[[#This Row],[Batch by Type (p)]],SelectedPrecincts[Batch Name], 0)))</f>
        <v/>
      </c>
      <c r="X1281" s="102">
        <f>IF(COUNTIF(SelectedPrecincts[Batch Name],SamplingData[[#This Row],[Batch by Type (p)]]) &lt;&gt; 0, COUNTIF(SelectedPrecincts[Batch Name],SamplingData[[#This Row],[Batch by Type (p)]]), 0)</f>
        <v>0</v>
      </c>
    </row>
    <row r="1282" spans="1:24" ht="15" customHeight="1">
      <c r="A1282" s="18" t="s">
        <v>1458</v>
      </c>
      <c r="B1282" s="18">
        <v>5</v>
      </c>
      <c r="C1282" s="18">
        <v>27</v>
      </c>
      <c r="D1282" s="18">
        <v>4</v>
      </c>
      <c r="E1282" s="18">
        <v>2</v>
      </c>
      <c r="F1282" s="18">
        <v>2</v>
      </c>
      <c r="G1282" s="18">
        <v>0</v>
      </c>
      <c r="H1282" s="18">
        <v>0</v>
      </c>
      <c r="I1282" s="18">
        <v>1</v>
      </c>
      <c r="J1282" s="99">
        <f>SUM(SamplingData[[#This Row],[Losing Candidate]:[Under Votes]])</f>
        <v>41</v>
      </c>
      <c r="K1282" s="100">
        <f>IF(AND(SamplingData[[#This Row],[Total]]&lt;&gt; 0, NOT(ISBLANK(SamplingData[[#This Row],[Losing Candidate]]))),(SamplingData[[#This Row],[Total]]+SamplingData[[#This Row],[Winning Candidate]]-SamplingData[[#This Row],[Losing Candidate]])/(SamplingData[[#Totals],[Winning Candidate]]-SamplingData[[#Totals],[Losing Candidate]]), 0)</f>
        <v>3.8584027437530621E-3</v>
      </c>
      <c r="L1282" s="100">
        <f>IF(AND(SamplingData[[#This Row],[Total]]&lt;&gt; 0, NOT(ISBLANK(SamplingData[[#This Row],[Candidate 3]]))),(SamplingData[[#This Row],[Total]]+SamplingData[[#This Row],[Winning Candidate]]-SamplingData[[#This Row],[Candidate 3]])/(SamplingData[[#Totals],[Winning Candidate]]-SamplingData[[#Totals],[Candidate 3]]), 0)</f>
        <v>2.0647159402522827E-3</v>
      </c>
      <c r="M1282" s="100">
        <f>IF(AND(SamplingData[[#This Row],[Total]]&lt;&gt; 0, NOT(ISBLANK(SamplingData[[#This Row],[Candidate 4]]))),(SamplingData[[#This Row],[Total]]+SamplingData[[#This Row],[Winning Candidate]]-SamplingData[[#This Row],[Candidate 4]])/(SamplingData[[#Totals],[Winning Candidate]]-SamplingData[[#Totals],[Candidate 4]]), 0)</f>
        <v>1.9293168464439184E-3</v>
      </c>
      <c r="N1282" s="100">
        <f>IF(AND(SamplingData[[#This Row],[Total]]&lt;&gt; 0, NOT(ISBLANK(SamplingData[[#This Row],[Candidate 5]]))),(SamplingData[[#This Row],[Total]]+SamplingData[[#This Row],[Winning Candidate]]-SamplingData[[#This Row],[Candidate 5]])/(SamplingData[[#Totals],[Winning Candidate]]-SamplingData[[#Totals],[Candidate 5]]), 0)</f>
        <v>1.6054487959134031E-3</v>
      </c>
      <c r="O1282" s="100">
        <f>IF(AND(SamplingData[[#This Row],[Total]]&lt;&gt; 0, NOT(ISBLANK(SamplingData[[#This Row],[Candidate 6]]))),(SamplingData[[#This Row],[Total]]+SamplingData[[#This Row],[Winning Candidate]]-SamplingData[[#This Row],[Candidate 6]])/(SamplingData[[#Totals],[Winning Candidate]]-SamplingData[[#Totals],[Candidate 6]]), 0)</f>
        <v>1.6536160692573318E-3</v>
      </c>
      <c r="P1282" s="100">
        <f>MAX(SamplingData[[#This Row],[Error Bound (up) - Max. possible relative overstatement - Losing Candidate]:[Error Bound (up) - Max. possible relative overstatement - Candidate 6]])</f>
        <v>3.8584027437530621E-3</v>
      </c>
      <c r="Q1282" s="100">
        <f>IF(SamplingData[[#This Row],[Max Error Bound (up)]] = 0,0,SamplingData[[#This Row],[Max Error Bound (up)]]/SamplingData[[#Totals],[Max Error Bound (up)]])</f>
        <v>6.1065574154208738E-4</v>
      </c>
      <c r="R1282" s="101">
        <f>SUM($Q$5:Q1282)</f>
        <v>0.37742033807818332</v>
      </c>
      <c r="S1282" s="100" t="str">
        <f t="array" ref="S1282">IF(SamplingData[[#This Row],[up/U Selection Probability]] = 0, "Zero", TEXT(SamplingData[[#This Row],[Lower Range]], REPT("0",LEN('General Info'!$B$40))) &amp; " - " &amp; TEXT(SamplingData[[#This Row],[Upper Range]], REPT("0",LEN('General Info'!$B$40))))</f>
        <v>37681 - 37741</v>
      </c>
      <c r="T1282" s="100">
        <f>SamplingData[[#This Row],[Upper Range]]-SamplingData[[#This Row],[Span]]</f>
        <v>37680.968844319868</v>
      </c>
      <c r="U1282" s="100">
        <f>IF(ISNUMBER('General Info'!$B$40), ((SamplingData[[#This Row],[up/U Selection Probability]]) * 'General Info'!$B$40) - 1, 0)</f>
        <v>60.064963498467193</v>
      </c>
      <c r="V1282" s="100">
        <f>IF(ISNUMBER('General Info'!$B$40), (SamplingData[[#This Row],[Running (cumulative) sum]] * ('General Info'!$B$40 -'General Info'!$B$41 + 1)) + 'General Info'!$B$41 - 1, 0)</f>
        <v>37741.033807818334</v>
      </c>
      <c r="W1282" s="100" t="str">
        <f>IF(ISERROR(MATCH(SamplingData[[#This Row],[Batch by Type (p)]],SelectedPrecincts[Batch Name], 0)), "", INDEX(SelectedPrecincts[Draw], MATCH(SamplingData[[#This Row],[Batch by Type (p)]],SelectedPrecincts[Batch Name], 0)))</f>
        <v/>
      </c>
      <c r="X1282" s="102">
        <f>IF(COUNTIF(SelectedPrecincts[Batch Name],SamplingData[[#This Row],[Batch by Type (p)]]) &lt;&gt; 0, COUNTIF(SelectedPrecincts[Batch Name],SamplingData[[#This Row],[Batch by Type (p)]]), 0)</f>
        <v>0</v>
      </c>
    </row>
    <row r="1283" spans="1:24" ht="15" customHeight="1">
      <c r="A1283" s="18" t="s">
        <v>1459</v>
      </c>
      <c r="B1283" s="18">
        <v>13</v>
      </c>
      <c r="C1283" s="18">
        <v>25</v>
      </c>
      <c r="D1283" s="16">
        <v>14</v>
      </c>
      <c r="E1283" s="16">
        <v>13</v>
      </c>
      <c r="F1283" s="37">
        <v>0</v>
      </c>
      <c r="G1283" s="37">
        <v>1</v>
      </c>
      <c r="H1283" s="17">
        <v>0</v>
      </c>
      <c r="I1283" s="17">
        <v>1</v>
      </c>
      <c r="J1283" s="99">
        <f>SUM(SamplingData[[#This Row],[Losing Candidate]:[Under Votes]])</f>
        <v>67</v>
      </c>
      <c r="K1283" s="100">
        <f>IF(AND(SamplingData[[#This Row],[Total]]&lt;&gt; 0, NOT(ISBLANK(SamplingData[[#This Row],[Losing Candidate]]))),(SamplingData[[#This Row],[Total]]+SamplingData[[#This Row],[Winning Candidate]]-SamplingData[[#This Row],[Losing Candidate]])/(SamplingData[[#Totals],[Winning Candidate]]-SamplingData[[#Totals],[Losing Candidate]]), 0)</f>
        <v>4.8383145516903477E-3</v>
      </c>
      <c r="L1283" s="100">
        <f>IF(AND(SamplingData[[#This Row],[Total]]&lt;&gt; 0, NOT(ISBLANK(SamplingData[[#This Row],[Candidate 3]]))),(SamplingData[[#This Row],[Total]]+SamplingData[[#This Row],[Winning Candidate]]-SamplingData[[#This Row],[Candidate 3]])/(SamplingData[[#Totals],[Winning Candidate]]-SamplingData[[#Totals],[Candidate 3]]), 0)</f>
        <v>2.5163725521824692E-3</v>
      </c>
      <c r="M1283" s="100">
        <f>IF(AND(SamplingData[[#This Row],[Total]]&lt;&gt; 0, NOT(ISBLANK(SamplingData[[#This Row],[Candidate 4]]))),(SamplingData[[#This Row],[Total]]+SamplingData[[#This Row],[Winning Candidate]]-SamplingData[[#This Row],[Candidate 4]])/(SamplingData[[#Totals],[Winning Candidate]]-SamplingData[[#Totals],[Candidate 4]]), 0)</f>
        <v>2.3093338010465084E-3</v>
      </c>
      <c r="N1283" s="100">
        <f>IF(AND(SamplingData[[#This Row],[Total]]&lt;&gt; 0, NOT(ISBLANK(SamplingData[[#This Row],[Candidate 5]]))),(SamplingData[[#This Row],[Total]]+SamplingData[[#This Row],[Winning Candidate]]-SamplingData[[#This Row],[Candidate 5]])/(SamplingData[[#Totals],[Winning Candidate]]-SamplingData[[#Totals],[Candidate 5]]), 0)</f>
        <v>2.237898321576259E-3</v>
      </c>
      <c r="O1283" s="100">
        <f>IF(AND(SamplingData[[#This Row],[Total]]&lt;&gt; 0, NOT(ISBLANK(SamplingData[[#This Row],[Candidate 6]]))),(SamplingData[[#This Row],[Total]]+SamplingData[[#This Row],[Winning Candidate]]-SamplingData[[#This Row],[Candidate 6]])/(SamplingData[[#Totals],[Winning Candidate]]-SamplingData[[#Totals],[Candidate 6]]), 0)</f>
        <v>2.2129273868002528E-3</v>
      </c>
      <c r="P1283" s="100">
        <f>MAX(SamplingData[[#This Row],[Error Bound (up) - Max. possible relative overstatement - Losing Candidate]:[Error Bound (up) - Max. possible relative overstatement - Candidate 6]])</f>
        <v>4.8383145516903477E-3</v>
      </c>
      <c r="Q1283" s="100">
        <f>IF(SamplingData[[#This Row],[Max Error Bound (up)]] = 0,0,SamplingData[[#This Row],[Max Error Bound (up)]]/SamplingData[[#Totals],[Max Error Bound (up)]])</f>
        <v>7.6574291399722071E-4</v>
      </c>
      <c r="R1283" s="101">
        <f>SUM($Q$5:Q1283)</f>
        <v>0.37818608099218054</v>
      </c>
      <c r="S1283" s="100" t="str">
        <f t="array" ref="S1283">IF(SamplingData[[#This Row],[up/U Selection Probability]] = 0, "Zero", TEXT(SamplingData[[#This Row],[Lower Range]], REPT("0",LEN('General Info'!$B$40))) &amp; " - " &amp; TEXT(SamplingData[[#This Row],[Upper Range]], REPT("0",LEN('General Info'!$B$40))))</f>
        <v>37742 - 37818</v>
      </c>
      <c r="T1283" s="100">
        <f>SamplingData[[#This Row],[Upper Range]]-SamplingData[[#This Row],[Span]]</f>
        <v>37742.034573561243</v>
      </c>
      <c r="U1283" s="100">
        <f>IF(ISNUMBER('General Info'!$B$40), ((SamplingData[[#This Row],[up/U Selection Probability]]) * 'General Info'!$B$40) - 1, 0)</f>
        <v>75.573525656808073</v>
      </c>
      <c r="V1283" s="100">
        <f>IF(ISNUMBER('General Info'!$B$40), (SamplingData[[#This Row],[Running (cumulative) sum]] * ('General Info'!$B$40 -'General Info'!$B$41 + 1)) + 'General Info'!$B$41 - 1, 0)</f>
        <v>37817.60809921805</v>
      </c>
      <c r="W1283" s="100" t="str">
        <f>IF(ISERROR(MATCH(SamplingData[[#This Row],[Batch by Type (p)]],SelectedPrecincts[Batch Name], 0)), "", INDEX(SelectedPrecincts[Draw], MATCH(SamplingData[[#This Row],[Batch by Type (p)]],SelectedPrecincts[Batch Name], 0)))</f>
        <v/>
      </c>
      <c r="X1283" s="102">
        <f>IF(COUNTIF(SelectedPrecincts[Batch Name],SamplingData[[#This Row],[Batch by Type (p)]]) &lt;&gt; 0, COUNTIF(SelectedPrecincts[Batch Name],SamplingData[[#This Row],[Batch by Type (p)]]), 0)</f>
        <v>0</v>
      </c>
    </row>
    <row r="1284" spans="1:24" ht="15" customHeight="1">
      <c r="A1284" s="18" t="s">
        <v>1460</v>
      </c>
      <c r="B1284" s="18">
        <v>8</v>
      </c>
      <c r="C1284" s="18">
        <v>6</v>
      </c>
      <c r="D1284" s="18">
        <v>2</v>
      </c>
      <c r="E1284" s="18">
        <v>6</v>
      </c>
      <c r="F1284" s="18">
        <v>0</v>
      </c>
      <c r="G1284" s="18">
        <v>0</v>
      </c>
      <c r="H1284" s="18">
        <v>0</v>
      </c>
      <c r="I1284" s="18">
        <v>0</v>
      </c>
      <c r="J1284" s="99">
        <f>SUM(SamplingData[[#This Row],[Losing Candidate]:[Under Votes]])</f>
        <v>22</v>
      </c>
      <c r="K128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284" s="100">
        <f>IF(AND(SamplingData[[#This Row],[Total]]&lt;&gt; 0, NOT(ISBLANK(SamplingData[[#This Row],[Candidate 3]]))),(SamplingData[[#This Row],[Total]]+SamplingData[[#This Row],[Winning Candidate]]-SamplingData[[#This Row],[Candidate 3]])/(SamplingData[[#Totals],[Winning Candidate]]-SamplingData[[#Totals],[Candidate 3]]), 0)</f>
        <v>8.3879085072748971E-4</v>
      </c>
      <c r="M1284" s="100">
        <f>IF(AND(SamplingData[[#This Row],[Total]]&lt;&gt; 0, NOT(ISBLANK(SamplingData[[#This Row],[Candidate 4]]))),(SamplingData[[#This Row],[Total]]+SamplingData[[#This Row],[Winning Candidate]]-SamplingData[[#This Row],[Candidate 4]])/(SamplingData[[#Totals],[Winning Candidate]]-SamplingData[[#Totals],[Candidate 4]]), 0)</f>
        <v>6.4310561548130605E-4</v>
      </c>
      <c r="N1284" s="100">
        <f>IF(AND(SamplingData[[#This Row],[Total]]&lt;&gt; 0, NOT(ISBLANK(SamplingData[[#This Row],[Candidate 5]]))),(SamplingData[[#This Row],[Total]]+SamplingData[[#This Row],[Winning Candidate]]-SamplingData[[#This Row],[Candidate 5]])/(SamplingData[[#Totals],[Winning Candidate]]-SamplingData[[#Totals],[Candidate 5]]), 0)</f>
        <v>6.8109948917538315E-4</v>
      </c>
      <c r="O1284" s="100">
        <f>IF(AND(SamplingData[[#This Row],[Total]]&lt;&gt; 0, NOT(ISBLANK(SamplingData[[#This Row],[Candidate 6]]))),(SamplingData[[#This Row],[Total]]+SamplingData[[#This Row],[Winning Candidate]]-SamplingData[[#This Row],[Candidate 6]])/(SamplingData[[#Totals],[Winning Candidate]]-SamplingData[[#Totals],[Candidate 6]]), 0)</f>
        <v>6.8090073440007777E-4</v>
      </c>
      <c r="P1284" s="100">
        <f>MAX(SamplingData[[#This Row],[Error Bound (up) - Max. possible relative overstatement - Losing Candidate]:[Error Bound (up) - Max. possible relative overstatement - Candidate 6]])</f>
        <v>1.224889759921607E-3</v>
      </c>
      <c r="Q1284" s="100">
        <f>IF(SamplingData[[#This Row],[Max Error Bound (up)]] = 0,0,SamplingData[[#This Row],[Max Error Bound (up)]]/SamplingData[[#Totals],[Max Error Bound (up)]])</f>
        <v>1.9385896556891664E-4</v>
      </c>
      <c r="R1284" s="101">
        <f>SUM($Q$5:Q1284)</f>
        <v>0.37837993995774943</v>
      </c>
      <c r="S1284" s="100" t="str">
        <f t="array" ref="S1284">IF(SamplingData[[#This Row],[up/U Selection Probability]] = 0, "Zero", TEXT(SamplingData[[#This Row],[Lower Range]], REPT("0",LEN('General Info'!$B$40))) &amp; " - " &amp; TEXT(SamplingData[[#This Row],[Upper Range]], REPT("0",LEN('General Info'!$B$40))))</f>
        <v>37819 - 37837</v>
      </c>
      <c r="T1284" s="100">
        <f>SamplingData[[#This Row],[Upper Range]]-SamplingData[[#This Row],[Span]]</f>
        <v>37818.608293077021</v>
      </c>
      <c r="U1284" s="100">
        <f>IF(ISNUMBER('General Info'!$B$40), ((SamplingData[[#This Row],[up/U Selection Probability]]) * 'General Info'!$B$40) - 1, 0)</f>
        <v>18.385702697926096</v>
      </c>
      <c r="V1284" s="100">
        <f>IF(ISNUMBER('General Info'!$B$40), (SamplingData[[#This Row],[Running (cumulative) sum]] * ('General Info'!$B$40 -'General Info'!$B$41 + 1)) + 'General Info'!$B$41 - 1, 0)</f>
        <v>37836.993995774945</v>
      </c>
      <c r="W1284" s="100" t="str">
        <f>IF(ISERROR(MATCH(SamplingData[[#This Row],[Batch by Type (p)]],SelectedPrecincts[Batch Name], 0)), "", INDEX(SelectedPrecincts[Draw], MATCH(SamplingData[[#This Row],[Batch by Type (p)]],SelectedPrecincts[Batch Name], 0)))</f>
        <v/>
      </c>
      <c r="X1284" s="102">
        <f>IF(COUNTIF(SelectedPrecincts[Batch Name],SamplingData[[#This Row],[Batch by Type (p)]]) &lt;&gt; 0, COUNTIF(SelectedPrecincts[Batch Name],SamplingData[[#This Row],[Batch by Type (p)]]), 0)</f>
        <v>0</v>
      </c>
    </row>
    <row r="1285" spans="1:24" ht="15" customHeight="1">
      <c r="A1285" s="18" t="s">
        <v>1461</v>
      </c>
      <c r="B1285" s="18">
        <v>11</v>
      </c>
      <c r="C1285" s="18">
        <v>46</v>
      </c>
      <c r="D1285" s="16">
        <v>5</v>
      </c>
      <c r="E1285" s="16">
        <v>12</v>
      </c>
      <c r="F1285" s="37">
        <v>1</v>
      </c>
      <c r="G1285" s="37">
        <v>0</v>
      </c>
      <c r="H1285" s="17">
        <v>0</v>
      </c>
      <c r="I1285" s="17">
        <v>1</v>
      </c>
      <c r="J1285" s="99">
        <f>SUM(SamplingData[[#This Row],[Losing Candidate]:[Under Votes]])</f>
        <v>76</v>
      </c>
      <c r="K1285" s="100">
        <f>IF(AND(SamplingData[[#This Row],[Total]]&lt;&gt; 0, NOT(ISBLANK(SamplingData[[#This Row],[Losing Candidate]]))),(SamplingData[[#This Row],[Total]]+SamplingData[[#This Row],[Winning Candidate]]-SamplingData[[#This Row],[Losing Candidate]])/(SamplingData[[#Totals],[Winning Candidate]]-SamplingData[[#Totals],[Losing Candidate]]), 0)</f>
        <v>6.798138167564919E-3</v>
      </c>
      <c r="L1285" s="100">
        <f>IF(AND(SamplingData[[#This Row],[Total]]&lt;&gt; 0, NOT(ISBLANK(SamplingData[[#This Row],[Candidate 3]]))),(SamplingData[[#This Row],[Total]]+SamplingData[[#This Row],[Winning Candidate]]-SamplingData[[#This Row],[Candidate 3]])/(SamplingData[[#Totals],[Winning Candidate]]-SamplingData[[#Totals],[Candidate 3]]), 0)</f>
        <v>3.7745588282737039E-3</v>
      </c>
      <c r="M1285" s="100">
        <f>IF(AND(SamplingData[[#This Row],[Total]]&lt;&gt; 0, NOT(ISBLANK(SamplingData[[#This Row],[Candidate 4]]))),(SamplingData[[#This Row],[Total]]+SamplingData[[#This Row],[Winning Candidate]]-SamplingData[[#This Row],[Candidate 4]])/(SamplingData[[#Totals],[Winning Candidate]]-SamplingData[[#Totals],[Candidate 4]]), 0)</f>
        <v>3.2155280774065305E-3</v>
      </c>
      <c r="N1285" s="100">
        <f>IF(AND(SamplingData[[#This Row],[Total]]&lt;&gt; 0, NOT(ISBLANK(SamplingData[[#This Row],[Candidate 5]]))),(SamplingData[[#This Row],[Total]]+SamplingData[[#This Row],[Winning Candidate]]-SamplingData[[#This Row],[Candidate 5]])/(SamplingData[[#Totals],[Winning Candidate]]-SamplingData[[#Totals],[Candidate 5]]), 0)</f>
        <v>2.9433227925079056E-3</v>
      </c>
      <c r="O1285" s="100">
        <f>IF(AND(SamplingData[[#This Row],[Total]]&lt;&gt; 0, NOT(ISBLANK(SamplingData[[#This Row],[Candidate 6]]))),(SamplingData[[#This Row],[Total]]+SamplingData[[#This Row],[Winning Candidate]]-SamplingData[[#This Row],[Candidate 6]])/(SamplingData[[#Totals],[Winning Candidate]]-SamplingData[[#Totals],[Candidate 6]]), 0)</f>
        <v>2.9667817713146249E-3</v>
      </c>
      <c r="P1285" s="100">
        <f>MAX(SamplingData[[#This Row],[Error Bound (up) - Max. possible relative overstatement - Losing Candidate]:[Error Bound (up) - Max. possible relative overstatement - Candidate 6]])</f>
        <v>6.798138167564919E-3</v>
      </c>
      <c r="Q1285" s="100">
        <f>IF(SamplingData[[#This Row],[Max Error Bound (up)]] = 0,0,SamplingData[[#This Row],[Max Error Bound (up)]]/SamplingData[[#Totals],[Max Error Bound (up)]])</f>
        <v>1.0759172589074873E-3</v>
      </c>
      <c r="R1285" s="101">
        <f>SUM($Q$5:Q1285)</f>
        <v>0.37945585721665692</v>
      </c>
      <c r="S1285" s="100" t="str">
        <f t="array" ref="S1285">IF(SamplingData[[#This Row],[up/U Selection Probability]] = 0, "Zero", TEXT(SamplingData[[#This Row],[Lower Range]], REPT("0",LEN('General Info'!$B$40))) &amp; " - " &amp; TEXT(SamplingData[[#This Row],[Upper Range]], REPT("0",LEN('General Info'!$B$40))))</f>
        <v>37838 - 37945</v>
      </c>
      <c r="T1285" s="100">
        <f>SamplingData[[#This Row],[Upper Range]]-SamplingData[[#This Row],[Span]]</f>
        <v>37837.995071692203</v>
      </c>
      <c r="U1285" s="100">
        <f>IF(ISNUMBER('General Info'!$B$40), ((SamplingData[[#This Row],[up/U Selection Probability]]) * 'General Info'!$B$40) - 1, 0)</f>
        <v>106.59064997348982</v>
      </c>
      <c r="V1285" s="100">
        <f>IF(ISNUMBER('General Info'!$B$40), (SamplingData[[#This Row],[Running (cumulative) sum]] * ('General Info'!$B$40 -'General Info'!$B$41 + 1)) + 'General Info'!$B$41 - 1, 0)</f>
        <v>37944.585721665695</v>
      </c>
      <c r="W1285" s="100" t="str">
        <f>IF(ISERROR(MATCH(SamplingData[[#This Row],[Batch by Type (p)]],SelectedPrecincts[Batch Name], 0)), "", INDEX(SelectedPrecincts[Draw], MATCH(SamplingData[[#This Row],[Batch by Type (p)]],SelectedPrecincts[Batch Name], 0)))</f>
        <v/>
      </c>
      <c r="X1285" s="102">
        <f>IF(COUNTIF(SelectedPrecincts[Batch Name],SamplingData[[#This Row],[Batch by Type (p)]]) &lt;&gt; 0, COUNTIF(SelectedPrecincts[Batch Name],SamplingData[[#This Row],[Batch by Type (p)]]), 0)</f>
        <v>0</v>
      </c>
    </row>
    <row r="1286" spans="1:24" ht="15" customHeight="1">
      <c r="A1286" s="18" t="s">
        <v>1462</v>
      </c>
      <c r="B1286" s="18">
        <v>12</v>
      </c>
      <c r="C1286" s="18">
        <v>12</v>
      </c>
      <c r="D1286" s="18">
        <v>2</v>
      </c>
      <c r="E1286" s="18">
        <v>0</v>
      </c>
      <c r="F1286" s="18">
        <v>0</v>
      </c>
      <c r="G1286" s="18">
        <v>0</v>
      </c>
      <c r="H1286" s="18">
        <v>0</v>
      </c>
      <c r="I1286" s="18">
        <v>0</v>
      </c>
      <c r="J1286" s="99">
        <f>SUM(SamplingData[[#This Row],[Losing Candidate]:[Under Votes]])</f>
        <v>26</v>
      </c>
      <c r="K1286"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286" s="100">
        <f>IF(AND(SamplingData[[#This Row],[Total]]&lt;&gt; 0, NOT(ISBLANK(SamplingData[[#This Row],[Candidate 3]]))),(SamplingData[[#This Row],[Total]]+SamplingData[[#This Row],[Winning Candidate]]-SamplingData[[#This Row],[Candidate 3]])/(SamplingData[[#Totals],[Winning Candidate]]-SamplingData[[#Totals],[Candidate 3]]), 0)</f>
        <v>1.1614027163919089E-3</v>
      </c>
      <c r="M1286" s="100">
        <f>IF(AND(SamplingData[[#This Row],[Total]]&lt;&gt; 0, NOT(ISBLANK(SamplingData[[#This Row],[Candidate 4]]))),(SamplingData[[#This Row],[Total]]+SamplingData[[#This Row],[Winning Candidate]]-SamplingData[[#This Row],[Candidate 4]])/(SamplingData[[#Totals],[Winning Candidate]]-SamplingData[[#Totals],[Candidate 4]]), 0)</f>
        <v>1.1108187903768015E-3</v>
      </c>
      <c r="N1286" s="100">
        <f>IF(AND(SamplingData[[#This Row],[Total]]&lt;&gt; 0, NOT(ISBLANK(SamplingData[[#This Row],[Candidate 5]]))),(SamplingData[[#This Row],[Total]]+SamplingData[[#This Row],[Winning Candidate]]-SamplingData[[#This Row],[Candidate 5]])/(SamplingData[[#Totals],[Winning Candidate]]-SamplingData[[#Totals],[Candidate 5]]), 0)</f>
        <v>9.2434930673801995E-4</v>
      </c>
      <c r="O1286" s="100">
        <f>IF(AND(SamplingData[[#This Row],[Total]]&lt;&gt; 0, NOT(ISBLANK(SamplingData[[#This Row],[Candidate 6]]))),(SamplingData[[#This Row],[Total]]+SamplingData[[#This Row],[Winning Candidate]]-SamplingData[[#This Row],[Candidate 6]])/(SamplingData[[#Totals],[Winning Candidate]]-SamplingData[[#Totals],[Candidate 6]]), 0)</f>
        <v>9.2407956811439132E-4</v>
      </c>
      <c r="P1286" s="100">
        <f>MAX(SamplingData[[#This Row],[Error Bound (up) - Max. possible relative overstatement - Losing Candidate]:[Error Bound (up) - Max. possible relative overstatement - Candidate 6]])</f>
        <v>1.5923566878980893E-3</v>
      </c>
      <c r="Q1286" s="100">
        <f>IF(SamplingData[[#This Row],[Max Error Bound (up)]] = 0,0,SamplingData[[#This Row],[Max Error Bound (up)]]/SamplingData[[#Totals],[Max Error Bound (up)]])</f>
        <v>2.5201665523959162E-4</v>
      </c>
      <c r="R1286" s="101">
        <f>SUM($Q$5:Q1286)</f>
        <v>0.37970787387189653</v>
      </c>
      <c r="S1286" s="100" t="str">
        <f t="array" ref="S1286">IF(SamplingData[[#This Row],[up/U Selection Probability]] = 0, "Zero", TEXT(SamplingData[[#This Row],[Lower Range]], REPT("0",LEN('General Info'!$B$40))) &amp; " - " &amp; TEXT(SamplingData[[#This Row],[Upper Range]], REPT("0",LEN('General Info'!$B$40))))</f>
        <v>37946 - 37970</v>
      </c>
      <c r="T1286" s="100">
        <f>SamplingData[[#This Row],[Upper Range]]-SamplingData[[#This Row],[Span]]</f>
        <v>37945.585973682348</v>
      </c>
      <c r="U1286" s="100">
        <f>IF(ISNUMBER('General Info'!$B$40), ((SamplingData[[#This Row],[up/U Selection Probability]]) * 'General Info'!$B$40) - 1, 0)</f>
        <v>24.201413507303922</v>
      </c>
      <c r="V1286" s="100">
        <f>IF(ISNUMBER('General Info'!$B$40), (SamplingData[[#This Row],[Running (cumulative) sum]] * ('General Info'!$B$40 -'General Info'!$B$41 + 1)) + 'General Info'!$B$41 - 1, 0)</f>
        <v>37969.787387189652</v>
      </c>
      <c r="W1286" s="100" t="str">
        <f>IF(ISERROR(MATCH(SamplingData[[#This Row],[Batch by Type (p)]],SelectedPrecincts[Batch Name], 0)), "", INDEX(SelectedPrecincts[Draw], MATCH(SamplingData[[#This Row],[Batch by Type (p)]],SelectedPrecincts[Batch Name], 0)))</f>
        <v/>
      </c>
      <c r="X1286" s="102">
        <f>IF(COUNTIF(SelectedPrecincts[Batch Name],SamplingData[[#This Row],[Batch by Type (p)]]) &lt;&gt; 0, COUNTIF(SelectedPrecincts[Batch Name],SamplingData[[#This Row],[Batch by Type (p)]]), 0)</f>
        <v>0</v>
      </c>
    </row>
    <row r="1287" spans="1:24" ht="15" customHeight="1">
      <c r="A1287" s="18" t="s">
        <v>1463</v>
      </c>
      <c r="B1287" s="18">
        <v>11</v>
      </c>
      <c r="C1287" s="18">
        <v>44</v>
      </c>
      <c r="D1287" s="16">
        <v>2</v>
      </c>
      <c r="E1287" s="16">
        <v>11</v>
      </c>
      <c r="F1287" s="37">
        <v>0</v>
      </c>
      <c r="G1287" s="37">
        <v>0</v>
      </c>
      <c r="H1287" s="17">
        <v>0</v>
      </c>
      <c r="I1287" s="17">
        <v>1</v>
      </c>
      <c r="J1287" s="99">
        <f>SUM(SamplingData[[#This Row],[Losing Candidate]:[Under Votes]])</f>
        <v>69</v>
      </c>
      <c r="K1287" s="100">
        <f>IF(AND(SamplingData[[#This Row],[Total]]&lt;&gt; 0, NOT(ISBLANK(SamplingData[[#This Row],[Losing Candidate]]))),(SamplingData[[#This Row],[Total]]+SamplingData[[#This Row],[Winning Candidate]]-SamplingData[[#This Row],[Losing Candidate]])/(SamplingData[[#Totals],[Winning Candidate]]-SamplingData[[#Totals],[Losing Candidate]]), 0)</f>
        <v>6.2469377756001962E-3</v>
      </c>
      <c r="L1287" s="100">
        <f>IF(AND(SamplingData[[#This Row],[Total]]&lt;&gt; 0, NOT(ISBLANK(SamplingData[[#This Row],[Candidate 3]]))),(SamplingData[[#This Row],[Total]]+SamplingData[[#This Row],[Winning Candidate]]-SamplingData[[#This Row],[Candidate 3]])/(SamplingData[[#Totals],[Winning Candidate]]-SamplingData[[#Totals],[Candidate 3]]), 0)</f>
        <v>3.5809917088750524E-3</v>
      </c>
      <c r="M1287" s="100">
        <f>IF(AND(SamplingData[[#This Row],[Total]]&lt;&gt; 0, NOT(ISBLANK(SamplingData[[#This Row],[Candidate 4]]))),(SamplingData[[#This Row],[Total]]+SamplingData[[#This Row],[Winning Candidate]]-SamplingData[[#This Row],[Candidate 4]])/(SamplingData[[#Totals],[Winning Candidate]]-SamplingData[[#Totals],[Candidate 4]]), 0)</f>
        <v>2.9816714899587827E-3</v>
      </c>
      <c r="N1287" s="100">
        <f>IF(AND(SamplingData[[#This Row],[Total]]&lt;&gt; 0, NOT(ISBLANK(SamplingData[[#This Row],[Candidate 5]]))),(SamplingData[[#This Row],[Total]]+SamplingData[[#This Row],[Winning Candidate]]-SamplingData[[#This Row],[Candidate 5]])/(SamplingData[[#Totals],[Winning Candidate]]-SamplingData[[#Totals],[Candidate 5]]), 0)</f>
        <v>2.7487229384577962E-3</v>
      </c>
      <c r="O1287" s="100">
        <f>IF(AND(SamplingData[[#This Row],[Total]]&lt;&gt; 0, NOT(ISBLANK(SamplingData[[#This Row],[Candidate 6]]))),(SamplingData[[#This Row],[Total]]+SamplingData[[#This Row],[Winning Candidate]]-SamplingData[[#This Row],[Candidate 6]])/(SamplingData[[#Totals],[Winning Candidate]]-SamplingData[[#Totals],[Candidate 6]]), 0)</f>
        <v>2.7479208209717425E-3</v>
      </c>
      <c r="P1287" s="100">
        <f>MAX(SamplingData[[#This Row],[Error Bound (up) - Max. possible relative overstatement - Losing Candidate]:[Error Bound (up) - Max. possible relative overstatement - Candidate 6]])</f>
        <v>6.2469377756001962E-3</v>
      </c>
      <c r="Q1287" s="100">
        <f>IF(SamplingData[[#This Row],[Max Error Bound (up)]] = 0,0,SamplingData[[#This Row],[Max Error Bound (up)]]/SamplingData[[#Totals],[Max Error Bound (up)]])</f>
        <v>9.8868072440147481E-4</v>
      </c>
      <c r="R1287" s="101">
        <f>SUM($Q$5:Q1287)</f>
        <v>0.38069655459629798</v>
      </c>
      <c r="S1287" s="100" t="str">
        <f t="array" ref="S1287">IF(SamplingData[[#This Row],[up/U Selection Probability]] = 0, "Zero", TEXT(SamplingData[[#This Row],[Lower Range]], REPT("0",LEN('General Info'!$B$40))) &amp; " - " &amp; TEXT(SamplingData[[#This Row],[Upper Range]], REPT("0",LEN('General Info'!$B$40))))</f>
        <v>37971 - 38069</v>
      </c>
      <c r="T1287" s="100">
        <f>SamplingData[[#This Row],[Upper Range]]-SamplingData[[#This Row],[Span]]</f>
        <v>37970.788375870376</v>
      </c>
      <c r="U1287" s="100">
        <f>IF(ISNUMBER('General Info'!$B$40), ((SamplingData[[#This Row],[up/U Selection Probability]]) * 'General Info'!$B$40) - 1, 0)</f>
        <v>97.867083759423082</v>
      </c>
      <c r="V1287" s="100">
        <f>IF(ISNUMBER('General Info'!$B$40), (SamplingData[[#This Row],[Running (cumulative) sum]] * ('General Info'!$B$40 -'General Info'!$B$41 + 1)) + 'General Info'!$B$41 - 1, 0)</f>
        <v>38068.655459629801</v>
      </c>
      <c r="W1287" s="100" t="str">
        <f>IF(ISERROR(MATCH(SamplingData[[#This Row],[Batch by Type (p)]],SelectedPrecincts[Batch Name], 0)), "", INDEX(SelectedPrecincts[Draw], MATCH(SamplingData[[#This Row],[Batch by Type (p)]],SelectedPrecincts[Batch Name], 0)))</f>
        <v/>
      </c>
      <c r="X1287" s="102">
        <f>IF(COUNTIF(SelectedPrecincts[Batch Name],SamplingData[[#This Row],[Batch by Type (p)]]) &lt;&gt; 0, COUNTIF(SelectedPrecincts[Batch Name],SamplingData[[#This Row],[Batch by Type (p)]]), 0)</f>
        <v>0</v>
      </c>
    </row>
    <row r="1288" spans="1:24" ht="15" customHeight="1">
      <c r="A1288" s="18" t="s">
        <v>1464</v>
      </c>
      <c r="B1288" s="18">
        <v>6</v>
      </c>
      <c r="C1288" s="18">
        <v>14</v>
      </c>
      <c r="D1288" s="18">
        <v>0</v>
      </c>
      <c r="E1288" s="18">
        <v>5</v>
      </c>
      <c r="F1288" s="18">
        <v>0</v>
      </c>
      <c r="G1288" s="18">
        <v>0</v>
      </c>
      <c r="H1288" s="18">
        <v>0</v>
      </c>
      <c r="I1288" s="18">
        <v>3</v>
      </c>
      <c r="J1288" s="99">
        <f>SUM(SamplingData[[#This Row],[Losing Candidate]:[Under Votes]])</f>
        <v>28</v>
      </c>
      <c r="K1288" s="100">
        <f>IF(AND(SamplingData[[#This Row],[Total]]&lt;&gt; 0, NOT(ISBLANK(SamplingData[[#This Row],[Losing Candidate]]))),(SamplingData[[#This Row],[Total]]+SamplingData[[#This Row],[Winning Candidate]]-SamplingData[[#This Row],[Losing Candidate]])/(SamplingData[[#Totals],[Winning Candidate]]-SamplingData[[#Totals],[Losing Candidate]]), 0)</f>
        <v>2.2048015678588929E-3</v>
      </c>
      <c r="L1288" s="100">
        <f>IF(AND(SamplingData[[#This Row],[Total]]&lt;&gt; 0, NOT(ISBLANK(SamplingData[[#This Row],[Candidate 3]]))),(SamplingData[[#This Row],[Total]]+SamplingData[[#This Row],[Winning Candidate]]-SamplingData[[#This Row],[Candidate 3]])/(SamplingData[[#Totals],[Winning Candidate]]-SamplingData[[#Totals],[Candidate 3]]), 0)</f>
        <v>1.3549698357905604E-3</v>
      </c>
      <c r="M1288" s="100">
        <f>IF(AND(SamplingData[[#This Row],[Total]]&lt;&gt; 0, NOT(ISBLANK(SamplingData[[#This Row],[Candidate 4]]))),(SamplingData[[#This Row],[Total]]+SamplingData[[#This Row],[Winning Candidate]]-SamplingData[[#This Row],[Candidate 4]])/(SamplingData[[#Totals],[Winning Candidate]]-SamplingData[[#Totals],[Candidate 4]]), 0)</f>
        <v>1.081586716945833E-3</v>
      </c>
      <c r="N1288" s="100">
        <f>IF(AND(SamplingData[[#This Row],[Total]]&lt;&gt; 0, NOT(ISBLANK(SamplingData[[#This Row],[Candidate 5]]))),(SamplingData[[#This Row],[Total]]+SamplingData[[#This Row],[Winning Candidate]]-SamplingData[[#This Row],[Candidate 5]])/(SamplingData[[#Totals],[Winning Candidate]]-SamplingData[[#Totals],[Candidate 5]]), 0)</f>
        <v>1.0216492337630748E-3</v>
      </c>
      <c r="O1288" s="100">
        <f>IF(AND(SamplingData[[#This Row],[Total]]&lt;&gt; 0, NOT(ISBLANK(SamplingData[[#This Row],[Candidate 6]]))),(SamplingData[[#This Row],[Total]]+SamplingData[[#This Row],[Winning Candidate]]-SamplingData[[#This Row],[Candidate 6]])/(SamplingData[[#Totals],[Winning Candidate]]-SamplingData[[#Totals],[Candidate 6]]), 0)</f>
        <v>1.0213511016001168E-3</v>
      </c>
      <c r="P1288" s="100">
        <f>MAX(SamplingData[[#This Row],[Error Bound (up) - Max. possible relative overstatement - Losing Candidate]:[Error Bound (up) - Max. possible relative overstatement - Candidate 6]])</f>
        <v>2.2048015678588929E-3</v>
      </c>
      <c r="Q1288" s="100">
        <f>IF(SamplingData[[#This Row],[Max Error Bound (up)]] = 0,0,SamplingData[[#This Row],[Max Error Bound (up)]]/SamplingData[[#Totals],[Max Error Bound (up)]])</f>
        <v>3.4894613802404997E-4</v>
      </c>
      <c r="R1288" s="101">
        <f>SUM($Q$5:Q1288)</f>
        <v>0.38104550073432203</v>
      </c>
      <c r="S1288" s="100" t="str">
        <f t="array" ref="S1288">IF(SamplingData[[#This Row],[up/U Selection Probability]] = 0, "Zero", TEXT(SamplingData[[#This Row],[Lower Range]], REPT("0",LEN('General Info'!$B$40))) &amp; " - " &amp; TEXT(SamplingData[[#This Row],[Upper Range]], REPT("0",LEN('General Info'!$B$40))))</f>
        <v>38070 - 38104</v>
      </c>
      <c r="T1288" s="100">
        <f>SamplingData[[#This Row],[Upper Range]]-SamplingData[[#This Row],[Span]]</f>
        <v>38069.655808575939</v>
      </c>
      <c r="U1288" s="100">
        <f>IF(ISNUMBER('General Info'!$B$40), ((SamplingData[[#This Row],[up/U Selection Probability]]) * 'General Info'!$B$40) - 1, 0)</f>
        <v>33.894264856266972</v>
      </c>
      <c r="V1288" s="100">
        <f>IF(ISNUMBER('General Info'!$B$40), (SamplingData[[#This Row],[Running (cumulative) sum]] * ('General Info'!$B$40 -'General Info'!$B$41 + 1)) + 'General Info'!$B$41 - 1, 0)</f>
        <v>38103.550073432205</v>
      </c>
      <c r="W1288" s="100" t="str">
        <f>IF(ISERROR(MATCH(SamplingData[[#This Row],[Batch by Type (p)]],SelectedPrecincts[Batch Name], 0)), "", INDEX(SelectedPrecincts[Draw], MATCH(SamplingData[[#This Row],[Batch by Type (p)]],SelectedPrecincts[Batch Name], 0)))</f>
        <v/>
      </c>
      <c r="X1288" s="102">
        <f>IF(COUNTIF(SelectedPrecincts[Batch Name],SamplingData[[#This Row],[Batch by Type (p)]]) &lt;&gt; 0, COUNTIF(SelectedPrecincts[Batch Name],SamplingData[[#This Row],[Batch by Type (p)]]), 0)</f>
        <v>0</v>
      </c>
    </row>
    <row r="1289" spans="1:24" ht="15" customHeight="1">
      <c r="A1289" s="18" t="s">
        <v>1465</v>
      </c>
      <c r="B1289" s="18">
        <v>14</v>
      </c>
      <c r="C1289" s="18">
        <v>16</v>
      </c>
      <c r="D1289" s="16">
        <v>7</v>
      </c>
      <c r="E1289" s="16">
        <v>15</v>
      </c>
      <c r="F1289" s="37">
        <v>0</v>
      </c>
      <c r="G1289" s="37">
        <v>1</v>
      </c>
      <c r="H1289" s="17">
        <v>0</v>
      </c>
      <c r="I1289" s="17">
        <v>0</v>
      </c>
      <c r="J1289" s="99">
        <f>SUM(SamplingData[[#This Row],[Losing Candidate]:[Under Votes]])</f>
        <v>53</v>
      </c>
      <c r="K1289" s="100">
        <f>IF(AND(SamplingData[[#This Row],[Total]]&lt;&gt; 0, NOT(ISBLANK(SamplingData[[#This Row],[Losing Candidate]]))),(SamplingData[[#This Row],[Total]]+SamplingData[[#This Row],[Winning Candidate]]-SamplingData[[#This Row],[Losing Candidate]])/(SamplingData[[#Totals],[Winning Candidate]]-SamplingData[[#Totals],[Losing Candidate]]), 0)</f>
        <v>3.3684468397844193E-3</v>
      </c>
      <c r="L1289" s="100">
        <f>IF(AND(SamplingData[[#This Row],[Total]]&lt;&gt; 0, NOT(ISBLANK(SamplingData[[#This Row],[Candidate 3]]))),(SamplingData[[#This Row],[Total]]+SamplingData[[#This Row],[Winning Candidate]]-SamplingData[[#This Row],[Candidate 3]])/(SamplingData[[#Totals],[Winning Candidate]]-SamplingData[[#Totals],[Candidate 3]]), 0)</f>
        <v>2.0001935671193987E-3</v>
      </c>
      <c r="M1289" s="100">
        <f>IF(AND(SamplingData[[#This Row],[Total]]&lt;&gt; 0, NOT(ISBLANK(SamplingData[[#This Row],[Candidate 4]]))),(SamplingData[[#This Row],[Total]]+SamplingData[[#This Row],[Winning Candidate]]-SamplingData[[#This Row],[Candidate 4]])/(SamplingData[[#Totals],[Winning Candidate]]-SamplingData[[#Totals],[Candidate 4]]), 0)</f>
        <v>1.5785319652722968E-3</v>
      </c>
      <c r="N1289" s="100">
        <f>IF(AND(SamplingData[[#This Row],[Total]]&lt;&gt; 0, NOT(ISBLANK(SamplingData[[#This Row],[Candidate 5]]))),(SamplingData[[#This Row],[Total]]+SamplingData[[#This Row],[Winning Candidate]]-SamplingData[[#This Row],[Candidate 5]])/(SamplingData[[#Totals],[Winning Candidate]]-SamplingData[[#Totals],[Candidate 5]]), 0)</f>
        <v>1.678423741182194E-3</v>
      </c>
      <c r="O1289" s="100">
        <f>IF(AND(SamplingData[[#This Row],[Total]]&lt;&gt; 0, NOT(ISBLANK(SamplingData[[#This Row],[Candidate 6]]))),(SamplingData[[#This Row],[Total]]+SamplingData[[#This Row],[Winning Candidate]]-SamplingData[[#This Row],[Candidate 6]])/(SamplingData[[#Totals],[Winning Candidate]]-SamplingData[[#Totals],[Candidate 6]]), 0)</f>
        <v>1.6536160692573318E-3</v>
      </c>
      <c r="P1289" s="100">
        <f>MAX(SamplingData[[#This Row],[Error Bound (up) - Max. possible relative overstatement - Losing Candidate]:[Error Bound (up) - Max. possible relative overstatement - Candidate 6]])</f>
        <v>3.3684468397844193E-3</v>
      </c>
      <c r="Q1289" s="100">
        <f>IF(SamplingData[[#This Row],[Max Error Bound (up)]] = 0,0,SamplingData[[#This Row],[Max Error Bound (up)]]/SamplingData[[#Totals],[Max Error Bound (up)]])</f>
        <v>5.3311215531452077E-4</v>
      </c>
      <c r="R1289" s="101">
        <f>SUM($Q$5:Q1289)</f>
        <v>0.38157861288963657</v>
      </c>
      <c r="S1289" s="100" t="str">
        <f t="array" ref="S1289">IF(SamplingData[[#This Row],[up/U Selection Probability]] = 0, "Zero", TEXT(SamplingData[[#This Row],[Lower Range]], REPT("0",LEN('General Info'!$B$40))) &amp; " - " &amp; TEXT(SamplingData[[#This Row],[Upper Range]], REPT("0",LEN('General Info'!$B$40))))</f>
        <v>38105 - 38157</v>
      </c>
      <c r="T1289" s="100">
        <f>SamplingData[[#This Row],[Upper Range]]-SamplingData[[#This Row],[Span]]</f>
        <v>38104.550606544362</v>
      </c>
      <c r="U1289" s="100">
        <f>IF(ISNUMBER('General Info'!$B$40), ((SamplingData[[#This Row],[up/U Selection Probability]]) * 'General Info'!$B$40) - 1, 0)</f>
        <v>52.310682419296761</v>
      </c>
      <c r="V1289" s="100">
        <f>IF(ISNUMBER('General Info'!$B$40), (SamplingData[[#This Row],[Running (cumulative) sum]] * ('General Info'!$B$40 -'General Info'!$B$41 + 1)) + 'General Info'!$B$41 - 1, 0)</f>
        <v>38156.861288963657</v>
      </c>
      <c r="W1289" s="100" t="str">
        <f>IF(ISERROR(MATCH(SamplingData[[#This Row],[Batch by Type (p)]],SelectedPrecincts[Batch Name], 0)), "", INDEX(SelectedPrecincts[Draw], MATCH(SamplingData[[#This Row],[Batch by Type (p)]],SelectedPrecincts[Batch Name], 0)))</f>
        <v/>
      </c>
      <c r="X1289" s="102">
        <f>IF(COUNTIF(SelectedPrecincts[Batch Name],SamplingData[[#This Row],[Batch by Type (p)]]) &lt;&gt; 0, COUNTIF(SelectedPrecincts[Batch Name],SamplingData[[#This Row],[Batch by Type (p)]]), 0)</f>
        <v>0</v>
      </c>
    </row>
    <row r="1290" spans="1:24" ht="15" customHeight="1">
      <c r="A1290" s="18" t="s">
        <v>1466</v>
      </c>
      <c r="B1290" s="18">
        <v>1</v>
      </c>
      <c r="C1290" s="18">
        <v>4</v>
      </c>
      <c r="D1290" s="18">
        <v>2</v>
      </c>
      <c r="E1290" s="18">
        <v>0</v>
      </c>
      <c r="F1290" s="18">
        <v>0</v>
      </c>
      <c r="G1290" s="18">
        <v>0</v>
      </c>
      <c r="H1290" s="18">
        <v>0</v>
      </c>
      <c r="I1290" s="18">
        <v>0</v>
      </c>
      <c r="J1290" s="99">
        <f>SUM(SamplingData[[#This Row],[Losing Candidate]:[Under Votes]])</f>
        <v>7</v>
      </c>
      <c r="K1290"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1290" s="100">
        <f>IF(AND(SamplingData[[#This Row],[Total]]&lt;&gt; 0, NOT(ISBLANK(SamplingData[[#This Row],[Candidate 3]]))),(SamplingData[[#This Row],[Total]]+SamplingData[[#This Row],[Winning Candidate]]-SamplingData[[#This Row],[Candidate 3]])/(SamplingData[[#Totals],[Winning Candidate]]-SamplingData[[#Totals],[Candidate 3]]), 0)</f>
        <v>2.9035067909797722E-4</v>
      </c>
      <c r="M1290" s="100">
        <f>IF(AND(SamplingData[[#This Row],[Total]]&lt;&gt; 0, NOT(ISBLANK(SamplingData[[#This Row],[Candidate 4]]))),(SamplingData[[#This Row],[Total]]+SamplingData[[#This Row],[Winning Candidate]]-SamplingData[[#This Row],[Candidate 4]])/(SamplingData[[#Totals],[Winning Candidate]]-SamplingData[[#Totals],[Candidate 4]]), 0)</f>
        <v>3.2155280774065302E-4</v>
      </c>
      <c r="N1290" s="100">
        <f>IF(AND(SamplingData[[#This Row],[Total]]&lt;&gt; 0, NOT(ISBLANK(SamplingData[[#This Row],[Candidate 5]]))),(SamplingData[[#This Row],[Total]]+SamplingData[[#This Row],[Winning Candidate]]-SamplingData[[#This Row],[Candidate 5]])/(SamplingData[[#Totals],[Winning Candidate]]-SamplingData[[#Totals],[Candidate 5]]), 0)</f>
        <v>2.6757479931890053E-4</v>
      </c>
      <c r="O1290" s="100">
        <f>IF(AND(SamplingData[[#This Row],[Total]]&lt;&gt; 0, NOT(ISBLANK(SamplingData[[#This Row],[Candidate 6]]))),(SamplingData[[#This Row],[Total]]+SamplingData[[#This Row],[Winning Candidate]]-SamplingData[[#This Row],[Candidate 6]])/(SamplingData[[#Totals],[Winning Candidate]]-SamplingData[[#Totals],[Candidate 6]]), 0)</f>
        <v>2.6749671708574483E-4</v>
      </c>
      <c r="P1290" s="100">
        <f>MAX(SamplingData[[#This Row],[Error Bound (up) - Max. possible relative overstatement - Losing Candidate]:[Error Bound (up) - Max. possible relative overstatement - Candidate 6]])</f>
        <v>6.1244487996080352E-4</v>
      </c>
      <c r="Q1290" s="100">
        <f>IF(SamplingData[[#This Row],[Max Error Bound (up)]] = 0,0,SamplingData[[#This Row],[Max Error Bound (up)]]/SamplingData[[#Totals],[Max Error Bound (up)]])</f>
        <v>9.6929482784458319E-5</v>
      </c>
      <c r="R1290" s="101">
        <f>SUM($Q$5:Q1290)</f>
        <v>0.38167554237242102</v>
      </c>
      <c r="S1290" s="100" t="str">
        <f t="array" ref="S1290">IF(SamplingData[[#This Row],[up/U Selection Probability]] = 0, "Zero", TEXT(SamplingData[[#This Row],[Lower Range]], REPT("0",LEN('General Info'!$B$40))) &amp; " - " &amp; TEXT(SamplingData[[#This Row],[Upper Range]], REPT("0",LEN('General Info'!$B$40))))</f>
        <v>38158 - 38167</v>
      </c>
      <c r="T1290" s="100">
        <f>SamplingData[[#This Row],[Upper Range]]-SamplingData[[#This Row],[Span]]</f>
        <v>38157.861385893142</v>
      </c>
      <c r="U1290" s="100">
        <f>IF(ISNUMBER('General Info'!$B$40), ((SamplingData[[#This Row],[up/U Selection Probability]]) * 'General Info'!$B$40) - 1, 0)</f>
        <v>8.6928513489630479</v>
      </c>
      <c r="V1290" s="100">
        <f>IF(ISNUMBER('General Info'!$B$40), (SamplingData[[#This Row],[Running (cumulative) sum]] * ('General Info'!$B$40 -'General Info'!$B$41 + 1)) + 'General Info'!$B$41 - 1, 0)</f>
        <v>38166.554237242104</v>
      </c>
      <c r="W1290" s="100" t="str">
        <f>IF(ISERROR(MATCH(SamplingData[[#This Row],[Batch by Type (p)]],SelectedPrecincts[Batch Name], 0)), "", INDEX(SelectedPrecincts[Draw], MATCH(SamplingData[[#This Row],[Batch by Type (p)]],SelectedPrecincts[Batch Name], 0)))</f>
        <v/>
      </c>
      <c r="X1290" s="102">
        <f>IF(COUNTIF(SelectedPrecincts[Batch Name],SamplingData[[#This Row],[Batch by Type (p)]]) &lt;&gt; 0, COUNTIF(SelectedPrecincts[Batch Name],SamplingData[[#This Row],[Batch by Type (p)]]), 0)</f>
        <v>0</v>
      </c>
    </row>
    <row r="1291" spans="1:24" ht="15" customHeight="1">
      <c r="A1291" s="18" t="s">
        <v>1467</v>
      </c>
      <c r="B1291" s="18">
        <v>17</v>
      </c>
      <c r="C1291" s="18">
        <v>34</v>
      </c>
      <c r="D1291" s="16">
        <v>11</v>
      </c>
      <c r="E1291" s="16">
        <v>18</v>
      </c>
      <c r="F1291" s="37">
        <v>0</v>
      </c>
      <c r="G1291" s="37">
        <v>0</v>
      </c>
      <c r="H1291" s="17">
        <v>0</v>
      </c>
      <c r="I1291" s="17">
        <v>0</v>
      </c>
      <c r="J1291" s="99">
        <f>SUM(SamplingData[[#This Row],[Losing Candidate]:[Under Votes]])</f>
        <v>80</v>
      </c>
      <c r="K1291" s="100">
        <f>IF(AND(SamplingData[[#This Row],[Total]]&lt;&gt; 0, NOT(ISBLANK(SamplingData[[#This Row],[Losing Candidate]]))),(SamplingData[[#This Row],[Total]]+SamplingData[[#This Row],[Winning Candidate]]-SamplingData[[#This Row],[Losing Candidate]])/(SamplingData[[#Totals],[Winning Candidate]]-SamplingData[[#Totals],[Losing Candidate]]), 0)</f>
        <v>5.9407153356197942E-3</v>
      </c>
      <c r="L1291" s="100">
        <f>IF(AND(SamplingData[[#This Row],[Total]]&lt;&gt; 0, NOT(ISBLANK(SamplingData[[#This Row],[Candidate 3]]))),(SamplingData[[#This Row],[Total]]+SamplingData[[#This Row],[Winning Candidate]]-SamplingData[[#This Row],[Candidate 3]])/(SamplingData[[#Totals],[Winning Candidate]]-SamplingData[[#Totals],[Candidate 3]]), 0)</f>
        <v>3.3229022163435173E-3</v>
      </c>
      <c r="M1291" s="100">
        <f>IF(AND(SamplingData[[#This Row],[Total]]&lt;&gt; 0, NOT(ISBLANK(SamplingData[[#This Row],[Candidate 4]]))),(SamplingData[[#This Row],[Total]]+SamplingData[[#This Row],[Winning Candidate]]-SamplingData[[#This Row],[Candidate 4]])/(SamplingData[[#Totals],[Winning Candidate]]-SamplingData[[#Totals],[Candidate 4]]), 0)</f>
        <v>2.8062790493729719E-3</v>
      </c>
      <c r="N1291" s="100">
        <f>IF(AND(SamplingData[[#This Row],[Total]]&lt;&gt; 0, NOT(ISBLANK(SamplingData[[#This Row],[Candidate 5]]))),(SamplingData[[#This Row],[Total]]+SamplingData[[#This Row],[Winning Candidate]]-SamplingData[[#This Row],[Candidate 5]])/(SamplingData[[#Totals],[Winning Candidate]]-SamplingData[[#Totals],[Candidate 5]]), 0)</f>
        <v>2.7730479202140597E-3</v>
      </c>
      <c r="O1291" s="100">
        <f>IF(AND(SamplingData[[#This Row],[Total]]&lt;&gt; 0, NOT(ISBLANK(SamplingData[[#This Row],[Candidate 6]]))),(SamplingData[[#This Row],[Total]]+SamplingData[[#This Row],[Winning Candidate]]-SamplingData[[#This Row],[Candidate 6]])/(SamplingData[[#Totals],[Winning Candidate]]-SamplingData[[#Totals],[Candidate 6]]), 0)</f>
        <v>2.7722387043431738E-3</v>
      </c>
      <c r="P1291" s="100">
        <f>MAX(SamplingData[[#This Row],[Error Bound (up) - Max. possible relative overstatement - Losing Candidate]:[Error Bound (up) - Max. possible relative overstatement - Candidate 6]])</f>
        <v>5.9407153356197942E-3</v>
      </c>
      <c r="Q1291" s="100">
        <f>IF(SamplingData[[#This Row],[Max Error Bound (up)]] = 0,0,SamplingData[[#This Row],[Max Error Bound (up)]]/SamplingData[[#Totals],[Max Error Bound (up)]])</f>
        <v>9.4021598300924561E-4</v>
      </c>
      <c r="R1291" s="101">
        <f>SUM($Q$5:Q1291)</f>
        <v>0.38261575835543027</v>
      </c>
      <c r="S1291" s="100" t="str">
        <f t="array" ref="S1291">IF(SamplingData[[#This Row],[up/U Selection Probability]] = 0, "Zero", TEXT(SamplingData[[#This Row],[Lower Range]], REPT("0",LEN('General Info'!$B$40))) &amp; " - " &amp; TEXT(SamplingData[[#This Row],[Upper Range]], REPT("0",LEN('General Info'!$B$40))))</f>
        <v>38168 - 38261</v>
      </c>
      <c r="T1291" s="100">
        <f>SamplingData[[#This Row],[Upper Range]]-SamplingData[[#This Row],[Span]]</f>
        <v>38167.555177458089</v>
      </c>
      <c r="U1291" s="100">
        <f>IF(ISNUMBER('General Info'!$B$40), ((SamplingData[[#This Row],[up/U Selection Probability]]) * 'General Info'!$B$40) - 1, 0)</f>
        <v>93.020658084941559</v>
      </c>
      <c r="V1291" s="100">
        <f>IF(ISNUMBER('General Info'!$B$40), (SamplingData[[#This Row],[Running (cumulative) sum]] * ('General Info'!$B$40 -'General Info'!$B$41 + 1)) + 'General Info'!$B$41 - 1, 0)</f>
        <v>38260.57583554303</v>
      </c>
      <c r="W1291" s="100" t="str">
        <f>IF(ISERROR(MATCH(SamplingData[[#This Row],[Batch by Type (p)]],SelectedPrecincts[Batch Name], 0)), "", INDEX(SelectedPrecincts[Draw], MATCH(SamplingData[[#This Row],[Batch by Type (p)]],SelectedPrecincts[Batch Name], 0)))</f>
        <v/>
      </c>
      <c r="X1291" s="102">
        <f>IF(COUNTIF(SelectedPrecincts[Batch Name],SamplingData[[#This Row],[Batch by Type (p)]]) &lt;&gt; 0, COUNTIF(SelectedPrecincts[Batch Name],SamplingData[[#This Row],[Batch by Type (p)]]), 0)</f>
        <v>0</v>
      </c>
    </row>
    <row r="1292" spans="1:24" ht="15" customHeight="1">
      <c r="A1292" s="18" t="s">
        <v>1468</v>
      </c>
      <c r="B1292" s="18">
        <v>7</v>
      </c>
      <c r="C1292" s="18">
        <v>7</v>
      </c>
      <c r="D1292" s="18">
        <v>1</v>
      </c>
      <c r="E1292" s="18">
        <v>0</v>
      </c>
      <c r="F1292" s="18">
        <v>1</v>
      </c>
      <c r="G1292" s="18">
        <v>0</v>
      </c>
      <c r="H1292" s="18">
        <v>0</v>
      </c>
      <c r="I1292" s="18">
        <v>1</v>
      </c>
      <c r="J1292" s="99">
        <f>SUM(SamplingData[[#This Row],[Losing Candidate]:[Under Votes]])</f>
        <v>17</v>
      </c>
      <c r="K1292"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292" s="100">
        <f>IF(AND(SamplingData[[#This Row],[Total]]&lt;&gt; 0, NOT(ISBLANK(SamplingData[[#This Row],[Candidate 3]]))),(SamplingData[[#This Row],[Total]]+SamplingData[[#This Row],[Winning Candidate]]-SamplingData[[#This Row],[Candidate 3]])/(SamplingData[[#Totals],[Winning Candidate]]-SamplingData[[#Totals],[Candidate 3]]), 0)</f>
        <v>7.4200729102816406E-4</v>
      </c>
      <c r="M1292" s="100">
        <f>IF(AND(SamplingData[[#This Row],[Total]]&lt;&gt; 0, NOT(ISBLANK(SamplingData[[#This Row],[Candidate 4]]))),(SamplingData[[#This Row],[Total]]+SamplingData[[#This Row],[Winning Candidate]]-SamplingData[[#This Row],[Candidate 4]])/(SamplingData[[#Totals],[Winning Candidate]]-SamplingData[[#Totals],[Candidate 4]]), 0)</f>
        <v>7.0156976234324298E-4</v>
      </c>
      <c r="N1292" s="100">
        <f>IF(AND(SamplingData[[#This Row],[Total]]&lt;&gt; 0, NOT(ISBLANK(SamplingData[[#This Row],[Candidate 5]]))),(SamplingData[[#This Row],[Total]]+SamplingData[[#This Row],[Winning Candidate]]-SamplingData[[#This Row],[Candidate 5]])/(SamplingData[[#Totals],[Winning Candidate]]-SamplingData[[#Totals],[Candidate 5]]), 0)</f>
        <v>5.5947458039406475E-4</v>
      </c>
      <c r="O1292" s="100">
        <f>IF(AND(SamplingData[[#This Row],[Total]]&lt;&gt; 0, NOT(ISBLANK(SamplingData[[#This Row],[Candidate 6]]))),(SamplingData[[#This Row],[Total]]+SamplingData[[#This Row],[Winning Candidate]]-SamplingData[[#This Row],[Candidate 6]])/(SamplingData[[#Totals],[Winning Candidate]]-SamplingData[[#Totals],[Candidate 6]]), 0)</f>
        <v>5.8362920091435243E-4</v>
      </c>
      <c r="P1292" s="100">
        <f>MAX(SamplingData[[#This Row],[Error Bound (up) - Max. possible relative overstatement - Losing Candidate]:[Error Bound (up) - Max. possible relative overstatement - Candidate 6]])</f>
        <v>1.041156295933366E-3</v>
      </c>
      <c r="Q1292" s="100">
        <f>IF(SamplingData[[#This Row],[Max Error Bound (up)]] = 0,0,SamplingData[[#This Row],[Max Error Bound (up)]]/SamplingData[[#Totals],[Max Error Bound (up)]])</f>
        <v>1.6478012073357914E-4</v>
      </c>
      <c r="R1292" s="101">
        <f>SUM($Q$5:Q1292)</f>
        <v>0.38278053847616383</v>
      </c>
      <c r="S1292" s="100" t="str">
        <f t="array" ref="S1292">IF(SamplingData[[#This Row],[up/U Selection Probability]] = 0, "Zero", TEXT(SamplingData[[#This Row],[Lower Range]], REPT("0",LEN('General Info'!$B$40))) &amp; " - " &amp; TEXT(SamplingData[[#This Row],[Upper Range]], REPT("0",LEN('General Info'!$B$40))))</f>
        <v>38262 - 38277</v>
      </c>
      <c r="T1292" s="100">
        <f>SamplingData[[#This Row],[Upper Range]]-SamplingData[[#This Row],[Span]]</f>
        <v>38261.576000323148</v>
      </c>
      <c r="U1292" s="100">
        <f>IF(ISNUMBER('General Info'!$B$40), ((SamplingData[[#This Row],[up/U Selection Probability]]) * 'General Info'!$B$40) - 1, 0)</f>
        <v>15.477847293237179</v>
      </c>
      <c r="V1292" s="100">
        <f>IF(ISNUMBER('General Info'!$B$40), (SamplingData[[#This Row],[Running (cumulative) sum]] * ('General Info'!$B$40 -'General Info'!$B$41 + 1)) + 'General Info'!$B$41 - 1, 0)</f>
        <v>38277.053847616386</v>
      </c>
      <c r="W1292" s="100" t="str">
        <f>IF(ISERROR(MATCH(SamplingData[[#This Row],[Batch by Type (p)]],SelectedPrecincts[Batch Name], 0)), "", INDEX(SelectedPrecincts[Draw], MATCH(SamplingData[[#This Row],[Batch by Type (p)]],SelectedPrecincts[Batch Name], 0)))</f>
        <v/>
      </c>
      <c r="X1292" s="102">
        <f>IF(COUNTIF(SelectedPrecincts[Batch Name],SamplingData[[#This Row],[Batch by Type (p)]]) &lt;&gt; 0, COUNTIF(SelectedPrecincts[Batch Name],SamplingData[[#This Row],[Batch by Type (p)]]), 0)</f>
        <v>0</v>
      </c>
    </row>
    <row r="1293" spans="1:24" ht="15" customHeight="1">
      <c r="A1293" s="18" t="s">
        <v>1469</v>
      </c>
      <c r="B1293" s="18">
        <v>14</v>
      </c>
      <c r="C1293" s="18">
        <v>15</v>
      </c>
      <c r="D1293" s="16">
        <v>3</v>
      </c>
      <c r="E1293" s="16">
        <v>6</v>
      </c>
      <c r="F1293" s="37">
        <v>0</v>
      </c>
      <c r="G1293" s="37">
        <v>1</v>
      </c>
      <c r="H1293" s="17">
        <v>0</v>
      </c>
      <c r="I1293" s="17">
        <v>0</v>
      </c>
      <c r="J1293" s="99">
        <f>SUM(SamplingData[[#This Row],[Losing Candidate]:[Under Votes]])</f>
        <v>39</v>
      </c>
      <c r="K1293"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293" s="100">
        <f>IF(AND(SamplingData[[#This Row],[Total]]&lt;&gt; 0, NOT(ISBLANK(SamplingData[[#This Row],[Candidate 3]]))),(SamplingData[[#This Row],[Total]]+SamplingData[[#This Row],[Winning Candidate]]-SamplingData[[#This Row],[Candidate 3]])/(SamplingData[[#Totals],[Winning Candidate]]-SamplingData[[#Totals],[Candidate 3]]), 0)</f>
        <v>1.6453205148885377E-3</v>
      </c>
      <c r="M1293" s="100">
        <f>IF(AND(SamplingData[[#This Row],[Total]]&lt;&gt; 0, NOT(ISBLANK(SamplingData[[#This Row],[Candidate 4]]))),(SamplingData[[#This Row],[Total]]+SamplingData[[#This Row],[Winning Candidate]]-SamplingData[[#This Row],[Candidate 4]])/(SamplingData[[#Totals],[Winning Candidate]]-SamplingData[[#Totals],[Candidate 4]]), 0)</f>
        <v>1.403139524686486E-3</v>
      </c>
      <c r="N1293" s="100">
        <f>IF(AND(SamplingData[[#This Row],[Total]]&lt;&gt; 0, NOT(ISBLANK(SamplingData[[#This Row],[Candidate 5]]))),(SamplingData[[#This Row],[Total]]+SamplingData[[#This Row],[Winning Candidate]]-SamplingData[[#This Row],[Candidate 5]])/(SamplingData[[#Totals],[Winning Candidate]]-SamplingData[[#Totals],[Candidate 5]]), 0)</f>
        <v>1.3135490148382389E-3</v>
      </c>
      <c r="O1293" s="100">
        <f>IF(AND(SamplingData[[#This Row],[Total]]&lt;&gt; 0, NOT(ISBLANK(SamplingData[[#This Row],[Candidate 6]]))),(SamplingData[[#This Row],[Total]]+SamplingData[[#This Row],[Winning Candidate]]-SamplingData[[#This Row],[Candidate 6]])/(SamplingData[[#Totals],[Winning Candidate]]-SamplingData[[#Totals],[Candidate 6]]), 0)</f>
        <v>1.2888478186858616E-3</v>
      </c>
      <c r="P1293" s="100">
        <f>MAX(SamplingData[[#This Row],[Error Bound (up) - Max. possible relative overstatement - Losing Candidate]:[Error Bound (up) - Max. possible relative overstatement - Candidate 6]])</f>
        <v>2.4497795198432141E-3</v>
      </c>
      <c r="Q1293" s="100">
        <f>IF(SamplingData[[#This Row],[Max Error Bound (up)]] = 0,0,SamplingData[[#This Row],[Max Error Bound (up)]]/SamplingData[[#Totals],[Max Error Bound (up)]])</f>
        <v>3.8771793113783328E-4</v>
      </c>
      <c r="R1293" s="101">
        <f>SUM($Q$5:Q1293)</f>
        <v>0.38316825640730168</v>
      </c>
      <c r="S1293" s="100" t="str">
        <f t="array" ref="S1293">IF(SamplingData[[#This Row],[up/U Selection Probability]] = 0, "Zero", TEXT(SamplingData[[#This Row],[Lower Range]], REPT("0",LEN('General Info'!$B$40))) &amp; " - " &amp; TEXT(SamplingData[[#This Row],[Upper Range]], REPT("0",LEN('General Info'!$B$40))))</f>
        <v>38278 - 38316</v>
      </c>
      <c r="T1293" s="100">
        <f>SamplingData[[#This Row],[Upper Range]]-SamplingData[[#This Row],[Span]]</f>
        <v>38278.054235334312</v>
      </c>
      <c r="U1293" s="100">
        <f>IF(ISNUMBER('General Info'!$B$40), ((SamplingData[[#This Row],[up/U Selection Probability]]) * 'General Info'!$B$40) - 1, 0)</f>
        <v>37.771405395852192</v>
      </c>
      <c r="V1293" s="100">
        <f>IF(ISNUMBER('General Info'!$B$40), (SamplingData[[#This Row],[Running (cumulative) sum]] * ('General Info'!$B$40 -'General Info'!$B$41 + 1)) + 'General Info'!$B$41 - 1, 0)</f>
        <v>38315.825640730167</v>
      </c>
      <c r="W1293" s="100" t="str">
        <f>IF(ISERROR(MATCH(SamplingData[[#This Row],[Batch by Type (p)]],SelectedPrecincts[Batch Name], 0)), "", INDEX(SelectedPrecincts[Draw], MATCH(SamplingData[[#This Row],[Batch by Type (p)]],SelectedPrecincts[Batch Name], 0)))</f>
        <v/>
      </c>
      <c r="X1293" s="102">
        <f>IF(COUNTIF(SelectedPrecincts[Batch Name],SamplingData[[#This Row],[Batch by Type (p)]]) &lt;&gt; 0, COUNTIF(SelectedPrecincts[Batch Name],SamplingData[[#This Row],[Batch by Type (p)]]), 0)</f>
        <v>0</v>
      </c>
    </row>
    <row r="1294" spans="1:24" ht="15" customHeight="1">
      <c r="A1294" s="18" t="s">
        <v>1470</v>
      </c>
      <c r="B1294" s="18">
        <v>5</v>
      </c>
      <c r="C1294" s="18">
        <v>8</v>
      </c>
      <c r="D1294" s="18">
        <v>2</v>
      </c>
      <c r="E1294" s="18">
        <v>0</v>
      </c>
      <c r="F1294" s="18">
        <v>1</v>
      </c>
      <c r="G1294" s="18">
        <v>0</v>
      </c>
      <c r="H1294" s="18">
        <v>0</v>
      </c>
      <c r="I1294" s="18">
        <v>1</v>
      </c>
      <c r="J1294" s="99">
        <f>SUM(SamplingData[[#This Row],[Losing Candidate]:[Under Votes]])</f>
        <v>17</v>
      </c>
      <c r="K129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294" s="100">
        <f>IF(AND(SamplingData[[#This Row],[Total]]&lt;&gt; 0, NOT(ISBLANK(SamplingData[[#This Row],[Candidate 3]]))),(SamplingData[[#This Row],[Total]]+SamplingData[[#This Row],[Winning Candidate]]-SamplingData[[#This Row],[Candidate 3]])/(SamplingData[[#Totals],[Winning Candidate]]-SamplingData[[#Totals],[Candidate 3]]), 0)</f>
        <v>7.4200729102816406E-4</v>
      </c>
      <c r="M1294" s="100">
        <f>IF(AND(SamplingData[[#This Row],[Total]]&lt;&gt; 0, NOT(ISBLANK(SamplingData[[#This Row],[Candidate 4]]))),(SamplingData[[#This Row],[Total]]+SamplingData[[#This Row],[Winning Candidate]]-SamplingData[[#This Row],[Candidate 4]])/(SamplingData[[#Totals],[Winning Candidate]]-SamplingData[[#Totals],[Candidate 4]]), 0)</f>
        <v>7.3080183577421145E-4</v>
      </c>
      <c r="N1294" s="100">
        <f>IF(AND(SamplingData[[#This Row],[Total]]&lt;&gt; 0, NOT(ISBLANK(SamplingData[[#This Row],[Candidate 5]]))),(SamplingData[[#This Row],[Total]]+SamplingData[[#This Row],[Winning Candidate]]-SamplingData[[#This Row],[Candidate 5]])/(SamplingData[[#Totals],[Winning Candidate]]-SamplingData[[#Totals],[Candidate 5]]), 0)</f>
        <v>5.8379956215032843E-4</v>
      </c>
      <c r="O1294" s="100">
        <f>IF(AND(SamplingData[[#This Row],[Total]]&lt;&gt; 0, NOT(ISBLANK(SamplingData[[#This Row],[Candidate 6]]))),(SamplingData[[#This Row],[Total]]+SamplingData[[#This Row],[Winning Candidate]]-SamplingData[[#This Row],[Candidate 6]])/(SamplingData[[#Totals],[Winning Candidate]]-SamplingData[[#Totals],[Candidate 6]]), 0)</f>
        <v>6.0794708428578371E-4</v>
      </c>
      <c r="P1294" s="100">
        <f>MAX(SamplingData[[#This Row],[Error Bound (up) - Max. possible relative overstatement - Losing Candidate]:[Error Bound (up) - Max. possible relative overstatement - Candidate 6]])</f>
        <v>1.224889759921607E-3</v>
      </c>
      <c r="Q1294" s="100">
        <f>IF(SamplingData[[#This Row],[Max Error Bound (up)]] = 0,0,SamplingData[[#This Row],[Max Error Bound (up)]]/SamplingData[[#Totals],[Max Error Bound (up)]])</f>
        <v>1.9385896556891664E-4</v>
      </c>
      <c r="R1294" s="101">
        <f>SUM($Q$5:Q1294)</f>
        <v>0.38336211537287057</v>
      </c>
      <c r="S1294" s="100" t="str">
        <f t="array" ref="S1294">IF(SamplingData[[#This Row],[up/U Selection Probability]] = 0, "Zero", TEXT(SamplingData[[#This Row],[Lower Range]], REPT("0",LEN('General Info'!$B$40))) &amp; " - " &amp; TEXT(SamplingData[[#This Row],[Upper Range]], REPT("0",LEN('General Info'!$B$40))))</f>
        <v>38317 - 38335</v>
      </c>
      <c r="T1294" s="100">
        <f>SamplingData[[#This Row],[Upper Range]]-SamplingData[[#This Row],[Span]]</f>
        <v>38316.82583458913</v>
      </c>
      <c r="U1294" s="100">
        <f>IF(ISNUMBER('General Info'!$B$40), ((SamplingData[[#This Row],[up/U Selection Probability]]) * 'General Info'!$B$40) - 1, 0)</f>
        <v>18.385702697926096</v>
      </c>
      <c r="V1294" s="100">
        <f>IF(ISNUMBER('General Info'!$B$40), (SamplingData[[#This Row],[Running (cumulative) sum]] * ('General Info'!$B$40 -'General Info'!$B$41 + 1)) + 'General Info'!$B$41 - 1, 0)</f>
        <v>38335.211537287054</v>
      </c>
      <c r="W1294" s="100" t="str">
        <f>IF(ISERROR(MATCH(SamplingData[[#This Row],[Batch by Type (p)]],SelectedPrecincts[Batch Name], 0)), "", INDEX(SelectedPrecincts[Draw], MATCH(SamplingData[[#This Row],[Batch by Type (p)]],SelectedPrecincts[Batch Name], 0)))</f>
        <v/>
      </c>
      <c r="X1294" s="102">
        <f>IF(COUNTIF(SelectedPrecincts[Batch Name],SamplingData[[#This Row],[Batch by Type (p)]]) &lt;&gt; 0, COUNTIF(SelectedPrecincts[Batch Name],SamplingData[[#This Row],[Batch by Type (p)]]), 0)</f>
        <v>0</v>
      </c>
    </row>
    <row r="1295" spans="1:24" ht="15" customHeight="1">
      <c r="A1295" s="18" t="s">
        <v>1471</v>
      </c>
      <c r="B1295" s="18">
        <v>22</v>
      </c>
      <c r="C1295" s="18">
        <v>20</v>
      </c>
      <c r="D1295" s="16">
        <v>12</v>
      </c>
      <c r="E1295" s="16">
        <v>10</v>
      </c>
      <c r="F1295" s="37">
        <v>0</v>
      </c>
      <c r="G1295" s="37">
        <v>0</v>
      </c>
      <c r="H1295" s="17">
        <v>0</v>
      </c>
      <c r="I1295" s="17">
        <v>1</v>
      </c>
      <c r="J1295" s="99">
        <f>SUM(SamplingData[[#This Row],[Losing Candidate]:[Under Votes]])</f>
        <v>65</v>
      </c>
      <c r="K1295" s="100">
        <f>IF(AND(SamplingData[[#This Row],[Total]]&lt;&gt; 0, NOT(ISBLANK(SamplingData[[#This Row],[Losing Candidate]]))),(SamplingData[[#This Row],[Total]]+SamplingData[[#This Row],[Winning Candidate]]-SamplingData[[#This Row],[Losing Candidate]])/(SamplingData[[#Totals],[Winning Candidate]]-SamplingData[[#Totals],[Losing Candidate]]), 0)</f>
        <v>3.8584027437530621E-3</v>
      </c>
      <c r="L1295" s="100">
        <f>IF(AND(SamplingData[[#This Row],[Total]]&lt;&gt; 0, NOT(ISBLANK(SamplingData[[#This Row],[Candidate 3]]))),(SamplingData[[#This Row],[Total]]+SamplingData[[#This Row],[Winning Candidate]]-SamplingData[[#This Row],[Candidate 3]])/(SamplingData[[#Totals],[Winning Candidate]]-SamplingData[[#Totals],[Candidate 3]]), 0)</f>
        <v>2.3550666193502597E-3</v>
      </c>
      <c r="M1295" s="100">
        <f>IF(AND(SamplingData[[#This Row],[Total]]&lt;&gt; 0, NOT(ISBLANK(SamplingData[[#This Row],[Candidate 4]]))),(SamplingData[[#This Row],[Total]]+SamplingData[[#This Row],[Winning Candidate]]-SamplingData[[#This Row],[Candidate 4]])/(SamplingData[[#Totals],[Winning Candidate]]-SamplingData[[#Totals],[Candidate 4]]), 0)</f>
        <v>2.1924055073226346E-3</v>
      </c>
      <c r="N1295" s="100">
        <f>IF(AND(SamplingData[[#This Row],[Total]]&lt;&gt; 0, NOT(ISBLANK(SamplingData[[#This Row],[Candidate 5]]))),(SamplingData[[#This Row],[Total]]+SamplingData[[#This Row],[Winning Candidate]]-SamplingData[[#This Row],[Candidate 5]])/(SamplingData[[#Totals],[Winning Candidate]]-SamplingData[[#Totals],[Candidate 5]]), 0)</f>
        <v>2.0676234492824131E-3</v>
      </c>
      <c r="O1295" s="100">
        <f>IF(AND(SamplingData[[#This Row],[Total]]&lt;&gt; 0, NOT(ISBLANK(SamplingData[[#This Row],[Candidate 6]]))),(SamplingData[[#This Row],[Total]]+SamplingData[[#This Row],[Winning Candidate]]-SamplingData[[#This Row],[Candidate 6]])/(SamplingData[[#Totals],[Winning Candidate]]-SamplingData[[#Totals],[Candidate 6]]), 0)</f>
        <v>2.0670200865716649E-3</v>
      </c>
      <c r="P1295" s="100">
        <f>MAX(SamplingData[[#This Row],[Error Bound (up) - Max. possible relative overstatement - Losing Candidate]:[Error Bound (up) - Max. possible relative overstatement - Candidate 6]])</f>
        <v>3.8584027437530621E-3</v>
      </c>
      <c r="Q1295" s="100">
        <f>IF(SamplingData[[#This Row],[Max Error Bound (up)]] = 0,0,SamplingData[[#This Row],[Max Error Bound (up)]]/SamplingData[[#Totals],[Max Error Bound (up)]])</f>
        <v>6.1065574154208738E-4</v>
      </c>
      <c r="R1295" s="101">
        <f>SUM($Q$5:Q1295)</f>
        <v>0.38397277111441264</v>
      </c>
      <c r="S1295" s="100" t="str">
        <f t="array" ref="S1295">IF(SamplingData[[#This Row],[up/U Selection Probability]] = 0, "Zero", TEXT(SamplingData[[#This Row],[Lower Range]], REPT("0",LEN('General Info'!$B$40))) &amp; " - " &amp; TEXT(SamplingData[[#This Row],[Upper Range]], REPT("0",LEN('General Info'!$B$40))))</f>
        <v>38336 - 38396</v>
      </c>
      <c r="T1295" s="100">
        <f>SamplingData[[#This Row],[Upper Range]]-SamplingData[[#This Row],[Span]]</f>
        <v>38336.212147942795</v>
      </c>
      <c r="U1295" s="100">
        <f>IF(ISNUMBER('General Info'!$B$40), ((SamplingData[[#This Row],[up/U Selection Probability]]) * 'General Info'!$B$40) - 1, 0)</f>
        <v>60.064963498467193</v>
      </c>
      <c r="V1295" s="100">
        <f>IF(ISNUMBER('General Info'!$B$40), (SamplingData[[#This Row],[Running (cumulative) sum]] * ('General Info'!$B$40 -'General Info'!$B$41 + 1)) + 'General Info'!$B$41 - 1, 0)</f>
        <v>38396.277111441261</v>
      </c>
      <c r="W1295" s="100" t="str">
        <f>IF(ISERROR(MATCH(SamplingData[[#This Row],[Batch by Type (p)]],SelectedPrecincts[Batch Name], 0)), "", INDEX(SelectedPrecincts[Draw], MATCH(SamplingData[[#This Row],[Batch by Type (p)]],SelectedPrecincts[Batch Name], 0)))</f>
        <v/>
      </c>
      <c r="X1295" s="102">
        <f>IF(COUNTIF(SelectedPrecincts[Batch Name],SamplingData[[#This Row],[Batch by Type (p)]]) &lt;&gt; 0, COUNTIF(SelectedPrecincts[Batch Name],SamplingData[[#This Row],[Batch by Type (p)]]), 0)</f>
        <v>0</v>
      </c>
    </row>
    <row r="1296" spans="1:24" ht="15" customHeight="1">
      <c r="A1296" s="18" t="s">
        <v>1472</v>
      </c>
      <c r="B1296" s="18">
        <v>5</v>
      </c>
      <c r="C1296" s="18">
        <v>8</v>
      </c>
      <c r="D1296" s="18">
        <v>1</v>
      </c>
      <c r="E1296" s="18">
        <v>2</v>
      </c>
      <c r="F1296" s="18">
        <v>0</v>
      </c>
      <c r="G1296" s="18">
        <v>0</v>
      </c>
      <c r="H1296" s="18">
        <v>0</v>
      </c>
      <c r="I1296" s="18">
        <v>0</v>
      </c>
      <c r="J1296" s="99">
        <f>SUM(SamplingData[[#This Row],[Losing Candidate]:[Under Votes]])</f>
        <v>16</v>
      </c>
      <c r="K1296"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296" s="100">
        <f>IF(AND(SamplingData[[#This Row],[Total]]&lt;&gt; 0, NOT(ISBLANK(SamplingData[[#This Row],[Candidate 3]]))),(SamplingData[[#This Row],[Total]]+SamplingData[[#This Row],[Winning Candidate]]-SamplingData[[#This Row],[Candidate 3]])/(SamplingData[[#Totals],[Winning Candidate]]-SamplingData[[#Totals],[Candidate 3]]), 0)</f>
        <v>7.4200729102816406E-4</v>
      </c>
      <c r="M1296" s="100">
        <f>IF(AND(SamplingData[[#This Row],[Total]]&lt;&gt; 0, NOT(ISBLANK(SamplingData[[#This Row],[Candidate 4]]))),(SamplingData[[#This Row],[Total]]+SamplingData[[#This Row],[Winning Candidate]]-SamplingData[[#This Row],[Candidate 4]])/(SamplingData[[#Totals],[Winning Candidate]]-SamplingData[[#Totals],[Candidate 4]]), 0)</f>
        <v>6.4310561548130605E-4</v>
      </c>
      <c r="N1296" s="100">
        <f>IF(AND(SamplingData[[#This Row],[Total]]&lt;&gt; 0, NOT(ISBLANK(SamplingData[[#This Row],[Candidate 5]]))),(SamplingData[[#This Row],[Total]]+SamplingData[[#This Row],[Winning Candidate]]-SamplingData[[#This Row],[Candidate 5]])/(SamplingData[[#Totals],[Winning Candidate]]-SamplingData[[#Totals],[Candidate 5]]), 0)</f>
        <v>5.8379956215032843E-4</v>
      </c>
      <c r="O1296" s="100">
        <f>IF(AND(SamplingData[[#This Row],[Total]]&lt;&gt; 0, NOT(ISBLANK(SamplingData[[#This Row],[Candidate 6]]))),(SamplingData[[#This Row],[Total]]+SamplingData[[#This Row],[Winning Candidate]]-SamplingData[[#This Row],[Candidate 6]])/(SamplingData[[#Totals],[Winning Candidate]]-SamplingData[[#Totals],[Candidate 6]]), 0)</f>
        <v>5.8362920091435243E-4</v>
      </c>
      <c r="P1296" s="100">
        <f>MAX(SamplingData[[#This Row],[Error Bound (up) - Max. possible relative overstatement - Losing Candidate]:[Error Bound (up) - Max. possible relative overstatement - Candidate 6]])</f>
        <v>1.1636452719255266E-3</v>
      </c>
      <c r="Q1296" s="100">
        <f>IF(SamplingData[[#This Row],[Max Error Bound (up)]] = 0,0,SamplingData[[#This Row],[Max Error Bound (up)]]/SamplingData[[#Totals],[Max Error Bound (up)]])</f>
        <v>1.841660172904708E-4</v>
      </c>
      <c r="R1296" s="101">
        <f>SUM($Q$5:Q1296)</f>
        <v>0.38415693713170312</v>
      </c>
      <c r="S1296" s="100" t="str">
        <f t="array" ref="S1296">IF(SamplingData[[#This Row],[up/U Selection Probability]] = 0, "Zero", TEXT(SamplingData[[#This Row],[Lower Range]], REPT("0",LEN('General Info'!$B$40))) &amp; " - " &amp; TEXT(SamplingData[[#This Row],[Upper Range]], REPT("0",LEN('General Info'!$B$40))))</f>
        <v>38397 - 38415</v>
      </c>
      <c r="T1296" s="100">
        <f>SamplingData[[#This Row],[Upper Range]]-SamplingData[[#This Row],[Span]]</f>
        <v>38397.27729560728</v>
      </c>
      <c r="U1296" s="100">
        <f>IF(ISNUMBER('General Info'!$B$40), ((SamplingData[[#This Row],[up/U Selection Probability]]) * 'General Info'!$B$40) - 1, 0)</f>
        <v>17.416417563029789</v>
      </c>
      <c r="V1296" s="100">
        <f>IF(ISNUMBER('General Info'!$B$40), (SamplingData[[#This Row],[Running (cumulative) sum]] * ('General Info'!$B$40 -'General Info'!$B$41 + 1)) + 'General Info'!$B$41 - 1, 0)</f>
        <v>38414.693713170309</v>
      </c>
      <c r="W1296" s="100" t="str">
        <f>IF(ISERROR(MATCH(SamplingData[[#This Row],[Batch by Type (p)]],SelectedPrecincts[Batch Name], 0)), "", INDEX(SelectedPrecincts[Draw], MATCH(SamplingData[[#This Row],[Batch by Type (p)]],SelectedPrecincts[Batch Name], 0)))</f>
        <v/>
      </c>
      <c r="X1296" s="102">
        <f>IF(COUNTIF(SelectedPrecincts[Batch Name],SamplingData[[#This Row],[Batch by Type (p)]]) &lt;&gt; 0, COUNTIF(SelectedPrecincts[Batch Name],SamplingData[[#This Row],[Batch by Type (p)]]), 0)</f>
        <v>0</v>
      </c>
    </row>
    <row r="1297" spans="1:24" ht="15" customHeight="1">
      <c r="A1297" s="18" t="s">
        <v>1473</v>
      </c>
      <c r="B1297" s="18">
        <v>20</v>
      </c>
      <c r="C1297" s="18">
        <v>21</v>
      </c>
      <c r="D1297" s="16">
        <v>3</v>
      </c>
      <c r="E1297" s="16">
        <v>7</v>
      </c>
      <c r="F1297" s="37">
        <v>0</v>
      </c>
      <c r="G1297" s="37">
        <v>0</v>
      </c>
      <c r="H1297" s="17">
        <v>0</v>
      </c>
      <c r="I1297" s="17">
        <v>0</v>
      </c>
      <c r="J1297" s="99">
        <f>SUM(SamplingData[[#This Row],[Losing Candidate]:[Under Votes]])</f>
        <v>51</v>
      </c>
      <c r="K1297"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1297" s="100">
        <f>IF(AND(SamplingData[[#This Row],[Total]]&lt;&gt; 0, NOT(ISBLANK(SamplingData[[#This Row],[Candidate 3]]))),(SamplingData[[#This Row],[Total]]+SamplingData[[#This Row],[Winning Candidate]]-SamplingData[[#This Row],[Candidate 3]])/(SamplingData[[#Totals],[Winning Candidate]]-SamplingData[[#Totals],[Candidate 3]]), 0)</f>
        <v>2.2260218730844922E-3</v>
      </c>
      <c r="M1297" s="100">
        <f>IF(AND(SamplingData[[#This Row],[Total]]&lt;&gt; 0, NOT(ISBLANK(SamplingData[[#This Row],[Candidate 4]]))),(SamplingData[[#This Row],[Total]]+SamplingData[[#This Row],[Winning Candidate]]-SamplingData[[#This Row],[Candidate 4]])/(SamplingData[[#Totals],[Winning Candidate]]-SamplingData[[#Totals],[Candidate 4]]), 0)</f>
        <v>1.9000847730129499E-3</v>
      </c>
      <c r="N1297" s="100">
        <f>IF(AND(SamplingData[[#This Row],[Total]]&lt;&gt; 0, NOT(ISBLANK(SamplingData[[#This Row],[Candidate 5]]))),(SamplingData[[#This Row],[Total]]+SamplingData[[#This Row],[Winning Candidate]]-SamplingData[[#This Row],[Candidate 5]])/(SamplingData[[#Totals],[Winning Candidate]]-SamplingData[[#Totals],[Candidate 5]]), 0)</f>
        <v>1.7513986864509852E-3</v>
      </c>
      <c r="O1297" s="100">
        <f>IF(AND(SamplingData[[#This Row],[Total]]&lt;&gt; 0, NOT(ISBLANK(SamplingData[[#This Row],[Candidate 6]]))),(SamplingData[[#This Row],[Total]]+SamplingData[[#This Row],[Winning Candidate]]-SamplingData[[#This Row],[Candidate 6]])/(SamplingData[[#Totals],[Winning Candidate]]-SamplingData[[#Totals],[Candidate 6]]), 0)</f>
        <v>1.7508876027430573E-3</v>
      </c>
      <c r="P1297" s="100">
        <f>MAX(SamplingData[[#This Row],[Error Bound (up) - Max. possible relative overstatement - Losing Candidate]:[Error Bound (up) - Max. possible relative overstatement - Candidate 6]])</f>
        <v>3.1847133757961785E-3</v>
      </c>
      <c r="Q1297" s="100">
        <f>IF(SamplingData[[#This Row],[Max Error Bound (up)]] = 0,0,SamplingData[[#This Row],[Max Error Bound (up)]]/SamplingData[[#Totals],[Max Error Bound (up)]])</f>
        <v>5.0403331047918325E-4</v>
      </c>
      <c r="R1297" s="101">
        <f>SUM($Q$5:Q1297)</f>
        <v>0.38466097044218228</v>
      </c>
      <c r="S1297" s="100" t="str">
        <f t="array" ref="S1297">IF(SamplingData[[#This Row],[up/U Selection Probability]] = 0, "Zero", TEXT(SamplingData[[#This Row],[Lower Range]], REPT("0",LEN('General Info'!$B$40))) &amp; " - " &amp; TEXT(SamplingData[[#This Row],[Upper Range]], REPT("0",LEN('General Info'!$B$40))))</f>
        <v>38416 - 38465</v>
      </c>
      <c r="T1297" s="100">
        <f>SamplingData[[#This Row],[Upper Range]]-SamplingData[[#This Row],[Span]]</f>
        <v>38415.694217203622</v>
      </c>
      <c r="U1297" s="100">
        <f>IF(ISNUMBER('General Info'!$B$40), ((SamplingData[[#This Row],[up/U Selection Probability]]) * 'General Info'!$B$40) - 1, 0)</f>
        <v>49.402827014607844</v>
      </c>
      <c r="V1297" s="100">
        <f>IF(ISNUMBER('General Info'!$B$40), (SamplingData[[#This Row],[Running (cumulative) sum]] * ('General Info'!$B$40 -'General Info'!$B$41 + 1)) + 'General Info'!$B$41 - 1, 0)</f>
        <v>38465.09704421823</v>
      </c>
      <c r="W1297" s="100" t="str">
        <f>IF(ISERROR(MATCH(SamplingData[[#This Row],[Batch by Type (p)]],SelectedPrecincts[Batch Name], 0)), "", INDEX(SelectedPrecincts[Draw], MATCH(SamplingData[[#This Row],[Batch by Type (p)]],SelectedPrecincts[Batch Name], 0)))</f>
        <v/>
      </c>
      <c r="X1297" s="102">
        <f>IF(COUNTIF(SelectedPrecincts[Batch Name],SamplingData[[#This Row],[Batch by Type (p)]]) &lt;&gt; 0, COUNTIF(SelectedPrecincts[Batch Name],SamplingData[[#This Row],[Batch by Type (p)]]), 0)</f>
        <v>0</v>
      </c>
    </row>
    <row r="1298" spans="1:24" ht="15" customHeight="1">
      <c r="A1298" s="18" t="s">
        <v>1474</v>
      </c>
      <c r="B1298" s="18">
        <v>8</v>
      </c>
      <c r="C1298" s="18">
        <v>1</v>
      </c>
      <c r="D1298" s="18">
        <v>2</v>
      </c>
      <c r="E1298" s="18">
        <v>2</v>
      </c>
      <c r="F1298" s="18">
        <v>0</v>
      </c>
      <c r="G1298" s="18">
        <v>0</v>
      </c>
      <c r="H1298" s="18">
        <v>0</v>
      </c>
      <c r="I1298" s="18">
        <v>0</v>
      </c>
      <c r="J1298" s="99">
        <f>SUM(SamplingData[[#This Row],[Losing Candidate]:[Under Votes]])</f>
        <v>13</v>
      </c>
      <c r="K1298"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298" s="100">
        <f>IF(AND(SamplingData[[#This Row],[Total]]&lt;&gt; 0, NOT(ISBLANK(SamplingData[[#This Row],[Candidate 3]]))),(SamplingData[[#This Row],[Total]]+SamplingData[[#This Row],[Winning Candidate]]-SamplingData[[#This Row],[Candidate 3]])/(SamplingData[[#Totals],[Winning Candidate]]-SamplingData[[#Totals],[Candidate 3]]), 0)</f>
        <v>3.8713423879730297E-4</v>
      </c>
      <c r="M1298" s="100">
        <f>IF(AND(SamplingData[[#This Row],[Total]]&lt;&gt; 0, NOT(ISBLANK(SamplingData[[#This Row],[Candidate 4]]))),(SamplingData[[#This Row],[Total]]+SamplingData[[#This Row],[Winning Candidate]]-SamplingData[[#This Row],[Candidate 4]])/(SamplingData[[#Totals],[Winning Candidate]]-SamplingData[[#Totals],[Candidate 4]]), 0)</f>
        <v>3.5078488117162149E-4</v>
      </c>
      <c r="N1298" s="100">
        <f>IF(AND(SamplingData[[#This Row],[Total]]&lt;&gt; 0, NOT(ISBLANK(SamplingData[[#This Row],[Candidate 5]]))),(SamplingData[[#This Row],[Total]]+SamplingData[[#This Row],[Winning Candidate]]-SamplingData[[#This Row],[Candidate 5]])/(SamplingData[[#Totals],[Winning Candidate]]-SamplingData[[#Totals],[Candidate 5]]), 0)</f>
        <v>3.4054974458769157E-4</v>
      </c>
      <c r="O1298" s="100">
        <f>IF(AND(SamplingData[[#This Row],[Total]]&lt;&gt; 0, NOT(ISBLANK(SamplingData[[#This Row],[Candidate 6]]))),(SamplingData[[#This Row],[Total]]+SamplingData[[#This Row],[Winning Candidate]]-SamplingData[[#This Row],[Candidate 6]])/(SamplingData[[#Totals],[Winning Candidate]]-SamplingData[[#Totals],[Candidate 6]]), 0)</f>
        <v>3.4045036720003888E-4</v>
      </c>
      <c r="P1298" s="100">
        <f>MAX(SamplingData[[#This Row],[Error Bound (up) - Max. possible relative overstatement - Losing Candidate]:[Error Bound (up) - Max. possible relative overstatement - Candidate 6]])</f>
        <v>3.8713423879730297E-4</v>
      </c>
      <c r="Q1298" s="100">
        <f>IF(SamplingData[[#This Row],[Max Error Bound (up)]] = 0,0,SamplingData[[#This Row],[Max Error Bound (up)]]/SamplingData[[#Totals],[Max Error Bound (up)]])</f>
        <v>6.1270365321984796E-5</v>
      </c>
      <c r="R1298" s="101">
        <f>SUM($Q$5:Q1298)</f>
        <v>0.38472224080750428</v>
      </c>
      <c r="S1298" s="100" t="str">
        <f t="array" ref="S1298">IF(SamplingData[[#This Row],[up/U Selection Probability]] = 0, "Zero", TEXT(SamplingData[[#This Row],[Lower Range]], REPT("0",LEN('General Info'!$B$40))) &amp; " - " &amp; TEXT(SamplingData[[#This Row],[Upper Range]], REPT("0",LEN('General Info'!$B$40))))</f>
        <v>38466 - 38471</v>
      </c>
      <c r="T1298" s="100">
        <f>SamplingData[[#This Row],[Upper Range]]-SamplingData[[#This Row],[Span]]</f>
        <v>38466.097105488596</v>
      </c>
      <c r="U1298" s="100">
        <f>IF(ISNUMBER('General Info'!$B$40), ((SamplingData[[#This Row],[up/U Selection Probability]]) * 'General Info'!$B$40) - 1, 0)</f>
        <v>5.1269752618331577</v>
      </c>
      <c r="V1298" s="100">
        <f>IF(ISNUMBER('General Info'!$B$40), (SamplingData[[#This Row],[Running (cumulative) sum]] * ('General Info'!$B$40 -'General Info'!$B$41 + 1)) + 'General Info'!$B$41 - 1, 0)</f>
        <v>38471.224080750428</v>
      </c>
      <c r="W1298" s="100" t="str">
        <f>IF(ISERROR(MATCH(SamplingData[[#This Row],[Batch by Type (p)]],SelectedPrecincts[Batch Name], 0)), "", INDEX(SelectedPrecincts[Draw], MATCH(SamplingData[[#This Row],[Batch by Type (p)]],SelectedPrecincts[Batch Name], 0)))</f>
        <v/>
      </c>
      <c r="X1298" s="102">
        <f>IF(COUNTIF(SelectedPrecincts[Batch Name],SamplingData[[#This Row],[Batch by Type (p)]]) &lt;&gt; 0, COUNTIF(SelectedPrecincts[Batch Name],SamplingData[[#This Row],[Batch by Type (p)]]), 0)</f>
        <v>0</v>
      </c>
    </row>
    <row r="1299" spans="1:24" ht="15" customHeight="1">
      <c r="A1299" s="18" t="s">
        <v>1475</v>
      </c>
      <c r="B1299" s="18">
        <v>13</v>
      </c>
      <c r="C1299" s="18">
        <v>24</v>
      </c>
      <c r="D1299" s="16">
        <v>3</v>
      </c>
      <c r="E1299" s="16">
        <v>9</v>
      </c>
      <c r="F1299" s="37">
        <v>0</v>
      </c>
      <c r="G1299" s="37">
        <v>0</v>
      </c>
      <c r="H1299" s="17">
        <v>0</v>
      </c>
      <c r="I1299" s="17">
        <v>1</v>
      </c>
      <c r="J1299" s="99">
        <f>SUM(SamplingData[[#This Row],[Losing Candidate]:[Under Votes]])</f>
        <v>50</v>
      </c>
      <c r="K1299"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299" s="100">
        <f>IF(AND(SamplingData[[#This Row],[Total]]&lt;&gt; 0, NOT(ISBLANK(SamplingData[[#This Row],[Candidate 3]]))),(SamplingData[[#This Row],[Total]]+SamplingData[[#This Row],[Winning Candidate]]-SamplingData[[#This Row],[Candidate 3]])/(SamplingData[[#Totals],[Winning Candidate]]-SamplingData[[#Totals],[Candidate 3]]), 0)</f>
        <v>2.2905442462173757E-3</v>
      </c>
      <c r="M1299" s="100">
        <f>IF(AND(SamplingData[[#This Row],[Total]]&lt;&gt; 0, NOT(ISBLANK(SamplingData[[#This Row],[Candidate 4]]))),(SamplingData[[#This Row],[Total]]+SamplingData[[#This Row],[Winning Candidate]]-SamplingData[[#This Row],[Candidate 4]])/(SamplingData[[#Totals],[Winning Candidate]]-SamplingData[[#Totals],[Candidate 4]]), 0)</f>
        <v>1.9000847730129499E-3</v>
      </c>
      <c r="N1299" s="100">
        <f>IF(AND(SamplingData[[#This Row],[Total]]&lt;&gt; 0, NOT(ISBLANK(SamplingData[[#This Row],[Candidate 5]]))),(SamplingData[[#This Row],[Total]]+SamplingData[[#This Row],[Winning Candidate]]-SamplingData[[#This Row],[Candidate 5]])/(SamplingData[[#Totals],[Winning Candidate]]-SamplingData[[#Totals],[Candidate 5]]), 0)</f>
        <v>1.8000486499635125E-3</v>
      </c>
      <c r="O1299" s="100">
        <f>IF(AND(SamplingData[[#This Row],[Total]]&lt;&gt; 0, NOT(ISBLANK(SamplingData[[#This Row],[Candidate 6]]))),(SamplingData[[#This Row],[Total]]+SamplingData[[#This Row],[Winning Candidate]]-SamplingData[[#This Row],[Candidate 6]])/(SamplingData[[#Totals],[Winning Candidate]]-SamplingData[[#Totals],[Candidate 6]]), 0)</f>
        <v>1.7995233694859199E-3</v>
      </c>
      <c r="P1299" s="100">
        <f>MAX(SamplingData[[#This Row],[Error Bound (up) - Max. possible relative overstatement - Losing Candidate]:[Error Bound (up) - Max. possible relative overstatement - Candidate 6]])</f>
        <v>3.7359137677609017E-3</v>
      </c>
      <c r="Q1299" s="100">
        <f>IF(SamplingData[[#This Row],[Max Error Bound (up)]] = 0,0,SamplingData[[#This Row],[Max Error Bound (up)]]/SamplingData[[#Totals],[Max Error Bound (up)]])</f>
        <v>5.9126984498519581E-4</v>
      </c>
      <c r="R1299" s="101">
        <f>SUM($Q$5:Q1299)</f>
        <v>0.38531351065248948</v>
      </c>
      <c r="S1299" s="100" t="str">
        <f t="array" ref="S1299">IF(SamplingData[[#This Row],[up/U Selection Probability]] = 0, "Zero", TEXT(SamplingData[[#This Row],[Lower Range]], REPT("0",LEN('General Info'!$B$40))) &amp; " - " &amp; TEXT(SamplingData[[#This Row],[Upper Range]], REPT("0",LEN('General Info'!$B$40))))</f>
        <v>38472 - 38530</v>
      </c>
      <c r="T1299" s="100">
        <f>SamplingData[[#This Row],[Upper Range]]-SamplingData[[#This Row],[Span]]</f>
        <v>38472.224672020275</v>
      </c>
      <c r="U1299" s="100">
        <f>IF(ISNUMBER('General Info'!$B$40), ((SamplingData[[#This Row],[up/U Selection Probability]]) * 'General Info'!$B$40) - 1, 0)</f>
        <v>58.126393228674594</v>
      </c>
      <c r="V1299" s="100">
        <f>IF(ISNUMBER('General Info'!$B$40), (SamplingData[[#This Row],[Running (cumulative) sum]] * ('General Info'!$B$40 -'General Info'!$B$41 + 1)) + 'General Info'!$B$41 - 1, 0)</f>
        <v>38530.351065248949</v>
      </c>
      <c r="W1299" s="100" t="str">
        <f>IF(ISERROR(MATCH(SamplingData[[#This Row],[Batch by Type (p)]],SelectedPrecincts[Batch Name], 0)), "", INDEX(SelectedPrecincts[Draw], MATCH(SamplingData[[#This Row],[Batch by Type (p)]],SelectedPrecincts[Batch Name], 0)))</f>
        <v/>
      </c>
      <c r="X1299" s="102">
        <f>IF(COUNTIF(SelectedPrecincts[Batch Name],SamplingData[[#This Row],[Batch by Type (p)]]) &lt;&gt; 0, COUNTIF(SelectedPrecincts[Batch Name],SamplingData[[#This Row],[Batch by Type (p)]]), 0)</f>
        <v>0</v>
      </c>
    </row>
    <row r="1300" spans="1:24" ht="15" customHeight="1">
      <c r="A1300" s="18" t="s">
        <v>1476</v>
      </c>
      <c r="B1300" s="18">
        <v>9</v>
      </c>
      <c r="C1300" s="18">
        <v>10</v>
      </c>
      <c r="D1300" s="18">
        <v>5</v>
      </c>
      <c r="E1300" s="18">
        <v>1</v>
      </c>
      <c r="F1300" s="18">
        <v>1</v>
      </c>
      <c r="G1300" s="18">
        <v>2</v>
      </c>
      <c r="H1300" s="18">
        <v>0</v>
      </c>
      <c r="I1300" s="18">
        <v>0</v>
      </c>
      <c r="J1300" s="99">
        <f>SUM(SamplingData[[#This Row],[Losing Candidate]:[Under Votes]])</f>
        <v>28</v>
      </c>
      <c r="K1300"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1300" s="100">
        <f>IF(AND(SamplingData[[#This Row],[Total]]&lt;&gt; 0, NOT(ISBLANK(SamplingData[[#This Row],[Candidate 3]]))),(SamplingData[[#This Row],[Total]]+SamplingData[[#This Row],[Winning Candidate]]-SamplingData[[#This Row],[Candidate 3]])/(SamplingData[[#Totals],[Winning Candidate]]-SamplingData[[#Totals],[Candidate 3]]), 0)</f>
        <v>1.0646191566925831E-3</v>
      </c>
      <c r="M1300" s="100">
        <f>IF(AND(SamplingData[[#This Row],[Total]]&lt;&gt; 0, NOT(ISBLANK(SamplingData[[#This Row],[Candidate 4]]))),(SamplingData[[#This Row],[Total]]+SamplingData[[#This Row],[Winning Candidate]]-SamplingData[[#This Row],[Candidate 4]])/(SamplingData[[#Totals],[Winning Candidate]]-SamplingData[[#Totals],[Candidate 4]]), 0)</f>
        <v>1.081586716945833E-3</v>
      </c>
      <c r="N1300" s="100">
        <f>IF(AND(SamplingData[[#This Row],[Total]]&lt;&gt; 0, NOT(ISBLANK(SamplingData[[#This Row],[Candidate 5]]))),(SamplingData[[#This Row],[Total]]+SamplingData[[#This Row],[Winning Candidate]]-SamplingData[[#This Row],[Candidate 5]])/(SamplingData[[#Totals],[Winning Candidate]]-SamplingData[[#Totals],[Candidate 5]]), 0)</f>
        <v>9.0002432498175627E-4</v>
      </c>
      <c r="O1300" s="100">
        <f>IF(AND(SamplingData[[#This Row],[Total]]&lt;&gt; 0, NOT(ISBLANK(SamplingData[[#This Row],[Candidate 6]]))),(SamplingData[[#This Row],[Total]]+SamplingData[[#This Row],[Winning Candidate]]-SamplingData[[#This Row],[Candidate 6]])/(SamplingData[[#Totals],[Winning Candidate]]-SamplingData[[#Totals],[Candidate 6]]), 0)</f>
        <v>8.7544380137152865E-4</v>
      </c>
      <c r="P1300" s="100">
        <f>MAX(SamplingData[[#This Row],[Error Bound (up) - Max. possible relative overstatement - Losing Candidate]:[Error Bound (up) - Max. possible relative overstatement - Candidate 6]])</f>
        <v>1.7760901518863303E-3</v>
      </c>
      <c r="Q1300" s="100">
        <f>IF(SamplingData[[#This Row],[Max Error Bound (up)]] = 0,0,SamplingData[[#This Row],[Max Error Bound (up)]]/SamplingData[[#Totals],[Max Error Bound (up)]])</f>
        <v>2.8109550007492914E-4</v>
      </c>
      <c r="R1300" s="101">
        <f>SUM($Q$5:Q1300)</f>
        <v>0.38559460615256441</v>
      </c>
      <c r="S1300" s="100" t="str">
        <f t="array" ref="S1300">IF(SamplingData[[#This Row],[up/U Selection Probability]] = 0, "Zero", TEXT(SamplingData[[#This Row],[Lower Range]], REPT("0",LEN('General Info'!$B$40))) &amp; " - " &amp; TEXT(SamplingData[[#This Row],[Upper Range]], REPT("0",LEN('General Info'!$B$40))))</f>
        <v>38531 - 38558</v>
      </c>
      <c r="T1300" s="100">
        <f>SamplingData[[#This Row],[Upper Range]]-SamplingData[[#This Row],[Span]]</f>
        <v>38531.351346344454</v>
      </c>
      <c r="U1300" s="100">
        <f>IF(ISNUMBER('General Info'!$B$40), ((SamplingData[[#This Row],[up/U Selection Probability]]) * 'General Info'!$B$40) - 1, 0)</f>
        <v>27.109268911992839</v>
      </c>
      <c r="V1300" s="100">
        <f>IF(ISNUMBER('General Info'!$B$40), (SamplingData[[#This Row],[Running (cumulative) sum]] * ('General Info'!$B$40 -'General Info'!$B$41 + 1)) + 'General Info'!$B$41 - 1, 0)</f>
        <v>38558.460615256445</v>
      </c>
      <c r="W1300" s="100" t="str">
        <f>IF(ISERROR(MATCH(SamplingData[[#This Row],[Batch by Type (p)]],SelectedPrecincts[Batch Name], 0)), "", INDEX(SelectedPrecincts[Draw], MATCH(SamplingData[[#This Row],[Batch by Type (p)]],SelectedPrecincts[Batch Name], 0)))</f>
        <v/>
      </c>
      <c r="X1300" s="102">
        <f>IF(COUNTIF(SelectedPrecincts[Batch Name],SamplingData[[#This Row],[Batch by Type (p)]]) &lt;&gt; 0, COUNTIF(SelectedPrecincts[Batch Name],SamplingData[[#This Row],[Batch by Type (p)]]), 0)</f>
        <v>0</v>
      </c>
    </row>
    <row r="1301" spans="1:24" ht="15" customHeight="1">
      <c r="A1301" s="18" t="s">
        <v>1477</v>
      </c>
      <c r="B1301" s="18">
        <v>5</v>
      </c>
      <c r="C1301" s="18">
        <v>24</v>
      </c>
      <c r="D1301" s="16">
        <v>5</v>
      </c>
      <c r="E1301" s="16">
        <v>7</v>
      </c>
      <c r="F1301" s="37">
        <v>0</v>
      </c>
      <c r="G1301" s="37">
        <v>0</v>
      </c>
      <c r="H1301" s="17">
        <v>0</v>
      </c>
      <c r="I1301" s="17">
        <v>0</v>
      </c>
      <c r="J1301" s="99">
        <f>SUM(SamplingData[[#This Row],[Losing Candidate]:[Under Votes]])</f>
        <v>41</v>
      </c>
      <c r="K1301"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301" s="100">
        <f>IF(AND(SamplingData[[#This Row],[Total]]&lt;&gt; 0, NOT(ISBLANK(SamplingData[[#This Row],[Candidate 3]]))),(SamplingData[[#This Row],[Total]]+SamplingData[[#This Row],[Winning Candidate]]-SamplingData[[#This Row],[Candidate 3]])/(SamplingData[[#Totals],[Winning Candidate]]-SamplingData[[#Totals],[Candidate 3]]), 0)</f>
        <v>1.9356711939865149E-3</v>
      </c>
      <c r="M1301" s="100">
        <f>IF(AND(SamplingData[[#This Row],[Total]]&lt;&gt; 0, NOT(ISBLANK(SamplingData[[#This Row],[Candidate 4]]))),(SamplingData[[#This Row],[Total]]+SamplingData[[#This Row],[Winning Candidate]]-SamplingData[[#This Row],[Candidate 4]])/(SamplingData[[#Totals],[Winning Candidate]]-SamplingData[[#Totals],[Candidate 4]]), 0)</f>
        <v>1.6954602589961706E-3</v>
      </c>
      <c r="N1301" s="100">
        <f>IF(AND(SamplingData[[#This Row],[Total]]&lt;&gt; 0, NOT(ISBLANK(SamplingData[[#This Row],[Candidate 5]]))),(SamplingData[[#This Row],[Total]]+SamplingData[[#This Row],[Winning Candidate]]-SamplingData[[#This Row],[Candidate 5]])/(SamplingData[[#Totals],[Winning Candidate]]-SamplingData[[#Totals],[Candidate 5]]), 0)</f>
        <v>1.5811238141571393E-3</v>
      </c>
      <c r="O1301" s="100">
        <f>IF(AND(SamplingData[[#This Row],[Total]]&lt;&gt; 0, NOT(ISBLANK(SamplingData[[#This Row],[Candidate 6]]))),(SamplingData[[#This Row],[Total]]+SamplingData[[#This Row],[Winning Candidate]]-SamplingData[[#This Row],[Candidate 6]])/(SamplingData[[#Totals],[Winning Candidate]]-SamplingData[[#Totals],[Candidate 6]]), 0)</f>
        <v>1.5806624191430378E-3</v>
      </c>
      <c r="P1301" s="100">
        <f>MAX(SamplingData[[#This Row],[Error Bound (up) - Max. possible relative overstatement - Losing Candidate]:[Error Bound (up) - Max. possible relative overstatement - Candidate 6]])</f>
        <v>3.6746692797648213E-3</v>
      </c>
      <c r="Q1301" s="100">
        <f>IF(SamplingData[[#This Row],[Max Error Bound (up)]] = 0,0,SamplingData[[#This Row],[Max Error Bound (up)]]/SamplingData[[#Totals],[Max Error Bound (up)]])</f>
        <v>5.8157689670674997E-4</v>
      </c>
      <c r="R1301" s="101">
        <f>SUM($Q$5:Q1301)</f>
        <v>0.38617618304927115</v>
      </c>
      <c r="S1301" s="100" t="str">
        <f t="array" ref="S1301">IF(SamplingData[[#This Row],[up/U Selection Probability]] = 0, "Zero", TEXT(SamplingData[[#This Row],[Lower Range]], REPT("0",LEN('General Info'!$B$40))) &amp; " - " &amp; TEXT(SamplingData[[#This Row],[Upper Range]], REPT("0",LEN('General Info'!$B$40))))</f>
        <v>38559 - 38617</v>
      </c>
      <c r="T1301" s="100">
        <f>SamplingData[[#This Row],[Upper Range]]-SamplingData[[#This Row],[Span]]</f>
        <v>38559.461196833334</v>
      </c>
      <c r="U1301" s="100">
        <f>IF(ISNUMBER('General Info'!$B$40), ((SamplingData[[#This Row],[up/U Selection Probability]]) * 'General Info'!$B$40) - 1, 0)</f>
        <v>57.157108093778291</v>
      </c>
      <c r="V1301" s="100">
        <f>IF(ISNUMBER('General Info'!$B$40), (SamplingData[[#This Row],[Running (cumulative) sum]] * ('General Info'!$B$40 -'General Info'!$B$41 + 1)) + 'General Info'!$B$41 - 1, 0)</f>
        <v>38616.618304927113</v>
      </c>
      <c r="W1301" s="100" t="str">
        <f>IF(ISERROR(MATCH(SamplingData[[#This Row],[Batch by Type (p)]],SelectedPrecincts[Batch Name], 0)), "", INDEX(SelectedPrecincts[Draw], MATCH(SamplingData[[#This Row],[Batch by Type (p)]],SelectedPrecincts[Batch Name], 0)))</f>
        <v/>
      </c>
      <c r="X1301" s="102">
        <f>IF(COUNTIF(SelectedPrecincts[Batch Name],SamplingData[[#This Row],[Batch by Type (p)]]) &lt;&gt; 0, COUNTIF(SelectedPrecincts[Batch Name],SamplingData[[#This Row],[Batch by Type (p)]]), 0)</f>
        <v>0</v>
      </c>
    </row>
    <row r="1302" spans="1:24" ht="15" customHeight="1">
      <c r="A1302" s="18" t="s">
        <v>1478</v>
      </c>
      <c r="B1302" s="18">
        <v>10</v>
      </c>
      <c r="C1302" s="18">
        <v>5</v>
      </c>
      <c r="D1302" s="18">
        <v>4</v>
      </c>
      <c r="E1302" s="18">
        <v>1</v>
      </c>
      <c r="F1302" s="18">
        <v>0</v>
      </c>
      <c r="G1302" s="18">
        <v>0</v>
      </c>
      <c r="H1302" s="18">
        <v>0</v>
      </c>
      <c r="I1302" s="18">
        <v>1</v>
      </c>
      <c r="J1302" s="99">
        <f>SUM(SamplingData[[#This Row],[Losing Candidate]:[Under Votes]])</f>
        <v>21</v>
      </c>
      <c r="K1302"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302" s="100">
        <f>IF(AND(SamplingData[[#This Row],[Total]]&lt;&gt; 0, NOT(ISBLANK(SamplingData[[#This Row],[Candidate 3]]))),(SamplingData[[#This Row],[Total]]+SamplingData[[#This Row],[Winning Candidate]]-SamplingData[[#This Row],[Candidate 3]])/(SamplingData[[#Totals],[Winning Candidate]]-SamplingData[[#Totals],[Candidate 3]]), 0)</f>
        <v>7.0974610446172207E-4</v>
      </c>
      <c r="M1302" s="100">
        <f>IF(AND(SamplingData[[#This Row],[Total]]&lt;&gt; 0, NOT(ISBLANK(SamplingData[[#This Row],[Candidate 4]]))),(SamplingData[[#This Row],[Total]]+SamplingData[[#This Row],[Winning Candidate]]-SamplingData[[#This Row],[Candidate 4]])/(SamplingData[[#Totals],[Winning Candidate]]-SamplingData[[#Totals],[Candidate 4]]), 0)</f>
        <v>7.3080183577421145E-4</v>
      </c>
      <c r="N1302" s="100">
        <f>IF(AND(SamplingData[[#This Row],[Total]]&lt;&gt; 0, NOT(ISBLANK(SamplingData[[#This Row],[Candidate 5]]))),(SamplingData[[#This Row],[Total]]+SamplingData[[#This Row],[Winning Candidate]]-SamplingData[[#This Row],[Candidate 5]])/(SamplingData[[#Totals],[Winning Candidate]]-SamplingData[[#Totals],[Candidate 5]]), 0)</f>
        <v>6.3244952566285579E-4</v>
      </c>
      <c r="O1302" s="100">
        <f>IF(AND(SamplingData[[#This Row],[Total]]&lt;&gt; 0, NOT(ISBLANK(SamplingData[[#This Row],[Candidate 6]]))),(SamplingData[[#This Row],[Total]]+SamplingData[[#This Row],[Winning Candidate]]-SamplingData[[#This Row],[Candidate 6]])/(SamplingData[[#Totals],[Winning Candidate]]-SamplingData[[#Totals],[Candidate 6]]), 0)</f>
        <v>6.322649676572151E-4</v>
      </c>
      <c r="P1302" s="100">
        <f>MAX(SamplingData[[#This Row],[Error Bound (up) - Max. possible relative overstatement - Losing Candidate]:[Error Bound (up) - Max. possible relative overstatement - Candidate 6]])</f>
        <v>9.7991180793728563E-4</v>
      </c>
      <c r="Q1302" s="100">
        <f>IF(SamplingData[[#This Row],[Max Error Bound (up)]] = 0,0,SamplingData[[#This Row],[Max Error Bound (up)]]/SamplingData[[#Totals],[Max Error Bound (up)]])</f>
        <v>1.550871724551333E-4</v>
      </c>
      <c r="R1302" s="101">
        <f>SUM($Q$5:Q1302)</f>
        <v>0.38633127022172631</v>
      </c>
      <c r="S1302" s="100" t="str">
        <f t="array" ref="S1302">IF(SamplingData[[#This Row],[up/U Selection Probability]] = 0, "Zero", TEXT(SamplingData[[#This Row],[Lower Range]], REPT("0",LEN('General Info'!$B$40))) &amp; " - " &amp; TEXT(SamplingData[[#This Row],[Upper Range]], REPT("0",LEN('General Info'!$B$40))))</f>
        <v>38618 - 38632</v>
      </c>
      <c r="T1302" s="100">
        <f>SamplingData[[#This Row],[Upper Range]]-SamplingData[[#This Row],[Span]]</f>
        <v>38617.618460014288</v>
      </c>
      <c r="U1302" s="100">
        <f>IF(ISNUMBER('General Info'!$B$40), ((SamplingData[[#This Row],[up/U Selection Probability]]) * 'General Info'!$B$40) - 1, 0)</f>
        <v>14.508562158340876</v>
      </c>
      <c r="V1302" s="100">
        <f>IF(ISNUMBER('General Info'!$B$40), (SamplingData[[#This Row],[Running (cumulative) sum]] * ('General Info'!$B$40 -'General Info'!$B$41 + 1)) + 'General Info'!$B$41 - 1, 0)</f>
        <v>38632.12702217263</v>
      </c>
      <c r="W1302" s="100" t="str">
        <f>IF(ISERROR(MATCH(SamplingData[[#This Row],[Batch by Type (p)]],SelectedPrecincts[Batch Name], 0)), "", INDEX(SelectedPrecincts[Draw], MATCH(SamplingData[[#This Row],[Batch by Type (p)]],SelectedPrecincts[Batch Name], 0)))</f>
        <v/>
      </c>
      <c r="X1302" s="102">
        <f>IF(COUNTIF(SelectedPrecincts[Batch Name],SamplingData[[#This Row],[Batch by Type (p)]]) &lt;&gt; 0, COUNTIF(SelectedPrecincts[Batch Name],SamplingData[[#This Row],[Batch by Type (p)]]), 0)</f>
        <v>0</v>
      </c>
    </row>
    <row r="1303" spans="1:24" ht="15" customHeight="1">
      <c r="A1303" s="18" t="s">
        <v>1479</v>
      </c>
      <c r="B1303" s="18">
        <v>16</v>
      </c>
      <c r="C1303" s="18">
        <v>22</v>
      </c>
      <c r="D1303" s="16">
        <v>4</v>
      </c>
      <c r="E1303" s="16">
        <v>13</v>
      </c>
      <c r="F1303" s="37">
        <v>0</v>
      </c>
      <c r="G1303" s="37">
        <v>0</v>
      </c>
      <c r="H1303" s="17">
        <v>0</v>
      </c>
      <c r="I1303" s="17">
        <v>0</v>
      </c>
      <c r="J1303" s="99">
        <f>SUM(SamplingData[[#This Row],[Losing Candidate]:[Under Votes]])</f>
        <v>55</v>
      </c>
      <c r="K1303"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303" s="100">
        <f>IF(AND(SamplingData[[#This Row],[Total]]&lt;&gt; 0, NOT(ISBLANK(SamplingData[[#This Row],[Candidate 3]]))),(SamplingData[[#This Row],[Total]]+SamplingData[[#This Row],[Winning Candidate]]-SamplingData[[#This Row],[Candidate 3]])/(SamplingData[[#Totals],[Winning Candidate]]-SamplingData[[#Totals],[Candidate 3]]), 0)</f>
        <v>2.3550666193502597E-3</v>
      </c>
      <c r="M1303" s="100">
        <f>IF(AND(SamplingData[[#This Row],[Total]]&lt;&gt; 0, NOT(ISBLANK(SamplingData[[#This Row],[Candidate 4]]))),(SamplingData[[#This Row],[Total]]+SamplingData[[#This Row],[Winning Candidate]]-SamplingData[[#This Row],[Candidate 4]])/(SamplingData[[#Totals],[Winning Candidate]]-SamplingData[[#Totals],[Candidate 4]]), 0)</f>
        <v>1.8708526995819814E-3</v>
      </c>
      <c r="N1303" s="100">
        <f>IF(AND(SamplingData[[#This Row],[Total]]&lt;&gt; 0, NOT(ISBLANK(SamplingData[[#This Row],[Candidate 5]]))),(SamplingData[[#This Row],[Total]]+SamplingData[[#This Row],[Winning Candidate]]-SamplingData[[#This Row],[Candidate 5]])/(SamplingData[[#Totals],[Winning Candidate]]-SamplingData[[#Totals],[Candidate 5]]), 0)</f>
        <v>1.8730235952323035E-3</v>
      </c>
      <c r="O1303" s="100">
        <f>IF(AND(SamplingData[[#This Row],[Total]]&lt;&gt; 0, NOT(ISBLANK(SamplingData[[#This Row],[Candidate 6]]))),(SamplingData[[#This Row],[Total]]+SamplingData[[#This Row],[Winning Candidate]]-SamplingData[[#This Row],[Candidate 6]])/(SamplingData[[#Totals],[Winning Candidate]]-SamplingData[[#Totals],[Candidate 6]]), 0)</f>
        <v>1.872477019600214E-3</v>
      </c>
      <c r="P1303" s="100">
        <f>MAX(SamplingData[[#This Row],[Error Bound (up) - Max. possible relative overstatement - Losing Candidate]:[Error Bound (up) - Max. possible relative overstatement - Candidate 6]])</f>
        <v>3.7359137677609017E-3</v>
      </c>
      <c r="Q1303" s="100">
        <f>IF(SamplingData[[#This Row],[Max Error Bound (up)]] = 0,0,SamplingData[[#This Row],[Max Error Bound (up)]]/SamplingData[[#Totals],[Max Error Bound (up)]])</f>
        <v>5.9126984498519581E-4</v>
      </c>
      <c r="R1303" s="101">
        <f>SUM($Q$5:Q1303)</f>
        <v>0.38692254006671151</v>
      </c>
      <c r="S1303" s="100" t="str">
        <f t="array" ref="S1303">IF(SamplingData[[#This Row],[up/U Selection Probability]] = 0, "Zero", TEXT(SamplingData[[#This Row],[Lower Range]], REPT("0",LEN('General Info'!$B$40))) &amp; " - " &amp; TEXT(SamplingData[[#This Row],[Upper Range]], REPT("0",LEN('General Info'!$B$40))))</f>
        <v>38633 - 38691</v>
      </c>
      <c r="T1303" s="100">
        <f>SamplingData[[#This Row],[Upper Range]]-SamplingData[[#This Row],[Span]]</f>
        <v>38633.127613442477</v>
      </c>
      <c r="U1303" s="100">
        <f>IF(ISNUMBER('General Info'!$B$40), ((SamplingData[[#This Row],[up/U Selection Probability]]) * 'General Info'!$B$40) - 1, 0)</f>
        <v>58.126393228674594</v>
      </c>
      <c r="V1303" s="100">
        <f>IF(ISNUMBER('General Info'!$B$40), (SamplingData[[#This Row],[Running (cumulative) sum]] * ('General Info'!$B$40 -'General Info'!$B$41 + 1)) + 'General Info'!$B$41 - 1, 0)</f>
        <v>38691.254006671152</v>
      </c>
      <c r="W1303" s="100" t="str">
        <f>IF(ISERROR(MATCH(SamplingData[[#This Row],[Batch by Type (p)]],SelectedPrecincts[Batch Name], 0)), "", INDEX(SelectedPrecincts[Draw], MATCH(SamplingData[[#This Row],[Batch by Type (p)]],SelectedPrecincts[Batch Name], 0)))</f>
        <v/>
      </c>
      <c r="X1303" s="102">
        <f>IF(COUNTIF(SelectedPrecincts[Batch Name],SamplingData[[#This Row],[Batch by Type (p)]]) &lt;&gt; 0, COUNTIF(SelectedPrecincts[Batch Name],SamplingData[[#This Row],[Batch by Type (p)]]), 0)</f>
        <v>0</v>
      </c>
    </row>
    <row r="1304" spans="1:24" ht="15" customHeight="1">
      <c r="A1304" s="18" t="s">
        <v>1480</v>
      </c>
      <c r="B1304" s="18">
        <v>7</v>
      </c>
      <c r="C1304" s="18">
        <v>1</v>
      </c>
      <c r="D1304" s="18">
        <v>1</v>
      </c>
      <c r="E1304" s="18">
        <v>3</v>
      </c>
      <c r="F1304" s="18">
        <v>0</v>
      </c>
      <c r="G1304" s="18">
        <v>0</v>
      </c>
      <c r="H1304" s="18">
        <v>0</v>
      </c>
      <c r="I1304" s="18">
        <v>0</v>
      </c>
      <c r="J1304" s="99">
        <f>SUM(SamplingData[[#This Row],[Losing Candidate]:[Under Votes]])</f>
        <v>12</v>
      </c>
      <c r="K1304"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304" s="100">
        <f>IF(AND(SamplingData[[#This Row],[Total]]&lt;&gt; 0, NOT(ISBLANK(SamplingData[[#This Row],[Candidate 3]]))),(SamplingData[[#This Row],[Total]]+SamplingData[[#This Row],[Winning Candidate]]-SamplingData[[#This Row],[Candidate 3]])/(SamplingData[[#Totals],[Winning Candidate]]-SamplingData[[#Totals],[Candidate 3]]), 0)</f>
        <v>3.8713423879730297E-4</v>
      </c>
      <c r="M1304" s="100">
        <f>IF(AND(SamplingData[[#This Row],[Total]]&lt;&gt; 0, NOT(ISBLANK(SamplingData[[#This Row],[Candidate 4]]))),(SamplingData[[#This Row],[Total]]+SamplingData[[#This Row],[Winning Candidate]]-SamplingData[[#This Row],[Candidate 4]])/(SamplingData[[#Totals],[Winning Candidate]]-SamplingData[[#Totals],[Candidate 4]]), 0)</f>
        <v>2.9232073430968461E-4</v>
      </c>
      <c r="N1304" s="100">
        <f>IF(AND(SamplingData[[#This Row],[Total]]&lt;&gt; 0, NOT(ISBLANK(SamplingData[[#This Row],[Candidate 5]]))),(SamplingData[[#This Row],[Total]]+SamplingData[[#This Row],[Winning Candidate]]-SamplingData[[#This Row],[Candidate 5]])/(SamplingData[[#Totals],[Winning Candidate]]-SamplingData[[#Totals],[Candidate 5]]), 0)</f>
        <v>3.1622476283142789E-4</v>
      </c>
      <c r="O1304" s="100">
        <f>IF(AND(SamplingData[[#This Row],[Total]]&lt;&gt; 0, NOT(ISBLANK(SamplingData[[#This Row],[Candidate 6]]))),(SamplingData[[#This Row],[Total]]+SamplingData[[#This Row],[Winning Candidate]]-SamplingData[[#This Row],[Candidate 6]])/(SamplingData[[#Totals],[Winning Candidate]]-SamplingData[[#Totals],[Candidate 6]]), 0)</f>
        <v>3.1613248382860755E-4</v>
      </c>
      <c r="P1304" s="100">
        <f>MAX(SamplingData[[#This Row],[Error Bound (up) - Max. possible relative overstatement - Losing Candidate]:[Error Bound (up) - Max. possible relative overstatement - Candidate 6]])</f>
        <v>3.8713423879730297E-4</v>
      </c>
      <c r="Q1304" s="100">
        <f>IF(SamplingData[[#This Row],[Max Error Bound (up)]] = 0,0,SamplingData[[#This Row],[Max Error Bound (up)]]/SamplingData[[#Totals],[Max Error Bound (up)]])</f>
        <v>6.1270365321984796E-5</v>
      </c>
      <c r="R1304" s="101">
        <f>SUM($Q$5:Q1304)</f>
        <v>0.3869838104320335</v>
      </c>
      <c r="S1304" s="100" t="str">
        <f t="array" ref="S1304">IF(SamplingData[[#This Row],[up/U Selection Probability]] = 0, "Zero", TEXT(SamplingData[[#This Row],[Lower Range]], REPT("0",LEN('General Info'!$B$40))) &amp; " - " &amp; TEXT(SamplingData[[#This Row],[Upper Range]], REPT("0",LEN('General Info'!$B$40))))</f>
        <v>38692 - 38697</v>
      </c>
      <c r="T1304" s="100">
        <f>SamplingData[[#This Row],[Upper Range]]-SamplingData[[#This Row],[Span]]</f>
        <v>38692.254067941518</v>
      </c>
      <c r="U1304" s="100">
        <f>IF(ISNUMBER('General Info'!$B$40), ((SamplingData[[#This Row],[up/U Selection Probability]]) * 'General Info'!$B$40) - 1, 0)</f>
        <v>5.1269752618331577</v>
      </c>
      <c r="V1304" s="100">
        <f>IF(ISNUMBER('General Info'!$B$40), (SamplingData[[#This Row],[Running (cumulative) sum]] * ('General Info'!$B$40 -'General Info'!$B$41 + 1)) + 'General Info'!$B$41 - 1, 0)</f>
        <v>38697.38104320335</v>
      </c>
      <c r="W1304" s="100" t="str">
        <f>IF(ISERROR(MATCH(SamplingData[[#This Row],[Batch by Type (p)]],SelectedPrecincts[Batch Name], 0)), "", INDEX(SelectedPrecincts[Draw], MATCH(SamplingData[[#This Row],[Batch by Type (p)]],SelectedPrecincts[Batch Name], 0)))</f>
        <v/>
      </c>
      <c r="X1304" s="102">
        <f>IF(COUNTIF(SelectedPrecincts[Batch Name],SamplingData[[#This Row],[Batch by Type (p)]]) &lt;&gt; 0, COUNTIF(SelectedPrecincts[Batch Name],SamplingData[[#This Row],[Batch by Type (p)]]), 0)</f>
        <v>0</v>
      </c>
    </row>
    <row r="1305" spans="1:24" ht="15" customHeight="1">
      <c r="A1305" s="18" t="s">
        <v>1481</v>
      </c>
      <c r="B1305" s="18">
        <v>27</v>
      </c>
      <c r="C1305" s="18">
        <v>34</v>
      </c>
      <c r="D1305" s="16">
        <v>9</v>
      </c>
      <c r="E1305" s="16">
        <v>9</v>
      </c>
      <c r="F1305" s="37">
        <v>2</v>
      </c>
      <c r="G1305" s="37">
        <v>0</v>
      </c>
      <c r="H1305" s="17">
        <v>0</v>
      </c>
      <c r="I1305" s="17">
        <v>1</v>
      </c>
      <c r="J1305" s="99">
        <f>SUM(SamplingData[[#This Row],[Losing Candidate]:[Under Votes]])</f>
        <v>82</v>
      </c>
      <c r="K1305" s="100">
        <f>IF(AND(SamplingData[[#This Row],[Total]]&lt;&gt; 0, NOT(ISBLANK(SamplingData[[#This Row],[Losing Candidate]]))),(SamplingData[[#This Row],[Total]]+SamplingData[[#This Row],[Winning Candidate]]-SamplingData[[#This Row],[Losing Candidate]])/(SamplingData[[#Totals],[Winning Candidate]]-SamplingData[[#Totals],[Losing Candidate]]), 0)</f>
        <v>5.4507594316511518E-3</v>
      </c>
      <c r="L1305" s="100">
        <f>IF(AND(SamplingData[[#This Row],[Total]]&lt;&gt; 0, NOT(ISBLANK(SamplingData[[#This Row],[Candidate 3]]))),(SamplingData[[#This Row],[Total]]+SamplingData[[#This Row],[Winning Candidate]]-SamplingData[[#This Row],[Candidate 3]])/(SamplingData[[#Totals],[Winning Candidate]]-SamplingData[[#Totals],[Candidate 3]]), 0)</f>
        <v>3.4519469626092848E-3</v>
      </c>
      <c r="M1305" s="100">
        <f>IF(AND(SamplingData[[#This Row],[Total]]&lt;&gt; 0, NOT(ISBLANK(SamplingData[[#This Row],[Candidate 4]]))),(SamplingData[[#This Row],[Total]]+SamplingData[[#This Row],[Winning Candidate]]-SamplingData[[#This Row],[Candidate 4]])/(SamplingData[[#Totals],[Winning Candidate]]-SamplingData[[#Totals],[Candidate 4]]), 0)</f>
        <v>3.1278318571136251E-3</v>
      </c>
      <c r="N1305" s="100">
        <f>IF(AND(SamplingData[[#This Row],[Total]]&lt;&gt; 0, NOT(ISBLANK(SamplingData[[#This Row],[Candidate 5]]))),(SamplingData[[#This Row],[Total]]+SamplingData[[#This Row],[Winning Candidate]]-SamplingData[[#This Row],[Candidate 5]])/(SamplingData[[#Totals],[Winning Candidate]]-SamplingData[[#Totals],[Candidate 5]]), 0)</f>
        <v>2.7730479202140597E-3</v>
      </c>
      <c r="O1305" s="100">
        <f>IF(AND(SamplingData[[#This Row],[Total]]&lt;&gt; 0, NOT(ISBLANK(SamplingData[[#This Row],[Candidate 6]]))),(SamplingData[[#This Row],[Total]]+SamplingData[[#This Row],[Winning Candidate]]-SamplingData[[#This Row],[Candidate 6]])/(SamplingData[[#Totals],[Winning Candidate]]-SamplingData[[#Totals],[Candidate 6]]), 0)</f>
        <v>2.8208744710860366E-3</v>
      </c>
      <c r="P1305" s="100">
        <f>MAX(SamplingData[[#This Row],[Error Bound (up) - Max. possible relative overstatement - Losing Candidate]:[Error Bound (up) - Max. possible relative overstatement - Candidate 6]])</f>
        <v>5.4507594316511518E-3</v>
      </c>
      <c r="Q1305" s="100">
        <f>IF(SamplingData[[#This Row],[Max Error Bound (up)]] = 0,0,SamplingData[[#This Row],[Max Error Bound (up)]]/SamplingData[[#Totals],[Max Error Bound (up)]])</f>
        <v>8.6267239678167911E-4</v>
      </c>
      <c r="R1305" s="101">
        <f>SUM($Q$5:Q1305)</f>
        <v>0.38784648282881518</v>
      </c>
      <c r="S1305" s="100" t="str">
        <f t="array" ref="S1305">IF(SamplingData[[#This Row],[up/U Selection Probability]] = 0, "Zero", TEXT(SamplingData[[#This Row],[Lower Range]], REPT("0",LEN('General Info'!$B$40))) &amp; " - " &amp; TEXT(SamplingData[[#This Row],[Upper Range]], REPT("0",LEN('General Info'!$B$40))))</f>
        <v>38698 - 38784</v>
      </c>
      <c r="T1305" s="100">
        <f>SamplingData[[#This Row],[Upper Range]]-SamplingData[[#This Row],[Span]]</f>
        <v>38698.381905875751</v>
      </c>
      <c r="U1305" s="100">
        <f>IF(ISNUMBER('General Info'!$B$40), ((SamplingData[[#This Row],[up/U Selection Probability]]) * 'General Info'!$B$40) - 1, 0)</f>
        <v>85.266377005771133</v>
      </c>
      <c r="V1305" s="100">
        <f>IF(ISNUMBER('General Info'!$B$40), (SamplingData[[#This Row],[Running (cumulative) sum]] * ('General Info'!$B$40 -'General Info'!$B$41 + 1)) + 'General Info'!$B$41 - 1, 0)</f>
        <v>38783.648282881521</v>
      </c>
      <c r="W1305" s="100" t="str">
        <f>IF(ISERROR(MATCH(SamplingData[[#This Row],[Batch by Type (p)]],SelectedPrecincts[Batch Name], 0)), "", INDEX(SelectedPrecincts[Draw], MATCH(SamplingData[[#This Row],[Batch by Type (p)]],SelectedPrecincts[Batch Name], 0)))</f>
        <v/>
      </c>
      <c r="X1305" s="102">
        <f>IF(COUNTIF(SelectedPrecincts[Batch Name],SamplingData[[#This Row],[Batch by Type (p)]]) &lt;&gt; 0, COUNTIF(SelectedPrecincts[Batch Name],SamplingData[[#This Row],[Batch by Type (p)]]), 0)</f>
        <v>0</v>
      </c>
    </row>
    <row r="1306" spans="1:24" ht="15" customHeight="1">
      <c r="A1306" s="18" t="s">
        <v>1482</v>
      </c>
      <c r="B1306" s="18">
        <v>7</v>
      </c>
      <c r="C1306" s="18">
        <v>12</v>
      </c>
      <c r="D1306" s="18">
        <v>3</v>
      </c>
      <c r="E1306" s="18">
        <v>2</v>
      </c>
      <c r="F1306" s="18">
        <v>1</v>
      </c>
      <c r="G1306" s="18">
        <v>0</v>
      </c>
      <c r="H1306" s="18">
        <v>0</v>
      </c>
      <c r="I1306" s="18">
        <v>0</v>
      </c>
      <c r="J1306" s="99">
        <f>SUM(SamplingData[[#This Row],[Losing Candidate]:[Under Votes]])</f>
        <v>25</v>
      </c>
      <c r="K1306"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1306" s="100">
        <f>IF(AND(SamplingData[[#This Row],[Total]]&lt;&gt; 0, NOT(ISBLANK(SamplingData[[#This Row],[Candidate 3]]))),(SamplingData[[#This Row],[Total]]+SamplingData[[#This Row],[Winning Candidate]]-SamplingData[[#This Row],[Candidate 3]])/(SamplingData[[#Totals],[Winning Candidate]]-SamplingData[[#Totals],[Candidate 3]]), 0)</f>
        <v>1.0968803432590251E-3</v>
      </c>
      <c r="M1306" s="100">
        <f>IF(AND(SamplingData[[#This Row],[Total]]&lt;&gt; 0, NOT(ISBLANK(SamplingData[[#This Row],[Candidate 4]]))),(SamplingData[[#This Row],[Total]]+SamplingData[[#This Row],[Winning Candidate]]-SamplingData[[#This Row],[Candidate 4]])/(SamplingData[[#Totals],[Winning Candidate]]-SamplingData[[#Totals],[Candidate 4]]), 0)</f>
        <v>1.0231225700838961E-3</v>
      </c>
      <c r="N1306" s="100">
        <f>IF(AND(SamplingData[[#This Row],[Total]]&lt;&gt; 0, NOT(ISBLANK(SamplingData[[#This Row],[Candidate 5]]))),(SamplingData[[#This Row],[Total]]+SamplingData[[#This Row],[Winning Candidate]]-SamplingData[[#This Row],[Candidate 5]])/(SamplingData[[#Totals],[Winning Candidate]]-SamplingData[[#Totals],[Candidate 5]]), 0)</f>
        <v>8.7569934322549259E-4</v>
      </c>
      <c r="O1306" s="100">
        <f>IF(AND(SamplingData[[#This Row],[Total]]&lt;&gt; 0, NOT(ISBLANK(SamplingData[[#This Row],[Candidate 6]]))),(SamplingData[[#This Row],[Total]]+SamplingData[[#This Row],[Winning Candidate]]-SamplingData[[#This Row],[Candidate 6]])/(SamplingData[[#Totals],[Winning Candidate]]-SamplingData[[#Totals],[Candidate 6]]), 0)</f>
        <v>8.9976168474295993E-4</v>
      </c>
      <c r="P1306" s="100">
        <f>MAX(SamplingData[[#This Row],[Error Bound (up) - Max. possible relative overstatement - Losing Candidate]:[Error Bound (up) - Max. possible relative overstatement - Candidate 6]])</f>
        <v>1.8373346398824107E-3</v>
      </c>
      <c r="Q1306" s="100">
        <f>IF(SamplingData[[#This Row],[Max Error Bound (up)]] = 0,0,SamplingData[[#This Row],[Max Error Bound (up)]]/SamplingData[[#Totals],[Max Error Bound (up)]])</f>
        <v>2.9078844835337498E-4</v>
      </c>
      <c r="R1306" s="101">
        <f>SUM($Q$5:Q1306)</f>
        <v>0.38813727127716857</v>
      </c>
      <c r="S1306" s="100" t="str">
        <f t="array" ref="S1306">IF(SamplingData[[#This Row],[up/U Selection Probability]] = 0, "Zero", TEXT(SamplingData[[#This Row],[Lower Range]], REPT("0",LEN('General Info'!$B$40))) &amp; " - " &amp; TEXT(SamplingData[[#This Row],[Upper Range]], REPT("0",LEN('General Info'!$B$40))))</f>
        <v>38785 - 38813</v>
      </c>
      <c r="T1306" s="100">
        <f>SamplingData[[#This Row],[Upper Range]]-SamplingData[[#This Row],[Span]]</f>
        <v>38784.648573669969</v>
      </c>
      <c r="U1306" s="100">
        <f>IF(ISNUMBER('General Info'!$B$40), ((SamplingData[[#This Row],[up/U Selection Probability]]) * 'General Info'!$B$40) - 1, 0)</f>
        <v>28.078554046889145</v>
      </c>
      <c r="V1306" s="100">
        <f>IF(ISNUMBER('General Info'!$B$40), (SamplingData[[#This Row],[Running (cumulative) sum]] * ('General Info'!$B$40 -'General Info'!$B$41 + 1)) + 'General Info'!$B$41 - 1, 0)</f>
        <v>38812.727127716855</v>
      </c>
      <c r="W1306" s="100" t="str">
        <f>IF(ISERROR(MATCH(SamplingData[[#This Row],[Batch by Type (p)]],SelectedPrecincts[Batch Name], 0)), "", INDEX(SelectedPrecincts[Draw], MATCH(SamplingData[[#This Row],[Batch by Type (p)]],SelectedPrecincts[Batch Name], 0)))</f>
        <v/>
      </c>
      <c r="X1306" s="102">
        <f>IF(COUNTIF(SelectedPrecincts[Batch Name],SamplingData[[#This Row],[Batch by Type (p)]]) &lt;&gt; 0, COUNTIF(SelectedPrecincts[Batch Name],SamplingData[[#This Row],[Batch by Type (p)]]), 0)</f>
        <v>0</v>
      </c>
    </row>
    <row r="1307" spans="1:24" ht="15" customHeight="1">
      <c r="A1307" s="18" t="s">
        <v>1483</v>
      </c>
      <c r="B1307" s="18">
        <v>17</v>
      </c>
      <c r="C1307" s="18">
        <v>61</v>
      </c>
      <c r="D1307" s="16">
        <v>9</v>
      </c>
      <c r="E1307" s="16">
        <v>10</v>
      </c>
      <c r="F1307" s="37">
        <v>1</v>
      </c>
      <c r="G1307" s="37">
        <v>0</v>
      </c>
      <c r="H1307" s="17">
        <v>0</v>
      </c>
      <c r="I1307" s="17">
        <v>2</v>
      </c>
      <c r="J1307" s="99">
        <f>SUM(SamplingData[[#This Row],[Losing Candidate]:[Under Votes]])</f>
        <v>100</v>
      </c>
      <c r="K1307" s="100">
        <f>IF(AND(SamplingData[[#This Row],[Total]]&lt;&gt; 0, NOT(ISBLANK(SamplingData[[#This Row],[Losing Candidate]]))),(SamplingData[[#This Row],[Total]]+SamplingData[[#This Row],[Winning Candidate]]-SamplingData[[#This Row],[Losing Candidate]])/(SamplingData[[#Totals],[Winning Candidate]]-SamplingData[[#Totals],[Losing Candidate]]), 0)</f>
        <v>8.8192062714355715E-3</v>
      </c>
      <c r="L1307" s="100">
        <f>IF(AND(SamplingData[[#This Row],[Total]]&lt;&gt; 0, NOT(ISBLANK(SamplingData[[#This Row],[Candidate 3]]))),(SamplingData[[#This Row],[Total]]+SamplingData[[#This Row],[Winning Candidate]]-SamplingData[[#This Row],[Candidate 3]])/(SamplingData[[#Totals],[Winning Candidate]]-SamplingData[[#Totals],[Candidate 3]]), 0)</f>
        <v>4.9037003580991705E-3</v>
      </c>
      <c r="M1307" s="100">
        <f>IF(AND(SamplingData[[#This Row],[Total]]&lt;&gt; 0, NOT(ISBLANK(SamplingData[[#This Row],[Candidate 4]]))),(SamplingData[[#This Row],[Total]]+SamplingData[[#This Row],[Winning Candidate]]-SamplingData[[#This Row],[Candidate 4]])/(SamplingData[[#Totals],[Winning Candidate]]-SamplingData[[#Totals],[Candidate 4]]), 0)</f>
        <v>4.4140430880762376E-3</v>
      </c>
      <c r="N1307" s="100">
        <f>IF(AND(SamplingData[[#This Row],[Total]]&lt;&gt; 0, NOT(ISBLANK(SamplingData[[#This Row],[Candidate 5]]))),(SamplingData[[#This Row],[Total]]+SamplingData[[#This Row],[Winning Candidate]]-SamplingData[[#This Row],[Candidate 5]])/(SamplingData[[#Totals],[Winning Candidate]]-SamplingData[[#Totals],[Candidate 5]]), 0)</f>
        <v>3.8919970810021892E-3</v>
      </c>
      <c r="O1307" s="100">
        <f>IF(AND(SamplingData[[#This Row],[Total]]&lt;&gt; 0, NOT(ISBLANK(SamplingData[[#This Row],[Candidate 6]]))),(SamplingData[[#This Row],[Total]]+SamplingData[[#This Row],[Winning Candidate]]-SamplingData[[#This Row],[Candidate 6]])/(SamplingData[[#Totals],[Winning Candidate]]-SamplingData[[#Totals],[Candidate 6]]), 0)</f>
        <v>3.9151792228004478E-3</v>
      </c>
      <c r="P1307" s="100">
        <f>MAX(SamplingData[[#This Row],[Error Bound (up) - Max. possible relative overstatement - Losing Candidate]:[Error Bound (up) - Max. possible relative overstatement - Candidate 6]])</f>
        <v>8.8192062714355715E-3</v>
      </c>
      <c r="Q1307" s="100">
        <f>IF(SamplingData[[#This Row],[Max Error Bound (up)]] = 0,0,SamplingData[[#This Row],[Max Error Bound (up)]]/SamplingData[[#Totals],[Max Error Bound (up)]])</f>
        <v>1.3957845520961999E-3</v>
      </c>
      <c r="R1307" s="101">
        <f>SUM($Q$5:Q1307)</f>
        <v>0.38953305582926478</v>
      </c>
      <c r="S1307" s="100" t="str">
        <f t="array" ref="S1307">IF(SamplingData[[#This Row],[up/U Selection Probability]] = 0, "Zero", TEXT(SamplingData[[#This Row],[Lower Range]], REPT("0",LEN('General Info'!$B$40))) &amp; " - " &amp; TEXT(SamplingData[[#This Row],[Upper Range]], REPT("0",LEN('General Info'!$B$40))))</f>
        <v>38814 - 38952</v>
      </c>
      <c r="T1307" s="100">
        <f>SamplingData[[#This Row],[Upper Range]]-SamplingData[[#This Row],[Span]]</f>
        <v>38813.728523501413</v>
      </c>
      <c r="U1307" s="100">
        <f>IF(ISNUMBER('General Info'!$B$40), ((SamplingData[[#This Row],[up/U Selection Probability]]) * 'General Info'!$B$40) - 1, 0)</f>
        <v>138.57705942506789</v>
      </c>
      <c r="V1307" s="100">
        <f>IF(ISNUMBER('General Info'!$B$40), (SamplingData[[#This Row],[Running (cumulative) sum]] * ('General Info'!$B$40 -'General Info'!$B$41 + 1)) + 'General Info'!$B$41 - 1, 0)</f>
        <v>38952.305582926478</v>
      </c>
      <c r="W1307" s="100" t="str">
        <f>IF(ISERROR(MATCH(SamplingData[[#This Row],[Batch by Type (p)]],SelectedPrecincts[Batch Name], 0)), "", INDEX(SelectedPrecincts[Draw], MATCH(SamplingData[[#This Row],[Batch by Type (p)]],SelectedPrecincts[Batch Name], 0)))</f>
        <v/>
      </c>
      <c r="X1307" s="102">
        <f>IF(COUNTIF(SelectedPrecincts[Batch Name],SamplingData[[#This Row],[Batch by Type (p)]]) &lt;&gt; 0, COUNTIF(SelectedPrecincts[Batch Name],SamplingData[[#This Row],[Batch by Type (p)]]), 0)</f>
        <v>0</v>
      </c>
    </row>
    <row r="1308" spans="1:24" ht="15" customHeight="1">
      <c r="A1308" s="18" t="s">
        <v>1484</v>
      </c>
      <c r="B1308" s="18">
        <v>5</v>
      </c>
      <c r="C1308" s="18">
        <v>22</v>
      </c>
      <c r="D1308" s="18">
        <v>6</v>
      </c>
      <c r="E1308" s="18">
        <v>1</v>
      </c>
      <c r="F1308" s="18">
        <v>3</v>
      </c>
      <c r="G1308" s="18">
        <v>0</v>
      </c>
      <c r="H1308" s="18">
        <v>0</v>
      </c>
      <c r="I1308" s="18">
        <v>0</v>
      </c>
      <c r="J1308" s="99">
        <f>SUM(SamplingData[[#This Row],[Losing Candidate]:[Under Votes]])</f>
        <v>37</v>
      </c>
      <c r="K1308"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1308" s="100">
        <f>IF(AND(SamplingData[[#This Row],[Total]]&lt;&gt; 0, NOT(ISBLANK(SamplingData[[#This Row],[Candidate 3]]))),(SamplingData[[#This Row],[Total]]+SamplingData[[#This Row],[Winning Candidate]]-SamplingData[[#This Row],[Candidate 3]])/(SamplingData[[#Totals],[Winning Candidate]]-SamplingData[[#Totals],[Candidate 3]]), 0)</f>
        <v>1.7098428880214214E-3</v>
      </c>
      <c r="M1308" s="100">
        <f>IF(AND(SamplingData[[#This Row],[Total]]&lt;&gt; 0, NOT(ISBLANK(SamplingData[[#This Row],[Candidate 4]]))),(SamplingData[[#This Row],[Total]]+SamplingData[[#This Row],[Winning Candidate]]-SamplingData[[#This Row],[Candidate 4]])/(SamplingData[[#Totals],[Winning Candidate]]-SamplingData[[#Totals],[Candidate 4]]), 0)</f>
        <v>1.6954602589961706E-3</v>
      </c>
      <c r="N1308" s="100">
        <f>IF(AND(SamplingData[[#This Row],[Total]]&lt;&gt; 0, NOT(ISBLANK(SamplingData[[#This Row],[Candidate 5]]))),(SamplingData[[#This Row],[Total]]+SamplingData[[#This Row],[Winning Candidate]]-SamplingData[[#This Row],[Candidate 5]])/(SamplingData[[#Totals],[Winning Candidate]]-SamplingData[[#Totals],[Candidate 5]]), 0)</f>
        <v>1.3621989783507663E-3</v>
      </c>
      <c r="O1308" s="100">
        <f>IF(AND(SamplingData[[#This Row],[Total]]&lt;&gt; 0, NOT(ISBLANK(SamplingData[[#This Row],[Candidate 6]]))),(SamplingData[[#This Row],[Total]]+SamplingData[[#This Row],[Winning Candidate]]-SamplingData[[#This Row],[Candidate 6]])/(SamplingData[[#Totals],[Winning Candidate]]-SamplingData[[#Totals],[Candidate 6]]), 0)</f>
        <v>1.4347551189144497E-3</v>
      </c>
      <c r="P1308" s="100">
        <f>MAX(SamplingData[[#This Row],[Error Bound (up) - Max. possible relative overstatement - Losing Candidate]:[Error Bound (up) - Max. possible relative overstatement - Candidate 6]])</f>
        <v>3.3072023517883389E-3</v>
      </c>
      <c r="Q1308" s="100">
        <f>IF(SamplingData[[#This Row],[Max Error Bound (up)]] = 0,0,SamplingData[[#This Row],[Max Error Bound (up)]]/SamplingData[[#Totals],[Max Error Bound (up)]])</f>
        <v>5.2341920703607493E-4</v>
      </c>
      <c r="R1308" s="101">
        <f>SUM($Q$5:Q1308)</f>
        <v>0.39005647503630086</v>
      </c>
      <c r="S1308" s="100" t="str">
        <f t="array" ref="S1308">IF(SamplingData[[#This Row],[up/U Selection Probability]] = 0, "Zero", TEXT(SamplingData[[#This Row],[Lower Range]], REPT("0",LEN('General Info'!$B$40))) &amp; " - " &amp; TEXT(SamplingData[[#This Row],[Upper Range]], REPT("0",LEN('General Info'!$B$40))))</f>
        <v>38953 - 39005</v>
      </c>
      <c r="T1308" s="100">
        <f>SamplingData[[#This Row],[Upper Range]]-SamplingData[[#This Row],[Span]]</f>
        <v>38953.306106345684</v>
      </c>
      <c r="U1308" s="100">
        <f>IF(ISNUMBER('General Info'!$B$40), ((SamplingData[[#This Row],[up/U Selection Probability]]) * 'General Info'!$B$40) - 1, 0)</f>
        <v>51.341397284400458</v>
      </c>
      <c r="V1308" s="100">
        <f>IF(ISNUMBER('General Info'!$B$40), (SamplingData[[#This Row],[Running (cumulative) sum]] * ('General Info'!$B$40 -'General Info'!$B$41 + 1)) + 'General Info'!$B$41 - 1, 0)</f>
        <v>39004.647503630084</v>
      </c>
      <c r="W1308" s="100" t="str">
        <f>IF(ISERROR(MATCH(SamplingData[[#This Row],[Batch by Type (p)]],SelectedPrecincts[Batch Name], 0)), "", INDEX(SelectedPrecincts[Draw], MATCH(SamplingData[[#This Row],[Batch by Type (p)]],SelectedPrecincts[Batch Name], 0)))</f>
        <v/>
      </c>
      <c r="X1308" s="102">
        <f>IF(COUNTIF(SelectedPrecincts[Batch Name],SamplingData[[#This Row],[Batch by Type (p)]]) &lt;&gt; 0, COUNTIF(SelectedPrecincts[Batch Name],SamplingData[[#This Row],[Batch by Type (p)]]), 0)</f>
        <v>0</v>
      </c>
    </row>
    <row r="1309" spans="1:24" ht="15" customHeight="1">
      <c r="A1309" s="18" t="s">
        <v>1485</v>
      </c>
      <c r="B1309" s="18">
        <v>25</v>
      </c>
      <c r="C1309" s="18">
        <v>39</v>
      </c>
      <c r="D1309" s="16">
        <v>6</v>
      </c>
      <c r="E1309" s="16">
        <v>11</v>
      </c>
      <c r="F1309" s="37">
        <v>1</v>
      </c>
      <c r="G1309" s="37">
        <v>1</v>
      </c>
      <c r="H1309" s="17">
        <v>0</v>
      </c>
      <c r="I1309" s="17">
        <v>0</v>
      </c>
      <c r="J1309" s="99">
        <f>SUM(SamplingData[[#This Row],[Losing Candidate]:[Under Votes]])</f>
        <v>83</v>
      </c>
      <c r="K1309" s="100">
        <f>IF(AND(SamplingData[[#This Row],[Total]]&lt;&gt; 0, NOT(ISBLANK(SamplingData[[#This Row],[Losing Candidate]]))),(SamplingData[[#This Row],[Total]]+SamplingData[[#This Row],[Winning Candidate]]-SamplingData[[#This Row],[Losing Candidate]])/(SamplingData[[#Totals],[Winning Candidate]]-SamplingData[[#Totals],[Losing Candidate]]), 0)</f>
        <v>5.9407153356197942E-3</v>
      </c>
      <c r="L1309" s="100">
        <f>IF(AND(SamplingData[[#This Row],[Total]]&lt;&gt; 0, NOT(ISBLANK(SamplingData[[#This Row],[Candidate 3]]))),(SamplingData[[#This Row],[Total]]+SamplingData[[#This Row],[Winning Candidate]]-SamplingData[[#This Row],[Candidate 3]])/(SamplingData[[#Totals],[Winning Candidate]]-SamplingData[[#Totals],[Candidate 3]]), 0)</f>
        <v>3.7422976417072619E-3</v>
      </c>
      <c r="M1309" s="100">
        <f>IF(AND(SamplingData[[#This Row],[Total]]&lt;&gt; 0, NOT(ISBLANK(SamplingData[[#This Row],[Candidate 4]]))),(SamplingData[[#This Row],[Total]]+SamplingData[[#This Row],[Winning Candidate]]-SamplingData[[#This Row],[Candidate 4]])/(SamplingData[[#Totals],[Winning Candidate]]-SamplingData[[#Totals],[Candidate 4]]), 0)</f>
        <v>3.2447601508374989E-3</v>
      </c>
      <c r="N1309" s="100">
        <f>IF(AND(SamplingData[[#This Row],[Total]]&lt;&gt; 0, NOT(ISBLANK(SamplingData[[#This Row],[Candidate 5]]))),(SamplingData[[#This Row],[Total]]+SamplingData[[#This Row],[Winning Candidate]]-SamplingData[[#This Row],[Candidate 5]])/(SamplingData[[#Totals],[Winning Candidate]]-SamplingData[[#Totals],[Candidate 5]]), 0)</f>
        <v>2.9433227925079056E-3</v>
      </c>
      <c r="O1309" s="100">
        <f>IF(AND(SamplingData[[#This Row],[Total]]&lt;&gt; 0, NOT(ISBLANK(SamplingData[[#This Row],[Candidate 6]]))),(SamplingData[[#This Row],[Total]]+SamplingData[[#This Row],[Winning Candidate]]-SamplingData[[#This Row],[Candidate 6]])/(SamplingData[[#Totals],[Winning Candidate]]-SamplingData[[#Totals],[Candidate 6]]), 0)</f>
        <v>2.9424638879431936E-3</v>
      </c>
      <c r="P1309" s="100">
        <f>MAX(SamplingData[[#This Row],[Error Bound (up) - Max. possible relative overstatement - Losing Candidate]:[Error Bound (up) - Max. possible relative overstatement - Candidate 6]])</f>
        <v>5.9407153356197942E-3</v>
      </c>
      <c r="Q1309" s="100">
        <f>IF(SamplingData[[#This Row],[Max Error Bound (up)]] = 0,0,SamplingData[[#This Row],[Max Error Bound (up)]]/SamplingData[[#Totals],[Max Error Bound (up)]])</f>
        <v>9.4021598300924561E-4</v>
      </c>
      <c r="R1309" s="101">
        <f>SUM($Q$5:Q1309)</f>
        <v>0.39099669101931012</v>
      </c>
      <c r="S1309" s="100" t="str">
        <f t="array" ref="S1309">IF(SamplingData[[#This Row],[up/U Selection Probability]] = 0, "Zero", TEXT(SamplingData[[#This Row],[Lower Range]], REPT("0",LEN('General Info'!$B$40))) &amp; " - " &amp; TEXT(SamplingData[[#This Row],[Upper Range]], REPT("0",LEN('General Info'!$B$40))))</f>
        <v>39006 - 39099</v>
      </c>
      <c r="T1309" s="100">
        <f>SamplingData[[#This Row],[Upper Range]]-SamplingData[[#This Row],[Span]]</f>
        <v>39005.648443846068</v>
      </c>
      <c r="U1309" s="100">
        <f>IF(ISNUMBER('General Info'!$B$40), ((SamplingData[[#This Row],[up/U Selection Probability]]) * 'General Info'!$B$40) - 1, 0)</f>
        <v>93.020658084941559</v>
      </c>
      <c r="V1309" s="100">
        <f>IF(ISNUMBER('General Info'!$B$40), (SamplingData[[#This Row],[Running (cumulative) sum]] * ('General Info'!$B$40 -'General Info'!$B$41 + 1)) + 'General Info'!$B$41 - 1, 0)</f>
        <v>39098.669101931009</v>
      </c>
      <c r="W1309" s="100" t="str">
        <f>IF(ISERROR(MATCH(SamplingData[[#This Row],[Batch by Type (p)]],SelectedPrecincts[Batch Name], 0)), "", INDEX(SelectedPrecincts[Draw], MATCH(SamplingData[[#This Row],[Batch by Type (p)]],SelectedPrecincts[Batch Name], 0)))</f>
        <v/>
      </c>
      <c r="X1309" s="102">
        <f>IF(COUNTIF(SelectedPrecincts[Batch Name],SamplingData[[#This Row],[Batch by Type (p)]]) &lt;&gt; 0, COUNTIF(SelectedPrecincts[Batch Name],SamplingData[[#This Row],[Batch by Type (p)]]), 0)</f>
        <v>0</v>
      </c>
    </row>
    <row r="1310" spans="1:24" ht="15" customHeight="1">
      <c r="A1310" s="18" t="s">
        <v>1486</v>
      </c>
      <c r="B1310" s="18">
        <v>4</v>
      </c>
      <c r="C1310" s="18">
        <v>10</v>
      </c>
      <c r="D1310" s="18">
        <v>0</v>
      </c>
      <c r="E1310" s="18">
        <v>1</v>
      </c>
      <c r="F1310" s="18">
        <v>0</v>
      </c>
      <c r="G1310" s="18">
        <v>0</v>
      </c>
      <c r="H1310" s="18">
        <v>0</v>
      </c>
      <c r="I1310" s="18">
        <v>1</v>
      </c>
      <c r="J1310" s="99">
        <f>SUM(SamplingData[[#This Row],[Losing Candidate]:[Under Votes]])</f>
        <v>16</v>
      </c>
      <c r="K1310"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1310" s="100">
        <f>IF(AND(SamplingData[[#This Row],[Total]]&lt;&gt; 0, NOT(ISBLANK(SamplingData[[#This Row],[Candidate 3]]))),(SamplingData[[#This Row],[Total]]+SamplingData[[#This Row],[Winning Candidate]]-SamplingData[[#This Row],[Candidate 3]])/(SamplingData[[#Totals],[Winning Candidate]]-SamplingData[[#Totals],[Candidate 3]]), 0)</f>
        <v>8.3879085072748971E-4</v>
      </c>
      <c r="M1310" s="100">
        <f>IF(AND(SamplingData[[#This Row],[Total]]&lt;&gt; 0, NOT(ISBLANK(SamplingData[[#This Row],[Candidate 4]]))),(SamplingData[[#This Row],[Total]]+SamplingData[[#This Row],[Winning Candidate]]-SamplingData[[#This Row],[Candidate 4]])/(SamplingData[[#Totals],[Winning Candidate]]-SamplingData[[#Totals],[Candidate 4]]), 0)</f>
        <v>7.3080183577421145E-4</v>
      </c>
      <c r="N1310" s="100">
        <f>IF(AND(SamplingData[[#This Row],[Total]]&lt;&gt; 0, NOT(ISBLANK(SamplingData[[#This Row],[Candidate 5]]))),(SamplingData[[#This Row],[Total]]+SamplingData[[#This Row],[Winning Candidate]]-SamplingData[[#This Row],[Candidate 5]])/(SamplingData[[#Totals],[Winning Candidate]]-SamplingData[[#Totals],[Candidate 5]]), 0)</f>
        <v>6.3244952566285579E-4</v>
      </c>
      <c r="O1310" s="100">
        <f>IF(AND(SamplingData[[#This Row],[Total]]&lt;&gt; 0, NOT(ISBLANK(SamplingData[[#This Row],[Candidate 6]]))),(SamplingData[[#This Row],[Total]]+SamplingData[[#This Row],[Winning Candidate]]-SamplingData[[#This Row],[Candidate 6]])/(SamplingData[[#Totals],[Winning Candidate]]-SamplingData[[#Totals],[Candidate 6]]), 0)</f>
        <v>6.322649676572151E-4</v>
      </c>
      <c r="P1310" s="100">
        <f>MAX(SamplingData[[#This Row],[Error Bound (up) - Max. possible relative overstatement - Losing Candidate]:[Error Bound (up) - Max. possible relative overstatement - Candidate 6]])</f>
        <v>1.3473787359137678E-3</v>
      </c>
      <c r="Q1310" s="100">
        <f>IF(SamplingData[[#This Row],[Max Error Bound (up)]] = 0,0,SamplingData[[#This Row],[Max Error Bound (up)]]/SamplingData[[#Totals],[Max Error Bound (up)]])</f>
        <v>2.1324486212580832E-4</v>
      </c>
      <c r="R1310" s="101">
        <f>SUM($Q$5:Q1310)</f>
        <v>0.39120993588143593</v>
      </c>
      <c r="S1310" s="100" t="str">
        <f t="array" ref="S1310">IF(SamplingData[[#This Row],[up/U Selection Probability]] = 0, "Zero", TEXT(SamplingData[[#This Row],[Lower Range]], REPT("0",LEN('General Info'!$B$40))) &amp; " - " &amp; TEXT(SamplingData[[#This Row],[Upper Range]], REPT("0",LEN('General Info'!$B$40))))</f>
        <v>39100 - 39120</v>
      </c>
      <c r="T1310" s="100">
        <f>SamplingData[[#This Row],[Upper Range]]-SamplingData[[#This Row],[Span]]</f>
        <v>39099.669315175874</v>
      </c>
      <c r="U1310" s="100">
        <f>IF(ISNUMBER('General Info'!$B$40), ((SamplingData[[#This Row],[up/U Selection Probability]]) * 'General Info'!$B$40) - 1, 0)</f>
        <v>20.324272967718706</v>
      </c>
      <c r="V1310" s="100">
        <f>IF(ISNUMBER('General Info'!$B$40), (SamplingData[[#This Row],[Running (cumulative) sum]] * ('General Info'!$B$40 -'General Info'!$B$41 + 1)) + 'General Info'!$B$41 - 1, 0)</f>
        <v>39119.993588143596</v>
      </c>
      <c r="W1310" s="100" t="str">
        <f>IF(ISERROR(MATCH(SamplingData[[#This Row],[Batch by Type (p)]],SelectedPrecincts[Batch Name], 0)), "", INDEX(SelectedPrecincts[Draw], MATCH(SamplingData[[#This Row],[Batch by Type (p)]],SelectedPrecincts[Batch Name], 0)))</f>
        <v/>
      </c>
      <c r="X1310" s="102">
        <f>IF(COUNTIF(SelectedPrecincts[Batch Name],SamplingData[[#This Row],[Batch by Type (p)]]) &lt;&gt; 0, COUNTIF(SelectedPrecincts[Batch Name],SamplingData[[#This Row],[Batch by Type (p)]]), 0)</f>
        <v>0</v>
      </c>
    </row>
    <row r="1311" spans="1:24" ht="15" customHeight="1">
      <c r="A1311" s="18" t="s">
        <v>1487</v>
      </c>
      <c r="B1311" s="18">
        <v>12</v>
      </c>
      <c r="C1311" s="18">
        <v>22</v>
      </c>
      <c r="D1311" s="16">
        <v>7</v>
      </c>
      <c r="E1311" s="16">
        <v>3</v>
      </c>
      <c r="F1311" s="37">
        <v>0</v>
      </c>
      <c r="G1311" s="37">
        <v>0</v>
      </c>
      <c r="H1311" s="17">
        <v>0</v>
      </c>
      <c r="I1311" s="17">
        <v>0</v>
      </c>
      <c r="J1311" s="99">
        <f>SUM(SamplingData[[#This Row],[Losing Candidate]:[Under Votes]])</f>
        <v>44</v>
      </c>
      <c r="K1311"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1311" s="100">
        <f>IF(AND(SamplingData[[#This Row],[Total]]&lt;&gt; 0, NOT(ISBLANK(SamplingData[[#This Row],[Candidate 3]]))),(SamplingData[[#This Row],[Total]]+SamplingData[[#This Row],[Winning Candidate]]-SamplingData[[#This Row],[Candidate 3]])/(SamplingData[[#Totals],[Winning Candidate]]-SamplingData[[#Totals],[Candidate 3]]), 0)</f>
        <v>1.9034100074200729E-3</v>
      </c>
      <c r="M1311" s="100">
        <f>IF(AND(SamplingData[[#This Row],[Total]]&lt;&gt; 0, NOT(ISBLANK(SamplingData[[#This Row],[Candidate 4]]))),(SamplingData[[#This Row],[Total]]+SamplingData[[#This Row],[Winning Candidate]]-SamplingData[[#This Row],[Candidate 4]])/(SamplingData[[#Totals],[Winning Candidate]]-SamplingData[[#Totals],[Candidate 4]]), 0)</f>
        <v>1.841620626151013E-3</v>
      </c>
      <c r="N1311" s="100">
        <f>IF(AND(SamplingData[[#This Row],[Total]]&lt;&gt; 0, NOT(ISBLANK(SamplingData[[#This Row],[Candidate 5]]))),(SamplingData[[#This Row],[Total]]+SamplingData[[#This Row],[Winning Candidate]]-SamplingData[[#This Row],[Candidate 5]])/(SamplingData[[#Totals],[Winning Candidate]]-SamplingData[[#Totals],[Candidate 5]]), 0)</f>
        <v>1.6054487959134031E-3</v>
      </c>
      <c r="O1311" s="100">
        <f>IF(AND(SamplingData[[#This Row],[Total]]&lt;&gt; 0, NOT(ISBLANK(SamplingData[[#This Row],[Candidate 6]]))),(SamplingData[[#This Row],[Total]]+SamplingData[[#This Row],[Winning Candidate]]-SamplingData[[#This Row],[Candidate 6]])/(SamplingData[[#Totals],[Winning Candidate]]-SamplingData[[#Totals],[Candidate 6]]), 0)</f>
        <v>1.6049803025144692E-3</v>
      </c>
      <c r="P1311" s="100">
        <f>MAX(SamplingData[[#This Row],[Error Bound (up) - Max. possible relative overstatement - Losing Candidate]:[Error Bound (up) - Max. possible relative overstatement - Candidate 6]])</f>
        <v>3.3072023517883389E-3</v>
      </c>
      <c r="Q1311" s="100">
        <f>IF(SamplingData[[#This Row],[Max Error Bound (up)]] = 0,0,SamplingData[[#This Row],[Max Error Bound (up)]]/SamplingData[[#Totals],[Max Error Bound (up)]])</f>
        <v>5.2341920703607493E-4</v>
      </c>
      <c r="R1311" s="101">
        <f>SUM($Q$5:Q1311)</f>
        <v>0.39173335508847201</v>
      </c>
      <c r="S1311" s="100" t="str">
        <f t="array" ref="S1311">IF(SamplingData[[#This Row],[up/U Selection Probability]] = 0, "Zero", TEXT(SamplingData[[#This Row],[Lower Range]], REPT("0",LEN('General Info'!$B$40))) &amp; " - " &amp; TEXT(SamplingData[[#This Row],[Upper Range]], REPT("0",LEN('General Info'!$B$40))))</f>
        <v>39121 - 39172</v>
      </c>
      <c r="T1311" s="100">
        <f>SamplingData[[#This Row],[Upper Range]]-SamplingData[[#This Row],[Span]]</f>
        <v>39120.994111562803</v>
      </c>
      <c r="U1311" s="100">
        <f>IF(ISNUMBER('General Info'!$B$40), ((SamplingData[[#This Row],[up/U Selection Probability]]) * 'General Info'!$B$40) - 1, 0)</f>
        <v>51.341397284400458</v>
      </c>
      <c r="V1311" s="100">
        <f>IF(ISNUMBER('General Info'!$B$40), (SamplingData[[#This Row],[Running (cumulative) sum]] * ('General Info'!$B$40 -'General Info'!$B$41 + 1)) + 'General Info'!$B$41 - 1, 0)</f>
        <v>39172.335508847202</v>
      </c>
      <c r="W1311" s="100" t="str">
        <f>IF(ISERROR(MATCH(SamplingData[[#This Row],[Batch by Type (p)]],SelectedPrecincts[Batch Name], 0)), "", INDEX(SelectedPrecincts[Draw], MATCH(SamplingData[[#This Row],[Batch by Type (p)]],SelectedPrecincts[Batch Name], 0)))</f>
        <v/>
      </c>
      <c r="X1311" s="102">
        <f>IF(COUNTIF(SelectedPrecincts[Batch Name],SamplingData[[#This Row],[Batch by Type (p)]]) &lt;&gt; 0, COUNTIF(SelectedPrecincts[Batch Name],SamplingData[[#This Row],[Batch by Type (p)]]), 0)</f>
        <v>0</v>
      </c>
    </row>
    <row r="1312" spans="1:24" ht="15" customHeight="1">
      <c r="A1312" s="18" t="s">
        <v>1488</v>
      </c>
      <c r="B1312" s="18">
        <v>6</v>
      </c>
      <c r="C1312" s="18">
        <v>10</v>
      </c>
      <c r="D1312" s="18">
        <v>0</v>
      </c>
      <c r="E1312" s="18">
        <v>2</v>
      </c>
      <c r="F1312" s="18">
        <v>0</v>
      </c>
      <c r="G1312" s="18">
        <v>0</v>
      </c>
      <c r="H1312" s="18">
        <v>0</v>
      </c>
      <c r="I1312" s="18">
        <v>0</v>
      </c>
      <c r="J1312" s="99">
        <f>SUM(SamplingData[[#This Row],[Losing Candidate]:[Under Votes]])</f>
        <v>18</v>
      </c>
      <c r="K1312"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1312" s="100">
        <f>IF(AND(SamplingData[[#This Row],[Total]]&lt;&gt; 0, NOT(ISBLANK(SamplingData[[#This Row],[Candidate 3]]))),(SamplingData[[#This Row],[Total]]+SamplingData[[#This Row],[Winning Candidate]]-SamplingData[[#This Row],[Candidate 3]])/(SamplingData[[#Totals],[Winning Candidate]]-SamplingData[[#Totals],[Candidate 3]]), 0)</f>
        <v>9.0331322386037359E-4</v>
      </c>
      <c r="M1312" s="100">
        <f>IF(AND(SamplingData[[#This Row],[Total]]&lt;&gt; 0, NOT(ISBLANK(SamplingData[[#This Row],[Candidate 4]]))),(SamplingData[[#This Row],[Total]]+SamplingData[[#This Row],[Winning Candidate]]-SamplingData[[#This Row],[Candidate 4]])/(SamplingData[[#Totals],[Winning Candidate]]-SamplingData[[#Totals],[Candidate 4]]), 0)</f>
        <v>7.6003390920517991E-4</v>
      </c>
      <c r="N1312" s="100">
        <f>IF(AND(SamplingData[[#This Row],[Total]]&lt;&gt; 0, NOT(ISBLANK(SamplingData[[#This Row],[Candidate 5]]))),(SamplingData[[#This Row],[Total]]+SamplingData[[#This Row],[Winning Candidate]]-SamplingData[[#This Row],[Candidate 5]])/(SamplingData[[#Totals],[Winning Candidate]]-SamplingData[[#Totals],[Candidate 5]]), 0)</f>
        <v>6.8109948917538315E-4</v>
      </c>
      <c r="O1312" s="100">
        <f>IF(AND(SamplingData[[#This Row],[Total]]&lt;&gt; 0, NOT(ISBLANK(SamplingData[[#This Row],[Candidate 6]]))),(SamplingData[[#This Row],[Total]]+SamplingData[[#This Row],[Winning Candidate]]-SamplingData[[#This Row],[Candidate 6]])/(SamplingData[[#Totals],[Winning Candidate]]-SamplingData[[#Totals],[Candidate 6]]), 0)</f>
        <v>6.8090073440007777E-4</v>
      </c>
      <c r="P1312" s="100">
        <f>MAX(SamplingData[[#This Row],[Error Bound (up) - Max. possible relative overstatement - Losing Candidate]:[Error Bound (up) - Max. possible relative overstatement - Candidate 6]])</f>
        <v>1.3473787359137678E-3</v>
      </c>
      <c r="Q1312" s="100">
        <f>IF(SamplingData[[#This Row],[Max Error Bound (up)]] = 0,0,SamplingData[[#This Row],[Max Error Bound (up)]]/SamplingData[[#Totals],[Max Error Bound (up)]])</f>
        <v>2.1324486212580832E-4</v>
      </c>
      <c r="R1312" s="101">
        <f>SUM($Q$5:Q1312)</f>
        <v>0.39194659995059783</v>
      </c>
      <c r="S1312" s="100" t="str">
        <f t="array" ref="S1312">IF(SamplingData[[#This Row],[up/U Selection Probability]] = 0, "Zero", TEXT(SamplingData[[#This Row],[Lower Range]], REPT("0",LEN('General Info'!$B$40))) &amp; " - " &amp; TEXT(SamplingData[[#This Row],[Upper Range]], REPT("0",LEN('General Info'!$B$40))))</f>
        <v>39173 - 39194</v>
      </c>
      <c r="T1312" s="100">
        <f>SamplingData[[#This Row],[Upper Range]]-SamplingData[[#This Row],[Span]]</f>
        <v>39173.335722092059</v>
      </c>
      <c r="U1312" s="100">
        <f>IF(ISNUMBER('General Info'!$B$40), ((SamplingData[[#This Row],[up/U Selection Probability]]) * 'General Info'!$B$40) - 1, 0)</f>
        <v>20.324272967718706</v>
      </c>
      <c r="V1312" s="100">
        <f>IF(ISNUMBER('General Info'!$B$40), (SamplingData[[#This Row],[Running (cumulative) sum]] * ('General Info'!$B$40 -'General Info'!$B$41 + 1)) + 'General Info'!$B$41 - 1, 0)</f>
        <v>39193.659995059781</v>
      </c>
      <c r="W1312" s="100" t="str">
        <f>IF(ISERROR(MATCH(SamplingData[[#This Row],[Batch by Type (p)]],SelectedPrecincts[Batch Name], 0)), "", INDEX(SelectedPrecincts[Draw], MATCH(SamplingData[[#This Row],[Batch by Type (p)]],SelectedPrecincts[Batch Name], 0)))</f>
        <v/>
      </c>
      <c r="X1312" s="102">
        <f>IF(COUNTIF(SelectedPrecincts[Batch Name],SamplingData[[#This Row],[Batch by Type (p)]]) &lt;&gt; 0, COUNTIF(SelectedPrecincts[Batch Name],SamplingData[[#This Row],[Batch by Type (p)]]), 0)</f>
        <v>0</v>
      </c>
    </row>
    <row r="1313" spans="1:24" ht="15" customHeight="1">
      <c r="A1313" s="18" t="s">
        <v>1489</v>
      </c>
      <c r="B1313" s="18">
        <v>29</v>
      </c>
      <c r="C1313" s="18">
        <v>33</v>
      </c>
      <c r="D1313" s="16">
        <v>7</v>
      </c>
      <c r="E1313" s="16">
        <v>8</v>
      </c>
      <c r="F1313" s="37">
        <v>1</v>
      </c>
      <c r="G1313" s="37">
        <v>0</v>
      </c>
      <c r="H1313" s="17">
        <v>0</v>
      </c>
      <c r="I1313" s="17">
        <v>0</v>
      </c>
      <c r="J1313" s="99">
        <f>SUM(SamplingData[[#This Row],[Losing Candidate]:[Under Votes]])</f>
        <v>78</v>
      </c>
      <c r="K1313"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1313" s="100">
        <f>IF(AND(SamplingData[[#This Row],[Total]]&lt;&gt; 0, NOT(ISBLANK(SamplingData[[#This Row],[Candidate 3]]))),(SamplingData[[#This Row],[Total]]+SamplingData[[#This Row],[Winning Candidate]]-SamplingData[[#This Row],[Candidate 3]])/(SamplingData[[#Totals],[Winning Candidate]]-SamplingData[[#Totals],[Candidate 3]]), 0)</f>
        <v>3.3551634029099589E-3</v>
      </c>
      <c r="M1313" s="100">
        <f>IF(AND(SamplingData[[#This Row],[Total]]&lt;&gt; 0, NOT(ISBLANK(SamplingData[[#This Row],[Candidate 4]]))),(SamplingData[[#This Row],[Total]]+SamplingData[[#This Row],[Winning Candidate]]-SamplingData[[#This Row],[Candidate 4]])/(SamplingData[[#Totals],[Winning Candidate]]-SamplingData[[#Totals],[Candidate 4]]), 0)</f>
        <v>3.0109035633897512E-3</v>
      </c>
      <c r="N1313" s="100">
        <f>IF(AND(SamplingData[[#This Row],[Total]]&lt;&gt; 0, NOT(ISBLANK(SamplingData[[#This Row],[Candidate 5]]))),(SamplingData[[#This Row],[Total]]+SamplingData[[#This Row],[Winning Candidate]]-SamplingData[[#This Row],[Candidate 5]])/(SamplingData[[#Totals],[Winning Candidate]]-SamplingData[[#Totals],[Candidate 5]]), 0)</f>
        <v>2.675747993189005E-3</v>
      </c>
      <c r="O1313" s="100">
        <f>IF(AND(SamplingData[[#This Row],[Total]]&lt;&gt; 0, NOT(ISBLANK(SamplingData[[#This Row],[Candidate 6]]))),(SamplingData[[#This Row],[Total]]+SamplingData[[#This Row],[Winning Candidate]]-SamplingData[[#This Row],[Candidate 6]])/(SamplingData[[#Totals],[Winning Candidate]]-SamplingData[[#Totals],[Candidate 6]]), 0)</f>
        <v>2.6992850542288801E-3</v>
      </c>
      <c r="P1313" s="100">
        <f>MAX(SamplingData[[#This Row],[Error Bound (up) - Max. possible relative overstatement - Losing Candidate]:[Error Bound (up) - Max. possible relative overstatement - Candidate 6]])</f>
        <v>5.0220480156785889E-3</v>
      </c>
      <c r="Q1313" s="100">
        <f>IF(SamplingData[[#This Row],[Max Error Bound (up)]] = 0,0,SamplingData[[#This Row],[Max Error Bound (up)]]/SamplingData[[#Totals],[Max Error Bound (up)]])</f>
        <v>7.9482175883255823E-4</v>
      </c>
      <c r="R1313" s="101">
        <f>SUM($Q$5:Q1313)</f>
        <v>0.39274142170943038</v>
      </c>
      <c r="S1313" s="100" t="str">
        <f t="array" ref="S1313">IF(SamplingData[[#This Row],[up/U Selection Probability]] = 0, "Zero", TEXT(SamplingData[[#This Row],[Lower Range]], REPT("0",LEN('General Info'!$B$40))) &amp; " - " &amp; TEXT(SamplingData[[#This Row],[Upper Range]], REPT("0",LEN('General Info'!$B$40))))</f>
        <v>39195 - 39273</v>
      </c>
      <c r="T1313" s="100">
        <f>SamplingData[[#This Row],[Upper Range]]-SamplingData[[#This Row],[Span]]</f>
        <v>39194.660789881542</v>
      </c>
      <c r="U1313" s="100">
        <f>IF(ISNUMBER('General Info'!$B$40), ((SamplingData[[#This Row],[up/U Selection Probability]]) * 'General Info'!$B$40) - 1, 0)</f>
        <v>78.48138106149699</v>
      </c>
      <c r="V1313" s="100">
        <f>IF(ISNUMBER('General Info'!$B$40), (SamplingData[[#This Row],[Running (cumulative) sum]] * ('General Info'!$B$40 -'General Info'!$B$41 + 1)) + 'General Info'!$B$41 - 1, 0)</f>
        <v>39273.142170943036</v>
      </c>
      <c r="W1313" s="100" t="str">
        <f>IF(ISERROR(MATCH(SamplingData[[#This Row],[Batch by Type (p)]],SelectedPrecincts[Batch Name], 0)), "", INDEX(SelectedPrecincts[Draw], MATCH(SamplingData[[#This Row],[Batch by Type (p)]],SelectedPrecincts[Batch Name], 0)))</f>
        <v/>
      </c>
      <c r="X1313" s="102">
        <f>IF(COUNTIF(SelectedPrecincts[Batch Name],SamplingData[[#This Row],[Batch by Type (p)]]) &lt;&gt; 0, COUNTIF(SelectedPrecincts[Batch Name],SamplingData[[#This Row],[Batch by Type (p)]]), 0)</f>
        <v>0</v>
      </c>
    </row>
    <row r="1314" spans="1:24" ht="15" customHeight="1">
      <c r="A1314" s="18" t="s">
        <v>1490</v>
      </c>
      <c r="B1314" s="18">
        <v>3</v>
      </c>
      <c r="C1314" s="18">
        <v>11</v>
      </c>
      <c r="D1314" s="18">
        <v>1</v>
      </c>
      <c r="E1314" s="18">
        <v>1</v>
      </c>
      <c r="F1314" s="18">
        <v>0</v>
      </c>
      <c r="G1314" s="18">
        <v>0</v>
      </c>
      <c r="H1314" s="18">
        <v>0</v>
      </c>
      <c r="I1314" s="18">
        <v>0</v>
      </c>
      <c r="J1314" s="99">
        <f>SUM(SamplingData[[#This Row],[Losing Candidate]:[Under Votes]])</f>
        <v>16</v>
      </c>
      <c r="K1314"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1314" s="100">
        <f>IF(AND(SamplingData[[#This Row],[Total]]&lt;&gt; 0, NOT(ISBLANK(SamplingData[[#This Row],[Candidate 3]]))),(SamplingData[[#This Row],[Total]]+SamplingData[[#This Row],[Winning Candidate]]-SamplingData[[#This Row],[Candidate 3]])/(SamplingData[[#Totals],[Winning Candidate]]-SamplingData[[#Totals],[Candidate 3]]), 0)</f>
        <v>8.3879085072748971E-4</v>
      </c>
      <c r="M1314" s="100">
        <f>IF(AND(SamplingData[[#This Row],[Total]]&lt;&gt; 0, NOT(ISBLANK(SamplingData[[#This Row],[Candidate 4]]))),(SamplingData[[#This Row],[Total]]+SamplingData[[#This Row],[Winning Candidate]]-SamplingData[[#This Row],[Candidate 4]])/(SamplingData[[#Totals],[Winning Candidate]]-SamplingData[[#Totals],[Candidate 4]]), 0)</f>
        <v>7.6003390920517991E-4</v>
      </c>
      <c r="N1314" s="100">
        <f>IF(AND(SamplingData[[#This Row],[Total]]&lt;&gt; 0, NOT(ISBLANK(SamplingData[[#This Row],[Candidate 5]]))),(SamplingData[[#This Row],[Total]]+SamplingData[[#This Row],[Winning Candidate]]-SamplingData[[#This Row],[Candidate 5]])/(SamplingData[[#Totals],[Winning Candidate]]-SamplingData[[#Totals],[Candidate 5]]), 0)</f>
        <v>6.5677450741911947E-4</v>
      </c>
      <c r="O1314" s="100">
        <f>IF(AND(SamplingData[[#This Row],[Total]]&lt;&gt; 0, NOT(ISBLANK(SamplingData[[#This Row],[Candidate 6]]))),(SamplingData[[#This Row],[Total]]+SamplingData[[#This Row],[Winning Candidate]]-SamplingData[[#This Row],[Candidate 6]])/(SamplingData[[#Totals],[Winning Candidate]]-SamplingData[[#Totals],[Candidate 6]]), 0)</f>
        <v>6.5658285102864649E-4</v>
      </c>
      <c r="P1314" s="100">
        <f>MAX(SamplingData[[#This Row],[Error Bound (up) - Max. possible relative overstatement - Losing Candidate]:[Error Bound (up) - Max. possible relative overstatement - Candidate 6]])</f>
        <v>1.4698677119059284E-3</v>
      </c>
      <c r="Q1314" s="100">
        <f>IF(SamplingData[[#This Row],[Max Error Bound (up)]] = 0,0,SamplingData[[#This Row],[Max Error Bound (up)]]/SamplingData[[#Totals],[Max Error Bound (up)]])</f>
        <v>2.3263075868269994E-4</v>
      </c>
      <c r="R1314" s="101">
        <f>SUM($Q$5:Q1314)</f>
        <v>0.39297405246811307</v>
      </c>
      <c r="S1314" s="100" t="str">
        <f t="array" ref="S1314">IF(SamplingData[[#This Row],[up/U Selection Probability]] = 0, "Zero", TEXT(SamplingData[[#This Row],[Lower Range]], REPT("0",LEN('General Info'!$B$40))) &amp; " - " &amp; TEXT(SamplingData[[#This Row],[Upper Range]], REPT("0",LEN('General Info'!$B$40))))</f>
        <v>39274 - 39296</v>
      </c>
      <c r="T1314" s="100">
        <f>SamplingData[[#This Row],[Upper Range]]-SamplingData[[#This Row],[Span]]</f>
        <v>39274.142403573795</v>
      </c>
      <c r="U1314" s="100">
        <f>IF(ISNUMBER('General Info'!$B$40), ((SamplingData[[#This Row],[up/U Selection Probability]]) * 'General Info'!$B$40) - 1, 0)</f>
        <v>22.262843237511312</v>
      </c>
      <c r="V1314" s="100">
        <f>IF(ISNUMBER('General Info'!$B$40), (SamplingData[[#This Row],[Running (cumulative) sum]] * ('General Info'!$B$40 -'General Info'!$B$41 + 1)) + 'General Info'!$B$41 - 1, 0)</f>
        <v>39296.405246811308</v>
      </c>
      <c r="W1314" s="100" t="str">
        <f>IF(ISERROR(MATCH(SamplingData[[#This Row],[Batch by Type (p)]],SelectedPrecincts[Batch Name], 0)), "", INDEX(SelectedPrecincts[Draw], MATCH(SamplingData[[#This Row],[Batch by Type (p)]],SelectedPrecincts[Batch Name], 0)))</f>
        <v/>
      </c>
      <c r="X1314" s="102">
        <f>IF(COUNTIF(SelectedPrecincts[Batch Name],SamplingData[[#This Row],[Batch by Type (p)]]) &lt;&gt; 0, COUNTIF(SelectedPrecincts[Batch Name],SamplingData[[#This Row],[Batch by Type (p)]]), 0)</f>
        <v>0</v>
      </c>
    </row>
    <row r="1315" spans="1:24" ht="15" customHeight="1">
      <c r="A1315" s="18" t="s">
        <v>1491</v>
      </c>
      <c r="B1315" s="18">
        <v>18</v>
      </c>
      <c r="C1315" s="18">
        <v>21</v>
      </c>
      <c r="D1315" s="16">
        <v>7</v>
      </c>
      <c r="E1315" s="16">
        <v>5</v>
      </c>
      <c r="F1315" s="37">
        <v>0</v>
      </c>
      <c r="G1315" s="37">
        <v>1</v>
      </c>
      <c r="H1315" s="17">
        <v>0</v>
      </c>
      <c r="I1315" s="17">
        <v>0</v>
      </c>
      <c r="J1315" s="99">
        <f>SUM(SamplingData[[#This Row],[Losing Candidate]:[Under Votes]])</f>
        <v>52</v>
      </c>
      <c r="K1315" s="100">
        <f>IF(AND(SamplingData[[#This Row],[Total]]&lt;&gt; 0, NOT(ISBLANK(SamplingData[[#This Row],[Losing Candidate]]))),(SamplingData[[#This Row],[Total]]+SamplingData[[#This Row],[Winning Candidate]]-SamplingData[[#This Row],[Losing Candidate]])/(SamplingData[[#Totals],[Winning Candidate]]-SamplingData[[#Totals],[Losing Candidate]]), 0)</f>
        <v>3.3684468397844193E-3</v>
      </c>
      <c r="L1315" s="100">
        <f>IF(AND(SamplingData[[#This Row],[Total]]&lt;&gt; 0, NOT(ISBLANK(SamplingData[[#This Row],[Candidate 3]]))),(SamplingData[[#This Row],[Total]]+SamplingData[[#This Row],[Winning Candidate]]-SamplingData[[#This Row],[Candidate 3]])/(SamplingData[[#Totals],[Winning Candidate]]-SamplingData[[#Totals],[Candidate 3]]), 0)</f>
        <v>2.1292383133851662E-3</v>
      </c>
      <c r="M1315" s="100">
        <f>IF(AND(SamplingData[[#This Row],[Total]]&lt;&gt; 0, NOT(ISBLANK(SamplingData[[#This Row],[Candidate 4]]))),(SamplingData[[#This Row],[Total]]+SamplingData[[#This Row],[Winning Candidate]]-SamplingData[[#This Row],[Candidate 4]])/(SamplingData[[#Totals],[Winning Candidate]]-SamplingData[[#Totals],[Candidate 4]]), 0)</f>
        <v>1.9877809933058553E-3</v>
      </c>
      <c r="N1315" s="100">
        <f>IF(AND(SamplingData[[#This Row],[Total]]&lt;&gt; 0, NOT(ISBLANK(SamplingData[[#This Row],[Candidate 5]]))),(SamplingData[[#This Row],[Total]]+SamplingData[[#This Row],[Winning Candidate]]-SamplingData[[#This Row],[Candidate 5]])/(SamplingData[[#Totals],[Winning Candidate]]-SamplingData[[#Totals],[Candidate 5]]), 0)</f>
        <v>1.7757236682072487E-3</v>
      </c>
      <c r="O1315" s="100">
        <f>IF(AND(SamplingData[[#This Row],[Total]]&lt;&gt; 0, NOT(ISBLANK(SamplingData[[#This Row],[Candidate 6]]))),(SamplingData[[#This Row],[Total]]+SamplingData[[#This Row],[Winning Candidate]]-SamplingData[[#This Row],[Candidate 6]])/(SamplingData[[#Totals],[Winning Candidate]]-SamplingData[[#Totals],[Candidate 6]]), 0)</f>
        <v>1.7508876027430573E-3</v>
      </c>
      <c r="P1315" s="100">
        <f>MAX(SamplingData[[#This Row],[Error Bound (up) - Max. possible relative overstatement - Losing Candidate]:[Error Bound (up) - Max. possible relative overstatement - Candidate 6]])</f>
        <v>3.3684468397844193E-3</v>
      </c>
      <c r="Q1315" s="100">
        <f>IF(SamplingData[[#This Row],[Max Error Bound (up)]] = 0,0,SamplingData[[#This Row],[Max Error Bound (up)]]/SamplingData[[#Totals],[Max Error Bound (up)]])</f>
        <v>5.3311215531452077E-4</v>
      </c>
      <c r="R1315" s="101">
        <f>SUM($Q$5:Q1315)</f>
        <v>0.39350716462342761</v>
      </c>
      <c r="S1315" s="100" t="str">
        <f t="array" ref="S1315">IF(SamplingData[[#This Row],[up/U Selection Probability]] = 0, "Zero", TEXT(SamplingData[[#This Row],[Lower Range]], REPT("0",LEN('General Info'!$B$40))) &amp; " - " &amp; TEXT(SamplingData[[#This Row],[Upper Range]], REPT("0",LEN('General Info'!$B$40))))</f>
        <v>39297 - 39350</v>
      </c>
      <c r="T1315" s="100">
        <f>SamplingData[[#This Row],[Upper Range]]-SamplingData[[#This Row],[Span]]</f>
        <v>39297.405779923465</v>
      </c>
      <c r="U1315" s="100">
        <f>IF(ISNUMBER('General Info'!$B$40), ((SamplingData[[#This Row],[up/U Selection Probability]]) * 'General Info'!$B$40) - 1, 0)</f>
        <v>52.310682419296761</v>
      </c>
      <c r="V1315" s="100">
        <f>IF(ISNUMBER('General Info'!$B$40), (SamplingData[[#This Row],[Running (cumulative) sum]] * ('General Info'!$B$40 -'General Info'!$B$41 + 1)) + 'General Info'!$B$41 - 1, 0)</f>
        <v>39349.71646234276</v>
      </c>
      <c r="W1315" s="100" t="str">
        <f>IF(ISERROR(MATCH(SamplingData[[#This Row],[Batch by Type (p)]],SelectedPrecincts[Batch Name], 0)), "", INDEX(SelectedPrecincts[Draw], MATCH(SamplingData[[#This Row],[Batch by Type (p)]],SelectedPrecincts[Batch Name], 0)))</f>
        <v/>
      </c>
      <c r="X1315" s="102">
        <f>IF(COUNTIF(SelectedPrecincts[Batch Name],SamplingData[[#This Row],[Batch by Type (p)]]) &lt;&gt; 0, COUNTIF(SelectedPrecincts[Batch Name],SamplingData[[#This Row],[Batch by Type (p)]]), 0)</f>
        <v>0</v>
      </c>
    </row>
    <row r="1316" spans="1:24" ht="15" customHeight="1">
      <c r="A1316" s="18" t="s">
        <v>1492</v>
      </c>
      <c r="B1316" s="18">
        <v>6</v>
      </c>
      <c r="C1316" s="18">
        <v>10</v>
      </c>
      <c r="D1316" s="18">
        <v>5</v>
      </c>
      <c r="E1316" s="18">
        <v>2</v>
      </c>
      <c r="F1316" s="18">
        <v>1</v>
      </c>
      <c r="G1316" s="18">
        <v>0</v>
      </c>
      <c r="H1316" s="18">
        <v>0</v>
      </c>
      <c r="I1316" s="18">
        <v>0</v>
      </c>
      <c r="J1316" s="99">
        <f>SUM(SamplingData[[#This Row],[Losing Candidate]:[Under Votes]])</f>
        <v>24</v>
      </c>
      <c r="K1316"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316" s="100">
        <f>IF(AND(SamplingData[[#This Row],[Total]]&lt;&gt; 0, NOT(ISBLANK(SamplingData[[#This Row],[Candidate 3]]))),(SamplingData[[#This Row],[Total]]+SamplingData[[#This Row],[Winning Candidate]]-SamplingData[[#This Row],[Candidate 3]])/(SamplingData[[#Totals],[Winning Candidate]]-SamplingData[[#Totals],[Candidate 3]]), 0)</f>
        <v>9.3557441042681547E-4</v>
      </c>
      <c r="M1316" s="100">
        <f>IF(AND(SamplingData[[#This Row],[Total]]&lt;&gt; 0, NOT(ISBLANK(SamplingData[[#This Row],[Candidate 4]]))),(SamplingData[[#This Row],[Total]]+SamplingData[[#This Row],[Winning Candidate]]-SamplingData[[#This Row],[Candidate 4]])/(SamplingData[[#Totals],[Winning Candidate]]-SamplingData[[#Totals],[Candidate 4]]), 0)</f>
        <v>9.3542634979099071E-4</v>
      </c>
      <c r="N1316" s="100">
        <f>IF(AND(SamplingData[[#This Row],[Total]]&lt;&gt; 0, NOT(ISBLANK(SamplingData[[#This Row],[Candidate 5]]))),(SamplingData[[#This Row],[Total]]+SamplingData[[#This Row],[Winning Candidate]]-SamplingData[[#This Row],[Candidate 5]])/(SamplingData[[#Totals],[Winning Candidate]]-SamplingData[[#Totals],[Candidate 5]]), 0)</f>
        <v>8.0272439795670155E-4</v>
      </c>
      <c r="O1316" s="100">
        <f>IF(AND(SamplingData[[#This Row],[Total]]&lt;&gt; 0, NOT(ISBLANK(SamplingData[[#This Row],[Candidate 6]]))),(SamplingData[[#This Row],[Total]]+SamplingData[[#This Row],[Winning Candidate]]-SamplingData[[#This Row],[Candidate 6]])/(SamplingData[[#Totals],[Winning Candidate]]-SamplingData[[#Totals],[Candidate 6]]), 0)</f>
        <v>8.2680803462866588E-4</v>
      </c>
      <c r="P1316" s="100">
        <f>MAX(SamplingData[[#This Row],[Error Bound (up) - Max. possible relative overstatement - Losing Candidate]:[Error Bound (up) - Max. possible relative overstatement - Candidate 6]])</f>
        <v>1.7148456638902498E-3</v>
      </c>
      <c r="Q1316" s="100">
        <f>IF(SamplingData[[#This Row],[Max Error Bound (up)]] = 0,0,SamplingData[[#This Row],[Max Error Bound (up)]]/SamplingData[[#Totals],[Max Error Bound (up)]])</f>
        <v>2.714025517964833E-4</v>
      </c>
      <c r="R1316" s="101">
        <f>SUM($Q$5:Q1316)</f>
        <v>0.39377856717522408</v>
      </c>
      <c r="S1316" s="100" t="str">
        <f t="array" ref="S1316">IF(SamplingData[[#This Row],[up/U Selection Probability]] = 0, "Zero", TEXT(SamplingData[[#This Row],[Lower Range]], REPT("0",LEN('General Info'!$B$40))) &amp; " - " &amp; TEXT(SamplingData[[#This Row],[Upper Range]], REPT("0",LEN('General Info'!$B$40))))</f>
        <v>39351 - 39377</v>
      </c>
      <c r="T1316" s="100">
        <f>SamplingData[[#This Row],[Upper Range]]-SamplingData[[#This Row],[Span]]</f>
        <v>39350.716733745314</v>
      </c>
      <c r="U1316" s="100">
        <f>IF(ISNUMBER('General Info'!$B$40), ((SamplingData[[#This Row],[up/U Selection Probability]]) * 'General Info'!$B$40) - 1, 0)</f>
        <v>26.139983777096536</v>
      </c>
      <c r="V1316" s="100">
        <f>IF(ISNUMBER('General Info'!$B$40), (SamplingData[[#This Row],[Running (cumulative) sum]] * ('General Info'!$B$40 -'General Info'!$B$41 + 1)) + 'General Info'!$B$41 - 1, 0)</f>
        <v>39376.856717522409</v>
      </c>
      <c r="W1316" s="100" t="str">
        <f>IF(ISERROR(MATCH(SamplingData[[#This Row],[Batch by Type (p)]],SelectedPrecincts[Batch Name], 0)), "", INDEX(SelectedPrecincts[Draw], MATCH(SamplingData[[#This Row],[Batch by Type (p)]],SelectedPrecincts[Batch Name], 0)))</f>
        <v/>
      </c>
      <c r="X1316" s="102">
        <f>IF(COUNTIF(SelectedPrecincts[Batch Name],SamplingData[[#This Row],[Batch by Type (p)]]) &lt;&gt; 0, COUNTIF(SelectedPrecincts[Batch Name],SamplingData[[#This Row],[Batch by Type (p)]]), 0)</f>
        <v>0</v>
      </c>
    </row>
    <row r="1317" spans="1:24" ht="15" customHeight="1">
      <c r="A1317" s="18" t="s">
        <v>1493</v>
      </c>
      <c r="B1317" s="18">
        <v>12</v>
      </c>
      <c r="C1317" s="18">
        <v>26</v>
      </c>
      <c r="D1317" s="16">
        <v>6</v>
      </c>
      <c r="E1317" s="16">
        <v>8</v>
      </c>
      <c r="F1317" s="37">
        <v>0</v>
      </c>
      <c r="G1317" s="37">
        <v>1</v>
      </c>
      <c r="H1317" s="17">
        <v>0</v>
      </c>
      <c r="I1317" s="17">
        <v>2</v>
      </c>
      <c r="J1317" s="99">
        <f>SUM(SamplingData[[#This Row],[Losing Candidate]:[Under Votes]])</f>
        <v>55</v>
      </c>
      <c r="K1317" s="100">
        <f>IF(AND(SamplingData[[#This Row],[Total]]&lt;&gt; 0, NOT(ISBLANK(SamplingData[[#This Row],[Losing Candidate]]))),(SamplingData[[#This Row],[Total]]+SamplingData[[#This Row],[Winning Candidate]]-SamplingData[[#This Row],[Losing Candidate]])/(SamplingData[[#Totals],[Winning Candidate]]-SamplingData[[#Totals],[Losing Candidate]]), 0)</f>
        <v>4.2258696717295445E-3</v>
      </c>
      <c r="L1317" s="100">
        <f>IF(AND(SamplingData[[#This Row],[Total]]&lt;&gt; 0, NOT(ISBLANK(SamplingData[[#This Row],[Candidate 3]]))),(SamplingData[[#This Row],[Total]]+SamplingData[[#This Row],[Winning Candidate]]-SamplingData[[#This Row],[Candidate 3]])/(SamplingData[[#Totals],[Winning Candidate]]-SamplingData[[#Totals],[Candidate 3]]), 0)</f>
        <v>2.4195889924831437E-3</v>
      </c>
      <c r="M1317" s="100">
        <f>IF(AND(SamplingData[[#This Row],[Total]]&lt;&gt; 0, NOT(ISBLANK(SamplingData[[#This Row],[Candidate 4]]))),(SamplingData[[#This Row],[Total]]+SamplingData[[#This Row],[Winning Candidate]]-SamplingData[[#This Row],[Candidate 4]])/(SamplingData[[#Totals],[Winning Candidate]]-SamplingData[[#Totals],[Candidate 4]]), 0)</f>
        <v>2.1339413604606976E-3</v>
      </c>
      <c r="N1317" s="100">
        <f>IF(AND(SamplingData[[#This Row],[Total]]&lt;&gt; 0, NOT(ISBLANK(SamplingData[[#This Row],[Candidate 5]]))),(SamplingData[[#This Row],[Total]]+SamplingData[[#This Row],[Winning Candidate]]-SamplingData[[#This Row],[Candidate 5]])/(SamplingData[[#Totals],[Winning Candidate]]-SamplingData[[#Totals],[Candidate 5]]), 0)</f>
        <v>1.9703235222573584E-3</v>
      </c>
      <c r="O1317" s="100">
        <f>IF(AND(SamplingData[[#This Row],[Total]]&lt;&gt; 0, NOT(ISBLANK(SamplingData[[#This Row],[Candidate 6]]))),(SamplingData[[#This Row],[Total]]+SamplingData[[#This Row],[Winning Candidate]]-SamplingData[[#This Row],[Candidate 6]])/(SamplingData[[#Totals],[Winning Candidate]]-SamplingData[[#Totals],[Candidate 6]]), 0)</f>
        <v>1.945430669714508E-3</v>
      </c>
      <c r="P1317" s="100">
        <f>MAX(SamplingData[[#This Row],[Error Bound (up) - Max. possible relative overstatement - Losing Candidate]:[Error Bound (up) - Max. possible relative overstatement - Candidate 6]])</f>
        <v>4.2258696717295445E-3</v>
      </c>
      <c r="Q1317" s="100">
        <f>IF(SamplingData[[#This Row],[Max Error Bound (up)]] = 0,0,SamplingData[[#This Row],[Max Error Bound (up)]]/SamplingData[[#Totals],[Max Error Bound (up)]])</f>
        <v>6.6881343121276242E-4</v>
      </c>
      <c r="R1317" s="101">
        <f>SUM($Q$5:Q1317)</f>
        <v>0.39444738060643686</v>
      </c>
      <c r="S1317" s="100" t="str">
        <f t="array" ref="S1317">IF(SamplingData[[#This Row],[up/U Selection Probability]] = 0, "Zero", TEXT(SamplingData[[#This Row],[Lower Range]], REPT("0",LEN('General Info'!$B$40))) &amp; " - " &amp; TEXT(SamplingData[[#This Row],[Upper Range]], REPT("0",LEN('General Info'!$B$40))))</f>
        <v>39378 - 39444</v>
      </c>
      <c r="T1317" s="100">
        <f>SamplingData[[#This Row],[Upper Range]]-SamplingData[[#This Row],[Span]]</f>
        <v>39377.85738633584</v>
      </c>
      <c r="U1317" s="100">
        <f>IF(ISNUMBER('General Info'!$B$40), ((SamplingData[[#This Row],[up/U Selection Probability]]) * 'General Info'!$B$40) - 1, 0)</f>
        <v>65.880674307845027</v>
      </c>
      <c r="V1317" s="100">
        <f>IF(ISNUMBER('General Info'!$B$40), (SamplingData[[#This Row],[Running (cumulative) sum]] * ('General Info'!$B$40 -'General Info'!$B$41 + 1)) + 'General Info'!$B$41 - 1, 0)</f>
        <v>39443.738060643685</v>
      </c>
      <c r="W1317" s="100" t="str">
        <f>IF(ISERROR(MATCH(SamplingData[[#This Row],[Batch by Type (p)]],SelectedPrecincts[Batch Name], 0)), "", INDEX(SelectedPrecincts[Draw], MATCH(SamplingData[[#This Row],[Batch by Type (p)]],SelectedPrecincts[Batch Name], 0)))</f>
        <v/>
      </c>
      <c r="X1317" s="102">
        <f>IF(COUNTIF(SelectedPrecincts[Batch Name],SamplingData[[#This Row],[Batch by Type (p)]]) &lt;&gt; 0, COUNTIF(SelectedPrecincts[Batch Name],SamplingData[[#This Row],[Batch by Type (p)]]), 0)</f>
        <v>0</v>
      </c>
    </row>
    <row r="1318" spans="1:24" ht="15" customHeight="1">
      <c r="A1318" s="18" t="s">
        <v>1494</v>
      </c>
      <c r="B1318" s="18">
        <v>7</v>
      </c>
      <c r="C1318" s="18">
        <v>12</v>
      </c>
      <c r="D1318" s="18">
        <v>1</v>
      </c>
      <c r="E1318" s="18">
        <v>2</v>
      </c>
      <c r="F1318" s="18">
        <v>1</v>
      </c>
      <c r="G1318" s="18">
        <v>2</v>
      </c>
      <c r="H1318" s="18">
        <v>0</v>
      </c>
      <c r="I1318" s="18">
        <v>1</v>
      </c>
      <c r="J1318" s="99">
        <f>SUM(SamplingData[[#This Row],[Losing Candidate]:[Under Votes]])</f>
        <v>26</v>
      </c>
      <c r="K1318"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318" s="100">
        <f>IF(AND(SamplingData[[#This Row],[Total]]&lt;&gt; 0, NOT(ISBLANK(SamplingData[[#This Row],[Candidate 3]]))),(SamplingData[[#This Row],[Total]]+SamplingData[[#This Row],[Winning Candidate]]-SamplingData[[#This Row],[Candidate 3]])/(SamplingData[[#Totals],[Winning Candidate]]-SamplingData[[#Totals],[Candidate 3]]), 0)</f>
        <v>1.1936639029583509E-3</v>
      </c>
      <c r="M1318" s="100">
        <f>IF(AND(SamplingData[[#This Row],[Total]]&lt;&gt; 0, NOT(ISBLANK(SamplingData[[#This Row],[Candidate 4]]))),(SamplingData[[#This Row],[Total]]+SamplingData[[#This Row],[Winning Candidate]]-SamplingData[[#This Row],[Candidate 4]])/(SamplingData[[#Totals],[Winning Candidate]]-SamplingData[[#Totals],[Candidate 4]]), 0)</f>
        <v>1.0523546435148646E-3</v>
      </c>
      <c r="N1318" s="100">
        <f>IF(AND(SamplingData[[#This Row],[Total]]&lt;&gt; 0, NOT(ISBLANK(SamplingData[[#This Row],[Candidate 5]]))),(SamplingData[[#This Row],[Total]]+SamplingData[[#This Row],[Winning Candidate]]-SamplingData[[#This Row],[Candidate 5]])/(SamplingData[[#Totals],[Winning Candidate]]-SamplingData[[#Totals],[Candidate 5]]), 0)</f>
        <v>9.0002432498175627E-4</v>
      </c>
      <c r="O1318" s="100">
        <f>IF(AND(SamplingData[[#This Row],[Total]]&lt;&gt; 0, NOT(ISBLANK(SamplingData[[#This Row],[Candidate 6]]))),(SamplingData[[#This Row],[Total]]+SamplingData[[#This Row],[Winning Candidate]]-SamplingData[[#This Row],[Candidate 6]])/(SamplingData[[#Totals],[Winning Candidate]]-SamplingData[[#Totals],[Candidate 6]]), 0)</f>
        <v>8.7544380137152865E-4</v>
      </c>
      <c r="P1318" s="100">
        <f>MAX(SamplingData[[#This Row],[Error Bound (up) - Max. possible relative overstatement - Losing Candidate]:[Error Bound (up) - Max. possible relative overstatement - Candidate 6]])</f>
        <v>1.8985791278784908E-3</v>
      </c>
      <c r="Q1318" s="100">
        <f>IF(SamplingData[[#This Row],[Max Error Bound (up)]] = 0,0,SamplingData[[#This Row],[Max Error Bound (up)]]/SamplingData[[#Totals],[Max Error Bound (up)]])</f>
        <v>3.0048139663182077E-4</v>
      </c>
      <c r="R1318" s="101">
        <f>SUM($Q$5:Q1318)</f>
        <v>0.39474786200306866</v>
      </c>
      <c r="S1318" s="100" t="str">
        <f t="array" ref="S1318">IF(SamplingData[[#This Row],[up/U Selection Probability]] = 0, "Zero", TEXT(SamplingData[[#This Row],[Lower Range]], REPT("0",LEN('General Info'!$B$40))) &amp; " - " &amp; TEXT(SamplingData[[#This Row],[Upper Range]], REPT("0",LEN('General Info'!$B$40))))</f>
        <v>39445 - 39474</v>
      </c>
      <c r="T1318" s="100">
        <f>SamplingData[[#This Row],[Upper Range]]-SamplingData[[#This Row],[Span]]</f>
        <v>39444.738361125077</v>
      </c>
      <c r="U1318" s="100">
        <f>IF(ISNUMBER('General Info'!$B$40), ((SamplingData[[#This Row],[up/U Selection Probability]]) * 'General Info'!$B$40) - 1, 0)</f>
        <v>29.047839181785445</v>
      </c>
      <c r="V1318" s="100">
        <f>IF(ISNUMBER('General Info'!$B$40), (SamplingData[[#This Row],[Running (cumulative) sum]] * ('General Info'!$B$40 -'General Info'!$B$41 + 1)) + 'General Info'!$B$41 - 1, 0)</f>
        <v>39473.786200306866</v>
      </c>
      <c r="W1318" s="100" t="str">
        <f>IF(ISERROR(MATCH(SamplingData[[#This Row],[Batch by Type (p)]],SelectedPrecincts[Batch Name], 0)), "", INDEX(SelectedPrecincts[Draw], MATCH(SamplingData[[#This Row],[Batch by Type (p)]],SelectedPrecincts[Batch Name], 0)))</f>
        <v/>
      </c>
      <c r="X1318" s="102">
        <f>IF(COUNTIF(SelectedPrecincts[Batch Name],SamplingData[[#This Row],[Batch by Type (p)]]) &lt;&gt; 0, COUNTIF(SelectedPrecincts[Batch Name],SamplingData[[#This Row],[Batch by Type (p)]]), 0)</f>
        <v>0</v>
      </c>
    </row>
    <row r="1319" spans="1:24" ht="15" customHeight="1">
      <c r="A1319" s="18" t="s">
        <v>1495</v>
      </c>
      <c r="B1319" s="18">
        <v>17</v>
      </c>
      <c r="C1319" s="18">
        <v>30</v>
      </c>
      <c r="D1319" s="16">
        <v>7</v>
      </c>
      <c r="E1319" s="16">
        <v>4</v>
      </c>
      <c r="F1319" s="37">
        <v>0</v>
      </c>
      <c r="G1319" s="37">
        <v>1</v>
      </c>
      <c r="H1319" s="17">
        <v>0</v>
      </c>
      <c r="I1319" s="17">
        <v>1</v>
      </c>
      <c r="J1319" s="99">
        <f>SUM(SamplingData[[#This Row],[Losing Candidate]:[Under Votes]])</f>
        <v>60</v>
      </c>
      <c r="K1319" s="100">
        <f>IF(AND(SamplingData[[#This Row],[Total]]&lt;&gt; 0, NOT(ISBLANK(SamplingData[[#This Row],[Losing Candidate]]))),(SamplingData[[#This Row],[Total]]+SamplingData[[#This Row],[Winning Candidate]]-SamplingData[[#This Row],[Losing Candidate]])/(SamplingData[[#Totals],[Winning Candidate]]-SamplingData[[#Totals],[Losing Candidate]]), 0)</f>
        <v>4.4708476237138662E-3</v>
      </c>
      <c r="L1319" s="100">
        <f>IF(AND(SamplingData[[#This Row],[Total]]&lt;&gt; 0, NOT(ISBLANK(SamplingData[[#This Row],[Candidate 3]]))),(SamplingData[[#This Row],[Total]]+SamplingData[[#This Row],[Winning Candidate]]-SamplingData[[#This Row],[Candidate 3]])/(SamplingData[[#Totals],[Winning Candidate]]-SamplingData[[#Totals],[Candidate 3]]), 0)</f>
        <v>2.6776784850146788E-3</v>
      </c>
      <c r="M1319" s="100">
        <f>IF(AND(SamplingData[[#This Row],[Total]]&lt;&gt; 0, NOT(ISBLANK(SamplingData[[#This Row],[Candidate 4]]))),(SamplingData[[#This Row],[Total]]+SamplingData[[#This Row],[Winning Candidate]]-SamplingData[[#This Row],[Candidate 4]])/(SamplingData[[#Totals],[Winning Candidate]]-SamplingData[[#Totals],[Candidate 4]]), 0)</f>
        <v>2.5139583150632873E-3</v>
      </c>
      <c r="N1319" s="100">
        <f>IF(AND(SamplingData[[#This Row],[Total]]&lt;&gt; 0, NOT(ISBLANK(SamplingData[[#This Row],[Candidate 5]]))),(SamplingData[[#This Row],[Total]]+SamplingData[[#This Row],[Winning Candidate]]-SamplingData[[#This Row],[Candidate 5]])/(SamplingData[[#Totals],[Winning Candidate]]-SamplingData[[#Totals],[Candidate 5]]), 0)</f>
        <v>2.1892483580637314E-3</v>
      </c>
      <c r="O1319" s="100">
        <f>IF(AND(SamplingData[[#This Row],[Total]]&lt;&gt; 0, NOT(ISBLANK(SamplingData[[#This Row],[Candidate 6]]))),(SamplingData[[#This Row],[Total]]+SamplingData[[#This Row],[Winning Candidate]]-SamplingData[[#This Row],[Candidate 6]])/(SamplingData[[#Totals],[Winning Candidate]]-SamplingData[[#Totals],[Candidate 6]]), 0)</f>
        <v>2.16429162005739E-3</v>
      </c>
      <c r="P1319" s="100">
        <f>MAX(SamplingData[[#This Row],[Error Bound (up) - Max. possible relative overstatement - Losing Candidate]:[Error Bound (up) - Max. possible relative overstatement - Candidate 6]])</f>
        <v>4.4708476237138662E-3</v>
      </c>
      <c r="Q1319" s="100">
        <f>IF(SamplingData[[#This Row],[Max Error Bound (up)]] = 0,0,SamplingData[[#This Row],[Max Error Bound (up)]]/SamplingData[[#Totals],[Max Error Bound (up)]])</f>
        <v>7.0758522432654578E-4</v>
      </c>
      <c r="R1319" s="101">
        <f>SUM($Q$5:Q1319)</f>
        <v>0.39545544722739523</v>
      </c>
      <c r="S1319" s="100" t="str">
        <f t="array" ref="S1319">IF(SamplingData[[#This Row],[up/U Selection Probability]] = 0, "Zero", TEXT(SamplingData[[#This Row],[Lower Range]], REPT("0",LEN('General Info'!$B$40))) &amp; " - " &amp; TEXT(SamplingData[[#This Row],[Upper Range]], REPT("0",LEN('General Info'!$B$40))))</f>
        <v>39475 - 39545</v>
      </c>
      <c r="T1319" s="100">
        <f>SamplingData[[#This Row],[Upper Range]]-SamplingData[[#This Row],[Span]]</f>
        <v>39474.786907892092</v>
      </c>
      <c r="U1319" s="100">
        <f>IF(ISNUMBER('General Info'!$B$40), ((SamplingData[[#This Row],[up/U Selection Probability]]) * 'General Info'!$B$40) - 1, 0)</f>
        <v>69.757814847430254</v>
      </c>
      <c r="V1319" s="100">
        <f>IF(ISNUMBER('General Info'!$B$40), (SamplingData[[#This Row],[Running (cumulative) sum]] * ('General Info'!$B$40 -'General Info'!$B$41 + 1)) + 'General Info'!$B$41 - 1, 0)</f>
        <v>39544.54472273952</v>
      </c>
      <c r="W1319" s="100" t="str">
        <f>IF(ISERROR(MATCH(SamplingData[[#This Row],[Batch by Type (p)]],SelectedPrecincts[Batch Name], 0)), "", INDEX(SelectedPrecincts[Draw], MATCH(SamplingData[[#This Row],[Batch by Type (p)]],SelectedPrecincts[Batch Name], 0)))</f>
        <v/>
      </c>
      <c r="X1319" s="102">
        <f>IF(COUNTIF(SelectedPrecincts[Batch Name],SamplingData[[#This Row],[Batch by Type (p)]]) &lt;&gt; 0, COUNTIF(SelectedPrecincts[Batch Name],SamplingData[[#This Row],[Batch by Type (p)]]), 0)</f>
        <v>0</v>
      </c>
    </row>
    <row r="1320" spans="1:24" ht="15" customHeight="1">
      <c r="A1320" s="18" t="s">
        <v>1496</v>
      </c>
      <c r="B1320" s="18">
        <v>1</v>
      </c>
      <c r="C1320" s="18">
        <v>6</v>
      </c>
      <c r="D1320" s="18">
        <v>1</v>
      </c>
      <c r="E1320" s="18">
        <v>1</v>
      </c>
      <c r="F1320" s="18">
        <v>0</v>
      </c>
      <c r="G1320" s="18">
        <v>0</v>
      </c>
      <c r="H1320" s="18">
        <v>0</v>
      </c>
      <c r="I1320" s="18">
        <v>0</v>
      </c>
      <c r="J1320" s="99">
        <f>SUM(SamplingData[[#This Row],[Losing Candidate]:[Under Votes]])</f>
        <v>9</v>
      </c>
      <c r="K1320"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320" s="100">
        <f>IF(AND(SamplingData[[#This Row],[Total]]&lt;&gt; 0, NOT(ISBLANK(SamplingData[[#This Row],[Candidate 3]]))),(SamplingData[[#This Row],[Total]]+SamplingData[[#This Row],[Winning Candidate]]-SamplingData[[#This Row],[Candidate 3]])/(SamplingData[[#Totals],[Winning Candidate]]-SamplingData[[#Totals],[Candidate 3]]), 0)</f>
        <v>4.5165661193018679E-4</v>
      </c>
      <c r="M1320" s="100">
        <f>IF(AND(SamplingData[[#This Row],[Total]]&lt;&gt; 0, NOT(ISBLANK(SamplingData[[#This Row],[Candidate 4]]))),(SamplingData[[#This Row],[Total]]+SamplingData[[#This Row],[Winning Candidate]]-SamplingData[[#This Row],[Candidate 4]])/(SamplingData[[#Totals],[Winning Candidate]]-SamplingData[[#Totals],[Candidate 4]]), 0)</f>
        <v>4.0924902803355842E-4</v>
      </c>
      <c r="N1320" s="100">
        <f>IF(AND(SamplingData[[#This Row],[Total]]&lt;&gt; 0, NOT(ISBLANK(SamplingData[[#This Row],[Candidate 5]]))),(SamplingData[[#This Row],[Total]]+SamplingData[[#This Row],[Winning Candidate]]-SamplingData[[#This Row],[Candidate 5]])/(SamplingData[[#Totals],[Winning Candidate]]-SamplingData[[#Totals],[Candidate 5]]), 0)</f>
        <v>3.6487472634395525E-4</v>
      </c>
      <c r="O1320" s="100">
        <f>IF(AND(SamplingData[[#This Row],[Total]]&lt;&gt; 0, NOT(ISBLANK(SamplingData[[#This Row],[Candidate 6]]))),(SamplingData[[#This Row],[Total]]+SamplingData[[#This Row],[Winning Candidate]]-SamplingData[[#This Row],[Candidate 6]])/(SamplingData[[#Totals],[Winning Candidate]]-SamplingData[[#Totals],[Candidate 6]]), 0)</f>
        <v>3.6476825057147027E-4</v>
      </c>
      <c r="P1320" s="100">
        <f>MAX(SamplingData[[#This Row],[Error Bound (up) - Max. possible relative overstatement - Losing Candidate]:[Error Bound (up) - Max. possible relative overstatement - Candidate 6]])</f>
        <v>8.5742283194512492E-4</v>
      </c>
      <c r="Q1320" s="100">
        <f>IF(SamplingData[[#This Row],[Max Error Bound (up)]] = 0,0,SamplingData[[#This Row],[Max Error Bound (up)]]/SamplingData[[#Totals],[Max Error Bound (up)]])</f>
        <v>1.3570127589824165E-4</v>
      </c>
      <c r="R1320" s="101">
        <f>SUM($Q$5:Q1320)</f>
        <v>0.39559114850329347</v>
      </c>
      <c r="S1320" s="100" t="str">
        <f t="array" ref="S1320">IF(SamplingData[[#This Row],[up/U Selection Probability]] = 0, "Zero", TEXT(SamplingData[[#This Row],[Lower Range]], REPT("0",LEN('General Info'!$B$40))) &amp; " - " &amp; TEXT(SamplingData[[#This Row],[Upper Range]], REPT("0",LEN('General Info'!$B$40))))</f>
        <v>39546 - 39558</v>
      </c>
      <c r="T1320" s="100">
        <f>SamplingData[[#This Row],[Upper Range]]-SamplingData[[#This Row],[Span]]</f>
        <v>39545.544858440793</v>
      </c>
      <c r="U1320" s="100">
        <f>IF(ISNUMBER('General Info'!$B$40), ((SamplingData[[#This Row],[up/U Selection Probability]]) * 'General Info'!$B$40) - 1, 0)</f>
        <v>12.569991888548268</v>
      </c>
      <c r="V1320" s="100">
        <f>IF(ISNUMBER('General Info'!$B$40), (SamplingData[[#This Row],[Running (cumulative) sum]] * ('General Info'!$B$40 -'General Info'!$B$41 + 1)) + 'General Info'!$B$41 - 1, 0)</f>
        <v>39558.114850329344</v>
      </c>
      <c r="W1320" s="100" t="str">
        <f>IF(ISERROR(MATCH(SamplingData[[#This Row],[Batch by Type (p)]],SelectedPrecincts[Batch Name], 0)), "", INDEX(SelectedPrecincts[Draw], MATCH(SamplingData[[#This Row],[Batch by Type (p)]],SelectedPrecincts[Batch Name], 0)))</f>
        <v/>
      </c>
      <c r="X1320" s="102">
        <f>IF(COUNTIF(SelectedPrecincts[Batch Name],SamplingData[[#This Row],[Batch by Type (p)]]) &lt;&gt; 0, COUNTIF(SelectedPrecincts[Batch Name],SamplingData[[#This Row],[Batch by Type (p)]]), 0)</f>
        <v>0</v>
      </c>
    </row>
    <row r="1321" spans="1:24" ht="15" customHeight="1">
      <c r="A1321" s="18" t="s">
        <v>1497</v>
      </c>
      <c r="B1321" s="18">
        <v>23</v>
      </c>
      <c r="C1321" s="18">
        <v>24</v>
      </c>
      <c r="D1321" s="16">
        <v>8</v>
      </c>
      <c r="E1321" s="16">
        <v>6</v>
      </c>
      <c r="F1321" s="37">
        <v>0</v>
      </c>
      <c r="G1321" s="37">
        <v>1</v>
      </c>
      <c r="H1321" s="17">
        <v>1</v>
      </c>
      <c r="I1321" s="17">
        <v>0</v>
      </c>
      <c r="J1321" s="99">
        <f>SUM(SamplingData[[#This Row],[Losing Candidate]:[Under Votes]])</f>
        <v>63</v>
      </c>
      <c r="K1321" s="100">
        <f>IF(AND(SamplingData[[#This Row],[Total]]&lt;&gt; 0, NOT(ISBLANK(SamplingData[[#This Row],[Losing Candidate]]))),(SamplingData[[#This Row],[Total]]+SamplingData[[#This Row],[Winning Candidate]]-SamplingData[[#This Row],[Losing Candidate]])/(SamplingData[[#Totals],[Winning Candidate]]-SamplingData[[#Totals],[Losing Candidate]]), 0)</f>
        <v>3.9196472317491425E-3</v>
      </c>
      <c r="L1321" s="100">
        <f>IF(AND(SamplingData[[#This Row],[Total]]&lt;&gt; 0, NOT(ISBLANK(SamplingData[[#This Row],[Candidate 3]]))),(SamplingData[[#This Row],[Total]]+SamplingData[[#This Row],[Winning Candidate]]-SamplingData[[#This Row],[Candidate 3]])/(SamplingData[[#Totals],[Winning Candidate]]-SamplingData[[#Totals],[Candidate 3]]), 0)</f>
        <v>2.5486337387489112E-3</v>
      </c>
      <c r="M1321" s="100">
        <f>IF(AND(SamplingData[[#This Row],[Total]]&lt;&gt; 0, NOT(ISBLANK(SamplingData[[#This Row],[Candidate 4]]))),(SamplingData[[#This Row],[Total]]+SamplingData[[#This Row],[Winning Candidate]]-SamplingData[[#This Row],[Candidate 4]])/(SamplingData[[#Totals],[Winning Candidate]]-SamplingData[[#Totals],[Candidate 4]]), 0)</f>
        <v>2.3677979479084454E-3</v>
      </c>
      <c r="N1321" s="100">
        <f>IF(AND(SamplingData[[#This Row],[Total]]&lt;&gt; 0, NOT(ISBLANK(SamplingData[[#This Row],[Candidate 5]]))),(SamplingData[[#This Row],[Total]]+SamplingData[[#This Row],[Winning Candidate]]-SamplingData[[#This Row],[Candidate 5]])/(SamplingData[[#Totals],[Winning Candidate]]-SamplingData[[#Totals],[Candidate 5]]), 0)</f>
        <v>2.1162734127949403E-3</v>
      </c>
      <c r="O1321" s="100">
        <f>IF(AND(SamplingData[[#This Row],[Total]]&lt;&gt; 0, NOT(ISBLANK(SamplingData[[#This Row],[Candidate 6]]))),(SamplingData[[#This Row],[Total]]+SamplingData[[#This Row],[Winning Candidate]]-SamplingData[[#This Row],[Candidate 6]])/(SamplingData[[#Totals],[Winning Candidate]]-SamplingData[[#Totals],[Candidate 6]]), 0)</f>
        <v>2.0913379699430963E-3</v>
      </c>
      <c r="P1321" s="100">
        <f>MAX(SamplingData[[#This Row],[Error Bound (up) - Max. possible relative overstatement - Losing Candidate]:[Error Bound (up) - Max. possible relative overstatement - Candidate 6]])</f>
        <v>3.9196472317491425E-3</v>
      </c>
      <c r="Q1321" s="100">
        <f>IF(SamplingData[[#This Row],[Max Error Bound (up)]] = 0,0,SamplingData[[#This Row],[Max Error Bound (up)]]/SamplingData[[#Totals],[Max Error Bound (up)]])</f>
        <v>6.2034868982053322E-4</v>
      </c>
      <c r="R1321" s="101">
        <f>SUM($Q$5:Q1321)</f>
        <v>0.39621149719311399</v>
      </c>
      <c r="S1321" s="100" t="str">
        <f t="array" ref="S1321">IF(SamplingData[[#This Row],[up/U Selection Probability]] = 0, "Zero", TEXT(SamplingData[[#This Row],[Lower Range]], REPT("0",LEN('General Info'!$B$40))) &amp; " - " &amp; TEXT(SamplingData[[#This Row],[Upper Range]], REPT("0",LEN('General Info'!$B$40))))</f>
        <v>39559 - 39620</v>
      </c>
      <c r="T1321" s="100">
        <f>SamplingData[[#This Row],[Upper Range]]-SamplingData[[#This Row],[Span]]</f>
        <v>39559.115470678036</v>
      </c>
      <c r="U1321" s="100">
        <f>IF(ISNUMBER('General Info'!$B$40), ((SamplingData[[#This Row],[up/U Selection Probability]]) * 'General Info'!$B$40) - 1, 0)</f>
        <v>61.034248633363504</v>
      </c>
      <c r="V1321" s="100">
        <f>IF(ISNUMBER('General Info'!$B$40), (SamplingData[[#This Row],[Running (cumulative) sum]] * ('General Info'!$B$40 -'General Info'!$B$41 + 1)) + 'General Info'!$B$41 - 1, 0)</f>
        <v>39620.149719311397</v>
      </c>
      <c r="W1321" s="100" t="str">
        <f>IF(ISERROR(MATCH(SamplingData[[#This Row],[Batch by Type (p)]],SelectedPrecincts[Batch Name], 0)), "", INDEX(SelectedPrecincts[Draw], MATCH(SamplingData[[#This Row],[Batch by Type (p)]],SelectedPrecincts[Batch Name], 0)))</f>
        <v/>
      </c>
      <c r="X1321" s="102">
        <f>IF(COUNTIF(SelectedPrecincts[Batch Name],SamplingData[[#This Row],[Batch by Type (p)]]) &lt;&gt; 0, COUNTIF(SelectedPrecincts[Batch Name],SamplingData[[#This Row],[Batch by Type (p)]]), 0)</f>
        <v>0</v>
      </c>
    </row>
    <row r="1322" spans="1:24" ht="15" customHeight="1">
      <c r="A1322" s="18" t="s">
        <v>1498</v>
      </c>
      <c r="B1322" s="18">
        <v>4</v>
      </c>
      <c r="C1322" s="18">
        <v>2</v>
      </c>
      <c r="D1322" s="18">
        <v>0</v>
      </c>
      <c r="E1322" s="18">
        <v>2</v>
      </c>
      <c r="F1322" s="18">
        <v>0</v>
      </c>
      <c r="G1322" s="18">
        <v>0</v>
      </c>
      <c r="H1322" s="18">
        <v>0</v>
      </c>
      <c r="I1322" s="18">
        <v>1</v>
      </c>
      <c r="J1322" s="99">
        <f>SUM(SamplingData[[#This Row],[Losing Candidate]:[Under Votes]])</f>
        <v>9</v>
      </c>
      <c r="K1322"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322" s="100">
        <f>IF(AND(SamplingData[[#This Row],[Total]]&lt;&gt; 0, NOT(ISBLANK(SamplingData[[#This Row],[Candidate 3]]))),(SamplingData[[#This Row],[Total]]+SamplingData[[#This Row],[Winning Candidate]]-SamplingData[[#This Row],[Candidate 3]])/(SamplingData[[#Totals],[Winning Candidate]]-SamplingData[[#Totals],[Candidate 3]]), 0)</f>
        <v>3.5487305223086104E-4</v>
      </c>
      <c r="M1322" s="100">
        <f>IF(AND(SamplingData[[#This Row],[Total]]&lt;&gt; 0, NOT(ISBLANK(SamplingData[[#This Row],[Candidate 4]]))),(SamplingData[[#This Row],[Total]]+SamplingData[[#This Row],[Winning Candidate]]-SamplingData[[#This Row],[Candidate 4]])/(SamplingData[[#Totals],[Winning Candidate]]-SamplingData[[#Totals],[Candidate 4]]), 0)</f>
        <v>2.6308866087871614E-4</v>
      </c>
      <c r="N1322" s="100">
        <f>IF(AND(SamplingData[[#This Row],[Total]]&lt;&gt; 0, NOT(ISBLANK(SamplingData[[#This Row],[Candidate 5]]))),(SamplingData[[#This Row],[Total]]+SamplingData[[#This Row],[Winning Candidate]]-SamplingData[[#This Row],[Candidate 5]])/(SamplingData[[#Totals],[Winning Candidate]]-SamplingData[[#Totals],[Candidate 5]]), 0)</f>
        <v>2.6757479931890053E-4</v>
      </c>
      <c r="O1322" s="100">
        <f>IF(AND(SamplingData[[#This Row],[Total]]&lt;&gt; 0, NOT(ISBLANK(SamplingData[[#This Row],[Candidate 6]]))),(SamplingData[[#This Row],[Total]]+SamplingData[[#This Row],[Winning Candidate]]-SamplingData[[#This Row],[Candidate 6]])/(SamplingData[[#Totals],[Winning Candidate]]-SamplingData[[#Totals],[Candidate 6]]), 0)</f>
        <v>2.6749671708574483E-4</v>
      </c>
      <c r="P1322" s="100">
        <f>MAX(SamplingData[[#This Row],[Error Bound (up) - Max. possible relative overstatement - Losing Candidate]:[Error Bound (up) - Max. possible relative overstatement - Candidate 6]])</f>
        <v>4.2871141597256246E-4</v>
      </c>
      <c r="Q1322" s="100">
        <f>IF(SamplingData[[#This Row],[Max Error Bound (up)]] = 0,0,SamplingData[[#This Row],[Max Error Bound (up)]]/SamplingData[[#Totals],[Max Error Bound (up)]])</f>
        <v>6.7850637949120826E-5</v>
      </c>
      <c r="R1322" s="101">
        <f>SUM($Q$5:Q1322)</f>
        <v>0.39627934783106311</v>
      </c>
      <c r="S1322" s="100" t="str">
        <f t="array" ref="S1322">IF(SamplingData[[#This Row],[up/U Selection Probability]] = 0, "Zero", TEXT(SamplingData[[#This Row],[Lower Range]], REPT("0",LEN('General Info'!$B$40))) &amp; " - " &amp; TEXT(SamplingData[[#This Row],[Upper Range]], REPT("0",LEN('General Info'!$B$40))))</f>
        <v>39621 - 39627</v>
      </c>
      <c r="T1322" s="100">
        <f>SamplingData[[#This Row],[Upper Range]]-SamplingData[[#This Row],[Span]]</f>
        <v>39621.149787162038</v>
      </c>
      <c r="U1322" s="100">
        <f>IF(ISNUMBER('General Info'!$B$40), ((SamplingData[[#This Row],[up/U Selection Probability]]) * 'General Info'!$B$40) - 1, 0)</f>
        <v>5.7849959442741339</v>
      </c>
      <c r="V1322" s="100">
        <f>IF(ISNUMBER('General Info'!$B$40), (SamplingData[[#This Row],[Running (cumulative) sum]] * ('General Info'!$B$40 -'General Info'!$B$41 + 1)) + 'General Info'!$B$41 - 1, 0)</f>
        <v>39626.934783106313</v>
      </c>
      <c r="W1322" s="100" t="str">
        <f>IF(ISERROR(MATCH(SamplingData[[#This Row],[Batch by Type (p)]],SelectedPrecincts[Batch Name], 0)), "", INDEX(SelectedPrecincts[Draw], MATCH(SamplingData[[#This Row],[Batch by Type (p)]],SelectedPrecincts[Batch Name], 0)))</f>
        <v/>
      </c>
      <c r="X1322" s="102">
        <f>IF(COUNTIF(SelectedPrecincts[Batch Name],SamplingData[[#This Row],[Batch by Type (p)]]) &lt;&gt; 0, COUNTIF(SelectedPrecincts[Batch Name],SamplingData[[#This Row],[Batch by Type (p)]]), 0)</f>
        <v>0</v>
      </c>
    </row>
    <row r="1323" spans="1:24" ht="15" customHeight="1">
      <c r="A1323" s="18" t="s">
        <v>1499</v>
      </c>
      <c r="B1323" s="18">
        <v>18</v>
      </c>
      <c r="C1323" s="18">
        <v>14</v>
      </c>
      <c r="D1323" s="16">
        <v>6</v>
      </c>
      <c r="E1323" s="16">
        <v>5</v>
      </c>
      <c r="F1323" s="37">
        <v>0</v>
      </c>
      <c r="G1323" s="37">
        <v>0</v>
      </c>
      <c r="H1323" s="17">
        <v>0</v>
      </c>
      <c r="I1323" s="17">
        <v>0</v>
      </c>
      <c r="J1323" s="99">
        <f>SUM(SamplingData[[#This Row],[Losing Candidate]:[Under Votes]])</f>
        <v>43</v>
      </c>
      <c r="K1323"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1323" s="100">
        <f>IF(AND(SamplingData[[#This Row],[Total]]&lt;&gt; 0, NOT(ISBLANK(SamplingData[[#This Row],[Candidate 3]]))),(SamplingData[[#This Row],[Total]]+SamplingData[[#This Row],[Winning Candidate]]-SamplingData[[#This Row],[Candidate 3]])/(SamplingData[[#Totals],[Winning Candidate]]-SamplingData[[#Totals],[Candidate 3]]), 0)</f>
        <v>1.6453205148885377E-3</v>
      </c>
      <c r="M1323" s="100">
        <f>IF(AND(SamplingData[[#This Row],[Total]]&lt;&gt; 0, NOT(ISBLANK(SamplingData[[#This Row],[Candidate 4]]))),(SamplingData[[#This Row],[Total]]+SamplingData[[#This Row],[Winning Candidate]]-SamplingData[[#This Row],[Candidate 4]])/(SamplingData[[#Totals],[Winning Candidate]]-SamplingData[[#Totals],[Candidate 4]]), 0)</f>
        <v>1.5200678184103598E-3</v>
      </c>
      <c r="N1323" s="100">
        <f>IF(AND(SamplingData[[#This Row],[Total]]&lt;&gt; 0, NOT(ISBLANK(SamplingData[[#This Row],[Candidate 5]]))),(SamplingData[[#This Row],[Total]]+SamplingData[[#This Row],[Winning Candidate]]-SamplingData[[#This Row],[Candidate 5]])/(SamplingData[[#Totals],[Winning Candidate]]-SamplingData[[#Totals],[Candidate 5]]), 0)</f>
        <v>1.3865239601070299E-3</v>
      </c>
      <c r="O1323" s="100">
        <f>IF(AND(SamplingData[[#This Row],[Total]]&lt;&gt; 0, NOT(ISBLANK(SamplingData[[#This Row],[Candidate 6]]))),(SamplingData[[#This Row],[Total]]+SamplingData[[#This Row],[Winning Candidate]]-SamplingData[[#This Row],[Candidate 6]])/(SamplingData[[#Totals],[Winning Candidate]]-SamplingData[[#Totals],[Candidate 6]]), 0)</f>
        <v>1.3861193521715869E-3</v>
      </c>
      <c r="P1323" s="100">
        <f>MAX(SamplingData[[#This Row],[Error Bound (up) - Max. possible relative overstatement - Losing Candidate]:[Error Bound (up) - Max. possible relative overstatement - Candidate 6]])</f>
        <v>2.3885350318471337E-3</v>
      </c>
      <c r="Q1323" s="100">
        <f>IF(SamplingData[[#This Row],[Max Error Bound (up)]] = 0,0,SamplingData[[#This Row],[Max Error Bound (up)]]/SamplingData[[#Totals],[Max Error Bound (up)]])</f>
        <v>3.7802498285938744E-4</v>
      </c>
      <c r="R1323" s="101">
        <f>SUM($Q$5:Q1323)</f>
        <v>0.39665737281392249</v>
      </c>
      <c r="S1323" s="100" t="str">
        <f t="array" ref="S1323">IF(SamplingData[[#This Row],[up/U Selection Probability]] = 0, "Zero", TEXT(SamplingData[[#This Row],[Lower Range]], REPT("0",LEN('General Info'!$B$40))) &amp; " - " &amp; TEXT(SamplingData[[#This Row],[Upper Range]], REPT("0",LEN('General Info'!$B$40))))</f>
        <v>39628 - 39665</v>
      </c>
      <c r="T1323" s="100">
        <f>SamplingData[[#This Row],[Upper Range]]-SamplingData[[#This Row],[Span]]</f>
        <v>39627.935161131296</v>
      </c>
      <c r="U1323" s="100">
        <f>IF(ISNUMBER('General Info'!$B$40), ((SamplingData[[#This Row],[up/U Selection Probability]]) * 'General Info'!$B$40) - 1, 0)</f>
        <v>36.802120260955881</v>
      </c>
      <c r="V1323" s="100">
        <f>IF(ISNUMBER('General Info'!$B$40), (SamplingData[[#This Row],[Running (cumulative) sum]] * ('General Info'!$B$40 -'General Info'!$B$41 + 1)) + 'General Info'!$B$41 - 1, 0)</f>
        <v>39664.737281392248</v>
      </c>
      <c r="W1323" s="100" t="str">
        <f>IF(ISERROR(MATCH(SamplingData[[#This Row],[Batch by Type (p)]],SelectedPrecincts[Batch Name], 0)), "", INDEX(SelectedPrecincts[Draw], MATCH(SamplingData[[#This Row],[Batch by Type (p)]],SelectedPrecincts[Batch Name], 0)))</f>
        <v/>
      </c>
      <c r="X1323" s="102">
        <f>IF(COUNTIF(SelectedPrecincts[Batch Name],SamplingData[[#This Row],[Batch by Type (p)]]) &lt;&gt; 0, COUNTIF(SelectedPrecincts[Batch Name],SamplingData[[#This Row],[Batch by Type (p)]]), 0)</f>
        <v>0</v>
      </c>
    </row>
    <row r="1324" spans="1:24" ht="15" customHeight="1">
      <c r="A1324" s="18" t="s">
        <v>1500</v>
      </c>
      <c r="B1324" s="18">
        <v>6</v>
      </c>
      <c r="C1324" s="18">
        <v>5</v>
      </c>
      <c r="D1324" s="18">
        <v>3</v>
      </c>
      <c r="E1324" s="18">
        <v>2</v>
      </c>
      <c r="F1324" s="18">
        <v>0</v>
      </c>
      <c r="G1324" s="18">
        <v>0</v>
      </c>
      <c r="H1324" s="18">
        <v>0</v>
      </c>
      <c r="I1324" s="18">
        <v>0</v>
      </c>
      <c r="J1324" s="99">
        <f>SUM(SamplingData[[#This Row],[Losing Candidate]:[Under Votes]])</f>
        <v>16</v>
      </c>
      <c r="K1324"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324" s="100">
        <f>IF(AND(SamplingData[[#This Row],[Total]]&lt;&gt; 0, NOT(ISBLANK(SamplingData[[#This Row],[Candidate 3]]))),(SamplingData[[#This Row],[Total]]+SamplingData[[#This Row],[Winning Candidate]]-SamplingData[[#This Row],[Candidate 3]])/(SamplingData[[#Totals],[Winning Candidate]]-SamplingData[[#Totals],[Candidate 3]]), 0)</f>
        <v>5.8070135819595443E-4</v>
      </c>
      <c r="M1324" s="100">
        <f>IF(AND(SamplingData[[#This Row],[Total]]&lt;&gt; 0, NOT(ISBLANK(SamplingData[[#This Row],[Candidate 4]]))),(SamplingData[[#This Row],[Total]]+SamplingData[[#This Row],[Winning Candidate]]-SamplingData[[#This Row],[Candidate 4]])/(SamplingData[[#Totals],[Winning Candidate]]-SamplingData[[#Totals],[Candidate 4]]), 0)</f>
        <v>5.5540939518840076E-4</v>
      </c>
      <c r="N1324" s="100">
        <f>IF(AND(SamplingData[[#This Row],[Total]]&lt;&gt; 0, NOT(ISBLANK(SamplingData[[#This Row],[Candidate 5]]))),(SamplingData[[#This Row],[Total]]+SamplingData[[#This Row],[Winning Candidate]]-SamplingData[[#This Row],[Candidate 5]])/(SamplingData[[#Totals],[Winning Candidate]]-SamplingData[[#Totals],[Candidate 5]]), 0)</f>
        <v>5.1082461688153739E-4</v>
      </c>
      <c r="O1324" s="100">
        <f>IF(AND(SamplingData[[#This Row],[Total]]&lt;&gt; 0, NOT(ISBLANK(SamplingData[[#This Row],[Candidate 6]]))),(SamplingData[[#This Row],[Total]]+SamplingData[[#This Row],[Winning Candidate]]-SamplingData[[#This Row],[Candidate 6]])/(SamplingData[[#Totals],[Winning Candidate]]-SamplingData[[#Totals],[Candidate 6]]), 0)</f>
        <v>5.1067555080005838E-4</v>
      </c>
      <c r="P1324" s="100">
        <f>MAX(SamplingData[[#This Row],[Error Bound (up) - Max. possible relative overstatement - Losing Candidate]:[Error Bound (up) - Max. possible relative overstatement - Candidate 6]])</f>
        <v>9.1866731994120533E-4</v>
      </c>
      <c r="Q1324" s="100">
        <f>IF(SamplingData[[#This Row],[Max Error Bound (up)]] = 0,0,SamplingData[[#This Row],[Max Error Bound (up)]]/SamplingData[[#Totals],[Max Error Bound (up)]])</f>
        <v>1.4539422417668749E-4</v>
      </c>
      <c r="R1324" s="101">
        <f>SUM($Q$5:Q1324)</f>
        <v>0.39680276703809919</v>
      </c>
      <c r="S1324" s="100" t="str">
        <f t="array" ref="S1324">IF(SamplingData[[#This Row],[up/U Selection Probability]] = 0, "Zero", TEXT(SamplingData[[#This Row],[Lower Range]], REPT("0",LEN('General Info'!$B$40))) &amp; " - " &amp; TEXT(SamplingData[[#This Row],[Upper Range]], REPT("0",LEN('General Info'!$B$40))))</f>
        <v>39666 - 39679</v>
      </c>
      <c r="T1324" s="100">
        <f>SamplingData[[#This Row],[Upper Range]]-SamplingData[[#This Row],[Span]]</f>
        <v>39665.737426786472</v>
      </c>
      <c r="U1324" s="100">
        <f>IF(ISNUMBER('General Info'!$B$40), ((SamplingData[[#This Row],[up/U Selection Probability]]) * 'General Info'!$B$40) - 1, 0)</f>
        <v>13.539277023444573</v>
      </c>
      <c r="V1324" s="100">
        <f>IF(ISNUMBER('General Info'!$B$40), (SamplingData[[#This Row],[Running (cumulative) sum]] * ('General Info'!$B$40 -'General Info'!$B$41 + 1)) + 'General Info'!$B$41 - 1, 0)</f>
        <v>39679.276703809919</v>
      </c>
      <c r="W1324" s="100" t="str">
        <f>IF(ISERROR(MATCH(SamplingData[[#This Row],[Batch by Type (p)]],SelectedPrecincts[Batch Name], 0)), "", INDEX(SelectedPrecincts[Draw], MATCH(SamplingData[[#This Row],[Batch by Type (p)]],SelectedPrecincts[Batch Name], 0)))</f>
        <v/>
      </c>
      <c r="X1324" s="102">
        <f>IF(COUNTIF(SelectedPrecincts[Batch Name],SamplingData[[#This Row],[Batch by Type (p)]]) &lt;&gt; 0, COUNTIF(SelectedPrecincts[Batch Name],SamplingData[[#This Row],[Batch by Type (p)]]), 0)</f>
        <v>0</v>
      </c>
    </row>
    <row r="1325" spans="1:24" ht="15" customHeight="1">
      <c r="A1325" s="18" t="s">
        <v>1501</v>
      </c>
      <c r="B1325" s="18">
        <v>7</v>
      </c>
      <c r="C1325" s="18">
        <v>9</v>
      </c>
      <c r="D1325" s="16">
        <v>4</v>
      </c>
      <c r="E1325" s="16">
        <v>5</v>
      </c>
      <c r="F1325" s="37">
        <v>0</v>
      </c>
      <c r="G1325" s="37">
        <v>0</v>
      </c>
      <c r="H1325" s="17">
        <v>0</v>
      </c>
      <c r="I1325" s="17">
        <v>0</v>
      </c>
      <c r="J1325" s="99">
        <f>SUM(SamplingData[[#This Row],[Losing Candidate]:[Under Votes]])</f>
        <v>25</v>
      </c>
      <c r="K1325"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1325" s="100">
        <f>IF(AND(SamplingData[[#This Row],[Total]]&lt;&gt; 0, NOT(ISBLANK(SamplingData[[#This Row],[Candidate 3]]))),(SamplingData[[#This Row],[Total]]+SamplingData[[#This Row],[Winning Candidate]]-SamplingData[[#This Row],[Candidate 3]])/(SamplingData[[#Totals],[Winning Candidate]]-SamplingData[[#Totals],[Candidate 3]]), 0)</f>
        <v>9.6783559699325746E-4</v>
      </c>
      <c r="M1325" s="100">
        <f>IF(AND(SamplingData[[#This Row],[Total]]&lt;&gt; 0, NOT(ISBLANK(SamplingData[[#This Row],[Candidate 4]]))),(SamplingData[[#This Row],[Total]]+SamplingData[[#This Row],[Winning Candidate]]-SamplingData[[#This Row],[Candidate 4]])/(SamplingData[[#Totals],[Winning Candidate]]-SamplingData[[#Totals],[Candidate 4]]), 0)</f>
        <v>8.4773012949808531E-4</v>
      </c>
      <c r="N1325" s="100">
        <f>IF(AND(SamplingData[[#This Row],[Total]]&lt;&gt; 0, NOT(ISBLANK(SamplingData[[#This Row],[Candidate 5]]))),(SamplingData[[#This Row],[Total]]+SamplingData[[#This Row],[Winning Candidate]]-SamplingData[[#This Row],[Candidate 5]])/(SamplingData[[#Totals],[Winning Candidate]]-SamplingData[[#Totals],[Candidate 5]]), 0)</f>
        <v>8.2704937971296523E-4</v>
      </c>
      <c r="O1325" s="100">
        <f>IF(AND(SamplingData[[#This Row],[Total]]&lt;&gt; 0, NOT(ISBLANK(SamplingData[[#This Row],[Candidate 6]]))),(SamplingData[[#This Row],[Total]]+SamplingData[[#This Row],[Winning Candidate]]-SamplingData[[#This Row],[Candidate 6]])/(SamplingData[[#Totals],[Winning Candidate]]-SamplingData[[#Totals],[Candidate 6]]), 0)</f>
        <v>8.2680803462866588E-4</v>
      </c>
      <c r="P1325" s="100">
        <f>MAX(SamplingData[[#This Row],[Error Bound (up) - Max. possible relative overstatement - Losing Candidate]:[Error Bound (up) - Max. possible relative overstatement - Candidate 6]])</f>
        <v>1.6536011758941694E-3</v>
      </c>
      <c r="Q1325" s="100">
        <f>IF(SamplingData[[#This Row],[Max Error Bound (up)]] = 0,0,SamplingData[[#This Row],[Max Error Bound (up)]]/SamplingData[[#Totals],[Max Error Bound (up)]])</f>
        <v>2.6170960351803746E-4</v>
      </c>
      <c r="R1325" s="101">
        <f>SUM($Q$5:Q1325)</f>
        <v>0.3970644766416172</v>
      </c>
      <c r="S1325" s="100" t="str">
        <f t="array" ref="S1325">IF(SamplingData[[#This Row],[up/U Selection Probability]] = 0, "Zero", TEXT(SamplingData[[#This Row],[Lower Range]], REPT("0",LEN('General Info'!$B$40))) &amp; " - " &amp; TEXT(SamplingData[[#This Row],[Upper Range]], REPT("0",LEN('General Info'!$B$40))))</f>
        <v>39680 - 39705</v>
      </c>
      <c r="T1325" s="100">
        <f>SamplingData[[#This Row],[Upper Range]]-SamplingData[[#This Row],[Span]]</f>
        <v>39680.276965519522</v>
      </c>
      <c r="U1325" s="100">
        <f>IF(ISNUMBER('General Info'!$B$40), ((SamplingData[[#This Row],[up/U Selection Probability]]) * 'General Info'!$B$40) - 1, 0)</f>
        <v>25.170698642200229</v>
      </c>
      <c r="V1325" s="100">
        <f>IF(ISNUMBER('General Info'!$B$40), (SamplingData[[#This Row],[Running (cumulative) sum]] * ('General Info'!$B$40 -'General Info'!$B$41 + 1)) + 'General Info'!$B$41 - 1, 0)</f>
        <v>39705.447664161722</v>
      </c>
      <c r="W1325" s="100" t="str">
        <f>IF(ISERROR(MATCH(SamplingData[[#This Row],[Batch by Type (p)]],SelectedPrecincts[Batch Name], 0)), "", INDEX(SelectedPrecincts[Draw], MATCH(SamplingData[[#This Row],[Batch by Type (p)]],SelectedPrecincts[Batch Name], 0)))</f>
        <v/>
      </c>
      <c r="X1325" s="102">
        <f>IF(COUNTIF(SelectedPrecincts[Batch Name],SamplingData[[#This Row],[Batch by Type (p)]]) &lt;&gt; 0, COUNTIF(SelectedPrecincts[Batch Name],SamplingData[[#This Row],[Batch by Type (p)]]), 0)</f>
        <v>0</v>
      </c>
    </row>
    <row r="1326" spans="1:24" ht="15" customHeight="1">
      <c r="A1326" s="18" t="s">
        <v>1502</v>
      </c>
      <c r="B1326" s="18">
        <v>10</v>
      </c>
      <c r="C1326" s="18">
        <v>4</v>
      </c>
      <c r="D1326" s="18">
        <v>0</v>
      </c>
      <c r="E1326" s="18">
        <v>3</v>
      </c>
      <c r="F1326" s="18">
        <v>0</v>
      </c>
      <c r="G1326" s="18">
        <v>0</v>
      </c>
      <c r="H1326" s="18">
        <v>0</v>
      </c>
      <c r="I1326" s="18">
        <v>1</v>
      </c>
      <c r="J1326" s="99">
        <f>SUM(SamplingData[[#This Row],[Losing Candidate]:[Under Votes]])</f>
        <v>18</v>
      </c>
      <c r="K1326"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1326" s="100">
        <f>IF(AND(SamplingData[[#This Row],[Total]]&lt;&gt; 0, NOT(ISBLANK(SamplingData[[#This Row],[Candidate 3]]))),(SamplingData[[#This Row],[Total]]+SamplingData[[#This Row],[Winning Candidate]]-SamplingData[[#This Row],[Candidate 3]])/(SamplingData[[#Totals],[Winning Candidate]]-SamplingData[[#Totals],[Candidate 3]]), 0)</f>
        <v>7.0974610446172207E-4</v>
      </c>
      <c r="M1326" s="100">
        <f>IF(AND(SamplingData[[#This Row],[Total]]&lt;&gt; 0, NOT(ISBLANK(SamplingData[[#This Row],[Candidate 4]]))),(SamplingData[[#This Row],[Total]]+SamplingData[[#This Row],[Winning Candidate]]-SamplingData[[#This Row],[Candidate 4]])/(SamplingData[[#Totals],[Winning Candidate]]-SamplingData[[#Totals],[Candidate 4]]), 0)</f>
        <v>5.5540939518840076E-4</v>
      </c>
      <c r="N1326" s="100">
        <f>IF(AND(SamplingData[[#This Row],[Total]]&lt;&gt; 0, NOT(ISBLANK(SamplingData[[#This Row],[Candidate 5]]))),(SamplingData[[#This Row],[Total]]+SamplingData[[#This Row],[Winning Candidate]]-SamplingData[[#This Row],[Candidate 5]])/(SamplingData[[#Totals],[Winning Candidate]]-SamplingData[[#Totals],[Candidate 5]]), 0)</f>
        <v>5.3514959863780107E-4</v>
      </c>
      <c r="O1326" s="100">
        <f>IF(AND(SamplingData[[#This Row],[Total]]&lt;&gt; 0, NOT(ISBLANK(SamplingData[[#This Row],[Candidate 6]]))),(SamplingData[[#This Row],[Total]]+SamplingData[[#This Row],[Winning Candidate]]-SamplingData[[#This Row],[Candidate 6]])/(SamplingData[[#Totals],[Winning Candidate]]-SamplingData[[#Totals],[Candidate 6]]), 0)</f>
        <v>5.3499343417148966E-4</v>
      </c>
      <c r="P1326" s="100">
        <f>MAX(SamplingData[[#This Row],[Error Bound (up) - Max. possible relative overstatement - Losing Candidate]:[Error Bound (up) - Max. possible relative overstatement - Candidate 6]])</f>
        <v>7.3493385595296422E-4</v>
      </c>
      <c r="Q1326" s="100">
        <f>IF(SamplingData[[#This Row],[Max Error Bound (up)]] = 0,0,SamplingData[[#This Row],[Max Error Bound (up)]]/SamplingData[[#Totals],[Max Error Bound (up)]])</f>
        <v>1.1631537934134997E-4</v>
      </c>
      <c r="R1326" s="101">
        <f>SUM($Q$5:Q1326)</f>
        <v>0.39718079202095857</v>
      </c>
      <c r="S1326" s="100" t="str">
        <f t="array" ref="S1326">IF(SamplingData[[#This Row],[up/U Selection Probability]] = 0, "Zero", TEXT(SamplingData[[#This Row],[Lower Range]], REPT("0",LEN('General Info'!$B$40))) &amp; " - " &amp; TEXT(SamplingData[[#This Row],[Upper Range]], REPT("0",LEN('General Info'!$B$40))))</f>
        <v>39706 - 39717</v>
      </c>
      <c r="T1326" s="100">
        <f>SamplingData[[#This Row],[Upper Range]]-SamplingData[[#This Row],[Span]]</f>
        <v>39706.447780477101</v>
      </c>
      <c r="U1326" s="100">
        <f>IF(ISNUMBER('General Info'!$B$40), ((SamplingData[[#This Row],[up/U Selection Probability]]) * 'General Info'!$B$40) - 1, 0)</f>
        <v>10.631421618755656</v>
      </c>
      <c r="V1326" s="100">
        <f>IF(ISNUMBER('General Info'!$B$40), (SamplingData[[#This Row],[Running (cumulative) sum]] * ('General Info'!$B$40 -'General Info'!$B$41 + 1)) + 'General Info'!$B$41 - 1, 0)</f>
        <v>39717.079202095854</v>
      </c>
      <c r="W1326" s="100" t="str">
        <f>IF(ISERROR(MATCH(SamplingData[[#This Row],[Batch by Type (p)]],SelectedPrecincts[Batch Name], 0)), "", INDEX(SelectedPrecincts[Draw], MATCH(SamplingData[[#This Row],[Batch by Type (p)]],SelectedPrecincts[Batch Name], 0)))</f>
        <v/>
      </c>
      <c r="X1326" s="102">
        <f>IF(COUNTIF(SelectedPrecincts[Batch Name],SamplingData[[#This Row],[Batch by Type (p)]]) &lt;&gt; 0, COUNTIF(SelectedPrecincts[Batch Name],SamplingData[[#This Row],[Batch by Type (p)]]), 0)</f>
        <v>0</v>
      </c>
    </row>
    <row r="1327" spans="1:24" ht="15" customHeight="1">
      <c r="A1327" s="18" t="s">
        <v>1503</v>
      </c>
      <c r="B1327" s="18">
        <v>14</v>
      </c>
      <c r="C1327" s="18">
        <v>38</v>
      </c>
      <c r="D1327" s="16">
        <v>20</v>
      </c>
      <c r="E1327" s="16">
        <v>2</v>
      </c>
      <c r="F1327" s="37">
        <v>1</v>
      </c>
      <c r="G1327" s="37">
        <v>0</v>
      </c>
      <c r="H1327" s="17">
        <v>0</v>
      </c>
      <c r="I1327" s="17">
        <v>1</v>
      </c>
      <c r="J1327" s="99">
        <f>SUM(SamplingData[[#This Row],[Losing Candidate]:[Under Votes]])</f>
        <v>76</v>
      </c>
      <c r="K1327" s="100">
        <f>IF(AND(SamplingData[[#This Row],[Total]]&lt;&gt; 0, NOT(ISBLANK(SamplingData[[#This Row],[Losing Candidate]]))),(SamplingData[[#This Row],[Total]]+SamplingData[[#This Row],[Winning Candidate]]-SamplingData[[#This Row],[Losing Candidate]])/(SamplingData[[#Totals],[Winning Candidate]]-SamplingData[[#Totals],[Losing Candidate]]), 0)</f>
        <v>6.1244487996080354E-3</v>
      </c>
      <c r="L1327" s="100">
        <f>IF(AND(SamplingData[[#This Row],[Total]]&lt;&gt; 0, NOT(ISBLANK(SamplingData[[#This Row],[Candidate 3]]))),(SamplingData[[#This Row],[Total]]+SamplingData[[#This Row],[Winning Candidate]]-SamplingData[[#This Row],[Candidate 3]])/(SamplingData[[#Totals],[Winning Candidate]]-SamplingData[[#Totals],[Candidate 3]]), 0)</f>
        <v>3.0325515372455398E-3</v>
      </c>
      <c r="M1327" s="100">
        <f>IF(AND(SamplingData[[#This Row],[Total]]&lt;&gt; 0, NOT(ISBLANK(SamplingData[[#This Row],[Candidate 4]]))),(SamplingData[[#This Row],[Total]]+SamplingData[[#This Row],[Winning Candidate]]-SamplingData[[#This Row],[Candidate 4]])/(SamplingData[[#Totals],[Winning Candidate]]-SamplingData[[#Totals],[Candidate 4]]), 0)</f>
        <v>3.2739922242684674E-3</v>
      </c>
      <c r="N1327" s="100">
        <f>IF(AND(SamplingData[[#This Row],[Total]]&lt;&gt; 0, NOT(ISBLANK(SamplingData[[#This Row],[Candidate 5]]))),(SamplingData[[#This Row],[Total]]+SamplingData[[#This Row],[Winning Candidate]]-SamplingData[[#This Row],[Candidate 5]])/(SamplingData[[#Totals],[Winning Candidate]]-SamplingData[[#Totals],[Candidate 5]]), 0)</f>
        <v>2.7487229384577962E-3</v>
      </c>
      <c r="O1327" s="100">
        <f>IF(AND(SamplingData[[#This Row],[Total]]&lt;&gt; 0, NOT(ISBLANK(SamplingData[[#This Row],[Candidate 6]]))),(SamplingData[[#This Row],[Total]]+SamplingData[[#This Row],[Winning Candidate]]-SamplingData[[#This Row],[Candidate 6]])/(SamplingData[[#Totals],[Winning Candidate]]-SamplingData[[#Totals],[Candidate 6]]), 0)</f>
        <v>2.7722387043431738E-3</v>
      </c>
      <c r="P1327" s="100">
        <f>MAX(SamplingData[[#This Row],[Error Bound (up) - Max. possible relative overstatement - Losing Candidate]:[Error Bound (up) - Max. possible relative overstatement - Candidate 6]])</f>
        <v>6.1244487996080354E-3</v>
      </c>
      <c r="Q1327" s="100">
        <f>IF(SamplingData[[#This Row],[Max Error Bound (up)]] = 0,0,SamplingData[[#This Row],[Max Error Bound (up)]]/SamplingData[[#Totals],[Max Error Bound (up)]])</f>
        <v>9.6929482784458313E-4</v>
      </c>
      <c r="R1327" s="101">
        <f>SUM($Q$5:Q1327)</f>
        <v>0.39815008684880315</v>
      </c>
      <c r="S1327" s="100" t="str">
        <f t="array" ref="S1327">IF(SamplingData[[#This Row],[up/U Selection Probability]] = 0, "Zero", TEXT(SamplingData[[#This Row],[Lower Range]], REPT("0",LEN('General Info'!$B$40))) &amp; " - " &amp; TEXT(SamplingData[[#This Row],[Upper Range]], REPT("0",LEN('General Info'!$B$40))))</f>
        <v>39718 - 39814</v>
      </c>
      <c r="T1327" s="100">
        <f>SamplingData[[#This Row],[Upper Range]]-SamplingData[[#This Row],[Span]]</f>
        <v>39718.080171390691</v>
      </c>
      <c r="U1327" s="100">
        <f>IF(ISNUMBER('General Info'!$B$40), ((SamplingData[[#This Row],[up/U Selection Probability]]) * 'General Info'!$B$40) - 1, 0)</f>
        <v>95.928513489630475</v>
      </c>
      <c r="V1327" s="100">
        <f>IF(ISNUMBER('General Info'!$B$40), (SamplingData[[#This Row],[Running (cumulative) sum]] * ('General Info'!$B$40 -'General Info'!$B$41 + 1)) + 'General Info'!$B$41 - 1, 0)</f>
        <v>39814.008684880318</v>
      </c>
      <c r="W1327" s="100" t="str">
        <f>IF(ISERROR(MATCH(SamplingData[[#This Row],[Batch by Type (p)]],SelectedPrecincts[Batch Name], 0)), "", INDEX(SelectedPrecincts[Draw], MATCH(SamplingData[[#This Row],[Batch by Type (p)]],SelectedPrecincts[Batch Name], 0)))</f>
        <v/>
      </c>
      <c r="X1327" s="102">
        <f>IF(COUNTIF(SelectedPrecincts[Batch Name],SamplingData[[#This Row],[Batch by Type (p)]]) &lt;&gt; 0, COUNTIF(SelectedPrecincts[Batch Name],SamplingData[[#This Row],[Batch by Type (p)]]), 0)</f>
        <v>0</v>
      </c>
    </row>
    <row r="1328" spans="1:24" ht="15" customHeight="1">
      <c r="A1328" s="18" t="s">
        <v>1504</v>
      </c>
      <c r="B1328" s="18">
        <v>3</v>
      </c>
      <c r="C1328" s="18">
        <v>16</v>
      </c>
      <c r="D1328" s="18">
        <v>5</v>
      </c>
      <c r="E1328" s="18">
        <v>2</v>
      </c>
      <c r="F1328" s="18">
        <v>0</v>
      </c>
      <c r="G1328" s="18">
        <v>0</v>
      </c>
      <c r="H1328" s="18">
        <v>0</v>
      </c>
      <c r="I1328" s="18">
        <v>1</v>
      </c>
      <c r="J1328" s="99">
        <f>SUM(SamplingData[[#This Row],[Losing Candidate]:[Under Votes]])</f>
        <v>27</v>
      </c>
      <c r="K1328"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328" s="100">
        <f>IF(AND(SamplingData[[#This Row],[Total]]&lt;&gt; 0, NOT(ISBLANK(SamplingData[[#This Row],[Candidate 3]]))),(SamplingData[[#This Row],[Total]]+SamplingData[[#This Row],[Winning Candidate]]-SamplingData[[#This Row],[Candidate 3]])/(SamplingData[[#Totals],[Winning Candidate]]-SamplingData[[#Totals],[Candidate 3]]), 0)</f>
        <v>1.2259250895247926E-3</v>
      </c>
      <c r="M1328" s="100">
        <f>IF(AND(SamplingData[[#This Row],[Total]]&lt;&gt; 0, NOT(ISBLANK(SamplingData[[#This Row],[Candidate 4]]))),(SamplingData[[#This Row],[Total]]+SamplingData[[#This Row],[Winning Candidate]]-SamplingData[[#This Row],[Candidate 4]])/(SamplingData[[#Totals],[Winning Candidate]]-SamplingData[[#Totals],[Candidate 4]]), 0)</f>
        <v>1.1985150106697067E-3</v>
      </c>
      <c r="N1328" s="100">
        <f>IF(AND(SamplingData[[#This Row],[Total]]&lt;&gt; 0, NOT(ISBLANK(SamplingData[[#This Row],[Candidate 5]]))),(SamplingData[[#This Row],[Total]]+SamplingData[[#This Row],[Winning Candidate]]-SamplingData[[#This Row],[Candidate 5]])/(SamplingData[[#Totals],[Winning Candidate]]-SamplingData[[#Totals],[Candidate 5]]), 0)</f>
        <v>1.0459742155193383E-3</v>
      </c>
      <c r="O1328" s="100">
        <f>IF(AND(SamplingData[[#This Row],[Total]]&lt;&gt; 0, NOT(ISBLANK(SamplingData[[#This Row],[Candidate 6]]))),(SamplingData[[#This Row],[Total]]+SamplingData[[#This Row],[Winning Candidate]]-SamplingData[[#This Row],[Candidate 6]])/(SamplingData[[#Totals],[Winning Candidate]]-SamplingData[[#Totals],[Candidate 6]]), 0)</f>
        <v>1.0456689849715481E-3</v>
      </c>
      <c r="P1328" s="100">
        <f>MAX(SamplingData[[#This Row],[Error Bound (up) - Max. possible relative overstatement - Losing Candidate]:[Error Bound (up) - Max. possible relative overstatement - Candidate 6]])</f>
        <v>2.4497795198432141E-3</v>
      </c>
      <c r="Q1328" s="100">
        <f>IF(SamplingData[[#This Row],[Max Error Bound (up)]] = 0,0,SamplingData[[#This Row],[Max Error Bound (up)]]/SamplingData[[#Totals],[Max Error Bound (up)]])</f>
        <v>3.8771793113783328E-4</v>
      </c>
      <c r="R1328" s="101">
        <f>SUM($Q$5:Q1328)</f>
        <v>0.398537804779941</v>
      </c>
      <c r="S1328" s="100" t="str">
        <f t="array" ref="S1328">IF(SamplingData[[#This Row],[up/U Selection Probability]] = 0, "Zero", TEXT(SamplingData[[#This Row],[Lower Range]], REPT("0",LEN('General Info'!$B$40))) &amp; " - " &amp; TEXT(SamplingData[[#This Row],[Upper Range]], REPT("0",LEN('General Info'!$B$40))))</f>
        <v>39815 - 39853</v>
      </c>
      <c r="T1328" s="100">
        <f>SamplingData[[#This Row],[Upper Range]]-SamplingData[[#This Row],[Span]]</f>
        <v>39815.009072598245</v>
      </c>
      <c r="U1328" s="100">
        <f>IF(ISNUMBER('General Info'!$B$40), ((SamplingData[[#This Row],[up/U Selection Probability]]) * 'General Info'!$B$40) - 1, 0)</f>
        <v>37.771405395852192</v>
      </c>
      <c r="V1328" s="100">
        <f>IF(ISNUMBER('General Info'!$B$40), (SamplingData[[#This Row],[Running (cumulative) sum]] * ('General Info'!$B$40 -'General Info'!$B$41 + 1)) + 'General Info'!$B$41 - 1, 0)</f>
        <v>39852.7804779941</v>
      </c>
      <c r="W1328" s="100" t="str">
        <f>IF(ISERROR(MATCH(SamplingData[[#This Row],[Batch by Type (p)]],SelectedPrecincts[Batch Name], 0)), "", INDEX(SelectedPrecincts[Draw], MATCH(SamplingData[[#This Row],[Batch by Type (p)]],SelectedPrecincts[Batch Name], 0)))</f>
        <v/>
      </c>
      <c r="X1328" s="102">
        <f>IF(COUNTIF(SelectedPrecincts[Batch Name],SamplingData[[#This Row],[Batch by Type (p)]]) &lt;&gt; 0, COUNTIF(SelectedPrecincts[Batch Name],SamplingData[[#This Row],[Batch by Type (p)]]), 0)</f>
        <v>0</v>
      </c>
    </row>
    <row r="1329" spans="1:24" ht="15" customHeight="1">
      <c r="A1329" s="18" t="s">
        <v>1505</v>
      </c>
      <c r="B1329" s="18">
        <v>9</v>
      </c>
      <c r="C1329" s="18">
        <v>17</v>
      </c>
      <c r="D1329" s="16">
        <v>5</v>
      </c>
      <c r="E1329" s="16">
        <v>8</v>
      </c>
      <c r="F1329" s="37">
        <v>0</v>
      </c>
      <c r="G1329" s="37">
        <v>0</v>
      </c>
      <c r="H1329" s="17">
        <v>0</v>
      </c>
      <c r="I1329" s="17">
        <v>1</v>
      </c>
      <c r="J1329" s="99">
        <f>SUM(SamplingData[[#This Row],[Losing Candidate]:[Under Votes]])</f>
        <v>40</v>
      </c>
      <c r="K1329" s="100">
        <f>IF(AND(SamplingData[[#This Row],[Total]]&lt;&gt; 0, NOT(ISBLANK(SamplingData[[#This Row],[Losing Candidate]]))),(SamplingData[[#This Row],[Total]]+SamplingData[[#This Row],[Winning Candidate]]-SamplingData[[#This Row],[Losing Candidate]])/(SamplingData[[#Totals],[Winning Candidate]]-SamplingData[[#Totals],[Losing Candidate]]), 0)</f>
        <v>2.9397354238118569E-3</v>
      </c>
      <c r="L1329" s="100">
        <f>IF(AND(SamplingData[[#This Row],[Total]]&lt;&gt; 0, NOT(ISBLANK(SamplingData[[#This Row],[Candidate 3]]))),(SamplingData[[#This Row],[Total]]+SamplingData[[#This Row],[Winning Candidate]]-SamplingData[[#This Row],[Candidate 3]])/(SamplingData[[#Totals],[Winning Candidate]]-SamplingData[[#Totals],[Candidate 3]]), 0)</f>
        <v>1.6775817014549794E-3</v>
      </c>
      <c r="M1329" s="100">
        <f>IF(AND(SamplingData[[#This Row],[Total]]&lt;&gt; 0, NOT(ISBLANK(SamplingData[[#This Row],[Candidate 4]]))),(SamplingData[[#This Row],[Total]]+SamplingData[[#This Row],[Winning Candidate]]-SamplingData[[#This Row],[Candidate 4]])/(SamplingData[[#Totals],[Winning Candidate]]-SamplingData[[#Totals],[Candidate 4]]), 0)</f>
        <v>1.4323715981174544E-3</v>
      </c>
      <c r="N1329" s="100">
        <f>IF(AND(SamplingData[[#This Row],[Total]]&lt;&gt; 0, NOT(ISBLANK(SamplingData[[#This Row],[Candidate 5]]))),(SamplingData[[#This Row],[Total]]+SamplingData[[#This Row],[Winning Candidate]]-SamplingData[[#This Row],[Candidate 5]])/(SamplingData[[#Totals],[Winning Candidate]]-SamplingData[[#Totals],[Candidate 5]]), 0)</f>
        <v>1.3865239601070299E-3</v>
      </c>
      <c r="O1329" s="100">
        <f>IF(AND(SamplingData[[#This Row],[Total]]&lt;&gt; 0, NOT(ISBLANK(SamplingData[[#This Row],[Candidate 6]]))),(SamplingData[[#This Row],[Total]]+SamplingData[[#This Row],[Winning Candidate]]-SamplingData[[#This Row],[Candidate 6]])/(SamplingData[[#Totals],[Winning Candidate]]-SamplingData[[#Totals],[Candidate 6]]), 0)</f>
        <v>1.3861193521715869E-3</v>
      </c>
      <c r="P1329" s="100">
        <f>MAX(SamplingData[[#This Row],[Error Bound (up) - Max. possible relative overstatement - Losing Candidate]:[Error Bound (up) - Max. possible relative overstatement - Candidate 6]])</f>
        <v>2.9397354238118569E-3</v>
      </c>
      <c r="Q1329" s="100">
        <f>IF(SamplingData[[#This Row],[Max Error Bound (up)]] = 0,0,SamplingData[[#This Row],[Max Error Bound (up)]]/SamplingData[[#Totals],[Max Error Bound (up)]])</f>
        <v>4.6526151736539989E-4</v>
      </c>
      <c r="R1329" s="101">
        <f>SUM($Q$5:Q1329)</f>
        <v>0.39900306629730642</v>
      </c>
      <c r="S1329" s="100" t="str">
        <f t="array" ref="S1329">IF(SamplingData[[#This Row],[up/U Selection Probability]] = 0, "Zero", TEXT(SamplingData[[#This Row],[Lower Range]], REPT("0",LEN('General Info'!$B$40))) &amp; " - " &amp; TEXT(SamplingData[[#This Row],[Upper Range]], REPT("0",LEN('General Info'!$B$40))))</f>
        <v>39854 - 39899</v>
      </c>
      <c r="T1329" s="100">
        <f>SamplingData[[#This Row],[Upper Range]]-SamplingData[[#This Row],[Span]]</f>
        <v>39853.780943255624</v>
      </c>
      <c r="U1329" s="100">
        <f>IF(ISNUMBER('General Info'!$B$40), ((SamplingData[[#This Row],[up/U Selection Probability]]) * 'General Info'!$B$40) - 1, 0)</f>
        <v>45.525686475022624</v>
      </c>
      <c r="V1329" s="100">
        <f>IF(ISNUMBER('General Info'!$B$40), (SamplingData[[#This Row],[Running (cumulative) sum]] * ('General Info'!$B$40 -'General Info'!$B$41 + 1)) + 'General Info'!$B$41 - 1, 0)</f>
        <v>39899.306629730643</v>
      </c>
      <c r="W1329" s="100" t="str">
        <f>IF(ISERROR(MATCH(SamplingData[[#This Row],[Batch by Type (p)]],SelectedPrecincts[Batch Name], 0)), "", INDEX(SelectedPrecincts[Draw], MATCH(SamplingData[[#This Row],[Batch by Type (p)]],SelectedPrecincts[Batch Name], 0)))</f>
        <v/>
      </c>
      <c r="X1329" s="102">
        <f>IF(COUNTIF(SelectedPrecincts[Batch Name],SamplingData[[#This Row],[Batch by Type (p)]]) &lt;&gt; 0, COUNTIF(SelectedPrecincts[Batch Name],SamplingData[[#This Row],[Batch by Type (p)]]), 0)</f>
        <v>0</v>
      </c>
    </row>
    <row r="1330" spans="1:24" ht="15" customHeight="1">
      <c r="A1330" s="18" t="s">
        <v>1506</v>
      </c>
      <c r="B1330" s="18">
        <v>4</v>
      </c>
      <c r="C1330" s="18">
        <v>6</v>
      </c>
      <c r="D1330" s="18">
        <v>2</v>
      </c>
      <c r="E1330" s="18">
        <v>0</v>
      </c>
      <c r="F1330" s="18">
        <v>2</v>
      </c>
      <c r="G1330" s="18">
        <v>0</v>
      </c>
      <c r="H1330" s="18">
        <v>0</v>
      </c>
      <c r="I1330" s="18">
        <v>1</v>
      </c>
      <c r="J1330" s="99">
        <f>SUM(SamplingData[[#This Row],[Losing Candidate]:[Under Votes]])</f>
        <v>15</v>
      </c>
      <c r="K1330"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330" s="100">
        <f>IF(AND(SamplingData[[#This Row],[Total]]&lt;&gt; 0, NOT(ISBLANK(SamplingData[[#This Row],[Candidate 3]]))),(SamplingData[[#This Row],[Total]]+SamplingData[[#This Row],[Winning Candidate]]-SamplingData[[#This Row],[Candidate 3]])/(SamplingData[[#Totals],[Winning Candidate]]-SamplingData[[#Totals],[Candidate 3]]), 0)</f>
        <v>6.1296254476239632E-4</v>
      </c>
      <c r="M1330" s="100">
        <f>IF(AND(SamplingData[[#This Row],[Total]]&lt;&gt; 0, NOT(ISBLANK(SamplingData[[#This Row],[Candidate 4]]))),(SamplingData[[#This Row],[Total]]+SamplingData[[#This Row],[Winning Candidate]]-SamplingData[[#This Row],[Candidate 4]])/(SamplingData[[#Totals],[Winning Candidate]]-SamplingData[[#Totals],[Candidate 4]]), 0)</f>
        <v>6.1387354205033758E-4</v>
      </c>
      <c r="N1330" s="100">
        <f>IF(AND(SamplingData[[#This Row],[Total]]&lt;&gt; 0, NOT(ISBLANK(SamplingData[[#This Row],[Candidate 5]]))),(SamplingData[[#This Row],[Total]]+SamplingData[[#This Row],[Winning Candidate]]-SamplingData[[#This Row],[Candidate 5]])/(SamplingData[[#Totals],[Winning Candidate]]-SamplingData[[#Totals],[Candidate 5]]), 0)</f>
        <v>4.6217465336900997E-4</v>
      </c>
      <c r="O1330" s="100">
        <f>IF(AND(SamplingData[[#This Row],[Total]]&lt;&gt; 0, NOT(ISBLANK(SamplingData[[#This Row],[Candidate 6]]))),(SamplingData[[#This Row],[Total]]+SamplingData[[#This Row],[Winning Candidate]]-SamplingData[[#This Row],[Candidate 6]])/(SamplingData[[#Totals],[Winning Candidate]]-SamplingData[[#Totals],[Candidate 6]]), 0)</f>
        <v>5.1067555080005838E-4</v>
      </c>
      <c r="P1330" s="100">
        <f>MAX(SamplingData[[#This Row],[Error Bound (up) - Max. possible relative overstatement - Losing Candidate]:[Error Bound (up) - Max. possible relative overstatement - Candidate 6]])</f>
        <v>1.041156295933366E-3</v>
      </c>
      <c r="Q1330" s="100">
        <f>IF(SamplingData[[#This Row],[Max Error Bound (up)]] = 0,0,SamplingData[[#This Row],[Max Error Bound (up)]]/SamplingData[[#Totals],[Max Error Bound (up)]])</f>
        <v>1.6478012073357914E-4</v>
      </c>
      <c r="R1330" s="101">
        <f>SUM($Q$5:Q1330)</f>
        <v>0.39916784641803998</v>
      </c>
      <c r="S1330" s="100" t="str">
        <f t="array" ref="S1330">IF(SamplingData[[#This Row],[up/U Selection Probability]] = 0, "Zero", TEXT(SamplingData[[#This Row],[Lower Range]], REPT("0",LEN('General Info'!$B$40))) &amp; " - " &amp; TEXT(SamplingData[[#This Row],[Upper Range]], REPT("0",LEN('General Info'!$B$40))))</f>
        <v>39900 - 39916</v>
      </c>
      <c r="T1330" s="100">
        <f>SamplingData[[#This Row],[Upper Range]]-SamplingData[[#This Row],[Span]]</f>
        <v>39900.306794510761</v>
      </c>
      <c r="U1330" s="100">
        <f>IF(ISNUMBER('General Info'!$B$40), ((SamplingData[[#This Row],[up/U Selection Probability]]) * 'General Info'!$B$40) - 1, 0)</f>
        <v>15.477847293237179</v>
      </c>
      <c r="V1330" s="100">
        <f>IF(ISNUMBER('General Info'!$B$40), (SamplingData[[#This Row],[Running (cumulative) sum]] * ('General Info'!$B$40 -'General Info'!$B$41 + 1)) + 'General Info'!$B$41 - 1, 0)</f>
        <v>39915.784641803999</v>
      </c>
      <c r="W1330" s="100" t="str">
        <f>IF(ISERROR(MATCH(SamplingData[[#This Row],[Batch by Type (p)]],SelectedPrecincts[Batch Name], 0)), "", INDEX(SelectedPrecincts[Draw], MATCH(SamplingData[[#This Row],[Batch by Type (p)]],SelectedPrecincts[Batch Name], 0)))</f>
        <v/>
      </c>
      <c r="X1330" s="102">
        <f>IF(COUNTIF(SelectedPrecincts[Batch Name],SamplingData[[#This Row],[Batch by Type (p)]]) &lt;&gt; 0, COUNTIF(SelectedPrecincts[Batch Name],SamplingData[[#This Row],[Batch by Type (p)]]), 0)</f>
        <v>0</v>
      </c>
    </row>
    <row r="1331" spans="1:24" ht="15" customHeight="1">
      <c r="A1331" s="18" t="s">
        <v>1507</v>
      </c>
      <c r="B1331" s="18">
        <v>9</v>
      </c>
      <c r="C1331" s="18">
        <v>16</v>
      </c>
      <c r="D1331" s="16">
        <v>3</v>
      </c>
      <c r="E1331" s="16">
        <v>4</v>
      </c>
      <c r="F1331" s="37">
        <v>1</v>
      </c>
      <c r="G1331" s="37">
        <v>0</v>
      </c>
      <c r="H1331" s="17">
        <v>0</v>
      </c>
      <c r="I1331" s="17">
        <v>0</v>
      </c>
      <c r="J1331" s="99">
        <f>SUM(SamplingData[[#This Row],[Losing Candidate]:[Under Votes]])</f>
        <v>33</v>
      </c>
      <c r="K1331"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331" s="100">
        <f>IF(AND(SamplingData[[#This Row],[Total]]&lt;&gt; 0, NOT(ISBLANK(SamplingData[[#This Row],[Candidate 3]]))),(SamplingData[[#This Row],[Total]]+SamplingData[[#This Row],[Winning Candidate]]-SamplingData[[#This Row],[Candidate 3]])/(SamplingData[[#Totals],[Winning Candidate]]-SamplingData[[#Totals],[Candidate 3]]), 0)</f>
        <v>1.4840145820563281E-3</v>
      </c>
      <c r="M1331" s="100">
        <f>IF(AND(SamplingData[[#This Row],[Total]]&lt;&gt; 0, NOT(ISBLANK(SamplingData[[#This Row],[Candidate 4]]))),(SamplingData[[#This Row],[Total]]+SamplingData[[#This Row],[Winning Candidate]]-SamplingData[[#This Row],[Candidate 4]])/(SamplingData[[#Totals],[Winning Candidate]]-SamplingData[[#Totals],[Candidate 4]]), 0)</f>
        <v>1.3154433043935806E-3</v>
      </c>
      <c r="N1331" s="100">
        <f>IF(AND(SamplingData[[#This Row],[Total]]&lt;&gt; 0, NOT(ISBLANK(SamplingData[[#This Row],[Candidate 5]]))),(SamplingData[[#This Row],[Total]]+SamplingData[[#This Row],[Winning Candidate]]-SamplingData[[#This Row],[Candidate 5]])/(SamplingData[[#Totals],[Winning Candidate]]-SamplingData[[#Totals],[Candidate 5]]), 0)</f>
        <v>1.1675991243006569E-3</v>
      </c>
      <c r="O1331" s="100">
        <f>IF(AND(SamplingData[[#This Row],[Total]]&lt;&gt; 0, NOT(ISBLANK(SamplingData[[#This Row],[Candidate 6]]))),(SamplingData[[#This Row],[Total]]+SamplingData[[#This Row],[Winning Candidate]]-SamplingData[[#This Row],[Candidate 6]])/(SamplingData[[#Totals],[Winning Candidate]]-SamplingData[[#Totals],[Candidate 6]]), 0)</f>
        <v>1.1915762852001363E-3</v>
      </c>
      <c r="P1331" s="100">
        <f>MAX(SamplingData[[#This Row],[Error Bound (up) - Max. possible relative overstatement - Losing Candidate]:[Error Bound (up) - Max. possible relative overstatement - Candidate 6]])</f>
        <v>2.4497795198432141E-3</v>
      </c>
      <c r="Q1331" s="100">
        <f>IF(SamplingData[[#This Row],[Max Error Bound (up)]] = 0,0,SamplingData[[#This Row],[Max Error Bound (up)]]/SamplingData[[#Totals],[Max Error Bound (up)]])</f>
        <v>3.8771793113783328E-4</v>
      </c>
      <c r="R1331" s="101">
        <f>SUM($Q$5:Q1331)</f>
        <v>0.39955556434917783</v>
      </c>
      <c r="S1331" s="100" t="str">
        <f t="array" ref="S1331">IF(SamplingData[[#This Row],[up/U Selection Probability]] = 0, "Zero", TEXT(SamplingData[[#This Row],[Lower Range]], REPT("0",LEN('General Info'!$B$40))) &amp; " - " &amp; TEXT(SamplingData[[#This Row],[Upper Range]], REPT("0",LEN('General Info'!$B$40))))</f>
        <v>39917 - 39955</v>
      </c>
      <c r="T1331" s="100">
        <f>SamplingData[[#This Row],[Upper Range]]-SamplingData[[#This Row],[Span]]</f>
        <v>39916.785029521925</v>
      </c>
      <c r="U1331" s="100">
        <f>IF(ISNUMBER('General Info'!$B$40), ((SamplingData[[#This Row],[up/U Selection Probability]]) * 'General Info'!$B$40) - 1, 0)</f>
        <v>37.771405395852192</v>
      </c>
      <c r="V1331" s="100">
        <f>IF(ISNUMBER('General Info'!$B$40), (SamplingData[[#This Row],[Running (cumulative) sum]] * ('General Info'!$B$40 -'General Info'!$B$41 + 1)) + 'General Info'!$B$41 - 1, 0)</f>
        <v>39954.55643491778</v>
      </c>
      <c r="W1331" s="100" t="str">
        <f>IF(ISERROR(MATCH(SamplingData[[#This Row],[Batch by Type (p)]],SelectedPrecincts[Batch Name], 0)), "", INDEX(SelectedPrecincts[Draw], MATCH(SamplingData[[#This Row],[Batch by Type (p)]],SelectedPrecincts[Batch Name], 0)))</f>
        <v/>
      </c>
      <c r="X1331" s="102">
        <f>IF(COUNTIF(SelectedPrecincts[Batch Name],SamplingData[[#This Row],[Batch by Type (p)]]) &lt;&gt; 0, COUNTIF(SelectedPrecincts[Batch Name],SamplingData[[#This Row],[Batch by Type (p)]]), 0)</f>
        <v>0</v>
      </c>
    </row>
    <row r="1332" spans="1:24" ht="15" customHeight="1">
      <c r="A1332" s="18" t="s">
        <v>1508</v>
      </c>
      <c r="B1332" s="18">
        <v>3</v>
      </c>
      <c r="C1332" s="18">
        <v>1</v>
      </c>
      <c r="D1332" s="18">
        <v>0</v>
      </c>
      <c r="E1332" s="18">
        <v>1</v>
      </c>
      <c r="F1332" s="18">
        <v>0</v>
      </c>
      <c r="G1332" s="18">
        <v>0</v>
      </c>
      <c r="H1332" s="18">
        <v>0</v>
      </c>
      <c r="I1332" s="18">
        <v>0</v>
      </c>
      <c r="J1332" s="99">
        <f>SUM(SamplingData[[#This Row],[Losing Candidate]:[Under Votes]])</f>
        <v>5</v>
      </c>
      <c r="K1332"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332" s="100">
        <f>IF(AND(SamplingData[[#This Row],[Total]]&lt;&gt; 0, NOT(ISBLANK(SamplingData[[#This Row],[Candidate 3]]))),(SamplingData[[#This Row],[Total]]+SamplingData[[#This Row],[Winning Candidate]]-SamplingData[[#This Row],[Candidate 3]])/(SamplingData[[#Totals],[Winning Candidate]]-SamplingData[[#Totals],[Candidate 3]]), 0)</f>
        <v>1.9356711939865149E-4</v>
      </c>
      <c r="M1332" s="100">
        <f>IF(AND(SamplingData[[#This Row],[Total]]&lt;&gt; 0, NOT(ISBLANK(SamplingData[[#This Row],[Candidate 4]]))),(SamplingData[[#This Row],[Total]]+SamplingData[[#This Row],[Winning Candidate]]-SamplingData[[#This Row],[Candidate 4]])/(SamplingData[[#Totals],[Winning Candidate]]-SamplingData[[#Totals],[Candidate 4]]), 0)</f>
        <v>1.4616036715484231E-4</v>
      </c>
      <c r="N1332" s="100">
        <f>IF(AND(SamplingData[[#This Row],[Total]]&lt;&gt; 0, NOT(ISBLANK(SamplingData[[#This Row],[Candidate 5]]))),(SamplingData[[#This Row],[Total]]+SamplingData[[#This Row],[Winning Candidate]]-SamplingData[[#This Row],[Candidate 5]])/(SamplingData[[#Totals],[Winning Candidate]]-SamplingData[[#Totals],[Candidate 5]]), 0)</f>
        <v>1.4594989053758211E-4</v>
      </c>
      <c r="O1332" s="100">
        <f>IF(AND(SamplingData[[#This Row],[Total]]&lt;&gt; 0, NOT(ISBLANK(SamplingData[[#This Row],[Candidate 6]]))),(SamplingData[[#This Row],[Total]]+SamplingData[[#This Row],[Winning Candidate]]-SamplingData[[#This Row],[Candidate 6]])/(SamplingData[[#Totals],[Winning Candidate]]-SamplingData[[#Totals],[Candidate 6]]), 0)</f>
        <v>1.4590730022858811E-4</v>
      </c>
      <c r="P1332" s="100">
        <f>MAX(SamplingData[[#This Row],[Error Bound (up) - Max. possible relative overstatement - Losing Candidate]:[Error Bound (up) - Max. possible relative overstatement - Candidate 6]])</f>
        <v>1.9356711939865149E-4</v>
      </c>
      <c r="Q1332" s="100">
        <f>IF(SamplingData[[#This Row],[Max Error Bound (up)]] = 0,0,SamplingData[[#This Row],[Max Error Bound (up)]]/SamplingData[[#Totals],[Max Error Bound (up)]])</f>
        <v>3.0635182660992398E-5</v>
      </c>
      <c r="R1332" s="101">
        <f>SUM($Q$5:Q1332)</f>
        <v>0.39958619953183883</v>
      </c>
      <c r="S1332" s="100" t="str">
        <f t="array" ref="S1332">IF(SamplingData[[#This Row],[up/U Selection Probability]] = 0, "Zero", TEXT(SamplingData[[#This Row],[Lower Range]], REPT("0",LEN('General Info'!$B$40))) &amp; " - " &amp; TEXT(SamplingData[[#This Row],[Upper Range]], REPT("0",LEN('General Info'!$B$40))))</f>
        <v>39956 - 39958</v>
      </c>
      <c r="T1332" s="100">
        <f>SamplingData[[#This Row],[Upper Range]]-SamplingData[[#This Row],[Span]]</f>
        <v>39955.55646555296</v>
      </c>
      <c r="U1332" s="100">
        <f>IF(ISNUMBER('General Info'!$B$40), ((SamplingData[[#This Row],[up/U Selection Probability]]) * 'General Info'!$B$40) - 1, 0)</f>
        <v>2.0634876309165788</v>
      </c>
      <c r="V1332" s="100">
        <f>IF(ISNUMBER('General Info'!$B$40), (SamplingData[[#This Row],[Running (cumulative) sum]] * ('General Info'!$B$40 -'General Info'!$B$41 + 1)) + 'General Info'!$B$41 - 1, 0)</f>
        <v>39957.619953183879</v>
      </c>
      <c r="W1332" s="100" t="str">
        <f>IF(ISERROR(MATCH(SamplingData[[#This Row],[Batch by Type (p)]],SelectedPrecincts[Batch Name], 0)), "", INDEX(SelectedPrecincts[Draw], MATCH(SamplingData[[#This Row],[Batch by Type (p)]],SelectedPrecincts[Batch Name], 0)))</f>
        <v/>
      </c>
      <c r="X1332" s="102">
        <f>IF(COUNTIF(SelectedPrecincts[Batch Name],SamplingData[[#This Row],[Batch by Type (p)]]) &lt;&gt; 0, COUNTIF(SelectedPrecincts[Batch Name],SamplingData[[#This Row],[Batch by Type (p)]]), 0)</f>
        <v>0</v>
      </c>
    </row>
    <row r="1333" spans="1:24" ht="15" customHeight="1">
      <c r="A1333" s="18" t="s">
        <v>1509</v>
      </c>
      <c r="B1333" s="18">
        <v>11</v>
      </c>
      <c r="C1333" s="18">
        <v>35</v>
      </c>
      <c r="D1333" s="16">
        <v>8</v>
      </c>
      <c r="E1333" s="16">
        <v>4</v>
      </c>
      <c r="F1333" s="37">
        <v>0</v>
      </c>
      <c r="G1333" s="37">
        <v>0</v>
      </c>
      <c r="H1333" s="17">
        <v>0</v>
      </c>
      <c r="I1333" s="17">
        <v>0</v>
      </c>
      <c r="J1333" s="99">
        <f>SUM(SamplingData[[#This Row],[Losing Candidate]:[Under Votes]])</f>
        <v>58</v>
      </c>
      <c r="K1333"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1333" s="100">
        <f>IF(AND(SamplingData[[#This Row],[Total]]&lt;&gt; 0, NOT(ISBLANK(SamplingData[[#This Row],[Candidate 3]]))),(SamplingData[[#This Row],[Total]]+SamplingData[[#This Row],[Winning Candidate]]-SamplingData[[#This Row],[Candidate 3]])/(SamplingData[[#Totals],[Winning Candidate]]-SamplingData[[#Totals],[Candidate 3]]), 0)</f>
        <v>2.7422008581475628E-3</v>
      </c>
      <c r="M1333" s="100">
        <f>IF(AND(SamplingData[[#This Row],[Total]]&lt;&gt; 0, NOT(ISBLANK(SamplingData[[#This Row],[Candidate 4]]))),(SamplingData[[#This Row],[Total]]+SamplingData[[#This Row],[Winning Candidate]]-SamplingData[[#This Row],[Candidate 4]])/(SamplingData[[#Totals],[Winning Candidate]]-SamplingData[[#Totals],[Candidate 4]]), 0)</f>
        <v>2.6016545353561927E-3</v>
      </c>
      <c r="N1333" s="100">
        <f>IF(AND(SamplingData[[#This Row],[Total]]&lt;&gt; 0, NOT(ISBLANK(SamplingData[[#This Row],[Candidate 5]]))),(SamplingData[[#This Row],[Total]]+SamplingData[[#This Row],[Winning Candidate]]-SamplingData[[#This Row],[Candidate 5]])/(SamplingData[[#Totals],[Winning Candidate]]-SamplingData[[#Totals],[Candidate 5]]), 0)</f>
        <v>2.2622233033325226E-3</v>
      </c>
      <c r="O1333" s="100">
        <f>IF(AND(SamplingData[[#This Row],[Total]]&lt;&gt; 0, NOT(ISBLANK(SamplingData[[#This Row],[Candidate 6]]))),(SamplingData[[#This Row],[Total]]+SamplingData[[#This Row],[Winning Candidate]]-SamplingData[[#This Row],[Candidate 6]])/(SamplingData[[#Totals],[Winning Candidate]]-SamplingData[[#Totals],[Candidate 6]]), 0)</f>
        <v>2.2615631535431156E-3</v>
      </c>
      <c r="P1333" s="100">
        <f>MAX(SamplingData[[#This Row],[Error Bound (up) - Max. possible relative overstatement - Losing Candidate]:[Error Bound (up) - Max. possible relative overstatement - Candidate 6]])</f>
        <v>5.0220480156785889E-3</v>
      </c>
      <c r="Q1333" s="100">
        <f>IF(SamplingData[[#This Row],[Max Error Bound (up)]] = 0,0,SamplingData[[#This Row],[Max Error Bound (up)]]/SamplingData[[#Totals],[Max Error Bound (up)]])</f>
        <v>7.9482175883255823E-4</v>
      </c>
      <c r="R1333" s="101">
        <f>SUM($Q$5:Q1333)</f>
        <v>0.40038102129067138</v>
      </c>
      <c r="S1333" s="100" t="str">
        <f t="array" ref="S1333">IF(SamplingData[[#This Row],[up/U Selection Probability]] = 0, "Zero", TEXT(SamplingData[[#This Row],[Lower Range]], REPT("0",LEN('General Info'!$B$40))) &amp; " - " &amp; TEXT(SamplingData[[#This Row],[Upper Range]], REPT("0",LEN('General Info'!$B$40))))</f>
        <v>39959 - 40037</v>
      </c>
      <c r="T1333" s="100">
        <f>SamplingData[[#This Row],[Upper Range]]-SamplingData[[#This Row],[Span]]</f>
        <v>39958.620748005647</v>
      </c>
      <c r="U1333" s="100">
        <f>IF(ISNUMBER('General Info'!$B$40), ((SamplingData[[#This Row],[up/U Selection Probability]]) * 'General Info'!$B$40) - 1, 0)</f>
        <v>78.48138106149699</v>
      </c>
      <c r="V1333" s="100">
        <f>IF(ISNUMBER('General Info'!$B$40), (SamplingData[[#This Row],[Running (cumulative) sum]] * ('General Info'!$B$40 -'General Info'!$B$41 + 1)) + 'General Info'!$B$41 - 1, 0)</f>
        <v>40037.102129067142</v>
      </c>
      <c r="W1333" s="100" t="str">
        <f>IF(ISERROR(MATCH(SamplingData[[#This Row],[Batch by Type (p)]],SelectedPrecincts[Batch Name], 0)), "", INDEX(SelectedPrecincts[Draw], MATCH(SamplingData[[#This Row],[Batch by Type (p)]],SelectedPrecincts[Batch Name], 0)))</f>
        <v/>
      </c>
      <c r="X1333" s="102">
        <f>IF(COUNTIF(SelectedPrecincts[Batch Name],SamplingData[[#This Row],[Batch by Type (p)]]) &lt;&gt; 0, COUNTIF(SelectedPrecincts[Batch Name],SamplingData[[#This Row],[Batch by Type (p)]]), 0)</f>
        <v>0</v>
      </c>
    </row>
    <row r="1334" spans="1:24" ht="15" customHeight="1">
      <c r="A1334" s="18" t="s">
        <v>1510</v>
      </c>
      <c r="B1334" s="18">
        <v>5</v>
      </c>
      <c r="C1334" s="18">
        <v>9</v>
      </c>
      <c r="D1334" s="18">
        <v>0</v>
      </c>
      <c r="E1334" s="18">
        <v>2</v>
      </c>
      <c r="F1334" s="18">
        <v>0</v>
      </c>
      <c r="G1334" s="18">
        <v>0</v>
      </c>
      <c r="H1334" s="18">
        <v>0</v>
      </c>
      <c r="I1334" s="18">
        <v>0</v>
      </c>
      <c r="J1334" s="99">
        <f>SUM(SamplingData[[#This Row],[Losing Candidate]:[Under Votes]])</f>
        <v>16</v>
      </c>
      <c r="K133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334" s="100">
        <f>IF(AND(SamplingData[[#This Row],[Total]]&lt;&gt; 0, NOT(ISBLANK(SamplingData[[#This Row],[Candidate 3]]))),(SamplingData[[#This Row],[Total]]+SamplingData[[#This Row],[Winning Candidate]]-SamplingData[[#This Row],[Candidate 3]])/(SamplingData[[#Totals],[Winning Candidate]]-SamplingData[[#Totals],[Candidate 3]]), 0)</f>
        <v>8.0652966416104783E-4</v>
      </c>
      <c r="M1334" s="100">
        <f>IF(AND(SamplingData[[#This Row],[Total]]&lt;&gt; 0, NOT(ISBLANK(SamplingData[[#This Row],[Candidate 4]]))),(SamplingData[[#This Row],[Total]]+SamplingData[[#This Row],[Winning Candidate]]-SamplingData[[#This Row],[Candidate 4]])/(SamplingData[[#Totals],[Winning Candidate]]-SamplingData[[#Totals],[Candidate 4]]), 0)</f>
        <v>6.7233768891227451E-4</v>
      </c>
      <c r="N1334" s="100">
        <f>IF(AND(SamplingData[[#This Row],[Total]]&lt;&gt; 0, NOT(ISBLANK(SamplingData[[#This Row],[Candidate 5]]))),(SamplingData[[#This Row],[Total]]+SamplingData[[#This Row],[Winning Candidate]]-SamplingData[[#This Row],[Candidate 5]])/(SamplingData[[#Totals],[Winning Candidate]]-SamplingData[[#Totals],[Candidate 5]]), 0)</f>
        <v>6.0812454390659211E-4</v>
      </c>
      <c r="O1334" s="100">
        <f>IF(AND(SamplingData[[#This Row],[Total]]&lt;&gt; 0, NOT(ISBLANK(SamplingData[[#This Row],[Candidate 6]]))),(SamplingData[[#This Row],[Total]]+SamplingData[[#This Row],[Winning Candidate]]-SamplingData[[#This Row],[Candidate 6]])/(SamplingData[[#Totals],[Winning Candidate]]-SamplingData[[#Totals],[Candidate 6]]), 0)</f>
        <v>6.0794708428578371E-4</v>
      </c>
      <c r="P1334" s="100">
        <f>MAX(SamplingData[[#This Row],[Error Bound (up) - Max. possible relative overstatement - Losing Candidate]:[Error Bound (up) - Max. possible relative overstatement - Candidate 6]])</f>
        <v>1.224889759921607E-3</v>
      </c>
      <c r="Q1334" s="100">
        <f>IF(SamplingData[[#This Row],[Max Error Bound (up)]] = 0,0,SamplingData[[#This Row],[Max Error Bound (up)]]/SamplingData[[#Totals],[Max Error Bound (up)]])</f>
        <v>1.9385896556891664E-4</v>
      </c>
      <c r="R1334" s="101">
        <f>SUM($Q$5:Q1334)</f>
        <v>0.40057488025624027</v>
      </c>
      <c r="S1334" s="100" t="str">
        <f t="array" ref="S1334">IF(SamplingData[[#This Row],[up/U Selection Probability]] = 0, "Zero", TEXT(SamplingData[[#This Row],[Lower Range]], REPT("0",LEN('General Info'!$B$40))) &amp; " - " &amp; TEXT(SamplingData[[#This Row],[Upper Range]], REPT("0",LEN('General Info'!$B$40))))</f>
        <v>40038 - 40056</v>
      </c>
      <c r="T1334" s="100">
        <f>SamplingData[[#This Row],[Upper Range]]-SamplingData[[#This Row],[Span]]</f>
        <v>40038.102322926105</v>
      </c>
      <c r="U1334" s="100">
        <f>IF(ISNUMBER('General Info'!$B$40), ((SamplingData[[#This Row],[up/U Selection Probability]]) * 'General Info'!$B$40) - 1, 0)</f>
        <v>18.385702697926096</v>
      </c>
      <c r="V1334" s="100">
        <f>IF(ISNUMBER('General Info'!$B$40), (SamplingData[[#This Row],[Running (cumulative) sum]] * ('General Info'!$B$40 -'General Info'!$B$41 + 1)) + 'General Info'!$B$41 - 1, 0)</f>
        <v>40056.488025624029</v>
      </c>
      <c r="W1334" s="100" t="str">
        <f>IF(ISERROR(MATCH(SamplingData[[#This Row],[Batch by Type (p)]],SelectedPrecincts[Batch Name], 0)), "", INDEX(SelectedPrecincts[Draw], MATCH(SamplingData[[#This Row],[Batch by Type (p)]],SelectedPrecincts[Batch Name], 0)))</f>
        <v/>
      </c>
      <c r="X1334" s="102">
        <f>IF(COUNTIF(SelectedPrecincts[Batch Name],SamplingData[[#This Row],[Batch by Type (p)]]) &lt;&gt; 0, COUNTIF(SelectedPrecincts[Batch Name],SamplingData[[#This Row],[Batch by Type (p)]]), 0)</f>
        <v>0</v>
      </c>
    </row>
    <row r="1335" spans="1:24" ht="15" customHeight="1">
      <c r="A1335" s="18" t="s">
        <v>1511</v>
      </c>
      <c r="B1335" s="18">
        <v>6</v>
      </c>
      <c r="C1335" s="18">
        <v>5</v>
      </c>
      <c r="D1335" s="16">
        <v>4</v>
      </c>
      <c r="E1335" s="16">
        <v>4</v>
      </c>
      <c r="F1335" s="37">
        <v>0</v>
      </c>
      <c r="G1335" s="37">
        <v>1</v>
      </c>
      <c r="H1335" s="17">
        <v>0</v>
      </c>
      <c r="I1335" s="17">
        <v>0</v>
      </c>
      <c r="J1335" s="99">
        <f>SUM(SamplingData[[#This Row],[Losing Candidate]:[Under Votes]])</f>
        <v>20</v>
      </c>
      <c r="K1335"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335" s="100">
        <f>IF(AND(SamplingData[[#This Row],[Total]]&lt;&gt; 0, NOT(ISBLANK(SamplingData[[#This Row],[Candidate 3]]))),(SamplingData[[#This Row],[Total]]+SamplingData[[#This Row],[Winning Candidate]]-SamplingData[[#This Row],[Candidate 3]])/(SamplingData[[#Totals],[Winning Candidate]]-SamplingData[[#Totals],[Candidate 3]]), 0)</f>
        <v>6.7748491789528019E-4</v>
      </c>
      <c r="M1335" s="100">
        <f>IF(AND(SamplingData[[#This Row],[Total]]&lt;&gt; 0, NOT(ISBLANK(SamplingData[[#This Row],[Candidate 4]]))),(SamplingData[[#This Row],[Total]]+SamplingData[[#This Row],[Winning Candidate]]-SamplingData[[#This Row],[Candidate 4]])/(SamplingData[[#Totals],[Winning Candidate]]-SamplingData[[#Totals],[Candidate 4]]), 0)</f>
        <v>6.1387354205033758E-4</v>
      </c>
      <c r="N1335" s="100">
        <f>IF(AND(SamplingData[[#This Row],[Total]]&lt;&gt; 0, NOT(ISBLANK(SamplingData[[#This Row],[Candidate 5]]))),(SamplingData[[#This Row],[Total]]+SamplingData[[#This Row],[Winning Candidate]]-SamplingData[[#This Row],[Candidate 5]])/(SamplingData[[#Totals],[Winning Candidate]]-SamplingData[[#Totals],[Candidate 5]]), 0)</f>
        <v>6.0812454390659211E-4</v>
      </c>
      <c r="O1335" s="100">
        <f>IF(AND(SamplingData[[#This Row],[Total]]&lt;&gt; 0, NOT(ISBLANK(SamplingData[[#This Row],[Candidate 6]]))),(SamplingData[[#This Row],[Total]]+SamplingData[[#This Row],[Winning Candidate]]-SamplingData[[#This Row],[Candidate 6]])/(SamplingData[[#Totals],[Winning Candidate]]-SamplingData[[#Totals],[Candidate 6]]), 0)</f>
        <v>5.8362920091435243E-4</v>
      </c>
      <c r="P1335" s="100">
        <f>MAX(SamplingData[[#This Row],[Error Bound (up) - Max. possible relative overstatement - Losing Candidate]:[Error Bound (up) - Max. possible relative overstatement - Candidate 6]])</f>
        <v>1.1636452719255266E-3</v>
      </c>
      <c r="Q1335" s="100">
        <f>IF(SamplingData[[#This Row],[Max Error Bound (up)]] = 0,0,SamplingData[[#This Row],[Max Error Bound (up)]]/SamplingData[[#Totals],[Max Error Bound (up)]])</f>
        <v>1.841660172904708E-4</v>
      </c>
      <c r="R1335" s="101">
        <f>SUM($Q$5:Q1335)</f>
        <v>0.40075904627353076</v>
      </c>
      <c r="S1335" s="100" t="str">
        <f t="array" ref="S1335">IF(SamplingData[[#This Row],[up/U Selection Probability]] = 0, "Zero", TEXT(SamplingData[[#This Row],[Lower Range]], REPT("0",LEN('General Info'!$B$40))) &amp; " - " &amp; TEXT(SamplingData[[#This Row],[Upper Range]], REPT("0",LEN('General Info'!$B$40))))</f>
        <v>40057 - 40075</v>
      </c>
      <c r="T1335" s="100">
        <f>SamplingData[[#This Row],[Upper Range]]-SamplingData[[#This Row],[Span]]</f>
        <v>40057.488209790048</v>
      </c>
      <c r="U1335" s="100">
        <f>IF(ISNUMBER('General Info'!$B$40), ((SamplingData[[#This Row],[up/U Selection Probability]]) * 'General Info'!$B$40) - 1, 0)</f>
        <v>17.416417563029789</v>
      </c>
      <c r="V1335" s="100">
        <f>IF(ISNUMBER('General Info'!$B$40), (SamplingData[[#This Row],[Running (cumulative) sum]] * ('General Info'!$B$40 -'General Info'!$B$41 + 1)) + 'General Info'!$B$41 - 1, 0)</f>
        <v>40074.904627353077</v>
      </c>
      <c r="W1335" s="100" t="str">
        <f>IF(ISERROR(MATCH(SamplingData[[#This Row],[Batch by Type (p)]],SelectedPrecincts[Batch Name], 0)), "", INDEX(SelectedPrecincts[Draw], MATCH(SamplingData[[#This Row],[Batch by Type (p)]],SelectedPrecincts[Batch Name], 0)))</f>
        <v/>
      </c>
      <c r="X1335" s="102">
        <f>IF(COUNTIF(SelectedPrecincts[Batch Name],SamplingData[[#This Row],[Batch by Type (p)]]) &lt;&gt; 0, COUNTIF(SelectedPrecincts[Batch Name],SamplingData[[#This Row],[Batch by Type (p)]]), 0)</f>
        <v>0</v>
      </c>
    </row>
    <row r="1336" spans="1:24" ht="15" customHeight="1">
      <c r="A1336" s="18" t="s">
        <v>1512</v>
      </c>
      <c r="B1336" s="18">
        <v>4</v>
      </c>
      <c r="C1336" s="18">
        <v>6</v>
      </c>
      <c r="D1336" s="18">
        <v>0</v>
      </c>
      <c r="E1336" s="18">
        <v>0</v>
      </c>
      <c r="F1336" s="18">
        <v>0</v>
      </c>
      <c r="G1336" s="18">
        <v>0</v>
      </c>
      <c r="H1336" s="18">
        <v>0</v>
      </c>
      <c r="I1336" s="18">
        <v>0</v>
      </c>
      <c r="J1336" s="99">
        <f>SUM(SamplingData[[#This Row],[Losing Candidate]:[Under Votes]])</f>
        <v>10</v>
      </c>
      <c r="K1336"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1336" s="100">
        <f>IF(AND(SamplingData[[#This Row],[Total]]&lt;&gt; 0, NOT(ISBLANK(SamplingData[[#This Row],[Candidate 3]]))),(SamplingData[[#This Row],[Total]]+SamplingData[[#This Row],[Winning Candidate]]-SamplingData[[#This Row],[Candidate 3]])/(SamplingData[[#Totals],[Winning Candidate]]-SamplingData[[#Totals],[Candidate 3]]), 0)</f>
        <v>5.1617898506307067E-4</v>
      </c>
      <c r="M1336" s="100">
        <f>IF(AND(SamplingData[[#This Row],[Total]]&lt;&gt; 0, NOT(ISBLANK(SamplingData[[#This Row],[Candidate 4]]))),(SamplingData[[#This Row],[Total]]+SamplingData[[#This Row],[Winning Candidate]]-SamplingData[[#This Row],[Candidate 4]])/(SamplingData[[#Totals],[Winning Candidate]]-SamplingData[[#Totals],[Candidate 4]]), 0)</f>
        <v>4.6771317489549536E-4</v>
      </c>
      <c r="N1336" s="100">
        <f>IF(AND(SamplingData[[#This Row],[Total]]&lt;&gt; 0, NOT(ISBLANK(SamplingData[[#This Row],[Candidate 5]]))),(SamplingData[[#This Row],[Total]]+SamplingData[[#This Row],[Winning Candidate]]-SamplingData[[#This Row],[Candidate 5]])/(SamplingData[[#Totals],[Winning Candidate]]-SamplingData[[#Totals],[Candidate 5]]), 0)</f>
        <v>3.8919970810021893E-4</v>
      </c>
      <c r="O1336" s="100">
        <f>IF(AND(SamplingData[[#This Row],[Total]]&lt;&gt; 0, NOT(ISBLANK(SamplingData[[#This Row],[Candidate 6]]))),(SamplingData[[#This Row],[Total]]+SamplingData[[#This Row],[Winning Candidate]]-SamplingData[[#This Row],[Candidate 6]])/(SamplingData[[#Totals],[Winning Candidate]]-SamplingData[[#Totals],[Candidate 6]]), 0)</f>
        <v>3.8908613394290161E-4</v>
      </c>
      <c r="P1336" s="100">
        <f>MAX(SamplingData[[#This Row],[Error Bound (up) - Max. possible relative overstatement - Losing Candidate]:[Error Bound (up) - Max. possible relative overstatement - Candidate 6]])</f>
        <v>7.3493385595296422E-4</v>
      </c>
      <c r="Q1336" s="100">
        <f>IF(SamplingData[[#This Row],[Max Error Bound (up)]] = 0,0,SamplingData[[#This Row],[Max Error Bound (up)]]/SamplingData[[#Totals],[Max Error Bound (up)]])</f>
        <v>1.1631537934134997E-4</v>
      </c>
      <c r="R1336" s="101">
        <f>SUM($Q$5:Q1336)</f>
        <v>0.40087536165287213</v>
      </c>
      <c r="S1336" s="100" t="str">
        <f t="array" ref="S1336">IF(SamplingData[[#This Row],[up/U Selection Probability]] = 0, "Zero", TEXT(SamplingData[[#This Row],[Lower Range]], REPT("0",LEN('General Info'!$B$40))) &amp; " - " &amp; TEXT(SamplingData[[#This Row],[Upper Range]], REPT("0",LEN('General Info'!$B$40))))</f>
        <v>40076 - 40087</v>
      </c>
      <c r="T1336" s="100">
        <f>SamplingData[[#This Row],[Upper Range]]-SamplingData[[#This Row],[Span]]</f>
        <v>40075.904743668463</v>
      </c>
      <c r="U1336" s="100">
        <f>IF(ISNUMBER('General Info'!$B$40), ((SamplingData[[#This Row],[up/U Selection Probability]]) * 'General Info'!$B$40) - 1, 0)</f>
        <v>10.631421618755656</v>
      </c>
      <c r="V1336" s="100">
        <f>IF(ISNUMBER('General Info'!$B$40), (SamplingData[[#This Row],[Running (cumulative) sum]] * ('General Info'!$B$40 -'General Info'!$B$41 + 1)) + 'General Info'!$B$41 - 1, 0)</f>
        <v>40086.536165287216</v>
      </c>
      <c r="W1336" s="100" t="str">
        <f>IF(ISERROR(MATCH(SamplingData[[#This Row],[Batch by Type (p)]],SelectedPrecincts[Batch Name], 0)), "", INDEX(SelectedPrecincts[Draw], MATCH(SamplingData[[#This Row],[Batch by Type (p)]],SelectedPrecincts[Batch Name], 0)))</f>
        <v/>
      </c>
      <c r="X1336" s="102">
        <f>IF(COUNTIF(SelectedPrecincts[Batch Name],SamplingData[[#This Row],[Batch by Type (p)]]) &lt;&gt; 0, COUNTIF(SelectedPrecincts[Batch Name],SamplingData[[#This Row],[Batch by Type (p)]]), 0)</f>
        <v>0</v>
      </c>
    </row>
    <row r="1337" spans="1:24" ht="15" customHeight="1">
      <c r="A1337" s="18" t="s">
        <v>1513</v>
      </c>
      <c r="B1337" s="18">
        <v>12</v>
      </c>
      <c r="C1337" s="18">
        <v>15</v>
      </c>
      <c r="D1337" s="16">
        <v>5</v>
      </c>
      <c r="E1337" s="16">
        <v>9</v>
      </c>
      <c r="F1337" s="37">
        <v>1</v>
      </c>
      <c r="G1337" s="37">
        <v>1</v>
      </c>
      <c r="H1337" s="17">
        <v>0</v>
      </c>
      <c r="I1337" s="17">
        <v>0</v>
      </c>
      <c r="J1337" s="99">
        <f>SUM(SamplingData[[#This Row],[Losing Candidate]:[Under Votes]])</f>
        <v>43</v>
      </c>
      <c r="K1337" s="100">
        <f>IF(AND(SamplingData[[#This Row],[Total]]&lt;&gt; 0, NOT(ISBLANK(SamplingData[[#This Row],[Losing Candidate]]))),(SamplingData[[#This Row],[Total]]+SamplingData[[#This Row],[Winning Candidate]]-SamplingData[[#This Row],[Losing Candidate]])/(SamplingData[[#Totals],[Winning Candidate]]-SamplingData[[#Totals],[Losing Candidate]]), 0)</f>
        <v>2.8172464478196961E-3</v>
      </c>
      <c r="L1337" s="100">
        <f>IF(AND(SamplingData[[#This Row],[Total]]&lt;&gt; 0, NOT(ISBLANK(SamplingData[[#This Row],[Candidate 3]]))),(SamplingData[[#This Row],[Total]]+SamplingData[[#This Row],[Winning Candidate]]-SamplingData[[#This Row],[Candidate 3]])/(SamplingData[[#Totals],[Winning Candidate]]-SamplingData[[#Totals],[Candidate 3]]), 0)</f>
        <v>1.7098428880214214E-3</v>
      </c>
      <c r="M1337" s="100">
        <f>IF(AND(SamplingData[[#This Row],[Total]]&lt;&gt; 0, NOT(ISBLANK(SamplingData[[#This Row],[Candidate 4]]))),(SamplingData[[#This Row],[Total]]+SamplingData[[#This Row],[Winning Candidate]]-SamplingData[[#This Row],[Candidate 4]])/(SamplingData[[#Totals],[Winning Candidate]]-SamplingData[[#Totals],[Candidate 4]]), 0)</f>
        <v>1.4323715981174544E-3</v>
      </c>
      <c r="N1337" s="100">
        <f>IF(AND(SamplingData[[#This Row],[Total]]&lt;&gt; 0, NOT(ISBLANK(SamplingData[[#This Row],[Candidate 5]]))),(SamplingData[[#This Row],[Total]]+SamplingData[[#This Row],[Winning Candidate]]-SamplingData[[#This Row],[Candidate 5]])/(SamplingData[[#Totals],[Winning Candidate]]-SamplingData[[#Totals],[Candidate 5]]), 0)</f>
        <v>1.3865239601070299E-3</v>
      </c>
      <c r="O1337" s="100">
        <f>IF(AND(SamplingData[[#This Row],[Total]]&lt;&gt; 0, NOT(ISBLANK(SamplingData[[#This Row],[Candidate 6]]))),(SamplingData[[#This Row],[Total]]+SamplingData[[#This Row],[Winning Candidate]]-SamplingData[[#This Row],[Candidate 6]])/(SamplingData[[#Totals],[Winning Candidate]]-SamplingData[[#Totals],[Candidate 6]]), 0)</f>
        <v>1.3861193521715869E-3</v>
      </c>
      <c r="P1337" s="100">
        <f>MAX(SamplingData[[#This Row],[Error Bound (up) - Max. possible relative overstatement - Losing Candidate]:[Error Bound (up) - Max. possible relative overstatement - Candidate 6]])</f>
        <v>2.8172464478196961E-3</v>
      </c>
      <c r="Q1337" s="100">
        <f>IF(SamplingData[[#This Row],[Max Error Bound (up)]] = 0,0,SamplingData[[#This Row],[Max Error Bound (up)]]/SamplingData[[#Totals],[Max Error Bound (up)]])</f>
        <v>4.4587562080850821E-4</v>
      </c>
      <c r="R1337" s="101">
        <f>SUM($Q$5:Q1337)</f>
        <v>0.40132123727368063</v>
      </c>
      <c r="S1337" s="100" t="str">
        <f t="array" ref="S1337">IF(SamplingData[[#This Row],[up/U Selection Probability]] = 0, "Zero", TEXT(SamplingData[[#This Row],[Lower Range]], REPT("0",LEN('General Info'!$B$40))) &amp; " - " &amp; TEXT(SamplingData[[#This Row],[Upper Range]], REPT("0",LEN('General Info'!$B$40))))</f>
        <v>40088 - 40131</v>
      </c>
      <c r="T1337" s="100">
        <f>SamplingData[[#This Row],[Upper Range]]-SamplingData[[#This Row],[Span]]</f>
        <v>40087.536611162832</v>
      </c>
      <c r="U1337" s="100">
        <f>IF(ISNUMBER('General Info'!$B$40), ((SamplingData[[#This Row],[up/U Selection Probability]]) * 'General Info'!$B$40) - 1, 0)</f>
        <v>43.587116205230011</v>
      </c>
      <c r="V1337" s="100">
        <f>IF(ISNUMBER('General Info'!$B$40), (SamplingData[[#This Row],[Running (cumulative) sum]] * ('General Info'!$B$40 -'General Info'!$B$41 + 1)) + 'General Info'!$B$41 - 1, 0)</f>
        <v>40131.12372736806</v>
      </c>
      <c r="W1337" s="100" t="str">
        <f>IF(ISERROR(MATCH(SamplingData[[#This Row],[Batch by Type (p)]],SelectedPrecincts[Batch Name], 0)), "", INDEX(SelectedPrecincts[Draw], MATCH(SamplingData[[#This Row],[Batch by Type (p)]],SelectedPrecincts[Batch Name], 0)))</f>
        <v/>
      </c>
      <c r="X1337" s="102">
        <f>IF(COUNTIF(SelectedPrecincts[Batch Name],SamplingData[[#This Row],[Batch by Type (p)]]) &lt;&gt; 0, COUNTIF(SelectedPrecincts[Batch Name],SamplingData[[#This Row],[Batch by Type (p)]]), 0)</f>
        <v>0</v>
      </c>
    </row>
    <row r="1338" spans="1:24" ht="15" customHeight="1">
      <c r="A1338" s="18" t="s">
        <v>1514</v>
      </c>
      <c r="B1338" s="18">
        <v>3</v>
      </c>
      <c r="C1338" s="18">
        <v>3</v>
      </c>
      <c r="D1338" s="18">
        <v>3</v>
      </c>
      <c r="E1338" s="18">
        <v>3</v>
      </c>
      <c r="F1338" s="18">
        <v>0</v>
      </c>
      <c r="G1338" s="18">
        <v>1</v>
      </c>
      <c r="H1338" s="18">
        <v>0</v>
      </c>
      <c r="I1338" s="18">
        <v>1</v>
      </c>
      <c r="J1338" s="99">
        <f>SUM(SamplingData[[#This Row],[Losing Candidate]:[Under Votes]])</f>
        <v>14</v>
      </c>
      <c r="K1338"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338" s="100">
        <f>IF(AND(SamplingData[[#This Row],[Total]]&lt;&gt; 0, NOT(ISBLANK(SamplingData[[#This Row],[Candidate 3]]))),(SamplingData[[#This Row],[Total]]+SamplingData[[#This Row],[Winning Candidate]]-SamplingData[[#This Row],[Candidate 3]])/(SamplingData[[#Totals],[Winning Candidate]]-SamplingData[[#Totals],[Candidate 3]]), 0)</f>
        <v>4.5165661193018679E-4</v>
      </c>
      <c r="M1338" s="100">
        <f>IF(AND(SamplingData[[#This Row],[Total]]&lt;&gt; 0, NOT(ISBLANK(SamplingData[[#This Row],[Candidate 4]]))),(SamplingData[[#This Row],[Total]]+SamplingData[[#This Row],[Winning Candidate]]-SamplingData[[#This Row],[Candidate 4]])/(SamplingData[[#Totals],[Winning Candidate]]-SamplingData[[#Totals],[Candidate 4]]), 0)</f>
        <v>4.0924902803355842E-4</v>
      </c>
      <c r="N1338" s="100">
        <f>IF(AND(SamplingData[[#This Row],[Total]]&lt;&gt; 0, NOT(ISBLANK(SamplingData[[#This Row],[Candidate 5]]))),(SamplingData[[#This Row],[Total]]+SamplingData[[#This Row],[Winning Candidate]]-SamplingData[[#This Row],[Candidate 5]])/(SamplingData[[#Totals],[Winning Candidate]]-SamplingData[[#Totals],[Candidate 5]]), 0)</f>
        <v>4.1352468985648261E-4</v>
      </c>
      <c r="O1338" s="100">
        <f>IF(AND(SamplingData[[#This Row],[Total]]&lt;&gt; 0, NOT(ISBLANK(SamplingData[[#This Row],[Candidate 6]]))),(SamplingData[[#This Row],[Total]]+SamplingData[[#This Row],[Winning Candidate]]-SamplingData[[#This Row],[Candidate 6]])/(SamplingData[[#Totals],[Winning Candidate]]-SamplingData[[#Totals],[Candidate 6]]), 0)</f>
        <v>3.8908613394290161E-4</v>
      </c>
      <c r="P1338" s="100">
        <f>MAX(SamplingData[[#This Row],[Error Bound (up) - Max. possible relative overstatement - Losing Candidate]:[Error Bound (up) - Max. possible relative overstatement - Candidate 6]])</f>
        <v>8.5742283194512492E-4</v>
      </c>
      <c r="Q1338" s="100">
        <f>IF(SamplingData[[#This Row],[Max Error Bound (up)]] = 0,0,SamplingData[[#This Row],[Max Error Bound (up)]]/SamplingData[[#Totals],[Max Error Bound (up)]])</f>
        <v>1.3570127589824165E-4</v>
      </c>
      <c r="R1338" s="101">
        <f>SUM($Q$5:Q1338)</f>
        <v>0.40145693854957887</v>
      </c>
      <c r="S1338" s="100" t="str">
        <f t="array" ref="S1338">IF(SamplingData[[#This Row],[up/U Selection Probability]] = 0, "Zero", TEXT(SamplingData[[#This Row],[Lower Range]], REPT("0",LEN('General Info'!$B$40))) &amp; " - " &amp; TEXT(SamplingData[[#This Row],[Upper Range]], REPT("0",LEN('General Info'!$B$40))))</f>
        <v>40132 - 40145</v>
      </c>
      <c r="T1338" s="100">
        <f>SamplingData[[#This Row],[Upper Range]]-SamplingData[[#This Row],[Span]]</f>
        <v>40132.123863069333</v>
      </c>
      <c r="U1338" s="100">
        <f>IF(ISNUMBER('General Info'!$B$40), ((SamplingData[[#This Row],[up/U Selection Probability]]) * 'General Info'!$B$40) - 1, 0)</f>
        <v>12.569991888548268</v>
      </c>
      <c r="V1338" s="100">
        <f>IF(ISNUMBER('General Info'!$B$40), (SamplingData[[#This Row],[Running (cumulative) sum]] * ('General Info'!$B$40 -'General Info'!$B$41 + 1)) + 'General Info'!$B$41 - 1, 0)</f>
        <v>40144.693854957884</v>
      </c>
      <c r="W1338" s="100" t="str">
        <f>IF(ISERROR(MATCH(SamplingData[[#This Row],[Batch by Type (p)]],SelectedPrecincts[Batch Name], 0)), "", INDEX(SelectedPrecincts[Draw], MATCH(SamplingData[[#This Row],[Batch by Type (p)]],SelectedPrecincts[Batch Name], 0)))</f>
        <v/>
      </c>
      <c r="X1338" s="102">
        <f>IF(COUNTIF(SelectedPrecincts[Batch Name],SamplingData[[#This Row],[Batch by Type (p)]]) &lt;&gt; 0, COUNTIF(SelectedPrecincts[Batch Name],SamplingData[[#This Row],[Batch by Type (p)]]), 0)</f>
        <v>0</v>
      </c>
    </row>
    <row r="1339" spans="1:24" ht="15" customHeight="1">
      <c r="A1339" s="18" t="s">
        <v>1515</v>
      </c>
      <c r="B1339" s="18">
        <v>8</v>
      </c>
      <c r="C1339" s="18">
        <v>10</v>
      </c>
      <c r="D1339" s="16">
        <v>3</v>
      </c>
      <c r="E1339" s="16">
        <v>4</v>
      </c>
      <c r="F1339" s="37">
        <v>0</v>
      </c>
      <c r="G1339" s="37">
        <v>0</v>
      </c>
      <c r="H1339" s="17">
        <v>0</v>
      </c>
      <c r="I1339" s="17">
        <v>1</v>
      </c>
      <c r="J1339" s="99">
        <f>SUM(SamplingData[[#This Row],[Losing Candidate]:[Under Votes]])</f>
        <v>26</v>
      </c>
      <c r="K1339"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339" s="100">
        <f>IF(AND(SamplingData[[#This Row],[Total]]&lt;&gt; 0, NOT(ISBLANK(SamplingData[[#This Row],[Candidate 3]]))),(SamplingData[[#This Row],[Total]]+SamplingData[[#This Row],[Winning Candidate]]-SamplingData[[#This Row],[Candidate 3]])/(SamplingData[[#Totals],[Winning Candidate]]-SamplingData[[#Totals],[Candidate 3]]), 0)</f>
        <v>1.0646191566925831E-3</v>
      </c>
      <c r="M1339" s="100">
        <f>IF(AND(SamplingData[[#This Row],[Total]]&lt;&gt; 0, NOT(ISBLANK(SamplingData[[#This Row],[Candidate 4]]))),(SamplingData[[#This Row],[Total]]+SamplingData[[#This Row],[Winning Candidate]]-SamplingData[[#This Row],[Candidate 4]])/(SamplingData[[#Totals],[Winning Candidate]]-SamplingData[[#Totals],[Candidate 4]]), 0)</f>
        <v>9.3542634979099071E-4</v>
      </c>
      <c r="N1339" s="100">
        <f>IF(AND(SamplingData[[#This Row],[Total]]&lt;&gt; 0, NOT(ISBLANK(SamplingData[[#This Row],[Candidate 5]]))),(SamplingData[[#This Row],[Total]]+SamplingData[[#This Row],[Winning Candidate]]-SamplingData[[#This Row],[Candidate 5]])/(SamplingData[[#Totals],[Winning Candidate]]-SamplingData[[#Totals],[Candidate 5]]), 0)</f>
        <v>8.7569934322549259E-4</v>
      </c>
      <c r="O1339" s="100">
        <f>IF(AND(SamplingData[[#This Row],[Total]]&lt;&gt; 0, NOT(ISBLANK(SamplingData[[#This Row],[Candidate 6]]))),(SamplingData[[#This Row],[Total]]+SamplingData[[#This Row],[Winning Candidate]]-SamplingData[[#This Row],[Candidate 6]])/(SamplingData[[#Totals],[Winning Candidate]]-SamplingData[[#Totals],[Candidate 6]]), 0)</f>
        <v>8.7544380137152865E-4</v>
      </c>
      <c r="P1339" s="100">
        <f>MAX(SamplingData[[#This Row],[Error Bound (up) - Max. possible relative overstatement - Losing Candidate]:[Error Bound (up) - Max. possible relative overstatement - Candidate 6]])</f>
        <v>1.7148456638902498E-3</v>
      </c>
      <c r="Q1339" s="100">
        <f>IF(SamplingData[[#This Row],[Max Error Bound (up)]] = 0,0,SamplingData[[#This Row],[Max Error Bound (up)]]/SamplingData[[#Totals],[Max Error Bound (up)]])</f>
        <v>2.714025517964833E-4</v>
      </c>
      <c r="R1339" s="101">
        <f>SUM($Q$5:Q1339)</f>
        <v>0.40172834110137534</v>
      </c>
      <c r="S1339" s="100" t="str">
        <f t="array" ref="S1339">IF(SamplingData[[#This Row],[up/U Selection Probability]] = 0, "Zero", TEXT(SamplingData[[#This Row],[Lower Range]], REPT("0",LEN('General Info'!$B$40))) &amp; " - " &amp; TEXT(SamplingData[[#This Row],[Upper Range]], REPT("0",LEN('General Info'!$B$40))))</f>
        <v>40146 - 40172</v>
      </c>
      <c r="T1339" s="100">
        <f>SamplingData[[#This Row],[Upper Range]]-SamplingData[[#This Row],[Span]]</f>
        <v>40145.694126360439</v>
      </c>
      <c r="U1339" s="100">
        <f>IF(ISNUMBER('General Info'!$B$40), ((SamplingData[[#This Row],[up/U Selection Probability]]) * 'General Info'!$B$40) - 1, 0)</f>
        <v>26.139983777096536</v>
      </c>
      <c r="V1339" s="100">
        <f>IF(ISNUMBER('General Info'!$B$40), (SamplingData[[#This Row],[Running (cumulative) sum]] * ('General Info'!$B$40 -'General Info'!$B$41 + 1)) + 'General Info'!$B$41 - 1, 0)</f>
        <v>40171.834110137534</v>
      </c>
      <c r="W1339" s="100" t="str">
        <f>IF(ISERROR(MATCH(SamplingData[[#This Row],[Batch by Type (p)]],SelectedPrecincts[Batch Name], 0)), "", INDEX(SelectedPrecincts[Draw], MATCH(SamplingData[[#This Row],[Batch by Type (p)]],SelectedPrecincts[Batch Name], 0)))</f>
        <v/>
      </c>
      <c r="X1339" s="102">
        <f>IF(COUNTIF(SelectedPrecincts[Batch Name],SamplingData[[#This Row],[Batch by Type (p)]]) &lt;&gt; 0, COUNTIF(SelectedPrecincts[Batch Name],SamplingData[[#This Row],[Batch by Type (p)]]), 0)</f>
        <v>0</v>
      </c>
    </row>
    <row r="1340" spans="1:24" ht="15" customHeight="1">
      <c r="A1340" s="18" t="s">
        <v>1516</v>
      </c>
      <c r="B1340" s="18">
        <v>0</v>
      </c>
      <c r="C1340" s="18">
        <v>1</v>
      </c>
      <c r="D1340" s="18">
        <v>1</v>
      </c>
      <c r="E1340" s="18">
        <v>0</v>
      </c>
      <c r="F1340" s="18">
        <v>0</v>
      </c>
      <c r="G1340" s="18">
        <v>0</v>
      </c>
      <c r="H1340" s="18">
        <v>0</v>
      </c>
      <c r="I1340" s="18">
        <v>0</v>
      </c>
      <c r="J1340" s="99">
        <f>SUM(SamplingData[[#This Row],[Losing Candidate]:[Under Votes]])</f>
        <v>2</v>
      </c>
      <c r="K134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340" s="100">
        <f>IF(AND(SamplingData[[#This Row],[Total]]&lt;&gt; 0, NOT(ISBLANK(SamplingData[[#This Row],[Candidate 3]]))),(SamplingData[[#This Row],[Total]]+SamplingData[[#This Row],[Winning Candidate]]-SamplingData[[#This Row],[Candidate 3]])/(SamplingData[[#Totals],[Winning Candidate]]-SamplingData[[#Totals],[Candidate 3]]), 0)</f>
        <v>6.4522373132883833E-5</v>
      </c>
      <c r="M1340" s="100">
        <f>IF(AND(SamplingData[[#This Row],[Total]]&lt;&gt; 0, NOT(ISBLANK(SamplingData[[#This Row],[Candidate 4]]))),(SamplingData[[#This Row],[Total]]+SamplingData[[#This Row],[Winning Candidate]]-SamplingData[[#This Row],[Candidate 4]])/(SamplingData[[#Totals],[Winning Candidate]]-SamplingData[[#Totals],[Candidate 4]]), 0)</f>
        <v>8.7696220292905373E-5</v>
      </c>
      <c r="N1340" s="100">
        <f>IF(AND(SamplingData[[#This Row],[Total]]&lt;&gt; 0, NOT(ISBLANK(SamplingData[[#This Row],[Candidate 5]]))),(SamplingData[[#This Row],[Total]]+SamplingData[[#This Row],[Winning Candidate]]-SamplingData[[#This Row],[Candidate 5]])/(SamplingData[[#Totals],[Winning Candidate]]-SamplingData[[#Totals],[Candidate 5]]), 0)</f>
        <v>7.2974945268791054E-5</v>
      </c>
      <c r="O1340" s="100">
        <f>IF(AND(SamplingData[[#This Row],[Total]]&lt;&gt; 0, NOT(ISBLANK(SamplingData[[#This Row],[Candidate 6]]))),(SamplingData[[#This Row],[Total]]+SamplingData[[#This Row],[Winning Candidate]]-SamplingData[[#This Row],[Candidate 6]])/(SamplingData[[#Totals],[Winning Candidate]]-SamplingData[[#Totals],[Candidate 6]]), 0)</f>
        <v>7.2953650114294054E-5</v>
      </c>
      <c r="P1340" s="100">
        <f>MAX(SamplingData[[#This Row],[Error Bound (up) - Max. possible relative overstatement - Losing Candidate]:[Error Bound (up) - Max. possible relative overstatement - Candidate 6]])</f>
        <v>1.8373346398824106E-4</v>
      </c>
      <c r="Q1340" s="100">
        <f>IF(SamplingData[[#This Row],[Max Error Bound (up)]] = 0,0,SamplingData[[#This Row],[Max Error Bound (up)]]/SamplingData[[#Totals],[Max Error Bound (up)]])</f>
        <v>2.9078844835337493E-5</v>
      </c>
      <c r="R1340" s="101">
        <f>SUM($Q$5:Q1340)</f>
        <v>0.40175741994621067</v>
      </c>
      <c r="S1340" s="100" t="str">
        <f t="array" ref="S1340">IF(SamplingData[[#This Row],[up/U Selection Probability]] = 0, "Zero", TEXT(SamplingData[[#This Row],[Lower Range]], REPT("0",LEN('General Info'!$B$40))) &amp; " - " &amp; TEXT(SamplingData[[#This Row],[Upper Range]], REPT("0",LEN('General Info'!$B$40))))</f>
        <v>40173 - 40175</v>
      </c>
      <c r="T1340" s="100">
        <f>SamplingData[[#This Row],[Upper Range]]-SamplingData[[#This Row],[Span]]</f>
        <v>40172.834139216378</v>
      </c>
      <c r="U1340" s="100">
        <f>IF(ISNUMBER('General Info'!$B$40), ((SamplingData[[#This Row],[up/U Selection Probability]]) * 'General Info'!$B$40) - 1, 0)</f>
        <v>1.907855404688914</v>
      </c>
      <c r="V1340" s="100">
        <f>IF(ISNUMBER('General Info'!$B$40), (SamplingData[[#This Row],[Running (cumulative) sum]] * ('General Info'!$B$40 -'General Info'!$B$41 + 1)) + 'General Info'!$B$41 - 1, 0)</f>
        <v>40174.741994621065</v>
      </c>
      <c r="W1340" s="100" t="str">
        <f>IF(ISERROR(MATCH(SamplingData[[#This Row],[Batch by Type (p)]],SelectedPrecincts[Batch Name], 0)), "", INDEX(SelectedPrecincts[Draw], MATCH(SamplingData[[#This Row],[Batch by Type (p)]],SelectedPrecincts[Batch Name], 0)))</f>
        <v/>
      </c>
      <c r="X1340" s="102">
        <f>IF(COUNTIF(SelectedPrecincts[Batch Name],SamplingData[[#This Row],[Batch by Type (p)]]) &lt;&gt; 0, COUNTIF(SelectedPrecincts[Batch Name],SamplingData[[#This Row],[Batch by Type (p)]]), 0)</f>
        <v>0</v>
      </c>
    </row>
    <row r="1341" spans="1:24" ht="15" customHeight="1">
      <c r="A1341" s="18" t="s">
        <v>1517</v>
      </c>
      <c r="B1341" s="18">
        <v>8</v>
      </c>
      <c r="C1341" s="18">
        <v>19</v>
      </c>
      <c r="D1341" s="16">
        <v>7</v>
      </c>
      <c r="E1341" s="16">
        <v>8</v>
      </c>
      <c r="F1341" s="37">
        <v>1</v>
      </c>
      <c r="G1341" s="37">
        <v>1</v>
      </c>
      <c r="H1341" s="17">
        <v>0</v>
      </c>
      <c r="I1341" s="17">
        <v>1</v>
      </c>
      <c r="J1341" s="99">
        <f>SUM(SamplingData[[#This Row],[Losing Candidate]:[Under Votes]])</f>
        <v>45</v>
      </c>
      <c r="K1341"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1341" s="100">
        <f>IF(AND(SamplingData[[#This Row],[Total]]&lt;&gt; 0, NOT(ISBLANK(SamplingData[[#This Row],[Candidate 3]]))),(SamplingData[[#This Row],[Total]]+SamplingData[[#This Row],[Winning Candidate]]-SamplingData[[#This Row],[Candidate 3]])/(SamplingData[[#Totals],[Winning Candidate]]-SamplingData[[#Totals],[Candidate 3]]), 0)</f>
        <v>1.8388876342871892E-3</v>
      </c>
      <c r="M1341" s="100">
        <f>IF(AND(SamplingData[[#This Row],[Total]]&lt;&gt; 0, NOT(ISBLANK(SamplingData[[#This Row],[Candidate 4]]))),(SamplingData[[#This Row],[Total]]+SamplingData[[#This Row],[Winning Candidate]]-SamplingData[[#This Row],[Candidate 4]])/(SamplingData[[#Totals],[Winning Candidate]]-SamplingData[[#Totals],[Candidate 4]]), 0)</f>
        <v>1.6369961121342337E-3</v>
      </c>
      <c r="N1341" s="100">
        <f>IF(AND(SamplingData[[#This Row],[Total]]&lt;&gt; 0, NOT(ISBLANK(SamplingData[[#This Row],[Candidate 5]]))),(SamplingData[[#This Row],[Total]]+SamplingData[[#This Row],[Winning Candidate]]-SamplingData[[#This Row],[Candidate 5]])/(SamplingData[[#Totals],[Winning Candidate]]-SamplingData[[#Totals],[Candidate 5]]), 0)</f>
        <v>1.5324738506446119E-3</v>
      </c>
      <c r="O1341" s="100">
        <f>IF(AND(SamplingData[[#This Row],[Total]]&lt;&gt; 0, NOT(ISBLANK(SamplingData[[#This Row],[Candidate 6]]))),(SamplingData[[#This Row],[Total]]+SamplingData[[#This Row],[Winning Candidate]]-SamplingData[[#This Row],[Candidate 6]])/(SamplingData[[#Totals],[Winning Candidate]]-SamplingData[[#Totals],[Candidate 6]]), 0)</f>
        <v>1.532026652400175E-3</v>
      </c>
      <c r="P1341" s="100">
        <f>MAX(SamplingData[[#This Row],[Error Bound (up) - Max. possible relative overstatement - Losing Candidate]:[Error Bound (up) - Max. possible relative overstatement - Candidate 6]])</f>
        <v>3.4296913277804997E-3</v>
      </c>
      <c r="Q1341" s="100">
        <f>IF(SamplingData[[#This Row],[Max Error Bound (up)]] = 0,0,SamplingData[[#This Row],[Max Error Bound (up)]]/SamplingData[[#Totals],[Max Error Bound (up)]])</f>
        <v>5.4280510359296661E-4</v>
      </c>
      <c r="R1341" s="101">
        <f>SUM($Q$5:Q1341)</f>
        <v>0.40230022504980362</v>
      </c>
      <c r="S1341" s="100" t="str">
        <f t="array" ref="S1341">IF(SamplingData[[#This Row],[up/U Selection Probability]] = 0, "Zero", TEXT(SamplingData[[#This Row],[Lower Range]], REPT("0",LEN('General Info'!$B$40))) &amp; " - " &amp; TEXT(SamplingData[[#This Row],[Upper Range]], REPT("0",LEN('General Info'!$B$40))))</f>
        <v>40176 - 40229</v>
      </c>
      <c r="T1341" s="100">
        <f>SamplingData[[#This Row],[Upper Range]]-SamplingData[[#This Row],[Span]]</f>
        <v>40175.742537426173</v>
      </c>
      <c r="U1341" s="100">
        <f>IF(ISNUMBER('General Info'!$B$40), ((SamplingData[[#This Row],[up/U Selection Probability]]) * 'General Info'!$B$40) - 1, 0)</f>
        <v>53.279967554193071</v>
      </c>
      <c r="V1341" s="100">
        <f>IF(ISNUMBER('General Info'!$B$40), (SamplingData[[#This Row],[Running (cumulative) sum]] * ('General Info'!$B$40 -'General Info'!$B$41 + 1)) + 'General Info'!$B$41 - 1, 0)</f>
        <v>40229.022504980363</v>
      </c>
      <c r="W1341" s="100" t="str">
        <f>IF(ISERROR(MATCH(SamplingData[[#This Row],[Batch by Type (p)]],SelectedPrecincts[Batch Name], 0)), "", INDEX(SelectedPrecincts[Draw], MATCH(SamplingData[[#This Row],[Batch by Type (p)]],SelectedPrecincts[Batch Name], 0)))</f>
        <v/>
      </c>
      <c r="X1341" s="102">
        <f>IF(COUNTIF(SelectedPrecincts[Batch Name],SamplingData[[#This Row],[Batch by Type (p)]]) &lt;&gt; 0, COUNTIF(SelectedPrecincts[Batch Name],SamplingData[[#This Row],[Batch by Type (p)]]), 0)</f>
        <v>0</v>
      </c>
    </row>
    <row r="1342" spans="1:24" ht="15" customHeight="1">
      <c r="A1342" s="18" t="s">
        <v>1518</v>
      </c>
      <c r="B1342" s="18">
        <v>5</v>
      </c>
      <c r="C1342" s="18">
        <v>3</v>
      </c>
      <c r="D1342" s="18">
        <v>1</v>
      </c>
      <c r="E1342" s="18">
        <v>1</v>
      </c>
      <c r="F1342" s="18">
        <v>1</v>
      </c>
      <c r="G1342" s="18">
        <v>0</v>
      </c>
      <c r="H1342" s="18">
        <v>0</v>
      </c>
      <c r="I1342" s="18">
        <v>0</v>
      </c>
      <c r="J1342" s="99">
        <f>SUM(SamplingData[[#This Row],[Losing Candidate]:[Under Votes]])</f>
        <v>11</v>
      </c>
      <c r="K1342"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342" s="100">
        <f>IF(AND(SamplingData[[#This Row],[Total]]&lt;&gt; 0, NOT(ISBLANK(SamplingData[[#This Row],[Candidate 3]]))),(SamplingData[[#This Row],[Total]]+SamplingData[[#This Row],[Winning Candidate]]-SamplingData[[#This Row],[Candidate 3]])/(SamplingData[[#Totals],[Winning Candidate]]-SamplingData[[#Totals],[Candidate 3]]), 0)</f>
        <v>4.1939542536374486E-4</v>
      </c>
      <c r="M1342" s="100">
        <f>IF(AND(SamplingData[[#This Row],[Total]]&lt;&gt; 0, NOT(ISBLANK(SamplingData[[#This Row],[Candidate 4]]))),(SamplingData[[#This Row],[Total]]+SamplingData[[#This Row],[Winning Candidate]]-SamplingData[[#This Row],[Candidate 4]])/(SamplingData[[#Totals],[Winning Candidate]]-SamplingData[[#Totals],[Candidate 4]]), 0)</f>
        <v>3.8001695460258996E-4</v>
      </c>
      <c r="N1342" s="100">
        <f>IF(AND(SamplingData[[#This Row],[Total]]&lt;&gt; 0, NOT(ISBLANK(SamplingData[[#This Row],[Candidate 5]]))),(SamplingData[[#This Row],[Total]]+SamplingData[[#This Row],[Winning Candidate]]-SamplingData[[#This Row],[Candidate 5]])/(SamplingData[[#Totals],[Winning Candidate]]-SamplingData[[#Totals],[Candidate 5]]), 0)</f>
        <v>3.1622476283142789E-4</v>
      </c>
      <c r="O1342" s="100">
        <f>IF(AND(SamplingData[[#This Row],[Total]]&lt;&gt; 0, NOT(ISBLANK(SamplingData[[#This Row],[Candidate 6]]))),(SamplingData[[#This Row],[Total]]+SamplingData[[#This Row],[Winning Candidate]]-SamplingData[[#This Row],[Candidate 6]])/(SamplingData[[#Totals],[Winning Candidate]]-SamplingData[[#Totals],[Candidate 6]]), 0)</f>
        <v>3.4045036720003888E-4</v>
      </c>
      <c r="P1342" s="100">
        <f>MAX(SamplingData[[#This Row],[Error Bound (up) - Max. possible relative overstatement - Losing Candidate]:[Error Bound (up) - Max. possible relative overstatement - Candidate 6]])</f>
        <v>5.5120039196472322E-4</v>
      </c>
      <c r="Q1342" s="100">
        <f>IF(SamplingData[[#This Row],[Max Error Bound (up)]] = 0,0,SamplingData[[#This Row],[Max Error Bound (up)]]/SamplingData[[#Totals],[Max Error Bound (up)]])</f>
        <v>8.7236534506012492E-5</v>
      </c>
      <c r="R1342" s="101">
        <f>SUM($Q$5:Q1342)</f>
        <v>0.4023874615843096</v>
      </c>
      <c r="S1342" s="100" t="str">
        <f t="array" ref="S1342">IF(SamplingData[[#This Row],[up/U Selection Probability]] = 0, "Zero", TEXT(SamplingData[[#This Row],[Lower Range]], REPT("0",LEN('General Info'!$B$40))) &amp; " - " &amp; TEXT(SamplingData[[#This Row],[Upper Range]], REPT("0",LEN('General Info'!$B$40))))</f>
        <v>40230 - 40238</v>
      </c>
      <c r="T1342" s="100">
        <f>SamplingData[[#This Row],[Upper Range]]-SamplingData[[#This Row],[Span]]</f>
        <v>40230.02259221689</v>
      </c>
      <c r="U1342" s="100">
        <f>IF(ISNUMBER('General Info'!$B$40), ((SamplingData[[#This Row],[up/U Selection Probability]]) * 'General Info'!$B$40) - 1, 0)</f>
        <v>7.7235662140667429</v>
      </c>
      <c r="V1342" s="100">
        <f>IF(ISNUMBER('General Info'!$B$40), (SamplingData[[#This Row],[Running (cumulative) sum]] * ('General Info'!$B$40 -'General Info'!$B$41 + 1)) + 'General Info'!$B$41 - 1, 0)</f>
        <v>40237.746158430957</v>
      </c>
      <c r="W1342" s="100" t="str">
        <f>IF(ISERROR(MATCH(SamplingData[[#This Row],[Batch by Type (p)]],SelectedPrecincts[Batch Name], 0)), "", INDEX(SelectedPrecincts[Draw], MATCH(SamplingData[[#This Row],[Batch by Type (p)]],SelectedPrecincts[Batch Name], 0)))</f>
        <v/>
      </c>
      <c r="X1342" s="102">
        <f>IF(COUNTIF(SelectedPrecincts[Batch Name],SamplingData[[#This Row],[Batch by Type (p)]]) &lt;&gt; 0, COUNTIF(SelectedPrecincts[Batch Name],SamplingData[[#This Row],[Batch by Type (p)]]), 0)</f>
        <v>0</v>
      </c>
    </row>
    <row r="1343" spans="1:24" ht="15" customHeight="1">
      <c r="A1343" s="18" t="s">
        <v>1519</v>
      </c>
      <c r="B1343" s="18">
        <v>20</v>
      </c>
      <c r="C1343" s="18">
        <v>20</v>
      </c>
      <c r="D1343" s="16">
        <v>4</v>
      </c>
      <c r="E1343" s="16">
        <v>4</v>
      </c>
      <c r="F1343" s="37">
        <v>0</v>
      </c>
      <c r="G1343" s="37">
        <v>2</v>
      </c>
      <c r="H1343" s="17">
        <v>0</v>
      </c>
      <c r="I1343" s="17">
        <v>1</v>
      </c>
      <c r="J1343" s="99">
        <f>SUM(SamplingData[[#This Row],[Losing Candidate]:[Under Votes]])</f>
        <v>51</v>
      </c>
      <c r="K1343" s="100">
        <f>IF(AND(SamplingData[[#This Row],[Total]]&lt;&gt; 0, NOT(ISBLANK(SamplingData[[#This Row],[Losing Candidate]]))),(SamplingData[[#This Row],[Total]]+SamplingData[[#This Row],[Winning Candidate]]-SamplingData[[#This Row],[Losing Candidate]])/(SamplingData[[#Totals],[Winning Candidate]]-SamplingData[[#Totals],[Losing Candidate]]), 0)</f>
        <v>3.1234688878000981E-3</v>
      </c>
      <c r="L1343" s="100">
        <f>IF(AND(SamplingData[[#This Row],[Total]]&lt;&gt; 0, NOT(ISBLANK(SamplingData[[#This Row],[Candidate 3]]))),(SamplingData[[#This Row],[Total]]+SamplingData[[#This Row],[Winning Candidate]]-SamplingData[[#This Row],[Candidate 3]])/(SamplingData[[#Totals],[Winning Candidate]]-SamplingData[[#Totals],[Candidate 3]]), 0)</f>
        <v>2.1614994999516082E-3</v>
      </c>
      <c r="M1343" s="100">
        <f>IF(AND(SamplingData[[#This Row],[Total]]&lt;&gt; 0, NOT(ISBLANK(SamplingData[[#This Row],[Candidate 4]]))),(SamplingData[[#This Row],[Total]]+SamplingData[[#This Row],[Winning Candidate]]-SamplingData[[#This Row],[Candidate 4]])/(SamplingData[[#Totals],[Winning Candidate]]-SamplingData[[#Totals],[Candidate 4]]), 0)</f>
        <v>1.9585489198748868E-3</v>
      </c>
      <c r="N1343" s="100">
        <f>IF(AND(SamplingData[[#This Row],[Total]]&lt;&gt; 0, NOT(ISBLANK(SamplingData[[#This Row],[Candidate 5]]))),(SamplingData[[#This Row],[Total]]+SamplingData[[#This Row],[Winning Candidate]]-SamplingData[[#This Row],[Candidate 5]])/(SamplingData[[#Totals],[Winning Candidate]]-SamplingData[[#Totals],[Candidate 5]]), 0)</f>
        <v>1.7270737046947214E-3</v>
      </c>
      <c r="O1343" s="100">
        <f>IF(AND(SamplingData[[#This Row],[Total]]&lt;&gt; 0, NOT(ISBLANK(SamplingData[[#This Row],[Candidate 6]]))),(SamplingData[[#This Row],[Total]]+SamplingData[[#This Row],[Winning Candidate]]-SamplingData[[#This Row],[Candidate 6]])/(SamplingData[[#Totals],[Winning Candidate]]-SamplingData[[#Totals],[Candidate 6]]), 0)</f>
        <v>1.6779339526287631E-3</v>
      </c>
      <c r="P1343" s="100">
        <f>MAX(SamplingData[[#This Row],[Error Bound (up) - Max. possible relative overstatement - Losing Candidate]:[Error Bound (up) - Max. possible relative overstatement - Candidate 6]])</f>
        <v>3.1234688878000981E-3</v>
      </c>
      <c r="Q1343" s="100">
        <f>IF(SamplingData[[#This Row],[Max Error Bound (up)]] = 0,0,SamplingData[[#This Row],[Max Error Bound (up)]]/SamplingData[[#Totals],[Max Error Bound (up)]])</f>
        <v>4.9434036220073741E-4</v>
      </c>
      <c r="R1343" s="101">
        <f>SUM($Q$5:Q1343)</f>
        <v>0.40288180194651035</v>
      </c>
      <c r="S1343" s="100" t="str">
        <f t="array" ref="S1343">IF(SamplingData[[#This Row],[up/U Selection Probability]] = 0, "Zero", TEXT(SamplingData[[#This Row],[Lower Range]], REPT("0",LEN('General Info'!$B$40))) &amp; " - " &amp; TEXT(SamplingData[[#This Row],[Upper Range]], REPT("0",LEN('General Info'!$B$40))))</f>
        <v>40239 - 40287</v>
      </c>
      <c r="T1343" s="100">
        <f>SamplingData[[#This Row],[Upper Range]]-SamplingData[[#This Row],[Span]]</f>
        <v>40238.746652771326</v>
      </c>
      <c r="U1343" s="100">
        <f>IF(ISNUMBER('General Info'!$B$40), ((SamplingData[[#This Row],[up/U Selection Probability]]) * 'General Info'!$B$40) - 1, 0)</f>
        <v>48.433541879711541</v>
      </c>
      <c r="V1343" s="100">
        <f>IF(ISNUMBER('General Info'!$B$40), (SamplingData[[#This Row],[Running (cumulative) sum]] * ('General Info'!$B$40 -'General Info'!$B$41 + 1)) + 'General Info'!$B$41 - 1, 0)</f>
        <v>40287.180194651039</v>
      </c>
      <c r="W1343" s="100" t="str">
        <f>IF(ISERROR(MATCH(SamplingData[[#This Row],[Batch by Type (p)]],SelectedPrecincts[Batch Name], 0)), "", INDEX(SelectedPrecincts[Draw], MATCH(SamplingData[[#This Row],[Batch by Type (p)]],SelectedPrecincts[Batch Name], 0)))</f>
        <v/>
      </c>
      <c r="X1343" s="102">
        <f>IF(COUNTIF(SelectedPrecincts[Batch Name],SamplingData[[#This Row],[Batch by Type (p)]]) &lt;&gt; 0, COUNTIF(SelectedPrecincts[Batch Name],SamplingData[[#This Row],[Batch by Type (p)]]), 0)</f>
        <v>0</v>
      </c>
    </row>
    <row r="1344" spans="1:24" ht="15" customHeight="1">
      <c r="A1344" s="18" t="s">
        <v>1520</v>
      </c>
      <c r="B1344" s="18">
        <v>5</v>
      </c>
      <c r="C1344" s="18">
        <v>7</v>
      </c>
      <c r="D1344" s="18">
        <v>3</v>
      </c>
      <c r="E1344" s="18">
        <v>1</v>
      </c>
      <c r="F1344" s="18">
        <v>0</v>
      </c>
      <c r="G1344" s="18">
        <v>1</v>
      </c>
      <c r="H1344" s="18">
        <v>0</v>
      </c>
      <c r="I1344" s="18">
        <v>0</v>
      </c>
      <c r="J1344" s="99">
        <f>SUM(SamplingData[[#This Row],[Losing Candidate]:[Under Votes]])</f>
        <v>17</v>
      </c>
      <c r="K1344"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344" s="100">
        <f>IF(AND(SamplingData[[#This Row],[Total]]&lt;&gt; 0, NOT(ISBLANK(SamplingData[[#This Row],[Candidate 3]]))),(SamplingData[[#This Row],[Total]]+SamplingData[[#This Row],[Winning Candidate]]-SamplingData[[#This Row],[Candidate 3]])/(SamplingData[[#Totals],[Winning Candidate]]-SamplingData[[#Totals],[Candidate 3]]), 0)</f>
        <v>6.7748491789528019E-4</v>
      </c>
      <c r="M1344" s="100">
        <f>IF(AND(SamplingData[[#This Row],[Total]]&lt;&gt; 0, NOT(ISBLANK(SamplingData[[#This Row],[Candidate 4]]))),(SamplingData[[#This Row],[Total]]+SamplingData[[#This Row],[Winning Candidate]]-SamplingData[[#This Row],[Candidate 4]])/(SamplingData[[#Totals],[Winning Candidate]]-SamplingData[[#Totals],[Candidate 4]]), 0)</f>
        <v>6.7233768891227451E-4</v>
      </c>
      <c r="N1344" s="100">
        <f>IF(AND(SamplingData[[#This Row],[Total]]&lt;&gt; 0, NOT(ISBLANK(SamplingData[[#This Row],[Candidate 5]]))),(SamplingData[[#This Row],[Total]]+SamplingData[[#This Row],[Winning Candidate]]-SamplingData[[#This Row],[Candidate 5]])/(SamplingData[[#Totals],[Winning Candidate]]-SamplingData[[#Totals],[Candidate 5]]), 0)</f>
        <v>5.8379956215032843E-4</v>
      </c>
      <c r="O1344" s="100">
        <f>IF(AND(SamplingData[[#This Row],[Total]]&lt;&gt; 0, NOT(ISBLANK(SamplingData[[#This Row],[Candidate 6]]))),(SamplingData[[#This Row],[Total]]+SamplingData[[#This Row],[Winning Candidate]]-SamplingData[[#This Row],[Candidate 6]])/(SamplingData[[#Totals],[Winning Candidate]]-SamplingData[[#Totals],[Candidate 6]]), 0)</f>
        <v>5.5931131754292105E-4</v>
      </c>
      <c r="P1344" s="100">
        <f>MAX(SamplingData[[#This Row],[Error Bound (up) - Max. possible relative overstatement - Losing Candidate]:[Error Bound (up) - Max. possible relative overstatement - Candidate 6]])</f>
        <v>1.1636452719255266E-3</v>
      </c>
      <c r="Q1344" s="100">
        <f>IF(SamplingData[[#This Row],[Max Error Bound (up)]] = 0,0,SamplingData[[#This Row],[Max Error Bound (up)]]/SamplingData[[#Totals],[Max Error Bound (up)]])</f>
        <v>1.841660172904708E-4</v>
      </c>
      <c r="R1344" s="101">
        <f>SUM($Q$5:Q1344)</f>
        <v>0.40306596796380084</v>
      </c>
      <c r="S1344" s="100" t="str">
        <f t="array" ref="S1344">IF(SamplingData[[#This Row],[up/U Selection Probability]] = 0, "Zero", TEXT(SamplingData[[#This Row],[Lower Range]], REPT("0",LEN('General Info'!$B$40))) &amp; " - " &amp; TEXT(SamplingData[[#This Row],[Upper Range]], REPT("0",LEN('General Info'!$B$40))))</f>
        <v>40288 - 40306</v>
      </c>
      <c r="T1344" s="100">
        <f>SamplingData[[#This Row],[Upper Range]]-SamplingData[[#This Row],[Span]]</f>
        <v>40288.180378817058</v>
      </c>
      <c r="U1344" s="100">
        <f>IF(ISNUMBER('General Info'!$B$40), ((SamplingData[[#This Row],[up/U Selection Probability]]) * 'General Info'!$B$40) - 1, 0)</f>
        <v>17.416417563029789</v>
      </c>
      <c r="V1344" s="100">
        <f>IF(ISNUMBER('General Info'!$B$40), (SamplingData[[#This Row],[Running (cumulative) sum]] * ('General Info'!$B$40 -'General Info'!$B$41 + 1)) + 'General Info'!$B$41 - 1, 0)</f>
        <v>40305.596796380087</v>
      </c>
      <c r="W1344" s="100" t="str">
        <f>IF(ISERROR(MATCH(SamplingData[[#This Row],[Batch by Type (p)]],SelectedPrecincts[Batch Name], 0)), "", INDEX(SelectedPrecincts[Draw], MATCH(SamplingData[[#This Row],[Batch by Type (p)]],SelectedPrecincts[Batch Name], 0)))</f>
        <v/>
      </c>
      <c r="X1344" s="102">
        <f>IF(COUNTIF(SelectedPrecincts[Batch Name],SamplingData[[#This Row],[Batch by Type (p)]]) &lt;&gt; 0, COUNTIF(SelectedPrecincts[Batch Name],SamplingData[[#This Row],[Batch by Type (p)]]), 0)</f>
        <v>0</v>
      </c>
    </row>
    <row r="1345" spans="1:24" ht="15" customHeight="1">
      <c r="A1345" s="18" t="s">
        <v>1521</v>
      </c>
      <c r="B1345" s="18">
        <v>19</v>
      </c>
      <c r="C1345" s="18">
        <v>28</v>
      </c>
      <c r="D1345" s="16">
        <v>8</v>
      </c>
      <c r="E1345" s="16">
        <v>2</v>
      </c>
      <c r="F1345" s="37">
        <v>0</v>
      </c>
      <c r="G1345" s="37">
        <v>0</v>
      </c>
      <c r="H1345" s="17">
        <v>0</v>
      </c>
      <c r="I1345" s="17">
        <v>0</v>
      </c>
      <c r="J1345" s="99">
        <f>SUM(SamplingData[[#This Row],[Losing Candidate]:[Under Votes]])</f>
        <v>57</v>
      </c>
      <c r="K1345" s="100">
        <f>IF(AND(SamplingData[[#This Row],[Total]]&lt;&gt; 0, NOT(ISBLANK(SamplingData[[#This Row],[Losing Candidate]]))),(SamplingData[[#This Row],[Total]]+SamplingData[[#This Row],[Winning Candidate]]-SamplingData[[#This Row],[Losing Candidate]])/(SamplingData[[#Totals],[Winning Candidate]]-SamplingData[[#Totals],[Losing Candidate]]), 0)</f>
        <v>4.0421362077413033E-3</v>
      </c>
      <c r="L1345" s="100">
        <f>IF(AND(SamplingData[[#This Row],[Total]]&lt;&gt; 0, NOT(ISBLANK(SamplingData[[#This Row],[Candidate 3]]))),(SamplingData[[#This Row],[Total]]+SamplingData[[#This Row],[Winning Candidate]]-SamplingData[[#This Row],[Candidate 3]])/(SamplingData[[#Totals],[Winning Candidate]]-SamplingData[[#Totals],[Candidate 3]]), 0)</f>
        <v>2.4841113656160273E-3</v>
      </c>
      <c r="M1345" s="100">
        <f>IF(AND(SamplingData[[#This Row],[Total]]&lt;&gt; 0, NOT(ISBLANK(SamplingData[[#This Row],[Candidate 4]]))),(SamplingData[[#This Row],[Total]]+SamplingData[[#This Row],[Winning Candidate]]-SamplingData[[#This Row],[Candidate 4]])/(SamplingData[[#Totals],[Winning Candidate]]-SamplingData[[#Totals],[Candidate 4]]), 0)</f>
        <v>2.4262620947703819E-3</v>
      </c>
      <c r="N1345" s="100">
        <f>IF(AND(SamplingData[[#This Row],[Total]]&lt;&gt; 0, NOT(ISBLANK(SamplingData[[#This Row],[Candidate 5]]))),(SamplingData[[#This Row],[Total]]+SamplingData[[#This Row],[Winning Candidate]]-SamplingData[[#This Row],[Candidate 5]])/(SamplingData[[#Totals],[Winning Candidate]]-SamplingData[[#Totals],[Candidate 5]]), 0)</f>
        <v>2.0676234492824131E-3</v>
      </c>
      <c r="O1345" s="100">
        <f>IF(AND(SamplingData[[#This Row],[Total]]&lt;&gt; 0, NOT(ISBLANK(SamplingData[[#This Row],[Candidate 6]]))),(SamplingData[[#This Row],[Total]]+SamplingData[[#This Row],[Winning Candidate]]-SamplingData[[#This Row],[Candidate 6]])/(SamplingData[[#Totals],[Winning Candidate]]-SamplingData[[#Totals],[Candidate 6]]), 0)</f>
        <v>2.0670200865716649E-3</v>
      </c>
      <c r="P1345" s="100">
        <f>MAX(SamplingData[[#This Row],[Error Bound (up) - Max. possible relative overstatement - Losing Candidate]:[Error Bound (up) - Max. possible relative overstatement - Candidate 6]])</f>
        <v>4.0421362077413033E-3</v>
      </c>
      <c r="Q1345" s="100">
        <f>IF(SamplingData[[#This Row],[Max Error Bound (up)]] = 0,0,SamplingData[[#This Row],[Max Error Bound (up)]]/SamplingData[[#Totals],[Max Error Bound (up)]])</f>
        <v>6.397345863774249E-4</v>
      </c>
      <c r="R1345" s="101">
        <f>SUM($Q$5:Q1345)</f>
        <v>0.40370570255017829</v>
      </c>
      <c r="S1345" s="100" t="str">
        <f t="array" ref="S1345">IF(SamplingData[[#This Row],[up/U Selection Probability]] = 0, "Zero", TEXT(SamplingData[[#This Row],[Lower Range]], REPT("0",LEN('General Info'!$B$40))) &amp; " - " &amp; TEXT(SamplingData[[#This Row],[Upper Range]], REPT("0",LEN('General Info'!$B$40))))</f>
        <v>40307 - 40370</v>
      </c>
      <c r="T1345" s="100">
        <f>SamplingData[[#This Row],[Upper Range]]-SamplingData[[#This Row],[Span]]</f>
        <v>40306.597436114673</v>
      </c>
      <c r="U1345" s="100">
        <f>IF(ISNUMBER('General Info'!$B$40), ((SamplingData[[#This Row],[up/U Selection Probability]]) * 'General Info'!$B$40) - 1, 0)</f>
        <v>62.97281890315611</v>
      </c>
      <c r="V1345" s="100">
        <f>IF(ISNUMBER('General Info'!$B$40), (SamplingData[[#This Row],[Running (cumulative) sum]] * ('General Info'!$B$40 -'General Info'!$B$41 + 1)) + 'General Info'!$B$41 - 1, 0)</f>
        <v>40369.570255017832</v>
      </c>
      <c r="W1345" s="100" t="str">
        <f>IF(ISERROR(MATCH(SamplingData[[#This Row],[Batch by Type (p)]],SelectedPrecincts[Batch Name], 0)), "", INDEX(SelectedPrecincts[Draw], MATCH(SamplingData[[#This Row],[Batch by Type (p)]],SelectedPrecincts[Batch Name], 0)))</f>
        <v/>
      </c>
      <c r="X1345" s="102">
        <f>IF(COUNTIF(SelectedPrecincts[Batch Name],SamplingData[[#This Row],[Batch by Type (p)]]) &lt;&gt; 0, COUNTIF(SelectedPrecincts[Batch Name],SamplingData[[#This Row],[Batch by Type (p)]]), 0)</f>
        <v>0</v>
      </c>
    </row>
    <row r="1346" spans="1:24" ht="15" customHeight="1">
      <c r="A1346" s="18" t="s">
        <v>1522</v>
      </c>
      <c r="B1346" s="18">
        <v>6</v>
      </c>
      <c r="C1346" s="18">
        <v>13</v>
      </c>
      <c r="D1346" s="18">
        <v>1</v>
      </c>
      <c r="E1346" s="18">
        <v>3</v>
      </c>
      <c r="F1346" s="18">
        <v>0</v>
      </c>
      <c r="G1346" s="18">
        <v>0</v>
      </c>
      <c r="H1346" s="18">
        <v>0</v>
      </c>
      <c r="I1346" s="18">
        <v>0</v>
      </c>
      <c r="J1346" s="99">
        <f>SUM(SamplingData[[#This Row],[Losing Candidate]:[Under Votes]])</f>
        <v>23</v>
      </c>
      <c r="K1346"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1346" s="100">
        <f>IF(AND(SamplingData[[#This Row],[Total]]&lt;&gt; 0, NOT(ISBLANK(SamplingData[[#This Row],[Candidate 3]]))),(SamplingData[[#This Row],[Total]]+SamplingData[[#This Row],[Winning Candidate]]-SamplingData[[#This Row],[Candidate 3]])/(SamplingData[[#Totals],[Winning Candidate]]-SamplingData[[#Totals],[Candidate 3]]), 0)</f>
        <v>1.1291415298254669E-3</v>
      </c>
      <c r="M1346" s="100">
        <f>IF(AND(SamplingData[[#This Row],[Total]]&lt;&gt; 0, NOT(ISBLANK(SamplingData[[#This Row],[Candidate 4]]))),(SamplingData[[#This Row],[Total]]+SamplingData[[#This Row],[Winning Candidate]]-SamplingData[[#This Row],[Candidate 4]])/(SamplingData[[#Totals],[Winning Candidate]]-SamplingData[[#Totals],[Candidate 4]]), 0)</f>
        <v>9.6465842322195918E-4</v>
      </c>
      <c r="N1346" s="100">
        <f>IF(AND(SamplingData[[#This Row],[Total]]&lt;&gt; 0, NOT(ISBLANK(SamplingData[[#This Row],[Candidate 5]]))),(SamplingData[[#This Row],[Total]]+SamplingData[[#This Row],[Winning Candidate]]-SamplingData[[#This Row],[Candidate 5]])/(SamplingData[[#Totals],[Winning Candidate]]-SamplingData[[#Totals],[Candidate 5]]), 0)</f>
        <v>8.7569934322549259E-4</v>
      </c>
      <c r="O1346" s="100">
        <f>IF(AND(SamplingData[[#This Row],[Total]]&lt;&gt; 0, NOT(ISBLANK(SamplingData[[#This Row],[Candidate 6]]))),(SamplingData[[#This Row],[Total]]+SamplingData[[#This Row],[Winning Candidate]]-SamplingData[[#This Row],[Candidate 6]])/(SamplingData[[#Totals],[Winning Candidate]]-SamplingData[[#Totals],[Candidate 6]]), 0)</f>
        <v>8.7544380137152865E-4</v>
      </c>
      <c r="P1346" s="100">
        <f>MAX(SamplingData[[#This Row],[Error Bound (up) - Max. possible relative overstatement - Losing Candidate]:[Error Bound (up) - Max. possible relative overstatement - Candidate 6]])</f>
        <v>1.8373346398824107E-3</v>
      </c>
      <c r="Q1346" s="100">
        <f>IF(SamplingData[[#This Row],[Max Error Bound (up)]] = 0,0,SamplingData[[#This Row],[Max Error Bound (up)]]/SamplingData[[#Totals],[Max Error Bound (up)]])</f>
        <v>2.9078844835337498E-4</v>
      </c>
      <c r="R1346" s="101">
        <f>SUM($Q$5:Q1346)</f>
        <v>0.40399649099853169</v>
      </c>
      <c r="S1346" s="100" t="str">
        <f t="array" ref="S1346">IF(SamplingData[[#This Row],[up/U Selection Probability]] = 0, "Zero", TEXT(SamplingData[[#This Row],[Lower Range]], REPT("0",LEN('General Info'!$B$40))) &amp; " - " &amp; TEXT(SamplingData[[#This Row],[Upper Range]], REPT("0",LEN('General Info'!$B$40))))</f>
        <v>40371 - 40399</v>
      </c>
      <c r="T1346" s="100">
        <f>SamplingData[[#This Row],[Upper Range]]-SamplingData[[#This Row],[Span]]</f>
        <v>40370.57054580628</v>
      </c>
      <c r="U1346" s="100">
        <f>IF(ISNUMBER('General Info'!$B$40), ((SamplingData[[#This Row],[up/U Selection Probability]]) * 'General Info'!$B$40) - 1, 0)</f>
        <v>28.078554046889145</v>
      </c>
      <c r="V1346" s="100">
        <f>IF(ISNUMBER('General Info'!$B$40), (SamplingData[[#This Row],[Running (cumulative) sum]] * ('General Info'!$B$40 -'General Info'!$B$41 + 1)) + 'General Info'!$B$41 - 1, 0)</f>
        <v>40398.649099853166</v>
      </c>
      <c r="W1346" s="100" t="str">
        <f>IF(ISERROR(MATCH(SamplingData[[#This Row],[Batch by Type (p)]],SelectedPrecincts[Batch Name], 0)), "", INDEX(SelectedPrecincts[Draw], MATCH(SamplingData[[#This Row],[Batch by Type (p)]],SelectedPrecincts[Batch Name], 0)))</f>
        <v/>
      </c>
      <c r="X1346" s="102">
        <f>IF(COUNTIF(SelectedPrecincts[Batch Name],SamplingData[[#This Row],[Batch by Type (p)]]) &lt;&gt; 0, COUNTIF(SelectedPrecincts[Batch Name],SamplingData[[#This Row],[Batch by Type (p)]]), 0)</f>
        <v>0</v>
      </c>
    </row>
    <row r="1347" spans="1:24" ht="15" customHeight="1">
      <c r="A1347" s="18" t="s">
        <v>1523</v>
      </c>
      <c r="B1347" s="18">
        <v>3</v>
      </c>
      <c r="C1347" s="18">
        <v>5</v>
      </c>
      <c r="D1347" s="16">
        <v>4</v>
      </c>
      <c r="E1347" s="16">
        <v>2</v>
      </c>
      <c r="F1347" s="37">
        <v>0</v>
      </c>
      <c r="G1347" s="37">
        <v>0</v>
      </c>
      <c r="H1347" s="17">
        <v>0</v>
      </c>
      <c r="I1347" s="17">
        <v>0</v>
      </c>
      <c r="J1347" s="99">
        <f>SUM(SamplingData[[#This Row],[Losing Candidate]:[Under Votes]])</f>
        <v>14</v>
      </c>
      <c r="K1347"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347" s="100">
        <f>IF(AND(SamplingData[[#This Row],[Total]]&lt;&gt; 0, NOT(ISBLANK(SamplingData[[#This Row],[Candidate 3]]))),(SamplingData[[#This Row],[Total]]+SamplingData[[#This Row],[Winning Candidate]]-SamplingData[[#This Row],[Candidate 3]])/(SamplingData[[#Totals],[Winning Candidate]]-SamplingData[[#Totals],[Candidate 3]]), 0)</f>
        <v>4.8391779849662873E-4</v>
      </c>
      <c r="M1347" s="100">
        <f>IF(AND(SamplingData[[#This Row],[Total]]&lt;&gt; 0, NOT(ISBLANK(SamplingData[[#This Row],[Candidate 4]]))),(SamplingData[[#This Row],[Total]]+SamplingData[[#This Row],[Winning Candidate]]-SamplingData[[#This Row],[Candidate 4]])/(SamplingData[[#Totals],[Winning Candidate]]-SamplingData[[#Totals],[Candidate 4]]), 0)</f>
        <v>4.9694524832646382E-4</v>
      </c>
      <c r="N1347" s="100">
        <f>IF(AND(SamplingData[[#This Row],[Total]]&lt;&gt; 0, NOT(ISBLANK(SamplingData[[#This Row],[Candidate 5]]))),(SamplingData[[#This Row],[Total]]+SamplingData[[#This Row],[Winning Candidate]]-SamplingData[[#This Row],[Candidate 5]])/(SamplingData[[#Totals],[Winning Candidate]]-SamplingData[[#Totals],[Candidate 5]]), 0)</f>
        <v>4.6217465336900997E-4</v>
      </c>
      <c r="O1347" s="100">
        <f>IF(AND(SamplingData[[#This Row],[Total]]&lt;&gt; 0, NOT(ISBLANK(SamplingData[[#This Row],[Candidate 6]]))),(SamplingData[[#This Row],[Total]]+SamplingData[[#This Row],[Winning Candidate]]-SamplingData[[#This Row],[Candidate 6]])/(SamplingData[[#Totals],[Winning Candidate]]-SamplingData[[#Totals],[Candidate 6]]), 0)</f>
        <v>4.6203978405719566E-4</v>
      </c>
      <c r="P1347" s="100">
        <f>MAX(SamplingData[[#This Row],[Error Bound (up) - Max. possible relative overstatement - Losing Candidate]:[Error Bound (up) - Max. possible relative overstatement - Candidate 6]])</f>
        <v>9.7991180793728563E-4</v>
      </c>
      <c r="Q1347" s="100">
        <f>IF(SamplingData[[#This Row],[Max Error Bound (up)]] = 0,0,SamplingData[[#This Row],[Max Error Bound (up)]]/SamplingData[[#Totals],[Max Error Bound (up)]])</f>
        <v>1.550871724551333E-4</v>
      </c>
      <c r="R1347" s="101">
        <f>SUM($Q$5:Q1347)</f>
        <v>0.40415157817098685</v>
      </c>
      <c r="S1347" s="100" t="str">
        <f t="array" ref="S1347">IF(SamplingData[[#This Row],[up/U Selection Probability]] = 0, "Zero", TEXT(SamplingData[[#This Row],[Lower Range]], REPT("0",LEN('General Info'!$B$40))) &amp; " - " &amp; TEXT(SamplingData[[#This Row],[Upper Range]], REPT("0",LEN('General Info'!$B$40))))</f>
        <v>40400 - 40414</v>
      </c>
      <c r="T1347" s="100">
        <f>SamplingData[[#This Row],[Upper Range]]-SamplingData[[#This Row],[Span]]</f>
        <v>40399.649254940341</v>
      </c>
      <c r="U1347" s="100">
        <f>IF(ISNUMBER('General Info'!$B$40), ((SamplingData[[#This Row],[up/U Selection Probability]]) * 'General Info'!$B$40) - 1, 0)</f>
        <v>14.508562158340876</v>
      </c>
      <c r="V1347" s="100">
        <f>IF(ISNUMBER('General Info'!$B$40), (SamplingData[[#This Row],[Running (cumulative) sum]] * ('General Info'!$B$40 -'General Info'!$B$41 + 1)) + 'General Info'!$B$41 - 1, 0)</f>
        <v>40414.157817098683</v>
      </c>
      <c r="W1347" s="100" t="str">
        <f>IF(ISERROR(MATCH(SamplingData[[#This Row],[Batch by Type (p)]],SelectedPrecincts[Batch Name], 0)), "", INDEX(SelectedPrecincts[Draw], MATCH(SamplingData[[#This Row],[Batch by Type (p)]],SelectedPrecincts[Batch Name], 0)))</f>
        <v/>
      </c>
      <c r="X1347" s="102">
        <f>IF(COUNTIF(SelectedPrecincts[Batch Name],SamplingData[[#This Row],[Batch by Type (p)]]) &lt;&gt; 0, COUNTIF(SelectedPrecincts[Batch Name],SamplingData[[#This Row],[Batch by Type (p)]]), 0)</f>
        <v>0</v>
      </c>
    </row>
    <row r="1348" spans="1:24" ht="15" customHeight="1">
      <c r="A1348" s="18" t="s">
        <v>1524</v>
      </c>
      <c r="B1348" s="18">
        <v>2</v>
      </c>
      <c r="C1348" s="18">
        <v>6</v>
      </c>
      <c r="D1348" s="18">
        <v>1</v>
      </c>
      <c r="E1348" s="18">
        <v>2</v>
      </c>
      <c r="F1348" s="18">
        <v>0</v>
      </c>
      <c r="G1348" s="18">
        <v>0</v>
      </c>
      <c r="H1348" s="18">
        <v>0</v>
      </c>
      <c r="I1348" s="18">
        <v>0</v>
      </c>
      <c r="J1348" s="99">
        <f>SUM(SamplingData[[#This Row],[Losing Candidate]:[Under Votes]])</f>
        <v>11</v>
      </c>
      <c r="K1348"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348" s="100">
        <f>IF(AND(SamplingData[[#This Row],[Total]]&lt;&gt; 0, NOT(ISBLANK(SamplingData[[#This Row],[Candidate 3]]))),(SamplingData[[#This Row],[Total]]+SamplingData[[#This Row],[Winning Candidate]]-SamplingData[[#This Row],[Candidate 3]])/(SamplingData[[#Totals],[Winning Candidate]]-SamplingData[[#Totals],[Candidate 3]]), 0)</f>
        <v>5.1617898506307067E-4</v>
      </c>
      <c r="M1348" s="100">
        <f>IF(AND(SamplingData[[#This Row],[Total]]&lt;&gt; 0, NOT(ISBLANK(SamplingData[[#This Row],[Candidate 4]]))),(SamplingData[[#This Row],[Total]]+SamplingData[[#This Row],[Winning Candidate]]-SamplingData[[#This Row],[Candidate 4]])/(SamplingData[[#Totals],[Winning Candidate]]-SamplingData[[#Totals],[Candidate 4]]), 0)</f>
        <v>4.3848110146452689E-4</v>
      </c>
      <c r="N1348" s="100">
        <f>IF(AND(SamplingData[[#This Row],[Total]]&lt;&gt; 0, NOT(ISBLANK(SamplingData[[#This Row],[Candidate 5]]))),(SamplingData[[#This Row],[Total]]+SamplingData[[#This Row],[Winning Candidate]]-SamplingData[[#This Row],[Candidate 5]])/(SamplingData[[#Totals],[Winning Candidate]]-SamplingData[[#Totals],[Candidate 5]]), 0)</f>
        <v>4.1352468985648261E-4</v>
      </c>
      <c r="O1348" s="100">
        <f>IF(AND(SamplingData[[#This Row],[Total]]&lt;&gt; 0, NOT(ISBLANK(SamplingData[[#This Row],[Candidate 6]]))),(SamplingData[[#This Row],[Total]]+SamplingData[[#This Row],[Winning Candidate]]-SamplingData[[#This Row],[Candidate 6]])/(SamplingData[[#Totals],[Winning Candidate]]-SamplingData[[#Totals],[Candidate 6]]), 0)</f>
        <v>4.1340401731433294E-4</v>
      </c>
      <c r="P1348" s="100">
        <f>MAX(SamplingData[[#This Row],[Error Bound (up) - Max. possible relative overstatement - Losing Candidate]:[Error Bound (up) - Max. possible relative overstatement - Candidate 6]])</f>
        <v>9.1866731994120533E-4</v>
      </c>
      <c r="Q1348" s="100">
        <f>IF(SamplingData[[#This Row],[Max Error Bound (up)]] = 0,0,SamplingData[[#This Row],[Max Error Bound (up)]]/SamplingData[[#Totals],[Max Error Bound (up)]])</f>
        <v>1.4539422417668749E-4</v>
      </c>
      <c r="R1348" s="101">
        <f>SUM($Q$5:Q1348)</f>
        <v>0.40429697239516355</v>
      </c>
      <c r="S1348" s="100" t="str">
        <f t="array" ref="S1348">IF(SamplingData[[#This Row],[up/U Selection Probability]] = 0, "Zero", TEXT(SamplingData[[#This Row],[Lower Range]], REPT("0",LEN('General Info'!$B$40))) &amp; " - " &amp; TEXT(SamplingData[[#This Row],[Upper Range]], REPT("0",LEN('General Info'!$B$40))))</f>
        <v>40415 - 40429</v>
      </c>
      <c r="T1348" s="100">
        <f>SamplingData[[#This Row],[Upper Range]]-SamplingData[[#This Row],[Span]]</f>
        <v>40415.157962492907</v>
      </c>
      <c r="U1348" s="100">
        <f>IF(ISNUMBER('General Info'!$B$40), ((SamplingData[[#This Row],[up/U Selection Probability]]) * 'General Info'!$B$40) - 1, 0)</f>
        <v>13.539277023444573</v>
      </c>
      <c r="V1348" s="100">
        <f>IF(ISNUMBER('General Info'!$B$40), (SamplingData[[#This Row],[Running (cumulative) sum]] * ('General Info'!$B$40 -'General Info'!$B$41 + 1)) + 'General Info'!$B$41 - 1, 0)</f>
        <v>40428.697239516354</v>
      </c>
      <c r="W1348" s="100" t="str">
        <f>IF(ISERROR(MATCH(SamplingData[[#This Row],[Batch by Type (p)]],SelectedPrecincts[Batch Name], 0)), "", INDEX(SelectedPrecincts[Draw], MATCH(SamplingData[[#This Row],[Batch by Type (p)]],SelectedPrecincts[Batch Name], 0)))</f>
        <v/>
      </c>
      <c r="X1348" s="102">
        <f>IF(COUNTIF(SelectedPrecincts[Batch Name],SamplingData[[#This Row],[Batch by Type (p)]]) &lt;&gt; 0, COUNTIF(SelectedPrecincts[Batch Name],SamplingData[[#This Row],[Batch by Type (p)]]), 0)</f>
        <v>0</v>
      </c>
    </row>
    <row r="1349" spans="1:24" ht="15" customHeight="1">
      <c r="A1349" s="18" t="s">
        <v>1525</v>
      </c>
      <c r="B1349" s="18">
        <v>0</v>
      </c>
      <c r="C1349" s="18">
        <v>0</v>
      </c>
      <c r="D1349" s="16">
        <v>0</v>
      </c>
      <c r="E1349" s="16">
        <v>0</v>
      </c>
      <c r="F1349" s="37">
        <v>0</v>
      </c>
      <c r="G1349" s="37">
        <v>0</v>
      </c>
      <c r="H1349" s="17">
        <v>0</v>
      </c>
      <c r="I1349" s="17">
        <v>1</v>
      </c>
      <c r="J1349" s="99">
        <f>SUM(SamplingData[[#This Row],[Losing Candidate]:[Under Votes]])</f>
        <v>1</v>
      </c>
      <c r="K1349"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349" s="100">
        <f>IF(AND(SamplingData[[#This Row],[Total]]&lt;&gt; 0, NOT(ISBLANK(SamplingData[[#This Row],[Candidate 3]]))),(SamplingData[[#This Row],[Total]]+SamplingData[[#This Row],[Winning Candidate]]-SamplingData[[#This Row],[Candidate 3]])/(SamplingData[[#Totals],[Winning Candidate]]-SamplingData[[#Totals],[Candidate 3]]), 0)</f>
        <v>3.2261186566441917E-5</v>
      </c>
      <c r="M1349" s="100">
        <f>IF(AND(SamplingData[[#This Row],[Total]]&lt;&gt; 0, NOT(ISBLANK(SamplingData[[#This Row],[Candidate 4]]))),(SamplingData[[#This Row],[Total]]+SamplingData[[#This Row],[Winning Candidate]]-SamplingData[[#This Row],[Candidate 4]])/(SamplingData[[#Totals],[Winning Candidate]]-SamplingData[[#Totals],[Candidate 4]]), 0)</f>
        <v>2.923207343096846E-5</v>
      </c>
      <c r="N1349" s="100">
        <f>IF(AND(SamplingData[[#This Row],[Total]]&lt;&gt; 0, NOT(ISBLANK(SamplingData[[#This Row],[Candidate 5]]))),(SamplingData[[#This Row],[Total]]+SamplingData[[#This Row],[Winning Candidate]]-SamplingData[[#This Row],[Candidate 5]])/(SamplingData[[#Totals],[Winning Candidate]]-SamplingData[[#Totals],[Candidate 5]]), 0)</f>
        <v>2.4324981756263683E-5</v>
      </c>
      <c r="O1349" s="100">
        <f>IF(AND(SamplingData[[#This Row],[Total]]&lt;&gt; 0, NOT(ISBLANK(SamplingData[[#This Row],[Candidate 6]]))),(SamplingData[[#This Row],[Total]]+SamplingData[[#This Row],[Winning Candidate]]-SamplingData[[#This Row],[Candidate 6]])/(SamplingData[[#Totals],[Winning Candidate]]-SamplingData[[#Totals],[Candidate 6]]), 0)</f>
        <v>2.431788337143135E-5</v>
      </c>
      <c r="P1349" s="100">
        <f>MAX(SamplingData[[#This Row],[Error Bound (up) - Max. possible relative overstatement - Losing Candidate]:[Error Bound (up) - Max. possible relative overstatement - Candidate 6]])</f>
        <v>6.1244487996080352E-5</v>
      </c>
      <c r="Q1349" s="100">
        <f>IF(SamplingData[[#This Row],[Max Error Bound (up)]] = 0,0,SamplingData[[#This Row],[Max Error Bound (up)]]/SamplingData[[#Totals],[Max Error Bound (up)]])</f>
        <v>9.6929482784458315E-6</v>
      </c>
      <c r="R1349" s="101">
        <f>SUM($Q$5:Q1349)</f>
        <v>0.40430666534344201</v>
      </c>
      <c r="S1349" s="100" t="str">
        <f t="array" ref="S1349">IF(SamplingData[[#This Row],[up/U Selection Probability]] = 0, "Zero", TEXT(SamplingData[[#This Row],[Lower Range]], REPT("0",LEN('General Info'!$B$40))) &amp; " - " &amp; TEXT(SamplingData[[#This Row],[Upper Range]], REPT("0",LEN('General Info'!$B$40))))</f>
        <v>40430 - 40430</v>
      </c>
      <c r="T1349" s="100">
        <f>SamplingData[[#This Row],[Upper Range]]-SamplingData[[#This Row],[Span]]</f>
        <v>40429.697249209305</v>
      </c>
      <c r="U1349" s="100">
        <f>IF(ISNUMBER('General Info'!$B$40), ((SamplingData[[#This Row],[up/U Selection Probability]]) * 'General Info'!$B$40) - 1, 0)</f>
        <v>-3.0714865103695255E-2</v>
      </c>
      <c r="V1349" s="100">
        <f>IF(ISNUMBER('General Info'!$B$40), (SamplingData[[#This Row],[Running (cumulative) sum]] * ('General Info'!$B$40 -'General Info'!$B$41 + 1)) + 'General Info'!$B$41 - 1, 0)</f>
        <v>40429.6665343442</v>
      </c>
      <c r="W1349" s="100" t="str">
        <f>IF(ISERROR(MATCH(SamplingData[[#This Row],[Batch by Type (p)]],SelectedPrecincts[Batch Name], 0)), "", INDEX(SelectedPrecincts[Draw], MATCH(SamplingData[[#This Row],[Batch by Type (p)]],SelectedPrecincts[Batch Name], 0)))</f>
        <v/>
      </c>
      <c r="X1349" s="102">
        <f>IF(COUNTIF(SelectedPrecincts[Batch Name],SamplingData[[#This Row],[Batch by Type (p)]]) &lt;&gt; 0, COUNTIF(SelectedPrecincts[Batch Name],SamplingData[[#This Row],[Batch by Type (p)]]), 0)</f>
        <v>0</v>
      </c>
    </row>
    <row r="1350" spans="1:24" ht="15" customHeight="1">
      <c r="A1350" s="18" t="s">
        <v>1526</v>
      </c>
      <c r="B1350" s="18">
        <v>0</v>
      </c>
      <c r="C1350" s="18">
        <v>0</v>
      </c>
      <c r="D1350" s="18">
        <v>0</v>
      </c>
      <c r="E1350" s="18">
        <v>0</v>
      </c>
      <c r="F1350" s="18">
        <v>0</v>
      </c>
      <c r="G1350" s="18">
        <v>0</v>
      </c>
      <c r="H1350" s="18">
        <v>0</v>
      </c>
      <c r="I1350" s="18">
        <v>0</v>
      </c>
      <c r="J1350" s="99">
        <f>SUM(SamplingData[[#This Row],[Losing Candidate]:[Under Votes]])</f>
        <v>0</v>
      </c>
      <c r="K1350" s="100">
        <f>IF(AND(SamplingData[[#This Row],[Total]]&lt;&gt; 0, NOT(ISBLANK(SamplingData[[#This Row],[Losing Candidate]]))),(SamplingData[[#This Row],[Total]]+SamplingData[[#This Row],[Winning Candidate]]-SamplingData[[#This Row],[Losing Candidate]])/(SamplingData[[#Totals],[Winning Candidate]]-SamplingData[[#Totals],[Losing Candidate]]), 0)</f>
        <v>0</v>
      </c>
      <c r="L1350" s="100">
        <f>IF(AND(SamplingData[[#This Row],[Total]]&lt;&gt; 0, NOT(ISBLANK(SamplingData[[#This Row],[Candidate 3]]))),(SamplingData[[#This Row],[Total]]+SamplingData[[#This Row],[Winning Candidate]]-SamplingData[[#This Row],[Candidate 3]])/(SamplingData[[#Totals],[Winning Candidate]]-SamplingData[[#Totals],[Candidate 3]]), 0)</f>
        <v>0</v>
      </c>
      <c r="M1350" s="100">
        <f>IF(AND(SamplingData[[#This Row],[Total]]&lt;&gt; 0, NOT(ISBLANK(SamplingData[[#This Row],[Candidate 4]]))),(SamplingData[[#This Row],[Total]]+SamplingData[[#This Row],[Winning Candidate]]-SamplingData[[#This Row],[Candidate 4]])/(SamplingData[[#Totals],[Winning Candidate]]-SamplingData[[#Totals],[Candidate 4]]), 0)</f>
        <v>0</v>
      </c>
      <c r="N1350" s="100">
        <f>IF(AND(SamplingData[[#This Row],[Total]]&lt;&gt; 0, NOT(ISBLANK(SamplingData[[#This Row],[Candidate 5]]))),(SamplingData[[#This Row],[Total]]+SamplingData[[#This Row],[Winning Candidate]]-SamplingData[[#This Row],[Candidate 5]])/(SamplingData[[#Totals],[Winning Candidate]]-SamplingData[[#Totals],[Candidate 5]]), 0)</f>
        <v>0</v>
      </c>
      <c r="O1350" s="100">
        <f>IF(AND(SamplingData[[#This Row],[Total]]&lt;&gt; 0, NOT(ISBLANK(SamplingData[[#This Row],[Candidate 6]]))),(SamplingData[[#This Row],[Total]]+SamplingData[[#This Row],[Winning Candidate]]-SamplingData[[#This Row],[Candidate 6]])/(SamplingData[[#Totals],[Winning Candidate]]-SamplingData[[#Totals],[Candidate 6]]), 0)</f>
        <v>0</v>
      </c>
      <c r="P1350" s="100">
        <f>MAX(SamplingData[[#This Row],[Error Bound (up) - Max. possible relative overstatement - Losing Candidate]:[Error Bound (up) - Max. possible relative overstatement - Candidate 6]])</f>
        <v>0</v>
      </c>
      <c r="Q1350" s="100">
        <f>IF(SamplingData[[#This Row],[Max Error Bound (up)]] = 0,0,SamplingData[[#This Row],[Max Error Bound (up)]]/SamplingData[[#Totals],[Max Error Bound (up)]])</f>
        <v>0</v>
      </c>
      <c r="R1350" s="101">
        <f>SUM($Q$5:Q1350)</f>
        <v>0.40430666534344201</v>
      </c>
      <c r="S1350" s="100" t="str">
        <f t="array" ref="S1350">IF(SamplingData[[#This Row],[up/U Selection Probability]] = 0, "Zero", TEXT(SamplingData[[#This Row],[Lower Range]], REPT("0",LEN('General Info'!$B$40))) &amp; " - " &amp; TEXT(SamplingData[[#This Row],[Upper Range]], REPT("0",LEN('General Info'!$B$40))))</f>
        <v>Zero</v>
      </c>
      <c r="T1350" s="100">
        <f>SamplingData[[#This Row],[Upper Range]]-SamplingData[[#This Row],[Span]]</f>
        <v>40430.6665343442</v>
      </c>
      <c r="U1350" s="100">
        <f>IF(ISNUMBER('General Info'!$B$40), ((SamplingData[[#This Row],[up/U Selection Probability]]) * 'General Info'!$B$40) - 1, 0)</f>
        <v>-1</v>
      </c>
      <c r="V1350" s="100">
        <f>IF(ISNUMBER('General Info'!$B$40), (SamplingData[[#This Row],[Running (cumulative) sum]] * ('General Info'!$B$40 -'General Info'!$B$41 + 1)) + 'General Info'!$B$41 - 1, 0)</f>
        <v>40429.6665343442</v>
      </c>
      <c r="W1350" s="100" t="str">
        <f>IF(ISERROR(MATCH(SamplingData[[#This Row],[Batch by Type (p)]],SelectedPrecincts[Batch Name], 0)), "", INDEX(SelectedPrecincts[Draw], MATCH(SamplingData[[#This Row],[Batch by Type (p)]],SelectedPrecincts[Batch Name], 0)))</f>
        <v/>
      </c>
      <c r="X1350" s="102">
        <f>IF(COUNTIF(SelectedPrecincts[Batch Name],SamplingData[[#This Row],[Batch by Type (p)]]) &lt;&gt; 0, COUNTIF(SelectedPrecincts[Batch Name],SamplingData[[#This Row],[Batch by Type (p)]]), 0)</f>
        <v>0</v>
      </c>
    </row>
    <row r="1351" spans="1:24" ht="15" customHeight="1">
      <c r="A1351" s="18" t="s">
        <v>1527</v>
      </c>
      <c r="B1351" s="18">
        <v>29</v>
      </c>
      <c r="C1351" s="18">
        <v>27</v>
      </c>
      <c r="D1351" s="16">
        <v>6</v>
      </c>
      <c r="E1351" s="16">
        <v>5</v>
      </c>
      <c r="F1351" s="37">
        <v>2</v>
      </c>
      <c r="G1351" s="37">
        <v>1</v>
      </c>
      <c r="H1351" s="17">
        <v>0</v>
      </c>
      <c r="I1351" s="17">
        <v>1</v>
      </c>
      <c r="J1351" s="99">
        <f>SUM(SamplingData[[#This Row],[Losing Candidate]:[Under Votes]])</f>
        <v>71</v>
      </c>
      <c r="K1351" s="100">
        <f>IF(AND(SamplingData[[#This Row],[Total]]&lt;&gt; 0, NOT(ISBLANK(SamplingData[[#This Row],[Losing Candidate]]))),(SamplingData[[#This Row],[Total]]+SamplingData[[#This Row],[Winning Candidate]]-SamplingData[[#This Row],[Losing Candidate]])/(SamplingData[[#Totals],[Winning Candidate]]-SamplingData[[#Totals],[Losing Candidate]]), 0)</f>
        <v>4.2258696717295445E-3</v>
      </c>
      <c r="L1351" s="100">
        <f>IF(AND(SamplingData[[#This Row],[Total]]&lt;&gt; 0, NOT(ISBLANK(SamplingData[[#This Row],[Candidate 3]]))),(SamplingData[[#This Row],[Total]]+SamplingData[[#This Row],[Winning Candidate]]-SamplingData[[#This Row],[Candidate 3]])/(SamplingData[[#Totals],[Winning Candidate]]-SamplingData[[#Totals],[Candidate 3]]), 0)</f>
        <v>2.9680291641126563E-3</v>
      </c>
      <c r="M1351" s="100">
        <f>IF(AND(SamplingData[[#This Row],[Total]]&lt;&gt; 0, NOT(ISBLANK(SamplingData[[#This Row],[Candidate 4]]))),(SamplingData[[#This Row],[Total]]+SamplingData[[#This Row],[Winning Candidate]]-SamplingData[[#This Row],[Candidate 4]])/(SamplingData[[#Totals],[Winning Candidate]]-SamplingData[[#Totals],[Candidate 4]]), 0)</f>
        <v>2.7185828290800665E-3</v>
      </c>
      <c r="N1351" s="100">
        <f>IF(AND(SamplingData[[#This Row],[Total]]&lt;&gt; 0, NOT(ISBLANK(SamplingData[[#This Row],[Candidate 5]]))),(SamplingData[[#This Row],[Total]]+SamplingData[[#This Row],[Winning Candidate]]-SamplingData[[#This Row],[Candidate 5]])/(SamplingData[[#Totals],[Winning Candidate]]-SamplingData[[#Totals],[Candidate 5]]), 0)</f>
        <v>2.3351982486013137E-3</v>
      </c>
      <c r="O1351" s="100">
        <f>IF(AND(SamplingData[[#This Row],[Total]]&lt;&gt; 0, NOT(ISBLANK(SamplingData[[#This Row],[Candidate 6]]))),(SamplingData[[#This Row],[Total]]+SamplingData[[#This Row],[Winning Candidate]]-SamplingData[[#This Row],[Candidate 6]])/(SamplingData[[#Totals],[Winning Candidate]]-SamplingData[[#Totals],[Candidate 6]]), 0)</f>
        <v>2.3588346870288411E-3</v>
      </c>
      <c r="P1351" s="100">
        <f>MAX(SamplingData[[#This Row],[Error Bound (up) - Max. possible relative overstatement - Losing Candidate]:[Error Bound (up) - Max. possible relative overstatement - Candidate 6]])</f>
        <v>4.2258696717295445E-3</v>
      </c>
      <c r="Q1351" s="100">
        <f>IF(SamplingData[[#This Row],[Max Error Bound (up)]] = 0,0,SamplingData[[#This Row],[Max Error Bound (up)]]/SamplingData[[#Totals],[Max Error Bound (up)]])</f>
        <v>6.6881343121276242E-4</v>
      </c>
      <c r="R1351" s="101">
        <f>SUM($Q$5:Q1351)</f>
        <v>0.40497547877465478</v>
      </c>
      <c r="S1351" s="100" t="str">
        <f t="array" ref="S1351">IF(SamplingData[[#This Row],[up/U Selection Probability]] = 0, "Zero", TEXT(SamplingData[[#This Row],[Lower Range]], REPT("0",LEN('General Info'!$B$40))) &amp; " - " &amp; TEXT(SamplingData[[#This Row],[Upper Range]], REPT("0",LEN('General Info'!$B$40))))</f>
        <v>40431 - 40497</v>
      </c>
      <c r="T1351" s="100">
        <f>SamplingData[[#This Row],[Upper Range]]-SamplingData[[#This Row],[Span]]</f>
        <v>40430.667203157631</v>
      </c>
      <c r="U1351" s="100">
        <f>IF(ISNUMBER('General Info'!$B$40), ((SamplingData[[#This Row],[up/U Selection Probability]]) * 'General Info'!$B$40) - 1, 0)</f>
        <v>65.880674307845027</v>
      </c>
      <c r="V1351" s="100">
        <f>IF(ISNUMBER('General Info'!$B$40), (SamplingData[[#This Row],[Running (cumulative) sum]] * ('General Info'!$B$40 -'General Info'!$B$41 + 1)) + 'General Info'!$B$41 - 1, 0)</f>
        <v>40496.547877465477</v>
      </c>
      <c r="W1351" s="100" t="str">
        <f>IF(ISERROR(MATCH(SamplingData[[#This Row],[Batch by Type (p)]],SelectedPrecincts[Batch Name], 0)), "", INDEX(SelectedPrecincts[Draw], MATCH(SamplingData[[#This Row],[Batch by Type (p)]],SelectedPrecincts[Batch Name], 0)))</f>
        <v/>
      </c>
      <c r="X1351" s="102">
        <f>IF(COUNTIF(SelectedPrecincts[Batch Name],SamplingData[[#This Row],[Batch by Type (p)]]) &lt;&gt; 0, COUNTIF(SelectedPrecincts[Batch Name],SamplingData[[#This Row],[Batch by Type (p)]]), 0)</f>
        <v>0</v>
      </c>
    </row>
    <row r="1352" spans="1:24" ht="15" customHeight="1">
      <c r="A1352" s="18" t="s">
        <v>1528</v>
      </c>
      <c r="B1352" s="18">
        <v>15</v>
      </c>
      <c r="C1352" s="18">
        <v>22</v>
      </c>
      <c r="D1352" s="18">
        <v>7</v>
      </c>
      <c r="E1352" s="18">
        <v>2</v>
      </c>
      <c r="F1352" s="18">
        <v>0</v>
      </c>
      <c r="G1352" s="18">
        <v>0</v>
      </c>
      <c r="H1352" s="18">
        <v>0</v>
      </c>
      <c r="I1352" s="18">
        <v>0</v>
      </c>
      <c r="J1352" s="99">
        <f>SUM(SamplingData[[#This Row],[Losing Candidate]:[Under Votes]])</f>
        <v>46</v>
      </c>
      <c r="K1352" s="100">
        <f>IF(AND(SamplingData[[#This Row],[Total]]&lt;&gt; 0, NOT(ISBLANK(SamplingData[[#This Row],[Losing Candidate]]))),(SamplingData[[#This Row],[Total]]+SamplingData[[#This Row],[Winning Candidate]]-SamplingData[[#This Row],[Losing Candidate]])/(SamplingData[[#Totals],[Winning Candidate]]-SamplingData[[#Totals],[Losing Candidate]]), 0)</f>
        <v>3.2459578637922589E-3</v>
      </c>
      <c r="L1352" s="100">
        <f>IF(AND(SamplingData[[#This Row],[Total]]&lt;&gt; 0, NOT(ISBLANK(SamplingData[[#This Row],[Candidate 3]]))),(SamplingData[[#This Row],[Total]]+SamplingData[[#This Row],[Winning Candidate]]-SamplingData[[#This Row],[Candidate 3]])/(SamplingData[[#Totals],[Winning Candidate]]-SamplingData[[#Totals],[Candidate 3]]), 0)</f>
        <v>1.9679323805529567E-3</v>
      </c>
      <c r="M1352" s="100">
        <f>IF(AND(SamplingData[[#This Row],[Total]]&lt;&gt; 0, NOT(ISBLANK(SamplingData[[#This Row],[Candidate 4]]))),(SamplingData[[#This Row],[Total]]+SamplingData[[#This Row],[Winning Candidate]]-SamplingData[[#This Row],[Candidate 4]])/(SamplingData[[#Totals],[Winning Candidate]]-SamplingData[[#Totals],[Candidate 4]]), 0)</f>
        <v>1.9293168464439184E-3</v>
      </c>
      <c r="N1352" s="100">
        <f>IF(AND(SamplingData[[#This Row],[Total]]&lt;&gt; 0, NOT(ISBLANK(SamplingData[[#This Row],[Candidate 5]]))),(SamplingData[[#This Row],[Total]]+SamplingData[[#This Row],[Winning Candidate]]-SamplingData[[#This Row],[Candidate 5]])/(SamplingData[[#Totals],[Winning Candidate]]-SamplingData[[#Totals],[Candidate 5]]), 0)</f>
        <v>1.6540987594259305E-3</v>
      </c>
      <c r="O1352" s="100">
        <f>IF(AND(SamplingData[[#This Row],[Total]]&lt;&gt; 0, NOT(ISBLANK(SamplingData[[#This Row],[Candidate 6]]))),(SamplingData[[#This Row],[Total]]+SamplingData[[#This Row],[Winning Candidate]]-SamplingData[[#This Row],[Candidate 6]])/(SamplingData[[#Totals],[Winning Candidate]]-SamplingData[[#Totals],[Candidate 6]]), 0)</f>
        <v>1.6536160692573318E-3</v>
      </c>
      <c r="P1352" s="100">
        <f>MAX(SamplingData[[#This Row],[Error Bound (up) - Max. possible relative overstatement - Losing Candidate]:[Error Bound (up) - Max. possible relative overstatement - Candidate 6]])</f>
        <v>3.2459578637922589E-3</v>
      </c>
      <c r="Q1352" s="100">
        <f>IF(SamplingData[[#This Row],[Max Error Bound (up)]] = 0,0,SamplingData[[#This Row],[Max Error Bound (up)]]/SamplingData[[#Totals],[Max Error Bound (up)]])</f>
        <v>5.1372625875762909E-4</v>
      </c>
      <c r="R1352" s="101">
        <f>SUM($Q$5:Q1352)</f>
        <v>0.4054892050334124</v>
      </c>
      <c r="S1352" s="100" t="str">
        <f t="array" ref="S1352">IF(SamplingData[[#This Row],[up/U Selection Probability]] = 0, "Zero", TEXT(SamplingData[[#This Row],[Lower Range]], REPT("0",LEN('General Info'!$B$40))) &amp; " - " &amp; TEXT(SamplingData[[#This Row],[Upper Range]], REPT("0",LEN('General Info'!$B$40))))</f>
        <v>40498 - 40548</v>
      </c>
      <c r="T1352" s="100">
        <f>SamplingData[[#This Row],[Upper Range]]-SamplingData[[#This Row],[Span]]</f>
        <v>40497.54839119174</v>
      </c>
      <c r="U1352" s="100">
        <f>IF(ISNUMBER('General Info'!$B$40), ((SamplingData[[#This Row],[up/U Selection Probability]]) * 'General Info'!$B$40) - 1, 0)</f>
        <v>50.372112149504154</v>
      </c>
      <c r="V1352" s="100">
        <f>IF(ISNUMBER('General Info'!$B$40), (SamplingData[[#This Row],[Running (cumulative) sum]] * ('General Info'!$B$40 -'General Info'!$B$41 + 1)) + 'General Info'!$B$41 - 1, 0)</f>
        <v>40547.920503341244</v>
      </c>
      <c r="W1352" s="100" t="str">
        <f>IF(ISERROR(MATCH(SamplingData[[#This Row],[Batch by Type (p)]],SelectedPrecincts[Batch Name], 0)), "", INDEX(SelectedPrecincts[Draw], MATCH(SamplingData[[#This Row],[Batch by Type (p)]],SelectedPrecincts[Batch Name], 0)))</f>
        <v/>
      </c>
      <c r="X1352" s="102">
        <f>IF(COUNTIF(SelectedPrecincts[Batch Name],SamplingData[[#This Row],[Batch by Type (p)]]) &lt;&gt; 0, COUNTIF(SelectedPrecincts[Batch Name],SamplingData[[#This Row],[Batch by Type (p)]]), 0)</f>
        <v>0</v>
      </c>
    </row>
    <row r="1353" spans="1:24" ht="15" customHeight="1">
      <c r="A1353" s="18" t="s">
        <v>1529</v>
      </c>
      <c r="B1353" s="18">
        <v>24</v>
      </c>
      <c r="C1353" s="18">
        <v>32</v>
      </c>
      <c r="D1353" s="16">
        <v>8</v>
      </c>
      <c r="E1353" s="16">
        <v>12</v>
      </c>
      <c r="F1353" s="37">
        <v>0</v>
      </c>
      <c r="G1353" s="37">
        <v>0</v>
      </c>
      <c r="H1353" s="17">
        <v>0</v>
      </c>
      <c r="I1353" s="17">
        <v>0</v>
      </c>
      <c r="J1353" s="99">
        <f>SUM(SamplingData[[#This Row],[Losing Candidate]:[Under Votes]])</f>
        <v>76</v>
      </c>
      <c r="K1353" s="100">
        <f>IF(AND(SamplingData[[#This Row],[Total]]&lt;&gt; 0, NOT(ISBLANK(SamplingData[[#This Row],[Losing Candidate]]))),(SamplingData[[#This Row],[Total]]+SamplingData[[#This Row],[Winning Candidate]]-SamplingData[[#This Row],[Losing Candidate]])/(SamplingData[[#Totals],[Winning Candidate]]-SamplingData[[#Totals],[Losing Candidate]]), 0)</f>
        <v>5.1445369916707498E-3</v>
      </c>
      <c r="L1353" s="100">
        <f>IF(AND(SamplingData[[#This Row],[Total]]&lt;&gt; 0, NOT(ISBLANK(SamplingData[[#This Row],[Candidate 3]]))),(SamplingData[[#This Row],[Total]]+SamplingData[[#This Row],[Winning Candidate]]-SamplingData[[#This Row],[Candidate 3]])/(SamplingData[[#Totals],[Winning Candidate]]-SamplingData[[#Totals],[Candidate 3]]), 0)</f>
        <v>3.2261186566441913E-3</v>
      </c>
      <c r="M1353" s="100">
        <f>IF(AND(SamplingData[[#This Row],[Total]]&lt;&gt; 0, NOT(ISBLANK(SamplingData[[#This Row],[Candidate 4]]))),(SamplingData[[#This Row],[Total]]+SamplingData[[#This Row],[Winning Candidate]]-SamplingData[[#This Row],[Candidate 4]])/(SamplingData[[#Totals],[Winning Candidate]]-SamplingData[[#Totals],[Candidate 4]]), 0)</f>
        <v>2.8062790493729719E-3</v>
      </c>
      <c r="N1353" s="100">
        <f>IF(AND(SamplingData[[#This Row],[Total]]&lt;&gt; 0, NOT(ISBLANK(SamplingData[[#This Row],[Candidate 5]]))),(SamplingData[[#This Row],[Total]]+SamplingData[[#This Row],[Winning Candidate]]-SamplingData[[#This Row],[Candidate 5]])/(SamplingData[[#Totals],[Winning Candidate]]-SamplingData[[#Totals],[Candidate 5]]), 0)</f>
        <v>2.6270980296764779E-3</v>
      </c>
      <c r="O1353" s="100">
        <f>IF(AND(SamplingData[[#This Row],[Total]]&lt;&gt; 0, NOT(ISBLANK(SamplingData[[#This Row],[Candidate 6]]))),(SamplingData[[#This Row],[Total]]+SamplingData[[#This Row],[Winning Candidate]]-SamplingData[[#This Row],[Candidate 6]])/(SamplingData[[#Totals],[Winning Candidate]]-SamplingData[[#Totals],[Candidate 6]]), 0)</f>
        <v>2.626331404114586E-3</v>
      </c>
      <c r="P1353" s="100">
        <f>MAX(SamplingData[[#This Row],[Error Bound (up) - Max. possible relative overstatement - Losing Candidate]:[Error Bound (up) - Max. possible relative overstatement - Candidate 6]])</f>
        <v>5.1445369916707498E-3</v>
      </c>
      <c r="Q1353" s="100">
        <f>IF(SamplingData[[#This Row],[Max Error Bound (up)]] = 0,0,SamplingData[[#This Row],[Max Error Bound (up)]]/SamplingData[[#Totals],[Max Error Bound (up)]])</f>
        <v>8.1420765538944991E-4</v>
      </c>
      <c r="R1353" s="101">
        <f>SUM($Q$5:Q1353)</f>
        <v>0.40630341268880188</v>
      </c>
      <c r="S1353" s="100" t="str">
        <f t="array" ref="S1353">IF(SamplingData[[#This Row],[up/U Selection Probability]] = 0, "Zero", TEXT(SamplingData[[#This Row],[Lower Range]], REPT("0",LEN('General Info'!$B$40))) &amp; " - " &amp; TEXT(SamplingData[[#This Row],[Upper Range]], REPT("0",LEN('General Info'!$B$40))))</f>
        <v>40549 - 40629</v>
      </c>
      <c r="T1353" s="100">
        <f>SamplingData[[#This Row],[Upper Range]]-SamplingData[[#This Row],[Span]]</f>
        <v>40548.921317548899</v>
      </c>
      <c r="U1353" s="100">
        <f>IF(ISNUMBER('General Info'!$B$40), ((SamplingData[[#This Row],[up/U Selection Probability]]) * 'General Info'!$B$40) - 1, 0)</f>
        <v>80.419951331289596</v>
      </c>
      <c r="V1353" s="100">
        <f>IF(ISNUMBER('General Info'!$B$40), (SamplingData[[#This Row],[Running (cumulative) sum]] * ('General Info'!$B$40 -'General Info'!$B$41 + 1)) + 'General Info'!$B$41 - 1, 0)</f>
        <v>40629.341268880191</v>
      </c>
      <c r="W1353" s="100" t="str">
        <f>IF(ISERROR(MATCH(SamplingData[[#This Row],[Batch by Type (p)]],SelectedPrecincts[Batch Name], 0)), "", INDEX(SelectedPrecincts[Draw], MATCH(SamplingData[[#This Row],[Batch by Type (p)]],SelectedPrecincts[Batch Name], 0)))</f>
        <v/>
      </c>
      <c r="X1353" s="102">
        <f>IF(COUNTIF(SelectedPrecincts[Batch Name],SamplingData[[#This Row],[Batch by Type (p)]]) &lt;&gt; 0, COUNTIF(SelectedPrecincts[Batch Name],SamplingData[[#This Row],[Batch by Type (p)]]), 0)</f>
        <v>0</v>
      </c>
    </row>
    <row r="1354" spans="1:24" ht="15" customHeight="1">
      <c r="A1354" s="18" t="s">
        <v>1530</v>
      </c>
      <c r="B1354" s="18">
        <v>11</v>
      </c>
      <c r="C1354" s="18">
        <v>19</v>
      </c>
      <c r="D1354" s="18">
        <v>2</v>
      </c>
      <c r="E1354" s="18">
        <v>0</v>
      </c>
      <c r="F1354" s="18">
        <v>0</v>
      </c>
      <c r="G1354" s="18">
        <v>0</v>
      </c>
      <c r="H1354" s="18">
        <v>0</v>
      </c>
      <c r="I1354" s="18">
        <v>0</v>
      </c>
      <c r="J1354" s="99">
        <f>SUM(SamplingData[[#This Row],[Losing Candidate]:[Under Votes]])</f>
        <v>32</v>
      </c>
      <c r="K1354"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354" s="100">
        <f>IF(AND(SamplingData[[#This Row],[Total]]&lt;&gt; 0, NOT(ISBLANK(SamplingData[[#This Row],[Candidate 3]]))),(SamplingData[[#This Row],[Total]]+SamplingData[[#This Row],[Winning Candidate]]-SamplingData[[#This Row],[Candidate 3]])/(SamplingData[[#Totals],[Winning Candidate]]-SamplingData[[#Totals],[Candidate 3]]), 0)</f>
        <v>1.5807981417556537E-3</v>
      </c>
      <c r="M1354" s="100">
        <f>IF(AND(SamplingData[[#This Row],[Total]]&lt;&gt; 0, NOT(ISBLANK(SamplingData[[#This Row],[Candidate 4]]))),(SamplingData[[#This Row],[Total]]+SamplingData[[#This Row],[Winning Candidate]]-SamplingData[[#This Row],[Candidate 4]])/(SamplingData[[#Totals],[Winning Candidate]]-SamplingData[[#Totals],[Candidate 4]]), 0)</f>
        <v>1.4908357449793914E-3</v>
      </c>
      <c r="N1354" s="100">
        <f>IF(AND(SamplingData[[#This Row],[Total]]&lt;&gt; 0, NOT(ISBLANK(SamplingData[[#This Row],[Candidate 5]]))),(SamplingData[[#This Row],[Total]]+SamplingData[[#This Row],[Winning Candidate]]-SamplingData[[#This Row],[Candidate 5]])/(SamplingData[[#Totals],[Winning Candidate]]-SamplingData[[#Totals],[Candidate 5]]), 0)</f>
        <v>1.2405740695694478E-3</v>
      </c>
      <c r="O1354" s="100">
        <f>IF(AND(SamplingData[[#This Row],[Total]]&lt;&gt; 0, NOT(ISBLANK(SamplingData[[#This Row],[Candidate 6]]))),(SamplingData[[#This Row],[Total]]+SamplingData[[#This Row],[Winning Candidate]]-SamplingData[[#This Row],[Candidate 6]])/(SamplingData[[#Totals],[Winning Candidate]]-SamplingData[[#Totals],[Candidate 6]]), 0)</f>
        <v>1.2402120519429988E-3</v>
      </c>
      <c r="P1354" s="100">
        <f>MAX(SamplingData[[#This Row],[Error Bound (up) - Max. possible relative overstatement - Losing Candidate]:[Error Bound (up) - Max. possible relative overstatement - Candidate 6]])</f>
        <v>2.4497795198432141E-3</v>
      </c>
      <c r="Q1354" s="100">
        <f>IF(SamplingData[[#This Row],[Max Error Bound (up)]] = 0,0,SamplingData[[#This Row],[Max Error Bound (up)]]/SamplingData[[#Totals],[Max Error Bound (up)]])</f>
        <v>3.8771793113783328E-4</v>
      </c>
      <c r="R1354" s="101">
        <f>SUM($Q$5:Q1354)</f>
        <v>0.40669113061993972</v>
      </c>
      <c r="S1354" s="100" t="str">
        <f t="array" ref="S1354">IF(SamplingData[[#This Row],[up/U Selection Probability]] = 0, "Zero", TEXT(SamplingData[[#This Row],[Lower Range]], REPT("0",LEN('General Info'!$B$40))) &amp; " - " &amp; TEXT(SamplingData[[#This Row],[Upper Range]], REPT("0",LEN('General Info'!$B$40))))</f>
        <v>40630 - 40668</v>
      </c>
      <c r="T1354" s="100">
        <f>SamplingData[[#This Row],[Upper Range]]-SamplingData[[#This Row],[Span]]</f>
        <v>40630.341656598117</v>
      </c>
      <c r="U1354" s="100">
        <f>IF(ISNUMBER('General Info'!$B$40), ((SamplingData[[#This Row],[up/U Selection Probability]]) * 'General Info'!$B$40) - 1, 0)</f>
        <v>37.771405395852192</v>
      </c>
      <c r="V1354" s="100">
        <f>IF(ISNUMBER('General Info'!$B$40), (SamplingData[[#This Row],[Running (cumulative) sum]] * ('General Info'!$B$40 -'General Info'!$B$41 + 1)) + 'General Info'!$B$41 - 1, 0)</f>
        <v>40668.113061993972</v>
      </c>
      <c r="W1354" s="100" t="str">
        <f>IF(ISERROR(MATCH(SamplingData[[#This Row],[Batch by Type (p)]],SelectedPrecincts[Batch Name], 0)), "", INDEX(SelectedPrecincts[Draw], MATCH(SamplingData[[#This Row],[Batch by Type (p)]],SelectedPrecincts[Batch Name], 0)))</f>
        <v/>
      </c>
      <c r="X1354" s="102">
        <f>IF(COUNTIF(SelectedPrecincts[Batch Name],SamplingData[[#This Row],[Batch by Type (p)]]) &lt;&gt; 0, COUNTIF(SelectedPrecincts[Batch Name],SamplingData[[#This Row],[Batch by Type (p)]]), 0)</f>
        <v>0</v>
      </c>
    </row>
    <row r="1355" spans="1:24" ht="15" customHeight="1">
      <c r="A1355" s="18" t="s">
        <v>1531</v>
      </c>
      <c r="B1355" s="18">
        <v>44</v>
      </c>
      <c r="C1355" s="18">
        <v>91</v>
      </c>
      <c r="D1355" s="16">
        <v>18</v>
      </c>
      <c r="E1355" s="16">
        <v>9</v>
      </c>
      <c r="F1355" s="37">
        <v>0</v>
      </c>
      <c r="G1355" s="37">
        <v>0</v>
      </c>
      <c r="H1355" s="17">
        <v>0</v>
      </c>
      <c r="I1355" s="17">
        <v>2</v>
      </c>
      <c r="J1355" s="99">
        <f>SUM(SamplingData[[#This Row],[Losing Candidate]:[Under Votes]])</f>
        <v>164</v>
      </c>
      <c r="K1355" s="100">
        <f>IF(AND(SamplingData[[#This Row],[Total]]&lt;&gt; 0, NOT(ISBLANK(SamplingData[[#This Row],[Losing Candidate]]))),(SamplingData[[#This Row],[Total]]+SamplingData[[#This Row],[Winning Candidate]]-SamplingData[[#This Row],[Losing Candidate]])/(SamplingData[[#Totals],[Winning Candidate]]-SamplingData[[#Totals],[Losing Candidate]]), 0)</f>
        <v>1.2922586967172954E-2</v>
      </c>
      <c r="L1355" s="100">
        <f>IF(AND(SamplingData[[#This Row],[Total]]&lt;&gt; 0, NOT(ISBLANK(SamplingData[[#This Row],[Candidate 3]]))),(SamplingData[[#This Row],[Total]]+SamplingData[[#This Row],[Winning Candidate]]-SamplingData[[#This Row],[Candidate 3]])/(SamplingData[[#Totals],[Winning Candidate]]-SamplingData[[#Totals],[Candidate 3]]), 0)</f>
        <v>7.6459012162467333E-3</v>
      </c>
      <c r="M1355" s="100">
        <f>IF(AND(SamplingData[[#This Row],[Total]]&lt;&gt; 0, NOT(ISBLANK(SamplingData[[#This Row],[Candidate 4]]))),(SamplingData[[#This Row],[Total]]+SamplingData[[#This Row],[Winning Candidate]]-SamplingData[[#This Row],[Candidate 4]])/(SamplingData[[#Totals],[Winning Candidate]]-SamplingData[[#Totals],[Candidate 4]]), 0)</f>
        <v>7.191090064018241E-3</v>
      </c>
      <c r="N1355" s="100">
        <f>IF(AND(SamplingData[[#This Row],[Total]]&lt;&gt; 0, NOT(ISBLANK(SamplingData[[#This Row],[Candidate 5]]))),(SamplingData[[#This Row],[Total]]+SamplingData[[#This Row],[Winning Candidate]]-SamplingData[[#This Row],[Candidate 5]])/(SamplingData[[#Totals],[Winning Candidate]]-SamplingData[[#Totals],[Candidate 5]]), 0)</f>
        <v>6.2028703478472389E-3</v>
      </c>
      <c r="O1355" s="100">
        <f>IF(AND(SamplingData[[#This Row],[Total]]&lt;&gt; 0, NOT(ISBLANK(SamplingData[[#This Row],[Candidate 6]]))),(SamplingData[[#This Row],[Total]]+SamplingData[[#This Row],[Winning Candidate]]-SamplingData[[#This Row],[Candidate 6]])/(SamplingData[[#Totals],[Winning Candidate]]-SamplingData[[#Totals],[Candidate 6]]), 0)</f>
        <v>6.2010602597149947E-3</v>
      </c>
      <c r="P1355" s="100">
        <f>MAX(SamplingData[[#This Row],[Error Bound (up) - Max. possible relative overstatement - Losing Candidate]:[Error Bound (up) - Max. possible relative overstatement - Candidate 6]])</f>
        <v>1.2922586967172954E-2</v>
      </c>
      <c r="Q1355" s="100">
        <f>IF(SamplingData[[#This Row],[Max Error Bound (up)]] = 0,0,SamplingData[[#This Row],[Max Error Bound (up)]]/SamplingData[[#Totals],[Max Error Bound (up)]])</f>
        <v>2.0452120867520706E-3</v>
      </c>
      <c r="R1355" s="101">
        <f>SUM($Q$5:Q1355)</f>
        <v>0.40873634270669179</v>
      </c>
      <c r="S1355" s="100" t="str">
        <f t="array" ref="S1355">IF(SamplingData[[#This Row],[up/U Selection Probability]] = 0, "Zero", TEXT(SamplingData[[#This Row],[Lower Range]], REPT("0",LEN('General Info'!$B$40))) &amp; " - " &amp; TEXT(SamplingData[[#This Row],[Upper Range]], REPT("0",LEN('General Info'!$B$40))))</f>
        <v>40669 - 40873</v>
      </c>
      <c r="T1355" s="100">
        <f>SamplingData[[#This Row],[Upper Range]]-SamplingData[[#This Row],[Span]]</f>
        <v>40669.11510720606</v>
      </c>
      <c r="U1355" s="100">
        <f>IF(ISNUMBER('General Info'!$B$40), ((SamplingData[[#This Row],[up/U Selection Probability]]) * 'General Info'!$B$40) - 1, 0)</f>
        <v>203.51916346312032</v>
      </c>
      <c r="V1355" s="100">
        <f>IF(ISNUMBER('General Info'!$B$40), (SamplingData[[#This Row],[Running (cumulative) sum]] * ('General Info'!$B$40 -'General Info'!$B$41 + 1)) + 'General Info'!$B$41 - 1, 0)</f>
        <v>40872.634270669179</v>
      </c>
      <c r="W1355" s="100" t="str">
        <f>IF(ISERROR(MATCH(SamplingData[[#This Row],[Batch by Type (p)]],SelectedPrecincts[Batch Name], 0)), "", INDEX(SelectedPrecincts[Draw], MATCH(SamplingData[[#This Row],[Batch by Type (p)]],SelectedPrecincts[Batch Name], 0)))</f>
        <v/>
      </c>
      <c r="X1355" s="102">
        <f>IF(COUNTIF(SelectedPrecincts[Batch Name],SamplingData[[#This Row],[Batch by Type (p)]]) &lt;&gt; 0, COUNTIF(SelectedPrecincts[Batch Name],SamplingData[[#This Row],[Batch by Type (p)]]), 0)</f>
        <v>0</v>
      </c>
    </row>
    <row r="1356" spans="1:24" ht="15" customHeight="1">
      <c r="A1356" s="18" t="s">
        <v>1532</v>
      </c>
      <c r="B1356" s="18">
        <v>9</v>
      </c>
      <c r="C1356" s="18">
        <v>18</v>
      </c>
      <c r="D1356" s="18">
        <v>3</v>
      </c>
      <c r="E1356" s="18">
        <v>3</v>
      </c>
      <c r="F1356" s="18">
        <v>0</v>
      </c>
      <c r="G1356" s="18">
        <v>0</v>
      </c>
      <c r="H1356" s="18">
        <v>0</v>
      </c>
      <c r="I1356" s="18">
        <v>0</v>
      </c>
      <c r="J1356" s="99">
        <f>SUM(SamplingData[[#This Row],[Losing Candidate]:[Under Votes]])</f>
        <v>33</v>
      </c>
      <c r="K1356"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356" s="100">
        <f>IF(AND(SamplingData[[#This Row],[Total]]&lt;&gt; 0, NOT(ISBLANK(SamplingData[[#This Row],[Candidate 3]]))),(SamplingData[[#This Row],[Total]]+SamplingData[[#This Row],[Winning Candidate]]-SamplingData[[#This Row],[Candidate 3]])/(SamplingData[[#Totals],[Winning Candidate]]-SamplingData[[#Totals],[Candidate 3]]), 0)</f>
        <v>1.5485369551892119E-3</v>
      </c>
      <c r="M1356" s="100">
        <f>IF(AND(SamplingData[[#This Row],[Total]]&lt;&gt; 0, NOT(ISBLANK(SamplingData[[#This Row],[Candidate 4]]))),(SamplingData[[#This Row],[Total]]+SamplingData[[#This Row],[Winning Candidate]]-SamplingData[[#This Row],[Candidate 4]])/(SamplingData[[#Totals],[Winning Candidate]]-SamplingData[[#Totals],[Candidate 4]]), 0)</f>
        <v>1.403139524686486E-3</v>
      </c>
      <c r="N1356" s="100">
        <f>IF(AND(SamplingData[[#This Row],[Total]]&lt;&gt; 0, NOT(ISBLANK(SamplingData[[#This Row],[Candidate 5]]))),(SamplingData[[#This Row],[Total]]+SamplingData[[#This Row],[Winning Candidate]]-SamplingData[[#This Row],[Candidate 5]])/(SamplingData[[#Totals],[Winning Candidate]]-SamplingData[[#Totals],[Candidate 5]]), 0)</f>
        <v>1.2405740695694478E-3</v>
      </c>
      <c r="O1356" s="100">
        <f>IF(AND(SamplingData[[#This Row],[Total]]&lt;&gt; 0, NOT(ISBLANK(SamplingData[[#This Row],[Candidate 6]]))),(SamplingData[[#This Row],[Total]]+SamplingData[[#This Row],[Winning Candidate]]-SamplingData[[#This Row],[Candidate 6]])/(SamplingData[[#Totals],[Winning Candidate]]-SamplingData[[#Totals],[Candidate 6]]), 0)</f>
        <v>1.2402120519429988E-3</v>
      </c>
      <c r="P1356" s="100">
        <f>MAX(SamplingData[[#This Row],[Error Bound (up) - Max. possible relative overstatement - Losing Candidate]:[Error Bound (up) - Max. possible relative overstatement - Candidate 6]])</f>
        <v>2.5722684958353749E-3</v>
      </c>
      <c r="Q1356" s="100">
        <f>IF(SamplingData[[#This Row],[Max Error Bound (up)]] = 0,0,SamplingData[[#This Row],[Max Error Bound (up)]]/SamplingData[[#Totals],[Max Error Bound (up)]])</f>
        <v>4.0710382769472496E-4</v>
      </c>
      <c r="R1356" s="101">
        <f>SUM($Q$5:Q1356)</f>
        <v>0.4091434465343865</v>
      </c>
      <c r="S1356" s="100" t="str">
        <f t="array" ref="S1356">IF(SamplingData[[#This Row],[up/U Selection Probability]] = 0, "Zero", TEXT(SamplingData[[#This Row],[Lower Range]], REPT("0",LEN('General Info'!$B$40))) &amp; " - " &amp; TEXT(SamplingData[[#This Row],[Upper Range]], REPT("0",LEN('General Info'!$B$40))))</f>
        <v>40874 - 40913</v>
      </c>
      <c r="T1356" s="100">
        <f>SamplingData[[#This Row],[Upper Range]]-SamplingData[[#This Row],[Span]]</f>
        <v>40873.634677773007</v>
      </c>
      <c r="U1356" s="100">
        <f>IF(ISNUMBER('General Info'!$B$40), ((SamplingData[[#This Row],[up/U Selection Probability]]) * 'General Info'!$B$40) - 1, 0)</f>
        <v>39.709975665644798</v>
      </c>
      <c r="V1356" s="100">
        <f>IF(ISNUMBER('General Info'!$B$40), (SamplingData[[#This Row],[Running (cumulative) sum]] * ('General Info'!$B$40 -'General Info'!$B$41 + 1)) + 'General Info'!$B$41 - 1, 0)</f>
        <v>40913.344653438653</v>
      </c>
      <c r="W1356" s="100" t="str">
        <f>IF(ISERROR(MATCH(SamplingData[[#This Row],[Batch by Type (p)]],SelectedPrecincts[Batch Name], 0)), "", INDEX(SelectedPrecincts[Draw], MATCH(SamplingData[[#This Row],[Batch by Type (p)]],SelectedPrecincts[Batch Name], 0)))</f>
        <v/>
      </c>
      <c r="X1356" s="102">
        <f>IF(COUNTIF(SelectedPrecincts[Batch Name],SamplingData[[#This Row],[Batch by Type (p)]]) &lt;&gt; 0, COUNTIF(SelectedPrecincts[Batch Name],SamplingData[[#This Row],[Batch by Type (p)]]), 0)</f>
        <v>0</v>
      </c>
    </row>
    <row r="1357" spans="1:24" ht="15" customHeight="1">
      <c r="A1357" s="18" t="s">
        <v>1533</v>
      </c>
      <c r="B1357" s="18">
        <v>19</v>
      </c>
      <c r="C1357" s="18">
        <v>49</v>
      </c>
      <c r="D1357" s="16">
        <v>5</v>
      </c>
      <c r="E1357" s="16">
        <v>20</v>
      </c>
      <c r="F1357" s="37">
        <v>2</v>
      </c>
      <c r="G1357" s="37">
        <v>0</v>
      </c>
      <c r="H1357" s="17">
        <v>0</v>
      </c>
      <c r="I1357" s="17">
        <v>2</v>
      </c>
      <c r="J1357" s="99">
        <f>SUM(SamplingData[[#This Row],[Losing Candidate]:[Under Votes]])</f>
        <v>97</v>
      </c>
      <c r="K1357" s="100">
        <f>IF(AND(SamplingData[[#This Row],[Total]]&lt;&gt; 0, NOT(ISBLANK(SamplingData[[#This Row],[Losing Candidate]]))),(SamplingData[[#This Row],[Total]]+SamplingData[[#This Row],[Winning Candidate]]-SamplingData[[#This Row],[Losing Candidate]])/(SamplingData[[#Totals],[Winning Candidate]]-SamplingData[[#Totals],[Losing Candidate]]), 0)</f>
        <v>7.7780499755022046E-3</v>
      </c>
      <c r="L1357" s="100">
        <f>IF(AND(SamplingData[[#This Row],[Total]]&lt;&gt; 0, NOT(ISBLANK(SamplingData[[#This Row],[Candidate 3]]))),(SamplingData[[#This Row],[Total]]+SamplingData[[#This Row],[Winning Candidate]]-SamplingData[[#This Row],[Candidate 3]])/(SamplingData[[#Totals],[Winning Candidate]]-SamplingData[[#Totals],[Candidate 3]]), 0)</f>
        <v>4.5488273058683099E-3</v>
      </c>
      <c r="M1357" s="100">
        <f>IF(AND(SamplingData[[#This Row],[Total]]&lt;&gt; 0, NOT(ISBLANK(SamplingData[[#This Row],[Candidate 4]]))),(SamplingData[[#This Row],[Total]]+SamplingData[[#This Row],[Winning Candidate]]-SamplingData[[#This Row],[Candidate 4]])/(SamplingData[[#Totals],[Winning Candidate]]-SamplingData[[#Totals],[Candidate 4]]), 0)</f>
        <v>3.6832412523020259E-3</v>
      </c>
      <c r="N1357" s="100">
        <f>IF(AND(SamplingData[[#This Row],[Total]]&lt;&gt; 0, NOT(ISBLANK(SamplingData[[#This Row],[Candidate 5]]))),(SamplingData[[#This Row],[Total]]+SamplingData[[#This Row],[Winning Candidate]]-SamplingData[[#This Row],[Candidate 5]])/(SamplingData[[#Totals],[Winning Candidate]]-SamplingData[[#Totals],[Candidate 5]]), 0)</f>
        <v>3.5027973729019704E-3</v>
      </c>
      <c r="O1357" s="100">
        <f>IF(AND(SamplingData[[#This Row],[Total]]&lt;&gt; 0, NOT(ISBLANK(SamplingData[[#This Row],[Candidate 6]]))),(SamplingData[[#This Row],[Total]]+SamplingData[[#This Row],[Winning Candidate]]-SamplingData[[#This Row],[Candidate 6]])/(SamplingData[[#Totals],[Winning Candidate]]-SamplingData[[#Totals],[Candidate 6]]), 0)</f>
        <v>3.5504109722289774E-3</v>
      </c>
      <c r="P1357" s="100">
        <f>MAX(SamplingData[[#This Row],[Error Bound (up) - Max. possible relative overstatement - Losing Candidate]:[Error Bound (up) - Max. possible relative overstatement - Candidate 6]])</f>
        <v>7.7780499755022046E-3</v>
      </c>
      <c r="Q1357" s="100">
        <f>IF(SamplingData[[#This Row],[Max Error Bound (up)]] = 0,0,SamplingData[[#This Row],[Max Error Bound (up)]]/SamplingData[[#Totals],[Max Error Bound (up)]])</f>
        <v>1.2310044313626205E-3</v>
      </c>
      <c r="R1357" s="101">
        <f>SUM($Q$5:Q1357)</f>
        <v>0.41037445096574915</v>
      </c>
      <c r="S1357" s="100" t="str">
        <f t="array" ref="S1357">IF(SamplingData[[#This Row],[up/U Selection Probability]] = 0, "Zero", TEXT(SamplingData[[#This Row],[Lower Range]], REPT("0",LEN('General Info'!$B$40))) &amp; " - " &amp; TEXT(SamplingData[[#This Row],[Upper Range]], REPT("0",LEN('General Info'!$B$40))))</f>
        <v>40914 - 41036</v>
      </c>
      <c r="T1357" s="100">
        <f>SamplingData[[#This Row],[Upper Range]]-SamplingData[[#This Row],[Span]]</f>
        <v>40914.345884443079</v>
      </c>
      <c r="U1357" s="100">
        <f>IF(ISNUMBER('General Info'!$B$40), ((SamplingData[[#This Row],[up/U Selection Probability]]) * 'General Info'!$B$40) - 1, 0)</f>
        <v>122.09921213183068</v>
      </c>
      <c r="V1357" s="100">
        <f>IF(ISNUMBER('General Info'!$B$40), (SamplingData[[#This Row],[Running (cumulative) sum]] * ('General Info'!$B$40 -'General Info'!$B$41 + 1)) + 'General Info'!$B$41 - 1, 0)</f>
        <v>41036.445096574913</v>
      </c>
      <c r="W1357" s="100" t="str">
        <f>IF(ISERROR(MATCH(SamplingData[[#This Row],[Batch by Type (p)]],SelectedPrecincts[Batch Name], 0)), "", INDEX(SelectedPrecincts[Draw], MATCH(SamplingData[[#This Row],[Batch by Type (p)]],SelectedPrecincts[Batch Name], 0)))</f>
        <v/>
      </c>
      <c r="X1357" s="102">
        <f>IF(COUNTIF(SelectedPrecincts[Batch Name],SamplingData[[#This Row],[Batch by Type (p)]]) &lt;&gt; 0, COUNTIF(SelectedPrecincts[Batch Name],SamplingData[[#This Row],[Batch by Type (p)]]), 0)</f>
        <v>0</v>
      </c>
    </row>
    <row r="1358" spans="1:24" ht="15" customHeight="1">
      <c r="A1358" s="18" t="s">
        <v>1534</v>
      </c>
      <c r="B1358" s="18">
        <v>7</v>
      </c>
      <c r="C1358" s="18">
        <v>8</v>
      </c>
      <c r="D1358" s="18">
        <v>2</v>
      </c>
      <c r="E1358" s="18">
        <v>4</v>
      </c>
      <c r="F1358" s="18">
        <v>0</v>
      </c>
      <c r="G1358" s="18">
        <v>0</v>
      </c>
      <c r="H1358" s="18">
        <v>0</v>
      </c>
      <c r="I1358" s="18">
        <v>0</v>
      </c>
      <c r="J1358" s="99">
        <f>SUM(SamplingData[[#This Row],[Losing Candidate]:[Under Votes]])</f>
        <v>21</v>
      </c>
      <c r="K1358"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1358" s="100">
        <f>IF(AND(SamplingData[[#This Row],[Total]]&lt;&gt; 0, NOT(ISBLANK(SamplingData[[#This Row],[Candidate 3]]))),(SamplingData[[#This Row],[Total]]+SamplingData[[#This Row],[Winning Candidate]]-SamplingData[[#This Row],[Candidate 3]])/(SamplingData[[#Totals],[Winning Candidate]]-SamplingData[[#Totals],[Candidate 3]]), 0)</f>
        <v>8.710520372939317E-4</v>
      </c>
      <c r="M1358" s="100">
        <f>IF(AND(SamplingData[[#This Row],[Total]]&lt;&gt; 0, NOT(ISBLANK(SamplingData[[#This Row],[Candidate 4]]))),(SamplingData[[#This Row],[Total]]+SamplingData[[#This Row],[Winning Candidate]]-SamplingData[[#This Row],[Candidate 4]])/(SamplingData[[#Totals],[Winning Candidate]]-SamplingData[[#Totals],[Candidate 4]]), 0)</f>
        <v>7.3080183577421145E-4</v>
      </c>
      <c r="N1358" s="100">
        <f>IF(AND(SamplingData[[#This Row],[Total]]&lt;&gt; 0, NOT(ISBLANK(SamplingData[[#This Row],[Candidate 5]]))),(SamplingData[[#This Row],[Total]]+SamplingData[[#This Row],[Winning Candidate]]-SamplingData[[#This Row],[Candidate 5]])/(SamplingData[[#Totals],[Winning Candidate]]-SamplingData[[#Totals],[Candidate 5]]), 0)</f>
        <v>7.0542447093164683E-4</v>
      </c>
      <c r="O1358" s="100">
        <f>IF(AND(SamplingData[[#This Row],[Total]]&lt;&gt; 0, NOT(ISBLANK(SamplingData[[#This Row],[Candidate 6]]))),(SamplingData[[#This Row],[Total]]+SamplingData[[#This Row],[Winning Candidate]]-SamplingData[[#This Row],[Candidate 6]])/(SamplingData[[#Totals],[Winning Candidate]]-SamplingData[[#Totals],[Candidate 6]]), 0)</f>
        <v>7.0521861777150916E-4</v>
      </c>
      <c r="P1358" s="100">
        <f>MAX(SamplingData[[#This Row],[Error Bound (up) - Max. possible relative overstatement - Losing Candidate]:[Error Bound (up) - Max. possible relative overstatement - Candidate 6]])</f>
        <v>1.3473787359137678E-3</v>
      </c>
      <c r="Q1358" s="100">
        <f>IF(SamplingData[[#This Row],[Max Error Bound (up)]] = 0,0,SamplingData[[#This Row],[Max Error Bound (up)]]/SamplingData[[#Totals],[Max Error Bound (up)]])</f>
        <v>2.1324486212580832E-4</v>
      </c>
      <c r="R1358" s="101">
        <f>SUM($Q$5:Q1358)</f>
        <v>0.41058769582787497</v>
      </c>
      <c r="S1358" s="100" t="str">
        <f t="array" ref="S1358">IF(SamplingData[[#This Row],[up/U Selection Probability]] = 0, "Zero", TEXT(SamplingData[[#This Row],[Lower Range]], REPT("0",LEN('General Info'!$B$40))) &amp; " - " &amp; TEXT(SamplingData[[#This Row],[Upper Range]], REPT("0",LEN('General Info'!$B$40))))</f>
        <v>41037 - 41058</v>
      </c>
      <c r="T1358" s="100">
        <f>SamplingData[[#This Row],[Upper Range]]-SamplingData[[#This Row],[Span]]</f>
        <v>41037.445309819777</v>
      </c>
      <c r="U1358" s="100">
        <f>IF(ISNUMBER('General Info'!$B$40), ((SamplingData[[#This Row],[up/U Selection Probability]]) * 'General Info'!$B$40) - 1, 0)</f>
        <v>20.324272967718706</v>
      </c>
      <c r="V1358" s="100">
        <f>IF(ISNUMBER('General Info'!$B$40), (SamplingData[[#This Row],[Running (cumulative) sum]] * ('General Info'!$B$40 -'General Info'!$B$41 + 1)) + 'General Info'!$B$41 - 1, 0)</f>
        <v>41057.7695827875</v>
      </c>
      <c r="W1358" s="100" t="str">
        <f>IF(ISERROR(MATCH(SamplingData[[#This Row],[Batch by Type (p)]],SelectedPrecincts[Batch Name], 0)), "", INDEX(SelectedPrecincts[Draw], MATCH(SamplingData[[#This Row],[Batch by Type (p)]],SelectedPrecincts[Batch Name], 0)))</f>
        <v/>
      </c>
      <c r="X1358" s="102">
        <f>IF(COUNTIF(SelectedPrecincts[Batch Name],SamplingData[[#This Row],[Batch by Type (p)]]) &lt;&gt; 0, COUNTIF(SelectedPrecincts[Batch Name],SamplingData[[#This Row],[Batch by Type (p)]]), 0)</f>
        <v>0</v>
      </c>
    </row>
    <row r="1359" spans="1:24" ht="15" customHeight="1">
      <c r="A1359" s="18" t="s">
        <v>1535</v>
      </c>
      <c r="B1359" s="18">
        <v>31</v>
      </c>
      <c r="C1359" s="18">
        <v>43</v>
      </c>
      <c r="D1359" s="16">
        <v>15</v>
      </c>
      <c r="E1359" s="16">
        <v>11</v>
      </c>
      <c r="F1359" s="37">
        <v>0</v>
      </c>
      <c r="G1359" s="37">
        <v>0</v>
      </c>
      <c r="H1359" s="17">
        <v>0</v>
      </c>
      <c r="I1359" s="17">
        <v>1</v>
      </c>
      <c r="J1359" s="99">
        <f>SUM(SamplingData[[#This Row],[Losing Candidate]:[Under Votes]])</f>
        <v>101</v>
      </c>
      <c r="K1359" s="100">
        <f>IF(AND(SamplingData[[#This Row],[Total]]&lt;&gt; 0, NOT(ISBLANK(SamplingData[[#This Row],[Losing Candidate]]))),(SamplingData[[#This Row],[Total]]+SamplingData[[#This Row],[Winning Candidate]]-SamplingData[[#This Row],[Losing Candidate]])/(SamplingData[[#Totals],[Winning Candidate]]-SamplingData[[#Totals],[Losing Candidate]]), 0)</f>
        <v>6.9206271435570798E-3</v>
      </c>
      <c r="L1359" s="100">
        <f>IF(AND(SamplingData[[#This Row],[Total]]&lt;&gt; 0, NOT(ISBLANK(SamplingData[[#This Row],[Candidate 3]]))),(SamplingData[[#This Row],[Total]]+SamplingData[[#This Row],[Winning Candidate]]-SamplingData[[#This Row],[Candidate 3]])/(SamplingData[[#Totals],[Winning Candidate]]-SamplingData[[#Totals],[Candidate 3]]), 0)</f>
        <v>4.1616930670710069E-3</v>
      </c>
      <c r="M1359" s="100">
        <f>IF(AND(SamplingData[[#This Row],[Total]]&lt;&gt; 0, NOT(ISBLANK(SamplingData[[#This Row],[Candidate 4]]))),(SamplingData[[#This Row],[Total]]+SamplingData[[#This Row],[Winning Candidate]]-SamplingData[[#This Row],[Candidate 4]])/(SamplingData[[#Totals],[Winning Candidate]]-SamplingData[[#Totals],[Candidate 4]]), 0)</f>
        <v>3.8878657663188052E-3</v>
      </c>
      <c r="N1359" s="100">
        <f>IF(AND(SamplingData[[#This Row],[Total]]&lt;&gt; 0, NOT(ISBLANK(SamplingData[[#This Row],[Candidate 5]]))),(SamplingData[[#This Row],[Total]]+SamplingData[[#This Row],[Winning Candidate]]-SamplingData[[#This Row],[Candidate 5]])/(SamplingData[[#Totals],[Winning Candidate]]-SamplingData[[#Totals],[Candidate 5]]), 0)</f>
        <v>3.5027973729019704E-3</v>
      </c>
      <c r="O1359" s="100">
        <f>IF(AND(SamplingData[[#This Row],[Total]]&lt;&gt; 0, NOT(ISBLANK(SamplingData[[#This Row],[Candidate 6]]))),(SamplingData[[#This Row],[Total]]+SamplingData[[#This Row],[Winning Candidate]]-SamplingData[[#This Row],[Candidate 6]])/(SamplingData[[#Totals],[Winning Candidate]]-SamplingData[[#Totals],[Candidate 6]]), 0)</f>
        <v>3.5017752054861146E-3</v>
      </c>
      <c r="P1359" s="100">
        <f>MAX(SamplingData[[#This Row],[Error Bound (up) - Max. possible relative overstatement - Losing Candidate]:[Error Bound (up) - Max. possible relative overstatement - Candidate 6]])</f>
        <v>6.9206271435570798E-3</v>
      </c>
      <c r="Q1359" s="100">
        <f>IF(SamplingData[[#This Row],[Max Error Bound (up)]] = 0,0,SamplingData[[#This Row],[Max Error Bound (up)]]/SamplingData[[#Totals],[Max Error Bound (up)]])</f>
        <v>1.0953031554643789E-3</v>
      </c>
      <c r="R1359" s="101">
        <f>SUM($Q$5:Q1359)</f>
        <v>0.41168299898333932</v>
      </c>
      <c r="S1359" s="100" t="str">
        <f t="array" ref="S1359">IF(SamplingData[[#This Row],[up/U Selection Probability]] = 0, "Zero", TEXT(SamplingData[[#This Row],[Lower Range]], REPT("0",LEN('General Info'!$B$40))) &amp; " - " &amp; TEXT(SamplingData[[#This Row],[Upper Range]], REPT("0",LEN('General Info'!$B$40))))</f>
        <v>41059 - 41167</v>
      </c>
      <c r="T1359" s="100">
        <f>SamplingData[[#This Row],[Upper Range]]-SamplingData[[#This Row],[Span]]</f>
        <v>41058.770678090652</v>
      </c>
      <c r="U1359" s="100">
        <f>IF(ISNUMBER('General Info'!$B$40), ((SamplingData[[#This Row],[up/U Selection Probability]]) * 'General Info'!$B$40) - 1, 0)</f>
        <v>108.52922024328242</v>
      </c>
      <c r="V1359" s="100">
        <f>IF(ISNUMBER('General Info'!$B$40), (SamplingData[[#This Row],[Running (cumulative) sum]] * ('General Info'!$B$40 -'General Info'!$B$41 + 1)) + 'General Info'!$B$41 - 1, 0)</f>
        <v>41167.299898333935</v>
      </c>
      <c r="W1359" s="100" t="str">
        <f>IF(ISERROR(MATCH(SamplingData[[#This Row],[Batch by Type (p)]],SelectedPrecincts[Batch Name], 0)), "", INDEX(SelectedPrecincts[Draw], MATCH(SamplingData[[#This Row],[Batch by Type (p)]],SelectedPrecincts[Batch Name], 0)))</f>
        <v/>
      </c>
      <c r="X1359" s="102">
        <f>IF(COUNTIF(SelectedPrecincts[Batch Name],SamplingData[[#This Row],[Batch by Type (p)]]) &lt;&gt; 0, COUNTIF(SelectedPrecincts[Batch Name],SamplingData[[#This Row],[Batch by Type (p)]]), 0)</f>
        <v>0</v>
      </c>
    </row>
    <row r="1360" spans="1:24" ht="15" customHeight="1">
      <c r="A1360" s="18" t="s">
        <v>1536</v>
      </c>
      <c r="B1360" s="18">
        <v>14</v>
      </c>
      <c r="C1360" s="18">
        <v>10</v>
      </c>
      <c r="D1360" s="18">
        <v>10</v>
      </c>
      <c r="E1360" s="18">
        <v>3</v>
      </c>
      <c r="F1360" s="18">
        <v>0</v>
      </c>
      <c r="G1360" s="18">
        <v>0</v>
      </c>
      <c r="H1360" s="18">
        <v>0</v>
      </c>
      <c r="I1360" s="18">
        <v>1</v>
      </c>
      <c r="J1360" s="99">
        <f>SUM(SamplingData[[#This Row],[Losing Candidate]:[Under Votes]])</f>
        <v>38</v>
      </c>
      <c r="K1360"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1360" s="100">
        <f>IF(AND(SamplingData[[#This Row],[Total]]&lt;&gt; 0, NOT(ISBLANK(SamplingData[[#This Row],[Candidate 3]]))),(SamplingData[[#This Row],[Total]]+SamplingData[[#This Row],[Winning Candidate]]-SamplingData[[#This Row],[Candidate 3]])/(SamplingData[[#Totals],[Winning Candidate]]-SamplingData[[#Totals],[Candidate 3]]), 0)</f>
        <v>1.2259250895247926E-3</v>
      </c>
      <c r="M1360" s="100">
        <f>IF(AND(SamplingData[[#This Row],[Total]]&lt;&gt; 0, NOT(ISBLANK(SamplingData[[#This Row],[Candidate 4]]))),(SamplingData[[#This Row],[Total]]+SamplingData[[#This Row],[Winning Candidate]]-SamplingData[[#This Row],[Candidate 4]])/(SamplingData[[#Totals],[Winning Candidate]]-SamplingData[[#Totals],[Candidate 4]]), 0)</f>
        <v>1.3154433043935806E-3</v>
      </c>
      <c r="N1360" s="100">
        <f>IF(AND(SamplingData[[#This Row],[Total]]&lt;&gt; 0, NOT(ISBLANK(SamplingData[[#This Row],[Candidate 5]]))),(SamplingData[[#This Row],[Total]]+SamplingData[[#This Row],[Winning Candidate]]-SamplingData[[#This Row],[Candidate 5]])/(SamplingData[[#Totals],[Winning Candidate]]-SamplingData[[#Totals],[Candidate 5]]), 0)</f>
        <v>1.1675991243006569E-3</v>
      </c>
      <c r="O1360" s="100">
        <f>IF(AND(SamplingData[[#This Row],[Total]]&lt;&gt; 0, NOT(ISBLANK(SamplingData[[#This Row],[Candidate 6]]))),(SamplingData[[#This Row],[Total]]+SamplingData[[#This Row],[Winning Candidate]]-SamplingData[[#This Row],[Candidate 6]])/(SamplingData[[#Totals],[Winning Candidate]]-SamplingData[[#Totals],[Candidate 6]]), 0)</f>
        <v>1.1672584018287049E-3</v>
      </c>
      <c r="P1360" s="100">
        <f>MAX(SamplingData[[#This Row],[Error Bound (up) - Max. possible relative overstatement - Losing Candidate]:[Error Bound (up) - Max. possible relative overstatement - Candidate 6]])</f>
        <v>2.0823125918667321E-3</v>
      </c>
      <c r="Q1360" s="100">
        <f>IF(SamplingData[[#This Row],[Max Error Bound (up)]] = 0,0,SamplingData[[#This Row],[Max Error Bound (up)]]/SamplingData[[#Totals],[Max Error Bound (up)]])</f>
        <v>3.2956024146715829E-4</v>
      </c>
      <c r="R1360" s="101">
        <f>SUM($Q$5:Q1360)</f>
        <v>0.41201255922480645</v>
      </c>
      <c r="S1360" s="100" t="str">
        <f t="array" ref="S1360">IF(SamplingData[[#This Row],[up/U Selection Probability]] = 0, "Zero", TEXT(SamplingData[[#This Row],[Lower Range]], REPT("0",LEN('General Info'!$B$40))) &amp; " - " &amp; TEXT(SamplingData[[#This Row],[Upper Range]], REPT("0",LEN('General Info'!$B$40))))</f>
        <v>41168 - 41200</v>
      </c>
      <c r="T1360" s="100">
        <f>SamplingData[[#This Row],[Upper Range]]-SamplingData[[#This Row],[Span]]</f>
        <v>41168.300227894171</v>
      </c>
      <c r="U1360" s="100">
        <f>IF(ISNUMBER('General Info'!$B$40), ((SamplingData[[#This Row],[up/U Selection Probability]]) * 'General Info'!$B$40) - 1, 0)</f>
        <v>31.955694586474358</v>
      </c>
      <c r="V1360" s="100">
        <f>IF(ISNUMBER('General Info'!$B$40), (SamplingData[[#This Row],[Running (cumulative) sum]] * ('General Info'!$B$40 -'General Info'!$B$41 + 1)) + 'General Info'!$B$41 - 1, 0)</f>
        <v>41200.255922480646</v>
      </c>
      <c r="W1360" s="100" t="str">
        <f>IF(ISERROR(MATCH(SamplingData[[#This Row],[Batch by Type (p)]],SelectedPrecincts[Batch Name], 0)), "", INDEX(SelectedPrecincts[Draw], MATCH(SamplingData[[#This Row],[Batch by Type (p)]],SelectedPrecincts[Batch Name], 0)))</f>
        <v/>
      </c>
      <c r="X1360" s="102">
        <f>IF(COUNTIF(SelectedPrecincts[Batch Name],SamplingData[[#This Row],[Batch by Type (p)]]) &lt;&gt; 0, COUNTIF(SelectedPrecincts[Batch Name],SamplingData[[#This Row],[Batch by Type (p)]]), 0)</f>
        <v>0</v>
      </c>
    </row>
    <row r="1361" spans="1:24" ht="15" customHeight="1">
      <c r="A1361" s="18" t="s">
        <v>1537</v>
      </c>
      <c r="B1361" s="18">
        <v>30</v>
      </c>
      <c r="C1361" s="18">
        <v>47</v>
      </c>
      <c r="D1361" s="16">
        <v>7</v>
      </c>
      <c r="E1361" s="16">
        <v>7</v>
      </c>
      <c r="F1361" s="37">
        <v>0</v>
      </c>
      <c r="G1361" s="37">
        <v>0</v>
      </c>
      <c r="H1361" s="17">
        <v>0</v>
      </c>
      <c r="I1361" s="17">
        <v>0</v>
      </c>
      <c r="J1361" s="99">
        <f>SUM(SamplingData[[#This Row],[Losing Candidate]:[Under Votes]])</f>
        <v>91</v>
      </c>
      <c r="K1361" s="100">
        <f>IF(AND(SamplingData[[#This Row],[Total]]&lt;&gt; 0, NOT(ISBLANK(SamplingData[[#This Row],[Losing Candidate]]))),(SamplingData[[#This Row],[Total]]+SamplingData[[#This Row],[Winning Candidate]]-SamplingData[[#This Row],[Losing Candidate]])/(SamplingData[[#Totals],[Winning Candidate]]-SamplingData[[#Totals],[Losing Candidate]]), 0)</f>
        <v>6.6144047035766778E-3</v>
      </c>
      <c r="L1361" s="100">
        <f>IF(AND(SamplingData[[#This Row],[Total]]&lt;&gt; 0, NOT(ISBLANK(SamplingData[[#This Row],[Candidate 3]]))),(SamplingData[[#This Row],[Total]]+SamplingData[[#This Row],[Winning Candidate]]-SamplingData[[#This Row],[Candidate 3]])/(SamplingData[[#Totals],[Winning Candidate]]-SamplingData[[#Totals],[Candidate 3]]), 0)</f>
        <v>4.2262154402038909E-3</v>
      </c>
      <c r="M1361" s="100">
        <f>IF(AND(SamplingData[[#This Row],[Total]]&lt;&gt; 0, NOT(ISBLANK(SamplingData[[#This Row],[Candidate 4]]))),(SamplingData[[#This Row],[Total]]+SamplingData[[#This Row],[Winning Candidate]]-SamplingData[[#This Row],[Candidate 4]])/(SamplingData[[#Totals],[Winning Candidate]]-SamplingData[[#Totals],[Candidate 4]]), 0)</f>
        <v>3.8294016194568683E-3</v>
      </c>
      <c r="N1361" s="100">
        <f>IF(AND(SamplingData[[#This Row],[Total]]&lt;&gt; 0, NOT(ISBLANK(SamplingData[[#This Row],[Candidate 5]]))),(SamplingData[[#This Row],[Total]]+SamplingData[[#This Row],[Winning Candidate]]-SamplingData[[#This Row],[Candidate 5]])/(SamplingData[[#Totals],[Winning Candidate]]-SamplingData[[#Totals],[Candidate 5]]), 0)</f>
        <v>3.3568474823643881E-3</v>
      </c>
      <c r="O1361" s="100">
        <f>IF(AND(SamplingData[[#This Row],[Total]]&lt;&gt; 0, NOT(ISBLANK(SamplingData[[#This Row],[Candidate 6]]))),(SamplingData[[#This Row],[Total]]+SamplingData[[#This Row],[Winning Candidate]]-SamplingData[[#This Row],[Candidate 6]])/(SamplingData[[#Totals],[Winning Candidate]]-SamplingData[[#Totals],[Candidate 6]]), 0)</f>
        <v>3.3558679052575263E-3</v>
      </c>
      <c r="P1361" s="100">
        <f>MAX(SamplingData[[#This Row],[Error Bound (up) - Max. possible relative overstatement - Losing Candidate]:[Error Bound (up) - Max. possible relative overstatement - Candidate 6]])</f>
        <v>6.6144047035766778E-3</v>
      </c>
      <c r="Q1361" s="100">
        <f>IF(SamplingData[[#This Row],[Max Error Bound (up)]] = 0,0,SamplingData[[#This Row],[Max Error Bound (up)]]/SamplingData[[#Totals],[Max Error Bound (up)]])</f>
        <v>1.0468384140721499E-3</v>
      </c>
      <c r="R1361" s="101">
        <f>SUM($Q$5:Q1361)</f>
        <v>0.41305939763887861</v>
      </c>
      <c r="S1361" s="100" t="str">
        <f t="array" ref="S1361">IF(SamplingData[[#This Row],[up/U Selection Probability]] = 0, "Zero", TEXT(SamplingData[[#This Row],[Lower Range]], REPT("0",LEN('General Info'!$B$40))) &amp; " - " &amp; TEXT(SamplingData[[#This Row],[Upper Range]], REPT("0",LEN('General Info'!$B$40))))</f>
        <v>41201 - 41305</v>
      </c>
      <c r="T1361" s="100">
        <f>SamplingData[[#This Row],[Upper Range]]-SamplingData[[#This Row],[Span]]</f>
        <v>41201.25696931906</v>
      </c>
      <c r="U1361" s="100">
        <f>IF(ISNUMBER('General Info'!$B$40), ((SamplingData[[#This Row],[up/U Selection Probability]]) * 'General Info'!$B$40) - 1, 0)</f>
        <v>103.68279456880092</v>
      </c>
      <c r="V1361" s="100">
        <f>IF(ISNUMBER('General Info'!$B$40), (SamplingData[[#This Row],[Running (cumulative) sum]] * ('General Info'!$B$40 -'General Info'!$B$41 + 1)) + 'General Info'!$B$41 - 1, 0)</f>
        <v>41304.939763887858</v>
      </c>
      <c r="W1361" s="100" t="str">
        <f>IF(ISERROR(MATCH(SamplingData[[#This Row],[Batch by Type (p)]],SelectedPrecincts[Batch Name], 0)), "", INDEX(SelectedPrecincts[Draw], MATCH(SamplingData[[#This Row],[Batch by Type (p)]],SelectedPrecincts[Batch Name], 0)))</f>
        <v/>
      </c>
      <c r="X1361" s="102">
        <f>IF(COUNTIF(SelectedPrecincts[Batch Name],SamplingData[[#This Row],[Batch by Type (p)]]) &lt;&gt; 0, COUNTIF(SelectedPrecincts[Batch Name],SamplingData[[#This Row],[Batch by Type (p)]]), 0)</f>
        <v>0</v>
      </c>
    </row>
    <row r="1362" spans="1:24" ht="15" customHeight="1">
      <c r="A1362" s="18" t="s">
        <v>1538</v>
      </c>
      <c r="B1362" s="18">
        <v>6</v>
      </c>
      <c r="C1362" s="18">
        <v>18</v>
      </c>
      <c r="D1362" s="18">
        <v>4</v>
      </c>
      <c r="E1362" s="18">
        <v>0</v>
      </c>
      <c r="F1362" s="18">
        <v>0</v>
      </c>
      <c r="G1362" s="18">
        <v>1</v>
      </c>
      <c r="H1362" s="18">
        <v>0</v>
      </c>
      <c r="I1362" s="18">
        <v>2</v>
      </c>
      <c r="J1362" s="99">
        <f>SUM(SamplingData[[#This Row],[Losing Candidate]:[Under Votes]])</f>
        <v>31</v>
      </c>
      <c r="K1362"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1362" s="100">
        <f>IF(AND(SamplingData[[#This Row],[Total]]&lt;&gt; 0, NOT(ISBLANK(SamplingData[[#This Row],[Candidate 3]]))),(SamplingData[[#This Row],[Total]]+SamplingData[[#This Row],[Winning Candidate]]-SamplingData[[#This Row],[Candidate 3]])/(SamplingData[[#Totals],[Winning Candidate]]-SamplingData[[#Totals],[Candidate 3]]), 0)</f>
        <v>1.4517533954898861E-3</v>
      </c>
      <c r="M1362" s="100">
        <f>IF(AND(SamplingData[[#This Row],[Total]]&lt;&gt; 0, NOT(ISBLANK(SamplingData[[#This Row],[Candidate 4]]))),(SamplingData[[#This Row],[Total]]+SamplingData[[#This Row],[Winning Candidate]]-SamplingData[[#This Row],[Candidate 4]])/(SamplingData[[#Totals],[Winning Candidate]]-SamplingData[[#Totals],[Candidate 4]]), 0)</f>
        <v>1.4323715981174544E-3</v>
      </c>
      <c r="N1362" s="100">
        <f>IF(AND(SamplingData[[#This Row],[Total]]&lt;&gt; 0, NOT(ISBLANK(SamplingData[[#This Row],[Candidate 5]]))),(SamplingData[[#This Row],[Total]]+SamplingData[[#This Row],[Winning Candidate]]-SamplingData[[#This Row],[Candidate 5]])/(SamplingData[[#Totals],[Winning Candidate]]-SamplingData[[#Totals],[Candidate 5]]), 0)</f>
        <v>1.1919241060569204E-3</v>
      </c>
      <c r="O1362" s="100">
        <f>IF(AND(SamplingData[[#This Row],[Total]]&lt;&gt; 0, NOT(ISBLANK(SamplingData[[#This Row],[Candidate 6]]))),(SamplingData[[#This Row],[Total]]+SamplingData[[#This Row],[Winning Candidate]]-SamplingData[[#This Row],[Candidate 6]])/(SamplingData[[#Totals],[Winning Candidate]]-SamplingData[[#Totals],[Candidate 6]]), 0)</f>
        <v>1.1672584018287049E-3</v>
      </c>
      <c r="P1362" s="100">
        <f>MAX(SamplingData[[#This Row],[Error Bound (up) - Max. possible relative overstatement - Losing Candidate]:[Error Bound (up) - Max. possible relative overstatement - Candidate 6]])</f>
        <v>2.6335129838314553E-3</v>
      </c>
      <c r="Q1362" s="100">
        <f>IF(SamplingData[[#This Row],[Max Error Bound (up)]] = 0,0,SamplingData[[#This Row],[Max Error Bound (up)]]/SamplingData[[#Totals],[Max Error Bound (up)]])</f>
        <v>4.167967759731708E-4</v>
      </c>
      <c r="R1362" s="101">
        <f>SUM($Q$5:Q1362)</f>
        <v>0.41347619441485178</v>
      </c>
      <c r="S1362" s="100" t="str">
        <f t="array" ref="S1362">IF(SamplingData[[#This Row],[up/U Selection Probability]] = 0, "Zero", TEXT(SamplingData[[#This Row],[Lower Range]], REPT("0",LEN('General Info'!$B$40))) &amp; " - " &amp; TEXT(SamplingData[[#This Row],[Upper Range]], REPT("0",LEN('General Info'!$B$40))))</f>
        <v>41306 - 41347</v>
      </c>
      <c r="T1362" s="100">
        <f>SamplingData[[#This Row],[Upper Range]]-SamplingData[[#This Row],[Span]]</f>
        <v>41305.940180684636</v>
      </c>
      <c r="U1362" s="100">
        <f>IF(ISNUMBER('General Info'!$B$40), ((SamplingData[[#This Row],[up/U Selection Probability]]) * 'General Info'!$B$40) - 1, 0)</f>
        <v>40.679260800541108</v>
      </c>
      <c r="V1362" s="100">
        <f>IF(ISNUMBER('General Info'!$B$40), (SamplingData[[#This Row],[Running (cumulative) sum]] * ('General Info'!$B$40 -'General Info'!$B$41 + 1)) + 'General Info'!$B$41 - 1, 0)</f>
        <v>41346.619441485178</v>
      </c>
      <c r="W1362" s="100" t="str">
        <f>IF(ISERROR(MATCH(SamplingData[[#This Row],[Batch by Type (p)]],SelectedPrecincts[Batch Name], 0)), "", INDEX(SelectedPrecincts[Draw], MATCH(SamplingData[[#This Row],[Batch by Type (p)]],SelectedPrecincts[Batch Name], 0)))</f>
        <v/>
      </c>
      <c r="X1362" s="102">
        <f>IF(COUNTIF(SelectedPrecincts[Batch Name],SamplingData[[#This Row],[Batch by Type (p)]]) &lt;&gt; 0, COUNTIF(SelectedPrecincts[Batch Name],SamplingData[[#This Row],[Batch by Type (p)]]), 0)</f>
        <v>0</v>
      </c>
    </row>
    <row r="1363" spans="1:24" ht="15" customHeight="1">
      <c r="A1363" s="18" t="s">
        <v>1539</v>
      </c>
      <c r="B1363" s="18">
        <v>17</v>
      </c>
      <c r="C1363" s="18">
        <v>38</v>
      </c>
      <c r="D1363" s="16">
        <v>11</v>
      </c>
      <c r="E1363" s="16">
        <v>4</v>
      </c>
      <c r="F1363" s="37">
        <v>0</v>
      </c>
      <c r="G1363" s="37">
        <v>0</v>
      </c>
      <c r="H1363" s="17">
        <v>0</v>
      </c>
      <c r="I1363" s="17">
        <v>1</v>
      </c>
      <c r="J1363" s="99">
        <f>SUM(SamplingData[[#This Row],[Losing Candidate]:[Under Votes]])</f>
        <v>71</v>
      </c>
      <c r="K1363" s="100">
        <f>IF(AND(SamplingData[[#This Row],[Total]]&lt;&gt; 0, NOT(ISBLANK(SamplingData[[#This Row],[Losing Candidate]]))),(SamplingData[[#This Row],[Total]]+SamplingData[[#This Row],[Winning Candidate]]-SamplingData[[#This Row],[Losing Candidate]])/(SamplingData[[#Totals],[Winning Candidate]]-SamplingData[[#Totals],[Losing Candidate]]), 0)</f>
        <v>5.6344928956393921E-3</v>
      </c>
      <c r="L1363" s="100">
        <f>IF(AND(SamplingData[[#This Row],[Total]]&lt;&gt; 0, NOT(ISBLANK(SamplingData[[#This Row],[Candidate 3]]))),(SamplingData[[#This Row],[Total]]+SamplingData[[#This Row],[Winning Candidate]]-SamplingData[[#This Row],[Candidate 3]])/(SamplingData[[#Totals],[Winning Candidate]]-SamplingData[[#Totals],[Candidate 3]]), 0)</f>
        <v>3.1615962835113073E-3</v>
      </c>
      <c r="M1363" s="100">
        <f>IF(AND(SamplingData[[#This Row],[Total]]&lt;&gt; 0, NOT(ISBLANK(SamplingData[[#This Row],[Candidate 4]]))),(SamplingData[[#This Row],[Total]]+SamplingData[[#This Row],[Winning Candidate]]-SamplingData[[#This Row],[Candidate 4]])/(SamplingData[[#Totals],[Winning Candidate]]-SamplingData[[#Totals],[Candidate 4]]), 0)</f>
        <v>3.0693677102516881E-3</v>
      </c>
      <c r="N1363" s="100">
        <f>IF(AND(SamplingData[[#This Row],[Total]]&lt;&gt; 0, NOT(ISBLANK(SamplingData[[#This Row],[Candidate 5]]))),(SamplingData[[#This Row],[Total]]+SamplingData[[#This Row],[Winning Candidate]]-SamplingData[[#This Row],[Candidate 5]])/(SamplingData[[#Totals],[Winning Candidate]]-SamplingData[[#Totals],[Candidate 5]]), 0)</f>
        <v>2.6514230114327414E-3</v>
      </c>
      <c r="O1363" s="100">
        <f>IF(AND(SamplingData[[#This Row],[Total]]&lt;&gt; 0, NOT(ISBLANK(SamplingData[[#This Row],[Candidate 6]]))),(SamplingData[[#This Row],[Total]]+SamplingData[[#This Row],[Winning Candidate]]-SamplingData[[#This Row],[Candidate 6]])/(SamplingData[[#Totals],[Winning Candidate]]-SamplingData[[#Totals],[Candidate 6]]), 0)</f>
        <v>2.6506492874860173E-3</v>
      </c>
      <c r="P1363" s="100">
        <f>MAX(SamplingData[[#This Row],[Error Bound (up) - Max. possible relative overstatement - Losing Candidate]:[Error Bound (up) - Max. possible relative overstatement - Candidate 6]])</f>
        <v>5.6344928956393921E-3</v>
      </c>
      <c r="Q1363" s="100">
        <f>IF(SamplingData[[#This Row],[Max Error Bound (up)]] = 0,0,SamplingData[[#This Row],[Max Error Bound (up)]]/SamplingData[[#Totals],[Max Error Bound (up)]])</f>
        <v>8.9175124161701641E-4</v>
      </c>
      <c r="R1363" s="101">
        <f>SUM($Q$5:Q1363)</f>
        <v>0.41436794565646878</v>
      </c>
      <c r="S1363" s="100" t="str">
        <f t="array" ref="S1363">IF(SamplingData[[#This Row],[up/U Selection Probability]] = 0, "Zero", TEXT(SamplingData[[#This Row],[Lower Range]], REPT("0",LEN('General Info'!$B$40))) &amp; " - " &amp; TEXT(SamplingData[[#This Row],[Upper Range]], REPT("0",LEN('General Info'!$B$40))))</f>
        <v>41348 - 41436</v>
      </c>
      <c r="T1363" s="100">
        <f>SamplingData[[#This Row],[Upper Range]]-SamplingData[[#This Row],[Span]]</f>
        <v>41347.620333236417</v>
      </c>
      <c r="U1363" s="100">
        <f>IF(ISNUMBER('General Info'!$B$40), ((SamplingData[[#This Row],[up/U Selection Probability]]) * 'General Info'!$B$40) - 1, 0)</f>
        <v>88.174232410460021</v>
      </c>
      <c r="V1363" s="100">
        <f>IF(ISNUMBER('General Info'!$B$40), (SamplingData[[#This Row],[Running (cumulative) sum]] * ('General Info'!$B$40 -'General Info'!$B$41 + 1)) + 'General Info'!$B$41 - 1, 0)</f>
        <v>41435.79456564688</v>
      </c>
      <c r="W1363" s="100" t="str">
        <f>IF(ISERROR(MATCH(SamplingData[[#This Row],[Batch by Type (p)]],SelectedPrecincts[Batch Name], 0)), "", INDEX(SelectedPrecincts[Draw], MATCH(SamplingData[[#This Row],[Batch by Type (p)]],SelectedPrecincts[Batch Name], 0)))</f>
        <v/>
      </c>
      <c r="X1363" s="102">
        <f>IF(COUNTIF(SelectedPrecincts[Batch Name],SamplingData[[#This Row],[Batch by Type (p)]]) &lt;&gt; 0, COUNTIF(SelectedPrecincts[Batch Name],SamplingData[[#This Row],[Batch by Type (p)]]), 0)</f>
        <v>0</v>
      </c>
    </row>
    <row r="1364" spans="1:24" ht="15" customHeight="1">
      <c r="A1364" s="18" t="s">
        <v>1540</v>
      </c>
      <c r="B1364" s="18">
        <v>11</v>
      </c>
      <c r="C1364" s="18">
        <v>18</v>
      </c>
      <c r="D1364" s="18">
        <v>6</v>
      </c>
      <c r="E1364" s="18">
        <v>2</v>
      </c>
      <c r="F1364" s="18">
        <v>0</v>
      </c>
      <c r="G1364" s="18">
        <v>1</v>
      </c>
      <c r="H1364" s="18">
        <v>0</v>
      </c>
      <c r="I1364" s="18">
        <v>2</v>
      </c>
      <c r="J1364" s="99">
        <f>SUM(SamplingData[[#This Row],[Losing Candidate]:[Under Votes]])</f>
        <v>40</v>
      </c>
      <c r="K1364" s="100">
        <f>IF(AND(SamplingData[[#This Row],[Total]]&lt;&gt; 0, NOT(ISBLANK(SamplingData[[#This Row],[Losing Candidate]]))),(SamplingData[[#This Row],[Total]]+SamplingData[[#This Row],[Winning Candidate]]-SamplingData[[#This Row],[Losing Candidate]])/(SamplingData[[#Totals],[Winning Candidate]]-SamplingData[[#Totals],[Losing Candidate]]), 0)</f>
        <v>2.8784909358157765E-3</v>
      </c>
      <c r="L1364" s="100">
        <f>IF(AND(SamplingData[[#This Row],[Total]]&lt;&gt; 0, NOT(ISBLANK(SamplingData[[#This Row],[Candidate 3]]))),(SamplingData[[#This Row],[Total]]+SamplingData[[#This Row],[Winning Candidate]]-SamplingData[[#This Row],[Candidate 3]])/(SamplingData[[#Totals],[Winning Candidate]]-SamplingData[[#Totals],[Candidate 3]]), 0)</f>
        <v>1.6775817014549794E-3</v>
      </c>
      <c r="M1364" s="100">
        <f>IF(AND(SamplingData[[#This Row],[Total]]&lt;&gt; 0, NOT(ISBLANK(SamplingData[[#This Row],[Candidate 4]]))),(SamplingData[[#This Row],[Total]]+SamplingData[[#This Row],[Winning Candidate]]-SamplingData[[#This Row],[Candidate 4]])/(SamplingData[[#Totals],[Winning Candidate]]-SamplingData[[#Totals],[Candidate 4]]), 0)</f>
        <v>1.6369961121342337E-3</v>
      </c>
      <c r="N1364" s="100">
        <f>IF(AND(SamplingData[[#This Row],[Total]]&lt;&gt; 0, NOT(ISBLANK(SamplingData[[#This Row],[Candidate 5]]))),(SamplingData[[#This Row],[Total]]+SamplingData[[#This Row],[Winning Candidate]]-SamplingData[[#This Row],[Candidate 5]])/(SamplingData[[#Totals],[Winning Candidate]]-SamplingData[[#Totals],[Candidate 5]]), 0)</f>
        <v>1.4108489418632937E-3</v>
      </c>
      <c r="O1364" s="100">
        <f>IF(AND(SamplingData[[#This Row],[Total]]&lt;&gt; 0, NOT(ISBLANK(SamplingData[[#This Row],[Candidate 6]]))),(SamplingData[[#This Row],[Total]]+SamplingData[[#This Row],[Winning Candidate]]-SamplingData[[#This Row],[Candidate 6]])/(SamplingData[[#Totals],[Winning Candidate]]-SamplingData[[#Totals],[Candidate 6]]), 0)</f>
        <v>1.3861193521715869E-3</v>
      </c>
      <c r="P1364" s="100">
        <f>MAX(SamplingData[[#This Row],[Error Bound (up) - Max. possible relative overstatement - Losing Candidate]:[Error Bound (up) - Max. possible relative overstatement - Candidate 6]])</f>
        <v>2.8784909358157765E-3</v>
      </c>
      <c r="Q1364" s="100">
        <f>IF(SamplingData[[#This Row],[Max Error Bound (up)]] = 0,0,SamplingData[[#This Row],[Max Error Bound (up)]]/SamplingData[[#Totals],[Max Error Bound (up)]])</f>
        <v>4.5556856908695405E-4</v>
      </c>
      <c r="R1364" s="101">
        <f>SUM($Q$5:Q1364)</f>
        <v>0.41482351422555575</v>
      </c>
      <c r="S1364" s="100" t="str">
        <f t="array" ref="S1364">IF(SamplingData[[#This Row],[up/U Selection Probability]] = 0, "Zero", TEXT(SamplingData[[#This Row],[Lower Range]], REPT("0",LEN('General Info'!$B$40))) &amp; " - " &amp; TEXT(SamplingData[[#This Row],[Upper Range]], REPT("0",LEN('General Info'!$B$40))))</f>
        <v>41437 - 41481</v>
      </c>
      <c r="T1364" s="100">
        <f>SamplingData[[#This Row],[Upper Range]]-SamplingData[[#This Row],[Span]]</f>
        <v>41436.795021215454</v>
      </c>
      <c r="U1364" s="100">
        <f>IF(ISNUMBER('General Info'!$B$40), ((SamplingData[[#This Row],[up/U Selection Probability]]) * 'General Info'!$B$40) - 1, 0)</f>
        <v>44.556401340126321</v>
      </c>
      <c r="V1364" s="100">
        <f>IF(ISNUMBER('General Info'!$B$40), (SamplingData[[#This Row],[Running (cumulative) sum]] * ('General Info'!$B$40 -'General Info'!$B$41 + 1)) + 'General Info'!$B$41 - 1, 0)</f>
        <v>41481.351422555577</v>
      </c>
      <c r="W1364" s="100" t="str">
        <f>IF(ISERROR(MATCH(SamplingData[[#This Row],[Batch by Type (p)]],SelectedPrecincts[Batch Name], 0)), "", INDEX(SelectedPrecincts[Draw], MATCH(SamplingData[[#This Row],[Batch by Type (p)]],SelectedPrecincts[Batch Name], 0)))</f>
        <v/>
      </c>
      <c r="X1364" s="102">
        <f>IF(COUNTIF(SelectedPrecincts[Batch Name],SamplingData[[#This Row],[Batch by Type (p)]]) &lt;&gt; 0, COUNTIF(SelectedPrecincts[Batch Name],SamplingData[[#This Row],[Batch by Type (p)]]), 0)</f>
        <v>0</v>
      </c>
    </row>
    <row r="1365" spans="1:24" ht="15" customHeight="1">
      <c r="A1365" s="18" t="s">
        <v>1541</v>
      </c>
      <c r="B1365" s="18">
        <v>37</v>
      </c>
      <c r="C1365" s="18">
        <v>42</v>
      </c>
      <c r="D1365" s="16">
        <v>14</v>
      </c>
      <c r="E1365" s="16">
        <v>2</v>
      </c>
      <c r="F1365" s="37">
        <v>0</v>
      </c>
      <c r="G1365" s="37">
        <v>1</v>
      </c>
      <c r="H1365" s="17">
        <v>0</v>
      </c>
      <c r="I1365" s="17">
        <v>1</v>
      </c>
      <c r="J1365" s="99">
        <f>SUM(SamplingData[[#This Row],[Losing Candidate]:[Under Votes]])</f>
        <v>97</v>
      </c>
      <c r="K1365" s="100">
        <f>IF(AND(SamplingData[[#This Row],[Total]]&lt;&gt; 0, NOT(ISBLANK(SamplingData[[#This Row],[Losing Candidate]]))),(SamplingData[[#This Row],[Total]]+SamplingData[[#This Row],[Winning Candidate]]-SamplingData[[#This Row],[Losing Candidate]])/(SamplingData[[#Totals],[Winning Candidate]]-SamplingData[[#Totals],[Losing Candidate]]), 0)</f>
        <v>6.2469377756001962E-3</v>
      </c>
      <c r="L1365" s="100">
        <f>IF(AND(SamplingData[[#This Row],[Total]]&lt;&gt; 0, NOT(ISBLANK(SamplingData[[#This Row],[Candidate 3]]))),(SamplingData[[#This Row],[Total]]+SamplingData[[#This Row],[Winning Candidate]]-SamplingData[[#This Row],[Candidate 3]])/(SamplingData[[#Totals],[Winning Candidate]]-SamplingData[[#Totals],[Candidate 3]]), 0)</f>
        <v>4.0326483208052389E-3</v>
      </c>
      <c r="M1365" s="100">
        <f>IF(AND(SamplingData[[#This Row],[Total]]&lt;&gt; 0, NOT(ISBLANK(SamplingData[[#This Row],[Candidate 4]]))),(SamplingData[[#This Row],[Total]]+SamplingData[[#This Row],[Winning Candidate]]-SamplingData[[#This Row],[Candidate 4]])/(SamplingData[[#Totals],[Winning Candidate]]-SamplingData[[#Totals],[Candidate 4]]), 0)</f>
        <v>4.0047940600426791E-3</v>
      </c>
      <c r="N1365" s="100">
        <f>IF(AND(SamplingData[[#This Row],[Total]]&lt;&gt; 0, NOT(ISBLANK(SamplingData[[#This Row],[Candidate 5]]))),(SamplingData[[#This Row],[Total]]+SamplingData[[#This Row],[Winning Candidate]]-SamplingData[[#This Row],[Candidate 5]])/(SamplingData[[#Totals],[Winning Candidate]]-SamplingData[[#Totals],[Candidate 5]]), 0)</f>
        <v>3.3811724641206521E-3</v>
      </c>
      <c r="O1365" s="100">
        <f>IF(AND(SamplingData[[#This Row],[Total]]&lt;&gt; 0, NOT(ISBLANK(SamplingData[[#This Row],[Candidate 6]]))),(SamplingData[[#This Row],[Total]]+SamplingData[[#This Row],[Winning Candidate]]-SamplingData[[#This Row],[Candidate 6]])/(SamplingData[[#Totals],[Winning Candidate]]-SamplingData[[#Totals],[Candidate 6]]), 0)</f>
        <v>3.3558679052575263E-3</v>
      </c>
      <c r="P1365" s="100">
        <f>MAX(SamplingData[[#This Row],[Error Bound (up) - Max. possible relative overstatement - Losing Candidate]:[Error Bound (up) - Max. possible relative overstatement - Candidate 6]])</f>
        <v>6.2469377756001962E-3</v>
      </c>
      <c r="Q1365" s="100">
        <f>IF(SamplingData[[#This Row],[Max Error Bound (up)]] = 0,0,SamplingData[[#This Row],[Max Error Bound (up)]]/SamplingData[[#Totals],[Max Error Bound (up)]])</f>
        <v>9.8868072440147481E-4</v>
      </c>
      <c r="R1365" s="101">
        <f>SUM($Q$5:Q1365)</f>
        <v>0.41581219494995719</v>
      </c>
      <c r="S1365" s="100" t="str">
        <f t="array" ref="S1365">IF(SamplingData[[#This Row],[up/U Selection Probability]] = 0, "Zero", TEXT(SamplingData[[#This Row],[Lower Range]], REPT("0",LEN('General Info'!$B$40))) &amp; " - " &amp; TEXT(SamplingData[[#This Row],[Upper Range]], REPT("0",LEN('General Info'!$B$40))))</f>
        <v>41482 - 41580</v>
      </c>
      <c r="T1365" s="100">
        <f>SamplingData[[#This Row],[Upper Range]]-SamplingData[[#This Row],[Span]]</f>
        <v>41482.352411236294</v>
      </c>
      <c r="U1365" s="100">
        <f>IF(ISNUMBER('General Info'!$B$40), ((SamplingData[[#This Row],[up/U Selection Probability]]) * 'General Info'!$B$40) - 1, 0)</f>
        <v>97.867083759423082</v>
      </c>
      <c r="V1365" s="100">
        <f>IF(ISNUMBER('General Info'!$B$40), (SamplingData[[#This Row],[Running (cumulative) sum]] * ('General Info'!$B$40 -'General Info'!$B$41 + 1)) + 'General Info'!$B$41 - 1, 0)</f>
        <v>41580.219494995719</v>
      </c>
      <c r="W1365" s="100" t="str">
        <f>IF(ISERROR(MATCH(SamplingData[[#This Row],[Batch by Type (p)]],SelectedPrecincts[Batch Name], 0)), "", INDEX(SelectedPrecincts[Draw], MATCH(SamplingData[[#This Row],[Batch by Type (p)]],SelectedPrecincts[Batch Name], 0)))</f>
        <v/>
      </c>
      <c r="X1365" s="102">
        <f>IF(COUNTIF(SelectedPrecincts[Batch Name],SamplingData[[#This Row],[Batch by Type (p)]]) &lt;&gt; 0, COUNTIF(SelectedPrecincts[Batch Name],SamplingData[[#This Row],[Batch by Type (p)]]), 0)</f>
        <v>0</v>
      </c>
    </row>
    <row r="1366" spans="1:24" ht="15" customHeight="1">
      <c r="A1366" s="18" t="s">
        <v>1542</v>
      </c>
      <c r="B1366" s="18">
        <v>10</v>
      </c>
      <c r="C1366" s="18">
        <v>18</v>
      </c>
      <c r="D1366" s="18">
        <v>14</v>
      </c>
      <c r="E1366" s="18">
        <v>2</v>
      </c>
      <c r="F1366" s="18">
        <v>0</v>
      </c>
      <c r="G1366" s="18">
        <v>0</v>
      </c>
      <c r="H1366" s="18">
        <v>0</v>
      </c>
      <c r="I1366" s="18">
        <v>0</v>
      </c>
      <c r="J1366" s="99">
        <f>SUM(SamplingData[[#This Row],[Losing Candidate]:[Under Votes]])</f>
        <v>44</v>
      </c>
      <c r="K1366"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1366" s="100">
        <f>IF(AND(SamplingData[[#This Row],[Total]]&lt;&gt; 0, NOT(ISBLANK(SamplingData[[#This Row],[Candidate 3]]))),(SamplingData[[#This Row],[Total]]+SamplingData[[#This Row],[Winning Candidate]]-SamplingData[[#This Row],[Candidate 3]])/(SamplingData[[#Totals],[Winning Candidate]]-SamplingData[[#Totals],[Candidate 3]]), 0)</f>
        <v>1.5485369551892119E-3</v>
      </c>
      <c r="M1366" s="100">
        <f>IF(AND(SamplingData[[#This Row],[Total]]&lt;&gt; 0, NOT(ISBLANK(SamplingData[[#This Row],[Candidate 4]]))),(SamplingData[[#This Row],[Total]]+SamplingData[[#This Row],[Winning Candidate]]-SamplingData[[#This Row],[Candidate 4]])/(SamplingData[[#Totals],[Winning Candidate]]-SamplingData[[#Totals],[Candidate 4]]), 0)</f>
        <v>1.7539244058581076E-3</v>
      </c>
      <c r="N1366" s="100">
        <f>IF(AND(SamplingData[[#This Row],[Total]]&lt;&gt; 0, NOT(ISBLANK(SamplingData[[#This Row],[Candidate 5]]))),(SamplingData[[#This Row],[Total]]+SamplingData[[#This Row],[Winning Candidate]]-SamplingData[[#This Row],[Candidate 5]])/(SamplingData[[#Totals],[Winning Candidate]]-SamplingData[[#Totals],[Candidate 5]]), 0)</f>
        <v>1.5081488688883484E-3</v>
      </c>
      <c r="O1366" s="100">
        <f>IF(AND(SamplingData[[#This Row],[Total]]&lt;&gt; 0, NOT(ISBLANK(SamplingData[[#This Row],[Candidate 6]]))),(SamplingData[[#This Row],[Total]]+SamplingData[[#This Row],[Winning Candidate]]-SamplingData[[#This Row],[Candidate 6]])/(SamplingData[[#Totals],[Winning Candidate]]-SamplingData[[#Totals],[Candidate 6]]), 0)</f>
        <v>1.5077087690287436E-3</v>
      </c>
      <c r="P1366" s="100">
        <f>MAX(SamplingData[[#This Row],[Error Bound (up) - Max. possible relative overstatement - Losing Candidate]:[Error Bound (up) - Max. possible relative overstatement - Candidate 6]])</f>
        <v>3.1847133757961785E-3</v>
      </c>
      <c r="Q1366" s="100">
        <f>IF(SamplingData[[#This Row],[Max Error Bound (up)]] = 0,0,SamplingData[[#This Row],[Max Error Bound (up)]]/SamplingData[[#Totals],[Max Error Bound (up)]])</f>
        <v>5.0403331047918325E-4</v>
      </c>
      <c r="R1366" s="101">
        <f>SUM($Q$5:Q1366)</f>
        <v>0.41631622826043635</v>
      </c>
      <c r="S1366" s="100" t="str">
        <f t="array" ref="S1366">IF(SamplingData[[#This Row],[up/U Selection Probability]] = 0, "Zero", TEXT(SamplingData[[#This Row],[Lower Range]], REPT("0",LEN('General Info'!$B$40))) &amp; " - " &amp; TEXT(SamplingData[[#This Row],[Upper Range]], REPT("0",LEN('General Info'!$B$40))))</f>
        <v>41581 - 41631</v>
      </c>
      <c r="T1366" s="100">
        <f>SamplingData[[#This Row],[Upper Range]]-SamplingData[[#This Row],[Span]]</f>
        <v>41581.219999029025</v>
      </c>
      <c r="U1366" s="100">
        <f>IF(ISNUMBER('General Info'!$B$40), ((SamplingData[[#This Row],[up/U Selection Probability]]) * 'General Info'!$B$40) - 1, 0)</f>
        <v>49.402827014607844</v>
      </c>
      <c r="V1366" s="100">
        <f>IF(ISNUMBER('General Info'!$B$40), (SamplingData[[#This Row],[Running (cumulative) sum]] * ('General Info'!$B$40 -'General Info'!$B$41 + 1)) + 'General Info'!$B$41 - 1, 0)</f>
        <v>41630.622826043633</v>
      </c>
      <c r="W1366" s="100" t="str">
        <f>IF(ISERROR(MATCH(SamplingData[[#This Row],[Batch by Type (p)]],SelectedPrecincts[Batch Name], 0)), "", INDEX(SelectedPrecincts[Draw], MATCH(SamplingData[[#This Row],[Batch by Type (p)]],SelectedPrecincts[Batch Name], 0)))</f>
        <v/>
      </c>
      <c r="X1366" s="102">
        <f>IF(COUNTIF(SelectedPrecincts[Batch Name],SamplingData[[#This Row],[Batch by Type (p)]]) &lt;&gt; 0, COUNTIF(SelectedPrecincts[Batch Name],SamplingData[[#This Row],[Batch by Type (p)]]), 0)</f>
        <v>0</v>
      </c>
    </row>
    <row r="1367" spans="1:24" ht="15" customHeight="1">
      <c r="A1367" s="18" t="s">
        <v>1543</v>
      </c>
      <c r="B1367" s="18">
        <v>28</v>
      </c>
      <c r="C1367" s="18">
        <v>40</v>
      </c>
      <c r="D1367" s="16">
        <v>15</v>
      </c>
      <c r="E1367" s="16">
        <v>8</v>
      </c>
      <c r="F1367" s="37">
        <v>0</v>
      </c>
      <c r="G1367" s="37">
        <v>1</v>
      </c>
      <c r="H1367" s="17">
        <v>0</v>
      </c>
      <c r="I1367" s="17">
        <v>0</v>
      </c>
      <c r="J1367" s="99">
        <f>SUM(SamplingData[[#This Row],[Losing Candidate]:[Under Votes]])</f>
        <v>92</v>
      </c>
      <c r="K1367" s="100">
        <f>IF(AND(SamplingData[[#This Row],[Total]]&lt;&gt; 0, NOT(ISBLANK(SamplingData[[#This Row],[Losing Candidate]]))),(SamplingData[[#This Row],[Total]]+SamplingData[[#This Row],[Winning Candidate]]-SamplingData[[#This Row],[Losing Candidate]])/(SamplingData[[#Totals],[Winning Candidate]]-SamplingData[[#Totals],[Losing Candidate]]), 0)</f>
        <v>6.369426751592357E-3</v>
      </c>
      <c r="L1367" s="100">
        <f>IF(AND(SamplingData[[#This Row],[Total]]&lt;&gt; 0, NOT(ISBLANK(SamplingData[[#This Row],[Candidate 3]]))),(SamplingData[[#This Row],[Total]]+SamplingData[[#This Row],[Winning Candidate]]-SamplingData[[#This Row],[Candidate 3]])/(SamplingData[[#Totals],[Winning Candidate]]-SamplingData[[#Totals],[Candidate 3]]), 0)</f>
        <v>3.7745588282737039E-3</v>
      </c>
      <c r="M1367" s="100">
        <f>IF(AND(SamplingData[[#This Row],[Total]]&lt;&gt; 0, NOT(ISBLANK(SamplingData[[#This Row],[Candidate 4]]))),(SamplingData[[#This Row],[Total]]+SamplingData[[#This Row],[Winning Candidate]]-SamplingData[[#This Row],[Candidate 4]])/(SamplingData[[#Totals],[Winning Candidate]]-SamplingData[[#Totals],[Candidate 4]]), 0)</f>
        <v>3.624777105440089E-3</v>
      </c>
      <c r="N1367" s="100">
        <f>IF(AND(SamplingData[[#This Row],[Total]]&lt;&gt; 0, NOT(ISBLANK(SamplingData[[#This Row],[Candidate 5]]))),(SamplingData[[#This Row],[Total]]+SamplingData[[#This Row],[Winning Candidate]]-SamplingData[[#This Row],[Candidate 5]])/(SamplingData[[#Totals],[Winning Candidate]]-SamplingData[[#Totals],[Candidate 5]]), 0)</f>
        <v>3.2108975918268062E-3</v>
      </c>
      <c r="O1367" s="100">
        <f>IF(AND(SamplingData[[#This Row],[Total]]&lt;&gt; 0, NOT(ISBLANK(SamplingData[[#This Row],[Candidate 6]]))),(SamplingData[[#This Row],[Total]]+SamplingData[[#This Row],[Winning Candidate]]-SamplingData[[#This Row],[Candidate 6]])/(SamplingData[[#Totals],[Winning Candidate]]-SamplingData[[#Totals],[Candidate 6]]), 0)</f>
        <v>3.185642721657507E-3</v>
      </c>
      <c r="P1367" s="100">
        <f>MAX(SamplingData[[#This Row],[Error Bound (up) - Max. possible relative overstatement - Losing Candidate]:[Error Bound (up) - Max. possible relative overstatement - Candidate 6]])</f>
        <v>6.369426751592357E-3</v>
      </c>
      <c r="Q1367" s="100">
        <f>IF(SamplingData[[#This Row],[Max Error Bound (up)]] = 0,0,SamplingData[[#This Row],[Max Error Bound (up)]]/SamplingData[[#Totals],[Max Error Bound (up)]])</f>
        <v>1.0080666209583665E-3</v>
      </c>
      <c r="R1367" s="101">
        <f>SUM($Q$5:Q1367)</f>
        <v>0.41732429488139472</v>
      </c>
      <c r="S1367" s="100" t="str">
        <f t="array" ref="S1367">IF(SamplingData[[#This Row],[up/U Selection Probability]] = 0, "Zero", TEXT(SamplingData[[#This Row],[Lower Range]], REPT("0",LEN('General Info'!$B$40))) &amp; " - " &amp; TEXT(SamplingData[[#This Row],[Upper Range]], REPT("0",LEN('General Info'!$B$40))))</f>
        <v>41632 - 41731</v>
      </c>
      <c r="T1367" s="100">
        <f>SamplingData[[#This Row],[Upper Range]]-SamplingData[[#This Row],[Span]]</f>
        <v>41631.623834110258</v>
      </c>
      <c r="U1367" s="100">
        <f>IF(ISNUMBER('General Info'!$B$40), ((SamplingData[[#This Row],[up/U Selection Probability]]) * 'General Info'!$B$40) - 1, 0)</f>
        <v>99.805654029215688</v>
      </c>
      <c r="V1367" s="100">
        <f>IF(ISNUMBER('General Info'!$B$40), (SamplingData[[#This Row],[Running (cumulative) sum]] * ('General Info'!$B$40 -'General Info'!$B$41 + 1)) + 'General Info'!$B$41 - 1, 0)</f>
        <v>41731.429488139474</v>
      </c>
      <c r="W1367" s="100" t="str">
        <f>IF(ISERROR(MATCH(SamplingData[[#This Row],[Batch by Type (p)]],SelectedPrecincts[Batch Name], 0)), "", INDEX(SelectedPrecincts[Draw], MATCH(SamplingData[[#This Row],[Batch by Type (p)]],SelectedPrecincts[Batch Name], 0)))</f>
        <v/>
      </c>
      <c r="X1367" s="102">
        <f>IF(COUNTIF(SelectedPrecincts[Batch Name],SamplingData[[#This Row],[Batch by Type (p)]]) &lt;&gt; 0, COUNTIF(SelectedPrecincts[Batch Name],SamplingData[[#This Row],[Batch by Type (p)]]), 0)</f>
        <v>0</v>
      </c>
    </row>
    <row r="1368" spans="1:24" ht="15" customHeight="1">
      <c r="A1368" s="18" t="s">
        <v>1544</v>
      </c>
      <c r="B1368" s="18">
        <v>11</v>
      </c>
      <c r="C1368" s="18">
        <v>15</v>
      </c>
      <c r="D1368" s="18">
        <v>5</v>
      </c>
      <c r="E1368" s="18">
        <v>1</v>
      </c>
      <c r="F1368" s="18">
        <v>0</v>
      </c>
      <c r="G1368" s="18">
        <v>0</v>
      </c>
      <c r="H1368" s="18">
        <v>0</v>
      </c>
      <c r="I1368" s="18">
        <v>3</v>
      </c>
      <c r="J1368" s="99">
        <f>SUM(SamplingData[[#This Row],[Losing Candidate]:[Under Votes]])</f>
        <v>35</v>
      </c>
      <c r="K1368"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1368" s="100">
        <f>IF(AND(SamplingData[[#This Row],[Total]]&lt;&gt; 0, NOT(ISBLANK(SamplingData[[#This Row],[Candidate 3]]))),(SamplingData[[#This Row],[Total]]+SamplingData[[#This Row],[Winning Candidate]]-SamplingData[[#This Row],[Candidate 3]])/(SamplingData[[#Totals],[Winning Candidate]]-SamplingData[[#Totals],[Candidate 3]]), 0)</f>
        <v>1.4517533954898861E-3</v>
      </c>
      <c r="M1368" s="100">
        <f>IF(AND(SamplingData[[#This Row],[Total]]&lt;&gt; 0, NOT(ISBLANK(SamplingData[[#This Row],[Candidate 4]]))),(SamplingData[[#This Row],[Total]]+SamplingData[[#This Row],[Winning Candidate]]-SamplingData[[#This Row],[Candidate 4]])/(SamplingData[[#Totals],[Winning Candidate]]-SamplingData[[#Totals],[Candidate 4]]), 0)</f>
        <v>1.4323715981174544E-3</v>
      </c>
      <c r="N1368" s="100">
        <f>IF(AND(SamplingData[[#This Row],[Total]]&lt;&gt; 0, NOT(ISBLANK(SamplingData[[#This Row],[Candidate 5]]))),(SamplingData[[#This Row],[Total]]+SamplingData[[#This Row],[Winning Candidate]]-SamplingData[[#This Row],[Candidate 5]])/(SamplingData[[#Totals],[Winning Candidate]]-SamplingData[[#Totals],[Candidate 5]]), 0)</f>
        <v>1.2162490878131842E-3</v>
      </c>
      <c r="O1368" s="100">
        <f>IF(AND(SamplingData[[#This Row],[Total]]&lt;&gt; 0, NOT(ISBLANK(SamplingData[[#This Row],[Candidate 6]]))),(SamplingData[[#This Row],[Total]]+SamplingData[[#This Row],[Winning Candidate]]-SamplingData[[#This Row],[Candidate 6]])/(SamplingData[[#Totals],[Winning Candidate]]-SamplingData[[#Totals],[Candidate 6]]), 0)</f>
        <v>1.2158941685715674E-3</v>
      </c>
      <c r="P1368" s="100">
        <f>MAX(SamplingData[[#This Row],[Error Bound (up) - Max. possible relative overstatement - Losing Candidate]:[Error Bound (up) - Max. possible relative overstatement - Candidate 6]])</f>
        <v>2.3885350318471337E-3</v>
      </c>
      <c r="Q1368" s="100">
        <f>IF(SamplingData[[#This Row],[Max Error Bound (up)]] = 0,0,SamplingData[[#This Row],[Max Error Bound (up)]]/SamplingData[[#Totals],[Max Error Bound (up)]])</f>
        <v>3.7802498285938744E-4</v>
      </c>
      <c r="R1368" s="101">
        <f>SUM($Q$5:Q1368)</f>
        <v>0.4177023198642541</v>
      </c>
      <c r="S1368" s="100" t="str">
        <f t="array" ref="S1368">IF(SamplingData[[#This Row],[up/U Selection Probability]] = 0, "Zero", TEXT(SamplingData[[#This Row],[Lower Range]], REPT("0",LEN('General Info'!$B$40))) &amp; " - " &amp; TEXT(SamplingData[[#This Row],[Upper Range]], REPT("0",LEN('General Info'!$B$40))))</f>
        <v>41732 - 41769</v>
      </c>
      <c r="T1368" s="100">
        <f>SamplingData[[#This Row],[Upper Range]]-SamplingData[[#This Row],[Span]]</f>
        <v>41732.429866164457</v>
      </c>
      <c r="U1368" s="100">
        <f>IF(ISNUMBER('General Info'!$B$40), ((SamplingData[[#This Row],[up/U Selection Probability]]) * 'General Info'!$B$40) - 1, 0)</f>
        <v>36.802120260955881</v>
      </c>
      <c r="V1368" s="100">
        <f>IF(ISNUMBER('General Info'!$B$40), (SamplingData[[#This Row],[Running (cumulative) sum]] * ('General Info'!$B$40 -'General Info'!$B$41 + 1)) + 'General Info'!$B$41 - 1, 0)</f>
        <v>41769.23198642541</v>
      </c>
      <c r="W1368" s="100" t="str">
        <f>IF(ISERROR(MATCH(SamplingData[[#This Row],[Batch by Type (p)]],SelectedPrecincts[Batch Name], 0)), "", INDEX(SelectedPrecincts[Draw], MATCH(SamplingData[[#This Row],[Batch by Type (p)]],SelectedPrecincts[Batch Name], 0)))</f>
        <v/>
      </c>
      <c r="X1368" s="102">
        <f>IF(COUNTIF(SelectedPrecincts[Batch Name],SamplingData[[#This Row],[Batch by Type (p)]]) &lt;&gt; 0, COUNTIF(SelectedPrecincts[Batch Name],SamplingData[[#This Row],[Batch by Type (p)]]), 0)</f>
        <v>0</v>
      </c>
    </row>
    <row r="1369" spans="1:24" ht="15" customHeight="1">
      <c r="A1369" s="18" t="s">
        <v>1545</v>
      </c>
      <c r="B1369" s="18">
        <v>16</v>
      </c>
      <c r="C1369" s="18">
        <v>46</v>
      </c>
      <c r="D1369" s="16">
        <v>12</v>
      </c>
      <c r="E1369" s="16">
        <v>8</v>
      </c>
      <c r="F1369" s="37">
        <v>2</v>
      </c>
      <c r="G1369" s="37">
        <v>0</v>
      </c>
      <c r="H1369" s="17">
        <v>0</v>
      </c>
      <c r="I1369" s="17">
        <v>0</v>
      </c>
      <c r="J1369" s="99">
        <f>SUM(SamplingData[[#This Row],[Losing Candidate]:[Under Votes]])</f>
        <v>84</v>
      </c>
      <c r="K1369" s="100">
        <f>IF(AND(SamplingData[[#This Row],[Total]]&lt;&gt; 0, NOT(ISBLANK(SamplingData[[#This Row],[Losing Candidate]]))),(SamplingData[[#This Row],[Total]]+SamplingData[[#This Row],[Winning Candidate]]-SamplingData[[#This Row],[Losing Candidate]])/(SamplingData[[#Totals],[Winning Candidate]]-SamplingData[[#Totals],[Losing Candidate]]), 0)</f>
        <v>6.9818716315531602E-3</v>
      </c>
      <c r="L1369" s="100">
        <f>IF(AND(SamplingData[[#This Row],[Total]]&lt;&gt; 0, NOT(ISBLANK(SamplingData[[#This Row],[Candidate 3]]))),(SamplingData[[#This Row],[Total]]+SamplingData[[#This Row],[Winning Candidate]]-SamplingData[[#This Row],[Candidate 3]])/(SamplingData[[#Totals],[Winning Candidate]]-SamplingData[[#Totals],[Candidate 3]]), 0)</f>
        <v>3.8068200148401459E-3</v>
      </c>
      <c r="M1369" s="100">
        <f>IF(AND(SamplingData[[#This Row],[Total]]&lt;&gt; 0, NOT(ISBLANK(SamplingData[[#This Row],[Candidate 4]]))),(SamplingData[[#This Row],[Total]]+SamplingData[[#This Row],[Winning Candidate]]-SamplingData[[#This Row],[Candidate 4]])/(SamplingData[[#Totals],[Winning Candidate]]-SamplingData[[#Totals],[Candidate 4]]), 0)</f>
        <v>3.5663129585781521E-3</v>
      </c>
      <c r="N1369" s="100">
        <f>IF(AND(SamplingData[[#This Row],[Total]]&lt;&gt; 0, NOT(ISBLANK(SamplingData[[#This Row],[Candidate 5]]))),(SamplingData[[#This Row],[Total]]+SamplingData[[#This Row],[Winning Candidate]]-SamplingData[[#This Row],[Candidate 5]])/(SamplingData[[#Totals],[Winning Candidate]]-SamplingData[[#Totals],[Candidate 5]]), 0)</f>
        <v>3.1135976648017515E-3</v>
      </c>
      <c r="O1369" s="100">
        <f>IF(AND(SamplingData[[#This Row],[Total]]&lt;&gt; 0, NOT(ISBLANK(SamplingData[[#This Row],[Candidate 6]]))),(SamplingData[[#This Row],[Total]]+SamplingData[[#This Row],[Winning Candidate]]-SamplingData[[#This Row],[Candidate 6]])/(SamplingData[[#Totals],[Winning Candidate]]-SamplingData[[#Totals],[Candidate 6]]), 0)</f>
        <v>3.1613248382860756E-3</v>
      </c>
      <c r="P1369" s="100">
        <f>MAX(SamplingData[[#This Row],[Error Bound (up) - Max. possible relative overstatement - Losing Candidate]:[Error Bound (up) - Max. possible relative overstatement - Candidate 6]])</f>
        <v>6.9818716315531602E-3</v>
      </c>
      <c r="Q1369" s="100">
        <f>IF(SamplingData[[#This Row],[Max Error Bound (up)]] = 0,0,SamplingData[[#This Row],[Max Error Bound (up)]]/SamplingData[[#Totals],[Max Error Bound (up)]])</f>
        <v>1.1049961037428249E-3</v>
      </c>
      <c r="R1369" s="101">
        <f>SUM($Q$5:Q1369)</f>
        <v>0.41880731596799692</v>
      </c>
      <c r="S1369" s="100" t="str">
        <f t="array" ref="S1369">IF(SamplingData[[#This Row],[up/U Selection Probability]] = 0, "Zero", TEXT(SamplingData[[#This Row],[Lower Range]], REPT("0",LEN('General Info'!$B$40))) &amp; " - " &amp; TEXT(SamplingData[[#This Row],[Upper Range]], REPT("0",LEN('General Info'!$B$40))))</f>
        <v>41770 - 41880</v>
      </c>
      <c r="T1369" s="100">
        <f>SamplingData[[#This Row],[Upper Range]]-SamplingData[[#This Row],[Span]]</f>
        <v>41770.233091421513</v>
      </c>
      <c r="U1369" s="100">
        <f>IF(ISNUMBER('General Info'!$B$40), ((SamplingData[[#This Row],[up/U Selection Probability]]) * 'General Info'!$B$40) - 1, 0)</f>
        <v>109.49850537817875</v>
      </c>
      <c r="V1369" s="100">
        <f>IF(ISNUMBER('General Info'!$B$40), (SamplingData[[#This Row],[Running (cumulative) sum]] * ('General Info'!$B$40 -'General Info'!$B$41 + 1)) + 'General Info'!$B$41 - 1, 0)</f>
        <v>41879.731596799691</v>
      </c>
      <c r="W1369" s="100" t="str">
        <f>IF(ISERROR(MATCH(SamplingData[[#This Row],[Batch by Type (p)]],SelectedPrecincts[Batch Name], 0)), "", INDEX(SelectedPrecincts[Draw], MATCH(SamplingData[[#This Row],[Batch by Type (p)]],SelectedPrecincts[Batch Name], 0)))</f>
        <v/>
      </c>
      <c r="X1369" s="102">
        <f>IF(COUNTIF(SelectedPrecincts[Batch Name],SamplingData[[#This Row],[Batch by Type (p)]]) &lt;&gt; 0, COUNTIF(SelectedPrecincts[Batch Name],SamplingData[[#This Row],[Batch by Type (p)]]), 0)</f>
        <v>0</v>
      </c>
    </row>
    <row r="1370" spans="1:24" ht="15" customHeight="1">
      <c r="A1370" s="18" t="s">
        <v>1546</v>
      </c>
      <c r="B1370" s="18">
        <v>15</v>
      </c>
      <c r="C1370" s="18">
        <v>30</v>
      </c>
      <c r="D1370" s="18">
        <v>5</v>
      </c>
      <c r="E1370" s="18">
        <v>1</v>
      </c>
      <c r="F1370" s="18">
        <v>0</v>
      </c>
      <c r="G1370" s="18">
        <v>0</v>
      </c>
      <c r="H1370" s="18">
        <v>0</v>
      </c>
      <c r="I1370" s="18">
        <v>2</v>
      </c>
      <c r="J1370" s="99">
        <f>SUM(SamplingData[[#This Row],[Losing Candidate]:[Under Votes]])</f>
        <v>53</v>
      </c>
      <c r="K1370" s="100">
        <f>IF(AND(SamplingData[[#This Row],[Total]]&lt;&gt; 0, NOT(ISBLANK(SamplingData[[#This Row],[Losing Candidate]]))),(SamplingData[[#This Row],[Total]]+SamplingData[[#This Row],[Winning Candidate]]-SamplingData[[#This Row],[Losing Candidate]])/(SamplingData[[#Totals],[Winning Candidate]]-SamplingData[[#Totals],[Losing Candidate]]), 0)</f>
        <v>4.1646251837334641E-3</v>
      </c>
      <c r="L1370" s="100">
        <f>IF(AND(SamplingData[[#This Row],[Total]]&lt;&gt; 0, NOT(ISBLANK(SamplingData[[#This Row],[Candidate 3]]))),(SamplingData[[#This Row],[Total]]+SamplingData[[#This Row],[Winning Candidate]]-SamplingData[[#This Row],[Candidate 3]])/(SamplingData[[#Totals],[Winning Candidate]]-SamplingData[[#Totals],[Candidate 3]]), 0)</f>
        <v>2.5163725521824692E-3</v>
      </c>
      <c r="M1370" s="100">
        <f>IF(AND(SamplingData[[#This Row],[Total]]&lt;&gt; 0, NOT(ISBLANK(SamplingData[[#This Row],[Candidate 4]]))),(SamplingData[[#This Row],[Total]]+SamplingData[[#This Row],[Winning Candidate]]-SamplingData[[#This Row],[Candidate 4]])/(SamplingData[[#Totals],[Winning Candidate]]-SamplingData[[#Totals],[Candidate 4]]), 0)</f>
        <v>2.3970300213394134E-3</v>
      </c>
      <c r="N1370" s="100">
        <f>IF(AND(SamplingData[[#This Row],[Total]]&lt;&gt; 0, NOT(ISBLANK(SamplingData[[#This Row],[Candidate 5]]))),(SamplingData[[#This Row],[Total]]+SamplingData[[#This Row],[Winning Candidate]]-SamplingData[[#This Row],[Candidate 5]])/(SamplingData[[#Totals],[Winning Candidate]]-SamplingData[[#Totals],[Candidate 5]]), 0)</f>
        <v>2.0189734857698855E-3</v>
      </c>
      <c r="O1370" s="100">
        <f>IF(AND(SamplingData[[#This Row],[Total]]&lt;&gt; 0, NOT(ISBLANK(SamplingData[[#This Row],[Candidate 6]]))),(SamplingData[[#This Row],[Total]]+SamplingData[[#This Row],[Winning Candidate]]-SamplingData[[#This Row],[Candidate 6]])/(SamplingData[[#Totals],[Winning Candidate]]-SamplingData[[#Totals],[Candidate 6]]), 0)</f>
        <v>2.0183843198288021E-3</v>
      </c>
      <c r="P1370" s="100">
        <f>MAX(SamplingData[[#This Row],[Error Bound (up) - Max. possible relative overstatement - Losing Candidate]:[Error Bound (up) - Max. possible relative overstatement - Candidate 6]])</f>
        <v>4.1646251837334641E-3</v>
      </c>
      <c r="Q1370" s="100">
        <f>IF(SamplingData[[#This Row],[Max Error Bound (up)]] = 0,0,SamplingData[[#This Row],[Max Error Bound (up)]]/SamplingData[[#Totals],[Max Error Bound (up)]])</f>
        <v>6.5912048293431658E-4</v>
      </c>
      <c r="R1370" s="101">
        <f>SUM($Q$5:Q1370)</f>
        <v>0.41946643645093123</v>
      </c>
      <c r="S1370" s="100" t="str">
        <f t="array" ref="S1370">IF(SamplingData[[#This Row],[up/U Selection Probability]] = 0, "Zero", TEXT(SamplingData[[#This Row],[Lower Range]], REPT("0",LEN('General Info'!$B$40))) &amp; " - " &amp; TEXT(SamplingData[[#This Row],[Upper Range]], REPT("0",LEN('General Info'!$B$40))))</f>
        <v>41881 - 41946</v>
      </c>
      <c r="T1370" s="100">
        <f>SamplingData[[#This Row],[Upper Range]]-SamplingData[[#This Row],[Span]]</f>
        <v>41880.732255920171</v>
      </c>
      <c r="U1370" s="100">
        <f>IF(ISNUMBER('General Info'!$B$40), ((SamplingData[[#This Row],[up/U Selection Probability]]) * 'General Info'!$B$40) - 1, 0)</f>
        <v>64.911389172948716</v>
      </c>
      <c r="V1370" s="100">
        <f>IF(ISNUMBER('General Info'!$B$40), (SamplingData[[#This Row],[Running (cumulative) sum]] * ('General Info'!$B$40 -'General Info'!$B$41 + 1)) + 'General Info'!$B$41 - 1, 0)</f>
        <v>41945.643645093121</v>
      </c>
      <c r="W1370" s="100" t="str">
        <f>IF(ISERROR(MATCH(SamplingData[[#This Row],[Batch by Type (p)]],SelectedPrecincts[Batch Name], 0)), "", INDEX(SelectedPrecincts[Draw], MATCH(SamplingData[[#This Row],[Batch by Type (p)]],SelectedPrecincts[Batch Name], 0)))</f>
        <v/>
      </c>
      <c r="X1370" s="102">
        <f>IF(COUNTIF(SelectedPrecincts[Batch Name],SamplingData[[#This Row],[Batch by Type (p)]]) &lt;&gt; 0, COUNTIF(SelectedPrecincts[Batch Name],SamplingData[[#This Row],[Batch by Type (p)]]), 0)</f>
        <v>0</v>
      </c>
    </row>
    <row r="1371" spans="1:24" ht="15" customHeight="1">
      <c r="A1371" s="18" t="s">
        <v>1547</v>
      </c>
      <c r="B1371" s="18">
        <v>19</v>
      </c>
      <c r="C1371" s="18">
        <v>48</v>
      </c>
      <c r="D1371" s="16">
        <v>15</v>
      </c>
      <c r="E1371" s="16">
        <v>3</v>
      </c>
      <c r="F1371" s="37">
        <v>2</v>
      </c>
      <c r="G1371" s="37">
        <v>0</v>
      </c>
      <c r="H1371" s="17">
        <v>0</v>
      </c>
      <c r="I1371" s="17">
        <v>1</v>
      </c>
      <c r="J1371" s="99">
        <f>SUM(SamplingData[[#This Row],[Losing Candidate]:[Under Votes]])</f>
        <v>88</v>
      </c>
      <c r="K1371" s="100">
        <f>IF(AND(SamplingData[[#This Row],[Total]]&lt;&gt; 0, NOT(ISBLANK(SamplingData[[#This Row],[Losing Candidate]]))),(SamplingData[[#This Row],[Total]]+SamplingData[[#This Row],[Winning Candidate]]-SamplingData[[#This Row],[Losing Candidate]])/(SamplingData[[#Totals],[Winning Candidate]]-SamplingData[[#Totals],[Losing Candidate]]), 0)</f>
        <v>7.1656050955414014E-3</v>
      </c>
      <c r="L1371" s="100">
        <f>IF(AND(SamplingData[[#This Row],[Total]]&lt;&gt; 0, NOT(ISBLANK(SamplingData[[#This Row],[Candidate 3]]))),(SamplingData[[#This Row],[Total]]+SamplingData[[#This Row],[Winning Candidate]]-SamplingData[[#This Row],[Candidate 3]])/(SamplingData[[#Totals],[Winning Candidate]]-SamplingData[[#Totals],[Candidate 3]]), 0)</f>
        <v>3.9036035745394714E-3</v>
      </c>
      <c r="M1371" s="100">
        <f>IF(AND(SamplingData[[#This Row],[Total]]&lt;&gt; 0, NOT(ISBLANK(SamplingData[[#This Row],[Candidate 4]]))),(SamplingData[[#This Row],[Total]]+SamplingData[[#This Row],[Winning Candidate]]-SamplingData[[#This Row],[Candidate 4]])/(SamplingData[[#Totals],[Winning Candidate]]-SamplingData[[#Totals],[Candidate 4]]), 0)</f>
        <v>3.8878657663188052E-3</v>
      </c>
      <c r="N1371" s="100">
        <f>IF(AND(SamplingData[[#This Row],[Total]]&lt;&gt; 0, NOT(ISBLANK(SamplingData[[#This Row],[Candidate 5]]))),(SamplingData[[#This Row],[Total]]+SamplingData[[#This Row],[Winning Candidate]]-SamplingData[[#This Row],[Candidate 5]])/(SamplingData[[#Totals],[Winning Candidate]]-SamplingData[[#Totals],[Candidate 5]]), 0)</f>
        <v>3.2595475553393333E-3</v>
      </c>
      <c r="O1371" s="100">
        <f>IF(AND(SamplingData[[#This Row],[Total]]&lt;&gt; 0, NOT(ISBLANK(SamplingData[[#This Row],[Candidate 6]]))),(SamplingData[[#This Row],[Total]]+SamplingData[[#This Row],[Winning Candidate]]-SamplingData[[#This Row],[Candidate 6]])/(SamplingData[[#Totals],[Winning Candidate]]-SamplingData[[#Totals],[Candidate 6]]), 0)</f>
        <v>3.3072321385146635E-3</v>
      </c>
      <c r="P1371" s="100">
        <f>MAX(SamplingData[[#This Row],[Error Bound (up) - Max. possible relative overstatement - Losing Candidate]:[Error Bound (up) - Max. possible relative overstatement - Candidate 6]])</f>
        <v>7.1656050955414014E-3</v>
      </c>
      <c r="Q1371" s="100">
        <f>IF(SamplingData[[#This Row],[Max Error Bound (up)]] = 0,0,SamplingData[[#This Row],[Max Error Bound (up)]]/SamplingData[[#Totals],[Max Error Bound (up)]])</f>
        <v>1.1340749485781623E-3</v>
      </c>
      <c r="R1371" s="101">
        <f>SUM($Q$5:Q1371)</f>
        <v>0.42060051139950938</v>
      </c>
      <c r="S1371" s="100" t="str">
        <f t="array" ref="S1371">IF(SamplingData[[#This Row],[up/U Selection Probability]] = 0, "Zero", TEXT(SamplingData[[#This Row],[Lower Range]], REPT("0",LEN('General Info'!$B$40))) &amp; " - " &amp; TEXT(SamplingData[[#This Row],[Upper Range]], REPT("0",LEN('General Info'!$B$40))))</f>
        <v>41947 - 42059</v>
      </c>
      <c r="T1371" s="100">
        <f>SamplingData[[#This Row],[Upper Range]]-SamplingData[[#This Row],[Span]]</f>
        <v>41946.644779168077</v>
      </c>
      <c r="U1371" s="100">
        <f>IF(ISNUMBER('General Info'!$B$40), ((SamplingData[[#This Row],[up/U Selection Probability]]) * 'General Info'!$B$40) - 1, 0)</f>
        <v>112.40636078286765</v>
      </c>
      <c r="V1371" s="100">
        <f>IF(ISNUMBER('General Info'!$B$40), (SamplingData[[#This Row],[Running (cumulative) sum]] * ('General Info'!$B$40 -'General Info'!$B$41 + 1)) + 'General Info'!$B$41 - 1, 0)</f>
        <v>42059.051139950941</v>
      </c>
      <c r="W1371" s="100" t="str">
        <f>IF(ISERROR(MATCH(SamplingData[[#This Row],[Batch by Type (p)]],SelectedPrecincts[Batch Name], 0)), "", INDEX(SelectedPrecincts[Draw], MATCH(SamplingData[[#This Row],[Batch by Type (p)]],SelectedPrecincts[Batch Name], 0)))</f>
        <v/>
      </c>
      <c r="X1371" s="102">
        <f>IF(COUNTIF(SelectedPrecincts[Batch Name],SamplingData[[#This Row],[Batch by Type (p)]]) &lt;&gt; 0, COUNTIF(SelectedPrecincts[Batch Name],SamplingData[[#This Row],[Batch by Type (p)]]), 0)</f>
        <v>0</v>
      </c>
    </row>
    <row r="1372" spans="1:24" ht="15" customHeight="1">
      <c r="A1372" s="18" t="s">
        <v>1548</v>
      </c>
      <c r="B1372" s="18">
        <v>11</v>
      </c>
      <c r="C1372" s="18">
        <v>38</v>
      </c>
      <c r="D1372" s="18">
        <v>3</v>
      </c>
      <c r="E1372" s="18">
        <v>1</v>
      </c>
      <c r="F1372" s="18">
        <v>1</v>
      </c>
      <c r="G1372" s="18">
        <v>0</v>
      </c>
      <c r="H1372" s="18">
        <v>0</v>
      </c>
      <c r="I1372" s="18">
        <v>1</v>
      </c>
      <c r="J1372" s="99">
        <f>SUM(SamplingData[[#This Row],[Losing Candidate]:[Under Votes]])</f>
        <v>55</v>
      </c>
      <c r="K1372"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1372" s="100">
        <f>IF(AND(SamplingData[[#This Row],[Total]]&lt;&gt; 0, NOT(ISBLANK(SamplingData[[#This Row],[Candidate 3]]))),(SamplingData[[#This Row],[Total]]+SamplingData[[#This Row],[Winning Candidate]]-SamplingData[[#This Row],[Candidate 3]])/(SamplingData[[#Totals],[Winning Candidate]]-SamplingData[[#Totals],[Candidate 3]]), 0)</f>
        <v>2.9035067909797723E-3</v>
      </c>
      <c r="M1372" s="100">
        <f>IF(AND(SamplingData[[#This Row],[Total]]&lt;&gt; 0, NOT(ISBLANK(SamplingData[[#This Row],[Candidate 4]]))),(SamplingData[[#This Row],[Total]]+SamplingData[[#This Row],[Winning Candidate]]-SamplingData[[#This Row],[Candidate 4]])/(SamplingData[[#Totals],[Winning Candidate]]-SamplingData[[#Totals],[Candidate 4]]), 0)</f>
        <v>2.6893507556490981E-3</v>
      </c>
      <c r="N1372" s="100">
        <f>IF(AND(SamplingData[[#This Row],[Total]]&lt;&gt; 0, NOT(ISBLANK(SamplingData[[#This Row],[Candidate 5]]))),(SamplingData[[#This Row],[Total]]+SamplingData[[#This Row],[Winning Candidate]]-SamplingData[[#This Row],[Candidate 5]])/(SamplingData[[#Totals],[Winning Candidate]]-SamplingData[[#Totals],[Candidate 5]]), 0)</f>
        <v>2.237898321576259E-3</v>
      </c>
      <c r="O1372" s="100">
        <f>IF(AND(SamplingData[[#This Row],[Total]]&lt;&gt; 0, NOT(ISBLANK(SamplingData[[#This Row],[Candidate 6]]))),(SamplingData[[#This Row],[Total]]+SamplingData[[#This Row],[Winning Candidate]]-SamplingData[[#This Row],[Candidate 6]])/(SamplingData[[#Totals],[Winning Candidate]]-SamplingData[[#Totals],[Candidate 6]]), 0)</f>
        <v>2.2615631535431156E-3</v>
      </c>
      <c r="P1372" s="100">
        <f>MAX(SamplingData[[#This Row],[Error Bound (up) - Max. possible relative overstatement - Losing Candidate]:[Error Bound (up) - Max. possible relative overstatement - Candidate 6]])</f>
        <v>5.0220480156785889E-3</v>
      </c>
      <c r="Q1372" s="100">
        <f>IF(SamplingData[[#This Row],[Max Error Bound (up)]] = 0,0,SamplingData[[#This Row],[Max Error Bound (up)]]/SamplingData[[#Totals],[Max Error Bound (up)]])</f>
        <v>7.9482175883255823E-4</v>
      </c>
      <c r="R1372" s="101">
        <f>SUM($Q$5:Q1372)</f>
        <v>0.42139533315834193</v>
      </c>
      <c r="S1372" s="100" t="str">
        <f t="array" ref="S1372">IF(SamplingData[[#This Row],[up/U Selection Probability]] = 0, "Zero", TEXT(SamplingData[[#This Row],[Lower Range]], REPT("0",LEN('General Info'!$B$40))) &amp; " - " &amp; TEXT(SamplingData[[#This Row],[Upper Range]], REPT("0",LEN('General Info'!$B$40))))</f>
        <v>42060 - 42139</v>
      </c>
      <c r="T1372" s="100">
        <f>SamplingData[[#This Row],[Upper Range]]-SamplingData[[#This Row],[Span]]</f>
        <v>42060.051934772702</v>
      </c>
      <c r="U1372" s="100">
        <f>IF(ISNUMBER('General Info'!$B$40), ((SamplingData[[#This Row],[up/U Selection Probability]]) * 'General Info'!$B$40) - 1, 0)</f>
        <v>78.48138106149699</v>
      </c>
      <c r="V1372" s="100">
        <f>IF(ISNUMBER('General Info'!$B$40), (SamplingData[[#This Row],[Running (cumulative) sum]] * ('General Info'!$B$40 -'General Info'!$B$41 + 1)) + 'General Info'!$B$41 - 1, 0)</f>
        <v>42138.533315834196</v>
      </c>
      <c r="W1372" s="100" t="str">
        <f>IF(ISERROR(MATCH(SamplingData[[#This Row],[Batch by Type (p)]],SelectedPrecincts[Batch Name], 0)), "", INDEX(SelectedPrecincts[Draw], MATCH(SamplingData[[#This Row],[Batch by Type (p)]],SelectedPrecincts[Batch Name], 0)))</f>
        <v/>
      </c>
      <c r="X1372" s="102">
        <f>IF(COUNTIF(SelectedPrecincts[Batch Name],SamplingData[[#This Row],[Batch by Type (p)]]) &lt;&gt; 0, COUNTIF(SelectedPrecincts[Batch Name],SamplingData[[#This Row],[Batch by Type (p)]]), 0)</f>
        <v>0</v>
      </c>
    </row>
    <row r="1373" spans="1:24" ht="15" customHeight="1">
      <c r="A1373" s="18" t="s">
        <v>1549</v>
      </c>
      <c r="B1373" s="18">
        <v>24</v>
      </c>
      <c r="C1373" s="18">
        <v>70</v>
      </c>
      <c r="D1373" s="16">
        <v>13</v>
      </c>
      <c r="E1373" s="16">
        <v>8</v>
      </c>
      <c r="F1373" s="37">
        <v>0</v>
      </c>
      <c r="G1373" s="37">
        <v>2</v>
      </c>
      <c r="H1373" s="17">
        <v>0</v>
      </c>
      <c r="I1373" s="17">
        <v>1</v>
      </c>
      <c r="J1373" s="99">
        <f>SUM(SamplingData[[#This Row],[Losing Candidate]:[Under Votes]])</f>
        <v>118</v>
      </c>
      <c r="K1373" s="100">
        <f>IF(AND(SamplingData[[#This Row],[Total]]&lt;&gt; 0, NOT(ISBLANK(SamplingData[[#This Row],[Losing Candidate]]))),(SamplingData[[#This Row],[Total]]+SamplingData[[#This Row],[Winning Candidate]]-SamplingData[[#This Row],[Losing Candidate]])/(SamplingData[[#Totals],[Winning Candidate]]-SamplingData[[#Totals],[Losing Candidate]]), 0)</f>
        <v>1.0044096031357178E-2</v>
      </c>
      <c r="L1373" s="100">
        <f>IF(AND(SamplingData[[#This Row],[Total]]&lt;&gt; 0, NOT(ISBLANK(SamplingData[[#This Row],[Candidate 3]]))),(SamplingData[[#This Row],[Total]]+SamplingData[[#This Row],[Winning Candidate]]-SamplingData[[#This Row],[Candidate 3]])/(SamplingData[[#Totals],[Winning Candidate]]-SamplingData[[#Totals],[Candidate 3]]), 0)</f>
        <v>5.645707649127335E-3</v>
      </c>
      <c r="M1373" s="100">
        <f>IF(AND(SamplingData[[#This Row],[Total]]&lt;&gt; 0, NOT(ISBLANK(SamplingData[[#This Row],[Candidate 4]]))),(SamplingData[[#This Row],[Total]]+SamplingData[[#This Row],[Winning Candidate]]-SamplingData[[#This Row],[Candidate 4]])/(SamplingData[[#Totals],[Winning Candidate]]-SamplingData[[#Totals],[Candidate 4]]), 0)</f>
        <v>5.2617732175743222E-3</v>
      </c>
      <c r="N1373" s="100">
        <f>IF(AND(SamplingData[[#This Row],[Total]]&lt;&gt; 0, NOT(ISBLANK(SamplingData[[#This Row],[Candidate 5]]))),(SamplingData[[#This Row],[Total]]+SamplingData[[#This Row],[Winning Candidate]]-SamplingData[[#This Row],[Candidate 5]])/(SamplingData[[#Totals],[Winning Candidate]]-SamplingData[[#Totals],[Candidate 5]]), 0)</f>
        <v>4.5730965701775723E-3</v>
      </c>
      <c r="O1373" s="100">
        <f>IF(AND(SamplingData[[#This Row],[Total]]&lt;&gt; 0, NOT(ISBLANK(SamplingData[[#This Row],[Candidate 6]]))),(SamplingData[[#This Row],[Total]]+SamplingData[[#This Row],[Winning Candidate]]-SamplingData[[#This Row],[Candidate 6]])/(SamplingData[[#Totals],[Winning Candidate]]-SamplingData[[#Totals],[Candidate 6]]), 0)</f>
        <v>4.5231263070862312E-3</v>
      </c>
      <c r="P1373" s="100">
        <f>MAX(SamplingData[[#This Row],[Error Bound (up) - Max. possible relative overstatement - Losing Candidate]:[Error Bound (up) - Max. possible relative overstatement - Candidate 6]])</f>
        <v>1.0044096031357178E-2</v>
      </c>
      <c r="Q1373" s="100">
        <f>IF(SamplingData[[#This Row],[Max Error Bound (up)]] = 0,0,SamplingData[[#This Row],[Max Error Bound (up)]]/SamplingData[[#Totals],[Max Error Bound (up)]])</f>
        <v>1.5896435176651165E-3</v>
      </c>
      <c r="R1373" s="101">
        <f>SUM($Q$5:Q1373)</f>
        <v>0.42298497667600704</v>
      </c>
      <c r="S1373" s="100" t="str">
        <f t="array" ref="S1373">IF(SamplingData[[#This Row],[up/U Selection Probability]] = 0, "Zero", TEXT(SamplingData[[#This Row],[Lower Range]], REPT("0",LEN('General Info'!$B$40))) &amp; " - " &amp; TEXT(SamplingData[[#This Row],[Upper Range]], REPT("0",LEN('General Info'!$B$40))))</f>
        <v>42140 - 42297</v>
      </c>
      <c r="T1373" s="100">
        <f>SamplingData[[#This Row],[Upper Range]]-SamplingData[[#This Row],[Span]]</f>
        <v>42139.534905477711</v>
      </c>
      <c r="U1373" s="100">
        <f>IF(ISNUMBER('General Info'!$B$40), ((SamplingData[[#This Row],[up/U Selection Probability]]) * 'General Info'!$B$40) - 1, 0)</f>
        <v>157.96276212299398</v>
      </c>
      <c r="V1373" s="100">
        <f>IF(ISNUMBER('General Info'!$B$40), (SamplingData[[#This Row],[Running (cumulative) sum]] * ('General Info'!$B$40 -'General Info'!$B$41 + 1)) + 'General Info'!$B$41 - 1, 0)</f>
        <v>42297.497667600706</v>
      </c>
      <c r="W1373" s="100" t="str">
        <f>IF(ISERROR(MATCH(SamplingData[[#This Row],[Batch by Type (p)]],SelectedPrecincts[Batch Name], 0)), "", INDEX(SelectedPrecincts[Draw], MATCH(SamplingData[[#This Row],[Batch by Type (p)]],SelectedPrecincts[Batch Name], 0)))</f>
        <v/>
      </c>
      <c r="X1373" s="102">
        <f>IF(COUNTIF(SelectedPrecincts[Batch Name],SamplingData[[#This Row],[Batch by Type (p)]]) &lt;&gt; 0, COUNTIF(SelectedPrecincts[Batch Name],SamplingData[[#This Row],[Batch by Type (p)]]), 0)</f>
        <v>0</v>
      </c>
    </row>
    <row r="1374" spans="1:24" ht="15" customHeight="1">
      <c r="A1374" s="18" t="s">
        <v>1550</v>
      </c>
      <c r="B1374" s="18">
        <v>11</v>
      </c>
      <c r="C1374" s="18">
        <v>22</v>
      </c>
      <c r="D1374" s="18">
        <v>9</v>
      </c>
      <c r="E1374" s="18">
        <v>2</v>
      </c>
      <c r="F1374" s="18">
        <v>0</v>
      </c>
      <c r="G1374" s="18">
        <v>0</v>
      </c>
      <c r="H1374" s="18">
        <v>0</v>
      </c>
      <c r="I1374" s="18">
        <v>0</v>
      </c>
      <c r="J1374" s="99">
        <f>SUM(SamplingData[[#This Row],[Losing Candidate]:[Under Votes]])</f>
        <v>44</v>
      </c>
      <c r="K1374" s="100">
        <f>IF(AND(SamplingData[[#This Row],[Total]]&lt;&gt; 0, NOT(ISBLANK(SamplingData[[#This Row],[Losing Candidate]]))),(SamplingData[[#This Row],[Total]]+SamplingData[[#This Row],[Winning Candidate]]-SamplingData[[#This Row],[Losing Candidate]])/(SamplingData[[#Totals],[Winning Candidate]]-SamplingData[[#Totals],[Losing Candidate]]), 0)</f>
        <v>3.3684468397844193E-3</v>
      </c>
      <c r="L1374" s="100">
        <f>IF(AND(SamplingData[[#This Row],[Total]]&lt;&gt; 0, NOT(ISBLANK(SamplingData[[#This Row],[Candidate 3]]))),(SamplingData[[#This Row],[Total]]+SamplingData[[#This Row],[Winning Candidate]]-SamplingData[[#This Row],[Candidate 3]])/(SamplingData[[#Totals],[Winning Candidate]]-SamplingData[[#Totals],[Candidate 3]]), 0)</f>
        <v>1.8388876342871892E-3</v>
      </c>
      <c r="M1374" s="100">
        <f>IF(AND(SamplingData[[#This Row],[Total]]&lt;&gt; 0, NOT(ISBLANK(SamplingData[[#This Row],[Candidate 4]]))),(SamplingData[[#This Row],[Total]]+SamplingData[[#This Row],[Winning Candidate]]-SamplingData[[#This Row],[Candidate 4]])/(SamplingData[[#Totals],[Winning Candidate]]-SamplingData[[#Totals],[Candidate 4]]), 0)</f>
        <v>1.8708526995819814E-3</v>
      </c>
      <c r="N1374" s="100">
        <f>IF(AND(SamplingData[[#This Row],[Total]]&lt;&gt; 0, NOT(ISBLANK(SamplingData[[#This Row],[Candidate 5]]))),(SamplingData[[#This Row],[Total]]+SamplingData[[#This Row],[Winning Candidate]]-SamplingData[[#This Row],[Candidate 5]])/(SamplingData[[#Totals],[Winning Candidate]]-SamplingData[[#Totals],[Candidate 5]]), 0)</f>
        <v>1.6054487959134031E-3</v>
      </c>
      <c r="O1374" s="100">
        <f>IF(AND(SamplingData[[#This Row],[Total]]&lt;&gt; 0, NOT(ISBLANK(SamplingData[[#This Row],[Candidate 6]]))),(SamplingData[[#This Row],[Total]]+SamplingData[[#This Row],[Winning Candidate]]-SamplingData[[#This Row],[Candidate 6]])/(SamplingData[[#Totals],[Winning Candidate]]-SamplingData[[#Totals],[Candidate 6]]), 0)</f>
        <v>1.6049803025144692E-3</v>
      </c>
      <c r="P1374" s="100">
        <f>MAX(SamplingData[[#This Row],[Error Bound (up) - Max. possible relative overstatement - Losing Candidate]:[Error Bound (up) - Max. possible relative overstatement - Candidate 6]])</f>
        <v>3.3684468397844193E-3</v>
      </c>
      <c r="Q1374" s="100">
        <f>IF(SamplingData[[#This Row],[Max Error Bound (up)]] = 0,0,SamplingData[[#This Row],[Max Error Bound (up)]]/SamplingData[[#Totals],[Max Error Bound (up)]])</f>
        <v>5.3311215531452077E-4</v>
      </c>
      <c r="R1374" s="101">
        <f>SUM($Q$5:Q1374)</f>
        <v>0.42351808883132158</v>
      </c>
      <c r="S1374" s="100" t="str">
        <f t="array" ref="S1374">IF(SamplingData[[#This Row],[up/U Selection Probability]] = 0, "Zero", TEXT(SamplingData[[#This Row],[Lower Range]], REPT("0",LEN('General Info'!$B$40))) &amp; " - " &amp; TEXT(SamplingData[[#This Row],[Upper Range]], REPT("0",LEN('General Info'!$B$40))))</f>
        <v>42298 - 42351</v>
      </c>
      <c r="T1374" s="100">
        <f>SamplingData[[#This Row],[Upper Range]]-SamplingData[[#This Row],[Span]]</f>
        <v>42298.498200712864</v>
      </c>
      <c r="U1374" s="100">
        <f>IF(ISNUMBER('General Info'!$B$40), ((SamplingData[[#This Row],[up/U Selection Probability]]) * 'General Info'!$B$40) - 1, 0)</f>
        <v>52.310682419296761</v>
      </c>
      <c r="V1374" s="100">
        <f>IF(ISNUMBER('General Info'!$B$40), (SamplingData[[#This Row],[Running (cumulative) sum]] * ('General Info'!$B$40 -'General Info'!$B$41 + 1)) + 'General Info'!$B$41 - 1, 0)</f>
        <v>42350.808883132158</v>
      </c>
      <c r="W1374" s="100" t="str">
        <f>IF(ISERROR(MATCH(SamplingData[[#This Row],[Batch by Type (p)]],SelectedPrecincts[Batch Name], 0)), "", INDEX(SelectedPrecincts[Draw], MATCH(SamplingData[[#This Row],[Batch by Type (p)]],SelectedPrecincts[Batch Name], 0)))</f>
        <v/>
      </c>
      <c r="X1374" s="102">
        <f>IF(COUNTIF(SelectedPrecincts[Batch Name],SamplingData[[#This Row],[Batch by Type (p)]]) &lt;&gt; 0, COUNTIF(SelectedPrecincts[Batch Name],SamplingData[[#This Row],[Batch by Type (p)]]), 0)</f>
        <v>0</v>
      </c>
    </row>
    <row r="1375" spans="1:24" ht="15" customHeight="1">
      <c r="A1375" s="18" t="s">
        <v>1551</v>
      </c>
      <c r="B1375" s="18">
        <v>9</v>
      </c>
      <c r="C1375" s="18">
        <v>14</v>
      </c>
      <c r="D1375" s="16">
        <v>5</v>
      </c>
      <c r="E1375" s="16">
        <v>6</v>
      </c>
      <c r="F1375" s="37">
        <v>0</v>
      </c>
      <c r="G1375" s="37">
        <v>1</v>
      </c>
      <c r="H1375" s="17">
        <v>0</v>
      </c>
      <c r="I1375" s="17">
        <v>1</v>
      </c>
      <c r="J1375" s="99">
        <f>SUM(SamplingData[[#This Row],[Losing Candidate]:[Under Votes]])</f>
        <v>36</v>
      </c>
      <c r="K1375" s="100">
        <f>IF(AND(SamplingData[[#This Row],[Total]]&lt;&gt; 0, NOT(ISBLANK(SamplingData[[#This Row],[Losing Candidate]]))),(SamplingData[[#This Row],[Total]]+SamplingData[[#This Row],[Winning Candidate]]-SamplingData[[#This Row],[Losing Candidate]])/(SamplingData[[#Totals],[Winning Candidate]]-SamplingData[[#Totals],[Losing Candidate]]), 0)</f>
        <v>2.5110240078392945E-3</v>
      </c>
      <c r="L1375" s="100">
        <f>IF(AND(SamplingData[[#This Row],[Total]]&lt;&gt; 0, NOT(ISBLANK(SamplingData[[#This Row],[Candidate 3]]))),(SamplingData[[#This Row],[Total]]+SamplingData[[#This Row],[Winning Candidate]]-SamplingData[[#This Row],[Candidate 3]])/(SamplingData[[#Totals],[Winning Candidate]]-SamplingData[[#Totals],[Candidate 3]]), 0)</f>
        <v>1.4517533954898861E-3</v>
      </c>
      <c r="M1375" s="100">
        <f>IF(AND(SamplingData[[#This Row],[Total]]&lt;&gt; 0, NOT(ISBLANK(SamplingData[[#This Row],[Candidate 4]]))),(SamplingData[[#This Row],[Total]]+SamplingData[[#This Row],[Winning Candidate]]-SamplingData[[#This Row],[Candidate 4]])/(SamplingData[[#Totals],[Winning Candidate]]-SamplingData[[#Totals],[Candidate 4]]), 0)</f>
        <v>1.2862112309626121E-3</v>
      </c>
      <c r="N1375" s="100">
        <f>IF(AND(SamplingData[[#This Row],[Total]]&lt;&gt; 0, NOT(ISBLANK(SamplingData[[#This Row],[Candidate 5]]))),(SamplingData[[#This Row],[Total]]+SamplingData[[#This Row],[Winning Candidate]]-SamplingData[[#This Row],[Candidate 5]])/(SamplingData[[#Totals],[Winning Candidate]]-SamplingData[[#Totals],[Candidate 5]]), 0)</f>
        <v>1.2162490878131842E-3</v>
      </c>
      <c r="O1375" s="100">
        <f>IF(AND(SamplingData[[#This Row],[Total]]&lt;&gt; 0, NOT(ISBLANK(SamplingData[[#This Row],[Candidate 6]]))),(SamplingData[[#This Row],[Total]]+SamplingData[[#This Row],[Winning Candidate]]-SamplingData[[#This Row],[Candidate 6]])/(SamplingData[[#Totals],[Winning Candidate]]-SamplingData[[#Totals],[Candidate 6]]), 0)</f>
        <v>1.1915762852001363E-3</v>
      </c>
      <c r="P1375" s="100">
        <f>MAX(SamplingData[[#This Row],[Error Bound (up) - Max. possible relative overstatement - Losing Candidate]:[Error Bound (up) - Max. possible relative overstatement - Candidate 6]])</f>
        <v>2.5110240078392945E-3</v>
      </c>
      <c r="Q1375" s="100">
        <f>IF(SamplingData[[#This Row],[Max Error Bound (up)]] = 0,0,SamplingData[[#This Row],[Max Error Bound (up)]]/SamplingData[[#Totals],[Max Error Bound (up)]])</f>
        <v>3.9741087941627912E-4</v>
      </c>
      <c r="R1375" s="101">
        <f>SUM($Q$5:Q1375)</f>
        <v>0.42391549971073789</v>
      </c>
      <c r="S1375" s="100" t="str">
        <f t="array" ref="S1375">IF(SamplingData[[#This Row],[up/U Selection Probability]] = 0, "Zero", TEXT(SamplingData[[#This Row],[Lower Range]], REPT("0",LEN('General Info'!$B$40))) &amp; " - " &amp; TEXT(SamplingData[[#This Row],[Upper Range]], REPT("0",LEN('General Info'!$B$40))))</f>
        <v>42352 - 42391</v>
      </c>
      <c r="T1375" s="100">
        <f>SamplingData[[#This Row],[Upper Range]]-SamplingData[[#This Row],[Span]]</f>
        <v>42351.809280543035</v>
      </c>
      <c r="U1375" s="100">
        <f>IF(ISNUMBER('General Info'!$B$40), ((SamplingData[[#This Row],[up/U Selection Probability]]) * 'General Info'!$B$40) - 1, 0)</f>
        <v>38.740690530748495</v>
      </c>
      <c r="V1375" s="100">
        <f>IF(ISNUMBER('General Info'!$B$40), (SamplingData[[#This Row],[Running (cumulative) sum]] * ('General Info'!$B$40 -'General Info'!$B$41 + 1)) + 'General Info'!$B$41 - 1, 0)</f>
        <v>42390.549971073786</v>
      </c>
      <c r="W1375" s="100" t="str">
        <f>IF(ISERROR(MATCH(SamplingData[[#This Row],[Batch by Type (p)]],SelectedPrecincts[Batch Name], 0)), "", INDEX(SelectedPrecincts[Draw], MATCH(SamplingData[[#This Row],[Batch by Type (p)]],SelectedPrecincts[Batch Name], 0)))</f>
        <v/>
      </c>
      <c r="X1375" s="102">
        <f>IF(COUNTIF(SelectedPrecincts[Batch Name],SamplingData[[#This Row],[Batch by Type (p)]]) &lt;&gt; 0, COUNTIF(SelectedPrecincts[Batch Name],SamplingData[[#This Row],[Batch by Type (p)]]), 0)</f>
        <v>0</v>
      </c>
    </row>
    <row r="1376" spans="1:24" ht="15" customHeight="1">
      <c r="A1376" s="18" t="s">
        <v>1552</v>
      </c>
      <c r="B1376" s="18">
        <v>6</v>
      </c>
      <c r="C1376" s="18">
        <v>4</v>
      </c>
      <c r="D1376" s="18">
        <v>2</v>
      </c>
      <c r="E1376" s="18">
        <v>0</v>
      </c>
      <c r="F1376" s="18">
        <v>0</v>
      </c>
      <c r="G1376" s="18">
        <v>0</v>
      </c>
      <c r="H1376" s="18">
        <v>0</v>
      </c>
      <c r="I1376" s="18">
        <v>0</v>
      </c>
      <c r="J1376" s="99">
        <f>SUM(SamplingData[[#This Row],[Losing Candidate]:[Under Votes]])</f>
        <v>12</v>
      </c>
      <c r="K137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1376" s="100">
        <f>IF(AND(SamplingData[[#This Row],[Total]]&lt;&gt; 0, NOT(ISBLANK(SamplingData[[#This Row],[Candidate 3]]))),(SamplingData[[#This Row],[Total]]+SamplingData[[#This Row],[Winning Candidate]]-SamplingData[[#This Row],[Candidate 3]])/(SamplingData[[#Totals],[Winning Candidate]]-SamplingData[[#Totals],[Candidate 3]]), 0)</f>
        <v>4.5165661193018679E-4</v>
      </c>
      <c r="M1376" s="100">
        <f>IF(AND(SamplingData[[#This Row],[Total]]&lt;&gt; 0, NOT(ISBLANK(SamplingData[[#This Row],[Candidate 4]]))),(SamplingData[[#This Row],[Total]]+SamplingData[[#This Row],[Winning Candidate]]-SamplingData[[#This Row],[Candidate 4]])/(SamplingData[[#Totals],[Winning Candidate]]-SamplingData[[#Totals],[Candidate 4]]), 0)</f>
        <v>4.6771317489549536E-4</v>
      </c>
      <c r="N1376" s="100">
        <f>IF(AND(SamplingData[[#This Row],[Total]]&lt;&gt; 0, NOT(ISBLANK(SamplingData[[#This Row],[Candidate 5]]))),(SamplingData[[#This Row],[Total]]+SamplingData[[#This Row],[Winning Candidate]]-SamplingData[[#This Row],[Candidate 5]])/(SamplingData[[#Totals],[Winning Candidate]]-SamplingData[[#Totals],[Candidate 5]]), 0)</f>
        <v>3.8919970810021893E-4</v>
      </c>
      <c r="O1376" s="100">
        <f>IF(AND(SamplingData[[#This Row],[Total]]&lt;&gt; 0, NOT(ISBLANK(SamplingData[[#This Row],[Candidate 6]]))),(SamplingData[[#This Row],[Total]]+SamplingData[[#This Row],[Winning Candidate]]-SamplingData[[#This Row],[Candidate 6]])/(SamplingData[[#Totals],[Winning Candidate]]-SamplingData[[#Totals],[Candidate 6]]), 0)</f>
        <v>3.8908613394290161E-4</v>
      </c>
      <c r="P1376" s="100">
        <f>MAX(SamplingData[[#This Row],[Error Bound (up) - Max. possible relative overstatement - Losing Candidate]:[Error Bound (up) - Max. possible relative overstatement - Candidate 6]])</f>
        <v>6.1244487996080352E-4</v>
      </c>
      <c r="Q1376" s="100">
        <f>IF(SamplingData[[#This Row],[Max Error Bound (up)]] = 0,0,SamplingData[[#This Row],[Max Error Bound (up)]]/SamplingData[[#Totals],[Max Error Bound (up)]])</f>
        <v>9.6929482784458319E-5</v>
      </c>
      <c r="R1376" s="101">
        <f>SUM($Q$5:Q1376)</f>
        <v>0.42401242919352233</v>
      </c>
      <c r="S1376" s="100" t="str">
        <f t="array" ref="S1376">IF(SamplingData[[#This Row],[up/U Selection Probability]] = 0, "Zero", TEXT(SamplingData[[#This Row],[Lower Range]], REPT("0",LEN('General Info'!$B$40))) &amp; " - " &amp; TEXT(SamplingData[[#This Row],[Upper Range]], REPT("0",LEN('General Info'!$B$40))))</f>
        <v>42392 - 42400</v>
      </c>
      <c r="T1376" s="100">
        <f>SamplingData[[#This Row],[Upper Range]]-SamplingData[[#This Row],[Span]]</f>
        <v>42391.550068003271</v>
      </c>
      <c r="U1376" s="100">
        <f>IF(ISNUMBER('General Info'!$B$40), ((SamplingData[[#This Row],[up/U Selection Probability]]) * 'General Info'!$B$40) - 1, 0)</f>
        <v>8.6928513489630479</v>
      </c>
      <c r="V1376" s="100">
        <f>IF(ISNUMBER('General Info'!$B$40), (SamplingData[[#This Row],[Running (cumulative) sum]] * ('General Info'!$B$40 -'General Info'!$B$41 + 1)) + 'General Info'!$B$41 - 1, 0)</f>
        <v>42400.242919352233</v>
      </c>
      <c r="W1376" s="100" t="str">
        <f>IF(ISERROR(MATCH(SamplingData[[#This Row],[Batch by Type (p)]],SelectedPrecincts[Batch Name], 0)), "", INDEX(SelectedPrecincts[Draw], MATCH(SamplingData[[#This Row],[Batch by Type (p)]],SelectedPrecincts[Batch Name], 0)))</f>
        <v/>
      </c>
      <c r="X1376" s="102">
        <f>IF(COUNTIF(SelectedPrecincts[Batch Name],SamplingData[[#This Row],[Batch by Type (p)]]) &lt;&gt; 0, COUNTIF(SelectedPrecincts[Batch Name],SamplingData[[#This Row],[Batch by Type (p)]]), 0)</f>
        <v>0</v>
      </c>
    </row>
    <row r="1377" spans="1:24" ht="15" customHeight="1">
      <c r="A1377" s="18" t="s">
        <v>1553</v>
      </c>
      <c r="B1377" s="18">
        <v>18</v>
      </c>
      <c r="C1377" s="18">
        <v>26</v>
      </c>
      <c r="D1377" s="16">
        <v>7</v>
      </c>
      <c r="E1377" s="16">
        <v>3</v>
      </c>
      <c r="F1377" s="37">
        <v>0</v>
      </c>
      <c r="G1377" s="37">
        <v>0</v>
      </c>
      <c r="H1377" s="17">
        <v>0</v>
      </c>
      <c r="I1377" s="17">
        <v>0</v>
      </c>
      <c r="J1377" s="99">
        <f>SUM(SamplingData[[#This Row],[Losing Candidate]:[Under Votes]])</f>
        <v>54</v>
      </c>
      <c r="K1377" s="100">
        <f>IF(AND(SamplingData[[#This Row],[Total]]&lt;&gt; 0, NOT(ISBLANK(SamplingData[[#This Row],[Losing Candidate]]))),(SamplingData[[#This Row],[Total]]+SamplingData[[#This Row],[Winning Candidate]]-SamplingData[[#This Row],[Losing Candidate]])/(SamplingData[[#Totals],[Winning Candidate]]-SamplingData[[#Totals],[Losing Candidate]]), 0)</f>
        <v>3.7971582557569817E-3</v>
      </c>
      <c r="L1377" s="100">
        <f>IF(AND(SamplingData[[#This Row],[Total]]&lt;&gt; 0, NOT(ISBLANK(SamplingData[[#This Row],[Candidate 3]]))),(SamplingData[[#This Row],[Total]]+SamplingData[[#This Row],[Winning Candidate]]-SamplingData[[#This Row],[Candidate 3]])/(SamplingData[[#Totals],[Winning Candidate]]-SamplingData[[#Totals],[Candidate 3]]), 0)</f>
        <v>2.3550666193502597E-3</v>
      </c>
      <c r="M1377" s="100">
        <f>IF(AND(SamplingData[[#This Row],[Total]]&lt;&gt; 0, NOT(ISBLANK(SamplingData[[#This Row],[Candidate 4]]))),(SamplingData[[#This Row],[Total]]+SamplingData[[#This Row],[Winning Candidate]]-SamplingData[[#This Row],[Candidate 4]])/(SamplingData[[#Totals],[Winning Candidate]]-SamplingData[[#Totals],[Candidate 4]]), 0)</f>
        <v>2.2508696541845715E-3</v>
      </c>
      <c r="N1377" s="100">
        <f>IF(AND(SamplingData[[#This Row],[Total]]&lt;&gt; 0, NOT(ISBLANK(SamplingData[[#This Row],[Candidate 5]]))),(SamplingData[[#This Row],[Total]]+SamplingData[[#This Row],[Winning Candidate]]-SamplingData[[#This Row],[Candidate 5]])/(SamplingData[[#Totals],[Winning Candidate]]-SamplingData[[#Totals],[Candidate 5]]), 0)</f>
        <v>1.9459985405010946E-3</v>
      </c>
      <c r="O1377" s="100">
        <f>IF(AND(SamplingData[[#This Row],[Total]]&lt;&gt; 0, NOT(ISBLANK(SamplingData[[#This Row],[Candidate 6]]))),(SamplingData[[#This Row],[Total]]+SamplingData[[#This Row],[Winning Candidate]]-SamplingData[[#This Row],[Candidate 6]])/(SamplingData[[#Totals],[Winning Candidate]]-SamplingData[[#Totals],[Candidate 6]]), 0)</f>
        <v>1.945430669714508E-3</v>
      </c>
      <c r="P1377" s="100">
        <f>MAX(SamplingData[[#This Row],[Error Bound (up) - Max. possible relative overstatement - Losing Candidate]:[Error Bound (up) - Max. possible relative overstatement - Candidate 6]])</f>
        <v>3.7971582557569817E-3</v>
      </c>
      <c r="Q1377" s="100">
        <f>IF(SamplingData[[#This Row],[Max Error Bound (up)]] = 0,0,SamplingData[[#This Row],[Max Error Bound (up)]]/SamplingData[[#Totals],[Max Error Bound (up)]])</f>
        <v>6.0096279326364154E-4</v>
      </c>
      <c r="R1377" s="101">
        <f>SUM($Q$5:Q1377)</f>
        <v>0.42461339198678599</v>
      </c>
      <c r="S1377" s="100" t="str">
        <f t="array" ref="S1377">IF(SamplingData[[#This Row],[up/U Selection Probability]] = 0, "Zero", TEXT(SamplingData[[#This Row],[Lower Range]], REPT("0",LEN('General Info'!$B$40))) &amp; " - " &amp; TEXT(SamplingData[[#This Row],[Upper Range]], REPT("0",LEN('General Info'!$B$40))))</f>
        <v>42401 - 42460</v>
      </c>
      <c r="T1377" s="100">
        <f>SamplingData[[#This Row],[Upper Range]]-SamplingData[[#This Row],[Span]]</f>
        <v>42401.243520315031</v>
      </c>
      <c r="U1377" s="100">
        <f>IF(ISNUMBER('General Info'!$B$40), ((SamplingData[[#This Row],[up/U Selection Probability]]) * 'General Info'!$B$40) - 1, 0)</f>
        <v>59.09567836357089</v>
      </c>
      <c r="V1377" s="100">
        <f>IF(ISNUMBER('General Info'!$B$40), (SamplingData[[#This Row],[Running (cumulative) sum]] * ('General Info'!$B$40 -'General Info'!$B$41 + 1)) + 'General Info'!$B$41 - 1, 0)</f>
        <v>42460.339198678601</v>
      </c>
      <c r="W1377" s="100" t="str">
        <f>IF(ISERROR(MATCH(SamplingData[[#This Row],[Batch by Type (p)]],SelectedPrecincts[Batch Name], 0)), "", INDEX(SelectedPrecincts[Draw], MATCH(SamplingData[[#This Row],[Batch by Type (p)]],SelectedPrecincts[Batch Name], 0)))</f>
        <v/>
      </c>
      <c r="X1377" s="102">
        <f>IF(COUNTIF(SelectedPrecincts[Batch Name],SamplingData[[#This Row],[Batch by Type (p)]]) &lt;&gt; 0, COUNTIF(SelectedPrecincts[Batch Name],SamplingData[[#This Row],[Batch by Type (p)]]), 0)</f>
        <v>0</v>
      </c>
    </row>
    <row r="1378" spans="1:24" ht="15" customHeight="1">
      <c r="A1378" s="18" t="s">
        <v>1554</v>
      </c>
      <c r="B1378" s="18">
        <v>13</v>
      </c>
      <c r="C1378" s="18">
        <v>12</v>
      </c>
      <c r="D1378" s="18">
        <v>3</v>
      </c>
      <c r="E1378" s="18">
        <v>1</v>
      </c>
      <c r="F1378" s="18">
        <v>0</v>
      </c>
      <c r="G1378" s="18">
        <v>1</v>
      </c>
      <c r="H1378" s="18">
        <v>0</v>
      </c>
      <c r="I1378" s="18">
        <v>0</v>
      </c>
      <c r="J1378" s="99">
        <f>SUM(SamplingData[[#This Row],[Losing Candidate]:[Under Votes]])</f>
        <v>30</v>
      </c>
      <c r="K1378"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1378" s="100">
        <f>IF(AND(SamplingData[[#This Row],[Total]]&lt;&gt; 0, NOT(ISBLANK(SamplingData[[#This Row],[Candidate 3]]))),(SamplingData[[#This Row],[Total]]+SamplingData[[#This Row],[Winning Candidate]]-SamplingData[[#This Row],[Candidate 3]])/(SamplingData[[#Totals],[Winning Candidate]]-SamplingData[[#Totals],[Candidate 3]]), 0)</f>
        <v>1.2581862760912346E-3</v>
      </c>
      <c r="M1378" s="100">
        <f>IF(AND(SamplingData[[#This Row],[Total]]&lt;&gt; 0, NOT(ISBLANK(SamplingData[[#This Row],[Candidate 4]]))),(SamplingData[[#This Row],[Total]]+SamplingData[[#This Row],[Winning Candidate]]-SamplingData[[#This Row],[Candidate 4]])/(SamplingData[[#Totals],[Winning Candidate]]-SamplingData[[#Totals],[Candidate 4]]), 0)</f>
        <v>1.1985150106697067E-3</v>
      </c>
      <c r="N1378" s="100">
        <f>IF(AND(SamplingData[[#This Row],[Total]]&lt;&gt; 0, NOT(ISBLANK(SamplingData[[#This Row],[Candidate 5]]))),(SamplingData[[#This Row],[Total]]+SamplingData[[#This Row],[Winning Candidate]]-SamplingData[[#This Row],[Candidate 5]])/(SamplingData[[#Totals],[Winning Candidate]]-SamplingData[[#Totals],[Candidate 5]]), 0)</f>
        <v>1.0216492337630748E-3</v>
      </c>
      <c r="O1378" s="100">
        <f>IF(AND(SamplingData[[#This Row],[Total]]&lt;&gt; 0, NOT(ISBLANK(SamplingData[[#This Row],[Candidate 6]]))),(SamplingData[[#This Row],[Total]]+SamplingData[[#This Row],[Winning Candidate]]-SamplingData[[#This Row],[Candidate 6]])/(SamplingData[[#Totals],[Winning Candidate]]-SamplingData[[#Totals],[Candidate 6]]), 0)</f>
        <v>9.9703321822868537E-4</v>
      </c>
      <c r="P1378" s="100">
        <f>MAX(SamplingData[[#This Row],[Error Bound (up) - Max. possible relative overstatement - Losing Candidate]:[Error Bound (up) - Max. possible relative overstatement - Candidate 6]])</f>
        <v>1.7760901518863303E-3</v>
      </c>
      <c r="Q1378" s="100">
        <f>IF(SamplingData[[#This Row],[Max Error Bound (up)]] = 0,0,SamplingData[[#This Row],[Max Error Bound (up)]]/SamplingData[[#Totals],[Max Error Bound (up)]])</f>
        <v>2.8109550007492914E-4</v>
      </c>
      <c r="R1378" s="101">
        <f>SUM($Q$5:Q1378)</f>
        <v>0.42489448748686093</v>
      </c>
      <c r="S1378" s="100" t="str">
        <f t="array" ref="S1378">IF(SamplingData[[#This Row],[up/U Selection Probability]] = 0, "Zero", TEXT(SamplingData[[#This Row],[Lower Range]], REPT("0",LEN('General Info'!$B$40))) &amp; " - " &amp; TEXT(SamplingData[[#This Row],[Upper Range]], REPT("0",LEN('General Info'!$B$40))))</f>
        <v>42461 - 42488</v>
      </c>
      <c r="T1378" s="100">
        <f>SamplingData[[#This Row],[Upper Range]]-SamplingData[[#This Row],[Span]]</f>
        <v>42461.339479774106</v>
      </c>
      <c r="U1378" s="100">
        <f>IF(ISNUMBER('General Info'!$B$40), ((SamplingData[[#This Row],[up/U Selection Probability]]) * 'General Info'!$B$40) - 1, 0)</f>
        <v>27.109268911992839</v>
      </c>
      <c r="V1378" s="100">
        <f>IF(ISNUMBER('General Info'!$B$40), (SamplingData[[#This Row],[Running (cumulative) sum]] * ('General Info'!$B$40 -'General Info'!$B$41 + 1)) + 'General Info'!$B$41 - 1, 0)</f>
        <v>42488.448748686096</v>
      </c>
      <c r="W1378" s="100" t="str">
        <f>IF(ISERROR(MATCH(SamplingData[[#This Row],[Batch by Type (p)]],SelectedPrecincts[Batch Name], 0)), "", INDEX(SelectedPrecincts[Draw], MATCH(SamplingData[[#This Row],[Batch by Type (p)]],SelectedPrecincts[Batch Name], 0)))</f>
        <v/>
      </c>
      <c r="X1378" s="102">
        <f>IF(COUNTIF(SelectedPrecincts[Batch Name],SamplingData[[#This Row],[Batch by Type (p)]]) &lt;&gt; 0, COUNTIF(SelectedPrecincts[Batch Name],SamplingData[[#This Row],[Batch by Type (p)]]), 0)</f>
        <v>0</v>
      </c>
    </row>
    <row r="1379" spans="1:24" ht="15" customHeight="1">
      <c r="A1379" s="18" t="s">
        <v>1555</v>
      </c>
      <c r="B1379" s="18">
        <v>8</v>
      </c>
      <c r="C1379" s="18">
        <v>7</v>
      </c>
      <c r="D1379" s="16">
        <v>3</v>
      </c>
      <c r="E1379" s="16">
        <v>2</v>
      </c>
      <c r="F1379" s="37">
        <v>0</v>
      </c>
      <c r="G1379" s="37">
        <v>0</v>
      </c>
      <c r="H1379" s="17">
        <v>0</v>
      </c>
      <c r="I1379" s="17">
        <v>1</v>
      </c>
      <c r="J1379" s="99">
        <f>SUM(SamplingData[[#This Row],[Losing Candidate]:[Under Votes]])</f>
        <v>21</v>
      </c>
      <c r="K1379"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379" s="100">
        <f>IF(AND(SamplingData[[#This Row],[Total]]&lt;&gt; 0, NOT(ISBLANK(SamplingData[[#This Row],[Candidate 3]]))),(SamplingData[[#This Row],[Total]]+SamplingData[[#This Row],[Winning Candidate]]-SamplingData[[#This Row],[Candidate 3]])/(SamplingData[[#Totals],[Winning Candidate]]-SamplingData[[#Totals],[Candidate 3]]), 0)</f>
        <v>8.0652966416104783E-4</v>
      </c>
      <c r="M1379" s="100">
        <f>IF(AND(SamplingData[[#This Row],[Total]]&lt;&gt; 0, NOT(ISBLANK(SamplingData[[#This Row],[Candidate 4]]))),(SamplingData[[#This Row],[Total]]+SamplingData[[#This Row],[Winning Candidate]]-SamplingData[[#This Row],[Candidate 4]])/(SamplingData[[#Totals],[Winning Candidate]]-SamplingData[[#Totals],[Candidate 4]]), 0)</f>
        <v>7.6003390920517991E-4</v>
      </c>
      <c r="N1379" s="100">
        <f>IF(AND(SamplingData[[#This Row],[Total]]&lt;&gt; 0, NOT(ISBLANK(SamplingData[[#This Row],[Candidate 5]]))),(SamplingData[[#This Row],[Total]]+SamplingData[[#This Row],[Winning Candidate]]-SamplingData[[#This Row],[Candidate 5]])/(SamplingData[[#Totals],[Winning Candidate]]-SamplingData[[#Totals],[Candidate 5]]), 0)</f>
        <v>6.8109948917538315E-4</v>
      </c>
      <c r="O1379" s="100">
        <f>IF(AND(SamplingData[[#This Row],[Total]]&lt;&gt; 0, NOT(ISBLANK(SamplingData[[#This Row],[Candidate 6]]))),(SamplingData[[#This Row],[Total]]+SamplingData[[#This Row],[Winning Candidate]]-SamplingData[[#This Row],[Candidate 6]])/(SamplingData[[#Totals],[Winning Candidate]]-SamplingData[[#Totals],[Candidate 6]]), 0)</f>
        <v>6.8090073440007777E-4</v>
      </c>
      <c r="P1379" s="100">
        <f>MAX(SamplingData[[#This Row],[Error Bound (up) - Max. possible relative overstatement - Losing Candidate]:[Error Bound (up) - Max. possible relative overstatement - Candidate 6]])</f>
        <v>1.224889759921607E-3</v>
      </c>
      <c r="Q1379" s="100">
        <f>IF(SamplingData[[#This Row],[Max Error Bound (up)]] = 0,0,SamplingData[[#This Row],[Max Error Bound (up)]]/SamplingData[[#Totals],[Max Error Bound (up)]])</f>
        <v>1.9385896556891664E-4</v>
      </c>
      <c r="R1379" s="101">
        <f>SUM($Q$5:Q1379)</f>
        <v>0.42508834645242982</v>
      </c>
      <c r="S1379" s="100" t="str">
        <f t="array" ref="S1379">IF(SamplingData[[#This Row],[up/U Selection Probability]] = 0, "Zero", TEXT(SamplingData[[#This Row],[Lower Range]], REPT("0",LEN('General Info'!$B$40))) &amp; " - " &amp; TEXT(SamplingData[[#This Row],[Upper Range]], REPT("0",LEN('General Info'!$B$40))))</f>
        <v>42489 - 42508</v>
      </c>
      <c r="T1379" s="100">
        <f>SamplingData[[#This Row],[Upper Range]]-SamplingData[[#This Row],[Span]]</f>
        <v>42489.448942545059</v>
      </c>
      <c r="U1379" s="100">
        <f>IF(ISNUMBER('General Info'!$B$40), ((SamplingData[[#This Row],[up/U Selection Probability]]) * 'General Info'!$B$40) - 1, 0)</f>
        <v>18.385702697926096</v>
      </c>
      <c r="V1379" s="100">
        <f>IF(ISNUMBER('General Info'!$B$40), (SamplingData[[#This Row],[Running (cumulative) sum]] * ('General Info'!$B$40 -'General Info'!$B$41 + 1)) + 'General Info'!$B$41 - 1, 0)</f>
        <v>42507.834645242983</v>
      </c>
      <c r="W1379" s="100" t="str">
        <f>IF(ISERROR(MATCH(SamplingData[[#This Row],[Batch by Type (p)]],SelectedPrecincts[Batch Name], 0)), "", INDEX(SelectedPrecincts[Draw], MATCH(SamplingData[[#This Row],[Batch by Type (p)]],SelectedPrecincts[Batch Name], 0)))</f>
        <v/>
      </c>
      <c r="X1379" s="102">
        <f>IF(COUNTIF(SelectedPrecincts[Batch Name],SamplingData[[#This Row],[Batch by Type (p)]]) &lt;&gt; 0, COUNTIF(SelectedPrecincts[Batch Name],SamplingData[[#This Row],[Batch by Type (p)]]), 0)</f>
        <v>0</v>
      </c>
    </row>
    <row r="1380" spans="1:24" ht="15" customHeight="1">
      <c r="A1380" s="18" t="s">
        <v>1556</v>
      </c>
      <c r="B1380" s="18">
        <v>3</v>
      </c>
      <c r="C1380" s="18">
        <v>4</v>
      </c>
      <c r="D1380" s="18">
        <v>3</v>
      </c>
      <c r="E1380" s="18">
        <v>2</v>
      </c>
      <c r="F1380" s="18">
        <v>1</v>
      </c>
      <c r="G1380" s="18">
        <v>0</v>
      </c>
      <c r="H1380" s="18">
        <v>0</v>
      </c>
      <c r="I1380" s="18">
        <v>0</v>
      </c>
      <c r="J1380" s="99">
        <f>SUM(SamplingData[[#This Row],[Losing Candidate]:[Under Votes]])</f>
        <v>13</v>
      </c>
      <c r="K1380"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380" s="100">
        <f>IF(AND(SamplingData[[#This Row],[Total]]&lt;&gt; 0, NOT(ISBLANK(SamplingData[[#This Row],[Candidate 3]]))),(SamplingData[[#This Row],[Total]]+SamplingData[[#This Row],[Winning Candidate]]-SamplingData[[#This Row],[Candidate 3]])/(SamplingData[[#Totals],[Winning Candidate]]-SamplingData[[#Totals],[Candidate 3]]), 0)</f>
        <v>4.5165661193018679E-4</v>
      </c>
      <c r="M1380" s="100">
        <f>IF(AND(SamplingData[[#This Row],[Total]]&lt;&gt; 0, NOT(ISBLANK(SamplingData[[#This Row],[Candidate 4]]))),(SamplingData[[#This Row],[Total]]+SamplingData[[#This Row],[Winning Candidate]]-SamplingData[[#This Row],[Candidate 4]])/(SamplingData[[#Totals],[Winning Candidate]]-SamplingData[[#Totals],[Candidate 4]]), 0)</f>
        <v>4.3848110146452689E-4</v>
      </c>
      <c r="N1380" s="100">
        <f>IF(AND(SamplingData[[#This Row],[Total]]&lt;&gt; 0, NOT(ISBLANK(SamplingData[[#This Row],[Candidate 5]]))),(SamplingData[[#This Row],[Total]]+SamplingData[[#This Row],[Winning Candidate]]-SamplingData[[#This Row],[Candidate 5]])/(SamplingData[[#Totals],[Winning Candidate]]-SamplingData[[#Totals],[Candidate 5]]), 0)</f>
        <v>3.8919970810021893E-4</v>
      </c>
      <c r="O1380" s="100">
        <f>IF(AND(SamplingData[[#This Row],[Total]]&lt;&gt; 0, NOT(ISBLANK(SamplingData[[#This Row],[Candidate 6]]))),(SamplingData[[#This Row],[Total]]+SamplingData[[#This Row],[Winning Candidate]]-SamplingData[[#This Row],[Candidate 6]])/(SamplingData[[#Totals],[Winning Candidate]]-SamplingData[[#Totals],[Candidate 6]]), 0)</f>
        <v>4.1340401731433294E-4</v>
      </c>
      <c r="P1380" s="100">
        <f>MAX(SamplingData[[#This Row],[Error Bound (up) - Max. possible relative overstatement - Losing Candidate]:[Error Bound (up) - Max. possible relative overstatement - Candidate 6]])</f>
        <v>8.5742283194512492E-4</v>
      </c>
      <c r="Q1380" s="100">
        <f>IF(SamplingData[[#This Row],[Max Error Bound (up)]] = 0,0,SamplingData[[#This Row],[Max Error Bound (up)]]/SamplingData[[#Totals],[Max Error Bound (up)]])</f>
        <v>1.3570127589824165E-4</v>
      </c>
      <c r="R1380" s="101">
        <f>SUM($Q$5:Q1380)</f>
        <v>0.42522404772832806</v>
      </c>
      <c r="S1380" s="100" t="str">
        <f t="array" ref="S1380">IF(SamplingData[[#This Row],[up/U Selection Probability]] = 0, "Zero", TEXT(SamplingData[[#This Row],[Lower Range]], REPT("0",LEN('General Info'!$B$40))) &amp; " - " &amp; TEXT(SamplingData[[#This Row],[Upper Range]], REPT("0",LEN('General Info'!$B$40))))</f>
        <v>42509 - 42521</v>
      </c>
      <c r="T1380" s="100">
        <f>SamplingData[[#This Row],[Upper Range]]-SamplingData[[#This Row],[Span]]</f>
        <v>42508.834780944257</v>
      </c>
      <c r="U1380" s="100">
        <f>IF(ISNUMBER('General Info'!$B$40), ((SamplingData[[#This Row],[up/U Selection Probability]]) * 'General Info'!$B$40) - 1, 0)</f>
        <v>12.569991888548268</v>
      </c>
      <c r="V1380" s="100">
        <f>IF(ISNUMBER('General Info'!$B$40), (SamplingData[[#This Row],[Running (cumulative) sum]] * ('General Info'!$B$40 -'General Info'!$B$41 + 1)) + 'General Info'!$B$41 - 1, 0)</f>
        <v>42521.404772832808</v>
      </c>
      <c r="W1380" s="100" t="str">
        <f>IF(ISERROR(MATCH(SamplingData[[#This Row],[Batch by Type (p)]],SelectedPrecincts[Batch Name], 0)), "", INDEX(SelectedPrecincts[Draw], MATCH(SamplingData[[#This Row],[Batch by Type (p)]],SelectedPrecincts[Batch Name], 0)))</f>
        <v/>
      </c>
      <c r="X1380" s="102">
        <f>IF(COUNTIF(SelectedPrecincts[Batch Name],SamplingData[[#This Row],[Batch by Type (p)]]) &lt;&gt; 0, COUNTIF(SelectedPrecincts[Batch Name],SamplingData[[#This Row],[Batch by Type (p)]]), 0)</f>
        <v>0</v>
      </c>
    </row>
    <row r="1381" spans="1:24" ht="15" customHeight="1">
      <c r="A1381" s="18" t="s">
        <v>1557</v>
      </c>
      <c r="B1381" s="18">
        <v>6</v>
      </c>
      <c r="C1381" s="18">
        <v>5</v>
      </c>
      <c r="D1381" s="16">
        <v>2</v>
      </c>
      <c r="E1381" s="16">
        <v>1</v>
      </c>
      <c r="F1381" s="37">
        <v>0</v>
      </c>
      <c r="G1381" s="37">
        <v>0</v>
      </c>
      <c r="H1381" s="17">
        <v>0</v>
      </c>
      <c r="I1381" s="17">
        <v>0</v>
      </c>
      <c r="J1381" s="99">
        <f>SUM(SamplingData[[#This Row],[Losing Candidate]:[Under Votes]])</f>
        <v>14</v>
      </c>
      <c r="K1381"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1381" s="100">
        <f>IF(AND(SamplingData[[#This Row],[Total]]&lt;&gt; 0, NOT(ISBLANK(SamplingData[[#This Row],[Candidate 3]]))),(SamplingData[[#This Row],[Total]]+SamplingData[[#This Row],[Winning Candidate]]-SamplingData[[#This Row],[Candidate 3]])/(SamplingData[[#Totals],[Winning Candidate]]-SamplingData[[#Totals],[Candidate 3]]), 0)</f>
        <v>5.4844017162951255E-4</v>
      </c>
      <c r="M1381" s="100">
        <f>IF(AND(SamplingData[[#This Row],[Total]]&lt;&gt; 0, NOT(ISBLANK(SamplingData[[#This Row],[Candidate 4]]))),(SamplingData[[#This Row],[Total]]+SamplingData[[#This Row],[Winning Candidate]]-SamplingData[[#This Row],[Candidate 4]])/(SamplingData[[#Totals],[Winning Candidate]]-SamplingData[[#Totals],[Candidate 4]]), 0)</f>
        <v>5.2617732175743229E-4</v>
      </c>
      <c r="N1381" s="100">
        <f>IF(AND(SamplingData[[#This Row],[Total]]&lt;&gt; 0, NOT(ISBLANK(SamplingData[[#This Row],[Candidate 5]]))),(SamplingData[[#This Row],[Total]]+SamplingData[[#This Row],[Winning Candidate]]-SamplingData[[#This Row],[Candidate 5]])/(SamplingData[[#Totals],[Winning Candidate]]-SamplingData[[#Totals],[Candidate 5]]), 0)</f>
        <v>4.6217465336900997E-4</v>
      </c>
      <c r="O1381" s="100">
        <f>IF(AND(SamplingData[[#This Row],[Total]]&lt;&gt; 0, NOT(ISBLANK(SamplingData[[#This Row],[Candidate 6]]))),(SamplingData[[#This Row],[Total]]+SamplingData[[#This Row],[Winning Candidate]]-SamplingData[[#This Row],[Candidate 6]])/(SamplingData[[#Totals],[Winning Candidate]]-SamplingData[[#Totals],[Candidate 6]]), 0)</f>
        <v>4.6203978405719566E-4</v>
      </c>
      <c r="P1381" s="100">
        <f>MAX(SamplingData[[#This Row],[Error Bound (up) - Max. possible relative overstatement - Losing Candidate]:[Error Bound (up) - Max. possible relative overstatement - Candidate 6]])</f>
        <v>7.9617834394904463E-4</v>
      </c>
      <c r="Q1381" s="100">
        <f>IF(SamplingData[[#This Row],[Max Error Bound (up)]] = 0,0,SamplingData[[#This Row],[Max Error Bound (up)]]/SamplingData[[#Totals],[Max Error Bound (up)]])</f>
        <v>1.2600832761979581E-4</v>
      </c>
      <c r="R1381" s="101">
        <f>SUM($Q$5:Q1381)</f>
        <v>0.42535005605594783</v>
      </c>
      <c r="S1381" s="100" t="str">
        <f t="array" ref="S1381">IF(SamplingData[[#This Row],[up/U Selection Probability]] = 0, "Zero", TEXT(SamplingData[[#This Row],[Lower Range]], REPT("0",LEN('General Info'!$B$40))) &amp; " - " &amp; TEXT(SamplingData[[#This Row],[Upper Range]], REPT("0",LEN('General Info'!$B$40))))</f>
        <v>42522 - 42534</v>
      </c>
      <c r="T1381" s="100">
        <f>SamplingData[[#This Row],[Upper Range]]-SamplingData[[#This Row],[Span]]</f>
        <v>42522.404898841138</v>
      </c>
      <c r="U1381" s="100">
        <f>IF(ISNUMBER('General Info'!$B$40), ((SamplingData[[#This Row],[up/U Selection Probability]]) * 'General Info'!$B$40) - 1, 0)</f>
        <v>11.600706753651961</v>
      </c>
      <c r="V1381" s="100">
        <f>IF(ISNUMBER('General Info'!$B$40), (SamplingData[[#This Row],[Running (cumulative) sum]] * ('General Info'!$B$40 -'General Info'!$B$41 + 1)) + 'General Info'!$B$41 - 1, 0)</f>
        <v>42534.005605594786</v>
      </c>
      <c r="W1381" s="100" t="str">
        <f>IF(ISERROR(MATCH(SamplingData[[#This Row],[Batch by Type (p)]],SelectedPrecincts[Batch Name], 0)), "", INDEX(SelectedPrecincts[Draw], MATCH(SamplingData[[#This Row],[Batch by Type (p)]],SelectedPrecincts[Batch Name], 0)))</f>
        <v/>
      </c>
      <c r="X1381" s="102">
        <f>IF(COUNTIF(SelectedPrecincts[Batch Name],SamplingData[[#This Row],[Batch by Type (p)]]) &lt;&gt; 0, COUNTIF(SelectedPrecincts[Batch Name],SamplingData[[#This Row],[Batch by Type (p)]]), 0)</f>
        <v>0</v>
      </c>
    </row>
    <row r="1382" spans="1:24" ht="15" customHeight="1">
      <c r="A1382" s="18" t="s">
        <v>1558</v>
      </c>
      <c r="B1382" s="18">
        <v>4</v>
      </c>
      <c r="C1382" s="18">
        <v>1</v>
      </c>
      <c r="D1382" s="18">
        <v>3</v>
      </c>
      <c r="E1382" s="18">
        <v>0</v>
      </c>
      <c r="F1382" s="18">
        <v>0</v>
      </c>
      <c r="G1382" s="18">
        <v>0</v>
      </c>
      <c r="H1382" s="18">
        <v>0</v>
      </c>
      <c r="I1382" s="18">
        <v>0</v>
      </c>
      <c r="J1382" s="99">
        <f>SUM(SamplingData[[#This Row],[Losing Candidate]:[Under Votes]])</f>
        <v>8</v>
      </c>
      <c r="K1382"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1382" s="100">
        <f>IF(AND(SamplingData[[#This Row],[Total]]&lt;&gt; 0, NOT(ISBLANK(SamplingData[[#This Row],[Candidate 3]]))),(SamplingData[[#This Row],[Total]]+SamplingData[[#This Row],[Winning Candidate]]-SamplingData[[#This Row],[Candidate 3]])/(SamplingData[[#Totals],[Winning Candidate]]-SamplingData[[#Totals],[Candidate 3]]), 0)</f>
        <v>1.9356711939865149E-4</v>
      </c>
      <c r="M1382" s="100">
        <f>IF(AND(SamplingData[[#This Row],[Total]]&lt;&gt; 0, NOT(ISBLANK(SamplingData[[#This Row],[Candidate 4]]))),(SamplingData[[#This Row],[Total]]+SamplingData[[#This Row],[Winning Candidate]]-SamplingData[[#This Row],[Candidate 4]])/(SamplingData[[#Totals],[Winning Candidate]]-SamplingData[[#Totals],[Candidate 4]]), 0)</f>
        <v>2.6308866087871614E-4</v>
      </c>
      <c r="N1382" s="100">
        <f>IF(AND(SamplingData[[#This Row],[Total]]&lt;&gt; 0, NOT(ISBLANK(SamplingData[[#This Row],[Candidate 5]]))),(SamplingData[[#This Row],[Total]]+SamplingData[[#This Row],[Winning Candidate]]-SamplingData[[#This Row],[Candidate 5]])/(SamplingData[[#Totals],[Winning Candidate]]-SamplingData[[#Totals],[Candidate 5]]), 0)</f>
        <v>2.1892483580637315E-4</v>
      </c>
      <c r="O1382" s="100">
        <f>IF(AND(SamplingData[[#This Row],[Total]]&lt;&gt; 0, NOT(ISBLANK(SamplingData[[#This Row],[Candidate 6]]))),(SamplingData[[#This Row],[Total]]+SamplingData[[#This Row],[Winning Candidate]]-SamplingData[[#This Row],[Candidate 6]])/(SamplingData[[#Totals],[Winning Candidate]]-SamplingData[[#Totals],[Candidate 6]]), 0)</f>
        <v>2.1886095034288216E-4</v>
      </c>
      <c r="P1382" s="100">
        <f>MAX(SamplingData[[#This Row],[Error Bound (up) - Max. possible relative overstatement - Losing Candidate]:[Error Bound (up) - Max. possible relative overstatement - Candidate 6]])</f>
        <v>3.0622243998040176E-4</v>
      </c>
      <c r="Q1382" s="100">
        <f>IF(SamplingData[[#This Row],[Max Error Bound (up)]] = 0,0,SamplingData[[#This Row],[Max Error Bound (up)]]/SamplingData[[#Totals],[Max Error Bound (up)]])</f>
        <v>4.8464741392229159E-5</v>
      </c>
      <c r="R1382" s="101">
        <f>SUM($Q$5:Q1382)</f>
        <v>0.42539852079734009</v>
      </c>
      <c r="S1382" s="100" t="str">
        <f t="array" ref="S1382">IF(SamplingData[[#This Row],[up/U Selection Probability]] = 0, "Zero", TEXT(SamplingData[[#This Row],[Lower Range]], REPT("0",LEN('General Info'!$B$40))) &amp; " - " &amp; TEXT(SamplingData[[#This Row],[Upper Range]], REPT("0",LEN('General Info'!$B$40))))</f>
        <v>42535 - 42539</v>
      </c>
      <c r="T1382" s="100">
        <f>SamplingData[[#This Row],[Upper Range]]-SamplingData[[#This Row],[Span]]</f>
        <v>42535.005654059525</v>
      </c>
      <c r="U1382" s="100">
        <f>IF(ISNUMBER('General Info'!$B$40), ((SamplingData[[#This Row],[up/U Selection Probability]]) * 'General Info'!$B$40) - 1, 0)</f>
        <v>3.8464256744815239</v>
      </c>
      <c r="V1382" s="100">
        <f>IF(ISNUMBER('General Info'!$B$40), (SamplingData[[#This Row],[Running (cumulative) sum]] * ('General Info'!$B$40 -'General Info'!$B$41 + 1)) + 'General Info'!$B$41 - 1, 0)</f>
        <v>42538.85207973401</v>
      </c>
      <c r="W1382" s="100" t="str">
        <f>IF(ISERROR(MATCH(SamplingData[[#This Row],[Batch by Type (p)]],SelectedPrecincts[Batch Name], 0)), "", INDEX(SelectedPrecincts[Draw], MATCH(SamplingData[[#This Row],[Batch by Type (p)]],SelectedPrecincts[Batch Name], 0)))</f>
        <v/>
      </c>
      <c r="X1382" s="102">
        <f>IF(COUNTIF(SelectedPrecincts[Batch Name],SamplingData[[#This Row],[Batch by Type (p)]]) &lt;&gt; 0, COUNTIF(SelectedPrecincts[Batch Name],SamplingData[[#This Row],[Batch by Type (p)]]), 0)</f>
        <v>0</v>
      </c>
    </row>
    <row r="1383" spans="1:24" ht="15" customHeight="1">
      <c r="A1383" s="18" t="s">
        <v>1559</v>
      </c>
      <c r="B1383" s="18">
        <v>7</v>
      </c>
      <c r="C1383" s="18">
        <v>6</v>
      </c>
      <c r="D1383" s="16">
        <v>1</v>
      </c>
      <c r="E1383" s="16">
        <v>1</v>
      </c>
      <c r="F1383" s="37">
        <v>0</v>
      </c>
      <c r="G1383" s="37">
        <v>0</v>
      </c>
      <c r="H1383" s="17">
        <v>0</v>
      </c>
      <c r="I1383" s="17">
        <v>2</v>
      </c>
      <c r="J1383" s="99">
        <f>SUM(SamplingData[[#This Row],[Losing Candidate]:[Under Votes]])</f>
        <v>17</v>
      </c>
      <c r="K1383"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383" s="100">
        <f>IF(AND(SamplingData[[#This Row],[Total]]&lt;&gt; 0, NOT(ISBLANK(SamplingData[[#This Row],[Candidate 3]]))),(SamplingData[[#This Row],[Total]]+SamplingData[[#This Row],[Winning Candidate]]-SamplingData[[#This Row],[Candidate 3]])/(SamplingData[[#Totals],[Winning Candidate]]-SamplingData[[#Totals],[Candidate 3]]), 0)</f>
        <v>7.0974610446172207E-4</v>
      </c>
      <c r="M1383" s="100">
        <f>IF(AND(SamplingData[[#This Row],[Total]]&lt;&gt; 0, NOT(ISBLANK(SamplingData[[#This Row],[Candidate 4]]))),(SamplingData[[#This Row],[Total]]+SamplingData[[#This Row],[Winning Candidate]]-SamplingData[[#This Row],[Candidate 4]])/(SamplingData[[#Totals],[Winning Candidate]]-SamplingData[[#Totals],[Candidate 4]]), 0)</f>
        <v>6.4310561548130605E-4</v>
      </c>
      <c r="N1383" s="100">
        <f>IF(AND(SamplingData[[#This Row],[Total]]&lt;&gt; 0, NOT(ISBLANK(SamplingData[[#This Row],[Candidate 5]]))),(SamplingData[[#This Row],[Total]]+SamplingData[[#This Row],[Winning Candidate]]-SamplingData[[#This Row],[Candidate 5]])/(SamplingData[[#Totals],[Winning Candidate]]-SamplingData[[#Totals],[Candidate 5]]), 0)</f>
        <v>5.5947458039406475E-4</v>
      </c>
      <c r="O1383" s="100">
        <f>IF(AND(SamplingData[[#This Row],[Total]]&lt;&gt; 0, NOT(ISBLANK(SamplingData[[#This Row],[Candidate 6]]))),(SamplingData[[#This Row],[Total]]+SamplingData[[#This Row],[Winning Candidate]]-SamplingData[[#This Row],[Candidate 6]])/(SamplingData[[#Totals],[Winning Candidate]]-SamplingData[[#Totals],[Candidate 6]]), 0)</f>
        <v>5.5931131754292105E-4</v>
      </c>
      <c r="P1383" s="100">
        <f>MAX(SamplingData[[#This Row],[Error Bound (up) - Max. possible relative overstatement - Losing Candidate]:[Error Bound (up) - Max. possible relative overstatement - Candidate 6]])</f>
        <v>9.7991180793728563E-4</v>
      </c>
      <c r="Q1383" s="100">
        <f>IF(SamplingData[[#This Row],[Max Error Bound (up)]] = 0,0,SamplingData[[#This Row],[Max Error Bound (up)]]/SamplingData[[#Totals],[Max Error Bound (up)]])</f>
        <v>1.550871724551333E-4</v>
      </c>
      <c r="R1383" s="101">
        <f>SUM($Q$5:Q1383)</f>
        <v>0.42555360796979524</v>
      </c>
      <c r="S1383" s="100" t="str">
        <f t="array" ref="S1383">IF(SamplingData[[#This Row],[up/U Selection Probability]] = 0, "Zero", TEXT(SamplingData[[#This Row],[Lower Range]], REPT("0",LEN('General Info'!$B$40))) &amp; " - " &amp; TEXT(SamplingData[[#This Row],[Upper Range]], REPT("0",LEN('General Info'!$B$40))))</f>
        <v>42540 - 42554</v>
      </c>
      <c r="T1383" s="100">
        <f>SamplingData[[#This Row],[Upper Range]]-SamplingData[[#This Row],[Span]]</f>
        <v>42539.852234821185</v>
      </c>
      <c r="U1383" s="100">
        <f>IF(ISNUMBER('General Info'!$B$40), ((SamplingData[[#This Row],[up/U Selection Probability]]) * 'General Info'!$B$40) - 1, 0)</f>
        <v>14.508562158340876</v>
      </c>
      <c r="V1383" s="100">
        <f>IF(ISNUMBER('General Info'!$B$40), (SamplingData[[#This Row],[Running (cumulative) sum]] * ('General Info'!$B$40 -'General Info'!$B$41 + 1)) + 'General Info'!$B$41 - 1, 0)</f>
        <v>42554.360796979527</v>
      </c>
      <c r="W1383" s="100" t="str">
        <f>IF(ISERROR(MATCH(SamplingData[[#This Row],[Batch by Type (p)]],SelectedPrecincts[Batch Name], 0)), "", INDEX(SelectedPrecincts[Draw], MATCH(SamplingData[[#This Row],[Batch by Type (p)]],SelectedPrecincts[Batch Name], 0)))</f>
        <v/>
      </c>
      <c r="X1383" s="102">
        <f>IF(COUNTIF(SelectedPrecincts[Batch Name],SamplingData[[#This Row],[Batch by Type (p)]]) &lt;&gt; 0, COUNTIF(SelectedPrecincts[Batch Name],SamplingData[[#This Row],[Batch by Type (p)]]), 0)</f>
        <v>0</v>
      </c>
    </row>
    <row r="1384" spans="1:24" ht="15" customHeight="1">
      <c r="A1384" s="18" t="s">
        <v>1560</v>
      </c>
      <c r="B1384" s="18">
        <v>2</v>
      </c>
      <c r="C1384" s="18">
        <v>0</v>
      </c>
      <c r="D1384" s="18">
        <v>0</v>
      </c>
      <c r="E1384" s="18">
        <v>0</v>
      </c>
      <c r="F1384" s="18">
        <v>0</v>
      </c>
      <c r="G1384" s="18">
        <v>1</v>
      </c>
      <c r="H1384" s="18">
        <v>0</v>
      </c>
      <c r="I1384" s="18">
        <v>0</v>
      </c>
      <c r="J1384" s="99">
        <f>SUM(SamplingData[[#This Row],[Losing Candidate]:[Under Votes]])</f>
        <v>3</v>
      </c>
      <c r="K138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384" s="100">
        <f>IF(AND(SamplingData[[#This Row],[Total]]&lt;&gt; 0, NOT(ISBLANK(SamplingData[[#This Row],[Candidate 3]]))),(SamplingData[[#This Row],[Total]]+SamplingData[[#This Row],[Winning Candidate]]-SamplingData[[#This Row],[Candidate 3]])/(SamplingData[[#Totals],[Winning Candidate]]-SamplingData[[#Totals],[Candidate 3]]), 0)</f>
        <v>9.6783559699325743E-5</v>
      </c>
      <c r="M1384" s="100">
        <f>IF(AND(SamplingData[[#This Row],[Total]]&lt;&gt; 0, NOT(ISBLANK(SamplingData[[#This Row],[Candidate 4]]))),(SamplingData[[#This Row],[Total]]+SamplingData[[#This Row],[Winning Candidate]]-SamplingData[[#This Row],[Candidate 4]])/(SamplingData[[#Totals],[Winning Candidate]]-SamplingData[[#Totals],[Candidate 4]]), 0)</f>
        <v>8.7696220292905373E-5</v>
      </c>
      <c r="N1384" s="100">
        <f>IF(AND(SamplingData[[#This Row],[Total]]&lt;&gt; 0, NOT(ISBLANK(SamplingData[[#This Row],[Candidate 5]]))),(SamplingData[[#This Row],[Total]]+SamplingData[[#This Row],[Winning Candidate]]-SamplingData[[#This Row],[Candidate 5]])/(SamplingData[[#Totals],[Winning Candidate]]-SamplingData[[#Totals],[Candidate 5]]), 0)</f>
        <v>7.2974945268791054E-5</v>
      </c>
      <c r="O1384" s="100">
        <f>IF(AND(SamplingData[[#This Row],[Total]]&lt;&gt; 0, NOT(ISBLANK(SamplingData[[#This Row],[Candidate 6]]))),(SamplingData[[#This Row],[Total]]+SamplingData[[#This Row],[Winning Candidate]]-SamplingData[[#This Row],[Candidate 6]])/(SamplingData[[#Totals],[Winning Candidate]]-SamplingData[[#Totals],[Candidate 6]]), 0)</f>
        <v>4.8635766742862701E-5</v>
      </c>
      <c r="P1384" s="100">
        <f>MAX(SamplingData[[#This Row],[Error Bound (up) - Max. possible relative overstatement - Losing Candidate]:[Error Bound (up) - Max. possible relative overstatement - Candidate 6]])</f>
        <v>9.6783559699325743E-5</v>
      </c>
      <c r="Q1384" s="100">
        <f>IF(SamplingData[[#This Row],[Max Error Bound (up)]] = 0,0,SamplingData[[#This Row],[Max Error Bound (up)]]/SamplingData[[#Totals],[Max Error Bound (up)]])</f>
        <v>1.5317591330496199E-5</v>
      </c>
      <c r="R1384" s="101">
        <f>SUM($Q$5:Q1384)</f>
        <v>0.42556892556112574</v>
      </c>
      <c r="S1384" s="100" t="str">
        <f t="array" ref="S1384">IF(SamplingData[[#This Row],[up/U Selection Probability]] = 0, "Zero", TEXT(SamplingData[[#This Row],[Lower Range]], REPT("0",LEN('General Info'!$B$40))) &amp; " - " &amp; TEXT(SamplingData[[#This Row],[Upper Range]], REPT("0",LEN('General Info'!$B$40))))</f>
        <v>42555 - 42556</v>
      </c>
      <c r="T1384" s="100">
        <f>SamplingData[[#This Row],[Upper Range]]-SamplingData[[#This Row],[Span]]</f>
        <v>42555.360812297113</v>
      </c>
      <c r="U1384" s="100">
        <f>IF(ISNUMBER('General Info'!$B$40), ((SamplingData[[#This Row],[up/U Selection Probability]]) * 'General Info'!$B$40) - 1, 0)</f>
        <v>0.53174381545828941</v>
      </c>
      <c r="V1384" s="100">
        <f>IF(ISNUMBER('General Info'!$B$40), (SamplingData[[#This Row],[Running (cumulative) sum]] * ('General Info'!$B$40 -'General Info'!$B$41 + 1)) + 'General Info'!$B$41 - 1, 0)</f>
        <v>42555.892556112572</v>
      </c>
      <c r="W1384" s="100" t="str">
        <f>IF(ISERROR(MATCH(SamplingData[[#This Row],[Batch by Type (p)]],SelectedPrecincts[Batch Name], 0)), "", INDEX(SelectedPrecincts[Draw], MATCH(SamplingData[[#This Row],[Batch by Type (p)]],SelectedPrecincts[Batch Name], 0)))</f>
        <v/>
      </c>
      <c r="X1384" s="102">
        <f>IF(COUNTIF(SelectedPrecincts[Batch Name],SamplingData[[#This Row],[Batch by Type (p)]]) &lt;&gt; 0, COUNTIF(SelectedPrecincts[Batch Name],SamplingData[[#This Row],[Batch by Type (p)]]), 0)</f>
        <v>0</v>
      </c>
    </row>
    <row r="1385" spans="1:24" ht="15" customHeight="1">
      <c r="A1385" s="18" t="s">
        <v>1561</v>
      </c>
      <c r="B1385" s="18">
        <v>8</v>
      </c>
      <c r="C1385" s="18">
        <v>7</v>
      </c>
      <c r="D1385" s="16">
        <v>6</v>
      </c>
      <c r="E1385" s="16">
        <v>3</v>
      </c>
      <c r="F1385" s="37">
        <v>1</v>
      </c>
      <c r="G1385" s="37">
        <v>0</v>
      </c>
      <c r="H1385" s="17">
        <v>0</v>
      </c>
      <c r="I1385" s="17">
        <v>0</v>
      </c>
      <c r="J1385" s="99">
        <f>SUM(SamplingData[[#This Row],[Losing Candidate]:[Under Votes]])</f>
        <v>25</v>
      </c>
      <c r="K1385"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1385" s="100">
        <f>IF(AND(SamplingData[[#This Row],[Total]]&lt;&gt; 0, NOT(ISBLANK(SamplingData[[#This Row],[Candidate 3]]))),(SamplingData[[#This Row],[Total]]+SamplingData[[#This Row],[Winning Candidate]]-SamplingData[[#This Row],[Candidate 3]])/(SamplingData[[#Totals],[Winning Candidate]]-SamplingData[[#Totals],[Candidate 3]]), 0)</f>
        <v>8.3879085072748971E-4</v>
      </c>
      <c r="M1385" s="100">
        <f>IF(AND(SamplingData[[#This Row],[Total]]&lt;&gt; 0, NOT(ISBLANK(SamplingData[[#This Row],[Candidate 4]]))),(SamplingData[[#This Row],[Total]]+SamplingData[[#This Row],[Winning Candidate]]-SamplingData[[#This Row],[Candidate 4]])/(SamplingData[[#Totals],[Winning Candidate]]-SamplingData[[#Totals],[Candidate 4]]), 0)</f>
        <v>8.4773012949808531E-4</v>
      </c>
      <c r="N1385" s="100">
        <f>IF(AND(SamplingData[[#This Row],[Total]]&lt;&gt; 0, NOT(ISBLANK(SamplingData[[#This Row],[Candidate 5]]))),(SamplingData[[#This Row],[Total]]+SamplingData[[#This Row],[Winning Candidate]]-SamplingData[[#This Row],[Candidate 5]])/(SamplingData[[#Totals],[Winning Candidate]]-SamplingData[[#Totals],[Candidate 5]]), 0)</f>
        <v>7.5407443444417419E-4</v>
      </c>
      <c r="O1385" s="100">
        <f>IF(AND(SamplingData[[#This Row],[Total]]&lt;&gt; 0, NOT(ISBLANK(SamplingData[[#This Row],[Candidate 6]]))),(SamplingData[[#This Row],[Total]]+SamplingData[[#This Row],[Winning Candidate]]-SamplingData[[#This Row],[Candidate 6]])/(SamplingData[[#Totals],[Winning Candidate]]-SamplingData[[#Totals],[Candidate 6]]), 0)</f>
        <v>7.7817226788580321E-4</v>
      </c>
      <c r="P1385" s="100">
        <f>MAX(SamplingData[[#This Row],[Error Bound (up) - Max. possible relative overstatement - Losing Candidate]:[Error Bound (up) - Max. possible relative overstatement - Candidate 6]])</f>
        <v>1.4698677119059284E-3</v>
      </c>
      <c r="Q1385" s="100">
        <f>IF(SamplingData[[#This Row],[Max Error Bound (up)]] = 0,0,SamplingData[[#This Row],[Max Error Bound (up)]]/SamplingData[[#Totals],[Max Error Bound (up)]])</f>
        <v>2.3263075868269994E-4</v>
      </c>
      <c r="R1385" s="101">
        <f>SUM($Q$5:Q1385)</f>
        <v>0.42580155631980843</v>
      </c>
      <c r="S1385" s="100" t="str">
        <f t="array" ref="S1385">IF(SamplingData[[#This Row],[up/U Selection Probability]] = 0, "Zero", TEXT(SamplingData[[#This Row],[Lower Range]], REPT("0",LEN('General Info'!$B$40))) &amp; " - " &amp; TEXT(SamplingData[[#This Row],[Upper Range]], REPT("0",LEN('General Info'!$B$40))))</f>
        <v>42557 - 42579</v>
      </c>
      <c r="T1385" s="100">
        <f>SamplingData[[#This Row],[Upper Range]]-SamplingData[[#This Row],[Span]]</f>
        <v>42556.892788743331</v>
      </c>
      <c r="U1385" s="100">
        <f>IF(ISNUMBER('General Info'!$B$40), ((SamplingData[[#This Row],[up/U Selection Probability]]) * 'General Info'!$B$40) - 1, 0)</f>
        <v>22.262843237511312</v>
      </c>
      <c r="V1385" s="100">
        <f>IF(ISNUMBER('General Info'!$B$40), (SamplingData[[#This Row],[Running (cumulative) sum]] * ('General Info'!$B$40 -'General Info'!$B$41 + 1)) + 'General Info'!$B$41 - 1, 0)</f>
        <v>42579.155631980844</v>
      </c>
      <c r="W1385" s="100" t="str">
        <f>IF(ISERROR(MATCH(SamplingData[[#This Row],[Batch by Type (p)]],SelectedPrecincts[Batch Name], 0)), "", INDEX(SelectedPrecincts[Draw], MATCH(SamplingData[[#This Row],[Batch by Type (p)]],SelectedPrecincts[Batch Name], 0)))</f>
        <v/>
      </c>
      <c r="X1385" s="102">
        <f>IF(COUNTIF(SelectedPrecincts[Batch Name],SamplingData[[#This Row],[Batch by Type (p)]]) &lt;&gt; 0, COUNTIF(SelectedPrecincts[Batch Name],SamplingData[[#This Row],[Batch by Type (p)]]), 0)</f>
        <v>0</v>
      </c>
    </row>
    <row r="1386" spans="1:24" ht="15" customHeight="1">
      <c r="A1386" s="18" t="s">
        <v>1562</v>
      </c>
      <c r="B1386" s="18">
        <v>19</v>
      </c>
      <c r="C1386" s="18">
        <v>7</v>
      </c>
      <c r="D1386" s="18">
        <v>4</v>
      </c>
      <c r="E1386" s="18">
        <v>1</v>
      </c>
      <c r="F1386" s="18">
        <v>0</v>
      </c>
      <c r="G1386" s="18">
        <v>0</v>
      </c>
      <c r="H1386" s="18">
        <v>0</v>
      </c>
      <c r="I1386" s="18">
        <v>0</v>
      </c>
      <c r="J1386" s="99">
        <f>SUM(SamplingData[[#This Row],[Losing Candidate]:[Under Votes]])</f>
        <v>31</v>
      </c>
      <c r="K1386"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386" s="100">
        <f>IF(AND(SamplingData[[#This Row],[Total]]&lt;&gt; 0, NOT(ISBLANK(SamplingData[[#This Row],[Candidate 3]]))),(SamplingData[[#This Row],[Total]]+SamplingData[[#This Row],[Winning Candidate]]-SamplingData[[#This Row],[Candidate 3]])/(SamplingData[[#Totals],[Winning Candidate]]-SamplingData[[#Totals],[Candidate 3]]), 0)</f>
        <v>1.0968803432590251E-3</v>
      </c>
      <c r="M1386" s="100">
        <f>IF(AND(SamplingData[[#This Row],[Total]]&lt;&gt; 0, NOT(ISBLANK(SamplingData[[#This Row],[Candidate 4]]))),(SamplingData[[#This Row],[Total]]+SamplingData[[#This Row],[Winning Candidate]]-SamplingData[[#This Row],[Candidate 4]])/(SamplingData[[#Totals],[Winning Candidate]]-SamplingData[[#Totals],[Candidate 4]]), 0)</f>
        <v>1.081586716945833E-3</v>
      </c>
      <c r="N1386" s="100">
        <f>IF(AND(SamplingData[[#This Row],[Total]]&lt;&gt; 0, NOT(ISBLANK(SamplingData[[#This Row],[Candidate 5]]))),(SamplingData[[#This Row],[Total]]+SamplingData[[#This Row],[Winning Candidate]]-SamplingData[[#This Row],[Candidate 5]])/(SamplingData[[#Totals],[Winning Candidate]]-SamplingData[[#Totals],[Candidate 5]]), 0)</f>
        <v>9.2434930673801995E-4</v>
      </c>
      <c r="O1386" s="100">
        <f>IF(AND(SamplingData[[#This Row],[Total]]&lt;&gt; 0, NOT(ISBLANK(SamplingData[[#This Row],[Candidate 6]]))),(SamplingData[[#This Row],[Total]]+SamplingData[[#This Row],[Winning Candidate]]-SamplingData[[#This Row],[Candidate 6]])/(SamplingData[[#Totals],[Winning Candidate]]-SamplingData[[#Totals],[Candidate 6]]), 0)</f>
        <v>9.2407956811439132E-4</v>
      </c>
      <c r="P1386" s="100">
        <f>MAX(SamplingData[[#This Row],[Error Bound (up) - Max. possible relative overstatement - Losing Candidate]:[Error Bound (up) - Max. possible relative overstatement - Candidate 6]])</f>
        <v>1.1636452719255266E-3</v>
      </c>
      <c r="Q1386" s="100">
        <f>IF(SamplingData[[#This Row],[Max Error Bound (up)]] = 0,0,SamplingData[[#This Row],[Max Error Bound (up)]]/SamplingData[[#Totals],[Max Error Bound (up)]])</f>
        <v>1.841660172904708E-4</v>
      </c>
      <c r="R1386" s="101">
        <f>SUM($Q$5:Q1386)</f>
        <v>0.42598572233709892</v>
      </c>
      <c r="S1386" s="100" t="str">
        <f t="array" ref="S1386">IF(SamplingData[[#This Row],[up/U Selection Probability]] = 0, "Zero", TEXT(SamplingData[[#This Row],[Lower Range]], REPT("0",LEN('General Info'!$B$40))) &amp; " - " &amp; TEXT(SamplingData[[#This Row],[Upper Range]], REPT("0",LEN('General Info'!$B$40))))</f>
        <v>42580 - 42598</v>
      </c>
      <c r="T1386" s="100">
        <f>SamplingData[[#This Row],[Upper Range]]-SamplingData[[#This Row],[Span]]</f>
        <v>42580.155816146864</v>
      </c>
      <c r="U1386" s="100">
        <f>IF(ISNUMBER('General Info'!$B$40), ((SamplingData[[#This Row],[up/U Selection Probability]]) * 'General Info'!$B$40) - 1, 0)</f>
        <v>17.416417563029789</v>
      </c>
      <c r="V1386" s="100">
        <f>IF(ISNUMBER('General Info'!$B$40), (SamplingData[[#This Row],[Running (cumulative) sum]] * ('General Info'!$B$40 -'General Info'!$B$41 + 1)) + 'General Info'!$B$41 - 1, 0)</f>
        <v>42597.572233709892</v>
      </c>
      <c r="W1386" s="100" t="str">
        <f>IF(ISERROR(MATCH(SamplingData[[#This Row],[Batch by Type (p)]],SelectedPrecincts[Batch Name], 0)), "", INDEX(SelectedPrecincts[Draw], MATCH(SamplingData[[#This Row],[Batch by Type (p)]],SelectedPrecincts[Batch Name], 0)))</f>
        <v/>
      </c>
      <c r="X1386" s="102">
        <f>IF(COUNTIF(SelectedPrecincts[Batch Name],SamplingData[[#This Row],[Batch by Type (p)]]) &lt;&gt; 0, COUNTIF(SelectedPrecincts[Batch Name],SamplingData[[#This Row],[Batch by Type (p)]]), 0)</f>
        <v>0</v>
      </c>
    </row>
    <row r="1387" spans="1:24" ht="15" customHeight="1">
      <c r="A1387" s="18" t="s">
        <v>1563</v>
      </c>
      <c r="B1387" s="18">
        <v>9</v>
      </c>
      <c r="C1387" s="18">
        <v>7</v>
      </c>
      <c r="D1387" s="16">
        <v>6</v>
      </c>
      <c r="E1387" s="16">
        <v>2</v>
      </c>
      <c r="F1387" s="37">
        <v>0</v>
      </c>
      <c r="G1387" s="37">
        <v>0</v>
      </c>
      <c r="H1387" s="17">
        <v>0</v>
      </c>
      <c r="I1387" s="17">
        <v>0</v>
      </c>
      <c r="J1387" s="99">
        <f>SUM(SamplingData[[#This Row],[Losing Candidate]:[Under Votes]])</f>
        <v>24</v>
      </c>
      <c r="K1387"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1387" s="100">
        <f>IF(AND(SamplingData[[#This Row],[Total]]&lt;&gt; 0, NOT(ISBLANK(SamplingData[[#This Row],[Candidate 3]]))),(SamplingData[[#This Row],[Total]]+SamplingData[[#This Row],[Winning Candidate]]-SamplingData[[#This Row],[Candidate 3]])/(SamplingData[[#Totals],[Winning Candidate]]-SamplingData[[#Totals],[Candidate 3]]), 0)</f>
        <v>8.0652966416104783E-4</v>
      </c>
      <c r="M1387" s="100">
        <f>IF(AND(SamplingData[[#This Row],[Total]]&lt;&gt; 0, NOT(ISBLANK(SamplingData[[#This Row],[Candidate 4]]))),(SamplingData[[#This Row],[Total]]+SamplingData[[#This Row],[Winning Candidate]]-SamplingData[[#This Row],[Candidate 4]])/(SamplingData[[#Totals],[Winning Candidate]]-SamplingData[[#Totals],[Candidate 4]]), 0)</f>
        <v>8.4773012949808531E-4</v>
      </c>
      <c r="N1387" s="100">
        <f>IF(AND(SamplingData[[#This Row],[Total]]&lt;&gt; 0, NOT(ISBLANK(SamplingData[[#This Row],[Candidate 5]]))),(SamplingData[[#This Row],[Total]]+SamplingData[[#This Row],[Winning Candidate]]-SamplingData[[#This Row],[Candidate 5]])/(SamplingData[[#Totals],[Winning Candidate]]-SamplingData[[#Totals],[Candidate 5]]), 0)</f>
        <v>7.5407443444417419E-4</v>
      </c>
      <c r="O1387" s="100">
        <f>IF(AND(SamplingData[[#This Row],[Total]]&lt;&gt; 0, NOT(ISBLANK(SamplingData[[#This Row],[Candidate 6]]))),(SamplingData[[#This Row],[Total]]+SamplingData[[#This Row],[Winning Candidate]]-SamplingData[[#This Row],[Candidate 6]])/(SamplingData[[#Totals],[Winning Candidate]]-SamplingData[[#Totals],[Candidate 6]]), 0)</f>
        <v>7.5385438451437182E-4</v>
      </c>
      <c r="P1387" s="100">
        <f>MAX(SamplingData[[#This Row],[Error Bound (up) - Max. possible relative overstatement - Losing Candidate]:[Error Bound (up) - Max. possible relative overstatement - Candidate 6]])</f>
        <v>1.3473787359137678E-3</v>
      </c>
      <c r="Q1387" s="100">
        <f>IF(SamplingData[[#This Row],[Max Error Bound (up)]] = 0,0,SamplingData[[#This Row],[Max Error Bound (up)]]/SamplingData[[#Totals],[Max Error Bound (up)]])</f>
        <v>2.1324486212580832E-4</v>
      </c>
      <c r="R1387" s="101">
        <f>SUM($Q$5:Q1387)</f>
        <v>0.42619896719922473</v>
      </c>
      <c r="S1387" s="100" t="str">
        <f t="array" ref="S1387">IF(SamplingData[[#This Row],[up/U Selection Probability]] = 0, "Zero", TEXT(SamplingData[[#This Row],[Lower Range]], REPT("0",LEN('General Info'!$B$40))) &amp; " - " &amp; TEXT(SamplingData[[#This Row],[Upper Range]], REPT("0",LEN('General Info'!$B$40))))</f>
        <v>42599 - 42619</v>
      </c>
      <c r="T1387" s="100">
        <f>SamplingData[[#This Row],[Upper Range]]-SamplingData[[#This Row],[Span]]</f>
        <v>42598.572446954749</v>
      </c>
      <c r="U1387" s="100">
        <f>IF(ISNUMBER('General Info'!$B$40), ((SamplingData[[#This Row],[up/U Selection Probability]]) * 'General Info'!$B$40) - 1, 0)</f>
        <v>20.324272967718706</v>
      </c>
      <c r="V1387" s="100">
        <f>IF(ISNUMBER('General Info'!$B$40), (SamplingData[[#This Row],[Running (cumulative) sum]] * ('General Info'!$B$40 -'General Info'!$B$41 + 1)) + 'General Info'!$B$41 - 1, 0)</f>
        <v>42618.896719922472</v>
      </c>
      <c r="W1387" s="100" t="str">
        <f>IF(ISERROR(MATCH(SamplingData[[#This Row],[Batch by Type (p)]],SelectedPrecincts[Batch Name], 0)), "", INDEX(SelectedPrecincts[Draw], MATCH(SamplingData[[#This Row],[Batch by Type (p)]],SelectedPrecincts[Batch Name], 0)))</f>
        <v/>
      </c>
      <c r="X1387" s="102">
        <f>IF(COUNTIF(SelectedPrecincts[Batch Name],SamplingData[[#This Row],[Batch by Type (p)]]) &lt;&gt; 0, COUNTIF(SelectedPrecincts[Batch Name],SamplingData[[#This Row],[Batch by Type (p)]]), 0)</f>
        <v>0</v>
      </c>
    </row>
    <row r="1388" spans="1:24" ht="15" customHeight="1">
      <c r="A1388" s="18" t="s">
        <v>1564</v>
      </c>
      <c r="B1388" s="18">
        <v>3</v>
      </c>
      <c r="C1388" s="18">
        <v>3</v>
      </c>
      <c r="D1388" s="18">
        <v>0</v>
      </c>
      <c r="E1388" s="18">
        <v>0</v>
      </c>
      <c r="F1388" s="18">
        <v>0</v>
      </c>
      <c r="G1388" s="18">
        <v>0</v>
      </c>
      <c r="H1388" s="18">
        <v>0</v>
      </c>
      <c r="I1388" s="18">
        <v>1</v>
      </c>
      <c r="J1388" s="99">
        <f>SUM(SamplingData[[#This Row],[Losing Candidate]:[Under Votes]])</f>
        <v>7</v>
      </c>
      <c r="K1388"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388" s="100">
        <f>IF(AND(SamplingData[[#This Row],[Total]]&lt;&gt; 0, NOT(ISBLANK(SamplingData[[#This Row],[Candidate 3]]))),(SamplingData[[#This Row],[Total]]+SamplingData[[#This Row],[Winning Candidate]]-SamplingData[[#This Row],[Candidate 3]])/(SamplingData[[#Totals],[Winning Candidate]]-SamplingData[[#Totals],[Candidate 3]]), 0)</f>
        <v>3.2261186566441915E-4</v>
      </c>
      <c r="M1388" s="100">
        <f>IF(AND(SamplingData[[#This Row],[Total]]&lt;&gt; 0, NOT(ISBLANK(SamplingData[[#This Row],[Candidate 4]]))),(SamplingData[[#This Row],[Total]]+SamplingData[[#This Row],[Winning Candidate]]-SamplingData[[#This Row],[Candidate 4]])/(SamplingData[[#Totals],[Winning Candidate]]-SamplingData[[#Totals],[Candidate 4]]), 0)</f>
        <v>2.9232073430968461E-4</v>
      </c>
      <c r="N1388" s="100">
        <f>IF(AND(SamplingData[[#This Row],[Total]]&lt;&gt; 0, NOT(ISBLANK(SamplingData[[#This Row],[Candidate 5]]))),(SamplingData[[#This Row],[Total]]+SamplingData[[#This Row],[Winning Candidate]]-SamplingData[[#This Row],[Candidate 5]])/(SamplingData[[#Totals],[Winning Candidate]]-SamplingData[[#Totals],[Candidate 5]]), 0)</f>
        <v>2.4324981756263683E-4</v>
      </c>
      <c r="O1388" s="100">
        <f>IF(AND(SamplingData[[#This Row],[Total]]&lt;&gt; 0, NOT(ISBLANK(SamplingData[[#This Row],[Candidate 6]]))),(SamplingData[[#This Row],[Total]]+SamplingData[[#This Row],[Winning Candidate]]-SamplingData[[#This Row],[Candidate 6]])/(SamplingData[[#Totals],[Winning Candidate]]-SamplingData[[#Totals],[Candidate 6]]), 0)</f>
        <v>2.431788337143135E-4</v>
      </c>
      <c r="P1388" s="100">
        <f>MAX(SamplingData[[#This Row],[Error Bound (up) - Max. possible relative overstatement - Losing Candidate]:[Error Bound (up) - Max. possible relative overstatement - Candidate 6]])</f>
        <v>4.2871141597256246E-4</v>
      </c>
      <c r="Q1388" s="100">
        <f>IF(SamplingData[[#This Row],[Max Error Bound (up)]] = 0,0,SamplingData[[#This Row],[Max Error Bound (up)]]/SamplingData[[#Totals],[Max Error Bound (up)]])</f>
        <v>6.7850637949120826E-5</v>
      </c>
      <c r="R1388" s="101">
        <f>SUM($Q$5:Q1388)</f>
        <v>0.42626681783717385</v>
      </c>
      <c r="S1388" s="100" t="str">
        <f t="array" ref="S1388">IF(SamplingData[[#This Row],[up/U Selection Probability]] = 0, "Zero", TEXT(SamplingData[[#This Row],[Lower Range]], REPT("0",LEN('General Info'!$B$40))) &amp; " - " &amp; TEXT(SamplingData[[#This Row],[Upper Range]], REPT("0",LEN('General Info'!$B$40))))</f>
        <v>42620 - 42626</v>
      </c>
      <c r="T1388" s="100">
        <f>SamplingData[[#This Row],[Upper Range]]-SamplingData[[#This Row],[Span]]</f>
        <v>42619.896787773112</v>
      </c>
      <c r="U1388" s="100">
        <f>IF(ISNUMBER('General Info'!$B$40), ((SamplingData[[#This Row],[up/U Selection Probability]]) * 'General Info'!$B$40) - 1, 0)</f>
        <v>5.7849959442741339</v>
      </c>
      <c r="V1388" s="100">
        <f>IF(ISNUMBER('General Info'!$B$40), (SamplingData[[#This Row],[Running (cumulative) sum]] * ('General Info'!$B$40 -'General Info'!$B$41 + 1)) + 'General Info'!$B$41 - 1, 0)</f>
        <v>42625.681783717388</v>
      </c>
      <c r="W1388" s="100" t="str">
        <f>IF(ISERROR(MATCH(SamplingData[[#This Row],[Batch by Type (p)]],SelectedPrecincts[Batch Name], 0)), "", INDEX(SelectedPrecincts[Draw], MATCH(SamplingData[[#This Row],[Batch by Type (p)]],SelectedPrecincts[Batch Name], 0)))</f>
        <v/>
      </c>
      <c r="X1388" s="102">
        <f>IF(COUNTIF(SelectedPrecincts[Batch Name],SamplingData[[#This Row],[Batch by Type (p)]]) &lt;&gt; 0, COUNTIF(SelectedPrecincts[Batch Name],SamplingData[[#This Row],[Batch by Type (p)]]), 0)</f>
        <v>0</v>
      </c>
    </row>
    <row r="1389" spans="1:24" ht="15" customHeight="1">
      <c r="A1389" s="18" t="s">
        <v>1565</v>
      </c>
      <c r="B1389" s="18">
        <v>10</v>
      </c>
      <c r="C1389" s="18">
        <v>7</v>
      </c>
      <c r="D1389" s="16">
        <v>1</v>
      </c>
      <c r="E1389" s="16">
        <v>4</v>
      </c>
      <c r="F1389" s="37">
        <v>0</v>
      </c>
      <c r="G1389" s="37">
        <v>0</v>
      </c>
      <c r="H1389" s="17">
        <v>0</v>
      </c>
      <c r="I1389" s="17">
        <v>0</v>
      </c>
      <c r="J1389" s="99">
        <f>SUM(SamplingData[[#This Row],[Losing Candidate]:[Under Votes]])</f>
        <v>22</v>
      </c>
      <c r="K1389"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389" s="100">
        <f>IF(AND(SamplingData[[#This Row],[Total]]&lt;&gt; 0, NOT(ISBLANK(SamplingData[[#This Row],[Candidate 3]]))),(SamplingData[[#This Row],[Total]]+SamplingData[[#This Row],[Winning Candidate]]-SamplingData[[#This Row],[Candidate 3]])/(SamplingData[[#Totals],[Winning Candidate]]-SamplingData[[#Totals],[Candidate 3]]), 0)</f>
        <v>9.0331322386037359E-4</v>
      </c>
      <c r="M1389" s="100">
        <f>IF(AND(SamplingData[[#This Row],[Total]]&lt;&gt; 0, NOT(ISBLANK(SamplingData[[#This Row],[Candidate 4]]))),(SamplingData[[#This Row],[Total]]+SamplingData[[#This Row],[Winning Candidate]]-SamplingData[[#This Row],[Candidate 4]])/(SamplingData[[#Totals],[Winning Candidate]]-SamplingData[[#Totals],[Candidate 4]]), 0)</f>
        <v>7.3080183577421145E-4</v>
      </c>
      <c r="N1389" s="100">
        <f>IF(AND(SamplingData[[#This Row],[Total]]&lt;&gt; 0, NOT(ISBLANK(SamplingData[[#This Row],[Candidate 5]]))),(SamplingData[[#This Row],[Total]]+SamplingData[[#This Row],[Winning Candidate]]-SamplingData[[#This Row],[Candidate 5]])/(SamplingData[[#Totals],[Winning Candidate]]-SamplingData[[#Totals],[Candidate 5]]), 0)</f>
        <v>7.0542447093164683E-4</v>
      </c>
      <c r="O1389" s="100">
        <f>IF(AND(SamplingData[[#This Row],[Total]]&lt;&gt; 0, NOT(ISBLANK(SamplingData[[#This Row],[Candidate 6]]))),(SamplingData[[#This Row],[Total]]+SamplingData[[#This Row],[Winning Candidate]]-SamplingData[[#This Row],[Candidate 6]])/(SamplingData[[#Totals],[Winning Candidate]]-SamplingData[[#Totals],[Candidate 6]]), 0)</f>
        <v>7.0521861777150916E-4</v>
      </c>
      <c r="P1389" s="100">
        <f>MAX(SamplingData[[#This Row],[Error Bound (up) - Max. possible relative overstatement - Losing Candidate]:[Error Bound (up) - Max. possible relative overstatement - Candidate 6]])</f>
        <v>1.1636452719255266E-3</v>
      </c>
      <c r="Q1389" s="100">
        <f>IF(SamplingData[[#This Row],[Max Error Bound (up)]] = 0,0,SamplingData[[#This Row],[Max Error Bound (up)]]/SamplingData[[#Totals],[Max Error Bound (up)]])</f>
        <v>1.841660172904708E-4</v>
      </c>
      <c r="R1389" s="101">
        <f>SUM($Q$5:Q1389)</f>
        <v>0.42645098385446434</v>
      </c>
      <c r="S1389" s="100" t="str">
        <f t="array" ref="S1389">IF(SamplingData[[#This Row],[up/U Selection Probability]] = 0, "Zero", TEXT(SamplingData[[#This Row],[Lower Range]], REPT("0",LEN('General Info'!$B$40))) &amp; " - " &amp; TEXT(SamplingData[[#This Row],[Upper Range]], REPT("0",LEN('General Info'!$B$40))))</f>
        <v>42627 - 42644</v>
      </c>
      <c r="T1389" s="100">
        <f>SamplingData[[#This Row],[Upper Range]]-SamplingData[[#This Row],[Span]]</f>
        <v>42626.681967883407</v>
      </c>
      <c r="U1389" s="100">
        <f>IF(ISNUMBER('General Info'!$B$40), ((SamplingData[[#This Row],[up/U Selection Probability]]) * 'General Info'!$B$40) - 1, 0)</f>
        <v>17.416417563029789</v>
      </c>
      <c r="V1389" s="100">
        <f>IF(ISNUMBER('General Info'!$B$40), (SamplingData[[#This Row],[Running (cumulative) sum]] * ('General Info'!$B$40 -'General Info'!$B$41 + 1)) + 'General Info'!$B$41 - 1, 0)</f>
        <v>42644.098385446436</v>
      </c>
      <c r="W1389" s="100" t="str">
        <f>IF(ISERROR(MATCH(SamplingData[[#This Row],[Batch by Type (p)]],SelectedPrecincts[Batch Name], 0)), "", INDEX(SelectedPrecincts[Draw], MATCH(SamplingData[[#This Row],[Batch by Type (p)]],SelectedPrecincts[Batch Name], 0)))</f>
        <v/>
      </c>
      <c r="X1389" s="102">
        <f>IF(COUNTIF(SelectedPrecincts[Batch Name],SamplingData[[#This Row],[Batch by Type (p)]]) &lt;&gt; 0, COUNTIF(SelectedPrecincts[Batch Name],SamplingData[[#This Row],[Batch by Type (p)]]), 0)</f>
        <v>0</v>
      </c>
    </row>
    <row r="1390" spans="1:24" ht="15" customHeight="1">
      <c r="A1390" s="18" t="s">
        <v>1566</v>
      </c>
      <c r="B1390" s="18">
        <v>5</v>
      </c>
      <c r="C1390" s="18">
        <v>1</v>
      </c>
      <c r="D1390" s="18">
        <v>0</v>
      </c>
      <c r="E1390" s="18">
        <v>1</v>
      </c>
      <c r="F1390" s="18">
        <v>0</v>
      </c>
      <c r="G1390" s="18">
        <v>0</v>
      </c>
      <c r="H1390" s="18">
        <v>0</v>
      </c>
      <c r="I1390" s="18">
        <v>0</v>
      </c>
      <c r="J1390" s="99">
        <f>SUM(SamplingData[[#This Row],[Losing Candidate]:[Under Votes]])</f>
        <v>7</v>
      </c>
      <c r="K1390"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390" s="100">
        <f>IF(AND(SamplingData[[#This Row],[Total]]&lt;&gt; 0, NOT(ISBLANK(SamplingData[[#This Row],[Candidate 3]]))),(SamplingData[[#This Row],[Total]]+SamplingData[[#This Row],[Winning Candidate]]-SamplingData[[#This Row],[Candidate 3]])/(SamplingData[[#Totals],[Winning Candidate]]-SamplingData[[#Totals],[Candidate 3]]), 0)</f>
        <v>2.5808949253153533E-4</v>
      </c>
      <c r="M1390" s="100">
        <f>IF(AND(SamplingData[[#This Row],[Total]]&lt;&gt; 0, NOT(ISBLANK(SamplingData[[#This Row],[Candidate 4]]))),(SamplingData[[#This Row],[Total]]+SamplingData[[#This Row],[Winning Candidate]]-SamplingData[[#This Row],[Candidate 4]])/(SamplingData[[#Totals],[Winning Candidate]]-SamplingData[[#Totals],[Candidate 4]]), 0)</f>
        <v>2.0462451401677921E-4</v>
      </c>
      <c r="N1390" s="100">
        <f>IF(AND(SamplingData[[#This Row],[Total]]&lt;&gt; 0, NOT(ISBLANK(SamplingData[[#This Row],[Candidate 5]]))),(SamplingData[[#This Row],[Total]]+SamplingData[[#This Row],[Winning Candidate]]-SamplingData[[#This Row],[Candidate 5]])/(SamplingData[[#Totals],[Winning Candidate]]-SamplingData[[#Totals],[Candidate 5]]), 0)</f>
        <v>1.9459985405010947E-4</v>
      </c>
      <c r="O1390" s="100">
        <f>IF(AND(SamplingData[[#This Row],[Total]]&lt;&gt; 0, NOT(ISBLANK(SamplingData[[#This Row],[Candidate 6]]))),(SamplingData[[#This Row],[Total]]+SamplingData[[#This Row],[Winning Candidate]]-SamplingData[[#This Row],[Candidate 6]])/(SamplingData[[#Totals],[Winning Candidate]]-SamplingData[[#Totals],[Candidate 6]]), 0)</f>
        <v>1.945430669714508E-4</v>
      </c>
      <c r="P1390" s="100">
        <f>MAX(SamplingData[[#This Row],[Error Bound (up) - Max. possible relative overstatement - Losing Candidate]:[Error Bound (up) - Max. possible relative overstatement - Candidate 6]])</f>
        <v>2.5808949253153533E-4</v>
      </c>
      <c r="Q1390" s="100">
        <f>IF(SamplingData[[#This Row],[Max Error Bound (up)]] = 0,0,SamplingData[[#This Row],[Max Error Bound (up)]]/SamplingData[[#Totals],[Max Error Bound (up)]])</f>
        <v>4.084691021465653E-5</v>
      </c>
      <c r="R1390" s="101">
        <f>SUM($Q$5:Q1390)</f>
        <v>0.426491830764679</v>
      </c>
      <c r="S1390" s="100" t="str">
        <f t="array" ref="S1390">IF(SamplingData[[#This Row],[up/U Selection Probability]] = 0, "Zero", TEXT(SamplingData[[#This Row],[Lower Range]], REPT("0",LEN('General Info'!$B$40))) &amp; " - " &amp; TEXT(SamplingData[[#This Row],[Upper Range]], REPT("0",LEN('General Info'!$B$40))))</f>
        <v>42645 - 42648</v>
      </c>
      <c r="T1390" s="100">
        <f>SamplingData[[#This Row],[Upper Range]]-SamplingData[[#This Row],[Span]]</f>
        <v>42645.098426293349</v>
      </c>
      <c r="U1390" s="100">
        <f>IF(ISNUMBER('General Info'!$B$40), ((SamplingData[[#This Row],[up/U Selection Probability]]) * 'General Info'!$B$40) - 1, 0)</f>
        <v>3.0846501745554384</v>
      </c>
      <c r="V1390" s="100">
        <f>IF(ISNUMBER('General Info'!$B$40), (SamplingData[[#This Row],[Running (cumulative) sum]] * ('General Info'!$B$40 -'General Info'!$B$41 + 1)) + 'General Info'!$B$41 - 1, 0)</f>
        <v>42648.183076467903</v>
      </c>
      <c r="W1390" s="100" t="str">
        <f>IF(ISERROR(MATCH(SamplingData[[#This Row],[Batch by Type (p)]],SelectedPrecincts[Batch Name], 0)), "", INDEX(SelectedPrecincts[Draw], MATCH(SamplingData[[#This Row],[Batch by Type (p)]],SelectedPrecincts[Batch Name], 0)))</f>
        <v/>
      </c>
      <c r="X1390" s="102">
        <f>IF(COUNTIF(SelectedPrecincts[Batch Name],SamplingData[[#This Row],[Batch by Type (p)]]) &lt;&gt; 0, COUNTIF(SelectedPrecincts[Batch Name],SamplingData[[#This Row],[Batch by Type (p)]]), 0)</f>
        <v>0</v>
      </c>
    </row>
    <row r="1391" spans="1:24" ht="15" customHeight="1">
      <c r="A1391" s="18" t="s">
        <v>1567</v>
      </c>
      <c r="B1391" s="18">
        <v>3</v>
      </c>
      <c r="C1391" s="18">
        <v>10</v>
      </c>
      <c r="D1391" s="16">
        <v>0</v>
      </c>
      <c r="E1391" s="16">
        <v>2</v>
      </c>
      <c r="F1391" s="37">
        <v>0</v>
      </c>
      <c r="G1391" s="37">
        <v>0</v>
      </c>
      <c r="H1391" s="17">
        <v>0</v>
      </c>
      <c r="I1391" s="17">
        <v>0</v>
      </c>
      <c r="J1391" s="99">
        <f>SUM(SamplingData[[#This Row],[Losing Candidate]:[Under Votes]])</f>
        <v>15</v>
      </c>
      <c r="K1391"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1391" s="100">
        <f>IF(AND(SamplingData[[#This Row],[Total]]&lt;&gt; 0, NOT(ISBLANK(SamplingData[[#This Row],[Candidate 3]]))),(SamplingData[[#This Row],[Total]]+SamplingData[[#This Row],[Winning Candidate]]-SamplingData[[#This Row],[Candidate 3]])/(SamplingData[[#Totals],[Winning Candidate]]-SamplingData[[#Totals],[Candidate 3]]), 0)</f>
        <v>8.0652966416104783E-4</v>
      </c>
      <c r="M1391" s="100">
        <f>IF(AND(SamplingData[[#This Row],[Total]]&lt;&gt; 0, NOT(ISBLANK(SamplingData[[#This Row],[Candidate 4]]))),(SamplingData[[#This Row],[Total]]+SamplingData[[#This Row],[Winning Candidate]]-SamplingData[[#This Row],[Candidate 4]])/(SamplingData[[#Totals],[Winning Candidate]]-SamplingData[[#Totals],[Candidate 4]]), 0)</f>
        <v>6.7233768891227451E-4</v>
      </c>
      <c r="N1391" s="100">
        <f>IF(AND(SamplingData[[#This Row],[Total]]&lt;&gt; 0, NOT(ISBLANK(SamplingData[[#This Row],[Candidate 5]]))),(SamplingData[[#This Row],[Total]]+SamplingData[[#This Row],[Winning Candidate]]-SamplingData[[#This Row],[Candidate 5]])/(SamplingData[[#Totals],[Winning Candidate]]-SamplingData[[#Totals],[Candidate 5]]), 0)</f>
        <v>6.0812454390659211E-4</v>
      </c>
      <c r="O1391" s="100">
        <f>IF(AND(SamplingData[[#This Row],[Total]]&lt;&gt; 0, NOT(ISBLANK(SamplingData[[#This Row],[Candidate 6]]))),(SamplingData[[#This Row],[Total]]+SamplingData[[#This Row],[Winning Candidate]]-SamplingData[[#This Row],[Candidate 6]])/(SamplingData[[#Totals],[Winning Candidate]]-SamplingData[[#Totals],[Candidate 6]]), 0)</f>
        <v>6.0794708428578371E-4</v>
      </c>
      <c r="P1391" s="100">
        <f>MAX(SamplingData[[#This Row],[Error Bound (up) - Max. possible relative overstatement - Losing Candidate]:[Error Bound (up) - Max. possible relative overstatement - Candidate 6]])</f>
        <v>1.3473787359137678E-3</v>
      </c>
      <c r="Q1391" s="100">
        <f>IF(SamplingData[[#This Row],[Max Error Bound (up)]] = 0,0,SamplingData[[#This Row],[Max Error Bound (up)]]/SamplingData[[#Totals],[Max Error Bound (up)]])</f>
        <v>2.1324486212580832E-4</v>
      </c>
      <c r="R1391" s="101">
        <f>SUM($Q$5:Q1391)</f>
        <v>0.42670507562680482</v>
      </c>
      <c r="S1391" s="100" t="str">
        <f t="array" ref="S1391">IF(SamplingData[[#This Row],[up/U Selection Probability]] = 0, "Zero", TEXT(SamplingData[[#This Row],[Lower Range]], REPT("0",LEN('General Info'!$B$40))) &amp; " - " &amp; TEXT(SamplingData[[#This Row],[Upper Range]], REPT("0",LEN('General Info'!$B$40))))</f>
        <v>42649 - 42670</v>
      </c>
      <c r="T1391" s="100">
        <f>SamplingData[[#This Row],[Upper Range]]-SamplingData[[#This Row],[Span]]</f>
        <v>42649.183289712761</v>
      </c>
      <c r="U1391" s="100">
        <f>IF(ISNUMBER('General Info'!$B$40), ((SamplingData[[#This Row],[up/U Selection Probability]]) * 'General Info'!$B$40) - 1, 0)</f>
        <v>20.324272967718706</v>
      </c>
      <c r="V1391" s="100">
        <f>IF(ISNUMBER('General Info'!$B$40), (SamplingData[[#This Row],[Running (cumulative) sum]] * ('General Info'!$B$40 -'General Info'!$B$41 + 1)) + 'General Info'!$B$41 - 1, 0)</f>
        <v>42669.507562680483</v>
      </c>
      <c r="W1391" s="100" t="str">
        <f>IF(ISERROR(MATCH(SamplingData[[#This Row],[Batch by Type (p)]],SelectedPrecincts[Batch Name], 0)), "", INDEX(SelectedPrecincts[Draw], MATCH(SamplingData[[#This Row],[Batch by Type (p)]],SelectedPrecincts[Batch Name], 0)))</f>
        <v/>
      </c>
      <c r="X1391" s="102">
        <f>IF(COUNTIF(SelectedPrecincts[Batch Name],SamplingData[[#This Row],[Batch by Type (p)]]) &lt;&gt; 0, COUNTIF(SelectedPrecincts[Batch Name],SamplingData[[#This Row],[Batch by Type (p)]]), 0)</f>
        <v>0</v>
      </c>
    </row>
    <row r="1392" spans="1:24" ht="15" customHeight="1">
      <c r="A1392" s="18" t="s">
        <v>1568</v>
      </c>
      <c r="B1392" s="18">
        <v>2</v>
      </c>
      <c r="C1392" s="18">
        <v>0</v>
      </c>
      <c r="D1392" s="18">
        <v>1</v>
      </c>
      <c r="E1392" s="18">
        <v>5</v>
      </c>
      <c r="F1392" s="18">
        <v>0</v>
      </c>
      <c r="G1392" s="18">
        <v>1</v>
      </c>
      <c r="H1392" s="18">
        <v>0</v>
      </c>
      <c r="I1392" s="18">
        <v>0</v>
      </c>
      <c r="J1392" s="99">
        <f>SUM(SamplingData[[#This Row],[Losing Candidate]:[Under Votes]])</f>
        <v>9</v>
      </c>
      <c r="K1392"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392" s="100">
        <f>IF(AND(SamplingData[[#This Row],[Total]]&lt;&gt; 0, NOT(ISBLANK(SamplingData[[#This Row],[Candidate 3]]))),(SamplingData[[#This Row],[Total]]+SamplingData[[#This Row],[Winning Candidate]]-SamplingData[[#This Row],[Candidate 3]])/(SamplingData[[#Totals],[Winning Candidate]]-SamplingData[[#Totals],[Candidate 3]]), 0)</f>
        <v>2.5808949253153533E-4</v>
      </c>
      <c r="M1392" s="100">
        <f>IF(AND(SamplingData[[#This Row],[Total]]&lt;&gt; 0, NOT(ISBLANK(SamplingData[[#This Row],[Candidate 4]]))),(SamplingData[[#This Row],[Total]]+SamplingData[[#This Row],[Winning Candidate]]-SamplingData[[#This Row],[Candidate 4]])/(SamplingData[[#Totals],[Winning Candidate]]-SamplingData[[#Totals],[Candidate 4]]), 0)</f>
        <v>1.1692829372387384E-4</v>
      </c>
      <c r="N1392" s="100">
        <f>IF(AND(SamplingData[[#This Row],[Total]]&lt;&gt; 0, NOT(ISBLANK(SamplingData[[#This Row],[Candidate 5]]))),(SamplingData[[#This Row],[Total]]+SamplingData[[#This Row],[Winning Candidate]]-SamplingData[[#This Row],[Candidate 5]])/(SamplingData[[#Totals],[Winning Candidate]]-SamplingData[[#Totals],[Candidate 5]]), 0)</f>
        <v>2.1892483580637315E-4</v>
      </c>
      <c r="O1392" s="100">
        <f>IF(AND(SamplingData[[#This Row],[Total]]&lt;&gt; 0, NOT(ISBLANK(SamplingData[[#This Row],[Candidate 6]]))),(SamplingData[[#This Row],[Total]]+SamplingData[[#This Row],[Winning Candidate]]-SamplingData[[#This Row],[Candidate 6]])/(SamplingData[[#Totals],[Winning Candidate]]-SamplingData[[#Totals],[Candidate 6]]), 0)</f>
        <v>1.945430669714508E-4</v>
      </c>
      <c r="P1392" s="100">
        <f>MAX(SamplingData[[#This Row],[Error Bound (up) - Max. possible relative overstatement - Losing Candidate]:[Error Bound (up) - Max. possible relative overstatement - Candidate 6]])</f>
        <v>4.2871141597256246E-4</v>
      </c>
      <c r="Q1392" s="100">
        <f>IF(SamplingData[[#This Row],[Max Error Bound (up)]] = 0,0,SamplingData[[#This Row],[Max Error Bound (up)]]/SamplingData[[#Totals],[Max Error Bound (up)]])</f>
        <v>6.7850637949120826E-5</v>
      </c>
      <c r="R1392" s="101">
        <f>SUM($Q$5:Q1392)</f>
        <v>0.42677292626475394</v>
      </c>
      <c r="S1392" s="100" t="str">
        <f t="array" ref="S1392">IF(SamplingData[[#This Row],[up/U Selection Probability]] = 0, "Zero", TEXT(SamplingData[[#This Row],[Lower Range]], REPT("0",LEN('General Info'!$B$40))) &amp; " - " &amp; TEXT(SamplingData[[#This Row],[Upper Range]], REPT("0",LEN('General Info'!$B$40))))</f>
        <v>42671 - 42676</v>
      </c>
      <c r="T1392" s="100">
        <f>SamplingData[[#This Row],[Upper Range]]-SamplingData[[#This Row],[Span]]</f>
        <v>42670.507630531116</v>
      </c>
      <c r="U1392" s="100">
        <f>IF(ISNUMBER('General Info'!$B$40), ((SamplingData[[#This Row],[up/U Selection Probability]]) * 'General Info'!$B$40) - 1, 0)</f>
        <v>5.7849959442741339</v>
      </c>
      <c r="V1392" s="100">
        <f>IF(ISNUMBER('General Info'!$B$40), (SamplingData[[#This Row],[Running (cumulative) sum]] * ('General Info'!$B$40 -'General Info'!$B$41 + 1)) + 'General Info'!$B$41 - 1, 0)</f>
        <v>42676.292626475391</v>
      </c>
      <c r="W1392" s="100" t="str">
        <f>IF(ISERROR(MATCH(SamplingData[[#This Row],[Batch by Type (p)]],SelectedPrecincts[Batch Name], 0)), "", INDEX(SelectedPrecincts[Draw], MATCH(SamplingData[[#This Row],[Batch by Type (p)]],SelectedPrecincts[Batch Name], 0)))</f>
        <v/>
      </c>
      <c r="X1392" s="102">
        <f>IF(COUNTIF(SelectedPrecincts[Batch Name],SamplingData[[#This Row],[Batch by Type (p)]]) &lt;&gt; 0, COUNTIF(SelectedPrecincts[Batch Name],SamplingData[[#This Row],[Batch by Type (p)]]), 0)</f>
        <v>0</v>
      </c>
    </row>
    <row r="1393" spans="1:24" ht="15" customHeight="1">
      <c r="A1393" s="18" t="s">
        <v>1569</v>
      </c>
      <c r="B1393" s="18">
        <v>7</v>
      </c>
      <c r="C1393" s="18">
        <v>4</v>
      </c>
      <c r="D1393" s="16">
        <v>0</v>
      </c>
      <c r="E1393" s="16">
        <v>0</v>
      </c>
      <c r="F1393" s="37">
        <v>0</v>
      </c>
      <c r="G1393" s="37">
        <v>0</v>
      </c>
      <c r="H1393" s="17">
        <v>0</v>
      </c>
      <c r="I1393" s="17">
        <v>0</v>
      </c>
      <c r="J1393" s="99">
        <f>SUM(SamplingData[[#This Row],[Losing Candidate]:[Under Votes]])</f>
        <v>11</v>
      </c>
      <c r="K1393"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393" s="100">
        <f>IF(AND(SamplingData[[#This Row],[Total]]&lt;&gt; 0, NOT(ISBLANK(SamplingData[[#This Row],[Candidate 3]]))),(SamplingData[[#This Row],[Total]]+SamplingData[[#This Row],[Winning Candidate]]-SamplingData[[#This Row],[Candidate 3]])/(SamplingData[[#Totals],[Winning Candidate]]-SamplingData[[#Totals],[Candidate 3]]), 0)</f>
        <v>4.8391779849662873E-4</v>
      </c>
      <c r="M1393" s="100">
        <f>IF(AND(SamplingData[[#This Row],[Total]]&lt;&gt; 0, NOT(ISBLANK(SamplingData[[#This Row],[Candidate 4]]))),(SamplingData[[#This Row],[Total]]+SamplingData[[#This Row],[Winning Candidate]]-SamplingData[[#This Row],[Candidate 4]])/(SamplingData[[#Totals],[Winning Candidate]]-SamplingData[[#Totals],[Candidate 4]]), 0)</f>
        <v>4.3848110146452689E-4</v>
      </c>
      <c r="N1393" s="100">
        <f>IF(AND(SamplingData[[#This Row],[Total]]&lt;&gt; 0, NOT(ISBLANK(SamplingData[[#This Row],[Candidate 5]]))),(SamplingData[[#This Row],[Total]]+SamplingData[[#This Row],[Winning Candidate]]-SamplingData[[#This Row],[Candidate 5]])/(SamplingData[[#Totals],[Winning Candidate]]-SamplingData[[#Totals],[Candidate 5]]), 0)</f>
        <v>3.6487472634395525E-4</v>
      </c>
      <c r="O1393" s="100">
        <f>IF(AND(SamplingData[[#This Row],[Total]]&lt;&gt; 0, NOT(ISBLANK(SamplingData[[#This Row],[Candidate 6]]))),(SamplingData[[#This Row],[Total]]+SamplingData[[#This Row],[Winning Candidate]]-SamplingData[[#This Row],[Candidate 6]])/(SamplingData[[#Totals],[Winning Candidate]]-SamplingData[[#Totals],[Candidate 6]]), 0)</f>
        <v>3.6476825057147027E-4</v>
      </c>
      <c r="P1393" s="100">
        <f>MAX(SamplingData[[#This Row],[Error Bound (up) - Max. possible relative overstatement - Losing Candidate]:[Error Bound (up) - Max. possible relative overstatement - Candidate 6]])</f>
        <v>4.8995590396864281E-4</v>
      </c>
      <c r="Q1393" s="100">
        <f>IF(SamplingData[[#This Row],[Max Error Bound (up)]] = 0,0,SamplingData[[#This Row],[Max Error Bound (up)]]/SamplingData[[#Totals],[Max Error Bound (up)]])</f>
        <v>7.7543586227566652E-5</v>
      </c>
      <c r="R1393" s="101">
        <f>SUM($Q$5:Q1393)</f>
        <v>0.42685046985098152</v>
      </c>
      <c r="S1393" s="100" t="str">
        <f t="array" ref="S1393">IF(SamplingData[[#This Row],[up/U Selection Probability]] = 0, "Zero", TEXT(SamplingData[[#This Row],[Lower Range]], REPT("0",LEN('General Info'!$B$40))) &amp; " - " &amp; TEXT(SamplingData[[#This Row],[Upper Range]], REPT("0",LEN('General Info'!$B$40))))</f>
        <v>42677 - 42684</v>
      </c>
      <c r="T1393" s="100">
        <f>SamplingData[[#This Row],[Upper Range]]-SamplingData[[#This Row],[Span]]</f>
        <v>42677.292704018982</v>
      </c>
      <c r="U1393" s="100">
        <f>IF(ISNUMBER('General Info'!$B$40), ((SamplingData[[#This Row],[up/U Selection Probability]]) * 'General Info'!$B$40) - 1, 0)</f>
        <v>6.754281079170438</v>
      </c>
      <c r="V1393" s="100">
        <f>IF(ISNUMBER('General Info'!$B$40), (SamplingData[[#This Row],[Running (cumulative) sum]] * ('General Info'!$B$40 -'General Info'!$B$41 + 1)) + 'General Info'!$B$41 - 1, 0)</f>
        <v>42684.046985098154</v>
      </c>
      <c r="W1393" s="100" t="str">
        <f>IF(ISERROR(MATCH(SamplingData[[#This Row],[Batch by Type (p)]],SelectedPrecincts[Batch Name], 0)), "", INDEX(SelectedPrecincts[Draw], MATCH(SamplingData[[#This Row],[Batch by Type (p)]],SelectedPrecincts[Batch Name], 0)))</f>
        <v/>
      </c>
      <c r="X1393" s="102">
        <f>IF(COUNTIF(SelectedPrecincts[Batch Name],SamplingData[[#This Row],[Batch by Type (p)]]) &lt;&gt; 0, COUNTIF(SelectedPrecincts[Batch Name],SamplingData[[#This Row],[Batch by Type (p)]]), 0)</f>
        <v>0</v>
      </c>
    </row>
    <row r="1394" spans="1:24" ht="15" customHeight="1">
      <c r="A1394" s="18" t="s">
        <v>1570</v>
      </c>
      <c r="B1394" s="18">
        <v>1</v>
      </c>
      <c r="C1394" s="18">
        <v>2</v>
      </c>
      <c r="D1394" s="18">
        <v>0</v>
      </c>
      <c r="E1394" s="18">
        <v>1</v>
      </c>
      <c r="F1394" s="18">
        <v>0</v>
      </c>
      <c r="G1394" s="18">
        <v>0</v>
      </c>
      <c r="H1394" s="18">
        <v>0</v>
      </c>
      <c r="I1394" s="18">
        <v>0</v>
      </c>
      <c r="J1394" s="99">
        <f>SUM(SamplingData[[#This Row],[Losing Candidate]:[Under Votes]])</f>
        <v>4</v>
      </c>
      <c r="K1394"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1394" s="100">
        <f>IF(AND(SamplingData[[#This Row],[Total]]&lt;&gt; 0, NOT(ISBLANK(SamplingData[[#This Row],[Candidate 3]]))),(SamplingData[[#This Row],[Total]]+SamplingData[[#This Row],[Winning Candidate]]-SamplingData[[#This Row],[Candidate 3]])/(SamplingData[[#Totals],[Winning Candidate]]-SamplingData[[#Totals],[Candidate 3]]), 0)</f>
        <v>1.9356711939865149E-4</v>
      </c>
      <c r="M1394" s="100">
        <f>IF(AND(SamplingData[[#This Row],[Total]]&lt;&gt; 0, NOT(ISBLANK(SamplingData[[#This Row],[Candidate 4]]))),(SamplingData[[#This Row],[Total]]+SamplingData[[#This Row],[Winning Candidate]]-SamplingData[[#This Row],[Candidate 4]])/(SamplingData[[#Totals],[Winning Candidate]]-SamplingData[[#Totals],[Candidate 4]]), 0)</f>
        <v>1.4616036715484231E-4</v>
      </c>
      <c r="N1394" s="100">
        <f>IF(AND(SamplingData[[#This Row],[Total]]&lt;&gt; 0, NOT(ISBLANK(SamplingData[[#This Row],[Candidate 5]]))),(SamplingData[[#This Row],[Total]]+SamplingData[[#This Row],[Winning Candidate]]-SamplingData[[#This Row],[Candidate 5]])/(SamplingData[[#Totals],[Winning Candidate]]-SamplingData[[#Totals],[Candidate 5]]), 0)</f>
        <v>1.4594989053758211E-4</v>
      </c>
      <c r="O1394" s="100">
        <f>IF(AND(SamplingData[[#This Row],[Total]]&lt;&gt; 0, NOT(ISBLANK(SamplingData[[#This Row],[Candidate 6]]))),(SamplingData[[#This Row],[Total]]+SamplingData[[#This Row],[Winning Candidate]]-SamplingData[[#This Row],[Candidate 6]])/(SamplingData[[#Totals],[Winning Candidate]]-SamplingData[[#Totals],[Candidate 6]]), 0)</f>
        <v>1.4590730022858811E-4</v>
      </c>
      <c r="P1394" s="100">
        <f>MAX(SamplingData[[#This Row],[Error Bound (up) - Max. possible relative overstatement - Losing Candidate]:[Error Bound (up) - Max. possible relative overstatement - Candidate 6]])</f>
        <v>3.0622243998040176E-4</v>
      </c>
      <c r="Q1394" s="100">
        <f>IF(SamplingData[[#This Row],[Max Error Bound (up)]] = 0,0,SamplingData[[#This Row],[Max Error Bound (up)]]/SamplingData[[#Totals],[Max Error Bound (up)]])</f>
        <v>4.8464741392229159E-5</v>
      </c>
      <c r="R1394" s="101">
        <f>SUM($Q$5:Q1394)</f>
        <v>0.42689893459237377</v>
      </c>
      <c r="S1394" s="100" t="str">
        <f t="array" ref="S1394">IF(SamplingData[[#This Row],[up/U Selection Probability]] = 0, "Zero", TEXT(SamplingData[[#This Row],[Lower Range]], REPT("0",LEN('General Info'!$B$40))) &amp; " - " &amp; TEXT(SamplingData[[#This Row],[Upper Range]], REPT("0",LEN('General Info'!$B$40))))</f>
        <v>42685 - 42689</v>
      </c>
      <c r="T1394" s="100">
        <f>SamplingData[[#This Row],[Upper Range]]-SamplingData[[#This Row],[Span]]</f>
        <v>42685.047033562892</v>
      </c>
      <c r="U1394" s="100">
        <f>IF(ISNUMBER('General Info'!$B$40), ((SamplingData[[#This Row],[up/U Selection Probability]]) * 'General Info'!$B$40) - 1, 0)</f>
        <v>3.8464256744815239</v>
      </c>
      <c r="V1394" s="100">
        <f>IF(ISNUMBER('General Info'!$B$40), (SamplingData[[#This Row],[Running (cumulative) sum]] * ('General Info'!$B$40 -'General Info'!$B$41 + 1)) + 'General Info'!$B$41 - 1, 0)</f>
        <v>42688.893459237377</v>
      </c>
      <c r="W1394" s="100" t="str">
        <f>IF(ISERROR(MATCH(SamplingData[[#This Row],[Batch by Type (p)]],SelectedPrecincts[Batch Name], 0)), "", INDEX(SelectedPrecincts[Draw], MATCH(SamplingData[[#This Row],[Batch by Type (p)]],SelectedPrecincts[Batch Name], 0)))</f>
        <v/>
      </c>
      <c r="X1394" s="102">
        <f>IF(COUNTIF(SelectedPrecincts[Batch Name],SamplingData[[#This Row],[Batch by Type (p)]]) &lt;&gt; 0, COUNTIF(SelectedPrecincts[Batch Name],SamplingData[[#This Row],[Batch by Type (p)]]), 0)</f>
        <v>0</v>
      </c>
    </row>
    <row r="1395" spans="1:24" ht="15" customHeight="1">
      <c r="A1395" s="18" t="s">
        <v>1571</v>
      </c>
      <c r="B1395" s="18">
        <v>4</v>
      </c>
      <c r="C1395" s="18">
        <v>4</v>
      </c>
      <c r="D1395" s="16">
        <v>5</v>
      </c>
      <c r="E1395" s="16">
        <v>0</v>
      </c>
      <c r="F1395" s="37">
        <v>0</v>
      </c>
      <c r="G1395" s="37">
        <v>0</v>
      </c>
      <c r="H1395" s="17">
        <v>0</v>
      </c>
      <c r="I1395" s="17">
        <v>0</v>
      </c>
      <c r="J1395" s="99">
        <f>SUM(SamplingData[[#This Row],[Losing Candidate]:[Under Votes]])</f>
        <v>13</v>
      </c>
      <c r="K1395"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1395" s="100">
        <f>IF(AND(SamplingData[[#This Row],[Total]]&lt;&gt; 0, NOT(ISBLANK(SamplingData[[#This Row],[Candidate 3]]))),(SamplingData[[#This Row],[Total]]+SamplingData[[#This Row],[Winning Candidate]]-SamplingData[[#This Row],[Candidate 3]])/(SamplingData[[#Totals],[Winning Candidate]]-SamplingData[[#Totals],[Candidate 3]]), 0)</f>
        <v>3.8713423879730297E-4</v>
      </c>
      <c r="M1395" s="100">
        <f>IF(AND(SamplingData[[#This Row],[Total]]&lt;&gt; 0, NOT(ISBLANK(SamplingData[[#This Row],[Candidate 4]]))),(SamplingData[[#This Row],[Total]]+SamplingData[[#This Row],[Winning Candidate]]-SamplingData[[#This Row],[Candidate 4]])/(SamplingData[[#Totals],[Winning Candidate]]-SamplingData[[#Totals],[Candidate 4]]), 0)</f>
        <v>4.9694524832646382E-4</v>
      </c>
      <c r="N1395" s="100">
        <f>IF(AND(SamplingData[[#This Row],[Total]]&lt;&gt; 0, NOT(ISBLANK(SamplingData[[#This Row],[Candidate 5]]))),(SamplingData[[#This Row],[Total]]+SamplingData[[#This Row],[Winning Candidate]]-SamplingData[[#This Row],[Candidate 5]])/(SamplingData[[#Totals],[Winning Candidate]]-SamplingData[[#Totals],[Candidate 5]]), 0)</f>
        <v>4.1352468985648261E-4</v>
      </c>
      <c r="O1395" s="100">
        <f>IF(AND(SamplingData[[#This Row],[Total]]&lt;&gt; 0, NOT(ISBLANK(SamplingData[[#This Row],[Candidate 6]]))),(SamplingData[[#This Row],[Total]]+SamplingData[[#This Row],[Winning Candidate]]-SamplingData[[#This Row],[Candidate 6]])/(SamplingData[[#Totals],[Winning Candidate]]-SamplingData[[#Totals],[Candidate 6]]), 0)</f>
        <v>4.1340401731433294E-4</v>
      </c>
      <c r="P1395" s="100">
        <f>MAX(SamplingData[[#This Row],[Error Bound (up) - Max. possible relative overstatement - Losing Candidate]:[Error Bound (up) - Max. possible relative overstatement - Candidate 6]])</f>
        <v>7.9617834394904463E-4</v>
      </c>
      <c r="Q1395" s="100">
        <f>IF(SamplingData[[#This Row],[Max Error Bound (up)]] = 0,0,SamplingData[[#This Row],[Max Error Bound (up)]]/SamplingData[[#Totals],[Max Error Bound (up)]])</f>
        <v>1.2600832761979581E-4</v>
      </c>
      <c r="R1395" s="101">
        <f>SUM($Q$5:Q1395)</f>
        <v>0.42702494291999354</v>
      </c>
      <c r="S1395" s="100" t="str">
        <f t="array" ref="S1395">IF(SamplingData[[#This Row],[up/U Selection Probability]] = 0, "Zero", TEXT(SamplingData[[#This Row],[Lower Range]], REPT("0",LEN('General Info'!$B$40))) &amp; " - " &amp; TEXT(SamplingData[[#This Row],[Upper Range]], REPT("0",LEN('General Info'!$B$40))))</f>
        <v>42690 - 42701</v>
      </c>
      <c r="T1395" s="100">
        <f>SamplingData[[#This Row],[Upper Range]]-SamplingData[[#This Row],[Span]]</f>
        <v>42689.893585245707</v>
      </c>
      <c r="U1395" s="100">
        <f>IF(ISNUMBER('General Info'!$B$40), ((SamplingData[[#This Row],[up/U Selection Probability]]) * 'General Info'!$B$40) - 1, 0)</f>
        <v>11.600706753651961</v>
      </c>
      <c r="V1395" s="100">
        <f>IF(ISNUMBER('General Info'!$B$40), (SamplingData[[#This Row],[Running (cumulative) sum]] * ('General Info'!$B$40 -'General Info'!$B$41 + 1)) + 'General Info'!$B$41 - 1, 0)</f>
        <v>42701.494291999355</v>
      </c>
      <c r="W1395" s="100" t="str">
        <f>IF(ISERROR(MATCH(SamplingData[[#This Row],[Batch by Type (p)]],SelectedPrecincts[Batch Name], 0)), "", INDEX(SelectedPrecincts[Draw], MATCH(SamplingData[[#This Row],[Batch by Type (p)]],SelectedPrecincts[Batch Name], 0)))</f>
        <v/>
      </c>
      <c r="X1395" s="102">
        <f>IF(COUNTIF(SelectedPrecincts[Batch Name],SamplingData[[#This Row],[Batch by Type (p)]]) &lt;&gt; 0, COUNTIF(SelectedPrecincts[Batch Name],SamplingData[[#This Row],[Batch by Type (p)]]), 0)</f>
        <v>0</v>
      </c>
    </row>
    <row r="1396" spans="1:24" ht="15" customHeight="1">
      <c r="A1396" s="18" t="s">
        <v>1572</v>
      </c>
      <c r="B1396" s="18">
        <v>2</v>
      </c>
      <c r="C1396" s="18">
        <v>3</v>
      </c>
      <c r="D1396" s="18">
        <v>0</v>
      </c>
      <c r="E1396" s="18">
        <v>0</v>
      </c>
      <c r="F1396" s="18">
        <v>0</v>
      </c>
      <c r="G1396" s="18">
        <v>0</v>
      </c>
      <c r="H1396" s="18">
        <v>0</v>
      </c>
      <c r="I1396" s="18">
        <v>0</v>
      </c>
      <c r="J1396" s="99">
        <f>SUM(SamplingData[[#This Row],[Losing Candidate]:[Under Votes]])</f>
        <v>5</v>
      </c>
      <c r="K1396"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396" s="100">
        <f>IF(AND(SamplingData[[#This Row],[Total]]&lt;&gt; 0, NOT(ISBLANK(SamplingData[[#This Row],[Candidate 3]]))),(SamplingData[[#This Row],[Total]]+SamplingData[[#This Row],[Winning Candidate]]-SamplingData[[#This Row],[Candidate 3]])/(SamplingData[[#Totals],[Winning Candidate]]-SamplingData[[#Totals],[Candidate 3]]), 0)</f>
        <v>2.5808949253153533E-4</v>
      </c>
      <c r="M1396" s="100">
        <f>IF(AND(SamplingData[[#This Row],[Total]]&lt;&gt; 0, NOT(ISBLANK(SamplingData[[#This Row],[Candidate 4]]))),(SamplingData[[#This Row],[Total]]+SamplingData[[#This Row],[Winning Candidate]]-SamplingData[[#This Row],[Candidate 4]])/(SamplingData[[#Totals],[Winning Candidate]]-SamplingData[[#Totals],[Candidate 4]]), 0)</f>
        <v>2.3385658744774768E-4</v>
      </c>
      <c r="N1396" s="100">
        <f>IF(AND(SamplingData[[#This Row],[Total]]&lt;&gt; 0, NOT(ISBLANK(SamplingData[[#This Row],[Candidate 5]]))),(SamplingData[[#This Row],[Total]]+SamplingData[[#This Row],[Winning Candidate]]-SamplingData[[#This Row],[Candidate 5]])/(SamplingData[[#Totals],[Winning Candidate]]-SamplingData[[#Totals],[Candidate 5]]), 0)</f>
        <v>1.9459985405010947E-4</v>
      </c>
      <c r="O1396" s="100">
        <f>IF(AND(SamplingData[[#This Row],[Total]]&lt;&gt; 0, NOT(ISBLANK(SamplingData[[#This Row],[Candidate 6]]))),(SamplingData[[#This Row],[Total]]+SamplingData[[#This Row],[Winning Candidate]]-SamplingData[[#This Row],[Candidate 6]])/(SamplingData[[#Totals],[Winning Candidate]]-SamplingData[[#Totals],[Candidate 6]]), 0)</f>
        <v>1.945430669714508E-4</v>
      </c>
      <c r="P1396" s="100">
        <f>MAX(SamplingData[[#This Row],[Error Bound (up) - Max. possible relative overstatement - Losing Candidate]:[Error Bound (up) - Max. possible relative overstatement - Candidate 6]])</f>
        <v>3.6746692797648211E-4</v>
      </c>
      <c r="Q1396" s="100">
        <f>IF(SamplingData[[#This Row],[Max Error Bound (up)]] = 0,0,SamplingData[[#This Row],[Max Error Bound (up)]]/SamplingData[[#Totals],[Max Error Bound (up)]])</f>
        <v>5.8157689670674986E-5</v>
      </c>
      <c r="R1396" s="101">
        <f>SUM($Q$5:Q1396)</f>
        <v>0.4270831006096642</v>
      </c>
      <c r="S1396" s="100" t="str">
        <f t="array" ref="S1396">IF(SamplingData[[#This Row],[up/U Selection Probability]] = 0, "Zero", TEXT(SamplingData[[#This Row],[Lower Range]], REPT("0",LEN('General Info'!$B$40))) &amp; " - " &amp; TEXT(SamplingData[[#This Row],[Upper Range]], REPT("0",LEN('General Info'!$B$40))))</f>
        <v>42702 - 42707</v>
      </c>
      <c r="T1396" s="100">
        <f>SamplingData[[#This Row],[Upper Range]]-SamplingData[[#This Row],[Span]]</f>
        <v>42702.494350157038</v>
      </c>
      <c r="U1396" s="100">
        <f>IF(ISNUMBER('General Info'!$B$40), ((SamplingData[[#This Row],[up/U Selection Probability]]) * 'General Info'!$B$40) - 1, 0)</f>
        <v>4.815710809377828</v>
      </c>
      <c r="V1396" s="100">
        <f>IF(ISNUMBER('General Info'!$B$40), (SamplingData[[#This Row],[Running (cumulative) sum]] * ('General Info'!$B$40 -'General Info'!$B$41 + 1)) + 'General Info'!$B$41 - 1, 0)</f>
        <v>42707.310060966418</v>
      </c>
      <c r="W1396" s="100" t="str">
        <f>IF(ISERROR(MATCH(SamplingData[[#This Row],[Batch by Type (p)]],SelectedPrecincts[Batch Name], 0)), "", INDEX(SelectedPrecincts[Draw], MATCH(SamplingData[[#This Row],[Batch by Type (p)]],SelectedPrecincts[Batch Name], 0)))</f>
        <v/>
      </c>
      <c r="X1396" s="102">
        <f>IF(COUNTIF(SelectedPrecincts[Batch Name],SamplingData[[#This Row],[Batch by Type (p)]]) &lt;&gt; 0, COUNTIF(SelectedPrecincts[Batch Name],SamplingData[[#This Row],[Batch by Type (p)]]), 0)</f>
        <v>0</v>
      </c>
    </row>
    <row r="1397" spans="1:24" ht="15" customHeight="1">
      <c r="A1397" s="18" t="s">
        <v>1573</v>
      </c>
      <c r="B1397" s="18">
        <v>6</v>
      </c>
      <c r="C1397" s="18">
        <v>3</v>
      </c>
      <c r="D1397" s="16">
        <v>0</v>
      </c>
      <c r="E1397" s="16">
        <v>0</v>
      </c>
      <c r="F1397" s="37">
        <v>0</v>
      </c>
      <c r="G1397" s="37">
        <v>0</v>
      </c>
      <c r="H1397" s="17">
        <v>0</v>
      </c>
      <c r="I1397" s="17">
        <v>0</v>
      </c>
      <c r="J1397" s="99">
        <f>SUM(SamplingData[[#This Row],[Losing Candidate]:[Under Votes]])</f>
        <v>9</v>
      </c>
      <c r="K1397"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397" s="100">
        <f>IF(AND(SamplingData[[#This Row],[Total]]&lt;&gt; 0, NOT(ISBLANK(SamplingData[[#This Row],[Candidate 3]]))),(SamplingData[[#This Row],[Total]]+SamplingData[[#This Row],[Winning Candidate]]-SamplingData[[#This Row],[Candidate 3]])/(SamplingData[[#Totals],[Winning Candidate]]-SamplingData[[#Totals],[Candidate 3]]), 0)</f>
        <v>3.8713423879730297E-4</v>
      </c>
      <c r="M1397" s="100">
        <f>IF(AND(SamplingData[[#This Row],[Total]]&lt;&gt; 0, NOT(ISBLANK(SamplingData[[#This Row],[Candidate 4]]))),(SamplingData[[#This Row],[Total]]+SamplingData[[#This Row],[Winning Candidate]]-SamplingData[[#This Row],[Candidate 4]])/(SamplingData[[#Totals],[Winning Candidate]]-SamplingData[[#Totals],[Candidate 4]]), 0)</f>
        <v>3.5078488117162149E-4</v>
      </c>
      <c r="N1397" s="100">
        <f>IF(AND(SamplingData[[#This Row],[Total]]&lt;&gt; 0, NOT(ISBLANK(SamplingData[[#This Row],[Candidate 5]]))),(SamplingData[[#This Row],[Total]]+SamplingData[[#This Row],[Winning Candidate]]-SamplingData[[#This Row],[Candidate 5]])/(SamplingData[[#Totals],[Winning Candidate]]-SamplingData[[#Totals],[Candidate 5]]), 0)</f>
        <v>2.9189978107516421E-4</v>
      </c>
      <c r="O1397" s="100">
        <f>IF(AND(SamplingData[[#This Row],[Total]]&lt;&gt; 0, NOT(ISBLANK(SamplingData[[#This Row],[Candidate 6]]))),(SamplingData[[#This Row],[Total]]+SamplingData[[#This Row],[Winning Candidate]]-SamplingData[[#This Row],[Candidate 6]])/(SamplingData[[#Totals],[Winning Candidate]]-SamplingData[[#Totals],[Candidate 6]]), 0)</f>
        <v>2.9181460045717622E-4</v>
      </c>
      <c r="P1397" s="100">
        <f>MAX(SamplingData[[#This Row],[Error Bound (up) - Max. possible relative overstatement - Losing Candidate]:[Error Bound (up) - Max. possible relative overstatement - Candidate 6]])</f>
        <v>3.8713423879730297E-4</v>
      </c>
      <c r="Q1397" s="100">
        <f>IF(SamplingData[[#This Row],[Max Error Bound (up)]] = 0,0,SamplingData[[#This Row],[Max Error Bound (up)]]/SamplingData[[#Totals],[Max Error Bound (up)]])</f>
        <v>6.1270365321984796E-5</v>
      </c>
      <c r="R1397" s="101">
        <f>SUM($Q$5:Q1397)</f>
        <v>0.4271443709749862</v>
      </c>
      <c r="S1397" s="100" t="str">
        <f t="array" ref="S1397">IF(SamplingData[[#This Row],[up/U Selection Probability]] = 0, "Zero", TEXT(SamplingData[[#This Row],[Lower Range]], REPT("0",LEN('General Info'!$B$40))) &amp; " - " &amp; TEXT(SamplingData[[#This Row],[Upper Range]], REPT("0",LEN('General Info'!$B$40))))</f>
        <v>42708 - 42713</v>
      </c>
      <c r="T1397" s="100">
        <f>SamplingData[[#This Row],[Upper Range]]-SamplingData[[#This Row],[Span]]</f>
        <v>42708.310122236791</v>
      </c>
      <c r="U1397" s="100">
        <f>IF(ISNUMBER('General Info'!$B$40), ((SamplingData[[#This Row],[up/U Selection Probability]]) * 'General Info'!$B$40) - 1, 0)</f>
        <v>5.1269752618331577</v>
      </c>
      <c r="V1397" s="100">
        <f>IF(ISNUMBER('General Info'!$B$40), (SamplingData[[#This Row],[Running (cumulative) sum]] * ('General Info'!$B$40 -'General Info'!$B$41 + 1)) + 'General Info'!$B$41 - 1, 0)</f>
        <v>42713.437097498623</v>
      </c>
      <c r="W1397" s="100" t="str">
        <f>IF(ISERROR(MATCH(SamplingData[[#This Row],[Batch by Type (p)]],SelectedPrecincts[Batch Name], 0)), "", INDEX(SelectedPrecincts[Draw], MATCH(SamplingData[[#This Row],[Batch by Type (p)]],SelectedPrecincts[Batch Name], 0)))</f>
        <v/>
      </c>
      <c r="X1397" s="102">
        <f>IF(COUNTIF(SelectedPrecincts[Batch Name],SamplingData[[#This Row],[Batch by Type (p)]]) &lt;&gt; 0, COUNTIF(SelectedPrecincts[Batch Name],SamplingData[[#This Row],[Batch by Type (p)]]), 0)</f>
        <v>0</v>
      </c>
    </row>
    <row r="1398" spans="1:24" ht="15" customHeight="1">
      <c r="A1398" s="18" t="s">
        <v>1574</v>
      </c>
      <c r="B1398" s="18">
        <v>1</v>
      </c>
      <c r="C1398" s="18">
        <v>7</v>
      </c>
      <c r="D1398" s="18">
        <v>1</v>
      </c>
      <c r="E1398" s="18">
        <v>0</v>
      </c>
      <c r="F1398" s="18">
        <v>0</v>
      </c>
      <c r="G1398" s="18">
        <v>0</v>
      </c>
      <c r="H1398" s="18">
        <v>0</v>
      </c>
      <c r="I1398" s="18">
        <v>0</v>
      </c>
      <c r="J1398" s="99">
        <f>SUM(SamplingData[[#This Row],[Losing Candidate]:[Under Votes]])</f>
        <v>9</v>
      </c>
      <c r="K1398"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398" s="100">
        <f>IF(AND(SamplingData[[#This Row],[Total]]&lt;&gt; 0, NOT(ISBLANK(SamplingData[[#This Row],[Candidate 3]]))),(SamplingData[[#This Row],[Total]]+SamplingData[[#This Row],[Winning Candidate]]-SamplingData[[#This Row],[Candidate 3]])/(SamplingData[[#Totals],[Winning Candidate]]-SamplingData[[#Totals],[Candidate 3]]), 0)</f>
        <v>4.8391779849662873E-4</v>
      </c>
      <c r="M1398" s="100">
        <f>IF(AND(SamplingData[[#This Row],[Total]]&lt;&gt; 0, NOT(ISBLANK(SamplingData[[#This Row],[Candidate 4]]))),(SamplingData[[#This Row],[Total]]+SamplingData[[#This Row],[Winning Candidate]]-SamplingData[[#This Row],[Candidate 4]])/(SamplingData[[#Totals],[Winning Candidate]]-SamplingData[[#Totals],[Candidate 4]]), 0)</f>
        <v>4.6771317489549536E-4</v>
      </c>
      <c r="N1398" s="100">
        <f>IF(AND(SamplingData[[#This Row],[Total]]&lt;&gt; 0, NOT(ISBLANK(SamplingData[[#This Row],[Candidate 5]]))),(SamplingData[[#This Row],[Total]]+SamplingData[[#This Row],[Winning Candidate]]-SamplingData[[#This Row],[Candidate 5]])/(SamplingData[[#Totals],[Winning Candidate]]-SamplingData[[#Totals],[Candidate 5]]), 0)</f>
        <v>3.8919970810021893E-4</v>
      </c>
      <c r="O1398" s="100">
        <f>IF(AND(SamplingData[[#This Row],[Total]]&lt;&gt; 0, NOT(ISBLANK(SamplingData[[#This Row],[Candidate 6]]))),(SamplingData[[#This Row],[Total]]+SamplingData[[#This Row],[Winning Candidate]]-SamplingData[[#This Row],[Candidate 6]])/(SamplingData[[#Totals],[Winning Candidate]]-SamplingData[[#Totals],[Candidate 6]]), 0)</f>
        <v>3.8908613394290161E-4</v>
      </c>
      <c r="P1398" s="100">
        <f>MAX(SamplingData[[#This Row],[Error Bound (up) - Max. possible relative overstatement - Losing Candidate]:[Error Bound (up) - Max. possible relative overstatement - Candidate 6]])</f>
        <v>9.1866731994120533E-4</v>
      </c>
      <c r="Q1398" s="100">
        <f>IF(SamplingData[[#This Row],[Max Error Bound (up)]] = 0,0,SamplingData[[#This Row],[Max Error Bound (up)]]/SamplingData[[#Totals],[Max Error Bound (up)]])</f>
        <v>1.4539422417668749E-4</v>
      </c>
      <c r="R1398" s="101">
        <f>SUM($Q$5:Q1398)</f>
        <v>0.4272897651991629</v>
      </c>
      <c r="S1398" s="100" t="str">
        <f t="array" ref="S1398">IF(SamplingData[[#This Row],[up/U Selection Probability]] = 0, "Zero", TEXT(SamplingData[[#This Row],[Lower Range]], REPT("0",LEN('General Info'!$B$40))) &amp; " - " &amp; TEXT(SamplingData[[#This Row],[Upper Range]], REPT("0",LEN('General Info'!$B$40))))</f>
        <v>42714 - 42728</v>
      </c>
      <c r="T1398" s="100">
        <f>SamplingData[[#This Row],[Upper Range]]-SamplingData[[#This Row],[Span]]</f>
        <v>42714.43724289284</v>
      </c>
      <c r="U1398" s="100">
        <f>IF(ISNUMBER('General Info'!$B$40), ((SamplingData[[#This Row],[up/U Selection Probability]]) * 'General Info'!$B$40) - 1, 0)</f>
        <v>13.539277023444573</v>
      </c>
      <c r="V1398" s="100">
        <f>IF(ISNUMBER('General Info'!$B$40), (SamplingData[[#This Row],[Running (cumulative) sum]] * ('General Info'!$B$40 -'General Info'!$B$41 + 1)) + 'General Info'!$B$41 - 1, 0)</f>
        <v>42727.976519916287</v>
      </c>
      <c r="W1398" s="100" t="str">
        <f>IF(ISERROR(MATCH(SamplingData[[#This Row],[Batch by Type (p)]],SelectedPrecincts[Batch Name], 0)), "", INDEX(SelectedPrecincts[Draw], MATCH(SamplingData[[#This Row],[Batch by Type (p)]],SelectedPrecincts[Batch Name], 0)))</f>
        <v/>
      </c>
      <c r="X1398" s="102">
        <f>IF(COUNTIF(SelectedPrecincts[Batch Name],SamplingData[[#This Row],[Batch by Type (p)]]) &lt;&gt; 0, COUNTIF(SelectedPrecincts[Batch Name],SamplingData[[#This Row],[Batch by Type (p)]]), 0)</f>
        <v>0</v>
      </c>
    </row>
    <row r="1399" spans="1:24" ht="15" customHeight="1">
      <c r="A1399" s="18" t="s">
        <v>1575</v>
      </c>
      <c r="B1399" s="18">
        <v>3</v>
      </c>
      <c r="C1399" s="18">
        <v>1</v>
      </c>
      <c r="D1399" s="16">
        <v>1</v>
      </c>
      <c r="E1399" s="16">
        <v>1</v>
      </c>
      <c r="F1399" s="37">
        <v>0</v>
      </c>
      <c r="G1399" s="37">
        <v>0</v>
      </c>
      <c r="H1399" s="17">
        <v>0</v>
      </c>
      <c r="I1399" s="17">
        <v>0</v>
      </c>
      <c r="J1399" s="99">
        <f>SUM(SamplingData[[#This Row],[Losing Candidate]:[Under Votes]])</f>
        <v>6</v>
      </c>
      <c r="K1399"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399" s="100">
        <f>IF(AND(SamplingData[[#This Row],[Total]]&lt;&gt; 0, NOT(ISBLANK(SamplingData[[#This Row],[Candidate 3]]))),(SamplingData[[#This Row],[Total]]+SamplingData[[#This Row],[Winning Candidate]]-SamplingData[[#This Row],[Candidate 3]])/(SamplingData[[#Totals],[Winning Candidate]]-SamplingData[[#Totals],[Candidate 3]]), 0)</f>
        <v>1.9356711939865149E-4</v>
      </c>
      <c r="M1399" s="100">
        <f>IF(AND(SamplingData[[#This Row],[Total]]&lt;&gt; 0, NOT(ISBLANK(SamplingData[[#This Row],[Candidate 4]]))),(SamplingData[[#This Row],[Total]]+SamplingData[[#This Row],[Winning Candidate]]-SamplingData[[#This Row],[Candidate 4]])/(SamplingData[[#Totals],[Winning Candidate]]-SamplingData[[#Totals],[Candidate 4]]), 0)</f>
        <v>1.7539244058581075E-4</v>
      </c>
      <c r="N1399" s="100">
        <f>IF(AND(SamplingData[[#This Row],[Total]]&lt;&gt; 0, NOT(ISBLANK(SamplingData[[#This Row],[Candidate 5]]))),(SamplingData[[#This Row],[Total]]+SamplingData[[#This Row],[Winning Candidate]]-SamplingData[[#This Row],[Candidate 5]])/(SamplingData[[#Totals],[Winning Candidate]]-SamplingData[[#Totals],[Candidate 5]]), 0)</f>
        <v>1.7027487229384579E-4</v>
      </c>
      <c r="O1399" s="100">
        <f>IF(AND(SamplingData[[#This Row],[Total]]&lt;&gt; 0, NOT(ISBLANK(SamplingData[[#This Row],[Candidate 6]]))),(SamplingData[[#This Row],[Total]]+SamplingData[[#This Row],[Winning Candidate]]-SamplingData[[#This Row],[Candidate 6]])/(SamplingData[[#Totals],[Winning Candidate]]-SamplingData[[#Totals],[Candidate 6]]), 0)</f>
        <v>1.7022518360001944E-4</v>
      </c>
      <c r="P1399" s="100">
        <f>MAX(SamplingData[[#This Row],[Error Bound (up) - Max. possible relative overstatement - Losing Candidate]:[Error Bound (up) - Max. possible relative overstatement - Candidate 6]])</f>
        <v>2.4497795198432141E-4</v>
      </c>
      <c r="Q1399" s="100">
        <f>IF(SamplingData[[#This Row],[Max Error Bound (up)]] = 0,0,SamplingData[[#This Row],[Max Error Bound (up)]]/SamplingData[[#Totals],[Max Error Bound (up)]])</f>
        <v>3.8771793113783326E-5</v>
      </c>
      <c r="R1399" s="101">
        <f>SUM($Q$5:Q1399)</f>
        <v>0.42732853699227669</v>
      </c>
      <c r="S1399" s="100" t="str">
        <f t="array" ref="S1399">IF(SamplingData[[#This Row],[up/U Selection Probability]] = 0, "Zero", TEXT(SamplingData[[#This Row],[Lower Range]], REPT("0",LEN('General Info'!$B$40))) &amp; " - " &amp; TEXT(SamplingData[[#This Row],[Upper Range]], REPT("0",LEN('General Info'!$B$40))))</f>
        <v>42729 - 42732</v>
      </c>
      <c r="T1399" s="100">
        <f>SamplingData[[#This Row],[Upper Range]]-SamplingData[[#This Row],[Span]]</f>
        <v>42728.976558688089</v>
      </c>
      <c r="U1399" s="100">
        <f>IF(ISNUMBER('General Info'!$B$40), ((SamplingData[[#This Row],[up/U Selection Probability]]) * 'General Info'!$B$40) - 1, 0)</f>
        <v>2.877140539585219</v>
      </c>
      <c r="V1399" s="100">
        <f>IF(ISNUMBER('General Info'!$B$40), (SamplingData[[#This Row],[Running (cumulative) sum]] * ('General Info'!$B$40 -'General Info'!$B$41 + 1)) + 'General Info'!$B$41 - 1, 0)</f>
        <v>42731.853699227671</v>
      </c>
      <c r="W1399" s="100" t="str">
        <f>IF(ISERROR(MATCH(SamplingData[[#This Row],[Batch by Type (p)]],SelectedPrecincts[Batch Name], 0)), "", INDEX(SelectedPrecincts[Draw], MATCH(SamplingData[[#This Row],[Batch by Type (p)]],SelectedPrecincts[Batch Name], 0)))</f>
        <v/>
      </c>
      <c r="X1399" s="102">
        <f>IF(COUNTIF(SelectedPrecincts[Batch Name],SamplingData[[#This Row],[Batch by Type (p)]]) &lt;&gt; 0, COUNTIF(SelectedPrecincts[Batch Name],SamplingData[[#This Row],[Batch by Type (p)]]), 0)</f>
        <v>0</v>
      </c>
    </row>
    <row r="1400" spans="1:24" ht="15" customHeight="1">
      <c r="A1400" s="18" t="s">
        <v>1576</v>
      </c>
      <c r="B1400" s="18">
        <v>6</v>
      </c>
      <c r="C1400" s="18">
        <v>0</v>
      </c>
      <c r="D1400" s="18">
        <v>2</v>
      </c>
      <c r="E1400" s="18">
        <v>1</v>
      </c>
      <c r="F1400" s="18">
        <v>0</v>
      </c>
      <c r="G1400" s="18">
        <v>1</v>
      </c>
      <c r="H1400" s="18">
        <v>0</v>
      </c>
      <c r="I1400" s="18">
        <v>0</v>
      </c>
      <c r="J1400" s="99">
        <f>SUM(SamplingData[[#This Row],[Losing Candidate]:[Under Votes]])</f>
        <v>10</v>
      </c>
      <c r="K1400"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400" s="100">
        <f>IF(AND(SamplingData[[#This Row],[Total]]&lt;&gt; 0, NOT(ISBLANK(SamplingData[[#This Row],[Candidate 3]]))),(SamplingData[[#This Row],[Total]]+SamplingData[[#This Row],[Winning Candidate]]-SamplingData[[#This Row],[Candidate 3]])/(SamplingData[[#Totals],[Winning Candidate]]-SamplingData[[#Totals],[Candidate 3]]), 0)</f>
        <v>2.5808949253153533E-4</v>
      </c>
      <c r="M1400" s="100">
        <f>IF(AND(SamplingData[[#This Row],[Total]]&lt;&gt; 0, NOT(ISBLANK(SamplingData[[#This Row],[Candidate 4]]))),(SamplingData[[#This Row],[Total]]+SamplingData[[#This Row],[Winning Candidate]]-SamplingData[[#This Row],[Candidate 4]])/(SamplingData[[#Totals],[Winning Candidate]]-SamplingData[[#Totals],[Candidate 4]]), 0)</f>
        <v>2.6308866087871614E-4</v>
      </c>
      <c r="N1400" s="100">
        <f>IF(AND(SamplingData[[#This Row],[Total]]&lt;&gt; 0, NOT(ISBLANK(SamplingData[[#This Row],[Candidate 5]]))),(SamplingData[[#This Row],[Total]]+SamplingData[[#This Row],[Winning Candidate]]-SamplingData[[#This Row],[Candidate 5]])/(SamplingData[[#Totals],[Winning Candidate]]-SamplingData[[#Totals],[Candidate 5]]), 0)</f>
        <v>2.4324981756263683E-4</v>
      </c>
      <c r="O1400" s="100">
        <f>IF(AND(SamplingData[[#This Row],[Total]]&lt;&gt; 0, NOT(ISBLANK(SamplingData[[#This Row],[Candidate 6]]))),(SamplingData[[#This Row],[Total]]+SamplingData[[#This Row],[Winning Candidate]]-SamplingData[[#This Row],[Candidate 6]])/(SamplingData[[#Totals],[Winning Candidate]]-SamplingData[[#Totals],[Candidate 6]]), 0)</f>
        <v>2.1886095034288216E-4</v>
      </c>
      <c r="P1400" s="100">
        <f>MAX(SamplingData[[#This Row],[Error Bound (up) - Max. possible relative overstatement - Losing Candidate]:[Error Bound (up) - Max. possible relative overstatement - Candidate 6]])</f>
        <v>2.6308866087871614E-4</v>
      </c>
      <c r="Q1400" s="100">
        <f>IF(SamplingData[[#This Row],[Max Error Bound (up)]] = 0,0,SamplingData[[#This Row],[Max Error Bound (up)]]/SamplingData[[#Totals],[Max Error Bound (up)]])</f>
        <v>4.1638110889361628E-5</v>
      </c>
      <c r="R1400" s="101">
        <f>SUM($Q$5:Q1400)</f>
        <v>0.42737017510316605</v>
      </c>
      <c r="S1400" s="100" t="str">
        <f t="array" ref="S1400">IF(SamplingData[[#This Row],[up/U Selection Probability]] = 0, "Zero", TEXT(SamplingData[[#This Row],[Lower Range]], REPT("0",LEN('General Info'!$B$40))) &amp; " - " &amp; TEXT(SamplingData[[#This Row],[Upper Range]], REPT("0",LEN('General Info'!$B$40))))</f>
        <v>42733 - 42736</v>
      </c>
      <c r="T1400" s="100">
        <f>SamplingData[[#This Row],[Upper Range]]-SamplingData[[#This Row],[Span]]</f>
        <v>42732.853740865779</v>
      </c>
      <c r="U1400" s="100">
        <f>IF(ISNUMBER('General Info'!$B$40), ((SamplingData[[#This Row],[up/U Selection Probability]]) * 'General Info'!$B$40) - 1, 0)</f>
        <v>3.1637694508252734</v>
      </c>
      <c r="V1400" s="100">
        <f>IF(ISNUMBER('General Info'!$B$40), (SamplingData[[#This Row],[Running (cumulative) sum]] * ('General Info'!$B$40 -'General Info'!$B$41 + 1)) + 'General Info'!$B$41 - 1, 0)</f>
        <v>42736.017510316604</v>
      </c>
      <c r="W1400" s="100" t="str">
        <f>IF(ISERROR(MATCH(SamplingData[[#This Row],[Batch by Type (p)]],SelectedPrecincts[Batch Name], 0)), "", INDEX(SelectedPrecincts[Draw], MATCH(SamplingData[[#This Row],[Batch by Type (p)]],SelectedPrecincts[Batch Name], 0)))</f>
        <v/>
      </c>
      <c r="X1400" s="102">
        <f>IF(COUNTIF(SelectedPrecincts[Batch Name],SamplingData[[#This Row],[Batch by Type (p)]]) &lt;&gt; 0, COUNTIF(SelectedPrecincts[Batch Name],SamplingData[[#This Row],[Batch by Type (p)]]), 0)</f>
        <v>0</v>
      </c>
    </row>
    <row r="1401" spans="1:24" ht="15" customHeight="1">
      <c r="A1401" s="18" t="s">
        <v>1577</v>
      </c>
      <c r="B1401" s="18">
        <v>3</v>
      </c>
      <c r="C1401" s="18">
        <v>6</v>
      </c>
      <c r="D1401" s="16">
        <v>0</v>
      </c>
      <c r="E1401" s="16">
        <v>2</v>
      </c>
      <c r="F1401" s="37">
        <v>0</v>
      </c>
      <c r="G1401" s="37">
        <v>0</v>
      </c>
      <c r="H1401" s="17">
        <v>0</v>
      </c>
      <c r="I1401" s="17">
        <v>0</v>
      </c>
      <c r="J1401" s="99">
        <f>SUM(SamplingData[[#This Row],[Losing Candidate]:[Under Votes]])</f>
        <v>11</v>
      </c>
      <c r="K1401"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401" s="100">
        <f>IF(AND(SamplingData[[#This Row],[Total]]&lt;&gt; 0, NOT(ISBLANK(SamplingData[[#This Row],[Candidate 3]]))),(SamplingData[[#This Row],[Total]]+SamplingData[[#This Row],[Winning Candidate]]-SamplingData[[#This Row],[Candidate 3]])/(SamplingData[[#Totals],[Winning Candidate]]-SamplingData[[#Totals],[Candidate 3]]), 0)</f>
        <v>5.4844017162951255E-4</v>
      </c>
      <c r="M1401" s="100">
        <f>IF(AND(SamplingData[[#This Row],[Total]]&lt;&gt; 0, NOT(ISBLANK(SamplingData[[#This Row],[Candidate 4]]))),(SamplingData[[#This Row],[Total]]+SamplingData[[#This Row],[Winning Candidate]]-SamplingData[[#This Row],[Candidate 4]])/(SamplingData[[#Totals],[Winning Candidate]]-SamplingData[[#Totals],[Candidate 4]]), 0)</f>
        <v>4.3848110146452689E-4</v>
      </c>
      <c r="N1401" s="100">
        <f>IF(AND(SamplingData[[#This Row],[Total]]&lt;&gt; 0, NOT(ISBLANK(SamplingData[[#This Row],[Candidate 5]]))),(SamplingData[[#This Row],[Total]]+SamplingData[[#This Row],[Winning Candidate]]-SamplingData[[#This Row],[Candidate 5]])/(SamplingData[[#Totals],[Winning Candidate]]-SamplingData[[#Totals],[Candidate 5]]), 0)</f>
        <v>4.1352468985648261E-4</v>
      </c>
      <c r="O1401" s="100">
        <f>IF(AND(SamplingData[[#This Row],[Total]]&lt;&gt; 0, NOT(ISBLANK(SamplingData[[#This Row],[Candidate 6]]))),(SamplingData[[#This Row],[Total]]+SamplingData[[#This Row],[Winning Candidate]]-SamplingData[[#This Row],[Candidate 6]])/(SamplingData[[#Totals],[Winning Candidate]]-SamplingData[[#Totals],[Candidate 6]]), 0)</f>
        <v>4.1340401731433294E-4</v>
      </c>
      <c r="P1401" s="100">
        <f>MAX(SamplingData[[#This Row],[Error Bound (up) - Max. possible relative overstatement - Losing Candidate]:[Error Bound (up) - Max. possible relative overstatement - Candidate 6]])</f>
        <v>8.5742283194512492E-4</v>
      </c>
      <c r="Q1401" s="100">
        <f>IF(SamplingData[[#This Row],[Max Error Bound (up)]] = 0,0,SamplingData[[#This Row],[Max Error Bound (up)]]/SamplingData[[#Totals],[Max Error Bound (up)]])</f>
        <v>1.3570127589824165E-4</v>
      </c>
      <c r="R1401" s="101">
        <f>SUM($Q$5:Q1401)</f>
        <v>0.42750587637906429</v>
      </c>
      <c r="S1401" s="100" t="str">
        <f t="array" ref="S1401">IF(SamplingData[[#This Row],[up/U Selection Probability]] = 0, "Zero", TEXT(SamplingData[[#This Row],[Lower Range]], REPT("0",LEN('General Info'!$B$40))) &amp; " - " &amp; TEXT(SamplingData[[#This Row],[Upper Range]], REPT("0",LEN('General Info'!$B$40))))</f>
        <v>42737 - 42750</v>
      </c>
      <c r="T1401" s="100">
        <f>SamplingData[[#This Row],[Upper Range]]-SamplingData[[#This Row],[Span]]</f>
        <v>42737.017646017877</v>
      </c>
      <c r="U1401" s="100">
        <f>IF(ISNUMBER('General Info'!$B$40), ((SamplingData[[#This Row],[up/U Selection Probability]]) * 'General Info'!$B$40) - 1, 0)</f>
        <v>12.569991888548268</v>
      </c>
      <c r="V1401" s="100">
        <f>IF(ISNUMBER('General Info'!$B$40), (SamplingData[[#This Row],[Running (cumulative) sum]] * ('General Info'!$B$40 -'General Info'!$B$41 + 1)) + 'General Info'!$B$41 - 1, 0)</f>
        <v>42749.587637906428</v>
      </c>
      <c r="W1401" s="100" t="str">
        <f>IF(ISERROR(MATCH(SamplingData[[#This Row],[Batch by Type (p)]],SelectedPrecincts[Batch Name], 0)), "", INDEX(SelectedPrecincts[Draw], MATCH(SamplingData[[#This Row],[Batch by Type (p)]],SelectedPrecincts[Batch Name], 0)))</f>
        <v/>
      </c>
      <c r="X1401" s="102">
        <f>IF(COUNTIF(SelectedPrecincts[Batch Name],SamplingData[[#This Row],[Batch by Type (p)]]) &lt;&gt; 0, COUNTIF(SelectedPrecincts[Batch Name],SamplingData[[#This Row],[Batch by Type (p)]]), 0)</f>
        <v>0</v>
      </c>
    </row>
    <row r="1402" spans="1:24" ht="15" customHeight="1">
      <c r="A1402" s="18" t="s">
        <v>1578</v>
      </c>
      <c r="B1402" s="18">
        <v>2</v>
      </c>
      <c r="C1402" s="18">
        <v>3</v>
      </c>
      <c r="D1402" s="18">
        <v>0</v>
      </c>
      <c r="E1402" s="18">
        <v>0</v>
      </c>
      <c r="F1402" s="18">
        <v>1</v>
      </c>
      <c r="G1402" s="18">
        <v>0</v>
      </c>
      <c r="H1402" s="18">
        <v>0</v>
      </c>
      <c r="I1402" s="18">
        <v>0</v>
      </c>
      <c r="J1402" s="99">
        <f>SUM(SamplingData[[#This Row],[Losing Candidate]:[Under Votes]])</f>
        <v>6</v>
      </c>
      <c r="K1402"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402" s="100">
        <f>IF(AND(SamplingData[[#This Row],[Total]]&lt;&gt; 0, NOT(ISBLANK(SamplingData[[#This Row],[Candidate 3]]))),(SamplingData[[#This Row],[Total]]+SamplingData[[#This Row],[Winning Candidate]]-SamplingData[[#This Row],[Candidate 3]])/(SamplingData[[#Totals],[Winning Candidate]]-SamplingData[[#Totals],[Candidate 3]]), 0)</f>
        <v>2.9035067909797722E-4</v>
      </c>
      <c r="M1402" s="100">
        <f>IF(AND(SamplingData[[#This Row],[Total]]&lt;&gt; 0, NOT(ISBLANK(SamplingData[[#This Row],[Candidate 4]]))),(SamplingData[[#This Row],[Total]]+SamplingData[[#This Row],[Winning Candidate]]-SamplingData[[#This Row],[Candidate 4]])/(SamplingData[[#Totals],[Winning Candidate]]-SamplingData[[#Totals],[Candidate 4]]), 0)</f>
        <v>2.6308866087871614E-4</v>
      </c>
      <c r="N1402" s="100">
        <f>IF(AND(SamplingData[[#This Row],[Total]]&lt;&gt; 0, NOT(ISBLANK(SamplingData[[#This Row],[Candidate 5]]))),(SamplingData[[#This Row],[Total]]+SamplingData[[#This Row],[Winning Candidate]]-SamplingData[[#This Row],[Candidate 5]])/(SamplingData[[#Totals],[Winning Candidate]]-SamplingData[[#Totals],[Candidate 5]]), 0)</f>
        <v>1.9459985405010947E-4</v>
      </c>
      <c r="O1402" s="100">
        <f>IF(AND(SamplingData[[#This Row],[Total]]&lt;&gt; 0, NOT(ISBLANK(SamplingData[[#This Row],[Candidate 6]]))),(SamplingData[[#This Row],[Total]]+SamplingData[[#This Row],[Winning Candidate]]-SamplingData[[#This Row],[Candidate 6]])/(SamplingData[[#Totals],[Winning Candidate]]-SamplingData[[#Totals],[Candidate 6]]), 0)</f>
        <v>2.1886095034288216E-4</v>
      </c>
      <c r="P1402" s="100">
        <f>MAX(SamplingData[[#This Row],[Error Bound (up) - Max. possible relative overstatement - Losing Candidate]:[Error Bound (up) - Max. possible relative overstatement - Candidate 6]])</f>
        <v>4.2871141597256246E-4</v>
      </c>
      <c r="Q1402" s="100">
        <f>IF(SamplingData[[#This Row],[Max Error Bound (up)]] = 0,0,SamplingData[[#This Row],[Max Error Bound (up)]]/SamplingData[[#Totals],[Max Error Bound (up)]])</f>
        <v>6.7850637949120826E-5</v>
      </c>
      <c r="R1402" s="101">
        <f>SUM($Q$5:Q1402)</f>
        <v>0.42757372701701341</v>
      </c>
      <c r="S1402" s="100" t="str">
        <f t="array" ref="S1402">IF(SamplingData[[#This Row],[up/U Selection Probability]] = 0, "Zero", TEXT(SamplingData[[#This Row],[Lower Range]], REPT("0",LEN('General Info'!$B$40))) &amp; " - " &amp; TEXT(SamplingData[[#This Row],[Upper Range]], REPT("0",LEN('General Info'!$B$40))))</f>
        <v>42751 - 42756</v>
      </c>
      <c r="T1402" s="100">
        <f>SamplingData[[#This Row],[Upper Range]]-SamplingData[[#This Row],[Span]]</f>
        <v>42750.587705757061</v>
      </c>
      <c r="U1402" s="100">
        <f>IF(ISNUMBER('General Info'!$B$40), ((SamplingData[[#This Row],[up/U Selection Probability]]) * 'General Info'!$B$40) - 1, 0)</f>
        <v>5.7849959442741339</v>
      </c>
      <c r="V1402" s="100">
        <f>IF(ISNUMBER('General Info'!$B$40), (SamplingData[[#This Row],[Running (cumulative) sum]] * ('General Info'!$B$40 -'General Info'!$B$41 + 1)) + 'General Info'!$B$41 - 1, 0)</f>
        <v>42756.372701701337</v>
      </c>
      <c r="W1402" s="100" t="str">
        <f>IF(ISERROR(MATCH(SamplingData[[#This Row],[Batch by Type (p)]],SelectedPrecincts[Batch Name], 0)), "", INDEX(SelectedPrecincts[Draw], MATCH(SamplingData[[#This Row],[Batch by Type (p)]],SelectedPrecincts[Batch Name], 0)))</f>
        <v/>
      </c>
      <c r="X1402" s="102">
        <f>IF(COUNTIF(SelectedPrecincts[Batch Name],SamplingData[[#This Row],[Batch by Type (p)]]) &lt;&gt; 0, COUNTIF(SelectedPrecincts[Batch Name],SamplingData[[#This Row],[Batch by Type (p)]]), 0)</f>
        <v>0</v>
      </c>
    </row>
    <row r="1403" spans="1:24" ht="15" customHeight="1">
      <c r="A1403" s="18" t="s">
        <v>1579</v>
      </c>
      <c r="B1403" s="18">
        <v>1</v>
      </c>
      <c r="C1403" s="18">
        <v>3</v>
      </c>
      <c r="D1403" s="16">
        <v>0</v>
      </c>
      <c r="E1403" s="16">
        <v>0</v>
      </c>
      <c r="F1403" s="37">
        <v>0</v>
      </c>
      <c r="G1403" s="37">
        <v>0</v>
      </c>
      <c r="H1403" s="17">
        <v>0</v>
      </c>
      <c r="I1403" s="17">
        <v>0</v>
      </c>
      <c r="J1403" s="99">
        <f>SUM(SamplingData[[#This Row],[Losing Candidate]:[Under Votes]])</f>
        <v>4</v>
      </c>
      <c r="K1403"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403" s="100">
        <f>IF(AND(SamplingData[[#This Row],[Total]]&lt;&gt; 0, NOT(ISBLANK(SamplingData[[#This Row],[Candidate 3]]))),(SamplingData[[#This Row],[Total]]+SamplingData[[#This Row],[Winning Candidate]]-SamplingData[[#This Row],[Candidate 3]])/(SamplingData[[#Totals],[Winning Candidate]]-SamplingData[[#Totals],[Candidate 3]]), 0)</f>
        <v>2.258283059650934E-4</v>
      </c>
      <c r="M1403" s="100">
        <f>IF(AND(SamplingData[[#This Row],[Total]]&lt;&gt; 0, NOT(ISBLANK(SamplingData[[#This Row],[Candidate 4]]))),(SamplingData[[#This Row],[Total]]+SamplingData[[#This Row],[Winning Candidate]]-SamplingData[[#This Row],[Candidate 4]])/(SamplingData[[#Totals],[Winning Candidate]]-SamplingData[[#Totals],[Candidate 4]]), 0)</f>
        <v>2.0462451401677921E-4</v>
      </c>
      <c r="N1403" s="100">
        <f>IF(AND(SamplingData[[#This Row],[Total]]&lt;&gt; 0, NOT(ISBLANK(SamplingData[[#This Row],[Candidate 5]]))),(SamplingData[[#This Row],[Total]]+SamplingData[[#This Row],[Winning Candidate]]-SamplingData[[#This Row],[Candidate 5]])/(SamplingData[[#Totals],[Winning Candidate]]-SamplingData[[#Totals],[Candidate 5]]), 0)</f>
        <v>1.7027487229384579E-4</v>
      </c>
      <c r="O1403" s="100">
        <f>IF(AND(SamplingData[[#This Row],[Total]]&lt;&gt; 0, NOT(ISBLANK(SamplingData[[#This Row],[Candidate 6]]))),(SamplingData[[#This Row],[Total]]+SamplingData[[#This Row],[Winning Candidate]]-SamplingData[[#This Row],[Candidate 6]])/(SamplingData[[#Totals],[Winning Candidate]]-SamplingData[[#Totals],[Candidate 6]]), 0)</f>
        <v>1.7022518360001944E-4</v>
      </c>
      <c r="P1403" s="100">
        <f>MAX(SamplingData[[#This Row],[Error Bound (up) - Max. possible relative overstatement - Losing Candidate]:[Error Bound (up) - Max. possible relative overstatement - Candidate 6]])</f>
        <v>3.6746692797648211E-4</v>
      </c>
      <c r="Q1403" s="100">
        <f>IF(SamplingData[[#This Row],[Max Error Bound (up)]] = 0,0,SamplingData[[#This Row],[Max Error Bound (up)]]/SamplingData[[#Totals],[Max Error Bound (up)]])</f>
        <v>5.8157689670674986E-5</v>
      </c>
      <c r="R1403" s="101">
        <f>SUM($Q$5:Q1403)</f>
        <v>0.42763188470668406</v>
      </c>
      <c r="S1403" s="100" t="str">
        <f t="array" ref="S1403">IF(SamplingData[[#This Row],[up/U Selection Probability]] = 0, "Zero", TEXT(SamplingData[[#This Row],[Lower Range]], REPT("0",LEN('General Info'!$B$40))) &amp; " - " &amp; TEXT(SamplingData[[#This Row],[Upper Range]], REPT("0",LEN('General Info'!$B$40))))</f>
        <v>42757 - 42762</v>
      </c>
      <c r="T1403" s="100">
        <f>SamplingData[[#This Row],[Upper Range]]-SamplingData[[#This Row],[Span]]</f>
        <v>42757.372759859027</v>
      </c>
      <c r="U1403" s="100">
        <f>IF(ISNUMBER('General Info'!$B$40), ((SamplingData[[#This Row],[up/U Selection Probability]]) * 'General Info'!$B$40) - 1, 0)</f>
        <v>4.815710809377828</v>
      </c>
      <c r="V1403" s="100">
        <f>IF(ISNUMBER('General Info'!$B$40), (SamplingData[[#This Row],[Running (cumulative) sum]] * ('General Info'!$B$40 -'General Info'!$B$41 + 1)) + 'General Info'!$B$41 - 1, 0)</f>
        <v>42762.188470668407</v>
      </c>
      <c r="W1403" s="100" t="str">
        <f>IF(ISERROR(MATCH(SamplingData[[#This Row],[Batch by Type (p)]],SelectedPrecincts[Batch Name], 0)), "", INDEX(SelectedPrecincts[Draw], MATCH(SamplingData[[#This Row],[Batch by Type (p)]],SelectedPrecincts[Batch Name], 0)))</f>
        <v/>
      </c>
      <c r="X1403" s="102">
        <f>IF(COUNTIF(SelectedPrecincts[Batch Name],SamplingData[[#This Row],[Batch by Type (p)]]) &lt;&gt; 0, COUNTIF(SelectedPrecincts[Batch Name],SamplingData[[#This Row],[Batch by Type (p)]]), 0)</f>
        <v>0</v>
      </c>
    </row>
    <row r="1404" spans="1:24" ht="15" customHeight="1">
      <c r="A1404" s="18" t="s">
        <v>1580</v>
      </c>
      <c r="B1404" s="18">
        <v>6</v>
      </c>
      <c r="C1404" s="18">
        <v>1</v>
      </c>
      <c r="D1404" s="18">
        <v>0</v>
      </c>
      <c r="E1404" s="18">
        <v>0</v>
      </c>
      <c r="F1404" s="18">
        <v>1</v>
      </c>
      <c r="G1404" s="18">
        <v>0</v>
      </c>
      <c r="H1404" s="18">
        <v>0</v>
      </c>
      <c r="I1404" s="18">
        <v>0</v>
      </c>
      <c r="J1404" s="99">
        <f>SUM(SamplingData[[#This Row],[Losing Candidate]:[Under Votes]])</f>
        <v>8</v>
      </c>
      <c r="K1404"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404" s="100">
        <f>IF(AND(SamplingData[[#This Row],[Total]]&lt;&gt; 0, NOT(ISBLANK(SamplingData[[#This Row],[Candidate 3]]))),(SamplingData[[#This Row],[Total]]+SamplingData[[#This Row],[Winning Candidate]]-SamplingData[[#This Row],[Candidate 3]])/(SamplingData[[#Totals],[Winning Candidate]]-SamplingData[[#Totals],[Candidate 3]]), 0)</f>
        <v>2.9035067909797722E-4</v>
      </c>
      <c r="M1404" s="100">
        <f>IF(AND(SamplingData[[#This Row],[Total]]&lt;&gt; 0, NOT(ISBLANK(SamplingData[[#This Row],[Candidate 4]]))),(SamplingData[[#This Row],[Total]]+SamplingData[[#This Row],[Winning Candidate]]-SamplingData[[#This Row],[Candidate 4]])/(SamplingData[[#Totals],[Winning Candidate]]-SamplingData[[#Totals],[Candidate 4]]), 0)</f>
        <v>2.6308866087871614E-4</v>
      </c>
      <c r="N1404" s="100">
        <f>IF(AND(SamplingData[[#This Row],[Total]]&lt;&gt; 0, NOT(ISBLANK(SamplingData[[#This Row],[Candidate 5]]))),(SamplingData[[#This Row],[Total]]+SamplingData[[#This Row],[Winning Candidate]]-SamplingData[[#This Row],[Candidate 5]])/(SamplingData[[#Totals],[Winning Candidate]]-SamplingData[[#Totals],[Candidate 5]]), 0)</f>
        <v>1.9459985405010947E-4</v>
      </c>
      <c r="O1404" s="100">
        <f>IF(AND(SamplingData[[#This Row],[Total]]&lt;&gt; 0, NOT(ISBLANK(SamplingData[[#This Row],[Candidate 6]]))),(SamplingData[[#This Row],[Total]]+SamplingData[[#This Row],[Winning Candidate]]-SamplingData[[#This Row],[Candidate 6]])/(SamplingData[[#Totals],[Winning Candidate]]-SamplingData[[#Totals],[Candidate 6]]), 0)</f>
        <v>2.1886095034288216E-4</v>
      </c>
      <c r="P1404" s="100">
        <f>MAX(SamplingData[[#This Row],[Error Bound (up) - Max. possible relative overstatement - Losing Candidate]:[Error Bound (up) - Max. possible relative overstatement - Candidate 6]])</f>
        <v>2.9035067909797722E-4</v>
      </c>
      <c r="Q1404" s="100">
        <f>IF(SamplingData[[#This Row],[Max Error Bound (up)]] = 0,0,SamplingData[[#This Row],[Max Error Bound (up)]]/SamplingData[[#Totals],[Max Error Bound (up)]])</f>
        <v>4.5952773991488593E-5</v>
      </c>
      <c r="R1404" s="101">
        <f>SUM($Q$5:Q1404)</f>
        <v>0.42767783748067556</v>
      </c>
      <c r="S1404" s="100" t="str">
        <f t="array" ref="S1404">IF(SamplingData[[#This Row],[up/U Selection Probability]] = 0, "Zero", TEXT(SamplingData[[#This Row],[Lower Range]], REPT("0",LEN('General Info'!$B$40))) &amp; " - " &amp; TEXT(SamplingData[[#This Row],[Upper Range]], REPT("0",LEN('General Info'!$B$40))))</f>
        <v>42763 - 42767</v>
      </c>
      <c r="T1404" s="100">
        <f>SamplingData[[#This Row],[Upper Range]]-SamplingData[[#This Row],[Span]]</f>
        <v>42763.188516621187</v>
      </c>
      <c r="U1404" s="100">
        <f>IF(ISNUMBER('General Info'!$B$40), ((SamplingData[[#This Row],[up/U Selection Probability]]) * 'General Info'!$B$40) - 1, 0)</f>
        <v>3.5952314463748678</v>
      </c>
      <c r="V1404" s="100">
        <f>IF(ISNUMBER('General Info'!$B$40), (SamplingData[[#This Row],[Running (cumulative) sum]] * ('General Info'!$B$40 -'General Info'!$B$41 + 1)) + 'General Info'!$B$41 - 1, 0)</f>
        <v>42766.783748067559</v>
      </c>
      <c r="W1404" s="100" t="str">
        <f>IF(ISERROR(MATCH(SamplingData[[#This Row],[Batch by Type (p)]],SelectedPrecincts[Batch Name], 0)), "", INDEX(SelectedPrecincts[Draw], MATCH(SamplingData[[#This Row],[Batch by Type (p)]],SelectedPrecincts[Batch Name], 0)))</f>
        <v/>
      </c>
      <c r="X1404" s="102">
        <f>IF(COUNTIF(SelectedPrecincts[Batch Name],SamplingData[[#This Row],[Batch by Type (p)]]) &lt;&gt; 0, COUNTIF(SelectedPrecincts[Batch Name],SamplingData[[#This Row],[Batch by Type (p)]]), 0)</f>
        <v>0</v>
      </c>
    </row>
    <row r="1405" spans="1:24" ht="15" customHeight="1">
      <c r="A1405" s="18" t="s">
        <v>1581</v>
      </c>
      <c r="B1405" s="18">
        <v>1</v>
      </c>
      <c r="C1405" s="18">
        <v>4</v>
      </c>
      <c r="D1405" s="16">
        <v>2</v>
      </c>
      <c r="E1405" s="16">
        <v>1</v>
      </c>
      <c r="F1405" s="37">
        <v>0</v>
      </c>
      <c r="G1405" s="37">
        <v>0</v>
      </c>
      <c r="H1405" s="17">
        <v>0</v>
      </c>
      <c r="I1405" s="17">
        <v>0</v>
      </c>
      <c r="J1405" s="99">
        <f>SUM(SamplingData[[#This Row],[Losing Candidate]:[Under Votes]])</f>
        <v>8</v>
      </c>
      <c r="K1405"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405" s="100">
        <f>IF(AND(SamplingData[[#This Row],[Total]]&lt;&gt; 0, NOT(ISBLANK(SamplingData[[#This Row],[Candidate 3]]))),(SamplingData[[#This Row],[Total]]+SamplingData[[#This Row],[Winning Candidate]]-SamplingData[[#This Row],[Candidate 3]])/(SamplingData[[#Totals],[Winning Candidate]]-SamplingData[[#Totals],[Candidate 3]]), 0)</f>
        <v>3.2261186566441915E-4</v>
      </c>
      <c r="M1405" s="100">
        <f>IF(AND(SamplingData[[#This Row],[Total]]&lt;&gt; 0, NOT(ISBLANK(SamplingData[[#This Row],[Candidate 4]]))),(SamplingData[[#This Row],[Total]]+SamplingData[[#This Row],[Winning Candidate]]-SamplingData[[#This Row],[Candidate 4]])/(SamplingData[[#Totals],[Winning Candidate]]-SamplingData[[#Totals],[Candidate 4]]), 0)</f>
        <v>3.2155280774065302E-4</v>
      </c>
      <c r="N1405" s="100">
        <f>IF(AND(SamplingData[[#This Row],[Total]]&lt;&gt; 0, NOT(ISBLANK(SamplingData[[#This Row],[Candidate 5]]))),(SamplingData[[#This Row],[Total]]+SamplingData[[#This Row],[Winning Candidate]]-SamplingData[[#This Row],[Candidate 5]])/(SamplingData[[#Totals],[Winning Candidate]]-SamplingData[[#Totals],[Candidate 5]]), 0)</f>
        <v>2.9189978107516421E-4</v>
      </c>
      <c r="O1405" s="100">
        <f>IF(AND(SamplingData[[#This Row],[Total]]&lt;&gt; 0, NOT(ISBLANK(SamplingData[[#This Row],[Candidate 6]]))),(SamplingData[[#This Row],[Total]]+SamplingData[[#This Row],[Winning Candidate]]-SamplingData[[#This Row],[Candidate 6]])/(SamplingData[[#Totals],[Winning Candidate]]-SamplingData[[#Totals],[Candidate 6]]), 0)</f>
        <v>2.9181460045717622E-4</v>
      </c>
      <c r="P1405" s="100">
        <f>MAX(SamplingData[[#This Row],[Error Bound (up) - Max. possible relative overstatement - Losing Candidate]:[Error Bound (up) - Max. possible relative overstatement - Candidate 6]])</f>
        <v>6.7368936795688392E-4</v>
      </c>
      <c r="Q1405" s="100">
        <f>IF(SamplingData[[#This Row],[Max Error Bound (up)]] = 0,0,SamplingData[[#This Row],[Max Error Bound (up)]]/SamplingData[[#Totals],[Max Error Bound (up)]])</f>
        <v>1.0662243106290416E-4</v>
      </c>
      <c r="R1405" s="101">
        <f>SUM($Q$5:Q1405)</f>
        <v>0.42778445991173847</v>
      </c>
      <c r="S1405" s="100" t="str">
        <f t="array" ref="S1405">IF(SamplingData[[#This Row],[up/U Selection Probability]] = 0, "Zero", TEXT(SamplingData[[#This Row],[Lower Range]], REPT("0",LEN('General Info'!$B$40))) &amp; " - " &amp; TEXT(SamplingData[[#This Row],[Upper Range]], REPT("0",LEN('General Info'!$B$40))))</f>
        <v>42768 - 42777</v>
      </c>
      <c r="T1405" s="100">
        <f>SamplingData[[#This Row],[Upper Range]]-SamplingData[[#This Row],[Span]]</f>
        <v>42767.783854689987</v>
      </c>
      <c r="U1405" s="100">
        <f>IF(ISNUMBER('General Info'!$B$40), ((SamplingData[[#This Row],[up/U Selection Probability]]) * 'General Info'!$B$40) - 1, 0)</f>
        <v>9.6621364838593529</v>
      </c>
      <c r="V1405" s="100">
        <f>IF(ISNUMBER('General Info'!$B$40), (SamplingData[[#This Row],[Running (cumulative) sum]] * ('General Info'!$B$40 -'General Info'!$B$41 + 1)) + 'General Info'!$B$41 - 1, 0)</f>
        <v>42777.445991173845</v>
      </c>
      <c r="W1405" s="100" t="str">
        <f>IF(ISERROR(MATCH(SamplingData[[#This Row],[Batch by Type (p)]],SelectedPrecincts[Batch Name], 0)), "", INDEX(SelectedPrecincts[Draw], MATCH(SamplingData[[#This Row],[Batch by Type (p)]],SelectedPrecincts[Batch Name], 0)))</f>
        <v/>
      </c>
      <c r="X1405" s="102">
        <f>IF(COUNTIF(SelectedPrecincts[Batch Name],SamplingData[[#This Row],[Batch by Type (p)]]) &lt;&gt; 0, COUNTIF(SelectedPrecincts[Batch Name],SamplingData[[#This Row],[Batch by Type (p)]]), 0)</f>
        <v>0</v>
      </c>
    </row>
    <row r="1406" spans="1:24" ht="15" customHeight="1">
      <c r="A1406" s="18" t="s">
        <v>1582</v>
      </c>
      <c r="B1406" s="18">
        <v>0</v>
      </c>
      <c r="C1406" s="18">
        <v>0</v>
      </c>
      <c r="D1406" s="18">
        <v>0</v>
      </c>
      <c r="E1406" s="18">
        <v>0</v>
      </c>
      <c r="F1406" s="18">
        <v>0</v>
      </c>
      <c r="G1406" s="18">
        <v>0</v>
      </c>
      <c r="H1406" s="18">
        <v>0</v>
      </c>
      <c r="I1406" s="18">
        <v>0</v>
      </c>
      <c r="J1406" s="99">
        <f>SUM(SamplingData[[#This Row],[Losing Candidate]:[Under Votes]])</f>
        <v>0</v>
      </c>
      <c r="K1406" s="100">
        <f>IF(AND(SamplingData[[#This Row],[Total]]&lt;&gt; 0, NOT(ISBLANK(SamplingData[[#This Row],[Losing Candidate]]))),(SamplingData[[#This Row],[Total]]+SamplingData[[#This Row],[Winning Candidate]]-SamplingData[[#This Row],[Losing Candidate]])/(SamplingData[[#Totals],[Winning Candidate]]-SamplingData[[#Totals],[Losing Candidate]]), 0)</f>
        <v>0</v>
      </c>
      <c r="L1406" s="100">
        <f>IF(AND(SamplingData[[#This Row],[Total]]&lt;&gt; 0, NOT(ISBLANK(SamplingData[[#This Row],[Candidate 3]]))),(SamplingData[[#This Row],[Total]]+SamplingData[[#This Row],[Winning Candidate]]-SamplingData[[#This Row],[Candidate 3]])/(SamplingData[[#Totals],[Winning Candidate]]-SamplingData[[#Totals],[Candidate 3]]), 0)</f>
        <v>0</v>
      </c>
      <c r="M1406" s="100">
        <f>IF(AND(SamplingData[[#This Row],[Total]]&lt;&gt; 0, NOT(ISBLANK(SamplingData[[#This Row],[Candidate 4]]))),(SamplingData[[#This Row],[Total]]+SamplingData[[#This Row],[Winning Candidate]]-SamplingData[[#This Row],[Candidate 4]])/(SamplingData[[#Totals],[Winning Candidate]]-SamplingData[[#Totals],[Candidate 4]]), 0)</f>
        <v>0</v>
      </c>
      <c r="N1406" s="100">
        <f>IF(AND(SamplingData[[#This Row],[Total]]&lt;&gt; 0, NOT(ISBLANK(SamplingData[[#This Row],[Candidate 5]]))),(SamplingData[[#This Row],[Total]]+SamplingData[[#This Row],[Winning Candidate]]-SamplingData[[#This Row],[Candidate 5]])/(SamplingData[[#Totals],[Winning Candidate]]-SamplingData[[#Totals],[Candidate 5]]), 0)</f>
        <v>0</v>
      </c>
      <c r="O1406" s="100">
        <f>IF(AND(SamplingData[[#This Row],[Total]]&lt;&gt; 0, NOT(ISBLANK(SamplingData[[#This Row],[Candidate 6]]))),(SamplingData[[#This Row],[Total]]+SamplingData[[#This Row],[Winning Candidate]]-SamplingData[[#This Row],[Candidate 6]])/(SamplingData[[#Totals],[Winning Candidate]]-SamplingData[[#Totals],[Candidate 6]]), 0)</f>
        <v>0</v>
      </c>
      <c r="P1406" s="100">
        <f>MAX(SamplingData[[#This Row],[Error Bound (up) - Max. possible relative overstatement - Losing Candidate]:[Error Bound (up) - Max. possible relative overstatement - Candidate 6]])</f>
        <v>0</v>
      </c>
      <c r="Q1406" s="100">
        <f>IF(SamplingData[[#This Row],[Max Error Bound (up)]] = 0,0,SamplingData[[#This Row],[Max Error Bound (up)]]/SamplingData[[#Totals],[Max Error Bound (up)]])</f>
        <v>0</v>
      </c>
      <c r="R1406" s="101">
        <f>SUM($Q$5:Q1406)</f>
        <v>0.42778445991173847</v>
      </c>
      <c r="S1406" s="100" t="str">
        <f t="array" ref="S1406">IF(SamplingData[[#This Row],[up/U Selection Probability]] = 0, "Zero", TEXT(SamplingData[[#This Row],[Lower Range]], REPT("0",LEN('General Info'!$B$40))) &amp; " - " &amp; TEXT(SamplingData[[#This Row],[Upper Range]], REPT("0",LEN('General Info'!$B$40))))</f>
        <v>Zero</v>
      </c>
      <c r="T1406" s="100">
        <f>SamplingData[[#This Row],[Upper Range]]-SamplingData[[#This Row],[Span]]</f>
        <v>42778.445991173845</v>
      </c>
      <c r="U1406" s="100">
        <f>IF(ISNUMBER('General Info'!$B$40), ((SamplingData[[#This Row],[up/U Selection Probability]]) * 'General Info'!$B$40) - 1, 0)</f>
        <v>-1</v>
      </c>
      <c r="V1406" s="100">
        <f>IF(ISNUMBER('General Info'!$B$40), (SamplingData[[#This Row],[Running (cumulative) sum]] * ('General Info'!$B$40 -'General Info'!$B$41 + 1)) + 'General Info'!$B$41 - 1, 0)</f>
        <v>42777.445991173845</v>
      </c>
      <c r="W1406" s="100" t="str">
        <f>IF(ISERROR(MATCH(SamplingData[[#This Row],[Batch by Type (p)]],SelectedPrecincts[Batch Name], 0)), "", INDEX(SelectedPrecincts[Draw], MATCH(SamplingData[[#This Row],[Batch by Type (p)]],SelectedPrecincts[Batch Name], 0)))</f>
        <v/>
      </c>
      <c r="X1406" s="102">
        <f>IF(COUNTIF(SelectedPrecincts[Batch Name],SamplingData[[#This Row],[Batch by Type (p)]]) &lt;&gt; 0, COUNTIF(SelectedPrecincts[Batch Name],SamplingData[[#This Row],[Batch by Type (p)]]), 0)</f>
        <v>0</v>
      </c>
    </row>
    <row r="1407" spans="1:24" ht="15" customHeight="1">
      <c r="A1407" s="18" t="s">
        <v>1583</v>
      </c>
      <c r="B1407" s="18">
        <v>2</v>
      </c>
      <c r="C1407" s="18">
        <v>10</v>
      </c>
      <c r="D1407" s="16">
        <v>1</v>
      </c>
      <c r="E1407" s="16">
        <v>0</v>
      </c>
      <c r="F1407" s="37">
        <v>0</v>
      </c>
      <c r="G1407" s="37">
        <v>0</v>
      </c>
      <c r="H1407" s="17">
        <v>0</v>
      </c>
      <c r="I1407" s="17">
        <v>0</v>
      </c>
      <c r="J1407" s="99">
        <f>SUM(SamplingData[[#This Row],[Losing Candidate]:[Under Votes]])</f>
        <v>13</v>
      </c>
      <c r="K1407"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407" s="100">
        <f>IF(AND(SamplingData[[#This Row],[Total]]&lt;&gt; 0, NOT(ISBLANK(SamplingData[[#This Row],[Candidate 3]]))),(SamplingData[[#This Row],[Total]]+SamplingData[[#This Row],[Winning Candidate]]-SamplingData[[#This Row],[Candidate 3]])/(SamplingData[[#Totals],[Winning Candidate]]-SamplingData[[#Totals],[Candidate 3]]), 0)</f>
        <v>7.0974610446172207E-4</v>
      </c>
      <c r="M1407" s="100">
        <f>IF(AND(SamplingData[[#This Row],[Total]]&lt;&gt; 0, NOT(ISBLANK(SamplingData[[#This Row],[Candidate 4]]))),(SamplingData[[#This Row],[Total]]+SamplingData[[#This Row],[Winning Candidate]]-SamplingData[[#This Row],[Candidate 4]])/(SamplingData[[#Totals],[Winning Candidate]]-SamplingData[[#Totals],[Candidate 4]]), 0)</f>
        <v>6.7233768891227451E-4</v>
      </c>
      <c r="N1407" s="100">
        <f>IF(AND(SamplingData[[#This Row],[Total]]&lt;&gt; 0, NOT(ISBLANK(SamplingData[[#This Row],[Candidate 5]]))),(SamplingData[[#This Row],[Total]]+SamplingData[[#This Row],[Winning Candidate]]-SamplingData[[#This Row],[Candidate 5]])/(SamplingData[[#Totals],[Winning Candidate]]-SamplingData[[#Totals],[Candidate 5]]), 0)</f>
        <v>5.5947458039406475E-4</v>
      </c>
      <c r="O1407" s="100">
        <f>IF(AND(SamplingData[[#This Row],[Total]]&lt;&gt; 0, NOT(ISBLANK(SamplingData[[#This Row],[Candidate 6]]))),(SamplingData[[#This Row],[Total]]+SamplingData[[#This Row],[Winning Candidate]]-SamplingData[[#This Row],[Candidate 6]])/(SamplingData[[#Totals],[Winning Candidate]]-SamplingData[[#Totals],[Candidate 6]]), 0)</f>
        <v>5.5931131754292105E-4</v>
      </c>
      <c r="P1407" s="100">
        <f>MAX(SamplingData[[#This Row],[Error Bound (up) - Max. possible relative overstatement - Losing Candidate]:[Error Bound (up) - Max. possible relative overstatement - Candidate 6]])</f>
        <v>1.2861342479176874E-3</v>
      </c>
      <c r="Q1407" s="100">
        <f>IF(SamplingData[[#This Row],[Max Error Bound (up)]] = 0,0,SamplingData[[#This Row],[Max Error Bound (up)]]/SamplingData[[#Totals],[Max Error Bound (up)]])</f>
        <v>2.0355191384736248E-4</v>
      </c>
      <c r="R1407" s="101">
        <f>SUM($Q$5:Q1407)</f>
        <v>0.42798801182558582</v>
      </c>
      <c r="S1407" s="100" t="str">
        <f t="array" ref="S1407">IF(SamplingData[[#This Row],[up/U Selection Probability]] = 0, "Zero", TEXT(SamplingData[[#This Row],[Lower Range]], REPT("0",LEN('General Info'!$B$40))) &amp; " - " &amp; TEXT(SamplingData[[#This Row],[Upper Range]], REPT("0",LEN('General Info'!$B$40))))</f>
        <v>42778 - 42798</v>
      </c>
      <c r="T1407" s="100">
        <f>SamplingData[[#This Row],[Upper Range]]-SamplingData[[#This Row],[Span]]</f>
        <v>42778.446194725766</v>
      </c>
      <c r="U1407" s="100">
        <f>IF(ISNUMBER('General Info'!$B$40), ((SamplingData[[#This Row],[up/U Selection Probability]]) * 'General Info'!$B$40) - 1, 0)</f>
        <v>19.354987832822399</v>
      </c>
      <c r="V1407" s="100">
        <f>IF(ISNUMBER('General Info'!$B$40), (SamplingData[[#This Row],[Running (cumulative) sum]] * ('General Info'!$B$40 -'General Info'!$B$41 + 1)) + 'General Info'!$B$41 - 1, 0)</f>
        <v>42797.801182558585</v>
      </c>
      <c r="W1407" s="100" t="str">
        <f>IF(ISERROR(MATCH(SamplingData[[#This Row],[Batch by Type (p)]],SelectedPrecincts[Batch Name], 0)), "", INDEX(SelectedPrecincts[Draw], MATCH(SamplingData[[#This Row],[Batch by Type (p)]],SelectedPrecincts[Batch Name], 0)))</f>
        <v/>
      </c>
      <c r="X1407" s="102">
        <f>IF(COUNTIF(SelectedPrecincts[Batch Name],SamplingData[[#This Row],[Batch by Type (p)]]) &lt;&gt; 0, COUNTIF(SelectedPrecincts[Batch Name],SamplingData[[#This Row],[Batch by Type (p)]]), 0)</f>
        <v>0</v>
      </c>
    </row>
    <row r="1408" spans="1:24" ht="15" customHeight="1">
      <c r="A1408" s="18" t="s">
        <v>1584</v>
      </c>
      <c r="B1408" s="18">
        <v>1</v>
      </c>
      <c r="C1408" s="18">
        <v>5</v>
      </c>
      <c r="D1408" s="18">
        <v>0</v>
      </c>
      <c r="E1408" s="18">
        <v>2</v>
      </c>
      <c r="F1408" s="18">
        <v>0</v>
      </c>
      <c r="G1408" s="18">
        <v>0</v>
      </c>
      <c r="H1408" s="18">
        <v>0</v>
      </c>
      <c r="I1408" s="18">
        <v>0</v>
      </c>
      <c r="J1408" s="99">
        <f>SUM(SamplingData[[#This Row],[Losing Candidate]:[Under Votes]])</f>
        <v>8</v>
      </c>
      <c r="K1408"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1408" s="100">
        <f>IF(AND(SamplingData[[#This Row],[Total]]&lt;&gt; 0, NOT(ISBLANK(SamplingData[[#This Row],[Candidate 3]]))),(SamplingData[[#This Row],[Total]]+SamplingData[[#This Row],[Winning Candidate]]-SamplingData[[#This Row],[Candidate 3]])/(SamplingData[[#Totals],[Winning Candidate]]-SamplingData[[#Totals],[Candidate 3]]), 0)</f>
        <v>4.1939542536374486E-4</v>
      </c>
      <c r="M1408" s="100">
        <f>IF(AND(SamplingData[[#This Row],[Total]]&lt;&gt; 0, NOT(ISBLANK(SamplingData[[#This Row],[Candidate 4]]))),(SamplingData[[#This Row],[Total]]+SamplingData[[#This Row],[Winning Candidate]]-SamplingData[[#This Row],[Candidate 4]])/(SamplingData[[#Totals],[Winning Candidate]]-SamplingData[[#Totals],[Candidate 4]]), 0)</f>
        <v>3.2155280774065302E-4</v>
      </c>
      <c r="N1408" s="100">
        <f>IF(AND(SamplingData[[#This Row],[Total]]&lt;&gt; 0, NOT(ISBLANK(SamplingData[[#This Row],[Candidate 5]]))),(SamplingData[[#This Row],[Total]]+SamplingData[[#This Row],[Winning Candidate]]-SamplingData[[#This Row],[Candidate 5]])/(SamplingData[[#Totals],[Winning Candidate]]-SamplingData[[#Totals],[Candidate 5]]), 0)</f>
        <v>3.1622476283142789E-4</v>
      </c>
      <c r="O1408" s="100">
        <f>IF(AND(SamplingData[[#This Row],[Total]]&lt;&gt; 0, NOT(ISBLANK(SamplingData[[#This Row],[Candidate 6]]))),(SamplingData[[#This Row],[Total]]+SamplingData[[#This Row],[Winning Candidate]]-SamplingData[[#This Row],[Candidate 6]])/(SamplingData[[#Totals],[Winning Candidate]]-SamplingData[[#Totals],[Candidate 6]]), 0)</f>
        <v>3.1613248382860755E-4</v>
      </c>
      <c r="P1408" s="100">
        <f>MAX(SamplingData[[#This Row],[Error Bound (up) - Max. possible relative overstatement - Losing Candidate]:[Error Bound (up) - Max. possible relative overstatement - Candidate 6]])</f>
        <v>7.3493385595296422E-4</v>
      </c>
      <c r="Q1408" s="100">
        <f>IF(SamplingData[[#This Row],[Max Error Bound (up)]] = 0,0,SamplingData[[#This Row],[Max Error Bound (up)]]/SamplingData[[#Totals],[Max Error Bound (up)]])</f>
        <v>1.1631537934134997E-4</v>
      </c>
      <c r="R1408" s="101">
        <f>SUM($Q$5:Q1408)</f>
        <v>0.42810432720492719</v>
      </c>
      <c r="S1408" s="100" t="str">
        <f t="array" ref="S1408">IF(SamplingData[[#This Row],[up/U Selection Probability]] = 0, "Zero", TEXT(SamplingData[[#This Row],[Lower Range]], REPT("0",LEN('General Info'!$B$40))) &amp; " - " &amp; TEXT(SamplingData[[#This Row],[Upper Range]], REPT("0",LEN('General Info'!$B$40))))</f>
        <v>42799 - 42809</v>
      </c>
      <c r="T1408" s="100">
        <f>SamplingData[[#This Row],[Upper Range]]-SamplingData[[#This Row],[Span]]</f>
        <v>42798.801298873965</v>
      </c>
      <c r="U1408" s="100">
        <f>IF(ISNUMBER('General Info'!$B$40), ((SamplingData[[#This Row],[up/U Selection Probability]]) * 'General Info'!$B$40) - 1, 0)</f>
        <v>10.631421618755656</v>
      </c>
      <c r="V1408" s="100">
        <f>IF(ISNUMBER('General Info'!$B$40), (SamplingData[[#This Row],[Running (cumulative) sum]] * ('General Info'!$B$40 -'General Info'!$B$41 + 1)) + 'General Info'!$B$41 - 1, 0)</f>
        <v>42809.432720492718</v>
      </c>
      <c r="W1408" s="100" t="str">
        <f>IF(ISERROR(MATCH(SamplingData[[#This Row],[Batch by Type (p)]],SelectedPrecincts[Batch Name], 0)), "", INDEX(SelectedPrecincts[Draw], MATCH(SamplingData[[#This Row],[Batch by Type (p)]],SelectedPrecincts[Batch Name], 0)))</f>
        <v/>
      </c>
      <c r="X1408" s="102">
        <f>IF(COUNTIF(SelectedPrecincts[Batch Name],SamplingData[[#This Row],[Batch by Type (p)]]) &lt;&gt; 0, COUNTIF(SelectedPrecincts[Batch Name],SamplingData[[#This Row],[Batch by Type (p)]]), 0)</f>
        <v>0</v>
      </c>
    </row>
    <row r="1409" spans="1:24" ht="15" customHeight="1">
      <c r="A1409" s="18" t="s">
        <v>1585</v>
      </c>
      <c r="B1409" s="18">
        <v>4</v>
      </c>
      <c r="C1409" s="18">
        <v>1</v>
      </c>
      <c r="D1409" s="16">
        <v>6</v>
      </c>
      <c r="E1409" s="16">
        <v>1</v>
      </c>
      <c r="F1409" s="37">
        <v>0</v>
      </c>
      <c r="G1409" s="37">
        <v>0</v>
      </c>
      <c r="H1409" s="17">
        <v>0</v>
      </c>
      <c r="I1409" s="17">
        <v>0</v>
      </c>
      <c r="J1409" s="99">
        <f>SUM(SamplingData[[#This Row],[Losing Candidate]:[Under Votes]])</f>
        <v>12</v>
      </c>
      <c r="K1409"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409" s="100">
        <f>IF(AND(SamplingData[[#This Row],[Total]]&lt;&gt; 0, NOT(ISBLANK(SamplingData[[#This Row],[Candidate 3]]))),(SamplingData[[#This Row],[Total]]+SamplingData[[#This Row],[Winning Candidate]]-SamplingData[[#This Row],[Candidate 3]])/(SamplingData[[#Totals],[Winning Candidate]]-SamplingData[[#Totals],[Candidate 3]]), 0)</f>
        <v>2.258283059650934E-4</v>
      </c>
      <c r="M1409" s="100">
        <f>IF(AND(SamplingData[[#This Row],[Total]]&lt;&gt; 0, NOT(ISBLANK(SamplingData[[#This Row],[Candidate 4]]))),(SamplingData[[#This Row],[Total]]+SamplingData[[#This Row],[Winning Candidate]]-SamplingData[[#This Row],[Candidate 4]])/(SamplingData[[#Totals],[Winning Candidate]]-SamplingData[[#Totals],[Candidate 4]]), 0)</f>
        <v>3.5078488117162149E-4</v>
      </c>
      <c r="N1409" s="100">
        <f>IF(AND(SamplingData[[#This Row],[Total]]&lt;&gt; 0, NOT(ISBLANK(SamplingData[[#This Row],[Candidate 5]]))),(SamplingData[[#This Row],[Total]]+SamplingData[[#This Row],[Winning Candidate]]-SamplingData[[#This Row],[Candidate 5]])/(SamplingData[[#Totals],[Winning Candidate]]-SamplingData[[#Totals],[Candidate 5]]), 0)</f>
        <v>3.1622476283142789E-4</v>
      </c>
      <c r="O1409" s="100">
        <f>IF(AND(SamplingData[[#This Row],[Total]]&lt;&gt; 0, NOT(ISBLANK(SamplingData[[#This Row],[Candidate 6]]))),(SamplingData[[#This Row],[Total]]+SamplingData[[#This Row],[Winning Candidate]]-SamplingData[[#This Row],[Candidate 6]])/(SamplingData[[#Totals],[Winning Candidate]]-SamplingData[[#Totals],[Candidate 6]]), 0)</f>
        <v>3.1613248382860755E-4</v>
      </c>
      <c r="P1409" s="100">
        <f>MAX(SamplingData[[#This Row],[Error Bound (up) - Max. possible relative overstatement - Losing Candidate]:[Error Bound (up) - Max. possible relative overstatement - Candidate 6]])</f>
        <v>5.5120039196472322E-4</v>
      </c>
      <c r="Q1409" s="100">
        <f>IF(SamplingData[[#This Row],[Max Error Bound (up)]] = 0,0,SamplingData[[#This Row],[Max Error Bound (up)]]/SamplingData[[#Totals],[Max Error Bound (up)]])</f>
        <v>8.7236534506012492E-5</v>
      </c>
      <c r="R1409" s="101">
        <f>SUM($Q$5:Q1409)</f>
        <v>0.42819156373943318</v>
      </c>
      <c r="S1409" s="100" t="str">
        <f t="array" ref="S1409">IF(SamplingData[[#This Row],[up/U Selection Probability]] = 0, "Zero", TEXT(SamplingData[[#This Row],[Lower Range]], REPT("0",LEN('General Info'!$B$40))) &amp; " - " &amp; TEXT(SamplingData[[#This Row],[Upper Range]], REPT("0",LEN('General Info'!$B$40))))</f>
        <v>42810 - 42818</v>
      </c>
      <c r="T1409" s="100">
        <f>SamplingData[[#This Row],[Upper Range]]-SamplingData[[#This Row],[Span]]</f>
        <v>42810.432807729252</v>
      </c>
      <c r="U1409" s="100">
        <f>IF(ISNUMBER('General Info'!$B$40), ((SamplingData[[#This Row],[up/U Selection Probability]]) * 'General Info'!$B$40) - 1, 0)</f>
        <v>7.7235662140667429</v>
      </c>
      <c r="V1409" s="100">
        <f>IF(ISNUMBER('General Info'!$B$40), (SamplingData[[#This Row],[Running (cumulative) sum]] * ('General Info'!$B$40 -'General Info'!$B$41 + 1)) + 'General Info'!$B$41 - 1, 0)</f>
        <v>42818.156373943319</v>
      </c>
      <c r="W1409" s="100" t="str">
        <f>IF(ISERROR(MATCH(SamplingData[[#This Row],[Batch by Type (p)]],SelectedPrecincts[Batch Name], 0)), "", INDEX(SelectedPrecincts[Draw], MATCH(SamplingData[[#This Row],[Batch by Type (p)]],SelectedPrecincts[Batch Name], 0)))</f>
        <v/>
      </c>
      <c r="X1409" s="102">
        <f>IF(COUNTIF(SelectedPrecincts[Batch Name],SamplingData[[#This Row],[Batch by Type (p)]]) &lt;&gt; 0, COUNTIF(SelectedPrecincts[Batch Name],SamplingData[[#This Row],[Batch by Type (p)]]), 0)</f>
        <v>0</v>
      </c>
    </row>
    <row r="1410" spans="1:24" ht="15" customHeight="1">
      <c r="A1410" s="18" t="s">
        <v>1586</v>
      </c>
      <c r="B1410" s="18">
        <v>1</v>
      </c>
      <c r="C1410" s="18">
        <v>2</v>
      </c>
      <c r="D1410" s="18">
        <v>0</v>
      </c>
      <c r="E1410" s="18">
        <v>0</v>
      </c>
      <c r="F1410" s="18">
        <v>0</v>
      </c>
      <c r="G1410" s="18">
        <v>0</v>
      </c>
      <c r="H1410" s="18">
        <v>0</v>
      </c>
      <c r="I1410" s="18">
        <v>0</v>
      </c>
      <c r="J1410" s="99">
        <f>SUM(SamplingData[[#This Row],[Losing Candidate]:[Under Votes]])</f>
        <v>3</v>
      </c>
      <c r="K1410"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410" s="100">
        <f>IF(AND(SamplingData[[#This Row],[Total]]&lt;&gt; 0, NOT(ISBLANK(SamplingData[[#This Row],[Candidate 3]]))),(SamplingData[[#This Row],[Total]]+SamplingData[[#This Row],[Winning Candidate]]-SamplingData[[#This Row],[Candidate 3]])/(SamplingData[[#Totals],[Winning Candidate]]-SamplingData[[#Totals],[Candidate 3]]), 0)</f>
        <v>1.6130593283220958E-4</v>
      </c>
      <c r="M1410" s="100">
        <f>IF(AND(SamplingData[[#This Row],[Total]]&lt;&gt; 0, NOT(ISBLANK(SamplingData[[#This Row],[Candidate 4]]))),(SamplingData[[#This Row],[Total]]+SamplingData[[#This Row],[Winning Candidate]]-SamplingData[[#This Row],[Candidate 4]])/(SamplingData[[#Totals],[Winning Candidate]]-SamplingData[[#Totals],[Candidate 4]]), 0)</f>
        <v>1.4616036715484231E-4</v>
      </c>
      <c r="N1410" s="100">
        <f>IF(AND(SamplingData[[#This Row],[Total]]&lt;&gt; 0, NOT(ISBLANK(SamplingData[[#This Row],[Candidate 5]]))),(SamplingData[[#This Row],[Total]]+SamplingData[[#This Row],[Winning Candidate]]-SamplingData[[#This Row],[Candidate 5]])/(SamplingData[[#Totals],[Winning Candidate]]-SamplingData[[#Totals],[Candidate 5]]), 0)</f>
        <v>1.2162490878131841E-4</v>
      </c>
      <c r="O1410" s="100">
        <f>IF(AND(SamplingData[[#This Row],[Total]]&lt;&gt; 0, NOT(ISBLANK(SamplingData[[#This Row],[Candidate 6]]))),(SamplingData[[#This Row],[Total]]+SamplingData[[#This Row],[Winning Candidate]]-SamplingData[[#This Row],[Candidate 6]])/(SamplingData[[#Totals],[Winning Candidate]]-SamplingData[[#Totals],[Candidate 6]]), 0)</f>
        <v>1.2158941685715675E-4</v>
      </c>
      <c r="P1410" s="100">
        <f>MAX(SamplingData[[#This Row],[Error Bound (up) - Max. possible relative overstatement - Losing Candidate]:[Error Bound (up) - Max. possible relative overstatement - Candidate 6]])</f>
        <v>2.4497795198432141E-4</v>
      </c>
      <c r="Q1410" s="100">
        <f>IF(SamplingData[[#This Row],[Max Error Bound (up)]] = 0,0,SamplingData[[#This Row],[Max Error Bound (up)]]/SamplingData[[#Totals],[Max Error Bound (up)]])</f>
        <v>3.8771793113783326E-5</v>
      </c>
      <c r="R1410" s="101">
        <f>SUM($Q$5:Q1410)</f>
        <v>0.42823033553254697</v>
      </c>
      <c r="S1410" s="100" t="str">
        <f t="array" ref="S1410">IF(SamplingData[[#This Row],[up/U Selection Probability]] = 0, "Zero", TEXT(SamplingData[[#This Row],[Lower Range]], REPT("0",LEN('General Info'!$B$40))) &amp; " - " &amp; TEXT(SamplingData[[#This Row],[Upper Range]], REPT("0",LEN('General Info'!$B$40))))</f>
        <v>42819 - 42822</v>
      </c>
      <c r="T1410" s="100">
        <f>SamplingData[[#This Row],[Upper Range]]-SamplingData[[#This Row],[Span]]</f>
        <v>42819.156412715114</v>
      </c>
      <c r="U1410" s="100">
        <f>IF(ISNUMBER('General Info'!$B$40), ((SamplingData[[#This Row],[up/U Selection Probability]]) * 'General Info'!$B$40) - 1, 0)</f>
        <v>2.877140539585219</v>
      </c>
      <c r="V1410" s="100">
        <f>IF(ISNUMBER('General Info'!$B$40), (SamplingData[[#This Row],[Running (cumulative) sum]] * ('General Info'!$B$40 -'General Info'!$B$41 + 1)) + 'General Info'!$B$41 - 1, 0)</f>
        <v>42822.033553254696</v>
      </c>
      <c r="W1410" s="100" t="str">
        <f>IF(ISERROR(MATCH(SamplingData[[#This Row],[Batch by Type (p)]],SelectedPrecincts[Batch Name], 0)), "", INDEX(SelectedPrecincts[Draw], MATCH(SamplingData[[#This Row],[Batch by Type (p)]],SelectedPrecincts[Batch Name], 0)))</f>
        <v/>
      </c>
      <c r="X1410" s="102">
        <f>IF(COUNTIF(SelectedPrecincts[Batch Name],SamplingData[[#This Row],[Batch by Type (p)]]) &lt;&gt; 0, COUNTIF(SelectedPrecincts[Batch Name],SamplingData[[#This Row],[Batch by Type (p)]]), 0)</f>
        <v>0</v>
      </c>
    </row>
    <row r="1411" spans="1:24" ht="15" customHeight="1">
      <c r="A1411" s="18" t="s">
        <v>1587</v>
      </c>
      <c r="B1411" s="18">
        <v>0</v>
      </c>
      <c r="C1411" s="18">
        <v>3</v>
      </c>
      <c r="D1411" s="16">
        <v>1</v>
      </c>
      <c r="E1411" s="16">
        <v>1</v>
      </c>
      <c r="F1411" s="37">
        <v>0</v>
      </c>
      <c r="G1411" s="37">
        <v>0</v>
      </c>
      <c r="H1411" s="17">
        <v>0</v>
      </c>
      <c r="I1411" s="17">
        <v>0</v>
      </c>
      <c r="J1411" s="99">
        <f>SUM(SamplingData[[#This Row],[Losing Candidate]:[Under Votes]])</f>
        <v>5</v>
      </c>
      <c r="K1411"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411" s="100">
        <f>IF(AND(SamplingData[[#This Row],[Total]]&lt;&gt; 0, NOT(ISBLANK(SamplingData[[#This Row],[Candidate 3]]))),(SamplingData[[#This Row],[Total]]+SamplingData[[#This Row],[Winning Candidate]]-SamplingData[[#This Row],[Candidate 3]])/(SamplingData[[#Totals],[Winning Candidate]]-SamplingData[[#Totals],[Candidate 3]]), 0)</f>
        <v>2.258283059650934E-4</v>
      </c>
      <c r="M1411" s="100">
        <f>IF(AND(SamplingData[[#This Row],[Total]]&lt;&gt; 0, NOT(ISBLANK(SamplingData[[#This Row],[Candidate 4]]))),(SamplingData[[#This Row],[Total]]+SamplingData[[#This Row],[Winning Candidate]]-SamplingData[[#This Row],[Candidate 4]])/(SamplingData[[#Totals],[Winning Candidate]]-SamplingData[[#Totals],[Candidate 4]]), 0)</f>
        <v>2.0462451401677921E-4</v>
      </c>
      <c r="N1411" s="100">
        <f>IF(AND(SamplingData[[#This Row],[Total]]&lt;&gt; 0, NOT(ISBLANK(SamplingData[[#This Row],[Candidate 5]]))),(SamplingData[[#This Row],[Total]]+SamplingData[[#This Row],[Winning Candidate]]-SamplingData[[#This Row],[Candidate 5]])/(SamplingData[[#Totals],[Winning Candidate]]-SamplingData[[#Totals],[Candidate 5]]), 0)</f>
        <v>1.9459985405010947E-4</v>
      </c>
      <c r="O1411" s="100">
        <f>IF(AND(SamplingData[[#This Row],[Total]]&lt;&gt; 0, NOT(ISBLANK(SamplingData[[#This Row],[Candidate 6]]))),(SamplingData[[#This Row],[Total]]+SamplingData[[#This Row],[Winning Candidate]]-SamplingData[[#This Row],[Candidate 6]])/(SamplingData[[#Totals],[Winning Candidate]]-SamplingData[[#Totals],[Candidate 6]]), 0)</f>
        <v>1.945430669714508E-4</v>
      </c>
      <c r="P1411" s="100">
        <f>MAX(SamplingData[[#This Row],[Error Bound (up) - Max. possible relative overstatement - Losing Candidate]:[Error Bound (up) - Max. possible relative overstatement - Candidate 6]])</f>
        <v>4.8995590396864281E-4</v>
      </c>
      <c r="Q1411" s="100">
        <f>IF(SamplingData[[#This Row],[Max Error Bound (up)]] = 0,0,SamplingData[[#This Row],[Max Error Bound (up)]]/SamplingData[[#Totals],[Max Error Bound (up)]])</f>
        <v>7.7543586227566652E-5</v>
      </c>
      <c r="R1411" s="101">
        <f>SUM($Q$5:Q1411)</f>
        <v>0.42830787911877455</v>
      </c>
      <c r="S1411" s="100" t="str">
        <f t="array" ref="S1411">IF(SamplingData[[#This Row],[up/U Selection Probability]] = 0, "Zero", TEXT(SamplingData[[#This Row],[Lower Range]], REPT("0",LEN('General Info'!$B$40))) &amp; " - " &amp; TEXT(SamplingData[[#This Row],[Upper Range]], REPT("0",LEN('General Info'!$B$40))))</f>
        <v>42823 - 42830</v>
      </c>
      <c r="T1411" s="100">
        <f>SamplingData[[#This Row],[Upper Range]]-SamplingData[[#This Row],[Span]]</f>
        <v>42823.033630798287</v>
      </c>
      <c r="U1411" s="100">
        <f>IF(ISNUMBER('General Info'!$B$40), ((SamplingData[[#This Row],[up/U Selection Probability]]) * 'General Info'!$B$40) - 1, 0)</f>
        <v>6.754281079170438</v>
      </c>
      <c r="V1411" s="100">
        <f>IF(ISNUMBER('General Info'!$B$40), (SamplingData[[#This Row],[Running (cumulative) sum]] * ('General Info'!$B$40 -'General Info'!$B$41 + 1)) + 'General Info'!$B$41 - 1, 0)</f>
        <v>42829.787911877458</v>
      </c>
      <c r="W1411" s="100" t="str">
        <f>IF(ISERROR(MATCH(SamplingData[[#This Row],[Batch by Type (p)]],SelectedPrecincts[Batch Name], 0)), "", INDEX(SelectedPrecincts[Draw], MATCH(SamplingData[[#This Row],[Batch by Type (p)]],SelectedPrecincts[Batch Name], 0)))</f>
        <v/>
      </c>
      <c r="X1411" s="102">
        <f>IF(COUNTIF(SelectedPrecincts[Batch Name],SamplingData[[#This Row],[Batch by Type (p)]]) &lt;&gt; 0, COUNTIF(SelectedPrecincts[Batch Name],SamplingData[[#This Row],[Batch by Type (p)]]), 0)</f>
        <v>0</v>
      </c>
    </row>
    <row r="1412" spans="1:24" ht="15" customHeight="1">
      <c r="A1412" s="18" t="s">
        <v>1588</v>
      </c>
      <c r="B1412" s="18">
        <v>0</v>
      </c>
      <c r="C1412" s="18">
        <v>0</v>
      </c>
      <c r="D1412" s="18">
        <v>3</v>
      </c>
      <c r="E1412" s="18">
        <v>1</v>
      </c>
      <c r="F1412" s="18">
        <v>0</v>
      </c>
      <c r="G1412" s="18">
        <v>0</v>
      </c>
      <c r="H1412" s="18">
        <v>0</v>
      </c>
      <c r="I1412" s="18">
        <v>0</v>
      </c>
      <c r="J1412" s="99">
        <f>SUM(SamplingData[[#This Row],[Losing Candidate]:[Under Votes]])</f>
        <v>4</v>
      </c>
      <c r="K1412"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412" s="100">
        <f>IF(AND(SamplingData[[#This Row],[Total]]&lt;&gt; 0, NOT(ISBLANK(SamplingData[[#This Row],[Candidate 3]]))),(SamplingData[[#This Row],[Total]]+SamplingData[[#This Row],[Winning Candidate]]-SamplingData[[#This Row],[Candidate 3]])/(SamplingData[[#Totals],[Winning Candidate]]-SamplingData[[#Totals],[Candidate 3]]), 0)</f>
        <v>3.2261186566441917E-5</v>
      </c>
      <c r="M1412" s="100">
        <f>IF(AND(SamplingData[[#This Row],[Total]]&lt;&gt; 0, NOT(ISBLANK(SamplingData[[#This Row],[Candidate 4]]))),(SamplingData[[#This Row],[Total]]+SamplingData[[#This Row],[Winning Candidate]]-SamplingData[[#This Row],[Candidate 4]])/(SamplingData[[#Totals],[Winning Candidate]]-SamplingData[[#Totals],[Candidate 4]]), 0)</f>
        <v>8.7696220292905373E-5</v>
      </c>
      <c r="N1412" s="100">
        <f>IF(AND(SamplingData[[#This Row],[Total]]&lt;&gt; 0, NOT(ISBLANK(SamplingData[[#This Row],[Candidate 5]]))),(SamplingData[[#This Row],[Total]]+SamplingData[[#This Row],[Winning Candidate]]-SamplingData[[#This Row],[Candidate 5]])/(SamplingData[[#Totals],[Winning Candidate]]-SamplingData[[#Totals],[Candidate 5]]), 0)</f>
        <v>9.7299927025054734E-5</v>
      </c>
      <c r="O1412" s="100">
        <f>IF(AND(SamplingData[[#This Row],[Total]]&lt;&gt; 0, NOT(ISBLANK(SamplingData[[#This Row],[Candidate 6]]))),(SamplingData[[#This Row],[Total]]+SamplingData[[#This Row],[Winning Candidate]]-SamplingData[[#This Row],[Candidate 6]])/(SamplingData[[#Totals],[Winning Candidate]]-SamplingData[[#Totals],[Candidate 6]]), 0)</f>
        <v>9.7271533485725401E-5</v>
      </c>
      <c r="P1412" s="100">
        <f>MAX(SamplingData[[#This Row],[Error Bound (up) - Max. possible relative overstatement - Losing Candidate]:[Error Bound (up) - Max. possible relative overstatement - Candidate 6]])</f>
        <v>2.4497795198432141E-4</v>
      </c>
      <c r="Q1412" s="100">
        <f>IF(SamplingData[[#This Row],[Max Error Bound (up)]] = 0,0,SamplingData[[#This Row],[Max Error Bound (up)]]/SamplingData[[#Totals],[Max Error Bound (up)]])</f>
        <v>3.8771793113783326E-5</v>
      </c>
      <c r="R1412" s="101">
        <f>SUM($Q$5:Q1412)</f>
        <v>0.42834665091188834</v>
      </c>
      <c r="S1412" s="100" t="str">
        <f t="array" ref="S1412">IF(SamplingData[[#This Row],[up/U Selection Probability]] = 0, "Zero", TEXT(SamplingData[[#This Row],[Lower Range]], REPT("0",LEN('General Info'!$B$40))) &amp; " - " &amp; TEXT(SamplingData[[#This Row],[Upper Range]], REPT("0",LEN('General Info'!$B$40))))</f>
        <v>42831 - 42834</v>
      </c>
      <c r="T1412" s="100">
        <f>SamplingData[[#This Row],[Upper Range]]-SamplingData[[#This Row],[Span]]</f>
        <v>42830.787950649254</v>
      </c>
      <c r="U1412" s="100">
        <f>IF(ISNUMBER('General Info'!$B$40), ((SamplingData[[#This Row],[up/U Selection Probability]]) * 'General Info'!$B$40) - 1, 0)</f>
        <v>2.877140539585219</v>
      </c>
      <c r="V1412" s="100">
        <f>IF(ISNUMBER('General Info'!$B$40), (SamplingData[[#This Row],[Running (cumulative) sum]] * ('General Info'!$B$40 -'General Info'!$B$41 + 1)) + 'General Info'!$B$41 - 1, 0)</f>
        <v>42833.665091188836</v>
      </c>
      <c r="W1412" s="100" t="str">
        <f>IF(ISERROR(MATCH(SamplingData[[#This Row],[Batch by Type (p)]],SelectedPrecincts[Batch Name], 0)), "", INDEX(SelectedPrecincts[Draw], MATCH(SamplingData[[#This Row],[Batch by Type (p)]],SelectedPrecincts[Batch Name], 0)))</f>
        <v/>
      </c>
      <c r="X1412" s="102">
        <f>IF(COUNTIF(SelectedPrecincts[Batch Name],SamplingData[[#This Row],[Batch by Type (p)]]) &lt;&gt; 0, COUNTIF(SelectedPrecincts[Batch Name],SamplingData[[#This Row],[Batch by Type (p)]]), 0)</f>
        <v>0</v>
      </c>
    </row>
    <row r="1413" spans="1:24" ht="15" customHeight="1">
      <c r="A1413" s="18" t="s">
        <v>1589</v>
      </c>
      <c r="B1413" s="18">
        <v>26</v>
      </c>
      <c r="C1413" s="18">
        <v>47</v>
      </c>
      <c r="D1413" s="16">
        <v>4</v>
      </c>
      <c r="E1413" s="16">
        <v>13</v>
      </c>
      <c r="F1413" s="37">
        <v>0</v>
      </c>
      <c r="G1413" s="37">
        <v>0</v>
      </c>
      <c r="H1413" s="17">
        <v>2</v>
      </c>
      <c r="I1413" s="17">
        <v>0</v>
      </c>
      <c r="J1413" s="99">
        <f>SUM(SamplingData[[#This Row],[Losing Candidate]:[Under Votes]])</f>
        <v>92</v>
      </c>
      <c r="K1413" s="100">
        <f>IF(AND(SamplingData[[#This Row],[Total]]&lt;&gt; 0, NOT(ISBLANK(SamplingData[[#This Row],[Losing Candidate]]))),(SamplingData[[#This Row],[Total]]+SamplingData[[#This Row],[Winning Candidate]]-SamplingData[[#This Row],[Losing Candidate]])/(SamplingData[[#Totals],[Winning Candidate]]-SamplingData[[#Totals],[Losing Candidate]]), 0)</f>
        <v>6.9206271435570798E-3</v>
      </c>
      <c r="L1413" s="100">
        <f>IF(AND(SamplingData[[#This Row],[Total]]&lt;&gt; 0, NOT(ISBLANK(SamplingData[[#This Row],[Candidate 3]]))),(SamplingData[[#This Row],[Total]]+SamplingData[[#This Row],[Winning Candidate]]-SamplingData[[#This Row],[Candidate 3]])/(SamplingData[[#Totals],[Winning Candidate]]-SamplingData[[#Totals],[Candidate 3]]), 0)</f>
        <v>4.355260186469658E-3</v>
      </c>
      <c r="M1413" s="100">
        <f>IF(AND(SamplingData[[#This Row],[Total]]&lt;&gt; 0, NOT(ISBLANK(SamplingData[[#This Row],[Candidate 4]]))),(SamplingData[[#This Row],[Total]]+SamplingData[[#This Row],[Winning Candidate]]-SamplingData[[#This Row],[Candidate 4]])/(SamplingData[[#Totals],[Winning Candidate]]-SamplingData[[#Totals],[Candidate 4]]), 0)</f>
        <v>3.6832412523020259E-3</v>
      </c>
      <c r="N1413" s="100">
        <f>IF(AND(SamplingData[[#This Row],[Total]]&lt;&gt; 0, NOT(ISBLANK(SamplingData[[#This Row],[Candidate 5]]))),(SamplingData[[#This Row],[Total]]+SamplingData[[#This Row],[Winning Candidate]]-SamplingData[[#This Row],[Candidate 5]])/(SamplingData[[#Totals],[Winning Candidate]]-SamplingData[[#Totals],[Candidate 5]]), 0)</f>
        <v>3.3811724641206521E-3</v>
      </c>
      <c r="O1413" s="100">
        <f>IF(AND(SamplingData[[#This Row],[Total]]&lt;&gt; 0, NOT(ISBLANK(SamplingData[[#This Row],[Candidate 6]]))),(SamplingData[[#This Row],[Total]]+SamplingData[[#This Row],[Winning Candidate]]-SamplingData[[#This Row],[Candidate 6]])/(SamplingData[[#Totals],[Winning Candidate]]-SamplingData[[#Totals],[Candidate 6]]), 0)</f>
        <v>3.3801857886289577E-3</v>
      </c>
      <c r="P1413" s="100">
        <f>MAX(SamplingData[[#This Row],[Error Bound (up) - Max. possible relative overstatement - Losing Candidate]:[Error Bound (up) - Max. possible relative overstatement - Candidate 6]])</f>
        <v>6.9206271435570798E-3</v>
      </c>
      <c r="Q1413" s="100">
        <f>IF(SamplingData[[#This Row],[Max Error Bound (up)]] = 0,0,SamplingData[[#This Row],[Max Error Bound (up)]]/SamplingData[[#Totals],[Max Error Bound (up)]])</f>
        <v>1.0953031554643789E-3</v>
      </c>
      <c r="R1413" s="101">
        <f>SUM($Q$5:Q1413)</f>
        <v>0.42944195406735269</v>
      </c>
      <c r="S1413" s="100" t="str">
        <f t="array" ref="S1413">IF(SamplingData[[#This Row],[up/U Selection Probability]] = 0, "Zero", TEXT(SamplingData[[#This Row],[Lower Range]], REPT("0",LEN('General Info'!$B$40))) &amp; " - " &amp; TEXT(SamplingData[[#This Row],[Upper Range]], REPT("0",LEN('General Info'!$B$40))))</f>
        <v>42835 - 42943</v>
      </c>
      <c r="T1413" s="100">
        <f>SamplingData[[#This Row],[Upper Range]]-SamplingData[[#This Row],[Span]]</f>
        <v>42834.666186491988</v>
      </c>
      <c r="U1413" s="100">
        <f>IF(ISNUMBER('General Info'!$B$40), ((SamplingData[[#This Row],[up/U Selection Probability]]) * 'General Info'!$B$40) - 1, 0)</f>
        <v>108.52922024328242</v>
      </c>
      <c r="V1413" s="100">
        <f>IF(ISNUMBER('General Info'!$B$40), (SamplingData[[#This Row],[Running (cumulative) sum]] * ('General Info'!$B$40 -'General Info'!$B$41 + 1)) + 'General Info'!$B$41 - 1, 0)</f>
        <v>42943.195406735271</v>
      </c>
      <c r="W1413" s="100" t="str">
        <f>IF(ISERROR(MATCH(SamplingData[[#This Row],[Batch by Type (p)]],SelectedPrecincts[Batch Name], 0)), "", INDEX(SelectedPrecincts[Draw], MATCH(SamplingData[[#This Row],[Batch by Type (p)]],SelectedPrecincts[Batch Name], 0)))</f>
        <v/>
      </c>
      <c r="X1413" s="102">
        <f>IF(COUNTIF(SelectedPrecincts[Batch Name],SamplingData[[#This Row],[Batch by Type (p)]]) &lt;&gt; 0, COUNTIF(SelectedPrecincts[Batch Name],SamplingData[[#This Row],[Batch by Type (p)]]), 0)</f>
        <v>0</v>
      </c>
    </row>
    <row r="1414" spans="1:24" ht="15" customHeight="1">
      <c r="A1414" s="18" t="s">
        <v>1590</v>
      </c>
      <c r="B1414" s="18">
        <v>10</v>
      </c>
      <c r="C1414" s="18">
        <v>8</v>
      </c>
      <c r="D1414" s="18">
        <v>1</v>
      </c>
      <c r="E1414" s="18">
        <v>2</v>
      </c>
      <c r="F1414" s="18">
        <v>0</v>
      </c>
      <c r="G1414" s="18">
        <v>0</v>
      </c>
      <c r="H1414" s="18">
        <v>0</v>
      </c>
      <c r="I1414" s="18">
        <v>1</v>
      </c>
      <c r="J1414" s="99">
        <f>SUM(SamplingData[[#This Row],[Losing Candidate]:[Under Votes]])</f>
        <v>22</v>
      </c>
      <c r="K141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414" s="100">
        <f>IF(AND(SamplingData[[#This Row],[Total]]&lt;&gt; 0, NOT(ISBLANK(SamplingData[[#This Row],[Candidate 3]]))),(SamplingData[[#This Row],[Total]]+SamplingData[[#This Row],[Winning Candidate]]-SamplingData[[#This Row],[Candidate 3]])/(SamplingData[[#Totals],[Winning Candidate]]-SamplingData[[#Totals],[Candidate 3]]), 0)</f>
        <v>9.3557441042681547E-4</v>
      </c>
      <c r="M1414" s="100">
        <f>IF(AND(SamplingData[[#This Row],[Total]]&lt;&gt; 0, NOT(ISBLANK(SamplingData[[#This Row],[Candidate 4]]))),(SamplingData[[#This Row],[Total]]+SamplingData[[#This Row],[Winning Candidate]]-SamplingData[[#This Row],[Candidate 4]])/(SamplingData[[#Totals],[Winning Candidate]]-SamplingData[[#Totals],[Candidate 4]]), 0)</f>
        <v>8.1849805606711685E-4</v>
      </c>
      <c r="N1414" s="100">
        <f>IF(AND(SamplingData[[#This Row],[Total]]&lt;&gt; 0, NOT(ISBLANK(SamplingData[[#This Row],[Candidate 5]]))),(SamplingData[[#This Row],[Total]]+SamplingData[[#This Row],[Winning Candidate]]-SamplingData[[#This Row],[Candidate 5]])/(SamplingData[[#Totals],[Winning Candidate]]-SamplingData[[#Totals],[Candidate 5]]), 0)</f>
        <v>7.2974945268791051E-4</v>
      </c>
      <c r="O1414" s="100">
        <f>IF(AND(SamplingData[[#This Row],[Total]]&lt;&gt; 0, NOT(ISBLANK(SamplingData[[#This Row],[Candidate 6]]))),(SamplingData[[#This Row],[Total]]+SamplingData[[#This Row],[Winning Candidate]]-SamplingData[[#This Row],[Candidate 6]])/(SamplingData[[#Totals],[Winning Candidate]]-SamplingData[[#Totals],[Candidate 6]]), 0)</f>
        <v>7.2953650114294054E-4</v>
      </c>
      <c r="P1414" s="100">
        <f>MAX(SamplingData[[#This Row],[Error Bound (up) - Max. possible relative overstatement - Losing Candidate]:[Error Bound (up) - Max. possible relative overstatement - Candidate 6]])</f>
        <v>1.224889759921607E-3</v>
      </c>
      <c r="Q1414" s="100">
        <f>IF(SamplingData[[#This Row],[Max Error Bound (up)]] = 0,0,SamplingData[[#This Row],[Max Error Bound (up)]]/SamplingData[[#Totals],[Max Error Bound (up)]])</f>
        <v>1.9385896556891664E-4</v>
      </c>
      <c r="R1414" s="101">
        <f>SUM($Q$5:Q1414)</f>
        <v>0.42963581303292159</v>
      </c>
      <c r="S1414" s="100" t="str">
        <f t="array" ref="S1414">IF(SamplingData[[#This Row],[up/U Selection Probability]] = 0, "Zero", TEXT(SamplingData[[#This Row],[Lower Range]], REPT("0",LEN('General Info'!$B$40))) &amp; " - " &amp; TEXT(SamplingData[[#This Row],[Upper Range]], REPT("0",LEN('General Info'!$B$40))))</f>
        <v>42944 - 42963</v>
      </c>
      <c r="T1414" s="100">
        <f>SamplingData[[#This Row],[Upper Range]]-SamplingData[[#This Row],[Span]]</f>
        <v>42944.195600594234</v>
      </c>
      <c r="U1414" s="100">
        <f>IF(ISNUMBER('General Info'!$B$40), ((SamplingData[[#This Row],[up/U Selection Probability]]) * 'General Info'!$B$40) - 1, 0)</f>
        <v>18.385702697926096</v>
      </c>
      <c r="V1414" s="100">
        <f>IF(ISNUMBER('General Info'!$B$40), (SamplingData[[#This Row],[Running (cumulative) sum]] * ('General Info'!$B$40 -'General Info'!$B$41 + 1)) + 'General Info'!$B$41 - 1, 0)</f>
        <v>42962.581303292158</v>
      </c>
      <c r="W1414" s="100" t="str">
        <f>IF(ISERROR(MATCH(SamplingData[[#This Row],[Batch by Type (p)]],SelectedPrecincts[Batch Name], 0)), "", INDEX(SelectedPrecincts[Draw], MATCH(SamplingData[[#This Row],[Batch by Type (p)]],SelectedPrecincts[Batch Name], 0)))</f>
        <v/>
      </c>
      <c r="X1414" s="102">
        <f>IF(COUNTIF(SelectedPrecincts[Batch Name],SamplingData[[#This Row],[Batch by Type (p)]]) &lt;&gt; 0, COUNTIF(SelectedPrecincts[Batch Name],SamplingData[[#This Row],[Batch by Type (p)]]), 0)</f>
        <v>0</v>
      </c>
    </row>
    <row r="1415" spans="1:24" ht="15" customHeight="1">
      <c r="A1415" s="18" t="s">
        <v>1591</v>
      </c>
      <c r="B1415" s="18">
        <v>32</v>
      </c>
      <c r="C1415" s="18">
        <v>56</v>
      </c>
      <c r="D1415" s="16">
        <v>8</v>
      </c>
      <c r="E1415" s="16">
        <v>15</v>
      </c>
      <c r="F1415" s="37">
        <v>0</v>
      </c>
      <c r="G1415" s="37">
        <v>0</v>
      </c>
      <c r="H1415" s="17">
        <v>0</v>
      </c>
      <c r="I1415" s="17">
        <v>4</v>
      </c>
      <c r="J1415" s="99">
        <f>SUM(SamplingData[[#This Row],[Losing Candidate]:[Under Votes]])</f>
        <v>115</v>
      </c>
      <c r="K1415" s="100">
        <f>IF(AND(SamplingData[[#This Row],[Total]]&lt;&gt; 0, NOT(ISBLANK(SamplingData[[#This Row],[Losing Candidate]]))),(SamplingData[[#This Row],[Total]]+SamplingData[[#This Row],[Winning Candidate]]-SamplingData[[#This Row],[Losing Candidate]])/(SamplingData[[#Totals],[Winning Candidate]]-SamplingData[[#Totals],[Losing Candidate]]), 0)</f>
        <v>8.5129838314551686E-3</v>
      </c>
      <c r="L1415" s="100">
        <f>IF(AND(SamplingData[[#This Row],[Total]]&lt;&gt; 0, NOT(ISBLANK(SamplingData[[#This Row],[Candidate 3]]))),(SamplingData[[#This Row],[Total]]+SamplingData[[#This Row],[Winning Candidate]]-SamplingData[[#This Row],[Candidate 3]])/(SamplingData[[#Totals],[Winning Candidate]]-SamplingData[[#Totals],[Candidate 3]]), 0)</f>
        <v>5.258573410330032E-3</v>
      </c>
      <c r="M1415" s="100">
        <f>IF(AND(SamplingData[[#This Row],[Total]]&lt;&gt; 0, NOT(ISBLANK(SamplingData[[#This Row],[Candidate 4]]))),(SamplingData[[#This Row],[Total]]+SamplingData[[#This Row],[Winning Candidate]]-SamplingData[[#This Row],[Candidate 4]])/(SamplingData[[#Totals],[Winning Candidate]]-SamplingData[[#Totals],[Candidate 4]]), 0)</f>
        <v>4.5602034552310799E-3</v>
      </c>
      <c r="N1415" s="100">
        <f>IF(AND(SamplingData[[#This Row],[Total]]&lt;&gt; 0, NOT(ISBLANK(SamplingData[[#This Row],[Candidate 5]]))),(SamplingData[[#This Row],[Total]]+SamplingData[[#This Row],[Winning Candidate]]-SamplingData[[#This Row],[Candidate 5]])/(SamplingData[[#Totals],[Winning Candidate]]-SamplingData[[#Totals],[Candidate 5]]), 0)</f>
        <v>4.1595718803210894E-3</v>
      </c>
      <c r="O1415" s="100">
        <f>IF(AND(SamplingData[[#This Row],[Total]]&lt;&gt; 0, NOT(ISBLANK(SamplingData[[#This Row],[Candidate 6]]))),(SamplingData[[#This Row],[Total]]+SamplingData[[#This Row],[Winning Candidate]]-SamplingData[[#This Row],[Candidate 6]])/(SamplingData[[#Totals],[Winning Candidate]]-SamplingData[[#Totals],[Candidate 6]]), 0)</f>
        <v>4.1583580565147608E-3</v>
      </c>
      <c r="P1415" s="100">
        <f>MAX(SamplingData[[#This Row],[Error Bound (up) - Max. possible relative overstatement - Losing Candidate]:[Error Bound (up) - Max. possible relative overstatement - Candidate 6]])</f>
        <v>8.5129838314551686E-3</v>
      </c>
      <c r="Q1415" s="100">
        <f>IF(SamplingData[[#This Row],[Max Error Bound (up)]] = 0,0,SamplingData[[#This Row],[Max Error Bound (up)]]/SamplingData[[#Totals],[Max Error Bound (up)]])</f>
        <v>1.3473198107039706E-3</v>
      </c>
      <c r="R1415" s="101">
        <f>SUM($Q$5:Q1415)</f>
        <v>0.43098313284362555</v>
      </c>
      <c r="S1415" s="100" t="str">
        <f t="array" ref="S1415">IF(SamplingData[[#This Row],[up/U Selection Probability]] = 0, "Zero", TEXT(SamplingData[[#This Row],[Lower Range]], REPT("0",LEN('General Info'!$B$40))) &amp; " - " &amp; TEXT(SamplingData[[#This Row],[Upper Range]], REPT("0",LEN('General Info'!$B$40))))</f>
        <v>42964 - 43097</v>
      </c>
      <c r="T1415" s="100">
        <f>SamplingData[[#This Row],[Upper Range]]-SamplingData[[#This Row],[Span]]</f>
        <v>42963.58265061197</v>
      </c>
      <c r="U1415" s="100">
        <f>IF(ISNUMBER('General Info'!$B$40), ((SamplingData[[#This Row],[up/U Selection Probability]]) * 'General Info'!$B$40) - 1, 0)</f>
        <v>133.73063375058635</v>
      </c>
      <c r="V1415" s="100">
        <f>IF(ISNUMBER('General Info'!$B$40), (SamplingData[[#This Row],[Running (cumulative) sum]] * ('General Info'!$B$40 -'General Info'!$B$41 + 1)) + 'General Info'!$B$41 - 1, 0)</f>
        <v>43097.313284362557</v>
      </c>
      <c r="W1415" s="100" t="str">
        <f>IF(ISERROR(MATCH(SamplingData[[#This Row],[Batch by Type (p)]],SelectedPrecincts[Batch Name], 0)), "", INDEX(SelectedPrecincts[Draw], MATCH(SamplingData[[#This Row],[Batch by Type (p)]],SelectedPrecincts[Batch Name], 0)))</f>
        <v/>
      </c>
      <c r="X1415" s="102">
        <f>IF(COUNTIF(SelectedPrecincts[Batch Name],SamplingData[[#This Row],[Batch by Type (p)]]) &lt;&gt; 0, COUNTIF(SelectedPrecincts[Batch Name],SamplingData[[#This Row],[Batch by Type (p)]]), 0)</f>
        <v>0</v>
      </c>
    </row>
    <row r="1416" spans="1:24" ht="15" customHeight="1">
      <c r="A1416" s="18" t="s">
        <v>1592</v>
      </c>
      <c r="B1416" s="18">
        <v>9</v>
      </c>
      <c r="C1416" s="18">
        <v>17</v>
      </c>
      <c r="D1416" s="18">
        <v>3</v>
      </c>
      <c r="E1416" s="18">
        <v>2</v>
      </c>
      <c r="F1416" s="18">
        <v>0</v>
      </c>
      <c r="G1416" s="18">
        <v>0</v>
      </c>
      <c r="H1416" s="18">
        <v>0</v>
      </c>
      <c r="I1416" s="18">
        <v>3</v>
      </c>
      <c r="J1416" s="99">
        <f>SUM(SamplingData[[#This Row],[Losing Candidate]:[Under Votes]])</f>
        <v>34</v>
      </c>
      <c r="K1416"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416" s="100">
        <f>IF(AND(SamplingData[[#This Row],[Total]]&lt;&gt; 0, NOT(ISBLANK(SamplingData[[#This Row],[Candidate 3]]))),(SamplingData[[#This Row],[Total]]+SamplingData[[#This Row],[Winning Candidate]]-SamplingData[[#This Row],[Candidate 3]])/(SamplingData[[#Totals],[Winning Candidate]]-SamplingData[[#Totals],[Candidate 3]]), 0)</f>
        <v>1.5485369551892119E-3</v>
      </c>
      <c r="M1416" s="100">
        <f>IF(AND(SamplingData[[#This Row],[Total]]&lt;&gt; 0, NOT(ISBLANK(SamplingData[[#This Row],[Candidate 4]]))),(SamplingData[[#This Row],[Total]]+SamplingData[[#This Row],[Winning Candidate]]-SamplingData[[#This Row],[Candidate 4]])/(SamplingData[[#Totals],[Winning Candidate]]-SamplingData[[#Totals],[Candidate 4]]), 0)</f>
        <v>1.4323715981174544E-3</v>
      </c>
      <c r="N1416" s="100">
        <f>IF(AND(SamplingData[[#This Row],[Total]]&lt;&gt; 0, NOT(ISBLANK(SamplingData[[#This Row],[Candidate 5]]))),(SamplingData[[#This Row],[Total]]+SamplingData[[#This Row],[Winning Candidate]]-SamplingData[[#This Row],[Candidate 5]])/(SamplingData[[#Totals],[Winning Candidate]]-SamplingData[[#Totals],[Candidate 5]]), 0)</f>
        <v>1.2405740695694478E-3</v>
      </c>
      <c r="O1416" s="100">
        <f>IF(AND(SamplingData[[#This Row],[Total]]&lt;&gt; 0, NOT(ISBLANK(SamplingData[[#This Row],[Candidate 6]]))),(SamplingData[[#This Row],[Total]]+SamplingData[[#This Row],[Winning Candidate]]-SamplingData[[#This Row],[Candidate 6]])/(SamplingData[[#Totals],[Winning Candidate]]-SamplingData[[#Totals],[Candidate 6]]), 0)</f>
        <v>1.2402120519429988E-3</v>
      </c>
      <c r="P1416" s="100">
        <f>MAX(SamplingData[[#This Row],[Error Bound (up) - Max. possible relative overstatement - Losing Candidate]:[Error Bound (up) - Max. possible relative overstatement - Candidate 6]])</f>
        <v>2.5722684958353749E-3</v>
      </c>
      <c r="Q1416" s="100">
        <f>IF(SamplingData[[#This Row],[Max Error Bound (up)]] = 0,0,SamplingData[[#This Row],[Max Error Bound (up)]]/SamplingData[[#Totals],[Max Error Bound (up)]])</f>
        <v>4.0710382769472496E-4</v>
      </c>
      <c r="R1416" s="101">
        <f>SUM($Q$5:Q1416)</f>
        <v>0.43139023667132026</v>
      </c>
      <c r="S1416" s="100" t="str">
        <f t="array" ref="S1416">IF(SamplingData[[#This Row],[up/U Selection Probability]] = 0, "Zero", TEXT(SamplingData[[#This Row],[Lower Range]], REPT("0",LEN('General Info'!$B$40))) &amp; " - " &amp; TEXT(SamplingData[[#This Row],[Upper Range]], REPT("0",LEN('General Info'!$B$40))))</f>
        <v>43098 - 43138</v>
      </c>
      <c r="T1416" s="100">
        <f>SamplingData[[#This Row],[Upper Range]]-SamplingData[[#This Row],[Span]]</f>
        <v>43098.313691466377</v>
      </c>
      <c r="U1416" s="100">
        <f>IF(ISNUMBER('General Info'!$B$40), ((SamplingData[[#This Row],[up/U Selection Probability]]) * 'General Info'!$B$40) - 1, 0)</f>
        <v>39.709975665644798</v>
      </c>
      <c r="V1416" s="100">
        <f>IF(ISNUMBER('General Info'!$B$40), (SamplingData[[#This Row],[Running (cumulative) sum]] * ('General Info'!$B$40 -'General Info'!$B$41 + 1)) + 'General Info'!$B$41 - 1, 0)</f>
        <v>43138.023667132024</v>
      </c>
      <c r="W1416" s="100" t="str">
        <f>IF(ISERROR(MATCH(SamplingData[[#This Row],[Batch by Type (p)]],SelectedPrecincts[Batch Name], 0)), "", INDEX(SelectedPrecincts[Draw], MATCH(SamplingData[[#This Row],[Batch by Type (p)]],SelectedPrecincts[Batch Name], 0)))</f>
        <v/>
      </c>
      <c r="X1416" s="102">
        <f>IF(COUNTIF(SelectedPrecincts[Batch Name],SamplingData[[#This Row],[Batch by Type (p)]]) &lt;&gt; 0, COUNTIF(SelectedPrecincts[Batch Name],SamplingData[[#This Row],[Batch by Type (p)]]), 0)</f>
        <v>0</v>
      </c>
    </row>
    <row r="1417" spans="1:24" ht="15" customHeight="1">
      <c r="A1417" s="18" t="s">
        <v>1593</v>
      </c>
      <c r="B1417" s="18">
        <v>22</v>
      </c>
      <c r="C1417" s="18">
        <v>49</v>
      </c>
      <c r="D1417" s="16">
        <v>15</v>
      </c>
      <c r="E1417" s="16">
        <v>19</v>
      </c>
      <c r="F1417" s="37">
        <v>0</v>
      </c>
      <c r="G1417" s="37">
        <v>0</v>
      </c>
      <c r="H1417" s="17">
        <v>0</v>
      </c>
      <c r="I1417" s="17">
        <v>3</v>
      </c>
      <c r="J1417" s="99">
        <f>SUM(SamplingData[[#This Row],[Losing Candidate]:[Under Votes]])</f>
        <v>108</v>
      </c>
      <c r="K1417" s="100">
        <f>IF(AND(SamplingData[[#This Row],[Total]]&lt;&gt; 0, NOT(ISBLANK(SamplingData[[#This Row],[Losing Candidate]]))),(SamplingData[[#This Row],[Total]]+SamplingData[[#This Row],[Winning Candidate]]-SamplingData[[#This Row],[Losing Candidate]])/(SamplingData[[#Totals],[Winning Candidate]]-SamplingData[[#Totals],[Losing Candidate]]), 0)</f>
        <v>8.268005879470847E-3</v>
      </c>
      <c r="L1417" s="100">
        <f>IF(AND(SamplingData[[#This Row],[Total]]&lt;&gt; 0, NOT(ISBLANK(SamplingData[[#This Row],[Candidate 3]]))),(SamplingData[[#This Row],[Total]]+SamplingData[[#This Row],[Winning Candidate]]-SamplingData[[#This Row],[Candidate 3]])/(SamplingData[[#Totals],[Winning Candidate]]-SamplingData[[#Totals],[Candidate 3]]), 0)</f>
        <v>4.5810884924347515E-3</v>
      </c>
      <c r="M1417" s="100">
        <f>IF(AND(SamplingData[[#This Row],[Total]]&lt;&gt; 0, NOT(ISBLANK(SamplingData[[#This Row],[Candidate 4]]))),(SamplingData[[#This Row],[Total]]+SamplingData[[#This Row],[Winning Candidate]]-SamplingData[[#This Row],[Candidate 4]])/(SamplingData[[#Totals],[Winning Candidate]]-SamplingData[[#Totals],[Candidate 4]]), 0)</f>
        <v>4.0340261334736475E-3</v>
      </c>
      <c r="N1417" s="100">
        <f>IF(AND(SamplingData[[#This Row],[Total]]&lt;&gt; 0, NOT(ISBLANK(SamplingData[[#This Row],[Candidate 5]]))),(SamplingData[[#This Row],[Total]]+SamplingData[[#This Row],[Winning Candidate]]-SamplingData[[#This Row],[Candidate 5]])/(SamplingData[[#Totals],[Winning Candidate]]-SamplingData[[#Totals],[Candidate 5]]), 0)</f>
        <v>3.8190221357333981E-3</v>
      </c>
      <c r="O1417" s="100">
        <f>IF(AND(SamplingData[[#This Row],[Total]]&lt;&gt; 0, NOT(ISBLANK(SamplingData[[#This Row],[Candidate 6]]))),(SamplingData[[#This Row],[Total]]+SamplingData[[#This Row],[Winning Candidate]]-SamplingData[[#This Row],[Candidate 6]])/(SamplingData[[#Totals],[Winning Candidate]]-SamplingData[[#Totals],[Candidate 6]]), 0)</f>
        <v>3.8179076893147222E-3</v>
      </c>
      <c r="P1417" s="100">
        <f>MAX(SamplingData[[#This Row],[Error Bound (up) - Max. possible relative overstatement - Losing Candidate]:[Error Bound (up) - Max. possible relative overstatement - Candidate 6]])</f>
        <v>8.268005879470847E-3</v>
      </c>
      <c r="Q1417" s="100">
        <f>IF(SamplingData[[#This Row],[Max Error Bound (up)]] = 0,0,SamplingData[[#This Row],[Max Error Bound (up)]]/SamplingData[[#Totals],[Max Error Bound (up)]])</f>
        <v>1.3085480175901872E-3</v>
      </c>
      <c r="R1417" s="101">
        <f>SUM($Q$5:Q1417)</f>
        <v>0.43269878468891043</v>
      </c>
      <c r="S1417" s="100" t="str">
        <f t="array" ref="S1417">IF(SamplingData[[#This Row],[up/U Selection Probability]] = 0, "Zero", TEXT(SamplingData[[#This Row],[Lower Range]], REPT("0",LEN('General Info'!$B$40))) &amp; " - " &amp; TEXT(SamplingData[[#This Row],[Upper Range]], REPT("0",LEN('General Info'!$B$40))))</f>
        <v>43139 - 43269</v>
      </c>
      <c r="T1417" s="100">
        <f>SamplingData[[#This Row],[Upper Range]]-SamplingData[[#This Row],[Span]]</f>
        <v>43139.024975680048</v>
      </c>
      <c r="U1417" s="100">
        <f>IF(ISNUMBER('General Info'!$B$40), ((SamplingData[[#This Row],[up/U Selection Probability]]) * 'General Info'!$B$40) - 1, 0)</f>
        <v>129.85349321100114</v>
      </c>
      <c r="V1417" s="100">
        <f>IF(ISNUMBER('General Info'!$B$40), (SamplingData[[#This Row],[Running (cumulative) sum]] * ('General Info'!$B$40 -'General Info'!$B$41 + 1)) + 'General Info'!$B$41 - 1, 0)</f>
        <v>43268.878468891045</v>
      </c>
      <c r="W1417" s="100" t="str">
        <f>IF(ISERROR(MATCH(SamplingData[[#This Row],[Batch by Type (p)]],SelectedPrecincts[Batch Name], 0)), "", INDEX(SelectedPrecincts[Draw], MATCH(SamplingData[[#This Row],[Batch by Type (p)]],SelectedPrecincts[Batch Name], 0)))</f>
        <v/>
      </c>
      <c r="X1417" s="102">
        <f>IF(COUNTIF(SelectedPrecincts[Batch Name],SamplingData[[#This Row],[Batch by Type (p)]]) &lt;&gt; 0, COUNTIF(SelectedPrecincts[Batch Name],SamplingData[[#This Row],[Batch by Type (p)]]), 0)</f>
        <v>0</v>
      </c>
    </row>
    <row r="1418" spans="1:24" ht="15" customHeight="1">
      <c r="A1418" s="18" t="s">
        <v>1594</v>
      </c>
      <c r="B1418" s="18">
        <v>12</v>
      </c>
      <c r="C1418" s="18">
        <v>6</v>
      </c>
      <c r="D1418" s="18">
        <v>1</v>
      </c>
      <c r="E1418" s="18">
        <v>3</v>
      </c>
      <c r="F1418" s="18">
        <v>0</v>
      </c>
      <c r="G1418" s="18">
        <v>0</v>
      </c>
      <c r="H1418" s="18">
        <v>0</v>
      </c>
      <c r="I1418" s="18">
        <v>0</v>
      </c>
      <c r="J1418" s="99">
        <f>SUM(SamplingData[[#This Row],[Losing Candidate]:[Under Votes]])</f>
        <v>22</v>
      </c>
      <c r="K1418"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418" s="100">
        <f>IF(AND(SamplingData[[#This Row],[Total]]&lt;&gt; 0, NOT(ISBLANK(SamplingData[[#This Row],[Candidate 3]]))),(SamplingData[[#This Row],[Total]]+SamplingData[[#This Row],[Winning Candidate]]-SamplingData[[#This Row],[Candidate 3]])/(SamplingData[[#Totals],[Winning Candidate]]-SamplingData[[#Totals],[Candidate 3]]), 0)</f>
        <v>8.710520372939317E-4</v>
      </c>
      <c r="M1418" s="100">
        <f>IF(AND(SamplingData[[#This Row],[Total]]&lt;&gt; 0, NOT(ISBLANK(SamplingData[[#This Row],[Candidate 4]]))),(SamplingData[[#This Row],[Total]]+SamplingData[[#This Row],[Winning Candidate]]-SamplingData[[#This Row],[Candidate 4]])/(SamplingData[[#Totals],[Winning Candidate]]-SamplingData[[#Totals],[Candidate 4]]), 0)</f>
        <v>7.3080183577421145E-4</v>
      </c>
      <c r="N1418" s="100">
        <f>IF(AND(SamplingData[[#This Row],[Total]]&lt;&gt; 0, NOT(ISBLANK(SamplingData[[#This Row],[Candidate 5]]))),(SamplingData[[#This Row],[Total]]+SamplingData[[#This Row],[Winning Candidate]]-SamplingData[[#This Row],[Candidate 5]])/(SamplingData[[#Totals],[Winning Candidate]]-SamplingData[[#Totals],[Candidate 5]]), 0)</f>
        <v>6.8109948917538315E-4</v>
      </c>
      <c r="O1418" s="100">
        <f>IF(AND(SamplingData[[#This Row],[Total]]&lt;&gt; 0, NOT(ISBLANK(SamplingData[[#This Row],[Candidate 6]]))),(SamplingData[[#This Row],[Total]]+SamplingData[[#This Row],[Winning Candidate]]-SamplingData[[#This Row],[Candidate 6]])/(SamplingData[[#Totals],[Winning Candidate]]-SamplingData[[#Totals],[Candidate 6]]), 0)</f>
        <v>6.8090073440007777E-4</v>
      </c>
      <c r="P1418" s="100">
        <f>MAX(SamplingData[[#This Row],[Error Bound (up) - Max. possible relative overstatement - Losing Candidate]:[Error Bound (up) - Max. possible relative overstatement - Candidate 6]])</f>
        <v>9.7991180793728563E-4</v>
      </c>
      <c r="Q1418" s="100">
        <f>IF(SamplingData[[#This Row],[Max Error Bound (up)]] = 0,0,SamplingData[[#This Row],[Max Error Bound (up)]]/SamplingData[[#Totals],[Max Error Bound (up)]])</f>
        <v>1.550871724551333E-4</v>
      </c>
      <c r="R1418" s="101">
        <f>SUM($Q$5:Q1418)</f>
        <v>0.43285387186136559</v>
      </c>
      <c r="S1418" s="100" t="str">
        <f t="array" ref="S1418">IF(SamplingData[[#This Row],[up/U Selection Probability]] = 0, "Zero", TEXT(SamplingData[[#This Row],[Lower Range]], REPT("0",LEN('General Info'!$B$40))) &amp; " - " &amp; TEXT(SamplingData[[#This Row],[Upper Range]], REPT("0",LEN('General Info'!$B$40))))</f>
        <v>43270 - 43284</v>
      </c>
      <c r="T1418" s="100">
        <f>SamplingData[[#This Row],[Upper Range]]-SamplingData[[#This Row],[Span]]</f>
        <v>43269.87862397822</v>
      </c>
      <c r="U1418" s="100">
        <f>IF(ISNUMBER('General Info'!$B$40), ((SamplingData[[#This Row],[up/U Selection Probability]]) * 'General Info'!$B$40) - 1, 0)</f>
        <v>14.508562158340876</v>
      </c>
      <c r="V1418" s="100">
        <f>IF(ISNUMBER('General Info'!$B$40), (SamplingData[[#This Row],[Running (cumulative) sum]] * ('General Info'!$B$40 -'General Info'!$B$41 + 1)) + 'General Info'!$B$41 - 1, 0)</f>
        <v>43284.387186136562</v>
      </c>
      <c r="W1418" s="100" t="str">
        <f>IF(ISERROR(MATCH(SamplingData[[#This Row],[Batch by Type (p)]],SelectedPrecincts[Batch Name], 0)), "", INDEX(SelectedPrecincts[Draw], MATCH(SamplingData[[#This Row],[Batch by Type (p)]],SelectedPrecincts[Batch Name], 0)))</f>
        <v/>
      </c>
      <c r="X1418" s="102">
        <f>IF(COUNTIF(SelectedPrecincts[Batch Name],SamplingData[[#This Row],[Batch by Type (p)]]) &lt;&gt; 0, COUNTIF(SelectedPrecincts[Batch Name],SamplingData[[#This Row],[Batch by Type (p)]]), 0)</f>
        <v>0</v>
      </c>
    </row>
    <row r="1419" spans="1:24" ht="15" customHeight="1">
      <c r="A1419" s="18" t="s">
        <v>1595</v>
      </c>
      <c r="B1419" s="18">
        <v>25</v>
      </c>
      <c r="C1419" s="18">
        <v>30</v>
      </c>
      <c r="D1419" s="16">
        <v>11</v>
      </c>
      <c r="E1419" s="16">
        <v>10</v>
      </c>
      <c r="F1419" s="37">
        <v>0</v>
      </c>
      <c r="G1419" s="37">
        <v>0</v>
      </c>
      <c r="H1419" s="17">
        <v>1</v>
      </c>
      <c r="I1419" s="17">
        <v>1</v>
      </c>
      <c r="J1419" s="99">
        <f>SUM(SamplingData[[#This Row],[Losing Candidate]:[Under Votes]])</f>
        <v>78</v>
      </c>
      <c r="K1419" s="100">
        <f>IF(AND(SamplingData[[#This Row],[Total]]&lt;&gt; 0, NOT(ISBLANK(SamplingData[[#This Row],[Losing Candidate]]))),(SamplingData[[#This Row],[Total]]+SamplingData[[#This Row],[Winning Candidate]]-SamplingData[[#This Row],[Losing Candidate]])/(SamplingData[[#Totals],[Winning Candidate]]-SamplingData[[#Totals],[Losing Candidate]]), 0)</f>
        <v>5.0832925036746694E-3</v>
      </c>
      <c r="L1419" s="100">
        <f>IF(AND(SamplingData[[#This Row],[Total]]&lt;&gt; 0, NOT(ISBLANK(SamplingData[[#This Row],[Candidate 3]]))),(SamplingData[[#This Row],[Total]]+SamplingData[[#This Row],[Winning Candidate]]-SamplingData[[#This Row],[Candidate 3]])/(SamplingData[[#Totals],[Winning Candidate]]-SamplingData[[#Totals],[Candidate 3]]), 0)</f>
        <v>3.1293350969448658E-3</v>
      </c>
      <c r="M1419" s="100">
        <f>IF(AND(SamplingData[[#This Row],[Total]]&lt;&gt; 0, NOT(ISBLANK(SamplingData[[#This Row],[Candidate 4]]))),(SamplingData[[#This Row],[Total]]+SamplingData[[#This Row],[Winning Candidate]]-SamplingData[[#This Row],[Candidate 4]])/(SamplingData[[#Totals],[Winning Candidate]]-SamplingData[[#Totals],[Candidate 4]]), 0)</f>
        <v>2.8647431962349089E-3</v>
      </c>
      <c r="N1419" s="100">
        <f>IF(AND(SamplingData[[#This Row],[Total]]&lt;&gt; 0, NOT(ISBLANK(SamplingData[[#This Row],[Candidate 5]]))),(SamplingData[[#This Row],[Total]]+SamplingData[[#This Row],[Winning Candidate]]-SamplingData[[#This Row],[Candidate 5]])/(SamplingData[[#Totals],[Winning Candidate]]-SamplingData[[#Totals],[Candidate 5]]), 0)</f>
        <v>2.6270980296764779E-3</v>
      </c>
      <c r="O1419" s="100">
        <f>IF(AND(SamplingData[[#This Row],[Total]]&lt;&gt; 0, NOT(ISBLANK(SamplingData[[#This Row],[Candidate 6]]))),(SamplingData[[#This Row],[Total]]+SamplingData[[#This Row],[Winning Candidate]]-SamplingData[[#This Row],[Candidate 6]])/(SamplingData[[#Totals],[Winning Candidate]]-SamplingData[[#Totals],[Candidate 6]]), 0)</f>
        <v>2.626331404114586E-3</v>
      </c>
      <c r="P1419" s="100">
        <f>MAX(SamplingData[[#This Row],[Error Bound (up) - Max. possible relative overstatement - Losing Candidate]:[Error Bound (up) - Max. possible relative overstatement - Candidate 6]])</f>
        <v>5.0832925036746694E-3</v>
      </c>
      <c r="Q1419" s="100">
        <f>IF(SamplingData[[#This Row],[Max Error Bound (up)]] = 0,0,SamplingData[[#This Row],[Max Error Bound (up)]]/SamplingData[[#Totals],[Max Error Bound (up)]])</f>
        <v>8.0451470711100407E-4</v>
      </c>
      <c r="R1419" s="101">
        <f>SUM($Q$5:Q1419)</f>
        <v>0.43365838656847661</v>
      </c>
      <c r="S1419" s="100" t="str">
        <f t="array" ref="S1419">IF(SamplingData[[#This Row],[up/U Selection Probability]] = 0, "Zero", TEXT(SamplingData[[#This Row],[Lower Range]], REPT("0",LEN('General Info'!$B$40))) &amp; " - " &amp; TEXT(SamplingData[[#This Row],[Upper Range]], REPT("0",LEN('General Info'!$B$40))))</f>
        <v>43285 - 43365</v>
      </c>
      <c r="T1419" s="100">
        <f>SamplingData[[#This Row],[Upper Range]]-SamplingData[[#This Row],[Span]]</f>
        <v>43285.387990651267</v>
      </c>
      <c r="U1419" s="100">
        <f>IF(ISNUMBER('General Info'!$B$40), ((SamplingData[[#This Row],[up/U Selection Probability]]) * 'General Info'!$B$40) - 1, 0)</f>
        <v>79.4506661963933</v>
      </c>
      <c r="V1419" s="100">
        <f>IF(ISNUMBER('General Info'!$B$40), (SamplingData[[#This Row],[Running (cumulative) sum]] * ('General Info'!$B$40 -'General Info'!$B$41 + 1)) + 'General Info'!$B$41 - 1, 0)</f>
        <v>43364.838656847664</v>
      </c>
      <c r="W1419" s="100" t="str">
        <f>IF(ISERROR(MATCH(SamplingData[[#This Row],[Batch by Type (p)]],SelectedPrecincts[Batch Name], 0)), "", INDEX(SelectedPrecincts[Draw], MATCH(SamplingData[[#This Row],[Batch by Type (p)]],SelectedPrecincts[Batch Name], 0)))</f>
        <v/>
      </c>
      <c r="X1419" s="102">
        <f>IF(COUNTIF(SelectedPrecincts[Batch Name],SamplingData[[#This Row],[Batch by Type (p)]]) &lt;&gt; 0, COUNTIF(SelectedPrecincts[Batch Name],SamplingData[[#This Row],[Batch by Type (p)]]), 0)</f>
        <v>0</v>
      </c>
    </row>
    <row r="1420" spans="1:24" ht="15" customHeight="1">
      <c r="A1420" s="18" t="s">
        <v>1596</v>
      </c>
      <c r="B1420" s="18">
        <v>3</v>
      </c>
      <c r="C1420" s="18">
        <v>13</v>
      </c>
      <c r="D1420" s="18">
        <v>2</v>
      </c>
      <c r="E1420" s="18">
        <v>3</v>
      </c>
      <c r="F1420" s="18">
        <v>0</v>
      </c>
      <c r="G1420" s="18">
        <v>0</v>
      </c>
      <c r="H1420" s="18">
        <v>0</v>
      </c>
      <c r="I1420" s="18">
        <v>0</v>
      </c>
      <c r="J1420" s="99">
        <f>SUM(SamplingData[[#This Row],[Losing Candidate]:[Under Votes]])</f>
        <v>21</v>
      </c>
      <c r="K1420"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420" s="100">
        <f>IF(AND(SamplingData[[#This Row],[Total]]&lt;&gt; 0, NOT(ISBLANK(SamplingData[[#This Row],[Candidate 3]]))),(SamplingData[[#This Row],[Total]]+SamplingData[[#This Row],[Winning Candidate]]-SamplingData[[#This Row],[Candidate 3]])/(SamplingData[[#Totals],[Winning Candidate]]-SamplingData[[#Totals],[Candidate 3]]), 0)</f>
        <v>1.0323579701261413E-3</v>
      </c>
      <c r="M1420" s="100">
        <f>IF(AND(SamplingData[[#This Row],[Total]]&lt;&gt; 0, NOT(ISBLANK(SamplingData[[#This Row],[Candidate 4]]))),(SamplingData[[#This Row],[Total]]+SamplingData[[#This Row],[Winning Candidate]]-SamplingData[[#This Row],[Candidate 4]])/(SamplingData[[#Totals],[Winning Candidate]]-SamplingData[[#Totals],[Candidate 4]]), 0)</f>
        <v>9.0619427636002225E-4</v>
      </c>
      <c r="N1420" s="100">
        <f>IF(AND(SamplingData[[#This Row],[Total]]&lt;&gt; 0, NOT(ISBLANK(SamplingData[[#This Row],[Candidate 5]]))),(SamplingData[[#This Row],[Total]]+SamplingData[[#This Row],[Winning Candidate]]-SamplingData[[#This Row],[Candidate 5]])/(SamplingData[[#Totals],[Winning Candidate]]-SamplingData[[#Totals],[Candidate 5]]), 0)</f>
        <v>8.2704937971296523E-4</v>
      </c>
      <c r="O1420" s="100">
        <f>IF(AND(SamplingData[[#This Row],[Total]]&lt;&gt; 0, NOT(ISBLANK(SamplingData[[#This Row],[Candidate 6]]))),(SamplingData[[#This Row],[Total]]+SamplingData[[#This Row],[Winning Candidate]]-SamplingData[[#This Row],[Candidate 6]])/(SamplingData[[#Totals],[Winning Candidate]]-SamplingData[[#Totals],[Candidate 6]]), 0)</f>
        <v>8.2680803462866588E-4</v>
      </c>
      <c r="P1420" s="100">
        <f>MAX(SamplingData[[#This Row],[Error Bound (up) - Max. possible relative overstatement - Losing Candidate]:[Error Bound (up) - Max. possible relative overstatement - Candidate 6]])</f>
        <v>1.8985791278784908E-3</v>
      </c>
      <c r="Q1420" s="100">
        <f>IF(SamplingData[[#This Row],[Max Error Bound (up)]] = 0,0,SamplingData[[#This Row],[Max Error Bound (up)]]/SamplingData[[#Totals],[Max Error Bound (up)]])</f>
        <v>3.0048139663182077E-4</v>
      </c>
      <c r="R1420" s="101">
        <f>SUM($Q$5:Q1420)</f>
        <v>0.43395886796510841</v>
      </c>
      <c r="S1420" s="100" t="str">
        <f t="array" ref="S1420">IF(SamplingData[[#This Row],[up/U Selection Probability]] = 0, "Zero", TEXT(SamplingData[[#This Row],[Lower Range]], REPT("0",LEN('General Info'!$B$40))) &amp; " - " &amp; TEXT(SamplingData[[#This Row],[Upper Range]], REPT("0",LEN('General Info'!$B$40))))</f>
        <v>43366 - 43395</v>
      </c>
      <c r="T1420" s="100">
        <f>SamplingData[[#This Row],[Upper Range]]-SamplingData[[#This Row],[Span]]</f>
        <v>43365.838957329055</v>
      </c>
      <c r="U1420" s="100">
        <f>IF(ISNUMBER('General Info'!$B$40), ((SamplingData[[#This Row],[up/U Selection Probability]]) * 'General Info'!$B$40) - 1, 0)</f>
        <v>29.047839181785445</v>
      </c>
      <c r="V1420" s="100">
        <f>IF(ISNUMBER('General Info'!$B$40), (SamplingData[[#This Row],[Running (cumulative) sum]] * ('General Info'!$B$40 -'General Info'!$B$41 + 1)) + 'General Info'!$B$41 - 1, 0)</f>
        <v>43394.886796510844</v>
      </c>
      <c r="W1420" s="100" t="str">
        <f>IF(ISERROR(MATCH(SamplingData[[#This Row],[Batch by Type (p)]],SelectedPrecincts[Batch Name], 0)), "", INDEX(SelectedPrecincts[Draw], MATCH(SamplingData[[#This Row],[Batch by Type (p)]],SelectedPrecincts[Batch Name], 0)))</f>
        <v/>
      </c>
      <c r="X1420" s="102">
        <f>IF(COUNTIF(SelectedPrecincts[Batch Name],SamplingData[[#This Row],[Batch by Type (p)]]) &lt;&gt; 0, COUNTIF(SelectedPrecincts[Batch Name],SamplingData[[#This Row],[Batch by Type (p)]]), 0)</f>
        <v>0</v>
      </c>
    </row>
    <row r="1421" spans="1:24" ht="15" customHeight="1">
      <c r="A1421" s="18" t="s">
        <v>1597</v>
      </c>
      <c r="B1421" s="18">
        <v>20</v>
      </c>
      <c r="C1421" s="18">
        <v>65</v>
      </c>
      <c r="D1421" s="16">
        <v>17</v>
      </c>
      <c r="E1421" s="16">
        <v>8</v>
      </c>
      <c r="F1421" s="37">
        <v>0</v>
      </c>
      <c r="G1421" s="37">
        <v>1</v>
      </c>
      <c r="H1421" s="17">
        <v>0</v>
      </c>
      <c r="I1421" s="17">
        <v>0</v>
      </c>
      <c r="J1421" s="99">
        <f>SUM(SamplingData[[#This Row],[Losing Candidate]:[Under Votes]])</f>
        <v>111</v>
      </c>
      <c r="K1421" s="100">
        <f>IF(AND(SamplingData[[#This Row],[Total]]&lt;&gt; 0, NOT(ISBLANK(SamplingData[[#This Row],[Losing Candidate]]))),(SamplingData[[#This Row],[Total]]+SamplingData[[#This Row],[Winning Candidate]]-SamplingData[[#This Row],[Losing Candidate]])/(SamplingData[[#Totals],[Winning Candidate]]-SamplingData[[#Totals],[Losing Candidate]]), 0)</f>
        <v>9.5541401273885346E-3</v>
      </c>
      <c r="L1421" s="100">
        <f>IF(AND(SamplingData[[#This Row],[Total]]&lt;&gt; 0, NOT(ISBLANK(SamplingData[[#This Row],[Candidate 3]]))),(SamplingData[[#This Row],[Total]]+SamplingData[[#This Row],[Winning Candidate]]-SamplingData[[#This Row],[Candidate 3]])/(SamplingData[[#Totals],[Winning Candidate]]-SamplingData[[#Totals],[Candidate 3]]), 0)</f>
        <v>5.129528664064264E-3</v>
      </c>
      <c r="M1421" s="100">
        <f>IF(AND(SamplingData[[#This Row],[Total]]&lt;&gt; 0, NOT(ISBLANK(SamplingData[[#This Row],[Candidate 4]]))),(SamplingData[[#This Row],[Total]]+SamplingData[[#This Row],[Winning Candidate]]-SamplingData[[#This Row],[Candidate 4]])/(SamplingData[[#Totals],[Winning Candidate]]-SamplingData[[#Totals],[Candidate 4]]), 0)</f>
        <v>4.9109883364027006E-3</v>
      </c>
      <c r="N1421" s="100">
        <f>IF(AND(SamplingData[[#This Row],[Total]]&lt;&gt; 0, NOT(ISBLANK(SamplingData[[#This Row],[Candidate 5]]))),(SamplingData[[#This Row],[Total]]+SamplingData[[#This Row],[Winning Candidate]]-SamplingData[[#This Row],[Candidate 5]])/(SamplingData[[#Totals],[Winning Candidate]]-SamplingData[[#Totals],[Candidate 5]]), 0)</f>
        <v>4.2811967891024085E-3</v>
      </c>
      <c r="O1421" s="100">
        <f>IF(AND(SamplingData[[#This Row],[Total]]&lt;&gt; 0, NOT(ISBLANK(SamplingData[[#This Row],[Candidate 6]]))),(SamplingData[[#This Row],[Total]]+SamplingData[[#This Row],[Winning Candidate]]-SamplingData[[#This Row],[Candidate 6]])/(SamplingData[[#Totals],[Winning Candidate]]-SamplingData[[#Totals],[Candidate 6]]), 0)</f>
        <v>4.2556295900004863E-3</v>
      </c>
      <c r="P1421" s="100">
        <f>MAX(SamplingData[[#This Row],[Error Bound (up) - Max. possible relative overstatement - Losing Candidate]:[Error Bound (up) - Max. possible relative overstatement - Candidate 6]])</f>
        <v>9.5541401273885346E-3</v>
      </c>
      <c r="Q1421" s="100">
        <f>IF(SamplingData[[#This Row],[Max Error Bound (up)]] = 0,0,SamplingData[[#This Row],[Max Error Bound (up)]]/SamplingData[[#Totals],[Max Error Bound (up)]])</f>
        <v>1.5120999314375497E-3</v>
      </c>
      <c r="R1421" s="101">
        <f>SUM($Q$5:Q1421)</f>
        <v>0.43547096789654594</v>
      </c>
      <c r="S1421" s="100" t="str">
        <f t="array" ref="S1421">IF(SamplingData[[#This Row],[up/U Selection Probability]] = 0, "Zero", TEXT(SamplingData[[#This Row],[Lower Range]], REPT("0",LEN('General Info'!$B$40))) &amp; " - " &amp; TEXT(SamplingData[[#This Row],[Upper Range]], REPT("0",LEN('General Info'!$B$40))))</f>
        <v>43396 - 43546</v>
      </c>
      <c r="T1421" s="100">
        <f>SamplingData[[#This Row],[Upper Range]]-SamplingData[[#This Row],[Span]]</f>
        <v>43395.888308610767</v>
      </c>
      <c r="U1421" s="100">
        <f>IF(ISNUMBER('General Info'!$B$40), ((SamplingData[[#This Row],[up/U Selection Probability]]) * 'General Info'!$B$40) - 1, 0)</f>
        <v>150.20848104382353</v>
      </c>
      <c r="V1421" s="100">
        <f>IF(ISNUMBER('General Info'!$B$40), (SamplingData[[#This Row],[Running (cumulative) sum]] * ('General Info'!$B$40 -'General Info'!$B$41 + 1)) + 'General Info'!$B$41 - 1, 0)</f>
        <v>43546.096789654592</v>
      </c>
      <c r="W1421" s="100" t="str">
        <f>IF(ISERROR(MATCH(SamplingData[[#This Row],[Batch by Type (p)]],SelectedPrecincts[Batch Name], 0)), "", INDEX(SelectedPrecincts[Draw], MATCH(SamplingData[[#This Row],[Batch by Type (p)]],SelectedPrecincts[Batch Name], 0)))</f>
        <v/>
      </c>
      <c r="X1421" s="102">
        <f>IF(COUNTIF(SelectedPrecincts[Batch Name],SamplingData[[#This Row],[Batch by Type (p)]]) &lt;&gt; 0, COUNTIF(SelectedPrecincts[Batch Name],SamplingData[[#This Row],[Batch by Type (p)]]), 0)</f>
        <v>0</v>
      </c>
    </row>
    <row r="1422" spans="1:24" ht="15" customHeight="1">
      <c r="A1422" s="18" t="s">
        <v>1598</v>
      </c>
      <c r="B1422" s="18">
        <v>22</v>
      </c>
      <c r="C1422" s="18">
        <v>38</v>
      </c>
      <c r="D1422" s="18">
        <v>11</v>
      </c>
      <c r="E1422" s="18">
        <v>5</v>
      </c>
      <c r="F1422" s="18">
        <v>1</v>
      </c>
      <c r="G1422" s="18">
        <v>1</v>
      </c>
      <c r="H1422" s="18">
        <v>0</v>
      </c>
      <c r="I1422" s="18">
        <v>0</v>
      </c>
      <c r="J1422" s="99">
        <f>SUM(SamplingData[[#This Row],[Losing Candidate]:[Under Votes]])</f>
        <v>78</v>
      </c>
      <c r="K1422" s="100">
        <f>IF(AND(SamplingData[[#This Row],[Total]]&lt;&gt; 0, NOT(ISBLANK(SamplingData[[#This Row],[Losing Candidate]]))),(SamplingData[[#This Row],[Total]]+SamplingData[[#This Row],[Winning Candidate]]-SamplingData[[#This Row],[Losing Candidate]])/(SamplingData[[#Totals],[Winning Candidate]]-SamplingData[[#Totals],[Losing Candidate]]), 0)</f>
        <v>5.7569818716315529E-3</v>
      </c>
      <c r="L1422" s="100">
        <f>IF(AND(SamplingData[[#This Row],[Total]]&lt;&gt; 0, NOT(ISBLANK(SamplingData[[#This Row],[Candidate 3]]))),(SamplingData[[#This Row],[Total]]+SamplingData[[#This Row],[Winning Candidate]]-SamplingData[[#This Row],[Candidate 3]])/(SamplingData[[#Totals],[Winning Candidate]]-SamplingData[[#Totals],[Candidate 3]]), 0)</f>
        <v>3.3874245894764008E-3</v>
      </c>
      <c r="M1422" s="100">
        <f>IF(AND(SamplingData[[#This Row],[Total]]&lt;&gt; 0, NOT(ISBLANK(SamplingData[[#This Row],[Candidate 4]]))),(SamplingData[[#This Row],[Total]]+SamplingData[[#This Row],[Winning Candidate]]-SamplingData[[#This Row],[Candidate 4]])/(SamplingData[[#Totals],[Winning Candidate]]-SamplingData[[#Totals],[Candidate 4]]), 0)</f>
        <v>3.2447601508374989E-3</v>
      </c>
      <c r="N1422" s="100">
        <f>IF(AND(SamplingData[[#This Row],[Total]]&lt;&gt; 0, NOT(ISBLANK(SamplingData[[#This Row],[Candidate 5]]))),(SamplingData[[#This Row],[Total]]+SamplingData[[#This Row],[Winning Candidate]]-SamplingData[[#This Row],[Candidate 5]])/(SamplingData[[#Totals],[Winning Candidate]]-SamplingData[[#Totals],[Candidate 5]]), 0)</f>
        <v>2.7973729019703233E-3</v>
      </c>
      <c r="O1422" s="100">
        <f>IF(AND(SamplingData[[#This Row],[Total]]&lt;&gt; 0, NOT(ISBLANK(SamplingData[[#This Row],[Candidate 6]]))),(SamplingData[[#This Row],[Total]]+SamplingData[[#This Row],[Winning Candidate]]-SamplingData[[#This Row],[Candidate 6]])/(SamplingData[[#Totals],[Winning Candidate]]-SamplingData[[#Totals],[Candidate 6]]), 0)</f>
        <v>2.7965565877146052E-3</v>
      </c>
      <c r="P1422" s="100">
        <f>MAX(SamplingData[[#This Row],[Error Bound (up) - Max. possible relative overstatement - Losing Candidate]:[Error Bound (up) - Max. possible relative overstatement - Candidate 6]])</f>
        <v>5.7569818716315529E-3</v>
      </c>
      <c r="Q1422" s="100">
        <f>IF(SamplingData[[#This Row],[Max Error Bound (up)]] = 0,0,SamplingData[[#This Row],[Max Error Bound (up)]]/SamplingData[[#Totals],[Max Error Bound (up)]])</f>
        <v>9.1113713817390809E-4</v>
      </c>
      <c r="R1422" s="101">
        <f>SUM($Q$5:Q1422)</f>
        <v>0.43638210503471986</v>
      </c>
      <c r="S1422" s="100" t="str">
        <f t="array" ref="S1422">IF(SamplingData[[#This Row],[up/U Selection Probability]] = 0, "Zero", TEXT(SamplingData[[#This Row],[Lower Range]], REPT("0",LEN('General Info'!$B$40))) &amp; " - " &amp; TEXT(SamplingData[[#This Row],[Upper Range]], REPT("0",LEN('General Info'!$B$40))))</f>
        <v>43547 - 43637</v>
      </c>
      <c r="T1422" s="100">
        <f>SamplingData[[#This Row],[Upper Range]]-SamplingData[[#This Row],[Span]]</f>
        <v>43547.097700791732</v>
      </c>
      <c r="U1422" s="100">
        <f>IF(ISNUMBER('General Info'!$B$40), ((SamplingData[[#This Row],[up/U Selection Probability]]) * 'General Info'!$B$40) - 1, 0)</f>
        <v>90.112802680252642</v>
      </c>
      <c r="V1422" s="100">
        <f>IF(ISNUMBER('General Info'!$B$40), (SamplingData[[#This Row],[Running (cumulative) sum]] * ('General Info'!$B$40 -'General Info'!$B$41 + 1)) + 'General Info'!$B$41 - 1, 0)</f>
        <v>43637.210503471986</v>
      </c>
      <c r="W1422" s="100" t="str">
        <f>IF(ISERROR(MATCH(SamplingData[[#This Row],[Batch by Type (p)]],SelectedPrecincts[Batch Name], 0)), "", INDEX(SelectedPrecincts[Draw], MATCH(SamplingData[[#This Row],[Batch by Type (p)]],SelectedPrecincts[Batch Name], 0)))</f>
        <v/>
      </c>
      <c r="X1422" s="102">
        <f>IF(COUNTIF(SelectedPrecincts[Batch Name],SamplingData[[#This Row],[Batch by Type (p)]]) &lt;&gt; 0, COUNTIF(SelectedPrecincts[Batch Name],SamplingData[[#This Row],[Batch by Type (p)]]), 0)</f>
        <v>0</v>
      </c>
    </row>
    <row r="1423" spans="1:24" ht="15" customHeight="1">
      <c r="A1423" s="18" t="s">
        <v>1599</v>
      </c>
      <c r="B1423" s="18">
        <v>14</v>
      </c>
      <c r="C1423" s="18">
        <v>31</v>
      </c>
      <c r="D1423" s="16">
        <v>13</v>
      </c>
      <c r="E1423" s="16">
        <v>2</v>
      </c>
      <c r="F1423" s="37">
        <v>0</v>
      </c>
      <c r="G1423" s="37">
        <v>1</v>
      </c>
      <c r="H1423" s="17">
        <v>0</v>
      </c>
      <c r="I1423" s="17">
        <v>1</v>
      </c>
      <c r="J1423" s="99">
        <f>SUM(SamplingData[[#This Row],[Losing Candidate]:[Under Votes]])</f>
        <v>62</v>
      </c>
      <c r="K1423" s="100">
        <f>IF(AND(SamplingData[[#This Row],[Total]]&lt;&gt; 0, NOT(ISBLANK(SamplingData[[#This Row],[Losing Candidate]]))),(SamplingData[[#This Row],[Total]]+SamplingData[[#This Row],[Winning Candidate]]-SamplingData[[#This Row],[Losing Candidate]])/(SamplingData[[#Totals],[Winning Candidate]]-SamplingData[[#Totals],[Losing Candidate]]), 0)</f>
        <v>4.8383145516903477E-3</v>
      </c>
      <c r="L1423" s="100">
        <f>IF(AND(SamplingData[[#This Row],[Total]]&lt;&gt; 0, NOT(ISBLANK(SamplingData[[#This Row],[Candidate 3]]))),(SamplingData[[#This Row],[Total]]+SamplingData[[#This Row],[Winning Candidate]]-SamplingData[[#This Row],[Candidate 3]])/(SamplingData[[#Totals],[Winning Candidate]]-SamplingData[[#Totals],[Candidate 3]]), 0)</f>
        <v>2.5808949253153532E-3</v>
      </c>
      <c r="M1423" s="100">
        <f>IF(AND(SamplingData[[#This Row],[Total]]&lt;&gt; 0, NOT(ISBLANK(SamplingData[[#This Row],[Candidate 4]]))),(SamplingData[[#This Row],[Total]]+SamplingData[[#This Row],[Winning Candidate]]-SamplingData[[#This Row],[Candidate 4]])/(SamplingData[[#Totals],[Winning Candidate]]-SamplingData[[#Totals],[Candidate 4]]), 0)</f>
        <v>2.6601186822181296E-3</v>
      </c>
      <c r="N1423" s="100">
        <f>IF(AND(SamplingData[[#This Row],[Total]]&lt;&gt; 0, NOT(ISBLANK(SamplingData[[#This Row],[Candidate 5]]))),(SamplingData[[#This Row],[Total]]+SamplingData[[#This Row],[Winning Candidate]]-SamplingData[[#This Row],[Candidate 5]])/(SamplingData[[#Totals],[Winning Candidate]]-SamplingData[[#Totals],[Candidate 5]]), 0)</f>
        <v>2.2622233033325226E-3</v>
      </c>
      <c r="O1423" s="100">
        <f>IF(AND(SamplingData[[#This Row],[Total]]&lt;&gt; 0, NOT(ISBLANK(SamplingData[[#This Row],[Candidate 6]]))),(SamplingData[[#This Row],[Total]]+SamplingData[[#This Row],[Winning Candidate]]-SamplingData[[#This Row],[Candidate 6]])/(SamplingData[[#Totals],[Winning Candidate]]-SamplingData[[#Totals],[Candidate 6]]), 0)</f>
        <v>2.2372452701716842E-3</v>
      </c>
      <c r="P1423" s="100">
        <f>MAX(SamplingData[[#This Row],[Error Bound (up) - Max. possible relative overstatement - Losing Candidate]:[Error Bound (up) - Max. possible relative overstatement - Candidate 6]])</f>
        <v>4.8383145516903477E-3</v>
      </c>
      <c r="Q1423" s="100">
        <f>IF(SamplingData[[#This Row],[Max Error Bound (up)]] = 0,0,SamplingData[[#This Row],[Max Error Bound (up)]]/SamplingData[[#Totals],[Max Error Bound (up)]])</f>
        <v>7.6574291399722071E-4</v>
      </c>
      <c r="R1423" s="101">
        <f>SUM($Q$5:Q1423)</f>
        <v>0.43714784794871708</v>
      </c>
      <c r="S1423" s="100" t="str">
        <f t="array" ref="S1423">IF(SamplingData[[#This Row],[up/U Selection Probability]] = 0, "Zero", TEXT(SamplingData[[#This Row],[Lower Range]], REPT("0",LEN('General Info'!$B$40))) &amp; " - " &amp; TEXT(SamplingData[[#This Row],[Upper Range]], REPT("0",LEN('General Info'!$B$40))))</f>
        <v>43638 - 43714</v>
      </c>
      <c r="T1423" s="100">
        <f>SamplingData[[#This Row],[Upper Range]]-SamplingData[[#This Row],[Span]]</f>
        <v>43638.211269214902</v>
      </c>
      <c r="U1423" s="100">
        <f>IF(ISNUMBER('General Info'!$B$40), ((SamplingData[[#This Row],[up/U Selection Probability]]) * 'General Info'!$B$40) - 1, 0)</f>
        <v>75.573525656808073</v>
      </c>
      <c r="V1423" s="100">
        <f>IF(ISNUMBER('General Info'!$B$40), (SamplingData[[#This Row],[Running (cumulative) sum]] * ('General Info'!$B$40 -'General Info'!$B$41 + 1)) + 'General Info'!$B$41 - 1, 0)</f>
        <v>43713.78479487171</v>
      </c>
      <c r="W1423" s="100" t="str">
        <f>IF(ISERROR(MATCH(SamplingData[[#This Row],[Batch by Type (p)]],SelectedPrecincts[Batch Name], 0)), "", INDEX(SelectedPrecincts[Draw], MATCH(SamplingData[[#This Row],[Batch by Type (p)]],SelectedPrecincts[Batch Name], 0)))</f>
        <v/>
      </c>
      <c r="X1423" s="102">
        <f>IF(COUNTIF(SelectedPrecincts[Batch Name],SamplingData[[#This Row],[Batch by Type (p)]]) &lt;&gt; 0, COUNTIF(SelectedPrecincts[Batch Name],SamplingData[[#This Row],[Batch by Type (p)]]), 0)</f>
        <v>0</v>
      </c>
    </row>
    <row r="1424" spans="1:24" ht="15" customHeight="1">
      <c r="A1424" s="18" t="s">
        <v>1600</v>
      </c>
      <c r="B1424" s="18">
        <v>0</v>
      </c>
      <c r="C1424" s="18">
        <v>23</v>
      </c>
      <c r="D1424" s="18">
        <v>5</v>
      </c>
      <c r="E1424" s="18">
        <v>0</v>
      </c>
      <c r="F1424" s="18">
        <v>1</v>
      </c>
      <c r="G1424" s="18">
        <v>0</v>
      </c>
      <c r="H1424" s="18">
        <v>0</v>
      </c>
      <c r="I1424" s="18">
        <v>0</v>
      </c>
      <c r="J1424" s="99">
        <f>SUM(SamplingData[[#This Row],[Losing Candidate]:[Under Votes]])</f>
        <v>29</v>
      </c>
      <c r="K1424"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1424" s="100">
        <f>IF(AND(SamplingData[[#This Row],[Total]]&lt;&gt; 0, NOT(ISBLANK(SamplingData[[#This Row],[Candidate 3]]))),(SamplingData[[#This Row],[Total]]+SamplingData[[#This Row],[Winning Candidate]]-SamplingData[[#This Row],[Candidate 3]])/(SamplingData[[#Totals],[Winning Candidate]]-SamplingData[[#Totals],[Candidate 3]]), 0)</f>
        <v>1.5162757686227699E-3</v>
      </c>
      <c r="M1424" s="100">
        <f>IF(AND(SamplingData[[#This Row],[Total]]&lt;&gt; 0, NOT(ISBLANK(SamplingData[[#This Row],[Candidate 4]]))),(SamplingData[[#This Row],[Total]]+SamplingData[[#This Row],[Winning Candidate]]-SamplingData[[#This Row],[Candidate 4]])/(SamplingData[[#Totals],[Winning Candidate]]-SamplingData[[#Totals],[Candidate 4]]), 0)</f>
        <v>1.5200678184103598E-3</v>
      </c>
      <c r="N1424" s="100">
        <f>IF(AND(SamplingData[[#This Row],[Total]]&lt;&gt; 0, NOT(ISBLANK(SamplingData[[#This Row],[Candidate 5]]))),(SamplingData[[#This Row],[Total]]+SamplingData[[#This Row],[Winning Candidate]]-SamplingData[[#This Row],[Candidate 5]])/(SamplingData[[#Totals],[Winning Candidate]]-SamplingData[[#Totals],[Candidate 5]]), 0)</f>
        <v>1.2405740695694478E-3</v>
      </c>
      <c r="O1424" s="100">
        <f>IF(AND(SamplingData[[#This Row],[Total]]&lt;&gt; 0, NOT(ISBLANK(SamplingData[[#This Row],[Candidate 6]]))),(SamplingData[[#This Row],[Total]]+SamplingData[[#This Row],[Winning Candidate]]-SamplingData[[#This Row],[Candidate 6]])/(SamplingData[[#Totals],[Winning Candidate]]-SamplingData[[#Totals],[Candidate 6]]), 0)</f>
        <v>1.2645299353144302E-3</v>
      </c>
      <c r="P1424" s="100">
        <f>MAX(SamplingData[[#This Row],[Error Bound (up) - Max. possible relative overstatement - Losing Candidate]:[Error Bound (up) - Max. possible relative overstatement - Candidate 6]])</f>
        <v>3.1847133757961785E-3</v>
      </c>
      <c r="Q1424" s="100">
        <f>IF(SamplingData[[#This Row],[Max Error Bound (up)]] = 0,0,SamplingData[[#This Row],[Max Error Bound (up)]]/SamplingData[[#Totals],[Max Error Bound (up)]])</f>
        <v>5.0403331047918325E-4</v>
      </c>
      <c r="R1424" s="101">
        <f>SUM($Q$5:Q1424)</f>
        <v>0.43765188125919624</v>
      </c>
      <c r="S1424" s="100" t="str">
        <f t="array" ref="S1424">IF(SamplingData[[#This Row],[up/U Selection Probability]] = 0, "Zero", TEXT(SamplingData[[#This Row],[Lower Range]], REPT("0",LEN('General Info'!$B$40))) &amp; " - " &amp; TEXT(SamplingData[[#This Row],[Upper Range]], REPT("0",LEN('General Info'!$B$40))))</f>
        <v>43715 - 43764</v>
      </c>
      <c r="T1424" s="100">
        <f>SamplingData[[#This Row],[Upper Range]]-SamplingData[[#This Row],[Span]]</f>
        <v>43714.785298905015</v>
      </c>
      <c r="U1424" s="100">
        <f>IF(ISNUMBER('General Info'!$B$40), ((SamplingData[[#This Row],[up/U Selection Probability]]) * 'General Info'!$B$40) - 1, 0)</f>
        <v>49.402827014607844</v>
      </c>
      <c r="V1424" s="100">
        <f>IF(ISNUMBER('General Info'!$B$40), (SamplingData[[#This Row],[Running (cumulative) sum]] * ('General Info'!$B$40 -'General Info'!$B$41 + 1)) + 'General Info'!$B$41 - 1, 0)</f>
        <v>43764.188125919623</v>
      </c>
      <c r="W1424" s="100" t="str">
        <f>IF(ISERROR(MATCH(SamplingData[[#This Row],[Batch by Type (p)]],SelectedPrecincts[Batch Name], 0)), "", INDEX(SelectedPrecincts[Draw], MATCH(SamplingData[[#This Row],[Batch by Type (p)]],SelectedPrecincts[Batch Name], 0)))</f>
        <v/>
      </c>
      <c r="X1424" s="102">
        <f>IF(COUNTIF(SelectedPrecincts[Batch Name],SamplingData[[#This Row],[Batch by Type (p)]]) &lt;&gt; 0, COUNTIF(SelectedPrecincts[Batch Name],SamplingData[[#This Row],[Batch by Type (p)]]), 0)</f>
        <v>0</v>
      </c>
    </row>
    <row r="1425" spans="1:24" ht="15" customHeight="1">
      <c r="A1425" s="18" t="s">
        <v>1601</v>
      </c>
      <c r="B1425" s="18">
        <v>17</v>
      </c>
      <c r="C1425" s="18">
        <v>10</v>
      </c>
      <c r="D1425" s="16">
        <v>2</v>
      </c>
      <c r="E1425" s="16">
        <v>8</v>
      </c>
      <c r="F1425" s="37">
        <v>1</v>
      </c>
      <c r="G1425" s="37">
        <v>0</v>
      </c>
      <c r="H1425" s="17">
        <v>0</v>
      </c>
      <c r="I1425" s="17">
        <v>0</v>
      </c>
      <c r="J1425" s="99">
        <f>SUM(SamplingData[[#This Row],[Losing Candidate]:[Under Votes]])</f>
        <v>38</v>
      </c>
      <c r="K1425"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425" s="100">
        <f>IF(AND(SamplingData[[#This Row],[Total]]&lt;&gt; 0, NOT(ISBLANK(SamplingData[[#This Row],[Candidate 3]]))),(SamplingData[[#This Row],[Total]]+SamplingData[[#This Row],[Winning Candidate]]-SamplingData[[#This Row],[Candidate 3]])/(SamplingData[[#Totals],[Winning Candidate]]-SamplingData[[#Totals],[Candidate 3]]), 0)</f>
        <v>1.4840145820563281E-3</v>
      </c>
      <c r="M1425" s="100">
        <f>IF(AND(SamplingData[[#This Row],[Total]]&lt;&gt; 0, NOT(ISBLANK(SamplingData[[#This Row],[Candidate 4]]))),(SamplingData[[#This Row],[Total]]+SamplingData[[#This Row],[Winning Candidate]]-SamplingData[[#This Row],[Candidate 4]])/(SamplingData[[#Totals],[Winning Candidate]]-SamplingData[[#Totals],[Candidate 4]]), 0)</f>
        <v>1.1692829372387384E-3</v>
      </c>
      <c r="N1425" s="100">
        <f>IF(AND(SamplingData[[#This Row],[Total]]&lt;&gt; 0, NOT(ISBLANK(SamplingData[[#This Row],[Candidate 5]]))),(SamplingData[[#This Row],[Total]]+SamplingData[[#This Row],[Winning Candidate]]-SamplingData[[#This Row],[Candidate 5]])/(SamplingData[[#Totals],[Winning Candidate]]-SamplingData[[#Totals],[Candidate 5]]), 0)</f>
        <v>1.1432741425443931E-3</v>
      </c>
      <c r="O1425" s="100">
        <f>IF(AND(SamplingData[[#This Row],[Total]]&lt;&gt; 0, NOT(ISBLANK(SamplingData[[#This Row],[Candidate 6]]))),(SamplingData[[#This Row],[Total]]+SamplingData[[#This Row],[Winning Candidate]]-SamplingData[[#This Row],[Candidate 6]])/(SamplingData[[#Totals],[Winning Candidate]]-SamplingData[[#Totals],[Candidate 6]]), 0)</f>
        <v>1.1672584018287049E-3</v>
      </c>
      <c r="P1425" s="100">
        <f>MAX(SamplingData[[#This Row],[Error Bound (up) - Max. possible relative overstatement - Losing Candidate]:[Error Bound (up) - Max. possible relative overstatement - Candidate 6]])</f>
        <v>1.8985791278784908E-3</v>
      </c>
      <c r="Q1425" s="100">
        <f>IF(SamplingData[[#This Row],[Max Error Bound (up)]] = 0,0,SamplingData[[#This Row],[Max Error Bound (up)]]/SamplingData[[#Totals],[Max Error Bound (up)]])</f>
        <v>3.0048139663182077E-4</v>
      </c>
      <c r="R1425" s="101">
        <f>SUM($Q$5:Q1425)</f>
        <v>0.43795236265582804</v>
      </c>
      <c r="S1425" s="100" t="str">
        <f t="array" ref="S1425">IF(SamplingData[[#This Row],[up/U Selection Probability]] = 0, "Zero", TEXT(SamplingData[[#This Row],[Lower Range]], REPT("0",LEN('General Info'!$B$40))) &amp; " - " &amp; TEXT(SamplingData[[#This Row],[Upper Range]], REPT("0",LEN('General Info'!$B$40))))</f>
        <v>43765 - 43794</v>
      </c>
      <c r="T1425" s="100">
        <f>SamplingData[[#This Row],[Upper Range]]-SamplingData[[#This Row],[Span]]</f>
        <v>43765.188426401015</v>
      </c>
      <c r="U1425" s="100">
        <f>IF(ISNUMBER('General Info'!$B$40), ((SamplingData[[#This Row],[up/U Selection Probability]]) * 'General Info'!$B$40) - 1, 0)</f>
        <v>29.047839181785445</v>
      </c>
      <c r="V1425" s="100">
        <f>IF(ISNUMBER('General Info'!$B$40), (SamplingData[[#This Row],[Running (cumulative) sum]] * ('General Info'!$B$40 -'General Info'!$B$41 + 1)) + 'General Info'!$B$41 - 1, 0)</f>
        <v>43794.236265582804</v>
      </c>
      <c r="W1425" s="100" t="str">
        <f>IF(ISERROR(MATCH(SamplingData[[#This Row],[Batch by Type (p)]],SelectedPrecincts[Batch Name], 0)), "", INDEX(SelectedPrecincts[Draw], MATCH(SamplingData[[#This Row],[Batch by Type (p)]],SelectedPrecincts[Batch Name], 0)))</f>
        <v/>
      </c>
      <c r="X1425" s="102">
        <f>IF(COUNTIF(SelectedPrecincts[Batch Name],SamplingData[[#This Row],[Batch by Type (p)]]) &lt;&gt; 0, COUNTIF(SelectedPrecincts[Batch Name],SamplingData[[#This Row],[Batch by Type (p)]]), 0)</f>
        <v>0</v>
      </c>
    </row>
    <row r="1426" spans="1:24" ht="15" customHeight="1">
      <c r="A1426" s="18" t="s">
        <v>1602</v>
      </c>
      <c r="B1426" s="18">
        <v>3</v>
      </c>
      <c r="C1426" s="18">
        <v>8</v>
      </c>
      <c r="D1426" s="18">
        <v>1</v>
      </c>
      <c r="E1426" s="18">
        <v>1</v>
      </c>
      <c r="F1426" s="18">
        <v>0</v>
      </c>
      <c r="G1426" s="18">
        <v>0</v>
      </c>
      <c r="H1426" s="18">
        <v>0</v>
      </c>
      <c r="I1426" s="18">
        <v>0</v>
      </c>
      <c r="J1426" s="99">
        <f>SUM(SamplingData[[#This Row],[Losing Candidate]:[Under Votes]])</f>
        <v>13</v>
      </c>
      <c r="K1426"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1426" s="100">
        <f>IF(AND(SamplingData[[#This Row],[Total]]&lt;&gt; 0, NOT(ISBLANK(SamplingData[[#This Row],[Candidate 3]]))),(SamplingData[[#This Row],[Total]]+SamplingData[[#This Row],[Winning Candidate]]-SamplingData[[#This Row],[Candidate 3]])/(SamplingData[[#Totals],[Winning Candidate]]-SamplingData[[#Totals],[Candidate 3]]), 0)</f>
        <v>6.4522373132883831E-4</v>
      </c>
      <c r="M1426" s="100">
        <f>IF(AND(SamplingData[[#This Row],[Total]]&lt;&gt; 0, NOT(ISBLANK(SamplingData[[#This Row],[Candidate 4]]))),(SamplingData[[#This Row],[Total]]+SamplingData[[#This Row],[Winning Candidate]]-SamplingData[[#This Row],[Candidate 4]])/(SamplingData[[#Totals],[Winning Candidate]]-SamplingData[[#Totals],[Candidate 4]]), 0)</f>
        <v>5.8464146861936922E-4</v>
      </c>
      <c r="N1426" s="100">
        <f>IF(AND(SamplingData[[#This Row],[Total]]&lt;&gt; 0, NOT(ISBLANK(SamplingData[[#This Row],[Candidate 5]]))),(SamplingData[[#This Row],[Total]]+SamplingData[[#This Row],[Winning Candidate]]-SamplingData[[#This Row],[Candidate 5]])/(SamplingData[[#Totals],[Winning Candidate]]-SamplingData[[#Totals],[Candidate 5]]), 0)</f>
        <v>5.1082461688153739E-4</v>
      </c>
      <c r="O1426" s="100">
        <f>IF(AND(SamplingData[[#This Row],[Total]]&lt;&gt; 0, NOT(ISBLANK(SamplingData[[#This Row],[Candidate 6]]))),(SamplingData[[#This Row],[Total]]+SamplingData[[#This Row],[Winning Candidate]]-SamplingData[[#This Row],[Candidate 6]])/(SamplingData[[#Totals],[Winning Candidate]]-SamplingData[[#Totals],[Candidate 6]]), 0)</f>
        <v>5.1067555080005838E-4</v>
      </c>
      <c r="P1426" s="100">
        <f>MAX(SamplingData[[#This Row],[Error Bound (up) - Max. possible relative overstatement - Losing Candidate]:[Error Bound (up) - Max. possible relative overstatement - Candidate 6]])</f>
        <v>1.1024007839294464E-3</v>
      </c>
      <c r="Q1426" s="100">
        <f>IF(SamplingData[[#This Row],[Max Error Bound (up)]] = 0,0,SamplingData[[#This Row],[Max Error Bound (up)]]/SamplingData[[#Totals],[Max Error Bound (up)]])</f>
        <v>1.7447306901202498E-4</v>
      </c>
      <c r="R1426" s="101">
        <f>SUM($Q$5:Q1426)</f>
        <v>0.43812683572484007</v>
      </c>
      <c r="S1426" s="100" t="str">
        <f t="array" ref="S1426">IF(SamplingData[[#This Row],[up/U Selection Probability]] = 0, "Zero", TEXT(SamplingData[[#This Row],[Lower Range]], REPT("0",LEN('General Info'!$B$40))) &amp; " - " &amp; TEXT(SamplingData[[#This Row],[Upper Range]], REPT("0",LEN('General Info'!$B$40))))</f>
        <v>43795 - 43812</v>
      </c>
      <c r="T1426" s="100">
        <f>SamplingData[[#This Row],[Upper Range]]-SamplingData[[#This Row],[Span]]</f>
        <v>43795.236440055873</v>
      </c>
      <c r="U1426" s="100">
        <f>IF(ISNUMBER('General Info'!$B$40), ((SamplingData[[#This Row],[up/U Selection Probability]]) * 'General Info'!$B$40) - 1, 0)</f>
        <v>16.447132428133486</v>
      </c>
      <c r="V1426" s="100">
        <f>IF(ISNUMBER('General Info'!$B$40), (SamplingData[[#This Row],[Running (cumulative) sum]] * ('General Info'!$B$40 -'General Info'!$B$41 + 1)) + 'General Info'!$B$41 - 1, 0)</f>
        <v>43811.683572484006</v>
      </c>
      <c r="W1426" s="100" t="str">
        <f>IF(ISERROR(MATCH(SamplingData[[#This Row],[Batch by Type (p)]],SelectedPrecincts[Batch Name], 0)), "", INDEX(SelectedPrecincts[Draw], MATCH(SamplingData[[#This Row],[Batch by Type (p)]],SelectedPrecincts[Batch Name], 0)))</f>
        <v/>
      </c>
      <c r="X1426" s="102">
        <f>IF(COUNTIF(SelectedPrecincts[Batch Name],SamplingData[[#This Row],[Batch by Type (p)]]) &lt;&gt; 0, COUNTIF(SelectedPrecincts[Batch Name],SamplingData[[#This Row],[Batch by Type (p)]]), 0)</f>
        <v>0</v>
      </c>
    </row>
    <row r="1427" spans="1:24" ht="15" customHeight="1">
      <c r="A1427" s="18" t="s">
        <v>1603</v>
      </c>
      <c r="B1427" s="18">
        <v>17</v>
      </c>
      <c r="C1427" s="18">
        <v>55</v>
      </c>
      <c r="D1427" s="16">
        <v>21</v>
      </c>
      <c r="E1427" s="16">
        <v>5</v>
      </c>
      <c r="F1427" s="37">
        <v>1</v>
      </c>
      <c r="G1427" s="37">
        <v>1</v>
      </c>
      <c r="H1427" s="17">
        <v>1</v>
      </c>
      <c r="I1427" s="17">
        <v>1</v>
      </c>
      <c r="J1427" s="99">
        <f>SUM(SamplingData[[#This Row],[Losing Candidate]:[Under Votes]])</f>
        <v>102</v>
      </c>
      <c r="K1427" s="100">
        <f>IF(AND(SamplingData[[#This Row],[Total]]&lt;&gt; 0, NOT(ISBLANK(SamplingData[[#This Row],[Losing Candidate]]))),(SamplingData[[#This Row],[Total]]+SamplingData[[#This Row],[Winning Candidate]]-SamplingData[[#This Row],[Losing Candidate]])/(SamplingData[[#Totals],[Winning Candidate]]-SamplingData[[#Totals],[Losing Candidate]]), 0)</f>
        <v>8.5742283194512499E-3</v>
      </c>
      <c r="L1427" s="100">
        <f>IF(AND(SamplingData[[#This Row],[Total]]&lt;&gt; 0, NOT(ISBLANK(SamplingData[[#This Row],[Candidate 3]]))),(SamplingData[[#This Row],[Total]]+SamplingData[[#This Row],[Winning Candidate]]-SamplingData[[#This Row],[Candidate 3]])/(SamplingData[[#Totals],[Winning Candidate]]-SamplingData[[#Totals],[Candidate 3]]), 0)</f>
        <v>4.3875213730361004E-3</v>
      </c>
      <c r="M1427" s="100">
        <f>IF(AND(SamplingData[[#This Row],[Total]]&lt;&gt; 0, NOT(ISBLANK(SamplingData[[#This Row],[Candidate 4]]))),(SamplingData[[#This Row],[Total]]+SamplingData[[#This Row],[Winning Candidate]]-SamplingData[[#This Row],[Candidate 4]])/(SamplingData[[#Totals],[Winning Candidate]]-SamplingData[[#Totals],[Candidate 4]]), 0)</f>
        <v>4.443275161507206E-3</v>
      </c>
      <c r="N1427" s="100">
        <f>IF(AND(SamplingData[[#This Row],[Total]]&lt;&gt; 0, NOT(ISBLANK(SamplingData[[#This Row],[Candidate 5]]))),(SamplingData[[#This Row],[Total]]+SamplingData[[#This Row],[Winning Candidate]]-SamplingData[[#This Row],[Candidate 5]])/(SamplingData[[#Totals],[Winning Candidate]]-SamplingData[[#Totals],[Candidate 5]]), 0)</f>
        <v>3.7946971539771345E-3</v>
      </c>
      <c r="O1427" s="100">
        <f>IF(AND(SamplingData[[#This Row],[Total]]&lt;&gt; 0, NOT(ISBLANK(SamplingData[[#This Row],[Candidate 6]]))),(SamplingData[[#This Row],[Total]]+SamplingData[[#This Row],[Winning Candidate]]-SamplingData[[#This Row],[Candidate 6]])/(SamplingData[[#Totals],[Winning Candidate]]-SamplingData[[#Totals],[Candidate 6]]), 0)</f>
        <v>3.7935898059432908E-3</v>
      </c>
      <c r="P1427" s="100">
        <f>MAX(SamplingData[[#This Row],[Error Bound (up) - Max. possible relative overstatement - Losing Candidate]:[Error Bound (up) - Max. possible relative overstatement - Candidate 6]])</f>
        <v>8.5742283194512499E-3</v>
      </c>
      <c r="Q1427" s="100">
        <f>IF(SamplingData[[#This Row],[Max Error Bound (up)]] = 0,0,SamplingData[[#This Row],[Max Error Bound (up)]]/SamplingData[[#Totals],[Max Error Bound (up)]])</f>
        <v>1.3570127589824165E-3</v>
      </c>
      <c r="R1427" s="101">
        <f>SUM($Q$5:Q1427)</f>
        <v>0.43948384848382249</v>
      </c>
      <c r="S1427" s="100" t="str">
        <f t="array" ref="S1427">IF(SamplingData[[#This Row],[up/U Selection Probability]] = 0, "Zero", TEXT(SamplingData[[#This Row],[Lower Range]], REPT("0",LEN('General Info'!$B$40))) &amp; " - " &amp; TEXT(SamplingData[[#This Row],[Upper Range]], REPT("0",LEN('General Info'!$B$40))))</f>
        <v>43813 - 43947</v>
      </c>
      <c r="T1427" s="100">
        <f>SamplingData[[#This Row],[Upper Range]]-SamplingData[[#This Row],[Span]]</f>
        <v>43812.684929496769</v>
      </c>
      <c r="U1427" s="100">
        <f>IF(ISNUMBER('General Info'!$B$40), ((SamplingData[[#This Row],[up/U Selection Probability]]) * 'General Info'!$B$40) - 1, 0)</f>
        <v>134.69991888548267</v>
      </c>
      <c r="V1427" s="100">
        <f>IF(ISNUMBER('General Info'!$B$40), (SamplingData[[#This Row],[Running (cumulative) sum]] * ('General Info'!$B$40 -'General Info'!$B$41 + 1)) + 'General Info'!$B$41 - 1, 0)</f>
        <v>43947.384848382251</v>
      </c>
      <c r="W1427" s="100" t="str">
        <f>IF(ISERROR(MATCH(SamplingData[[#This Row],[Batch by Type (p)]],SelectedPrecincts[Batch Name], 0)), "", INDEX(SelectedPrecincts[Draw], MATCH(SamplingData[[#This Row],[Batch by Type (p)]],SelectedPrecincts[Batch Name], 0)))</f>
        <v/>
      </c>
      <c r="X1427" s="102">
        <f>IF(COUNTIF(SelectedPrecincts[Batch Name],SamplingData[[#This Row],[Batch by Type (p)]]) &lt;&gt; 0, COUNTIF(SelectedPrecincts[Batch Name],SamplingData[[#This Row],[Batch by Type (p)]]), 0)</f>
        <v>0</v>
      </c>
    </row>
    <row r="1428" spans="1:24" ht="15" customHeight="1">
      <c r="A1428" s="18" t="s">
        <v>1604</v>
      </c>
      <c r="B1428" s="18">
        <v>11</v>
      </c>
      <c r="C1428" s="18">
        <v>16</v>
      </c>
      <c r="D1428" s="18">
        <v>8</v>
      </c>
      <c r="E1428" s="18">
        <v>4</v>
      </c>
      <c r="F1428" s="18">
        <v>0</v>
      </c>
      <c r="G1428" s="18">
        <v>1</v>
      </c>
      <c r="H1428" s="18">
        <v>0</v>
      </c>
      <c r="I1428" s="18">
        <v>1</v>
      </c>
      <c r="J1428" s="99">
        <f>SUM(SamplingData[[#This Row],[Losing Candidate]:[Under Votes]])</f>
        <v>41</v>
      </c>
      <c r="K1428" s="100">
        <f>IF(AND(SamplingData[[#This Row],[Total]]&lt;&gt; 0, NOT(ISBLANK(SamplingData[[#This Row],[Losing Candidate]]))),(SamplingData[[#This Row],[Total]]+SamplingData[[#This Row],[Winning Candidate]]-SamplingData[[#This Row],[Losing Candidate]])/(SamplingData[[#Totals],[Winning Candidate]]-SamplingData[[#Totals],[Losing Candidate]]), 0)</f>
        <v>2.8172464478196961E-3</v>
      </c>
      <c r="L1428" s="100">
        <f>IF(AND(SamplingData[[#This Row],[Total]]&lt;&gt; 0, NOT(ISBLANK(SamplingData[[#This Row],[Candidate 3]]))),(SamplingData[[#This Row],[Total]]+SamplingData[[#This Row],[Winning Candidate]]-SamplingData[[#This Row],[Candidate 3]])/(SamplingData[[#Totals],[Winning Candidate]]-SamplingData[[#Totals],[Candidate 3]]), 0)</f>
        <v>1.5807981417556537E-3</v>
      </c>
      <c r="M1428" s="100">
        <f>IF(AND(SamplingData[[#This Row],[Total]]&lt;&gt; 0, NOT(ISBLANK(SamplingData[[#This Row],[Candidate 4]]))),(SamplingData[[#This Row],[Total]]+SamplingData[[#This Row],[Winning Candidate]]-SamplingData[[#This Row],[Candidate 4]])/(SamplingData[[#Totals],[Winning Candidate]]-SamplingData[[#Totals],[Candidate 4]]), 0)</f>
        <v>1.5492998918413283E-3</v>
      </c>
      <c r="N1428" s="100">
        <f>IF(AND(SamplingData[[#This Row],[Total]]&lt;&gt; 0, NOT(ISBLANK(SamplingData[[#This Row],[Candidate 5]]))),(SamplingData[[#This Row],[Total]]+SamplingData[[#This Row],[Winning Candidate]]-SamplingData[[#This Row],[Candidate 5]])/(SamplingData[[#Totals],[Winning Candidate]]-SamplingData[[#Totals],[Candidate 5]]), 0)</f>
        <v>1.3865239601070299E-3</v>
      </c>
      <c r="O1428" s="100">
        <f>IF(AND(SamplingData[[#This Row],[Total]]&lt;&gt; 0, NOT(ISBLANK(SamplingData[[#This Row],[Candidate 6]]))),(SamplingData[[#This Row],[Total]]+SamplingData[[#This Row],[Winning Candidate]]-SamplingData[[#This Row],[Candidate 6]])/(SamplingData[[#Totals],[Winning Candidate]]-SamplingData[[#Totals],[Candidate 6]]), 0)</f>
        <v>1.3618014688001555E-3</v>
      </c>
      <c r="P1428" s="100">
        <f>MAX(SamplingData[[#This Row],[Error Bound (up) - Max. possible relative overstatement - Losing Candidate]:[Error Bound (up) - Max. possible relative overstatement - Candidate 6]])</f>
        <v>2.8172464478196961E-3</v>
      </c>
      <c r="Q1428" s="100">
        <f>IF(SamplingData[[#This Row],[Max Error Bound (up)]] = 0,0,SamplingData[[#This Row],[Max Error Bound (up)]]/SamplingData[[#Totals],[Max Error Bound (up)]])</f>
        <v>4.4587562080850821E-4</v>
      </c>
      <c r="R1428" s="101">
        <f>SUM($Q$5:Q1428)</f>
        <v>0.43992972410463099</v>
      </c>
      <c r="S1428" s="100" t="str">
        <f t="array" ref="S1428">IF(SamplingData[[#This Row],[up/U Selection Probability]] = 0, "Zero", TEXT(SamplingData[[#This Row],[Lower Range]], REPT("0",LEN('General Info'!$B$40))) &amp; " - " &amp; TEXT(SamplingData[[#This Row],[Upper Range]], REPT("0",LEN('General Info'!$B$40))))</f>
        <v>43948 - 43992</v>
      </c>
      <c r="T1428" s="100">
        <f>SamplingData[[#This Row],[Upper Range]]-SamplingData[[#This Row],[Span]]</f>
        <v>43948.385294257874</v>
      </c>
      <c r="U1428" s="100">
        <f>IF(ISNUMBER('General Info'!$B$40), ((SamplingData[[#This Row],[up/U Selection Probability]]) * 'General Info'!$B$40) - 1, 0)</f>
        <v>43.587116205230011</v>
      </c>
      <c r="V1428" s="100">
        <f>IF(ISNUMBER('General Info'!$B$40), (SamplingData[[#This Row],[Running (cumulative) sum]] * ('General Info'!$B$40 -'General Info'!$B$41 + 1)) + 'General Info'!$B$41 - 1, 0)</f>
        <v>43991.972410463102</v>
      </c>
      <c r="W1428" s="100" t="str">
        <f>IF(ISERROR(MATCH(SamplingData[[#This Row],[Batch by Type (p)]],SelectedPrecincts[Batch Name], 0)), "", INDEX(SelectedPrecincts[Draw], MATCH(SamplingData[[#This Row],[Batch by Type (p)]],SelectedPrecincts[Batch Name], 0)))</f>
        <v/>
      </c>
      <c r="X1428" s="102">
        <f>IF(COUNTIF(SelectedPrecincts[Batch Name],SamplingData[[#This Row],[Batch by Type (p)]]) &lt;&gt; 0, COUNTIF(SelectedPrecincts[Batch Name],SamplingData[[#This Row],[Batch by Type (p)]]), 0)</f>
        <v>0</v>
      </c>
    </row>
    <row r="1429" spans="1:24" ht="15" customHeight="1">
      <c r="A1429" s="18" t="s">
        <v>1605</v>
      </c>
      <c r="B1429" s="18">
        <v>4</v>
      </c>
      <c r="C1429" s="18">
        <v>4</v>
      </c>
      <c r="D1429" s="16">
        <v>4</v>
      </c>
      <c r="E1429" s="16">
        <v>2</v>
      </c>
      <c r="F1429" s="37">
        <v>0</v>
      </c>
      <c r="G1429" s="37">
        <v>0</v>
      </c>
      <c r="H1429" s="17">
        <v>0</v>
      </c>
      <c r="I1429" s="17">
        <v>2</v>
      </c>
      <c r="J1429" s="99">
        <f>SUM(SamplingData[[#This Row],[Losing Candidate]:[Under Votes]])</f>
        <v>16</v>
      </c>
      <c r="K1429"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429" s="100">
        <f>IF(AND(SamplingData[[#This Row],[Total]]&lt;&gt; 0, NOT(ISBLANK(SamplingData[[#This Row],[Candidate 3]]))),(SamplingData[[#This Row],[Total]]+SamplingData[[#This Row],[Winning Candidate]]-SamplingData[[#This Row],[Candidate 3]])/(SamplingData[[#Totals],[Winning Candidate]]-SamplingData[[#Totals],[Candidate 3]]), 0)</f>
        <v>5.1617898506307067E-4</v>
      </c>
      <c r="M1429" s="100">
        <f>IF(AND(SamplingData[[#This Row],[Total]]&lt;&gt; 0, NOT(ISBLANK(SamplingData[[#This Row],[Candidate 4]]))),(SamplingData[[#This Row],[Total]]+SamplingData[[#This Row],[Winning Candidate]]-SamplingData[[#This Row],[Candidate 4]])/(SamplingData[[#Totals],[Winning Candidate]]-SamplingData[[#Totals],[Candidate 4]]), 0)</f>
        <v>5.2617732175743229E-4</v>
      </c>
      <c r="N1429" s="100">
        <f>IF(AND(SamplingData[[#This Row],[Total]]&lt;&gt; 0, NOT(ISBLANK(SamplingData[[#This Row],[Candidate 5]]))),(SamplingData[[#This Row],[Total]]+SamplingData[[#This Row],[Winning Candidate]]-SamplingData[[#This Row],[Candidate 5]])/(SamplingData[[#Totals],[Winning Candidate]]-SamplingData[[#Totals],[Candidate 5]]), 0)</f>
        <v>4.8649963512527365E-4</v>
      </c>
      <c r="O1429" s="100">
        <f>IF(AND(SamplingData[[#This Row],[Total]]&lt;&gt; 0, NOT(ISBLANK(SamplingData[[#This Row],[Candidate 6]]))),(SamplingData[[#This Row],[Total]]+SamplingData[[#This Row],[Winning Candidate]]-SamplingData[[#This Row],[Candidate 6]])/(SamplingData[[#Totals],[Winning Candidate]]-SamplingData[[#Totals],[Candidate 6]]), 0)</f>
        <v>4.8635766742862699E-4</v>
      </c>
      <c r="P1429" s="100">
        <f>MAX(SamplingData[[#This Row],[Error Bound (up) - Max. possible relative overstatement - Losing Candidate]:[Error Bound (up) - Max. possible relative overstatement - Candidate 6]])</f>
        <v>9.7991180793728563E-4</v>
      </c>
      <c r="Q1429" s="100">
        <f>IF(SamplingData[[#This Row],[Max Error Bound (up)]] = 0,0,SamplingData[[#This Row],[Max Error Bound (up)]]/SamplingData[[#Totals],[Max Error Bound (up)]])</f>
        <v>1.550871724551333E-4</v>
      </c>
      <c r="R1429" s="101">
        <f>SUM($Q$5:Q1429)</f>
        <v>0.44008481127708615</v>
      </c>
      <c r="S1429" s="100" t="str">
        <f t="array" ref="S1429">IF(SamplingData[[#This Row],[up/U Selection Probability]] = 0, "Zero", TEXT(SamplingData[[#This Row],[Lower Range]], REPT("0",LEN('General Info'!$B$40))) &amp; " - " &amp; TEXT(SamplingData[[#This Row],[Upper Range]], REPT("0",LEN('General Info'!$B$40))))</f>
        <v>43993 - 44007</v>
      </c>
      <c r="T1429" s="100">
        <f>SamplingData[[#This Row],[Upper Range]]-SamplingData[[#This Row],[Span]]</f>
        <v>43992.97256555027</v>
      </c>
      <c r="U1429" s="100">
        <f>IF(ISNUMBER('General Info'!$B$40), ((SamplingData[[#This Row],[up/U Selection Probability]]) * 'General Info'!$B$40) - 1, 0)</f>
        <v>14.508562158340876</v>
      </c>
      <c r="V1429" s="100">
        <f>IF(ISNUMBER('General Info'!$B$40), (SamplingData[[#This Row],[Running (cumulative) sum]] * ('General Info'!$B$40 -'General Info'!$B$41 + 1)) + 'General Info'!$B$41 - 1, 0)</f>
        <v>44007.481127708612</v>
      </c>
      <c r="W1429" s="100" t="str">
        <f>IF(ISERROR(MATCH(SamplingData[[#This Row],[Batch by Type (p)]],SelectedPrecincts[Batch Name], 0)), "", INDEX(SelectedPrecincts[Draw], MATCH(SamplingData[[#This Row],[Batch by Type (p)]],SelectedPrecincts[Batch Name], 0)))</f>
        <v/>
      </c>
      <c r="X1429" s="102">
        <f>IF(COUNTIF(SelectedPrecincts[Batch Name],SamplingData[[#This Row],[Batch by Type (p)]]) &lt;&gt; 0, COUNTIF(SelectedPrecincts[Batch Name],SamplingData[[#This Row],[Batch by Type (p)]]), 0)</f>
        <v>0</v>
      </c>
    </row>
    <row r="1430" spans="1:24" ht="15" customHeight="1">
      <c r="A1430" s="18" t="s">
        <v>1606</v>
      </c>
      <c r="B1430" s="18">
        <v>2</v>
      </c>
      <c r="C1430" s="18">
        <v>4</v>
      </c>
      <c r="D1430" s="18">
        <v>1</v>
      </c>
      <c r="E1430" s="18">
        <v>0</v>
      </c>
      <c r="F1430" s="18">
        <v>0</v>
      </c>
      <c r="G1430" s="18">
        <v>0</v>
      </c>
      <c r="H1430" s="18">
        <v>0</v>
      </c>
      <c r="I1430" s="18">
        <v>0</v>
      </c>
      <c r="J1430" s="99">
        <f>SUM(SamplingData[[#This Row],[Losing Candidate]:[Under Votes]])</f>
        <v>7</v>
      </c>
      <c r="K1430"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430" s="100">
        <f>IF(AND(SamplingData[[#This Row],[Total]]&lt;&gt; 0, NOT(ISBLANK(SamplingData[[#This Row],[Candidate 3]]))),(SamplingData[[#This Row],[Total]]+SamplingData[[#This Row],[Winning Candidate]]-SamplingData[[#This Row],[Candidate 3]])/(SamplingData[[#Totals],[Winning Candidate]]-SamplingData[[#Totals],[Candidate 3]]), 0)</f>
        <v>3.2261186566441915E-4</v>
      </c>
      <c r="M1430" s="100">
        <f>IF(AND(SamplingData[[#This Row],[Total]]&lt;&gt; 0, NOT(ISBLANK(SamplingData[[#This Row],[Candidate 4]]))),(SamplingData[[#This Row],[Total]]+SamplingData[[#This Row],[Winning Candidate]]-SamplingData[[#This Row],[Candidate 4]])/(SamplingData[[#Totals],[Winning Candidate]]-SamplingData[[#Totals],[Candidate 4]]), 0)</f>
        <v>3.2155280774065302E-4</v>
      </c>
      <c r="N1430" s="100">
        <f>IF(AND(SamplingData[[#This Row],[Total]]&lt;&gt; 0, NOT(ISBLANK(SamplingData[[#This Row],[Candidate 5]]))),(SamplingData[[#This Row],[Total]]+SamplingData[[#This Row],[Winning Candidate]]-SamplingData[[#This Row],[Candidate 5]])/(SamplingData[[#Totals],[Winning Candidate]]-SamplingData[[#Totals],[Candidate 5]]), 0)</f>
        <v>2.6757479931890053E-4</v>
      </c>
      <c r="O1430" s="100">
        <f>IF(AND(SamplingData[[#This Row],[Total]]&lt;&gt; 0, NOT(ISBLANK(SamplingData[[#This Row],[Candidate 6]]))),(SamplingData[[#This Row],[Total]]+SamplingData[[#This Row],[Winning Candidate]]-SamplingData[[#This Row],[Candidate 6]])/(SamplingData[[#Totals],[Winning Candidate]]-SamplingData[[#Totals],[Candidate 6]]), 0)</f>
        <v>2.6749671708574483E-4</v>
      </c>
      <c r="P1430" s="100">
        <f>MAX(SamplingData[[#This Row],[Error Bound (up) - Max. possible relative overstatement - Losing Candidate]:[Error Bound (up) - Max. possible relative overstatement - Candidate 6]])</f>
        <v>5.5120039196472322E-4</v>
      </c>
      <c r="Q1430" s="100">
        <f>IF(SamplingData[[#This Row],[Max Error Bound (up)]] = 0,0,SamplingData[[#This Row],[Max Error Bound (up)]]/SamplingData[[#Totals],[Max Error Bound (up)]])</f>
        <v>8.7236534506012492E-5</v>
      </c>
      <c r="R1430" s="101">
        <f>SUM($Q$5:Q1430)</f>
        <v>0.44017204781159214</v>
      </c>
      <c r="S1430" s="100" t="str">
        <f t="array" ref="S1430">IF(SamplingData[[#This Row],[up/U Selection Probability]] = 0, "Zero", TEXT(SamplingData[[#This Row],[Lower Range]], REPT("0",LEN('General Info'!$B$40))) &amp; " - " &amp; TEXT(SamplingData[[#This Row],[Upper Range]], REPT("0",LEN('General Info'!$B$40))))</f>
        <v>44008 - 44016</v>
      </c>
      <c r="T1430" s="100">
        <f>SamplingData[[#This Row],[Upper Range]]-SamplingData[[#This Row],[Span]]</f>
        <v>44008.481214945146</v>
      </c>
      <c r="U1430" s="100">
        <f>IF(ISNUMBER('General Info'!$B$40), ((SamplingData[[#This Row],[up/U Selection Probability]]) * 'General Info'!$B$40) - 1, 0)</f>
        <v>7.7235662140667429</v>
      </c>
      <c r="V1430" s="100">
        <f>IF(ISNUMBER('General Info'!$B$40), (SamplingData[[#This Row],[Running (cumulative) sum]] * ('General Info'!$B$40 -'General Info'!$B$41 + 1)) + 'General Info'!$B$41 - 1, 0)</f>
        <v>44016.204781159213</v>
      </c>
      <c r="W1430" s="100" t="str">
        <f>IF(ISERROR(MATCH(SamplingData[[#This Row],[Batch by Type (p)]],SelectedPrecincts[Batch Name], 0)), "", INDEX(SelectedPrecincts[Draw], MATCH(SamplingData[[#This Row],[Batch by Type (p)]],SelectedPrecincts[Batch Name], 0)))</f>
        <v/>
      </c>
      <c r="X1430" s="102">
        <f>IF(COUNTIF(SelectedPrecincts[Batch Name],SamplingData[[#This Row],[Batch by Type (p)]]) &lt;&gt; 0, COUNTIF(SelectedPrecincts[Batch Name],SamplingData[[#This Row],[Batch by Type (p)]]), 0)</f>
        <v>0</v>
      </c>
    </row>
    <row r="1431" spans="1:24" ht="15" customHeight="1">
      <c r="A1431" s="18" t="s">
        <v>1607</v>
      </c>
      <c r="B1431" s="18">
        <v>6</v>
      </c>
      <c r="C1431" s="18">
        <v>15</v>
      </c>
      <c r="D1431" s="16">
        <v>5</v>
      </c>
      <c r="E1431" s="16">
        <v>7</v>
      </c>
      <c r="F1431" s="37">
        <v>0</v>
      </c>
      <c r="G1431" s="37">
        <v>0</v>
      </c>
      <c r="H1431" s="17">
        <v>0</v>
      </c>
      <c r="I1431" s="17">
        <v>0</v>
      </c>
      <c r="J1431" s="99">
        <f>SUM(SamplingData[[#This Row],[Losing Candidate]:[Under Votes]])</f>
        <v>33</v>
      </c>
      <c r="K1431"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431" s="100">
        <f>IF(AND(SamplingData[[#This Row],[Total]]&lt;&gt; 0, NOT(ISBLANK(SamplingData[[#This Row],[Candidate 3]]))),(SamplingData[[#This Row],[Total]]+SamplingData[[#This Row],[Winning Candidate]]-SamplingData[[#This Row],[Candidate 3]])/(SamplingData[[#Totals],[Winning Candidate]]-SamplingData[[#Totals],[Candidate 3]]), 0)</f>
        <v>1.3872310223570024E-3</v>
      </c>
      <c r="M1431" s="100">
        <f>IF(AND(SamplingData[[#This Row],[Total]]&lt;&gt; 0, NOT(ISBLANK(SamplingData[[#This Row],[Candidate 4]]))),(SamplingData[[#This Row],[Total]]+SamplingData[[#This Row],[Winning Candidate]]-SamplingData[[#This Row],[Candidate 4]])/(SamplingData[[#Totals],[Winning Candidate]]-SamplingData[[#Totals],[Candidate 4]]), 0)</f>
        <v>1.1985150106697067E-3</v>
      </c>
      <c r="N1431" s="100">
        <f>IF(AND(SamplingData[[#This Row],[Total]]&lt;&gt; 0, NOT(ISBLANK(SamplingData[[#This Row],[Candidate 5]]))),(SamplingData[[#This Row],[Total]]+SamplingData[[#This Row],[Winning Candidate]]-SamplingData[[#This Row],[Candidate 5]])/(SamplingData[[#Totals],[Winning Candidate]]-SamplingData[[#Totals],[Candidate 5]]), 0)</f>
        <v>1.1675991243006569E-3</v>
      </c>
      <c r="O1431" s="100">
        <f>IF(AND(SamplingData[[#This Row],[Total]]&lt;&gt; 0, NOT(ISBLANK(SamplingData[[#This Row],[Candidate 6]]))),(SamplingData[[#This Row],[Total]]+SamplingData[[#This Row],[Winning Candidate]]-SamplingData[[#This Row],[Candidate 6]])/(SamplingData[[#Totals],[Winning Candidate]]-SamplingData[[#Totals],[Candidate 6]]), 0)</f>
        <v>1.1672584018287049E-3</v>
      </c>
      <c r="P1431" s="100">
        <f>MAX(SamplingData[[#This Row],[Error Bound (up) - Max. possible relative overstatement - Losing Candidate]:[Error Bound (up) - Max. possible relative overstatement - Candidate 6]])</f>
        <v>2.5722684958353749E-3</v>
      </c>
      <c r="Q1431" s="100">
        <f>IF(SamplingData[[#This Row],[Max Error Bound (up)]] = 0,0,SamplingData[[#This Row],[Max Error Bound (up)]]/SamplingData[[#Totals],[Max Error Bound (up)]])</f>
        <v>4.0710382769472496E-4</v>
      </c>
      <c r="R1431" s="101">
        <f>SUM($Q$5:Q1431)</f>
        <v>0.44057915163928685</v>
      </c>
      <c r="S1431" s="100" t="str">
        <f t="array" ref="S1431">IF(SamplingData[[#This Row],[up/U Selection Probability]] = 0, "Zero", TEXT(SamplingData[[#This Row],[Lower Range]], REPT("0",LEN('General Info'!$B$40))) &amp; " - " &amp; TEXT(SamplingData[[#This Row],[Upper Range]], REPT("0",LEN('General Info'!$B$40))))</f>
        <v>44017 - 44057</v>
      </c>
      <c r="T1431" s="100">
        <f>SamplingData[[#This Row],[Upper Range]]-SamplingData[[#This Row],[Span]]</f>
        <v>44017.20518826304</v>
      </c>
      <c r="U1431" s="100">
        <f>IF(ISNUMBER('General Info'!$B$40), ((SamplingData[[#This Row],[up/U Selection Probability]]) * 'General Info'!$B$40) - 1, 0)</f>
        <v>39.709975665644798</v>
      </c>
      <c r="V1431" s="100">
        <f>IF(ISNUMBER('General Info'!$B$40), (SamplingData[[#This Row],[Running (cumulative) sum]] * ('General Info'!$B$40 -'General Info'!$B$41 + 1)) + 'General Info'!$B$41 - 1, 0)</f>
        <v>44056.915163928687</v>
      </c>
      <c r="W1431" s="100" t="str">
        <f>IF(ISERROR(MATCH(SamplingData[[#This Row],[Batch by Type (p)]],SelectedPrecincts[Batch Name], 0)), "", INDEX(SelectedPrecincts[Draw], MATCH(SamplingData[[#This Row],[Batch by Type (p)]],SelectedPrecincts[Batch Name], 0)))</f>
        <v/>
      </c>
      <c r="X1431" s="102">
        <f>IF(COUNTIF(SelectedPrecincts[Batch Name],SamplingData[[#This Row],[Batch by Type (p)]]) &lt;&gt; 0, COUNTIF(SelectedPrecincts[Batch Name],SamplingData[[#This Row],[Batch by Type (p)]]), 0)</f>
        <v>0</v>
      </c>
    </row>
    <row r="1432" spans="1:24" ht="15" customHeight="1">
      <c r="A1432" s="18" t="s">
        <v>1608</v>
      </c>
      <c r="B1432" s="18">
        <v>1</v>
      </c>
      <c r="C1432" s="18">
        <v>3</v>
      </c>
      <c r="D1432" s="18">
        <v>0</v>
      </c>
      <c r="E1432" s="18">
        <v>0</v>
      </c>
      <c r="F1432" s="18">
        <v>0</v>
      </c>
      <c r="G1432" s="18">
        <v>0</v>
      </c>
      <c r="H1432" s="18">
        <v>0</v>
      </c>
      <c r="I1432" s="18">
        <v>0</v>
      </c>
      <c r="J1432" s="99">
        <f>SUM(SamplingData[[#This Row],[Losing Candidate]:[Under Votes]])</f>
        <v>4</v>
      </c>
      <c r="K1432"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432" s="100">
        <f>IF(AND(SamplingData[[#This Row],[Total]]&lt;&gt; 0, NOT(ISBLANK(SamplingData[[#This Row],[Candidate 3]]))),(SamplingData[[#This Row],[Total]]+SamplingData[[#This Row],[Winning Candidate]]-SamplingData[[#This Row],[Candidate 3]])/(SamplingData[[#Totals],[Winning Candidate]]-SamplingData[[#Totals],[Candidate 3]]), 0)</f>
        <v>2.258283059650934E-4</v>
      </c>
      <c r="M1432" s="100">
        <f>IF(AND(SamplingData[[#This Row],[Total]]&lt;&gt; 0, NOT(ISBLANK(SamplingData[[#This Row],[Candidate 4]]))),(SamplingData[[#This Row],[Total]]+SamplingData[[#This Row],[Winning Candidate]]-SamplingData[[#This Row],[Candidate 4]])/(SamplingData[[#Totals],[Winning Candidate]]-SamplingData[[#Totals],[Candidate 4]]), 0)</f>
        <v>2.0462451401677921E-4</v>
      </c>
      <c r="N1432" s="100">
        <f>IF(AND(SamplingData[[#This Row],[Total]]&lt;&gt; 0, NOT(ISBLANK(SamplingData[[#This Row],[Candidate 5]]))),(SamplingData[[#This Row],[Total]]+SamplingData[[#This Row],[Winning Candidate]]-SamplingData[[#This Row],[Candidate 5]])/(SamplingData[[#Totals],[Winning Candidate]]-SamplingData[[#Totals],[Candidate 5]]), 0)</f>
        <v>1.7027487229384579E-4</v>
      </c>
      <c r="O1432" s="100">
        <f>IF(AND(SamplingData[[#This Row],[Total]]&lt;&gt; 0, NOT(ISBLANK(SamplingData[[#This Row],[Candidate 6]]))),(SamplingData[[#This Row],[Total]]+SamplingData[[#This Row],[Winning Candidate]]-SamplingData[[#This Row],[Candidate 6]])/(SamplingData[[#Totals],[Winning Candidate]]-SamplingData[[#Totals],[Candidate 6]]), 0)</f>
        <v>1.7022518360001944E-4</v>
      </c>
      <c r="P1432" s="100">
        <f>MAX(SamplingData[[#This Row],[Error Bound (up) - Max. possible relative overstatement - Losing Candidate]:[Error Bound (up) - Max. possible relative overstatement - Candidate 6]])</f>
        <v>3.6746692797648211E-4</v>
      </c>
      <c r="Q1432" s="100">
        <f>IF(SamplingData[[#This Row],[Max Error Bound (up)]] = 0,0,SamplingData[[#This Row],[Max Error Bound (up)]]/SamplingData[[#Totals],[Max Error Bound (up)]])</f>
        <v>5.8157689670674986E-5</v>
      </c>
      <c r="R1432" s="101">
        <f>SUM($Q$5:Q1432)</f>
        <v>0.4406373093289575</v>
      </c>
      <c r="S1432" s="100" t="str">
        <f t="array" ref="S1432">IF(SamplingData[[#This Row],[up/U Selection Probability]] = 0, "Zero", TEXT(SamplingData[[#This Row],[Lower Range]], REPT("0",LEN('General Info'!$B$40))) &amp; " - " &amp; TEXT(SamplingData[[#This Row],[Upper Range]], REPT("0",LEN('General Info'!$B$40))))</f>
        <v>44058 - 44063</v>
      </c>
      <c r="T1432" s="100">
        <f>SamplingData[[#This Row],[Upper Range]]-SamplingData[[#This Row],[Span]]</f>
        <v>44057.915222086369</v>
      </c>
      <c r="U1432" s="100">
        <f>IF(ISNUMBER('General Info'!$B$40), ((SamplingData[[#This Row],[up/U Selection Probability]]) * 'General Info'!$B$40) - 1, 0)</f>
        <v>4.815710809377828</v>
      </c>
      <c r="V1432" s="100">
        <f>IF(ISNUMBER('General Info'!$B$40), (SamplingData[[#This Row],[Running (cumulative) sum]] * ('General Info'!$B$40 -'General Info'!$B$41 + 1)) + 'General Info'!$B$41 - 1, 0)</f>
        <v>44062.730932895749</v>
      </c>
      <c r="W1432" s="100" t="str">
        <f>IF(ISERROR(MATCH(SamplingData[[#This Row],[Batch by Type (p)]],SelectedPrecincts[Batch Name], 0)), "", INDEX(SelectedPrecincts[Draw], MATCH(SamplingData[[#This Row],[Batch by Type (p)]],SelectedPrecincts[Batch Name], 0)))</f>
        <v/>
      </c>
      <c r="X1432" s="102">
        <f>IF(COUNTIF(SelectedPrecincts[Batch Name],SamplingData[[#This Row],[Batch by Type (p)]]) &lt;&gt; 0, COUNTIF(SelectedPrecincts[Batch Name],SamplingData[[#This Row],[Batch by Type (p)]]), 0)</f>
        <v>0</v>
      </c>
    </row>
    <row r="1433" spans="1:24" ht="15" customHeight="1">
      <c r="A1433" s="18" t="s">
        <v>1609</v>
      </c>
      <c r="B1433" s="18">
        <v>27</v>
      </c>
      <c r="C1433" s="18">
        <v>35</v>
      </c>
      <c r="D1433" s="16">
        <v>8</v>
      </c>
      <c r="E1433" s="16">
        <v>9</v>
      </c>
      <c r="F1433" s="37">
        <v>0</v>
      </c>
      <c r="G1433" s="37">
        <v>0</v>
      </c>
      <c r="H1433" s="17">
        <v>0</v>
      </c>
      <c r="I1433" s="17">
        <v>1</v>
      </c>
      <c r="J1433" s="99">
        <f>SUM(SamplingData[[#This Row],[Losing Candidate]:[Under Votes]])</f>
        <v>80</v>
      </c>
      <c r="K1433" s="100">
        <f>IF(AND(SamplingData[[#This Row],[Total]]&lt;&gt; 0, NOT(ISBLANK(SamplingData[[#This Row],[Losing Candidate]]))),(SamplingData[[#This Row],[Total]]+SamplingData[[#This Row],[Winning Candidate]]-SamplingData[[#This Row],[Losing Candidate]])/(SamplingData[[#Totals],[Winning Candidate]]-SamplingData[[#Totals],[Losing Candidate]]), 0)</f>
        <v>5.3895149436550714E-3</v>
      </c>
      <c r="L1433" s="100">
        <f>IF(AND(SamplingData[[#This Row],[Total]]&lt;&gt; 0, NOT(ISBLANK(SamplingData[[#This Row],[Candidate 3]]))),(SamplingData[[#This Row],[Total]]+SamplingData[[#This Row],[Winning Candidate]]-SamplingData[[#This Row],[Candidate 3]])/(SamplingData[[#Totals],[Winning Candidate]]-SamplingData[[#Totals],[Candidate 3]]), 0)</f>
        <v>3.4519469626092848E-3</v>
      </c>
      <c r="M1433" s="100">
        <f>IF(AND(SamplingData[[#This Row],[Total]]&lt;&gt; 0, NOT(ISBLANK(SamplingData[[#This Row],[Candidate 4]]))),(SamplingData[[#This Row],[Total]]+SamplingData[[#This Row],[Winning Candidate]]-SamplingData[[#This Row],[Candidate 4]])/(SamplingData[[#Totals],[Winning Candidate]]-SamplingData[[#Totals],[Candidate 4]]), 0)</f>
        <v>3.0985997836826566E-3</v>
      </c>
      <c r="N1433" s="100">
        <f>IF(AND(SamplingData[[#This Row],[Total]]&lt;&gt; 0, NOT(ISBLANK(SamplingData[[#This Row],[Candidate 5]]))),(SamplingData[[#This Row],[Total]]+SamplingData[[#This Row],[Winning Candidate]]-SamplingData[[#This Row],[Candidate 5]])/(SamplingData[[#Totals],[Winning Candidate]]-SamplingData[[#Totals],[Candidate 5]]), 0)</f>
        <v>2.7973729019703233E-3</v>
      </c>
      <c r="O1433" s="100">
        <f>IF(AND(SamplingData[[#This Row],[Total]]&lt;&gt; 0, NOT(ISBLANK(SamplingData[[#This Row],[Candidate 6]]))),(SamplingData[[#This Row],[Total]]+SamplingData[[#This Row],[Winning Candidate]]-SamplingData[[#This Row],[Candidate 6]])/(SamplingData[[#Totals],[Winning Candidate]]-SamplingData[[#Totals],[Candidate 6]]), 0)</f>
        <v>2.7965565877146052E-3</v>
      </c>
      <c r="P1433" s="100">
        <f>MAX(SamplingData[[#This Row],[Error Bound (up) - Max. possible relative overstatement - Losing Candidate]:[Error Bound (up) - Max. possible relative overstatement - Candidate 6]])</f>
        <v>5.3895149436550714E-3</v>
      </c>
      <c r="Q1433" s="100">
        <f>IF(SamplingData[[#This Row],[Max Error Bound (up)]] = 0,0,SamplingData[[#This Row],[Max Error Bound (up)]]/SamplingData[[#Totals],[Max Error Bound (up)]])</f>
        <v>8.5297944850323327E-4</v>
      </c>
      <c r="R1433" s="101">
        <f>SUM($Q$5:Q1433)</f>
        <v>0.44149028877746072</v>
      </c>
      <c r="S1433" s="100" t="str">
        <f t="array" ref="S1433">IF(SamplingData[[#This Row],[up/U Selection Probability]] = 0, "Zero", TEXT(SamplingData[[#This Row],[Lower Range]], REPT("0",LEN('General Info'!$B$40))) &amp; " - " &amp; TEXT(SamplingData[[#This Row],[Upper Range]], REPT("0",LEN('General Info'!$B$40))))</f>
        <v>44064 - 44148</v>
      </c>
      <c r="T1433" s="100">
        <f>SamplingData[[#This Row],[Upper Range]]-SamplingData[[#This Row],[Span]]</f>
        <v>44063.731785875199</v>
      </c>
      <c r="U1433" s="100">
        <f>IF(ISNUMBER('General Info'!$B$40), ((SamplingData[[#This Row],[up/U Selection Probability]]) * 'General Info'!$B$40) - 1, 0)</f>
        <v>84.297091870874823</v>
      </c>
      <c r="V1433" s="100">
        <f>IF(ISNUMBER('General Info'!$B$40), (SamplingData[[#This Row],[Running (cumulative) sum]] * ('General Info'!$B$40 -'General Info'!$B$41 + 1)) + 'General Info'!$B$41 - 1, 0)</f>
        <v>44148.028877746074</v>
      </c>
      <c r="W1433" s="100" t="str">
        <f>IF(ISERROR(MATCH(SamplingData[[#This Row],[Batch by Type (p)]],SelectedPrecincts[Batch Name], 0)), "", INDEX(SelectedPrecincts[Draw], MATCH(SamplingData[[#This Row],[Batch by Type (p)]],SelectedPrecincts[Batch Name], 0)))</f>
        <v/>
      </c>
      <c r="X1433" s="102">
        <f>IF(COUNTIF(SelectedPrecincts[Batch Name],SamplingData[[#This Row],[Batch by Type (p)]]) &lt;&gt; 0, COUNTIF(SelectedPrecincts[Batch Name],SamplingData[[#This Row],[Batch by Type (p)]]), 0)</f>
        <v>0</v>
      </c>
    </row>
    <row r="1434" spans="1:24" ht="15" customHeight="1">
      <c r="A1434" s="18" t="s">
        <v>1610</v>
      </c>
      <c r="B1434" s="18">
        <v>10</v>
      </c>
      <c r="C1434" s="18">
        <v>12</v>
      </c>
      <c r="D1434" s="18">
        <v>5</v>
      </c>
      <c r="E1434" s="18">
        <v>2</v>
      </c>
      <c r="F1434" s="18">
        <v>0</v>
      </c>
      <c r="G1434" s="18">
        <v>0</v>
      </c>
      <c r="H1434" s="18">
        <v>1</v>
      </c>
      <c r="I1434" s="18">
        <v>0</v>
      </c>
      <c r="J1434" s="99">
        <f>SUM(SamplingData[[#This Row],[Losing Candidate]:[Under Votes]])</f>
        <v>30</v>
      </c>
      <c r="K1434"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434" s="100">
        <f>IF(AND(SamplingData[[#This Row],[Total]]&lt;&gt; 0, NOT(ISBLANK(SamplingData[[#This Row],[Candidate 3]]))),(SamplingData[[#This Row],[Total]]+SamplingData[[#This Row],[Winning Candidate]]-SamplingData[[#This Row],[Candidate 3]])/(SamplingData[[#Totals],[Winning Candidate]]-SamplingData[[#Totals],[Candidate 3]]), 0)</f>
        <v>1.1936639029583509E-3</v>
      </c>
      <c r="M1434" s="100">
        <f>IF(AND(SamplingData[[#This Row],[Total]]&lt;&gt; 0, NOT(ISBLANK(SamplingData[[#This Row],[Candidate 4]]))),(SamplingData[[#This Row],[Total]]+SamplingData[[#This Row],[Winning Candidate]]-SamplingData[[#This Row],[Candidate 4]])/(SamplingData[[#Totals],[Winning Candidate]]-SamplingData[[#Totals],[Candidate 4]]), 0)</f>
        <v>1.1692829372387384E-3</v>
      </c>
      <c r="N1434" s="100">
        <f>IF(AND(SamplingData[[#This Row],[Total]]&lt;&gt; 0, NOT(ISBLANK(SamplingData[[#This Row],[Candidate 5]]))),(SamplingData[[#This Row],[Total]]+SamplingData[[#This Row],[Winning Candidate]]-SamplingData[[#This Row],[Candidate 5]])/(SamplingData[[#Totals],[Winning Candidate]]-SamplingData[[#Totals],[Candidate 5]]), 0)</f>
        <v>1.0216492337630748E-3</v>
      </c>
      <c r="O1434" s="100">
        <f>IF(AND(SamplingData[[#This Row],[Total]]&lt;&gt; 0, NOT(ISBLANK(SamplingData[[#This Row],[Candidate 6]]))),(SamplingData[[#This Row],[Total]]+SamplingData[[#This Row],[Winning Candidate]]-SamplingData[[#This Row],[Candidate 6]])/(SamplingData[[#Totals],[Winning Candidate]]-SamplingData[[#Totals],[Candidate 6]]), 0)</f>
        <v>1.0213511016001168E-3</v>
      </c>
      <c r="P1434" s="100">
        <f>MAX(SamplingData[[#This Row],[Error Bound (up) - Max. possible relative overstatement - Losing Candidate]:[Error Bound (up) - Max. possible relative overstatement - Candidate 6]])</f>
        <v>1.9598236158745713E-3</v>
      </c>
      <c r="Q1434" s="100">
        <f>IF(SamplingData[[#This Row],[Max Error Bound (up)]] = 0,0,SamplingData[[#This Row],[Max Error Bound (up)]]/SamplingData[[#Totals],[Max Error Bound (up)]])</f>
        <v>3.1017434491026661E-4</v>
      </c>
      <c r="R1434" s="101">
        <f>SUM($Q$5:Q1434)</f>
        <v>0.44180046312237098</v>
      </c>
      <c r="S1434" s="100" t="str">
        <f t="array" ref="S1434">IF(SamplingData[[#This Row],[up/U Selection Probability]] = 0, "Zero", TEXT(SamplingData[[#This Row],[Lower Range]], REPT("0",LEN('General Info'!$B$40))) &amp; " - " &amp; TEXT(SamplingData[[#This Row],[Upper Range]], REPT("0",LEN('General Info'!$B$40))))</f>
        <v>44149 - 44179</v>
      </c>
      <c r="T1434" s="100">
        <f>SamplingData[[#This Row],[Upper Range]]-SamplingData[[#This Row],[Span]]</f>
        <v>44149.029187920416</v>
      </c>
      <c r="U1434" s="100">
        <f>IF(ISNUMBER('General Info'!$B$40), ((SamplingData[[#This Row],[up/U Selection Probability]]) * 'General Info'!$B$40) - 1, 0)</f>
        <v>30.017124316681752</v>
      </c>
      <c r="V1434" s="100">
        <f>IF(ISNUMBER('General Info'!$B$40), (SamplingData[[#This Row],[Running (cumulative) sum]] * ('General Info'!$B$40 -'General Info'!$B$41 + 1)) + 'General Info'!$B$41 - 1, 0)</f>
        <v>44179.0463122371</v>
      </c>
      <c r="W1434" s="100" t="str">
        <f>IF(ISERROR(MATCH(SamplingData[[#This Row],[Batch by Type (p)]],SelectedPrecincts[Batch Name], 0)), "", INDEX(SelectedPrecincts[Draw], MATCH(SamplingData[[#This Row],[Batch by Type (p)]],SelectedPrecincts[Batch Name], 0)))</f>
        <v/>
      </c>
      <c r="X1434" s="102">
        <f>IF(COUNTIF(SelectedPrecincts[Batch Name],SamplingData[[#This Row],[Batch by Type (p)]]) &lt;&gt; 0, COUNTIF(SelectedPrecincts[Batch Name],SamplingData[[#This Row],[Batch by Type (p)]]), 0)</f>
        <v>0</v>
      </c>
    </row>
    <row r="1435" spans="1:24" ht="15" customHeight="1">
      <c r="A1435" s="18" t="s">
        <v>1611</v>
      </c>
      <c r="B1435" s="18">
        <v>20</v>
      </c>
      <c r="C1435" s="18">
        <v>39</v>
      </c>
      <c r="D1435" s="16">
        <v>10</v>
      </c>
      <c r="E1435" s="16">
        <v>12</v>
      </c>
      <c r="F1435" s="37">
        <v>0</v>
      </c>
      <c r="G1435" s="37">
        <v>1</v>
      </c>
      <c r="H1435" s="17">
        <v>0</v>
      </c>
      <c r="I1435" s="17">
        <v>1</v>
      </c>
      <c r="J1435" s="99">
        <f>SUM(SamplingData[[#This Row],[Losing Candidate]:[Under Votes]])</f>
        <v>83</v>
      </c>
      <c r="K1435" s="100">
        <f>IF(AND(SamplingData[[#This Row],[Total]]&lt;&gt; 0, NOT(ISBLANK(SamplingData[[#This Row],[Losing Candidate]]))),(SamplingData[[#This Row],[Total]]+SamplingData[[#This Row],[Winning Candidate]]-SamplingData[[#This Row],[Losing Candidate]])/(SamplingData[[#Totals],[Winning Candidate]]-SamplingData[[#Totals],[Losing Candidate]]), 0)</f>
        <v>6.2469377756001962E-3</v>
      </c>
      <c r="L1435" s="100">
        <f>IF(AND(SamplingData[[#This Row],[Total]]&lt;&gt; 0, NOT(ISBLANK(SamplingData[[#This Row],[Candidate 3]]))),(SamplingData[[#This Row],[Total]]+SamplingData[[#This Row],[Winning Candidate]]-SamplingData[[#This Row],[Candidate 3]])/(SamplingData[[#Totals],[Winning Candidate]]-SamplingData[[#Totals],[Candidate 3]]), 0)</f>
        <v>3.6132528954414943E-3</v>
      </c>
      <c r="M1435" s="100">
        <f>IF(AND(SamplingData[[#This Row],[Total]]&lt;&gt; 0, NOT(ISBLANK(SamplingData[[#This Row],[Candidate 4]]))),(SamplingData[[#This Row],[Total]]+SamplingData[[#This Row],[Winning Candidate]]-SamplingData[[#This Row],[Candidate 4]])/(SamplingData[[#Totals],[Winning Candidate]]-SamplingData[[#Totals],[Candidate 4]]), 0)</f>
        <v>3.2155280774065305E-3</v>
      </c>
      <c r="N1435" s="100">
        <f>IF(AND(SamplingData[[#This Row],[Total]]&lt;&gt; 0, NOT(ISBLANK(SamplingData[[#This Row],[Candidate 5]]))),(SamplingData[[#This Row],[Total]]+SamplingData[[#This Row],[Winning Candidate]]-SamplingData[[#This Row],[Candidate 5]])/(SamplingData[[#Totals],[Winning Candidate]]-SamplingData[[#Totals],[Candidate 5]]), 0)</f>
        <v>2.9676477742641692E-3</v>
      </c>
      <c r="O1435" s="100">
        <f>IF(AND(SamplingData[[#This Row],[Total]]&lt;&gt; 0, NOT(ISBLANK(SamplingData[[#This Row],[Candidate 6]]))),(SamplingData[[#This Row],[Total]]+SamplingData[[#This Row],[Winning Candidate]]-SamplingData[[#This Row],[Candidate 6]])/(SamplingData[[#Totals],[Winning Candidate]]-SamplingData[[#Totals],[Candidate 6]]), 0)</f>
        <v>2.9424638879431936E-3</v>
      </c>
      <c r="P1435" s="100">
        <f>MAX(SamplingData[[#This Row],[Error Bound (up) - Max. possible relative overstatement - Losing Candidate]:[Error Bound (up) - Max. possible relative overstatement - Candidate 6]])</f>
        <v>6.2469377756001962E-3</v>
      </c>
      <c r="Q1435" s="100">
        <f>IF(SamplingData[[#This Row],[Max Error Bound (up)]] = 0,0,SamplingData[[#This Row],[Max Error Bound (up)]]/SamplingData[[#Totals],[Max Error Bound (up)]])</f>
        <v>9.8868072440147481E-4</v>
      </c>
      <c r="R1435" s="101">
        <f>SUM($Q$5:Q1435)</f>
        <v>0.44278914384677243</v>
      </c>
      <c r="S1435" s="100" t="str">
        <f t="array" ref="S1435">IF(SamplingData[[#This Row],[up/U Selection Probability]] = 0, "Zero", TEXT(SamplingData[[#This Row],[Lower Range]], REPT("0",LEN('General Info'!$B$40))) &amp; " - " &amp; TEXT(SamplingData[[#This Row],[Upper Range]], REPT("0",LEN('General Info'!$B$40))))</f>
        <v>44180 - 44278</v>
      </c>
      <c r="T1435" s="100">
        <f>SamplingData[[#This Row],[Upper Range]]-SamplingData[[#This Row],[Span]]</f>
        <v>44180.047300917817</v>
      </c>
      <c r="U1435" s="100">
        <f>IF(ISNUMBER('General Info'!$B$40), ((SamplingData[[#This Row],[up/U Selection Probability]]) * 'General Info'!$B$40) - 1, 0)</f>
        <v>97.867083759423082</v>
      </c>
      <c r="V1435" s="100">
        <f>IF(ISNUMBER('General Info'!$B$40), (SamplingData[[#This Row],[Running (cumulative) sum]] * ('General Info'!$B$40 -'General Info'!$B$41 + 1)) + 'General Info'!$B$41 - 1, 0)</f>
        <v>44277.914384677242</v>
      </c>
      <c r="W1435" s="100" t="str">
        <f>IF(ISERROR(MATCH(SamplingData[[#This Row],[Batch by Type (p)]],SelectedPrecincts[Batch Name], 0)), "", INDEX(SelectedPrecincts[Draw], MATCH(SamplingData[[#This Row],[Batch by Type (p)]],SelectedPrecincts[Batch Name], 0)))</f>
        <v/>
      </c>
      <c r="X1435" s="102">
        <f>IF(COUNTIF(SelectedPrecincts[Batch Name],SamplingData[[#This Row],[Batch by Type (p)]]) &lt;&gt; 0, COUNTIF(SelectedPrecincts[Batch Name],SamplingData[[#This Row],[Batch by Type (p)]]), 0)</f>
        <v>0</v>
      </c>
    </row>
    <row r="1436" spans="1:24" ht="15" customHeight="1">
      <c r="A1436" s="18" t="s">
        <v>1612</v>
      </c>
      <c r="B1436" s="18">
        <v>16</v>
      </c>
      <c r="C1436" s="18">
        <v>11</v>
      </c>
      <c r="D1436" s="18">
        <v>3</v>
      </c>
      <c r="E1436" s="18">
        <v>1</v>
      </c>
      <c r="F1436" s="18">
        <v>1</v>
      </c>
      <c r="G1436" s="18">
        <v>1</v>
      </c>
      <c r="H1436" s="18">
        <v>0</v>
      </c>
      <c r="I1436" s="18">
        <v>0</v>
      </c>
      <c r="J1436" s="99">
        <f>SUM(SamplingData[[#This Row],[Losing Candidate]:[Under Votes]])</f>
        <v>33</v>
      </c>
      <c r="K1436"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436" s="100">
        <f>IF(AND(SamplingData[[#This Row],[Total]]&lt;&gt; 0, NOT(ISBLANK(SamplingData[[#This Row],[Candidate 3]]))),(SamplingData[[#This Row],[Total]]+SamplingData[[#This Row],[Winning Candidate]]-SamplingData[[#This Row],[Candidate 3]])/(SamplingData[[#Totals],[Winning Candidate]]-SamplingData[[#Totals],[Candidate 3]]), 0)</f>
        <v>1.3227086492241184E-3</v>
      </c>
      <c r="M1436" s="100">
        <f>IF(AND(SamplingData[[#This Row],[Total]]&lt;&gt; 0, NOT(ISBLANK(SamplingData[[#This Row],[Candidate 4]]))),(SamplingData[[#This Row],[Total]]+SamplingData[[#This Row],[Winning Candidate]]-SamplingData[[#This Row],[Candidate 4]])/(SamplingData[[#Totals],[Winning Candidate]]-SamplingData[[#Totals],[Candidate 4]]), 0)</f>
        <v>1.2569791575316436E-3</v>
      </c>
      <c r="N1436" s="100">
        <f>IF(AND(SamplingData[[#This Row],[Total]]&lt;&gt; 0, NOT(ISBLANK(SamplingData[[#This Row],[Candidate 5]]))),(SamplingData[[#This Row],[Total]]+SamplingData[[#This Row],[Winning Candidate]]-SamplingData[[#This Row],[Candidate 5]])/(SamplingData[[#Totals],[Winning Candidate]]-SamplingData[[#Totals],[Candidate 5]]), 0)</f>
        <v>1.0459742155193383E-3</v>
      </c>
      <c r="O1436" s="100">
        <f>IF(AND(SamplingData[[#This Row],[Total]]&lt;&gt; 0, NOT(ISBLANK(SamplingData[[#This Row],[Candidate 6]]))),(SamplingData[[#This Row],[Total]]+SamplingData[[#This Row],[Winning Candidate]]-SamplingData[[#This Row],[Candidate 6]])/(SamplingData[[#Totals],[Winning Candidate]]-SamplingData[[#Totals],[Candidate 6]]), 0)</f>
        <v>1.0456689849715481E-3</v>
      </c>
      <c r="P1436" s="100">
        <f>MAX(SamplingData[[#This Row],[Error Bound (up) - Max. possible relative overstatement - Losing Candidate]:[Error Bound (up) - Max. possible relative overstatement - Candidate 6]])</f>
        <v>1.7148456638902498E-3</v>
      </c>
      <c r="Q1436" s="100">
        <f>IF(SamplingData[[#This Row],[Max Error Bound (up)]] = 0,0,SamplingData[[#This Row],[Max Error Bound (up)]]/SamplingData[[#Totals],[Max Error Bound (up)]])</f>
        <v>2.714025517964833E-4</v>
      </c>
      <c r="R1436" s="101">
        <f>SUM($Q$5:Q1436)</f>
        <v>0.4430605463985689</v>
      </c>
      <c r="S1436" s="100" t="str">
        <f t="array" ref="S1436">IF(SamplingData[[#This Row],[up/U Selection Probability]] = 0, "Zero", TEXT(SamplingData[[#This Row],[Lower Range]], REPT("0",LEN('General Info'!$B$40))) &amp; " - " &amp; TEXT(SamplingData[[#This Row],[Upper Range]], REPT("0",LEN('General Info'!$B$40))))</f>
        <v>44279 - 44305</v>
      </c>
      <c r="T1436" s="100">
        <f>SamplingData[[#This Row],[Upper Range]]-SamplingData[[#This Row],[Span]]</f>
        <v>44278.914656079796</v>
      </c>
      <c r="U1436" s="100">
        <f>IF(ISNUMBER('General Info'!$B$40), ((SamplingData[[#This Row],[up/U Selection Probability]]) * 'General Info'!$B$40) - 1, 0)</f>
        <v>26.139983777096536</v>
      </c>
      <c r="V1436" s="100">
        <f>IF(ISNUMBER('General Info'!$B$40), (SamplingData[[#This Row],[Running (cumulative) sum]] * ('General Info'!$B$40 -'General Info'!$B$41 + 1)) + 'General Info'!$B$41 - 1, 0)</f>
        <v>44305.054639856891</v>
      </c>
      <c r="W1436" s="100" t="str">
        <f>IF(ISERROR(MATCH(SamplingData[[#This Row],[Batch by Type (p)]],SelectedPrecincts[Batch Name], 0)), "", INDEX(SelectedPrecincts[Draw], MATCH(SamplingData[[#This Row],[Batch by Type (p)]],SelectedPrecincts[Batch Name], 0)))</f>
        <v/>
      </c>
      <c r="X1436" s="102">
        <f>IF(COUNTIF(SelectedPrecincts[Batch Name],SamplingData[[#This Row],[Batch by Type (p)]]) &lt;&gt; 0, COUNTIF(SelectedPrecincts[Batch Name],SamplingData[[#This Row],[Batch by Type (p)]]), 0)</f>
        <v>0</v>
      </c>
    </row>
    <row r="1437" spans="1:24" ht="15" customHeight="1">
      <c r="A1437" s="18" t="s">
        <v>1613</v>
      </c>
      <c r="B1437" s="18">
        <v>12</v>
      </c>
      <c r="C1437" s="18">
        <v>45</v>
      </c>
      <c r="D1437" s="16">
        <v>16</v>
      </c>
      <c r="E1437" s="16">
        <v>7</v>
      </c>
      <c r="F1437" s="37">
        <v>1</v>
      </c>
      <c r="G1437" s="37">
        <v>0</v>
      </c>
      <c r="H1437" s="17">
        <v>0</v>
      </c>
      <c r="I1437" s="17">
        <v>5</v>
      </c>
      <c r="J1437" s="99">
        <f>SUM(SamplingData[[#This Row],[Losing Candidate]:[Under Votes]])</f>
        <v>86</v>
      </c>
      <c r="K1437" s="100">
        <f>IF(AND(SamplingData[[#This Row],[Total]]&lt;&gt; 0, NOT(ISBLANK(SamplingData[[#This Row],[Losing Candidate]]))),(SamplingData[[#This Row],[Total]]+SamplingData[[#This Row],[Winning Candidate]]-SamplingData[[#This Row],[Losing Candidate]])/(SamplingData[[#Totals],[Winning Candidate]]-SamplingData[[#Totals],[Losing Candidate]]), 0)</f>
        <v>7.2880940715335622E-3</v>
      </c>
      <c r="L1437" s="100">
        <f>IF(AND(SamplingData[[#This Row],[Total]]&lt;&gt; 0, NOT(ISBLANK(SamplingData[[#This Row],[Candidate 3]]))),(SamplingData[[#This Row],[Total]]+SamplingData[[#This Row],[Winning Candidate]]-SamplingData[[#This Row],[Candidate 3]])/(SamplingData[[#Totals],[Winning Candidate]]-SamplingData[[#Totals],[Candidate 3]]), 0)</f>
        <v>3.7100364551408199E-3</v>
      </c>
      <c r="M1437" s="100">
        <f>IF(AND(SamplingData[[#This Row],[Total]]&lt;&gt; 0, NOT(ISBLANK(SamplingData[[#This Row],[Candidate 4]]))),(SamplingData[[#This Row],[Total]]+SamplingData[[#This Row],[Winning Candidate]]-SamplingData[[#This Row],[Candidate 4]])/(SamplingData[[#Totals],[Winning Candidate]]-SamplingData[[#Totals],[Candidate 4]]), 0)</f>
        <v>3.624777105440089E-3</v>
      </c>
      <c r="N1437" s="100">
        <f>IF(AND(SamplingData[[#This Row],[Total]]&lt;&gt; 0, NOT(ISBLANK(SamplingData[[#This Row],[Candidate 5]]))),(SamplingData[[#This Row],[Total]]+SamplingData[[#This Row],[Winning Candidate]]-SamplingData[[#This Row],[Candidate 5]])/(SamplingData[[#Totals],[Winning Candidate]]-SamplingData[[#Totals],[Candidate 5]]), 0)</f>
        <v>3.1622476283142786E-3</v>
      </c>
      <c r="O1437" s="100">
        <f>IF(AND(SamplingData[[#This Row],[Total]]&lt;&gt; 0, NOT(ISBLANK(SamplingData[[#This Row],[Candidate 6]]))),(SamplingData[[#This Row],[Total]]+SamplingData[[#This Row],[Winning Candidate]]-SamplingData[[#This Row],[Candidate 6]])/(SamplingData[[#Totals],[Winning Candidate]]-SamplingData[[#Totals],[Candidate 6]]), 0)</f>
        <v>3.185642721657507E-3</v>
      </c>
      <c r="P1437" s="100">
        <f>MAX(SamplingData[[#This Row],[Error Bound (up) - Max. possible relative overstatement - Losing Candidate]:[Error Bound (up) - Max. possible relative overstatement - Candidate 6]])</f>
        <v>7.2880940715335622E-3</v>
      </c>
      <c r="Q1437" s="100">
        <f>IF(SamplingData[[#This Row],[Max Error Bound (up)]] = 0,0,SamplingData[[#This Row],[Max Error Bound (up)]]/SamplingData[[#Totals],[Max Error Bound (up)]])</f>
        <v>1.153460845135054E-3</v>
      </c>
      <c r="R1437" s="101">
        <f>SUM($Q$5:Q1437)</f>
        <v>0.44421400724370397</v>
      </c>
      <c r="S1437" s="100" t="str">
        <f t="array" ref="S1437">IF(SamplingData[[#This Row],[up/U Selection Probability]] = 0, "Zero", TEXT(SamplingData[[#This Row],[Lower Range]], REPT("0",LEN('General Info'!$B$40))) &amp; " - " &amp; TEXT(SamplingData[[#This Row],[Upper Range]], REPT("0",LEN('General Info'!$B$40))))</f>
        <v>44306 - 44420</v>
      </c>
      <c r="T1437" s="100">
        <f>SamplingData[[#This Row],[Upper Range]]-SamplingData[[#This Row],[Span]]</f>
        <v>44306.055793317733</v>
      </c>
      <c r="U1437" s="100">
        <f>IF(ISNUMBER('General Info'!$B$40), ((SamplingData[[#This Row],[up/U Selection Probability]]) * 'General Info'!$B$40) - 1, 0)</f>
        <v>114.34493105266026</v>
      </c>
      <c r="V1437" s="100">
        <f>IF(ISNUMBER('General Info'!$B$40), (SamplingData[[#This Row],[Running (cumulative) sum]] * ('General Info'!$B$40 -'General Info'!$B$41 + 1)) + 'General Info'!$B$41 - 1, 0)</f>
        <v>44420.400724370396</v>
      </c>
      <c r="W1437" s="100" t="str">
        <f>IF(ISERROR(MATCH(SamplingData[[#This Row],[Batch by Type (p)]],SelectedPrecincts[Batch Name], 0)), "", INDEX(SelectedPrecincts[Draw], MATCH(SamplingData[[#This Row],[Batch by Type (p)]],SelectedPrecincts[Batch Name], 0)))</f>
        <v/>
      </c>
      <c r="X1437" s="102">
        <f>IF(COUNTIF(SelectedPrecincts[Batch Name],SamplingData[[#This Row],[Batch by Type (p)]]) &lt;&gt; 0, COUNTIF(SelectedPrecincts[Batch Name],SamplingData[[#This Row],[Batch by Type (p)]]), 0)</f>
        <v>0</v>
      </c>
    </row>
    <row r="1438" spans="1:24" ht="15" customHeight="1">
      <c r="A1438" s="18" t="s">
        <v>1614</v>
      </c>
      <c r="B1438" s="18">
        <v>13</v>
      </c>
      <c r="C1438" s="18">
        <v>23</v>
      </c>
      <c r="D1438" s="18">
        <v>2</v>
      </c>
      <c r="E1438" s="18">
        <v>0</v>
      </c>
      <c r="F1438" s="18">
        <v>0</v>
      </c>
      <c r="G1438" s="18">
        <v>0</v>
      </c>
      <c r="H1438" s="18">
        <v>0</v>
      </c>
      <c r="I1438" s="18">
        <v>0</v>
      </c>
      <c r="J1438" s="99">
        <f>SUM(SamplingData[[#This Row],[Losing Candidate]:[Under Votes]])</f>
        <v>38</v>
      </c>
      <c r="K1438" s="100">
        <f>IF(AND(SamplingData[[#This Row],[Total]]&lt;&gt; 0, NOT(ISBLANK(SamplingData[[#This Row],[Losing Candidate]]))),(SamplingData[[#This Row],[Total]]+SamplingData[[#This Row],[Winning Candidate]]-SamplingData[[#This Row],[Losing Candidate]])/(SamplingData[[#Totals],[Winning Candidate]]-SamplingData[[#Totals],[Losing Candidate]]), 0)</f>
        <v>2.9397354238118569E-3</v>
      </c>
      <c r="L1438" s="100">
        <f>IF(AND(SamplingData[[#This Row],[Total]]&lt;&gt; 0, NOT(ISBLANK(SamplingData[[#This Row],[Candidate 3]]))),(SamplingData[[#This Row],[Total]]+SamplingData[[#This Row],[Winning Candidate]]-SamplingData[[#This Row],[Candidate 3]])/(SamplingData[[#Totals],[Winning Candidate]]-SamplingData[[#Totals],[Candidate 3]]), 0)</f>
        <v>1.9034100074200729E-3</v>
      </c>
      <c r="M1438" s="100">
        <f>IF(AND(SamplingData[[#This Row],[Total]]&lt;&gt; 0, NOT(ISBLANK(SamplingData[[#This Row],[Candidate 4]]))),(SamplingData[[#This Row],[Total]]+SamplingData[[#This Row],[Winning Candidate]]-SamplingData[[#This Row],[Candidate 4]])/(SamplingData[[#Totals],[Winning Candidate]]-SamplingData[[#Totals],[Candidate 4]]), 0)</f>
        <v>1.783156479289076E-3</v>
      </c>
      <c r="N1438" s="100">
        <f>IF(AND(SamplingData[[#This Row],[Total]]&lt;&gt; 0, NOT(ISBLANK(SamplingData[[#This Row],[Candidate 5]]))),(SamplingData[[#This Row],[Total]]+SamplingData[[#This Row],[Winning Candidate]]-SamplingData[[#This Row],[Candidate 5]])/(SamplingData[[#Totals],[Winning Candidate]]-SamplingData[[#Totals],[Candidate 5]]), 0)</f>
        <v>1.4838238871320846E-3</v>
      </c>
      <c r="O1438" s="100">
        <f>IF(AND(SamplingData[[#This Row],[Total]]&lt;&gt; 0, NOT(ISBLANK(SamplingData[[#This Row],[Candidate 6]]))),(SamplingData[[#This Row],[Total]]+SamplingData[[#This Row],[Winning Candidate]]-SamplingData[[#This Row],[Candidate 6]])/(SamplingData[[#Totals],[Winning Candidate]]-SamplingData[[#Totals],[Candidate 6]]), 0)</f>
        <v>1.4833908856573125E-3</v>
      </c>
      <c r="P1438" s="100">
        <f>MAX(SamplingData[[#This Row],[Error Bound (up) - Max. possible relative overstatement - Losing Candidate]:[Error Bound (up) - Max. possible relative overstatement - Candidate 6]])</f>
        <v>2.9397354238118569E-3</v>
      </c>
      <c r="Q1438" s="100">
        <f>IF(SamplingData[[#This Row],[Max Error Bound (up)]] = 0,0,SamplingData[[#This Row],[Max Error Bound (up)]]/SamplingData[[#Totals],[Max Error Bound (up)]])</f>
        <v>4.6526151736539989E-4</v>
      </c>
      <c r="R1438" s="101">
        <f>SUM($Q$5:Q1438)</f>
        <v>0.44467926876106939</v>
      </c>
      <c r="S1438" s="100" t="str">
        <f t="array" ref="S1438">IF(SamplingData[[#This Row],[up/U Selection Probability]] = 0, "Zero", TEXT(SamplingData[[#This Row],[Lower Range]], REPT("0",LEN('General Info'!$B$40))) &amp; " - " &amp; TEXT(SamplingData[[#This Row],[Upper Range]], REPT("0",LEN('General Info'!$B$40))))</f>
        <v>44421 - 44467</v>
      </c>
      <c r="T1438" s="100">
        <f>SamplingData[[#This Row],[Upper Range]]-SamplingData[[#This Row],[Span]]</f>
        <v>44421.401189631921</v>
      </c>
      <c r="U1438" s="100">
        <f>IF(ISNUMBER('General Info'!$B$40), ((SamplingData[[#This Row],[up/U Selection Probability]]) * 'General Info'!$B$40) - 1, 0)</f>
        <v>45.525686475022624</v>
      </c>
      <c r="V1438" s="100">
        <f>IF(ISNUMBER('General Info'!$B$40), (SamplingData[[#This Row],[Running (cumulative) sum]] * ('General Info'!$B$40 -'General Info'!$B$41 + 1)) + 'General Info'!$B$41 - 1, 0)</f>
        <v>44466.92687610694</v>
      </c>
      <c r="W1438" s="100" t="str">
        <f>IF(ISERROR(MATCH(SamplingData[[#This Row],[Batch by Type (p)]],SelectedPrecincts[Batch Name], 0)), "", INDEX(SelectedPrecincts[Draw], MATCH(SamplingData[[#This Row],[Batch by Type (p)]],SelectedPrecincts[Batch Name], 0)))</f>
        <v/>
      </c>
      <c r="X1438" s="102">
        <f>IF(COUNTIF(SelectedPrecincts[Batch Name],SamplingData[[#This Row],[Batch by Type (p)]]) &lt;&gt; 0, COUNTIF(SelectedPrecincts[Batch Name],SamplingData[[#This Row],[Batch by Type (p)]]), 0)</f>
        <v>0</v>
      </c>
    </row>
    <row r="1439" spans="1:24" ht="15" customHeight="1">
      <c r="A1439" s="18" t="s">
        <v>1615</v>
      </c>
      <c r="B1439" s="18">
        <v>21</v>
      </c>
      <c r="C1439" s="18">
        <v>40</v>
      </c>
      <c r="D1439" s="16">
        <v>11</v>
      </c>
      <c r="E1439" s="16">
        <v>2</v>
      </c>
      <c r="F1439" s="37">
        <v>1</v>
      </c>
      <c r="G1439" s="37">
        <v>0</v>
      </c>
      <c r="H1439" s="17">
        <v>0</v>
      </c>
      <c r="I1439" s="17">
        <v>2</v>
      </c>
      <c r="J1439" s="99">
        <f>SUM(SamplingData[[#This Row],[Losing Candidate]:[Under Votes]])</f>
        <v>77</v>
      </c>
      <c r="K1439" s="100">
        <f>IF(AND(SamplingData[[#This Row],[Total]]&lt;&gt; 0, NOT(ISBLANK(SamplingData[[#This Row],[Losing Candidate]]))),(SamplingData[[#This Row],[Total]]+SamplingData[[#This Row],[Winning Candidate]]-SamplingData[[#This Row],[Losing Candidate]])/(SamplingData[[#Totals],[Winning Candidate]]-SamplingData[[#Totals],[Losing Candidate]]), 0)</f>
        <v>5.8794708476237138E-3</v>
      </c>
      <c r="L1439" s="100">
        <f>IF(AND(SamplingData[[#This Row],[Total]]&lt;&gt; 0, NOT(ISBLANK(SamplingData[[#This Row],[Candidate 3]]))),(SamplingData[[#This Row],[Total]]+SamplingData[[#This Row],[Winning Candidate]]-SamplingData[[#This Row],[Candidate 3]])/(SamplingData[[#Totals],[Winning Candidate]]-SamplingData[[#Totals],[Candidate 3]]), 0)</f>
        <v>3.4196857760428428E-3</v>
      </c>
      <c r="M1439" s="100">
        <f>IF(AND(SamplingData[[#This Row],[Total]]&lt;&gt; 0, NOT(ISBLANK(SamplingData[[#This Row],[Candidate 4]]))),(SamplingData[[#This Row],[Total]]+SamplingData[[#This Row],[Winning Candidate]]-SamplingData[[#This Row],[Candidate 4]])/(SamplingData[[#Totals],[Winning Candidate]]-SamplingData[[#Totals],[Candidate 4]]), 0)</f>
        <v>3.3616884445613728E-3</v>
      </c>
      <c r="N1439" s="100">
        <f>IF(AND(SamplingData[[#This Row],[Total]]&lt;&gt; 0, NOT(ISBLANK(SamplingData[[#This Row],[Candidate 5]]))),(SamplingData[[#This Row],[Total]]+SamplingData[[#This Row],[Winning Candidate]]-SamplingData[[#This Row],[Candidate 5]])/(SamplingData[[#Totals],[Winning Candidate]]-SamplingData[[#Totals],[Candidate 5]]), 0)</f>
        <v>2.8216978837265873E-3</v>
      </c>
      <c r="O1439" s="100">
        <f>IF(AND(SamplingData[[#This Row],[Total]]&lt;&gt; 0, NOT(ISBLANK(SamplingData[[#This Row],[Candidate 6]]))),(SamplingData[[#This Row],[Total]]+SamplingData[[#This Row],[Winning Candidate]]-SamplingData[[#This Row],[Candidate 6]])/(SamplingData[[#Totals],[Winning Candidate]]-SamplingData[[#Totals],[Candidate 6]]), 0)</f>
        <v>2.845192354457468E-3</v>
      </c>
      <c r="P1439" s="100">
        <f>MAX(SamplingData[[#This Row],[Error Bound (up) - Max. possible relative overstatement - Losing Candidate]:[Error Bound (up) - Max. possible relative overstatement - Candidate 6]])</f>
        <v>5.8794708476237138E-3</v>
      </c>
      <c r="Q1439" s="100">
        <f>IF(SamplingData[[#This Row],[Max Error Bound (up)]] = 0,0,SamplingData[[#This Row],[Max Error Bound (up)]]/SamplingData[[#Totals],[Max Error Bound (up)]])</f>
        <v>9.3052303473079977E-4</v>
      </c>
      <c r="R1439" s="101">
        <f>SUM($Q$5:Q1439)</f>
        <v>0.44560979179580018</v>
      </c>
      <c r="S1439" s="100" t="str">
        <f t="array" ref="S1439">IF(SamplingData[[#This Row],[up/U Selection Probability]] = 0, "Zero", TEXT(SamplingData[[#This Row],[Lower Range]], REPT("0",LEN('General Info'!$B$40))) &amp; " - " &amp; TEXT(SamplingData[[#This Row],[Upper Range]], REPT("0",LEN('General Info'!$B$40))))</f>
        <v>44468 - 44560</v>
      </c>
      <c r="T1439" s="100">
        <f>SamplingData[[#This Row],[Upper Range]]-SamplingData[[#This Row],[Span]]</f>
        <v>44467.927806629974</v>
      </c>
      <c r="U1439" s="100">
        <f>IF(ISNUMBER('General Info'!$B$40), ((SamplingData[[#This Row],[up/U Selection Probability]]) * 'General Info'!$B$40) - 1, 0)</f>
        <v>92.051372950045248</v>
      </c>
      <c r="V1439" s="100">
        <f>IF(ISNUMBER('General Info'!$B$40), (SamplingData[[#This Row],[Running (cumulative) sum]] * ('General Info'!$B$40 -'General Info'!$B$41 + 1)) + 'General Info'!$B$41 - 1, 0)</f>
        <v>44559.979179580019</v>
      </c>
      <c r="W1439" s="100" t="str">
        <f>IF(ISERROR(MATCH(SamplingData[[#This Row],[Batch by Type (p)]],SelectedPrecincts[Batch Name], 0)), "", INDEX(SelectedPrecincts[Draw], MATCH(SamplingData[[#This Row],[Batch by Type (p)]],SelectedPrecincts[Batch Name], 0)))</f>
        <v/>
      </c>
      <c r="X1439" s="102">
        <f>IF(COUNTIF(SelectedPrecincts[Batch Name],SamplingData[[#This Row],[Batch by Type (p)]]) &lt;&gt; 0, COUNTIF(SelectedPrecincts[Batch Name],SamplingData[[#This Row],[Batch by Type (p)]]), 0)</f>
        <v>0</v>
      </c>
    </row>
    <row r="1440" spans="1:24" ht="15" customHeight="1">
      <c r="A1440" s="18" t="s">
        <v>1616</v>
      </c>
      <c r="B1440" s="18">
        <v>10</v>
      </c>
      <c r="C1440" s="18">
        <v>29</v>
      </c>
      <c r="D1440" s="18">
        <v>10</v>
      </c>
      <c r="E1440" s="18">
        <v>4</v>
      </c>
      <c r="F1440" s="18">
        <v>1</v>
      </c>
      <c r="G1440" s="18">
        <v>0</v>
      </c>
      <c r="H1440" s="18">
        <v>1</v>
      </c>
      <c r="I1440" s="18">
        <v>1</v>
      </c>
      <c r="J1440" s="99">
        <f>SUM(SamplingData[[#This Row],[Losing Candidate]:[Under Votes]])</f>
        <v>56</v>
      </c>
      <c r="K1440" s="100">
        <f>IF(AND(SamplingData[[#This Row],[Total]]&lt;&gt; 0, NOT(ISBLANK(SamplingData[[#This Row],[Losing Candidate]]))),(SamplingData[[#This Row],[Total]]+SamplingData[[#This Row],[Winning Candidate]]-SamplingData[[#This Row],[Losing Candidate]])/(SamplingData[[#Totals],[Winning Candidate]]-SamplingData[[#Totals],[Losing Candidate]]), 0)</f>
        <v>4.5933365997060261E-3</v>
      </c>
      <c r="L1440" s="100">
        <f>IF(AND(SamplingData[[#This Row],[Total]]&lt;&gt; 0, NOT(ISBLANK(SamplingData[[#This Row],[Candidate 3]]))),(SamplingData[[#This Row],[Total]]+SamplingData[[#This Row],[Winning Candidate]]-SamplingData[[#This Row],[Candidate 3]])/(SamplingData[[#Totals],[Winning Candidate]]-SamplingData[[#Totals],[Candidate 3]]), 0)</f>
        <v>2.4195889924831437E-3</v>
      </c>
      <c r="M1440" s="100">
        <f>IF(AND(SamplingData[[#This Row],[Total]]&lt;&gt; 0, NOT(ISBLANK(SamplingData[[#This Row],[Candidate 4]]))),(SamplingData[[#This Row],[Total]]+SamplingData[[#This Row],[Winning Candidate]]-SamplingData[[#This Row],[Candidate 4]])/(SamplingData[[#Totals],[Winning Candidate]]-SamplingData[[#Totals],[Candidate 4]]), 0)</f>
        <v>2.3677979479084454E-3</v>
      </c>
      <c r="N1440" s="100">
        <f>IF(AND(SamplingData[[#This Row],[Total]]&lt;&gt; 0, NOT(ISBLANK(SamplingData[[#This Row],[Candidate 5]]))),(SamplingData[[#This Row],[Total]]+SamplingData[[#This Row],[Winning Candidate]]-SamplingData[[#This Row],[Candidate 5]])/(SamplingData[[#Totals],[Winning Candidate]]-SamplingData[[#Totals],[Candidate 5]]), 0)</f>
        <v>2.0432984675261496E-3</v>
      </c>
      <c r="O1440" s="100">
        <f>IF(AND(SamplingData[[#This Row],[Total]]&lt;&gt; 0, NOT(ISBLANK(SamplingData[[#This Row],[Candidate 6]]))),(SamplingData[[#This Row],[Total]]+SamplingData[[#This Row],[Winning Candidate]]-SamplingData[[#This Row],[Candidate 6]])/(SamplingData[[#Totals],[Winning Candidate]]-SamplingData[[#Totals],[Candidate 6]]), 0)</f>
        <v>2.0670200865716649E-3</v>
      </c>
      <c r="P1440" s="100">
        <f>MAX(SamplingData[[#This Row],[Error Bound (up) - Max. possible relative overstatement - Losing Candidate]:[Error Bound (up) - Max. possible relative overstatement - Candidate 6]])</f>
        <v>4.5933365997060261E-3</v>
      </c>
      <c r="Q1440" s="100">
        <f>IF(SamplingData[[#This Row],[Max Error Bound (up)]] = 0,0,SamplingData[[#This Row],[Max Error Bound (up)]]/SamplingData[[#Totals],[Max Error Bound (up)]])</f>
        <v>7.2697112088343735E-4</v>
      </c>
      <c r="R1440" s="101">
        <f>SUM($Q$5:Q1440)</f>
        <v>0.44633676291668362</v>
      </c>
      <c r="S1440" s="100" t="str">
        <f t="array" ref="S1440">IF(SamplingData[[#This Row],[up/U Selection Probability]] = 0, "Zero", TEXT(SamplingData[[#This Row],[Lower Range]], REPT("0",LEN('General Info'!$B$40))) &amp; " - " &amp; TEXT(SamplingData[[#This Row],[Upper Range]], REPT("0",LEN('General Info'!$B$40))))</f>
        <v>44561 - 44633</v>
      </c>
      <c r="T1440" s="100">
        <f>SamplingData[[#This Row],[Upper Range]]-SamplingData[[#This Row],[Span]]</f>
        <v>44560.979906551132</v>
      </c>
      <c r="U1440" s="100">
        <f>IF(ISNUMBER('General Info'!$B$40), ((SamplingData[[#This Row],[up/U Selection Probability]]) * 'General Info'!$B$40) - 1, 0)</f>
        <v>71.696385117222846</v>
      </c>
      <c r="V1440" s="100">
        <f>IF(ISNUMBER('General Info'!$B$40), (SamplingData[[#This Row],[Running (cumulative) sum]] * ('General Info'!$B$40 -'General Info'!$B$41 + 1)) + 'General Info'!$B$41 - 1, 0)</f>
        <v>44632.676291668358</v>
      </c>
      <c r="W1440" s="100" t="str">
        <f>IF(ISERROR(MATCH(SamplingData[[#This Row],[Batch by Type (p)]],SelectedPrecincts[Batch Name], 0)), "", INDEX(SelectedPrecincts[Draw], MATCH(SamplingData[[#This Row],[Batch by Type (p)]],SelectedPrecincts[Batch Name], 0)))</f>
        <v/>
      </c>
      <c r="X1440" s="102">
        <f>IF(COUNTIF(SelectedPrecincts[Batch Name],SamplingData[[#This Row],[Batch by Type (p)]]) &lt;&gt; 0, COUNTIF(SelectedPrecincts[Batch Name],SamplingData[[#This Row],[Batch by Type (p)]]), 0)</f>
        <v>0</v>
      </c>
    </row>
    <row r="1441" spans="1:24" ht="15" customHeight="1">
      <c r="A1441" s="18" t="s">
        <v>1617</v>
      </c>
      <c r="B1441" s="18">
        <v>15</v>
      </c>
      <c r="C1441" s="18">
        <v>63</v>
      </c>
      <c r="D1441" s="16">
        <v>19</v>
      </c>
      <c r="E1441" s="16">
        <v>8</v>
      </c>
      <c r="F1441" s="37">
        <v>0</v>
      </c>
      <c r="G1441" s="37">
        <v>1</v>
      </c>
      <c r="H1441" s="17">
        <v>1</v>
      </c>
      <c r="I1441" s="17">
        <v>5</v>
      </c>
      <c r="J1441" s="99">
        <f>SUM(SamplingData[[#This Row],[Losing Candidate]:[Under Votes]])</f>
        <v>112</v>
      </c>
      <c r="K1441"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9.7991180793728563E-3</v>
      </c>
      <c r="L1441" s="100">
        <f>IF(AND(SamplingData[[#This Row],[Total]]&lt;&gt; 0, NOT(ISBLANK(SamplingData[[#This Row],[Candidate 3]]))),(SamplingData[[#This Row],[Total]]+SamplingData[[#This Row],[Winning Candidate]]-SamplingData[[#This Row],[Candidate 3]])/(SamplingData[[#Totals],[Winning Candidate]]-SamplingData[[#Totals],[Candidate 3]]), 0)</f>
        <v>5.0327451043649385E-3</v>
      </c>
      <c r="M1441" s="100">
        <f>IF(AND(SamplingData[[#This Row],[Total]]&lt;&gt; 0, NOT(ISBLANK(SamplingData[[#This Row],[Candidate 4]]))),(SamplingData[[#This Row],[Total]]+SamplingData[[#This Row],[Winning Candidate]]-SamplingData[[#This Row],[Candidate 4]])/(SamplingData[[#Totals],[Winning Candidate]]-SamplingData[[#Totals],[Candidate 4]]), 0)</f>
        <v>4.8817562629717322E-3</v>
      </c>
      <c r="N1441" s="100">
        <f>IF(AND(SamplingData[[#This Row],[Total]]&lt;&gt; 0, NOT(ISBLANK(SamplingData[[#This Row],[Candidate 5]]))),(SamplingData[[#This Row],[Total]]+SamplingData[[#This Row],[Winning Candidate]]-SamplingData[[#This Row],[Candidate 5]])/(SamplingData[[#Totals],[Winning Candidate]]-SamplingData[[#Totals],[Candidate 5]]), 0)</f>
        <v>4.2568718073461445E-3</v>
      </c>
      <c r="O1441" s="100">
        <f>IF(AND(SamplingData[[#This Row],[Total]]&lt;&gt; 0, NOT(ISBLANK(SamplingData[[#This Row],[Candidate 6]]))),(SamplingData[[#This Row],[Total]]+SamplingData[[#This Row],[Winning Candidate]]-SamplingData[[#This Row],[Candidate 6]])/(SamplingData[[#Totals],[Winning Candidate]]-SamplingData[[#Totals],[Candidate 6]]), 0)</f>
        <v>4.2313117066290554E-3</v>
      </c>
      <c r="P1441" s="100">
        <f>MAX(SamplingData[[#This Row],[Error Bound (up) - Max. possible relative overstatement - Losing Candidate]:[Error Bound (up) - Max. possible relative overstatement - Candidate 6]])</f>
        <v>9.7991180793728563E-3</v>
      </c>
      <c r="Q1441" s="100">
        <f>IF(SamplingData[[#This Row],[Max Error Bound (up)]] = 0,0,SamplingData[[#This Row],[Max Error Bound (up)]]/SamplingData[[#Totals],[Max Error Bound (up)]])</f>
        <v>1.5508717245513331E-3</v>
      </c>
      <c r="R1441" s="101">
        <f>SUM($Q$5:Q1441)</f>
        <v>0.44788763464123493</v>
      </c>
      <c r="S1441" s="100" t="str">
        <f t="array" ref="S1441">IF(SamplingData[[#This Row],[up/U Selection Probability]] = 0, "Zero", TEXT(SamplingData[[#This Row],[Lower Range]], REPT("0",LEN('General Info'!$B$40))) &amp; " - " &amp; TEXT(SamplingData[[#This Row],[Upper Range]], REPT("0",LEN('General Info'!$B$40))))</f>
        <v>44634 - 44788</v>
      </c>
      <c r="T1441" s="100">
        <f>SamplingData[[#This Row],[Upper Range]]-SamplingData[[#This Row],[Span]]</f>
        <v>44633.677842540084</v>
      </c>
      <c r="U1441" s="100">
        <f>IF(ISNUMBER('General Info'!$B$40), ((SamplingData[[#This Row],[up/U Selection Probability]]) * 'General Info'!$B$40) - 1, 0)</f>
        <v>154.08562158340877</v>
      </c>
      <c r="V1441" s="100">
        <f>IF(ISNUMBER('General Info'!$B$40), (SamplingData[[#This Row],[Running (cumulative) sum]] * ('General Info'!$B$40 -'General Info'!$B$41 + 1)) + 'General Info'!$B$41 - 1, 0)</f>
        <v>44787.763464123491</v>
      </c>
      <c r="W1441" s="100" t="str">
        <f>IF(ISERROR(MATCH(SamplingData[[#This Row],[Batch by Type (p)]],SelectedPrecincts[Batch Name], 0)), "", INDEX(SelectedPrecincts[Draw], MATCH(SamplingData[[#This Row],[Batch by Type (p)]],SelectedPrecincts[Batch Name], 0)))</f>
        <v/>
      </c>
      <c r="X1441" s="102">
        <f>IF(COUNTIF(SelectedPrecincts[Batch Name],SamplingData[[#This Row],[Batch by Type (p)]]) &lt;&gt; 0, COUNTIF(SelectedPrecincts[Batch Name],SamplingData[[#This Row],[Batch by Type (p)]]), 0)</f>
        <v>0</v>
      </c>
    </row>
    <row r="1442" spans="1:24" ht="15" customHeight="1">
      <c r="A1442" s="18" t="s">
        <v>1618</v>
      </c>
      <c r="B1442" s="18">
        <v>6</v>
      </c>
      <c r="C1442" s="18">
        <v>21</v>
      </c>
      <c r="D1442" s="18">
        <v>7</v>
      </c>
      <c r="E1442" s="18">
        <v>0</v>
      </c>
      <c r="F1442" s="18">
        <v>1</v>
      </c>
      <c r="G1442" s="18">
        <v>0</v>
      </c>
      <c r="H1442" s="18">
        <v>0</v>
      </c>
      <c r="I1442" s="18">
        <v>2</v>
      </c>
      <c r="J1442" s="99">
        <f>SUM(SamplingData[[#This Row],[Losing Candidate]:[Under Votes]])</f>
        <v>37</v>
      </c>
      <c r="K1442"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1442" s="100">
        <f>IF(AND(SamplingData[[#This Row],[Total]]&lt;&gt; 0, NOT(ISBLANK(SamplingData[[#This Row],[Candidate 3]]))),(SamplingData[[#This Row],[Total]]+SamplingData[[#This Row],[Winning Candidate]]-SamplingData[[#This Row],[Candidate 3]])/(SamplingData[[#Totals],[Winning Candidate]]-SamplingData[[#Totals],[Candidate 3]]), 0)</f>
        <v>1.6453205148885377E-3</v>
      </c>
      <c r="M1442" s="100">
        <f>IF(AND(SamplingData[[#This Row],[Total]]&lt;&gt; 0, NOT(ISBLANK(SamplingData[[#This Row],[Candidate 4]]))),(SamplingData[[#This Row],[Total]]+SamplingData[[#This Row],[Winning Candidate]]-SamplingData[[#This Row],[Candidate 4]])/(SamplingData[[#Totals],[Winning Candidate]]-SamplingData[[#Totals],[Candidate 4]]), 0)</f>
        <v>1.6954602589961706E-3</v>
      </c>
      <c r="N1442" s="100">
        <f>IF(AND(SamplingData[[#This Row],[Total]]&lt;&gt; 0, NOT(ISBLANK(SamplingData[[#This Row],[Candidate 5]]))),(SamplingData[[#This Row],[Total]]+SamplingData[[#This Row],[Winning Candidate]]-SamplingData[[#This Row],[Candidate 5]])/(SamplingData[[#Totals],[Winning Candidate]]-SamplingData[[#Totals],[Candidate 5]]), 0)</f>
        <v>1.3865239601070299E-3</v>
      </c>
      <c r="O1442" s="100">
        <f>IF(AND(SamplingData[[#This Row],[Total]]&lt;&gt; 0, NOT(ISBLANK(SamplingData[[#This Row],[Candidate 6]]))),(SamplingData[[#This Row],[Total]]+SamplingData[[#This Row],[Winning Candidate]]-SamplingData[[#This Row],[Candidate 6]])/(SamplingData[[#Totals],[Winning Candidate]]-SamplingData[[#Totals],[Candidate 6]]), 0)</f>
        <v>1.4104372355430183E-3</v>
      </c>
      <c r="P1442" s="100">
        <f>MAX(SamplingData[[#This Row],[Error Bound (up) - Max. possible relative overstatement - Losing Candidate]:[Error Bound (up) - Max. possible relative overstatement - Candidate 6]])</f>
        <v>3.1847133757961785E-3</v>
      </c>
      <c r="Q1442" s="100">
        <f>IF(SamplingData[[#This Row],[Max Error Bound (up)]] = 0,0,SamplingData[[#This Row],[Max Error Bound (up)]]/SamplingData[[#Totals],[Max Error Bound (up)]])</f>
        <v>5.0403331047918325E-4</v>
      </c>
      <c r="R1442" s="101">
        <f>SUM($Q$5:Q1442)</f>
        <v>0.44839166795171409</v>
      </c>
      <c r="S1442" s="100" t="str">
        <f t="array" ref="S1442">IF(SamplingData[[#This Row],[up/U Selection Probability]] = 0, "Zero", TEXT(SamplingData[[#This Row],[Lower Range]], REPT("0",LEN('General Info'!$B$40))) &amp; " - " &amp; TEXT(SamplingData[[#This Row],[Upper Range]], REPT("0",LEN('General Info'!$B$40))))</f>
        <v>44789 - 44838</v>
      </c>
      <c r="T1442" s="100">
        <f>SamplingData[[#This Row],[Upper Range]]-SamplingData[[#This Row],[Span]]</f>
        <v>44788.763968156803</v>
      </c>
      <c r="U1442" s="100">
        <f>IF(ISNUMBER('General Info'!$B$40), ((SamplingData[[#This Row],[up/U Selection Probability]]) * 'General Info'!$B$40) - 1, 0)</f>
        <v>49.402827014607844</v>
      </c>
      <c r="V1442" s="100">
        <f>IF(ISNUMBER('General Info'!$B$40), (SamplingData[[#This Row],[Running (cumulative) sum]] * ('General Info'!$B$40 -'General Info'!$B$41 + 1)) + 'General Info'!$B$41 - 1, 0)</f>
        <v>44838.166795171412</v>
      </c>
      <c r="W1442" s="100" t="str">
        <f>IF(ISERROR(MATCH(SamplingData[[#This Row],[Batch by Type (p)]],SelectedPrecincts[Batch Name], 0)), "", INDEX(SelectedPrecincts[Draw], MATCH(SamplingData[[#This Row],[Batch by Type (p)]],SelectedPrecincts[Batch Name], 0)))</f>
        <v/>
      </c>
      <c r="X1442" s="102">
        <f>IF(COUNTIF(SelectedPrecincts[Batch Name],SamplingData[[#This Row],[Batch by Type (p)]]) &lt;&gt; 0, COUNTIF(SelectedPrecincts[Batch Name],SamplingData[[#This Row],[Batch by Type (p)]]), 0)</f>
        <v>0</v>
      </c>
    </row>
    <row r="1443" spans="1:24" ht="15" customHeight="1">
      <c r="A1443" s="18" t="s">
        <v>1619</v>
      </c>
      <c r="B1443" s="18">
        <v>26</v>
      </c>
      <c r="C1443" s="18">
        <v>51</v>
      </c>
      <c r="D1443" s="16">
        <v>12</v>
      </c>
      <c r="E1443" s="16">
        <v>9</v>
      </c>
      <c r="F1443" s="37">
        <v>0</v>
      </c>
      <c r="G1443" s="37">
        <v>0</v>
      </c>
      <c r="H1443" s="17">
        <v>0</v>
      </c>
      <c r="I1443" s="17">
        <v>2</v>
      </c>
      <c r="J1443" s="99">
        <f>SUM(SamplingData[[#This Row],[Losing Candidate]:[Under Votes]])</f>
        <v>100</v>
      </c>
      <c r="K1443" s="100">
        <f>IF(AND(SamplingData[[#This Row],[Total]]&lt;&gt; 0, NOT(ISBLANK(SamplingData[[#This Row],[Losing Candidate]]))),(SamplingData[[#This Row],[Total]]+SamplingData[[#This Row],[Winning Candidate]]-SamplingData[[#This Row],[Losing Candidate]])/(SamplingData[[#Totals],[Winning Candidate]]-SamplingData[[#Totals],[Losing Candidate]]), 0)</f>
        <v>7.6555609995100438E-3</v>
      </c>
      <c r="L1443" s="100">
        <f>IF(AND(SamplingData[[#This Row],[Total]]&lt;&gt; 0, NOT(ISBLANK(SamplingData[[#This Row],[Candidate 3]]))),(SamplingData[[#This Row],[Total]]+SamplingData[[#This Row],[Winning Candidate]]-SamplingData[[#This Row],[Candidate 3]])/(SamplingData[[#Totals],[Winning Candidate]]-SamplingData[[#Totals],[Candidate 3]]), 0)</f>
        <v>4.4843049327354259E-3</v>
      </c>
      <c r="M1443" s="100">
        <f>IF(AND(SamplingData[[#This Row],[Total]]&lt;&gt; 0, NOT(ISBLANK(SamplingData[[#This Row],[Candidate 4]]))),(SamplingData[[#This Row],[Total]]+SamplingData[[#This Row],[Winning Candidate]]-SamplingData[[#This Row],[Candidate 4]])/(SamplingData[[#Totals],[Winning Candidate]]-SamplingData[[#Totals],[Candidate 4]]), 0)</f>
        <v>4.1509544271975214E-3</v>
      </c>
      <c r="N1443" s="100">
        <f>IF(AND(SamplingData[[#This Row],[Total]]&lt;&gt; 0, NOT(ISBLANK(SamplingData[[#This Row],[Candidate 5]]))),(SamplingData[[#This Row],[Total]]+SamplingData[[#This Row],[Winning Candidate]]-SamplingData[[#This Row],[Candidate 5]])/(SamplingData[[#Totals],[Winning Candidate]]-SamplingData[[#Totals],[Candidate 5]]), 0)</f>
        <v>3.6730722451958162E-3</v>
      </c>
      <c r="O1443" s="100">
        <f>IF(AND(SamplingData[[#This Row],[Total]]&lt;&gt; 0, NOT(ISBLANK(SamplingData[[#This Row],[Candidate 6]]))),(SamplingData[[#This Row],[Total]]+SamplingData[[#This Row],[Winning Candidate]]-SamplingData[[#This Row],[Candidate 6]])/(SamplingData[[#Totals],[Winning Candidate]]-SamplingData[[#Totals],[Candidate 6]]), 0)</f>
        <v>3.6720003890861339E-3</v>
      </c>
      <c r="P1443" s="100">
        <f>MAX(SamplingData[[#This Row],[Error Bound (up) - Max. possible relative overstatement - Losing Candidate]:[Error Bound (up) - Max. possible relative overstatement - Candidate 6]])</f>
        <v>7.6555609995100438E-3</v>
      </c>
      <c r="Q1443" s="100">
        <f>IF(SamplingData[[#This Row],[Max Error Bound (up)]] = 0,0,SamplingData[[#This Row],[Max Error Bound (up)]]/SamplingData[[#Totals],[Max Error Bound (up)]])</f>
        <v>1.2116185348057288E-3</v>
      </c>
      <c r="R1443" s="101">
        <f>SUM($Q$5:Q1443)</f>
        <v>0.44960328648651982</v>
      </c>
      <c r="S1443" s="100" t="str">
        <f t="array" ref="S1443">IF(SamplingData[[#This Row],[up/U Selection Probability]] = 0, "Zero", TEXT(SamplingData[[#This Row],[Lower Range]], REPT("0",LEN('General Info'!$B$40))) &amp; " - " &amp; TEXT(SamplingData[[#This Row],[Upper Range]], REPT("0",LEN('General Info'!$B$40))))</f>
        <v>44839 - 44959</v>
      </c>
      <c r="T1443" s="100">
        <f>SamplingData[[#This Row],[Upper Range]]-SamplingData[[#This Row],[Span]]</f>
        <v>44839.168006789943</v>
      </c>
      <c r="U1443" s="100">
        <f>IF(ISNUMBER('General Info'!$B$40), ((SamplingData[[#This Row],[up/U Selection Probability]]) * 'General Info'!$B$40) - 1, 0)</f>
        <v>120.16064186203808</v>
      </c>
      <c r="V1443" s="100">
        <f>IF(ISNUMBER('General Info'!$B$40), (SamplingData[[#This Row],[Running (cumulative) sum]] * ('General Info'!$B$40 -'General Info'!$B$41 + 1)) + 'General Info'!$B$41 - 1, 0)</f>
        <v>44959.328648651979</v>
      </c>
      <c r="W1443" s="100" t="str">
        <f>IF(ISERROR(MATCH(SamplingData[[#This Row],[Batch by Type (p)]],SelectedPrecincts[Batch Name], 0)), "", INDEX(SelectedPrecincts[Draw], MATCH(SamplingData[[#This Row],[Batch by Type (p)]],SelectedPrecincts[Batch Name], 0)))</f>
        <v/>
      </c>
      <c r="X1443" s="102">
        <f>IF(COUNTIF(SelectedPrecincts[Batch Name],SamplingData[[#This Row],[Batch by Type (p)]]) &lt;&gt; 0, COUNTIF(SelectedPrecincts[Batch Name],SamplingData[[#This Row],[Batch by Type (p)]]), 0)</f>
        <v>0</v>
      </c>
    </row>
    <row r="1444" spans="1:24" ht="15" customHeight="1">
      <c r="A1444" s="18" t="s">
        <v>1620</v>
      </c>
      <c r="B1444" s="18">
        <v>13</v>
      </c>
      <c r="C1444" s="18">
        <v>25</v>
      </c>
      <c r="D1444" s="18">
        <v>4</v>
      </c>
      <c r="E1444" s="18">
        <v>1</v>
      </c>
      <c r="F1444" s="18">
        <v>0</v>
      </c>
      <c r="G1444" s="18">
        <v>0</v>
      </c>
      <c r="H1444" s="18">
        <v>0</v>
      </c>
      <c r="I1444" s="18">
        <v>2</v>
      </c>
      <c r="J1444" s="99">
        <f>SUM(SamplingData[[#This Row],[Losing Candidate]:[Under Votes]])</f>
        <v>45</v>
      </c>
      <c r="K1444" s="100">
        <f>IF(AND(SamplingData[[#This Row],[Total]]&lt;&gt; 0, NOT(ISBLANK(SamplingData[[#This Row],[Losing Candidate]]))),(SamplingData[[#This Row],[Total]]+SamplingData[[#This Row],[Winning Candidate]]-SamplingData[[#This Row],[Losing Candidate]])/(SamplingData[[#Totals],[Winning Candidate]]-SamplingData[[#Totals],[Losing Candidate]]), 0)</f>
        <v>3.4909358157765801E-3</v>
      </c>
      <c r="L1444" s="100">
        <f>IF(AND(SamplingData[[#This Row],[Total]]&lt;&gt; 0, NOT(ISBLANK(SamplingData[[#This Row],[Candidate 3]]))),(SamplingData[[#This Row],[Total]]+SamplingData[[#This Row],[Winning Candidate]]-SamplingData[[#This Row],[Candidate 3]])/(SamplingData[[#Totals],[Winning Candidate]]-SamplingData[[#Totals],[Candidate 3]]), 0)</f>
        <v>2.1292383133851662E-3</v>
      </c>
      <c r="M1444" s="100">
        <f>IF(AND(SamplingData[[#This Row],[Total]]&lt;&gt; 0, NOT(ISBLANK(SamplingData[[#This Row],[Candidate 4]]))),(SamplingData[[#This Row],[Total]]+SamplingData[[#This Row],[Winning Candidate]]-SamplingData[[#This Row],[Candidate 4]])/(SamplingData[[#Totals],[Winning Candidate]]-SamplingData[[#Totals],[Candidate 4]]), 0)</f>
        <v>2.0170130667368238E-3</v>
      </c>
      <c r="N1444" s="100">
        <f>IF(AND(SamplingData[[#This Row],[Total]]&lt;&gt; 0, NOT(ISBLANK(SamplingData[[#This Row],[Candidate 5]]))),(SamplingData[[#This Row],[Total]]+SamplingData[[#This Row],[Winning Candidate]]-SamplingData[[#This Row],[Candidate 5]])/(SamplingData[[#Totals],[Winning Candidate]]-SamplingData[[#Totals],[Candidate 5]]), 0)</f>
        <v>1.7027487229384578E-3</v>
      </c>
      <c r="O1444" s="100">
        <f>IF(AND(SamplingData[[#This Row],[Total]]&lt;&gt; 0, NOT(ISBLANK(SamplingData[[#This Row],[Candidate 6]]))),(SamplingData[[#This Row],[Total]]+SamplingData[[#This Row],[Winning Candidate]]-SamplingData[[#This Row],[Candidate 6]])/(SamplingData[[#Totals],[Winning Candidate]]-SamplingData[[#Totals],[Candidate 6]]), 0)</f>
        <v>1.7022518360001945E-3</v>
      </c>
      <c r="P1444" s="100">
        <f>MAX(SamplingData[[#This Row],[Error Bound (up) - Max. possible relative overstatement - Losing Candidate]:[Error Bound (up) - Max. possible relative overstatement - Candidate 6]])</f>
        <v>3.4909358157765801E-3</v>
      </c>
      <c r="Q1444" s="100">
        <f>IF(SamplingData[[#This Row],[Max Error Bound (up)]] = 0,0,SamplingData[[#This Row],[Max Error Bound (up)]]/SamplingData[[#Totals],[Max Error Bound (up)]])</f>
        <v>5.5249805187141245E-4</v>
      </c>
      <c r="R1444" s="101">
        <f>SUM($Q$5:Q1444)</f>
        <v>0.45015578453839122</v>
      </c>
      <c r="S1444" s="100" t="str">
        <f t="array" ref="S1444">IF(SamplingData[[#This Row],[up/U Selection Probability]] = 0, "Zero", TEXT(SamplingData[[#This Row],[Lower Range]], REPT("0",LEN('General Info'!$B$40))) &amp; " - " &amp; TEXT(SamplingData[[#This Row],[Upper Range]], REPT("0",LEN('General Info'!$B$40))))</f>
        <v>44960 - 45015</v>
      </c>
      <c r="T1444" s="100">
        <f>SamplingData[[#This Row],[Upper Range]]-SamplingData[[#This Row],[Span]]</f>
        <v>44960.329201150031</v>
      </c>
      <c r="U1444" s="100">
        <f>IF(ISNUMBER('General Info'!$B$40), ((SamplingData[[#This Row],[up/U Selection Probability]]) * 'General Info'!$B$40) - 1, 0)</f>
        <v>54.249252689089374</v>
      </c>
      <c r="V1444" s="100">
        <f>IF(ISNUMBER('General Info'!$B$40), (SamplingData[[#This Row],[Running (cumulative) sum]] * ('General Info'!$B$40 -'General Info'!$B$41 + 1)) + 'General Info'!$B$41 - 1, 0)</f>
        <v>45014.578453839124</v>
      </c>
      <c r="W1444" s="100" t="str">
        <f>IF(ISERROR(MATCH(SamplingData[[#This Row],[Batch by Type (p)]],SelectedPrecincts[Batch Name], 0)), "", INDEX(SelectedPrecincts[Draw], MATCH(SamplingData[[#This Row],[Batch by Type (p)]],SelectedPrecincts[Batch Name], 0)))</f>
        <v/>
      </c>
      <c r="X1444" s="102">
        <f>IF(COUNTIF(SelectedPrecincts[Batch Name],SamplingData[[#This Row],[Batch by Type (p)]]) &lt;&gt; 0, COUNTIF(SelectedPrecincts[Batch Name],SamplingData[[#This Row],[Batch by Type (p)]]), 0)</f>
        <v>0</v>
      </c>
    </row>
    <row r="1445" spans="1:24" ht="15" customHeight="1">
      <c r="A1445" s="18" t="s">
        <v>1621</v>
      </c>
      <c r="B1445" s="18">
        <v>24</v>
      </c>
      <c r="C1445" s="18">
        <v>74</v>
      </c>
      <c r="D1445" s="16">
        <v>20</v>
      </c>
      <c r="E1445" s="16">
        <v>5</v>
      </c>
      <c r="F1445" s="37">
        <v>1</v>
      </c>
      <c r="G1445" s="37">
        <v>1</v>
      </c>
      <c r="H1445" s="17">
        <v>0</v>
      </c>
      <c r="I1445" s="17">
        <v>0</v>
      </c>
      <c r="J1445" s="99">
        <f>SUM(SamplingData[[#This Row],[Losing Candidate]:[Under Votes]])</f>
        <v>125</v>
      </c>
      <c r="K1445" s="100">
        <f>IF(AND(SamplingData[[#This Row],[Total]]&lt;&gt; 0, NOT(ISBLANK(SamplingData[[#This Row],[Losing Candidate]]))),(SamplingData[[#This Row],[Total]]+SamplingData[[#This Row],[Winning Candidate]]-SamplingData[[#This Row],[Losing Candidate]])/(SamplingData[[#Totals],[Winning Candidate]]-SamplingData[[#Totals],[Losing Candidate]]), 0)</f>
        <v>1.0717785399314061E-2</v>
      </c>
      <c r="L1445" s="100">
        <f>IF(AND(SamplingData[[#This Row],[Total]]&lt;&gt; 0, NOT(ISBLANK(SamplingData[[#This Row],[Candidate 3]]))),(SamplingData[[#This Row],[Total]]+SamplingData[[#This Row],[Winning Candidate]]-SamplingData[[#This Row],[Candidate 3]])/(SamplingData[[#Totals],[Winning Candidate]]-SamplingData[[#Totals],[Candidate 3]]), 0)</f>
        <v>5.774752395393103E-3</v>
      </c>
      <c r="M1445" s="100">
        <f>IF(AND(SamplingData[[#This Row],[Total]]&lt;&gt; 0, NOT(ISBLANK(SamplingData[[#This Row],[Candidate 4]]))),(SamplingData[[#This Row],[Total]]+SamplingData[[#This Row],[Winning Candidate]]-SamplingData[[#This Row],[Candidate 4]])/(SamplingData[[#Totals],[Winning Candidate]]-SamplingData[[#Totals],[Candidate 4]]), 0)</f>
        <v>5.6710222456078808E-3</v>
      </c>
      <c r="N1445" s="100">
        <f>IF(AND(SamplingData[[#This Row],[Total]]&lt;&gt; 0, NOT(ISBLANK(SamplingData[[#This Row],[Candidate 5]]))),(SamplingData[[#This Row],[Total]]+SamplingData[[#This Row],[Winning Candidate]]-SamplingData[[#This Row],[Candidate 5]])/(SamplingData[[#Totals],[Winning Candidate]]-SamplingData[[#Totals],[Candidate 5]]), 0)</f>
        <v>4.8163463877402089E-3</v>
      </c>
      <c r="O1445" s="100">
        <f>IF(AND(SamplingData[[#This Row],[Total]]&lt;&gt; 0, NOT(ISBLANK(SamplingData[[#This Row],[Candidate 6]]))),(SamplingData[[#This Row],[Total]]+SamplingData[[#This Row],[Winning Candidate]]-SamplingData[[#This Row],[Candidate 6]])/(SamplingData[[#Totals],[Winning Candidate]]-SamplingData[[#Totals],[Candidate 6]]), 0)</f>
        <v>4.8149409075434078E-3</v>
      </c>
      <c r="P1445" s="100">
        <f>MAX(SamplingData[[#This Row],[Error Bound (up) - Max. possible relative overstatement - Losing Candidate]:[Error Bound (up) - Max. possible relative overstatement - Candidate 6]])</f>
        <v>1.0717785399314061E-2</v>
      </c>
      <c r="Q1445" s="100">
        <f>IF(SamplingData[[#This Row],[Max Error Bound (up)]] = 0,0,SamplingData[[#This Row],[Max Error Bound (up)]]/SamplingData[[#Totals],[Max Error Bound (up)]])</f>
        <v>1.6962659487280206E-3</v>
      </c>
      <c r="R1445" s="101">
        <f>SUM($Q$5:Q1445)</f>
        <v>0.45185205048711924</v>
      </c>
      <c r="S1445" s="100" t="str">
        <f t="array" ref="S1445">IF(SamplingData[[#This Row],[up/U Selection Probability]] = 0, "Zero", TEXT(SamplingData[[#This Row],[Lower Range]], REPT("0",LEN('General Info'!$B$40))) &amp; " - " &amp; TEXT(SamplingData[[#This Row],[Upper Range]], REPT("0",LEN('General Info'!$B$40))))</f>
        <v>45016 - 45184</v>
      </c>
      <c r="T1445" s="100">
        <f>SamplingData[[#This Row],[Upper Range]]-SamplingData[[#This Row],[Span]]</f>
        <v>45015.580150105074</v>
      </c>
      <c r="U1445" s="100">
        <f>IF(ISNUMBER('General Info'!$B$40), ((SamplingData[[#This Row],[up/U Selection Probability]]) * 'General Info'!$B$40) - 1, 0)</f>
        <v>168.62489860685332</v>
      </c>
      <c r="V1445" s="100">
        <f>IF(ISNUMBER('General Info'!$B$40), (SamplingData[[#This Row],[Running (cumulative) sum]] * ('General Info'!$B$40 -'General Info'!$B$41 + 1)) + 'General Info'!$B$41 - 1, 0)</f>
        <v>45184.205048711927</v>
      </c>
      <c r="W1445" s="100" t="str">
        <f>IF(ISERROR(MATCH(SamplingData[[#This Row],[Batch by Type (p)]],SelectedPrecincts[Batch Name], 0)), "", INDEX(SelectedPrecincts[Draw], MATCH(SamplingData[[#This Row],[Batch by Type (p)]],SelectedPrecincts[Batch Name], 0)))</f>
        <v/>
      </c>
      <c r="X1445" s="102">
        <f>IF(COUNTIF(SelectedPrecincts[Batch Name],SamplingData[[#This Row],[Batch by Type (p)]]) &lt;&gt; 0, COUNTIF(SelectedPrecincts[Batch Name],SamplingData[[#This Row],[Batch by Type (p)]]), 0)</f>
        <v>0</v>
      </c>
    </row>
    <row r="1446" spans="1:24" ht="15" customHeight="1">
      <c r="A1446" s="18" t="s">
        <v>1622</v>
      </c>
      <c r="B1446" s="18">
        <v>11</v>
      </c>
      <c r="C1446" s="18">
        <v>18</v>
      </c>
      <c r="D1446" s="18">
        <v>4</v>
      </c>
      <c r="E1446" s="18">
        <v>2</v>
      </c>
      <c r="F1446" s="18">
        <v>0</v>
      </c>
      <c r="G1446" s="18">
        <v>0</v>
      </c>
      <c r="H1446" s="18">
        <v>0</v>
      </c>
      <c r="I1446" s="18">
        <v>1</v>
      </c>
      <c r="J1446" s="99">
        <f>SUM(SamplingData[[#This Row],[Losing Candidate]:[Under Votes]])</f>
        <v>36</v>
      </c>
      <c r="K1446"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1446" s="100">
        <f>IF(AND(SamplingData[[#This Row],[Total]]&lt;&gt; 0, NOT(ISBLANK(SamplingData[[#This Row],[Candidate 3]]))),(SamplingData[[#This Row],[Total]]+SamplingData[[#This Row],[Winning Candidate]]-SamplingData[[#This Row],[Candidate 3]])/(SamplingData[[#Totals],[Winning Candidate]]-SamplingData[[#Totals],[Candidate 3]]), 0)</f>
        <v>1.6130593283220957E-3</v>
      </c>
      <c r="M1446" s="100">
        <f>IF(AND(SamplingData[[#This Row],[Total]]&lt;&gt; 0, NOT(ISBLANK(SamplingData[[#This Row],[Candidate 4]]))),(SamplingData[[#This Row],[Total]]+SamplingData[[#This Row],[Winning Candidate]]-SamplingData[[#This Row],[Candidate 4]])/(SamplingData[[#Totals],[Winning Candidate]]-SamplingData[[#Totals],[Candidate 4]]), 0)</f>
        <v>1.5200678184103598E-3</v>
      </c>
      <c r="N1446" s="100">
        <f>IF(AND(SamplingData[[#This Row],[Total]]&lt;&gt; 0, NOT(ISBLANK(SamplingData[[#This Row],[Candidate 5]]))),(SamplingData[[#This Row],[Total]]+SamplingData[[#This Row],[Winning Candidate]]-SamplingData[[#This Row],[Candidate 5]])/(SamplingData[[#Totals],[Winning Candidate]]-SamplingData[[#Totals],[Candidate 5]]), 0)</f>
        <v>1.3135490148382389E-3</v>
      </c>
      <c r="O1446" s="100">
        <f>IF(AND(SamplingData[[#This Row],[Total]]&lt;&gt; 0, NOT(ISBLANK(SamplingData[[#This Row],[Candidate 6]]))),(SamplingData[[#This Row],[Total]]+SamplingData[[#This Row],[Winning Candidate]]-SamplingData[[#This Row],[Candidate 6]])/(SamplingData[[#Totals],[Winning Candidate]]-SamplingData[[#Totals],[Candidate 6]]), 0)</f>
        <v>1.313165702057293E-3</v>
      </c>
      <c r="P1446" s="100">
        <f>MAX(SamplingData[[#This Row],[Error Bound (up) - Max. possible relative overstatement - Losing Candidate]:[Error Bound (up) - Max. possible relative overstatement - Candidate 6]])</f>
        <v>2.6335129838314553E-3</v>
      </c>
      <c r="Q1446" s="100">
        <f>IF(SamplingData[[#This Row],[Max Error Bound (up)]] = 0,0,SamplingData[[#This Row],[Max Error Bound (up)]]/SamplingData[[#Totals],[Max Error Bound (up)]])</f>
        <v>4.167967759731708E-4</v>
      </c>
      <c r="R1446" s="101">
        <f>SUM($Q$5:Q1446)</f>
        <v>0.45226884726309241</v>
      </c>
      <c r="S1446" s="100" t="str">
        <f t="array" ref="S1446">IF(SamplingData[[#This Row],[up/U Selection Probability]] = 0, "Zero", TEXT(SamplingData[[#This Row],[Lower Range]], REPT("0",LEN('General Info'!$B$40))) &amp; " - " &amp; TEXT(SamplingData[[#This Row],[Upper Range]], REPT("0",LEN('General Info'!$B$40))))</f>
        <v>45185 - 45226</v>
      </c>
      <c r="T1446" s="100">
        <f>SamplingData[[#This Row],[Upper Range]]-SamplingData[[#This Row],[Span]]</f>
        <v>45185.205465508698</v>
      </c>
      <c r="U1446" s="100">
        <f>IF(ISNUMBER('General Info'!$B$40), ((SamplingData[[#This Row],[up/U Selection Probability]]) * 'General Info'!$B$40) - 1, 0)</f>
        <v>40.679260800541108</v>
      </c>
      <c r="V1446" s="100">
        <f>IF(ISNUMBER('General Info'!$B$40), (SamplingData[[#This Row],[Running (cumulative) sum]] * ('General Info'!$B$40 -'General Info'!$B$41 + 1)) + 'General Info'!$B$41 - 1, 0)</f>
        <v>45225.884726309239</v>
      </c>
      <c r="W1446" s="100" t="str">
        <f>IF(ISERROR(MATCH(SamplingData[[#This Row],[Batch by Type (p)]],SelectedPrecincts[Batch Name], 0)), "", INDEX(SelectedPrecincts[Draw], MATCH(SamplingData[[#This Row],[Batch by Type (p)]],SelectedPrecincts[Batch Name], 0)))</f>
        <v/>
      </c>
      <c r="X1446" s="102">
        <f>IF(COUNTIF(SelectedPrecincts[Batch Name],SamplingData[[#This Row],[Batch by Type (p)]]) &lt;&gt; 0, COUNTIF(SelectedPrecincts[Batch Name],SamplingData[[#This Row],[Batch by Type (p)]]), 0)</f>
        <v>0</v>
      </c>
    </row>
    <row r="1447" spans="1:24" ht="15" customHeight="1">
      <c r="A1447" s="18" t="s">
        <v>1623</v>
      </c>
      <c r="B1447" s="18">
        <v>17</v>
      </c>
      <c r="C1447" s="18">
        <v>79</v>
      </c>
      <c r="D1447" s="16">
        <v>15</v>
      </c>
      <c r="E1447" s="16">
        <v>10</v>
      </c>
      <c r="F1447" s="37">
        <v>0</v>
      </c>
      <c r="G1447" s="37">
        <v>0</v>
      </c>
      <c r="H1447" s="17">
        <v>0</v>
      </c>
      <c r="I1447" s="17">
        <v>0</v>
      </c>
      <c r="J1447" s="99">
        <f>SUM(SamplingData[[#This Row],[Losing Candidate]:[Under Votes]])</f>
        <v>121</v>
      </c>
      <c r="K1447" s="100">
        <f>IF(AND(SamplingData[[#This Row],[Total]]&lt;&gt; 0, NOT(ISBLANK(SamplingData[[#This Row],[Losing Candidate]]))),(SamplingData[[#This Row],[Total]]+SamplingData[[#This Row],[Winning Candidate]]-SamplingData[[#This Row],[Losing Candidate]])/(SamplingData[[#Totals],[Winning Candidate]]-SamplingData[[#Totals],[Losing Candidate]]), 0)</f>
        <v>1.1207741303282705E-2</v>
      </c>
      <c r="L1447" s="100">
        <f>IF(AND(SamplingData[[#This Row],[Total]]&lt;&gt; 0, NOT(ISBLANK(SamplingData[[#This Row],[Candidate 3]]))),(SamplingData[[#This Row],[Total]]+SamplingData[[#This Row],[Winning Candidate]]-SamplingData[[#This Row],[Candidate 3]])/(SamplingData[[#Totals],[Winning Candidate]]-SamplingData[[#Totals],[Candidate 3]]), 0)</f>
        <v>5.9683195147917541E-3</v>
      </c>
      <c r="M1447" s="100">
        <f>IF(AND(SamplingData[[#This Row],[Total]]&lt;&gt; 0, NOT(ISBLANK(SamplingData[[#This Row],[Candidate 4]]))),(SamplingData[[#This Row],[Total]]+SamplingData[[#This Row],[Winning Candidate]]-SamplingData[[#This Row],[Candidate 4]])/(SamplingData[[#Totals],[Winning Candidate]]-SamplingData[[#Totals],[Candidate 4]]), 0)</f>
        <v>5.5540939518840069E-3</v>
      </c>
      <c r="N1447" s="100">
        <f>IF(AND(SamplingData[[#This Row],[Total]]&lt;&gt; 0, NOT(ISBLANK(SamplingData[[#This Row],[Candidate 5]]))),(SamplingData[[#This Row],[Total]]+SamplingData[[#This Row],[Winning Candidate]]-SamplingData[[#This Row],[Candidate 5]])/(SamplingData[[#Totals],[Winning Candidate]]-SamplingData[[#Totals],[Candidate 5]]), 0)</f>
        <v>4.8649963512527369E-3</v>
      </c>
      <c r="O1447" s="100">
        <f>IF(AND(SamplingData[[#This Row],[Total]]&lt;&gt; 0, NOT(ISBLANK(SamplingData[[#This Row],[Candidate 6]]))),(SamplingData[[#This Row],[Total]]+SamplingData[[#This Row],[Winning Candidate]]-SamplingData[[#This Row],[Candidate 6]])/(SamplingData[[#Totals],[Winning Candidate]]-SamplingData[[#Totals],[Candidate 6]]), 0)</f>
        <v>4.8635766742862697E-3</v>
      </c>
      <c r="P1447" s="100">
        <f>MAX(SamplingData[[#This Row],[Error Bound (up) - Max. possible relative overstatement - Losing Candidate]:[Error Bound (up) - Max. possible relative overstatement - Candidate 6]])</f>
        <v>1.1207741303282705E-2</v>
      </c>
      <c r="Q1447" s="100">
        <f>IF(SamplingData[[#This Row],[Max Error Bound (up)]] = 0,0,SamplingData[[#This Row],[Max Error Bound (up)]]/SamplingData[[#Totals],[Max Error Bound (up)]])</f>
        <v>1.7738095349555873E-3</v>
      </c>
      <c r="R1447" s="101">
        <f>SUM($Q$5:Q1447)</f>
        <v>0.45404265679804801</v>
      </c>
      <c r="S1447" s="100" t="str">
        <f t="array" ref="S1447">IF(SamplingData[[#This Row],[up/U Selection Probability]] = 0, "Zero", TEXT(SamplingData[[#This Row],[Lower Range]], REPT("0",LEN('General Info'!$B$40))) &amp; " - " &amp; TEXT(SamplingData[[#This Row],[Upper Range]], REPT("0",LEN('General Info'!$B$40))))</f>
        <v>45227 - 45403</v>
      </c>
      <c r="T1447" s="100">
        <f>SamplingData[[#This Row],[Upper Range]]-SamplingData[[#This Row],[Span]]</f>
        <v>45226.886500118773</v>
      </c>
      <c r="U1447" s="100">
        <f>IF(ISNUMBER('General Info'!$B$40), ((SamplingData[[#This Row],[up/U Selection Probability]]) * 'General Info'!$B$40) - 1, 0)</f>
        <v>176.37917968602378</v>
      </c>
      <c r="V1447" s="100">
        <f>IF(ISNUMBER('General Info'!$B$40), (SamplingData[[#This Row],[Running (cumulative) sum]] * ('General Info'!$B$40 -'General Info'!$B$41 + 1)) + 'General Info'!$B$41 - 1, 0)</f>
        <v>45403.265679804797</v>
      </c>
      <c r="W1447" s="100" t="str">
        <f>IF(ISERROR(MATCH(SamplingData[[#This Row],[Batch by Type (p)]],SelectedPrecincts[Batch Name], 0)), "", INDEX(SelectedPrecincts[Draw], MATCH(SamplingData[[#This Row],[Batch by Type (p)]],SelectedPrecincts[Batch Name], 0)))</f>
        <v/>
      </c>
      <c r="X1447" s="102">
        <f>IF(COUNTIF(SelectedPrecincts[Batch Name],SamplingData[[#This Row],[Batch by Type (p)]]) &lt;&gt; 0, COUNTIF(SelectedPrecincts[Batch Name],SamplingData[[#This Row],[Batch by Type (p)]]), 0)</f>
        <v>0</v>
      </c>
    </row>
    <row r="1448" spans="1:24" ht="15" customHeight="1">
      <c r="A1448" s="18" t="s">
        <v>1624</v>
      </c>
      <c r="B1448" s="18">
        <v>15</v>
      </c>
      <c r="C1448" s="18">
        <v>30</v>
      </c>
      <c r="D1448" s="18">
        <v>4</v>
      </c>
      <c r="E1448" s="18">
        <v>3</v>
      </c>
      <c r="F1448" s="18">
        <v>1</v>
      </c>
      <c r="G1448" s="18">
        <v>0</v>
      </c>
      <c r="H1448" s="18">
        <v>0</v>
      </c>
      <c r="I1448" s="18">
        <v>0</v>
      </c>
      <c r="J1448" s="99">
        <f>SUM(SamplingData[[#This Row],[Losing Candidate]:[Under Votes]])</f>
        <v>53</v>
      </c>
      <c r="K1448" s="100">
        <f>IF(AND(SamplingData[[#This Row],[Total]]&lt;&gt; 0, NOT(ISBLANK(SamplingData[[#This Row],[Losing Candidate]]))),(SamplingData[[#This Row],[Total]]+SamplingData[[#This Row],[Winning Candidate]]-SamplingData[[#This Row],[Losing Candidate]])/(SamplingData[[#Totals],[Winning Candidate]]-SamplingData[[#Totals],[Losing Candidate]]), 0)</f>
        <v>4.1646251837334641E-3</v>
      </c>
      <c r="L1448" s="100">
        <f>IF(AND(SamplingData[[#This Row],[Total]]&lt;&gt; 0, NOT(ISBLANK(SamplingData[[#This Row],[Candidate 3]]))),(SamplingData[[#This Row],[Total]]+SamplingData[[#This Row],[Winning Candidate]]-SamplingData[[#This Row],[Candidate 3]])/(SamplingData[[#Totals],[Winning Candidate]]-SamplingData[[#Totals],[Candidate 3]]), 0)</f>
        <v>2.5486337387489112E-3</v>
      </c>
      <c r="M1448" s="100">
        <f>IF(AND(SamplingData[[#This Row],[Total]]&lt;&gt; 0, NOT(ISBLANK(SamplingData[[#This Row],[Candidate 4]]))),(SamplingData[[#This Row],[Total]]+SamplingData[[#This Row],[Winning Candidate]]-SamplingData[[#This Row],[Candidate 4]])/(SamplingData[[#Totals],[Winning Candidate]]-SamplingData[[#Totals],[Candidate 4]]), 0)</f>
        <v>2.3385658744774769E-3</v>
      </c>
      <c r="N1448" s="100">
        <f>IF(AND(SamplingData[[#This Row],[Total]]&lt;&gt; 0, NOT(ISBLANK(SamplingData[[#This Row],[Candidate 5]]))),(SamplingData[[#This Row],[Total]]+SamplingData[[#This Row],[Winning Candidate]]-SamplingData[[#This Row],[Candidate 5]])/(SamplingData[[#Totals],[Winning Candidate]]-SamplingData[[#Totals],[Candidate 5]]), 0)</f>
        <v>1.994648504013622E-3</v>
      </c>
      <c r="O1448" s="100">
        <f>IF(AND(SamplingData[[#This Row],[Total]]&lt;&gt; 0, NOT(ISBLANK(SamplingData[[#This Row],[Candidate 6]]))),(SamplingData[[#This Row],[Total]]+SamplingData[[#This Row],[Winning Candidate]]-SamplingData[[#This Row],[Candidate 6]])/(SamplingData[[#Totals],[Winning Candidate]]-SamplingData[[#Totals],[Candidate 6]]), 0)</f>
        <v>2.0183843198288021E-3</v>
      </c>
      <c r="P1448" s="100">
        <f>MAX(SamplingData[[#This Row],[Error Bound (up) - Max. possible relative overstatement - Losing Candidate]:[Error Bound (up) - Max. possible relative overstatement - Candidate 6]])</f>
        <v>4.1646251837334641E-3</v>
      </c>
      <c r="Q1448" s="100">
        <f>IF(SamplingData[[#This Row],[Max Error Bound (up)]] = 0,0,SamplingData[[#This Row],[Max Error Bound (up)]]/SamplingData[[#Totals],[Max Error Bound (up)]])</f>
        <v>6.5912048293431658E-4</v>
      </c>
      <c r="R1448" s="101">
        <f>SUM($Q$5:Q1448)</f>
        <v>0.45470177728098232</v>
      </c>
      <c r="S1448" s="100" t="str">
        <f t="array" ref="S1448">IF(SamplingData[[#This Row],[up/U Selection Probability]] = 0, "Zero", TEXT(SamplingData[[#This Row],[Lower Range]], REPT("0",LEN('General Info'!$B$40))) &amp; " - " &amp; TEXT(SamplingData[[#This Row],[Upper Range]], REPT("0",LEN('General Info'!$B$40))))</f>
        <v>45404 - 45469</v>
      </c>
      <c r="T1448" s="100">
        <f>SamplingData[[#This Row],[Upper Range]]-SamplingData[[#This Row],[Span]]</f>
        <v>45404.266338925285</v>
      </c>
      <c r="U1448" s="100">
        <f>IF(ISNUMBER('General Info'!$B$40), ((SamplingData[[#This Row],[up/U Selection Probability]]) * 'General Info'!$B$40) - 1, 0)</f>
        <v>64.911389172948716</v>
      </c>
      <c r="V1448" s="100">
        <f>IF(ISNUMBER('General Info'!$B$40), (SamplingData[[#This Row],[Running (cumulative) sum]] * ('General Info'!$B$40 -'General Info'!$B$41 + 1)) + 'General Info'!$B$41 - 1, 0)</f>
        <v>45469.177728098235</v>
      </c>
      <c r="W1448" s="100" t="str">
        <f>IF(ISERROR(MATCH(SamplingData[[#This Row],[Batch by Type (p)]],SelectedPrecincts[Batch Name], 0)), "", INDEX(SelectedPrecincts[Draw], MATCH(SamplingData[[#This Row],[Batch by Type (p)]],SelectedPrecincts[Batch Name], 0)))</f>
        <v/>
      </c>
      <c r="X1448" s="102">
        <f>IF(COUNTIF(SelectedPrecincts[Batch Name],SamplingData[[#This Row],[Batch by Type (p)]]) &lt;&gt; 0, COUNTIF(SelectedPrecincts[Batch Name],SamplingData[[#This Row],[Batch by Type (p)]]), 0)</f>
        <v>0</v>
      </c>
    </row>
    <row r="1449" spans="1:24" ht="15" customHeight="1">
      <c r="A1449" s="18" t="s">
        <v>1625</v>
      </c>
      <c r="B1449" s="18">
        <v>22</v>
      </c>
      <c r="C1449" s="18">
        <v>44</v>
      </c>
      <c r="D1449" s="16">
        <v>12</v>
      </c>
      <c r="E1449" s="16">
        <v>7</v>
      </c>
      <c r="F1449" s="37">
        <v>0</v>
      </c>
      <c r="G1449" s="37">
        <v>0</v>
      </c>
      <c r="H1449" s="17">
        <v>0</v>
      </c>
      <c r="I1449" s="17">
        <v>3</v>
      </c>
      <c r="J1449" s="99">
        <f>SUM(SamplingData[[#This Row],[Losing Candidate]:[Under Votes]])</f>
        <v>88</v>
      </c>
      <c r="K1449" s="100">
        <f>IF(AND(SamplingData[[#This Row],[Total]]&lt;&gt; 0, NOT(ISBLANK(SamplingData[[#This Row],[Losing Candidate]]))),(SamplingData[[#This Row],[Total]]+SamplingData[[#This Row],[Winning Candidate]]-SamplingData[[#This Row],[Losing Candidate]])/(SamplingData[[#Totals],[Winning Candidate]]-SamplingData[[#Totals],[Losing Candidate]]), 0)</f>
        <v>6.7368936795688386E-3</v>
      </c>
      <c r="L1449" s="100">
        <f>IF(AND(SamplingData[[#This Row],[Total]]&lt;&gt; 0, NOT(ISBLANK(SamplingData[[#This Row],[Candidate 3]]))),(SamplingData[[#This Row],[Total]]+SamplingData[[#This Row],[Winning Candidate]]-SamplingData[[#This Row],[Candidate 3]])/(SamplingData[[#Totals],[Winning Candidate]]-SamplingData[[#Totals],[Candidate 3]]), 0)</f>
        <v>3.8713423879730298E-3</v>
      </c>
      <c r="M1449" s="100">
        <f>IF(AND(SamplingData[[#This Row],[Total]]&lt;&gt; 0, NOT(ISBLANK(SamplingData[[#This Row],[Candidate 4]]))),(SamplingData[[#This Row],[Total]]+SamplingData[[#This Row],[Winning Candidate]]-SamplingData[[#This Row],[Candidate 4]])/(SamplingData[[#Totals],[Winning Candidate]]-SamplingData[[#Totals],[Candidate 4]]), 0)</f>
        <v>3.6540091788710575E-3</v>
      </c>
      <c r="N1449" s="100">
        <f>IF(AND(SamplingData[[#This Row],[Total]]&lt;&gt; 0, NOT(ISBLANK(SamplingData[[#This Row],[Candidate 5]]))),(SamplingData[[#This Row],[Total]]+SamplingData[[#This Row],[Winning Candidate]]-SamplingData[[#This Row],[Candidate 5]])/(SamplingData[[#Totals],[Winning Candidate]]-SamplingData[[#Totals],[Candidate 5]]), 0)</f>
        <v>3.2108975918268062E-3</v>
      </c>
      <c r="O1449" s="100">
        <f>IF(AND(SamplingData[[#This Row],[Total]]&lt;&gt; 0, NOT(ISBLANK(SamplingData[[#This Row],[Candidate 6]]))),(SamplingData[[#This Row],[Total]]+SamplingData[[#This Row],[Winning Candidate]]-SamplingData[[#This Row],[Candidate 6]])/(SamplingData[[#Totals],[Winning Candidate]]-SamplingData[[#Totals],[Candidate 6]]), 0)</f>
        <v>3.2099606050289384E-3</v>
      </c>
      <c r="P1449" s="100">
        <f>MAX(SamplingData[[#This Row],[Error Bound (up) - Max. possible relative overstatement - Losing Candidate]:[Error Bound (up) - Max. possible relative overstatement - Candidate 6]])</f>
        <v>6.7368936795688386E-3</v>
      </c>
      <c r="Q1449" s="100">
        <f>IF(SamplingData[[#This Row],[Max Error Bound (up)]] = 0,0,SamplingData[[#This Row],[Max Error Bound (up)]]/SamplingData[[#Totals],[Max Error Bound (up)]])</f>
        <v>1.0662243106290415E-3</v>
      </c>
      <c r="R1449" s="101">
        <f>SUM($Q$5:Q1449)</f>
        <v>0.45576800159161135</v>
      </c>
      <c r="S1449" s="100" t="str">
        <f t="array" ref="S1449">IF(SamplingData[[#This Row],[up/U Selection Probability]] = 0, "Zero", TEXT(SamplingData[[#This Row],[Lower Range]], REPT("0",LEN('General Info'!$B$40))) &amp; " - " &amp; TEXT(SamplingData[[#This Row],[Upper Range]], REPT("0",LEN('General Info'!$B$40))))</f>
        <v>45470 - 45576</v>
      </c>
      <c r="T1449" s="100">
        <f>SamplingData[[#This Row],[Upper Range]]-SamplingData[[#This Row],[Span]]</f>
        <v>45470.178794322535</v>
      </c>
      <c r="U1449" s="100">
        <f>IF(ISNUMBER('General Info'!$B$40), ((SamplingData[[#This Row],[up/U Selection Probability]]) * 'General Info'!$B$40) - 1, 0)</f>
        <v>105.62136483859352</v>
      </c>
      <c r="V1449" s="100">
        <f>IF(ISNUMBER('General Info'!$B$40), (SamplingData[[#This Row],[Running (cumulative) sum]] * ('General Info'!$B$40 -'General Info'!$B$41 + 1)) + 'General Info'!$B$41 - 1, 0)</f>
        <v>45575.800159161132</v>
      </c>
      <c r="W1449" s="100" t="str">
        <f>IF(ISERROR(MATCH(SamplingData[[#This Row],[Batch by Type (p)]],SelectedPrecincts[Batch Name], 0)), "", INDEX(SelectedPrecincts[Draw], MATCH(SamplingData[[#This Row],[Batch by Type (p)]],SelectedPrecincts[Batch Name], 0)))</f>
        <v/>
      </c>
      <c r="X1449" s="102">
        <f>IF(COUNTIF(SelectedPrecincts[Batch Name],SamplingData[[#This Row],[Batch by Type (p)]]) &lt;&gt; 0, COUNTIF(SelectedPrecincts[Batch Name],SamplingData[[#This Row],[Batch by Type (p)]]), 0)</f>
        <v>0</v>
      </c>
    </row>
    <row r="1450" spans="1:24" ht="15" customHeight="1">
      <c r="A1450" s="18" t="s">
        <v>1626</v>
      </c>
      <c r="B1450" s="18">
        <v>8</v>
      </c>
      <c r="C1450" s="18">
        <v>22</v>
      </c>
      <c r="D1450" s="18">
        <v>5</v>
      </c>
      <c r="E1450" s="18">
        <v>2</v>
      </c>
      <c r="F1450" s="18">
        <v>0</v>
      </c>
      <c r="G1450" s="18">
        <v>0</v>
      </c>
      <c r="H1450" s="18">
        <v>0</v>
      </c>
      <c r="I1450" s="18">
        <v>0</v>
      </c>
      <c r="J1450" s="99">
        <f>SUM(SamplingData[[#This Row],[Losing Candidate]:[Under Votes]])</f>
        <v>37</v>
      </c>
      <c r="K1450" s="100">
        <f>IF(AND(SamplingData[[#This Row],[Total]]&lt;&gt; 0, NOT(ISBLANK(SamplingData[[#This Row],[Losing Candidate]]))),(SamplingData[[#This Row],[Total]]+SamplingData[[#This Row],[Winning Candidate]]-SamplingData[[#This Row],[Losing Candidate]])/(SamplingData[[#Totals],[Winning Candidate]]-SamplingData[[#Totals],[Losing Candidate]]), 0)</f>
        <v>3.1234688878000981E-3</v>
      </c>
      <c r="L1450" s="100">
        <f>IF(AND(SamplingData[[#This Row],[Total]]&lt;&gt; 0, NOT(ISBLANK(SamplingData[[#This Row],[Candidate 3]]))),(SamplingData[[#This Row],[Total]]+SamplingData[[#This Row],[Winning Candidate]]-SamplingData[[#This Row],[Candidate 3]])/(SamplingData[[#Totals],[Winning Candidate]]-SamplingData[[#Totals],[Candidate 3]]), 0)</f>
        <v>1.7421040745878634E-3</v>
      </c>
      <c r="M1450" s="100">
        <f>IF(AND(SamplingData[[#This Row],[Total]]&lt;&gt; 0, NOT(ISBLANK(SamplingData[[#This Row],[Candidate 4]]))),(SamplingData[[#This Row],[Total]]+SamplingData[[#This Row],[Winning Candidate]]-SamplingData[[#This Row],[Candidate 4]])/(SamplingData[[#Totals],[Winning Candidate]]-SamplingData[[#Totals],[Candidate 4]]), 0)</f>
        <v>1.6662281855652022E-3</v>
      </c>
      <c r="N1450" s="100">
        <f>IF(AND(SamplingData[[#This Row],[Total]]&lt;&gt; 0, NOT(ISBLANK(SamplingData[[#This Row],[Candidate 5]]))),(SamplingData[[#This Row],[Total]]+SamplingData[[#This Row],[Winning Candidate]]-SamplingData[[#This Row],[Candidate 5]])/(SamplingData[[#Totals],[Winning Candidate]]-SamplingData[[#Totals],[Candidate 5]]), 0)</f>
        <v>1.4351739236195572E-3</v>
      </c>
      <c r="O1450" s="100">
        <f>IF(AND(SamplingData[[#This Row],[Total]]&lt;&gt; 0, NOT(ISBLANK(SamplingData[[#This Row],[Candidate 6]]))),(SamplingData[[#This Row],[Total]]+SamplingData[[#This Row],[Winning Candidate]]-SamplingData[[#This Row],[Candidate 6]])/(SamplingData[[#Totals],[Winning Candidate]]-SamplingData[[#Totals],[Candidate 6]]), 0)</f>
        <v>1.4347551189144497E-3</v>
      </c>
      <c r="P1450" s="100">
        <f>MAX(SamplingData[[#This Row],[Error Bound (up) - Max. possible relative overstatement - Losing Candidate]:[Error Bound (up) - Max. possible relative overstatement - Candidate 6]])</f>
        <v>3.1234688878000981E-3</v>
      </c>
      <c r="Q1450" s="100">
        <f>IF(SamplingData[[#This Row],[Max Error Bound (up)]] = 0,0,SamplingData[[#This Row],[Max Error Bound (up)]]/SamplingData[[#Totals],[Max Error Bound (up)]])</f>
        <v>4.9434036220073741E-4</v>
      </c>
      <c r="R1450" s="101">
        <f>SUM($Q$5:Q1450)</f>
        <v>0.4562623419538121</v>
      </c>
      <c r="S1450" s="100" t="str">
        <f t="array" ref="S1450">IF(SamplingData[[#This Row],[up/U Selection Probability]] = 0, "Zero", TEXT(SamplingData[[#This Row],[Lower Range]], REPT("0",LEN('General Info'!$B$40))) &amp; " - " &amp; TEXT(SamplingData[[#This Row],[Upper Range]], REPT("0",LEN('General Info'!$B$40))))</f>
        <v>45577 - 45625</v>
      </c>
      <c r="T1450" s="100">
        <f>SamplingData[[#This Row],[Upper Range]]-SamplingData[[#This Row],[Span]]</f>
        <v>45576.800653501494</v>
      </c>
      <c r="U1450" s="100">
        <f>IF(ISNUMBER('General Info'!$B$40), ((SamplingData[[#This Row],[up/U Selection Probability]]) * 'General Info'!$B$40) - 1, 0)</f>
        <v>48.433541879711541</v>
      </c>
      <c r="V1450" s="100">
        <f>IF(ISNUMBER('General Info'!$B$40), (SamplingData[[#This Row],[Running (cumulative) sum]] * ('General Info'!$B$40 -'General Info'!$B$41 + 1)) + 'General Info'!$B$41 - 1, 0)</f>
        <v>45625.234195381207</v>
      </c>
      <c r="W1450" s="100" t="str">
        <f>IF(ISERROR(MATCH(SamplingData[[#This Row],[Batch by Type (p)]],SelectedPrecincts[Batch Name], 0)), "", INDEX(SelectedPrecincts[Draw], MATCH(SamplingData[[#This Row],[Batch by Type (p)]],SelectedPrecincts[Batch Name], 0)))</f>
        <v/>
      </c>
      <c r="X1450" s="102">
        <f>IF(COUNTIF(SelectedPrecincts[Batch Name],SamplingData[[#This Row],[Batch by Type (p)]]) &lt;&gt; 0, COUNTIF(SelectedPrecincts[Batch Name],SamplingData[[#This Row],[Batch by Type (p)]]), 0)</f>
        <v>0</v>
      </c>
    </row>
    <row r="1451" spans="1:24" ht="15" customHeight="1">
      <c r="A1451" s="18" t="s">
        <v>1627</v>
      </c>
      <c r="B1451" s="18">
        <v>34</v>
      </c>
      <c r="C1451" s="18">
        <v>38</v>
      </c>
      <c r="D1451" s="16">
        <v>11</v>
      </c>
      <c r="E1451" s="16">
        <v>7</v>
      </c>
      <c r="F1451" s="37">
        <v>0</v>
      </c>
      <c r="G1451" s="37">
        <v>0</v>
      </c>
      <c r="H1451" s="17">
        <v>0</v>
      </c>
      <c r="I1451" s="17">
        <v>1</v>
      </c>
      <c r="J1451" s="99">
        <f>SUM(SamplingData[[#This Row],[Losing Candidate]:[Under Votes]])</f>
        <v>91</v>
      </c>
      <c r="K1451" s="100">
        <f>IF(AND(SamplingData[[#This Row],[Total]]&lt;&gt; 0, NOT(ISBLANK(SamplingData[[#This Row],[Losing Candidate]]))),(SamplingData[[#This Row],[Total]]+SamplingData[[#This Row],[Winning Candidate]]-SamplingData[[#This Row],[Losing Candidate]])/(SamplingData[[#Totals],[Winning Candidate]]-SamplingData[[#Totals],[Losing Candidate]]), 0)</f>
        <v>5.8182263596276334E-3</v>
      </c>
      <c r="L1451" s="100">
        <f>IF(AND(SamplingData[[#This Row],[Total]]&lt;&gt; 0, NOT(ISBLANK(SamplingData[[#This Row],[Candidate 3]]))),(SamplingData[[#This Row],[Total]]+SamplingData[[#This Row],[Winning Candidate]]-SamplingData[[#This Row],[Candidate 3]])/(SamplingData[[#Totals],[Winning Candidate]]-SamplingData[[#Totals],[Candidate 3]]), 0)</f>
        <v>3.8068200148401459E-3</v>
      </c>
      <c r="M1451" s="100">
        <f>IF(AND(SamplingData[[#This Row],[Total]]&lt;&gt; 0, NOT(ISBLANK(SamplingData[[#This Row],[Candidate 4]]))),(SamplingData[[#This Row],[Total]]+SamplingData[[#This Row],[Winning Candidate]]-SamplingData[[#This Row],[Candidate 4]])/(SamplingData[[#Totals],[Winning Candidate]]-SamplingData[[#Totals],[Candidate 4]]), 0)</f>
        <v>3.5663129585781521E-3</v>
      </c>
      <c r="N1451" s="100">
        <f>IF(AND(SamplingData[[#This Row],[Total]]&lt;&gt; 0, NOT(ISBLANK(SamplingData[[#This Row],[Candidate 5]]))),(SamplingData[[#This Row],[Total]]+SamplingData[[#This Row],[Winning Candidate]]-SamplingData[[#This Row],[Candidate 5]])/(SamplingData[[#Totals],[Winning Candidate]]-SamplingData[[#Totals],[Candidate 5]]), 0)</f>
        <v>3.137922646558015E-3</v>
      </c>
      <c r="O1451" s="100">
        <f>IF(AND(SamplingData[[#This Row],[Total]]&lt;&gt; 0, NOT(ISBLANK(SamplingData[[#This Row],[Candidate 6]]))),(SamplingData[[#This Row],[Total]]+SamplingData[[#This Row],[Winning Candidate]]-SamplingData[[#This Row],[Candidate 6]])/(SamplingData[[#Totals],[Winning Candidate]]-SamplingData[[#Totals],[Candidate 6]]), 0)</f>
        <v>3.1370069549146442E-3</v>
      </c>
      <c r="P1451" s="100">
        <f>MAX(SamplingData[[#This Row],[Error Bound (up) - Max. possible relative overstatement - Losing Candidate]:[Error Bound (up) - Max. possible relative overstatement - Candidate 6]])</f>
        <v>5.8182263596276334E-3</v>
      </c>
      <c r="Q1451" s="100">
        <f>IF(SamplingData[[#This Row],[Max Error Bound (up)]] = 0,0,SamplingData[[#This Row],[Max Error Bound (up)]]/SamplingData[[#Totals],[Max Error Bound (up)]])</f>
        <v>9.2083008645235393E-4</v>
      </c>
      <c r="R1451" s="101">
        <f>SUM($Q$5:Q1451)</f>
        <v>0.45718317204026443</v>
      </c>
      <c r="S1451" s="100" t="str">
        <f t="array" ref="S1451">IF(SamplingData[[#This Row],[up/U Selection Probability]] = 0, "Zero", TEXT(SamplingData[[#This Row],[Lower Range]], REPT("0",LEN('General Info'!$B$40))) &amp; " - " &amp; TEXT(SamplingData[[#This Row],[Upper Range]], REPT("0",LEN('General Info'!$B$40))))</f>
        <v>45626 - 45717</v>
      </c>
      <c r="T1451" s="100">
        <f>SamplingData[[#This Row],[Upper Range]]-SamplingData[[#This Row],[Span]]</f>
        <v>45626.23511621129</v>
      </c>
      <c r="U1451" s="100">
        <f>IF(ISNUMBER('General Info'!$B$40), ((SamplingData[[#This Row],[up/U Selection Probability]]) * 'General Info'!$B$40) - 1, 0)</f>
        <v>91.082087815148938</v>
      </c>
      <c r="V1451" s="100">
        <f>IF(ISNUMBER('General Info'!$B$40), (SamplingData[[#This Row],[Running (cumulative) sum]] * ('General Info'!$B$40 -'General Info'!$B$41 + 1)) + 'General Info'!$B$41 - 1, 0)</f>
        <v>45717.31720402644</v>
      </c>
      <c r="W1451" s="100" t="str">
        <f>IF(ISERROR(MATCH(SamplingData[[#This Row],[Batch by Type (p)]],SelectedPrecincts[Batch Name], 0)), "", INDEX(SelectedPrecincts[Draw], MATCH(SamplingData[[#This Row],[Batch by Type (p)]],SelectedPrecincts[Batch Name], 0)))</f>
        <v/>
      </c>
      <c r="X1451" s="102">
        <f>IF(COUNTIF(SelectedPrecincts[Batch Name],SamplingData[[#This Row],[Batch by Type (p)]]) &lt;&gt; 0, COUNTIF(SelectedPrecincts[Batch Name],SamplingData[[#This Row],[Batch by Type (p)]]), 0)</f>
        <v>0</v>
      </c>
    </row>
    <row r="1452" spans="1:24" ht="15" customHeight="1">
      <c r="A1452" s="18" t="s">
        <v>1628</v>
      </c>
      <c r="B1452" s="18">
        <v>13</v>
      </c>
      <c r="C1452" s="18">
        <v>28</v>
      </c>
      <c r="D1452" s="18">
        <v>7</v>
      </c>
      <c r="E1452" s="18">
        <v>2</v>
      </c>
      <c r="F1452" s="18">
        <v>1</v>
      </c>
      <c r="G1452" s="18">
        <v>1</v>
      </c>
      <c r="H1452" s="18">
        <v>0</v>
      </c>
      <c r="I1452" s="18">
        <v>3</v>
      </c>
      <c r="J1452" s="99">
        <f>SUM(SamplingData[[#This Row],[Losing Candidate]:[Under Votes]])</f>
        <v>55</v>
      </c>
      <c r="K1452" s="100">
        <f>IF(AND(SamplingData[[#This Row],[Total]]&lt;&gt; 0, NOT(ISBLANK(SamplingData[[#This Row],[Losing Candidate]]))),(SamplingData[[#This Row],[Total]]+SamplingData[[#This Row],[Winning Candidate]]-SamplingData[[#This Row],[Losing Candidate]])/(SamplingData[[#Totals],[Winning Candidate]]-SamplingData[[#Totals],[Losing Candidate]]), 0)</f>
        <v>4.2871141597256249E-3</v>
      </c>
      <c r="L1452" s="100">
        <f>IF(AND(SamplingData[[#This Row],[Total]]&lt;&gt; 0, NOT(ISBLANK(SamplingData[[#This Row],[Candidate 3]]))),(SamplingData[[#This Row],[Total]]+SamplingData[[#This Row],[Winning Candidate]]-SamplingData[[#This Row],[Candidate 3]])/(SamplingData[[#Totals],[Winning Candidate]]-SamplingData[[#Totals],[Candidate 3]]), 0)</f>
        <v>2.4518501790495853E-3</v>
      </c>
      <c r="M1452" s="100">
        <f>IF(AND(SamplingData[[#This Row],[Total]]&lt;&gt; 0, NOT(ISBLANK(SamplingData[[#This Row],[Candidate 4]]))),(SamplingData[[#This Row],[Total]]+SamplingData[[#This Row],[Winning Candidate]]-SamplingData[[#This Row],[Candidate 4]])/(SamplingData[[#Totals],[Winning Candidate]]-SamplingData[[#Totals],[Candidate 4]]), 0)</f>
        <v>2.3677979479084454E-3</v>
      </c>
      <c r="N1452" s="100">
        <f>IF(AND(SamplingData[[#This Row],[Total]]&lt;&gt; 0, NOT(ISBLANK(SamplingData[[#This Row],[Candidate 5]]))),(SamplingData[[#This Row],[Total]]+SamplingData[[#This Row],[Winning Candidate]]-SamplingData[[#This Row],[Candidate 5]])/(SamplingData[[#Totals],[Winning Candidate]]-SamplingData[[#Totals],[Candidate 5]]), 0)</f>
        <v>1.994648504013622E-3</v>
      </c>
      <c r="O1452" s="100">
        <f>IF(AND(SamplingData[[#This Row],[Total]]&lt;&gt; 0, NOT(ISBLANK(SamplingData[[#This Row],[Candidate 6]]))),(SamplingData[[#This Row],[Total]]+SamplingData[[#This Row],[Winning Candidate]]-SamplingData[[#This Row],[Candidate 6]])/(SamplingData[[#Totals],[Winning Candidate]]-SamplingData[[#Totals],[Candidate 6]]), 0)</f>
        <v>1.9940664364573707E-3</v>
      </c>
      <c r="P1452" s="100">
        <f>MAX(SamplingData[[#This Row],[Error Bound (up) - Max. possible relative overstatement - Losing Candidate]:[Error Bound (up) - Max. possible relative overstatement - Candidate 6]])</f>
        <v>4.2871141597256249E-3</v>
      </c>
      <c r="Q1452" s="100">
        <f>IF(SamplingData[[#This Row],[Max Error Bound (up)]] = 0,0,SamplingData[[#This Row],[Max Error Bound (up)]]/SamplingData[[#Totals],[Max Error Bound (up)]])</f>
        <v>6.7850637949120826E-4</v>
      </c>
      <c r="R1452" s="101">
        <f>SUM($Q$5:Q1452)</f>
        <v>0.45786167841975561</v>
      </c>
      <c r="S1452" s="100" t="str">
        <f t="array" ref="S1452">IF(SamplingData[[#This Row],[up/U Selection Probability]] = 0, "Zero", TEXT(SamplingData[[#This Row],[Lower Range]], REPT("0",LEN('General Info'!$B$40))) &amp; " - " &amp; TEXT(SamplingData[[#This Row],[Upper Range]], REPT("0",LEN('General Info'!$B$40))))</f>
        <v>45718 - 45785</v>
      </c>
      <c r="T1452" s="100">
        <f>SamplingData[[#This Row],[Upper Range]]-SamplingData[[#This Row],[Span]]</f>
        <v>45718.317882532821</v>
      </c>
      <c r="U1452" s="100">
        <f>IF(ISNUMBER('General Info'!$B$40), ((SamplingData[[#This Row],[up/U Selection Probability]]) * 'General Info'!$B$40) - 1, 0)</f>
        <v>66.849959442741337</v>
      </c>
      <c r="V1452" s="100">
        <f>IF(ISNUMBER('General Info'!$B$40), (SamplingData[[#This Row],[Running (cumulative) sum]] * ('General Info'!$B$40 -'General Info'!$B$41 + 1)) + 'General Info'!$B$41 - 1, 0)</f>
        <v>45785.167841975563</v>
      </c>
      <c r="W1452" s="100" t="str">
        <f>IF(ISERROR(MATCH(SamplingData[[#This Row],[Batch by Type (p)]],SelectedPrecincts[Batch Name], 0)), "", INDEX(SelectedPrecincts[Draw], MATCH(SamplingData[[#This Row],[Batch by Type (p)]],SelectedPrecincts[Batch Name], 0)))</f>
        <v/>
      </c>
      <c r="X1452" s="102">
        <f>IF(COUNTIF(SelectedPrecincts[Batch Name],SamplingData[[#This Row],[Batch by Type (p)]]) &lt;&gt; 0, COUNTIF(SelectedPrecincts[Batch Name],SamplingData[[#This Row],[Batch by Type (p)]]), 0)</f>
        <v>0</v>
      </c>
    </row>
    <row r="1453" spans="1:24" ht="15" customHeight="1">
      <c r="A1453" s="18" t="s">
        <v>1629</v>
      </c>
      <c r="B1453" s="18">
        <v>21</v>
      </c>
      <c r="C1453" s="18">
        <v>21</v>
      </c>
      <c r="D1453" s="16">
        <v>4</v>
      </c>
      <c r="E1453" s="16">
        <v>3</v>
      </c>
      <c r="F1453" s="37">
        <v>0</v>
      </c>
      <c r="G1453" s="37">
        <v>0</v>
      </c>
      <c r="H1453" s="17">
        <v>0</v>
      </c>
      <c r="I1453" s="17">
        <v>1</v>
      </c>
      <c r="J1453" s="99">
        <f>SUM(SamplingData[[#This Row],[Losing Candidate]:[Under Votes]])</f>
        <v>50</v>
      </c>
      <c r="K1453" s="100">
        <f>IF(AND(SamplingData[[#This Row],[Total]]&lt;&gt; 0, NOT(ISBLANK(SamplingData[[#This Row],[Losing Candidate]]))),(SamplingData[[#This Row],[Total]]+SamplingData[[#This Row],[Winning Candidate]]-SamplingData[[#This Row],[Losing Candidate]])/(SamplingData[[#Totals],[Winning Candidate]]-SamplingData[[#Totals],[Losing Candidate]]), 0)</f>
        <v>3.0622243998040177E-3</v>
      </c>
      <c r="L1453" s="100">
        <f>IF(AND(SamplingData[[#This Row],[Total]]&lt;&gt; 0, NOT(ISBLANK(SamplingData[[#This Row],[Candidate 3]]))),(SamplingData[[#This Row],[Total]]+SamplingData[[#This Row],[Winning Candidate]]-SamplingData[[#This Row],[Candidate 3]])/(SamplingData[[#Totals],[Winning Candidate]]-SamplingData[[#Totals],[Candidate 3]]), 0)</f>
        <v>2.1614994999516082E-3</v>
      </c>
      <c r="M1453" s="100">
        <f>IF(AND(SamplingData[[#This Row],[Total]]&lt;&gt; 0, NOT(ISBLANK(SamplingData[[#This Row],[Candidate 4]]))),(SamplingData[[#This Row],[Total]]+SamplingData[[#This Row],[Winning Candidate]]-SamplingData[[#This Row],[Candidate 4]])/(SamplingData[[#Totals],[Winning Candidate]]-SamplingData[[#Totals],[Candidate 4]]), 0)</f>
        <v>1.9877809933058553E-3</v>
      </c>
      <c r="N1453" s="100">
        <f>IF(AND(SamplingData[[#This Row],[Total]]&lt;&gt; 0, NOT(ISBLANK(SamplingData[[#This Row],[Candidate 5]]))),(SamplingData[[#This Row],[Total]]+SamplingData[[#This Row],[Winning Candidate]]-SamplingData[[#This Row],[Candidate 5]])/(SamplingData[[#Totals],[Winning Candidate]]-SamplingData[[#Totals],[Candidate 5]]), 0)</f>
        <v>1.7270737046947214E-3</v>
      </c>
      <c r="O1453" s="100">
        <f>IF(AND(SamplingData[[#This Row],[Total]]&lt;&gt; 0, NOT(ISBLANK(SamplingData[[#This Row],[Candidate 6]]))),(SamplingData[[#This Row],[Total]]+SamplingData[[#This Row],[Winning Candidate]]-SamplingData[[#This Row],[Candidate 6]])/(SamplingData[[#Totals],[Winning Candidate]]-SamplingData[[#Totals],[Candidate 6]]), 0)</f>
        <v>1.7265697193716259E-3</v>
      </c>
      <c r="P1453" s="100">
        <f>MAX(SamplingData[[#This Row],[Error Bound (up) - Max. possible relative overstatement - Losing Candidate]:[Error Bound (up) - Max. possible relative overstatement - Candidate 6]])</f>
        <v>3.0622243998040177E-3</v>
      </c>
      <c r="Q1453" s="100">
        <f>IF(SamplingData[[#This Row],[Max Error Bound (up)]] = 0,0,SamplingData[[#This Row],[Max Error Bound (up)]]/SamplingData[[#Totals],[Max Error Bound (up)]])</f>
        <v>4.8464741392229157E-4</v>
      </c>
      <c r="R1453" s="101">
        <f>SUM($Q$5:Q1453)</f>
        <v>0.4583463258336779</v>
      </c>
      <c r="S1453" s="100" t="str">
        <f t="array" ref="S1453">IF(SamplingData[[#This Row],[up/U Selection Probability]] = 0, "Zero", TEXT(SamplingData[[#This Row],[Lower Range]], REPT("0",LEN('General Info'!$B$40))) &amp; " - " &amp; TEXT(SamplingData[[#This Row],[Upper Range]], REPT("0",LEN('General Info'!$B$40))))</f>
        <v>45786 - 45834</v>
      </c>
      <c r="T1453" s="100">
        <f>SamplingData[[#This Row],[Upper Range]]-SamplingData[[#This Row],[Span]]</f>
        <v>45786.168326622974</v>
      </c>
      <c r="U1453" s="100">
        <f>IF(ISNUMBER('General Info'!$B$40), ((SamplingData[[#This Row],[up/U Selection Probability]]) * 'General Info'!$B$40) - 1, 0)</f>
        <v>47.464256744815238</v>
      </c>
      <c r="V1453" s="100">
        <f>IF(ISNUMBER('General Info'!$B$40), (SamplingData[[#This Row],[Running (cumulative) sum]] * ('General Info'!$B$40 -'General Info'!$B$41 + 1)) + 'General Info'!$B$41 - 1, 0)</f>
        <v>45833.632583367791</v>
      </c>
      <c r="W1453" s="100" t="str">
        <f>IF(ISERROR(MATCH(SamplingData[[#This Row],[Batch by Type (p)]],SelectedPrecincts[Batch Name], 0)), "", INDEX(SelectedPrecincts[Draw], MATCH(SamplingData[[#This Row],[Batch by Type (p)]],SelectedPrecincts[Batch Name], 0)))</f>
        <v/>
      </c>
      <c r="X1453" s="102">
        <f>IF(COUNTIF(SelectedPrecincts[Batch Name],SamplingData[[#This Row],[Batch by Type (p)]]) &lt;&gt; 0, COUNTIF(SelectedPrecincts[Batch Name],SamplingData[[#This Row],[Batch by Type (p)]]), 0)</f>
        <v>0</v>
      </c>
    </row>
    <row r="1454" spans="1:24" ht="15" customHeight="1">
      <c r="A1454" s="18" t="s">
        <v>1630</v>
      </c>
      <c r="B1454" s="18">
        <v>5</v>
      </c>
      <c r="C1454" s="18">
        <v>7</v>
      </c>
      <c r="D1454" s="18">
        <v>10</v>
      </c>
      <c r="E1454" s="18">
        <v>0</v>
      </c>
      <c r="F1454" s="18">
        <v>0</v>
      </c>
      <c r="G1454" s="18">
        <v>0</v>
      </c>
      <c r="H1454" s="18">
        <v>0</v>
      </c>
      <c r="I1454" s="18">
        <v>0</v>
      </c>
      <c r="J1454" s="99">
        <f>SUM(SamplingData[[#This Row],[Losing Candidate]:[Under Votes]])</f>
        <v>22</v>
      </c>
      <c r="K1454"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1454" s="100">
        <f>IF(AND(SamplingData[[#This Row],[Total]]&lt;&gt; 0, NOT(ISBLANK(SamplingData[[#This Row],[Candidate 3]]))),(SamplingData[[#This Row],[Total]]+SamplingData[[#This Row],[Winning Candidate]]-SamplingData[[#This Row],[Candidate 3]])/(SamplingData[[#Totals],[Winning Candidate]]-SamplingData[[#Totals],[Candidate 3]]), 0)</f>
        <v>6.1296254476239632E-4</v>
      </c>
      <c r="M1454" s="100">
        <f>IF(AND(SamplingData[[#This Row],[Total]]&lt;&gt; 0, NOT(ISBLANK(SamplingData[[#This Row],[Candidate 4]]))),(SamplingData[[#This Row],[Total]]+SamplingData[[#This Row],[Winning Candidate]]-SamplingData[[#This Row],[Candidate 4]])/(SamplingData[[#Totals],[Winning Candidate]]-SamplingData[[#Totals],[Candidate 4]]), 0)</f>
        <v>8.4773012949808531E-4</v>
      </c>
      <c r="N1454" s="100">
        <f>IF(AND(SamplingData[[#This Row],[Total]]&lt;&gt; 0, NOT(ISBLANK(SamplingData[[#This Row],[Candidate 5]]))),(SamplingData[[#This Row],[Total]]+SamplingData[[#This Row],[Winning Candidate]]-SamplingData[[#This Row],[Candidate 5]])/(SamplingData[[#Totals],[Winning Candidate]]-SamplingData[[#Totals],[Candidate 5]]), 0)</f>
        <v>7.0542447093164683E-4</v>
      </c>
      <c r="O1454" s="100">
        <f>IF(AND(SamplingData[[#This Row],[Total]]&lt;&gt; 0, NOT(ISBLANK(SamplingData[[#This Row],[Candidate 6]]))),(SamplingData[[#This Row],[Total]]+SamplingData[[#This Row],[Winning Candidate]]-SamplingData[[#This Row],[Candidate 6]])/(SamplingData[[#Totals],[Winning Candidate]]-SamplingData[[#Totals],[Candidate 6]]), 0)</f>
        <v>7.0521861777150916E-4</v>
      </c>
      <c r="P1454" s="100">
        <f>MAX(SamplingData[[#This Row],[Error Bound (up) - Max. possible relative overstatement - Losing Candidate]:[Error Bound (up) - Max. possible relative overstatement - Candidate 6]])</f>
        <v>1.4698677119059284E-3</v>
      </c>
      <c r="Q1454" s="100">
        <f>IF(SamplingData[[#This Row],[Max Error Bound (up)]] = 0,0,SamplingData[[#This Row],[Max Error Bound (up)]]/SamplingData[[#Totals],[Max Error Bound (up)]])</f>
        <v>2.3263075868269994E-4</v>
      </c>
      <c r="R1454" s="101">
        <f>SUM($Q$5:Q1454)</f>
        <v>0.45857895659236059</v>
      </c>
      <c r="S1454" s="100" t="str">
        <f t="array" ref="S1454">IF(SamplingData[[#This Row],[up/U Selection Probability]] = 0, "Zero", TEXT(SamplingData[[#This Row],[Lower Range]], REPT("0",LEN('General Info'!$B$40))) &amp; " - " &amp; TEXT(SamplingData[[#This Row],[Upper Range]], REPT("0",LEN('General Info'!$B$40))))</f>
        <v>45835 - 45857</v>
      </c>
      <c r="T1454" s="100">
        <f>SamplingData[[#This Row],[Upper Range]]-SamplingData[[#This Row],[Span]]</f>
        <v>45834.632815998542</v>
      </c>
      <c r="U1454" s="100">
        <f>IF(ISNUMBER('General Info'!$B$40), ((SamplingData[[#This Row],[up/U Selection Probability]]) * 'General Info'!$B$40) - 1, 0)</f>
        <v>22.262843237511312</v>
      </c>
      <c r="V1454" s="100">
        <f>IF(ISNUMBER('General Info'!$B$40), (SamplingData[[#This Row],[Running (cumulative) sum]] * ('General Info'!$B$40 -'General Info'!$B$41 + 1)) + 'General Info'!$B$41 - 1, 0)</f>
        <v>45856.895659236056</v>
      </c>
      <c r="W1454" s="100" t="str">
        <f>IF(ISERROR(MATCH(SamplingData[[#This Row],[Batch by Type (p)]],SelectedPrecincts[Batch Name], 0)), "", INDEX(SelectedPrecincts[Draw], MATCH(SamplingData[[#This Row],[Batch by Type (p)]],SelectedPrecincts[Batch Name], 0)))</f>
        <v/>
      </c>
      <c r="X1454" s="102">
        <f>IF(COUNTIF(SelectedPrecincts[Batch Name],SamplingData[[#This Row],[Batch by Type (p)]]) &lt;&gt; 0, COUNTIF(SelectedPrecincts[Batch Name],SamplingData[[#This Row],[Batch by Type (p)]]), 0)</f>
        <v>0</v>
      </c>
    </row>
    <row r="1455" spans="1:24" ht="15" customHeight="1">
      <c r="A1455" s="18" t="s">
        <v>1631</v>
      </c>
      <c r="B1455" s="18">
        <v>20</v>
      </c>
      <c r="C1455" s="18">
        <v>39</v>
      </c>
      <c r="D1455" s="16">
        <v>9</v>
      </c>
      <c r="E1455" s="16">
        <v>5</v>
      </c>
      <c r="F1455" s="37">
        <v>0</v>
      </c>
      <c r="G1455" s="37">
        <v>0</v>
      </c>
      <c r="H1455" s="17">
        <v>0</v>
      </c>
      <c r="I1455" s="17">
        <v>3</v>
      </c>
      <c r="J1455" s="99">
        <f>SUM(SamplingData[[#This Row],[Losing Candidate]:[Under Votes]])</f>
        <v>76</v>
      </c>
      <c r="K1455" s="100">
        <f>IF(AND(SamplingData[[#This Row],[Total]]&lt;&gt; 0, NOT(ISBLANK(SamplingData[[#This Row],[Losing Candidate]]))),(SamplingData[[#This Row],[Total]]+SamplingData[[#This Row],[Winning Candidate]]-SamplingData[[#This Row],[Losing Candidate]])/(SamplingData[[#Totals],[Winning Candidate]]-SamplingData[[#Totals],[Losing Candidate]]), 0)</f>
        <v>5.8182263596276334E-3</v>
      </c>
      <c r="L1455" s="100">
        <f>IF(AND(SamplingData[[#This Row],[Total]]&lt;&gt; 0, NOT(ISBLANK(SamplingData[[#This Row],[Candidate 3]]))),(SamplingData[[#This Row],[Total]]+SamplingData[[#This Row],[Winning Candidate]]-SamplingData[[#This Row],[Candidate 3]])/(SamplingData[[#Totals],[Winning Candidate]]-SamplingData[[#Totals],[Candidate 3]]), 0)</f>
        <v>3.4196857760428428E-3</v>
      </c>
      <c r="M1455" s="100">
        <f>IF(AND(SamplingData[[#This Row],[Total]]&lt;&gt; 0, NOT(ISBLANK(SamplingData[[#This Row],[Candidate 4]]))),(SamplingData[[#This Row],[Total]]+SamplingData[[#This Row],[Winning Candidate]]-SamplingData[[#This Row],[Candidate 4]])/(SamplingData[[#Totals],[Winning Candidate]]-SamplingData[[#Totals],[Candidate 4]]), 0)</f>
        <v>3.2155280774065305E-3</v>
      </c>
      <c r="N1455" s="100">
        <f>IF(AND(SamplingData[[#This Row],[Total]]&lt;&gt; 0, NOT(ISBLANK(SamplingData[[#This Row],[Candidate 5]]))),(SamplingData[[#This Row],[Total]]+SamplingData[[#This Row],[Winning Candidate]]-SamplingData[[#This Row],[Candidate 5]])/(SamplingData[[#Totals],[Winning Candidate]]-SamplingData[[#Totals],[Candidate 5]]), 0)</f>
        <v>2.7973729019703233E-3</v>
      </c>
      <c r="O1455" s="100">
        <f>IF(AND(SamplingData[[#This Row],[Total]]&lt;&gt; 0, NOT(ISBLANK(SamplingData[[#This Row],[Candidate 6]]))),(SamplingData[[#This Row],[Total]]+SamplingData[[#This Row],[Winning Candidate]]-SamplingData[[#This Row],[Candidate 6]])/(SamplingData[[#Totals],[Winning Candidate]]-SamplingData[[#Totals],[Candidate 6]]), 0)</f>
        <v>2.7965565877146052E-3</v>
      </c>
      <c r="P1455" s="100">
        <f>MAX(SamplingData[[#This Row],[Error Bound (up) - Max. possible relative overstatement - Losing Candidate]:[Error Bound (up) - Max. possible relative overstatement - Candidate 6]])</f>
        <v>5.8182263596276334E-3</v>
      </c>
      <c r="Q1455" s="100">
        <f>IF(SamplingData[[#This Row],[Max Error Bound (up)]] = 0,0,SamplingData[[#This Row],[Max Error Bound (up)]]/SamplingData[[#Totals],[Max Error Bound (up)]])</f>
        <v>9.2083008645235393E-4</v>
      </c>
      <c r="R1455" s="101">
        <f>SUM($Q$5:Q1455)</f>
        <v>0.45949978667881292</v>
      </c>
      <c r="S1455" s="100" t="str">
        <f t="array" ref="S1455">IF(SamplingData[[#This Row],[up/U Selection Probability]] = 0, "Zero", TEXT(SamplingData[[#This Row],[Lower Range]], REPT("0",LEN('General Info'!$B$40))) &amp; " - " &amp; TEXT(SamplingData[[#This Row],[Upper Range]], REPT("0",LEN('General Info'!$B$40))))</f>
        <v>45858 - 45949</v>
      </c>
      <c r="T1455" s="100">
        <f>SamplingData[[#This Row],[Upper Range]]-SamplingData[[#This Row],[Span]]</f>
        <v>45857.896580066139</v>
      </c>
      <c r="U1455" s="100">
        <f>IF(ISNUMBER('General Info'!$B$40), ((SamplingData[[#This Row],[up/U Selection Probability]]) * 'General Info'!$B$40) - 1, 0)</f>
        <v>91.082087815148938</v>
      </c>
      <c r="V1455" s="100">
        <f>IF(ISNUMBER('General Info'!$B$40), (SamplingData[[#This Row],[Running (cumulative) sum]] * ('General Info'!$B$40 -'General Info'!$B$41 + 1)) + 'General Info'!$B$41 - 1, 0)</f>
        <v>45948.978667881289</v>
      </c>
      <c r="W1455" s="100" t="str">
        <f>IF(ISERROR(MATCH(SamplingData[[#This Row],[Batch by Type (p)]],SelectedPrecincts[Batch Name], 0)), "", INDEX(SelectedPrecincts[Draw], MATCH(SamplingData[[#This Row],[Batch by Type (p)]],SelectedPrecincts[Batch Name], 0)))</f>
        <v/>
      </c>
      <c r="X1455" s="102">
        <f>IF(COUNTIF(SelectedPrecincts[Batch Name],SamplingData[[#This Row],[Batch by Type (p)]]) &lt;&gt; 0, COUNTIF(SelectedPrecincts[Batch Name],SamplingData[[#This Row],[Batch by Type (p)]]), 0)</f>
        <v>0</v>
      </c>
    </row>
    <row r="1456" spans="1:24" ht="15" customHeight="1">
      <c r="A1456" s="18" t="s">
        <v>1632</v>
      </c>
      <c r="B1456" s="18">
        <v>9</v>
      </c>
      <c r="C1456" s="18">
        <v>11</v>
      </c>
      <c r="D1456" s="18">
        <v>5</v>
      </c>
      <c r="E1456" s="18">
        <v>0</v>
      </c>
      <c r="F1456" s="18">
        <v>0</v>
      </c>
      <c r="G1456" s="18">
        <v>1</v>
      </c>
      <c r="H1456" s="18">
        <v>0</v>
      </c>
      <c r="I1456" s="18">
        <v>0</v>
      </c>
      <c r="J1456" s="99">
        <f>SUM(SamplingData[[#This Row],[Losing Candidate]:[Under Votes]])</f>
        <v>26</v>
      </c>
      <c r="K1456"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456" s="100">
        <f>IF(AND(SamplingData[[#This Row],[Total]]&lt;&gt; 0, NOT(ISBLANK(SamplingData[[#This Row],[Candidate 3]]))),(SamplingData[[#This Row],[Total]]+SamplingData[[#This Row],[Winning Candidate]]-SamplingData[[#This Row],[Candidate 3]])/(SamplingData[[#Totals],[Winning Candidate]]-SamplingData[[#Totals],[Candidate 3]]), 0)</f>
        <v>1.0323579701261413E-3</v>
      </c>
      <c r="M1456" s="100">
        <f>IF(AND(SamplingData[[#This Row],[Total]]&lt;&gt; 0, NOT(ISBLANK(SamplingData[[#This Row],[Candidate 4]]))),(SamplingData[[#This Row],[Total]]+SamplingData[[#This Row],[Winning Candidate]]-SamplingData[[#This Row],[Candidate 4]])/(SamplingData[[#Totals],[Winning Candidate]]-SamplingData[[#Totals],[Candidate 4]]), 0)</f>
        <v>1.081586716945833E-3</v>
      </c>
      <c r="N1456" s="100">
        <f>IF(AND(SamplingData[[#This Row],[Total]]&lt;&gt; 0, NOT(ISBLANK(SamplingData[[#This Row],[Candidate 5]]))),(SamplingData[[#This Row],[Total]]+SamplingData[[#This Row],[Winning Candidate]]-SamplingData[[#This Row],[Candidate 5]])/(SamplingData[[#Totals],[Winning Candidate]]-SamplingData[[#Totals],[Candidate 5]]), 0)</f>
        <v>9.0002432498175627E-4</v>
      </c>
      <c r="O1456" s="100">
        <f>IF(AND(SamplingData[[#This Row],[Total]]&lt;&gt; 0, NOT(ISBLANK(SamplingData[[#This Row],[Candidate 6]]))),(SamplingData[[#This Row],[Total]]+SamplingData[[#This Row],[Winning Candidate]]-SamplingData[[#This Row],[Candidate 6]])/(SamplingData[[#Totals],[Winning Candidate]]-SamplingData[[#Totals],[Candidate 6]]), 0)</f>
        <v>8.7544380137152865E-4</v>
      </c>
      <c r="P1456" s="100">
        <f>MAX(SamplingData[[#This Row],[Error Bound (up) - Max. possible relative overstatement - Losing Candidate]:[Error Bound (up) - Max. possible relative overstatement - Candidate 6]])</f>
        <v>1.7148456638902498E-3</v>
      </c>
      <c r="Q1456" s="100">
        <f>IF(SamplingData[[#This Row],[Max Error Bound (up)]] = 0,0,SamplingData[[#This Row],[Max Error Bound (up)]]/SamplingData[[#Totals],[Max Error Bound (up)]])</f>
        <v>2.714025517964833E-4</v>
      </c>
      <c r="R1456" s="101">
        <f>SUM($Q$5:Q1456)</f>
        <v>0.45977118923060939</v>
      </c>
      <c r="S1456" s="100" t="str">
        <f t="array" ref="S1456">IF(SamplingData[[#This Row],[up/U Selection Probability]] = 0, "Zero", TEXT(SamplingData[[#This Row],[Lower Range]], REPT("0",LEN('General Info'!$B$40))) &amp; " - " &amp; TEXT(SamplingData[[#This Row],[Upper Range]], REPT("0",LEN('General Info'!$B$40))))</f>
        <v>45950 - 45976</v>
      </c>
      <c r="T1456" s="100">
        <f>SamplingData[[#This Row],[Upper Range]]-SamplingData[[#This Row],[Span]]</f>
        <v>45949.978939283843</v>
      </c>
      <c r="U1456" s="100">
        <f>IF(ISNUMBER('General Info'!$B$40), ((SamplingData[[#This Row],[up/U Selection Probability]]) * 'General Info'!$B$40) - 1, 0)</f>
        <v>26.139983777096536</v>
      </c>
      <c r="V1456" s="100">
        <f>IF(ISNUMBER('General Info'!$B$40), (SamplingData[[#This Row],[Running (cumulative) sum]] * ('General Info'!$B$40 -'General Info'!$B$41 + 1)) + 'General Info'!$B$41 - 1, 0)</f>
        <v>45976.118923060938</v>
      </c>
      <c r="W1456" s="100" t="str">
        <f>IF(ISERROR(MATCH(SamplingData[[#This Row],[Batch by Type (p)]],SelectedPrecincts[Batch Name], 0)), "", INDEX(SelectedPrecincts[Draw], MATCH(SamplingData[[#This Row],[Batch by Type (p)]],SelectedPrecincts[Batch Name], 0)))</f>
        <v/>
      </c>
      <c r="X1456" s="102">
        <f>IF(COUNTIF(SelectedPrecincts[Batch Name],SamplingData[[#This Row],[Batch by Type (p)]]) &lt;&gt; 0, COUNTIF(SelectedPrecincts[Batch Name],SamplingData[[#This Row],[Batch by Type (p)]]), 0)</f>
        <v>0</v>
      </c>
    </row>
    <row r="1457" spans="1:24" ht="15" customHeight="1">
      <c r="A1457" s="18" t="s">
        <v>1633</v>
      </c>
      <c r="B1457" s="18">
        <v>32</v>
      </c>
      <c r="C1457" s="18">
        <v>40</v>
      </c>
      <c r="D1457" s="16">
        <v>8</v>
      </c>
      <c r="E1457" s="16">
        <v>6</v>
      </c>
      <c r="F1457" s="37">
        <v>0</v>
      </c>
      <c r="G1457" s="37">
        <v>1</v>
      </c>
      <c r="H1457" s="17">
        <v>0</v>
      </c>
      <c r="I1457" s="17">
        <v>1</v>
      </c>
      <c r="J1457" s="99">
        <f>SUM(SamplingData[[#This Row],[Losing Candidate]:[Under Votes]])</f>
        <v>88</v>
      </c>
      <c r="K1457" s="100">
        <f>IF(AND(SamplingData[[#This Row],[Total]]&lt;&gt; 0, NOT(ISBLANK(SamplingData[[#This Row],[Losing Candidate]]))),(SamplingData[[#This Row],[Total]]+SamplingData[[#This Row],[Winning Candidate]]-SamplingData[[#This Row],[Losing Candidate]])/(SamplingData[[#Totals],[Winning Candidate]]-SamplingData[[#Totals],[Losing Candidate]]), 0)</f>
        <v>5.8794708476237138E-3</v>
      </c>
      <c r="L1457" s="100">
        <f>IF(AND(SamplingData[[#This Row],[Total]]&lt;&gt; 0, NOT(ISBLANK(SamplingData[[#This Row],[Candidate 3]]))),(SamplingData[[#This Row],[Total]]+SamplingData[[#This Row],[Winning Candidate]]-SamplingData[[#This Row],[Candidate 3]])/(SamplingData[[#Totals],[Winning Candidate]]-SamplingData[[#Totals],[Candidate 3]]), 0)</f>
        <v>3.8713423879730298E-3</v>
      </c>
      <c r="M1457" s="100">
        <f>IF(AND(SamplingData[[#This Row],[Total]]&lt;&gt; 0, NOT(ISBLANK(SamplingData[[#This Row],[Candidate 4]]))),(SamplingData[[#This Row],[Total]]+SamplingData[[#This Row],[Winning Candidate]]-SamplingData[[#This Row],[Candidate 4]])/(SamplingData[[#Totals],[Winning Candidate]]-SamplingData[[#Totals],[Candidate 4]]), 0)</f>
        <v>3.5663129585781521E-3</v>
      </c>
      <c r="N1457" s="100">
        <f>IF(AND(SamplingData[[#This Row],[Total]]&lt;&gt; 0, NOT(ISBLANK(SamplingData[[#This Row],[Candidate 5]]))),(SamplingData[[#This Row],[Total]]+SamplingData[[#This Row],[Winning Candidate]]-SamplingData[[#This Row],[Candidate 5]])/(SamplingData[[#Totals],[Winning Candidate]]-SamplingData[[#Totals],[Candidate 5]]), 0)</f>
        <v>3.1135976648017515E-3</v>
      </c>
      <c r="O1457" s="100">
        <f>IF(AND(SamplingData[[#This Row],[Total]]&lt;&gt; 0, NOT(ISBLANK(SamplingData[[#This Row],[Candidate 6]]))),(SamplingData[[#This Row],[Total]]+SamplingData[[#This Row],[Winning Candidate]]-SamplingData[[#This Row],[Candidate 6]])/(SamplingData[[#Totals],[Winning Candidate]]-SamplingData[[#Totals],[Candidate 6]]), 0)</f>
        <v>3.0883711881717815E-3</v>
      </c>
      <c r="P1457" s="100">
        <f>MAX(SamplingData[[#This Row],[Error Bound (up) - Max. possible relative overstatement - Losing Candidate]:[Error Bound (up) - Max. possible relative overstatement - Candidate 6]])</f>
        <v>5.8794708476237138E-3</v>
      </c>
      <c r="Q1457" s="100">
        <f>IF(SamplingData[[#This Row],[Max Error Bound (up)]] = 0,0,SamplingData[[#This Row],[Max Error Bound (up)]]/SamplingData[[#Totals],[Max Error Bound (up)]])</f>
        <v>9.3052303473079977E-4</v>
      </c>
      <c r="R1457" s="101">
        <f>SUM($Q$5:Q1457)</f>
        <v>0.46070171226534018</v>
      </c>
      <c r="S1457" s="100" t="str">
        <f t="array" ref="S1457">IF(SamplingData[[#This Row],[up/U Selection Probability]] = 0, "Zero", TEXT(SamplingData[[#This Row],[Lower Range]], REPT("0",LEN('General Info'!$B$40))) &amp; " - " &amp; TEXT(SamplingData[[#This Row],[Upper Range]], REPT("0",LEN('General Info'!$B$40))))</f>
        <v>45977 - 46069</v>
      </c>
      <c r="T1457" s="100">
        <f>SamplingData[[#This Row],[Upper Range]]-SamplingData[[#This Row],[Span]]</f>
        <v>45977.119853583972</v>
      </c>
      <c r="U1457" s="100">
        <f>IF(ISNUMBER('General Info'!$B$40), ((SamplingData[[#This Row],[up/U Selection Probability]]) * 'General Info'!$B$40) - 1, 0)</f>
        <v>92.051372950045248</v>
      </c>
      <c r="V1457" s="100">
        <f>IF(ISNUMBER('General Info'!$B$40), (SamplingData[[#This Row],[Running (cumulative) sum]] * ('General Info'!$B$40 -'General Info'!$B$41 + 1)) + 'General Info'!$B$41 - 1, 0)</f>
        <v>46069.171226534017</v>
      </c>
      <c r="W1457" s="100" t="str">
        <f>IF(ISERROR(MATCH(SamplingData[[#This Row],[Batch by Type (p)]],SelectedPrecincts[Batch Name], 0)), "", INDEX(SelectedPrecincts[Draw], MATCH(SamplingData[[#This Row],[Batch by Type (p)]],SelectedPrecincts[Batch Name], 0)))</f>
        <v/>
      </c>
      <c r="X1457" s="102">
        <f>IF(COUNTIF(SelectedPrecincts[Batch Name],SamplingData[[#This Row],[Batch by Type (p)]]) &lt;&gt; 0, COUNTIF(SelectedPrecincts[Batch Name],SamplingData[[#This Row],[Batch by Type (p)]]), 0)</f>
        <v>0</v>
      </c>
    </row>
    <row r="1458" spans="1:24" ht="15" customHeight="1">
      <c r="A1458" s="18" t="s">
        <v>1634</v>
      </c>
      <c r="B1458" s="18">
        <v>13</v>
      </c>
      <c r="C1458" s="18">
        <v>15</v>
      </c>
      <c r="D1458" s="18">
        <v>6</v>
      </c>
      <c r="E1458" s="18">
        <v>6</v>
      </c>
      <c r="F1458" s="18">
        <v>0</v>
      </c>
      <c r="G1458" s="18">
        <v>0</v>
      </c>
      <c r="H1458" s="18">
        <v>0</v>
      </c>
      <c r="I1458" s="18">
        <v>1</v>
      </c>
      <c r="J1458" s="99">
        <f>SUM(SamplingData[[#This Row],[Losing Candidate]:[Under Votes]])</f>
        <v>41</v>
      </c>
      <c r="K1458"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1458" s="100">
        <f>IF(AND(SamplingData[[#This Row],[Total]]&lt;&gt; 0, NOT(ISBLANK(SamplingData[[#This Row],[Candidate 3]]))),(SamplingData[[#This Row],[Total]]+SamplingData[[#This Row],[Winning Candidate]]-SamplingData[[#This Row],[Candidate 3]])/(SamplingData[[#Totals],[Winning Candidate]]-SamplingData[[#Totals],[Candidate 3]]), 0)</f>
        <v>1.6130593283220957E-3</v>
      </c>
      <c r="M1458" s="100">
        <f>IF(AND(SamplingData[[#This Row],[Total]]&lt;&gt; 0, NOT(ISBLANK(SamplingData[[#This Row],[Candidate 4]]))),(SamplingData[[#This Row],[Total]]+SamplingData[[#This Row],[Winning Candidate]]-SamplingData[[#This Row],[Candidate 4]])/(SamplingData[[#Totals],[Winning Candidate]]-SamplingData[[#Totals],[Candidate 4]]), 0)</f>
        <v>1.4616036715484229E-3</v>
      </c>
      <c r="N1458" s="100">
        <f>IF(AND(SamplingData[[#This Row],[Total]]&lt;&gt; 0, NOT(ISBLANK(SamplingData[[#This Row],[Candidate 5]]))),(SamplingData[[#This Row],[Total]]+SamplingData[[#This Row],[Winning Candidate]]-SamplingData[[#This Row],[Candidate 5]])/(SamplingData[[#Totals],[Winning Candidate]]-SamplingData[[#Totals],[Candidate 5]]), 0)</f>
        <v>1.3621989783507663E-3</v>
      </c>
      <c r="O1458" s="100">
        <f>IF(AND(SamplingData[[#This Row],[Total]]&lt;&gt; 0, NOT(ISBLANK(SamplingData[[#This Row],[Candidate 6]]))),(SamplingData[[#This Row],[Total]]+SamplingData[[#This Row],[Winning Candidate]]-SamplingData[[#This Row],[Candidate 6]])/(SamplingData[[#Totals],[Winning Candidate]]-SamplingData[[#Totals],[Candidate 6]]), 0)</f>
        <v>1.3618014688001555E-3</v>
      </c>
      <c r="P1458" s="100">
        <f>MAX(SamplingData[[#This Row],[Error Bound (up) - Max. possible relative overstatement - Losing Candidate]:[Error Bound (up) - Max. possible relative overstatement - Candidate 6]])</f>
        <v>2.6335129838314553E-3</v>
      </c>
      <c r="Q1458" s="100">
        <f>IF(SamplingData[[#This Row],[Max Error Bound (up)]] = 0,0,SamplingData[[#This Row],[Max Error Bound (up)]]/SamplingData[[#Totals],[Max Error Bound (up)]])</f>
        <v>4.167967759731708E-4</v>
      </c>
      <c r="R1458" s="101">
        <f>SUM($Q$5:Q1458)</f>
        <v>0.46111850904131335</v>
      </c>
      <c r="S1458" s="100" t="str">
        <f t="array" ref="S1458">IF(SamplingData[[#This Row],[up/U Selection Probability]] = 0, "Zero", TEXT(SamplingData[[#This Row],[Lower Range]], REPT("0",LEN('General Info'!$B$40))) &amp; " - " &amp; TEXT(SamplingData[[#This Row],[Upper Range]], REPT("0",LEN('General Info'!$B$40))))</f>
        <v>46070 - 46111</v>
      </c>
      <c r="T1458" s="100">
        <f>SamplingData[[#This Row],[Upper Range]]-SamplingData[[#This Row],[Span]]</f>
        <v>46070.171643330796</v>
      </c>
      <c r="U1458" s="100">
        <f>IF(ISNUMBER('General Info'!$B$40), ((SamplingData[[#This Row],[up/U Selection Probability]]) * 'General Info'!$B$40) - 1, 0)</f>
        <v>40.679260800541108</v>
      </c>
      <c r="V1458" s="100">
        <f>IF(ISNUMBER('General Info'!$B$40), (SamplingData[[#This Row],[Running (cumulative) sum]] * ('General Info'!$B$40 -'General Info'!$B$41 + 1)) + 'General Info'!$B$41 - 1, 0)</f>
        <v>46110.850904131337</v>
      </c>
      <c r="W1458" s="100" t="str">
        <f>IF(ISERROR(MATCH(SamplingData[[#This Row],[Batch by Type (p)]],SelectedPrecincts[Batch Name], 0)), "", INDEX(SelectedPrecincts[Draw], MATCH(SamplingData[[#This Row],[Batch by Type (p)]],SelectedPrecincts[Batch Name], 0)))</f>
        <v/>
      </c>
      <c r="X1458" s="102">
        <f>IF(COUNTIF(SelectedPrecincts[Batch Name],SamplingData[[#This Row],[Batch by Type (p)]]) &lt;&gt; 0, COUNTIF(SelectedPrecincts[Batch Name],SamplingData[[#This Row],[Batch by Type (p)]]), 0)</f>
        <v>0</v>
      </c>
    </row>
    <row r="1459" spans="1:24" ht="15" customHeight="1">
      <c r="A1459" s="18" t="s">
        <v>1635</v>
      </c>
      <c r="B1459" s="18">
        <v>53</v>
      </c>
      <c r="C1459" s="18">
        <v>49</v>
      </c>
      <c r="D1459" s="16">
        <v>18</v>
      </c>
      <c r="E1459" s="16">
        <v>14</v>
      </c>
      <c r="F1459" s="37">
        <v>2</v>
      </c>
      <c r="G1459" s="37">
        <v>0</v>
      </c>
      <c r="H1459" s="17">
        <v>0</v>
      </c>
      <c r="I1459" s="17">
        <v>1</v>
      </c>
      <c r="J1459" s="99">
        <f>SUM(SamplingData[[#This Row],[Losing Candidate]:[Under Votes]])</f>
        <v>137</v>
      </c>
      <c r="K1459" s="100">
        <f>IF(AND(SamplingData[[#This Row],[Total]]&lt;&gt; 0, NOT(ISBLANK(SamplingData[[#This Row],[Losing Candidate]]))),(SamplingData[[#This Row],[Total]]+SamplingData[[#This Row],[Winning Candidate]]-SamplingData[[#This Row],[Losing Candidate]])/(SamplingData[[#Totals],[Winning Candidate]]-SamplingData[[#Totals],[Losing Candidate]]), 0)</f>
        <v>8.1455169034786862E-3</v>
      </c>
      <c r="L1459" s="100">
        <f>IF(AND(SamplingData[[#This Row],[Total]]&lt;&gt; 0, NOT(ISBLANK(SamplingData[[#This Row],[Candidate 3]]))),(SamplingData[[#This Row],[Total]]+SamplingData[[#This Row],[Winning Candidate]]-SamplingData[[#This Row],[Candidate 3]])/(SamplingData[[#Totals],[Winning Candidate]]-SamplingData[[#Totals],[Candidate 3]]), 0)</f>
        <v>5.4198793431622415E-3</v>
      </c>
      <c r="M1459" s="100">
        <f>IF(AND(SamplingData[[#This Row],[Total]]&lt;&gt; 0, NOT(ISBLANK(SamplingData[[#This Row],[Candidate 4]]))),(SamplingData[[#This Row],[Total]]+SamplingData[[#This Row],[Winning Candidate]]-SamplingData[[#This Row],[Candidate 4]])/(SamplingData[[#Totals],[Winning Candidate]]-SamplingData[[#Totals],[Candidate 4]]), 0)</f>
        <v>5.0279166301265745E-3</v>
      </c>
      <c r="N1459" s="100">
        <f>IF(AND(SamplingData[[#This Row],[Total]]&lt;&gt; 0, NOT(ISBLANK(SamplingData[[#This Row],[Candidate 5]]))),(SamplingData[[#This Row],[Total]]+SamplingData[[#This Row],[Winning Candidate]]-SamplingData[[#This Row],[Candidate 5]])/(SamplingData[[#Totals],[Winning Candidate]]-SamplingData[[#Totals],[Candidate 5]]), 0)</f>
        <v>4.475796643152518E-3</v>
      </c>
      <c r="O1459" s="100">
        <f>IF(AND(SamplingData[[#This Row],[Total]]&lt;&gt; 0, NOT(ISBLANK(SamplingData[[#This Row],[Candidate 6]]))),(SamplingData[[#This Row],[Total]]+SamplingData[[#This Row],[Winning Candidate]]-SamplingData[[#This Row],[Candidate 6]])/(SamplingData[[#Totals],[Winning Candidate]]-SamplingData[[#Totals],[Candidate 6]]), 0)</f>
        <v>4.5231263070862312E-3</v>
      </c>
      <c r="P1459" s="100">
        <f>MAX(SamplingData[[#This Row],[Error Bound (up) - Max. possible relative overstatement - Losing Candidate]:[Error Bound (up) - Max. possible relative overstatement - Candidate 6]])</f>
        <v>8.1455169034786862E-3</v>
      </c>
      <c r="Q1459" s="100">
        <f>IF(SamplingData[[#This Row],[Max Error Bound (up)]] = 0,0,SamplingData[[#This Row],[Max Error Bound (up)]]/SamplingData[[#Totals],[Max Error Bound (up)]])</f>
        <v>1.2891621210332955E-3</v>
      </c>
      <c r="R1459" s="101">
        <f>SUM($Q$5:Q1459)</f>
        <v>0.46240767116234666</v>
      </c>
      <c r="S1459" s="100" t="str">
        <f t="array" ref="S1459">IF(SamplingData[[#This Row],[up/U Selection Probability]] = 0, "Zero", TEXT(SamplingData[[#This Row],[Lower Range]], REPT("0",LEN('General Info'!$B$40))) &amp; " - " &amp; TEXT(SamplingData[[#This Row],[Upper Range]], REPT("0",LEN('General Info'!$B$40))))</f>
        <v>46112 - 46240</v>
      </c>
      <c r="T1459" s="100">
        <f>SamplingData[[#This Row],[Upper Range]]-SamplingData[[#This Row],[Span]]</f>
        <v>46111.85219329346</v>
      </c>
      <c r="U1459" s="100">
        <f>IF(ISNUMBER('General Info'!$B$40), ((SamplingData[[#This Row],[up/U Selection Probability]]) * 'General Info'!$B$40) - 1, 0)</f>
        <v>127.91492294120852</v>
      </c>
      <c r="V1459" s="100">
        <f>IF(ISNUMBER('General Info'!$B$40), (SamplingData[[#This Row],[Running (cumulative) sum]] * ('General Info'!$B$40 -'General Info'!$B$41 + 1)) + 'General Info'!$B$41 - 1, 0)</f>
        <v>46239.767116234667</v>
      </c>
      <c r="W1459" s="100" t="str">
        <f>IF(ISERROR(MATCH(SamplingData[[#This Row],[Batch by Type (p)]],SelectedPrecincts[Batch Name], 0)), "", INDEX(SelectedPrecincts[Draw], MATCH(SamplingData[[#This Row],[Batch by Type (p)]],SelectedPrecincts[Batch Name], 0)))</f>
        <v/>
      </c>
      <c r="X1459" s="102">
        <f>IF(COUNTIF(SelectedPrecincts[Batch Name],SamplingData[[#This Row],[Batch by Type (p)]]) &lt;&gt; 0, COUNTIF(SelectedPrecincts[Batch Name],SamplingData[[#This Row],[Batch by Type (p)]]), 0)</f>
        <v>0</v>
      </c>
    </row>
    <row r="1460" spans="1:24" ht="15" customHeight="1">
      <c r="A1460" s="18" t="s">
        <v>1636</v>
      </c>
      <c r="B1460" s="18">
        <v>11</v>
      </c>
      <c r="C1460" s="18">
        <v>10</v>
      </c>
      <c r="D1460" s="18">
        <v>4</v>
      </c>
      <c r="E1460" s="18">
        <v>1</v>
      </c>
      <c r="F1460" s="18">
        <v>0</v>
      </c>
      <c r="G1460" s="18">
        <v>1</v>
      </c>
      <c r="H1460" s="18">
        <v>0</v>
      </c>
      <c r="I1460" s="18">
        <v>2</v>
      </c>
      <c r="J1460" s="99">
        <f>SUM(SamplingData[[#This Row],[Losing Candidate]:[Under Votes]])</f>
        <v>29</v>
      </c>
      <c r="K1460"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460" s="100">
        <f>IF(AND(SamplingData[[#This Row],[Total]]&lt;&gt; 0, NOT(ISBLANK(SamplingData[[#This Row],[Candidate 3]]))),(SamplingData[[#This Row],[Total]]+SamplingData[[#This Row],[Winning Candidate]]-SamplingData[[#This Row],[Candidate 3]])/(SamplingData[[#Totals],[Winning Candidate]]-SamplingData[[#Totals],[Candidate 3]]), 0)</f>
        <v>1.1291415298254669E-3</v>
      </c>
      <c r="M1460" s="100">
        <f>IF(AND(SamplingData[[#This Row],[Total]]&lt;&gt; 0, NOT(ISBLANK(SamplingData[[#This Row],[Candidate 4]]))),(SamplingData[[#This Row],[Total]]+SamplingData[[#This Row],[Winning Candidate]]-SamplingData[[#This Row],[Candidate 4]])/(SamplingData[[#Totals],[Winning Candidate]]-SamplingData[[#Totals],[Candidate 4]]), 0)</f>
        <v>1.1108187903768015E-3</v>
      </c>
      <c r="N1460" s="100">
        <f>IF(AND(SamplingData[[#This Row],[Total]]&lt;&gt; 0, NOT(ISBLANK(SamplingData[[#This Row],[Candidate 5]]))),(SamplingData[[#This Row],[Total]]+SamplingData[[#This Row],[Winning Candidate]]-SamplingData[[#This Row],[Candidate 5]])/(SamplingData[[#Totals],[Winning Candidate]]-SamplingData[[#Totals],[Candidate 5]]), 0)</f>
        <v>9.4867428849428363E-4</v>
      </c>
      <c r="O1460" s="100">
        <f>IF(AND(SamplingData[[#This Row],[Total]]&lt;&gt; 0, NOT(ISBLANK(SamplingData[[#This Row],[Candidate 6]]))),(SamplingData[[#This Row],[Total]]+SamplingData[[#This Row],[Winning Candidate]]-SamplingData[[#This Row],[Candidate 6]])/(SamplingData[[#Totals],[Winning Candidate]]-SamplingData[[#Totals],[Candidate 6]]), 0)</f>
        <v>9.2407956811439132E-4</v>
      </c>
      <c r="P1460" s="100">
        <f>MAX(SamplingData[[#This Row],[Error Bound (up) - Max. possible relative overstatement - Losing Candidate]:[Error Bound (up) - Max. possible relative overstatement - Candidate 6]])</f>
        <v>1.7148456638902498E-3</v>
      </c>
      <c r="Q1460" s="100">
        <f>IF(SamplingData[[#This Row],[Max Error Bound (up)]] = 0,0,SamplingData[[#This Row],[Max Error Bound (up)]]/SamplingData[[#Totals],[Max Error Bound (up)]])</f>
        <v>2.714025517964833E-4</v>
      </c>
      <c r="R1460" s="101">
        <f>SUM($Q$5:Q1460)</f>
        <v>0.46267907371414313</v>
      </c>
      <c r="S1460" s="100" t="str">
        <f t="array" ref="S1460">IF(SamplingData[[#This Row],[up/U Selection Probability]] = 0, "Zero", TEXT(SamplingData[[#This Row],[Lower Range]], REPT("0",LEN('General Info'!$B$40))) &amp; " - " &amp; TEXT(SamplingData[[#This Row],[Upper Range]], REPT("0",LEN('General Info'!$B$40))))</f>
        <v>46241 - 46267</v>
      </c>
      <c r="T1460" s="100">
        <f>SamplingData[[#This Row],[Upper Range]]-SamplingData[[#This Row],[Span]]</f>
        <v>46240.767387637221</v>
      </c>
      <c r="U1460" s="100">
        <f>IF(ISNUMBER('General Info'!$B$40), ((SamplingData[[#This Row],[up/U Selection Probability]]) * 'General Info'!$B$40) - 1, 0)</f>
        <v>26.139983777096536</v>
      </c>
      <c r="V1460" s="100">
        <f>IF(ISNUMBER('General Info'!$B$40), (SamplingData[[#This Row],[Running (cumulative) sum]] * ('General Info'!$B$40 -'General Info'!$B$41 + 1)) + 'General Info'!$B$41 - 1, 0)</f>
        <v>46266.907371414316</v>
      </c>
      <c r="W1460" s="100" t="str">
        <f>IF(ISERROR(MATCH(SamplingData[[#This Row],[Batch by Type (p)]],SelectedPrecincts[Batch Name], 0)), "", INDEX(SelectedPrecincts[Draw], MATCH(SamplingData[[#This Row],[Batch by Type (p)]],SelectedPrecincts[Batch Name], 0)))</f>
        <v/>
      </c>
      <c r="X1460" s="102">
        <f>IF(COUNTIF(SelectedPrecincts[Batch Name],SamplingData[[#This Row],[Batch by Type (p)]]) &lt;&gt; 0, COUNTIF(SelectedPrecincts[Batch Name],SamplingData[[#This Row],[Batch by Type (p)]]), 0)</f>
        <v>0</v>
      </c>
    </row>
    <row r="1461" spans="1:24" ht="15" customHeight="1">
      <c r="A1461" s="18" t="s">
        <v>1637</v>
      </c>
      <c r="B1461" s="18">
        <v>41</v>
      </c>
      <c r="C1461" s="18">
        <v>59</v>
      </c>
      <c r="D1461" s="16">
        <v>17</v>
      </c>
      <c r="E1461" s="16">
        <v>16</v>
      </c>
      <c r="F1461" s="37">
        <v>1</v>
      </c>
      <c r="G1461" s="37">
        <v>1</v>
      </c>
      <c r="H1461" s="17">
        <v>0</v>
      </c>
      <c r="I1461" s="17">
        <v>8</v>
      </c>
      <c r="J1461" s="99">
        <f>SUM(SamplingData[[#This Row],[Losing Candidate]:[Under Votes]])</f>
        <v>143</v>
      </c>
      <c r="K1461" s="100">
        <f>IF(AND(SamplingData[[#This Row],[Total]]&lt;&gt; 0, NOT(ISBLANK(SamplingData[[#This Row],[Losing Candidate]]))),(SamplingData[[#This Row],[Total]]+SamplingData[[#This Row],[Winning Candidate]]-SamplingData[[#This Row],[Losing Candidate]])/(SamplingData[[#Totals],[Winning Candidate]]-SamplingData[[#Totals],[Losing Candidate]]), 0)</f>
        <v>9.8603625673689375E-3</v>
      </c>
      <c r="L1461" s="100">
        <f>IF(AND(SamplingData[[#This Row],[Total]]&lt;&gt; 0, NOT(ISBLANK(SamplingData[[#This Row],[Candidate 3]]))),(SamplingData[[#This Row],[Total]]+SamplingData[[#This Row],[Winning Candidate]]-SamplingData[[#This Row],[Candidate 3]])/(SamplingData[[#Totals],[Winning Candidate]]-SamplingData[[#Totals],[Candidate 3]]), 0)</f>
        <v>5.9683195147917541E-3</v>
      </c>
      <c r="M1461" s="100">
        <f>IF(AND(SamplingData[[#This Row],[Total]]&lt;&gt; 0, NOT(ISBLANK(SamplingData[[#This Row],[Candidate 4]]))),(SamplingData[[#This Row],[Total]]+SamplingData[[#This Row],[Winning Candidate]]-SamplingData[[#This Row],[Candidate 4]])/(SamplingData[[#Totals],[Winning Candidate]]-SamplingData[[#Totals],[Candidate 4]]), 0)</f>
        <v>5.437165658160133E-3</v>
      </c>
      <c r="N1461" s="100">
        <f>IF(AND(SamplingData[[#This Row],[Total]]&lt;&gt; 0, NOT(ISBLANK(SamplingData[[#This Row],[Candidate 5]]))),(SamplingData[[#This Row],[Total]]+SamplingData[[#This Row],[Winning Candidate]]-SamplingData[[#This Row],[Candidate 5]])/(SamplingData[[#Totals],[Winning Candidate]]-SamplingData[[#Totals],[Candidate 5]]), 0)</f>
        <v>4.889321333009E-3</v>
      </c>
      <c r="O1461" s="100">
        <f>IF(AND(SamplingData[[#This Row],[Total]]&lt;&gt; 0, NOT(ISBLANK(SamplingData[[#This Row],[Candidate 6]]))),(SamplingData[[#This Row],[Total]]+SamplingData[[#This Row],[Winning Candidate]]-SamplingData[[#This Row],[Candidate 6]])/(SamplingData[[#Totals],[Winning Candidate]]-SamplingData[[#Totals],[Candidate 6]]), 0)</f>
        <v>4.8878945576577015E-3</v>
      </c>
      <c r="P1461" s="100">
        <f>MAX(SamplingData[[#This Row],[Error Bound (up) - Max. possible relative overstatement - Losing Candidate]:[Error Bound (up) - Max. possible relative overstatement - Candidate 6]])</f>
        <v>9.8603625673689375E-3</v>
      </c>
      <c r="Q1461" s="100">
        <f>IF(SamplingData[[#This Row],[Max Error Bound (up)]] = 0,0,SamplingData[[#This Row],[Max Error Bound (up)]]/SamplingData[[#Totals],[Max Error Bound (up)]])</f>
        <v>1.560564672829779E-3</v>
      </c>
      <c r="R1461" s="101">
        <f>SUM($Q$5:Q1461)</f>
        <v>0.46423963838697291</v>
      </c>
      <c r="S1461" s="100" t="str">
        <f t="array" ref="S1461">IF(SamplingData[[#This Row],[up/U Selection Probability]] = 0, "Zero", TEXT(SamplingData[[#This Row],[Lower Range]], REPT("0",LEN('General Info'!$B$40))) &amp; " - " &amp; TEXT(SamplingData[[#This Row],[Upper Range]], REPT("0",LEN('General Info'!$B$40))))</f>
        <v>46268 - 46423</v>
      </c>
      <c r="T1461" s="100">
        <f>SamplingData[[#This Row],[Upper Range]]-SamplingData[[#This Row],[Span]]</f>
        <v>46267.908931978985</v>
      </c>
      <c r="U1461" s="100">
        <f>IF(ISNUMBER('General Info'!$B$40), ((SamplingData[[#This Row],[up/U Selection Probability]]) * 'General Info'!$B$40) - 1, 0)</f>
        <v>155.05490671830506</v>
      </c>
      <c r="V1461" s="100">
        <f>IF(ISNUMBER('General Info'!$B$40), (SamplingData[[#This Row],[Running (cumulative) sum]] * ('General Info'!$B$40 -'General Info'!$B$41 + 1)) + 'General Info'!$B$41 - 1, 0)</f>
        <v>46422.963838697287</v>
      </c>
      <c r="W1461" s="100" t="str">
        <f>IF(ISERROR(MATCH(SamplingData[[#This Row],[Batch by Type (p)]],SelectedPrecincts[Batch Name], 0)), "", INDEX(SelectedPrecincts[Draw], MATCH(SamplingData[[#This Row],[Batch by Type (p)]],SelectedPrecincts[Batch Name], 0)))</f>
        <v/>
      </c>
      <c r="X1461" s="102">
        <f>IF(COUNTIF(SelectedPrecincts[Batch Name],SamplingData[[#This Row],[Batch by Type (p)]]) &lt;&gt; 0, COUNTIF(SelectedPrecincts[Batch Name],SamplingData[[#This Row],[Batch by Type (p)]]), 0)</f>
        <v>0</v>
      </c>
    </row>
    <row r="1462" spans="1:24" ht="15" customHeight="1">
      <c r="A1462" s="18" t="s">
        <v>1638</v>
      </c>
      <c r="B1462" s="18">
        <v>19</v>
      </c>
      <c r="C1462" s="18">
        <v>11</v>
      </c>
      <c r="D1462" s="18">
        <v>7</v>
      </c>
      <c r="E1462" s="18">
        <v>3</v>
      </c>
      <c r="F1462" s="18">
        <v>0</v>
      </c>
      <c r="G1462" s="18">
        <v>0</v>
      </c>
      <c r="H1462" s="18">
        <v>0</v>
      </c>
      <c r="I1462" s="18">
        <v>0</v>
      </c>
      <c r="J1462" s="99">
        <f>SUM(SamplingData[[#This Row],[Losing Candidate]:[Under Votes]])</f>
        <v>40</v>
      </c>
      <c r="K1462"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462" s="100">
        <f>IF(AND(SamplingData[[#This Row],[Total]]&lt;&gt; 0, NOT(ISBLANK(SamplingData[[#This Row],[Candidate 3]]))),(SamplingData[[#This Row],[Total]]+SamplingData[[#This Row],[Winning Candidate]]-SamplingData[[#This Row],[Candidate 3]])/(SamplingData[[#Totals],[Winning Candidate]]-SamplingData[[#Totals],[Candidate 3]]), 0)</f>
        <v>1.4194922089234441E-3</v>
      </c>
      <c r="M1462" s="100">
        <f>IF(AND(SamplingData[[#This Row],[Total]]&lt;&gt; 0, NOT(ISBLANK(SamplingData[[#This Row],[Candidate 4]]))),(SamplingData[[#This Row],[Total]]+SamplingData[[#This Row],[Winning Candidate]]-SamplingData[[#This Row],[Candidate 4]])/(SamplingData[[#Totals],[Winning Candidate]]-SamplingData[[#Totals],[Candidate 4]]), 0)</f>
        <v>1.403139524686486E-3</v>
      </c>
      <c r="N1462" s="100">
        <f>IF(AND(SamplingData[[#This Row],[Total]]&lt;&gt; 0, NOT(ISBLANK(SamplingData[[#This Row],[Candidate 5]]))),(SamplingData[[#This Row],[Total]]+SamplingData[[#This Row],[Winning Candidate]]-SamplingData[[#This Row],[Candidate 5]])/(SamplingData[[#Totals],[Winning Candidate]]-SamplingData[[#Totals],[Candidate 5]]), 0)</f>
        <v>1.2405740695694478E-3</v>
      </c>
      <c r="O1462" s="100">
        <f>IF(AND(SamplingData[[#This Row],[Total]]&lt;&gt; 0, NOT(ISBLANK(SamplingData[[#This Row],[Candidate 6]]))),(SamplingData[[#This Row],[Total]]+SamplingData[[#This Row],[Winning Candidate]]-SamplingData[[#This Row],[Candidate 6]])/(SamplingData[[#Totals],[Winning Candidate]]-SamplingData[[#Totals],[Candidate 6]]), 0)</f>
        <v>1.2402120519429988E-3</v>
      </c>
      <c r="P1462" s="100">
        <f>MAX(SamplingData[[#This Row],[Error Bound (up) - Max. possible relative overstatement - Losing Candidate]:[Error Bound (up) - Max. possible relative overstatement - Candidate 6]])</f>
        <v>1.9598236158745713E-3</v>
      </c>
      <c r="Q1462" s="100">
        <f>IF(SamplingData[[#This Row],[Max Error Bound (up)]] = 0,0,SamplingData[[#This Row],[Max Error Bound (up)]]/SamplingData[[#Totals],[Max Error Bound (up)]])</f>
        <v>3.1017434491026661E-4</v>
      </c>
      <c r="R1462" s="101">
        <f>SUM($Q$5:Q1462)</f>
        <v>0.46454981273188317</v>
      </c>
      <c r="S1462" s="100" t="str">
        <f t="array" ref="S1462">IF(SamplingData[[#This Row],[up/U Selection Probability]] = 0, "Zero", TEXT(SamplingData[[#This Row],[Lower Range]], REPT("0",LEN('General Info'!$B$40))) &amp; " - " &amp; TEXT(SamplingData[[#This Row],[Upper Range]], REPT("0",LEN('General Info'!$B$40))))</f>
        <v>46424 - 46454</v>
      </c>
      <c r="T1462" s="100">
        <f>SamplingData[[#This Row],[Upper Range]]-SamplingData[[#This Row],[Span]]</f>
        <v>46423.96414887163</v>
      </c>
      <c r="U1462" s="100">
        <f>IF(ISNUMBER('General Info'!$B$40), ((SamplingData[[#This Row],[up/U Selection Probability]]) * 'General Info'!$B$40) - 1, 0)</f>
        <v>30.017124316681752</v>
      </c>
      <c r="V1462" s="100">
        <f>IF(ISNUMBER('General Info'!$B$40), (SamplingData[[#This Row],[Running (cumulative) sum]] * ('General Info'!$B$40 -'General Info'!$B$41 + 1)) + 'General Info'!$B$41 - 1, 0)</f>
        <v>46453.981273188314</v>
      </c>
      <c r="W1462" s="100" t="str">
        <f>IF(ISERROR(MATCH(SamplingData[[#This Row],[Batch by Type (p)]],SelectedPrecincts[Batch Name], 0)), "", INDEX(SelectedPrecincts[Draw], MATCH(SamplingData[[#This Row],[Batch by Type (p)]],SelectedPrecincts[Batch Name], 0)))</f>
        <v/>
      </c>
      <c r="X1462" s="102">
        <f>IF(COUNTIF(SelectedPrecincts[Batch Name],SamplingData[[#This Row],[Batch by Type (p)]]) &lt;&gt; 0, COUNTIF(SelectedPrecincts[Batch Name],SamplingData[[#This Row],[Batch by Type (p)]]), 0)</f>
        <v>0</v>
      </c>
    </row>
    <row r="1463" spans="1:24" ht="15" customHeight="1">
      <c r="A1463" s="18" t="s">
        <v>1639</v>
      </c>
      <c r="B1463" s="18">
        <v>25</v>
      </c>
      <c r="C1463" s="18">
        <v>17</v>
      </c>
      <c r="D1463" s="16">
        <v>13</v>
      </c>
      <c r="E1463" s="16">
        <v>7</v>
      </c>
      <c r="F1463" s="37">
        <v>0</v>
      </c>
      <c r="G1463" s="37">
        <v>1</v>
      </c>
      <c r="H1463" s="17">
        <v>0</v>
      </c>
      <c r="I1463" s="17">
        <v>3</v>
      </c>
      <c r="J1463" s="99">
        <f>SUM(SamplingData[[#This Row],[Losing Candidate]:[Under Votes]])</f>
        <v>66</v>
      </c>
      <c r="K1463" s="100">
        <f>IF(AND(SamplingData[[#This Row],[Total]]&lt;&gt; 0, NOT(ISBLANK(SamplingData[[#This Row],[Losing Candidate]]))),(SamplingData[[#This Row],[Total]]+SamplingData[[#This Row],[Winning Candidate]]-SamplingData[[#This Row],[Losing Candidate]])/(SamplingData[[#Totals],[Winning Candidate]]-SamplingData[[#Totals],[Losing Candidate]]), 0)</f>
        <v>3.5521803037726605E-3</v>
      </c>
      <c r="L1463" s="100">
        <f>IF(AND(SamplingData[[#This Row],[Total]]&lt;&gt; 0, NOT(ISBLANK(SamplingData[[#This Row],[Candidate 3]]))),(SamplingData[[#This Row],[Total]]+SamplingData[[#This Row],[Winning Candidate]]-SamplingData[[#This Row],[Candidate 3]])/(SamplingData[[#Totals],[Winning Candidate]]-SamplingData[[#Totals],[Candidate 3]]), 0)</f>
        <v>2.2582830596509338E-3</v>
      </c>
      <c r="M1463" s="100">
        <f>IF(AND(SamplingData[[#This Row],[Total]]&lt;&gt; 0, NOT(ISBLANK(SamplingData[[#This Row],[Candidate 4]]))),(SamplingData[[#This Row],[Total]]+SamplingData[[#This Row],[Winning Candidate]]-SamplingData[[#This Row],[Candidate 4]])/(SamplingData[[#Totals],[Winning Candidate]]-SamplingData[[#Totals],[Candidate 4]]), 0)</f>
        <v>2.221637580753603E-3</v>
      </c>
      <c r="N1463" s="100">
        <f>IF(AND(SamplingData[[#This Row],[Total]]&lt;&gt; 0, NOT(ISBLANK(SamplingData[[#This Row],[Candidate 5]]))),(SamplingData[[#This Row],[Total]]+SamplingData[[#This Row],[Winning Candidate]]-SamplingData[[#This Row],[Candidate 5]])/(SamplingData[[#Totals],[Winning Candidate]]-SamplingData[[#Totals],[Candidate 5]]), 0)</f>
        <v>2.0189734857698855E-3</v>
      </c>
      <c r="O1463" s="100">
        <f>IF(AND(SamplingData[[#This Row],[Total]]&lt;&gt; 0, NOT(ISBLANK(SamplingData[[#This Row],[Candidate 6]]))),(SamplingData[[#This Row],[Total]]+SamplingData[[#This Row],[Winning Candidate]]-SamplingData[[#This Row],[Candidate 6]])/(SamplingData[[#Totals],[Winning Candidate]]-SamplingData[[#Totals],[Candidate 6]]), 0)</f>
        <v>1.9940664364573707E-3</v>
      </c>
      <c r="P1463" s="100">
        <f>MAX(SamplingData[[#This Row],[Error Bound (up) - Max. possible relative overstatement - Losing Candidate]:[Error Bound (up) - Max. possible relative overstatement - Candidate 6]])</f>
        <v>3.5521803037726605E-3</v>
      </c>
      <c r="Q1463" s="100">
        <f>IF(SamplingData[[#This Row],[Max Error Bound (up)]] = 0,0,SamplingData[[#This Row],[Max Error Bound (up)]]/SamplingData[[#Totals],[Max Error Bound (up)]])</f>
        <v>5.6219100014985829E-4</v>
      </c>
      <c r="R1463" s="101">
        <f>SUM($Q$5:Q1463)</f>
        <v>0.46511200373203304</v>
      </c>
      <c r="S1463" s="100" t="str">
        <f t="array" ref="S1463">IF(SamplingData[[#This Row],[up/U Selection Probability]] = 0, "Zero", TEXT(SamplingData[[#This Row],[Lower Range]], REPT("0",LEN('General Info'!$B$40))) &amp; " - " &amp; TEXT(SamplingData[[#This Row],[Upper Range]], REPT("0",LEN('General Info'!$B$40))))</f>
        <v>46455 - 46510</v>
      </c>
      <c r="T1463" s="100">
        <f>SamplingData[[#This Row],[Upper Range]]-SamplingData[[#This Row],[Span]]</f>
        <v>46454.981835379316</v>
      </c>
      <c r="U1463" s="100">
        <f>IF(ISNUMBER('General Info'!$B$40), ((SamplingData[[#This Row],[up/U Selection Probability]]) * 'General Info'!$B$40) - 1, 0)</f>
        <v>55.218537823985677</v>
      </c>
      <c r="V1463" s="100">
        <f>IF(ISNUMBER('General Info'!$B$40), (SamplingData[[#This Row],[Running (cumulative) sum]] * ('General Info'!$B$40 -'General Info'!$B$41 + 1)) + 'General Info'!$B$41 - 1, 0)</f>
        <v>46510.200373203304</v>
      </c>
      <c r="W1463" s="100" t="str">
        <f>IF(ISERROR(MATCH(SamplingData[[#This Row],[Batch by Type (p)]],SelectedPrecincts[Batch Name], 0)), "", INDEX(SelectedPrecincts[Draw], MATCH(SamplingData[[#This Row],[Batch by Type (p)]],SelectedPrecincts[Batch Name], 0)))</f>
        <v/>
      </c>
      <c r="X1463" s="102">
        <f>IF(COUNTIF(SelectedPrecincts[Batch Name],SamplingData[[#This Row],[Batch by Type (p)]]) &lt;&gt; 0, COUNTIF(SelectedPrecincts[Batch Name],SamplingData[[#This Row],[Batch by Type (p)]]), 0)</f>
        <v>0</v>
      </c>
    </row>
    <row r="1464" spans="1:24" ht="15" customHeight="1">
      <c r="A1464" s="18" t="s">
        <v>1640</v>
      </c>
      <c r="B1464" s="18">
        <v>12</v>
      </c>
      <c r="C1464" s="18">
        <v>5</v>
      </c>
      <c r="D1464" s="18">
        <v>7</v>
      </c>
      <c r="E1464" s="18">
        <v>2</v>
      </c>
      <c r="F1464" s="18">
        <v>0</v>
      </c>
      <c r="G1464" s="18">
        <v>0</v>
      </c>
      <c r="H1464" s="18">
        <v>0</v>
      </c>
      <c r="I1464" s="18">
        <v>1</v>
      </c>
      <c r="J1464" s="99">
        <f>SUM(SamplingData[[#This Row],[Losing Candidate]:[Under Votes]])</f>
        <v>27</v>
      </c>
      <c r="K1464"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464" s="100">
        <f>IF(AND(SamplingData[[#This Row],[Total]]&lt;&gt; 0, NOT(ISBLANK(SamplingData[[#This Row],[Candidate 3]]))),(SamplingData[[#This Row],[Total]]+SamplingData[[#This Row],[Winning Candidate]]-SamplingData[[#This Row],[Candidate 3]])/(SamplingData[[#Totals],[Winning Candidate]]-SamplingData[[#Totals],[Candidate 3]]), 0)</f>
        <v>8.0652966416104783E-4</v>
      </c>
      <c r="M1464" s="100">
        <f>IF(AND(SamplingData[[#This Row],[Total]]&lt;&gt; 0, NOT(ISBLANK(SamplingData[[#This Row],[Candidate 4]]))),(SamplingData[[#This Row],[Total]]+SamplingData[[#This Row],[Winning Candidate]]-SamplingData[[#This Row],[Candidate 4]])/(SamplingData[[#Totals],[Winning Candidate]]-SamplingData[[#Totals],[Candidate 4]]), 0)</f>
        <v>8.7696220292905378E-4</v>
      </c>
      <c r="N1464" s="100">
        <f>IF(AND(SamplingData[[#This Row],[Total]]&lt;&gt; 0, NOT(ISBLANK(SamplingData[[#This Row],[Candidate 5]]))),(SamplingData[[#This Row],[Total]]+SamplingData[[#This Row],[Winning Candidate]]-SamplingData[[#This Row],[Candidate 5]])/(SamplingData[[#Totals],[Winning Candidate]]-SamplingData[[#Totals],[Candidate 5]]), 0)</f>
        <v>7.7839941620043787E-4</v>
      </c>
      <c r="O1464" s="100">
        <f>IF(AND(SamplingData[[#This Row],[Total]]&lt;&gt; 0, NOT(ISBLANK(SamplingData[[#This Row],[Candidate 6]]))),(SamplingData[[#This Row],[Total]]+SamplingData[[#This Row],[Winning Candidate]]-SamplingData[[#This Row],[Candidate 6]])/(SamplingData[[#Totals],[Winning Candidate]]-SamplingData[[#Totals],[Candidate 6]]), 0)</f>
        <v>7.7817226788580321E-4</v>
      </c>
      <c r="P1464" s="100">
        <f>MAX(SamplingData[[#This Row],[Error Bound (up) - Max. possible relative overstatement - Losing Candidate]:[Error Bound (up) - Max. possible relative overstatement - Candidate 6]])</f>
        <v>1.224889759921607E-3</v>
      </c>
      <c r="Q1464" s="100">
        <f>IF(SamplingData[[#This Row],[Max Error Bound (up)]] = 0,0,SamplingData[[#This Row],[Max Error Bound (up)]]/SamplingData[[#Totals],[Max Error Bound (up)]])</f>
        <v>1.9385896556891664E-4</v>
      </c>
      <c r="R1464" s="101">
        <f>SUM($Q$5:Q1464)</f>
        <v>0.46530586269760194</v>
      </c>
      <c r="S1464" s="100" t="str">
        <f t="array" ref="S1464">IF(SamplingData[[#This Row],[up/U Selection Probability]] = 0, "Zero", TEXT(SamplingData[[#This Row],[Lower Range]], REPT("0",LEN('General Info'!$B$40))) &amp; " - " &amp; TEXT(SamplingData[[#This Row],[Upper Range]], REPT("0",LEN('General Info'!$B$40))))</f>
        <v>46511 - 46530</v>
      </c>
      <c r="T1464" s="100">
        <f>SamplingData[[#This Row],[Upper Range]]-SamplingData[[#This Row],[Span]]</f>
        <v>46511.200567062268</v>
      </c>
      <c r="U1464" s="100">
        <f>IF(ISNUMBER('General Info'!$B$40), ((SamplingData[[#This Row],[up/U Selection Probability]]) * 'General Info'!$B$40) - 1, 0)</f>
        <v>18.385702697926096</v>
      </c>
      <c r="V1464" s="100">
        <f>IF(ISNUMBER('General Info'!$B$40), (SamplingData[[#This Row],[Running (cumulative) sum]] * ('General Info'!$B$40 -'General Info'!$B$41 + 1)) + 'General Info'!$B$41 - 1, 0)</f>
        <v>46529.586269760191</v>
      </c>
      <c r="W1464" s="100" t="str">
        <f>IF(ISERROR(MATCH(SamplingData[[#This Row],[Batch by Type (p)]],SelectedPrecincts[Batch Name], 0)), "", INDEX(SelectedPrecincts[Draw], MATCH(SamplingData[[#This Row],[Batch by Type (p)]],SelectedPrecincts[Batch Name], 0)))</f>
        <v/>
      </c>
      <c r="X1464" s="102">
        <f>IF(COUNTIF(SelectedPrecincts[Batch Name],SamplingData[[#This Row],[Batch by Type (p)]]) &lt;&gt; 0, COUNTIF(SelectedPrecincts[Batch Name],SamplingData[[#This Row],[Batch by Type (p)]]), 0)</f>
        <v>0</v>
      </c>
    </row>
    <row r="1465" spans="1:24" ht="15" customHeight="1">
      <c r="A1465" s="18" t="s">
        <v>1641</v>
      </c>
      <c r="B1465" s="18">
        <v>35</v>
      </c>
      <c r="C1465" s="18">
        <v>72</v>
      </c>
      <c r="D1465" s="16">
        <v>11</v>
      </c>
      <c r="E1465" s="16">
        <v>5</v>
      </c>
      <c r="F1465" s="37">
        <v>1</v>
      </c>
      <c r="G1465" s="37">
        <v>0</v>
      </c>
      <c r="H1465" s="17">
        <v>0</v>
      </c>
      <c r="I1465" s="17">
        <v>4</v>
      </c>
      <c r="J1465" s="99">
        <f>SUM(SamplingData[[#This Row],[Losing Candidate]:[Under Votes]])</f>
        <v>128</v>
      </c>
      <c r="K1465" s="100">
        <f>IF(AND(SamplingData[[#This Row],[Total]]&lt;&gt; 0, NOT(ISBLANK(SamplingData[[#This Row],[Losing Candidate]]))),(SamplingData[[#This Row],[Total]]+SamplingData[[#This Row],[Winning Candidate]]-SamplingData[[#This Row],[Losing Candidate]])/(SamplingData[[#Totals],[Winning Candidate]]-SamplingData[[#Totals],[Losing Candidate]]), 0)</f>
        <v>1.0105340519353257E-2</v>
      </c>
      <c r="L1465" s="100">
        <f>IF(AND(SamplingData[[#This Row],[Total]]&lt;&gt; 0, NOT(ISBLANK(SamplingData[[#This Row],[Candidate 3]]))),(SamplingData[[#This Row],[Total]]+SamplingData[[#This Row],[Winning Candidate]]-SamplingData[[#This Row],[Candidate 3]])/(SamplingData[[#Totals],[Winning Candidate]]-SamplingData[[#Totals],[Candidate 3]]), 0)</f>
        <v>6.097364261057522E-3</v>
      </c>
      <c r="M1465" s="100">
        <f>IF(AND(SamplingData[[#This Row],[Total]]&lt;&gt; 0, NOT(ISBLANK(SamplingData[[#This Row],[Candidate 4]]))),(SamplingData[[#This Row],[Total]]+SamplingData[[#This Row],[Winning Candidate]]-SamplingData[[#This Row],[Candidate 4]])/(SamplingData[[#Totals],[Winning Candidate]]-SamplingData[[#Totals],[Candidate 4]]), 0)</f>
        <v>5.7002543190388492E-3</v>
      </c>
      <c r="N1465" s="100">
        <f>IF(AND(SamplingData[[#This Row],[Total]]&lt;&gt; 0, NOT(ISBLANK(SamplingData[[#This Row],[Candidate 5]]))),(SamplingData[[#This Row],[Total]]+SamplingData[[#This Row],[Winning Candidate]]-SamplingData[[#This Row],[Candidate 5]])/(SamplingData[[#Totals],[Winning Candidate]]-SamplingData[[#Totals],[Candidate 5]]), 0)</f>
        <v>4.8406713694964729E-3</v>
      </c>
      <c r="O1465" s="100">
        <f>IF(AND(SamplingData[[#This Row],[Total]]&lt;&gt; 0, NOT(ISBLANK(SamplingData[[#This Row],[Candidate 6]]))),(SamplingData[[#This Row],[Total]]+SamplingData[[#This Row],[Winning Candidate]]-SamplingData[[#This Row],[Candidate 6]])/(SamplingData[[#Totals],[Winning Candidate]]-SamplingData[[#Totals],[Candidate 6]]), 0)</f>
        <v>4.8635766742862697E-3</v>
      </c>
      <c r="P1465" s="100">
        <f>MAX(SamplingData[[#This Row],[Error Bound (up) - Max. possible relative overstatement - Losing Candidate]:[Error Bound (up) - Max. possible relative overstatement - Candidate 6]])</f>
        <v>1.0105340519353257E-2</v>
      </c>
      <c r="Q1465" s="100">
        <f>IF(SamplingData[[#This Row],[Max Error Bound (up)]] = 0,0,SamplingData[[#This Row],[Max Error Bound (up)]]/SamplingData[[#Totals],[Max Error Bound (up)]])</f>
        <v>1.5993364659435622E-3</v>
      </c>
      <c r="R1465" s="101">
        <f>SUM($Q$5:Q1465)</f>
        <v>0.4669051991635455</v>
      </c>
      <c r="S1465" s="100" t="str">
        <f t="array" ref="S1465">IF(SamplingData[[#This Row],[up/U Selection Probability]] = 0, "Zero", TEXT(SamplingData[[#This Row],[Lower Range]], REPT("0",LEN('General Info'!$B$40))) &amp; " - " &amp; TEXT(SamplingData[[#This Row],[Upper Range]], REPT("0",LEN('General Info'!$B$40))))</f>
        <v>46531 - 46690</v>
      </c>
      <c r="T1465" s="100">
        <f>SamplingData[[#This Row],[Upper Range]]-SamplingData[[#This Row],[Span]]</f>
        <v>46530.587869096657</v>
      </c>
      <c r="U1465" s="100">
        <f>IF(ISNUMBER('General Info'!$B$40), ((SamplingData[[#This Row],[up/U Selection Probability]]) * 'General Info'!$B$40) - 1, 0)</f>
        <v>158.93204725789028</v>
      </c>
      <c r="V1465" s="100">
        <f>IF(ISNUMBER('General Info'!$B$40), (SamplingData[[#This Row],[Running (cumulative) sum]] * ('General Info'!$B$40 -'General Info'!$B$41 + 1)) + 'General Info'!$B$41 - 1, 0)</f>
        <v>46689.519916354548</v>
      </c>
      <c r="W1465" s="100" t="str">
        <f>IF(ISERROR(MATCH(SamplingData[[#This Row],[Batch by Type (p)]],SelectedPrecincts[Batch Name], 0)), "", INDEX(SelectedPrecincts[Draw], MATCH(SamplingData[[#This Row],[Batch by Type (p)]],SelectedPrecincts[Batch Name], 0)))</f>
        <v/>
      </c>
      <c r="X1465" s="102">
        <f>IF(COUNTIF(SelectedPrecincts[Batch Name],SamplingData[[#This Row],[Batch by Type (p)]]) &lt;&gt; 0, COUNTIF(SelectedPrecincts[Batch Name],SamplingData[[#This Row],[Batch by Type (p)]]), 0)</f>
        <v>0</v>
      </c>
    </row>
    <row r="1466" spans="1:24" ht="15" customHeight="1">
      <c r="A1466" s="18" t="s">
        <v>1642</v>
      </c>
      <c r="B1466" s="18">
        <v>22</v>
      </c>
      <c r="C1466" s="18">
        <v>19</v>
      </c>
      <c r="D1466" s="18">
        <v>4</v>
      </c>
      <c r="E1466" s="18">
        <v>4</v>
      </c>
      <c r="F1466" s="18">
        <v>0</v>
      </c>
      <c r="G1466" s="18">
        <v>0</v>
      </c>
      <c r="H1466" s="18">
        <v>0</v>
      </c>
      <c r="I1466" s="18">
        <v>0</v>
      </c>
      <c r="J1466" s="99">
        <f>SUM(SamplingData[[#This Row],[Losing Candidate]:[Under Votes]])</f>
        <v>49</v>
      </c>
      <c r="K1466" s="100">
        <f>IF(AND(SamplingData[[#This Row],[Total]]&lt;&gt; 0, NOT(ISBLANK(SamplingData[[#This Row],[Losing Candidate]]))),(SamplingData[[#This Row],[Total]]+SamplingData[[#This Row],[Winning Candidate]]-SamplingData[[#This Row],[Losing Candidate]])/(SamplingData[[#Totals],[Winning Candidate]]-SamplingData[[#Totals],[Losing Candidate]]), 0)</f>
        <v>2.8172464478196961E-3</v>
      </c>
      <c r="L1466" s="100">
        <f>IF(AND(SamplingData[[#This Row],[Total]]&lt;&gt; 0, NOT(ISBLANK(SamplingData[[#This Row],[Candidate 3]]))),(SamplingData[[#This Row],[Total]]+SamplingData[[#This Row],[Winning Candidate]]-SamplingData[[#This Row],[Candidate 3]])/(SamplingData[[#Totals],[Winning Candidate]]-SamplingData[[#Totals],[Candidate 3]]), 0)</f>
        <v>2.0647159402522827E-3</v>
      </c>
      <c r="M1466" s="100">
        <f>IF(AND(SamplingData[[#This Row],[Total]]&lt;&gt; 0, NOT(ISBLANK(SamplingData[[#This Row],[Candidate 4]]))),(SamplingData[[#This Row],[Total]]+SamplingData[[#This Row],[Winning Candidate]]-SamplingData[[#This Row],[Candidate 4]])/(SamplingData[[#Totals],[Winning Candidate]]-SamplingData[[#Totals],[Candidate 4]]), 0)</f>
        <v>1.8708526995819814E-3</v>
      </c>
      <c r="N1466" s="100">
        <f>IF(AND(SamplingData[[#This Row],[Total]]&lt;&gt; 0, NOT(ISBLANK(SamplingData[[#This Row],[Candidate 5]]))),(SamplingData[[#This Row],[Total]]+SamplingData[[#This Row],[Winning Candidate]]-SamplingData[[#This Row],[Candidate 5]])/(SamplingData[[#Totals],[Winning Candidate]]-SamplingData[[#Totals],[Candidate 5]]), 0)</f>
        <v>1.6540987594259305E-3</v>
      </c>
      <c r="O1466" s="100">
        <f>IF(AND(SamplingData[[#This Row],[Total]]&lt;&gt; 0, NOT(ISBLANK(SamplingData[[#This Row],[Candidate 6]]))),(SamplingData[[#This Row],[Total]]+SamplingData[[#This Row],[Winning Candidate]]-SamplingData[[#This Row],[Candidate 6]])/(SamplingData[[#Totals],[Winning Candidate]]-SamplingData[[#Totals],[Candidate 6]]), 0)</f>
        <v>1.6536160692573318E-3</v>
      </c>
      <c r="P1466" s="100">
        <f>MAX(SamplingData[[#This Row],[Error Bound (up) - Max. possible relative overstatement - Losing Candidate]:[Error Bound (up) - Max. possible relative overstatement - Candidate 6]])</f>
        <v>2.8172464478196961E-3</v>
      </c>
      <c r="Q1466" s="100">
        <f>IF(SamplingData[[#This Row],[Max Error Bound (up)]] = 0,0,SamplingData[[#This Row],[Max Error Bound (up)]]/SamplingData[[#Totals],[Max Error Bound (up)]])</f>
        <v>4.4587562080850821E-4</v>
      </c>
      <c r="R1466" s="101">
        <f>SUM($Q$5:Q1466)</f>
        <v>0.467351074784354</v>
      </c>
      <c r="S1466" s="100" t="str">
        <f t="array" ref="S1466">IF(SamplingData[[#This Row],[up/U Selection Probability]] = 0, "Zero", TEXT(SamplingData[[#This Row],[Lower Range]], REPT("0",LEN('General Info'!$B$40))) &amp; " - " &amp; TEXT(SamplingData[[#This Row],[Upper Range]], REPT("0",LEN('General Info'!$B$40))))</f>
        <v>46691 - 46734</v>
      </c>
      <c r="T1466" s="100">
        <f>SamplingData[[#This Row],[Upper Range]]-SamplingData[[#This Row],[Span]]</f>
        <v>46690.520362230171</v>
      </c>
      <c r="U1466" s="100">
        <f>IF(ISNUMBER('General Info'!$B$40), ((SamplingData[[#This Row],[up/U Selection Probability]]) * 'General Info'!$B$40) - 1, 0)</f>
        <v>43.587116205230011</v>
      </c>
      <c r="V1466" s="100">
        <f>IF(ISNUMBER('General Info'!$B$40), (SamplingData[[#This Row],[Running (cumulative) sum]] * ('General Info'!$B$40 -'General Info'!$B$41 + 1)) + 'General Info'!$B$41 - 1, 0)</f>
        <v>46734.107478435399</v>
      </c>
      <c r="W1466" s="100" t="str">
        <f>IF(ISERROR(MATCH(SamplingData[[#This Row],[Batch by Type (p)]],SelectedPrecincts[Batch Name], 0)), "", INDEX(SelectedPrecincts[Draw], MATCH(SamplingData[[#This Row],[Batch by Type (p)]],SelectedPrecincts[Batch Name], 0)))</f>
        <v/>
      </c>
      <c r="X1466" s="102">
        <f>IF(COUNTIF(SelectedPrecincts[Batch Name],SamplingData[[#This Row],[Batch by Type (p)]]) &lt;&gt; 0, COUNTIF(SelectedPrecincts[Batch Name],SamplingData[[#This Row],[Batch by Type (p)]]), 0)</f>
        <v>0</v>
      </c>
    </row>
    <row r="1467" spans="1:24" ht="15" customHeight="1">
      <c r="A1467" s="18" t="s">
        <v>1643</v>
      </c>
      <c r="B1467" s="18">
        <v>38</v>
      </c>
      <c r="C1467" s="18">
        <v>55</v>
      </c>
      <c r="D1467" s="16">
        <v>28</v>
      </c>
      <c r="E1467" s="16">
        <v>18</v>
      </c>
      <c r="F1467" s="37">
        <v>0</v>
      </c>
      <c r="G1467" s="37">
        <v>0</v>
      </c>
      <c r="H1467" s="17">
        <v>0</v>
      </c>
      <c r="I1467" s="17">
        <v>4</v>
      </c>
      <c r="J1467" s="99">
        <f>SUM(SamplingData[[#This Row],[Losing Candidate]:[Under Votes]])</f>
        <v>143</v>
      </c>
      <c r="K1467"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9.7991180793728563E-3</v>
      </c>
      <c r="L1467" s="100">
        <f>IF(AND(SamplingData[[#This Row],[Total]]&lt;&gt; 0, NOT(ISBLANK(SamplingData[[#This Row],[Candidate 3]]))),(SamplingData[[#This Row],[Total]]+SamplingData[[#This Row],[Winning Candidate]]-SamplingData[[#This Row],[Candidate 3]])/(SamplingData[[#Totals],[Winning Candidate]]-SamplingData[[#Totals],[Candidate 3]]), 0)</f>
        <v>5.4844017162951255E-3</v>
      </c>
      <c r="M1467" s="100">
        <f>IF(AND(SamplingData[[#This Row],[Total]]&lt;&gt; 0, NOT(ISBLANK(SamplingData[[#This Row],[Candidate 4]]))),(SamplingData[[#This Row],[Total]]+SamplingData[[#This Row],[Winning Candidate]]-SamplingData[[#This Row],[Candidate 4]])/(SamplingData[[#Totals],[Winning Candidate]]-SamplingData[[#Totals],[Candidate 4]]), 0)</f>
        <v>5.2617732175743222E-3</v>
      </c>
      <c r="N1467" s="100">
        <f>IF(AND(SamplingData[[#This Row],[Total]]&lt;&gt; 0, NOT(ISBLANK(SamplingData[[#This Row],[Candidate 5]]))),(SamplingData[[#This Row],[Total]]+SamplingData[[#This Row],[Winning Candidate]]-SamplingData[[#This Row],[Candidate 5]])/(SamplingData[[#Totals],[Winning Candidate]]-SamplingData[[#Totals],[Candidate 5]]), 0)</f>
        <v>4.8163463877402089E-3</v>
      </c>
      <c r="O1467" s="100">
        <f>IF(AND(SamplingData[[#This Row],[Total]]&lt;&gt; 0, NOT(ISBLANK(SamplingData[[#This Row],[Candidate 6]]))),(SamplingData[[#This Row],[Total]]+SamplingData[[#This Row],[Winning Candidate]]-SamplingData[[#This Row],[Candidate 6]])/(SamplingData[[#Totals],[Winning Candidate]]-SamplingData[[#Totals],[Candidate 6]]), 0)</f>
        <v>4.8149409075434078E-3</v>
      </c>
      <c r="P1467" s="100">
        <f>MAX(SamplingData[[#This Row],[Error Bound (up) - Max. possible relative overstatement - Losing Candidate]:[Error Bound (up) - Max. possible relative overstatement - Candidate 6]])</f>
        <v>9.7991180793728563E-3</v>
      </c>
      <c r="Q1467" s="100">
        <f>IF(SamplingData[[#This Row],[Max Error Bound (up)]] = 0,0,SamplingData[[#This Row],[Max Error Bound (up)]]/SamplingData[[#Totals],[Max Error Bound (up)]])</f>
        <v>1.5508717245513331E-3</v>
      </c>
      <c r="R1467" s="101">
        <f>SUM($Q$5:Q1467)</f>
        <v>0.46890194650890532</v>
      </c>
      <c r="S1467" s="100" t="str">
        <f t="array" ref="S1467">IF(SamplingData[[#This Row],[up/U Selection Probability]] = 0, "Zero", TEXT(SamplingData[[#This Row],[Lower Range]], REPT("0",LEN('General Info'!$B$40))) &amp; " - " &amp; TEXT(SamplingData[[#This Row],[Upper Range]], REPT("0",LEN('General Info'!$B$40))))</f>
        <v>46735 - 46889</v>
      </c>
      <c r="T1467" s="100">
        <f>SamplingData[[#This Row],[Upper Range]]-SamplingData[[#This Row],[Span]]</f>
        <v>46735.109029307125</v>
      </c>
      <c r="U1467" s="100">
        <f>IF(ISNUMBER('General Info'!$B$40), ((SamplingData[[#This Row],[up/U Selection Probability]]) * 'General Info'!$B$40) - 1, 0)</f>
        <v>154.08562158340877</v>
      </c>
      <c r="V1467" s="100">
        <f>IF(ISNUMBER('General Info'!$B$40), (SamplingData[[#This Row],[Running (cumulative) sum]] * ('General Info'!$B$40 -'General Info'!$B$41 + 1)) + 'General Info'!$B$41 - 1, 0)</f>
        <v>46889.194650890531</v>
      </c>
      <c r="W1467" s="100" t="str">
        <f>IF(ISERROR(MATCH(SamplingData[[#This Row],[Batch by Type (p)]],SelectedPrecincts[Batch Name], 0)), "", INDEX(SelectedPrecincts[Draw], MATCH(SamplingData[[#This Row],[Batch by Type (p)]],SelectedPrecincts[Batch Name], 0)))</f>
        <v/>
      </c>
      <c r="X1467" s="102">
        <f>IF(COUNTIF(SelectedPrecincts[Batch Name],SamplingData[[#This Row],[Batch by Type (p)]]) &lt;&gt; 0, COUNTIF(SelectedPrecincts[Batch Name],SamplingData[[#This Row],[Batch by Type (p)]]), 0)</f>
        <v>0</v>
      </c>
    </row>
    <row r="1468" spans="1:24" ht="15" customHeight="1">
      <c r="A1468" s="18" t="s">
        <v>1644</v>
      </c>
      <c r="B1468" s="18">
        <v>15</v>
      </c>
      <c r="C1468" s="18">
        <v>17</v>
      </c>
      <c r="D1468" s="18">
        <v>9</v>
      </c>
      <c r="E1468" s="18">
        <v>3</v>
      </c>
      <c r="F1468" s="18">
        <v>0</v>
      </c>
      <c r="G1468" s="18">
        <v>1</v>
      </c>
      <c r="H1468" s="18">
        <v>0</v>
      </c>
      <c r="I1468" s="18">
        <v>1</v>
      </c>
      <c r="J1468" s="99">
        <f>SUM(SamplingData[[#This Row],[Losing Candidate]:[Under Votes]])</f>
        <v>46</v>
      </c>
      <c r="K1468" s="100">
        <f>IF(AND(SamplingData[[#This Row],[Total]]&lt;&gt; 0, NOT(ISBLANK(SamplingData[[#This Row],[Losing Candidate]]))),(SamplingData[[#This Row],[Total]]+SamplingData[[#This Row],[Winning Candidate]]-SamplingData[[#This Row],[Losing Candidate]])/(SamplingData[[#Totals],[Winning Candidate]]-SamplingData[[#Totals],[Losing Candidate]]), 0)</f>
        <v>2.9397354238118569E-3</v>
      </c>
      <c r="L1468" s="100">
        <f>IF(AND(SamplingData[[#This Row],[Total]]&lt;&gt; 0, NOT(ISBLANK(SamplingData[[#This Row],[Candidate 3]]))),(SamplingData[[#This Row],[Total]]+SamplingData[[#This Row],[Winning Candidate]]-SamplingData[[#This Row],[Candidate 3]])/(SamplingData[[#Totals],[Winning Candidate]]-SamplingData[[#Totals],[Candidate 3]]), 0)</f>
        <v>1.7421040745878634E-3</v>
      </c>
      <c r="M1468" s="100">
        <f>IF(AND(SamplingData[[#This Row],[Total]]&lt;&gt; 0, NOT(ISBLANK(SamplingData[[#This Row],[Candidate 4]]))),(SamplingData[[#This Row],[Total]]+SamplingData[[#This Row],[Winning Candidate]]-SamplingData[[#This Row],[Candidate 4]])/(SamplingData[[#Totals],[Winning Candidate]]-SamplingData[[#Totals],[Candidate 4]]), 0)</f>
        <v>1.7539244058581076E-3</v>
      </c>
      <c r="N1468" s="100">
        <f>IF(AND(SamplingData[[#This Row],[Total]]&lt;&gt; 0, NOT(ISBLANK(SamplingData[[#This Row],[Candidate 5]]))),(SamplingData[[#This Row],[Total]]+SamplingData[[#This Row],[Winning Candidate]]-SamplingData[[#This Row],[Candidate 5]])/(SamplingData[[#Totals],[Winning Candidate]]-SamplingData[[#Totals],[Candidate 5]]), 0)</f>
        <v>1.5324738506446119E-3</v>
      </c>
      <c r="O1468" s="100">
        <f>IF(AND(SamplingData[[#This Row],[Total]]&lt;&gt; 0, NOT(ISBLANK(SamplingData[[#This Row],[Candidate 6]]))),(SamplingData[[#This Row],[Total]]+SamplingData[[#This Row],[Winning Candidate]]-SamplingData[[#This Row],[Candidate 6]])/(SamplingData[[#Totals],[Winning Candidate]]-SamplingData[[#Totals],[Candidate 6]]), 0)</f>
        <v>1.5077087690287436E-3</v>
      </c>
      <c r="P1468" s="100">
        <f>MAX(SamplingData[[#This Row],[Error Bound (up) - Max. possible relative overstatement - Losing Candidate]:[Error Bound (up) - Max. possible relative overstatement - Candidate 6]])</f>
        <v>2.9397354238118569E-3</v>
      </c>
      <c r="Q1468" s="100">
        <f>IF(SamplingData[[#This Row],[Max Error Bound (up)]] = 0,0,SamplingData[[#This Row],[Max Error Bound (up)]]/SamplingData[[#Totals],[Max Error Bound (up)]])</f>
        <v>4.6526151736539989E-4</v>
      </c>
      <c r="R1468" s="101">
        <f>SUM($Q$5:Q1468)</f>
        <v>0.46936720802627074</v>
      </c>
      <c r="S1468" s="100" t="str">
        <f t="array" ref="S1468">IF(SamplingData[[#This Row],[up/U Selection Probability]] = 0, "Zero", TEXT(SamplingData[[#This Row],[Lower Range]], REPT("0",LEN('General Info'!$B$40))) &amp; " - " &amp; TEXT(SamplingData[[#This Row],[Upper Range]], REPT("0",LEN('General Info'!$B$40))))</f>
        <v>46890 - 46936</v>
      </c>
      <c r="T1468" s="100">
        <f>SamplingData[[#This Row],[Upper Range]]-SamplingData[[#This Row],[Span]]</f>
        <v>46890.195116152056</v>
      </c>
      <c r="U1468" s="100">
        <f>IF(ISNUMBER('General Info'!$B$40), ((SamplingData[[#This Row],[up/U Selection Probability]]) * 'General Info'!$B$40) - 1, 0)</f>
        <v>45.525686475022624</v>
      </c>
      <c r="V1468" s="100">
        <f>IF(ISNUMBER('General Info'!$B$40), (SamplingData[[#This Row],[Running (cumulative) sum]] * ('General Info'!$B$40 -'General Info'!$B$41 + 1)) + 'General Info'!$B$41 - 1, 0)</f>
        <v>46935.720802627075</v>
      </c>
      <c r="W1468" s="100" t="str">
        <f>IF(ISERROR(MATCH(SamplingData[[#This Row],[Batch by Type (p)]],SelectedPrecincts[Batch Name], 0)), "", INDEX(SelectedPrecincts[Draw], MATCH(SamplingData[[#This Row],[Batch by Type (p)]],SelectedPrecincts[Batch Name], 0)))</f>
        <v/>
      </c>
      <c r="X1468" s="102">
        <f>IF(COUNTIF(SelectedPrecincts[Batch Name],SamplingData[[#This Row],[Batch by Type (p)]]) &lt;&gt; 0, COUNTIF(SelectedPrecincts[Batch Name],SamplingData[[#This Row],[Batch by Type (p)]]), 0)</f>
        <v>0</v>
      </c>
    </row>
    <row r="1469" spans="1:24" ht="15" customHeight="1">
      <c r="A1469" s="18" t="s">
        <v>1645</v>
      </c>
      <c r="B1469" s="18">
        <v>58</v>
      </c>
      <c r="C1469" s="18">
        <v>61</v>
      </c>
      <c r="D1469" s="16">
        <v>29</v>
      </c>
      <c r="E1469" s="16">
        <v>9</v>
      </c>
      <c r="F1469" s="37">
        <v>1</v>
      </c>
      <c r="G1469" s="37">
        <v>0</v>
      </c>
      <c r="H1469" s="17">
        <v>0</v>
      </c>
      <c r="I1469" s="17">
        <v>5</v>
      </c>
      <c r="J1469" s="99">
        <f>SUM(SamplingData[[#This Row],[Losing Candidate]:[Under Votes]])</f>
        <v>163</v>
      </c>
      <c r="K1469" s="100">
        <f>IF(AND(SamplingData[[#This Row],[Total]]&lt;&gt; 0, NOT(ISBLANK(SamplingData[[#This Row],[Losing Candidate]]))),(SamplingData[[#This Row],[Total]]+SamplingData[[#This Row],[Winning Candidate]]-SamplingData[[#This Row],[Losing Candidate]])/(SamplingData[[#Totals],[Winning Candidate]]-SamplingData[[#Totals],[Losing Candidate]]), 0)</f>
        <v>1.0166585007349339E-2</v>
      </c>
      <c r="L1469" s="100">
        <f>IF(AND(SamplingData[[#This Row],[Total]]&lt;&gt; 0, NOT(ISBLANK(SamplingData[[#This Row],[Candidate 3]]))),(SamplingData[[#This Row],[Total]]+SamplingData[[#This Row],[Winning Candidate]]-SamplingData[[#This Row],[Candidate 3]])/(SamplingData[[#Totals],[Winning Candidate]]-SamplingData[[#Totals],[Candidate 3]]), 0)</f>
        <v>6.2909313804561731E-3</v>
      </c>
      <c r="M1469" s="100">
        <f>IF(AND(SamplingData[[#This Row],[Total]]&lt;&gt; 0, NOT(ISBLANK(SamplingData[[#This Row],[Candidate 4]]))),(SamplingData[[#This Row],[Total]]+SamplingData[[#This Row],[Winning Candidate]]-SamplingData[[#This Row],[Candidate 4]])/(SamplingData[[#Totals],[Winning Candidate]]-SamplingData[[#Totals],[Candidate 4]]), 0)</f>
        <v>6.2848957876582186E-3</v>
      </c>
      <c r="N1469" s="100">
        <f>IF(AND(SamplingData[[#This Row],[Total]]&lt;&gt; 0, NOT(ISBLANK(SamplingData[[#This Row],[Candidate 5]]))),(SamplingData[[#This Row],[Total]]+SamplingData[[#This Row],[Winning Candidate]]-SamplingData[[#This Row],[Candidate 5]])/(SamplingData[[#Totals],[Winning Candidate]]-SamplingData[[#Totals],[Candidate 5]]), 0)</f>
        <v>5.4244709316468012E-3</v>
      </c>
      <c r="O1469" s="100">
        <f>IF(AND(SamplingData[[#This Row],[Total]]&lt;&gt; 0, NOT(ISBLANK(SamplingData[[#This Row],[Candidate 6]]))),(SamplingData[[#This Row],[Total]]+SamplingData[[#This Row],[Winning Candidate]]-SamplingData[[#This Row],[Candidate 6]])/(SamplingData[[#Totals],[Winning Candidate]]-SamplingData[[#Totals],[Candidate 6]]), 0)</f>
        <v>5.4472058752006221E-3</v>
      </c>
      <c r="P1469" s="100">
        <f>MAX(SamplingData[[#This Row],[Error Bound (up) - Max. possible relative overstatement - Losing Candidate]:[Error Bound (up) - Max. possible relative overstatement - Candidate 6]])</f>
        <v>1.0166585007349339E-2</v>
      </c>
      <c r="Q1469" s="100">
        <f>IF(SamplingData[[#This Row],[Max Error Bound (up)]] = 0,0,SamplingData[[#This Row],[Max Error Bound (up)]]/SamplingData[[#Totals],[Max Error Bound (up)]])</f>
        <v>1.6090294142220081E-3</v>
      </c>
      <c r="R1469" s="101">
        <f>SUM($Q$5:Q1469)</f>
        <v>0.47097623744049277</v>
      </c>
      <c r="S1469" s="100" t="str">
        <f t="array" ref="S1469">IF(SamplingData[[#This Row],[up/U Selection Probability]] = 0, "Zero", TEXT(SamplingData[[#This Row],[Lower Range]], REPT("0",LEN('General Info'!$B$40))) &amp; " - " &amp; TEXT(SamplingData[[#This Row],[Upper Range]], REPT("0",LEN('General Info'!$B$40))))</f>
        <v>46937 - 47097</v>
      </c>
      <c r="T1469" s="100">
        <f>SamplingData[[#This Row],[Upper Range]]-SamplingData[[#This Row],[Span]]</f>
        <v>46936.72241165649</v>
      </c>
      <c r="U1469" s="100">
        <f>IF(ISNUMBER('General Info'!$B$40), ((SamplingData[[#This Row],[up/U Selection Probability]]) * 'General Info'!$B$40) - 1, 0)</f>
        <v>159.9013323927866</v>
      </c>
      <c r="V1469" s="100">
        <f>IF(ISNUMBER('General Info'!$B$40), (SamplingData[[#This Row],[Running (cumulative) sum]] * ('General Info'!$B$40 -'General Info'!$B$41 + 1)) + 'General Info'!$B$41 - 1, 0)</f>
        <v>47096.623744049277</v>
      </c>
      <c r="W1469" s="100" t="str">
        <f>IF(ISERROR(MATCH(SamplingData[[#This Row],[Batch by Type (p)]],SelectedPrecincts[Batch Name], 0)), "", INDEX(SelectedPrecincts[Draw], MATCH(SamplingData[[#This Row],[Batch by Type (p)]],SelectedPrecincts[Batch Name], 0)))</f>
        <v/>
      </c>
      <c r="X1469" s="102">
        <f>IF(COUNTIF(SelectedPrecincts[Batch Name],SamplingData[[#This Row],[Batch by Type (p)]]) &lt;&gt; 0, COUNTIF(SelectedPrecincts[Batch Name],SamplingData[[#This Row],[Batch by Type (p)]]), 0)</f>
        <v>0</v>
      </c>
    </row>
    <row r="1470" spans="1:24" ht="15" customHeight="1">
      <c r="A1470" s="18" t="s">
        <v>1646</v>
      </c>
      <c r="B1470" s="18">
        <v>17</v>
      </c>
      <c r="C1470" s="18">
        <v>15</v>
      </c>
      <c r="D1470" s="18">
        <v>7</v>
      </c>
      <c r="E1470" s="18">
        <v>8</v>
      </c>
      <c r="F1470" s="18">
        <v>0</v>
      </c>
      <c r="G1470" s="18">
        <v>0</v>
      </c>
      <c r="H1470" s="18">
        <v>0</v>
      </c>
      <c r="I1470" s="18">
        <v>1</v>
      </c>
      <c r="J1470" s="99">
        <f>SUM(SamplingData[[#This Row],[Losing Candidate]:[Under Votes]])</f>
        <v>48</v>
      </c>
      <c r="K1470" s="100">
        <f>IF(AND(SamplingData[[#This Row],[Total]]&lt;&gt; 0, NOT(ISBLANK(SamplingData[[#This Row],[Losing Candidate]]))),(SamplingData[[#This Row],[Total]]+SamplingData[[#This Row],[Winning Candidate]]-SamplingData[[#This Row],[Losing Candidate]])/(SamplingData[[#Totals],[Winning Candidate]]-SamplingData[[#Totals],[Losing Candidate]]), 0)</f>
        <v>2.8172464478196961E-3</v>
      </c>
      <c r="L1470" s="100">
        <f>IF(AND(SamplingData[[#This Row],[Total]]&lt;&gt; 0, NOT(ISBLANK(SamplingData[[#This Row],[Candidate 3]]))),(SamplingData[[#This Row],[Total]]+SamplingData[[#This Row],[Winning Candidate]]-SamplingData[[#This Row],[Candidate 3]])/(SamplingData[[#Totals],[Winning Candidate]]-SamplingData[[#Totals],[Candidate 3]]), 0)</f>
        <v>1.8066264477207472E-3</v>
      </c>
      <c r="M1470" s="100">
        <f>IF(AND(SamplingData[[#This Row],[Total]]&lt;&gt; 0, NOT(ISBLANK(SamplingData[[#This Row],[Candidate 4]]))),(SamplingData[[#This Row],[Total]]+SamplingData[[#This Row],[Winning Candidate]]-SamplingData[[#This Row],[Candidate 4]])/(SamplingData[[#Totals],[Winning Candidate]]-SamplingData[[#Totals],[Candidate 4]]), 0)</f>
        <v>1.6077640387032652E-3</v>
      </c>
      <c r="N1470" s="100">
        <f>IF(AND(SamplingData[[#This Row],[Total]]&lt;&gt; 0, NOT(ISBLANK(SamplingData[[#This Row],[Candidate 5]]))),(SamplingData[[#This Row],[Total]]+SamplingData[[#This Row],[Winning Candidate]]-SamplingData[[#This Row],[Candidate 5]])/(SamplingData[[#Totals],[Winning Candidate]]-SamplingData[[#Totals],[Candidate 5]]), 0)</f>
        <v>1.5324738506446119E-3</v>
      </c>
      <c r="O1470" s="100">
        <f>IF(AND(SamplingData[[#This Row],[Total]]&lt;&gt; 0, NOT(ISBLANK(SamplingData[[#This Row],[Candidate 6]]))),(SamplingData[[#This Row],[Total]]+SamplingData[[#This Row],[Winning Candidate]]-SamplingData[[#This Row],[Candidate 6]])/(SamplingData[[#Totals],[Winning Candidate]]-SamplingData[[#Totals],[Candidate 6]]), 0)</f>
        <v>1.532026652400175E-3</v>
      </c>
      <c r="P1470" s="100">
        <f>MAX(SamplingData[[#This Row],[Error Bound (up) - Max. possible relative overstatement - Losing Candidate]:[Error Bound (up) - Max. possible relative overstatement - Candidate 6]])</f>
        <v>2.8172464478196961E-3</v>
      </c>
      <c r="Q1470" s="100">
        <f>IF(SamplingData[[#This Row],[Max Error Bound (up)]] = 0,0,SamplingData[[#This Row],[Max Error Bound (up)]]/SamplingData[[#Totals],[Max Error Bound (up)]])</f>
        <v>4.4587562080850821E-4</v>
      </c>
      <c r="R1470" s="101">
        <f>SUM($Q$5:Q1470)</f>
        <v>0.47142211306130127</v>
      </c>
      <c r="S1470" s="100" t="str">
        <f t="array" ref="S1470">IF(SamplingData[[#This Row],[up/U Selection Probability]] = 0, "Zero", TEXT(SamplingData[[#This Row],[Lower Range]], REPT("0",LEN('General Info'!$B$40))) &amp; " - " &amp; TEXT(SamplingData[[#This Row],[Upper Range]], REPT("0",LEN('General Info'!$B$40))))</f>
        <v>47098 - 47141</v>
      </c>
      <c r="T1470" s="100">
        <f>SamplingData[[#This Row],[Upper Range]]-SamplingData[[#This Row],[Span]]</f>
        <v>47097.6241899249</v>
      </c>
      <c r="U1470" s="100">
        <f>IF(ISNUMBER('General Info'!$B$40), ((SamplingData[[#This Row],[up/U Selection Probability]]) * 'General Info'!$B$40) - 1, 0)</f>
        <v>43.587116205230011</v>
      </c>
      <c r="V1470" s="100">
        <f>IF(ISNUMBER('General Info'!$B$40), (SamplingData[[#This Row],[Running (cumulative) sum]] * ('General Info'!$B$40 -'General Info'!$B$41 + 1)) + 'General Info'!$B$41 - 1, 0)</f>
        <v>47141.211306130128</v>
      </c>
      <c r="W1470" s="100" t="str">
        <f>IF(ISERROR(MATCH(SamplingData[[#This Row],[Batch by Type (p)]],SelectedPrecincts[Batch Name], 0)), "", INDEX(SelectedPrecincts[Draw], MATCH(SamplingData[[#This Row],[Batch by Type (p)]],SelectedPrecincts[Batch Name], 0)))</f>
        <v/>
      </c>
      <c r="X1470" s="102">
        <f>IF(COUNTIF(SelectedPrecincts[Batch Name],SamplingData[[#This Row],[Batch by Type (p)]]) &lt;&gt; 0, COUNTIF(SelectedPrecincts[Batch Name],SamplingData[[#This Row],[Batch by Type (p)]]), 0)</f>
        <v>0</v>
      </c>
    </row>
    <row r="1471" spans="1:24" ht="15" customHeight="1">
      <c r="A1471" s="18" t="s">
        <v>1647</v>
      </c>
      <c r="B1471" s="18">
        <v>47</v>
      </c>
      <c r="C1471" s="18">
        <v>69</v>
      </c>
      <c r="D1471" s="16">
        <v>21</v>
      </c>
      <c r="E1471" s="16">
        <v>3</v>
      </c>
      <c r="F1471" s="37">
        <v>3</v>
      </c>
      <c r="G1471" s="37">
        <v>0</v>
      </c>
      <c r="H1471" s="17">
        <v>1</v>
      </c>
      <c r="I1471" s="17">
        <v>4</v>
      </c>
      <c r="J1471" s="99">
        <f>SUM(SamplingData[[#This Row],[Losing Candidate]:[Under Votes]])</f>
        <v>148</v>
      </c>
      <c r="K1471" s="100">
        <f>IF(AND(SamplingData[[#This Row],[Total]]&lt;&gt; 0, NOT(ISBLANK(SamplingData[[#This Row],[Losing Candidate]]))),(SamplingData[[#This Row],[Total]]+SamplingData[[#This Row],[Winning Candidate]]-SamplingData[[#This Row],[Losing Candidate]])/(SamplingData[[#Totals],[Winning Candidate]]-SamplingData[[#Totals],[Losing Candidate]]), 0)</f>
        <v>1.041156295933366E-2</v>
      </c>
      <c r="L1471" s="100">
        <f>IF(AND(SamplingData[[#This Row],[Total]]&lt;&gt; 0, NOT(ISBLANK(SamplingData[[#This Row],[Candidate 3]]))),(SamplingData[[#This Row],[Total]]+SamplingData[[#This Row],[Winning Candidate]]-SamplingData[[#This Row],[Candidate 3]])/(SamplingData[[#Totals],[Winning Candidate]]-SamplingData[[#Totals],[Candidate 3]]), 0)</f>
        <v>6.3231925670226147E-3</v>
      </c>
      <c r="M1471" s="100">
        <f>IF(AND(SamplingData[[#This Row],[Total]]&lt;&gt; 0, NOT(ISBLANK(SamplingData[[#This Row],[Candidate 4]]))),(SamplingData[[#This Row],[Total]]+SamplingData[[#This Row],[Winning Candidate]]-SamplingData[[#This Row],[Candidate 4]])/(SamplingData[[#Totals],[Winning Candidate]]-SamplingData[[#Totals],[Candidate 4]]), 0)</f>
        <v>6.2556637142272501E-3</v>
      </c>
      <c r="N1471" s="100">
        <f>IF(AND(SamplingData[[#This Row],[Total]]&lt;&gt; 0, NOT(ISBLANK(SamplingData[[#This Row],[Candidate 5]]))),(SamplingData[[#This Row],[Total]]+SamplingData[[#This Row],[Winning Candidate]]-SamplingData[[#This Row],[Candidate 5]])/(SamplingData[[#Totals],[Winning Candidate]]-SamplingData[[#Totals],[Candidate 5]]), 0)</f>
        <v>5.2055460958404277E-3</v>
      </c>
      <c r="O1471" s="100">
        <f>IF(AND(SamplingData[[#This Row],[Total]]&lt;&gt; 0, NOT(ISBLANK(SamplingData[[#This Row],[Candidate 6]]))),(SamplingData[[#This Row],[Total]]+SamplingData[[#This Row],[Winning Candidate]]-SamplingData[[#This Row],[Candidate 6]])/(SamplingData[[#Totals],[Winning Candidate]]-SamplingData[[#Totals],[Candidate 6]]), 0)</f>
        <v>5.2769806916006029E-3</v>
      </c>
      <c r="P1471" s="100">
        <f>MAX(SamplingData[[#This Row],[Error Bound (up) - Max. possible relative overstatement - Losing Candidate]:[Error Bound (up) - Max. possible relative overstatement - Candidate 6]])</f>
        <v>1.041156295933366E-2</v>
      </c>
      <c r="Q1471" s="100">
        <f>IF(SamplingData[[#This Row],[Max Error Bound (up)]] = 0,0,SamplingData[[#This Row],[Max Error Bound (up)]]/SamplingData[[#Totals],[Max Error Bound (up)]])</f>
        <v>1.6478012073357915E-3</v>
      </c>
      <c r="R1471" s="101">
        <f>SUM($Q$5:Q1471)</f>
        <v>0.47306991426863704</v>
      </c>
      <c r="S1471" s="100" t="str">
        <f t="array" ref="S1471">IF(SamplingData[[#This Row],[up/U Selection Probability]] = 0, "Zero", TEXT(SamplingData[[#This Row],[Lower Range]], REPT("0",LEN('General Info'!$B$40))) &amp; " - " &amp; TEXT(SamplingData[[#This Row],[Upper Range]], REPT("0",LEN('General Info'!$B$40))))</f>
        <v>47142 - 47306</v>
      </c>
      <c r="T1471" s="100">
        <f>SamplingData[[#This Row],[Upper Range]]-SamplingData[[#This Row],[Span]]</f>
        <v>47142.212953931332</v>
      </c>
      <c r="U1471" s="100">
        <f>IF(ISNUMBER('General Info'!$B$40), ((SamplingData[[#This Row],[up/U Selection Probability]]) * 'General Info'!$B$40) - 1, 0)</f>
        <v>163.77847293237181</v>
      </c>
      <c r="V1471" s="100">
        <f>IF(ISNUMBER('General Info'!$B$40), (SamplingData[[#This Row],[Running (cumulative) sum]] * ('General Info'!$B$40 -'General Info'!$B$41 + 1)) + 'General Info'!$B$41 - 1, 0)</f>
        <v>47305.9914268637</v>
      </c>
      <c r="W1471" s="100" t="str">
        <f>IF(ISERROR(MATCH(SamplingData[[#This Row],[Batch by Type (p)]],SelectedPrecincts[Batch Name], 0)), "", INDEX(SelectedPrecincts[Draw], MATCH(SamplingData[[#This Row],[Batch by Type (p)]],SelectedPrecincts[Batch Name], 0)))</f>
        <v/>
      </c>
      <c r="X1471" s="102">
        <f>IF(COUNTIF(SelectedPrecincts[Batch Name],SamplingData[[#This Row],[Batch by Type (p)]]) &lt;&gt; 0, COUNTIF(SelectedPrecincts[Batch Name],SamplingData[[#This Row],[Batch by Type (p)]]), 0)</f>
        <v>0</v>
      </c>
    </row>
    <row r="1472" spans="1:24" ht="15" customHeight="1">
      <c r="A1472" s="18" t="s">
        <v>1648</v>
      </c>
      <c r="B1472" s="18">
        <v>16</v>
      </c>
      <c r="C1472" s="18">
        <v>37</v>
      </c>
      <c r="D1472" s="18">
        <v>11</v>
      </c>
      <c r="E1472" s="18">
        <v>7</v>
      </c>
      <c r="F1472" s="18">
        <v>0</v>
      </c>
      <c r="G1472" s="18">
        <v>0</v>
      </c>
      <c r="H1472" s="18">
        <v>0</v>
      </c>
      <c r="I1472" s="18">
        <v>0</v>
      </c>
      <c r="J1472" s="99">
        <f>SUM(SamplingData[[#This Row],[Losing Candidate]:[Under Votes]])</f>
        <v>71</v>
      </c>
      <c r="K1472" s="100">
        <f>IF(AND(SamplingData[[#This Row],[Total]]&lt;&gt; 0, NOT(ISBLANK(SamplingData[[#This Row],[Losing Candidate]]))),(SamplingData[[#This Row],[Total]]+SamplingData[[#This Row],[Winning Candidate]]-SamplingData[[#This Row],[Losing Candidate]])/(SamplingData[[#Totals],[Winning Candidate]]-SamplingData[[#Totals],[Losing Candidate]]), 0)</f>
        <v>5.6344928956393921E-3</v>
      </c>
      <c r="L1472" s="100">
        <f>IF(AND(SamplingData[[#This Row],[Total]]&lt;&gt; 0, NOT(ISBLANK(SamplingData[[#This Row],[Candidate 3]]))),(SamplingData[[#This Row],[Total]]+SamplingData[[#This Row],[Winning Candidate]]-SamplingData[[#This Row],[Candidate 3]])/(SamplingData[[#Totals],[Winning Candidate]]-SamplingData[[#Totals],[Candidate 3]]), 0)</f>
        <v>3.1293350969448658E-3</v>
      </c>
      <c r="M1472" s="100">
        <f>IF(AND(SamplingData[[#This Row],[Total]]&lt;&gt; 0, NOT(ISBLANK(SamplingData[[#This Row],[Candidate 4]]))),(SamplingData[[#This Row],[Total]]+SamplingData[[#This Row],[Winning Candidate]]-SamplingData[[#This Row],[Candidate 4]])/(SamplingData[[#Totals],[Winning Candidate]]-SamplingData[[#Totals],[Candidate 4]]), 0)</f>
        <v>2.9524394165278143E-3</v>
      </c>
      <c r="N1472" s="100">
        <f>IF(AND(SamplingData[[#This Row],[Total]]&lt;&gt; 0, NOT(ISBLANK(SamplingData[[#This Row],[Candidate 5]]))),(SamplingData[[#This Row],[Total]]+SamplingData[[#This Row],[Winning Candidate]]-SamplingData[[#This Row],[Candidate 5]])/(SamplingData[[#Totals],[Winning Candidate]]-SamplingData[[#Totals],[Candidate 5]]), 0)</f>
        <v>2.6270980296764779E-3</v>
      </c>
      <c r="O1472" s="100">
        <f>IF(AND(SamplingData[[#This Row],[Total]]&lt;&gt; 0, NOT(ISBLANK(SamplingData[[#This Row],[Candidate 6]]))),(SamplingData[[#This Row],[Total]]+SamplingData[[#This Row],[Winning Candidate]]-SamplingData[[#This Row],[Candidate 6]])/(SamplingData[[#Totals],[Winning Candidate]]-SamplingData[[#Totals],[Candidate 6]]), 0)</f>
        <v>2.626331404114586E-3</v>
      </c>
      <c r="P1472" s="100">
        <f>MAX(SamplingData[[#This Row],[Error Bound (up) - Max. possible relative overstatement - Losing Candidate]:[Error Bound (up) - Max. possible relative overstatement - Candidate 6]])</f>
        <v>5.6344928956393921E-3</v>
      </c>
      <c r="Q1472" s="100">
        <f>IF(SamplingData[[#This Row],[Max Error Bound (up)]] = 0,0,SamplingData[[#This Row],[Max Error Bound (up)]]/SamplingData[[#Totals],[Max Error Bound (up)]])</f>
        <v>8.9175124161701641E-4</v>
      </c>
      <c r="R1472" s="101">
        <f>SUM($Q$5:Q1472)</f>
        <v>0.47396166551025404</v>
      </c>
      <c r="S1472" s="100" t="str">
        <f t="array" ref="S1472">IF(SamplingData[[#This Row],[up/U Selection Probability]] = 0, "Zero", TEXT(SamplingData[[#This Row],[Lower Range]], REPT("0",LEN('General Info'!$B$40))) &amp; " - " &amp; TEXT(SamplingData[[#This Row],[Upper Range]], REPT("0",LEN('General Info'!$B$40))))</f>
        <v>47307 - 47395</v>
      </c>
      <c r="T1472" s="100">
        <f>SamplingData[[#This Row],[Upper Range]]-SamplingData[[#This Row],[Span]]</f>
        <v>47306.992318614939</v>
      </c>
      <c r="U1472" s="100">
        <f>IF(ISNUMBER('General Info'!$B$40), ((SamplingData[[#This Row],[up/U Selection Probability]]) * 'General Info'!$B$40) - 1, 0)</f>
        <v>88.174232410460021</v>
      </c>
      <c r="V1472" s="100">
        <f>IF(ISNUMBER('General Info'!$B$40), (SamplingData[[#This Row],[Running (cumulative) sum]] * ('General Info'!$B$40 -'General Info'!$B$41 + 1)) + 'General Info'!$B$41 - 1, 0)</f>
        <v>47395.166551025402</v>
      </c>
      <c r="W1472" s="100" t="str">
        <f>IF(ISERROR(MATCH(SamplingData[[#This Row],[Batch by Type (p)]],SelectedPrecincts[Batch Name], 0)), "", INDEX(SelectedPrecincts[Draw], MATCH(SamplingData[[#This Row],[Batch by Type (p)]],SelectedPrecincts[Batch Name], 0)))</f>
        <v/>
      </c>
      <c r="X1472" s="102">
        <f>IF(COUNTIF(SelectedPrecincts[Batch Name],SamplingData[[#This Row],[Batch by Type (p)]]) &lt;&gt; 0, COUNTIF(SelectedPrecincts[Batch Name],SamplingData[[#This Row],[Batch by Type (p)]]), 0)</f>
        <v>0</v>
      </c>
    </row>
    <row r="1473" spans="1:24" ht="15" customHeight="1">
      <c r="A1473" s="18" t="s">
        <v>1649</v>
      </c>
      <c r="B1473" s="18">
        <v>39</v>
      </c>
      <c r="C1473" s="18">
        <v>54</v>
      </c>
      <c r="D1473" s="16">
        <v>30</v>
      </c>
      <c r="E1473" s="16">
        <v>3</v>
      </c>
      <c r="F1473" s="37">
        <v>0</v>
      </c>
      <c r="G1473" s="37">
        <v>0</v>
      </c>
      <c r="H1473" s="17">
        <v>0</v>
      </c>
      <c r="I1473" s="17">
        <v>3</v>
      </c>
      <c r="J1473" s="99">
        <f>SUM(SamplingData[[#This Row],[Losing Candidate]:[Under Votes]])</f>
        <v>129</v>
      </c>
      <c r="K1473" s="100">
        <f>IF(AND(SamplingData[[#This Row],[Total]]&lt;&gt; 0, NOT(ISBLANK(SamplingData[[#This Row],[Losing Candidate]]))),(SamplingData[[#This Row],[Total]]+SamplingData[[#This Row],[Winning Candidate]]-SamplingData[[#This Row],[Losing Candidate]])/(SamplingData[[#Totals],[Winning Candidate]]-SamplingData[[#Totals],[Losing Candidate]]), 0)</f>
        <v>8.8192062714355715E-3</v>
      </c>
      <c r="L1473" s="100">
        <f>IF(AND(SamplingData[[#This Row],[Total]]&lt;&gt; 0, NOT(ISBLANK(SamplingData[[#This Row],[Candidate 3]]))),(SamplingData[[#This Row],[Total]]+SamplingData[[#This Row],[Winning Candidate]]-SamplingData[[#This Row],[Candidate 3]])/(SamplingData[[#Totals],[Winning Candidate]]-SamplingData[[#Totals],[Candidate 3]]), 0)</f>
        <v>4.935961544665613E-3</v>
      </c>
      <c r="M1473" s="100">
        <f>IF(AND(SamplingData[[#This Row],[Total]]&lt;&gt; 0, NOT(ISBLANK(SamplingData[[#This Row],[Candidate 4]]))),(SamplingData[[#This Row],[Total]]+SamplingData[[#This Row],[Winning Candidate]]-SamplingData[[#This Row],[Candidate 4]])/(SamplingData[[#Totals],[Winning Candidate]]-SamplingData[[#Totals],[Candidate 4]]), 0)</f>
        <v>5.2617732175743222E-3</v>
      </c>
      <c r="N1473" s="100">
        <f>IF(AND(SamplingData[[#This Row],[Total]]&lt;&gt; 0, NOT(ISBLANK(SamplingData[[#This Row],[Candidate 5]]))),(SamplingData[[#This Row],[Total]]+SamplingData[[#This Row],[Winning Candidate]]-SamplingData[[#This Row],[Candidate 5]])/(SamplingData[[#Totals],[Winning Candidate]]-SamplingData[[#Totals],[Candidate 5]]), 0)</f>
        <v>4.451471661396254E-3</v>
      </c>
      <c r="O1473" s="100">
        <f>IF(AND(SamplingData[[#This Row],[Total]]&lt;&gt; 0, NOT(ISBLANK(SamplingData[[#This Row],[Candidate 6]]))),(SamplingData[[#This Row],[Total]]+SamplingData[[#This Row],[Winning Candidate]]-SamplingData[[#This Row],[Candidate 6]])/(SamplingData[[#Totals],[Winning Candidate]]-SamplingData[[#Totals],[Candidate 6]]), 0)</f>
        <v>4.4501726569719374E-3</v>
      </c>
      <c r="P1473" s="100">
        <f>MAX(SamplingData[[#This Row],[Error Bound (up) - Max. possible relative overstatement - Losing Candidate]:[Error Bound (up) - Max. possible relative overstatement - Candidate 6]])</f>
        <v>8.8192062714355715E-3</v>
      </c>
      <c r="Q1473" s="100">
        <f>IF(SamplingData[[#This Row],[Max Error Bound (up)]] = 0,0,SamplingData[[#This Row],[Max Error Bound (up)]]/SamplingData[[#Totals],[Max Error Bound (up)]])</f>
        <v>1.3957845520961999E-3</v>
      </c>
      <c r="R1473" s="101">
        <f>SUM($Q$5:Q1473)</f>
        <v>0.47535745006235025</v>
      </c>
      <c r="S1473" s="100" t="str">
        <f t="array" ref="S1473">IF(SamplingData[[#This Row],[up/U Selection Probability]] = 0, "Zero", TEXT(SamplingData[[#This Row],[Lower Range]], REPT("0",LEN('General Info'!$B$40))) &amp; " - " &amp; TEXT(SamplingData[[#This Row],[Upper Range]], REPT("0",LEN('General Info'!$B$40))))</f>
        <v>47396 - 47535</v>
      </c>
      <c r="T1473" s="100">
        <f>SamplingData[[#This Row],[Upper Range]]-SamplingData[[#This Row],[Span]]</f>
        <v>47396.167946809961</v>
      </c>
      <c r="U1473" s="100">
        <f>IF(ISNUMBER('General Info'!$B$40), ((SamplingData[[#This Row],[up/U Selection Probability]]) * 'General Info'!$B$40) - 1, 0)</f>
        <v>138.57705942506789</v>
      </c>
      <c r="V1473" s="100">
        <f>IF(ISNUMBER('General Info'!$B$40), (SamplingData[[#This Row],[Running (cumulative) sum]] * ('General Info'!$B$40 -'General Info'!$B$41 + 1)) + 'General Info'!$B$41 - 1, 0)</f>
        <v>47534.745006235025</v>
      </c>
      <c r="W1473" s="100" t="str">
        <f>IF(ISERROR(MATCH(SamplingData[[#This Row],[Batch by Type (p)]],SelectedPrecincts[Batch Name], 0)), "", INDEX(SelectedPrecincts[Draw], MATCH(SamplingData[[#This Row],[Batch by Type (p)]],SelectedPrecincts[Batch Name], 0)))</f>
        <v/>
      </c>
      <c r="X1473" s="102">
        <f>IF(COUNTIF(SelectedPrecincts[Batch Name],SamplingData[[#This Row],[Batch by Type (p)]]) &lt;&gt; 0, COUNTIF(SelectedPrecincts[Batch Name],SamplingData[[#This Row],[Batch by Type (p)]]), 0)</f>
        <v>0</v>
      </c>
    </row>
    <row r="1474" spans="1:24" ht="15" customHeight="1">
      <c r="A1474" s="18" t="s">
        <v>1650</v>
      </c>
      <c r="B1474" s="18">
        <v>13</v>
      </c>
      <c r="C1474" s="18">
        <v>20</v>
      </c>
      <c r="D1474" s="18">
        <v>7</v>
      </c>
      <c r="E1474" s="18">
        <v>5</v>
      </c>
      <c r="F1474" s="18">
        <v>0</v>
      </c>
      <c r="G1474" s="18">
        <v>0</v>
      </c>
      <c r="H1474" s="18">
        <v>0</v>
      </c>
      <c r="I1474" s="18">
        <v>1</v>
      </c>
      <c r="J1474" s="99">
        <f>SUM(SamplingData[[#This Row],[Losing Candidate]:[Under Votes]])</f>
        <v>46</v>
      </c>
      <c r="K1474" s="100">
        <f>IF(AND(SamplingData[[#This Row],[Total]]&lt;&gt; 0, NOT(ISBLANK(SamplingData[[#This Row],[Losing Candidate]]))),(SamplingData[[#This Row],[Total]]+SamplingData[[#This Row],[Winning Candidate]]-SamplingData[[#This Row],[Losing Candidate]])/(SamplingData[[#Totals],[Winning Candidate]]-SamplingData[[#Totals],[Losing Candidate]]), 0)</f>
        <v>3.2459578637922589E-3</v>
      </c>
      <c r="L1474" s="100">
        <f>IF(AND(SamplingData[[#This Row],[Total]]&lt;&gt; 0, NOT(ISBLANK(SamplingData[[#This Row],[Candidate 3]]))),(SamplingData[[#This Row],[Total]]+SamplingData[[#This Row],[Winning Candidate]]-SamplingData[[#This Row],[Candidate 3]])/(SamplingData[[#Totals],[Winning Candidate]]-SamplingData[[#Totals],[Candidate 3]]), 0)</f>
        <v>1.9034100074200729E-3</v>
      </c>
      <c r="M1474" s="100">
        <f>IF(AND(SamplingData[[#This Row],[Total]]&lt;&gt; 0, NOT(ISBLANK(SamplingData[[#This Row],[Candidate 4]]))),(SamplingData[[#This Row],[Total]]+SamplingData[[#This Row],[Winning Candidate]]-SamplingData[[#This Row],[Candidate 4]])/(SamplingData[[#Totals],[Winning Candidate]]-SamplingData[[#Totals],[Candidate 4]]), 0)</f>
        <v>1.783156479289076E-3</v>
      </c>
      <c r="N1474" s="100">
        <f>IF(AND(SamplingData[[#This Row],[Total]]&lt;&gt; 0, NOT(ISBLANK(SamplingData[[#This Row],[Candidate 5]]))),(SamplingData[[#This Row],[Total]]+SamplingData[[#This Row],[Winning Candidate]]-SamplingData[[#This Row],[Candidate 5]])/(SamplingData[[#Totals],[Winning Candidate]]-SamplingData[[#Totals],[Candidate 5]]), 0)</f>
        <v>1.6054487959134031E-3</v>
      </c>
      <c r="O1474" s="100">
        <f>IF(AND(SamplingData[[#This Row],[Total]]&lt;&gt; 0, NOT(ISBLANK(SamplingData[[#This Row],[Candidate 6]]))),(SamplingData[[#This Row],[Total]]+SamplingData[[#This Row],[Winning Candidate]]-SamplingData[[#This Row],[Candidate 6]])/(SamplingData[[#Totals],[Winning Candidate]]-SamplingData[[#Totals],[Candidate 6]]), 0)</f>
        <v>1.6049803025144692E-3</v>
      </c>
      <c r="P1474" s="100">
        <f>MAX(SamplingData[[#This Row],[Error Bound (up) - Max. possible relative overstatement - Losing Candidate]:[Error Bound (up) - Max. possible relative overstatement - Candidate 6]])</f>
        <v>3.2459578637922589E-3</v>
      </c>
      <c r="Q1474" s="100">
        <f>IF(SamplingData[[#This Row],[Max Error Bound (up)]] = 0,0,SamplingData[[#This Row],[Max Error Bound (up)]]/SamplingData[[#Totals],[Max Error Bound (up)]])</f>
        <v>5.1372625875762909E-4</v>
      </c>
      <c r="R1474" s="101">
        <f>SUM($Q$5:Q1474)</f>
        <v>0.47587117632110787</v>
      </c>
      <c r="S1474" s="100" t="str">
        <f t="array" ref="S1474">IF(SamplingData[[#This Row],[up/U Selection Probability]] = 0, "Zero", TEXT(SamplingData[[#This Row],[Lower Range]], REPT("0",LEN('General Info'!$B$40))) &amp; " - " &amp; TEXT(SamplingData[[#This Row],[Upper Range]], REPT("0",LEN('General Info'!$B$40))))</f>
        <v>47536 - 47586</v>
      </c>
      <c r="T1474" s="100">
        <f>SamplingData[[#This Row],[Upper Range]]-SamplingData[[#This Row],[Span]]</f>
        <v>47535.745519961281</v>
      </c>
      <c r="U1474" s="100">
        <f>IF(ISNUMBER('General Info'!$B$40), ((SamplingData[[#This Row],[up/U Selection Probability]]) * 'General Info'!$B$40) - 1, 0)</f>
        <v>50.372112149504154</v>
      </c>
      <c r="V1474" s="100">
        <f>IF(ISNUMBER('General Info'!$B$40), (SamplingData[[#This Row],[Running (cumulative) sum]] * ('General Info'!$B$40 -'General Info'!$B$41 + 1)) + 'General Info'!$B$41 - 1, 0)</f>
        <v>47586.117632110785</v>
      </c>
      <c r="W1474" s="100" t="str">
        <f>IF(ISERROR(MATCH(SamplingData[[#This Row],[Batch by Type (p)]],SelectedPrecincts[Batch Name], 0)), "", INDEX(SelectedPrecincts[Draw], MATCH(SamplingData[[#This Row],[Batch by Type (p)]],SelectedPrecincts[Batch Name], 0)))</f>
        <v/>
      </c>
      <c r="X1474" s="102">
        <f>IF(COUNTIF(SelectedPrecincts[Batch Name],SamplingData[[#This Row],[Batch by Type (p)]]) &lt;&gt; 0, COUNTIF(SelectedPrecincts[Batch Name],SamplingData[[#This Row],[Batch by Type (p)]]), 0)</f>
        <v>0</v>
      </c>
    </row>
    <row r="1475" spans="1:24" ht="15" customHeight="1">
      <c r="A1475" s="18" t="s">
        <v>1651</v>
      </c>
      <c r="B1475" s="18">
        <v>35</v>
      </c>
      <c r="C1475" s="18">
        <v>68</v>
      </c>
      <c r="D1475" s="16">
        <v>10</v>
      </c>
      <c r="E1475" s="16">
        <v>11</v>
      </c>
      <c r="F1475" s="37">
        <v>1</v>
      </c>
      <c r="G1475" s="37">
        <v>2</v>
      </c>
      <c r="H1475" s="17">
        <v>0</v>
      </c>
      <c r="I1475" s="17">
        <v>1</v>
      </c>
      <c r="J1475" s="99">
        <f>SUM(SamplingData[[#This Row],[Losing Candidate]:[Under Votes]])</f>
        <v>128</v>
      </c>
      <c r="K1475" s="100">
        <f>IF(AND(SamplingData[[#This Row],[Total]]&lt;&gt; 0, NOT(ISBLANK(SamplingData[[#This Row],[Losing Candidate]]))),(SamplingData[[#This Row],[Total]]+SamplingData[[#This Row],[Winning Candidate]]-SamplingData[[#This Row],[Losing Candidate]])/(SamplingData[[#Totals],[Winning Candidate]]-SamplingData[[#Totals],[Losing Candidate]]), 0)</f>
        <v>9.8603625673689375E-3</v>
      </c>
      <c r="L1475" s="100">
        <f>IF(AND(SamplingData[[#This Row],[Total]]&lt;&gt; 0, NOT(ISBLANK(SamplingData[[#This Row],[Candidate 3]]))),(SamplingData[[#This Row],[Total]]+SamplingData[[#This Row],[Winning Candidate]]-SamplingData[[#This Row],[Candidate 3]])/(SamplingData[[#Totals],[Winning Candidate]]-SamplingData[[#Totals],[Candidate 3]]), 0)</f>
        <v>6.0005807013581956E-3</v>
      </c>
      <c r="M1475" s="100">
        <f>IF(AND(SamplingData[[#This Row],[Total]]&lt;&gt; 0, NOT(ISBLANK(SamplingData[[#This Row],[Candidate 4]]))),(SamplingData[[#This Row],[Total]]+SamplingData[[#This Row],[Winning Candidate]]-SamplingData[[#This Row],[Candidate 4]])/(SamplingData[[#Totals],[Winning Candidate]]-SamplingData[[#Totals],[Candidate 4]]), 0)</f>
        <v>5.4079335847291646E-3</v>
      </c>
      <c r="N1475" s="100">
        <f>IF(AND(SamplingData[[#This Row],[Total]]&lt;&gt; 0, NOT(ISBLANK(SamplingData[[#This Row],[Candidate 5]]))),(SamplingData[[#This Row],[Total]]+SamplingData[[#This Row],[Winning Candidate]]-SamplingData[[#This Row],[Candidate 5]])/(SamplingData[[#Totals],[Winning Candidate]]-SamplingData[[#Totals],[Candidate 5]]), 0)</f>
        <v>4.7433714424714186E-3</v>
      </c>
      <c r="O1475" s="100">
        <f>IF(AND(SamplingData[[#This Row],[Total]]&lt;&gt; 0, NOT(ISBLANK(SamplingData[[#This Row],[Candidate 6]]))),(SamplingData[[#This Row],[Total]]+SamplingData[[#This Row],[Winning Candidate]]-SamplingData[[#This Row],[Candidate 6]])/(SamplingData[[#Totals],[Winning Candidate]]-SamplingData[[#Totals],[Candidate 6]]), 0)</f>
        <v>4.7176693740576823E-3</v>
      </c>
      <c r="P1475" s="100">
        <f>MAX(SamplingData[[#This Row],[Error Bound (up) - Max. possible relative overstatement - Losing Candidate]:[Error Bound (up) - Max. possible relative overstatement - Candidate 6]])</f>
        <v>9.8603625673689375E-3</v>
      </c>
      <c r="Q1475" s="100">
        <f>IF(SamplingData[[#This Row],[Max Error Bound (up)]] = 0,0,SamplingData[[#This Row],[Max Error Bound (up)]]/SamplingData[[#Totals],[Max Error Bound (up)]])</f>
        <v>1.560564672829779E-3</v>
      </c>
      <c r="R1475" s="101">
        <f>SUM($Q$5:Q1475)</f>
        <v>0.47743174099393765</v>
      </c>
      <c r="S1475" s="100" t="str">
        <f t="array" ref="S1475">IF(SamplingData[[#This Row],[up/U Selection Probability]] = 0, "Zero", TEXT(SamplingData[[#This Row],[Lower Range]], REPT("0",LEN('General Info'!$B$40))) &amp; " - " &amp; TEXT(SamplingData[[#This Row],[Upper Range]], REPT("0",LEN('General Info'!$B$40))))</f>
        <v>47587 - 47742</v>
      </c>
      <c r="T1475" s="100">
        <f>SamplingData[[#This Row],[Upper Range]]-SamplingData[[#This Row],[Span]]</f>
        <v>47587.119192675462</v>
      </c>
      <c r="U1475" s="100">
        <f>IF(ISNUMBER('General Info'!$B$40), ((SamplingData[[#This Row],[up/U Selection Probability]]) * 'General Info'!$B$40) - 1, 0)</f>
        <v>155.05490671830506</v>
      </c>
      <c r="V1475" s="100">
        <f>IF(ISNUMBER('General Info'!$B$40), (SamplingData[[#This Row],[Running (cumulative) sum]] * ('General Info'!$B$40 -'General Info'!$B$41 + 1)) + 'General Info'!$B$41 - 1, 0)</f>
        <v>47742.174099393764</v>
      </c>
      <c r="W1475" s="100" t="str">
        <f>IF(ISERROR(MATCH(SamplingData[[#This Row],[Batch by Type (p)]],SelectedPrecincts[Batch Name], 0)), "", INDEX(SelectedPrecincts[Draw], MATCH(SamplingData[[#This Row],[Batch by Type (p)]],SelectedPrecincts[Batch Name], 0)))</f>
        <v/>
      </c>
      <c r="X1475" s="102">
        <f>IF(COUNTIF(SelectedPrecincts[Batch Name],SamplingData[[#This Row],[Batch by Type (p)]]) &lt;&gt; 0, COUNTIF(SelectedPrecincts[Batch Name],SamplingData[[#This Row],[Batch by Type (p)]]), 0)</f>
        <v>0</v>
      </c>
    </row>
    <row r="1476" spans="1:24" ht="15" customHeight="1">
      <c r="A1476" s="18" t="s">
        <v>1652</v>
      </c>
      <c r="B1476" s="18">
        <v>22</v>
      </c>
      <c r="C1476" s="18">
        <v>26</v>
      </c>
      <c r="D1476" s="18">
        <v>5</v>
      </c>
      <c r="E1476" s="18">
        <v>1</v>
      </c>
      <c r="F1476" s="18">
        <v>0</v>
      </c>
      <c r="G1476" s="18">
        <v>1</v>
      </c>
      <c r="H1476" s="18">
        <v>0</v>
      </c>
      <c r="I1476" s="18">
        <v>1</v>
      </c>
      <c r="J1476" s="99">
        <f>SUM(SamplingData[[#This Row],[Losing Candidate]:[Under Votes]])</f>
        <v>56</v>
      </c>
      <c r="K1476"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476" s="100">
        <f>IF(AND(SamplingData[[#This Row],[Total]]&lt;&gt; 0, NOT(ISBLANK(SamplingData[[#This Row],[Candidate 3]]))),(SamplingData[[#This Row],[Total]]+SamplingData[[#This Row],[Winning Candidate]]-SamplingData[[#This Row],[Candidate 3]])/(SamplingData[[#Totals],[Winning Candidate]]-SamplingData[[#Totals],[Candidate 3]]), 0)</f>
        <v>2.4841113656160273E-3</v>
      </c>
      <c r="M1476" s="100">
        <f>IF(AND(SamplingData[[#This Row],[Total]]&lt;&gt; 0, NOT(ISBLANK(SamplingData[[#This Row],[Candidate 4]]))),(SamplingData[[#This Row],[Total]]+SamplingData[[#This Row],[Winning Candidate]]-SamplingData[[#This Row],[Candidate 4]])/(SamplingData[[#Totals],[Winning Candidate]]-SamplingData[[#Totals],[Candidate 4]]), 0)</f>
        <v>2.3677979479084454E-3</v>
      </c>
      <c r="N1476" s="100">
        <f>IF(AND(SamplingData[[#This Row],[Total]]&lt;&gt; 0, NOT(ISBLANK(SamplingData[[#This Row],[Candidate 5]]))),(SamplingData[[#This Row],[Total]]+SamplingData[[#This Row],[Winning Candidate]]-SamplingData[[#This Row],[Candidate 5]])/(SamplingData[[#Totals],[Winning Candidate]]-SamplingData[[#Totals],[Candidate 5]]), 0)</f>
        <v>1.994648504013622E-3</v>
      </c>
      <c r="O1476" s="100">
        <f>IF(AND(SamplingData[[#This Row],[Total]]&lt;&gt; 0, NOT(ISBLANK(SamplingData[[#This Row],[Candidate 6]]))),(SamplingData[[#This Row],[Total]]+SamplingData[[#This Row],[Winning Candidate]]-SamplingData[[#This Row],[Candidate 6]])/(SamplingData[[#Totals],[Winning Candidate]]-SamplingData[[#Totals],[Candidate 6]]), 0)</f>
        <v>1.9697485530859394E-3</v>
      </c>
      <c r="P1476" s="100">
        <f>MAX(SamplingData[[#This Row],[Error Bound (up) - Max. possible relative overstatement - Losing Candidate]:[Error Bound (up) - Max. possible relative overstatement - Candidate 6]])</f>
        <v>3.6746692797648213E-3</v>
      </c>
      <c r="Q1476" s="100">
        <f>IF(SamplingData[[#This Row],[Max Error Bound (up)]] = 0,0,SamplingData[[#This Row],[Max Error Bound (up)]]/SamplingData[[#Totals],[Max Error Bound (up)]])</f>
        <v>5.8157689670674997E-4</v>
      </c>
      <c r="R1476" s="101">
        <f>SUM($Q$5:Q1476)</f>
        <v>0.47801331789064438</v>
      </c>
      <c r="S1476" s="100" t="str">
        <f t="array" ref="S1476">IF(SamplingData[[#This Row],[up/U Selection Probability]] = 0, "Zero", TEXT(SamplingData[[#This Row],[Lower Range]], REPT("0",LEN('General Info'!$B$40))) &amp; " - " &amp; TEXT(SamplingData[[#This Row],[Upper Range]], REPT("0",LEN('General Info'!$B$40))))</f>
        <v>47743 - 47800</v>
      </c>
      <c r="T1476" s="100">
        <f>SamplingData[[#This Row],[Upper Range]]-SamplingData[[#This Row],[Span]]</f>
        <v>47743.17468097066</v>
      </c>
      <c r="U1476" s="100">
        <f>IF(ISNUMBER('General Info'!$B$40), ((SamplingData[[#This Row],[up/U Selection Probability]]) * 'General Info'!$B$40) - 1, 0)</f>
        <v>57.157108093778291</v>
      </c>
      <c r="V1476" s="100">
        <f>IF(ISNUMBER('General Info'!$B$40), (SamplingData[[#This Row],[Running (cumulative) sum]] * ('General Info'!$B$40 -'General Info'!$B$41 + 1)) + 'General Info'!$B$41 - 1, 0)</f>
        <v>47800.331789064439</v>
      </c>
      <c r="W1476" s="100" t="str">
        <f>IF(ISERROR(MATCH(SamplingData[[#This Row],[Batch by Type (p)]],SelectedPrecincts[Batch Name], 0)), "", INDEX(SelectedPrecincts[Draw], MATCH(SamplingData[[#This Row],[Batch by Type (p)]],SelectedPrecincts[Batch Name], 0)))</f>
        <v/>
      </c>
      <c r="X1476" s="102">
        <f>IF(COUNTIF(SelectedPrecincts[Batch Name],SamplingData[[#This Row],[Batch by Type (p)]]) &lt;&gt; 0, COUNTIF(SelectedPrecincts[Batch Name],SamplingData[[#This Row],[Batch by Type (p)]]), 0)</f>
        <v>0</v>
      </c>
    </row>
    <row r="1477" spans="1:24" ht="15" customHeight="1">
      <c r="A1477" s="18" t="s">
        <v>1653</v>
      </c>
      <c r="B1477" s="18">
        <v>12</v>
      </c>
      <c r="C1477" s="18">
        <v>102</v>
      </c>
      <c r="D1477" s="16">
        <v>4</v>
      </c>
      <c r="E1477" s="16">
        <v>6</v>
      </c>
      <c r="F1477" s="37">
        <v>1</v>
      </c>
      <c r="G1477" s="37">
        <v>0</v>
      </c>
      <c r="H1477" s="17">
        <v>0</v>
      </c>
      <c r="I1477" s="17">
        <v>2</v>
      </c>
      <c r="J1477" s="99">
        <f>SUM(SamplingData[[#This Row],[Losing Candidate]:[Under Votes]])</f>
        <v>127</v>
      </c>
      <c r="K1477" s="100">
        <f>IF(AND(SamplingData[[#This Row],[Total]]&lt;&gt; 0, NOT(ISBLANK(SamplingData[[#This Row],[Losing Candidate]]))),(SamplingData[[#This Row],[Total]]+SamplingData[[#This Row],[Winning Candidate]]-SamplingData[[#This Row],[Losing Candidate]])/(SamplingData[[#Totals],[Winning Candidate]]-SamplingData[[#Totals],[Losing Candidate]]), 0)</f>
        <v>1.3290053895149437E-2</v>
      </c>
      <c r="L1477" s="100">
        <f>IF(AND(SamplingData[[#This Row],[Total]]&lt;&gt; 0, NOT(ISBLANK(SamplingData[[#This Row],[Candidate 3]]))),(SamplingData[[#This Row],[Total]]+SamplingData[[#This Row],[Winning Candidate]]-SamplingData[[#This Row],[Candidate 3]])/(SamplingData[[#Totals],[Winning Candidate]]-SamplingData[[#Totals],[Candidate 3]]), 0)</f>
        <v>7.2587669774494303E-3</v>
      </c>
      <c r="M1477" s="100">
        <f>IF(AND(SamplingData[[#This Row],[Total]]&lt;&gt; 0, NOT(ISBLANK(SamplingData[[#This Row],[Candidate 4]]))),(SamplingData[[#This Row],[Total]]+SamplingData[[#This Row],[Winning Candidate]]-SamplingData[[#This Row],[Candidate 4]])/(SamplingData[[#Totals],[Winning Candidate]]-SamplingData[[#Totals],[Candidate 4]]), 0)</f>
        <v>6.5187523751059663E-3</v>
      </c>
      <c r="N1477" s="100">
        <f>IF(AND(SamplingData[[#This Row],[Total]]&lt;&gt; 0, NOT(ISBLANK(SamplingData[[#This Row],[Candidate 5]]))),(SamplingData[[#This Row],[Total]]+SamplingData[[#This Row],[Winning Candidate]]-SamplingData[[#This Row],[Candidate 5]])/(SamplingData[[#Totals],[Winning Candidate]]-SamplingData[[#Totals],[Candidate 5]]), 0)</f>
        <v>5.5460958404281195E-3</v>
      </c>
      <c r="O1477" s="100">
        <f>IF(AND(SamplingData[[#This Row],[Total]]&lt;&gt; 0, NOT(ISBLANK(SamplingData[[#This Row],[Candidate 6]]))),(SamplingData[[#This Row],[Total]]+SamplingData[[#This Row],[Winning Candidate]]-SamplingData[[#This Row],[Candidate 6]])/(SamplingData[[#Totals],[Winning Candidate]]-SamplingData[[#Totals],[Candidate 6]]), 0)</f>
        <v>5.5687952920577795E-3</v>
      </c>
      <c r="P1477" s="100">
        <f>MAX(SamplingData[[#This Row],[Error Bound (up) - Max. possible relative overstatement - Losing Candidate]:[Error Bound (up) - Max. possible relative overstatement - Candidate 6]])</f>
        <v>1.3290053895149437E-2</v>
      </c>
      <c r="Q1477" s="100">
        <f>IF(SamplingData[[#This Row],[Max Error Bound (up)]] = 0,0,SamplingData[[#This Row],[Max Error Bound (up)]]/SamplingData[[#Totals],[Max Error Bound (up)]])</f>
        <v>2.1033697764227454E-3</v>
      </c>
      <c r="R1477" s="101">
        <f>SUM($Q$5:Q1477)</f>
        <v>0.48011668766706711</v>
      </c>
      <c r="S1477" s="100" t="str">
        <f t="array" ref="S1477">IF(SamplingData[[#This Row],[up/U Selection Probability]] = 0, "Zero", TEXT(SamplingData[[#This Row],[Lower Range]], REPT("0",LEN('General Info'!$B$40))) &amp; " - " &amp; TEXT(SamplingData[[#This Row],[Upper Range]], REPT("0",LEN('General Info'!$B$40))))</f>
        <v>47801 - 48011</v>
      </c>
      <c r="T1477" s="100">
        <f>SamplingData[[#This Row],[Upper Range]]-SamplingData[[#This Row],[Span]]</f>
        <v>47801.33389243421</v>
      </c>
      <c r="U1477" s="100">
        <f>IF(ISNUMBER('General Info'!$B$40), ((SamplingData[[#This Row],[up/U Selection Probability]]) * 'General Info'!$B$40) - 1, 0)</f>
        <v>209.33487427249813</v>
      </c>
      <c r="V1477" s="100">
        <f>IF(ISNUMBER('General Info'!$B$40), (SamplingData[[#This Row],[Running (cumulative) sum]] * ('General Info'!$B$40 -'General Info'!$B$41 + 1)) + 'General Info'!$B$41 - 1, 0)</f>
        <v>48010.668766706709</v>
      </c>
      <c r="W1477" s="100" t="str">
        <f>IF(ISERROR(MATCH(SamplingData[[#This Row],[Batch by Type (p)]],SelectedPrecincts[Batch Name], 0)), "", INDEX(SelectedPrecincts[Draw], MATCH(SamplingData[[#This Row],[Batch by Type (p)]],SelectedPrecincts[Batch Name], 0)))</f>
        <v/>
      </c>
      <c r="X1477" s="102">
        <f>IF(COUNTIF(SelectedPrecincts[Batch Name],SamplingData[[#This Row],[Batch by Type (p)]]) &lt;&gt; 0, COUNTIF(SelectedPrecincts[Batch Name],SamplingData[[#This Row],[Batch by Type (p)]]), 0)</f>
        <v>0</v>
      </c>
    </row>
    <row r="1478" spans="1:24" ht="15" customHeight="1">
      <c r="A1478" s="18" t="s">
        <v>1654</v>
      </c>
      <c r="B1478" s="18">
        <v>17</v>
      </c>
      <c r="C1478" s="18">
        <v>31</v>
      </c>
      <c r="D1478" s="18">
        <v>6</v>
      </c>
      <c r="E1478" s="18">
        <v>3</v>
      </c>
      <c r="F1478" s="18">
        <v>0</v>
      </c>
      <c r="G1478" s="18">
        <v>0</v>
      </c>
      <c r="H1478" s="18">
        <v>0</v>
      </c>
      <c r="I1478" s="18">
        <v>1</v>
      </c>
      <c r="J1478" s="99">
        <f>SUM(SamplingData[[#This Row],[Losing Candidate]:[Under Votes]])</f>
        <v>58</v>
      </c>
      <c r="K1478" s="100">
        <f>IF(AND(SamplingData[[#This Row],[Total]]&lt;&gt; 0, NOT(ISBLANK(SamplingData[[#This Row],[Losing Candidate]]))),(SamplingData[[#This Row],[Total]]+SamplingData[[#This Row],[Winning Candidate]]-SamplingData[[#This Row],[Losing Candidate]])/(SamplingData[[#Totals],[Winning Candidate]]-SamplingData[[#Totals],[Losing Candidate]]), 0)</f>
        <v>4.4096031357177858E-3</v>
      </c>
      <c r="L1478" s="100">
        <f>IF(AND(SamplingData[[#This Row],[Total]]&lt;&gt; 0, NOT(ISBLANK(SamplingData[[#This Row],[Candidate 3]]))),(SamplingData[[#This Row],[Total]]+SamplingData[[#This Row],[Winning Candidate]]-SamplingData[[#This Row],[Candidate 3]])/(SamplingData[[#Totals],[Winning Candidate]]-SamplingData[[#Totals],[Candidate 3]]), 0)</f>
        <v>2.6776784850146788E-3</v>
      </c>
      <c r="M1478" s="100">
        <f>IF(AND(SamplingData[[#This Row],[Total]]&lt;&gt; 0, NOT(ISBLANK(SamplingData[[#This Row],[Candidate 4]]))),(SamplingData[[#This Row],[Total]]+SamplingData[[#This Row],[Winning Candidate]]-SamplingData[[#This Row],[Candidate 4]])/(SamplingData[[#Totals],[Winning Candidate]]-SamplingData[[#Totals],[Candidate 4]]), 0)</f>
        <v>2.5139583150632873E-3</v>
      </c>
      <c r="N1478" s="100">
        <f>IF(AND(SamplingData[[#This Row],[Total]]&lt;&gt; 0, NOT(ISBLANK(SamplingData[[#This Row],[Candidate 5]]))),(SamplingData[[#This Row],[Total]]+SamplingData[[#This Row],[Winning Candidate]]-SamplingData[[#This Row],[Candidate 5]])/(SamplingData[[#Totals],[Winning Candidate]]-SamplingData[[#Totals],[Candidate 5]]), 0)</f>
        <v>2.1649233763074678E-3</v>
      </c>
      <c r="O1478" s="100">
        <f>IF(AND(SamplingData[[#This Row],[Total]]&lt;&gt; 0, NOT(ISBLANK(SamplingData[[#This Row],[Candidate 6]]))),(SamplingData[[#This Row],[Total]]+SamplingData[[#This Row],[Winning Candidate]]-SamplingData[[#This Row],[Candidate 6]])/(SamplingData[[#Totals],[Winning Candidate]]-SamplingData[[#Totals],[Candidate 6]]), 0)</f>
        <v>2.16429162005739E-3</v>
      </c>
      <c r="P1478" s="100">
        <f>MAX(SamplingData[[#This Row],[Error Bound (up) - Max. possible relative overstatement - Losing Candidate]:[Error Bound (up) - Max. possible relative overstatement - Candidate 6]])</f>
        <v>4.4096031357177858E-3</v>
      </c>
      <c r="Q1478" s="100">
        <f>IF(SamplingData[[#This Row],[Max Error Bound (up)]] = 0,0,SamplingData[[#This Row],[Max Error Bound (up)]]/SamplingData[[#Totals],[Max Error Bound (up)]])</f>
        <v>6.9789227604809994E-4</v>
      </c>
      <c r="R1478" s="101">
        <f>SUM($Q$5:Q1478)</f>
        <v>0.48081457994311522</v>
      </c>
      <c r="S1478" s="100" t="str">
        <f t="array" ref="S1478">IF(SamplingData[[#This Row],[up/U Selection Probability]] = 0, "Zero", TEXT(SamplingData[[#This Row],[Lower Range]], REPT("0",LEN('General Info'!$B$40))) &amp; " - " &amp; TEXT(SamplingData[[#This Row],[Upper Range]], REPT("0",LEN('General Info'!$B$40))))</f>
        <v>48012 - 48080</v>
      </c>
      <c r="T1478" s="100">
        <f>SamplingData[[#This Row],[Upper Range]]-SamplingData[[#This Row],[Span]]</f>
        <v>48011.669464598992</v>
      </c>
      <c r="U1478" s="100">
        <f>IF(ISNUMBER('General Info'!$B$40), ((SamplingData[[#This Row],[up/U Selection Probability]]) * 'General Info'!$B$40) - 1, 0)</f>
        <v>68.788529712533943</v>
      </c>
      <c r="V1478" s="100">
        <f>IF(ISNUMBER('General Info'!$B$40), (SamplingData[[#This Row],[Running (cumulative) sum]] * ('General Info'!$B$40 -'General Info'!$B$41 + 1)) + 'General Info'!$B$41 - 1, 0)</f>
        <v>48080.457994311524</v>
      </c>
      <c r="W1478" s="100" t="str">
        <f>IF(ISERROR(MATCH(SamplingData[[#This Row],[Batch by Type (p)]],SelectedPrecincts[Batch Name], 0)), "", INDEX(SelectedPrecincts[Draw], MATCH(SamplingData[[#This Row],[Batch by Type (p)]],SelectedPrecincts[Batch Name], 0)))</f>
        <v/>
      </c>
      <c r="X1478" s="102">
        <f>IF(COUNTIF(SelectedPrecincts[Batch Name],SamplingData[[#This Row],[Batch by Type (p)]]) &lt;&gt; 0, COUNTIF(SelectedPrecincts[Batch Name],SamplingData[[#This Row],[Batch by Type (p)]]), 0)</f>
        <v>0</v>
      </c>
    </row>
    <row r="1479" spans="1:24" ht="15" customHeight="1">
      <c r="A1479" s="18" t="s">
        <v>1655</v>
      </c>
      <c r="B1479" s="18">
        <v>16</v>
      </c>
      <c r="C1479" s="18">
        <v>95</v>
      </c>
      <c r="D1479" s="16">
        <v>8</v>
      </c>
      <c r="E1479" s="16">
        <v>9</v>
      </c>
      <c r="F1479" s="37">
        <v>0</v>
      </c>
      <c r="G1479" s="37">
        <v>0</v>
      </c>
      <c r="H1479" s="17">
        <v>0</v>
      </c>
      <c r="I1479" s="17">
        <v>2</v>
      </c>
      <c r="J1479" s="99">
        <f>SUM(SamplingData[[#This Row],[Losing Candidate]:[Under Votes]])</f>
        <v>130</v>
      </c>
      <c r="K1479" s="100">
        <f>IF(AND(SamplingData[[#This Row],[Total]]&lt;&gt; 0, NOT(ISBLANK(SamplingData[[#This Row],[Losing Candidate]]))),(SamplingData[[#This Row],[Total]]+SamplingData[[#This Row],[Winning Candidate]]-SamplingData[[#This Row],[Losing Candidate]])/(SamplingData[[#Totals],[Winning Candidate]]-SamplingData[[#Totals],[Losing Candidate]]), 0)</f>
        <v>1.2800097991180794E-2</v>
      </c>
      <c r="L1479" s="100">
        <f>IF(AND(SamplingData[[#This Row],[Total]]&lt;&gt; 0, NOT(ISBLANK(SamplingData[[#This Row],[Candidate 3]]))),(SamplingData[[#This Row],[Total]]+SamplingData[[#This Row],[Winning Candidate]]-SamplingData[[#This Row],[Candidate 3]])/(SamplingData[[#Totals],[Winning Candidate]]-SamplingData[[#Totals],[Candidate 3]]), 0)</f>
        <v>7.0006774849178952E-3</v>
      </c>
      <c r="M1479" s="100">
        <f>IF(AND(SamplingData[[#This Row],[Total]]&lt;&gt; 0, NOT(ISBLANK(SamplingData[[#This Row],[Candidate 4]]))),(SamplingData[[#This Row],[Total]]+SamplingData[[#This Row],[Winning Candidate]]-SamplingData[[#This Row],[Candidate 4]])/(SamplingData[[#Totals],[Winning Candidate]]-SamplingData[[#Totals],[Candidate 4]]), 0)</f>
        <v>6.314127861089187E-3</v>
      </c>
      <c r="N1479" s="100">
        <f>IF(AND(SamplingData[[#This Row],[Total]]&lt;&gt; 0, NOT(ISBLANK(SamplingData[[#This Row],[Candidate 5]]))),(SamplingData[[#This Row],[Total]]+SamplingData[[#This Row],[Winning Candidate]]-SamplingData[[#This Row],[Candidate 5]])/(SamplingData[[#Totals],[Winning Candidate]]-SamplingData[[#Totals],[Candidate 5]]), 0)</f>
        <v>5.4731208951593283E-3</v>
      </c>
      <c r="O1479" s="100">
        <f>IF(AND(SamplingData[[#This Row],[Total]]&lt;&gt; 0, NOT(ISBLANK(SamplingData[[#This Row],[Candidate 6]]))),(SamplingData[[#This Row],[Total]]+SamplingData[[#This Row],[Winning Candidate]]-SamplingData[[#This Row],[Candidate 6]])/(SamplingData[[#Totals],[Winning Candidate]]-SamplingData[[#Totals],[Candidate 6]]), 0)</f>
        <v>5.471523758572054E-3</v>
      </c>
      <c r="P1479" s="100">
        <f>MAX(SamplingData[[#This Row],[Error Bound (up) - Max. possible relative overstatement - Losing Candidate]:[Error Bound (up) - Max. possible relative overstatement - Candidate 6]])</f>
        <v>1.2800097991180794E-2</v>
      </c>
      <c r="Q1479" s="100">
        <f>IF(SamplingData[[#This Row],[Max Error Bound (up)]] = 0,0,SamplingData[[#This Row],[Max Error Bound (up)]]/SamplingData[[#Totals],[Max Error Bound (up)]])</f>
        <v>2.0258261901951787E-3</v>
      </c>
      <c r="R1479" s="101">
        <f>SUM($Q$5:Q1479)</f>
        <v>0.48284040613331042</v>
      </c>
      <c r="S1479" s="100" t="str">
        <f t="array" ref="S1479">IF(SamplingData[[#This Row],[up/U Selection Probability]] = 0, "Zero", TEXT(SamplingData[[#This Row],[Lower Range]], REPT("0",LEN('General Info'!$B$40))) &amp; " - " &amp; TEXT(SamplingData[[#This Row],[Upper Range]], REPT("0",LEN('General Info'!$B$40))))</f>
        <v>48081 - 48283</v>
      </c>
      <c r="T1479" s="100">
        <f>SamplingData[[#This Row],[Upper Range]]-SamplingData[[#This Row],[Span]]</f>
        <v>48081.460020137711</v>
      </c>
      <c r="U1479" s="100">
        <f>IF(ISNUMBER('General Info'!$B$40), ((SamplingData[[#This Row],[up/U Selection Probability]]) * 'General Info'!$B$40) - 1, 0)</f>
        <v>201.58059319332767</v>
      </c>
      <c r="V1479" s="100">
        <f>IF(ISNUMBER('General Info'!$B$40), (SamplingData[[#This Row],[Running (cumulative) sum]] * ('General Info'!$B$40 -'General Info'!$B$41 + 1)) + 'General Info'!$B$41 - 1, 0)</f>
        <v>48283.040613331039</v>
      </c>
      <c r="W1479" s="100" t="str">
        <f>IF(ISERROR(MATCH(SamplingData[[#This Row],[Batch by Type (p)]],SelectedPrecincts[Batch Name], 0)), "", INDEX(SelectedPrecincts[Draw], MATCH(SamplingData[[#This Row],[Batch by Type (p)]],SelectedPrecincts[Batch Name], 0)))</f>
        <v/>
      </c>
      <c r="X1479" s="102">
        <f>IF(COUNTIF(SelectedPrecincts[Batch Name],SamplingData[[#This Row],[Batch by Type (p)]]) &lt;&gt; 0, COUNTIF(SelectedPrecincts[Batch Name],SamplingData[[#This Row],[Batch by Type (p)]]), 0)</f>
        <v>0</v>
      </c>
    </row>
    <row r="1480" spans="1:24" ht="15" customHeight="1">
      <c r="A1480" s="18" t="s">
        <v>1656</v>
      </c>
      <c r="B1480" s="18">
        <v>10</v>
      </c>
      <c r="C1480" s="18">
        <v>31</v>
      </c>
      <c r="D1480" s="18">
        <v>4</v>
      </c>
      <c r="E1480" s="18">
        <v>0</v>
      </c>
      <c r="F1480" s="18">
        <v>0</v>
      </c>
      <c r="G1480" s="18">
        <v>0</v>
      </c>
      <c r="H1480" s="18">
        <v>0</v>
      </c>
      <c r="I1480" s="18">
        <v>1</v>
      </c>
      <c r="J1480" s="99">
        <f>SUM(SamplingData[[#This Row],[Losing Candidate]:[Under Votes]])</f>
        <v>46</v>
      </c>
      <c r="K1480" s="100">
        <f>IF(AND(SamplingData[[#This Row],[Total]]&lt;&gt; 0, NOT(ISBLANK(SamplingData[[#This Row],[Losing Candidate]]))),(SamplingData[[#This Row],[Total]]+SamplingData[[#This Row],[Winning Candidate]]-SamplingData[[#This Row],[Losing Candidate]])/(SamplingData[[#Totals],[Winning Candidate]]-SamplingData[[#Totals],[Losing Candidate]]), 0)</f>
        <v>4.1033806957373837E-3</v>
      </c>
      <c r="L1480" s="100">
        <f>IF(AND(SamplingData[[#This Row],[Total]]&lt;&gt; 0, NOT(ISBLANK(SamplingData[[#This Row],[Candidate 3]]))),(SamplingData[[#This Row],[Total]]+SamplingData[[#This Row],[Winning Candidate]]-SamplingData[[#This Row],[Candidate 3]])/(SamplingData[[#Totals],[Winning Candidate]]-SamplingData[[#Totals],[Candidate 3]]), 0)</f>
        <v>2.3550666193502597E-3</v>
      </c>
      <c r="M1480" s="100">
        <f>IF(AND(SamplingData[[#This Row],[Total]]&lt;&gt; 0, NOT(ISBLANK(SamplingData[[#This Row],[Candidate 4]]))),(SamplingData[[#This Row],[Total]]+SamplingData[[#This Row],[Winning Candidate]]-SamplingData[[#This Row],[Candidate 4]])/(SamplingData[[#Totals],[Winning Candidate]]-SamplingData[[#Totals],[Candidate 4]]), 0)</f>
        <v>2.2508696541845715E-3</v>
      </c>
      <c r="N1480" s="100">
        <f>IF(AND(SamplingData[[#This Row],[Total]]&lt;&gt; 0, NOT(ISBLANK(SamplingData[[#This Row],[Candidate 5]]))),(SamplingData[[#This Row],[Total]]+SamplingData[[#This Row],[Winning Candidate]]-SamplingData[[#This Row],[Candidate 5]])/(SamplingData[[#Totals],[Winning Candidate]]-SamplingData[[#Totals],[Candidate 5]]), 0)</f>
        <v>1.8730235952323035E-3</v>
      </c>
      <c r="O1480" s="100">
        <f>IF(AND(SamplingData[[#This Row],[Total]]&lt;&gt; 0, NOT(ISBLANK(SamplingData[[#This Row],[Candidate 6]]))),(SamplingData[[#This Row],[Total]]+SamplingData[[#This Row],[Winning Candidate]]-SamplingData[[#This Row],[Candidate 6]])/(SamplingData[[#Totals],[Winning Candidate]]-SamplingData[[#Totals],[Candidate 6]]), 0)</f>
        <v>1.872477019600214E-3</v>
      </c>
      <c r="P1480" s="100">
        <f>MAX(SamplingData[[#This Row],[Error Bound (up) - Max. possible relative overstatement - Losing Candidate]:[Error Bound (up) - Max. possible relative overstatement - Candidate 6]])</f>
        <v>4.1033806957373837E-3</v>
      </c>
      <c r="Q1480" s="100">
        <f>IF(SamplingData[[#This Row],[Max Error Bound (up)]] = 0,0,SamplingData[[#This Row],[Max Error Bound (up)]]/SamplingData[[#Totals],[Max Error Bound (up)]])</f>
        <v>6.4942753465587074E-4</v>
      </c>
      <c r="R1480" s="101">
        <f>SUM($Q$5:Q1480)</f>
        <v>0.48348983366796627</v>
      </c>
      <c r="S1480" s="100" t="str">
        <f t="array" ref="S1480">IF(SamplingData[[#This Row],[up/U Selection Probability]] = 0, "Zero", TEXT(SamplingData[[#This Row],[Lower Range]], REPT("0",LEN('General Info'!$B$40))) &amp; " - " &amp; TEXT(SamplingData[[#This Row],[Upper Range]], REPT("0",LEN('General Info'!$B$40))))</f>
        <v>48284 - 48348</v>
      </c>
      <c r="T1480" s="100">
        <f>SamplingData[[#This Row],[Upper Range]]-SamplingData[[#This Row],[Span]]</f>
        <v>48284.041262758576</v>
      </c>
      <c r="U1480" s="100">
        <f>IF(ISNUMBER('General Info'!$B$40), ((SamplingData[[#This Row],[up/U Selection Probability]]) * 'General Info'!$B$40) - 1, 0)</f>
        <v>63.94210403805242</v>
      </c>
      <c r="V1480" s="100">
        <f>IF(ISNUMBER('General Info'!$B$40), (SamplingData[[#This Row],[Running (cumulative) sum]] * ('General Info'!$B$40 -'General Info'!$B$41 + 1)) + 'General Info'!$B$41 - 1, 0)</f>
        <v>48347.98336679663</v>
      </c>
      <c r="W1480" s="100" t="str">
        <f>IF(ISERROR(MATCH(SamplingData[[#This Row],[Batch by Type (p)]],SelectedPrecincts[Batch Name], 0)), "", INDEX(SelectedPrecincts[Draw], MATCH(SamplingData[[#This Row],[Batch by Type (p)]],SelectedPrecincts[Batch Name], 0)))</f>
        <v/>
      </c>
      <c r="X1480" s="102">
        <f>IF(COUNTIF(SelectedPrecincts[Batch Name],SamplingData[[#This Row],[Batch by Type (p)]]) &lt;&gt; 0, COUNTIF(SelectedPrecincts[Batch Name],SamplingData[[#This Row],[Batch by Type (p)]]), 0)</f>
        <v>0</v>
      </c>
    </row>
    <row r="1481" spans="1:24" ht="15" customHeight="1">
      <c r="A1481" s="18" t="s">
        <v>1657</v>
      </c>
      <c r="B1481" s="18">
        <v>9</v>
      </c>
      <c r="C1481" s="18">
        <v>83</v>
      </c>
      <c r="D1481" s="16">
        <v>10</v>
      </c>
      <c r="E1481" s="16">
        <v>4</v>
      </c>
      <c r="F1481" s="37">
        <v>0</v>
      </c>
      <c r="G1481" s="37">
        <v>0</v>
      </c>
      <c r="H1481" s="17">
        <v>0</v>
      </c>
      <c r="I1481" s="17">
        <v>0</v>
      </c>
      <c r="J1481" s="99">
        <f>SUM(SamplingData[[#This Row],[Losing Candidate]:[Under Votes]])</f>
        <v>106</v>
      </c>
      <c r="K1481" s="100">
        <f>IF(AND(SamplingData[[#This Row],[Total]]&lt;&gt; 0, NOT(ISBLANK(SamplingData[[#This Row],[Losing Candidate]]))),(SamplingData[[#This Row],[Total]]+SamplingData[[#This Row],[Winning Candidate]]-SamplingData[[#This Row],[Losing Candidate]])/(SamplingData[[#Totals],[Winning Candidate]]-SamplingData[[#Totals],[Losing Candidate]]), 0)</f>
        <v>1.1024007839294463E-2</v>
      </c>
      <c r="L1481" s="100">
        <f>IF(AND(SamplingData[[#This Row],[Total]]&lt;&gt; 0, NOT(ISBLANK(SamplingData[[#This Row],[Candidate 3]]))),(SamplingData[[#This Row],[Total]]+SamplingData[[#This Row],[Winning Candidate]]-SamplingData[[#This Row],[Candidate 3]])/(SamplingData[[#Totals],[Winning Candidate]]-SamplingData[[#Totals],[Candidate 3]]), 0)</f>
        <v>5.774752395393103E-3</v>
      </c>
      <c r="M1481" s="100">
        <f>IF(AND(SamplingData[[#This Row],[Total]]&lt;&gt; 0, NOT(ISBLANK(SamplingData[[#This Row],[Candidate 4]]))),(SamplingData[[#This Row],[Total]]+SamplingData[[#This Row],[Winning Candidate]]-SamplingData[[#This Row],[Candidate 4]])/(SamplingData[[#Totals],[Winning Candidate]]-SamplingData[[#Totals],[Candidate 4]]), 0)</f>
        <v>5.4079335847291646E-3</v>
      </c>
      <c r="N1481" s="100">
        <f>IF(AND(SamplingData[[#This Row],[Total]]&lt;&gt; 0, NOT(ISBLANK(SamplingData[[#This Row],[Candidate 5]]))),(SamplingData[[#This Row],[Total]]+SamplingData[[#This Row],[Winning Candidate]]-SamplingData[[#This Row],[Candidate 5]])/(SamplingData[[#Totals],[Winning Candidate]]-SamplingData[[#Totals],[Candidate 5]]), 0)</f>
        <v>4.5974215519338363E-3</v>
      </c>
      <c r="O1481" s="100">
        <f>IF(AND(SamplingData[[#This Row],[Total]]&lt;&gt; 0, NOT(ISBLANK(SamplingData[[#This Row],[Candidate 6]]))),(SamplingData[[#This Row],[Total]]+SamplingData[[#This Row],[Winning Candidate]]-SamplingData[[#This Row],[Candidate 6]])/(SamplingData[[#Totals],[Winning Candidate]]-SamplingData[[#Totals],[Candidate 6]]), 0)</f>
        <v>4.5960799572005249E-3</v>
      </c>
      <c r="P1481" s="100">
        <f>MAX(SamplingData[[#This Row],[Error Bound (up) - Max. possible relative overstatement - Losing Candidate]:[Error Bound (up) - Max. possible relative overstatement - Candidate 6]])</f>
        <v>1.1024007839294463E-2</v>
      </c>
      <c r="Q1481" s="100">
        <f>IF(SamplingData[[#This Row],[Max Error Bound (up)]] = 0,0,SamplingData[[#This Row],[Max Error Bound (up)]]/SamplingData[[#Totals],[Max Error Bound (up)]])</f>
        <v>1.7447306901202495E-3</v>
      </c>
      <c r="R1481" s="101">
        <f>SUM($Q$5:Q1481)</f>
        <v>0.48523456435808654</v>
      </c>
      <c r="S1481" s="100" t="str">
        <f t="array" ref="S1481">IF(SamplingData[[#This Row],[up/U Selection Probability]] = 0, "Zero", TEXT(SamplingData[[#This Row],[Lower Range]], REPT("0",LEN('General Info'!$B$40))) &amp; " - " &amp; TEXT(SamplingData[[#This Row],[Upper Range]], REPT("0",LEN('General Info'!$B$40))))</f>
        <v>48349 - 48522</v>
      </c>
      <c r="T1481" s="100">
        <f>SamplingData[[#This Row],[Upper Range]]-SamplingData[[#This Row],[Span]]</f>
        <v>48348.98511152732</v>
      </c>
      <c r="U1481" s="100">
        <f>IF(ISNUMBER('General Info'!$B$40), ((SamplingData[[#This Row],[up/U Selection Probability]]) * 'General Info'!$B$40) - 1, 0)</f>
        <v>173.47132428133483</v>
      </c>
      <c r="V1481" s="100">
        <f>IF(ISNUMBER('General Info'!$B$40), (SamplingData[[#This Row],[Running (cumulative) sum]] * ('General Info'!$B$40 -'General Info'!$B$41 + 1)) + 'General Info'!$B$41 - 1, 0)</f>
        <v>48522.456435808657</v>
      </c>
      <c r="W1481" s="100" t="str">
        <f>IF(ISERROR(MATCH(SamplingData[[#This Row],[Batch by Type (p)]],SelectedPrecincts[Batch Name], 0)), "", INDEX(SelectedPrecincts[Draw], MATCH(SamplingData[[#This Row],[Batch by Type (p)]],SelectedPrecincts[Batch Name], 0)))</f>
        <v/>
      </c>
      <c r="X1481" s="102">
        <f>IF(COUNTIF(SelectedPrecincts[Batch Name],SamplingData[[#This Row],[Batch by Type (p)]]) &lt;&gt; 0, COUNTIF(SelectedPrecincts[Batch Name],SamplingData[[#This Row],[Batch by Type (p)]]), 0)</f>
        <v>0</v>
      </c>
    </row>
    <row r="1482" spans="1:24" ht="15" customHeight="1">
      <c r="A1482" s="18" t="s">
        <v>1658</v>
      </c>
      <c r="B1482" s="18">
        <v>5</v>
      </c>
      <c r="C1482" s="18">
        <v>42</v>
      </c>
      <c r="D1482" s="18">
        <v>4</v>
      </c>
      <c r="E1482" s="18">
        <v>2</v>
      </c>
      <c r="F1482" s="18">
        <v>0</v>
      </c>
      <c r="G1482" s="18">
        <v>0</v>
      </c>
      <c r="H1482" s="18">
        <v>0</v>
      </c>
      <c r="I1482" s="18">
        <v>0</v>
      </c>
      <c r="J1482" s="99">
        <f>SUM(SamplingData[[#This Row],[Losing Candidate]:[Under Votes]])</f>
        <v>53</v>
      </c>
      <c r="K1482" s="100">
        <f>IF(AND(SamplingData[[#This Row],[Total]]&lt;&gt; 0, NOT(ISBLANK(SamplingData[[#This Row],[Losing Candidate]]))),(SamplingData[[#This Row],[Total]]+SamplingData[[#This Row],[Winning Candidate]]-SamplingData[[#This Row],[Losing Candidate]])/(SamplingData[[#Totals],[Winning Candidate]]-SamplingData[[#Totals],[Losing Candidate]]), 0)</f>
        <v>5.5120039196472313E-3</v>
      </c>
      <c r="L1482" s="100">
        <f>IF(AND(SamplingData[[#This Row],[Total]]&lt;&gt; 0, NOT(ISBLANK(SamplingData[[#This Row],[Candidate 3]]))),(SamplingData[[#This Row],[Total]]+SamplingData[[#This Row],[Winning Candidate]]-SamplingData[[#This Row],[Candidate 3]])/(SamplingData[[#Totals],[Winning Candidate]]-SamplingData[[#Totals],[Candidate 3]]), 0)</f>
        <v>2.9357679775462143E-3</v>
      </c>
      <c r="M1482" s="100">
        <f>IF(AND(SamplingData[[#This Row],[Total]]&lt;&gt; 0, NOT(ISBLANK(SamplingData[[#This Row],[Candidate 4]]))),(SamplingData[[#This Row],[Total]]+SamplingData[[#This Row],[Winning Candidate]]-SamplingData[[#This Row],[Candidate 4]])/(SamplingData[[#Totals],[Winning Candidate]]-SamplingData[[#Totals],[Candidate 4]]), 0)</f>
        <v>2.7185828290800665E-3</v>
      </c>
      <c r="N1482" s="100">
        <f>IF(AND(SamplingData[[#This Row],[Total]]&lt;&gt; 0, NOT(ISBLANK(SamplingData[[#This Row],[Candidate 5]]))),(SamplingData[[#This Row],[Total]]+SamplingData[[#This Row],[Winning Candidate]]-SamplingData[[#This Row],[Candidate 5]])/(SamplingData[[#Totals],[Winning Candidate]]-SamplingData[[#Totals],[Candidate 5]]), 0)</f>
        <v>2.3108732668450497E-3</v>
      </c>
      <c r="O1482" s="100">
        <f>IF(AND(SamplingData[[#This Row],[Total]]&lt;&gt; 0, NOT(ISBLANK(SamplingData[[#This Row],[Candidate 6]]))),(SamplingData[[#This Row],[Total]]+SamplingData[[#This Row],[Winning Candidate]]-SamplingData[[#This Row],[Candidate 6]])/(SamplingData[[#Totals],[Winning Candidate]]-SamplingData[[#Totals],[Candidate 6]]), 0)</f>
        <v>2.3101989202859784E-3</v>
      </c>
      <c r="P1482" s="100">
        <f>MAX(SamplingData[[#This Row],[Error Bound (up) - Max. possible relative overstatement - Losing Candidate]:[Error Bound (up) - Max. possible relative overstatement - Candidate 6]])</f>
        <v>5.5120039196472313E-3</v>
      </c>
      <c r="Q1482" s="100">
        <f>IF(SamplingData[[#This Row],[Max Error Bound (up)]] = 0,0,SamplingData[[#This Row],[Max Error Bound (up)]]/SamplingData[[#Totals],[Max Error Bound (up)]])</f>
        <v>8.7236534506012473E-4</v>
      </c>
      <c r="R1482" s="101">
        <f>SUM($Q$5:Q1482)</f>
        <v>0.48610692970314667</v>
      </c>
      <c r="S1482" s="100" t="str">
        <f t="array" ref="S1482">IF(SamplingData[[#This Row],[up/U Selection Probability]] = 0, "Zero", TEXT(SamplingData[[#This Row],[Lower Range]], REPT("0",LEN('General Info'!$B$40))) &amp; " - " &amp; TEXT(SamplingData[[#This Row],[Upper Range]], REPT("0",LEN('General Info'!$B$40))))</f>
        <v>48523 - 48610</v>
      </c>
      <c r="T1482" s="100">
        <f>SamplingData[[#This Row],[Upper Range]]-SamplingData[[#This Row],[Span]]</f>
        <v>48523.457308174002</v>
      </c>
      <c r="U1482" s="100">
        <f>IF(ISNUMBER('General Info'!$B$40), ((SamplingData[[#This Row],[up/U Selection Probability]]) * 'General Info'!$B$40) - 1, 0)</f>
        <v>86.235662140667415</v>
      </c>
      <c r="V1482" s="100">
        <f>IF(ISNUMBER('General Info'!$B$40), (SamplingData[[#This Row],[Running (cumulative) sum]] * ('General Info'!$B$40 -'General Info'!$B$41 + 1)) + 'General Info'!$B$41 - 1, 0)</f>
        <v>48609.692970314667</v>
      </c>
      <c r="W1482" s="100" t="str">
        <f>IF(ISERROR(MATCH(SamplingData[[#This Row],[Batch by Type (p)]],SelectedPrecincts[Batch Name], 0)), "", INDEX(SelectedPrecincts[Draw], MATCH(SamplingData[[#This Row],[Batch by Type (p)]],SelectedPrecincts[Batch Name], 0)))</f>
        <v/>
      </c>
      <c r="X1482" s="102">
        <f>IF(COUNTIF(SelectedPrecincts[Batch Name],SamplingData[[#This Row],[Batch by Type (p)]]) &lt;&gt; 0, COUNTIF(SelectedPrecincts[Batch Name],SamplingData[[#This Row],[Batch by Type (p)]]), 0)</f>
        <v>0</v>
      </c>
    </row>
    <row r="1483" spans="1:24" ht="15" customHeight="1">
      <c r="A1483" s="18" t="s">
        <v>1659</v>
      </c>
      <c r="B1483" s="18">
        <v>13</v>
      </c>
      <c r="C1483" s="18">
        <v>7</v>
      </c>
      <c r="D1483" s="16">
        <v>4</v>
      </c>
      <c r="E1483" s="16">
        <v>3</v>
      </c>
      <c r="F1483" s="37">
        <v>0</v>
      </c>
      <c r="G1483" s="37">
        <v>0</v>
      </c>
      <c r="H1483" s="17">
        <v>0</v>
      </c>
      <c r="I1483" s="17">
        <v>0</v>
      </c>
      <c r="J1483" s="99">
        <f>SUM(SamplingData[[#This Row],[Losing Candidate]:[Under Votes]])</f>
        <v>27</v>
      </c>
      <c r="K1483"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483" s="100">
        <f>IF(AND(SamplingData[[#This Row],[Total]]&lt;&gt; 0, NOT(ISBLANK(SamplingData[[#This Row],[Candidate 3]]))),(SamplingData[[#This Row],[Total]]+SamplingData[[#This Row],[Winning Candidate]]-SamplingData[[#This Row],[Candidate 3]])/(SamplingData[[#Totals],[Winning Candidate]]-SamplingData[[#Totals],[Candidate 3]]), 0)</f>
        <v>9.6783559699325746E-4</v>
      </c>
      <c r="M1483" s="100">
        <f>IF(AND(SamplingData[[#This Row],[Total]]&lt;&gt; 0, NOT(ISBLANK(SamplingData[[#This Row],[Candidate 4]]))),(SamplingData[[#This Row],[Total]]+SamplingData[[#This Row],[Winning Candidate]]-SamplingData[[#This Row],[Candidate 4]])/(SamplingData[[#Totals],[Winning Candidate]]-SamplingData[[#Totals],[Candidate 4]]), 0)</f>
        <v>9.0619427636002225E-4</v>
      </c>
      <c r="N1483" s="100">
        <f>IF(AND(SamplingData[[#This Row],[Total]]&lt;&gt; 0, NOT(ISBLANK(SamplingData[[#This Row],[Candidate 5]]))),(SamplingData[[#This Row],[Total]]+SamplingData[[#This Row],[Winning Candidate]]-SamplingData[[#This Row],[Candidate 5]])/(SamplingData[[#Totals],[Winning Candidate]]-SamplingData[[#Totals],[Candidate 5]]), 0)</f>
        <v>8.2704937971296523E-4</v>
      </c>
      <c r="O1483" s="100">
        <f>IF(AND(SamplingData[[#This Row],[Total]]&lt;&gt; 0, NOT(ISBLANK(SamplingData[[#This Row],[Candidate 6]]))),(SamplingData[[#This Row],[Total]]+SamplingData[[#This Row],[Winning Candidate]]-SamplingData[[#This Row],[Candidate 6]])/(SamplingData[[#Totals],[Winning Candidate]]-SamplingData[[#Totals],[Candidate 6]]), 0)</f>
        <v>8.2680803462866588E-4</v>
      </c>
      <c r="P1483" s="100">
        <f>MAX(SamplingData[[#This Row],[Error Bound (up) - Max. possible relative overstatement - Losing Candidate]:[Error Bound (up) - Max. possible relative overstatement - Candidate 6]])</f>
        <v>1.2861342479176874E-3</v>
      </c>
      <c r="Q1483" s="100">
        <f>IF(SamplingData[[#This Row],[Max Error Bound (up)]] = 0,0,SamplingData[[#This Row],[Max Error Bound (up)]]/SamplingData[[#Totals],[Max Error Bound (up)]])</f>
        <v>2.0355191384736248E-4</v>
      </c>
      <c r="R1483" s="101">
        <f>SUM($Q$5:Q1483)</f>
        <v>0.48631048161699403</v>
      </c>
      <c r="S1483" s="100" t="str">
        <f t="array" ref="S1483">IF(SamplingData[[#This Row],[up/U Selection Probability]] = 0, "Zero", TEXT(SamplingData[[#This Row],[Lower Range]], REPT("0",LEN('General Info'!$B$40))) &amp; " - " &amp; TEXT(SamplingData[[#This Row],[Upper Range]], REPT("0",LEN('General Info'!$B$40))))</f>
        <v>48611 - 48630</v>
      </c>
      <c r="T1483" s="100">
        <f>SamplingData[[#This Row],[Upper Range]]-SamplingData[[#This Row],[Span]]</f>
        <v>48610.693173866581</v>
      </c>
      <c r="U1483" s="100">
        <f>IF(ISNUMBER('General Info'!$B$40), ((SamplingData[[#This Row],[up/U Selection Probability]]) * 'General Info'!$B$40) - 1, 0)</f>
        <v>19.354987832822399</v>
      </c>
      <c r="V1483" s="100">
        <f>IF(ISNUMBER('General Info'!$B$40), (SamplingData[[#This Row],[Running (cumulative) sum]] * ('General Info'!$B$40 -'General Info'!$B$41 + 1)) + 'General Info'!$B$41 - 1, 0)</f>
        <v>48630.0481616994</v>
      </c>
      <c r="W1483" s="100" t="str">
        <f>IF(ISERROR(MATCH(SamplingData[[#This Row],[Batch by Type (p)]],SelectedPrecincts[Batch Name], 0)), "", INDEX(SelectedPrecincts[Draw], MATCH(SamplingData[[#This Row],[Batch by Type (p)]],SelectedPrecincts[Batch Name], 0)))</f>
        <v/>
      </c>
      <c r="X1483" s="102">
        <f>IF(COUNTIF(SelectedPrecincts[Batch Name],SamplingData[[#This Row],[Batch by Type (p)]]) &lt;&gt; 0, COUNTIF(SelectedPrecincts[Batch Name],SamplingData[[#This Row],[Batch by Type (p)]]), 0)</f>
        <v>0</v>
      </c>
    </row>
    <row r="1484" spans="1:24" ht="15" customHeight="1">
      <c r="A1484" s="18" t="s">
        <v>1660</v>
      </c>
      <c r="B1484" s="18">
        <v>3</v>
      </c>
      <c r="C1484" s="18">
        <v>2</v>
      </c>
      <c r="D1484" s="18">
        <v>1</v>
      </c>
      <c r="E1484" s="18">
        <v>3</v>
      </c>
      <c r="F1484" s="18">
        <v>0</v>
      </c>
      <c r="G1484" s="18">
        <v>0</v>
      </c>
      <c r="H1484" s="18">
        <v>0</v>
      </c>
      <c r="I1484" s="18">
        <v>0</v>
      </c>
      <c r="J1484" s="99">
        <f>SUM(SamplingData[[#This Row],[Losing Candidate]:[Under Votes]])</f>
        <v>9</v>
      </c>
      <c r="K1484"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484" s="100">
        <f>IF(AND(SamplingData[[#This Row],[Total]]&lt;&gt; 0, NOT(ISBLANK(SamplingData[[#This Row],[Candidate 3]]))),(SamplingData[[#This Row],[Total]]+SamplingData[[#This Row],[Winning Candidate]]-SamplingData[[#This Row],[Candidate 3]])/(SamplingData[[#Totals],[Winning Candidate]]-SamplingData[[#Totals],[Candidate 3]]), 0)</f>
        <v>3.2261186566441915E-4</v>
      </c>
      <c r="M1484" s="100">
        <f>IF(AND(SamplingData[[#This Row],[Total]]&lt;&gt; 0, NOT(ISBLANK(SamplingData[[#This Row],[Candidate 4]]))),(SamplingData[[#This Row],[Total]]+SamplingData[[#This Row],[Winning Candidate]]-SamplingData[[#This Row],[Candidate 4]])/(SamplingData[[#Totals],[Winning Candidate]]-SamplingData[[#Totals],[Candidate 4]]), 0)</f>
        <v>2.3385658744774768E-4</v>
      </c>
      <c r="N1484" s="100">
        <f>IF(AND(SamplingData[[#This Row],[Total]]&lt;&gt; 0, NOT(ISBLANK(SamplingData[[#This Row],[Candidate 5]]))),(SamplingData[[#This Row],[Total]]+SamplingData[[#This Row],[Winning Candidate]]-SamplingData[[#This Row],[Candidate 5]])/(SamplingData[[#Totals],[Winning Candidate]]-SamplingData[[#Totals],[Candidate 5]]), 0)</f>
        <v>2.6757479931890053E-4</v>
      </c>
      <c r="O1484" s="100">
        <f>IF(AND(SamplingData[[#This Row],[Total]]&lt;&gt; 0, NOT(ISBLANK(SamplingData[[#This Row],[Candidate 6]]))),(SamplingData[[#This Row],[Total]]+SamplingData[[#This Row],[Winning Candidate]]-SamplingData[[#This Row],[Candidate 6]])/(SamplingData[[#Totals],[Winning Candidate]]-SamplingData[[#Totals],[Candidate 6]]), 0)</f>
        <v>2.6749671708574483E-4</v>
      </c>
      <c r="P1484" s="100">
        <f>MAX(SamplingData[[#This Row],[Error Bound (up) - Max. possible relative overstatement - Losing Candidate]:[Error Bound (up) - Max. possible relative overstatement - Candidate 6]])</f>
        <v>4.8995590396864281E-4</v>
      </c>
      <c r="Q1484" s="100">
        <f>IF(SamplingData[[#This Row],[Max Error Bound (up)]] = 0,0,SamplingData[[#This Row],[Max Error Bound (up)]]/SamplingData[[#Totals],[Max Error Bound (up)]])</f>
        <v>7.7543586227566652E-5</v>
      </c>
      <c r="R1484" s="101">
        <f>SUM($Q$5:Q1484)</f>
        <v>0.48638802520322161</v>
      </c>
      <c r="S1484" s="100" t="str">
        <f t="array" ref="S1484">IF(SamplingData[[#This Row],[up/U Selection Probability]] = 0, "Zero", TEXT(SamplingData[[#This Row],[Lower Range]], REPT("0",LEN('General Info'!$B$40))) &amp; " - " &amp; TEXT(SamplingData[[#This Row],[Upper Range]], REPT("0",LEN('General Info'!$B$40))))</f>
        <v>48631 - 48638</v>
      </c>
      <c r="T1484" s="100">
        <f>SamplingData[[#This Row],[Upper Range]]-SamplingData[[#This Row],[Span]]</f>
        <v>48631.048239242991</v>
      </c>
      <c r="U1484" s="100">
        <f>IF(ISNUMBER('General Info'!$B$40), ((SamplingData[[#This Row],[up/U Selection Probability]]) * 'General Info'!$B$40) - 1, 0)</f>
        <v>6.754281079170438</v>
      </c>
      <c r="V1484" s="100">
        <f>IF(ISNUMBER('General Info'!$B$40), (SamplingData[[#This Row],[Running (cumulative) sum]] * ('General Info'!$B$40 -'General Info'!$B$41 + 1)) + 'General Info'!$B$41 - 1, 0)</f>
        <v>48637.802520322162</v>
      </c>
      <c r="W1484" s="100" t="str">
        <f>IF(ISERROR(MATCH(SamplingData[[#This Row],[Batch by Type (p)]],SelectedPrecincts[Batch Name], 0)), "", INDEX(SelectedPrecincts[Draw], MATCH(SamplingData[[#This Row],[Batch by Type (p)]],SelectedPrecincts[Batch Name], 0)))</f>
        <v/>
      </c>
      <c r="X1484" s="102">
        <f>IF(COUNTIF(SelectedPrecincts[Batch Name],SamplingData[[#This Row],[Batch by Type (p)]]) &lt;&gt; 0, COUNTIF(SelectedPrecincts[Batch Name],SamplingData[[#This Row],[Batch by Type (p)]]), 0)</f>
        <v>0</v>
      </c>
    </row>
    <row r="1485" spans="1:24" ht="15" customHeight="1">
      <c r="A1485" s="18" t="s">
        <v>1661</v>
      </c>
      <c r="B1485" s="18">
        <v>10</v>
      </c>
      <c r="C1485" s="18">
        <v>17</v>
      </c>
      <c r="D1485" s="16">
        <v>3</v>
      </c>
      <c r="E1485" s="16">
        <v>3</v>
      </c>
      <c r="F1485" s="37">
        <v>0</v>
      </c>
      <c r="G1485" s="37">
        <v>0</v>
      </c>
      <c r="H1485" s="17">
        <v>0</v>
      </c>
      <c r="I1485" s="17">
        <v>1</v>
      </c>
      <c r="J1485" s="99">
        <f>SUM(SamplingData[[#This Row],[Losing Candidate]:[Under Votes]])</f>
        <v>34</v>
      </c>
      <c r="K1485" s="100">
        <f>IF(AND(SamplingData[[#This Row],[Total]]&lt;&gt; 0, NOT(ISBLANK(SamplingData[[#This Row],[Losing Candidate]]))),(SamplingData[[#This Row],[Total]]+SamplingData[[#This Row],[Winning Candidate]]-SamplingData[[#This Row],[Losing Candidate]])/(SamplingData[[#Totals],[Winning Candidate]]-SamplingData[[#Totals],[Losing Candidate]]), 0)</f>
        <v>2.5110240078392945E-3</v>
      </c>
      <c r="L1485" s="100">
        <f>IF(AND(SamplingData[[#This Row],[Total]]&lt;&gt; 0, NOT(ISBLANK(SamplingData[[#This Row],[Candidate 3]]))),(SamplingData[[#This Row],[Total]]+SamplingData[[#This Row],[Winning Candidate]]-SamplingData[[#This Row],[Candidate 3]])/(SamplingData[[#Totals],[Winning Candidate]]-SamplingData[[#Totals],[Candidate 3]]), 0)</f>
        <v>1.5485369551892119E-3</v>
      </c>
      <c r="M1485" s="100">
        <f>IF(AND(SamplingData[[#This Row],[Total]]&lt;&gt; 0, NOT(ISBLANK(SamplingData[[#This Row],[Candidate 4]]))),(SamplingData[[#This Row],[Total]]+SamplingData[[#This Row],[Winning Candidate]]-SamplingData[[#This Row],[Candidate 4]])/(SamplingData[[#Totals],[Winning Candidate]]-SamplingData[[#Totals],[Candidate 4]]), 0)</f>
        <v>1.403139524686486E-3</v>
      </c>
      <c r="N1485" s="100">
        <f>IF(AND(SamplingData[[#This Row],[Total]]&lt;&gt; 0, NOT(ISBLANK(SamplingData[[#This Row],[Candidate 5]]))),(SamplingData[[#This Row],[Total]]+SamplingData[[#This Row],[Winning Candidate]]-SamplingData[[#This Row],[Candidate 5]])/(SamplingData[[#Totals],[Winning Candidate]]-SamplingData[[#Totals],[Candidate 5]]), 0)</f>
        <v>1.2405740695694478E-3</v>
      </c>
      <c r="O1485" s="100">
        <f>IF(AND(SamplingData[[#This Row],[Total]]&lt;&gt; 0, NOT(ISBLANK(SamplingData[[#This Row],[Candidate 6]]))),(SamplingData[[#This Row],[Total]]+SamplingData[[#This Row],[Winning Candidate]]-SamplingData[[#This Row],[Candidate 6]])/(SamplingData[[#Totals],[Winning Candidate]]-SamplingData[[#Totals],[Candidate 6]]), 0)</f>
        <v>1.2402120519429988E-3</v>
      </c>
      <c r="P1485" s="100">
        <f>MAX(SamplingData[[#This Row],[Error Bound (up) - Max. possible relative overstatement - Losing Candidate]:[Error Bound (up) - Max. possible relative overstatement - Candidate 6]])</f>
        <v>2.5110240078392945E-3</v>
      </c>
      <c r="Q1485" s="100">
        <f>IF(SamplingData[[#This Row],[Max Error Bound (up)]] = 0,0,SamplingData[[#This Row],[Max Error Bound (up)]]/SamplingData[[#Totals],[Max Error Bound (up)]])</f>
        <v>3.9741087941627912E-4</v>
      </c>
      <c r="R1485" s="101">
        <f>SUM($Q$5:Q1485)</f>
        <v>0.48678543608263791</v>
      </c>
      <c r="S1485" s="100" t="str">
        <f t="array" ref="S1485">IF(SamplingData[[#This Row],[up/U Selection Probability]] = 0, "Zero", TEXT(SamplingData[[#This Row],[Lower Range]], REPT("0",LEN('General Info'!$B$40))) &amp; " - " &amp; TEXT(SamplingData[[#This Row],[Upper Range]], REPT("0",LEN('General Info'!$B$40))))</f>
        <v>48639 - 48678</v>
      </c>
      <c r="T1485" s="100">
        <f>SamplingData[[#This Row],[Upper Range]]-SamplingData[[#This Row],[Span]]</f>
        <v>48638.802917733039</v>
      </c>
      <c r="U1485" s="100">
        <f>IF(ISNUMBER('General Info'!$B$40), ((SamplingData[[#This Row],[up/U Selection Probability]]) * 'General Info'!$B$40) - 1, 0)</f>
        <v>38.740690530748495</v>
      </c>
      <c r="V1485" s="100">
        <f>IF(ISNUMBER('General Info'!$B$40), (SamplingData[[#This Row],[Running (cumulative) sum]] * ('General Info'!$B$40 -'General Info'!$B$41 + 1)) + 'General Info'!$B$41 - 1, 0)</f>
        <v>48677.54360826379</v>
      </c>
      <c r="W1485" s="100" t="str">
        <f>IF(ISERROR(MATCH(SamplingData[[#This Row],[Batch by Type (p)]],SelectedPrecincts[Batch Name], 0)), "", INDEX(SelectedPrecincts[Draw], MATCH(SamplingData[[#This Row],[Batch by Type (p)]],SelectedPrecincts[Batch Name], 0)))</f>
        <v/>
      </c>
      <c r="X1485" s="102">
        <f>IF(COUNTIF(SelectedPrecincts[Batch Name],SamplingData[[#This Row],[Batch by Type (p)]]) &lt;&gt; 0, COUNTIF(SelectedPrecincts[Batch Name],SamplingData[[#This Row],[Batch by Type (p)]]), 0)</f>
        <v>0</v>
      </c>
    </row>
    <row r="1486" spans="1:24" ht="15" customHeight="1">
      <c r="A1486" s="18" t="s">
        <v>1662</v>
      </c>
      <c r="B1486" s="18">
        <v>4</v>
      </c>
      <c r="C1486" s="18">
        <v>3</v>
      </c>
      <c r="D1486" s="18">
        <v>2</v>
      </c>
      <c r="E1486" s="18">
        <v>1</v>
      </c>
      <c r="F1486" s="18">
        <v>0</v>
      </c>
      <c r="G1486" s="18">
        <v>0</v>
      </c>
      <c r="H1486" s="18">
        <v>0</v>
      </c>
      <c r="I1486" s="18">
        <v>0</v>
      </c>
      <c r="J1486" s="99">
        <f>SUM(SamplingData[[#This Row],[Losing Candidate]:[Under Votes]])</f>
        <v>10</v>
      </c>
      <c r="K1486"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486" s="100">
        <f>IF(AND(SamplingData[[#This Row],[Total]]&lt;&gt; 0, NOT(ISBLANK(SamplingData[[#This Row],[Candidate 3]]))),(SamplingData[[#This Row],[Total]]+SamplingData[[#This Row],[Winning Candidate]]-SamplingData[[#This Row],[Candidate 3]])/(SamplingData[[#Totals],[Winning Candidate]]-SamplingData[[#Totals],[Candidate 3]]), 0)</f>
        <v>3.5487305223086104E-4</v>
      </c>
      <c r="M1486" s="100">
        <f>IF(AND(SamplingData[[#This Row],[Total]]&lt;&gt; 0, NOT(ISBLANK(SamplingData[[#This Row],[Candidate 4]]))),(SamplingData[[#This Row],[Total]]+SamplingData[[#This Row],[Winning Candidate]]-SamplingData[[#This Row],[Candidate 4]])/(SamplingData[[#Totals],[Winning Candidate]]-SamplingData[[#Totals],[Candidate 4]]), 0)</f>
        <v>3.5078488117162149E-4</v>
      </c>
      <c r="N1486" s="100">
        <f>IF(AND(SamplingData[[#This Row],[Total]]&lt;&gt; 0, NOT(ISBLANK(SamplingData[[#This Row],[Candidate 5]]))),(SamplingData[[#This Row],[Total]]+SamplingData[[#This Row],[Winning Candidate]]-SamplingData[[#This Row],[Candidate 5]])/(SamplingData[[#Totals],[Winning Candidate]]-SamplingData[[#Totals],[Candidate 5]]), 0)</f>
        <v>3.1622476283142789E-4</v>
      </c>
      <c r="O1486" s="100">
        <f>IF(AND(SamplingData[[#This Row],[Total]]&lt;&gt; 0, NOT(ISBLANK(SamplingData[[#This Row],[Candidate 6]]))),(SamplingData[[#This Row],[Total]]+SamplingData[[#This Row],[Winning Candidate]]-SamplingData[[#This Row],[Candidate 6]])/(SamplingData[[#Totals],[Winning Candidate]]-SamplingData[[#Totals],[Candidate 6]]), 0)</f>
        <v>3.1613248382860755E-4</v>
      </c>
      <c r="P1486" s="100">
        <f>MAX(SamplingData[[#This Row],[Error Bound (up) - Max. possible relative overstatement - Losing Candidate]:[Error Bound (up) - Max. possible relative overstatement - Candidate 6]])</f>
        <v>5.5120039196472322E-4</v>
      </c>
      <c r="Q1486" s="100">
        <f>IF(SamplingData[[#This Row],[Max Error Bound (up)]] = 0,0,SamplingData[[#This Row],[Max Error Bound (up)]]/SamplingData[[#Totals],[Max Error Bound (up)]])</f>
        <v>8.7236534506012492E-5</v>
      </c>
      <c r="R1486" s="101">
        <f>SUM($Q$5:Q1486)</f>
        <v>0.4868726726171439</v>
      </c>
      <c r="S1486" s="100" t="str">
        <f t="array" ref="S1486">IF(SamplingData[[#This Row],[up/U Selection Probability]] = 0, "Zero", TEXT(SamplingData[[#This Row],[Lower Range]], REPT("0",LEN('General Info'!$B$40))) &amp; " - " &amp; TEXT(SamplingData[[#This Row],[Upper Range]], REPT("0",LEN('General Info'!$B$40))))</f>
        <v>48679 - 48686</v>
      </c>
      <c r="T1486" s="100">
        <f>SamplingData[[#This Row],[Upper Range]]-SamplingData[[#This Row],[Span]]</f>
        <v>48678.543695500324</v>
      </c>
      <c r="U1486" s="100">
        <f>IF(ISNUMBER('General Info'!$B$40), ((SamplingData[[#This Row],[up/U Selection Probability]]) * 'General Info'!$B$40) - 1, 0)</f>
        <v>7.7235662140667429</v>
      </c>
      <c r="V1486" s="100">
        <f>IF(ISNUMBER('General Info'!$B$40), (SamplingData[[#This Row],[Running (cumulative) sum]] * ('General Info'!$B$40 -'General Info'!$B$41 + 1)) + 'General Info'!$B$41 - 1, 0)</f>
        <v>48686.267261714391</v>
      </c>
      <c r="W1486" s="100" t="str">
        <f>IF(ISERROR(MATCH(SamplingData[[#This Row],[Batch by Type (p)]],SelectedPrecincts[Batch Name], 0)), "", INDEX(SelectedPrecincts[Draw], MATCH(SamplingData[[#This Row],[Batch by Type (p)]],SelectedPrecincts[Batch Name], 0)))</f>
        <v/>
      </c>
      <c r="X1486" s="102">
        <f>IF(COUNTIF(SelectedPrecincts[Batch Name],SamplingData[[#This Row],[Batch by Type (p)]]) &lt;&gt; 0, COUNTIF(SelectedPrecincts[Batch Name],SamplingData[[#This Row],[Batch by Type (p)]]), 0)</f>
        <v>0</v>
      </c>
    </row>
    <row r="1487" spans="1:24" ht="15" customHeight="1">
      <c r="A1487" s="18" t="s">
        <v>1663</v>
      </c>
      <c r="B1487" s="18">
        <v>31</v>
      </c>
      <c r="C1487" s="18">
        <v>49</v>
      </c>
      <c r="D1487" s="16">
        <v>12</v>
      </c>
      <c r="E1487" s="16">
        <v>11</v>
      </c>
      <c r="F1487" s="37">
        <v>0</v>
      </c>
      <c r="G1487" s="37">
        <v>1</v>
      </c>
      <c r="H1487" s="17">
        <v>0</v>
      </c>
      <c r="I1487" s="17">
        <v>0</v>
      </c>
      <c r="J1487" s="99">
        <f>SUM(SamplingData[[#This Row],[Losing Candidate]:[Under Votes]])</f>
        <v>104</v>
      </c>
      <c r="K1487" s="100">
        <f>IF(AND(SamplingData[[#This Row],[Total]]&lt;&gt; 0, NOT(ISBLANK(SamplingData[[#This Row],[Losing Candidate]]))),(SamplingData[[#This Row],[Total]]+SamplingData[[#This Row],[Winning Candidate]]-SamplingData[[#This Row],[Losing Candidate]])/(SamplingData[[#Totals],[Winning Candidate]]-SamplingData[[#Totals],[Losing Candidate]]), 0)</f>
        <v>7.4718275355218034E-3</v>
      </c>
      <c r="L1487" s="100">
        <f>IF(AND(SamplingData[[#This Row],[Total]]&lt;&gt; 0, NOT(ISBLANK(SamplingData[[#This Row],[Candidate 3]]))),(SamplingData[[#This Row],[Total]]+SamplingData[[#This Row],[Winning Candidate]]-SamplingData[[#This Row],[Candidate 3]])/(SamplingData[[#Totals],[Winning Candidate]]-SamplingData[[#Totals],[Candidate 3]]), 0)</f>
        <v>4.5488273058683099E-3</v>
      </c>
      <c r="M1487" s="100">
        <f>IF(AND(SamplingData[[#This Row],[Total]]&lt;&gt; 0, NOT(ISBLANK(SamplingData[[#This Row],[Candidate 4]]))),(SamplingData[[#This Row],[Total]]+SamplingData[[#This Row],[Winning Candidate]]-SamplingData[[#This Row],[Candidate 4]])/(SamplingData[[#Totals],[Winning Candidate]]-SamplingData[[#Totals],[Candidate 4]]), 0)</f>
        <v>4.1509544271975214E-3</v>
      </c>
      <c r="N1487" s="100">
        <f>IF(AND(SamplingData[[#This Row],[Total]]&lt;&gt; 0, NOT(ISBLANK(SamplingData[[#This Row],[Candidate 5]]))),(SamplingData[[#This Row],[Total]]+SamplingData[[#This Row],[Winning Candidate]]-SamplingData[[#This Row],[Candidate 5]])/(SamplingData[[#Totals],[Winning Candidate]]-SamplingData[[#Totals],[Candidate 5]]), 0)</f>
        <v>3.7217222087083434E-3</v>
      </c>
      <c r="O1487" s="100">
        <f>IF(AND(SamplingData[[#This Row],[Total]]&lt;&gt; 0, NOT(ISBLANK(SamplingData[[#This Row],[Candidate 6]]))),(SamplingData[[#This Row],[Total]]+SamplingData[[#This Row],[Winning Candidate]]-SamplingData[[#This Row],[Candidate 6]])/(SamplingData[[#Totals],[Winning Candidate]]-SamplingData[[#Totals],[Candidate 6]]), 0)</f>
        <v>3.6963182724575653E-3</v>
      </c>
      <c r="P1487" s="100">
        <f>MAX(SamplingData[[#This Row],[Error Bound (up) - Max. possible relative overstatement - Losing Candidate]:[Error Bound (up) - Max. possible relative overstatement - Candidate 6]])</f>
        <v>7.4718275355218034E-3</v>
      </c>
      <c r="Q1487" s="100">
        <f>IF(SamplingData[[#This Row],[Max Error Bound (up)]] = 0,0,SamplingData[[#This Row],[Max Error Bound (up)]]/SamplingData[[#Totals],[Max Error Bound (up)]])</f>
        <v>1.1825396899703916E-3</v>
      </c>
      <c r="R1487" s="101">
        <f>SUM($Q$5:Q1487)</f>
        <v>0.48805521230711429</v>
      </c>
      <c r="S1487" s="100" t="str">
        <f t="array" ref="S1487">IF(SamplingData[[#This Row],[up/U Selection Probability]] = 0, "Zero", TEXT(SamplingData[[#This Row],[Lower Range]], REPT("0",LEN('General Info'!$B$40))) &amp; " - " &amp; TEXT(SamplingData[[#This Row],[Upper Range]], REPT("0",LEN('General Info'!$B$40))))</f>
        <v>48687 - 48805</v>
      </c>
      <c r="T1487" s="100">
        <f>SamplingData[[#This Row],[Upper Range]]-SamplingData[[#This Row],[Span]]</f>
        <v>48687.268444254078</v>
      </c>
      <c r="U1487" s="100">
        <f>IF(ISNUMBER('General Info'!$B$40), ((SamplingData[[#This Row],[up/U Selection Probability]]) * 'General Info'!$B$40) - 1, 0)</f>
        <v>117.25278645734919</v>
      </c>
      <c r="V1487" s="100">
        <f>IF(ISNUMBER('General Info'!$B$40), (SamplingData[[#This Row],[Running (cumulative) sum]] * ('General Info'!$B$40 -'General Info'!$B$41 + 1)) + 'General Info'!$B$41 - 1, 0)</f>
        <v>48804.521230711427</v>
      </c>
      <c r="W1487" s="100" t="str">
        <f>IF(ISERROR(MATCH(SamplingData[[#This Row],[Batch by Type (p)]],SelectedPrecincts[Batch Name], 0)), "", INDEX(SelectedPrecincts[Draw], MATCH(SamplingData[[#This Row],[Batch by Type (p)]],SelectedPrecincts[Batch Name], 0)))</f>
        <v/>
      </c>
      <c r="X1487" s="102">
        <f>IF(COUNTIF(SelectedPrecincts[Batch Name],SamplingData[[#This Row],[Batch by Type (p)]]) &lt;&gt; 0, COUNTIF(SelectedPrecincts[Batch Name],SamplingData[[#This Row],[Batch by Type (p)]]), 0)</f>
        <v>0</v>
      </c>
    </row>
    <row r="1488" spans="1:24" ht="15" customHeight="1">
      <c r="A1488" s="18" t="s">
        <v>1664</v>
      </c>
      <c r="B1488" s="18">
        <v>23</v>
      </c>
      <c r="C1488" s="18">
        <v>33</v>
      </c>
      <c r="D1488" s="18">
        <v>8</v>
      </c>
      <c r="E1488" s="18">
        <v>5</v>
      </c>
      <c r="F1488" s="18">
        <v>0</v>
      </c>
      <c r="G1488" s="18">
        <v>1</v>
      </c>
      <c r="H1488" s="18">
        <v>0</v>
      </c>
      <c r="I1488" s="18">
        <v>3</v>
      </c>
      <c r="J1488" s="99">
        <f>SUM(SamplingData[[#This Row],[Losing Candidate]:[Under Votes]])</f>
        <v>73</v>
      </c>
      <c r="K1488" s="100">
        <f>IF(AND(SamplingData[[#This Row],[Total]]&lt;&gt; 0, NOT(ISBLANK(SamplingData[[#This Row],[Losing Candidate]]))),(SamplingData[[#This Row],[Total]]+SamplingData[[#This Row],[Winning Candidate]]-SamplingData[[#This Row],[Losing Candidate]])/(SamplingData[[#Totals],[Winning Candidate]]-SamplingData[[#Totals],[Losing Candidate]]), 0)</f>
        <v>5.0832925036746694E-3</v>
      </c>
      <c r="L1488" s="100">
        <f>IF(AND(SamplingData[[#This Row],[Total]]&lt;&gt; 0, NOT(ISBLANK(SamplingData[[#This Row],[Candidate 3]]))),(SamplingData[[#This Row],[Total]]+SamplingData[[#This Row],[Winning Candidate]]-SamplingData[[#This Row],[Candidate 3]])/(SamplingData[[#Totals],[Winning Candidate]]-SamplingData[[#Totals],[Candidate 3]]), 0)</f>
        <v>3.1615962835113073E-3</v>
      </c>
      <c r="M1488" s="100">
        <f>IF(AND(SamplingData[[#This Row],[Total]]&lt;&gt; 0, NOT(ISBLANK(SamplingData[[#This Row],[Candidate 4]]))),(SamplingData[[#This Row],[Total]]+SamplingData[[#This Row],[Winning Candidate]]-SamplingData[[#This Row],[Candidate 4]])/(SamplingData[[#Totals],[Winning Candidate]]-SamplingData[[#Totals],[Candidate 4]]), 0)</f>
        <v>2.9524394165278143E-3</v>
      </c>
      <c r="N1488" s="100">
        <f>IF(AND(SamplingData[[#This Row],[Total]]&lt;&gt; 0, NOT(ISBLANK(SamplingData[[#This Row],[Candidate 5]]))),(SamplingData[[#This Row],[Total]]+SamplingData[[#This Row],[Winning Candidate]]-SamplingData[[#This Row],[Candidate 5]])/(SamplingData[[#Totals],[Winning Candidate]]-SamplingData[[#Totals],[Candidate 5]]), 0)</f>
        <v>2.5784480661639503E-3</v>
      </c>
      <c r="O1488" s="100">
        <f>IF(AND(SamplingData[[#This Row],[Total]]&lt;&gt; 0, NOT(ISBLANK(SamplingData[[#This Row],[Candidate 6]]))),(SamplingData[[#This Row],[Total]]+SamplingData[[#This Row],[Winning Candidate]]-SamplingData[[#This Row],[Candidate 6]])/(SamplingData[[#Totals],[Winning Candidate]]-SamplingData[[#Totals],[Candidate 6]]), 0)</f>
        <v>2.5533777540002918E-3</v>
      </c>
      <c r="P1488" s="100">
        <f>MAX(SamplingData[[#This Row],[Error Bound (up) - Max. possible relative overstatement - Losing Candidate]:[Error Bound (up) - Max. possible relative overstatement - Candidate 6]])</f>
        <v>5.0832925036746694E-3</v>
      </c>
      <c r="Q1488" s="100">
        <f>IF(SamplingData[[#This Row],[Max Error Bound (up)]] = 0,0,SamplingData[[#This Row],[Max Error Bound (up)]]/SamplingData[[#Totals],[Max Error Bound (up)]])</f>
        <v>8.0451470711100407E-4</v>
      </c>
      <c r="R1488" s="101">
        <f>SUM($Q$5:Q1488)</f>
        <v>0.48885972701422531</v>
      </c>
      <c r="S1488" s="100" t="str">
        <f t="array" ref="S1488">IF(SamplingData[[#This Row],[up/U Selection Probability]] = 0, "Zero", TEXT(SamplingData[[#This Row],[Lower Range]], REPT("0",LEN('General Info'!$B$40))) &amp; " - " &amp; TEXT(SamplingData[[#This Row],[Upper Range]], REPT("0",LEN('General Info'!$B$40))))</f>
        <v>48806 - 48885</v>
      </c>
      <c r="T1488" s="100">
        <f>SamplingData[[#This Row],[Upper Range]]-SamplingData[[#This Row],[Span]]</f>
        <v>48805.522035226131</v>
      </c>
      <c r="U1488" s="100">
        <f>IF(ISNUMBER('General Info'!$B$40), ((SamplingData[[#This Row],[up/U Selection Probability]]) * 'General Info'!$B$40) - 1, 0)</f>
        <v>79.4506661963933</v>
      </c>
      <c r="V1488" s="100">
        <f>IF(ISNUMBER('General Info'!$B$40), (SamplingData[[#This Row],[Running (cumulative) sum]] * ('General Info'!$B$40 -'General Info'!$B$41 + 1)) + 'General Info'!$B$41 - 1, 0)</f>
        <v>48884.972701422528</v>
      </c>
      <c r="W1488" s="100" t="str">
        <f>IF(ISERROR(MATCH(SamplingData[[#This Row],[Batch by Type (p)]],SelectedPrecincts[Batch Name], 0)), "", INDEX(SelectedPrecincts[Draw], MATCH(SamplingData[[#This Row],[Batch by Type (p)]],SelectedPrecincts[Batch Name], 0)))</f>
        <v/>
      </c>
      <c r="X1488" s="102">
        <f>IF(COUNTIF(SelectedPrecincts[Batch Name],SamplingData[[#This Row],[Batch by Type (p)]]) &lt;&gt; 0, COUNTIF(SelectedPrecincts[Batch Name],SamplingData[[#This Row],[Batch by Type (p)]]), 0)</f>
        <v>0</v>
      </c>
    </row>
    <row r="1489" spans="1:24" ht="15" customHeight="1">
      <c r="A1489" s="18" t="s">
        <v>1665</v>
      </c>
      <c r="B1489" s="18">
        <v>32</v>
      </c>
      <c r="C1489" s="18">
        <v>43</v>
      </c>
      <c r="D1489" s="16">
        <v>5</v>
      </c>
      <c r="E1489" s="16">
        <v>4</v>
      </c>
      <c r="F1489" s="37">
        <v>0</v>
      </c>
      <c r="G1489" s="37">
        <v>0</v>
      </c>
      <c r="H1489" s="17">
        <v>0</v>
      </c>
      <c r="I1489" s="17">
        <v>1</v>
      </c>
      <c r="J1489" s="99">
        <f>SUM(SamplingData[[#This Row],[Losing Candidate]:[Under Votes]])</f>
        <v>85</v>
      </c>
      <c r="K1489" s="100">
        <f>IF(AND(SamplingData[[#This Row],[Total]]&lt;&gt; 0, NOT(ISBLANK(SamplingData[[#This Row],[Losing Candidate]]))),(SamplingData[[#This Row],[Total]]+SamplingData[[#This Row],[Winning Candidate]]-SamplingData[[#This Row],[Losing Candidate]])/(SamplingData[[#Totals],[Winning Candidate]]-SamplingData[[#Totals],[Losing Candidate]]), 0)</f>
        <v>5.8794708476237138E-3</v>
      </c>
      <c r="L1489" s="100">
        <f>IF(AND(SamplingData[[#This Row],[Total]]&lt;&gt; 0, NOT(ISBLANK(SamplingData[[#This Row],[Candidate 3]]))),(SamplingData[[#This Row],[Total]]+SamplingData[[#This Row],[Winning Candidate]]-SamplingData[[#This Row],[Candidate 3]])/(SamplingData[[#Totals],[Winning Candidate]]-SamplingData[[#Totals],[Candidate 3]]), 0)</f>
        <v>3.9681259476723558E-3</v>
      </c>
      <c r="M1489" s="100">
        <f>IF(AND(SamplingData[[#This Row],[Total]]&lt;&gt; 0, NOT(ISBLANK(SamplingData[[#This Row],[Candidate 4]]))),(SamplingData[[#This Row],[Total]]+SamplingData[[#This Row],[Winning Candidate]]-SamplingData[[#This Row],[Candidate 4]])/(SamplingData[[#Totals],[Winning Candidate]]-SamplingData[[#Totals],[Candidate 4]]), 0)</f>
        <v>3.624777105440089E-3</v>
      </c>
      <c r="N1489" s="100">
        <f>IF(AND(SamplingData[[#This Row],[Total]]&lt;&gt; 0, NOT(ISBLANK(SamplingData[[#This Row],[Candidate 5]]))),(SamplingData[[#This Row],[Total]]+SamplingData[[#This Row],[Winning Candidate]]-SamplingData[[#This Row],[Candidate 5]])/(SamplingData[[#Totals],[Winning Candidate]]-SamplingData[[#Totals],[Candidate 5]]), 0)</f>
        <v>3.1135976648017515E-3</v>
      </c>
      <c r="O1489" s="100">
        <f>IF(AND(SamplingData[[#This Row],[Total]]&lt;&gt; 0, NOT(ISBLANK(SamplingData[[#This Row],[Candidate 6]]))),(SamplingData[[#This Row],[Total]]+SamplingData[[#This Row],[Winning Candidate]]-SamplingData[[#This Row],[Candidate 6]])/(SamplingData[[#Totals],[Winning Candidate]]-SamplingData[[#Totals],[Candidate 6]]), 0)</f>
        <v>3.1126890715432128E-3</v>
      </c>
      <c r="P1489" s="100">
        <f>MAX(SamplingData[[#This Row],[Error Bound (up) - Max. possible relative overstatement - Losing Candidate]:[Error Bound (up) - Max. possible relative overstatement - Candidate 6]])</f>
        <v>5.8794708476237138E-3</v>
      </c>
      <c r="Q1489" s="100">
        <f>IF(SamplingData[[#This Row],[Max Error Bound (up)]] = 0,0,SamplingData[[#This Row],[Max Error Bound (up)]]/SamplingData[[#Totals],[Max Error Bound (up)]])</f>
        <v>9.3052303473079977E-4</v>
      </c>
      <c r="R1489" s="101">
        <f>SUM($Q$5:Q1489)</f>
        <v>0.4897902500489561</v>
      </c>
      <c r="S1489" s="100" t="str">
        <f t="array" ref="S1489">IF(SamplingData[[#This Row],[up/U Selection Probability]] = 0, "Zero", TEXT(SamplingData[[#This Row],[Lower Range]], REPT("0",LEN('General Info'!$B$40))) &amp; " - " &amp; TEXT(SamplingData[[#This Row],[Upper Range]], REPT("0",LEN('General Info'!$B$40))))</f>
        <v>48886 - 48978</v>
      </c>
      <c r="T1489" s="100">
        <f>SamplingData[[#This Row],[Upper Range]]-SamplingData[[#This Row],[Span]]</f>
        <v>48885.973631945562</v>
      </c>
      <c r="U1489" s="100">
        <f>IF(ISNUMBER('General Info'!$B$40), ((SamplingData[[#This Row],[up/U Selection Probability]]) * 'General Info'!$B$40) - 1, 0)</f>
        <v>92.051372950045248</v>
      </c>
      <c r="V1489" s="100">
        <f>IF(ISNUMBER('General Info'!$B$40), (SamplingData[[#This Row],[Running (cumulative) sum]] * ('General Info'!$B$40 -'General Info'!$B$41 + 1)) + 'General Info'!$B$41 - 1, 0)</f>
        <v>48978.025004895608</v>
      </c>
      <c r="W1489" s="100" t="str">
        <f>IF(ISERROR(MATCH(SamplingData[[#This Row],[Batch by Type (p)]],SelectedPrecincts[Batch Name], 0)), "", INDEX(SelectedPrecincts[Draw], MATCH(SamplingData[[#This Row],[Batch by Type (p)]],SelectedPrecincts[Batch Name], 0)))</f>
        <v/>
      </c>
      <c r="X1489" s="102">
        <f>IF(COUNTIF(SelectedPrecincts[Batch Name],SamplingData[[#This Row],[Batch by Type (p)]]) &lt;&gt; 0, COUNTIF(SelectedPrecincts[Batch Name],SamplingData[[#This Row],[Batch by Type (p)]]), 0)</f>
        <v>0</v>
      </c>
    </row>
    <row r="1490" spans="1:24" ht="15" customHeight="1">
      <c r="A1490" s="18" t="s">
        <v>1666</v>
      </c>
      <c r="B1490" s="18">
        <v>17</v>
      </c>
      <c r="C1490" s="18">
        <v>12</v>
      </c>
      <c r="D1490" s="18">
        <v>7</v>
      </c>
      <c r="E1490" s="18">
        <v>1</v>
      </c>
      <c r="F1490" s="18">
        <v>1</v>
      </c>
      <c r="G1490" s="18">
        <v>0</v>
      </c>
      <c r="H1490" s="18">
        <v>0</v>
      </c>
      <c r="I1490" s="18">
        <v>1</v>
      </c>
      <c r="J1490" s="99">
        <f>SUM(SamplingData[[#This Row],[Losing Candidate]:[Under Votes]])</f>
        <v>39</v>
      </c>
      <c r="K1490"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1490" s="100">
        <f>IF(AND(SamplingData[[#This Row],[Total]]&lt;&gt; 0, NOT(ISBLANK(SamplingData[[#This Row],[Candidate 3]]))),(SamplingData[[#This Row],[Total]]+SamplingData[[#This Row],[Winning Candidate]]-SamplingData[[#This Row],[Candidate 3]])/(SamplingData[[#Totals],[Winning Candidate]]-SamplingData[[#Totals],[Candidate 3]]), 0)</f>
        <v>1.4194922089234441E-3</v>
      </c>
      <c r="M1490" s="100">
        <f>IF(AND(SamplingData[[#This Row],[Total]]&lt;&gt; 0, NOT(ISBLANK(SamplingData[[#This Row],[Candidate 4]]))),(SamplingData[[#This Row],[Total]]+SamplingData[[#This Row],[Winning Candidate]]-SamplingData[[#This Row],[Candidate 4]])/(SamplingData[[#Totals],[Winning Candidate]]-SamplingData[[#Totals],[Candidate 4]]), 0)</f>
        <v>1.4616036715484229E-3</v>
      </c>
      <c r="N1490" s="100">
        <f>IF(AND(SamplingData[[#This Row],[Total]]&lt;&gt; 0, NOT(ISBLANK(SamplingData[[#This Row],[Candidate 5]]))),(SamplingData[[#This Row],[Total]]+SamplingData[[#This Row],[Winning Candidate]]-SamplingData[[#This Row],[Candidate 5]])/(SamplingData[[#Totals],[Winning Candidate]]-SamplingData[[#Totals],[Candidate 5]]), 0)</f>
        <v>1.2162490878131842E-3</v>
      </c>
      <c r="O1490" s="100">
        <f>IF(AND(SamplingData[[#This Row],[Total]]&lt;&gt; 0, NOT(ISBLANK(SamplingData[[#This Row],[Candidate 6]]))),(SamplingData[[#This Row],[Total]]+SamplingData[[#This Row],[Winning Candidate]]-SamplingData[[#This Row],[Candidate 6]])/(SamplingData[[#Totals],[Winning Candidate]]-SamplingData[[#Totals],[Candidate 6]]), 0)</f>
        <v>1.2402120519429988E-3</v>
      </c>
      <c r="P1490" s="100">
        <f>MAX(SamplingData[[#This Row],[Error Bound (up) - Max. possible relative overstatement - Losing Candidate]:[Error Bound (up) - Max. possible relative overstatement - Candidate 6]])</f>
        <v>2.0823125918667321E-3</v>
      </c>
      <c r="Q1490" s="100">
        <f>IF(SamplingData[[#This Row],[Max Error Bound (up)]] = 0,0,SamplingData[[#This Row],[Max Error Bound (up)]]/SamplingData[[#Totals],[Max Error Bound (up)]])</f>
        <v>3.2956024146715829E-4</v>
      </c>
      <c r="R1490" s="101">
        <f>SUM($Q$5:Q1490)</f>
        <v>0.49011981029042323</v>
      </c>
      <c r="S1490" s="100" t="str">
        <f t="array" ref="S1490">IF(SamplingData[[#This Row],[up/U Selection Probability]] = 0, "Zero", TEXT(SamplingData[[#This Row],[Lower Range]], REPT("0",LEN('General Info'!$B$40))) &amp; " - " &amp; TEXT(SamplingData[[#This Row],[Upper Range]], REPT("0",LEN('General Info'!$B$40))))</f>
        <v>48979 - 49011</v>
      </c>
      <c r="T1490" s="100">
        <f>SamplingData[[#This Row],[Upper Range]]-SamplingData[[#This Row],[Span]]</f>
        <v>48979.025334455851</v>
      </c>
      <c r="U1490" s="100">
        <f>IF(ISNUMBER('General Info'!$B$40), ((SamplingData[[#This Row],[up/U Selection Probability]]) * 'General Info'!$B$40) - 1, 0)</f>
        <v>31.955694586474358</v>
      </c>
      <c r="V1490" s="100">
        <f>IF(ISNUMBER('General Info'!$B$40), (SamplingData[[#This Row],[Running (cumulative) sum]] * ('General Info'!$B$40 -'General Info'!$B$41 + 1)) + 'General Info'!$B$41 - 1, 0)</f>
        <v>49010.981029042327</v>
      </c>
      <c r="W1490" s="100" t="str">
        <f>IF(ISERROR(MATCH(SamplingData[[#This Row],[Batch by Type (p)]],SelectedPrecincts[Batch Name], 0)), "", INDEX(SelectedPrecincts[Draw], MATCH(SamplingData[[#This Row],[Batch by Type (p)]],SelectedPrecincts[Batch Name], 0)))</f>
        <v/>
      </c>
      <c r="X1490" s="102">
        <f>IF(COUNTIF(SelectedPrecincts[Batch Name],SamplingData[[#This Row],[Batch by Type (p)]]) &lt;&gt; 0, COUNTIF(SelectedPrecincts[Batch Name],SamplingData[[#This Row],[Batch by Type (p)]]), 0)</f>
        <v>0</v>
      </c>
    </row>
    <row r="1491" spans="1:24" ht="15" customHeight="1">
      <c r="A1491" s="18" t="s">
        <v>1667</v>
      </c>
      <c r="B1491" s="18">
        <v>29</v>
      </c>
      <c r="C1491" s="18">
        <v>47</v>
      </c>
      <c r="D1491" s="16">
        <v>20</v>
      </c>
      <c r="E1491" s="16">
        <v>13</v>
      </c>
      <c r="F1491" s="37">
        <v>0</v>
      </c>
      <c r="G1491" s="37">
        <v>2</v>
      </c>
      <c r="H1491" s="17">
        <v>0</v>
      </c>
      <c r="I1491" s="17">
        <v>1</v>
      </c>
      <c r="J1491" s="99">
        <f>SUM(SamplingData[[#This Row],[Losing Candidate]:[Under Votes]])</f>
        <v>112</v>
      </c>
      <c r="K1491" s="100">
        <f>IF(AND(SamplingData[[#This Row],[Total]]&lt;&gt; 0, NOT(ISBLANK(SamplingData[[#This Row],[Losing Candidate]]))),(SamplingData[[#This Row],[Total]]+SamplingData[[#This Row],[Winning Candidate]]-SamplingData[[#This Row],[Losing Candidate]])/(SamplingData[[#Totals],[Winning Candidate]]-SamplingData[[#Totals],[Losing Candidate]]), 0)</f>
        <v>7.9617834394904458E-3</v>
      </c>
      <c r="L1491" s="100">
        <f>IF(AND(SamplingData[[#This Row],[Total]]&lt;&gt; 0, NOT(ISBLANK(SamplingData[[#This Row],[Candidate 3]]))),(SamplingData[[#This Row],[Total]]+SamplingData[[#This Row],[Winning Candidate]]-SamplingData[[#This Row],[Candidate 3]])/(SamplingData[[#Totals],[Winning Candidate]]-SamplingData[[#Totals],[Candidate 3]]), 0)</f>
        <v>4.4843049327354259E-3</v>
      </c>
      <c r="M1491" s="100">
        <f>IF(AND(SamplingData[[#This Row],[Total]]&lt;&gt; 0, NOT(ISBLANK(SamplingData[[#This Row],[Candidate 4]]))),(SamplingData[[#This Row],[Total]]+SamplingData[[#This Row],[Winning Candidate]]-SamplingData[[#This Row],[Candidate 4]])/(SamplingData[[#Totals],[Winning Candidate]]-SamplingData[[#Totals],[Candidate 4]]), 0)</f>
        <v>4.2678827209213952E-3</v>
      </c>
      <c r="N1491" s="100">
        <f>IF(AND(SamplingData[[#This Row],[Total]]&lt;&gt; 0, NOT(ISBLANK(SamplingData[[#This Row],[Candidate 5]]))),(SamplingData[[#This Row],[Total]]+SamplingData[[#This Row],[Winning Candidate]]-SamplingData[[#This Row],[Candidate 5]])/(SamplingData[[#Totals],[Winning Candidate]]-SamplingData[[#Totals],[Candidate 5]]), 0)</f>
        <v>3.8676720992459257E-3</v>
      </c>
      <c r="O1491" s="100">
        <f>IF(AND(SamplingData[[#This Row],[Total]]&lt;&gt; 0, NOT(ISBLANK(SamplingData[[#This Row],[Candidate 6]]))),(SamplingData[[#This Row],[Total]]+SamplingData[[#This Row],[Winning Candidate]]-SamplingData[[#This Row],[Candidate 6]])/(SamplingData[[#Totals],[Winning Candidate]]-SamplingData[[#Totals],[Candidate 6]]), 0)</f>
        <v>3.8179076893147222E-3</v>
      </c>
      <c r="P1491" s="100">
        <f>MAX(SamplingData[[#This Row],[Error Bound (up) - Max. possible relative overstatement - Losing Candidate]:[Error Bound (up) - Max. possible relative overstatement - Candidate 6]])</f>
        <v>7.9617834394904458E-3</v>
      </c>
      <c r="Q1491" s="100">
        <f>IF(SamplingData[[#This Row],[Max Error Bound (up)]] = 0,0,SamplingData[[#This Row],[Max Error Bound (up)]]/SamplingData[[#Totals],[Max Error Bound (up)]])</f>
        <v>1.2600832761979581E-3</v>
      </c>
      <c r="R1491" s="101">
        <f>SUM($Q$5:Q1491)</f>
        <v>0.49137989356662121</v>
      </c>
      <c r="S1491" s="100" t="str">
        <f t="array" ref="S1491">IF(SamplingData[[#This Row],[up/U Selection Probability]] = 0, "Zero", TEXT(SamplingData[[#This Row],[Lower Range]], REPT("0",LEN('General Info'!$B$40))) &amp; " - " &amp; TEXT(SamplingData[[#This Row],[Upper Range]], REPT("0",LEN('General Info'!$B$40))))</f>
        <v>49012 - 49137</v>
      </c>
      <c r="T1491" s="100">
        <f>SamplingData[[#This Row],[Upper Range]]-SamplingData[[#This Row],[Span]]</f>
        <v>49011.982289125597</v>
      </c>
      <c r="U1491" s="100">
        <f>IF(ISNUMBER('General Info'!$B$40), ((SamplingData[[#This Row],[up/U Selection Probability]]) * 'General Info'!$B$40) - 1, 0)</f>
        <v>125.00706753651961</v>
      </c>
      <c r="V1491" s="100">
        <f>IF(ISNUMBER('General Info'!$B$40), (SamplingData[[#This Row],[Running (cumulative) sum]] * ('General Info'!$B$40 -'General Info'!$B$41 + 1)) + 'General Info'!$B$41 - 1, 0)</f>
        <v>49136.989356662118</v>
      </c>
      <c r="W1491" s="100" t="str">
        <f>IF(ISERROR(MATCH(SamplingData[[#This Row],[Batch by Type (p)]],SelectedPrecincts[Batch Name], 0)), "", INDEX(SelectedPrecincts[Draw], MATCH(SamplingData[[#This Row],[Batch by Type (p)]],SelectedPrecincts[Batch Name], 0)))</f>
        <v/>
      </c>
      <c r="X1491" s="102">
        <f>IF(COUNTIF(SelectedPrecincts[Batch Name],SamplingData[[#This Row],[Batch by Type (p)]]) &lt;&gt; 0, COUNTIF(SelectedPrecincts[Batch Name],SamplingData[[#This Row],[Batch by Type (p)]]), 0)</f>
        <v>0</v>
      </c>
    </row>
    <row r="1492" spans="1:24" ht="15" customHeight="1">
      <c r="A1492" s="18" t="s">
        <v>1668</v>
      </c>
      <c r="B1492" s="18">
        <v>21</v>
      </c>
      <c r="C1492" s="18">
        <v>18</v>
      </c>
      <c r="D1492" s="18">
        <v>5</v>
      </c>
      <c r="E1492" s="18">
        <v>1</v>
      </c>
      <c r="F1492" s="18">
        <v>1</v>
      </c>
      <c r="G1492" s="18">
        <v>1</v>
      </c>
      <c r="H1492" s="18">
        <v>0</v>
      </c>
      <c r="I1492" s="18">
        <v>1</v>
      </c>
      <c r="J1492" s="99">
        <f>SUM(SamplingData[[#This Row],[Losing Candidate]:[Under Votes]])</f>
        <v>48</v>
      </c>
      <c r="K1492"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492" s="100">
        <f>IF(AND(SamplingData[[#This Row],[Total]]&lt;&gt; 0, NOT(ISBLANK(SamplingData[[#This Row],[Candidate 3]]))),(SamplingData[[#This Row],[Total]]+SamplingData[[#This Row],[Winning Candidate]]-SamplingData[[#This Row],[Candidate 3]])/(SamplingData[[#Totals],[Winning Candidate]]-SamplingData[[#Totals],[Candidate 3]]), 0)</f>
        <v>1.9679323805529567E-3</v>
      </c>
      <c r="M1492" s="100">
        <f>IF(AND(SamplingData[[#This Row],[Total]]&lt;&gt; 0, NOT(ISBLANK(SamplingData[[#This Row],[Candidate 4]]))),(SamplingData[[#This Row],[Total]]+SamplingData[[#This Row],[Winning Candidate]]-SamplingData[[#This Row],[Candidate 4]])/(SamplingData[[#Totals],[Winning Candidate]]-SamplingData[[#Totals],[Candidate 4]]), 0)</f>
        <v>1.9000847730129499E-3</v>
      </c>
      <c r="N1492" s="100">
        <f>IF(AND(SamplingData[[#This Row],[Total]]&lt;&gt; 0, NOT(ISBLANK(SamplingData[[#This Row],[Candidate 5]]))),(SamplingData[[#This Row],[Total]]+SamplingData[[#This Row],[Winning Candidate]]-SamplingData[[#This Row],[Candidate 5]])/(SamplingData[[#Totals],[Winning Candidate]]-SamplingData[[#Totals],[Candidate 5]]), 0)</f>
        <v>1.5811238141571393E-3</v>
      </c>
      <c r="O1492" s="100">
        <f>IF(AND(SamplingData[[#This Row],[Total]]&lt;&gt; 0, NOT(ISBLANK(SamplingData[[#This Row],[Candidate 6]]))),(SamplingData[[#This Row],[Total]]+SamplingData[[#This Row],[Winning Candidate]]-SamplingData[[#This Row],[Candidate 6]])/(SamplingData[[#Totals],[Winning Candidate]]-SamplingData[[#Totals],[Candidate 6]]), 0)</f>
        <v>1.5806624191430378E-3</v>
      </c>
      <c r="P1492" s="100">
        <f>MAX(SamplingData[[#This Row],[Error Bound (up) - Max. possible relative overstatement - Losing Candidate]:[Error Bound (up) - Max. possible relative overstatement - Candidate 6]])</f>
        <v>2.7560019598236157E-3</v>
      </c>
      <c r="Q1492" s="100">
        <f>IF(SamplingData[[#This Row],[Max Error Bound (up)]] = 0,0,SamplingData[[#This Row],[Max Error Bound (up)]]/SamplingData[[#Totals],[Max Error Bound (up)]])</f>
        <v>4.3618267253006237E-4</v>
      </c>
      <c r="R1492" s="101">
        <f>SUM($Q$5:Q1492)</f>
        <v>0.49181607623915125</v>
      </c>
      <c r="S1492" s="100" t="str">
        <f t="array" ref="S1492">IF(SamplingData[[#This Row],[up/U Selection Probability]] = 0, "Zero", TEXT(SamplingData[[#This Row],[Lower Range]], REPT("0",LEN('General Info'!$B$40))) &amp; " - " &amp; TEXT(SamplingData[[#This Row],[Upper Range]], REPT("0",LEN('General Info'!$B$40))))</f>
        <v>49138 - 49181</v>
      </c>
      <c r="T1492" s="100">
        <f>SamplingData[[#This Row],[Upper Range]]-SamplingData[[#This Row],[Span]]</f>
        <v>49137.98979284479</v>
      </c>
      <c r="U1492" s="100">
        <f>IF(ISNUMBER('General Info'!$B$40), ((SamplingData[[#This Row],[up/U Selection Probability]]) * 'General Info'!$B$40) - 1, 0)</f>
        <v>42.617831070333708</v>
      </c>
      <c r="V1492" s="100">
        <f>IF(ISNUMBER('General Info'!$B$40), (SamplingData[[#This Row],[Running (cumulative) sum]] * ('General Info'!$B$40 -'General Info'!$B$41 + 1)) + 'General Info'!$B$41 - 1, 0)</f>
        <v>49180.607623915123</v>
      </c>
      <c r="W1492" s="100" t="str">
        <f>IF(ISERROR(MATCH(SamplingData[[#This Row],[Batch by Type (p)]],SelectedPrecincts[Batch Name], 0)), "", INDEX(SelectedPrecincts[Draw], MATCH(SamplingData[[#This Row],[Batch by Type (p)]],SelectedPrecincts[Batch Name], 0)))</f>
        <v/>
      </c>
      <c r="X1492" s="102">
        <f>IF(COUNTIF(SelectedPrecincts[Batch Name],SamplingData[[#This Row],[Batch by Type (p)]]) &lt;&gt; 0, COUNTIF(SelectedPrecincts[Batch Name],SamplingData[[#This Row],[Batch by Type (p)]]), 0)</f>
        <v>0</v>
      </c>
    </row>
    <row r="1493" spans="1:24" ht="15" customHeight="1">
      <c r="A1493" s="18" t="s">
        <v>1669</v>
      </c>
      <c r="B1493" s="18">
        <v>33</v>
      </c>
      <c r="C1493" s="18">
        <v>50</v>
      </c>
      <c r="D1493" s="16">
        <v>9</v>
      </c>
      <c r="E1493" s="16">
        <v>18</v>
      </c>
      <c r="F1493" s="37">
        <v>1</v>
      </c>
      <c r="G1493" s="37">
        <v>0</v>
      </c>
      <c r="H1493" s="17">
        <v>0</v>
      </c>
      <c r="I1493" s="17">
        <v>1</v>
      </c>
      <c r="J1493" s="99">
        <f>SUM(SamplingData[[#This Row],[Losing Candidate]:[Under Votes]])</f>
        <v>112</v>
      </c>
      <c r="K1493" s="100">
        <f>IF(AND(SamplingData[[#This Row],[Total]]&lt;&gt; 0, NOT(ISBLANK(SamplingData[[#This Row],[Losing Candidate]]))),(SamplingData[[#This Row],[Total]]+SamplingData[[#This Row],[Winning Candidate]]-SamplingData[[#This Row],[Losing Candidate]])/(SamplingData[[#Totals],[Winning Candidate]]-SamplingData[[#Totals],[Losing Candidate]]), 0)</f>
        <v>7.9005389514943663E-3</v>
      </c>
      <c r="L1493" s="100">
        <f>IF(AND(SamplingData[[#This Row],[Total]]&lt;&gt; 0, NOT(ISBLANK(SamplingData[[#This Row],[Candidate 3]]))),(SamplingData[[#This Row],[Total]]+SamplingData[[#This Row],[Winning Candidate]]-SamplingData[[#This Row],[Candidate 3]])/(SamplingData[[#Totals],[Winning Candidate]]-SamplingData[[#Totals],[Candidate 3]]), 0)</f>
        <v>4.935961544665613E-3</v>
      </c>
      <c r="M1493" s="100">
        <f>IF(AND(SamplingData[[#This Row],[Total]]&lt;&gt; 0, NOT(ISBLANK(SamplingData[[#This Row],[Candidate 4]]))),(SamplingData[[#This Row],[Total]]+SamplingData[[#This Row],[Winning Candidate]]-SamplingData[[#This Row],[Candidate 4]])/(SamplingData[[#Totals],[Winning Candidate]]-SamplingData[[#Totals],[Candidate 4]]), 0)</f>
        <v>4.2094185740594583E-3</v>
      </c>
      <c r="N1493" s="100">
        <f>IF(AND(SamplingData[[#This Row],[Total]]&lt;&gt; 0, NOT(ISBLANK(SamplingData[[#This Row],[Candidate 5]]))),(SamplingData[[#This Row],[Total]]+SamplingData[[#This Row],[Winning Candidate]]-SamplingData[[#This Row],[Candidate 5]])/(SamplingData[[#Totals],[Winning Candidate]]-SamplingData[[#Totals],[Candidate 5]]), 0)</f>
        <v>3.9163220627584528E-3</v>
      </c>
      <c r="O1493" s="100">
        <f>IF(AND(SamplingData[[#This Row],[Total]]&lt;&gt; 0, NOT(ISBLANK(SamplingData[[#This Row],[Candidate 6]]))),(SamplingData[[#This Row],[Total]]+SamplingData[[#This Row],[Winning Candidate]]-SamplingData[[#This Row],[Candidate 6]])/(SamplingData[[#Totals],[Winning Candidate]]-SamplingData[[#Totals],[Candidate 6]]), 0)</f>
        <v>3.9394971061718787E-3</v>
      </c>
      <c r="P1493" s="100">
        <f>MAX(SamplingData[[#This Row],[Error Bound (up) - Max. possible relative overstatement - Losing Candidate]:[Error Bound (up) - Max. possible relative overstatement - Candidate 6]])</f>
        <v>7.9005389514943663E-3</v>
      </c>
      <c r="Q1493" s="100">
        <f>IF(SamplingData[[#This Row],[Max Error Bound (up)]] = 0,0,SamplingData[[#This Row],[Max Error Bound (up)]]/SamplingData[[#Totals],[Max Error Bound (up)]])</f>
        <v>1.2503903279195124E-3</v>
      </c>
      <c r="R1493" s="101">
        <f>SUM($Q$5:Q1493)</f>
        <v>0.49306646656707076</v>
      </c>
      <c r="S1493" s="100" t="str">
        <f t="array" ref="S1493">IF(SamplingData[[#This Row],[up/U Selection Probability]] = 0, "Zero", TEXT(SamplingData[[#This Row],[Lower Range]], REPT("0",LEN('General Info'!$B$40))) &amp; " - " &amp; TEXT(SamplingData[[#This Row],[Upper Range]], REPT("0",LEN('General Info'!$B$40))))</f>
        <v>49182 - 49306</v>
      </c>
      <c r="T1493" s="100">
        <f>SamplingData[[#This Row],[Upper Range]]-SamplingData[[#This Row],[Span]]</f>
        <v>49181.60887430545</v>
      </c>
      <c r="U1493" s="100">
        <f>IF(ISNUMBER('General Info'!$B$40), ((SamplingData[[#This Row],[up/U Selection Probability]]) * 'General Info'!$B$40) - 1, 0)</f>
        <v>124.03778240162332</v>
      </c>
      <c r="V1493" s="100">
        <f>IF(ISNUMBER('General Info'!$B$40), (SamplingData[[#This Row],[Running (cumulative) sum]] * ('General Info'!$B$40 -'General Info'!$B$41 + 1)) + 'General Info'!$B$41 - 1, 0)</f>
        <v>49305.646656707075</v>
      </c>
      <c r="W1493" s="100" t="str">
        <f>IF(ISERROR(MATCH(SamplingData[[#This Row],[Batch by Type (p)]],SelectedPrecincts[Batch Name], 0)), "", INDEX(SelectedPrecincts[Draw], MATCH(SamplingData[[#This Row],[Batch by Type (p)]],SelectedPrecincts[Batch Name], 0)))</f>
        <v/>
      </c>
      <c r="X1493" s="102">
        <f>IF(COUNTIF(SelectedPrecincts[Batch Name],SamplingData[[#This Row],[Batch by Type (p)]]) &lt;&gt; 0, COUNTIF(SelectedPrecincts[Batch Name],SamplingData[[#This Row],[Batch by Type (p)]]), 0)</f>
        <v>0</v>
      </c>
    </row>
    <row r="1494" spans="1:24" ht="15" customHeight="1">
      <c r="A1494" s="18" t="s">
        <v>1670</v>
      </c>
      <c r="B1494" s="18">
        <v>18</v>
      </c>
      <c r="C1494" s="18">
        <v>12</v>
      </c>
      <c r="D1494" s="18">
        <v>7</v>
      </c>
      <c r="E1494" s="18">
        <v>3</v>
      </c>
      <c r="F1494" s="18">
        <v>0</v>
      </c>
      <c r="G1494" s="18">
        <v>0</v>
      </c>
      <c r="H1494" s="18">
        <v>0</v>
      </c>
      <c r="I1494" s="18">
        <v>0</v>
      </c>
      <c r="J1494" s="99">
        <f>SUM(SamplingData[[#This Row],[Losing Candidate]:[Under Votes]])</f>
        <v>40</v>
      </c>
      <c r="K1494"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1494" s="100">
        <f>IF(AND(SamplingData[[#This Row],[Total]]&lt;&gt; 0, NOT(ISBLANK(SamplingData[[#This Row],[Candidate 3]]))),(SamplingData[[#This Row],[Total]]+SamplingData[[#This Row],[Winning Candidate]]-SamplingData[[#This Row],[Candidate 3]])/(SamplingData[[#Totals],[Winning Candidate]]-SamplingData[[#Totals],[Candidate 3]]), 0)</f>
        <v>1.4517533954898861E-3</v>
      </c>
      <c r="M1494" s="100">
        <f>IF(AND(SamplingData[[#This Row],[Total]]&lt;&gt; 0, NOT(ISBLANK(SamplingData[[#This Row],[Candidate 4]]))),(SamplingData[[#This Row],[Total]]+SamplingData[[#This Row],[Winning Candidate]]-SamplingData[[#This Row],[Candidate 4]])/(SamplingData[[#Totals],[Winning Candidate]]-SamplingData[[#Totals],[Candidate 4]]), 0)</f>
        <v>1.4323715981174544E-3</v>
      </c>
      <c r="N1494" s="100">
        <f>IF(AND(SamplingData[[#This Row],[Total]]&lt;&gt; 0, NOT(ISBLANK(SamplingData[[#This Row],[Candidate 5]]))),(SamplingData[[#This Row],[Total]]+SamplingData[[#This Row],[Winning Candidate]]-SamplingData[[#This Row],[Candidate 5]])/(SamplingData[[#Totals],[Winning Candidate]]-SamplingData[[#Totals],[Candidate 5]]), 0)</f>
        <v>1.2648990513257116E-3</v>
      </c>
      <c r="O1494" s="100">
        <f>IF(AND(SamplingData[[#This Row],[Total]]&lt;&gt; 0, NOT(ISBLANK(SamplingData[[#This Row],[Candidate 6]]))),(SamplingData[[#This Row],[Total]]+SamplingData[[#This Row],[Winning Candidate]]-SamplingData[[#This Row],[Candidate 6]])/(SamplingData[[#Totals],[Winning Candidate]]-SamplingData[[#Totals],[Candidate 6]]), 0)</f>
        <v>1.2645299353144302E-3</v>
      </c>
      <c r="P1494" s="100">
        <f>MAX(SamplingData[[#This Row],[Error Bound (up) - Max. possible relative overstatement - Losing Candidate]:[Error Bound (up) - Max. possible relative overstatement - Candidate 6]])</f>
        <v>2.0823125918667321E-3</v>
      </c>
      <c r="Q1494" s="100">
        <f>IF(SamplingData[[#This Row],[Max Error Bound (up)]] = 0,0,SamplingData[[#This Row],[Max Error Bound (up)]]/SamplingData[[#Totals],[Max Error Bound (up)]])</f>
        <v>3.2956024146715829E-4</v>
      </c>
      <c r="R1494" s="101">
        <f>SUM($Q$5:Q1494)</f>
        <v>0.49339602680853789</v>
      </c>
      <c r="S1494" s="100" t="str">
        <f t="array" ref="S1494">IF(SamplingData[[#This Row],[up/U Selection Probability]] = 0, "Zero", TEXT(SamplingData[[#This Row],[Lower Range]], REPT("0",LEN('General Info'!$B$40))) &amp; " - " &amp; TEXT(SamplingData[[#This Row],[Upper Range]], REPT("0",LEN('General Info'!$B$40))))</f>
        <v>49307 - 49339</v>
      </c>
      <c r="T1494" s="100">
        <f>SamplingData[[#This Row],[Upper Range]]-SamplingData[[#This Row],[Span]]</f>
        <v>49306.646986267311</v>
      </c>
      <c r="U1494" s="100">
        <f>IF(ISNUMBER('General Info'!$B$40), ((SamplingData[[#This Row],[up/U Selection Probability]]) * 'General Info'!$B$40) - 1, 0)</f>
        <v>31.955694586474358</v>
      </c>
      <c r="V1494" s="100">
        <f>IF(ISNUMBER('General Info'!$B$40), (SamplingData[[#This Row],[Running (cumulative) sum]] * ('General Info'!$B$40 -'General Info'!$B$41 + 1)) + 'General Info'!$B$41 - 1, 0)</f>
        <v>49338.602680853786</v>
      </c>
      <c r="W1494" s="100" t="str">
        <f>IF(ISERROR(MATCH(SamplingData[[#This Row],[Batch by Type (p)]],SelectedPrecincts[Batch Name], 0)), "", INDEX(SelectedPrecincts[Draw], MATCH(SamplingData[[#This Row],[Batch by Type (p)]],SelectedPrecincts[Batch Name], 0)))</f>
        <v/>
      </c>
      <c r="X1494" s="102">
        <f>IF(COUNTIF(SelectedPrecincts[Batch Name],SamplingData[[#This Row],[Batch by Type (p)]]) &lt;&gt; 0, COUNTIF(SelectedPrecincts[Batch Name],SamplingData[[#This Row],[Batch by Type (p)]]), 0)</f>
        <v>0</v>
      </c>
    </row>
    <row r="1495" spans="1:24" ht="15" customHeight="1">
      <c r="A1495" s="18" t="s">
        <v>1671</v>
      </c>
      <c r="B1495" s="18">
        <v>39</v>
      </c>
      <c r="C1495" s="18">
        <v>71</v>
      </c>
      <c r="D1495" s="16">
        <v>15</v>
      </c>
      <c r="E1495" s="16">
        <v>18</v>
      </c>
      <c r="F1495" s="37">
        <v>1</v>
      </c>
      <c r="G1495" s="37">
        <v>0</v>
      </c>
      <c r="H1495" s="17">
        <v>0</v>
      </c>
      <c r="I1495" s="17">
        <v>1</v>
      </c>
      <c r="J1495" s="99">
        <f>SUM(SamplingData[[#This Row],[Losing Candidate]:[Under Votes]])</f>
        <v>145</v>
      </c>
      <c r="K1495" s="100">
        <f>IF(AND(SamplingData[[#This Row],[Total]]&lt;&gt; 0, NOT(ISBLANK(SamplingData[[#This Row],[Losing Candidate]]))),(SamplingData[[#This Row],[Total]]+SamplingData[[#This Row],[Winning Candidate]]-SamplingData[[#This Row],[Losing Candidate]])/(SamplingData[[#Totals],[Winning Candidate]]-SamplingData[[#Totals],[Losing Candidate]]), 0)</f>
        <v>1.0840274375306222E-2</v>
      </c>
      <c r="L1495" s="100">
        <f>IF(AND(SamplingData[[#This Row],[Total]]&lt;&gt; 0, NOT(ISBLANK(SamplingData[[#This Row],[Candidate 3]]))),(SamplingData[[#This Row],[Total]]+SamplingData[[#This Row],[Winning Candidate]]-SamplingData[[#This Row],[Candidate 3]])/(SamplingData[[#Totals],[Winning Candidate]]-SamplingData[[#Totals],[Candidate 3]]), 0)</f>
        <v>6.4844984998548251E-3</v>
      </c>
      <c r="M1495" s="100">
        <f>IF(AND(SamplingData[[#This Row],[Total]]&lt;&gt; 0, NOT(ISBLANK(SamplingData[[#This Row],[Candidate 4]]))),(SamplingData[[#This Row],[Total]]+SamplingData[[#This Row],[Winning Candidate]]-SamplingData[[#This Row],[Candidate 4]])/(SamplingData[[#Totals],[Winning Candidate]]-SamplingData[[#Totals],[Candidate 4]]), 0)</f>
        <v>5.7879505393317546E-3</v>
      </c>
      <c r="N1495" s="100">
        <f>IF(AND(SamplingData[[#This Row],[Total]]&lt;&gt; 0, NOT(ISBLANK(SamplingData[[#This Row],[Candidate 5]]))),(SamplingData[[#This Row],[Total]]+SamplingData[[#This Row],[Winning Candidate]]-SamplingData[[#This Row],[Candidate 5]])/(SamplingData[[#Totals],[Winning Candidate]]-SamplingData[[#Totals],[Candidate 5]]), 0)</f>
        <v>5.2298710775966917E-3</v>
      </c>
      <c r="O1495" s="100">
        <f>IF(AND(SamplingData[[#This Row],[Total]]&lt;&gt; 0, NOT(ISBLANK(SamplingData[[#This Row],[Candidate 6]]))),(SamplingData[[#This Row],[Total]]+SamplingData[[#This Row],[Winning Candidate]]-SamplingData[[#This Row],[Candidate 6]])/(SamplingData[[#Totals],[Winning Candidate]]-SamplingData[[#Totals],[Candidate 6]]), 0)</f>
        <v>5.2526628082291719E-3</v>
      </c>
      <c r="P1495" s="100">
        <f>MAX(SamplingData[[#This Row],[Error Bound (up) - Max. possible relative overstatement - Losing Candidate]:[Error Bound (up) - Max. possible relative overstatement - Candidate 6]])</f>
        <v>1.0840274375306222E-2</v>
      </c>
      <c r="Q1495" s="100">
        <f>IF(SamplingData[[#This Row],[Max Error Bound (up)]] = 0,0,SamplingData[[#This Row],[Max Error Bound (up)]]/SamplingData[[#Totals],[Max Error Bound (up)]])</f>
        <v>1.7156518452849123E-3</v>
      </c>
      <c r="R1495" s="101">
        <f>SUM($Q$5:Q1495)</f>
        <v>0.49511167865382283</v>
      </c>
      <c r="S1495" s="100" t="str">
        <f t="array" ref="S1495">IF(SamplingData[[#This Row],[up/U Selection Probability]] = 0, "Zero", TEXT(SamplingData[[#This Row],[Lower Range]], REPT("0",LEN('General Info'!$B$40))) &amp; " - " &amp; TEXT(SamplingData[[#This Row],[Upper Range]], REPT("0",LEN('General Info'!$B$40))))</f>
        <v>49340 - 49510</v>
      </c>
      <c r="T1495" s="100">
        <f>SamplingData[[#This Row],[Upper Range]]-SamplingData[[#This Row],[Span]]</f>
        <v>49339.604396505638</v>
      </c>
      <c r="U1495" s="100">
        <f>IF(ISNUMBER('General Info'!$B$40), ((SamplingData[[#This Row],[up/U Selection Probability]]) * 'General Info'!$B$40) - 1, 0)</f>
        <v>170.56346887664594</v>
      </c>
      <c r="V1495" s="100">
        <f>IF(ISNUMBER('General Info'!$B$40), (SamplingData[[#This Row],[Running (cumulative) sum]] * ('General Info'!$B$40 -'General Info'!$B$41 + 1)) + 'General Info'!$B$41 - 1, 0)</f>
        <v>49510.167865382282</v>
      </c>
      <c r="W1495" s="100" t="str">
        <f>IF(ISERROR(MATCH(SamplingData[[#This Row],[Batch by Type (p)]],SelectedPrecincts[Batch Name], 0)), "", INDEX(SelectedPrecincts[Draw], MATCH(SamplingData[[#This Row],[Batch by Type (p)]],SelectedPrecincts[Batch Name], 0)))</f>
        <v/>
      </c>
      <c r="X1495" s="102">
        <f>IF(COUNTIF(SelectedPrecincts[Batch Name],SamplingData[[#This Row],[Batch by Type (p)]]) &lt;&gt; 0, COUNTIF(SelectedPrecincts[Batch Name],SamplingData[[#This Row],[Batch by Type (p)]]), 0)</f>
        <v>0</v>
      </c>
    </row>
    <row r="1496" spans="1:24" ht="15" customHeight="1">
      <c r="A1496" s="18" t="s">
        <v>1672</v>
      </c>
      <c r="B1496" s="18">
        <v>25</v>
      </c>
      <c r="C1496" s="18">
        <v>25</v>
      </c>
      <c r="D1496" s="18">
        <v>10</v>
      </c>
      <c r="E1496" s="18">
        <v>5</v>
      </c>
      <c r="F1496" s="18">
        <v>1</v>
      </c>
      <c r="G1496" s="18">
        <v>0</v>
      </c>
      <c r="H1496" s="18">
        <v>0</v>
      </c>
      <c r="I1496" s="18">
        <v>0</v>
      </c>
      <c r="J1496" s="99">
        <f>SUM(SamplingData[[#This Row],[Losing Candidate]:[Under Votes]])</f>
        <v>66</v>
      </c>
      <c r="K1496" s="100">
        <f>IF(AND(SamplingData[[#This Row],[Total]]&lt;&gt; 0, NOT(ISBLANK(SamplingData[[#This Row],[Losing Candidate]]))),(SamplingData[[#This Row],[Total]]+SamplingData[[#This Row],[Winning Candidate]]-SamplingData[[#This Row],[Losing Candidate]])/(SamplingData[[#Totals],[Winning Candidate]]-SamplingData[[#Totals],[Losing Candidate]]), 0)</f>
        <v>4.0421362077413033E-3</v>
      </c>
      <c r="L1496" s="100">
        <f>IF(AND(SamplingData[[#This Row],[Total]]&lt;&gt; 0, NOT(ISBLANK(SamplingData[[#This Row],[Candidate 3]]))),(SamplingData[[#This Row],[Total]]+SamplingData[[#This Row],[Winning Candidate]]-SamplingData[[#This Row],[Candidate 3]])/(SamplingData[[#Totals],[Winning Candidate]]-SamplingData[[#Totals],[Candidate 3]]), 0)</f>
        <v>2.6131561118817952E-3</v>
      </c>
      <c r="M1496" s="100">
        <f>IF(AND(SamplingData[[#This Row],[Total]]&lt;&gt; 0, NOT(ISBLANK(SamplingData[[#This Row],[Candidate 4]]))),(SamplingData[[#This Row],[Total]]+SamplingData[[#This Row],[Winning Candidate]]-SamplingData[[#This Row],[Candidate 4]])/(SamplingData[[#Totals],[Winning Candidate]]-SamplingData[[#Totals],[Candidate 4]]), 0)</f>
        <v>2.5139583150632873E-3</v>
      </c>
      <c r="N1496" s="100">
        <f>IF(AND(SamplingData[[#This Row],[Total]]&lt;&gt; 0, NOT(ISBLANK(SamplingData[[#This Row],[Candidate 5]]))),(SamplingData[[#This Row],[Total]]+SamplingData[[#This Row],[Winning Candidate]]-SamplingData[[#This Row],[Candidate 5]])/(SamplingData[[#Totals],[Winning Candidate]]-SamplingData[[#Totals],[Candidate 5]]), 0)</f>
        <v>2.1892483580637314E-3</v>
      </c>
      <c r="O1496" s="100">
        <f>IF(AND(SamplingData[[#This Row],[Total]]&lt;&gt; 0, NOT(ISBLANK(SamplingData[[#This Row],[Candidate 6]]))),(SamplingData[[#This Row],[Total]]+SamplingData[[#This Row],[Winning Candidate]]-SamplingData[[#This Row],[Candidate 6]])/(SamplingData[[#Totals],[Winning Candidate]]-SamplingData[[#Totals],[Candidate 6]]), 0)</f>
        <v>2.2129273868002528E-3</v>
      </c>
      <c r="P1496" s="100">
        <f>MAX(SamplingData[[#This Row],[Error Bound (up) - Max. possible relative overstatement - Losing Candidate]:[Error Bound (up) - Max. possible relative overstatement - Candidate 6]])</f>
        <v>4.0421362077413033E-3</v>
      </c>
      <c r="Q1496" s="100">
        <f>IF(SamplingData[[#This Row],[Max Error Bound (up)]] = 0,0,SamplingData[[#This Row],[Max Error Bound (up)]]/SamplingData[[#Totals],[Max Error Bound (up)]])</f>
        <v>6.397345863774249E-4</v>
      </c>
      <c r="R1496" s="101">
        <f>SUM($Q$5:Q1496)</f>
        <v>0.49575141324020028</v>
      </c>
      <c r="S1496" s="100" t="str">
        <f t="array" ref="S1496">IF(SamplingData[[#This Row],[up/U Selection Probability]] = 0, "Zero", TEXT(SamplingData[[#This Row],[Lower Range]], REPT("0",LEN('General Info'!$B$40))) &amp; " - " &amp; TEXT(SamplingData[[#This Row],[Upper Range]], REPT("0",LEN('General Info'!$B$40))))</f>
        <v>49511 - 49574</v>
      </c>
      <c r="T1496" s="100">
        <f>SamplingData[[#This Row],[Upper Range]]-SamplingData[[#This Row],[Span]]</f>
        <v>49511.168505116868</v>
      </c>
      <c r="U1496" s="100">
        <f>IF(ISNUMBER('General Info'!$B$40), ((SamplingData[[#This Row],[up/U Selection Probability]]) * 'General Info'!$B$40) - 1, 0)</f>
        <v>62.97281890315611</v>
      </c>
      <c r="V1496" s="100">
        <f>IF(ISNUMBER('General Info'!$B$40), (SamplingData[[#This Row],[Running (cumulative) sum]] * ('General Info'!$B$40 -'General Info'!$B$41 + 1)) + 'General Info'!$B$41 - 1, 0)</f>
        <v>49574.141324020027</v>
      </c>
      <c r="W1496" s="100" t="str">
        <f>IF(ISERROR(MATCH(SamplingData[[#This Row],[Batch by Type (p)]],SelectedPrecincts[Batch Name], 0)), "", INDEX(SelectedPrecincts[Draw], MATCH(SamplingData[[#This Row],[Batch by Type (p)]],SelectedPrecincts[Batch Name], 0)))</f>
        <v/>
      </c>
      <c r="X1496" s="102">
        <f>IF(COUNTIF(SelectedPrecincts[Batch Name],SamplingData[[#This Row],[Batch by Type (p)]]) &lt;&gt; 0, COUNTIF(SelectedPrecincts[Batch Name],SamplingData[[#This Row],[Batch by Type (p)]]), 0)</f>
        <v>0</v>
      </c>
    </row>
    <row r="1497" spans="1:24" ht="15" customHeight="1">
      <c r="A1497" s="18" t="s">
        <v>1673</v>
      </c>
      <c r="B1497" s="18">
        <v>35</v>
      </c>
      <c r="C1497" s="18">
        <v>71</v>
      </c>
      <c r="D1497" s="16">
        <v>12</v>
      </c>
      <c r="E1497" s="16">
        <v>8</v>
      </c>
      <c r="F1497" s="37">
        <v>1</v>
      </c>
      <c r="G1497" s="37">
        <v>0</v>
      </c>
      <c r="H1497" s="17">
        <v>0</v>
      </c>
      <c r="I1497" s="17">
        <v>0</v>
      </c>
      <c r="J1497" s="99">
        <f>SUM(SamplingData[[#This Row],[Losing Candidate]:[Under Votes]])</f>
        <v>127</v>
      </c>
      <c r="K1497" s="100">
        <f>IF(AND(SamplingData[[#This Row],[Total]]&lt;&gt; 0, NOT(ISBLANK(SamplingData[[#This Row],[Losing Candidate]]))),(SamplingData[[#This Row],[Total]]+SamplingData[[#This Row],[Winning Candidate]]-SamplingData[[#This Row],[Losing Candidate]])/(SamplingData[[#Totals],[Winning Candidate]]-SamplingData[[#Totals],[Losing Candidate]]), 0)</f>
        <v>9.9828515433610984E-3</v>
      </c>
      <c r="L1497" s="100">
        <f>IF(AND(SamplingData[[#This Row],[Total]]&lt;&gt; 0, NOT(ISBLANK(SamplingData[[#This Row],[Candidate 3]]))),(SamplingData[[#This Row],[Total]]+SamplingData[[#This Row],[Winning Candidate]]-SamplingData[[#This Row],[Candidate 3]])/(SamplingData[[#Totals],[Winning Candidate]]-SamplingData[[#Totals],[Candidate 3]]), 0)</f>
        <v>6.0005807013581956E-3</v>
      </c>
      <c r="M1497" s="100">
        <f>IF(AND(SamplingData[[#This Row],[Total]]&lt;&gt; 0, NOT(ISBLANK(SamplingData[[#This Row],[Candidate 4]]))),(SamplingData[[#This Row],[Total]]+SamplingData[[#This Row],[Winning Candidate]]-SamplingData[[#This Row],[Candidate 4]])/(SamplingData[[#Totals],[Winning Candidate]]-SamplingData[[#Totals],[Candidate 4]]), 0)</f>
        <v>5.5540939518840069E-3</v>
      </c>
      <c r="N1497" s="100">
        <f>IF(AND(SamplingData[[#This Row],[Total]]&lt;&gt; 0, NOT(ISBLANK(SamplingData[[#This Row],[Candidate 5]]))),(SamplingData[[#This Row],[Total]]+SamplingData[[#This Row],[Winning Candidate]]-SamplingData[[#This Row],[Candidate 5]])/(SamplingData[[#Totals],[Winning Candidate]]-SamplingData[[#Totals],[Candidate 5]]), 0)</f>
        <v>4.7920214059839457E-3</v>
      </c>
      <c r="O1497" s="100">
        <f>IF(AND(SamplingData[[#This Row],[Total]]&lt;&gt; 0, NOT(ISBLANK(SamplingData[[#This Row],[Candidate 6]]))),(SamplingData[[#This Row],[Total]]+SamplingData[[#This Row],[Winning Candidate]]-SamplingData[[#This Row],[Candidate 6]])/(SamplingData[[#Totals],[Winning Candidate]]-SamplingData[[#Totals],[Candidate 6]]), 0)</f>
        <v>4.8149409075434078E-3</v>
      </c>
      <c r="P1497" s="100">
        <f>MAX(SamplingData[[#This Row],[Error Bound (up) - Max. possible relative overstatement - Losing Candidate]:[Error Bound (up) - Max. possible relative overstatement - Candidate 6]])</f>
        <v>9.9828515433610984E-3</v>
      </c>
      <c r="Q1497" s="100">
        <f>IF(SamplingData[[#This Row],[Max Error Bound (up)]] = 0,0,SamplingData[[#This Row],[Max Error Bound (up)]]/SamplingData[[#Totals],[Max Error Bound (up)]])</f>
        <v>1.5799505693866707E-3</v>
      </c>
      <c r="R1497" s="101">
        <f>SUM($Q$5:Q1497)</f>
        <v>0.49733136380958692</v>
      </c>
      <c r="S1497" s="100" t="str">
        <f t="array" ref="S1497">IF(SamplingData[[#This Row],[up/U Selection Probability]] = 0, "Zero", TEXT(SamplingData[[#This Row],[Lower Range]], REPT("0",LEN('General Info'!$B$40))) &amp; " - " &amp; TEXT(SamplingData[[#This Row],[Upper Range]], REPT("0",LEN('General Info'!$B$40))))</f>
        <v>49575 - 49732</v>
      </c>
      <c r="T1497" s="100">
        <f>SamplingData[[#This Row],[Upper Range]]-SamplingData[[#This Row],[Span]]</f>
        <v>49575.142903970591</v>
      </c>
      <c r="U1497" s="100">
        <f>IF(ISNUMBER('General Info'!$B$40), ((SamplingData[[#This Row],[up/U Selection Probability]]) * 'General Info'!$B$40) - 1, 0)</f>
        <v>156.99347698809768</v>
      </c>
      <c r="V1497" s="100">
        <f>IF(ISNUMBER('General Info'!$B$40), (SamplingData[[#This Row],[Running (cumulative) sum]] * ('General Info'!$B$40 -'General Info'!$B$41 + 1)) + 'General Info'!$B$41 - 1, 0)</f>
        <v>49732.136380958691</v>
      </c>
      <c r="W1497" s="100" t="str">
        <f>IF(ISERROR(MATCH(SamplingData[[#This Row],[Batch by Type (p)]],SelectedPrecincts[Batch Name], 0)), "", INDEX(SelectedPrecincts[Draw], MATCH(SamplingData[[#This Row],[Batch by Type (p)]],SelectedPrecincts[Batch Name], 0)))</f>
        <v/>
      </c>
      <c r="X1497" s="102">
        <f>IF(COUNTIF(SelectedPrecincts[Batch Name],SamplingData[[#This Row],[Batch by Type (p)]]) &lt;&gt; 0, COUNTIF(SelectedPrecincts[Batch Name],SamplingData[[#This Row],[Batch by Type (p)]]), 0)</f>
        <v>0</v>
      </c>
    </row>
    <row r="1498" spans="1:24" ht="15" customHeight="1">
      <c r="A1498" s="18" t="s">
        <v>1674</v>
      </c>
      <c r="B1498" s="18">
        <v>19</v>
      </c>
      <c r="C1498" s="18">
        <v>31</v>
      </c>
      <c r="D1498" s="18">
        <v>9</v>
      </c>
      <c r="E1498" s="18">
        <v>6</v>
      </c>
      <c r="F1498" s="18">
        <v>0</v>
      </c>
      <c r="G1498" s="18">
        <v>0</v>
      </c>
      <c r="H1498" s="18">
        <v>0</v>
      </c>
      <c r="I1498" s="18">
        <v>3</v>
      </c>
      <c r="J1498" s="99">
        <f>SUM(SamplingData[[#This Row],[Losing Candidate]:[Under Votes]])</f>
        <v>68</v>
      </c>
      <c r="K1498"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4.8995590396864281E-3</v>
      </c>
      <c r="L1498" s="100">
        <f>IF(AND(SamplingData[[#This Row],[Total]]&lt;&gt; 0, NOT(ISBLANK(SamplingData[[#This Row],[Candidate 3]]))),(SamplingData[[#This Row],[Total]]+SamplingData[[#This Row],[Winning Candidate]]-SamplingData[[#This Row],[Candidate 3]])/(SamplingData[[#Totals],[Winning Candidate]]-SamplingData[[#Totals],[Candidate 3]]), 0)</f>
        <v>2.9035067909797723E-3</v>
      </c>
      <c r="M1498" s="100">
        <f>IF(AND(SamplingData[[#This Row],[Total]]&lt;&gt; 0, NOT(ISBLANK(SamplingData[[#This Row],[Candidate 4]]))),(SamplingData[[#This Row],[Total]]+SamplingData[[#This Row],[Winning Candidate]]-SamplingData[[#This Row],[Candidate 4]])/(SamplingData[[#Totals],[Winning Candidate]]-SamplingData[[#Totals],[Candidate 4]]), 0)</f>
        <v>2.7185828290800665E-3</v>
      </c>
      <c r="N1498" s="100">
        <f>IF(AND(SamplingData[[#This Row],[Total]]&lt;&gt; 0, NOT(ISBLANK(SamplingData[[#This Row],[Candidate 5]]))),(SamplingData[[#This Row],[Total]]+SamplingData[[#This Row],[Winning Candidate]]-SamplingData[[#This Row],[Candidate 5]])/(SamplingData[[#Totals],[Winning Candidate]]-SamplingData[[#Totals],[Candidate 5]]), 0)</f>
        <v>2.4081731938701044E-3</v>
      </c>
      <c r="O1498" s="100">
        <f>IF(AND(SamplingData[[#This Row],[Total]]&lt;&gt; 0, NOT(ISBLANK(SamplingData[[#This Row],[Candidate 6]]))),(SamplingData[[#This Row],[Total]]+SamplingData[[#This Row],[Winning Candidate]]-SamplingData[[#This Row],[Candidate 6]])/(SamplingData[[#Totals],[Winning Candidate]]-SamplingData[[#Totals],[Candidate 6]]), 0)</f>
        <v>2.4074704537717039E-3</v>
      </c>
      <c r="P1498" s="100">
        <f>MAX(SamplingData[[#This Row],[Error Bound (up) - Max. possible relative overstatement - Losing Candidate]:[Error Bound (up) - Max. possible relative overstatement - Candidate 6]])</f>
        <v>4.8995590396864281E-3</v>
      </c>
      <c r="Q1498" s="100">
        <f>IF(SamplingData[[#This Row],[Max Error Bound (up)]] = 0,0,SamplingData[[#This Row],[Max Error Bound (up)]]/SamplingData[[#Totals],[Max Error Bound (up)]])</f>
        <v>7.7543586227566655E-4</v>
      </c>
      <c r="R1498" s="101">
        <f>SUM($Q$5:Q1498)</f>
        <v>0.49810679967186261</v>
      </c>
      <c r="S1498" s="100" t="str">
        <f t="array" ref="S1498">IF(SamplingData[[#This Row],[up/U Selection Probability]] = 0, "Zero", TEXT(SamplingData[[#This Row],[Lower Range]], REPT("0",LEN('General Info'!$B$40))) &amp; " - " &amp; TEXT(SamplingData[[#This Row],[Upper Range]], REPT("0",LEN('General Info'!$B$40))))</f>
        <v>49733 - 49810</v>
      </c>
      <c r="T1498" s="100">
        <f>SamplingData[[#This Row],[Upper Range]]-SamplingData[[#This Row],[Span]]</f>
        <v>49733.137156394558</v>
      </c>
      <c r="U1498" s="100">
        <f>IF(ISNUMBER('General Info'!$B$40), ((SamplingData[[#This Row],[up/U Selection Probability]]) * 'General Info'!$B$40) - 1, 0)</f>
        <v>76.542810791704383</v>
      </c>
      <c r="V1498" s="100">
        <f>IF(ISNUMBER('General Info'!$B$40), (SamplingData[[#This Row],[Running (cumulative) sum]] * ('General Info'!$B$40 -'General Info'!$B$41 + 1)) + 'General Info'!$B$41 - 1, 0)</f>
        <v>49809.679967186261</v>
      </c>
      <c r="W1498" s="100" t="str">
        <f>IF(ISERROR(MATCH(SamplingData[[#This Row],[Batch by Type (p)]],SelectedPrecincts[Batch Name], 0)), "", INDEX(SelectedPrecincts[Draw], MATCH(SamplingData[[#This Row],[Batch by Type (p)]],SelectedPrecincts[Batch Name], 0)))</f>
        <v/>
      </c>
      <c r="X1498" s="102">
        <f>IF(COUNTIF(SelectedPrecincts[Batch Name],SamplingData[[#This Row],[Batch by Type (p)]]) &lt;&gt; 0, COUNTIF(SelectedPrecincts[Batch Name],SamplingData[[#This Row],[Batch by Type (p)]]), 0)</f>
        <v>0</v>
      </c>
    </row>
    <row r="1499" spans="1:24" ht="15" customHeight="1">
      <c r="A1499" s="18" t="s">
        <v>1675</v>
      </c>
      <c r="B1499" s="18">
        <v>52</v>
      </c>
      <c r="C1499" s="18">
        <v>63</v>
      </c>
      <c r="D1499" s="16">
        <v>20</v>
      </c>
      <c r="E1499" s="16">
        <v>9</v>
      </c>
      <c r="F1499" s="37">
        <v>0</v>
      </c>
      <c r="G1499" s="37">
        <v>0</v>
      </c>
      <c r="H1499" s="17">
        <v>0</v>
      </c>
      <c r="I1499" s="17">
        <v>0</v>
      </c>
      <c r="J1499" s="99">
        <f>SUM(SamplingData[[#This Row],[Losing Candidate]:[Under Votes]])</f>
        <v>144</v>
      </c>
      <c r="K1499" s="100">
        <f>IF(AND(SamplingData[[#This Row],[Total]]&lt;&gt; 0, NOT(ISBLANK(SamplingData[[#This Row],[Losing Candidate]]))),(SamplingData[[#This Row],[Total]]+SamplingData[[#This Row],[Winning Candidate]]-SamplingData[[#This Row],[Losing Candidate]])/(SamplingData[[#Totals],[Winning Candidate]]-SamplingData[[#Totals],[Losing Candidate]]), 0)</f>
        <v>9.4928956393924551E-3</v>
      </c>
      <c r="L1499" s="100">
        <f>IF(AND(SamplingData[[#This Row],[Total]]&lt;&gt; 0, NOT(ISBLANK(SamplingData[[#This Row],[Candidate 3]]))),(SamplingData[[#This Row],[Total]]+SamplingData[[#This Row],[Winning Candidate]]-SamplingData[[#This Row],[Candidate 3]])/(SamplingData[[#Totals],[Winning Candidate]]-SamplingData[[#Totals],[Candidate 3]]), 0)</f>
        <v>6.0328418879246381E-3</v>
      </c>
      <c r="M1499" s="100">
        <f>IF(AND(SamplingData[[#This Row],[Total]]&lt;&gt; 0, NOT(ISBLANK(SamplingData[[#This Row],[Candidate 4]]))),(SamplingData[[#This Row],[Total]]+SamplingData[[#This Row],[Winning Candidate]]-SamplingData[[#This Row],[Candidate 4]])/(SamplingData[[#Totals],[Winning Candidate]]-SamplingData[[#Totals],[Candidate 4]]), 0)</f>
        <v>5.7879505393317546E-3</v>
      </c>
      <c r="N1499" s="100">
        <f>IF(AND(SamplingData[[#This Row],[Total]]&lt;&gt; 0, NOT(ISBLANK(SamplingData[[#This Row],[Candidate 5]]))),(SamplingData[[#This Row],[Total]]+SamplingData[[#This Row],[Winning Candidate]]-SamplingData[[#This Row],[Candidate 5]])/(SamplingData[[#Totals],[Winning Candidate]]-SamplingData[[#Totals],[Candidate 5]]), 0)</f>
        <v>5.0352712235465823E-3</v>
      </c>
      <c r="O1499" s="100">
        <f>IF(AND(SamplingData[[#This Row],[Total]]&lt;&gt; 0, NOT(ISBLANK(SamplingData[[#This Row],[Candidate 6]]))),(SamplingData[[#This Row],[Total]]+SamplingData[[#This Row],[Winning Candidate]]-SamplingData[[#This Row],[Candidate 6]])/(SamplingData[[#Totals],[Winning Candidate]]-SamplingData[[#Totals],[Candidate 6]]), 0)</f>
        <v>5.0338018578862899E-3</v>
      </c>
      <c r="P1499" s="100">
        <f>MAX(SamplingData[[#This Row],[Error Bound (up) - Max. possible relative overstatement - Losing Candidate]:[Error Bound (up) - Max. possible relative overstatement - Candidate 6]])</f>
        <v>9.4928956393924551E-3</v>
      </c>
      <c r="Q1499" s="100">
        <f>IF(SamplingData[[#This Row],[Max Error Bound (up)]] = 0,0,SamplingData[[#This Row],[Max Error Bound (up)]]/SamplingData[[#Totals],[Max Error Bound (up)]])</f>
        <v>1.502406983159104E-3</v>
      </c>
      <c r="R1499" s="101">
        <f>SUM($Q$5:Q1499)</f>
        <v>0.49960920665502173</v>
      </c>
      <c r="S1499" s="100" t="str">
        <f t="array" ref="S1499">IF(SamplingData[[#This Row],[up/U Selection Probability]] = 0, "Zero", TEXT(SamplingData[[#This Row],[Lower Range]], REPT("0",LEN('General Info'!$B$40))) &amp; " - " &amp; TEXT(SamplingData[[#This Row],[Upper Range]], REPT("0",LEN('General Info'!$B$40))))</f>
        <v>49811 - 49960</v>
      </c>
      <c r="T1499" s="100">
        <f>SamplingData[[#This Row],[Upper Range]]-SamplingData[[#This Row],[Span]]</f>
        <v>49810.681469593241</v>
      </c>
      <c r="U1499" s="100">
        <f>IF(ISNUMBER('General Info'!$B$40), ((SamplingData[[#This Row],[up/U Selection Probability]]) * 'General Info'!$B$40) - 1, 0)</f>
        <v>149.23919590892723</v>
      </c>
      <c r="V1499" s="100">
        <f>IF(ISNUMBER('General Info'!$B$40), (SamplingData[[#This Row],[Running (cumulative) sum]] * ('General Info'!$B$40 -'General Info'!$B$41 + 1)) + 'General Info'!$B$41 - 1, 0)</f>
        <v>49959.92066550217</v>
      </c>
      <c r="W1499" s="100" t="str">
        <f>IF(ISERROR(MATCH(SamplingData[[#This Row],[Batch by Type (p)]],SelectedPrecincts[Batch Name], 0)), "", INDEX(SelectedPrecincts[Draw], MATCH(SamplingData[[#This Row],[Batch by Type (p)]],SelectedPrecincts[Batch Name], 0)))</f>
        <v/>
      </c>
      <c r="X1499" s="102">
        <f>IF(COUNTIF(SelectedPrecincts[Batch Name],SamplingData[[#This Row],[Batch by Type (p)]]) &lt;&gt; 0, COUNTIF(SelectedPrecincts[Batch Name],SamplingData[[#This Row],[Batch by Type (p)]]), 0)</f>
        <v>0</v>
      </c>
    </row>
    <row r="1500" spans="1:24" ht="15" customHeight="1">
      <c r="A1500" s="18" t="s">
        <v>1676</v>
      </c>
      <c r="B1500" s="18">
        <v>18</v>
      </c>
      <c r="C1500" s="18">
        <v>25</v>
      </c>
      <c r="D1500" s="18">
        <v>10</v>
      </c>
      <c r="E1500" s="18">
        <v>3</v>
      </c>
      <c r="F1500" s="18">
        <v>1</v>
      </c>
      <c r="G1500" s="18">
        <v>0</v>
      </c>
      <c r="H1500" s="18">
        <v>0</v>
      </c>
      <c r="I1500" s="18">
        <v>1</v>
      </c>
      <c r="J1500" s="99">
        <f>SUM(SamplingData[[#This Row],[Losing Candidate]:[Under Votes]])</f>
        <v>58</v>
      </c>
      <c r="K1500"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1500" s="100">
        <f>IF(AND(SamplingData[[#This Row],[Total]]&lt;&gt; 0, NOT(ISBLANK(SamplingData[[#This Row],[Candidate 3]]))),(SamplingData[[#This Row],[Total]]+SamplingData[[#This Row],[Winning Candidate]]-SamplingData[[#This Row],[Candidate 3]])/(SamplingData[[#Totals],[Winning Candidate]]-SamplingData[[#Totals],[Candidate 3]]), 0)</f>
        <v>2.3550666193502597E-3</v>
      </c>
      <c r="M1500" s="100">
        <f>IF(AND(SamplingData[[#This Row],[Total]]&lt;&gt; 0, NOT(ISBLANK(SamplingData[[#This Row],[Candidate 4]]))),(SamplingData[[#This Row],[Total]]+SamplingData[[#This Row],[Winning Candidate]]-SamplingData[[#This Row],[Candidate 4]])/(SamplingData[[#Totals],[Winning Candidate]]-SamplingData[[#Totals],[Candidate 4]]), 0)</f>
        <v>2.3385658744774769E-3</v>
      </c>
      <c r="N1500" s="100">
        <f>IF(AND(SamplingData[[#This Row],[Total]]&lt;&gt; 0, NOT(ISBLANK(SamplingData[[#This Row],[Candidate 5]]))),(SamplingData[[#This Row],[Total]]+SamplingData[[#This Row],[Winning Candidate]]-SamplingData[[#This Row],[Candidate 5]])/(SamplingData[[#Totals],[Winning Candidate]]-SamplingData[[#Totals],[Candidate 5]]), 0)</f>
        <v>1.994648504013622E-3</v>
      </c>
      <c r="O1500" s="100">
        <f>IF(AND(SamplingData[[#This Row],[Total]]&lt;&gt; 0, NOT(ISBLANK(SamplingData[[#This Row],[Candidate 6]]))),(SamplingData[[#This Row],[Total]]+SamplingData[[#This Row],[Winning Candidate]]-SamplingData[[#This Row],[Candidate 6]])/(SamplingData[[#Totals],[Winning Candidate]]-SamplingData[[#Totals],[Candidate 6]]), 0)</f>
        <v>2.0183843198288021E-3</v>
      </c>
      <c r="P1500" s="100">
        <f>MAX(SamplingData[[#This Row],[Error Bound (up) - Max. possible relative overstatement - Losing Candidate]:[Error Bound (up) - Max. possible relative overstatement - Candidate 6]])</f>
        <v>3.9808917197452229E-3</v>
      </c>
      <c r="Q1500" s="100">
        <f>IF(SamplingData[[#This Row],[Max Error Bound (up)]] = 0,0,SamplingData[[#This Row],[Max Error Bound (up)]]/SamplingData[[#Totals],[Max Error Bound (up)]])</f>
        <v>6.3004163809897906E-4</v>
      </c>
      <c r="R1500" s="101">
        <f>SUM($Q$5:Q1500)</f>
        <v>0.50023924829312072</v>
      </c>
      <c r="S1500" s="100" t="str">
        <f t="array" ref="S1500">IF(SamplingData[[#This Row],[up/U Selection Probability]] = 0, "Zero", TEXT(SamplingData[[#This Row],[Lower Range]], REPT("0",LEN('General Info'!$B$40))) &amp; " - " &amp; TEXT(SamplingData[[#This Row],[Upper Range]], REPT("0",LEN('General Info'!$B$40))))</f>
        <v>49961 - 50023</v>
      </c>
      <c r="T1500" s="100">
        <f>SamplingData[[#This Row],[Upper Range]]-SamplingData[[#This Row],[Span]]</f>
        <v>49960.921295543812</v>
      </c>
      <c r="U1500" s="100">
        <f>IF(ISNUMBER('General Info'!$B$40), ((SamplingData[[#This Row],[up/U Selection Probability]]) * 'General Info'!$B$40) - 1, 0)</f>
        <v>62.003533768259807</v>
      </c>
      <c r="V1500" s="100">
        <f>IF(ISNUMBER('General Info'!$B$40), (SamplingData[[#This Row],[Running (cumulative) sum]] * ('General Info'!$B$40 -'General Info'!$B$41 + 1)) + 'General Info'!$B$41 - 1, 0)</f>
        <v>50022.924829312069</v>
      </c>
      <c r="W1500" s="100" t="str">
        <f>IF(ISERROR(MATCH(SamplingData[[#This Row],[Batch by Type (p)]],SelectedPrecincts[Batch Name], 0)), "", INDEX(SelectedPrecincts[Draw], MATCH(SamplingData[[#This Row],[Batch by Type (p)]],SelectedPrecincts[Batch Name], 0)))</f>
        <v/>
      </c>
      <c r="X1500" s="102">
        <f>IF(COUNTIF(SelectedPrecincts[Batch Name],SamplingData[[#This Row],[Batch by Type (p)]]) &lt;&gt; 0, COUNTIF(SelectedPrecincts[Batch Name],SamplingData[[#This Row],[Batch by Type (p)]]), 0)</f>
        <v>0</v>
      </c>
    </row>
    <row r="1501" spans="1:24" ht="15" customHeight="1">
      <c r="A1501" s="18" t="s">
        <v>1677</v>
      </c>
      <c r="B1501" s="18">
        <v>32</v>
      </c>
      <c r="C1501" s="18">
        <v>56</v>
      </c>
      <c r="D1501" s="16">
        <v>16</v>
      </c>
      <c r="E1501" s="16">
        <v>8</v>
      </c>
      <c r="F1501" s="37">
        <v>1</v>
      </c>
      <c r="G1501" s="37">
        <v>0</v>
      </c>
      <c r="H1501" s="17">
        <v>0</v>
      </c>
      <c r="I1501" s="17">
        <v>0</v>
      </c>
      <c r="J1501" s="99">
        <f>SUM(SamplingData[[#This Row],[Losing Candidate]:[Under Votes]])</f>
        <v>113</v>
      </c>
      <c r="K1501" s="100">
        <f>IF(AND(SamplingData[[#This Row],[Total]]&lt;&gt; 0, NOT(ISBLANK(SamplingData[[#This Row],[Losing Candidate]]))),(SamplingData[[#This Row],[Total]]+SamplingData[[#This Row],[Winning Candidate]]-SamplingData[[#This Row],[Losing Candidate]])/(SamplingData[[#Totals],[Winning Candidate]]-SamplingData[[#Totals],[Losing Candidate]]), 0)</f>
        <v>8.3904948554630078E-3</v>
      </c>
      <c r="L1501" s="100">
        <f>IF(AND(SamplingData[[#This Row],[Total]]&lt;&gt; 0, NOT(ISBLANK(SamplingData[[#This Row],[Candidate 3]]))),(SamplingData[[#This Row],[Total]]+SamplingData[[#This Row],[Winning Candidate]]-SamplingData[[#This Row],[Candidate 3]])/(SamplingData[[#Totals],[Winning Candidate]]-SamplingData[[#Totals],[Candidate 3]]), 0)</f>
        <v>4.935961544665613E-3</v>
      </c>
      <c r="M1501" s="100">
        <f>IF(AND(SamplingData[[#This Row],[Total]]&lt;&gt; 0, NOT(ISBLANK(SamplingData[[#This Row],[Candidate 4]]))),(SamplingData[[#This Row],[Total]]+SamplingData[[#This Row],[Winning Candidate]]-SamplingData[[#This Row],[Candidate 4]])/(SamplingData[[#Totals],[Winning Candidate]]-SamplingData[[#Totals],[Candidate 4]]), 0)</f>
        <v>4.7063638223859222E-3</v>
      </c>
      <c r="N1501" s="100">
        <f>IF(AND(SamplingData[[#This Row],[Total]]&lt;&gt; 0, NOT(ISBLANK(SamplingData[[#This Row],[Candidate 5]]))),(SamplingData[[#This Row],[Total]]+SamplingData[[#This Row],[Winning Candidate]]-SamplingData[[#This Row],[Candidate 5]])/(SamplingData[[#Totals],[Winning Candidate]]-SamplingData[[#Totals],[Candidate 5]]), 0)</f>
        <v>4.0865969350522991E-3</v>
      </c>
      <c r="O1501" s="100">
        <f>IF(AND(SamplingData[[#This Row],[Total]]&lt;&gt; 0, NOT(ISBLANK(SamplingData[[#This Row],[Candidate 6]]))),(SamplingData[[#This Row],[Total]]+SamplingData[[#This Row],[Winning Candidate]]-SamplingData[[#This Row],[Candidate 6]])/(SamplingData[[#Totals],[Winning Candidate]]-SamplingData[[#Totals],[Candidate 6]]), 0)</f>
        <v>4.109722289771898E-3</v>
      </c>
      <c r="P1501" s="100">
        <f>MAX(SamplingData[[#This Row],[Error Bound (up) - Max. possible relative overstatement - Losing Candidate]:[Error Bound (up) - Max. possible relative overstatement - Candidate 6]])</f>
        <v>8.3904948554630078E-3</v>
      </c>
      <c r="Q1501" s="100">
        <f>IF(SamplingData[[#This Row],[Max Error Bound (up)]] = 0,0,SamplingData[[#This Row],[Max Error Bound (up)]]/SamplingData[[#Totals],[Max Error Bound (up)]])</f>
        <v>1.3279339141470789E-3</v>
      </c>
      <c r="R1501" s="101">
        <f>SUM($Q$5:Q1501)</f>
        <v>0.50156718220726781</v>
      </c>
      <c r="S1501" s="100" t="str">
        <f t="array" ref="S1501">IF(SamplingData[[#This Row],[up/U Selection Probability]] = 0, "Zero", TEXT(SamplingData[[#This Row],[Lower Range]], REPT("0",LEN('General Info'!$B$40))) &amp; " - " &amp; TEXT(SamplingData[[#This Row],[Upper Range]], REPT("0",LEN('General Info'!$B$40))))</f>
        <v>50024 - 50156</v>
      </c>
      <c r="T1501" s="100">
        <f>SamplingData[[#This Row],[Upper Range]]-SamplingData[[#This Row],[Span]]</f>
        <v>50023.926157245987</v>
      </c>
      <c r="U1501" s="100">
        <f>IF(ISNUMBER('General Info'!$B$40), ((SamplingData[[#This Row],[up/U Selection Probability]]) * 'General Info'!$B$40) - 1, 0)</f>
        <v>131.79206348079373</v>
      </c>
      <c r="V1501" s="100">
        <f>IF(ISNUMBER('General Info'!$B$40), (SamplingData[[#This Row],[Running (cumulative) sum]] * ('General Info'!$B$40 -'General Info'!$B$41 + 1)) + 'General Info'!$B$41 - 1, 0)</f>
        <v>50155.718220726783</v>
      </c>
      <c r="W1501" s="100" t="str">
        <f>IF(ISERROR(MATCH(SamplingData[[#This Row],[Batch by Type (p)]],SelectedPrecincts[Batch Name], 0)), "", INDEX(SelectedPrecincts[Draw], MATCH(SamplingData[[#This Row],[Batch by Type (p)]],SelectedPrecincts[Batch Name], 0)))</f>
        <v/>
      </c>
      <c r="X1501" s="102">
        <f>IF(COUNTIF(SelectedPrecincts[Batch Name],SamplingData[[#This Row],[Batch by Type (p)]]) &lt;&gt; 0, COUNTIF(SelectedPrecincts[Batch Name],SamplingData[[#This Row],[Batch by Type (p)]]), 0)</f>
        <v>0</v>
      </c>
    </row>
    <row r="1502" spans="1:24" ht="15" customHeight="1">
      <c r="A1502" s="18" t="s">
        <v>1678</v>
      </c>
      <c r="B1502" s="18">
        <v>13</v>
      </c>
      <c r="C1502" s="18">
        <v>20</v>
      </c>
      <c r="D1502" s="18">
        <v>11</v>
      </c>
      <c r="E1502" s="18">
        <v>6</v>
      </c>
      <c r="F1502" s="18">
        <v>0</v>
      </c>
      <c r="G1502" s="18">
        <v>1</v>
      </c>
      <c r="H1502" s="18">
        <v>1</v>
      </c>
      <c r="I1502" s="18">
        <v>2</v>
      </c>
      <c r="J1502" s="99">
        <f>SUM(SamplingData[[#This Row],[Losing Candidate]:[Under Votes]])</f>
        <v>54</v>
      </c>
      <c r="K1502"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502" s="100">
        <f>IF(AND(SamplingData[[#This Row],[Total]]&lt;&gt; 0, NOT(ISBLANK(SamplingData[[#This Row],[Candidate 3]]))),(SamplingData[[#This Row],[Total]]+SamplingData[[#This Row],[Winning Candidate]]-SamplingData[[#This Row],[Candidate 3]])/(SamplingData[[#Totals],[Winning Candidate]]-SamplingData[[#Totals],[Candidate 3]]), 0)</f>
        <v>2.0324547536858407E-3</v>
      </c>
      <c r="M1502" s="100">
        <f>IF(AND(SamplingData[[#This Row],[Total]]&lt;&gt; 0, NOT(ISBLANK(SamplingData[[#This Row],[Candidate 4]]))),(SamplingData[[#This Row],[Total]]+SamplingData[[#This Row],[Winning Candidate]]-SamplingData[[#This Row],[Candidate 4]])/(SamplingData[[#Totals],[Winning Candidate]]-SamplingData[[#Totals],[Candidate 4]]), 0)</f>
        <v>1.9877809933058553E-3</v>
      </c>
      <c r="N1502" s="100">
        <f>IF(AND(SamplingData[[#This Row],[Total]]&lt;&gt; 0, NOT(ISBLANK(SamplingData[[#This Row],[Candidate 5]]))),(SamplingData[[#This Row],[Total]]+SamplingData[[#This Row],[Winning Candidate]]-SamplingData[[#This Row],[Candidate 5]])/(SamplingData[[#Totals],[Winning Candidate]]-SamplingData[[#Totals],[Candidate 5]]), 0)</f>
        <v>1.8000486499635125E-3</v>
      </c>
      <c r="O1502" s="100">
        <f>IF(AND(SamplingData[[#This Row],[Total]]&lt;&gt; 0, NOT(ISBLANK(SamplingData[[#This Row],[Candidate 6]]))),(SamplingData[[#This Row],[Total]]+SamplingData[[#This Row],[Winning Candidate]]-SamplingData[[#This Row],[Candidate 6]])/(SamplingData[[#Totals],[Winning Candidate]]-SamplingData[[#Totals],[Candidate 6]]), 0)</f>
        <v>1.7752054861144887E-3</v>
      </c>
      <c r="P1502" s="100">
        <f>MAX(SamplingData[[#This Row],[Error Bound (up) - Max. possible relative overstatement - Losing Candidate]:[Error Bound (up) - Max. possible relative overstatement - Candidate 6]])</f>
        <v>3.7359137677609017E-3</v>
      </c>
      <c r="Q1502" s="100">
        <f>IF(SamplingData[[#This Row],[Max Error Bound (up)]] = 0,0,SamplingData[[#This Row],[Max Error Bound (up)]]/SamplingData[[#Totals],[Max Error Bound (up)]])</f>
        <v>5.9126984498519581E-4</v>
      </c>
      <c r="R1502" s="101">
        <f>SUM($Q$5:Q1502)</f>
        <v>0.50215845205225296</v>
      </c>
      <c r="S1502" s="100" t="str">
        <f t="array" ref="S1502">IF(SamplingData[[#This Row],[up/U Selection Probability]] = 0, "Zero", TEXT(SamplingData[[#This Row],[Lower Range]], REPT("0",LEN('General Info'!$B$40))) &amp; " - " &amp; TEXT(SamplingData[[#This Row],[Upper Range]], REPT("0",LEN('General Info'!$B$40))))</f>
        <v>50157 - 50215</v>
      </c>
      <c r="T1502" s="100">
        <f>SamplingData[[#This Row],[Upper Range]]-SamplingData[[#This Row],[Span]]</f>
        <v>50156.718811996623</v>
      </c>
      <c r="U1502" s="100">
        <f>IF(ISNUMBER('General Info'!$B$40), ((SamplingData[[#This Row],[up/U Selection Probability]]) * 'General Info'!$B$40) - 1, 0)</f>
        <v>58.126393228674594</v>
      </c>
      <c r="V1502" s="100">
        <f>IF(ISNUMBER('General Info'!$B$40), (SamplingData[[#This Row],[Running (cumulative) sum]] * ('General Info'!$B$40 -'General Info'!$B$41 + 1)) + 'General Info'!$B$41 - 1, 0)</f>
        <v>50214.845205225298</v>
      </c>
      <c r="W1502" s="100" t="str">
        <f>IF(ISERROR(MATCH(SamplingData[[#This Row],[Batch by Type (p)]],SelectedPrecincts[Batch Name], 0)), "", INDEX(SelectedPrecincts[Draw], MATCH(SamplingData[[#This Row],[Batch by Type (p)]],SelectedPrecincts[Batch Name], 0)))</f>
        <v/>
      </c>
      <c r="X1502" s="102">
        <f>IF(COUNTIF(SelectedPrecincts[Batch Name],SamplingData[[#This Row],[Batch by Type (p)]]) &lt;&gt; 0, COUNTIF(SelectedPrecincts[Batch Name],SamplingData[[#This Row],[Batch by Type (p)]]), 0)</f>
        <v>0</v>
      </c>
    </row>
    <row r="1503" spans="1:24" ht="15" customHeight="1">
      <c r="A1503" s="18" t="s">
        <v>1679</v>
      </c>
      <c r="B1503" s="18">
        <v>34</v>
      </c>
      <c r="C1503" s="18">
        <v>39</v>
      </c>
      <c r="D1503" s="16">
        <v>13</v>
      </c>
      <c r="E1503" s="16">
        <v>7</v>
      </c>
      <c r="F1503" s="37">
        <v>2</v>
      </c>
      <c r="G1503" s="37">
        <v>0</v>
      </c>
      <c r="H1503" s="17">
        <v>0</v>
      </c>
      <c r="I1503" s="17">
        <v>2</v>
      </c>
      <c r="J1503" s="99">
        <f>SUM(SamplingData[[#This Row],[Losing Candidate]:[Under Votes]])</f>
        <v>97</v>
      </c>
      <c r="K1503" s="100">
        <f>IF(AND(SamplingData[[#This Row],[Total]]&lt;&gt; 0, NOT(ISBLANK(SamplingData[[#This Row],[Losing Candidate]]))),(SamplingData[[#This Row],[Total]]+SamplingData[[#This Row],[Winning Candidate]]-SamplingData[[#This Row],[Losing Candidate]])/(SamplingData[[#Totals],[Winning Candidate]]-SamplingData[[#Totals],[Losing Candidate]]), 0)</f>
        <v>6.2469377756001962E-3</v>
      </c>
      <c r="L1503" s="100">
        <f>IF(AND(SamplingData[[#This Row],[Total]]&lt;&gt; 0, NOT(ISBLANK(SamplingData[[#This Row],[Candidate 3]]))),(SamplingData[[#This Row],[Total]]+SamplingData[[#This Row],[Winning Candidate]]-SamplingData[[#This Row],[Candidate 3]])/(SamplingData[[#Totals],[Winning Candidate]]-SamplingData[[#Totals],[Candidate 3]]), 0)</f>
        <v>3.9681259476723558E-3</v>
      </c>
      <c r="M1503" s="100">
        <f>IF(AND(SamplingData[[#This Row],[Total]]&lt;&gt; 0, NOT(ISBLANK(SamplingData[[#This Row],[Candidate 4]]))),(SamplingData[[#This Row],[Total]]+SamplingData[[#This Row],[Winning Candidate]]-SamplingData[[#This Row],[Candidate 4]])/(SamplingData[[#Totals],[Winning Candidate]]-SamplingData[[#Totals],[Candidate 4]]), 0)</f>
        <v>3.7709374725949313E-3</v>
      </c>
      <c r="N1503" s="100">
        <f>IF(AND(SamplingData[[#This Row],[Total]]&lt;&gt; 0, NOT(ISBLANK(SamplingData[[#This Row],[Candidate 5]]))),(SamplingData[[#This Row],[Total]]+SamplingData[[#This Row],[Winning Candidate]]-SamplingData[[#This Row],[Candidate 5]])/(SamplingData[[#Totals],[Winning Candidate]]-SamplingData[[#Totals],[Candidate 5]]), 0)</f>
        <v>3.2595475553393333E-3</v>
      </c>
      <c r="O1503" s="100">
        <f>IF(AND(SamplingData[[#This Row],[Total]]&lt;&gt; 0, NOT(ISBLANK(SamplingData[[#This Row],[Candidate 6]]))),(SamplingData[[#This Row],[Total]]+SamplingData[[#This Row],[Winning Candidate]]-SamplingData[[#This Row],[Candidate 6]])/(SamplingData[[#Totals],[Winning Candidate]]-SamplingData[[#Totals],[Candidate 6]]), 0)</f>
        <v>3.3072321385146635E-3</v>
      </c>
      <c r="P1503" s="100">
        <f>MAX(SamplingData[[#This Row],[Error Bound (up) - Max. possible relative overstatement - Losing Candidate]:[Error Bound (up) - Max. possible relative overstatement - Candidate 6]])</f>
        <v>6.2469377756001962E-3</v>
      </c>
      <c r="Q1503" s="100">
        <f>IF(SamplingData[[#This Row],[Max Error Bound (up)]] = 0,0,SamplingData[[#This Row],[Max Error Bound (up)]]/SamplingData[[#Totals],[Max Error Bound (up)]])</f>
        <v>9.8868072440147481E-4</v>
      </c>
      <c r="R1503" s="101">
        <f>SUM($Q$5:Q1503)</f>
        <v>0.50314713277665446</v>
      </c>
      <c r="S1503" s="100" t="str">
        <f t="array" ref="S1503">IF(SamplingData[[#This Row],[up/U Selection Probability]] = 0, "Zero", TEXT(SamplingData[[#This Row],[Lower Range]], REPT("0",LEN('General Info'!$B$40))) &amp; " - " &amp; TEXT(SamplingData[[#This Row],[Upper Range]], REPT("0",LEN('General Info'!$B$40))))</f>
        <v>50216 - 50314</v>
      </c>
      <c r="T1503" s="100">
        <f>SamplingData[[#This Row],[Upper Range]]-SamplingData[[#This Row],[Span]]</f>
        <v>50215.846193906022</v>
      </c>
      <c r="U1503" s="100">
        <f>IF(ISNUMBER('General Info'!$B$40), ((SamplingData[[#This Row],[up/U Selection Probability]]) * 'General Info'!$B$40) - 1, 0)</f>
        <v>97.867083759423082</v>
      </c>
      <c r="V1503" s="100">
        <f>IF(ISNUMBER('General Info'!$B$40), (SamplingData[[#This Row],[Running (cumulative) sum]] * ('General Info'!$B$40 -'General Info'!$B$41 + 1)) + 'General Info'!$B$41 - 1, 0)</f>
        <v>50313.713277665447</v>
      </c>
      <c r="W1503" s="100" t="str">
        <f>IF(ISERROR(MATCH(SamplingData[[#This Row],[Batch by Type (p)]],SelectedPrecincts[Batch Name], 0)), "", INDEX(SelectedPrecincts[Draw], MATCH(SamplingData[[#This Row],[Batch by Type (p)]],SelectedPrecincts[Batch Name], 0)))</f>
        <v/>
      </c>
      <c r="X1503" s="102">
        <f>IF(COUNTIF(SelectedPrecincts[Batch Name],SamplingData[[#This Row],[Batch by Type (p)]]) &lt;&gt; 0, COUNTIF(SelectedPrecincts[Batch Name],SamplingData[[#This Row],[Batch by Type (p)]]), 0)</f>
        <v>0</v>
      </c>
    </row>
    <row r="1504" spans="1:24" ht="15" customHeight="1">
      <c r="A1504" s="18" t="s">
        <v>1680</v>
      </c>
      <c r="B1504" s="18">
        <v>16</v>
      </c>
      <c r="C1504" s="18">
        <v>23</v>
      </c>
      <c r="D1504" s="18">
        <v>1</v>
      </c>
      <c r="E1504" s="18">
        <v>1</v>
      </c>
      <c r="F1504" s="18">
        <v>0</v>
      </c>
      <c r="G1504" s="18">
        <v>0</v>
      </c>
      <c r="H1504" s="18">
        <v>0</v>
      </c>
      <c r="I1504" s="18">
        <v>1</v>
      </c>
      <c r="J1504" s="99">
        <f>SUM(SamplingData[[#This Row],[Losing Candidate]:[Under Votes]])</f>
        <v>42</v>
      </c>
      <c r="K1504"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1504" s="100">
        <f>IF(AND(SamplingData[[#This Row],[Total]]&lt;&gt; 0, NOT(ISBLANK(SamplingData[[#This Row],[Candidate 3]]))),(SamplingData[[#This Row],[Total]]+SamplingData[[#This Row],[Winning Candidate]]-SamplingData[[#This Row],[Candidate 3]])/(SamplingData[[#Totals],[Winning Candidate]]-SamplingData[[#Totals],[Candidate 3]]), 0)</f>
        <v>2.0647159402522827E-3</v>
      </c>
      <c r="M1504" s="100">
        <f>IF(AND(SamplingData[[#This Row],[Total]]&lt;&gt; 0, NOT(ISBLANK(SamplingData[[#This Row],[Candidate 4]]))),(SamplingData[[#This Row],[Total]]+SamplingData[[#This Row],[Winning Candidate]]-SamplingData[[#This Row],[Candidate 4]])/(SamplingData[[#Totals],[Winning Candidate]]-SamplingData[[#Totals],[Candidate 4]]), 0)</f>
        <v>1.8708526995819814E-3</v>
      </c>
      <c r="N1504" s="100">
        <f>IF(AND(SamplingData[[#This Row],[Total]]&lt;&gt; 0, NOT(ISBLANK(SamplingData[[#This Row],[Candidate 5]]))),(SamplingData[[#This Row],[Total]]+SamplingData[[#This Row],[Winning Candidate]]-SamplingData[[#This Row],[Candidate 5]])/(SamplingData[[#Totals],[Winning Candidate]]-SamplingData[[#Totals],[Candidate 5]]), 0)</f>
        <v>1.5811238141571393E-3</v>
      </c>
      <c r="O1504" s="100">
        <f>IF(AND(SamplingData[[#This Row],[Total]]&lt;&gt; 0, NOT(ISBLANK(SamplingData[[#This Row],[Candidate 6]]))),(SamplingData[[#This Row],[Total]]+SamplingData[[#This Row],[Winning Candidate]]-SamplingData[[#This Row],[Candidate 6]])/(SamplingData[[#Totals],[Winning Candidate]]-SamplingData[[#Totals],[Candidate 6]]), 0)</f>
        <v>1.5806624191430378E-3</v>
      </c>
      <c r="P1504" s="100">
        <f>MAX(SamplingData[[#This Row],[Error Bound (up) - Max. possible relative overstatement - Losing Candidate]:[Error Bound (up) - Max. possible relative overstatement - Candidate 6]])</f>
        <v>3.0009799118079373E-3</v>
      </c>
      <c r="Q1504" s="100">
        <f>IF(SamplingData[[#This Row],[Max Error Bound (up)]] = 0,0,SamplingData[[#This Row],[Max Error Bound (up)]]/SamplingData[[#Totals],[Max Error Bound (up)]])</f>
        <v>4.7495446564384573E-4</v>
      </c>
      <c r="R1504" s="101">
        <f>SUM($Q$5:Q1504)</f>
        <v>0.50362208724229829</v>
      </c>
      <c r="S1504" s="100" t="str">
        <f t="array" ref="S1504">IF(SamplingData[[#This Row],[up/U Selection Probability]] = 0, "Zero", TEXT(SamplingData[[#This Row],[Lower Range]], REPT("0",LEN('General Info'!$B$40))) &amp; " - " &amp; TEXT(SamplingData[[#This Row],[Upper Range]], REPT("0",LEN('General Info'!$B$40))))</f>
        <v>50315 - 50361</v>
      </c>
      <c r="T1504" s="100">
        <f>SamplingData[[#This Row],[Upper Range]]-SamplingData[[#This Row],[Span]]</f>
        <v>50314.713752619908</v>
      </c>
      <c r="U1504" s="100">
        <f>IF(ISNUMBER('General Info'!$B$40), ((SamplingData[[#This Row],[up/U Selection Probability]]) * 'General Info'!$B$40) - 1, 0)</f>
        <v>46.494971609918927</v>
      </c>
      <c r="V1504" s="100">
        <f>IF(ISNUMBER('General Info'!$B$40), (SamplingData[[#This Row],[Running (cumulative) sum]] * ('General Info'!$B$40 -'General Info'!$B$41 + 1)) + 'General Info'!$B$41 - 1, 0)</f>
        <v>50361.208724229829</v>
      </c>
      <c r="W1504" s="100" t="str">
        <f>IF(ISERROR(MATCH(SamplingData[[#This Row],[Batch by Type (p)]],SelectedPrecincts[Batch Name], 0)), "", INDEX(SelectedPrecincts[Draw], MATCH(SamplingData[[#This Row],[Batch by Type (p)]],SelectedPrecincts[Batch Name], 0)))</f>
        <v/>
      </c>
      <c r="X1504" s="102">
        <f>IF(COUNTIF(SelectedPrecincts[Batch Name],SamplingData[[#This Row],[Batch by Type (p)]]) &lt;&gt; 0, COUNTIF(SelectedPrecincts[Batch Name],SamplingData[[#This Row],[Batch by Type (p)]]), 0)</f>
        <v>0</v>
      </c>
    </row>
    <row r="1505" spans="1:24" ht="15" customHeight="1">
      <c r="A1505" s="18" t="s">
        <v>1681</v>
      </c>
      <c r="B1505" s="18">
        <v>40</v>
      </c>
      <c r="C1505" s="18">
        <v>48</v>
      </c>
      <c r="D1505" s="16">
        <v>13</v>
      </c>
      <c r="E1505" s="16">
        <v>15</v>
      </c>
      <c r="F1505" s="37">
        <v>0</v>
      </c>
      <c r="G1505" s="37">
        <v>1</v>
      </c>
      <c r="H1505" s="17">
        <v>0</v>
      </c>
      <c r="I1505" s="17">
        <v>0</v>
      </c>
      <c r="J1505" s="99">
        <f>SUM(SamplingData[[#This Row],[Losing Candidate]:[Under Votes]])</f>
        <v>117</v>
      </c>
      <c r="K1505" s="100">
        <f>IF(AND(SamplingData[[#This Row],[Total]]&lt;&gt; 0, NOT(ISBLANK(SamplingData[[#This Row],[Losing Candidate]]))),(SamplingData[[#This Row],[Total]]+SamplingData[[#This Row],[Winning Candidate]]-SamplingData[[#This Row],[Losing Candidate]])/(SamplingData[[#Totals],[Winning Candidate]]-SamplingData[[#Totals],[Losing Candidate]]), 0)</f>
        <v>7.6555609995100438E-3</v>
      </c>
      <c r="L1505" s="100">
        <f>IF(AND(SamplingData[[#This Row],[Total]]&lt;&gt; 0, NOT(ISBLANK(SamplingData[[#This Row],[Candidate 3]]))),(SamplingData[[#This Row],[Total]]+SamplingData[[#This Row],[Winning Candidate]]-SamplingData[[#This Row],[Candidate 3]])/(SamplingData[[#Totals],[Winning Candidate]]-SamplingData[[#Totals],[Candidate 3]]), 0)</f>
        <v>4.9037003580991705E-3</v>
      </c>
      <c r="M1505" s="100">
        <f>IF(AND(SamplingData[[#This Row],[Total]]&lt;&gt; 0, NOT(ISBLANK(SamplingData[[#This Row],[Candidate 4]]))),(SamplingData[[#This Row],[Total]]+SamplingData[[#This Row],[Winning Candidate]]-SamplingData[[#This Row],[Candidate 4]])/(SamplingData[[#Totals],[Winning Candidate]]-SamplingData[[#Totals],[Candidate 4]]), 0)</f>
        <v>4.3848110146452691E-3</v>
      </c>
      <c r="N1505" s="100">
        <f>IF(AND(SamplingData[[#This Row],[Total]]&lt;&gt; 0, NOT(ISBLANK(SamplingData[[#This Row],[Candidate 5]]))),(SamplingData[[#This Row],[Total]]+SamplingData[[#This Row],[Winning Candidate]]-SamplingData[[#This Row],[Candidate 5]])/(SamplingData[[#Totals],[Winning Candidate]]-SamplingData[[#Totals],[Candidate 5]]), 0)</f>
        <v>4.013621989783508E-3</v>
      </c>
      <c r="O1505" s="100">
        <f>IF(AND(SamplingData[[#This Row],[Total]]&lt;&gt; 0, NOT(ISBLANK(SamplingData[[#This Row],[Candidate 6]]))),(SamplingData[[#This Row],[Total]]+SamplingData[[#This Row],[Winning Candidate]]-SamplingData[[#This Row],[Candidate 6]])/(SamplingData[[#Totals],[Winning Candidate]]-SamplingData[[#Totals],[Candidate 6]]), 0)</f>
        <v>3.9881328729147415E-3</v>
      </c>
      <c r="P1505" s="100">
        <f>MAX(SamplingData[[#This Row],[Error Bound (up) - Max. possible relative overstatement - Losing Candidate]:[Error Bound (up) - Max. possible relative overstatement - Candidate 6]])</f>
        <v>7.6555609995100438E-3</v>
      </c>
      <c r="Q1505" s="100">
        <f>IF(SamplingData[[#This Row],[Max Error Bound (up)]] = 0,0,SamplingData[[#This Row],[Max Error Bound (up)]]/SamplingData[[#Totals],[Max Error Bound (up)]])</f>
        <v>1.2116185348057288E-3</v>
      </c>
      <c r="R1505" s="101">
        <f>SUM($Q$5:Q1505)</f>
        <v>0.50483370577710407</v>
      </c>
      <c r="S1505" s="100" t="str">
        <f t="array" ref="S1505">IF(SamplingData[[#This Row],[up/U Selection Probability]] = 0, "Zero", TEXT(SamplingData[[#This Row],[Lower Range]], REPT("0",LEN('General Info'!$B$40))) &amp; " - " &amp; TEXT(SamplingData[[#This Row],[Upper Range]], REPT("0",LEN('General Info'!$B$40))))</f>
        <v>50362 - 50482</v>
      </c>
      <c r="T1505" s="100">
        <f>SamplingData[[#This Row],[Upper Range]]-SamplingData[[#This Row],[Span]]</f>
        <v>50362.209935848368</v>
      </c>
      <c r="U1505" s="100">
        <f>IF(ISNUMBER('General Info'!$B$40), ((SamplingData[[#This Row],[up/U Selection Probability]]) * 'General Info'!$B$40) - 1, 0)</f>
        <v>120.16064186203808</v>
      </c>
      <c r="V1505" s="100">
        <f>IF(ISNUMBER('General Info'!$B$40), (SamplingData[[#This Row],[Running (cumulative) sum]] * ('General Info'!$B$40 -'General Info'!$B$41 + 1)) + 'General Info'!$B$41 - 1, 0)</f>
        <v>50482.370577710404</v>
      </c>
      <c r="W1505" s="100" t="str">
        <f>IF(ISERROR(MATCH(SamplingData[[#This Row],[Batch by Type (p)]],SelectedPrecincts[Batch Name], 0)), "", INDEX(SelectedPrecincts[Draw], MATCH(SamplingData[[#This Row],[Batch by Type (p)]],SelectedPrecincts[Batch Name], 0)))</f>
        <v/>
      </c>
      <c r="X1505" s="102">
        <f>IF(COUNTIF(SelectedPrecincts[Batch Name],SamplingData[[#This Row],[Batch by Type (p)]]) &lt;&gt; 0, COUNTIF(SelectedPrecincts[Batch Name],SamplingData[[#This Row],[Batch by Type (p)]]), 0)</f>
        <v>0</v>
      </c>
    </row>
    <row r="1506" spans="1:24" ht="15" customHeight="1">
      <c r="A1506" s="18" t="s">
        <v>1682</v>
      </c>
      <c r="B1506" s="18">
        <v>18</v>
      </c>
      <c r="C1506" s="18">
        <v>17</v>
      </c>
      <c r="D1506" s="18">
        <v>15</v>
      </c>
      <c r="E1506" s="18">
        <v>3</v>
      </c>
      <c r="F1506" s="18">
        <v>0</v>
      </c>
      <c r="G1506" s="18">
        <v>0</v>
      </c>
      <c r="H1506" s="18">
        <v>0</v>
      </c>
      <c r="I1506" s="18">
        <v>2</v>
      </c>
      <c r="J1506" s="99">
        <f>SUM(SamplingData[[#This Row],[Losing Candidate]:[Under Votes]])</f>
        <v>55</v>
      </c>
      <c r="K1506"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1506" s="100">
        <f>IF(AND(SamplingData[[#This Row],[Total]]&lt;&gt; 0, NOT(ISBLANK(SamplingData[[#This Row],[Candidate 3]]))),(SamplingData[[#This Row],[Total]]+SamplingData[[#This Row],[Winning Candidate]]-SamplingData[[#This Row],[Candidate 3]])/(SamplingData[[#Totals],[Winning Candidate]]-SamplingData[[#Totals],[Candidate 3]]), 0)</f>
        <v>1.8388876342871892E-3</v>
      </c>
      <c r="M1506" s="100">
        <f>IF(AND(SamplingData[[#This Row],[Total]]&lt;&gt; 0, NOT(ISBLANK(SamplingData[[#This Row],[Candidate 4]]))),(SamplingData[[#This Row],[Total]]+SamplingData[[#This Row],[Winning Candidate]]-SamplingData[[#This Row],[Candidate 4]])/(SamplingData[[#Totals],[Winning Candidate]]-SamplingData[[#Totals],[Candidate 4]]), 0)</f>
        <v>2.0170130667368238E-3</v>
      </c>
      <c r="N1506" s="100">
        <f>IF(AND(SamplingData[[#This Row],[Total]]&lt;&gt; 0, NOT(ISBLANK(SamplingData[[#This Row],[Candidate 5]]))),(SamplingData[[#This Row],[Total]]+SamplingData[[#This Row],[Winning Candidate]]-SamplingData[[#This Row],[Candidate 5]])/(SamplingData[[#Totals],[Winning Candidate]]-SamplingData[[#Totals],[Candidate 5]]), 0)</f>
        <v>1.7513986864509852E-3</v>
      </c>
      <c r="O1506" s="100">
        <f>IF(AND(SamplingData[[#This Row],[Total]]&lt;&gt; 0, NOT(ISBLANK(SamplingData[[#This Row],[Candidate 6]]))),(SamplingData[[#This Row],[Total]]+SamplingData[[#This Row],[Winning Candidate]]-SamplingData[[#This Row],[Candidate 6]])/(SamplingData[[#Totals],[Winning Candidate]]-SamplingData[[#Totals],[Candidate 6]]), 0)</f>
        <v>1.7508876027430573E-3</v>
      </c>
      <c r="P1506" s="100">
        <f>MAX(SamplingData[[#This Row],[Error Bound (up) - Max. possible relative overstatement - Losing Candidate]:[Error Bound (up) - Max. possible relative overstatement - Candidate 6]])</f>
        <v>3.3072023517883389E-3</v>
      </c>
      <c r="Q1506" s="100">
        <f>IF(SamplingData[[#This Row],[Max Error Bound (up)]] = 0,0,SamplingData[[#This Row],[Max Error Bound (up)]]/SamplingData[[#Totals],[Max Error Bound (up)]])</f>
        <v>5.2341920703607493E-4</v>
      </c>
      <c r="R1506" s="101">
        <f>SUM($Q$5:Q1506)</f>
        <v>0.50535712498414009</v>
      </c>
      <c r="S1506" s="100" t="str">
        <f t="array" ref="S1506">IF(SamplingData[[#This Row],[up/U Selection Probability]] = 0, "Zero", TEXT(SamplingData[[#This Row],[Lower Range]], REPT("0",LEN('General Info'!$B$40))) &amp; " - " &amp; TEXT(SamplingData[[#This Row],[Upper Range]], REPT("0",LEN('General Info'!$B$40))))</f>
        <v>50483 - 50535</v>
      </c>
      <c r="T1506" s="100">
        <f>SamplingData[[#This Row],[Upper Range]]-SamplingData[[#This Row],[Span]]</f>
        <v>50483.371101129611</v>
      </c>
      <c r="U1506" s="100">
        <f>IF(ISNUMBER('General Info'!$B$40), ((SamplingData[[#This Row],[up/U Selection Probability]]) * 'General Info'!$B$40) - 1, 0)</f>
        <v>51.341397284400458</v>
      </c>
      <c r="V1506" s="100">
        <f>IF(ISNUMBER('General Info'!$B$40), (SamplingData[[#This Row],[Running (cumulative) sum]] * ('General Info'!$B$40 -'General Info'!$B$41 + 1)) + 'General Info'!$B$41 - 1, 0)</f>
        <v>50534.71249841401</v>
      </c>
      <c r="W1506" s="100" t="str">
        <f>IF(ISERROR(MATCH(SamplingData[[#This Row],[Batch by Type (p)]],SelectedPrecincts[Batch Name], 0)), "", INDEX(SelectedPrecincts[Draw], MATCH(SamplingData[[#This Row],[Batch by Type (p)]],SelectedPrecincts[Batch Name], 0)))</f>
        <v/>
      </c>
      <c r="X1506" s="102">
        <f>IF(COUNTIF(SelectedPrecincts[Batch Name],SamplingData[[#This Row],[Batch by Type (p)]]) &lt;&gt; 0, COUNTIF(SelectedPrecincts[Batch Name],SamplingData[[#This Row],[Batch by Type (p)]]), 0)</f>
        <v>0</v>
      </c>
    </row>
    <row r="1507" spans="1:24" ht="15" customHeight="1">
      <c r="A1507" s="18" t="s">
        <v>1683</v>
      </c>
      <c r="B1507" s="18">
        <v>31</v>
      </c>
      <c r="C1507" s="18">
        <v>28</v>
      </c>
      <c r="D1507" s="16">
        <v>18</v>
      </c>
      <c r="E1507" s="16">
        <v>13</v>
      </c>
      <c r="F1507" s="37">
        <v>0</v>
      </c>
      <c r="G1507" s="37">
        <v>0</v>
      </c>
      <c r="H1507" s="17">
        <v>0</v>
      </c>
      <c r="I1507" s="17">
        <v>0</v>
      </c>
      <c r="J1507" s="99">
        <f>SUM(SamplingData[[#This Row],[Losing Candidate]:[Under Votes]])</f>
        <v>90</v>
      </c>
      <c r="K1507" s="100">
        <f>IF(AND(SamplingData[[#This Row],[Total]]&lt;&gt; 0, NOT(ISBLANK(SamplingData[[#This Row],[Losing Candidate]]))),(SamplingData[[#This Row],[Total]]+SamplingData[[#This Row],[Winning Candidate]]-SamplingData[[#This Row],[Losing Candidate]])/(SamplingData[[#Totals],[Winning Candidate]]-SamplingData[[#Totals],[Losing Candidate]]), 0)</f>
        <v>5.328270455658991E-3</v>
      </c>
      <c r="L1507" s="100">
        <f>IF(AND(SamplingData[[#This Row],[Total]]&lt;&gt; 0, NOT(ISBLANK(SamplingData[[#This Row],[Candidate 3]]))),(SamplingData[[#This Row],[Total]]+SamplingData[[#This Row],[Winning Candidate]]-SamplingData[[#This Row],[Candidate 3]])/(SamplingData[[#Totals],[Winning Candidate]]-SamplingData[[#Totals],[Candidate 3]]), 0)</f>
        <v>3.2261186566441913E-3</v>
      </c>
      <c r="M1507" s="100">
        <f>IF(AND(SamplingData[[#This Row],[Total]]&lt;&gt; 0, NOT(ISBLANK(SamplingData[[#This Row],[Candidate 4]]))),(SamplingData[[#This Row],[Total]]+SamplingData[[#This Row],[Winning Candidate]]-SamplingData[[#This Row],[Candidate 4]])/(SamplingData[[#Totals],[Winning Candidate]]-SamplingData[[#Totals],[Candidate 4]]), 0)</f>
        <v>3.0693677102516881E-3</v>
      </c>
      <c r="N1507" s="100">
        <f>IF(AND(SamplingData[[#This Row],[Total]]&lt;&gt; 0, NOT(ISBLANK(SamplingData[[#This Row],[Candidate 5]]))),(SamplingData[[#This Row],[Total]]+SamplingData[[#This Row],[Winning Candidate]]-SamplingData[[#This Row],[Candidate 5]])/(SamplingData[[#Totals],[Winning Candidate]]-SamplingData[[#Totals],[Candidate 5]]), 0)</f>
        <v>2.8703478472391145E-3</v>
      </c>
      <c r="O1507" s="100">
        <f>IF(AND(SamplingData[[#This Row],[Total]]&lt;&gt; 0, NOT(ISBLANK(SamplingData[[#This Row],[Candidate 6]]))),(SamplingData[[#This Row],[Total]]+SamplingData[[#This Row],[Winning Candidate]]-SamplingData[[#This Row],[Candidate 6]])/(SamplingData[[#Totals],[Winning Candidate]]-SamplingData[[#Totals],[Candidate 6]]), 0)</f>
        <v>2.8695102378288994E-3</v>
      </c>
      <c r="P1507" s="100">
        <f>MAX(SamplingData[[#This Row],[Error Bound (up) - Max. possible relative overstatement - Losing Candidate]:[Error Bound (up) - Max. possible relative overstatement - Candidate 6]])</f>
        <v>5.328270455658991E-3</v>
      </c>
      <c r="Q1507" s="100">
        <f>IF(SamplingData[[#This Row],[Max Error Bound (up)]] = 0,0,SamplingData[[#This Row],[Max Error Bound (up)]]/SamplingData[[#Totals],[Max Error Bound (up)]])</f>
        <v>8.4328650022478743E-4</v>
      </c>
      <c r="R1507" s="101">
        <f>SUM($Q$5:Q1507)</f>
        <v>0.5062004114843649</v>
      </c>
      <c r="S1507" s="100" t="str">
        <f t="array" ref="S1507">IF(SamplingData[[#This Row],[up/U Selection Probability]] = 0, "Zero", TEXT(SamplingData[[#This Row],[Lower Range]], REPT("0",LEN('General Info'!$B$40))) &amp; " - " &amp; TEXT(SamplingData[[#This Row],[Upper Range]], REPT("0",LEN('General Info'!$B$40))))</f>
        <v>50536 - 50619</v>
      </c>
      <c r="T1507" s="100">
        <f>SamplingData[[#This Row],[Upper Range]]-SamplingData[[#This Row],[Span]]</f>
        <v>50535.71334170051</v>
      </c>
      <c r="U1507" s="100">
        <f>IF(ISNUMBER('General Info'!$B$40), ((SamplingData[[#This Row],[up/U Selection Probability]]) * 'General Info'!$B$40) - 1, 0)</f>
        <v>83.327806735978513</v>
      </c>
      <c r="V1507" s="100">
        <f>IF(ISNUMBER('General Info'!$B$40), (SamplingData[[#This Row],[Running (cumulative) sum]] * ('General Info'!$B$40 -'General Info'!$B$41 + 1)) + 'General Info'!$B$41 - 1, 0)</f>
        <v>50619.041148436489</v>
      </c>
      <c r="W1507" s="100" t="str">
        <f>IF(ISERROR(MATCH(SamplingData[[#This Row],[Batch by Type (p)]],SelectedPrecincts[Batch Name], 0)), "", INDEX(SelectedPrecincts[Draw], MATCH(SamplingData[[#This Row],[Batch by Type (p)]],SelectedPrecincts[Batch Name], 0)))</f>
        <v/>
      </c>
      <c r="X1507" s="102">
        <f>IF(COUNTIF(SelectedPrecincts[Batch Name],SamplingData[[#This Row],[Batch by Type (p)]]) &lt;&gt; 0, COUNTIF(SelectedPrecincts[Batch Name],SamplingData[[#This Row],[Batch by Type (p)]]), 0)</f>
        <v>0</v>
      </c>
    </row>
    <row r="1508" spans="1:24" ht="15" customHeight="1">
      <c r="A1508" s="18" t="s">
        <v>1684</v>
      </c>
      <c r="B1508" s="18">
        <v>10</v>
      </c>
      <c r="C1508" s="18">
        <v>24</v>
      </c>
      <c r="D1508" s="18">
        <v>8</v>
      </c>
      <c r="E1508" s="18">
        <v>1</v>
      </c>
      <c r="F1508" s="18">
        <v>0</v>
      </c>
      <c r="G1508" s="18">
        <v>1</v>
      </c>
      <c r="H1508" s="18">
        <v>0</v>
      </c>
      <c r="I1508" s="18">
        <v>2</v>
      </c>
      <c r="J1508" s="99">
        <f>SUM(SamplingData[[#This Row],[Losing Candidate]:[Under Votes]])</f>
        <v>46</v>
      </c>
      <c r="K1508"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508" s="100">
        <f>IF(AND(SamplingData[[#This Row],[Total]]&lt;&gt; 0, NOT(ISBLANK(SamplingData[[#This Row],[Candidate 3]]))),(SamplingData[[#This Row],[Total]]+SamplingData[[#This Row],[Winning Candidate]]-SamplingData[[#This Row],[Candidate 3]])/(SamplingData[[#Totals],[Winning Candidate]]-SamplingData[[#Totals],[Candidate 3]]), 0)</f>
        <v>2.0001935671193987E-3</v>
      </c>
      <c r="M1508" s="100">
        <f>IF(AND(SamplingData[[#This Row],[Total]]&lt;&gt; 0, NOT(ISBLANK(SamplingData[[#This Row],[Candidate 4]]))),(SamplingData[[#This Row],[Total]]+SamplingData[[#This Row],[Winning Candidate]]-SamplingData[[#This Row],[Candidate 4]])/(SamplingData[[#Totals],[Winning Candidate]]-SamplingData[[#Totals],[Candidate 4]]), 0)</f>
        <v>2.0170130667368238E-3</v>
      </c>
      <c r="N1508" s="100">
        <f>IF(AND(SamplingData[[#This Row],[Total]]&lt;&gt; 0, NOT(ISBLANK(SamplingData[[#This Row],[Candidate 5]]))),(SamplingData[[#This Row],[Total]]+SamplingData[[#This Row],[Winning Candidate]]-SamplingData[[#This Row],[Candidate 5]])/(SamplingData[[#Totals],[Winning Candidate]]-SamplingData[[#Totals],[Candidate 5]]), 0)</f>
        <v>1.7027487229384578E-3</v>
      </c>
      <c r="O1508" s="100">
        <f>IF(AND(SamplingData[[#This Row],[Total]]&lt;&gt; 0, NOT(ISBLANK(SamplingData[[#This Row],[Candidate 6]]))),(SamplingData[[#This Row],[Total]]+SamplingData[[#This Row],[Winning Candidate]]-SamplingData[[#This Row],[Candidate 6]])/(SamplingData[[#Totals],[Winning Candidate]]-SamplingData[[#Totals],[Candidate 6]]), 0)</f>
        <v>1.6779339526287631E-3</v>
      </c>
      <c r="P1508" s="100">
        <f>MAX(SamplingData[[#This Row],[Error Bound (up) - Max. possible relative overstatement - Losing Candidate]:[Error Bound (up) - Max. possible relative overstatement - Candidate 6]])</f>
        <v>3.6746692797648213E-3</v>
      </c>
      <c r="Q1508" s="100">
        <f>IF(SamplingData[[#This Row],[Max Error Bound (up)]] = 0,0,SamplingData[[#This Row],[Max Error Bound (up)]]/SamplingData[[#Totals],[Max Error Bound (up)]])</f>
        <v>5.8157689670674997E-4</v>
      </c>
      <c r="R1508" s="101">
        <f>SUM($Q$5:Q1508)</f>
        <v>0.50678198838107169</v>
      </c>
      <c r="S1508" s="100" t="str">
        <f t="array" ref="S1508">IF(SamplingData[[#This Row],[up/U Selection Probability]] = 0, "Zero", TEXT(SamplingData[[#This Row],[Lower Range]], REPT("0",LEN('General Info'!$B$40))) &amp; " - " &amp; TEXT(SamplingData[[#This Row],[Upper Range]], REPT("0",LEN('General Info'!$B$40))))</f>
        <v>50620 - 50677</v>
      </c>
      <c r="T1508" s="100">
        <f>SamplingData[[#This Row],[Upper Range]]-SamplingData[[#This Row],[Span]]</f>
        <v>50620.041730013392</v>
      </c>
      <c r="U1508" s="100">
        <f>IF(ISNUMBER('General Info'!$B$40), ((SamplingData[[#This Row],[up/U Selection Probability]]) * 'General Info'!$B$40) - 1, 0)</f>
        <v>57.157108093778291</v>
      </c>
      <c r="V1508" s="100">
        <f>IF(ISNUMBER('General Info'!$B$40), (SamplingData[[#This Row],[Running (cumulative) sum]] * ('General Info'!$B$40 -'General Info'!$B$41 + 1)) + 'General Info'!$B$41 - 1, 0)</f>
        <v>50677.198838107171</v>
      </c>
      <c r="W1508" s="100" t="str">
        <f>IF(ISERROR(MATCH(SamplingData[[#This Row],[Batch by Type (p)]],SelectedPrecincts[Batch Name], 0)), "", INDEX(SelectedPrecincts[Draw], MATCH(SamplingData[[#This Row],[Batch by Type (p)]],SelectedPrecincts[Batch Name], 0)))</f>
        <v/>
      </c>
      <c r="X1508" s="102">
        <f>IF(COUNTIF(SelectedPrecincts[Batch Name],SamplingData[[#This Row],[Batch by Type (p)]]) &lt;&gt; 0, COUNTIF(SelectedPrecincts[Batch Name],SamplingData[[#This Row],[Batch by Type (p)]]), 0)</f>
        <v>0</v>
      </c>
    </row>
    <row r="1509" spans="1:24" ht="15" customHeight="1">
      <c r="A1509" s="18" t="s">
        <v>1685</v>
      </c>
      <c r="B1509" s="18">
        <v>49</v>
      </c>
      <c r="C1509" s="18">
        <v>55</v>
      </c>
      <c r="D1509" s="16">
        <v>12</v>
      </c>
      <c r="E1509" s="16">
        <v>12</v>
      </c>
      <c r="F1509" s="37">
        <v>1</v>
      </c>
      <c r="G1509" s="37">
        <v>1</v>
      </c>
      <c r="H1509" s="17">
        <v>0</v>
      </c>
      <c r="I1509" s="17">
        <v>0</v>
      </c>
      <c r="J1509" s="99">
        <f>SUM(SamplingData[[#This Row],[Losing Candidate]:[Under Votes]])</f>
        <v>130</v>
      </c>
      <c r="K1509" s="100">
        <f>IF(AND(SamplingData[[#This Row],[Total]]&lt;&gt; 0, NOT(ISBLANK(SamplingData[[#This Row],[Losing Candidate]]))),(SamplingData[[#This Row],[Total]]+SamplingData[[#This Row],[Winning Candidate]]-SamplingData[[#This Row],[Losing Candidate]])/(SamplingData[[#Totals],[Winning Candidate]]-SamplingData[[#Totals],[Losing Candidate]]), 0)</f>
        <v>8.3292503674669283E-3</v>
      </c>
      <c r="L1509" s="100">
        <f>IF(AND(SamplingData[[#This Row],[Total]]&lt;&gt; 0, NOT(ISBLANK(SamplingData[[#This Row],[Candidate 3]]))),(SamplingData[[#This Row],[Total]]+SamplingData[[#This Row],[Winning Candidate]]-SamplingData[[#This Row],[Candidate 3]])/(SamplingData[[#Totals],[Winning Candidate]]-SamplingData[[#Totals],[Candidate 3]]), 0)</f>
        <v>5.581185275994451E-3</v>
      </c>
      <c r="M1509" s="100">
        <f>IF(AND(SamplingData[[#This Row],[Total]]&lt;&gt; 0, NOT(ISBLANK(SamplingData[[#This Row],[Candidate 4]]))),(SamplingData[[#This Row],[Total]]+SamplingData[[#This Row],[Winning Candidate]]-SamplingData[[#This Row],[Candidate 4]])/(SamplingData[[#Totals],[Winning Candidate]]-SamplingData[[#Totals],[Candidate 4]]), 0)</f>
        <v>5.057148703557543E-3</v>
      </c>
      <c r="N1509" s="100">
        <f>IF(AND(SamplingData[[#This Row],[Total]]&lt;&gt; 0, NOT(ISBLANK(SamplingData[[#This Row],[Candidate 5]]))),(SamplingData[[#This Row],[Total]]+SamplingData[[#This Row],[Winning Candidate]]-SamplingData[[#This Row],[Candidate 5]])/(SamplingData[[#Totals],[Winning Candidate]]-SamplingData[[#Totals],[Candidate 5]]), 0)</f>
        <v>4.475796643152518E-3</v>
      </c>
      <c r="O1509" s="100">
        <f>IF(AND(SamplingData[[#This Row],[Total]]&lt;&gt; 0, NOT(ISBLANK(SamplingData[[#This Row],[Candidate 6]]))),(SamplingData[[#This Row],[Total]]+SamplingData[[#This Row],[Winning Candidate]]-SamplingData[[#This Row],[Candidate 6]])/(SamplingData[[#Totals],[Winning Candidate]]-SamplingData[[#Totals],[Candidate 6]]), 0)</f>
        <v>4.4744905403433684E-3</v>
      </c>
      <c r="P1509" s="100">
        <f>MAX(SamplingData[[#This Row],[Error Bound (up) - Max. possible relative overstatement - Losing Candidate]:[Error Bound (up) - Max. possible relative overstatement - Candidate 6]])</f>
        <v>8.3292503674669283E-3</v>
      </c>
      <c r="Q1509" s="100">
        <f>IF(SamplingData[[#This Row],[Max Error Bound (up)]] = 0,0,SamplingData[[#This Row],[Max Error Bound (up)]]/SamplingData[[#Totals],[Max Error Bound (up)]])</f>
        <v>1.3182409658686332E-3</v>
      </c>
      <c r="R1509" s="101">
        <f>SUM($Q$5:Q1509)</f>
        <v>0.50810022934694032</v>
      </c>
      <c r="S1509" s="100" t="str">
        <f t="array" ref="S1509">IF(SamplingData[[#This Row],[up/U Selection Probability]] = 0, "Zero", TEXT(SamplingData[[#This Row],[Lower Range]], REPT("0",LEN('General Info'!$B$40))) &amp; " - " &amp; TEXT(SamplingData[[#This Row],[Upper Range]], REPT("0",LEN('General Info'!$B$40))))</f>
        <v>50678 - 50809</v>
      </c>
      <c r="T1509" s="100">
        <f>SamplingData[[#This Row],[Upper Range]]-SamplingData[[#This Row],[Span]]</f>
        <v>50678.200156348132</v>
      </c>
      <c r="U1509" s="100">
        <f>IF(ISNUMBER('General Info'!$B$40), ((SamplingData[[#This Row],[up/U Selection Probability]]) * 'General Info'!$B$40) - 1, 0)</f>
        <v>130.82277834589743</v>
      </c>
      <c r="V1509" s="100">
        <f>IF(ISNUMBER('General Info'!$B$40), (SamplingData[[#This Row],[Running (cumulative) sum]] * ('General Info'!$B$40 -'General Info'!$B$41 + 1)) + 'General Info'!$B$41 - 1, 0)</f>
        <v>50809.022934694032</v>
      </c>
      <c r="W1509" s="100" t="str">
        <f>IF(ISERROR(MATCH(SamplingData[[#This Row],[Batch by Type (p)]],SelectedPrecincts[Batch Name], 0)), "", INDEX(SelectedPrecincts[Draw], MATCH(SamplingData[[#This Row],[Batch by Type (p)]],SelectedPrecincts[Batch Name], 0)))</f>
        <v/>
      </c>
      <c r="X1509" s="102">
        <f>IF(COUNTIF(SelectedPrecincts[Batch Name],SamplingData[[#This Row],[Batch by Type (p)]]) &lt;&gt; 0, COUNTIF(SelectedPrecincts[Batch Name],SamplingData[[#This Row],[Batch by Type (p)]]), 0)</f>
        <v>0</v>
      </c>
    </row>
    <row r="1510" spans="1:24" ht="15" customHeight="1">
      <c r="A1510" s="18" t="s">
        <v>1686</v>
      </c>
      <c r="B1510" s="18">
        <v>19</v>
      </c>
      <c r="C1510" s="18">
        <v>15</v>
      </c>
      <c r="D1510" s="18">
        <v>16</v>
      </c>
      <c r="E1510" s="18">
        <v>3</v>
      </c>
      <c r="F1510" s="18">
        <v>0</v>
      </c>
      <c r="G1510" s="18">
        <v>1</v>
      </c>
      <c r="H1510" s="18">
        <v>0</v>
      </c>
      <c r="I1510" s="18">
        <v>0</v>
      </c>
      <c r="J1510" s="99">
        <f>SUM(SamplingData[[#This Row],[Losing Candidate]:[Under Votes]])</f>
        <v>54</v>
      </c>
      <c r="K1510" s="100">
        <f>IF(AND(SamplingData[[#This Row],[Total]]&lt;&gt; 0, NOT(ISBLANK(SamplingData[[#This Row],[Losing Candidate]]))),(SamplingData[[#This Row],[Total]]+SamplingData[[#This Row],[Winning Candidate]]-SamplingData[[#This Row],[Losing Candidate]])/(SamplingData[[#Totals],[Winning Candidate]]-SamplingData[[#Totals],[Losing Candidate]]), 0)</f>
        <v>3.0622243998040177E-3</v>
      </c>
      <c r="L1510" s="100">
        <f>IF(AND(SamplingData[[#This Row],[Total]]&lt;&gt; 0, NOT(ISBLANK(SamplingData[[#This Row],[Candidate 3]]))),(SamplingData[[#This Row],[Total]]+SamplingData[[#This Row],[Winning Candidate]]-SamplingData[[#This Row],[Candidate 3]])/(SamplingData[[#Totals],[Winning Candidate]]-SamplingData[[#Totals],[Candidate 3]]), 0)</f>
        <v>1.7098428880214214E-3</v>
      </c>
      <c r="M1510" s="100">
        <f>IF(AND(SamplingData[[#This Row],[Total]]&lt;&gt; 0, NOT(ISBLANK(SamplingData[[#This Row],[Candidate 4]]))),(SamplingData[[#This Row],[Total]]+SamplingData[[#This Row],[Winning Candidate]]-SamplingData[[#This Row],[Candidate 4]])/(SamplingData[[#Totals],[Winning Candidate]]-SamplingData[[#Totals],[Candidate 4]]), 0)</f>
        <v>1.9293168464439184E-3</v>
      </c>
      <c r="N1510" s="100">
        <f>IF(AND(SamplingData[[#This Row],[Total]]&lt;&gt; 0, NOT(ISBLANK(SamplingData[[#This Row],[Candidate 5]]))),(SamplingData[[#This Row],[Total]]+SamplingData[[#This Row],[Winning Candidate]]-SamplingData[[#This Row],[Candidate 5]])/(SamplingData[[#Totals],[Winning Candidate]]-SamplingData[[#Totals],[Candidate 5]]), 0)</f>
        <v>1.678423741182194E-3</v>
      </c>
      <c r="O1510" s="100">
        <f>IF(AND(SamplingData[[#This Row],[Total]]&lt;&gt; 0, NOT(ISBLANK(SamplingData[[#This Row],[Candidate 6]]))),(SamplingData[[#This Row],[Total]]+SamplingData[[#This Row],[Winning Candidate]]-SamplingData[[#This Row],[Candidate 6]])/(SamplingData[[#Totals],[Winning Candidate]]-SamplingData[[#Totals],[Candidate 6]]), 0)</f>
        <v>1.6536160692573318E-3</v>
      </c>
      <c r="P1510" s="100">
        <f>MAX(SamplingData[[#This Row],[Error Bound (up) - Max. possible relative overstatement - Losing Candidate]:[Error Bound (up) - Max. possible relative overstatement - Candidate 6]])</f>
        <v>3.0622243998040177E-3</v>
      </c>
      <c r="Q1510" s="100">
        <f>IF(SamplingData[[#This Row],[Max Error Bound (up)]] = 0,0,SamplingData[[#This Row],[Max Error Bound (up)]]/SamplingData[[#Totals],[Max Error Bound (up)]])</f>
        <v>4.8464741392229157E-4</v>
      </c>
      <c r="R1510" s="101">
        <f>SUM($Q$5:Q1510)</f>
        <v>0.50858487676086261</v>
      </c>
      <c r="S1510" s="100" t="str">
        <f t="array" ref="S1510">IF(SamplingData[[#This Row],[up/U Selection Probability]] = 0, "Zero", TEXT(SamplingData[[#This Row],[Lower Range]], REPT("0",LEN('General Info'!$B$40))) &amp; " - " &amp; TEXT(SamplingData[[#This Row],[Upper Range]], REPT("0",LEN('General Info'!$B$40))))</f>
        <v>50810 - 50857</v>
      </c>
      <c r="T1510" s="100">
        <f>SamplingData[[#This Row],[Upper Range]]-SamplingData[[#This Row],[Span]]</f>
        <v>50810.023419341444</v>
      </c>
      <c r="U1510" s="100">
        <f>IF(ISNUMBER('General Info'!$B$40), ((SamplingData[[#This Row],[up/U Selection Probability]]) * 'General Info'!$B$40) - 1, 0)</f>
        <v>47.464256744815238</v>
      </c>
      <c r="V1510" s="100">
        <f>IF(ISNUMBER('General Info'!$B$40), (SamplingData[[#This Row],[Running (cumulative) sum]] * ('General Info'!$B$40 -'General Info'!$B$41 + 1)) + 'General Info'!$B$41 - 1, 0)</f>
        <v>50857.487676086261</v>
      </c>
      <c r="W1510" s="100" t="str">
        <f>IF(ISERROR(MATCH(SamplingData[[#This Row],[Batch by Type (p)]],SelectedPrecincts[Batch Name], 0)), "", INDEX(SelectedPrecincts[Draw], MATCH(SamplingData[[#This Row],[Batch by Type (p)]],SelectedPrecincts[Batch Name], 0)))</f>
        <v/>
      </c>
      <c r="X1510" s="102">
        <f>IF(COUNTIF(SelectedPrecincts[Batch Name],SamplingData[[#This Row],[Batch by Type (p)]]) &lt;&gt; 0, COUNTIF(SelectedPrecincts[Batch Name],SamplingData[[#This Row],[Batch by Type (p)]]), 0)</f>
        <v>0</v>
      </c>
    </row>
    <row r="1511" spans="1:24" ht="15" customHeight="1">
      <c r="A1511" s="18" t="s">
        <v>1687</v>
      </c>
      <c r="B1511" s="18">
        <v>4</v>
      </c>
      <c r="C1511" s="18">
        <v>11</v>
      </c>
      <c r="D1511" s="16">
        <v>5</v>
      </c>
      <c r="E1511" s="16">
        <v>1</v>
      </c>
      <c r="F1511" s="37">
        <v>0</v>
      </c>
      <c r="G1511" s="37">
        <v>0</v>
      </c>
      <c r="H1511" s="17">
        <v>0</v>
      </c>
      <c r="I1511" s="17">
        <v>0</v>
      </c>
      <c r="J1511" s="99">
        <f>SUM(SamplingData[[#This Row],[Losing Candidate]:[Under Votes]])</f>
        <v>21</v>
      </c>
      <c r="K1511"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511" s="100">
        <f>IF(AND(SamplingData[[#This Row],[Total]]&lt;&gt; 0, NOT(ISBLANK(SamplingData[[#This Row],[Candidate 3]]))),(SamplingData[[#This Row],[Total]]+SamplingData[[#This Row],[Winning Candidate]]-SamplingData[[#This Row],[Candidate 3]])/(SamplingData[[#Totals],[Winning Candidate]]-SamplingData[[#Totals],[Candidate 3]]), 0)</f>
        <v>8.710520372939317E-4</v>
      </c>
      <c r="M1511" s="100">
        <f>IF(AND(SamplingData[[#This Row],[Total]]&lt;&gt; 0, NOT(ISBLANK(SamplingData[[#This Row],[Candidate 4]]))),(SamplingData[[#This Row],[Total]]+SamplingData[[#This Row],[Winning Candidate]]-SamplingData[[#This Row],[Candidate 4]])/(SamplingData[[#Totals],[Winning Candidate]]-SamplingData[[#Totals],[Candidate 4]]), 0)</f>
        <v>9.0619427636002225E-4</v>
      </c>
      <c r="N1511" s="100">
        <f>IF(AND(SamplingData[[#This Row],[Total]]&lt;&gt; 0, NOT(ISBLANK(SamplingData[[#This Row],[Candidate 5]]))),(SamplingData[[#This Row],[Total]]+SamplingData[[#This Row],[Winning Candidate]]-SamplingData[[#This Row],[Candidate 5]])/(SamplingData[[#Totals],[Winning Candidate]]-SamplingData[[#Totals],[Candidate 5]]), 0)</f>
        <v>7.7839941620043787E-4</v>
      </c>
      <c r="O1511" s="100">
        <f>IF(AND(SamplingData[[#This Row],[Total]]&lt;&gt; 0, NOT(ISBLANK(SamplingData[[#This Row],[Candidate 6]]))),(SamplingData[[#This Row],[Total]]+SamplingData[[#This Row],[Winning Candidate]]-SamplingData[[#This Row],[Candidate 6]])/(SamplingData[[#Totals],[Winning Candidate]]-SamplingData[[#Totals],[Candidate 6]]), 0)</f>
        <v>7.7817226788580321E-4</v>
      </c>
      <c r="P1511" s="100">
        <f>MAX(SamplingData[[#This Row],[Error Bound (up) - Max. possible relative overstatement - Losing Candidate]:[Error Bound (up) - Max. possible relative overstatement - Candidate 6]])</f>
        <v>1.7148456638902498E-3</v>
      </c>
      <c r="Q1511" s="100">
        <f>IF(SamplingData[[#This Row],[Max Error Bound (up)]] = 0,0,SamplingData[[#This Row],[Max Error Bound (up)]]/SamplingData[[#Totals],[Max Error Bound (up)]])</f>
        <v>2.714025517964833E-4</v>
      </c>
      <c r="R1511" s="101">
        <f>SUM($Q$5:Q1511)</f>
        <v>0.50885627931265909</v>
      </c>
      <c r="S1511" s="100" t="str">
        <f t="array" ref="S1511">IF(SamplingData[[#This Row],[up/U Selection Probability]] = 0, "Zero", TEXT(SamplingData[[#This Row],[Lower Range]], REPT("0",LEN('General Info'!$B$40))) &amp; " - " &amp; TEXT(SamplingData[[#This Row],[Upper Range]], REPT("0",LEN('General Info'!$B$40))))</f>
        <v>50858 - 50885</v>
      </c>
      <c r="T1511" s="100">
        <f>SamplingData[[#This Row],[Upper Range]]-SamplingData[[#This Row],[Span]]</f>
        <v>50858.487947488815</v>
      </c>
      <c r="U1511" s="100">
        <f>IF(ISNUMBER('General Info'!$B$40), ((SamplingData[[#This Row],[up/U Selection Probability]]) * 'General Info'!$B$40) - 1, 0)</f>
        <v>26.139983777096536</v>
      </c>
      <c r="V1511" s="100">
        <f>IF(ISNUMBER('General Info'!$B$40), (SamplingData[[#This Row],[Running (cumulative) sum]] * ('General Info'!$B$40 -'General Info'!$B$41 + 1)) + 'General Info'!$B$41 - 1, 0)</f>
        <v>50884.62793126591</v>
      </c>
      <c r="W1511" s="100" t="str">
        <f>IF(ISERROR(MATCH(SamplingData[[#This Row],[Batch by Type (p)]],SelectedPrecincts[Batch Name], 0)), "", INDEX(SelectedPrecincts[Draw], MATCH(SamplingData[[#This Row],[Batch by Type (p)]],SelectedPrecincts[Batch Name], 0)))</f>
        <v/>
      </c>
      <c r="X1511" s="102">
        <f>IF(COUNTIF(SelectedPrecincts[Batch Name],SamplingData[[#This Row],[Batch by Type (p)]]) &lt;&gt; 0, COUNTIF(SelectedPrecincts[Batch Name],SamplingData[[#This Row],[Batch by Type (p)]]), 0)</f>
        <v>0</v>
      </c>
    </row>
    <row r="1512" spans="1:24" ht="15" customHeight="1">
      <c r="A1512" s="18" t="s">
        <v>1688</v>
      </c>
      <c r="B1512" s="18">
        <v>3</v>
      </c>
      <c r="C1512" s="18">
        <v>18</v>
      </c>
      <c r="D1512" s="18">
        <v>1</v>
      </c>
      <c r="E1512" s="18">
        <v>2</v>
      </c>
      <c r="F1512" s="18">
        <v>1</v>
      </c>
      <c r="G1512" s="18">
        <v>0</v>
      </c>
      <c r="H1512" s="18">
        <v>0</v>
      </c>
      <c r="I1512" s="18">
        <v>1</v>
      </c>
      <c r="J1512" s="99">
        <f>SUM(SamplingData[[#This Row],[Losing Candidate]:[Under Votes]])</f>
        <v>26</v>
      </c>
      <c r="K1512" s="100">
        <f>IF(AND(SamplingData[[#This Row],[Total]]&lt;&gt; 0, NOT(ISBLANK(SamplingData[[#This Row],[Losing Candidate]]))),(SamplingData[[#This Row],[Total]]+SamplingData[[#This Row],[Winning Candidate]]-SamplingData[[#This Row],[Losing Candidate]])/(SamplingData[[#Totals],[Winning Candidate]]-SamplingData[[#Totals],[Losing Candidate]]), 0)</f>
        <v>2.5110240078392945E-3</v>
      </c>
      <c r="L1512" s="100">
        <f>IF(AND(SamplingData[[#This Row],[Total]]&lt;&gt; 0, NOT(ISBLANK(SamplingData[[#This Row],[Candidate 3]]))),(SamplingData[[#This Row],[Total]]+SamplingData[[#This Row],[Winning Candidate]]-SamplingData[[#This Row],[Candidate 3]])/(SamplingData[[#Totals],[Winning Candidate]]-SamplingData[[#Totals],[Candidate 3]]), 0)</f>
        <v>1.3872310223570024E-3</v>
      </c>
      <c r="M1512" s="100">
        <f>IF(AND(SamplingData[[#This Row],[Total]]&lt;&gt; 0, NOT(ISBLANK(SamplingData[[#This Row],[Candidate 4]]))),(SamplingData[[#This Row],[Total]]+SamplingData[[#This Row],[Winning Candidate]]-SamplingData[[#This Row],[Candidate 4]])/(SamplingData[[#Totals],[Winning Candidate]]-SamplingData[[#Totals],[Candidate 4]]), 0)</f>
        <v>1.2277470841006752E-3</v>
      </c>
      <c r="N1512" s="100">
        <f>IF(AND(SamplingData[[#This Row],[Total]]&lt;&gt; 0, NOT(ISBLANK(SamplingData[[#This Row],[Candidate 5]]))),(SamplingData[[#This Row],[Total]]+SamplingData[[#This Row],[Winning Candidate]]-SamplingData[[#This Row],[Candidate 5]])/(SamplingData[[#Totals],[Winning Candidate]]-SamplingData[[#Totals],[Candidate 5]]), 0)</f>
        <v>1.0459742155193383E-3</v>
      </c>
      <c r="O1512" s="100">
        <f>IF(AND(SamplingData[[#This Row],[Total]]&lt;&gt; 0, NOT(ISBLANK(SamplingData[[#This Row],[Candidate 6]]))),(SamplingData[[#This Row],[Total]]+SamplingData[[#This Row],[Winning Candidate]]-SamplingData[[#This Row],[Candidate 6]])/(SamplingData[[#Totals],[Winning Candidate]]-SamplingData[[#Totals],[Candidate 6]]), 0)</f>
        <v>1.0699868683429793E-3</v>
      </c>
      <c r="P1512" s="100">
        <f>MAX(SamplingData[[#This Row],[Error Bound (up) - Max. possible relative overstatement - Losing Candidate]:[Error Bound (up) - Max. possible relative overstatement - Candidate 6]])</f>
        <v>2.5110240078392945E-3</v>
      </c>
      <c r="Q1512" s="100">
        <f>IF(SamplingData[[#This Row],[Max Error Bound (up)]] = 0,0,SamplingData[[#This Row],[Max Error Bound (up)]]/SamplingData[[#Totals],[Max Error Bound (up)]])</f>
        <v>3.9741087941627912E-4</v>
      </c>
      <c r="R1512" s="101">
        <f>SUM($Q$5:Q1512)</f>
        <v>0.50925369019207534</v>
      </c>
      <c r="S1512" s="100" t="str">
        <f t="array" ref="S1512">IF(SamplingData[[#This Row],[up/U Selection Probability]] = 0, "Zero", TEXT(SamplingData[[#This Row],[Lower Range]], REPT("0",LEN('General Info'!$B$40))) &amp; " - " &amp; TEXT(SamplingData[[#This Row],[Upper Range]], REPT("0",LEN('General Info'!$B$40))))</f>
        <v>50886 - 50924</v>
      </c>
      <c r="T1512" s="100">
        <f>SamplingData[[#This Row],[Upper Range]]-SamplingData[[#This Row],[Span]]</f>
        <v>50885.628328676779</v>
      </c>
      <c r="U1512" s="100">
        <f>IF(ISNUMBER('General Info'!$B$40), ((SamplingData[[#This Row],[up/U Selection Probability]]) * 'General Info'!$B$40) - 1, 0)</f>
        <v>38.740690530748495</v>
      </c>
      <c r="V1512" s="100">
        <f>IF(ISNUMBER('General Info'!$B$40), (SamplingData[[#This Row],[Running (cumulative) sum]] * ('General Info'!$B$40 -'General Info'!$B$41 + 1)) + 'General Info'!$B$41 - 1, 0)</f>
        <v>50924.36901920753</v>
      </c>
      <c r="W1512" s="100" t="str">
        <f>IF(ISERROR(MATCH(SamplingData[[#This Row],[Batch by Type (p)]],SelectedPrecincts[Batch Name], 0)), "", INDEX(SelectedPrecincts[Draw], MATCH(SamplingData[[#This Row],[Batch by Type (p)]],SelectedPrecincts[Batch Name], 0)))</f>
        <v/>
      </c>
      <c r="X1512" s="102">
        <f>IF(COUNTIF(SelectedPrecincts[Batch Name],SamplingData[[#This Row],[Batch by Type (p)]]) &lt;&gt; 0, COUNTIF(SelectedPrecincts[Batch Name],SamplingData[[#This Row],[Batch by Type (p)]]), 0)</f>
        <v>0</v>
      </c>
    </row>
    <row r="1513" spans="1:24" ht="15" customHeight="1">
      <c r="A1513" s="18" t="s">
        <v>1689</v>
      </c>
      <c r="B1513" s="18">
        <v>28</v>
      </c>
      <c r="C1513" s="18">
        <v>49</v>
      </c>
      <c r="D1513" s="16">
        <v>11</v>
      </c>
      <c r="E1513" s="16">
        <v>9</v>
      </c>
      <c r="F1513" s="37">
        <v>0</v>
      </c>
      <c r="G1513" s="37">
        <v>0</v>
      </c>
      <c r="H1513" s="17">
        <v>0</v>
      </c>
      <c r="I1513" s="17">
        <v>1</v>
      </c>
      <c r="J1513" s="99">
        <f>SUM(SamplingData[[#This Row],[Losing Candidate]:[Under Votes]])</f>
        <v>98</v>
      </c>
      <c r="K1513" s="100">
        <f>IF(AND(SamplingData[[#This Row],[Total]]&lt;&gt; 0, NOT(ISBLANK(SamplingData[[#This Row],[Losing Candidate]]))),(SamplingData[[#This Row],[Total]]+SamplingData[[#This Row],[Winning Candidate]]-SamplingData[[#This Row],[Losing Candidate]])/(SamplingData[[#Totals],[Winning Candidate]]-SamplingData[[#Totals],[Losing Candidate]]), 0)</f>
        <v>7.2880940715335622E-3</v>
      </c>
      <c r="L1513" s="100">
        <f>IF(AND(SamplingData[[#This Row],[Total]]&lt;&gt; 0, NOT(ISBLANK(SamplingData[[#This Row],[Candidate 3]]))),(SamplingData[[#This Row],[Total]]+SamplingData[[#This Row],[Winning Candidate]]-SamplingData[[#This Row],[Candidate 3]])/(SamplingData[[#Totals],[Winning Candidate]]-SamplingData[[#Totals],[Candidate 3]]), 0)</f>
        <v>4.3875213730361004E-3</v>
      </c>
      <c r="M1513" s="100">
        <f>IF(AND(SamplingData[[#This Row],[Total]]&lt;&gt; 0, NOT(ISBLANK(SamplingData[[#This Row],[Candidate 4]]))),(SamplingData[[#This Row],[Total]]+SamplingData[[#This Row],[Winning Candidate]]-SamplingData[[#This Row],[Candidate 4]])/(SamplingData[[#Totals],[Winning Candidate]]-SamplingData[[#Totals],[Candidate 4]]), 0)</f>
        <v>4.0340261334736475E-3</v>
      </c>
      <c r="N1513" s="100">
        <f>IF(AND(SamplingData[[#This Row],[Total]]&lt;&gt; 0, NOT(ISBLANK(SamplingData[[#This Row],[Candidate 5]]))),(SamplingData[[#This Row],[Total]]+SamplingData[[#This Row],[Winning Candidate]]-SamplingData[[#This Row],[Candidate 5]])/(SamplingData[[#Totals],[Winning Candidate]]-SamplingData[[#Totals],[Candidate 5]]), 0)</f>
        <v>3.5757723181707615E-3</v>
      </c>
      <c r="O1513" s="100">
        <f>IF(AND(SamplingData[[#This Row],[Total]]&lt;&gt; 0, NOT(ISBLANK(SamplingData[[#This Row],[Candidate 6]]))),(SamplingData[[#This Row],[Total]]+SamplingData[[#This Row],[Winning Candidate]]-SamplingData[[#This Row],[Candidate 6]])/(SamplingData[[#Totals],[Winning Candidate]]-SamplingData[[#Totals],[Candidate 6]]), 0)</f>
        <v>3.5747288556004083E-3</v>
      </c>
      <c r="P1513" s="100">
        <f>MAX(SamplingData[[#This Row],[Error Bound (up) - Max. possible relative overstatement - Losing Candidate]:[Error Bound (up) - Max. possible relative overstatement - Candidate 6]])</f>
        <v>7.2880940715335622E-3</v>
      </c>
      <c r="Q1513" s="100">
        <f>IF(SamplingData[[#This Row],[Max Error Bound (up)]] = 0,0,SamplingData[[#This Row],[Max Error Bound (up)]]/SamplingData[[#Totals],[Max Error Bound (up)]])</f>
        <v>1.153460845135054E-3</v>
      </c>
      <c r="R1513" s="101">
        <f>SUM($Q$5:Q1513)</f>
        <v>0.51040715103721035</v>
      </c>
      <c r="S1513" s="100" t="str">
        <f t="array" ref="S1513">IF(SamplingData[[#This Row],[up/U Selection Probability]] = 0, "Zero", TEXT(SamplingData[[#This Row],[Lower Range]], REPT("0",LEN('General Info'!$B$40))) &amp; " - " &amp; TEXT(SamplingData[[#This Row],[Upper Range]], REPT("0",LEN('General Info'!$B$40))))</f>
        <v>50925 - 51040</v>
      </c>
      <c r="T1513" s="100">
        <f>SamplingData[[#This Row],[Upper Range]]-SamplingData[[#This Row],[Span]]</f>
        <v>50925.370172668372</v>
      </c>
      <c r="U1513" s="100">
        <f>IF(ISNUMBER('General Info'!$B$40), ((SamplingData[[#This Row],[up/U Selection Probability]]) * 'General Info'!$B$40) - 1, 0)</f>
        <v>114.34493105266026</v>
      </c>
      <c r="V1513" s="100">
        <f>IF(ISNUMBER('General Info'!$B$40), (SamplingData[[#This Row],[Running (cumulative) sum]] * ('General Info'!$B$40 -'General Info'!$B$41 + 1)) + 'General Info'!$B$41 - 1, 0)</f>
        <v>51039.715103721035</v>
      </c>
      <c r="W1513" s="100" t="str">
        <f>IF(ISERROR(MATCH(SamplingData[[#This Row],[Batch by Type (p)]],SelectedPrecincts[Batch Name], 0)), "", INDEX(SelectedPrecincts[Draw], MATCH(SamplingData[[#This Row],[Batch by Type (p)]],SelectedPrecincts[Batch Name], 0)))</f>
        <v/>
      </c>
      <c r="X1513" s="102">
        <f>IF(COUNTIF(SelectedPrecincts[Batch Name],SamplingData[[#This Row],[Batch by Type (p)]]) &lt;&gt; 0, COUNTIF(SelectedPrecincts[Batch Name],SamplingData[[#This Row],[Batch by Type (p)]]), 0)</f>
        <v>0</v>
      </c>
    </row>
    <row r="1514" spans="1:24" ht="15" customHeight="1">
      <c r="A1514" s="18" t="s">
        <v>1690</v>
      </c>
      <c r="B1514" s="18">
        <v>24</v>
      </c>
      <c r="C1514" s="18">
        <v>32</v>
      </c>
      <c r="D1514" s="18">
        <v>8</v>
      </c>
      <c r="E1514" s="18">
        <v>2</v>
      </c>
      <c r="F1514" s="18">
        <v>2</v>
      </c>
      <c r="G1514" s="18">
        <v>1</v>
      </c>
      <c r="H1514" s="18">
        <v>0</v>
      </c>
      <c r="I1514" s="18">
        <v>0</v>
      </c>
      <c r="J1514" s="99">
        <f>SUM(SamplingData[[#This Row],[Losing Candidate]:[Under Votes]])</f>
        <v>69</v>
      </c>
      <c r="K1514" s="100">
        <f>IF(AND(SamplingData[[#This Row],[Total]]&lt;&gt; 0, NOT(ISBLANK(SamplingData[[#This Row],[Losing Candidate]]))),(SamplingData[[#This Row],[Total]]+SamplingData[[#This Row],[Winning Candidate]]-SamplingData[[#This Row],[Losing Candidate]])/(SamplingData[[#Totals],[Winning Candidate]]-SamplingData[[#Totals],[Losing Candidate]]), 0)</f>
        <v>4.7158255756981869E-3</v>
      </c>
      <c r="L1514" s="100">
        <f>IF(AND(SamplingData[[#This Row],[Total]]&lt;&gt; 0, NOT(ISBLANK(SamplingData[[#This Row],[Candidate 3]]))),(SamplingData[[#This Row],[Total]]+SamplingData[[#This Row],[Winning Candidate]]-SamplingData[[#This Row],[Candidate 3]])/(SamplingData[[#Totals],[Winning Candidate]]-SamplingData[[#Totals],[Candidate 3]]), 0)</f>
        <v>3.0002903506790978E-3</v>
      </c>
      <c r="M1514" s="100">
        <f>IF(AND(SamplingData[[#This Row],[Total]]&lt;&gt; 0, NOT(ISBLANK(SamplingData[[#This Row],[Candidate 4]]))),(SamplingData[[#This Row],[Total]]+SamplingData[[#This Row],[Winning Candidate]]-SamplingData[[#This Row],[Candidate 4]])/(SamplingData[[#Totals],[Winning Candidate]]-SamplingData[[#Totals],[Candidate 4]]), 0)</f>
        <v>2.8939752696658773E-3</v>
      </c>
      <c r="N1514" s="100">
        <f>IF(AND(SamplingData[[#This Row],[Total]]&lt;&gt; 0, NOT(ISBLANK(SamplingData[[#This Row],[Candidate 5]]))),(SamplingData[[#This Row],[Total]]+SamplingData[[#This Row],[Winning Candidate]]-SamplingData[[#This Row],[Candidate 5]])/(SamplingData[[#Totals],[Winning Candidate]]-SamplingData[[#Totals],[Candidate 5]]), 0)</f>
        <v>2.4081731938701044E-3</v>
      </c>
      <c r="O1514" s="100">
        <f>IF(AND(SamplingData[[#This Row],[Total]]&lt;&gt; 0, NOT(ISBLANK(SamplingData[[#This Row],[Candidate 6]]))),(SamplingData[[#This Row],[Total]]+SamplingData[[#This Row],[Winning Candidate]]-SamplingData[[#This Row],[Candidate 6]])/(SamplingData[[#Totals],[Winning Candidate]]-SamplingData[[#Totals],[Candidate 6]]), 0)</f>
        <v>2.4317883371431349E-3</v>
      </c>
      <c r="P1514" s="100">
        <f>MAX(SamplingData[[#This Row],[Error Bound (up) - Max. possible relative overstatement - Losing Candidate]:[Error Bound (up) - Max. possible relative overstatement - Candidate 6]])</f>
        <v>4.7158255756981869E-3</v>
      </c>
      <c r="Q1514" s="100">
        <f>IF(SamplingData[[#This Row],[Max Error Bound (up)]] = 0,0,SamplingData[[#This Row],[Max Error Bound (up)]]/SamplingData[[#Totals],[Max Error Bound (up)]])</f>
        <v>7.4635701744032903E-4</v>
      </c>
      <c r="R1514" s="101">
        <f>SUM($Q$5:Q1514)</f>
        <v>0.51115350805465065</v>
      </c>
      <c r="S1514" s="100" t="str">
        <f t="array" ref="S1514">IF(SamplingData[[#This Row],[up/U Selection Probability]] = 0, "Zero", TEXT(SamplingData[[#This Row],[Lower Range]], REPT("0",LEN('General Info'!$B$40))) &amp; " - " &amp; TEXT(SamplingData[[#This Row],[Upper Range]], REPT("0",LEN('General Info'!$B$40))))</f>
        <v>51041 - 51114</v>
      </c>
      <c r="T1514" s="100">
        <f>SamplingData[[#This Row],[Upper Range]]-SamplingData[[#This Row],[Span]]</f>
        <v>51040.71585007805</v>
      </c>
      <c r="U1514" s="100">
        <f>IF(ISNUMBER('General Info'!$B$40), ((SamplingData[[#This Row],[up/U Selection Probability]]) * 'General Info'!$B$40) - 1, 0)</f>
        <v>73.634955387015466</v>
      </c>
      <c r="V1514" s="100">
        <f>IF(ISNUMBER('General Info'!$B$40), (SamplingData[[#This Row],[Running (cumulative) sum]] * ('General Info'!$B$40 -'General Info'!$B$41 + 1)) + 'General Info'!$B$41 - 1, 0)</f>
        <v>51114.350805465067</v>
      </c>
      <c r="W1514" s="100" t="str">
        <f>IF(ISERROR(MATCH(SamplingData[[#This Row],[Batch by Type (p)]],SelectedPrecincts[Batch Name], 0)), "", INDEX(SelectedPrecincts[Draw], MATCH(SamplingData[[#This Row],[Batch by Type (p)]],SelectedPrecincts[Batch Name], 0)))</f>
        <v/>
      </c>
      <c r="X1514" s="102">
        <f>IF(COUNTIF(SelectedPrecincts[Batch Name],SamplingData[[#This Row],[Batch by Type (p)]]) &lt;&gt; 0, COUNTIF(SelectedPrecincts[Batch Name],SamplingData[[#This Row],[Batch by Type (p)]]), 0)</f>
        <v>0</v>
      </c>
    </row>
    <row r="1515" spans="1:24" ht="15" customHeight="1">
      <c r="A1515" s="18" t="s">
        <v>1691</v>
      </c>
      <c r="B1515" s="18">
        <v>40</v>
      </c>
      <c r="C1515" s="18">
        <v>53</v>
      </c>
      <c r="D1515" s="16">
        <v>17</v>
      </c>
      <c r="E1515" s="16">
        <v>5</v>
      </c>
      <c r="F1515" s="37">
        <v>0</v>
      </c>
      <c r="G1515" s="37">
        <v>0</v>
      </c>
      <c r="H1515" s="17">
        <v>0</v>
      </c>
      <c r="I1515" s="17">
        <v>0</v>
      </c>
      <c r="J1515" s="99">
        <f>SUM(SamplingData[[#This Row],[Losing Candidate]:[Under Votes]])</f>
        <v>115</v>
      </c>
      <c r="K1515" s="100">
        <f>IF(AND(SamplingData[[#This Row],[Total]]&lt;&gt; 0, NOT(ISBLANK(SamplingData[[#This Row],[Losing Candidate]]))),(SamplingData[[#This Row],[Total]]+SamplingData[[#This Row],[Winning Candidate]]-SamplingData[[#This Row],[Losing Candidate]])/(SamplingData[[#Totals],[Winning Candidate]]-SamplingData[[#Totals],[Losing Candidate]]), 0)</f>
        <v>7.839294463498285E-3</v>
      </c>
      <c r="L1515" s="100">
        <f>IF(AND(SamplingData[[#This Row],[Total]]&lt;&gt; 0, NOT(ISBLANK(SamplingData[[#This Row],[Candidate 3]]))),(SamplingData[[#This Row],[Total]]+SamplingData[[#This Row],[Winning Candidate]]-SamplingData[[#This Row],[Candidate 3]])/(SamplingData[[#Totals],[Winning Candidate]]-SamplingData[[#Totals],[Candidate 3]]), 0)</f>
        <v>4.871439171532729E-3</v>
      </c>
      <c r="M1515" s="100">
        <f>IF(AND(SamplingData[[#This Row],[Total]]&lt;&gt; 0, NOT(ISBLANK(SamplingData[[#This Row],[Candidate 4]]))),(SamplingData[[#This Row],[Total]]+SamplingData[[#This Row],[Winning Candidate]]-SamplingData[[#This Row],[Candidate 4]])/(SamplingData[[#Totals],[Winning Candidate]]-SamplingData[[#Totals],[Candidate 4]]), 0)</f>
        <v>4.7648279692478592E-3</v>
      </c>
      <c r="N1515" s="100">
        <f>IF(AND(SamplingData[[#This Row],[Total]]&lt;&gt; 0, NOT(ISBLANK(SamplingData[[#This Row],[Candidate 5]]))),(SamplingData[[#This Row],[Total]]+SamplingData[[#This Row],[Winning Candidate]]-SamplingData[[#This Row],[Candidate 5]])/(SamplingData[[#Totals],[Winning Candidate]]-SamplingData[[#Totals],[Candidate 5]]), 0)</f>
        <v>4.0865969350522991E-3</v>
      </c>
      <c r="O1515" s="100">
        <f>IF(AND(SamplingData[[#This Row],[Total]]&lt;&gt; 0, NOT(ISBLANK(SamplingData[[#This Row],[Candidate 6]]))),(SamplingData[[#This Row],[Total]]+SamplingData[[#This Row],[Winning Candidate]]-SamplingData[[#This Row],[Candidate 6]])/(SamplingData[[#Totals],[Winning Candidate]]-SamplingData[[#Totals],[Candidate 6]]), 0)</f>
        <v>4.085404406400467E-3</v>
      </c>
      <c r="P1515" s="100">
        <f>MAX(SamplingData[[#This Row],[Error Bound (up) - Max. possible relative overstatement - Losing Candidate]:[Error Bound (up) - Max. possible relative overstatement - Candidate 6]])</f>
        <v>7.839294463498285E-3</v>
      </c>
      <c r="Q1515" s="100">
        <f>IF(SamplingData[[#This Row],[Max Error Bound (up)]] = 0,0,SamplingData[[#This Row],[Max Error Bound (up)]]/SamplingData[[#Totals],[Max Error Bound (up)]])</f>
        <v>1.2406973796410664E-3</v>
      </c>
      <c r="R1515" s="101">
        <f>SUM($Q$5:Q1515)</f>
        <v>0.51239420543429171</v>
      </c>
      <c r="S1515" s="100" t="str">
        <f t="array" ref="S1515">IF(SamplingData[[#This Row],[up/U Selection Probability]] = 0, "Zero", TEXT(SamplingData[[#This Row],[Lower Range]], REPT("0",LEN('General Info'!$B$40))) &amp; " - " &amp; TEXT(SamplingData[[#This Row],[Upper Range]], REPT("0",LEN('General Info'!$B$40))))</f>
        <v>51115 - 51238</v>
      </c>
      <c r="T1515" s="100">
        <f>SamplingData[[#This Row],[Upper Range]]-SamplingData[[#This Row],[Span]]</f>
        <v>51115.352046162443</v>
      </c>
      <c r="U1515" s="100">
        <f>IF(ISNUMBER('General Info'!$B$40), ((SamplingData[[#This Row],[up/U Selection Probability]]) * 'General Info'!$B$40) - 1, 0)</f>
        <v>123.06849726672701</v>
      </c>
      <c r="V1515" s="100">
        <f>IF(ISNUMBER('General Info'!$B$40), (SamplingData[[#This Row],[Running (cumulative) sum]] * ('General Info'!$B$40 -'General Info'!$B$41 + 1)) + 'General Info'!$B$41 - 1, 0)</f>
        <v>51238.420543429173</v>
      </c>
      <c r="W1515" s="100" t="str">
        <f>IF(ISERROR(MATCH(SamplingData[[#This Row],[Batch by Type (p)]],SelectedPrecincts[Batch Name], 0)), "", INDEX(SelectedPrecincts[Draw], MATCH(SamplingData[[#This Row],[Batch by Type (p)]],SelectedPrecincts[Batch Name], 0)))</f>
        <v/>
      </c>
      <c r="X1515" s="102">
        <f>IF(COUNTIF(SelectedPrecincts[Batch Name],SamplingData[[#This Row],[Batch by Type (p)]]) &lt;&gt; 0, COUNTIF(SelectedPrecincts[Batch Name],SamplingData[[#This Row],[Batch by Type (p)]]), 0)</f>
        <v>0</v>
      </c>
    </row>
    <row r="1516" spans="1:24" ht="15" customHeight="1">
      <c r="A1516" s="18" t="s">
        <v>1692</v>
      </c>
      <c r="B1516" s="18">
        <v>15</v>
      </c>
      <c r="C1516" s="18">
        <v>13</v>
      </c>
      <c r="D1516" s="18">
        <v>8</v>
      </c>
      <c r="E1516" s="18">
        <v>2</v>
      </c>
      <c r="F1516" s="18">
        <v>1</v>
      </c>
      <c r="G1516" s="18">
        <v>0</v>
      </c>
      <c r="H1516" s="18">
        <v>0</v>
      </c>
      <c r="I1516" s="18">
        <v>0</v>
      </c>
      <c r="J1516" s="99">
        <f>SUM(SamplingData[[#This Row],[Losing Candidate]:[Under Votes]])</f>
        <v>39</v>
      </c>
      <c r="K1516" s="100">
        <f>IF(AND(SamplingData[[#This Row],[Total]]&lt;&gt; 0, NOT(ISBLANK(SamplingData[[#This Row],[Losing Candidate]]))),(SamplingData[[#This Row],[Total]]+SamplingData[[#This Row],[Winning Candidate]]-SamplingData[[#This Row],[Losing Candidate]])/(SamplingData[[#Totals],[Winning Candidate]]-SamplingData[[#Totals],[Losing Candidate]]), 0)</f>
        <v>2.2660460558549728E-3</v>
      </c>
      <c r="L1516" s="100">
        <f>IF(AND(SamplingData[[#This Row],[Total]]&lt;&gt; 0, NOT(ISBLANK(SamplingData[[#This Row],[Candidate 3]]))),(SamplingData[[#This Row],[Total]]+SamplingData[[#This Row],[Winning Candidate]]-SamplingData[[#This Row],[Candidate 3]])/(SamplingData[[#Totals],[Winning Candidate]]-SamplingData[[#Totals],[Candidate 3]]), 0)</f>
        <v>1.4194922089234441E-3</v>
      </c>
      <c r="M1516" s="100">
        <f>IF(AND(SamplingData[[#This Row],[Total]]&lt;&gt; 0, NOT(ISBLANK(SamplingData[[#This Row],[Candidate 4]]))),(SamplingData[[#This Row],[Total]]+SamplingData[[#This Row],[Winning Candidate]]-SamplingData[[#This Row],[Candidate 4]])/(SamplingData[[#Totals],[Winning Candidate]]-SamplingData[[#Totals],[Candidate 4]]), 0)</f>
        <v>1.4616036715484229E-3</v>
      </c>
      <c r="N1516" s="100">
        <f>IF(AND(SamplingData[[#This Row],[Total]]&lt;&gt; 0, NOT(ISBLANK(SamplingData[[#This Row],[Candidate 5]]))),(SamplingData[[#This Row],[Total]]+SamplingData[[#This Row],[Winning Candidate]]-SamplingData[[#This Row],[Candidate 5]])/(SamplingData[[#Totals],[Winning Candidate]]-SamplingData[[#Totals],[Candidate 5]]), 0)</f>
        <v>1.2405740695694478E-3</v>
      </c>
      <c r="O1516" s="100">
        <f>IF(AND(SamplingData[[#This Row],[Total]]&lt;&gt; 0, NOT(ISBLANK(SamplingData[[#This Row],[Candidate 6]]))),(SamplingData[[#This Row],[Total]]+SamplingData[[#This Row],[Winning Candidate]]-SamplingData[[#This Row],[Candidate 6]])/(SamplingData[[#Totals],[Winning Candidate]]-SamplingData[[#Totals],[Candidate 6]]), 0)</f>
        <v>1.2645299353144302E-3</v>
      </c>
      <c r="P1516" s="100">
        <f>MAX(SamplingData[[#This Row],[Error Bound (up) - Max. possible relative overstatement - Losing Candidate]:[Error Bound (up) - Max. possible relative overstatement - Candidate 6]])</f>
        <v>2.2660460558549728E-3</v>
      </c>
      <c r="Q1516" s="100">
        <f>IF(SamplingData[[#This Row],[Max Error Bound (up)]] = 0,0,SamplingData[[#This Row],[Max Error Bound (up)]]/SamplingData[[#Totals],[Max Error Bound (up)]])</f>
        <v>3.5863908630249576E-4</v>
      </c>
      <c r="R1516" s="101">
        <f>SUM($Q$5:Q1516)</f>
        <v>0.51275284452059422</v>
      </c>
      <c r="S1516" s="100" t="str">
        <f t="array" ref="S1516">IF(SamplingData[[#This Row],[up/U Selection Probability]] = 0, "Zero", TEXT(SamplingData[[#This Row],[Lower Range]], REPT("0",LEN('General Info'!$B$40))) &amp; " - " &amp; TEXT(SamplingData[[#This Row],[Upper Range]], REPT("0",LEN('General Info'!$B$40))))</f>
        <v>51239 - 51274</v>
      </c>
      <c r="T1516" s="100">
        <f>SamplingData[[#This Row],[Upper Range]]-SamplingData[[#This Row],[Span]]</f>
        <v>51239.420902068261</v>
      </c>
      <c r="U1516" s="100">
        <f>IF(ISNUMBER('General Info'!$B$40), ((SamplingData[[#This Row],[up/U Selection Probability]]) * 'General Info'!$B$40) - 1, 0)</f>
        <v>34.863549991163275</v>
      </c>
      <c r="V1516" s="100">
        <f>IF(ISNUMBER('General Info'!$B$40), (SamplingData[[#This Row],[Running (cumulative) sum]] * ('General Info'!$B$40 -'General Info'!$B$41 + 1)) + 'General Info'!$B$41 - 1, 0)</f>
        <v>51274.284452059423</v>
      </c>
      <c r="W1516" s="100" t="str">
        <f>IF(ISERROR(MATCH(SamplingData[[#This Row],[Batch by Type (p)]],SelectedPrecincts[Batch Name], 0)), "", INDEX(SelectedPrecincts[Draw], MATCH(SamplingData[[#This Row],[Batch by Type (p)]],SelectedPrecincts[Batch Name], 0)))</f>
        <v/>
      </c>
      <c r="X1516" s="102">
        <f>IF(COUNTIF(SelectedPrecincts[Batch Name],SamplingData[[#This Row],[Batch by Type (p)]]) &lt;&gt; 0, COUNTIF(SelectedPrecincts[Batch Name],SamplingData[[#This Row],[Batch by Type (p)]]), 0)</f>
        <v>0</v>
      </c>
    </row>
    <row r="1517" spans="1:24" ht="15" customHeight="1">
      <c r="A1517" s="18" t="s">
        <v>1693</v>
      </c>
      <c r="B1517" s="18">
        <v>30</v>
      </c>
      <c r="C1517" s="18">
        <v>37</v>
      </c>
      <c r="D1517" s="16">
        <v>15</v>
      </c>
      <c r="E1517" s="16">
        <v>11</v>
      </c>
      <c r="F1517" s="37">
        <v>0</v>
      </c>
      <c r="G1517" s="37">
        <v>1</v>
      </c>
      <c r="H1517" s="17">
        <v>0</v>
      </c>
      <c r="I1517" s="17">
        <v>0</v>
      </c>
      <c r="J1517" s="99">
        <f>SUM(SamplingData[[#This Row],[Losing Candidate]:[Under Votes]])</f>
        <v>94</v>
      </c>
      <c r="K1517" s="100">
        <f>IF(AND(SamplingData[[#This Row],[Total]]&lt;&gt; 0, NOT(ISBLANK(SamplingData[[#This Row],[Losing Candidate]]))),(SamplingData[[#This Row],[Total]]+SamplingData[[#This Row],[Winning Candidate]]-SamplingData[[#This Row],[Losing Candidate]])/(SamplingData[[#Totals],[Winning Candidate]]-SamplingData[[#Totals],[Losing Candidate]]), 0)</f>
        <v>6.1856932876041158E-3</v>
      </c>
      <c r="L1517" s="100">
        <f>IF(AND(SamplingData[[#This Row],[Total]]&lt;&gt; 0, NOT(ISBLANK(SamplingData[[#This Row],[Candidate 3]]))),(SamplingData[[#This Row],[Total]]+SamplingData[[#This Row],[Winning Candidate]]-SamplingData[[#This Row],[Candidate 3]])/(SamplingData[[#Totals],[Winning Candidate]]-SamplingData[[#Totals],[Candidate 3]]), 0)</f>
        <v>3.7422976417072619E-3</v>
      </c>
      <c r="M1517" s="100">
        <f>IF(AND(SamplingData[[#This Row],[Total]]&lt;&gt; 0, NOT(ISBLANK(SamplingData[[#This Row],[Candidate 4]]))),(SamplingData[[#This Row],[Total]]+SamplingData[[#This Row],[Winning Candidate]]-SamplingData[[#This Row],[Candidate 4]])/(SamplingData[[#Totals],[Winning Candidate]]-SamplingData[[#Totals],[Candidate 4]]), 0)</f>
        <v>3.5078488117162151E-3</v>
      </c>
      <c r="N1517" s="100">
        <f>IF(AND(SamplingData[[#This Row],[Total]]&lt;&gt; 0, NOT(ISBLANK(SamplingData[[#This Row],[Candidate 5]]))),(SamplingData[[#This Row],[Total]]+SamplingData[[#This Row],[Winning Candidate]]-SamplingData[[#This Row],[Candidate 5]])/(SamplingData[[#Totals],[Winning Candidate]]-SamplingData[[#Totals],[Candidate 5]]), 0)</f>
        <v>3.1865726100705426E-3</v>
      </c>
      <c r="O1517" s="100">
        <f>IF(AND(SamplingData[[#This Row],[Total]]&lt;&gt; 0, NOT(ISBLANK(SamplingData[[#This Row],[Candidate 6]]))),(SamplingData[[#This Row],[Total]]+SamplingData[[#This Row],[Winning Candidate]]-SamplingData[[#This Row],[Candidate 6]])/(SamplingData[[#Totals],[Winning Candidate]]-SamplingData[[#Totals],[Candidate 6]]), 0)</f>
        <v>3.1613248382860756E-3</v>
      </c>
      <c r="P1517" s="100">
        <f>MAX(SamplingData[[#This Row],[Error Bound (up) - Max. possible relative overstatement - Losing Candidate]:[Error Bound (up) - Max. possible relative overstatement - Candidate 6]])</f>
        <v>6.1856932876041158E-3</v>
      </c>
      <c r="Q1517" s="100">
        <f>IF(SamplingData[[#This Row],[Max Error Bound (up)]] = 0,0,SamplingData[[#This Row],[Max Error Bound (up)]]/SamplingData[[#Totals],[Max Error Bound (up)]])</f>
        <v>9.7898777612302908E-4</v>
      </c>
      <c r="R1517" s="101">
        <f>SUM($Q$5:Q1517)</f>
        <v>0.51373183229671726</v>
      </c>
      <c r="S1517" s="100" t="str">
        <f t="array" ref="S1517">IF(SamplingData[[#This Row],[up/U Selection Probability]] = 0, "Zero", TEXT(SamplingData[[#This Row],[Lower Range]], REPT("0",LEN('General Info'!$B$40))) &amp; " - " &amp; TEXT(SamplingData[[#This Row],[Upper Range]], REPT("0",LEN('General Info'!$B$40))))</f>
        <v>51275 - 51372</v>
      </c>
      <c r="T1517" s="100">
        <f>SamplingData[[#This Row],[Upper Range]]-SamplingData[[#This Row],[Span]]</f>
        <v>51275.285431047196</v>
      </c>
      <c r="U1517" s="100">
        <f>IF(ISNUMBER('General Info'!$B$40), ((SamplingData[[#This Row],[up/U Selection Probability]]) * 'General Info'!$B$40) - 1, 0)</f>
        <v>96.897798624526786</v>
      </c>
      <c r="V1517" s="100">
        <f>IF(ISNUMBER('General Info'!$B$40), (SamplingData[[#This Row],[Running (cumulative) sum]] * ('General Info'!$B$40 -'General Info'!$B$41 + 1)) + 'General Info'!$B$41 - 1, 0)</f>
        <v>51372.183229671726</v>
      </c>
      <c r="W1517" s="100" t="str">
        <f>IF(ISERROR(MATCH(SamplingData[[#This Row],[Batch by Type (p)]],SelectedPrecincts[Batch Name], 0)), "", INDEX(SelectedPrecincts[Draw], MATCH(SamplingData[[#This Row],[Batch by Type (p)]],SelectedPrecincts[Batch Name], 0)))</f>
        <v/>
      </c>
      <c r="X1517" s="102">
        <f>IF(COUNTIF(SelectedPrecincts[Batch Name],SamplingData[[#This Row],[Batch by Type (p)]]) &lt;&gt; 0, COUNTIF(SelectedPrecincts[Batch Name],SamplingData[[#This Row],[Batch by Type (p)]]), 0)</f>
        <v>0</v>
      </c>
    </row>
    <row r="1518" spans="1:24" ht="15" customHeight="1">
      <c r="A1518" s="18" t="s">
        <v>1694</v>
      </c>
      <c r="B1518" s="18">
        <v>23</v>
      </c>
      <c r="C1518" s="18">
        <v>22</v>
      </c>
      <c r="D1518" s="18">
        <v>12</v>
      </c>
      <c r="E1518" s="18">
        <v>7</v>
      </c>
      <c r="F1518" s="18">
        <v>0</v>
      </c>
      <c r="G1518" s="18">
        <v>0</v>
      </c>
      <c r="H1518" s="18">
        <v>0</v>
      </c>
      <c r="I1518" s="18">
        <v>1</v>
      </c>
      <c r="J1518" s="99">
        <f>SUM(SamplingData[[#This Row],[Losing Candidate]:[Under Votes]])</f>
        <v>65</v>
      </c>
      <c r="K1518" s="100">
        <f>IF(AND(SamplingData[[#This Row],[Total]]&lt;&gt; 0, NOT(ISBLANK(SamplingData[[#This Row],[Losing Candidate]]))),(SamplingData[[#This Row],[Total]]+SamplingData[[#This Row],[Winning Candidate]]-SamplingData[[#This Row],[Losing Candidate]])/(SamplingData[[#Totals],[Winning Candidate]]-SamplingData[[#Totals],[Losing Candidate]]), 0)</f>
        <v>3.9196472317491425E-3</v>
      </c>
      <c r="L1518" s="100">
        <f>IF(AND(SamplingData[[#This Row],[Total]]&lt;&gt; 0, NOT(ISBLANK(SamplingData[[#This Row],[Candidate 3]]))),(SamplingData[[#This Row],[Total]]+SamplingData[[#This Row],[Winning Candidate]]-SamplingData[[#This Row],[Candidate 3]])/(SamplingData[[#Totals],[Winning Candidate]]-SamplingData[[#Totals],[Candidate 3]]), 0)</f>
        <v>2.4195889924831437E-3</v>
      </c>
      <c r="M1518" s="100">
        <f>IF(AND(SamplingData[[#This Row],[Total]]&lt;&gt; 0, NOT(ISBLANK(SamplingData[[#This Row],[Candidate 4]]))),(SamplingData[[#This Row],[Total]]+SamplingData[[#This Row],[Winning Candidate]]-SamplingData[[#This Row],[Candidate 4]])/(SamplingData[[#Totals],[Winning Candidate]]-SamplingData[[#Totals],[Candidate 4]]), 0)</f>
        <v>2.3385658744774769E-3</v>
      </c>
      <c r="N1518" s="100">
        <f>IF(AND(SamplingData[[#This Row],[Total]]&lt;&gt; 0, NOT(ISBLANK(SamplingData[[#This Row],[Candidate 5]]))),(SamplingData[[#This Row],[Total]]+SamplingData[[#This Row],[Winning Candidate]]-SamplingData[[#This Row],[Candidate 5]])/(SamplingData[[#Totals],[Winning Candidate]]-SamplingData[[#Totals],[Candidate 5]]), 0)</f>
        <v>2.1162734127949403E-3</v>
      </c>
      <c r="O1518" s="100">
        <f>IF(AND(SamplingData[[#This Row],[Total]]&lt;&gt; 0, NOT(ISBLANK(SamplingData[[#This Row],[Candidate 6]]))),(SamplingData[[#This Row],[Total]]+SamplingData[[#This Row],[Winning Candidate]]-SamplingData[[#This Row],[Candidate 6]])/(SamplingData[[#Totals],[Winning Candidate]]-SamplingData[[#Totals],[Candidate 6]]), 0)</f>
        <v>2.1156558533145277E-3</v>
      </c>
      <c r="P1518" s="100">
        <f>MAX(SamplingData[[#This Row],[Error Bound (up) - Max. possible relative overstatement - Losing Candidate]:[Error Bound (up) - Max. possible relative overstatement - Candidate 6]])</f>
        <v>3.9196472317491425E-3</v>
      </c>
      <c r="Q1518" s="100">
        <f>IF(SamplingData[[#This Row],[Max Error Bound (up)]] = 0,0,SamplingData[[#This Row],[Max Error Bound (up)]]/SamplingData[[#Totals],[Max Error Bound (up)]])</f>
        <v>6.2034868982053322E-4</v>
      </c>
      <c r="R1518" s="101">
        <f>SUM($Q$5:Q1518)</f>
        <v>0.51435218098653779</v>
      </c>
      <c r="S1518" s="100" t="str">
        <f t="array" ref="S1518">IF(SamplingData[[#This Row],[up/U Selection Probability]] = 0, "Zero", TEXT(SamplingData[[#This Row],[Lower Range]], REPT("0",LEN('General Info'!$B$40))) &amp; " - " &amp; TEXT(SamplingData[[#This Row],[Upper Range]], REPT("0",LEN('General Info'!$B$40))))</f>
        <v>51373 - 51434</v>
      </c>
      <c r="T1518" s="100">
        <f>SamplingData[[#This Row],[Upper Range]]-SamplingData[[#This Row],[Span]]</f>
        <v>51373.183850020418</v>
      </c>
      <c r="U1518" s="100">
        <f>IF(ISNUMBER('General Info'!$B$40), ((SamplingData[[#This Row],[up/U Selection Probability]]) * 'General Info'!$B$40) - 1, 0)</f>
        <v>61.034248633363504</v>
      </c>
      <c r="V1518" s="100">
        <f>IF(ISNUMBER('General Info'!$B$40), (SamplingData[[#This Row],[Running (cumulative) sum]] * ('General Info'!$B$40 -'General Info'!$B$41 + 1)) + 'General Info'!$B$41 - 1, 0)</f>
        <v>51434.218098653779</v>
      </c>
      <c r="W1518" s="100" t="str">
        <f>IF(ISERROR(MATCH(SamplingData[[#This Row],[Batch by Type (p)]],SelectedPrecincts[Batch Name], 0)), "", INDEX(SelectedPrecincts[Draw], MATCH(SamplingData[[#This Row],[Batch by Type (p)]],SelectedPrecincts[Batch Name], 0)))</f>
        <v/>
      </c>
      <c r="X1518" s="102">
        <f>IF(COUNTIF(SelectedPrecincts[Batch Name],SamplingData[[#This Row],[Batch by Type (p)]]) &lt;&gt; 0, COUNTIF(SelectedPrecincts[Batch Name],SamplingData[[#This Row],[Batch by Type (p)]]), 0)</f>
        <v>0</v>
      </c>
    </row>
    <row r="1519" spans="1:24" ht="15" customHeight="1">
      <c r="A1519" s="18" t="s">
        <v>1695</v>
      </c>
      <c r="B1519" s="18">
        <v>26</v>
      </c>
      <c r="C1519" s="18">
        <v>37</v>
      </c>
      <c r="D1519" s="16">
        <v>7</v>
      </c>
      <c r="E1519" s="16">
        <v>15</v>
      </c>
      <c r="F1519" s="37">
        <v>1</v>
      </c>
      <c r="G1519" s="37">
        <v>0</v>
      </c>
      <c r="H1519" s="17">
        <v>0</v>
      </c>
      <c r="I1519" s="17">
        <v>1</v>
      </c>
      <c r="J1519" s="99">
        <f>SUM(SamplingData[[#This Row],[Losing Candidate]:[Under Votes]])</f>
        <v>87</v>
      </c>
      <c r="K1519" s="100">
        <f>IF(AND(SamplingData[[#This Row],[Total]]&lt;&gt; 0, NOT(ISBLANK(SamplingData[[#This Row],[Losing Candidate]]))),(SamplingData[[#This Row],[Total]]+SamplingData[[#This Row],[Winning Candidate]]-SamplingData[[#This Row],[Losing Candidate]])/(SamplingData[[#Totals],[Winning Candidate]]-SamplingData[[#Totals],[Losing Candidate]]), 0)</f>
        <v>6.0019598236158746E-3</v>
      </c>
      <c r="L1519" s="100">
        <f>IF(AND(SamplingData[[#This Row],[Total]]&lt;&gt; 0, NOT(ISBLANK(SamplingData[[#This Row],[Candidate 3]]))),(SamplingData[[#This Row],[Total]]+SamplingData[[#This Row],[Winning Candidate]]-SamplingData[[#This Row],[Candidate 3]])/(SamplingData[[#Totals],[Winning Candidate]]-SamplingData[[#Totals],[Candidate 3]]), 0)</f>
        <v>3.7745588282737039E-3</v>
      </c>
      <c r="M1519" s="100">
        <f>IF(AND(SamplingData[[#This Row],[Total]]&lt;&gt; 0, NOT(ISBLANK(SamplingData[[#This Row],[Candidate 4]]))),(SamplingData[[#This Row],[Total]]+SamplingData[[#This Row],[Winning Candidate]]-SamplingData[[#This Row],[Candidate 4]])/(SamplingData[[#Totals],[Winning Candidate]]-SamplingData[[#Totals],[Candidate 4]]), 0)</f>
        <v>3.186296003975562E-3</v>
      </c>
      <c r="N1519" s="100">
        <f>IF(AND(SamplingData[[#This Row],[Total]]&lt;&gt; 0, NOT(ISBLANK(SamplingData[[#This Row],[Candidate 5]]))),(SamplingData[[#This Row],[Total]]+SamplingData[[#This Row],[Winning Candidate]]-SamplingData[[#This Row],[Candidate 5]])/(SamplingData[[#Totals],[Winning Candidate]]-SamplingData[[#Totals],[Candidate 5]]), 0)</f>
        <v>2.9919727560204332E-3</v>
      </c>
      <c r="O1519" s="100">
        <f>IF(AND(SamplingData[[#This Row],[Total]]&lt;&gt; 0, NOT(ISBLANK(SamplingData[[#This Row],[Candidate 6]]))),(SamplingData[[#This Row],[Total]]+SamplingData[[#This Row],[Winning Candidate]]-SamplingData[[#This Row],[Candidate 6]])/(SamplingData[[#Totals],[Winning Candidate]]-SamplingData[[#Totals],[Candidate 6]]), 0)</f>
        <v>3.0154175380574873E-3</v>
      </c>
      <c r="P1519" s="100">
        <f>MAX(SamplingData[[#This Row],[Error Bound (up) - Max. possible relative overstatement - Losing Candidate]:[Error Bound (up) - Max. possible relative overstatement - Candidate 6]])</f>
        <v>6.0019598236158746E-3</v>
      </c>
      <c r="Q1519" s="100">
        <f>IF(SamplingData[[#This Row],[Max Error Bound (up)]] = 0,0,SamplingData[[#This Row],[Max Error Bound (up)]]/SamplingData[[#Totals],[Max Error Bound (up)]])</f>
        <v>9.4990893128769145E-4</v>
      </c>
      <c r="R1519" s="101">
        <f>SUM($Q$5:Q1519)</f>
        <v>0.51530208991782545</v>
      </c>
      <c r="S1519" s="100" t="str">
        <f t="array" ref="S1519">IF(SamplingData[[#This Row],[up/U Selection Probability]] = 0, "Zero", TEXT(SamplingData[[#This Row],[Lower Range]], REPT("0",LEN('General Info'!$B$40))) &amp; " - " &amp; TEXT(SamplingData[[#This Row],[Upper Range]], REPT("0",LEN('General Info'!$B$40))))</f>
        <v>51435 - 51529</v>
      </c>
      <c r="T1519" s="100">
        <f>SamplingData[[#This Row],[Upper Range]]-SamplingData[[#This Row],[Span]]</f>
        <v>51435.219048562707</v>
      </c>
      <c r="U1519" s="100">
        <f>IF(ISNUMBER('General Info'!$B$40), ((SamplingData[[#This Row],[up/U Selection Probability]]) * 'General Info'!$B$40) - 1, 0)</f>
        <v>93.989943219837855</v>
      </c>
      <c r="V1519" s="100">
        <f>IF(ISNUMBER('General Info'!$B$40), (SamplingData[[#This Row],[Running (cumulative) sum]] * ('General Info'!$B$40 -'General Info'!$B$41 + 1)) + 'General Info'!$B$41 - 1, 0)</f>
        <v>51529.208991782543</v>
      </c>
      <c r="W1519" s="100" t="str">
        <f>IF(ISERROR(MATCH(SamplingData[[#This Row],[Batch by Type (p)]],SelectedPrecincts[Batch Name], 0)), "", INDEX(SelectedPrecincts[Draw], MATCH(SamplingData[[#This Row],[Batch by Type (p)]],SelectedPrecincts[Batch Name], 0)))</f>
        <v/>
      </c>
      <c r="X1519" s="102">
        <f>IF(COUNTIF(SelectedPrecincts[Batch Name],SamplingData[[#This Row],[Batch by Type (p)]]) &lt;&gt; 0, COUNTIF(SelectedPrecincts[Batch Name],SamplingData[[#This Row],[Batch by Type (p)]]), 0)</f>
        <v>0</v>
      </c>
    </row>
    <row r="1520" spans="1:24" ht="15" customHeight="1">
      <c r="A1520" s="18" t="s">
        <v>1696</v>
      </c>
      <c r="B1520" s="18">
        <v>15</v>
      </c>
      <c r="C1520" s="18">
        <v>24</v>
      </c>
      <c r="D1520" s="18">
        <v>3</v>
      </c>
      <c r="E1520" s="18">
        <v>1</v>
      </c>
      <c r="F1520" s="18">
        <v>0</v>
      </c>
      <c r="G1520" s="18">
        <v>0</v>
      </c>
      <c r="H1520" s="18">
        <v>0</v>
      </c>
      <c r="I1520" s="18">
        <v>1</v>
      </c>
      <c r="J1520" s="99">
        <f>SUM(SamplingData[[#This Row],[Losing Candidate]:[Under Votes]])</f>
        <v>44</v>
      </c>
      <c r="K1520" s="100">
        <f>IF(AND(SamplingData[[#This Row],[Total]]&lt;&gt; 0, NOT(ISBLANK(SamplingData[[#This Row],[Losing Candidate]]))),(SamplingData[[#This Row],[Total]]+SamplingData[[#This Row],[Winning Candidate]]-SamplingData[[#This Row],[Losing Candidate]])/(SamplingData[[#Totals],[Winning Candidate]]-SamplingData[[#Totals],[Losing Candidate]]), 0)</f>
        <v>3.2459578637922589E-3</v>
      </c>
      <c r="L1520" s="100">
        <f>IF(AND(SamplingData[[#This Row],[Total]]&lt;&gt; 0, NOT(ISBLANK(SamplingData[[#This Row],[Candidate 3]]))),(SamplingData[[#This Row],[Total]]+SamplingData[[#This Row],[Winning Candidate]]-SamplingData[[#This Row],[Candidate 3]])/(SamplingData[[#Totals],[Winning Candidate]]-SamplingData[[#Totals],[Candidate 3]]), 0)</f>
        <v>2.0969771268187242E-3</v>
      </c>
      <c r="M1520" s="100">
        <f>IF(AND(SamplingData[[#This Row],[Total]]&lt;&gt; 0, NOT(ISBLANK(SamplingData[[#This Row],[Candidate 4]]))),(SamplingData[[#This Row],[Total]]+SamplingData[[#This Row],[Winning Candidate]]-SamplingData[[#This Row],[Candidate 4]])/(SamplingData[[#Totals],[Winning Candidate]]-SamplingData[[#Totals],[Candidate 4]]), 0)</f>
        <v>1.9585489198748868E-3</v>
      </c>
      <c r="N1520" s="100">
        <f>IF(AND(SamplingData[[#This Row],[Total]]&lt;&gt; 0, NOT(ISBLANK(SamplingData[[#This Row],[Candidate 5]]))),(SamplingData[[#This Row],[Total]]+SamplingData[[#This Row],[Winning Candidate]]-SamplingData[[#This Row],[Candidate 5]])/(SamplingData[[#Totals],[Winning Candidate]]-SamplingData[[#Totals],[Candidate 5]]), 0)</f>
        <v>1.6540987594259305E-3</v>
      </c>
      <c r="O1520" s="100">
        <f>IF(AND(SamplingData[[#This Row],[Total]]&lt;&gt; 0, NOT(ISBLANK(SamplingData[[#This Row],[Candidate 6]]))),(SamplingData[[#This Row],[Total]]+SamplingData[[#This Row],[Winning Candidate]]-SamplingData[[#This Row],[Candidate 6]])/(SamplingData[[#Totals],[Winning Candidate]]-SamplingData[[#Totals],[Candidate 6]]), 0)</f>
        <v>1.6536160692573318E-3</v>
      </c>
      <c r="P1520" s="100">
        <f>MAX(SamplingData[[#This Row],[Error Bound (up) - Max. possible relative overstatement - Losing Candidate]:[Error Bound (up) - Max. possible relative overstatement - Candidate 6]])</f>
        <v>3.2459578637922589E-3</v>
      </c>
      <c r="Q1520" s="100">
        <f>IF(SamplingData[[#This Row],[Max Error Bound (up)]] = 0,0,SamplingData[[#This Row],[Max Error Bound (up)]]/SamplingData[[#Totals],[Max Error Bound (up)]])</f>
        <v>5.1372625875762909E-4</v>
      </c>
      <c r="R1520" s="101">
        <f>SUM($Q$5:Q1520)</f>
        <v>0.51581581617658312</v>
      </c>
      <c r="S1520" s="100" t="str">
        <f t="array" ref="S1520">IF(SamplingData[[#This Row],[up/U Selection Probability]] = 0, "Zero", TEXT(SamplingData[[#This Row],[Lower Range]], REPT("0",LEN('General Info'!$B$40))) &amp; " - " &amp; TEXT(SamplingData[[#This Row],[Upper Range]], REPT("0",LEN('General Info'!$B$40))))</f>
        <v>51530 - 51581</v>
      </c>
      <c r="T1520" s="100">
        <f>SamplingData[[#This Row],[Upper Range]]-SamplingData[[#This Row],[Span]]</f>
        <v>51530.209505508807</v>
      </c>
      <c r="U1520" s="100">
        <f>IF(ISNUMBER('General Info'!$B$40), ((SamplingData[[#This Row],[up/U Selection Probability]]) * 'General Info'!$B$40) - 1, 0)</f>
        <v>50.372112149504154</v>
      </c>
      <c r="V1520" s="100">
        <f>IF(ISNUMBER('General Info'!$B$40), (SamplingData[[#This Row],[Running (cumulative) sum]] * ('General Info'!$B$40 -'General Info'!$B$41 + 1)) + 'General Info'!$B$41 - 1, 0)</f>
        <v>51580.58161765831</v>
      </c>
      <c r="W1520" s="100" t="str">
        <f>IF(ISERROR(MATCH(SamplingData[[#This Row],[Batch by Type (p)]],SelectedPrecincts[Batch Name], 0)), "", INDEX(SelectedPrecincts[Draw], MATCH(SamplingData[[#This Row],[Batch by Type (p)]],SelectedPrecincts[Batch Name], 0)))</f>
        <v/>
      </c>
      <c r="X1520" s="102">
        <f>IF(COUNTIF(SelectedPrecincts[Batch Name],SamplingData[[#This Row],[Batch by Type (p)]]) &lt;&gt; 0, COUNTIF(SelectedPrecincts[Batch Name],SamplingData[[#This Row],[Batch by Type (p)]]), 0)</f>
        <v>0</v>
      </c>
    </row>
    <row r="1521" spans="1:24" ht="15" customHeight="1">
      <c r="A1521" s="18" t="s">
        <v>1697</v>
      </c>
      <c r="B1521" s="18">
        <v>31</v>
      </c>
      <c r="C1521" s="18">
        <v>41</v>
      </c>
      <c r="D1521" s="16">
        <v>8</v>
      </c>
      <c r="E1521" s="16">
        <v>3</v>
      </c>
      <c r="F1521" s="37">
        <v>0</v>
      </c>
      <c r="G1521" s="37">
        <v>0</v>
      </c>
      <c r="H1521" s="17">
        <v>0</v>
      </c>
      <c r="I1521" s="17">
        <v>2</v>
      </c>
      <c r="J1521" s="99">
        <f>SUM(SamplingData[[#This Row],[Losing Candidate]:[Under Votes]])</f>
        <v>85</v>
      </c>
      <c r="K1521" s="100">
        <f>IF(AND(SamplingData[[#This Row],[Total]]&lt;&gt; 0, NOT(ISBLANK(SamplingData[[#This Row],[Losing Candidate]]))),(SamplingData[[#This Row],[Total]]+SamplingData[[#This Row],[Winning Candidate]]-SamplingData[[#This Row],[Losing Candidate]])/(SamplingData[[#Totals],[Winning Candidate]]-SamplingData[[#Totals],[Losing Candidate]]), 0)</f>
        <v>5.8182263596276334E-3</v>
      </c>
      <c r="L1521" s="100">
        <f>IF(AND(SamplingData[[#This Row],[Total]]&lt;&gt; 0, NOT(ISBLANK(SamplingData[[#This Row],[Candidate 3]]))),(SamplingData[[#This Row],[Total]]+SamplingData[[#This Row],[Winning Candidate]]-SamplingData[[#This Row],[Candidate 3]])/(SamplingData[[#Totals],[Winning Candidate]]-SamplingData[[#Totals],[Candidate 3]]), 0)</f>
        <v>3.8068200148401459E-3</v>
      </c>
      <c r="M1521" s="100">
        <f>IF(AND(SamplingData[[#This Row],[Total]]&lt;&gt; 0, NOT(ISBLANK(SamplingData[[#This Row],[Candidate 4]]))),(SamplingData[[#This Row],[Total]]+SamplingData[[#This Row],[Winning Candidate]]-SamplingData[[#This Row],[Candidate 4]])/(SamplingData[[#Totals],[Winning Candidate]]-SamplingData[[#Totals],[Candidate 4]]), 0)</f>
        <v>3.5955450320091205E-3</v>
      </c>
      <c r="N1521" s="100">
        <f>IF(AND(SamplingData[[#This Row],[Total]]&lt;&gt; 0, NOT(ISBLANK(SamplingData[[#This Row],[Candidate 5]]))),(SamplingData[[#This Row],[Total]]+SamplingData[[#This Row],[Winning Candidate]]-SamplingData[[#This Row],[Candidate 5]])/(SamplingData[[#Totals],[Winning Candidate]]-SamplingData[[#Totals],[Candidate 5]]), 0)</f>
        <v>3.0649477012892239E-3</v>
      </c>
      <c r="O1521" s="100">
        <f>IF(AND(SamplingData[[#This Row],[Total]]&lt;&gt; 0, NOT(ISBLANK(SamplingData[[#This Row],[Candidate 6]]))),(SamplingData[[#This Row],[Total]]+SamplingData[[#This Row],[Winning Candidate]]-SamplingData[[#This Row],[Candidate 6]])/(SamplingData[[#Totals],[Winning Candidate]]-SamplingData[[#Totals],[Candidate 6]]), 0)</f>
        <v>3.0640533048003501E-3</v>
      </c>
      <c r="P1521" s="100">
        <f>MAX(SamplingData[[#This Row],[Error Bound (up) - Max. possible relative overstatement - Losing Candidate]:[Error Bound (up) - Max. possible relative overstatement - Candidate 6]])</f>
        <v>5.8182263596276334E-3</v>
      </c>
      <c r="Q1521" s="100">
        <f>IF(SamplingData[[#This Row],[Max Error Bound (up)]] = 0,0,SamplingData[[#This Row],[Max Error Bound (up)]]/SamplingData[[#Totals],[Max Error Bound (up)]])</f>
        <v>9.2083008645235393E-4</v>
      </c>
      <c r="R1521" s="101">
        <f>SUM($Q$5:Q1521)</f>
        <v>0.5167366462630355</v>
      </c>
      <c r="S1521" s="100" t="str">
        <f t="array" ref="S1521">IF(SamplingData[[#This Row],[up/U Selection Probability]] = 0, "Zero", TEXT(SamplingData[[#This Row],[Lower Range]], REPT("0",LEN('General Info'!$B$40))) &amp; " - " &amp; TEXT(SamplingData[[#This Row],[Upper Range]], REPT("0",LEN('General Info'!$B$40))))</f>
        <v>51582 - 51673</v>
      </c>
      <c r="T1521" s="100">
        <f>SamplingData[[#This Row],[Upper Range]]-SamplingData[[#This Row],[Span]]</f>
        <v>51581.582538488401</v>
      </c>
      <c r="U1521" s="100">
        <f>IF(ISNUMBER('General Info'!$B$40), ((SamplingData[[#This Row],[up/U Selection Probability]]) * 'General Info'!$B$40) - 1, 0)</f>
        <v>91.082087815148938</v>
      </c>
      <c r="V1521" s="100">
        <f>IF(ISNUMBER('General Info'!$B$40), (SamplingData[[#This Row],[Running (cumulative) sum]] * ('General Info'!$B$40 -'General Info'!$B$41 + 1)) + 'General Info'!$B$41 - 1, 0)</f>
        <v>51672.664626303551</v>
      </c>
      <c r="W1521" s="100" t="str">
        <f>IF(ISERROR(MATCH(SamplingData[[#This Row],[Batch by Type (p)]],SelectedPrecincts[Batch Name], 0)), "", INDEX(SelectedPrecincts[Draw], MATCH(SamplingData[[#This Row],[Batch by Type (p)]],SelectedPrecincts[Batch Name], 0)))</f>
        <v/>
      </c>
      <c r="X1521" s="102">
        <f>IF(COUNTIF(SelectedPrecincts[Batch Name],SamplingData[[#This Row],[Batch by Type (p)]]) &lt;&gt; 0, COUNTIF(SelectedPrecincts[Batch Name],SamplingData[[#This Row],[Batch by Type (p)]]), 0)</f>
        <v>0</v>
      </c>
    </row>
    <row r="1522" spans="1:24" ht="15" customHeight="1">
      <c r="A1522" s="18" t="s">
        <v>1698</v>
      </c>
      <c r="B1522" s="18">
        <v>12</v>
      </c>
      <c r="C1522" s="18">
        <v>8</v>
      </c>
      <c r="D1522" s="18">
        <v>5</v>
      </c>
      <c r="E1522" s="18">
        <v>2</v>
      </c>
      <c r="F1522" s="18">
        <v>0</v>
      </c>
      <c r="G1522" s="18">
        <v>0</v>
      </c>
      <c r="H1522" s="18">
        <v>0</v>
      </c>
      <c r="I1522" s="18">
        <v>0</v>
      </c>
      <c r="J1522" s="99">
        <f>SUM(SamplingData[[#This Row],[Losing Candidate]:[Under Votes]])</f>
        <v>27</v>
      </c>
      <c r="K1522"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522" s="100">
        <f>IF(AND(SamplingData[[#This Row],[Total]]&lt;&gt; 0, NOT(ISBLANK(SamplingData[[#This Row],[Candidate 3]]))),(SamplingData[[#This Row],[Total]]+SamplingData[[#This Row],[Winning Candidate]]-SamplingData[[#This Row],[Candidate 3]])/(SamplingData[[#Totals],[Winning Candidate]]-SamplingData[[#Totals],[Candidate 3]]), 0)</f>
        <v>9.6783559699325746E-4</v>
      </c>
      <c r="M1522" s="100">
        <f>IF(AND(SamplingData[[#This Row],[Total]]&lt;&gt; 0, NOT(ISBLANK(SamplingData[[#This Row],[Candidate 4]]))),(SamplingData[[#This Row],[Total]]+SamplingData[[#This Row],[Winning Candidate]]-SamplingData[[#This Row],[Candidate 4]])/(SamplingData[[#Totals],[Winning Candidate]]-SamplingData[[#Totals],[Candidate 4]]), 0)</f>
        <v>9.6465842322195918E-4</v>
      </c>
      <c r="N1522" s="100">
        <f>IF(AND(SamplingData[[#This Row],[Total]]&lt;&gt; 0, NOT(ISBLANK(SamplingData[[#This Row],[Candidate 5]]))),(SamplingData[[#This Row],[Total]]+SamplingData[[#This Row],[Winning Candidate]]-SamplingData[[#This Row],[Candidate 5]])/(SamplingData[[#Totals],[Winning Candidate]]-SamplingData[[#Totals],[Candidate 5]]), 0)</f>
        <v>8.5137436146922891E-4</v>
      </c>
      <c r="O1522" s="100">
        <f>IF(AND(SamplingData[[#This Row],[Total]]&lt;&gt; 0, NOT(ISBLANK(SamplingData[[#This Row],[Candidate 6]]))),(SamplingData[[#This Row],[Total]]+SamplingData[[#This Row],[Winning Candidate]]-SamplingData[[#This Row],[Candidate 6]])/(SamplingData[[#Totals],[Winning Candidate]]-SamplingData[[#Totals],[Candidate 6]]), 0)</f>
        <v>8.5112591800009726E-4</v>
      </c>
      <c r="P1522" s="100">
        <f>MAX(SamplingData[[#This Row],[Error Bound (up) - Max. possible relative overstatement - Losing Candidate]:[Error Bound (up) - Max. possible relative overstatement - Candidate 6]])</f>
        <v>1.408623223909848E-3</v>
      </c>
      <c r="Q1522" s="100">
        <f>IF(SamplingData[[#This Row],[Max Error Bound (up)]] = 0,0,SamplingData[[#This Row],[Max Error Bound (up)]]/SamplingData[[#Totals],[Max Error Bound (up)]])</f>
        <v>2.229378104042541E-4</v>
      </c>
      <c r="R1522" s="101">
        <f>SUM($Q$5:Q1522)</f>
        <v>0.51695958407343978</v>
      </c>
      <c r="S1522" s="100" t="str">
        <f t="array" ref="S1522">IF(SamplingData[[#This Row],[up/U Selection Probability]] = 0, "Zero", TEXT(SamplingData[[#This Row],[Lower Range]], REPT("0",LEN('General Info'!$B$40))) &amp; " - " &amp; TEXT(SamplingData[[#This Row],[Upper Range]], REPT("0",LEN('General Info'!$B$40))))</f>
        <v>51674 - 51695</v>
      </c>
      <c r="T1522" s="100">
        <f>SamplingData[[#This Row],[Upper Range]]-SamplingData[[#This Row],[Span]]</f>
        <v>51673.664849241359</v>
      </c>
      <c r="U1522" s="100">
        <f>IF(ISNUMBER('General Info'!$B$40), ((SamplingData[[#This Row],[up/U Selection Probability]]) * 'General Info'!$B$40) - 1, 0)</f>
        <v>21.293558102615005</v>
      </c>
      <c r="V1522" s="100">
        <f>IF(ISNUMBER('General Info'!$B$40), (SamplingData[[#This Row],[Running (cumulative) sum]] * ('General Info'!$B$40 -'General Info'!$B$41 + 1)) + 'General Info'!$B$41 - 1, 0)</f>
        <v>51694.958407343976</v>
      </c>
      <c r="W1522" s="100" t="str">
        <f>IF(ISERROR(MATCH(SamplingData[[#This Row],[Batch by Type (p)]],SelectedPrecincts[Batch Name], 0)), "", INDEX(SelectedPrecincts[Draw], MATCH(SamplingData[[#This Row],[Batch by Type (p)]],SelectedPrecincts[Batch Name], 0)))</f>
        <v/>
      </c>
      <c r="X1522" s="102">
        <f>IF(COUNTIF(SelectedPrecincts[Batch Name],SamplingData[[#This Row],[Batch by Type (p)]]) &lt;&gt; 0, COUNTIF(SelectedPrecincts[Batch Name],SamplingData[[#This Row],[Batch by Type (p)]]), 0)</f>
        <v>0</v>
      </c>
    </row>
    <row r="1523" spans="1:24" ht="15" customHeight="1">
      <c r="A1523" s="18" t="s">
        <v>1699</v>
      </c>
      <c r="B1523" s="18">
        <v>17</v>
      </c>
      <c r="C1523" s="18">
        <v>44</v>
      </c>
      <c r="D1523" s="16">
        <v>20</v>
      </c>
      <c r="E1523" s="16">
        <v>9</v>
      </c>
      <c r="F1523" s="37">
        <v>0</v>
      </c>
      <c r="G1523" s="37">
        <v>1</v>
      </c>
      <c r="H1523" s="17">
        <v>0</v>
      </c>
      <c r="I1523" s="17">
        <v>0</v>
      </c>
      <c r="J1523" s="99">
        <f>SUM(SamplingData[[#This Row],[Losing Candidate]:[Under Votes]])</f>
        <v>91</v>
      </c>
      <c r="K1523" s="100">
        <f>IF(AND(SamplingData[[#This Row],[Total]]&lt;&gt; 0, NOT(ISBLANK(SamplingData[[#This Row],[Losing Candidate]]))),(SamplingData[[#This Row],[Total]]+SamplingData[[#This Row],[Winning Candidate]]-SamplingData[[#This Row],[Losing Candidate]])/(SamplingData[[#Totals],[Winning Candidate]]-SamplingData[[#Totals],[Losing Candidate]]), 0)</f>
        <v>7.2268495835374818E-3</v>
      </c>
      <c r="L1523" s="100">
        <f>IF(AND(SamplingData[[#This Row],[Total]]&lt;&gt; 0, NOT(ISBLANK(SamplingData[[#This Row],[Candidate 3]]))),(SamplingData[[#This Row],[Total]]+SamplingData[[#This Row],[Winning Candidate]]-SamplingData[[#This Row],[Candidate 3]])/(SamplingData[[#Totals],[Winning Candidate]]-SamplingData[[#Totals],[Candidate 3]]), 0)</f>
        <v>3.7100364551408199E-3</v>
      </c>
      <c r="M1523" s="100">
        <f>IF(AND(SamplingData[[#This Row],[Total]]&lt;&gt; 0, NOT(ISBLANK(SamplingData[[#This Row],[Candidate 4]]))),(SamplingData[[#This Row],[Total]]+SamplingData[[#This Row],[Winning Candidate]]-SamplingData[[#This Row],[Candidate 4]])/(SamplingData[[#Totals],[Winning Candidate]]-SamplingData[[#Totals],[Candidate 4]]), 0)</f>
        <v>3.6832412523020259E-3</v>
      </c>
      <c r="N1523" s="100">
        <f>IF(AND(SamplingData[[#This Row],[Total]]&lt;&gt; 0, NOT(ISBLANK(SamplingData[[#This Row],[Candidate 5]]))),(SamplingData[[#This Row],[Total]]+SamplingData[[#This Row],[Winning Candidate]]-SamplingData[[#This Row],[Candidate 5]])/(SamplingData[[#Totals],[Winning Candidate]]-SamplingData[[#Totals],[Candidate 5]]), 0)</f>
        <v>3.2838725370955973E-3</v>
      </c>
      <c r="O1523" s="100">
        <f>IF(AND(SamplingData[[#This Row],[Total]]&lt;&gt; 0, NOT(ISBLANK(SamplingData[[#This Row],[Candidate 6]]))),(SamplingData[[#This Row],[Total]]+SamplingData[[#This Row],[Winning Candidate]]-SamplingData[[#This Row],[Candidate 6]])/(SamplingData[[#Totals],[Winning Candidate]]-SamplingData[[#Totals],[Candidate 6]]), 0)</f>
        <v>3.2585963717718012E-3</v>
      </c>
      <c r="P1523" s="100">
        <f>MAX(SamplingData[[#This Row],[Error Bound (up) - Max. possible relative overstatement - Losing Candidate]:[Error Bound (up) - Max. possible relative overstatement - Candidate 6]])</f>
        <v>7.2268495835374818E-3</v>
      </c>
      <c r="Q1523" s="100">
        <f>IF(SamplingData[[#This Row],[Max Error Bound (up)]] = 0,0,SamplingData[[#This Row],[Max Error Bound (up)]]/SamplingData[[#Totals],[Max Error Bound (up)]])</f>
        <v>1.1437678968566083E-3</v>
      </c>
      <c r="R1523" s="101">
        <f>SUM($Q$5:Q1523)</f>
        <v>0.51810335197029644</v>
      </c>
      <c r="S1523" s="100" t="str">
        <f t="array" ref="S1523">IF(SamplingData[[#This Row],[up/U Selection Probability]] = 0, "Zero", TEXT(SamplingData[[#This Row],[Lower Range]], REPT("0",LEN('General Info'!$B$40))) &amp; " - " &amp; TEXT(SamplingData[[#This Row],[Upper Range]], REPT("0",LEN('General Info'!$B$40))))</f>
        <v>51696 - 51809</v>
      </c>
      <c r="T1523" s="100">
        <f>SamplingData[[#This Row],[Upper Range]]-SamplingData[[#This Row],[Span]]</f>
        <v>51695.959551111875</v>
      </c>
      <c r="U1523" s="100">
        <f>IF(ISNUMBER('General Info'!$B$40), ((SamplingData[[#This Row],[up/U Selection Probability]]) * 'General Info'!$B$40) - 1, 0)</f>
        <v>113.37564591776398</v>
      </c>
      <c r="V1523" s="100">
        <f>IF(ISNUMBER('General Info'!$B$40), (SamplingData[[#This Row],[Running (cumulative) sum]] * ('General Info'!$B$40 -'General Info'!$B$41 + 1)) + 'General Info'!$B$41 - 1, 0)</f>
        <v>51809.335197029643</v>
      </c>
      <c r="W1523" s="100" t="str">
        <f>IF(ISERROR(MATCH(SamplingData[[#This Row],[Batch by Type (p)]],SelectedPrecincts[Batch Name], 0)), "", INDEX(SelectedPrecincts[Draw], MATCH(SamplingData[[#This Row],[Batch by Type (p)]],SelectedPrecincts[Batch Name], 0)))</f>
        <v/>
      </c>
      <c r="X1523" s="102">
        <f>IF(COUNTIF(SelectedPrecincts[Batch Name],SamplingData[[#This Row],[Batch by Type (p)]]) &lt;&gt; 0, COUNTIF(SelectedPrecincts[Batch Name],SamplingData[[#This Row],[Batch by Type (p)]]), 0)</f>
        <v>0</v>
      </c>
    </row>
    <row r="1524" spans="1:24" ht="15" customHeight="1">
      <c r="A1524" s="18" t="s">
        <v>1700</v>
      </c>
      <c r="B1524" s="18">
        <v>21</v>
      </c>
      <c r="C1524" s="18">
        <v>20</v>
      </c>
      <c r="D1524" s="18">
        <v>3</v>
      </c>
      <c r="E1524" s="18">
        <v>1</v>
      </c>
      <c r="F1524" s="18">
        <v>0</v>
      </c>
      <c r="G1524" s="18">
        <v>0</v>
      </c>
      <c r="H1524" s="18">
        <v>0</v>
      </c>
      <c r="I1524" s="18">
        <v>1</v>
      </c>
      <c r="J1524" s="99">
        <f>SUM(SamplingData[[#This Row],[Losing Candidate]:[Under Votes]])</f>
        <v>46</v>
      </c>
      <c r="K1524"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524" s="100">
        <f>IF(AND(SamplingData[[#This Row],[Total]]&lt;&gt; 0, NOT(ISBLANK(SamplingData[[#This Row],[Candidate 3]]))),(SamplingData[[#This Row],[Total]]+SamplingData[[#This Row],[Winning Candidate]]-SamplingData[[#This Row],[Candidate 3]])/(SamplingData[[#Totals],[Winning Candidate]]-SamplingData[[#Totals],[Candidate 3]]), 0)</f>
        <v>2.0324547536858407E-3</v>
      </c>
      <c r="M1524" s="100">
        <f>IF(AND(SamplingData[[#This Row],[Total]]&lt;&gt; 0, NOT(ISBLANK(SamplingData[[#This Row],[Candidate 4]]))),(SamplingData[[#This Row],[Total]]+SamplingData[[#This Row],[Winning Candidate]]-SamplingData[[#This Row],[Candidate 4]])/(SamplingData[[#Totals],[Winning Candidate]]-SamplingData[[#Totals],[Candidate 4]]), 0)</f>
        <v>1.9000847730129499E-3</v>
      </c>
      <c r="N1524" s="100">
        <f>IF(AND(SamplingData[[#This Row],[Total]]&lt;&gt; 0, NOT(ISBLANK(SamplingData[[#This Row],[Candidate 5]]))),(SamplingData[[#This Row],[Total]]+SamplingData[[#This Row],[Winning Candidate]]-SamplingData[[#This Row],[Candidate 5]])/(SamplingData[[#Totals],[Winning Candidate]]-SamplingData[[#Totals],[Candidate 5]]), 0)</f>
        <v>1.6054487959134031E-3</v>
      </c>
      <c r="O1524" s="100">
        <f>IF(AND(SamplingData[[#This Row],[Total]]&lt;&gt; 0, NOT(ISBLANK(SamplingData[[#This Row],[Candidate 6]]))),(SamplingData[[#This Row],[Total]]+SamplingData[[#This Row],[Winning Candidate]]-SamplingData[[#This Row],[Candidate 6]])/(SamplingData[[#Totals],[Winning Candidate]]-SamplingData[[#Totals],[Candidate 6]]), 0)</f>
        <v>1.6049803025144692E-3</v>
      </c>
      <c r="P1524" s="100">
        <f>MAX(SamplingData[[#This Row],[Error Bound (up) - Max. possible relative overstatement - Losing Candidate]:[Error Bound (up) - Max. possible relative overstatement - Candidate 6]])</f>
        <v>2.7560019598236157E-3</v>
      </c>
      <c r="Q1524" s="100">
        <f>IF(SamplingData[[#This Row],[Max Error Bound (up)]] = 0,0,SamplingData[[#This Row],[Max Error Bound (up)]]/SamplingData[[#Totals],[Max Error Bound (up)]])</f>
        <v>4.3618267253006237E-4</v>
      </c>
      <c r="R1524" s="101">
        <f>SUM($Q$5:Q1524)</f>
        <v>0.51853953464282654</v>
      </c>
      <c r="S1524" s="100" t="str">
        <f t="array" ref="S1524">IF(SamplingData[[#This Row],[up/U Selection Probability]] = 0, "Zero", TEXT(SamplingData[[#This Row],[Lower Range]], REPT("0",LEN('General Info'!$B$40))) &amp; " - " &amp; TEXT(SamplingData[[#This Row],[Upper Range]], REPT("0",LEN('General Info'!$B$40))))</f>
        <v>51810 - 51853</v>
      </c>
      <c r="T1524" s="100">
        <f>SamplingData[[#This Row],[Upper Range]]-SamplingData[[#This Row],[Span]]</f>
        <v>51810.335633212322</v>
      </c>
      <c r="U1524" s="100">
        <f>IF(ISNUMBER('General Info'!$B$40), ((SamplingData[[#This Row],[up/U Selection Probability]]) * 'General Info'!$B$40) - 1, 0)</f>
        <v>42.617831070333708</v>
      </c>
      <c r="V1524" s="100">
        <f>IF(ISNUMBER('General Info'!$B$40), (SamplingData[[#This Row],[Running (cumulative) sum]] * ('General Info'!$B$40 -'General Info'!$B$41 + 1)) + 'General Info'!$B$41 - 1, 0)</f>
        <v>51852.953464282655</v>
      </c>
      <c r="W1524" s="100" t="str">
        <f>IF(ISERROR(MATCH(SamplingData[[#This Row],[Batch by Type (p)]],SelectedPrecincts[Batch Name], 0)), "", INDEX(SelectedPrecincts[Draw], MATCH(SamplingData[[#This Row],[Batch by Type (p)]],SelectedPrecincts[Batch Name], 0)))</f>
        <v/>
      </c>
      <c r="X1524" s="102">
        <f>IF(COUNTIF(SelectedPrecincts[Batch Name],SamplingData[[#This Row],[Batch by Type (p)]]) &lt;&gt; 0, COUNTIF(SelectedPrecincts[Batch Name],SamplingData[[#This Row],[Batch by Type (p)]]), 0)</f>
        <v>0</v>
      </c>
    </row>
    <row r="1525" spans="1:24" ht="15" customHeight="1">
      <c r="A1525" s="18" t="s">
        <v>1701</v>
      </c>
      <c r="B1525" s="18">
        <v>18</v>
      </c>
      <c r="C1525" s="18">
        <v>37</v>
      </c>
      <c r="D1525" s="16">
        <v>12</v>
      </c>
      <c r="E1525" s="16">
        <v>5</v>
      </c>
      <c r="F1525" s="37">
        <v>0</v>
      </c>
      <c r="G1525" s="37">
        <v>0</v>
      </c>
      <c r="H1525" s="17">
        <v>1</v>
      </c>
      <c r="I1525" s="17">
        <v>1</v>
      </c>
      <c r="J1525" s="99">
        <f>SUM(SamplingData[[#This Row],[Losing Candidate]:[Under Votes]])</f>
        <v>74</v>
      </c>
      <c r="K1525" s="100">
        <f>IF(AND(SamplingData[[#This Row],[Total]]&lt;&gt; 0, NOT(ISBLANK(SamplingData[[#This Row],[Losing Candidate]]))),(SamplingData[[#This Row],[Total]]+SamplingData[[#This Row],[Winning Candidate]]-SamplingData[[#This Row],[Losing Candidate]])/(SamplingData[[#Totals],[Winning Candidate]]-SamplingData[[#Totals],[Losing Candidate]]), 0)</f>
        <v>5.6957373836354725E-3</v>
      </c>
      <c r="L1525" s="100">
        <f>IF(AND(SamplingData[[#This Row],[Total]]&lt;&gt; 0, NOT(ISBLANK(SamplingData[[#This Row],[Candidate 3]]))),(SamplingData[[#This Row],[Total]]+SamplingData[[#This Row],[Winning Candidate]]-SamplingData[[#This Row],[Candidate 3]])/(SamplingData[[#Totals],[Winning Candidate]]-SamplingData[[#Totals],[Candidate 3]]), 0)</f>
        <v>3.1938574700777493E-3</v>
      </c>
      <c r="M1525" s="100">
        <f>IF(AND(SamplingData[[#This Row],[Total]]&lt;&gt; 0, NOT(ISBLANK(SamplingData[[#This Row],[Candidate 4]]))),(SamplingData[[#This Row],[Total]]+SamplingData[[#This Row],[Winning Candidate]]-SamplingData[[#This Row],[Candidate 4]])/(SamplingData[[#Totals],[Winning Candidate]]-SamplingData[[#Totals],[Candidate 4]]), 0)</f>
        <v>3.0985997836826566E-3</v>
      </c>
      <c r="N1525" s="100">
        <f>IF(AND(SamplingData[[#This Row],[Total]]&lt;&gt; 0, NOT(ISBLANK(SamplingData[[#This Row],[Candidate 5]]))),(SamplingData[[#This Row],[Total]]+SamplingData[[#This Row],[Winning Candidate]]-SamplingData[[#This Row],[Candidate 5]])/(SamplingData[[#Totals],[Winning Candidate]]-SamplingData[[#Totals],[Candidate 5]]), 0)</f>
        <v>2.7000729749452686E-3</v>
      </c>
      <c r="O1525" s="100">
        <f>IF(AND(SamplingData[[#This Row],[Total]]&lt;&gt; 0, NOT(ISBLANK(SamplingData[[#This Row],[Candidate 6]]))),(SamplingData[[#This Row],[Total]]+SamplingData[[#This Row],[Winning Candidate]]-SamplingData[[#This Row],[Candidate 6]])/(SamplingData[[#Totals],[Winning Candidate]]-SamplingData[[#Totals],[Candidate 6]]), 0)</f>
        <v>2.6992850542288801E-3</v>
      </c>
      <c r="P1525" s="100">
        <f>MAX(SamplingData[[#This Row],[Error Bound (up) - Max. possible relative overstatement - Losing Candidate]:[Error Bound (up) - Max. possible relative overstatement - Candidate 6]])</f>
        <v>5.6957373836354725E-3</v>
      </c>
      <c r="Q1525" s="100">
        <f>IF(SamplingData[[#This Row],[Max Error Bound (up)]] = 0,0,SamplingData[[#This Row],[Max Error Bound (up)]]/SamplingData[[#Totals],[Max Error Bound (up)]])</f>
        <v>9.0144418989546225E-4</v>
      </c>
      <c r="R1525" s="101">
        <f>SUM($Q$5:Q1525)</f>
        <v>0.519440978832722</v>
      </c>
      <c r="S1525" s="100" t="str">
        <f t="array" ref="S1525">IF(SamplingData[[#This Row],[up/U Selection Probability]] = 0, "Zero", TEXT(SamplingData[[#This Row],[Lower Range]], REPT("0",LEN('General Info'!$B$40))) &amp; " - " &amp; TEXT(SamplingData[[#This Row],[Upper Range]], REPT("0",LEN('General Info'!$B$40))))</f>
        <v>51854 - 51943</v>
      </c>
      <c r="T1525" s="100">
        <f>SamplingData[[#This Row],[Upper Range]]-SamplingData[[#This Row],[Span]]</f>
        <v>51853.954365726844</v>
      </c>
      <c r="U1525" s="100">
        <f>IF(ISNUMBER('General Info'!$B$40), ((SamplingData[[#This Row],[up/U Selection Probability]]) * 'General Info'!$B$40) - 1, 0)</f>
        <v>89.143517545356332</v>
      </c>
      <c r="V1525" s="100">
        <f>IF(ISNUMBER('General Info'!$B$40), (SamplingData[[#This Row],[Running (cumulative) sum]] * ('General Info'!$B$40 -'General Info'!$B$41 + 1)) + 'General Info'!$B$41 - 1, 0)</f>
        <v>51943.097883272203</v>
      </c>
      <c r="W1525" s="100" t="str">
        <f>IF(ISERROR(MATCH(SamplingData[[#This Row],[Batch by Type (p)]],SelectedPrecincts[Batch Name], 0)), "", INDEX(SelectedPrecincts[Draw], MATCH(SamplingData[[#This Row],[Batch by Type (p)]],SelectedPrecincts[Batch Name], 0)))</f>
        <v/>
      </c>
      <c r="X1525" s="102">
        <f>IF(COUNTIF(SelectedPrecincts[Batch Name],SamplingData[[#This Row],[Batch by Type (p)]]) &lt;&gt; 0, COUNTIF(SelectedPrecincts[Batch Name],SamplingData[[#This Row],[Batch by Type (p)]]), 0)</f>
        <v>0</v>
      </c>
    </row>
    <row r="1526" spans="1:24" ht="15" customHeight="1">
      <c r="A1526" s="18" t="s">
        <v>1702</v>
      </c>
      <c r="B1526" s="18">
        <v>14</v>
      </c>
      <c r="C1526" s="18">
        <v>22</v>
      </c>
      <c r="D1526" s="18">
        <v>4</v>
      </c>
      <c r="E1526" s="18">
        <v>3</v>
      </c>
      <c r="F1526" s="18">
        <v>0</v>
      </c>
      <c r="G1526" s="18">
        <v>0</v>
      </c>
      <c r="H1526" s="18">
        <v>0</v>
      </c>
      <c r="I1526" s="18">
        <v>0</v>
      </c>
      <c r="J1526" s="99">
        <f>SUM(SamplingData[[#This Row],[Losing Candidate]:[Under Votes]])</f>
        <v>43</v>
      </c>
      <c r="K1526" s="100">
        <f>IF(AND(SamplingData[[#This Row],[Total]]&lt;&gt; 0, NOT(ISBLANK(SamplingData[[#This Row],[Losing Candidate]]))),(SamplingData[[#This Row],[Total]]+SamplingData[[#This Row],[Winning Candidate]]-SamplingData[[#This Row],[Losing Candidate]])/(SamplingData[[#Totals],[Winning Candidate]]-SamplingData[[#Totals],[Losing Candidate]]), 0)</f>
        <v>3.1234688878000981E-3</v>
      </c>
      <c r="L1526" s="100">
        <f>IF(AND(SamplingData[[#This Row],[Total]]&lt;&gt; 0, NOT(ISBLANK(SamplingData[[#This Row],[Candidate 3]]))),(SamplingData[[#This Row],[Total]]+SamplingData[[#This Row],[Winning Candidate]]-SamplingData[[#This Row],[Candidate 3]])/(SamplingData[[#Totals],[Winning Candidate]]-SamplingData[[#Totals],[Candidate 3]]), 0)</f>
        <v>1.9679323805529567E-3</v>
      </c>
      <c r="M1526" s="100">
        <f>IF(AND(SamplingData[[#This Row],[Total]]&lt;&gt; 0, NOT(ISBLANK(SamplingData[[#This Row],[Candidate 4]]))),(SamplingData[[#This Row],[Total]]+SamplingData[[#This Row],[Winning Candidate]]-SamplingData[[#This Row],[Candidate 4]])/(SamplingData[[#Totals],[Winning Candidate]]-SamplingData[[#Totals],[Candidate 4]]), 0)</f>
        <v>1.8123885527200445E-3</v>
      </c>
      <c r="N1526" s="100">
        <f>IF(AND(SamplingData[[#This Row],[Total]]&lt;&gt; 0, NOT(ISBLANK(SamplingData[[#This Row],[Candidate 5]]))),(SamplingData[[#This Row],[Total]]+SamplingData[[#This Row],[Winning Candidate]]-SamplingData[[#This Row],[Candidate 5]])/(SamplingData[[#Totals],[Winning Candidate]]-SamplingData[[#Totals],[Candidate 5]]), 0)</f>
        <v>1.5811238141571393E-3</v>
      </c>
      <c r="O1526" s="100">
        <f>IF(AND(SamplingData[[#This Row],[Total]]&lt;&gt; 0, NOT(ISBLANK(SamplingData[[#This Row],[Candidate 6]]))),(SamplingData[[#This Row],[Total]]+SamplingData[[#This Row],[Winning Candidate]]-SamplingData[[#This Row],[Candidate 6]])/(SamplingData[[#Totals],[Winning Candidate]]-SamplingData[[#Totals],[Candidate 6]]), 0)</f>
        <v>1.5806624191430378E-3</v>
      </c>
      <c r="P1526" s="100">
        <f>MAX(SamplingData[[#This Row],[Error Bound (up) - Max. possible relative overstatement - Losing Candidate]:[Error Bound (up) - Max. possible relative overstatement - Candidate 6]])</f>
        <v>3.1234688878000981E-3</v>
      </c>
      <c r="Q1526" s="100">
        <f>IF(SamplingData[[#This Row],[Max Error Bound (up)]] = 0,0,SamplingData[[#This Row],[Max Error Bound (up)]]/SamplingData[[#Totals],[Max Error Bound (up)]])</f>
        <v>4.9434036220073741E-4</v>
      </c>
      <c r="R1526" s="101">
        <f>SUM($Q$5:Q1526)</f>
        <v>0.51993531919492275</v>
      </c>
      <c r="S1526" s="100" t="str">
        <f t="array" ref="S1526">IF(SamplingData[[#This Row],[up/U Selection Probability]] = 0, "Zero", TEXT(SamplingData[[#This Row],[Lower Range]], REPT("0",LEN('General Info'!$B$40))) &amp; " - " &amp; TEXT(SamplingData[[#This Row],[Upper Range]], REPT("0",LEN('General Info'!$B$40))))</f>
        <v>51944 - 51993</v>
      </c>
      <c r="T1526" s="100">
        <f>SamplingData[[#This Row],[Upper Range]]-SamplingData[[#This Row],[Span]]</f>
        <v>51944.098377612565</v>
      </c>
      <c r="U1526" s="100">
        <f>IF(ISNUMBER('General Info'!$B$40), ((SamplingData[[#This Row],[up/U Selection Probability]]) * 'General Info'!$B$40) - 1, 0)</f>
        <v>48.433541879711541</v>
      </c>
      <c r="V1526" s="100">
        <f>IF(ISNUMBER('General Info'!$B$40), (SamplingData[[#This Row],[Running (cumulative) sum]] * ('General Info'!$B$40 -'General Info'!$B$41 + 1)) + 'General Info'!$B$41 - 1, 0)</f>
        <v>51992.531919492278</v>
      </c>
      <c r="W1526" s="100" t="str">
        <f>IF(ISERROR(MATCH(SamplingData[[#This Row],[Batch by Type (p)]],SelectedPrecincts[Batch Name], 0)), "", INDEX(SelectedPrecincts[Draw], MATCH(SamplingData[[#This Row],[Batch by Type (p)]],SelectedPrecincts[Batch Name], 0)))</f>
        <v/>
      </c>
      <c r="X1526" s="102">
        <f>IF(COUNTIF(SelectedPrecincts[Batch Name],SamplingData[[#This Row],[Batch by Type (p)]]) &lt;&gt; 0, COUNTIF(SelectedPrecincts[Batch Name],SamplingData[[#This Row],[Batch by Type (p)]]), 0)</f>
        <v>0</v>
      </c>
    </row>
    <row r="1527" spans="1:24" ht="15" customHeight="1">
      <c r="A1527" s="18" t="s">
        <v>1703</v>
      </c>
      <c r="B1527" s="18">
        <v>12</v>
      </c>
      <c r="C1527" s="18">
        <v>10</v>
      </c>
      <c r="D1527" s="16">
        <v>8</v>
      </c>
      <c r="E1527" s="16">
        <v>2</v>
      </c>
      <c r="F1527" s="37">
        <v>0</v>
      </c>
      <c r="G1527" s="37">
        <v>0</v>
      </c>
      <c r="H1527" s="17">
        <v>0</v>
      </c>
      <c r="I1527" s="17">
        <v>0</v>
      </c>
      <c r="J1527" s="99">
        <f>SUM(SamplingData[[#This Row],[Losing Candidate]:[Under Votes]])</f>
        <v>32</v>
      </c>
      <c r="K1527"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1527" s="100">
        <f>IF(AND(SamplingData[[#This Row],[Total]]&lt;&gt; 0, NOT(ISBLANK(SamplingData[[#This Row],[Candidate 3]]))),(SamplingData[[#This Row],[Total]]+SamplingData[[#This Row],[Winning Candidate]]-SamplingData[[#This Row],[Candidate 3]])/(SamplingData[[#Totals],[Winning Candidate]]-SamplingData[[#Totals],[Candidate 3]]), 0)</f>
        <v>1.0968803432590251E-3</v>
      </c>
      <c r="M1527" s="100">
        <f>IF(AND(SamplingData[[#This Row],[Total]]&lt;&gt; 0, NOT(ISBLANK(SamplingData[[#This Row],[Candidate 4]]))),(SamplingData[[#This Row],[Total]]+SamplingData[[#This Row],[Winning Candidate]]-SamplingData[[#This Row],[Candidate 4]])/(SamplingData[[#Totals],[Winning Candidate]]-SamplingData[[#Totals],[Candidate 4]]), 0)</f>
        <v>1.1692829372387384E-3</v>
      </c>
      <c r="N1527" s="100">
        <f>IF(AND(SamplingData[[#This Row],[Total]]&lt;&gt; 0, NOT(ISBLANK(SamplingData[[#This Row],[Candidate 5]]))),(SamplingData[[#This Row],[Total]]+SamplingData[[#This Row],[Winning Candidate]]-SamplingData[[#This Row],[Candidate 5]])/(SamplingData[[#Totals],[Winning Candidate]]-SamplingData[[#Totals],[Candidate 5]]), 0)</f>
        <v>1.0216492337630748E-3</v>
      </c>
      <c r="O1527" s="100">
        <f>IF(AND(SamplingData[[#This Row],[Total]]&lt;&gt; 0, NOT(ISBLANK(SamplingData[[#This Row],[Candidate 6]]))),(SamplingData[[#This Row],[Total]]+SamplingData[[#This Row],[Winning Candidate]]-SamplingData[[#This Row],[Candidate 6]])/(SamplingData[[#Totals],[Winning Candidate]]-SamplingData[[#Totals],[Candidate 6]]), 0)</f>
        <v>1.0213511016001168E-3</v>
      </c>
      <c r="P1527" s="100">
        <f>MAX(SamplingData[[#This Row],[Error Bound (up) - Max. possible relative overstatement - Losing Candidate]:[Error Bound (up) - Max. possible relative overstatement - Candidate 6]])</f>
        <v>1.8373346398824107E-3</v>
      </c>
      <c r="Q1527" s="100">
        <f>IF(SamplingData[[#This Row],[Max Error Bound (up)]] = 0,0,SamplingData[[#This Row],[Max Error Bound (up)]]/SamplingData[[#Totals],[Max Error Bound (up)]])</f>
        <v>2.9078844835337498E-4</v>
      </c>
      <c r="R1527" s="101">
        <f>SUM($Q$5:Q1527)</f>
        <v>0.52022610764327615</v>
      </c>
      <c r="S1527" s="100" t="str">
        <f t="array" ref="S1527">IF(SamplingData[[#This Row],[up/U Selection Probability]] = 0, "Zero", TEXT(SamplingData[[#This Row],[Lower Range]], REPT("0",LEN('General Info'!$B$40))) &amp; " - " &amp; TEXT(SamplingData[[#This Row],[Upper Range]], REPT("0",LEN('General Info'!$B$40))))</f>
        <v>51994 - 52022</v>
      </c>
      <c r="T1527" s="100">
        <f>SamplingData[[#This Row],[Upper Range]]-SamplingData[[#This Row],[Span]]</f>
        <v>51993.532210280726</v>
      </c>
      <c r="U1527" s="100">
        <f>IF(ISNUMBER('General Info'!$B$40), ((SamplingData[[#This Row],[up/U Selection Probability]]) * 'General Info'!$B$40) - 1, 0)</f>
        <v>28.078554046889145</v>
      </c>
      <c r="V1527" s="100">
        <f>IF(ISNUMBER('General Info'!$B$40), (SamplingData[[#This Row],[Running (cumulative) sum]] * ('General Info'!$B$40 -'General Info'!$B$41 + 1)) + 'General Info'!$B$41 - 1, 0)</f>
        <v>52021.610764327612</v>
      </c>
      <c r="W1527" s="100" t="str">
        <f>IF(ISERROR(MATCH(SamplingData[[#This Row],[Batch by Type (p)]],SelectedPrecincts[Batch Name], 0)), "", INDEX(SelectedPrecincts[Draw], MATCH(SamplingData[[#This Row],[Batch by Type (p)]],SelectedPrecincts[Batch Name], 0)))</f>
        <v/>
      </c>
      <c r="X1527" s="102">
        <f>IF(COUNTIF(SelectedPrecincts[Batch Name],SamplingData[[#This Row],[Batch by Type (p)]]) &lt;&gt; 0, COUNTIF(SelectedPrecincts[Batch Name],SamplingData[[#This Row],[Batch by Type (p)]]), 0)</f>
        <v>0</v>
      </c>
    </row>
    <row r="1528" spans="1:24" ht="15" customHeight="1">
      <c r="A1528" s="18" t="s">
        <v>1704</v>
      </c>
      <c r="B1528" s="18">
        <v>5</v>
      </c>
      <c r="C1528" s="18">
        <v>8</v>
      </c>
      <c r="D1528" s="18">
        <v>0</v>
      </c>
      <c r="E1528" s="18">
        <v>4</v>
      </c>
      <c r="F1528" s="18">
        <v>0</v>
      </c>
      <c r="G1528" s="18">
        <v>1</v>
      </c>
      <c r="H1528" s="18">
        <v>0</v>
      </c>
      <c r="I1528" s="18">
        <v>0</v>
      </c>
      <c r="J1528" s="99">
        <f>SUM(SamplingData[[#This Row],[Losing Candidate]:[Under Votes]])</f>
        <v>18</v>
      </c>
      <c r="K1528"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528" s="100">
        <f>IF(AND(SamplingData[[#This Row],[Total]]&lt;&gt; 0, NOT(ISBLANK(SamplingData[[#This Row],[Candidate 3]]))),(SamplingData[[#This Row],[Total]]+SamplingData[[#This Row],[Winning Candidate]]-SamplingData[[#This Row],[Candidate 3]])/(SamplingData[[#Totals],[Winning Candidate]]-SamplingData[[#Totals],[Candidate 3]]), 0)</f>
        <v>8.3879085072748971E-4</v>
      </c>
      <c r="M1528" s="100">
        <f>IF(AND(SamplingData[[#This Row],[Total]]&lt;&gt; 0, NOT(ISBLANK(SamplingData[[#This Row],[Candidate 4]]))),(SamplingData[[#This Row],[Total]]+SamplingData[[#This Row],[Winning Candidate]]-SamplingData[[#This Row],[Candidate 4]])/(SamplingData[[#Totals],[Winning Candidate]]-SamplingData[[#Totals],[Candidate 4]]), 0)</f>
        <v>6.4310561548130605E-4</v>
      </c>
      <c r="N1528" s="100">
        <f>IF(AND(SamplingData[[#This Row],[Total]]&lt;&gt; 0, NOT(ISBLANK(SamplingData[[#This Row],[Candidate 5]]))),(SamplingData[[#This Row],[Total]]+SamplingData[[#This Row],[Winning Candidate]]-SamplingData[[#This Row],[Candidate 5]])/(SamplingData[[#Totals],[Winning Candidate]]-SamplingData[[#Totals],[Candidate 5]]), 0)</f>
        <v>6.3244952566285579E-4</v>
      </c>
      <c r="O1528" s="100">
        <f>IF(AND(SamplingData[[#This Row],[Total]]&lt;&gt; 0, NOT(ISBLANK(SamplingData[[#This Row],[Candidate 6]]))),(SamplingData[[#This Row],[Total]]+SamplingData[[#This Row],[Winning Candidate]]-SamplingData[[#This Row],[Candidate 6]])/(SamplingData[[#Totals],[Winning Candidate]]-SamplingData[[#Totals],[Candidate 6]]), 0)</f>
        <v>6.0794708428578371E-4</v>
      </c>
      <c r="P1528" s="100">
        <f>MAX(SamplingData[[#This Row],[Error Bound (up) - Max. possible relative overstatement - Losing Candidate]:[Error Bound (up) - Max. possible relative overstatement - Candidate 6]])</f>
        <v>1.2861342479176874E-3</v>
      </c>
      <c r="Q1528" s="100">
        <f>IF(SamplingData[[#This Row],[Max Error Bound (up)]] = 0,0,SamplingData[[#This Row],[Max Error Bound (up)]]/SamplingData[[#Totals],[Max Error Bound (up)]])</f>
        <v>2.0355191384736248E-4</v>
      </c>
      <c r="R1528" s="101">
        <f>SUM($Q$5:Q1528)</f>
        <v>0.5204296595571235</v>
      </c>
      <c r="S1528" s="100" t="str">
        <f t="array" ref="S1528">IF(SamplingData[[#This Row],[up/U Selection Probability]] = 0, "Zero", TEXT(SamplingData[[#This Row],[Lower Range]], REPT("0",LEN('General Info'!$B$40))) &amp; " - " &amp; TEXT(SamplingData[[#This Row],[Upper Range]], REPT("0",LEN('General Info'!$B$40))))</f>
        <v>52023 - 52042</v>
      </c>
      <c r="T1528" s="100">
        <f>SamplingData[[#This Row],[Upper Range]]-SamplingData[[#This Row],[Span]]</f>
        <v>52022.610967879533</v>
      </c>
      <c r="U1528" s="100">
        <f>IF(ISNUMBER('General Info'!$B$40), ((SamplingData[[#This Row],[up/U Selection Probability]]) * 'General Info'!$B$40) - 1, 0)</f>
        <v>19.354987832822399</v>
      </c>
      <c r="V1528" s="100">
        <f>IF(ISNUMBER('General Info'!$B$40), (SamplingData[[#This Row],[Running (cumulative) sum]] * ('General Info'!$B$40 -'General Info'!$B$41 + 1)) + 'General Info'!$B$41 - 1, 0)</f>
        <v>52041.965955712352</v>
      </c>
      <c r="W1528" s="100" t="str">
        <f>IF(ISERROR(MATCH(SamplingData[[#This Row],[Batch by Type (p)]],SelectedPrecincts[Batch Name], 0)), "", INDEX(SelectedPrecincts[Draw], MATCH(SamplingData[[#This Row],[Batch by Type (p)]],SelectedPrecincts[Batch Name], 0)))</f>
        <v/>
      </c>
      <c r="X1528" s="102">
        <f>IF(COUNTIF(SelectedPrecincts[Batch Name],SamplingData[[#This Row],[Batch by Type (p)]]) &lt;&gt; 0, COUNTIF(SelectedPrecincts[Batch Name],SamplingData[[#This Row],[Batch by Type (p)]]), 0)</f>
        <v>0</v>
      </c>
    </row>
    <row r="1529" spans="1:24" ht="15" customHeight="1">
      <c r="A1529" s="18" t="s">
        <v>1705</v>
      </c>
      <c r="B1529" s="18">
        <v>15</v>
      </c>
      <c r="C1529" s="18">
        <v>33</v>
      </c>
      <c r="D1529" s="16">
        <v>13</v>
      </c>
      <c r="E1529" s="16">
        <v>8</v>
      </c>
      <c r="F1529" s="37">
        <v>1</v>
      </c>
      <c r="G1529" s="37">
        <v>1</v>
      </c>
      <c r="H1529" s="17">
        <v>0</v>
      </c>
      <c r="I1529" s="17">
        <v>1</v>
      </c>
      <c r="J1529" s="99">
        <f>SUM(SamplingData[[#This Row],[Losing Candidate]:[Under Votes]])</f>
        <v>72</v>
      </c>
      <c r="K1529" s="100">
        <f>IF(AND(SamplingData[[#This Row],[Total]]&lt;&gt; 0, NOT(ISBLANK(SamplingData[[#This Row],[Losing Candidate]]))),(SamplingData[[#This Row],[Total]]+SamplingData[[#This Row],[Winning Candidate]]-SamplingData[[#This Row],[Losing Candidate]])/(SamplingData[[#Totals],[Winning Candidate]]-SamplingData[[#Totals],[Losing Candidate]]), 0)</f>
        <v>5.5120039196472313E-3</v>
      </c>
      <c r="L1529" s="100">
        <f>IF(AND(SamplingData[[#This Row],[Total]]&lt;&gt; 0, NOT(ISBLANK(SamplingData[[#This Row],[Candidate 3]]))),(SamplingData[[#This Row],[Total]]+SamplingData[[#This Row],[Winning Candidate]]-SamplingData[[#This Row],[Candidate 3]])/(SamplingData[[#Totals],[Winning Candidate]]-SamplingData[[#Totals],[Candidate 3]]), 0)</f>
        <v>2.9680291641126563E-3</v>
      </c>
      <c r="M1529" s="100">
        <f>IF(AND(SamplingData[[#This Row],[Total]]&lt;&gt; 0, NOT(ISBLANK(SamplingData[[#This Row],[Candidate 4]]))),(SamplingData[[#This Row],[Total]]+SamplingData[[#This Row],[Winning Candidate]]-SamplingData[[#This Row],[Candidate 4]])/(SamplingData[[#Totals],[Winning Candidate]]-SamplingData[[#Totals],[Candidate 4]]), 0)</f>
        <v>2.8355111228039404E-3</v>
      </c>
      <c r="N1529" s="100">
        <f>IF(AND(SamplingData[[#This Row],[Total]]&lt;&gt; 0, NOT(ISBLANK(SamplingData[[#This Row],[Candidate 5]]))),(SamplingData[[#This Row],[Total]]+SamplingData[[#This Row],[Winning Candidate]]-SamplingData[[#This Row],[Candidate 5]])/(SamplingData[[#Totals],[Winning Candidate]]-SamplingData[[#Totals],[Candidate 5]]), 0)</f>
        <v>2.5297981026514232E-3</v>
      </c>
      <c r="O1529" s="100">
        <f>IF(AND(SamplingData[[#This Row],[Total]]&lt;&gt; 0, NOT(ISBLANK(SamplingData[[#This Row],[Candidate 6]]))),(SamplingData[[#This Row],[Total]]+SamplingData[[#This Row],[Winning Candidate]]-SamplingData[[#This Row],[Candidate 6]])/(SamplingData[[#Totals],[Winning Candidate]]-SamplingData[[#Totals],[Candidate 6]]), 0)</f>
        <v>2.5290598706288604E-3</v>
      </c>
      <c r="P1529" s="100">
        <f>MAX(SamplingData[[#This Row],[Error Bound (up) - Max. possible relative overstatement - Losing Candidate]:[Error Bound (up) - Max. possible relative overstatement - Candidate 6]])</f>
        <v>5.5120039196472313E-3</v>
      </c>
      <c r="Q1529" s="100">
        <f>IF(SamplingData[[#This Row],[Max Error Bound (up)]] = 0,0,SamplingData[[#This Row],[Max Error Bound (up)]]/SamplingData[[#Totals],[Max Error Bound (up)]])</f>
        <v>8.7236534506012473E-4</v>
      </c>
      <c r="R1529" s="101">
        <f>SUM($Q$5:Q1529)</f>
        <v>0.52130202490218358</v>
      </c>
      <c r="S1529" s="100" t="str">
        <f t="array" ref="S1529">IF(SamplingData[[#This Row],[up/U Selection Probability]] = 0, "Zero", TEXT(SamplingData[[#This Row],[Lower Range]], REPT("0",LEN('General Info'!$B$40))) &amp; " - " &amp; TEXT(SamplingData[[#This Row],[Upper Range]], REPT("0",LEN('General Info'!$B$40))))</f>
        <v>52043 - 52129</v>
      </c>
      <c r="T1529" s="100">
        <f>SamplingData[[#This Row],[Upper Range]]-SamplingData[[#This Row],[Span]]</f>
        <v>52042.96682807769</v>
      </c>
      <c r="U1529" s="100">
        <f>IF(ISNUMBER('General Info'!$B$40), ((SamplingData[[#This Row],[up/U Selection Probability]]) * 'General Info'!$B$40) - 1, 0)</f>
        <v>86.235662140667415</v>
      </c>
      <c r="V1529" s="100">
        <f>IF(ISNUMBER('General Info'!$B$40), (SamplingData[[#This Row],[Running (cumulative) sum]] * ('General Info'!$B$40 -'General Info'!$B$41 + 1)) + 'General Info'!$B$41 - 1, 0)</f>
        <v>52129.202490218355</v>
      </c>
      <c r="W1529" s="100" t="str">
        <f>IF(ISERROR(MATCH(SamplingData[[#This Row],[Batch by Type (p)]],SelectedPrecincts[Batch Name], 0)), "", INDEX(SelectedPrecincts[Draw], MATCH(SamplingData[[#This Row],[Batch by Type (p)]],SelectedPrecincts[Batch Name], 0)))</f>
        <v/>
      </c>
      <c r="X1529" s="102">
        <f>IF(COUNTIF(SelectedPrecincts[Batch Name],SamplingData[[#This Row],[Batch by Type (p)]]) &lt;&gt; 0, COUNTIF(SelectedPrecincts[Batch Name],SamplingData[[#This Row],[Batch by Type (p)]]), 0)</f>
        <v>0</v>
      </c>
    </row>
    <row r="1530" spans="1:24" ht="15" customHeight="1">
      <c r="A1530" s="18" t="s">
        <v>1706</v>
      </c>
      <c r="B1530" s="18">
        <v>6</v>
      </c>
      <c r="C1530" s="18">
        <v>5</v>
      </c>
      <c r="D1530" s="18">
        <v>4</v>
      </c>
      <c r="E1530" s="18">
        <v>2</v>
      </c>
      <c r="F1530" s="18">
        <v>0</v>
      </c>
      <c r="G1530" s="18">
        <v>0</v>
      </c>
      <c r="H1530" s="18">
        <v>0</v>
      </c>
      <c r="I1530" s="18">
        <v>1</v>
      </c>
      <c r="J1530" s="99">
        <f>SUM(SamplingData[[#This Row],[Losing Candidate]:[Under Votes]])</f>
        <v>18</v>
      </c>
      <c r="K1530"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530" s="100">
        <f>IF(AND(SamplingData[[#This Row],[Total]]&lt;&gt; 0, NOT(ISBLANK(SamplingData[[#This Row],[Candidate 3]]))),(SamplingData[[#This Row],[Total]]+SamplingData[[#This Row],[Winning Candidate]]-SamplingData[[#This Row],[Candidate 3]])/(SamplingData[[#Totals],[Winning Candidate]]-SamplingData[[#Totals],[Candidate 3]]), 0)</f>
        <v>6.1296254476239632E-4</v>
      </c>
      <c r="M1530" s="100">
        <f>IF(AND(SamplingData[[#This Row],[Total]]&lt;&gt; 0, NOT(ISBLANK(SamplingData[[#This Row],[Candidate 4]]))),(SamplingData[[#This Row],[Total]]+SamplingData[[#This Row],[Winning Candidate]]-SamplingData[[#This Row],[Candidate 4]])/(SamplingData[[#Totals],[Winning Candidate]]-SamplingData[[#Totals],[Candidate 4]]), 0)</f>
        <v>6.1387354205033758E-4</v>
      </c>
      <c r="N1530" s="100">
        <f>IF(AND(SamplingData[[#This Row],[Total]]&lt;&gt; 0, NOT(ISBLANK(SamplingData[[#This Row],[Candidate 5]]))),(SamplingData[[#This Row],[Total]]+SamplingData[[#This Row],[Winning Candidate]]-SamplingData[[#This Row],[Candidate 5]])/(SamplingData[[#Totals],[Winning Candidate]]-SamplingData[[#Totals],[Candidate 5]]), 0)</f>
        <v>5.5947458039406475E-4</v>
      </c>
      <c r="O1530" s="100">
        <f>IF(AND(SamplingData[[#This Row],[Total]]&lt;&gt; 0, NOT(ISBLANK(SamplingData[[#This Row],[Candidate 6]]))),(SamplingData[[#This Row],[Total]]+SamplingData[[#This Row],[Winning Candidate]]-SamplingData[[#This Row],[Candidate 6]])/(SamplingData[[#Totals],[Winning Candidate]]-SamplingData[[#Totals],[Candidate 6]]), 0)</f>
        <v>5.5931131754292105E-4</v>
      </c>
      <c r="P1530" s="100">
        <f>MAX(SamplingData[[#This Row],[Error Bound (up) - Max. possible relative overstatement - Losing Candidate]:[Error Bound (up) - Max. possible relative overstatement - Candidate 6]])</f>
        <v>1.041156295933366E-3</v>
      </c>
      <c r="Q1530" s="100">
        <f>IF(SamplingData[[#This Row],[Max Error Bound (up)]] = 0,0,SamplingData[[#This Row],[Max Error Bound (up)]]/SamplingData[[#Totals],[Max Error Bound (up)]])</f>
        <v>1.6478012073357914E-4</v>
      </c>
      <c r="R1530" s="101">
        <f>SUM($Q$5:Q1530)</f>
        <v>0.5214668050229172</v>
      </c>
      <c r="S1530" s="100" t="str">
        <f t="array" ref="S1530">IF(SamplingData[[#This Row],[up/U Selection Probability]] = 0, "Zero", TEXT(SamplingData[[#This Row],[Lower Range]], REPT("0",LEN('General Info'!$B$40))) &amp; " - " &amp; TEXT(SamplingData[[#This Row],[Upper Range]], REPT("0",LEN('General Info'!$B$40))))</f>
        <v>52130 - 52146</v>
      </c>
      <c r="T1530" s="100">
        <f>SamplingData[[#This Row],[Upper Range]]-SamplingData[[#This Row],[Span]]</f>
        <v>52130.20265499848</v>
      </c>
      <c r="U1530" s="100">
        <f>IF(ISNUMBER('General Info'!$B$40), ((SamplingData[[#This Row],[up/U Selection Probability]]) * 'General Info'!$B$40) - 1, 0)</f>
        <v>15.477847293237179</v>
      </c>
      <c r="V1530" s="100">
        <f>IF(ISNUMBER('General Info'!$B$40), (SamplingData[[#This Row],[Running (cumulative) sum]] * ('General Info'!$B$40 -'General Info'!$B$41 + 1)) + 'General Info'!$B$41 - 1, 0)</f>
        <v>52145.680502291718</v>
      </c>
      <c r="W1530" s="100" t="str">
        <f>IF(ISERROR(MATCH(SamplingData[[#This Row],[Batch by Type (p)]],SelectedPrecincts[Batch Name], 0)), "", INDEX(SelectedPrecincts[Draw], MATCH(SamplingData[[#This Row],[Batch by Type (p)]],SelectedPrecincts[Batch Name], 0)))</f>
        <v/>
      </c>
      <c r="X1530" s="102">
        <f>IF(COUNTIF(SelectedPrecincts[Batch Name],SamplingData[[#This Row],[Batch by Type (p)]]) &lt;&gt; 0, COUNTIF(SelectedPrecincts[Batch Name],SamplingData[[#This Row],[Batch by Type (p)]]), 0)</f>
        <v>0</v>
      </c>
    </row>
    <row r="1531" spans="1:24" ht="15" customHeight="1">
      <c r="A1531" s="18" t="s">
        <v>1707</v>
      </c>
      <c r="B1531" s="18">
        <v>17</v>
      </c>
      <c r="C1531" s="18">
        <v>23</v>
      </c>
      <c r="D1531" s="16">
        <v>12</v>
      </c>
      <c r="E1531" s="16">
        <v>8</v>
      </c>
      <c r="F1531" s="37">
        <v>0</v>
      </c>
      <c r="G1531" s="37">
        <v>0</v>
      </c>
      <c r="H1531" s="17">
        <v>0</v>
      </c>
      <c r="I1531" s="17">
        <v>0</v>
      </c>
      <c r="J1531" s="99">
        <f>SUM(SamplingData[[#This Row],[Losing Candidate]:[Under Votes]])</f>
        <v>60</v>
      </c>
      <c r="K1531" s="100">
        <f>IF(AND(SamplingData[[#This Row],[Total]]&lt;&gt; 0, NOT(ISBLANK(SamplingData[[#This Row],[Losing Candidate]]))),(SamplingData[[#This Row],[Total]]+SamplingData[[#This Row],[Winning Candidate]]-SamplingData[[#This Row],[Losing Candidate]])/(SamplingData[[#Totals],[Winning Candidate]]-SamplingData[[#Totals],[Losing Candidate]]), 0)</f>
        <v>4.0421362077413033E-3</v>
      </c>
      <c r="L1531" s="100">
        <f>IF(AND(SamplingData[[#This Row],[Total]]&lt;&gt; 0, NOT(ISBLANK(SamplingData[[#This Row],[Candidate 3]]))),(SamplingData[[#This Row],[Total]]+SamplingData[[#This Row],[Winning Candidate]]-SamplingData[[#This Row],[Candidate 3]])/(SamplingData[[#Totals],[Winning Candidate]]-SamplingData[[#Totals],[Candidate 3]]), 0)</f>
        <v>2.2905442462173757E-3</v>
      </c>
      <c r="M1531" s="100">
        <f>IF(AND(SamplingData[[#This Row],[Total]]&lt;&gt; 0, NOT(ISBLANK(SamplingData[[#This Row],[Candidate 4]]))),(SamplingData[[#This Row],[Total]]+SamplingData[[#This Row],[Winning Candidate]]-SamplingData[[#This Row],[Candidate 4]])/(SamplingData[[#Totals],[Winning Candidate]]-SamplingData[[#Totals],[Candidate 4]]), 0)</f>
        <v>2.1924055073226346E-3</v>
      </c>
      <c r="N1531" s="100">
        <f>IF(AND(SamplingData[[#This Row],[Total]]&lt;&gt; 0, NOT(ISBLANK(SamplingData[[#This Row],[Candidate 5]]))),(SamplingData[[#This Row],[Total]]+SamplingData[[#This Row],[Winning Candidate]]-SamplingData[[#This Row],[Candidate 5]])/(SamplingData[[#Totals],[Winning Candidate]]-SamplingData[[#Totals],[Candidate 5]]), 0)</f>
        <v>2.0189734857698855E-3</v>
      </c>
      <c r="O1531" s="100">
        <f>IF(AND(SamplingData[[#This Row],[Total]]&lt;&gt; 0, NOT(ISBLANK(SamplingData[[#This Row],[Candidate 6]]))),(SamplingData[[#This Row],[Total]]+SamplingData[[#This Row],[Winning Candidate]]-SamplingData[[#This Row],[Candidate 6]])/(SamplingData[[#Totals],[Winning Candidate]]-SamplingData[[#Totals],[Candidate 6]]), 0)</f>
        <v>2.0183843198288021E-3</v>
      </c>
      <c r="P1531" s="100">
        <f>MAX(SamplingData[[#This Row],[Error Bound (up) - Max. possible relative overstatement - Losing Candidate]:[Error Bound (up) - Max. possible relative overstatement - Candidate 6]])</f>
        <v>4.0421362077413033E-3</v>
      </c>
      <c r="Q1531" s="100">
        <f>IF(SamplingData[[#This Row],[Max Error Bound (up)]] = 0,0,SamplingData[[#This Row],[Max Error Bound (up)]]/SamplingData[[#Totals],[Max Error Bound (up)]])</f>
        <v>6.397345863774249E-4</v>
      </c>
      <c r="R1531" s="101">
        <f>SUM($Q$5:Q1531)</f>
        <v>0.52210653960929465</v>
      </c>
      <c r="S1531" s="100" t="str">
        <f t="array" ref="S1531">IF(SamplingData[[#This Row],[up/U Selection Probability]] = 0, "Zero", TEXT(SamplingData[[#This Row],[Lower Range]], REPT("0",LEN('General Info'!$B$40))) &amp; " - " &amp; TEXT(SamplingData[[#This Row],[Upper Range]], REPT("0",LEN('General Info'!$B$40))))</f>
        <v>52147 - 52210</v>
      </c>
      <c r="T1531" s="100">
        <f>SamplingData[[#This Row],[Upper Range]]-SamplingData[[#This Row],[Span]]</f>
        <v>52146.681142026304</v>
      </c>
      <c r="U1531" s="100">
        <f>IF(ISNUMBER('General Info'!$B$40), ((SamplingData[[#This Row],[up/U Selection Probability]]) * 'General Info'!$B$40) - 1, 0)</f>
        <v>62.97281890315611</v>
      </c>
      <c r="V1531" s="100">
        <f>IF(ISNUMBER('General Info'!$B$40), (SamplingData[[#This Row],[Running (cumulative) sum]] * ('General Info'!$B$40 -'General Info'!$B$41 + 1)) + 'General Info'!$B$41 - 1, 0)</f>
        <v>52209.653960929463</v>
      </c>
      <c r="W1531" s="100" t="str">
        <f>IF(ISERROR(MATCH(SamplingData[[#This Row],[Batch by Type (p)]],SelectedPrecincts[Batch Name], 0)), "", INDEX(SelectedPrecincts[Draw], MATCH(SamplingData[[#This Row],[Batch by Type (p)]],SelectedPrecincts[Batch Name], 0)))</f>
        <v/>
      </c>
      <c r="X1531" s="102">
        <f>IF(COUNTIF(SelectedPrecincts[Batch Name],SamplingData[[#This Row],[Batch by Type (p)]]) &lt;&gt; 0, COUNTIF(SelectedPrecincts[Batch Name],SamplingData[[#This Row],[Batch by Type (p)]]), 0)</f>
        <v>0</v>
      </c>
    </row>
    <row r="1532" spans="1:24" ht="15" customHeight="1">
      <c r="A1532" s="18" t="s">
        <v>1708</v>
      </c>
      <c r="B1532" s="18">
        <v>9</v>
      </c>
      <c r="C1532" s="18">
        <v>11</v>
      </c>
      <c r="D1532" s="18">
        <v>8</v>
      </c>
      <c r="E1532" s="18">
        <v>2</v>
      </c>
      <c r="F1532" s="18">
        <v>0</v>
      </c>
      <c r="G1532" s="18">
        <v>0</v>
      </c>
      <c r="H1532" s="18">
        <v>0</v>
      </c>
      <c r="I1532" s="18">
        <v>0</v>
      </c>
      <c r="J1532" s="99">
        <f>SUM(SamplingData[[#This Row],[Losing Candidate]:[Under Votes]])</f>
        <v>30</v>
      </c>
      <c r="K1532"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532" s="100">
        <f>IF(AND(SamplingData[[#This Row],[Total]]&lt;&gt; 0, NOT(ISBLANK(SamplingData[[#This Row],[Candidate 3]]))),(SamplingData[[#This Row],[Total]]+SamplingData[[#This Row],[Winning Candidate]]-SamplingData[[#This Row],[Candidate 3]])/(SamplingData[[#Totals],[Winning Candidate]]-SamplingData[[#Totals],[Candidate 3]]), 0)</f>
        <v>1.0646191566925831E-3</v>
      </c>
      <c r="M1532" s="100">
        <f>IF(AND(SamplingData[[#This Row],[Total]]&lt;&gt; 0, NOT(ISBLANK(SamplingData[[#This Row],[Candidate 4]]))),(SamplingData[[#This Row],[Total]]+SamplingData[[#This Row],[Winning Candidate]]-SamplingData[[#This Row],[Candidate 4]])/(SamplingData[[#Totals],[Winning Candidate]]-SamplingData[[#Totals],[Candidate 4]]), 0)</f>
        <v>1.14005086380777E-3</v>
      </c>
      <c r="N1532" s="100">
        <f>IF(AND(SamplingData[[#This Row],[Total]]&lt;&gt; 0, NOT(ISBLANK(SamplingData[[#This Row],[Candidate 5]]))),(SamplingData[[#This Row],[Total]]+SamplingData[[#This Row],[Winning Candidate]]-SamplingData[[#This Row],[Candidate 5]])/(SamplingData[[#Totals],[Winning Candidate]]-SamplingData[[#Totals],[Candidate 5]]), 0)</f>
        <v>9.9732425200681099E-4</v>
      </c>
      <c r="O1532" s="100">
        <f>IF(AND(SamplingData[[#This Row],[Total]]&lt;&gt; 0, NOT(ISBLANK(SamplingData[[#This Row],[Candidate 6]]))),(SamplingData[[#This Row],[Total]]+SamplingData[[#This Row],[Winning Candidate]]-SamplingData[[#This Row],[Candidate 6]])/(SamplingData[[#Totals],[Winning Candidate]]-SamplingData[[#Totals],[Candidate 6]]), 0)</f>
        <v>9.9703321822868537E-4</v>
      </c>
      <c r="P1532" s="100">
        <f>MAX(SamplingData[[#This Row],[Error Bound (up) - Max. possible relative overstatement - Losing Candidate]:[Error Bound (up) - Max. possible relative overstatement - Candidate 6]])</f>
        <v>1.9598236158745713E-3</v>
      </c>
      <c r="Q1532" s="100">
        <f>IF(SamplingData[[#This Row],[Max Error Bound (up)]] = 0,0,SamplingData[[#This Row],[Max Error Bound (up)]]/SamplingData[[#Totals],[Max Error Bound (up)]])</f>
        <v>3.1017434491026661E-4</v>
      </c>
      <c r="R1532" s="101">
        <f>SUM($Q$5:Q1532)</f>
        <v>0.52241671395420497</v>
      </c>
      <c r="S1532" s="100" t="str">
        <f t="array" ref="S1532">IF(SamplingData[[#This Row],[up/U Selection Probability]] = 0, "Zero", TEXT(SamplingData[[#This Row],[Lower Range]], REPT("0",LEN('General Info'!$B$40))) &amp; " - " &amp; TEXT(SamplingData[[#This Row],[Upper Range]], REPT("0",LEN('General Info'!$B$40))))</f>
        <v>52211 - 52241</v>
      </c>
      <c r="T1532" s="100">
        <f>SamplingData[[#This Row],[Upper Range]]-SamplingData[[#This Row],[Span]]</f>
        <v>52210.654271103813</v>
      </c>
      <c r="U1532" s="100">
        <f>IF(ISNUMBER('General Info'!$B$40), ((SamplingData[[#This Row],[up/U Selection Probability]]) * 'General Info'!$B$40) - 1, 0)</f>
        <v>30.017124316681752</v>
      </c>
      <c r="V1532" s="100">
        <f>IF(ISNUMBER('General Info'!$B$40), (SamplingData[[#This Row],[Running (cumulative) sum]] * ('General Info'!$B$40 -'General Info'!$B$41 + 1)) + 'General Info'!$B$41 - 1, 0)</f>
        <v>52240.671395420497</v>
      </c>
      <c r="W1532" s="100" t="str">
        <f>IF(ISERROR(MATCH(SamplingData[[#This Row],[Batch by Type (p)]],SelectedPrecincts[Batch Name], 0)), "", INDEX(SelectedPrecincts[Draw], MATCH(SamplingData[[#This Row],[Batch by Type (p)]],SelectedPrecincts[Batch Name], 0)))</f>
        <v/>
      </c>
      <c r="X1532" s="102">
        <f>IF(COUNTIF(SelectedPrecincts[Batch Name],SamplingData[[#This Row],[Batch by Type (p)]]) &lt;&gt; 0, COUNTIF(SelectedPrecincts[Batch Name],SamplingData[[#This Row],[Batch by Type (p)]]), 0)</f>
        <v>0</v>
      </c>
    </row>
    <row r="1533" spans="1:24" ht="15" customHeight="1">
      <c r="A1533" s="18" t="s">
        <v>1709</v>
      </c>
      <c r="B1533" s="18">
        <v>30</v>
      </c>
      <c r="C1533" s="18">
        <v>59</v>
      </c>
      <c r="D1533" s="16">
        <v>13</v>
      </c>
      <c r="E1533" s="16">
        <v>15</v>
      </c>
      <c r="F1533" s="37">
        <v>0</v>
      </c>
      <c r="G1533" s="37">
        <v>0</v>
      </c>
      <c r="H1533" s="17">
        <v>0</v>
      </c>
      <c r="I1533" s="17">
        <v>0</v>
      </c>
      <c r="J1533" s="99">
        <f>SUM(SamplingData[[#This Row],[Losing Candidate]:[Under Votes]])</f>
        <v>117</v>
      </c>
      <c r="K1533" s="100">
        <f>IF(AND(SamplingData[[#This Row],[Total]]&lt;&gt; 0, NOT(ISBLANK(SamplingData[[#This Row],[Losing Candidate]]))),(SamplingData[[#This Row],[Total]]+SamplingData[[#This Row],[Winning Candidate]]-SamplingData[[#This Row],[Losing Candidate]])/(SamplingData[[#Totals],[Winning Candidate]]-SamplingData[[#Totals],[Losing Candidate]]), 0)</f>
        <v>8.9416952474277323E-3</v>
      </c>
      <c r="L1533" s="100">
        <f>IF(AND(SamplingData[[#This Row],[Total]]&lt;&gt; 0, NOT(ISBLANK(SamplingData[[#This Row],[Candidate 3]]))),(SamplingData[[#This Row],[Total]]+SamplingData[[#This Row],[Winning Candidate]]-SamplingData[[#This Row],[Candidate 3]])/(SamplingData[[#Totals],[Winning Candidate]]-SamplingData[[#Totals],[Candidate 3]]), 0)</f>
        <v>5.258573410330032E-3</v>
      </c>
      <c r="M1533" s="100">
        <f>IF(AND(SamplingData[[#This Row],[Total]]&lt;&gt; 0, NOT(ISBLANK(SamplingData[[#This Row],[Candidate 4]]))),(SamplingData[[#This Row],[Total]]+SamplingData[[#This Row],[Winning Candidate]]-SamplingData[[#This Row],[Candidate 4]])/(SamplingData[[#Totals],[Winning Candidate]]-SamplingData[[#Totals],[Candidate 4]]), 0)</f>
        <v>4.7063638223859222E-3</v>
      </c>
      <c r="N1533" s="100">
        <f>IF(AND(SamplingData[[#This Row],[Total]]&lt;&gt; 0, NOT(ISBLANK(SamplingData[[#This Row],[Candidate 5]]))),(SamplingData[[#This Row],[Total]]+SamplingData[[#This Row],[Winning Candidate]]-SamplingData[[#This Row],[Candidate 5]])/(SamplingData[[#Totals],[Winning Candidate]]-SamplingData[[#Totals],[Candidate 5]]), 0)</f>
        <v>4.2811967891024085E-3</v>
      </c>
      <c r="O1533" s="100">
        <f>IF(AND(SamplingData[[#This Row],[Total]]&lt;&gt; 0, NOT(ISBLANK(SamplingData[[#This Row],[Candidate 6]]))),(SamplingData[[#This Row],[Total]]+SamplingData[[#This Row],[Winning Candidate]]-SamplingData[[#This Row],[Candidate 6]])/(SamplingData[[#Totals],[Winning Candidate]]-SamplingData[[#Totals],[Candidate 6]]), 0)</f>
        <v>4.2799474733719173E-3</v>
      </c>
      <c r="P1533" s="100">
        <f>MAX(SamplingData[[#This Row],[Error Bound (up) - Max. possible relative overstatement - Losing Candidate]:[Error Bound (up) - Max. possible relative overstatement - Candidate 6]])</f>
        <v>8.9416952474277323E-3</v>
      </c>
      <c r="Q1533" s="100">
        <f>IF(SamplingData[[#This Row],[Max Error Bound (up)]] = 0,0,SamplingData[[#This Row],[Max Error Bound (up)]]/SamplingData[[#Totals],[Max Error Bound (up)]])</f>
        <v>1.4151704486530916E-3</v>
      </c>
      <c r="R1533" s="101">
        <f>SUM($Q$5:Q1533)</f>
        <v>0.52383188440285811</v>
      </c>
      <c r="S1533" s="100" t="str">
        <f t="array" ref="S1533">IF(SamplingData[[#This Row],[up/U Selection Probability]] = 0, "Zero", TEXT(SamplingData[[#This Row],[Lower Range]], REPT("0",LEN('General Info'!$B$40))) &amp; " - " &amp; TEXT(SamplingData[[#This Row],[Upper Range]], REPT("0",LEN('General Info'!$B$40))))</f>
        <v>52242 - 52382</v>
      </c>
      <c r="T1533" s="100">
        <f>SamplingData[[#This Row],[Upper Range]]-SamplingData[[#This Row],[Span]]</f>
        <v>52241.67281059095</v>
      </c>
      <c r="U1533" s="100">
        <f>IF(ISNUMBER('General Info'!$B$40), ((SamplingData[[#This Row],[up/U Selection Probability]]) * 'General Info'!$B$40) - 1, 0)</f>
        <v>140.51562969486051</v>
      </c>
      <c r="V1533" s="100">
        <f>IF(ISNUMBER('General Info'!$B$40), (SamplingData[[#This Row],[Running (cumulative) sum]] * ('General Info'!$B$40 -'General Info'!$B$41 + 1)) + 'General Info'!$B$41 - 1, 0)</f>
        <v>52382.188440285812</v>
      </c>
      <c r="W1533" s="100" t="str">
        <f>IF(ISERROR(MATCH(SamplingData[[#This Row],[Batch by Type (p)]],SelectedPrecincts[Batch Name], 0)), "", INDEX(SelectedPrecincts[Draw], MATCH(SamplingData[[#This Row],[Batch by Type (p)]],SelectedPrecincts[Batch Name], 0)))</f>
        <v/>
      </c>
      <c r="X1533" s="102">
        <f>IF(COUNTIF(SelectedPrecincts[Batch Name],SamplingData[[#This Row],[Batch by Type (p)]]) &lt;&gt; 0, COUNTIF(SelectedPrecincts[Batch Name],SamplingData[[#This Row],[Batch by Type (p)]]), 0)</f>
        <v>0</v>
      </c>
    </row>
    <row r="1534" spans="1:24" ht="15" customHeight="1">
      <c r="A1534" s="18" t="s">
        <v>1710</v>
      </c>
      <c r="B1534" s="18">
        <v>23</v>
      </c>
      <c r="C1534" s="18">
        <v>20</v>
      </c>
      <c r="D1534" s="18">
        <v>12</v>
      </c>
      <c r="E1534" s="18">
        <v>3</v>
      </c>
      <c r="F1534" s="18">
        <v>0</v>
      </c>
      <c r="G1534" s="18">
        <v>1</v>
      </c>
      <c r="H1534" s="18">
        <v>0</v>
      </c>
      <c r="I1534" s="18">
        <v>0</v>
      </c>
      <c r="J1534" s="99">
        <f>SUM(SamplingData[[#This Row],[Losing Candidate]:[Under Votes]])</f>
        <v>59</v>
      </c>
      <c r="K1534"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1534" s="100">
        <f>IF(AND(SamplingData[[#This Row],[Total]]&lt;&gt; 0, NOT(ISBLANK(SamplingData[[#This Row],[Candidate 3]]))),(SamplingData[[#This Row],[Total]]+SamplingData[[#This Row],[Winning Candidate]]-SamplingData[[#This Row],[Candidate 3]])/(SamplingData[[#Totals],[Winning Candidate]]-SamplingData[[#Totals],[Candidate 3]]), 0)</f>
        <v>2.1614994999516082E-3</v>
      </c>
      <c r="M1534" s="100">
        <f>IF(AND(SamplingData[[#This Row],[Total]]&lt;&gt; 0, NOT(ISBLANK(SamplingData[[#This Row],[Candidate 4]]))),(SamplingData[[#This Row],[Total]]+SamplingData[[#This Row],[Winning Candidate]]-SamplingData[[#This Row],[Candidate 4]])/(SamplingData[[#Totals],[Winning Candidate]]-SamplingData[[#Totals],[Candidate 4]]), 0)</f>
        <v>2.221637580753603E-3</v>
      </c>
      <c r="N1534" s="100">
        <f>IF(AND(SamplingData[[#This Row],[Total]]&lt;&gt; 0, NOT(ISBLANK(SamplingData[[#This Row],[Candidate 5]]))),(SamplingData[[#This Row],[Total]]+SamplingData[[#This Row],[Winning Candidate]]-SamplingData[[#This Row],[Candidate 5]])/(SamplingData[[#Totals],[Winning Candidate]]-SamplingData[[#Totals],[Candidate 5]]), 0)</f>
        <v>1.921673558744831E-3</v>
      </c>
      <c r="O1534" s="100">
        <f>IF(AND(SamplingData[[#This Row],[Total]]&lt;&gt; 0, NOT(ISBLANK(SamplingData[[#This Row],[Candidate 6]]))),(SamplingData[[#This Row],[Total]]+SamplingData[[#This Row],[Winning Candidate]]-SamplingData[[#This Row],[Candidate 6]])/(SamplingData[[#Totals],[Winning Candidate]]-SamplingData[[#Totals],[Candidate 6]]), 0)</f>
        <v>1.8967949029716454E-3</v>
      </c>
      <c r="P1534" s="100">
        <f>MAX(SamplingData[[#This Row],[Error Bound (up) - Max. possible relative overstatement - Losing Candidate]:[Error Bound (up) - Max. possible relative overstatement - Candidate 6]])</f>
        <v>3.4296913277804997E-3</v>
      </c>
      <c r="Q1534" s="100">
        <f>IF(SamplingData[[#This Row],[Max Error Bound (up)]] = 0,0,SamplingData[[#This Row],[Max Error Bound (up)]]/SamplingData[[#Totals],[Max Error Bound (up)]])</f>
        <v>5.4280510359296661E-4</v>
      </c>
      <c r="R1534" s="101">
        <f>SUM($Q$5:Q1534)</f>
        <v>0.52437468950645105</v>
      </c>
      <c r="S1534" s="100" t="str">
        <f t="array" ref="S1534">IF(SamplingData[[#This Row],[up/U Selection Probability]] = 0, "Zero", TEXT(SamplingData[[#This Row],[Lower Range]], REPT("0",LEN('General Info'!$B$40))) &amp; " - " &amp; TEXT(SamplingData[[#This Row],[Upper Range]], REPT("0",LEN('General Info'!$B$40))))</f>
        <v>52383 - 52436</v>
      </c>
      <c r="T1534" s="100">
        <f>SamplingData[[#This Row],[Upper Range]]-SamplingData[[#This Row],[Span]]</f>
        <v>52383.188983090913</v>
      </c>
      <c r="U1534" s="100">
        <f>IF(ISNUMBER('General Info'!$B$40), ((SamplingData[[#This Row],[up/U Selection Probability]]) * 'General Info'!$B$40) - 1, 0)</f>
        <v>53.279967554193071</v>
      </c>
      <c r="V1534" s="100">
        <f>IF(ISNUMBER('General Info'!$B$40), (SamplingData[[#This Row],[Running (cumulative) sum]] * ('General Info'!$B$40 -'General Info'!$B$41 + 1)) + 'General Info'!$B$41 - 1, 0)</f>
        <v>52436.468950645103</v>
      </c>
      <c r="W1534" s="100" t="str">
        <f>IF(ISERROR(MATCH(SamplingData[[#This Row],[Batch by Type (p)]],SelectedPrecincts[Batch Name], 0)), "", INDEX(SelectedPrecincts[Draw], MATCH(SamplingData[[#This Row],[Batch by Type (p)]],SelectedPrecincts[Batch Name], 0)))</f>
        <v/>
      </c>
      <c r="X1534" s="102">
        <f>IF(COUNTIF(SelectedPrecincts[Batch Name],SamplingData[[#This Row],[Batch by Type (p)]]) &lt;&gt; 0, COUNTIF(SelectedPrecincts[Batch Name],SamplingData[[#This Row],[Batch by Type (p)]]), 0)</f>
        <v>0</v>
      </c>
    </row>
    <row r="1535" spans="1:24" ht="15" customHeight="1">
      <c r="A1535" s="18" t="s">
        <v>1711</v>
      </c>
      <c r="B1535" s="18">
        <v>3</v>
      </c>
      <c r="C1535" s="18">
        <v>2</v>
      </c>
      <c r="D1535" s="16">
        <v>0</v>
      </c>
      <c r="E1535" s="16">
        <v>0</v>
      </c>
      <c r="F1535" s="37">
        <v>0</v>
      </c>
      <c r="G1535" s="37">
        <v>2</v>
      </c>
      <c r="H1535" s="17">
        <v>0</v>
      </c>
      <c r="I1535" s="17">
        <v>0</v>
      </c>
      <c r="J1535" s="99">
        <f>SUM(SamplingData[[#This Row],[Losing Candidate]:[Under Votes]])</f>
        <v>7</v>
      </c>
      <c r="K1535"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535" s="100">
        <f>IF(AND(SamplingData[[#This Row],[Total]]&lt;&gt; 0, NOT(ISBLANK(SamplingData[[#This Row],[Candidate 3]]))),(SamplingData[[#This Row],[Total]]+SamplingData[[#This Row],[Winning Candidate]]-SamplingData[[#This Row],[Candidate 3]])/(SamplingData[[#Totals],[Winning Candidate]]-SamplingData[[#Totals],[Candidate 3]]), 0)</f>
        <v>2.9035067909797722E-4</v>
      </c>
      <c r="M1535" s="100">
        <f>IF(AND(SamplingData[[#This Row],[Total]]&lt;&gt; 0, NOT(ISBLANK(SamplingData[[#This Row],[Candidate 4]]))),(SamplingData[[#This Row],[Total]]+SamplingData[[#This Row],[Winning Candidate]]-SamplingData[[#This Row],[Candidate 4]])/(SamplingData[[#Totals],[Winning Candidate]]-SamplingData[[#Totals],[Candidate 4]]), 0)</f>
        <v>2.6308866087871614E-4</v>
      </c>
      <c r="N1535" s="100">
        <f>IF(AND(SamplingData[[#This Row],[Total]]&lt;&gt; 0, NOT(ISBLANK(SamplingData[[#This Row],[Candidate 5]]))),(SamplingData[[#This Row],[Total]]+SamplingData[[#This Row],[Winning Candidate]]-SamplingData[[#This Row],[Candidate 5]])/(SamplingData[[#Totals],[Winning Candidate]]-SamplingData[[#Totals],[Candidate 5]]), 0)</f>
        <v>2.1892483580637315E-4</v>
      </c>
      <c r="O1535" s="100">
        <f>IF(AND(SamplingData[[#This Row],[Total]]&lt;&gt; 0, NOT(ISBLANK(SamplingData[[#This Row],[Candidate 6]]))),(SamplingData[[#This Row],[Total]]+SamplingData[[#This Row],[Winning Candidate]]-SamplingData[[#This Row],[Candidate 6]])/(SamplingData[[#Totals],[Winning Candidate]]-SamplingData[[#Totals],[Candidate 6]]), 0)</f>
        <v>1.7022518360001944E-4</v>
      </c>
      <c r="P1535" s="100">
        <f>MAX(SamplingData[[#This Row],[Error Bound (up) - Max. possible relative overstatement - Losing Candidate]:[Error Bound (up) - Max. possible relative overstatement - Candidate 6]])</f>
        <v>3.6746692797648211E-4</v>
      </c>
      <c r="Q1535" s="100">
        <f>IF(SamplingData[[#This Row],[Max Error Bound (up)]] = 0,0,SamplingData[[#This Row],[Max Error Bound (up)]]/SamplingData[[#Totals],[Max Error Bound (up)]])</f>
        <v>5.8157689670674986E-5</v>
      </c>
      <c r="R1535" s="101">
        <f>SUM($Q$5:Q1535)</f>
        <v>0.52443284719612171</v>
      </c>
      <c r="S1535" s="100" t="str">
        <f t="array" ref="S1535">IF(SamplingData[[#This Row],[up/U Selection Probability]] = 0, "Zero", TEXT(SamplingData[[#This Row],[Lower Range]], REPT("0",LEN('General Info'!$B$40))) &amp; " - " &amp; TEXT(SamplingData[[#This Row],[Upper Range]], REPT("0",LEN('General Info'!$B$40))))</f>
        <v>52437 - 52442</v>
      </c>
      <c r="T1535" s="100">
        <f>SamplingData[[#This Row],[Upper Range]]-SamplingData[[#This Row],[Span]]</f>
        <v>52437.469008802793</v>
      </c>
      <c r="U1535" s="100">
        <f>IF(ISNUMBER('General Info'!$B$40), ((SamplingData[[#This Row],[up/U Selection Probability]]) * 'General Info'!$B$40) - 1, 0)</f>
        <v>4.815710809377828</v>
      </c>
      <c r="V1535" s="100">
        <f>IF(ISNUMBER('General Info'!$B$40), (SamplingData[[#This Row],[Running (cumulative) sum]] * ('General Info'!$B$40 -'General Info'!$B$41 + 1)) + 'General Info'!$B$41 - 1, 0)</f>
        <v>52442.284719612173</v>
      </c>
      <c r="W1535" s="100" t="str">
        <f>IF(ISERROR(MATCH(SamplingData[[#This Row],[Batch by Type (p)]],SelectedPrecincts[Batch Name], 0)), "", INDEX(SelectedPrecincts[Draw], MATCH(SamplingData[[#This Row],[Batch by Type (p)]],SelectedPrecincts[Batch Name], 0)))</f>
        <v/>
      </c>
      <c r="X1535" s="102">
        <f>IF(COUNTIF(SelectedPrecincts[Batch Name],SamplingData[[#This Row],[Batch by Type (p)]]) &lt;&gt; 0, COUNTIF(SelectedPrecincts[Batch Name],SamplingData[[#This Row],[Batch by Type (p)]]), 0)</f>
        <v>0</v>
      </c>
    </row>
    <row r="1536" spans="1:24" ht="15" customHeight="1">
      <c r="A1536" s="18" t="s">
        <v>1712</v>
      </c>
      <c r="B1536" s="18">
        <v>3</v>
      </c>
      <c r="C1536" s="18">
        <v>2</v>
      </c>
      <c r="D1536" s="18">
        <v>3</v>
      </c>
      <c r="E1536" s="18">
        <v>1</v>
      </c>
      <c r="F1536" s="18">
        <v>0</v>
      </c>
      <c r="G1536" s="18">
        <v>1</v>
      </c>
      <c r="H1536" s="18">
        <v>0</v>
      </c>
      <c r="I1536" s="18">
        <v>0</v>
      </c>
      <c r="J1536" s="99">
        <f>SUM(SamplingData[[#This Row],[Losing Candidate]:[Under Votes]])</f>
        <v>10</v>
      </c>
      <c r="K1536"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536" s="100">
        <f>IF(AND(SamplingData[[#This Row],[Total]]&lt;&gt; 0, NOT(ISBLANK(SamplingData[[#This Row],[Candidate 3]]))),(SamplingData[[#This Row],[Total]]+SamplingData[[#This Row],[Winning Candidate]]-SamplingData[[#This Row],[Candidate 3]])/(SamplingData[[#Totals],[Winning Candidate]]-SamplingData[[#Totals],[Candidate 3]]), 0)</f>
        <v>2.9035067909797722E-4</v>
      </c>
      <c r="M1536" s="100">
        <f>IF(AND(SamplingData[[#This Row],[Total]]&lt;&gt; 0, NOT(ISBLANK(SamplingData[[#This Row],[Candidate 4]]))),(SamplingData[[#This Row],[Total]]+SamplingData[[#This Row],[Winning Candidate]]-SamplingData[[#This Row],[Candidate 4]])/(SamplingData[[#Totals],[Winning Candidate]]-SamplingData[[#Totals],[Candidate 4]]), 0)</f>
        <v>3.2155280774065302E-4</v>
      </c>
      <c r="N1536" s="100">
        <f>IF(AND(SamplingData[[#This Row],[Total]]&lt;&gt; 0, NOT(ISBLANK(SamplingData[[#This Row],[Candidate 5]]))),(SamplingData[[#This Row],[Total]]+SamplingData[[#This Row],[Winning Candidate]]-SamplingData[[#This Row],[Candidate 5]])/(SamplingData[[#Totals],[Winning Candidate]]-SamplingData[[#Totals],[Candidate 5]]), 0)</f>
        <v>2.9189978107516421E-4</v>
      </c>
      <c r="O1536" s="100">
        <f>IF(AND(SamplingData[[#This Row],[Total]]&lt;&gt; 0, NOT(ISBLANK(SamplingData[[#This Row],[Candidate 6]]))),(SamplingData[[#This Row],[Total]]+SamplingData[[#This Row],[Winning Candidate]]-SamplingData[[#This Row],[Candidate 6]])/(SamplingData[[#Totals],[Winning Candidate]]-SamplingData[[#Totals],[Candidate 6]]), 0)</f>
        <v>2.6749671708574483E-4</v>
      </c>
      <c r="P1536" s="100">
        <f>MAX(SamplingData[[#This Row],[Error Bound (up) - Max. possible relative overstatement - Losing Candidate]:[Error Bound (up) - Max. possible relative overstatement - Candidate 6]])</f>
        <v>5.5120039196472322E-4</v>
      </c>
      <c r="Q1536" s="100">
        <f>IF(SamplingData[[#This Row],[Max Error Bound (up)]] = 0,0,SamplingData[[#This Row],[Max Error Bound (up)]]/SamplingData[[#Totals],[Max Error Bound (up)]])</f>
        <v>8.7236534506012492E-5</v>
      </c>
      <c r="R1536" s="101">
        <f>SUM($Q$5:Q1536)</f>
        <v>0.52452008373062775</v>
      </c>
      <c r="S1536" s="100" t="str">
        <f t="array" ref="S1536">IF(SamplingData[[#This Row],[up/U Selection Probability]] = 0, "Zero", TEXT(SamplingData[[#This Row],[Lower Range]], REPT("0",LEN('General Info'!$B$40))) &amp; " - " &amp; TEXT(SamplingData[[#This Row],[Upper Range]], REPT("0",LEN('General Info'!$B$40))))</f>
        <v>52443 - 52451</v>
      </c>
      <c r="T1536" s="100">
        <f>SamplingData[[#This Row],[Upper Range]]-SamplingData[[#This Row],[Span]]</f>
        <v>52443.284806848707</v>
      </c>
      <c r="U1536" s="100">
        <f>IF(ISNUMBER('General Info'!$B$40), ((SamplingData[[#This Row],[up/U Selection Probability]]) * 'General Info'!$B$40) - 1, 0)</f>
        <v>7.7235662140667429</v>
      </c>
      <c r="V1536" s="100">
        <f>IF(ISNUMBER('General Info'!$B$40), (SamplingData[[#This Row],[Running (cumulative) sum]] * ('General Info'!$B$40 -'General Info'!$B$41 + 1)) + 'General Info'!$B$41 - 1, 0)</f>
        <v>52451.008373062774</v>
      </c>
      <c r="W1536" s="100" t="str">
        <f>IF(ISERROR(MATCH(SamplingData[[#This Row],[Batch by Type (p)]],SelectedPrecincts[Batch Name], 0)), "", INDEX(SelectedPrecincts[Draw], MATCH(SamplingData[[#This Row],[Batch by Type (p)]],SelectedPrecincts[Batch Name], 0)))</f>
        <v/>
      </c>
      <c r="X1536" s="102">
        <f>IF(COUNTIF(SelectedPrecincts[Batch Name],SamplingData[[#This Row],[Batch by Type (p)]]) &lt;&gt; 0, COUNTIF(SelectedPrecincts[Batch Name],SamplingData[[#This Row],[Batch by Type (p)]]), 0)</f>
        <v>0</v>
      </c>
    </row>
    <row r="1537" spans="1:24" ht="15" customHeight="1">
      <c r="A1537" s="18" t="s">
        <v>1713</v>
      </c>
      <c r="B1537" s="18">
        <v>41</v>
      </c>
      <c r="C1537" s="18">
        <v>47</v>
      </c>
      <c r="D1537" s="16">
        <v>17</v>
      </c>
      <c r="E1537" s="16">
        <v>18</v>
      </c>
      <c r="F1537" s="37">
        <v>1</v>
      </c>
      <c r="G1537" s="37">
        <v>0</v>
      </c>
      <c r="H1537" s="17">
        <v>0</v>
      </c>
      <c r="I1537" s="17">
        <v>0</v>
      </c>
      <c r="J1537" s="99">
        <f>SUM(SamplingData[[#This Row],[Losing Candidate]:[Under Votes]])</f>
        <v>124</v>
      </c>
      <c r="K1537" s="100">
        <f>IF(AND(SamplingData[[#This Row],[Total]]&lt;&gt; 0, NOT(ISBLANK(SamplingData[[#This Row],[Losing Candidate]]))),(SamplingData[[#This Row],[Total]]+SamplingData[[#This Row],[Winning Candidate]]-SamplingData[[#This Row],[Losing Candidate]])/(SamplingData[[#Totals],[Winning Candidate]]-SamplingData[[#Totals],[Losing Candidate]]), 0)</f>
        <v>7.9617834394904458E-3</v>
      </c>
      <c r="L1537" s="100">
        <f>IF(AND(SamplingData[[#This Row],[Total]]&lt;&gt; 0, NOT(ISBLANK(SamplingData[[#This Row],[Candidate 3]]))),(SamplingData[[#This Row],[Total]]+SamplingData[[#This Row],[Winning Candidate]]-SamplingData[[#This Row],[Candidate 3]])/(SamplingData[[#Totals],[Winning Candidate]]-SamplingData[[#Totals],[Candidate 3]]), 0)</f>
        <v>4.9682227312320545E-3</v>
      </c>
      <c r="M1537" s="100">
        <f>IF(AND(SamplingData[[#This Row],[Total]]&lt;&gt; 0, NOT(ISBLANK(SamplingData[[#This Row],[Candidate 4]]))),(SamplingData[[#This Row],[Total]]+SamplingData[[#This Row],[Winning Candidate]]-SamplingData[[#This Row],[Candidate 4]])/(SamplingData[[#Totals],[Winning Candidate]]-SamplingData[[#Totals],[Candidate 4]]), 0)</f>
        <v>4.4725072349381745E-3</v>
      </c>
      <c r="N1537" s="100">
        <f>IF(AND(SamplingData[[#This Row],[Total]]&lt;&gt; 0, NOT(ISBLANK(SamplingData[[#This Row],[Candidate 5]]))),(SamplingData[[#This Row],[Total]]+SamplingData[[#This Row],[Winning Candidate]]-SamplingData[[#This Row],[Candidate 5]])/(SamplingData[[#Totals],[Winning Candidate]]-SamplingData[[#Totals],[Candidate 5]]), 0)</f>
        <v>4.1352468985648263E-3</v>
      </c>
      <c r="O1537" s="100">
        <f>IF(AND(SamplingData[[#This Row],[Total]]&lt;&gt; 0, NOT(ISBLANK(SamplingData[[#This Row],[Candidate 6]]))),(SamplingData[[#This Row],[Total]]+SamplingData[[#This Row],[Winning Candidate]]-SamplingData[[#This Row],[Candidate 6]])/(SamplingData[[#Totals],[Winning Candidate]]-SamplingData[[#Totals],[Candidate 6]]), 0)</f>
        <v>4.1583580565147608E-3</v>
      </c>
      <c r="P1537" s="100">
        <f>MAX(SamplingData[[#This Row],[Error Bound (up) - Max. possible relative overstatement - Losing Candidate]:[Error Bound (up) - Max. possible relative overstatement - Candidate 6]])</f>
        <v>7.9617834394904458E-3</v>
      </c>
      <c r="Q1537" s="100">
        <f>IF(SamplingData[[#This Row],[Max Error Bound (up)]] = 0,0,SamplingData[[#This Row],[Max Error Bound (up)]]/SamplingData[[#Totals],[Max Error Bound (up)]])</f>
        <v>1.2600832761979581E-3</v>
      </c>
      <c r="R1537" s="101">
        <f>SUM($Q$5:Q1537)</f>
        <v>0.52578016700682573</v>
      </c>
      <c r="S1537" s="100" t="str">
        <f t="array" ref="S1537">IF(SamplingData[[#This Row],[up/U Selection Probability]] = 0, "Zero", TEXT(SamplingData[[#This Row],[Lower Range]], REPT("0",LEN('General Info'!$B$40))) &amp; " - " &amp; TEXT(SamplingData[[#This Row],[Upper Range]], REPT("0",LEN('General Info'!$B$40))))</f>
        <v>52452 - 52577</v>
      </c>
      <c r="T1537" s="100">
        <f>SamplingData[[#This Row],[Upper Range]]-SamplingData[[#This Row],[Span]]</f>
        <v>52452.009633146052</v>
      </c>
      <c r="U1537" s="100">
        <f>IF(ISNUMBER('General Info'!$B$40), ((SamplingData[[#This Row],[up/U Selection Probability]]) * 'General Info'!$B$40) - 1, 0)</f>
        <v>125.00706753651961</v>
      </c>
      <c r="V1537" s="100">
        <f>IF(ISNUMBER('General Info'!$B$40), (SamplingData[[#This Row],[Running (cumulative) sum]] * ('General Info'!$B$40 -'General Info'!$B$41 + 1)) + 'General Info'!$B$41 - 1, 0)</f>
        <v>52577.016700682572</v>
      </c>
      <c r="W1537" s="100" t="str">
        <f>IF(ISERROR(MATCH(SamplingData[[#This Row],[Batch by Type (p)]],SelectedPrecincts[Batch Name], 0)), "", INDEX(SelectedPrecincts[Draw], MATCH(SamplingData[[#This Row],[Batch by Type (p)]],SelectedPrecincts[Batch Name], 0)))</f>
        <v/>
      </c>
      <c r="X1537" s="102">
        <f>IF(COUNTIF(SelectedPrecincts[Batch Name],SamplingData[[#This Row],[Batch by Type (p)]]) &lt;&gt; 0, COUNTIF(SelectedPrecincts[Batch Name],SamplingData[[#This Row],[Batch by Type (p)]]), 0)</f>
        <v>0</v>
      </c>
    </row>
    <row r="1538" spans="1:24" ht="15" customHeight="1">
      <c r="A1538" s="18" t="s">
        <v>1714</v>
      </c>
      <c r="B1538" s="18">
        <v>18</v>
      </c>
      <c r="C1538" s="18">
        <v>19</v>
      </c>
      <c r="D1538" s="18">
        <v>6</v>
      </c>
      <c r="E1538" s="18">
        <v>4</v>
      </c>
      <c r="F1538" s="18">
        <v>0</v>
      </c>
      <c r="G1538" s="18">
        <v>0</v>
      </c>
      <c r="H1538" s="18">
        <v>0</v>
      </c>
      <c r="I1538" s="18">
        <v>0</v>
      </c>
      <c r="J1538" s="99">
        <f>SUM(SamplingData[[#This Row],[Losing Candidate]:[Under Votes]])</f>
        <v>47</v>
      </c>
      <c r="K1538" s="100">
        <f>IF(AND(SamplingData[[#This Row],[Total]]&lt;&gt; 0, NOT(ISBLANK(SamplingData[[#This Row],[Losing Candidate]]))),(SamplingData[[#This Row],[Total]]+SamplingData[[#This Row],[Winning Candidate]]-SamplingData[[#This Row],[Losing Candidate]])/(SamplingData[[#Totals],[Winning Candidate]]-SamplingData[[#Totals],[Losing Candidate]]), 0)</f>
        <v>2.9397354238118569E-3</v>
      </c>
      <c r="L1538" s="100">
        <f>IF(AND(SamplingData[[#This Row],[Total]]&lt;&gt; 0, NOT(ISBLANK(SamplingData[[#This Row],[Candidate 3]]))),(SamplingData[[#This Row],[Total]]+SamplingData[[#This Row],[Winning Candidate]]-SamplingData[[#This Row],[Candidate 3]])/(SamplingData[[#Totals],[Winning Candidate]]-SamplingData[[#Totals],[Candidate 3]]), 0)</f>
        <v>1.9356711939865149E-3</v>
      </c>
      <c r="M1538" s="100">
        <f>IF(AND(SamplingData[[#This Row],[Total]]&lt;&gt; 0, NOT(ISBLANK(SamplingData[[#This Row],[Candidate 4]]))),(SamplingData[[#This Row],[Total]]+SamplingData[[#This Row],[Winning Candidate]]-SamplingData[[#This Row],[Candidate 4]])/(SamplingData[[#Totals],[Winning Candidate]]-SamplingData[[#Totals],[Candidate 4]]), 0)</f>
        <v>1.8123885527200445E-3</v>
      </c>
      <c r="N1538" s="100">
        <f>IF(AND(SamplingData[[#This Row],[Total]]&lt;&gt; 0, NOT(ISBLANK(SamplingData[[#This Row],[Candidate 5]]))),(SamplingData[[#This Row],[Total]]+SamplingData[[#This Row],[Winning Candidate]]-SamplingData[[#This Row],[Candidate 5]])/(SamplingData[[#Totals],[Winning Candidate]]-SamplingData[[#Totals],[Candidate 5]]), 0)</f>
        <v>1.6054487959134031E-3</v>
      </c>
      <c r="O1538" s="100">
        <f>IF(AND(SamplingData[[#This Row],[Total]]&lt;&gt; 0, NOT(ISBLANK(SamplingData[[#This Row],[Candidate 6]]))),(SamplingData[[#This Row],[Total]]+SamplingData[[#This Row],[Winning Candidate]]-SamplingData[[#This Row],[Candidate 6]])/(SamplingData[[#Totals],[Winning Candidate]]-SamplingData[[#Totals],[Candidate 6]]), 0)</f>
        <v>1.6049803025144692E-3</v>
      </c>
      <c r="P1538" s="100">
        <f>MAX(SamplingData[[#This Row],[Error Bound (up) - Max. possible relative overstatement - Losing Candidate]:[Error Bound (up) - Max. possible relative overstatement - Candidate 6]])</f>
        <v>2.9397354238118569E-3</v>
      </c>
      <c r="Q1538" s="100">
        <f>IF(SamplingData[[#This Row],[Max Error Bound (up)]] = 0,0,SamplingData[[#This Row],[Max Error Bound (up)]]/SamplingData[[#Totals],[Max Error Bound (up)]])</f>
        <v>4.6526151736539989E-4</v>
      </c>
      <c r="R1538" s="101">
        <f>SUM($Q$5:Q1538)</f>
        <v>0.52624542852419109</v>
      </c>
      <c r="S1538" s="100" t="str">
        <f t="array" ref="S1538">IF(SamplingData[[#This Row],[up/U Selection Probability]] = 0, "Zero", TEXT(SamplingData[[#This Row],[Lower Range]], REPT("0",LEN('General Info'!$B$40))) &amp; " - " &amp; TEXT(SamplingData[[#This Row],[Upper Range]], REPT("0",LEN('General Info'!$B$40))))</f>
        <v>52578 - 52624</v>
      </c>
      <c r="T1538" s="100">
        <f>SamplingData[[#This Row],[Upper Range]]-SamplingData[[#This Row],[Span]]</f>
        <v>52578.017165944089</v>
      </c>
      <c r="U1538" s="100">
        <f>IF(ISNUMBER('General Info'!$B$40), ((SamplingData[[#This Row],[up/U Selection Probability]]) * 'General Info'!$B$40) - 1, 0)</f>
        <v>45.525686475022624</v>
      </c>
      <c r="V1538" s="100">
        <f>IF(ISNUMBER('General Info'!$B$40), (SamplingData[[#This Row],[Running (cumulative) sum]] * ('General Info'!$B$40 -'General Info'!$B$41 + 1)) + 'General Info'!$B$41 - 1, 0)</f>
        <v>52623.542852419108</v>
      </c>
      <c r="W1538" s="100" t="str">
        <f>IF(ISERROR(MATCH(SamplingData[[#This Row],[Batch by Type (p)]],SelectedPrecincts[Batch Name], 0)), "", INDEX(SelectedPrecincts[Draw], MATCH(SamplingData[[#This Row],[Batch by Type (p)]],SelectedPrecincts[Batch Name], 0)))</f>
        <v/>
      </c>
      <c r="X1538" s="102">
        <f>IF(COUNTIF(SelectedPrecincts[Batch Name],SamplingData[[#This Row],[Batch by Type (p)]]) &lt;&gt; 0, COUNTIF(SelectedPrecincts[Batch Name],SamplingData[[#This Row],[Batch by Type (p)]]), 0)</f>
        <v>0</v>
      </c>
    </row>
    <row r="1539" spans="1:24" ht="15" customHeight="1">
      <c r="A1539" s="18" t="s">
        <v>1715</v>
      </c>
      <c r="B1539" s="18">
        <v>49</v>
      </c>
      <c r="C1539" s="18">
        <v>65</v>
      </c>
      <c r="D1539" s="16">
        <v>15</v>
      </c>
      <c r="E1539" s="16">
        <v>14</v>
      </c>
      <c r="F1539" s="37">
        <v>0</v>
      </c>
      <c r="G1539" s="37">
        <v>0</v>
      </c>
      <c r="H1539" s="17">
        <v>0</v>
      </c>
      <c r="I1539" s="17">
        <v>0</v>
      </c>
      <c r="J1539" s="99">
        <f>SUM(SamplingData[[#This Row],[Losing Candidate]:[Under Votes]])</f>
        <v>143</v>
      </c>
      <c r="K1539" s="100">
        <f>IF(AND(SamplingData[[#This Row],[Total]]&lt;&gt; 0, NOT(ISBLANK(SamplingData[[#This Row],[Losing Candidate]]))),(SamplingData[[#This Row],[Total]]+SamplingData[[#This Row],[Winning Candidate]]-SamplingData[[#This Row],[Losing Candidate]])/(SamplingData[[#Totals],[Winning Candidate]]-SamplingData[[#Totals],[Losing Candidate]]), 0)</f>
        <v>9.7378735913767767E-3</v>
      </c>
      <c r="L1539" s="100">
        <f>IF(AND(SamplingData[[#This Row],[Total]]&lt;&gt; 0, NOT(ISBLANK(SamplingData[[#This Row],[Candidate 3]]))),(SamplingData[[#This Row],[Total]]+SamplingData[[#This Row],[Winning Candidate]]-SamplingData[[#This Row],[Candidate 3]])/(SamplingData[[#Totals],[Winning Candidate]]-SamplingData[[#Totals],[Candidate 3]]), 0)</f>
        <v>6.2264090073232891E-3</v>
      </c>
      <c r="M1539" s="100">
        <f>IF(AND(SamplingData[[#This Row],[Total]]&lt;&gt; 0, NOT(ISBLANK(SamplingData[[#This Row],[Candidate 4]]))),(SamplingData[[#This Row],[Total]]+SamplingData[[#This Row],[Winning Candidate]]-SamplingData[[#This Row],[Candidate 4]])/(SamplingData[[#Totals],[Winning Candidate]]-SamplingData[[#Totals],[Candidate 4]]), 0)</f>
        <v>5.6710222456078808E-3</v>
      </c>
      <c r="N1539" s="100">
        <f>IF(AND(SamplingData[[#This Row],[Total]]&lt;&gt; 0, NOT(ISBLANK(SamplingData[[#This Row],[Candidate 5]]))),(SamplingData[[#This Row],[Total]]+SamplingData[[#This Row],[Winning Candidate]]-SamplingData[[#This Row],[Candidate 5]])/(SamplingData[[#Totals],[Winning Candidate]]-SamplingData[[#Totals],[Candidate 5]]), 0)</f>
        <v>5.0595962053028463E-3</v>
      </c>
      <c r="O1539" s="100">
        <f>IF(AND(SamplingData[[#This Row],[Total]]&lt;&gt; 0, NOT(ISBLANK(SamplingData[[#This Row],[Candidate 6]]))),(SamplingData[[#This Row],[Total]]+SamplingData[[#This Row],[Winning Candidate]]-SamplingData[[#This Row],[Candidate 6]])/(SamplingData[[#Totals],[Winning Candidate]]-SamplingData[[#Totals],[Candidate 6]]), 0)</f>
        <v>5.0581197412577208E-3</v>
      </c>
      <c r="P1539" s="100">
        <f>MAX(SamplingData[[#This Row],[Error Bound (up) - Max. possible relative overstatement - Losing Candidate]:[Error Bound (up) - Max. possible relative overstatement - Candidate 6]])</f>
        <v>9.7378735913767767E-3</v>
      </c>
      <c r="Q1539" s="100">
        <f>IF(SamplingData[[#This Row],[Max Error Bound (up)]] = 0,0,SamplingData[[#This Row],[Max Error Bound (up)]]/SamplingData[[#Totals],[Max Error Bound (up)]])</f>
        <v>1.5411787762728874E-3</v>
      </c>
      <c r="R1539" s="101">
        <f>SUM($Q$5:Q1539)</f>
        <v>0.52778660730046401</v>
      </c>
      <c r="S1539" s="100" t="str">
        <f t="array" ref="S1539">IF(SamplingData[[#This Row],[up/U Selection Probability]] = 0, "Zero", TEXT(SamplingData[[#This Row],[Lower Range]], REPT("0",LEN('General Info'!$B$40))) &amp; " - " &amp; TEXT(SamplingData[[#This Row],[Upper Range]], REPT("0",LEN('General Info'!$B$40))))</f>
        <v>52625 - 52778</v>
      </c>
      <c r="T1539" s="100">
        <f>SamplingData[[#This Row],[Upper Range]]-SamplingData[[#This Row],[Span]]</f>
        <v>52624.544393597891</v>
      </c>
      <c r="U1539" s="100">
        <f>IF(ISNUMBER('General Info'!$B$40), ((SamplingData[[#This Row],[up/U Selection Probability]]) * 'General Info'!$B$40) - 1, 0)</f>
        <v>153.11633644851247</v>
      </c>
      <c r="V1539" s="100">
        <f>IF(ISNUMBER('General Info'!$B$40), (SamplingData[[#This Row],[Running (cumulative) sum]] * ('General Info'!$B$40 -'General Info'!$B$41 + 1)) + 'General Info'!$B$41 - 1, 0)</f>
        <v>52777.660730046402</v>
      </c>
      <c r="W1539" s="100" t="str">
        <f>IF(ISERROR(MATCH(SamplingData[[#This Row],[Batch by Type (p)]],SelectedPrecincts[Batch Name], 0)), "", INDEX(SelectedPrecincts[Draw], MATCH(SamplingData[[#This Row],[Batch by Type (p)]],SelectedPrecincts[Batch Name], 0)))</f>
        <v/>
      </c>
      <c r="X1539" s="102">
        <f>IF(COUNTIF(SelectedPrecincts[Batch Name],SamplingData[[#This Row],[Batch by Type (p)]]) &lt;&gt; 0, COUNTIF(SelectedPrecincts[Batch Name],SamplingData[[#This Row],[Batch by Type (p)]]), 0)</f>
        <v>0</v>
      </c>
    </row>
    <row r="1540" spans="1:24" ht="15" customHeight="1">
      <c r="A1540" s="18" t="s">
        <v>1716</v>
      </c>
      <c r="B1540" s="18">
        <v>43</v>
      </c>
      <c r="C1540" s="18">
        <v>16</v>
      </c>
      <c r="D1540" s="18">
        <v>7</v>
      </c>
      <c r="E1540" s="18">
        <v>5</v>
      </c>
      <c r="F1540" s="18">
        <v>0</v>
      </c>
      <c r="G1540" s="18">
        <v>1</v>
      </c>
      <c r="H1540" s="18">
        <v>0</v>
      </c>
      <c r="I1540" s="18">
        <v>0</v>
      </c>
      <c r="J1540" s="99">
        <f>SUM(SamplingData[[#This Row],[Losing Candidate]:[Under Votes]])</f>
        <v>72</v>
      </c>
      <c r="K1540"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540" s="100">
        <f>IF(AND(SamplingData[[#This Row],[Total]]&lt;&gt; 0, NOT(ISBLANK(SamplingData[[#This Row],[Candidate 3]]))),(SamplingData[[#This Row],[Total]]+SamplingData[[#This Row],[Winning Candidate]]-SamplingData[[#This Row],[Candidate 3]])/(SamplingData[[#Totals],[Winning Candidate]]-SamplingData[[#Totals],[Candidate 3]]), 0)</f>
        <v>2.6131561118817952E-3</v>
      </c>
      <c r="M1540" s="100">
        <f>IF(AND(SamplingData[[#This Row],[Total]]&lt;&gt; 0, NOT(ISBLANK(SamplingData[[#This Row],[Candidate 4]]))),(SamplingData[[#This Row],[Total]]+SamplingData[[#This Row],[Winning Candidate]]-SamplingData[[#This Row],[Candidate 4]])/(SamplingData[[#Totals],[Winning Candidate]]-SamplingData[[#Totals],[Candidate 4]]), 0)</f>
        <v>2.4262620947703819E-3</v>
      </c>
      <c r="N1540" s="100">
        <f>IF(AND(SamplingData[[#This Row],[Total]]&lt;&gt; 0, NOT(ISBLANK(SamplingData[[#This Row],[Candidate 5]]))),(SamplingData[[#This Row],[Total]]+SamplingData[[#This Row],[Winning Candidate]]-SamplingData[[#This Row],[Candidate 5]])/(SamplingData[[#Totals],[Winning Candidate]]-SamplingData[[#Totals],[Candidate 5]]), 0)</f>
        <v>2.1405983945512043E-3</v>
      </c>
      <c r="O1540" s="100">
        <f>IF(AND(SamplingData[[#This Row],[Total]]&lt;&gt; 0, NOT(ISBLANK(SamplingData[[#This Row],[Candidate 6]]))),(SamplingData[[#This Row],[Total]]+SamplingData[[#This Row],[Winning Candidate]]-SamplingData[[#This Row],[Candidate 6]])/(SamplingData[[#Totals],[Winning Candidate]]-SamplingData[[#Totals],[Candidate 6]]), 0)</f>
        <v>2.1156558533145277E-3</v>
      </c>
      <c r="P1540" s="100">
        <f>MAX(SamplingData[[#This Row],[Error Bound (up) - Max. possible relative overstatement - Losing Candidate]:[Error Bound (up) - Max. possible relative overstatement - Candidate 6]])</f>
        <v>2.7560019598236157E-3</v>
      </c>
      <c r="Q1540" s="100">
        <f>IF(SamplingData[[#This Row],[Max Error Bound (up)]] = 0,0,SamplingData[[#This Row],[Max Error Bound (up)]]/SamplingData[[#Totals],[Max Error Bound (up)]])</f>
        <v>4.3618267253006237E-4</v>
      </c>
      <c r="R1540" s="101">
        <f>SUM($Q$5:Q1540)</f>
        <v>0.5282227899729941</v>
      </c>
      <c r="S1540" s="100" t="str">
        <f t="array" ref="S1540">IF(SamplingData[[#This Row],[up/U Selection Probability]] = 0, "Zero", TEXT(SamplingData[[#This Row],[Lower Range]], REPT("0",LEN('General Info'!$B$40))) &amp; " - " &amp; TEXT(SamplingData[[#This Row],[Upper Range]], REPT("0",LEN('General Info'!$B$40))))</f>
        <v>52779 - 52821</v>
      </c>
      <c r="T1540" s="100">
        <f>SamplingData[[#This Row],[Upper Range]]-SamplingData[[#This Row],[Span]]</f>
        <v>52778.661166229074</v>
      </c>
      <c r="U1540" s="100">
        <f>IF(ISNUMBER('General Info'!$B$40), ((SamplingData[[#This Row],[up/U Selection Probability]]) * 'General Info'!$B$40) - 1, 0)</f>
        <v>42.617831070333708</v>
      </c>
      <c r="V1540" s="100">
        <f>IF(ISNUMBER('General Info'!$B$40), (SamplingData[[#This Row],[Running (cumulative) sum]] * ('General Info'!$B$40 -'General Info'!$B$41 + 1)) + 'General Info'!$B$41 - 1, 0)</f>
        <v>52821.278997299407</v>
      </c>
      <c r="W1540" s="100" t="str">
        <f>IF(ISERROR(MATCH(SamplingData[[#This Row],[Batch by Type (p)]],SelectedPrecincts[Batch Name], 0)), "", INDEX(SelectedPrecincts[Draw], MATCH(SamplingData[[#This Row],[Batch by Type (p)]],SelectedPrecincts[Batch Name], 0)))</f>
        <v/>
      </c>
      <c r="X1540" s="102">
        <f>IF(COUNTIF(SelectedPrecincts[Batch Name],SamplingData[[#This Row],[Batch by Type (p)]]) &lt;&gt; 0, COUNTIF(SelectedPrecincts[Batch Name],SamplingData[[#This Row],[Batch by Type (p)]]), 0)</f>
        <v>0</v>
      </c>
    </row>
    <row r="1541" spans="1:24" ht="15" customHeight="1">
      <c r="A1541" s="18" t="s">
        <v>1717</v>
      </c>
      <c r="B1541" s="18">
        <v>47</v>
      </c>
      <c r="C1541" s="18">
        <v>68</v>
      </c>
      <c r="D1541" s="16">
        <v>10</v>
      </c>
      <c r="E1541" s="16">
        <v>6</v>
      </c>
      <c r="F1541" s="37">
        <v>0</v>
      </c>
      <c r="G1541" s="37">
        <v>0</v>
      </c>
      <c r="H1541" s="17">
        <v>0</v>
      </c>
      <c r="I1541" s="17">
        <v>0</v>
      </c>
      <c r="J1541" s="99">
        <f>SUM(SamplingData[[#This Row],[Losing Candidate]:[Under Votes]])</f>
        <v>131</v>
      </c>
      <c r="K1541" s="100">
        <f>IF(AND(SamplingData[[#This Row],[Total]]&lt;&gt; 0, NOT(ISBLANK(SamplingData[[#This Row],[Losing Candidate]]))),(SamplingData[[#This Row],[Total]]+SamplingData[[#This Row],[Winning Candidate]]-SamplingData[[#This Row],[Losing Candidate]])/(SamplingData[[#Totals],[Winning Candidate]]-SamplingData[[#Totals],[Losing Candidate]]), 0)</f>
        <v>9.309162175404213E-3</v>
      </c>
      <c r="L1541" s="100">
        <f>IF(AND(SamplingData[[#This Row],[Total]]&lt;&gt; 0, NOT(ISBLANK(SamplingData[[#This Row],[Candidate 3]]))),(SamplingData[[#This Row],[Total]]+SamplingData[[#This Row],[Winning Candidate]]-SamplingData[[#This Row],[Candidate 3]])/(SamplingData[[#Totals],[Winning Candidate]]-SamplingData[[#Totals],[Candidate 3]]), 0)</f>
        <v>6.097364261057522E-3</v>
      </c>
      <c r="M1541" s="100">
        <f>IF(AND(SamplingData[[#This Row],[Total]]&lt;&gt; 0, NOT(ISBLANK(SamplingData[[#This Row],[Candidate 4]]))),(SamplingData[[#This Row],[Total]]+SamplingData[[#This Row],[Winning Candidate]]-SamplingData[[#This Row],[Candidate 4]])/(SamplingData[[#Totals],[Winning Candidate]]-SamplingData[[#Totals],[Candidate 4]]), 0)</f>
        <v>5.6417901721769123E-3</v>
      </c>
      <c r="N1541" s="100">
        <f>IF(AND(SamplingData[[#This Row],[Total]]&lt;&gt; 0, NOT(ISBLANK(SamplingData[[#This Row],[Candidate 5]]))),(SamplingData[[#This Row],[Total]]+SamplingData[[#This Row],[Winning Candidate]]-SamplingData[[#This Row],[Candidate 5]])/(SamplingData[[#Totals],[Winning Candidate]]-SamplingData[[#Totals],[Candidate 5]]), 0)</f>
        <v>4.8406713694964729E-3</v>
      </c>
      <c r="O1541" s="100">
        <f>IF(AND(SamplingData[[#This Row],[Total]]&lt;&gt; 0, NOT(ISBLANK(SamplingData[[#This Row],[Candidate 6]]))),(SamplingData[[#This Row],[Total]]+SamplingData[[#This Row],[Winning Candidate]]-SamplingData[[#This Row],[Candidate 6]])/(SamplingData[[#Totals],[Winning Candidate]]-SamplingData[[#Totals],[Candidate 6]]), 0)</f>
        <v>4.8392587909148388E-3</v>
      </c>
      <c r="P1541" s="100">
        <f>MAX(SamplingData[[#This Row],[Error Bound (up) - Max. possible relative overstatement - Losing Candidate]:[Error Bound (up) - Max. possible relative overstatement - Candidate 6]])</f>
        <v>9.309162175404213E-3</v>
      </c>
      <c r="Q1541" s="100">
        <f>IF(SamplingData[[#This Row],[Max Error Bound (up)]] = 0,0,SamplingData[[#This Row],[Max Error Bound (up)]]/SamplingData[[#Totals],[Max Error Bound (up)]])</f>
        <v>1.4733281383237664E-3</v>
      </c>
      <c r="R1541" s="101">
        <f>SUM($Q$5:Q1541)</f>
        <v>0.52969611811131789</v>
      </c>
      <c r="S1541" s="100" t="str">
        <f t="array" ref="S1541">IF(SamplingData[[#This Row],[up/U Selection Probability]] = 0, "Zero", TEXT(SamplingData[[#This Row],[Lower Range]], REPT("0",LEN('General Info'!$B$40))) &amp; " - " &amp; TEXT(SamplingData[[#This Row],[Upper Range]], REPT("0",LEN('General Info'!$B$40))))</f>
        <v>52822 - 52969</v>
      </c>
      <c r="T1541" s="100">
        <f>SamplingData[[#This Row],[Upper Range]]-SamplingData[[#This Row],[Span]]</f>
        <v>52822.280470627556</v>
      </c>
      <c r="U1541" s="100">
        <f>IF(ISNUMBER('General Info'!$B$40), ((SamplingData[[#This Row],[up/U Selection Probability]]) * 'General Info'!$B$40) - 1, 0)</f>
        <v>146.33134050423831</v>
      </c>
      <c r="V1541" s="100">
        <f>IF(ISNUMBER('General Info'!$B$40), (SamplingData[[#This Row],[Running (cumulative) sum]] * ('General Info'!$B$40 -'General Info'!$B$41 + 1)) + 'General Info'!$B$41 - 1, 0)</f>
        <v>52968.611811131792</v>
      </c>
      <c r="W1541" s="100" t="str">
        <f>IF(ISERROR(MATCH(SamplingData[[#This Row],[Batch by Type (p)]],SelectedPrecincts[Batch Name], 0)), "", INDEX(SelectedPrecincts[Draw], MATCH(SamplingData[[#This Row],[Batch by Type (p)]],SelectedPrecincts[Batch Name], 0)))</f>
        <v/>
      </c>
      <c r="X1541" s="102">
        <f>IF(COUNTIF(SelectedPrecincts[Batch Name],SamplingData[[#This Row],[Batch by Type (p)]]) &lt;&gt; 0, COUNTIF(SelectedPrecincts[Batch Name],SamplingData[[#This Row],[Batch by Type (p)]]), 0)</f>
        <v>0</v>
      </c>
    </row>
    <row r="1542" spans="1:24" ht="15" customHeight="1">
      <c r="A1542" s="18" t="s">
        <v>1718</v>
      </c>
      <c r="B1542" s="18">
        <v>24</v>
      </c>
      <c r="C1542" s="18">
        <v>26</v>
      </c>
      <c r="D1542" s="18">
        <v>16</v>
      </c>
      <c r="E1542" s="18">
        <v>3</v>
      </c>
      <c r="F1542" s="18">
        <v>0</v>
      </c>
      <c r="G1542" s="18">
        <v>1</v>
      </c>
      <c r="H1542" s="18">
        <v>0</v>
      </c>
      <c r="I1542" s="18">
        <v>2</v>
      </c>
      <c r="J1542" s="99">
        <f>SUM(SamplingData[[#This Row],[Losing Candidate]:[Under Votes]])</f>
        <v>72</v>
      </c>
      <c r="K1542" s="100">
        <f>IF(AND(SamplingData[[#This Row],[Total]]&lt;&gt; 0, NOT(ISBLANK(SamplingData[[#This Row],[Losing Candidate]]))),(SamplingData[[#This Row],[Total]]+SamplingData[[#This Row],[Winning Candidate]]-SamplingData[[#This Row],[Losing Candidate]])/(SamplingData[[#Totals],[Winning Candidate]]-SamplingData[[#Totals],[Losing Candidate]]), 0)</f>
        <v>4.5320921117099457E-3</v>
      </c>
      <c r="L1542" s="100">
        <f>IF(AND(SamplingData[[#This Row],[Total]]&lt;&gt; 0, NOT(ISBLANK(SamplingData[[#This Row],[Candidate 3]]))),(SamplingData[[#This Row],[Total]]+SamplingData[[#This Row],[Winning Candidate]]-SamplingData[[#This Row],[Candidate 3]])/(SamplingData[[#Totals],[Winning Candidate]]-SamplingData[[#Totals],[Candidate 3]]), 0)</f>
        <v>2.6454172984482368E-3</v>
      </c>
      <c r="M1542" s="100">
        <f>IF(AND(SamplingData[[#This Row],[Total]]&lt;&gt; 0, NOT(ISBLANK(SamplingData[[#This Row],[Candidate 4]]))),(SamplingData[[#This Row],[Total]]+SamplingData[[#This Row],[Winning Candidate]]-SamplingData[[#This Row],[Candidate 4]])/(SamplingData[[#Totals],[Winning Candidate]]-SamplingData[[#Totals],[Candidate 4]]), 0)</f>
        <v>2.7770469759420035E-3</v>
      </c>
      <c r="N1542" s="100">
        <f>IF(AND(SamplingData[[#This Row],[Total]]&lt;&gt; 0, NOT(ISBLANK(SamplingData[[#This Row],[Candidate 5]]))),(SamplingData[[#This Row],[Total]]+SamplingData[[#This Row],[Winning Candidate]]-SamplingData[[#This Row],[Candidate 5]])/(SamplingData[[#Totals],[Winning Candidate]]-SamplingData[[#Totals],[Candidate 5]]), 0)</f>
        <v>2.3838482121138409E-3</v>
      </c>
      <c r="O1542" s="100">
        <f>IF(AND(SamplingData[[#This Row],[Total]]&lt;&gt; 0, NOT(ISBLANK(SamplingData[[#This Row],[Candidate 6]]))),(SamplingData[[#This Row],[Total]]+SamplingData[[#This Row],[Winning Candidate]]-SamplingData[[#This Row],[Candidate 6]])/(SamplingData[[#Totals],[Winning Candidate]]-SamplingData[[#Totals],[Candidate 6]]), 0)</f>
        <v>2.3588346870288411E-3</v>
      </c>
      <c r="P1542" s="100">
        <f>MAX(SamplingData[[#This Row],[Error Bound (up) - Max. possible relative overstatement - Losing Candidate]:[Error Bound (up) - Max. possible relative overstatement - Candidate 6]])</f>
        <v>4.5320921117099457E-3</v>
      </c>
      <c r="Q1542" s="100">
        <f>IF(SamplingData[[#This Row],[Max Error Bound (up)]] = 0,0,SamplingData[[#This Row],[Max Error Bound (up)]]/SamplingData[[#Totals],[Max Error Bound (up)]])</f>
        <v>7.1727817260499151E-4</v>
      </c>
      <c r="R1542" s="101">
        <f>SUM($Q$5:Q1542)</f>
        <v>0.53041339628392292</v>
      </c>
      <c r="S1542" s="100" t="str">
        <f t="array" ref="S1542">IF(SamplingData[[#This Row],[up/U Selection Probability]] = 0, "Zero", TEXT(SamplingData[[#This Row],[Lower Range]], REPT("0",LEN('General Info'!$B$40))) &amp; " - " &amp; TEXT(SamplingData[[#This Row],[Upper Range]], REPT("0",LEN('General Info'!$B$40))))</f>
        <v>52970 - 53040</v>
      </c>
      <c r="T1542" s="100">
        <f>SamplingData[[#This Row],[Upper Range]]-SamplingData[[#This Row],[Span]]</f>
        <v>52969.612528409969</v>
      </c>
      <c r="U1542" s="100">
        <f>IF(ISNUMBER('General Info'!$B$40), ((SamplingData[[#This Row],[up/U Selection Probability]]) * 'General Info'!$B$40) - 1, 0)</f>
        <v>70.72709998232655</v>
      </c>
      <c r="V1542" s="100">
        <f>IF(ISNUMBER('General Info'!$B$40), (SamplingData[[#This Row],[Running (cumulative) sum]] * ('General Info'!$B$40 -'General Info'!$B$41 + 1)) + 'General Info'!$B$41 - 1, 0)</f>
        <v>53040.339628392292</v>
      </c>
      <c r="W1542" s="100" t="str">
        <f>IF(ISERROR(MATCH(SamplingData[[#This Row],[Batch by Type (p)]],SelectedPrecincts[Batch Name], 0)), "", INDEX(SelectedPrecincts[Draw], MATCH(SamplingData[[#This Row],[Batch by Type (p)]],SelectedPrecincts[Batch Name], 0)))</f>
        <v/>
      </c>
      <c r="X1542" s="102">
        <f>IF(COUNTIF(SelectedPrecincts[Batch Name],SamplingData[[#This Row],[Batch by Type (p)]]) &lt;&gt; 0, COUNTIF(SelectedPrecincts[Batch Name],SamplingData[[#This Row],[Batch by Type (p)]]), 0)</f>
        <v>0</v>
      </c>
    </row>
    <row r="1543" spans="1:24" ht="15" customHeight="1">
      <c r="A1543" s="18" t="s">
        <v>1719</v>
      </c>
      <c r="B1543" s="18">
        <v>49</v>
      </c>
      <c r="C1543" s="18">
        <v>60</v>
      </c>
      <c r="D1543" s="16">
        <v>17</v>
      </c>
      <c r="E1543" s="16">
        <v>10</v>
      </c>
      <c r="F1543" s="37">
        <v>0</v>
      </c>
      <c r="G1543" s="37">
        <v>0</v>
      </c>
      <c r="H1543" s="17">
        <v>0</v>
      </c>
      <c r="I1543" s="17">
        <v>2</v>
      </c>
      <c r="J1543" s="99">
        <f>SUM(SamplingData[[#This Row],[Losing Candidate]:[Under Votes]])</f>
        <v>138</v>
      </c>
      <c r="K1543" s="100">
        <f>IF(AND(SamplingData[[#This Row],[Total]]&lt;&gt; 0, NOT(ISBLANK(SamplingData[[#This Row],[Losing Candidate]]))),(SamplingData[[#This Row],[Total]]+SamplingData[[#This Row],[Winning Candidate]]-SamplingData[[#This Row],[Losing Candidate]])/(SamplingData[[#Totals],[Winning Candidate]]-SamplingData[[#Totals],[Losing Candidate]]), 0)</f>
        <v>9.1254287114159727E-3</v>
      </c>
      <c r="L1543" s="100">
        <f>IF(AND(SamplingData[[#This Row],[Total]]&lt;&gt; 0, NOT(ISBLANK(SamplingData[[#This Row],[Candidate 3]]))),(SamplingData[[#This Row],[Total]]+SamplingData[[#This Row],[Winning Candidate]]-SamplingData[[#This Row],[Candidate 3]])/(SamplingData[[#Totals],[Winning Candidate]]-SamplingData[[#Totals],[Candidate 3]]), 0)</f>
        <v>5.8392747685259861E-3</v>
      </c>
      <c r="M1543" s="100">
        <f>IF(AND(SamplingData[[#This Row],[Total]]&lt;&gt; 0, NOT(ISBLANK(SamplingData[[#This Row],[Candidate 4]]))),(SamplingData[[#This Row],[Total]]+SamplingData[[#This Row],[Winning Candidate]]-SamplingData[[#This Row],[Candidate 4]])/(SamplingData[[#Totals],[Winning Candidate]]-SamplingData[[#Totals],[Candidate 4]]), 0)</f>
        <v>5.49562980502207E-3</v>
      </c>
      <c r="N1543" s="100">
        <f>IF(AND(SamplingData[[#This Row],[Total]]&lt;&gt; 0, NOT(ISBLANK(SamplingData[[#This Row],[Candidate 5]]))),(SamplingData[[#This Row],[Total]]+SamplingData[[#This Row],[Winning Candidate]]-SamplingData[[#This Row],[Candidate 5]])/(SamplingData[[#Totals],[Winning Candidate]]-SamplingData[[#Totals],[Candidate 5]]), 0)</f>
        <v>4.8163463877402089E-3</v>
      </c>
      <c r="O1543" s="100">
        <f>IF(AND(SamplingData[[#This Row],[Total]]&lt;&gt; 0, NOT(ISBLANK(SamplingData[[#This Row],[Candidate 6]]))),(SamplingData[[#This Row],[Total]]+SamplingData[[#This Row],[Winning Candidate]]-SamplingData[[#This Row],[Candidate 6]])/(SamplingData[[#Totals],[Winning Candidate]]-SamplingData[[#Totals],[Candidate 6]]), 0)</f>
        <v>4.8149409075434078E-3</v>
      </c>
      <c r="P1543" s="100">
        <f>MAX(SamplingData[[#This Row],[Error Bound (up) - Max. possible relative overstatement - Losing Candidate]:[Error Bound (up) - Max. possible relative overstatement - Candidate 6]])</f>
        <v>9.1254287114159727E-3</v>
      </c>
      <c r="Q1543" s="100">
        <f>IF(SamplingData[[#This Row],[Max Error Bound (up)]] = 0,0,SamplingData[[#This Row],[Max Error Bound (up)]]/SamplingData[[#Totals],[Max Error Bound (up)]])</f>
        <v>1.444249293488429E-3</v>
      </c>
      <c r="R1543" s="101">
        <f>SUM($Q$5:Q1543)</f>
        <v>0.53185764557741133</v>
      </c>
      <c r="S1543" s="100" t="str">
        <f t="array" ref="S1543">IF(SamplingData[[#This Row],[up/U Selection Probability]] = 0, "Zero", TEXT(SamplingData[[#This Row],[Lower Range]], REPT("0",LEN('General Info'!$B$40))) &amp; " - " &amp; TEXT(SamplingData[[#This Row],[Upper Range]], REPT("0",LEN('General Info'!$B$40))))</f>
        <v>53041 - 53185</v>
      </c>
      <c r="T1543" s="100">
        <f>SamplingData[[#This Row],[Upper Range]]-SamplingData[[#This Row],[Span]]</f>
        <v>53041.341072641582</v>
      </c>
      <c r="U1543" s="100">
        <f>IF(ISNUMBER('General Info'!$B$40), ((SamplingData[[#This Row],[up/U Selection Probability]]) * 'General Info'!$B$40) - 1, 0)</f>
        <v>143.4234850995494</v>
      </c>
      <c r="V1543" s="100">
        <f>IF(ISNUMBER('General Info'!$B$40), (SamplingData[[#This Row],[Running (cumulative) sum]] * ('General Info'!$B$40 -'General Info'!$B$41 + 1)) + 'General Info'!$B$41 - 1, 0)</f>
        <v>53184.764557741131</v>
      </c>
      <c r="W1543" s="100" t="str">
        <f>IF(ISERROR(MATCH(SamplingData[[#This Row],[Batch by Type (p)]],SelectedPrecincts[Batch Name], 0)), "", INDEX(SelectedPrecincts[Draw], MATCH(SamplingData[[#This Row],[Batch by Type (p)]],SelectedPrecincts[Batch Name], 0)))</f>
        <v/>
      </c>
      <c r="X1543" s="102">
        <f>IF(COUNTIF(SelectedPrecincts[Batch Name],SamplingData[[#This Row],[Batch by Type (p)]]) &lt;&gt; 0, COUNTIF(SelectedPrecincts[Batch Name],SamplingData[[#This Row],[Batch by Type (p)]]), 0)</f>
        <v>0</v>
      </c>
    </row>
    <row r="1544" spans="1:24" ht="15" customHeight="1">
      <c r="A1544" s="18" t="s">
        <v>1720</v>
      </c>
      <c r="B1544" s="18">
        <v>23</v>
      </c>
      <c r="C1544" s="18">
        <v>35</v>
      </c>
      <c r="D1544" s="18">
        <v>5</v>
      </c>
      <c r="E1544" s="18">
        <v>4</v>
      </c>
      <c r="F1544" s="18">
        <v>0</v>
      </c>
      <c r="G1544" s="18">
        <v>0</v>
      </c>
      <c r="H1544" s="18">
        <v>0</v>
      </c>
      <c r="I1544" s="18">
        <v>0</v>
      </c>
      <c r="J1544" s="99">
        <f>SUM(SamplingData[[#This Row],[Losing Candidate]:[Under Votes]])</f>
        <v>67</v>
      </c>
      <c r="K1544" s="100">
        <f>IF(AND(SamplingData[[#This Row],[Total]]&lt;&gt; 0, NOT(ISBLANK(SamplingData[[#This Row],[Losing Candidate]]))),(SamplingData[[#This Row],[Total]]+SamplingData[[#This Row],[Winning Candidate]]-SamplingData[[#This Row],[Losing Candidate]])/(SamplingData[[#Totals],[Winning Candidate]]-SamplingData[[#Totals],[Losing Candidate]]), 0)</f>
        <v>4.8383145516903477E-3</v>
      </c>
      <c r="L1544" s="100">
        <f>IF(AND(SamplingData[[#This Row],[Total]]&lt;&gt; 0, NOT(ISBLANK(SamplingData[[#This Row],[Candidate 3]]))),(SamplingData[[#This Row],[Total]]+SamplingData[[#This Row],[Winning Candidate]]-SamplingData[[#This Row],[Candidate 3]])/(SamplingData[[#Totals],[Winning Candidate]]-SamplingData[[#Totals],[Candidate 3]]), 0)</f>
        <v>3.1293350969448658E-3</v>
      </c>
      <c r="M1544" s="100">
        <f>IF(AND(SamplingData[[#This Row],[Total]]&lt;&gt; 0, NOT(ISBLANK(SamplingData[[#This Row],[Candidate 4]]))),(SamplingData[[#This Row],[Total]]+SamplingData[[#This Row],[Winning Candidate]]-SamplingData[[#This Row],[Candidate 4]])/(SamplingData[[#Totals],[Winning Candidate]]-SamplingData[[#Totals],[Candidate 4]]), 0)</f>
        <v>2.8647431962349089E-3</v>
      </c>
      <c r="N1544" s="100">
        <f>IF(AND(SamplingData[[#This Row],[Total]]&lt;&gt; 0, NOT(ISBLANK(SamplingData[[#This Row],[Candidate 5]]))),(SamplingData[[#This Row],[Total]]+SamplingData[[#This Row],[Winning Candidate]]-SamplingData[[#This Row],[Candidate 5]])/(SamplingData[[#Totals],[Winning Candidate]]-SamplingData[[#Totals],[Candidate 5]]), 0)</f>
        <v>2.4811481391388956E-3</v>
      </c>
      <c r="O1544" s="100">
        <f>IF(AND(SamplingData[[#This Row],[Total]]&lt;&gt; 0, NOT(ISBLANK(SamplingData[[#This Row],[Candidate 6]]))),(SamplingData[[#This Row],[Total]]+SamplingData[[#This Row],[Winning Candidate]]-SamplingData[[#This Row],[Candidate 6]])/(SamplingData[[#Totals],[Winning Candidate]]-SamplingData[[#Totals],[Candidate 6]]), 0)</f>
        <v>2.4804241038859976E-3</v>
      </c>
      <c r="P1544" s="100">
        <f>MAX(SamplingData[[#This Row],[Error Bound (up) - Max. possible relative overstatement - Losing Candidate]:[Error Bound (up) - Max. possible relative overstatement - Candidate 6]])</f>
        <v>4.8383145516903477E-3</v>
      </c>
      <c r="Q1544" s="100">
        <f>IF(SamplingData[[#This Row],[Max Error Bound (up)]] = 0,0,SamplingData[[#This Row],[Max Error Bound (up)]]/SamplingData[[#Totals],[Max Error Bound (up)]])</f>
        <v>7.6574291399722071E-4</v>
      </c>
      <c r="R1544" s="101">
        <f>SUM($Q$5:Q1544)</f>
        <v>0.53262338849140856</v>
      </c>
      <c r="S1544" s="100" t="str">
        <f t="array" ref="S1544">IF(SamplingData[[#This Row],[up/U Selection Probability]] = 0, "Zero", TEXT(SamplingData[[#This Row],[Lower Range]], REPT("0",LEN('General Info'!$B$40))) &amp; " - " &amp; TEXT(SamplingData[[#This Row],[Upper Range]], REPT("0",LEN('General Info'!$B$40))))</f>
        <v>53186 - 53261</v>
      </c>
      <c r="T1544" s="100">
        <f>SamplingData[[#This Row],[Upper Range]]-SamplingData[[#This Row],[Span]]</f>
        <v>53185.765323484047</v>
      </c>
      <c r="U1544" s="100">
        <f>IF(ISNUMBER('General Info'!$B$40), ((SamplingData[[#This Row],[up/U Selection Probability]]) * 'General Info'!$B$40) - 1, 0)</f>
        <v>75.573525656808073</v>
      </c>
      <c r="V1544" s="100">
        <f>IF(ISNUMBER('General Info'!$B$40), (SamplingData[[#This Row],[Running (cumulative) sum]] * ('General Info'!$B$40 -'General Info'!$B$41 + 1)) + 'General Info'!$B$41 - 1, 0)</f>
        <v>53261.338849140855</v>
      </c>
      <c r="W1544" s="100" t="str">
        <f>IF(ISERROR(MATCH(SamplingData[[#This Row],[Batch by Type (p)]],SelectedPrecincts[Batch Name], 0)), "", INDEX(SelectedPrecincts[Draw], MATCH(SamplingData[[#This Row],[Batch by Type (p)]],SelectedPrecincts[Batch Name], 0)))</f>
        <v/>
      </c>
      <c r="X1544" s="102">
        <f>IF(COUNTIF(SelectedPrecincts[Batch Name],SamplingData[[#This Row],[Batch by Type (p)]]) &lt;&gt; 0, COUNTIF(SelectedPrecincts[Batch Name],SamplingData[[#This Row],[Batch by Type (p)]]), 0)</f>
        <v>0</v>
      </c>
    </row>
    <row r="1545" spans="1:24" ht="15" customHeight="1">
      <c r="A1545" s="18" t="s">
        <v>1721</v>
      </c>
      <c r="B1545" s="18">
        <v>51</v>
      </c>
      <c r="C1545" s="18">
        <v>65</v>
      </c>
      <c r="D1545" s="16">
        <v>23</v>
      </c>
      <c r="E1545" s="16">
        <v>16</v>
      </c>
      <c r="F1545" s="37">
        <v>0</v>
      </c>
      <c r="G1545" s="37">
        <v>1</v>
      </c>
      <c r="H1545" s="17">
        <v>1</v>
      </c>
      <c r="I1545" s="17">
        <v>0</v>
      </c>
      <c r="J1545" s="99">
        <f>SUM(SamplingData[[#This Row],[Losing Candidate]:[Under Votes]])</f>
        <v>157</v>
      </c>
      <c r="K1545" s="100">
        <f>IF(AND(SamplingData[[#This Row],[Total]]&lt;&gt; 0, NOT(ISBLANK(SamplingData[[#This Row],[Losing Candidate]]))),(SamplingData[[#This Row],[Total]]+SamplingData[[#This Row],[Winning Candidate]]-SamplingData[[#This Row],[Losing Candidate]])/(SamplingData[[#Totals],[Winning Candidate]]-SamplingData[[#Totals],[Losing Candidate]]), 0)</f>
        <v>1.047280744732974E-2</v>
      </c>
      <c r="L1545" s="100">
        <f>IF(AND(SamplingData[[#This Row],[Total]]&lt;&gt; 0, NOT(ISBLANK(SamplingData[[#This Row],[Candidate 3]]))),(SamplingData[[#This Row],[Total]]+SamplingData[[#This Row],[Winning Candidate]]-SamplingData[[#This Row],[Candidate 3]])/(SamplingData[[#Totals],[Winning Candidate]]-SamplingData[[#Totals],[Candidate 3]]), 0)</f>
        <v>6.4199761267219411E-3</v>
      </c>
      <c r="M1545" s="100">
        <f>IF(AND(SamplingData[[#This Row],[Total]]&lt;&gt; 0, NOT(ISBLANK(SamplingData[[#This Row],[Candidate 4]]))),(SamplingData[[#This Row],[Total]]+SamplingData[[#This Row],[Winning Candidate]]-SamplingData[[#This Row],[Candidate 4]])/(SamplingData[[#Totals],[Winning Candidate]]-SamplingData[[#Totals],[Candidate 4]]), 0)</f>
        <v>6.0218071267795024E-3</v>
      </c>
      <c r="N1545" s="100">
        <f>IF(AND(SamplingData[[#This Row],[Total]]&lt;&gt; 0, NOT(ISBLANK(SamplingData[[#This Row],[Candidate 5]]))),(SamplingData[[#This Row],[Total]]+SamplingData[[#This Row],[Winning Candidate]]-SamplingData[[#This Row],[Candidate 5]])/(SamplingData[[#Totals],[Winning Candidate]]-SamplingData[[#Totals],[Candidate 5]]), 0)</f>
        <v>5.4001459498905372E-3</v>
      </c>
      <c r="O1545" s="100">
        <f>IF(AND(SamplingData[[#This Row],[Total]]&lt;&gt; 0, NOT(ISBLANK(SamplingData[[#This Row],[Candidate 6]]))),(SamplingData[[#This Row],[Total]]+SamplingData[[#This Row],[Winning Candidate]]-SamplingData[[#This Row],[Candidate 6]])/(SamplingData[[#Totals],[Winning Candidate]]-SamplingData[[#Totals],[Candidate 6]]), 0)</f>
        <v>5.3742522250863284E-3</v>
      </c>
      <c r="P1545" s="100">
        <f>MAX(SamplingData[[#This Row],[Error Bound (up) - Max. possible relative overstatement - Losing Candidate]:[Error Bound (up) - Max. possible relative overstatement - Candidate 6]])</f>
        <v>1.047280744732974E-2</v>
      </c>
      <c r="Q1545" s="100">
        <f>IF(SamplingData[[#This Row],[Max Error Bound (up)]] = 0,0,SamplingData[[#This Row],[Max Error Bound (up)]]/SamplingData[[#Totals],[Max Error Bound (up)]])</f>
        <v>1.6574941556142372E-3</v>
      </c>
      <c r="R1545" s="101">
        <f>SUM($Q$5:Q1545)</f>
        <v>0.53428088264702278</v>
      </c>
      <c r="S1545" s="100" t="str">
        <f t="array" ref="S1545">IF(SamplingData[[#This Row],[up/U Selection Probability]] = 0, "Zero", TEXT(SamplingData[[#This Row],[Lower Range]], REPT("0",LEN('General Info'!$B$40))) &amp; " - " &amp; TEXT(SamplingData[[#This Row],[Upper Range]], REPT("0",LEN('General Info'!$B$40))))</f>
        <v>53262 - 53427</v>
      </c>
      <c r="T1545" s="100">
        <f>SamplingData[[#This Row],[Upper Range]]-SamplingData[[#This Row],[Span]]</f>
        <v>53262.34050663501</v>
      </c>
      <c r="U1545" s="100">
        <f>IF(ISNUMBER('General Info'!$B$40), ((SamplingData[[#This Row],[up/U Selection Probability]]) * 'General Info'!$B$40) - 1, 0)</f>
        <v>164.74775806726811</v>
      </c>
      <c r="V1545" s="100">
        <f>IF(ISNUMBER('General Info'!$B$40), (SamplingData[[#This Row],[Running (cumulative) sum]] * ('General Info'!$B$40 -'General Info'!$B$41 + 1)) + 'General Info'!$B$41 - 1, 0)</f>
        <v>53427.088264702281</v>
      </c>
      <c r="W1545" s="100" t="str">
        <f>IF(ISERROR(MATCH(SamplingData[[#This Row],[Batch by Type (p)]],SelectedPrecincts[Batch Name], 0)), "", INDEX(SelectedPrecincts[Draw], MATCH(SamplingData[[#This Row],[Batch by Type (p)]],SelectedPrecincts[Batch Name], 0)))</f>
        <v/>
      </c>
      <c r="X1545" s="102">
        <f>IF(COUNTIF(SelectedPrecincts[Batch Name],SamplingData[[#This Row],[Batch by Type (p)]]) &lt;&gt; 0, COUNTIF(SelectedPrecincts[Batch Name],SamplingData[[#This Row],[Batch by Type (p)]]), 0)</f>
        <v>0</v>
      </c>
    </row>
    <row r="1546" spans="1:24" ht="15" customHeight="1">
      <c r="A1546" s="18" t="s">
        <v>1722</v>
      </c>
      <c r="B1546" s="18">
        <v>35</v>
      </c>
      <c r="C1546" s="18">
        <v>38</v>
      </c>
      <c r="D1546" s="18">
        <v>6</v>
      </c>
      <c r="E1546" s="18">
        <v>1</v>
      </c>
      <c r="F1546" s="18">
        <v>0</v>
      </c>
      <c r="G1546" s="18">
        <v>0</v>
      </c>
      <c r="H1546" s="18">
        <v>1</v>
      </c>
      <c r="I1546" s="18">
        <v>1</v>
      </c>
      <c r="J1546" s="99">
        <f>SUM(SamplingData[[#This Row],[Losing Candidate]:[Under Votes]])</f>
        <v>82</v>
      </c>
      <c r="K1546" s="100">
        <f>IF(AND(SamplingData[[#This Row],[Total]]&lt;&gt; 0, NOT(ISBLANK(SamplingData[[#This Row],[Losing Candidate]]))),(SamplingData[[#This Row],[Total]]+SamplingData[[#This Row],[Winning Candidate]]-SamplingData[[#This Row],[Losing Candidate]])/(SamplingData[[#Totals],[Winning Candidate]]-SamplingData[[#Totals],[Losing Candidate]]), 0)</f>
        <v>5.2057814796668302E-3</v>
      </c>
      <c r="L1546" s="100">
        <f>IF(AND(SamplingData[[#This Row],[Total]]&lt;&gt; 0, NOT(ISBLANK(SamplingData[[#This Row],[Candidate 3]]))),(SamplingData[[#This Row],[Total]]+SamplingData[[#This Row],[Winning Candidate]]-SamplingData[[#This Row],[Candidate 3]])/(SamplingData[[#Totals],[Winning Candidate]]-SamplingData[[#Totals],[Candidate 3]]), 0)</f>
        <v>3.6777752685743783E-3</v>
      </c>
      <c r="M1546" s="100">
        <f>IF(AND(SamplingData[[#This Row],[Total]]&lt;&gt; 0, NOT(ISBLANK(SamplingData[[#This Row],[Candidate 4]]))),(SamplingData[[#This Row],[Total]]+SamplingData[[#This Row],[Winning Candidate]]-SamplingData[[#This Row],[Candidate 4]])/(SamplingData[[#Totals],[Winning Candidate]]-SamplingData[[#Totals],[Candidate 4]]), 0)</f>
        <v>3.4786167382852467E-3</v>
      </c>
      <c r="N1546" s="100">
        <f>IF(AND(SamplingData[[#This Row],[Total]]&lt;&gt; 0, NOT(ISBLANK(SamplingData[[#This Row],[Candidate 5]]))),(SamplingData[[#This Row],[Total]]+SamplingData[[#This Row],[Winning Candidate]]-SamplingData[[#This Row],[Candidate 5]])/(SamplingData[[#Totals],[Winning Candidate]]-SamplingData[[#Totals],[Candidate 5]]), 0)</f>
        <v>2.918997810751642E-3</v>
      </c>
      <c r="O1546" s="100">
        <f>IF(AND(SamplingData[[#This Row],[Total]]&lt;&gt; 0, NOT(ISBLANK(SamplingData[[#This Row],[Candidate 6]]))),(SamplingData[[#This Row],[Total]]+SamplingData[[#This Row],[Winning Candidate]]-SamplingData[[#This Row],[Candidate 6]])/(SamplingData[[#Totals],[Winning Candidate]]-SamplingData[[#Totals],[Candidate 6]]), 0)</f>
        <v>2.9181460045717622E-3</v>
      </c>
      <c r="P1546" s="100">
        <f>MAX(SamplingData[[#This Row],[Error Bound (up) - Max. possible relative overstatement - Losing Candidate]:[Error Bound (up) - Max. possible relative overstatement - Candidate 6]])</f>
        <v>5.2057814796668302E-3</v>
      </c>
      <c r="Q1546" s="100">
        <f>IF(SamplingData[[#This Row],[Max Error Bound (up)]] = 0,0,SamplingData[[#This Row],[Max Error Bound (up)]]/SamplingData[[#Totals],[Max Error Bound (up)]])</f>
        <v>8.2390060366789575E-4</v>
      </c>
      <c r="R1546" s="101">
        <f>SUM($Q$5:Q1546)</f>
        <v>0.53510478325069066</v>
      </c>
      <c r="S1546" s="100" t="str">
        <f t="array" ref="S1546">IF(SamplingData[[#This Row],[up/U Selection Probability]] = 0, "Zero", TEXT(SamplingData[[#This Row],[Lower Range]], REPT("0",LEN('General Info'!$B$40))) &amp; " - " &amp; TEXT(SamplingData[[#This Row],[Upper Range]], REPT("0",LEN('General Info'!$B$40))))</f>
        <v>53428 - 53509</v>
      </c>
      <c r="T1546" s="100">
        <f>SamplingData[[#This Row],[Upper Range]]-SamplingData[[#This Row],[Span]]</f>
        <v>53428.089088602879</v>
      </c>
      <c r="U1546" s="100">
        <f>IF(ISNUMBER('General Info'!$B$40), ((SamplingData[[#This Row],[up/U Selection Probability]]) * 'General Info'!$B$40) - 1, 0)</f>
        <v>81.389236466185906</v>
      </c>
      <c r="V1546" s="100">
        <f>IF(ISNUMBER('General Info'!$B$40), (SamplingData[[#This Row],[Running (cumulative) sum]] * ('General Info'!$B$40 -'General Info'!$B$41 + 1)) + 'General Info'!$B$41 - 1, 0)</f>
        <v>53509.478325069067</v>
      </c>
      <c r="W1546" s="100" t="str">
        <f>IF(ISERROR(MATCH(SamplingData[[#This Row],[Batch by Type (p)]],SelectedPrecincts[Batch Name], 0)), "", INDEX(SelectedPrecincts[Draw], MATCH(SamplingData[[#This Row],[Batch by Type (p)]],SelectedPrecincts[Batch Name], 0)))</f>
        <v/>
      </c>
      <c r="X1546" s="102">
        <f>IF(COUNTIF(SelectedPrecincts[Batch Name],SamplingData[[#This Row],[Batch by Type (p)]]) &lt;&gt; 0, COUNTIF(SelectedPrecincts[Batch Name],SamplingData[[#This Row],[Batch by Type (p)]]), 0)</f>
        <v>0</v>
      </c>
    </row>
    <row r="1547" spans="1:24" ht="15" customHeight="1">
      <c r="A1547" s="18" t="s">
        <v>1723</v>
      </c>
      <c r="B1547" s="18">
        <v>30</v>
      </c>
      <c r="C1547" s="18">
        <v>66</v>
      </c>
      <c r="D1547" s="16">
        <v>10</v>
      </c>
      <c r="E1547" s="16">
        <v>15</v>
      </c>
      <c r="F1547" s="37">
        <v>0</v>
      </c>
      <c r="G1547" s="37">
        <v>1</v>
      </c>
      <c r="H1547" s="17">
        <v>0</v>
      </c>
      <c r="I1547" s="17">
        <v>5</v>
      </c>
      <c r="J1547" s="99">
        <f>SUM(SamplingData[[#This Row],[Losing Candidate]:[Under Votes]])</f>
        <v>127</v>
      </c>
      <c r="K1547" s="100">
        <f>IF(AND(SamplingData[[#This Row],[Total]]&lt;&gt; 0, NOT(ISBLANK(SamplingData[[#This Row],[Losing Candidate]]))),(SamplingData[[#This Row],[Total]]+SamplingData[[#This Row],[Winning Candidate]]-SamplingData[[#This Row],[Losing Candidate]])/(SamplingData[[#Totals],[Winning Candidate]]-SamplingData[[#Totals],[Losing Candidate]]), 0)</f>
        <v>9.9828515433610984E-3</v>
      </c>
      <c r="L1547" s="100">
        <f>IF(AND(SamplingData[[#This Row],[Total]]&lt;&gt; 0, NOT(ISBLANK(SamplingData[[#This Row],[Candidate 3]]))),(SamplingData[[#This Row],[Total]]+SamplingData[[#This Row],[Winning Candidate]]-SamplingData[[#This Row],[Candidate 3]])/(SamplingData[[#Totals],[Winning Candidate]]-SamplingData[[#Totals],[Candidate 3]]), 0)</f>
        <v>5.9037971416588701E-3</v>
      </c>
      <c r="M1547" s="100">
        <f>IF(AND(SamplingData[[#This Row],[Total]]&lt;&gt; 0, NOT(ISBLANK(SamplingData[[#This Row],[Candidate 4]]))),(SamplingData[[#This Row],[Total]]+SamplingData[[#This Row],[Winning Candidate]]-SamplingData[[#This Row],[Candidate 4]])/(SamplingData[[#Totals],[Winning Candidate]]-SamplingData[[#Totals],[Candidate 4]]), 0)</f>
        <v>5.2033090707123853E-3</v>
      </c>
      <c r="N1547" s="100">
        <f>IF(AND(SamplingData[[#This Row],[Total]]&lt;&gt; 0, NOT(ISBLANK(SamplingData[[#This Row],[Candidate 5]]))),(SamplingData[[#This Row],[Total]]+SamplingData[[#This Row],[Winning Candidate]]-SamplingData[[#This Row],[Candidate 5]])/(SamplingData[[#Totals],[Winning Candidate]]-SamplingData[[#Totals],[Candidate 5]]), 0)</f>
        <v>4.6947214789588906E-3</v>
      </c>
      <c r="O1547" s="100">
        <f>IF(AND(SamplingData[[#This Row],[Total]]&lt;&gt; 0, NOT(ISBLANK(SamplingData[[#This Row],[Candidate 6]]))),(SamplingData[[#This Row],[Total]]+SamplingData[[#This Row],[Winning Candidate]]-SamplingData[[#This Row],[Candidate 6]])/(SamplingData[[#Totals],[Winning Candidate]]-SamplingData[[#Totals],[Candidate 6]]), 0)</f>
        <v>4.6690336073148195E-3</v>
      </c>
      <c r="P1547" s="100">
        <f>MAX(SamplingData[[#This Row],[Error Bound (up) - Max. possible relative overstatement - Losing Candidate]:[Error Bound (up) - Max. possible relative overstatement - Candidate 6]])</f>
        <v>9.9828515433610984E-3</v>
      </c>
      <c r="Q1547" s="100">
        <f>IF(SamplingData[[#This Row],[Max Error Bound (up)]] = 0,0,SamplingData[[#This Row],[Max Error Bound (up)]]/SamplingData[[#Totals],[Max Error Bound (up)]])</f>
        <v>1.5799505693866707E-3</v>
      </c>
      <c r="R1547" s="101">
        <f>SUM($Q$5:Q1547)</f>
        <v>0.53668473382007731</v>
      </c>
      <c r="S1547" s="100" t="str">
        <f t="array" ref="S1547">IF(SamplingData[[#This Row],[up/U Selection Probability]] = 0, "Zero", TEXT(SamplingData[[#This Row],[Lower Range]], REPT("0",LEN('General Info'!$B$40))) &amp; " - " &amp; TEXT(SamplingData[[#This Row],[Upper Range]], REPT("0",LEN('General Info'!$B$40))))</f>
        <v>53510 - 53667</v>
      </c>
      <c r="T1547" s="100">
        <f>SamplingData[[#This Row],[Upper Range]]-SamplingData[[#This Row],[Span]]</f>
        <v>53510.479905019631</v>
      </c>
      <c r="U1547" s="100">
        <f>IF(ISNUMBER('General Info'!$B$40), ((SamplingData[[#This Row],[up/U Selection Probability]]) * 'General Info'!$B$40) - 1, 0)</f>
        <v>156.99347698809768</v>
      </c>
      <c r="V1547" s="100">
        <f>IF(ISNUMBER('General Info'!$B$40), (SamplingData[[#This Row],[Running (cumulative) sum]] * ('General Info'!$B$40 -'General Info'!$B$41 + 1)) + 'General Info'!$B$41 - 1, 0)</f>
        <v>53667.473382007731</v>
      </c>
      <c r="W1547" s="100" t="str">
        <f>IF(ISERROR(MATCH(SamplingData[[#This Row],[Batch by Type (p)]],SelectedPrecincts[Batch Name], 0)), "", INDEX(SelectedPrecincts[Draw], MATCH(SamplingData[[#This Row],[Batch by Type (p)]],SelectedPrecincts[Batch Name], 0)))</f>
        <v/>
      </c>
      <c r="X1547" s="102">
        <f>IF(COUNTIF(SelectedPrecincts[Batch Name],SamplingData[[#This Row],[Batch by Type (p)]]) &lt;&gt; 0, COUNTIF(SelectedPrecincts[Batch Name],SamplingData[[#This Row],[Batch by Type (p)]]), 0)</f>
        <v>0</v>
      </c>
    </row>
    <row r="1548" spans="1:24" ht="15" customHeight="1">
      <c r="A1548" s="18" t="s">
        <v>1724</v>
      </c>
      <c r="B1548" s="18">
        <v>21</v>
      </c>
      <c r="C1548" s="18">
        <v>21</v>
      </c>
      <c r="D1548" s="18">
        <v>10</v>
      </c>
      <c r="E1548" s="18">
        <v>2</v>
      </c>
      <c r="F1548" s="18">
        <v>0</v>
      </c>
      <c r="G1548" s="18">
        <v>0</v>
      </c>
      <c r="H1548" s="18">
        <v>0</v>
      </c>
      <c r="I1548" s="18">
        <v>1</v>
      </c>
      <c r="J1548" s="99">
        <f>SUM(SamplingData[[#This Row],[Losing Candidate]:[Under Votes]])</f>
        <v>55</v>
      </c>
      <c r="K1548" s="100">
        <f>IF(AND(SamplingData[[#This Row],[Total]]&lt;&gt; 0, NOT(ISBLANK(SamplingData[[#This Row],[Losing Candidate]]))),(SamplingData[[#This Row],[Total]]+SamplingData[[#This Row],[Winning Candidate]]-SamplingData[[#This Row],[Losing Candidate]])/(SamplingData[[#Totals],[Winning Candidate]]-SamplingData[[#Totals],[Losing Candidate]]), 0)</f>
        <v>3.3684468397844193E-3</v>
      </c>
      <c r="L1548" s="100">
        <f>IF(AND(SamplingData[[#This Row],[Total]]&lt;&gt; 0, NOT(ISBLANK(SamplingData[[#This Row],[Candidate 3]]))),(SamplingData[[#This Row],[Total]]+SamplingData[[#This Row],[Winning Candidate]]-SamplingData[[#This Row],[Candidate 3]])/(SamplingData[[#Totals],[Winning Candidate]]-SamplingData[[#Totals],[Candidate 3]]), 0)</f>
        <v>2.1292383133851662E-3</v>
      </c>
      <c r="M1548" s="100">
        <f>IF(AND(SamplingData[[#This Row],[Total]]&lt;&gt; 0, NOT(ISBLANK(SamplingData[[#This Row],[Candidate 4]]))),(SamplingData[[#This Row],[Total]]+SamplingData[[#This Row],[Winning Candidate]]-SamplingData[[#This Row],[Candidate 4]])/(SamplingData[[#Totals],[Winning Candidate]]-SamplingData[[#Totals],[Candidate 4]]), 0)</f>
        <v>2.1631734338916661E-3</v>
      </c>
      <c r="N1548" s="100">
        <f>IF(AND(SamplingData[[#This Row],[Total]]&lt;&gt; 0, NOT(ISBLANK(SamplingData[[#This Row],[Candidate 5]]))),(SamplingData[[#This Row],[Total]]+SamplingData[[#This Row],[Winning Candidate]]-SamplingData[[#This Row],[Candidate 5]])/(SamplingData[[#Totals],[Winning Candidate]]-SamplingData[[#Totals],[Candidate 5]]), 0)</f>
        <v>1.8486986134760399E-3</v>
      </c>
      <c r="O1548" s="100">
        <f>IF(AND(SamplingData[[#This Row],[Total]]&lt;&gt; 0, NOT(ISBLANK(SamplingData[[#This Row],[Candidate 6]]))),(SamplingData[[#This Row],[Total]]+SamplingData[[#This Row],[Winning Candidate]]-SamplingData[[#This Row],[Candidate 6]])/(SamplingData[[#Totals],[Winning Candidate]]-SamplingData[[#Totals],[Candidate 6]]), 0)</f>
        <v>1.8481591362287826E-3</v>
      </c>
      <c r="P1548" s="100">
        <f>MAX(SamplingData[[#This Row],[Error Bound (up) - Max. possible relative overstatement - Losing Candidate]:[Error Bound (up) - Max. possible relative overstatement - Candidate 6]])</f>
        <v>3.3684468397844193E-3</v>
      </c>
      <c r="Q1548" s="100">
        <f>IF(SamplingData[[#This Row],[Max Error Bound (up)]] = 0,0,SamplingData[[#This Row],[Max Error Bound (up)]]/SamplingData[[#Totals],[Max Error Bound (up)]])</f>
        <v>5.3311215531452077E-4</v>
      </c>
      <c r="R1548" s="101">
        <f>SUM($Q$5:Q1548)</f>
        <v>0.53721784597539179</v>
      </c>
      <c r="S1548" s="100" t="str">
        <f t="array" ref="S1548">IF(SamplingData[[#This Row],[up/U Selection Probability]] = 0, "Zero", TEXT(SamplingData[[#This Row],[Lower Range]], REPT("0",LEN('General Info'!$B$40))) &amp; " - " &amp; TEXT(SamplingData[[#This Row],[Upper Range]], REPT("0",LEN('General Info'!$B$40))))</f>
        <v>53668 - 53721</v>
      </c>
      <c r="T1548" s="100">
        <f>SamplingData[[#This Row],[Upper Range]]-SamplingData[[#This Row],[Span]]</f>
        <v>53668.473915119888</v>
      </c>
      <c r="U1548" s="100">
        <f>IF(ISNUMBER('General Info'!$B$40), ((SamplingData[[#This Row],[up/U Selection Probability]]) * 'General Info'!$B$40) - 1, 0)</f>
        <v>52.310682419296761</v>
      </c>
      <c r="V1548" s="100">
        <f>IF(ISNUMBER('General Info'!$B$40), (SamplingData[[#This Row],[Running (cumulative) sum]] * ('General Info'!$B$40 -'General Info'!$B$41 + 1)) + 'General Info'!$B$41 - 1, 0)</f>
        <v>53720.784597539183</v>
      </c>
      <c r="W1548" s="100" t="str">
        <f>IF(ISERROR(MATCH(SamplingData[[#This Row],[Batch by Type (p)]],SelectedPrecincts[Batch Name], 0)), "", INDEX(SelectedPrecincts[Draw], MATCH(SamplingData[[#This Row],[Batch by Type (p)]],SelectedPrecincts[Batch Name], 0)))</f>
        <v/>
      </c>
      <c r="X1548" s="102">
        <f>IF(COUNTIF(SelectedPrecincts[Batch Name],SamplingData[[#This Row],[Batch by Type (p)]]) &lt;&gt; 0, COUNTIF(SelectedPrecincts[Batch Name],SamplingData[[#This Row],[Batch by Type (p)]]), 0)</f>
        <v>0</v>
      </c>
    </row>
    <row r="1549" spans="1:24" ht="15" customHeight="1">
      <c r="A1549" s="18" t="s">
        <v>1725</v>
      </c>
      <c r="B1549" s="18">
        <v>9</v>
      </c>
      <c r="C1549" s="18">
        <v>21</v>
      </c>
      <c r="D1549" s="16">
        <v>1</v>
      </c>
      <c r="E1549" s="16">
        <v>3</v>
      </c>
      <c r="F1549" s="37">
        <v>0</v>
      </c>
      <c r="G1549" s="37">
        <v>0</v>
      </c>
      <c r="H1549" s="17">
        <v>0</v>
      </c>
      <c r="I1549" s="17">
        <v>0</v>
      </c>
      <c r="J1549" s="99">
        <f>SUM(SamplingData[[#This Row],[Losing Candidate]:[Under Votes]])</f>
        <v>34</v>
      </c>
      <c r="K1549" s="100">
        <f>IF(AND(SamplingData[[#This Row],[Total]]&lt;&gt; 0, NOT(ISBLANK(SamplingData[[#This Row],[Losing Candidate]]))),(SamplingData[[#This Row],[Total]]+SamplingData[[#This Row],[Winning Candidate]]-SamplingData[[#This Row],[Losing Candidate]])/(SamplingData[[#Totals],[Winning Candidate]]-SamplingData[[#Totals],[Losing Candidate]]), 0)</f>
        <v>2.8172464478196961E-3</v>
      </c>
      <c r="L1549" s="100">
        <f>IF(AND(SamplingData[[#This Row],[Total]]&lt;&gt; 0, NOT(ISBLANK(SamplingData[[#This Row],[Candidate 3]]))),(SamplingData[[#This Row],[Total]]+SamplingData[[#This Row],[Winning Candidate]]-SamplingData[[#This Row],[Candidate 3]])/(SamplingData[[#Totals],[Winning Candidate]]-SamplingData[[#Totals],[Candidate 3]]), 0)</f>
        <v>1.7421040745878634E-3</v>
      </c>
      <c r="M1549" s="100">
        <f>IF(AND(SamplingData[[#This Row],[Total]]&lt;&gt; 0, NOT(ISBLANK(SamplingData[[#This Row],[Candidate 4]]))),(SamplingData[[#This Row],[Total]]+SamplingData[[#This Row],[Winning Candidate]]-SamplingData[[#This Row],[Candidate 4]])/(SamplingData[[#Totals],[Winning Candidate]]-SamplingData[[#Totals],[Candidate 4]]), 0)</f>
        <v>1.5200678184103598E-3</v>
      </c>
      <c r="N1549" s="100">
        <f>IF(AND(SamplingData[[#This Row],[Total]]&lt;&gt; 0, NOT(ISBLANK(SamplingData[[#This Row],[Candidate 5]]))),(SamplingData[[#This Row],[Total]]+SamplingData[[#This Row],[Winning Candidate]]-SamplingData[[#This Row],[Candidate 5]])/(SamplingData[[#Totals],[Winning Candidate]]-SamplingData[[#Totals],[Candidate 5]]), 0)</f>
        <v>1.3378739965945025E-3</v>
      </c>
      <c r="O1549" s="100">
        <f>IF(AND(SamplingData[[#This Row],[Total]]&lt;&gt; 0, NOT(ISBLANK(SamplingData[[#This Row],[Candidate 6]]))),(SamplingData[[#This Row],[Total]]+SamplingData[[#This Row],[Winning Candidate]]-SamplingData[[#This Row],[Candidate 6]])/(SamplingData[[#Totals],[Winning Candidate]]-SamplingData[[#Totals],[Candidate 6]]), 0)</f>
        <v>1.3374835854287244E-3</v>
      </c>
      <c r="P1549" s="100">
        <f>MAX(SamplingData[[#This Row],[Error Bound (up) - Max. possible relative overstatement - Losing Candidate]:[Error Bound (up) - Max. possible relative overstatement - Candidate 6]])</f>
        <v>2.8172464478196961E-3</v>
      </c>
      <c r="Q1549" s="100">
        <f>IF(SamplingData[[#This Row],[Max Error Bound (up)]] = 0,0,SamplingData[[#This Row],[Max Error Bound (up)]]/SamplingData[[#Totals],[Max Error Bound (up)]])</f>
        <v>4.4587562080850821E-4</v>
      </c>
      <c r="R1549" s="101">
        <f>SUM($Q$5:Q1549)</f>
        <v>0.53766372159620035</v>
      </c>
      <c r="S1549" s="100" t="str">
        <f t="array" ref="S1549">IF(SamplingData[[#This Row],[up/U Selection Probability]] = 0, "Zero", TEXT(SamplingData[[#This Row],[Lower Range]], REPT("0",LEN('General Info'!$B$40))) &amp; " - " &amp; TEXT(SamplingData[[#This Row],[Upper Range]], REPT("0",LEN('General Info'!$B$40))))</f>
        <v>53722 - 53765</v>
      </c>
      <c r="T1549" s="100">
        <f>SamplingData[[#This Row],[Upper Range]]-SamplingData[[#This Row],[Span]]</f>
        <v>53721.785043414806</v>
      </c>
      <c r="U1549" s="100">
        <f>IF(ISNUMBER('General Info'!$B$40), ((SamplingData[[#This Row],[up/U Selection Probability]]) * 'General Info'!$B$40) - 1, 0)</f>
        <v>43.587116205230011</v>
      </c>
      <c r="V1549" s="100">
        <f>IF(ISNUMBER('General Info'!$B$40), (SamplingData[[#This Row],[Running (cumulative) sum]] * ('General Info'!$B$40 -'General Info'!$B$41 + 1)) + 'General Info'!$B$41 - 1, 0)</f>
        <v>53765.372159620034</v>
      </c>
      <c r="W1549" s="100" t="str">
        <f>IF(ISERROR(MATCH(SamplingData[[#This Row],[Batch by Type (p)]],SelectedPrecincts[Batch Name], 0)), "", INDEX(SelectedPrecincts[Draw], MATCH(SamplingData[[#This Row],[Batch by Type (p)]],SelectedPrecincts[Batch Name], 0)))</f>
        <v/>
      </c>
      <c r="X1549" s="102">
        <f>IF(COUNTIF(SelectedPrecincts[Batch Name],SamplingData[[#This Row],[Batch by Type (p)]]) &lt;&gt; 0, COUNTIF(SelectedPrecincts[Batch Name],SamplingData[[#This Row],[Batch by Type (p)]]), 0)</f>
        <v>0</v>
      </c>
    </row>
    <row r="1550" spans="1:24" ht="15" customHeight="1">
      <c r="A1550" s="18" t="s">
        <v>1726</v>
      </c>
      <c r="B1550" s="18">
        <v>6</v>
      </c>
      <c r="C1550" s="18">
        <v>3</v>
      </c>
      <c r="D1550" s="18">
        <v>0</v>
      </c>
      <c r="E1550" s="18">
        <v>1</v>
      </c>
      <c r="F1550" s="18">
        <v>0</v>
      </c>
      <c r="G1550" s="18">
        <v>0</v>
      </c>
      <c r="H1550" s="18">
        <v>0</v>
      </c>
      <c r="I1550" s="18">
        <v>0</v>
      </c>
      <c r="J1550" s="99">
        <f>SUM(SamplingData[[#This Row],[Losing Candidate]:[Under Votes]])</f>
        <v>10</v>
      </c>
      <c r="K1550"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550" s="100">
        <f>IF(AND(SamplingData[[#This Row],[Total]]&lt;&gt; 0, NOT(ISBLANK(SamplingData[[#This Row],[Candidate 3]]))),(SamplingData[[#This Row],[Total]]+SamplingData[[#This Row],[Winning Candidate]]-SamplingData[[#This Row],[Candidate 3]])/(SamplingData[[#Totals],[Winning Candidate]]-SamplingData[[#Totals],[Candidate 3]]), 0)</f>
        <v>4.1939542536374486E-4</v>
      </c>
      <c r="M1550" s="100">
        <f>IF(AND(SamplingData[[#This Row],[Total]]&lt;&gt; 0, NOT(ISBLANK(SamplingData[[#This Row],[Candidate 4]]))),(SamplingData[[#This Row],[Total]]+SamplingData[[#This Row],[Winning Candidate]]-SamplingData[[#This Row],[Candidate 4]])/(SamplingData[[#Totals],[Winning Candidate]]-SamplingData[[#Totals],[Candidate 4]]), 0)</f>
        <v>3.5078488117162149E-4</v>
      </c>
      <c r="N1550" s="100">
        <f>IF(AND(SamplingData[[#This Row],[Total]]&lt;&gt; 0, NOT(ISBLANK(SamplingData[[#This Row],[Candidate 5]]))),(SamplingData[[#This Row],[Total]]+SamplingData[[#This Row],[Winning Candidate]]-SamplingData[[#This Row],[Candidate 5]])/(SamplingData[[#Totals],[Winning Candidate]]-SamplingData[[#Totals],[Candidate 5]]), 0)</f>
        <v>3.1622476283142789E-4</v>
      </c>
      <c r="O1550" s="100">
        <f>IF(AND(SamplingData[[#This Row],[Total]]&lt;&gt; 0, NOT(ISBLANK(SamplingData[[#This Row],[Candidate 6]]))),(SamplingData[[#This Row],[Total]]+SamplingData[[#This Row],[Winning Candidate]]-SamplingData[[#This Row],[Candidate 6]])/(SamplingData[[#Totals],[Winning Candidate]]-SamplingData[[#Totals],[Candidate 6]]), 0)</f>
        <v>3.1613248382860755E-4</v>
      </c>
      <c r="P1550" s="100">
        <f>MAX(SamplingData[[#This Row],[Error Bound (up) - Max. possible relative overstatement - Losing Candidate]:[Error Bound (up) - Max. possible relative overstatement - Candidate 6]])</f>
        <v>4.2871141597256246E-4</v>
      </c>
      <c r="Q1550" s="100">
        <f>IF(SamplingData[[#This Row],[Max Error Bound (up)]] = 0,0,SamplingData[[#This Row],[Max Error Bound (up)]]/SamplingData[[#Totals],[Max Error Bound (up)]])</f>
        <v>6.7850637949120826E-5</v>
      </c>
      <c r="R1550" s="101">
        <f>SUM($Q$5:Q1550)</f>
        <v>0.53773157223414947</v>
      </c>
      <c r="S1550" s="100" t="str">
        <f t="array" ref="S1550">IF(SamplingData[[#This Row],[up/U Selection Probability]] = 0, "Zero", TEXT(SamplingData[[#This Row],[Lower Range]], REPT("0",LEN('General Info'!$B$40))) &amp; " - " &amp; TEXT(SamplingData[[#This Row],[Upper Range]], REPT("0",LEN('General Info'!$B$40))))</f>
        <v>53766 - 53772</v>
      </c>
      <c r="T1550" s="100">
        <f>SamplingData[[#This Row],[Upper Range]]-SamplingData[[#This Row],[Span]]</f>
        <v>53766.372227470674</v>
      </c>
      <c r="U1550" s="100">
        <f>IF(ISNUMBER('General Info'!$B$40), ((SamplingData[[#This Row],[up/U Selection Probability]]) * 'General Info'!$B$40) - 1, 0)</f>
        <v>5.7849959442741339</v>
      </c>
      <c r="V1550" s="100">
        <f>IF(ISNUMBER('General Info'!$B$40), (SamplingData[[#This Row],[Running (cumulative) sum]] * ('General Info'!$B$40 -'General Info'!$B$41 + 1)) + 'General Info'!$B$41 - 1, 0)</f>
        <v>53772.15722341495</v>
      </c>
      <c r="W1550" s="100" t="str">
        <f>IF(ISERROR(MATCH(SamplingData[[#This Row],[Batch by Type (p)]],SelectedPrecincts[Batch Name], 0)), "", INDEX(SelectedPrecincts[Draw], MATCH(SamplingData[[#This Row],[Batch by Type (p)]],SelectedPrecincts[Batch Name], 0)))</f>
        <v/>
      </c>
      <c r="X1550" s="102">
        <f>IF(COUNTIF(SelectedPrecincts[Batch Name],SamplingData[[#This Row],[Batch by Type (p)]]) &lt;&gt; 0, COUNTIF(SelectedPrecincts[Batch Name],SamplingData[[#This Row],[Batch by Type (p)]]), 0)</f>
        <v>0</v>
      </c>
    </row>
    <row r="1551" spans="1:24" ht="15" customHeight="1">
      <c r="A1551" s="18" t="s">
        <v>1727</v>
      </c>
      <c r="B1551" s="18">
        <v>32</v>
      </c>
      <c r="C1551" s="18">
        <v>89</v>
      </c>
      <c r="D1551" s="16">
        <v>7</v>
      </c>
      <c r="E1551" s="16">
        <v>6</v>
      </c>
      <c r="F1551" s="37">
        <v>1</v>
      </c>
      <c r="G1551" s="37">
        <v>0</v>
      </c>
      <c r="H1551" s="17">
        <v>0</v>
      </c>
      <c r="I1551" s="17">
        <v>1</v>
      </c>
      <c r="J1551" s="99">
        <f>SUM(SamplingData[[#This Row],[Losing Candidate]:[Under Votes]])</f>
        <v>136</v>
      </c>
      <c r="K1551" s="100">
        <f>IF(AND(SamplingData[[#This Row],[Total]]&lt;&gt; 0, NOT(ISBLANK(SamplingData[[#This Row],[Losing Candidate]]))),(SamplingData[[#This Row],[Total]]+SamplingData[[#This Row],[Winning Candidate]]-SamplingData[[#This Row],[Losing Candidate]])/(SamplingData[[#Totals],[Winning Candidate]]-SamplingData[[#Totals],[Losing Candidate]]), 0)</f>
        <v>1.1820186183243509E-2</v>
      </c>
      <c r="L1551" s="100">
        <f>IF(AND(SamplingData[[#This Row],[Total]]&lt;&gt; 0, NOT(ISBLANK(SamplingData[[#This Row],[Candidate 3]]))),(SamplingData[[#This Row],[Total]]+SamplingData[[#This Row],[Winning Candidate]]-SamplingData[[#This Row],[Candidate 3]])/(SamplingData[[#Totals],[Winning Candidate]]-SamplingData[[#Totals],[Candidate 3]]), 0)</f>
        <v>7.0329386714843376E-3</v>
      </c>
      <c r="M1551" s="100">
        <f>IF(AND(SamplingData[[#This Row],[Total]]&lt;&gt; 0, NOT(ISBLANK(SamplingData[[#This Row],[Candidate 4]]))),(SamplingData[[#This Row],[Total]]+SamplingData[[#This Row],[Winning Candidate]]-SamplingData[[#This Row],[Candidate 4]])/(SamplingData[[#Totals],[Winning Candidate]]-SamplingData[[#Totals],[Candidate 4]]), 0)</f>
        <v>6.4018240813820924E-3</v>
      </c>
      <c r="N1551" s="100">
        <f>IF(AND(SamplingData[[#This Row],[Total]]&lt;&gt; 0, NOT(ISBLANK(SamplingData[[#This Row],[Candidate 5]]))),(SamplingData[[#This Row],[Total]]+SamplingData[[#This Row],[Winning Candidate]]-SamplingData[[#This Row],[Candidate 5]])/(SamplingData[[#Totals],[Winning Candidate]]-SamplingData[[#Totals],[Candidate 5]]), 0)</f>
        <v>5.4487959134030652E-3</v>
      </c>
      <c r="O1551" s="100">
        <f>IF(AND(SamplingData[[#This Row],[Total]]&lt;&gt; 0, NOT(ISBLANK(SamplingData[[#This Row],[Candidate 6]]))),(SamplingData[[#This Row],[Total]]+SamplingData[[#This Row],[Winning Candidate]]-SamplingData[[#This Row],[Candidate 6]])/(SamplingData[[#Totals],[Winning Candidate]]-SamplingData[[#Totals],[Candidate 6]]), 0)</f>
        <v>5.471523758572054E-3</v>
      </c>
      <c r="P1551" s="100">
        <f>MAX(SamplingData[[#This Row],[Error Bound (up) - Max. possible relative overstatement - Losing Candidate]:[Error Bound (up) - Max. possible relative overstatement - Candidate 6]])</f>
        <v>1.1820186183243509E-2</v>
      </c>
      <c r="Q1551" s="100">
        <f>IF(SamplingData[[#This Row],[Max Error Bound (up)]] = 0,0,SamplingData[[#This Row],[Max Error Bound (up)]]/SamplingData[[#Totals],[Max Error Bound (up)]])</f>
        <v>1.8707390177400457E-3</v>
      </c>
      <c r="R1551" s="101">
        <f>SUM($Q$5:Q1551)</f>
        <v>0.53960231125188951</v>
      </c>
      <c r="S1551" s="100" t="str">
        <f t="array" ref="S1551">IF(SamplingData[[#This Row],[up/U Selection Probability]] = 0, "Zero", TEXT(SamplingData[[#This Row],[Lower Range]], REPT("0",LEN('General Info'!$B$40))) &amp; " - " &amp; TEXT(SamplingData[[#This Row],[Upper Range]], REPT("0",LEN('General Info'!$B$40))))</f>
        <v>53773 - 53959</v>
      </c>
      <c r="T1551" s="100">
        <f>SamplingData[[#This Row],[Upper Range]]-SamplingData[[#This Row],[Span]]</f>
        <v>53773.159094153962</v>
      </c>
      <c r="U1551" s="100">
        <f>IF(ISNUMBER('General Info'!$B$40), ((SamplingData[[#This Row],[up/U Selection Probability]]) * 'General Info'!$B$40) - 1, 0)</f>
        <v>186.07203103498682</v>
      </c>
      <c r="V1551" s="100">
        <f>IF(ISNUMBER('General Info'!$B$40), (SamplingData[[#This Row],[Running (cumulative) sum]] * ('General Info'!$B$40 -'General Info'!$B$41 + 1)) + 'General Info'!$B$41 - 1, 0)</f>
        <v>53959.231125188948</v>
      </c>
      <c r="W1551" s="100" t="str">
        <f>IF(ISERROR(MATCH(SamplingData[[#This Row],[Batch by Type (p)]],SelectedPrecincts[Batch Name], 0)), "", INDEX(SelectedPrecincts[Draw], MATCH(SamplingData[[#This Row],[Batch by Type (p)]],SelectedPrecincts[Batch Name], 0)))</f>
        <v/>
      </c>
      <c r="X1551" s="102">
        <f>IF(COUNTIF(SelectedPrecincts[Batch Name],SamplingData[[#This Row],[Batch by Type (p)]]) &lt;&gt; 0, COUNTIF(SelectedPrecincts[Batch Name],SamplingData[[#This Row],[Batch by Type (p)]]), 0)</f>
        <v>0</v>
      </c>
    </row>
    <row r="1552" spans="1:24" ht="15" customHeight="1">
      <c r="A1552" s="18" t="s">
        <v>1728</v>
      </c>
      <c r="B1552" s="18">
        <v>21</v>
      </c>
      <c r="C1552" s="18">
        <v>35</v>
      </c>
      <c r="D1552" s="18">
        <v>7</v>
      </c>
      <c r="E1552" s="18">
        <v>4</v>
      </c>
      <c r="F1552" s="18">
        <v>0</v>
      </c>
      <c r="G1552" s="18">
        <v>0</v>
      </c>
      <c r="H1552" s="18">
        <v>0</v>
      </c>
      <c r="I1552" s="18">
        <v>0</v>
      </c>
      <c r="J1552" s="99">
        <f>SUM(SamplingData[[#This Row],[Losing Candidate]:[Under Votes]])</f>
        <v>67</v>
      </c>
      <c r="K1552"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1552" s="100">
        <f>IF(AND(SamplingData[[#This Row],[Total]]&lt;&gt; 0, NOT(ISBLANK(SamplingData[[#This Row],[Candidate 3]]))),(SamplingData[[#This Row],[Total]]+SamplingData[[#This Row],[Winning Candidate]]-SamplingData[[#This Row],[Candidate 3]])/(SamplingData[[#Totals],[Winning Candidate]]-SamplingData[[#Totals],[Candidate 3]]), 0)</f>
        <v>3.0648127238119818E-3</v>
      </c>
      <c r="M1552" s="100">
        <f>IF(AND(SamplingData[[#This Row],[Total]]&lt;&gt; 0, NOT(ISBLANK(SamplingData[[#This Row],[Candidate 4]]))),(SamplingData[[#This Row],[Total]]+SamplingData[[#This Row],[Winning Candidate]]-SamplingData[[#This Row],[Candidate 4]])/(SamplingData[[#Totals],[Winning Candidate]]-SamplingData[[#Totals],[Candidate 4]]), 0)</f>
        <v>2.8647431962349089E-3</v>
      </c>
      <c r="N1552" s="100">
        <f>IF(AND(SamplingData[[#This Row],[Total]]&lt;&gt; 0, NOT(ISBLANK(SamplingData[[#This Row],[Candidate 5]]))),(SamplingData[[#This Row],[Total]]+SamplingData[[#This Row],[Winning Candidate]]-SamplingData[[#This Row],[Candidate 5]])/(SamplingData[[#Totals],[Winning Candidate]]-SamplingData[[#Totals],[Candidate 5]]), 0)</f>
        <v>2.4811481391388956E-3</v>
      </c>
      <c r="O1552" s="100">
        <f>IF(AND(SamplingData[[#This Row],[Total]]&lt;&gt; 0, NOT(ISBLANK(SamplingData[[#This Row],[Candidate 6]]))),(SamplingData[[#This Row],[Total]]+SamplingData[[#This Row],[Winning Candidate]]-SamplingData[[#This Row],[Candidate 6]])/(SamplingData[[#Totals],[Winning Candidate]]-SamplingData[[#Totals],[Candidate 6]]), 0)</f>
        <v>2.4804241038859976E-3</v>
      </c>
      <c r="P1552" s="100">
        <f>MAX(SamplingData[[#This Row],[Error Bound (up) - Max. possible relative overstatement - Losing Candidate]:[Error Bound (up) - Max. possible relative overstatement - Candidate 6]])</f>
        <v>4.9608035276825085E-3</v>
      </c>
      <c r="Q1552" s="100">
        <f>IF(SamplingData[[#This Row],[Max Error Bound (up)]] = 0,0,SamplingData[[#This Row],[Max Error Bound (up)]]/SamplingData[[#Totals],[Max Error Bound (up)]])</f>
        <v>7.8512881055411239E-4</v>
      </c>
      <c r="R1552" s="101">
        <f>SUM($Q$5:Q1552)</f>
        <v>0.54038744006244366</v>
      </c>
      <c r="S1552" s="100" t="str">
        <f t="array" ref="S1552">IF(SamplingData[[#This Row],[up/U Selection Probability]] = 0, "Zero", TEXT(SamplingData[[#This Row],[Lower Range]], REPT("0",LEN('General Info'!$B$40))) &amp; " - " &amp; TEXT(SamplingData[[#This Row],[Upper Range]], REPT("0",LEN('General Info'!$B$40))))</f>
        <v>53960 - 54038</v>
      </c>
      <c r="T1552" s="100">
        <f>SamplingData[[#This Row],[Upper Range]]-SamplingData[[#This Row],[Span]]</f>
        <v>53960.231910317765</v>
      </c>
      <c r="U1552" s="100">
        <f>IF(ISNUMBER('General Info'!$B$40), ((SamplingData[[#This Row],[up/U Selection Probability]]) * 'General Info'!$B$40) - 1, 0)</f>
        <v>77.512095926600679</v>
      </c>
      <c r="V1552" s="100">
        <f>IF(ISNUMBER('General Info'!$B$40), (SamplingData[[#This Row],[Running (cumulative) sum]] * ('General Info'!$B$40 -'General Info'!$B$41 + 1)) + 'General Info'!$B$41 - 1, 0)</f>
        <v>54037.744006244364</v>
      </c>
      <c r="W1552" s="100" t="str">
        <f>IF(ISERROR(MATCH(SamplingData[[#This Row],[Batch by Type (p)]],SelectedPrecincts[Batch Name], 0)), "", INDEX(SelectedPrecincts[Draw], MATCH(SamplingData[[#This Row],[Batch by Type (p)]],SelectedPrecincts[Batch Name], 0)))</f>
        <v/>
      </c>
      <c r="X1552" s="102">
        <f>IF(COUNTIF(SelectedPrecincts[Batch Name],SamplingData[[#This Row],[Batch by Type (p)]]) &lt;&gt; 0, COUNTIF(SelectedPrecincts[Batch Name],SamplingData[[#This Row],[Batch by Type (p)]]), 0)</f>
        <v>0</v>
      </c>
    </row>
    <row r="1553" spans="1:24" ht="15" customHeight="1">
      <c r="A1553" s="18" t="s">
        <v>1729</v>
      </c>
      <c r="B1553" s="18">
        <v>25</v>
      </c>
      <c r="C1553" s="18">
        <v>48</v>
      </c>
      <c r="D1553" s="16">
        <v>10</v>
      </c>
      <c r="E1553" s="16">
        <v>13</v>
      </c>
      <c r="F1553" s="37">
        <v>0</v>
      </c>
      <c r="G1553" s="37">
        <v>0</v>
      </c>
      <c r="H1553" s="17">
        <v>0</v>
      </c>
      <c r="I1553" s="17">
        <v>3</v>
      </c>
      <c r="J1553" s="99">
        <f>SUM(SamplingData[[#This Row],[Losing Candidate]:[Under Votes]])</f>
        <v>99</v>
      </c>
      <c r="K1553" s="100">
        <f>IF(AND(SamplingData[[#This Row],[Total]]&lt;&gt; 0, NOT(ISBLANK(SamplingData[[#This Row],[Losing Candidate]]))),(SamplingData[[#This Row],[Total]]+SamplingData[[#This Row],[Winning Candidate]]-SamplingData[[#This Row],[Losing Candidate]])/(SamplingData[[#Totals],[Winning Candidate]]-SamplingData[[#Totals],[Losing Candidate]]), 0)</f>
        <v>7.4718275355218034E-3</v>
      </c>
      <c r="L1553" s="100">
        <f>IF(AND(SamplingData[[#This Row],[Total]]&lt;&gt; 0, NOT(ISBLANK(SamplingData[[#This Row],[Candidate 3]]))),(SamplingData[[#This Row],[Total]]+SamplingData[[#This Row],[Winning Candidate]]-SamplingData[[#This Row],[Candidate 3]])/(SamplingData[[#Totals],[Winning Candidate]]-SamplingData[[#Totals],[Candidate 3]]), 0)</f>
        <v>4.419782559602542E-3</v>
      </c>
      <c r="M1553" s="100">
        <f>IF(AND(SamplingData[[#This Row],[Total]]&lt;&gt; 0, NOT(ISBLANK(SamplingData[[#This Row],[Candidate 4]]))),(SamplingData[[#This Row],[Total]]+SamplingData[[#This Row],[Winning Candidate]]-SamplingData[[#This Row],[Candidate 4]])/(SamplingData[[#Totals],[Winning Candidate]]-SamplingData[[#Totals],[Candidate 4]]), 0)</f>
        <v>3.9170978397497737E-3</v>
      </c>
      <c r="N1553" s="100">
        <f>IF(AND(SamplingData[[#This Row],[Total]]&lt;&gt; 0, NOT(ISBLANK(SamplingData[[#This Row],[Candidate 5]]))),(SamplingData[[#This Row],[Total]]+SamplingData[[#This Row],[Winning Candidate]]-SamplingData[[#This Row],[Candidate 5]])/(SamplingData[[#Totals],[Winning Candidate]]-SamplingData[[#Totals],[Candidate 5]]), 0)</f>
        <v>3.5757723181707615E-3</v>
      </c>
      <c r="O1553" s="100">
        <f>IF(AND(SamplingData[[#This Row],[Total]]&lt;&gt; 0, NOT(ISBLANK(SamplingData[[#This Row],[Candidate 6]]))),(SamplingData[[#This Row],[Total]]+SamplingData[[#This Row],[Winning Candidate]]-SamplingData[[#This Row],[Candidate 6]])/(SamplingData[[#Totals],[Winning Candidate]]-SamplingData[[#Totals],[Candidate 6]]), 0)</f>
        <v>3.5747288556004083E-3</v>
      </c>
      <c r="P1553" s="100">
        <f>MAX(SamplingData[[#This Row],[Error Bound (up) - Max. possible relative overstatement - Losing Candidate]:[Error Bound (up) - Max. possible relative overstatement - Candidate 6]])</f>
        <v>7.4718275355218034E-3</v>
      </c>
      <c r="Q1553" s="100">
        <f>IF(SamplingData[[#This Row],[Max Error Bound (up)]] = 0,0,SamplingData[[#This Row],[Max Error Bound (up)]]/SamplingData[[#Totals],[Max Error Bound (up)]])</f>
        <v>1.1825396899703916E-3</v>
      </c>
      <c r="R1553" s="101">
        <f>SUM($Q$5:Q1553)</f>
        <v>0.54156997975241405</v>
      </c>
      <c r="S1553" s="100" t="str">
        <f t="array" ref="S1553">IF(SamplingData[[#This Row],[up/U Selection Probability]] = 0, "Zero", TEXT(SamplingData[[#This Row],[Lower Range]], REPT("0",LEN('General Info'!$B$40))) &amp; " - " &amp; TEXT(SamplingData[[#This Row],[Upper Range]], REPT("0",LEN('General Info'!$B$40))))</f>
        <v>54039 - 54156</v>
      </c>
      <c r="T1553" s="100">
        <f>SamplingData[[#This Row],[Upper Range]]-SamplingData[[#This Row],[Span]]</f>
        <v>54038.745188784058</v>
      </c>
      <c r="U1553" s="100">
        <f>IF(ISNUMBER('General Info'!$B$40), ((SamplingData[[#This Row],[up/U Selection Probability]]) * 'General Info'!$B$40) - 1, 0)</f>
        <v>117.25278645734919</v>
      </c>
      <c r="V1553" s="100">
        <f>IF(ISNUMBER('General Info'!$B$40), (SamplingData[[#This Row],[Running (cumulative) sum]] * ('General Info'!$B$40 -'General Info'!$B$41 + 1)) + 'General Info'!$B$41 - 1, 0)</f>
        <v>54155.997975241407</v>
      </c>
      <c r="W1553" s="100" t="str">
        <f>IF(ISERROR(MATCH(SamplingData[[#This Row],[Batch by Type (p)]],SelectedPrecincts[Batch Name], 0)), "", INDEX(SelectedPrecincts[Draw], MATCH(SamplingData[[#This Row],[Batch by Type (p)]],SelectedPrecincts[Batch Name], 0)))</f>
        <v/>
      </c>
      <c r="X1553" s="102">
        <f>IF(COUNTIF(SelectedPrecincts[Batch Name],SamplingData[[#This Row],[Batch by Type (p)]]) &lt;&gt; 0, COUNTIF(SelectedPrecincts[Batch Name],SamplingData[[#This Row],[Batch by Type (p)]]), 0)</f>
        <v>0</v>
      </c>
    </row>
    <row r="1554" spans="1:24" ht="15" customHeight="1">
      <c r="A1554" s="18" t="s">
        <v>1730</v>
      </c>
      <c r="B1554" s="18">
        <v>29</v>
      </c>
      <c r="C1554" s="18">
        <v>38</v>
      </c>
      <c r="D1554" s="18">
        <v>10</v>
      </c>
      <c r="E1554" s="18">
        <v>2</v>
      </c>
      <c r="F1554" s="18">
        <v>0</v>
      </c>
      <c r="G1554" s="18">
        <v>0</v>
      </c>
      <c r="H1554" s="18">
        <v>0</v>
      </c>
      <c r="I1554" s="18">
        <v>1</v>
      </c>
      <c r="J1554" s="99">
        <f>SUM(SamplingData[[#This Row],[Losing Candidate]:[Under Votes]])</f>
        <v>80</v>
      </c>
      <c r="K1554" s="100">
        <f>IF(AND(SamplingData[[#This Row],[Total]]&lt;&gt; 0, NOT(ISBLANK(SamplingData[[#This Row],[Losing Candidate]]))),(SamplingData[[#This Row],[Total]]+SamplingData[[#This Row],[Winning Candidate]]-SamplingData[[#This Row],[Losing Candidate]])/(SamplingData[[#Totals],[Winning Candidate]]-SamplingData[[#Totals],[Losing Candidate]]), 0)</f>
        <v>5.4507594316511518E-3</v>
      </c>
      <c r="L1554" s="100">
        <f>IF(AND(SamplingData[[#This Row],[Total]]&lt;&gt; 0, NOT(ISBLANK(SamplingData[[#This Row],[Candidate 3]]))),(SamplingData[[#This Row],[Total]]+SamplingData[[#This Row],[Winning Candidate]]-SamplingData[[#This Row],[Candidate 3]])/(SamplingData[[#Totals],[Winning Candidate]]-SamplingData[[#Totals],[Candidate 3]]), 0)</f>
        <v>3.4842081491757268E-3</v>
      </c>
      <c r="M1554" s="100">
        <f>IF(AND(SamplingData[[#This Row],[Total]]&lt;&gt; 0, NOT(ISBLANK(SamplingData[[#This Row],[Candidate 4]]))),(SamplingData[[#This Row],[Total]]+SamplingData[[#This Row],[Winning Candidate]]-SamplingData[[#This Row],[Candidate 4]])/(SamplingData[[#Totals],[Winning Candidate]]-SamplingData[[#Totals],[Candidate 4]]), 0)</f>
        <v>3.3909205179923413E-3</v>
      </c>
      <c r="N1554" s="100">
        <f>IF(AND(SamplingData[[#This Row],[Total]]&lt;&gt; 0, NOT(ISBLANK(SamplingData[[#This Row],[Candidate 5]]))),(SamplingData[[#This Row],[Total]]+SamplingData[[#This Row],[Winning Candidate]]-SamplingData[[#This Row],[Candidate 5]])/(SamplingData[[#Totals],[Winning Candidate]]-SamplingData[[#Totals],[Candidate 5]]), 0)</f>
        <v>2.8703478472391145E-3</v>
      </c>
      <c r="O1554" s="100">
        <f>IF(AND(SamplingData[[#This Row],[Total]]&lt;&gt; 0, NOT(ISBLANK(SamplingData[[#This Row],[Candidate 6]]))),(SamplingData[[#This Row],[Total]]+SamplingData[[#This Row],[Winning Candidate]]-SamplingData[[#This Row],[Candidate 6]])/(SamplingData[[#Totals],[Winning Candidate]]-SamplingData[[#Totals],[Candidate 6]]), 0)</f>
        <v>2.8695102378288994E-3</v>
      </c>
      <c r="P1554" s="100">
        <f>MAX(SamplingData[[#This Row],[Error Bound (up) - Max. possible relative overstatement - Losing Candidate]:[Error Bound (up) - Max. possible relative overstatement - Candidate 6]])</f>
        <v>5.4507594316511518E-3</v>
      </c>
      <c r="Q1554" s="100">
        <f>IF(SamplingData[[#This Row],[Max Error Bound (up)]] = 0,0,SamplingData[[#This Row],[Max Error Bound (up)]]/SamplingData[[#Totals],[Max Error Bound (up)]])</f>
        <v>8.6267239678167911E-4</v>
      </c>
      <c r="R1554" s="101">
        <f>SUM($Q$5:Q1554)</f>
        <v>0.54243265214919578</v>
      </c>
      <c r="S1554" s="100" t="str">
        <f t="array" ref="S1554">IF(SamplingData[[#This Row],[up/U Selection Probability]] = 0, "Zero", TEXT(SamplingData[[#This Row],[Lower Range]], REPT("0",LEN('General Info'!$B$40))) &amp; " - " &amp; TEXT(SamplingData[[#This Row],[Upper Range]], REPT("0",LEN('General Info'!$B$40))))</f>
        <v>54157 - 54242</v>
      </c>
      <c r="T1554" s="100">
        <f>SamplingData[[#This Row],[Upper Range]]-SamplingData[[#This Row],[Span]]</f>
        <v>54156.998837913809</v>
      </c>
      <c r="U1554" s="100">
        <f>IF(ISNUMBER('General Info'!$B$40), ((SamplingData[[#This Row],[up/U Selection Probability]]) * 'General Info'!$B$40) - 1, 0)</f>
        <v>85.266377005771133</v>
      </c>
      <c r="V1554" s="100">
        <f>IF(ISNUMBER('General Info'!$B$40), (SamplingData[[#This Row],[Running (cumulative) sum]] * ('General Info'!$B$40 -'General Info'!$B$41 + 1)) + 'General Info'!$B$41 - 1, 0)</f>
        <v>54242.265214919578</v>
      </c>
      <c r="W1554" s="100" t="str">
        <f>IF(ISERROR(MATCH(SamplingData[[#This Row],[Batch by Type (p)]],SelectedPrecincts[Batch Name], 0)), "", INDEX(SelectedPrecincts[Draw], MATCH(SamplingData[[#This Row],[Batch by Type (p)]],SelectedPrecincts[Batch Name], 0)))</f>
        <v/>
      </c>
      <c r="X1554" s="102">
        <f>IF(COUNTIF(SelectedPrecincts[Batch Name],SamplingData[[#This Row],[Batch by Type (p)]]) &lt;&gt; 0, COUNTIF(SelectedPrecincts[Batch Name],SamplingData[[#This Row],[Batch by Type (p)]]), 0)</f>
        <v>0</v>
      </c>
    </row>
    <row r="1555" spans="1:24" ht="15" customHeight="1">
      <c r="A1555" s="18" t="s">
        <v>1731</v>
      </c>
      <c r="B1555" s="18">
        <v>27</v>
      </c>
      <c r="C1555" s="18">
        <v>69</v>
      </c>
      <c r="D1555" s="16">
        <v>10</v>
      </c>
      <c r="E1555" s="16">
        <v>3</v>
      </c>
      <c r="F1555" s="37">
        <v>0</v>
      </c>
      <c r="G1555" s="37">
        <v>2</v>
      </c>
      <c r="H1555" s="17">
        <v>0</v>
      </c>
      <c r="I1555" s="17">
        <v>1</v>
      </c>
      <c r="J1555" s="99">
        <f>SUM(SamplingData[[#This Row],[Losing Candidate]:[Under Votes]])</f>
        <v>112</v>
      </c>
      <c r="K1555" s="100">
        <f>IF(AND(SamplingData[[#This Row],[Total]]&lt;&gt; 0, NOT(ISBLANK(SamplingData[[#This Row],[Losing Candidate]]))),(SamplingData[[#This Row],[Total]]+SamplingData[[#This Row],[Winning Candidate]]-SamplingData[[#This Row],[Losing Candidate]])/(SamplingData[[#Totals],[Winning Candidate]]-SamplingData[[#Totals],[Losing Candidate]]), 0)</f>
        <v>9.4316511513963738E-3</v>
      </c>
      <c r="L1555" s="100">
        <f>IF(AND(SamplingData[[#This Row],[Total]]&lt;&gt; 0, NOT(ISBLANK(SamplingData[[#This Row],[Candidate 3]]))),(SamplingData[[#This Row],[Total]]+SamplingData[[#This Row],[Winning Candidate]]-SamplingData[[#This Row],[Candidate 3]])/(SamplingData[[#Totals],[Winning Candidate]]-SamplingData[[#Totals],[Candidate 3]]), 0)</f>
        <v>5.5166629028615671E-3</v>
      </c>
      <c r="M1555" s="100">
        <f>IF(AND(SamplingData[[#This Row],[Total]]&lt;&gt; 0, NOT(ISBLANK(SamplingData[[#This Row],[Candidate 4]]))),(SamplingData[[#This Row],[Total]]+SamplingData[[#This Row],[Winning Candidate]]-SamplingData[[#This Row],[Candidate 4]])/(SamplingData[[#Totals],[Winning Candidate]]-SamplingData[[#Totals],[Candidate 4]]), 0)</f>
        <v>5.2033090707123853E-3</v>
      </c>
      <c r="N1555" s="100">
        <f>IF(AND(SamplingData[[#This Row],[Total]]&lt;&gt; 0, NOT(ISBLANK(SamplingData[[#This Row],[Candidate 5]]))),(SamplingData[[#This Row],[Total]]+SamplingData[[#This Row],[Winning Candidate]]-SamplingData[[#This Row],[Candidate 5]])/(SamplingData[[#Totals],[Winning Candidate]]-SamplingData[[#Totals],[Candidate 5]]), 0)</f>
        <v>4.4028216978837268E-3</v>
      </c>
      <c r="O1555" s="100">
        <f>IF(AND(SamplingData[[#This Row],[Total]]&lt;&gt; 0, NOT(ISBLANK(SamplingData[[#This Row],[Candidate 6]]))),(SamplingData[[#This Row],[Total]]+SamplingData[[#This Row],[Winning Candidate]]-SamplingData[[#This Row],[Candidate 6]])/(SamplingData[[#Totals],[Winning Candidate]]-SamplingData[[#Totals],[Candidate 6]]), 0)</f>
        <v>4.3529011234862119E-3</v>
      </c>
      <c r="P1555" s="100">
        <f>MAX(SamplingData[[#This Row],[Error Bound (up) - Max. possible relative overstatement - Losing Candidate]:[Error Bound (up) - Max. possible relative overstatement - Candidate 6]])</f>
        <v>9.4316511513963738E-3</v>
      </c>
      <c r="Q1555" s="100">
        <f>IF(SamplingData[[#This Row],[Max Error Bound (up)]] = 0,0,SamplingData[[#This Row],[Max Error Bound (up)]]/SamplingData[[#Totals],[Max Error Bound (up)]])</f>
        <v>1.4927140348806581E-3</v>
      </c>
      <c r="R1555" s="101">
        <f>SUM($Q$5:Q1555)</f>
        <v>0.54392536618407639</v>
      </c>
      <c r="S1555" s="100" t="str">
        <f t="array" ref="S1555">IF(SamplingData[[#This Row],[up/U Selection Probability]] = 0, "Zero", TEXT(SamplingData[[#This Row],[Lower Range]], REPT("0",LEN('General Info'!$B$40))) &amp; " - " &amp; TEXT(SamplingData[[#This Row],[Upper Range]], REPT("0",LEN('General Info'!$B$40))))</f>
        <v>54243 - 54392</v>
      </c>
      <c r="T1555" s="100">
        <f>SamplingData[[#This Row],[Upper Range]]-SamplingData[[#This Row],[Span]]</f>
        <v>54243.266707633607</v>
      </c>
      <c r="U1555" s="100">
        <f>IF(ISNUMBER('General Info'!$B$40), ((SamplingData[[#This Row],[up/U Selection Probability]]) * 'General Info'!$B$40) - 1, 0)</f>
        <v>148.26991077403093</v>
      </c>
      <c r="V1555" s="100">
        <f>IF(ISNUMBER('General Info'!$B$40), (SamplingData[[#This Row],[Running (cumulative) sum]] * ('General Info'!$B$40 -'General Info'!$B$41 + 1)) + 'General Info'!$B$41 - 1, 0)</f>
        <v>54391.536618407641</v>
      </c>
      <c r="W1555" s="100" t="str">
        <f>IF(ISERROR(MATCH(SamplingData[[#This Row],[Batch by Type (p)]],SelectedPrecincts[Batch Name], 0)), "", INDEX(SelectedPrecincts[Draw], MATCH(SamplingData[[#This Row],[Batch by Type (p)]],SelectedPrecincts[Batch Name], 0)))</f>
        <v/>
      </c>
      <c r="X1555" s="102">
        <f>IF(COUNTIF(SelectedPrecincts[Batch Name],SamplingData[[#This Row],[Batch by Type (p)]]) &lt;&gt; 0, COUNTIF(SelectedPrecincts[Batch Name],SamplingData[[#This Row],[Batch by Type (p)]]), 0)</f>
        <v>0</v>
      </c>
    </row>
    <row r="1556" spans="1:24" ht="15" customHeight="1">
      <c r="A1556" s="18" t="s">
        <v>1732</v>
      </c>
      <c r="B1556" s="18">
        <v>24</v>
      </c>
      <c r="C1556" s="18">
        <v>26</v>
      </c>
      <c r="D1556" s="18">
        <v>6</v>
      </c>
      <c r="E1556" s="18">
        <v>2</v>
      </c>
      <c r="F1556" s="18">
        <v>0</v>
      </c>
      <c r="G1556" s="18">
        <v>0</v>
      </c>
      <c r="H1556" s="18">
        <v>0</v>
      </c>
      <c r="I1556" s="18">
        <v>0</v>
      </c>
      <c r="J1556" s="99">
        <f>SUM(SamplingData[[#This Row],[Losing Candidate]:[Under Votes]])</f>
        <v>58</v>
      </c>
      <c r="K1556"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556" s="100">
        <f>IF(AND(SamplingData[[#This Row],[Total]]&lt;&gt; 0, NOT(ISBLANK(SamplingData[[#This Row],[Candidate 3]]))),(SamplingData[[#This Row],[Total]]+SamplingData[[#This Row],[Winning Candidate]]-SamplingData[[#This Row],[Candidate 3]])/(SamplingData[[#Totals],[Winning Candidate]]-SamplingData[[#Totals],[Candidate 3]]), 0)</f>
        <v>2.5163725521824692E-3</v>
      </c>
      <c r="M1556" s="100">
        <f>IF(AND(SamplingData[[#This Row],[Total]]&lt;&gt; 0, NOT(ISBLANK(SamplingData[[#This Row],[Candidate 4]]))),(SamplingData[[#This Row],[Total]]+SamplingData[[#This Row],[Winning Candidate]]-SamplingData[[#This Row],[Candidate 4]])/(SamplingData[[#Totals],[Winning Candidate]]-SamplingData[[#Totals],[Candidate 4]]), 0)</f>
        <v>2.3970300213394134E-3</v>
      </c>
      <c r="N1556" s="100">
        <f>IF(AND(SamplingData[[#This Row],[Total]]&lt;&gt; 0, NOT(ISBLANK(SamplingData[[#This Row],[Candidate 5]]))),(SamplingData[[#This Row],[Total]]+SamplingData[[#This Row],[Winning Candidate]]-SamplingData[[#This Row],[Candidate 5]])/(SamplingData[[#Totals],[Winning Candidate]]-SamplingData[[#Totals],[Candidate 5]]), 0)</f>
        <v>2.0432984675261496E-3</v>
      </c>
      <c r="O1556" s="100">
        <f>IF(AND(SamplingData[[#This Row],[Total]]&lt;&gt; 0, NOT(ISBLANK(SamplingData[[#This Row],[Candidate 6]]))),(SamplingData[[#This Row],[Total]]+SamplingData[[#This Row],[Winning Candidate]]-SamplingData[[#This Row],[Candidate 6]])/(SamplingData[[#Totals],[Winning Candidate]]-SamplingData[[#Totals],[Candidate 6]]), 0)</f>
        <v>2.0427022032002335E-3</v>
      </c>
      <c r="P1556" s="100">
        <f>MAX(SamplingData[[#This Row],[Error Bound (up) - Max. possible relative overstatement - Losing Candidate]:[Error Bound (up) - Max. possible relative overstatement - Candidate 6]])</f>
        <v>3.6746692797648213E-3</v>
      </c>
      <c r="Q1556" s="100">
        <f>IF(SamplingData[[#This Row],[Max Error Bound (up)]] = 0,0,SamplingData[[#This Row],[Max Error Bound (up)]]/SamplingData[[#Totals],[Max Error Bound (up)]])</f>
        <v>5.8157689670674997E-4</v>
      </c>
      <c r="R1556" s="101">
        <f>SUM($Q$5:Q1556)</f>
        <v>0.54450694308078318</v>
      </c>
      <c r="S1556" s="100" t="str">
        <f t="array" ref="S1556">IF(SamplingData[[#This Row],[up/U Selection Probability]] = 0, "Zero", TEXT(SamplingData[[#This Row],[Lower Range]], REPT("0",LEN('General Info'!$B$40))) &amp; " - " &amp; TEXT(SamplingData[[#This Row],[Upper Range]], REPT("0",LEN('General Info'!$B$40))))</f>
        <v>54393 - 54450</v>
      </c>
      <c r="T1556" s="100">
        <f>SamplingData[[#This Row],[Upper Range]]-SamplingData[[#This Row],[Span]]</f>
        <v>54392.537199984537</v>
      </c>
      <c r="U1556" s="100">
        <f>IF(ISNUMBER('General Info'!$B$40), ((SamplingData[[#This Row],[up/U Selection Probability]]) * 'General Info'!$B$40) - 1, 0)</f>
        <v>57.157108093778291</v>
      </c>
      <c r="V1556" s="100">
        <f>IF(ISNUMBER('General Info'!$B$40), (SamplingData[[#This Row],[Running (cumulative) sum]] * ('General Info'!$B$40 -'General Info'!$B$41 + 1)) + 'General Info'!$B$41 - 1, 0)</f>
        <v>54449.694308078317</v>
      </c>
      <c r="W1556" s="100" t="str">
        <f>IF(ISERROR(MATCH(SamplingData[[#This Row],[Batch by Type (p)]],SelectedPrecincts[Batch Name], 0)), "", INDEX(SelectedPrecincts[Draw], MATCH(SamplingData[[#This Row],[Batch by Type (p)]],SelectedPrecincts[Batch Name], 0)))</f>
        <v/>
      </c>
      <c r="X1556" s="102">
        <f>IF(COUNTIF(SelectedPrecincts[Batch Name],SamplingData[[#This Row],[Batch by Type (p)]]) &lt;&gt; 0, COUNTIF(SelectedPrecincts[Batch Name],SamplingData[[#This Row],[Batch by Type (p)]]), 0)</f>
        <v>0</v>
      </c>
    </row>
    <row r="1557" spans="1:24" ht="15" customHeight="1">
      <c r="A1557" s="18" t="s">
        <v>1733</v>
      </c>
      <c r="B1557" s="18">
        <v>12</v>
      </c>
      <c r="C1557" s="18">
        <v>16</v>
      </c>
      <c r="D1557" s="16">
        <v>9</v>
      </c>
      <c r="E1557" s="16">
        <v>3</v>
      </c>
      <c r="F1557" s="37">
        <v>0</v>
      </c>
      <c r="G1557" s="37">
        <v>0</v>
      </c>
      <c r="H1557" s="17">
        <v>0</v>
      </c>
      <c r="I1557" s="17">
        <v>1</v>
      </c>
      <c r="J1557" s="99">
        <f>SUM(SamplingData[[#This Row],[Losing Candidate]:[Under Votes]])</f>
        <v>41</v>
      </c>
      <c r="K1557"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557" s="100">
        <f>IF(AND(SamplingData[[#This Row],[Total]]&lt;&gt; 0, NOT(ISBLANK(SamplingData[[#This Row],[Candidate 3]]))),(SamplingData[[#This Row],[Total]]+SamplingData[[#This Row],[Winning Candidate]]-SamplingData[[#This Row],[Candidate 3]])/(SamplingData[[#Totals],[Winning Candidate]]-SamplingData[[#Totals],[Candidate 3]]), 0)</f>
        <v>1.5485369551892119E-3</v>
      </c>
      <c r="M1557" s="100">
        <f>IF(AND(SamplingData[[#This Row],[Total]]&lt;&gt; 0, NOT(ISBLANK(SamplingData[[#This Row],[Candidate 4]]))),(SamplingData[[#This Row],[Total]]+SamplingData[[#This Row],[Winning Candidate]]-SamplingData[[#This Row],[Candidate 4]])/(SamplingData[[#Totals],[Winning Candidate]]-SamplingData[[#Totals],[Candidate 4]]), 0)</f>
        <v>1.5785319652722968E-3</v>
      </c>
      <c r="N1557" s="100">
        <f>IF(AND(SamplingData[[#This Row],[Total]]&lt;&gt; 0, NOT(ISBLANK(SamplingData[[#This Row],[Candidate 5]]))),(SamplingData[[#This Row],[Total]]+SamplingData[[#This Row],[Winning Candidate]]-SamplingData[[#This Row],[Candidate 5]])/(SamplingData[[#Totals],[Winning Candidate]]-SamplingData[[#Totals],[Candidate 5]]), 0)</f>
        <v>1.3865239601070299E-3</v>
      </c>
      <c r="O1557" s="100">
        <f>IF(AND(SamplingData[[#This Row],[Total]]&lt;&gt; 0, NOT(ISBLANK(SamplingData[[#This Row],[Candidate 6]]))),(SamplingData[[#This Row],[Total]]+SamplingData[[#This Row],[Winning Candidate]]-SamplingData[[#This Row],[Candidate 6]])/(SamplingData[[#Totals],[Winning Candidate]]-SamplingData[[#Totals],[Candidate 6]]), 0)</f>
        <v>1.3861193521715869E-3</v>
      </c>
      <c r="P1557" s="100">
        <f>MAX(SamplingData[[#This Row],[Error Bound (up) - Max. possible relative overstatement - Losing Candidate]:[Error Bound (up) - Max. possible relative overstatement - Candidate 6]])</f>
        <v>2.7560019598236157E-3</v>
      </c>
      <c r="Q1557" s="100">
        <f>IF(SamplingData[[#This Row],[Max Error Bound (up)]] = 0,0,SamplingData[[#This Row],[Max Error Bound (up)]]/SamplingData[[#Totals],[Max Error Bound (up)]])</f>
        <v>4.3618267253006237E-4</v>
      </c>
      <c r="R1557" s="101">
        <f>SUM($Q$5:Q1557)</f>
        <v>0.54494312575331327</v>
      </c>
      <c r="S1557" s="100" t="str">
        <f t="array" ref="S1557">IF(SamplingData[[#This Row],[up/U Selection Probability]] = 0, "Zero", TEXT(SamplingData[[#This Row],[Lower Range]], REPT("0",LEN('General Info'!$B$40))) &amp; " - " &amp; TEXT(SamplingData[[#This Row],[Upper Range]], REPT("0",LEN('General Info'!$B$40))))</f>
        <v>54451 - 54493</v>
      </c>
      <c r="T1557" s="100">
        <f>SamplingData[[#This Row],[Upper Range]]-SamplingData[[#This Row],[Span]]</f>
        <v>54450.694744260996</v>
      </c>
      <c r="U1557" s="100">
        <f>IF(ISNUMBER('General Info'!$B$40), ((SamplingData[[#This Row],[up/U Selection Probability]]) * 'General Info'!$B$40) - 1, 0)</f>
        <v>42.617831070333708</v>
      </c>
      <c r="V1557" s="100">
        <f>IF(ISNUMBER('General Info'!$B$40), (SamplingData[[#This Row],[Running (cumulative) sum]] * ('General Info'!$B$40 -'General Info'!$B$41 + 1)) + 'General Info'!$B$41 - 1, 0)</f>
        <v>54493.312575331329</v>
      </c>
      <c r="W1557" s="100" t="str">
        <f>IF(ISERROR(MATCH(SamplingData[[#This Row],[Batch by Type (p)]],SelectedPrecincts[Batch Name], 0)), "", INDEX(SelectedPrecincts[Draw], MATCH(SamplingData[[#This Row],[Batch by Type (p)]],SelectedPrecincts[Batch Name], 0)))</f>
        <v/>
      </c>
      <c r="X1557" s="102">
        <f>IF(COUNTIF(SelectedPrecincts[Batch Name],SamplingData[[#This Row],[Batch by Type (p)]]) &lt;&gt; 0, COUNTIF(SelectedPrecincts[Batch Name],SamplingData[[#This Row],[Batch by Type (p)]]), 0)</f>
        <v>0</v>
      </c>
    </row>
    <row r="1558" spans="1:24" ht="15" customHeight="1">
      <c r="A1558" s="18" t="s">
        <v>1734</v>
      </c>
      <c r="B1558" s="18">
        <v>7</v>
      </c>
      <c r="C1558" s="18">
        <v>10</v>
      </c>
      <c r="D1558" s="18">
        <v>4</v>
      </c>
      <c r="E1558" s="18">
        <v>3</v>
      </c>
      <c r="F1558" s="18">
        <v>1</v>
      </c>
      <c r="G1558" s="18">
        <v>0</v>
      </c>
      <c r="H1558" s="18">
        <v>0</v>
      </c>
      <c r="I1558" s="18">
        <v>0</v>
      </c>
      <c r="J1558" s="99">
        <f>SUM(SamplingData[[#This Row],[Losing Candidate]:[Under Votes]])</f>
        <v>25</v>
      </c>
      <c r="K1558"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558" s="100">
        <f>IF(AND(SamplingData[[#This Row],[Total]]&lt;&gt; 0, NOT(ISBLANK(SamplingData[[#This Row],[Candidate 3]]))),(SamplingData[[#This Row],[Total]]+SamplingData[[#This Row],[Winning Candidate]]-SamplingData[[#This Row],[Candidate 3]])/(SamplingData[[#Totals],[Winning Candidate]]-SamplingData[[#Totals],[Candidate 3]]), 0)</f>
        <v>1.0000967835596993E-3</v>
      </c>
      <c r="M1558" s="100">
        <f>IF(AND(SamplingData[[#This Row],[Total]]&lt;&gt; 0, NOT(ISBLANK(SamplingData[[#This Row],[Candidate 4]]))),(SamplingData[[#This Row],[Total]]+SamplingData[[#This Row],[Winning Candidate]]-SamplingData[[#This Row],[Candidate 4]])/(SamplingData[[#Totals],[Winning Candidate]]-SamplingData[[#Totals],[Candidate 4]]), 0)</f>
        <v>9.3542634979099071E-4</v>
      </c>
      <c r="N1558" s="100">
        <f>IF(AND(SamplingData[[#This Row],[Total]]&lt;&gt; 0, NOT(ISBLANK(SamplingData[[#This Row],[Candidate 5]]))),(SamplingData[[#This Row],[Total]]+SamplingData[[#This Row],[Winning Candidate]]-SamplingData[[#This Row],[Candidate 5]])/(SamplingData[[#Totals],[Winning Candidate]]-SamplingData[[#Totals],[Candidate 5]]), 0)</f>
        <v>8.2704937971296523E-4</v>
      </c>
      <c r="O1558" s="100">
        <f>IF(AND(SamplingData[[#This Row],[Total]]&lt;&gt; 0, NOT(ISBLANK(SamplingData[[#This Row],[Candidate 6]]))),(SamplingData[[#This Row],[Total]]+SamplingData[[#This Row],[Winning Candidate]]-SamplingData[[#This Row],[Candidate 6]])/(SamplingData[[#Totals],[Winning Candidate]]-SamplingData[[#Totals],[Candidate 6]]), 0)</f>
        <v>8.5112591800009726E-4</v>
      </c>
      <c r="P1558" s="100">
        <f>MAX(SamplingData[[#This Row],[Error Bound (up) - Max. possible relative overstatement - Losing Candidate]:[Error Bound (up) - Max. possible relative overstatement - Candidate 6]])</f>
        <v>1.7148456638902498E-3</v>
      </c>
      <c r="Q1558" s="100">
        <f>IF(SamplingData[[#This Row],[Max Error Bound (up)]] = 0,0,SamplingData[[#This Row],[Max Error Bound (up)]]/SamplingData[[#Totals],[Max Error Bound (up)]])</f>
        <v>2.714025517964833E-4</v>
      </c>
      <c r="R1558" s="101">
        <f>SUM($Q$5:Q1558)</f>
        <v>0.54521452830510975</v>
      </c>
      <c r="S1558" s="100" t="str">
        <f t="array" ref="S1558">IF(SamplingData[[#This Row],[up/U Selection Probability]] = 0, "Zero", TEXT(SamplingData[[#This Row],[Lower Range]], REPT("0",LEN('General Info'!$B$40))) &amp; " - " &amp; TEXT(SamplingData[[#This Row],[Upper Range]], REPT("0",LEN('General Info'!$B$40))))</f>
        <v>54494 - 54520</v>
      </c>
      <c r="T1558" s="100">
        <f>SamplingData[[#This Row],[Upper Range]]-SamplingData[[#This Row],[Span]]</f>
        <v>54494.312846733883</v>
      </c>
      <c r="U1558" s="100">
        <f>IF(ISNUMBER('General Info'!$B$40), ((SamplingData[[#This Row],[up/U Selection Probability]]) * 'General Info'!$B$40) - 1, 0)</f>
        <v>26.139983777096536</v>
      </c>
      <c r="V1558" s="100">
        <f>IF(ISNUMBER('General Info'!$B$40), (SamplingData[[#This Row],[Running (cumulative) sum]] * ('General Info'!$B$40 -'General Info'!$B$41 + 1)) + 'General Info'!$B$41 - 1, 0)</f>
        <v>54520.452830510978</v>
      </c>
      <c r="W1558" s="100" t="str">
        <f>IF(ISERROR(MATCH(SamplingData[[#This Row],[Batch by Type (p)]],SelectedPrecincts[Batch Name], 0)), "", INDEX(SelectedPrecincts[Draw], MATCH(SamplingData[[#This Row],[Batch by Type (p)]],SelectedPrecincts[Batch Name], 0)))</f>
        <v/>
      </c>
      <c r="X1558" s="102">
        <f>IF(COUNTIF(SelectedPrecincts[Batch Name],SamplingData[[#This Row],[Batch by Type (p)]]) &lt;&gt; 0, COUNTIF(SelectedPrecincts[Batch Name],SamplingData[[#This Row],[Batch by Type (p)]]), 0)</f>
        <v>0</v>
      </c>
    </row>
    <row r="1559" spans="1:24" ht="15" customHeight="1">
      <c r="A1559" s="18" t="s">
        <v>1735</v>
      </c>
      <c r="B1559" s="18">
        <v>38</v>
      </c>
      <c r="C1559" s="18">
        <v>49</v>
      </c>
      <c r="D1559" s="16">
        <v>25</v>
      </c>
      <c r="E1559" s="16">
        <v>7</v>
      </c>
      <c r="F1559" s="37">
        <v>0</v>
      </c>
      <c r="G1559" s="37">
        <v>0</v>
      </c>
      <c r="H1559" s="17">
        <v>0</v>
      </c>
      <c r="I1559" s="17">
        <v>2</v>
      </c>
      <c r="J1559" s="99">
        <f>SUM(SamplingData[[#This Row],[Losing Candidate]:[Under Votes]])</f>
        <v>121</v>
      </c>
      <c r="K1559" s="100">
        <f>IF(AND(SamplingData[[#This Row],[Total]]&lt;&gt; 0, NOT(ISBLANK(SamplingData[[#This Row],[Losing Candidate]]))),(SamplingData[[#This Row],[Total]]+SamplingData[[#This Row],[Winning Candidate]]-SamplingData[[#This Row],[Losing Candidate]])/(SamplingData[[#Totals],[Winning Candidate]]-SamplingData[[#Totals],[Losing Candidate]]), 0)</f>
        <v>8.0842724154826066E-3</v>
      </c>
      <c r="L1559" s="100">
        <f>IF(AND(SamplingData[[#This Row],[Total]]&lt;&gt; 0, NOT(ISBLANK(SamplingData[[#This Row],[Candidate 3]]))),(SamplingData[[#This Row],[Total]]+SamplingData[[#This Row],[Winning Candidate]]-SamplingData[[#This Row],[Candidate 3]])/(SamplingData[[#Totals],[Winning Candidate]]-SamplingData[[#Totals],[Candidate 3]]), 0)</f>
        <v>4.6778720521340779E-3</v>
      </c>
      <c r="M1559" s="100">
        <f>IF(AND(SamplingData[[#This Row],[Total]]&lt;&gt; 0, NOT(ISBLANK(SamplingData[[#This Row],[Candidate 4]]))),(SamplingData[[#This Row],[Total]]+SamplingData[[#This Row],[Winning Candidate]]-SamplingData[[#This Row],[Candidate 4]])/(SamplingData[[#Totals],[Winning Candidate]]-SamplingData[[#Totals],[Candidate 4]]), 0)</f>
        <v>4.7648279692478592E-3</v>
      </c>
      <c r="N1559" s="100">
        <f>IF(AND(SamplingData[[#This Row],[Total]]&lt;&gt; 0, NOT(ISBLANK(SamplingData[[#This Row],[Candidate 5]]))),(SamplingData[[#This Row],[Total]]+SamplingData[[#This Row],[Winning Candidate]]-SamplingData[[#This Row],[Candidate 5]])/(SamplingData[[#Totals],[Winning Candidate]]-SamplingData[[#Totals],[Candidate 5]]), 0)</f>
        <v>4.1352468985648263E-3</v>
      </c>
      <c r="O1559" s="100">
        <f>IF(AND(SamplingData[[#This Row],[Total]]&lt;&gt; 0, NOT(ISBLANK(SamplingData[[#This Row],[Candidate 6]]))),(SamplingData[[#This Row],[Total]]+SamplingData[[#This Row],[Winning Candidate]]-SamplingData[[#This Row],[Candidate 6]])/(SamplingData[[#Totals],[Winning Candidate]]-SamplingData[[#Totals],[Candidate 6]]), 0)</f>
        <v>4.1340401731433298E-3</v>
      </c>
      <c r="P1559" s="100">
        <f>MAX(SamplingData[[#This Row],[Error Bound (up) - Max. possible relative overstatement - Losing Candidate]:[Error Bound (up) - Max. possible relative overstatement - Candidate 6]])</f>
        <v>8.0842724154826066E-3</v>
      </c>
      <c r="Q1559" s="100">
        <f>IF(SamplingData[[#This Row],[Max Error Bound (up)]] = 0,0,SamplingData[[#This Row],[Max Error Bound (up)]]/SamplingData[[#Totals],[Max Error Bound (up)]])</f>
        <v>1.2794691727548498E-3</v>
      </c>
      <c r="R1559" s="101">
        <f>SUM($Q$5:Q1559)</f>
        <v>0.54649399747786465</v>
      </c>
      <c r="S1559" s="100" t="str">
        <f t="array" ref="S1559">IF(SamplingData[[#This Row],[up/U Selection Probability]] = 0, "Zero", TEXT(SamplingData[[#This Row],[Lower Range]], REPT("0",LEN('General Info'!$B$40))) &amp; " - " &amp; TEXT(SamplingData[[#This Row],[Upper Range]], REPT("0",LEN('General Info'!$B$40))))</f>
        <v>54521 - 54648</v>
      </c>
      <c r="T1559" s="100">
        <f>SamplingData[[#This Row],[Upper Range]]-SamplingData[[#This Row],[Span]]</f>
        <v>54521.45410998015</v>
      </c>
      <c r="U1559" s="100">
        <f>IF(ISNUMBER('General Info'!$B$40), ((SamplingData[[#This Row],[up/U Selection Probability]]) * 'General Info'!$B$40) - 1, 0)</f>
        <v>126.94563780631222</v>
      </c>
      <c r="V1559" s="100">
        <f>IF(ISNUMBER('General Info'!$B$40), (SamplingData[[#This Row],[Running (cumulative) sum]] * ('General Info'!$B$40 -'General Info'!$B$41 + 1)) + 'General Info'!$B$41 - 1, 0)</f>
        <v>54648.399747786461</v>
      </c>
      <c r="W1559" s="100" t="str">
        <f>IF(ISERROR(MATCH(SamplingData[[#This Row],[Batch by Type (p)]],SelectedPrecincts[Batch Name], 0)), "", INDEX(SelectedPrecincts[Draw], MATCH(SamplingData[[#This Row],[Batch by Type (p)]],SelectedPrecincts[Batch Name], 0)))</f>
        <v/>
      </c>
      <c r="X1559" s="102">
        <f>IF(COUNTIF(SelectedPrecincts[Batch Name],SamplingData[[#This Row],[Batch by Type (p)]]) &lt;&gt; 0, COUNTIF(SelectedPrecincts[Batch Name],SamplingData[[#This Row],[Batch by Type (p)]]), 0)</f>
        <v>0</v>
      </c>
    </row>
    <row r="1560" spans="1:24" ht="15" customHeight="1">
      <c r="A1560" s="18" t="s">
        <v>1736</v>
      </c>
      <c r="B1560" s="18">
        <v>39</v>
      </c>
      <c r="C1560" s="18">
        <v>24</v>
      </c>
      <c r="D1560" s="18">
        <v>6</v>
      </c>
      <c r="E1560" s="18">
        <v>4</v>
      </c>
      <c r="F1560" s="18">
        <v>0</v>
      </c>
      <c r="G1560" s="18">
        <v>1</v>
      </c>
      <c r="H1560" s="18">
        <v>0</v>
      </c>
      <c r="I1560" s="18">
        <v>1</v>
      </c>
      <c r="J1560" s="99">
        <f>SUM(SamplingData[[#This Row],[Losing Candidate]:[Under Votes]])</f>
        <v>75</v>
      </c>
      <c r="K1560"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560" s="100">
        <f>IF(AND(SamplingData[[#This Row],[Total]]&lt;&gt; 0, NOT(ISBLANK(SamplingData[[#This Row],[Candidate 3]]))),(SamplingData[[#This Row],[Total]]+SamplingData[[#This Row],[Winning Candidate]]-SamplingData[[#This Row],[Candidate 3]])/(SamplingData[[#Totals],[Winning Candidate]]-SamplingData[[#Totals],[Candidate 3]]), 0)</f>
        <v>3.0002903506790978E-3</v>
      </c>
      <c r="M1560" s="100">
        <f>IF(AND(SamplingData[[#This Row],[Total]]&lt;&gt; 0, NOT(ISBLANK(SamplingData[[#This Row],[Candidate 4]]))),(SamplingData[[#This Row],[Total]]+SamplingData[[#This Row],[Winning Candidate]]-SamplingData[[#This Row],[Candidate 4]])/(SamplingData[[#Totals],[Winning Candidate]]-SamplingData[[#Totals],[Candidate 4]]), 0)</f>
        <v>2.7770469759420035E-3</v>
      </c>
      <c r="N1560" s="100">
        <f>IF(AND(SamplingData[[#This Row],[Total]]&lt;&gt; 0, NOT(ISBLANK(SamplingData[[#This Row],[Candidate 5]]))),(SamplingData[[#This Row],[Total]]+SamplingData[[#This Row],[Winning Candidate]]-SamplingData[[#This Row],[Candidate 5]])/(SamplingData[[#Totals],[Winning Candidate]]-SamplingData[[#Totals],[Candidate 5]]), 0)</f>
        <v>2.4081731938701044E-3</v>
      </c>
      <c r="O1560" s="100">
        <f>IF(AND(SamplingData[[#This Row],[Total]]&lt;&gt; 0, NOT(ISBLANK(SamplingData[[#This Row],[Candidate 6]]))),(SamplingData[[#This Row],[Total]]+SamplingData[[#This Row],[Winning Candidate]]-SamplingData[[#This Row],[Candidate 6]])/(SamplingData[[#Totals],[Winning Candidate]]-SamplingData[[#Totals],[Candidate 6]]), 0)</f>
        <v>2.3831525704002725E-3</v>
      </c>
      <c r="P1560" s="100">
        <f>MAX(SamplingData[[#This Row],[Error Bound (up) - Max. possible relative overstatement - Losing Candidate]:[Error Bound (up) - Max. possible relative overstatement - Candidate 6]])</f>
        <v>3.6746692797648213E-3</v>
      </c>
      <c r="Q1560" s="100">
        <f>IF(SamplingData[[#This Row],[Max Error Bound (up)]] = 0,0,SamplingData[[#This Row],[Max Error Bound (up)]]/SamplingData[[#Totals],[Max Error Bound (up)]])</f>
        <v>5.8157689670674997E-4</v>
      </c>
      <c r="R1560" s="101">
        <f>SUM($Q$5:Q1560)</f>
        <v>0.54707557437457144</v>
      </c>
      <c r="S1560" s="100" t="str">
        <f t="array" ref="S1560">IF(SamplingData[[#This Row],[up/U Selection Probability]] = 0, "Zero", TEXT(SamplingData[[#This Row],[Lower Range]], REPT("0",LEN('General Info'!$B$40))) &amp; " - " &amp; TEXT(SamplingData[[#This Row],[Upper Range]], REPT("0",LEN('General Info'!$B$40))))</f>
        <v>54649 - 54707</v>
      </c>
      <c r="T1560" s="100">
        <f>SamplingData[[#This Row],[Upper Range]]-SamplingData[[#This Row],[Span]]</f>
        <v>54649.400329363365</v>
      </c>
      <c r="U1560" s="100">
        <f>IF(ISNUMBER('General Info'!$B$40), ((SamplingData[[#This Row],[up/U Selection Probability]]) * 'General Info'!$B$40) - 1, 0)</f>
        <v>57.157108093778291</v>
      </c>
      <c r="V1560" s="100">
        <f>IF(ISNUMBER('General Info'!$B$40), (SamplingData[[#This Row],[Running (cumulative) sum]] * ('General Info'!$B$40 -'General Info'!$B$41 + 1)) + 'General Info'!$B$41 - 1, 0)</f>
        <v>54706.557437457144</v>
      </c>
      <c r="W1560" s="100" t="str">
        <f>IF(ISERROR(MATCH(SamplingData[[#This Row],[Batch by Type (p)]],SelectedPrecincts[Batch Name], 0)), "", INDEX(SelectedPrecincts[Draw], MATCH(SamplingData[[#This Row],[Batch by Type (p)]],SelectedPrecincts[Batch Name], 0)))</f>
        <v/>
      </c>
      <c r="X1560" s="102">
        <f>IF(COUNTIF(SelectedPrecincts[Batch Name],SamplingData[[#This Row],[Batch by Type (p)]]) &lt;&gt; 0, COUNTIF(SelectedPrecincts[Batch Name],SamplingData[[#This Row],[Batch by Type (p)]]), 0)</f>
        <v>0</v>
      </c>
    </row>
    <row r="1561" spans="1:24" ht="15" customHeight="1">
      <c r="A1561" s="18" t="s">
        <v>1737</v>
      </c>
      <c r="B1561" s="18">
        <v>8</v>
      </c>
      <c r="C1561" s="18">
        <v>13</v>
      </c>
      <c r="D1561" s="16">
        <v>2</v>
      </c>
      <c r="E1561" s="16">
        <v>9</v>
      </c>
      <c r="F1561" s="37">
        <v>0</v>
      </c>
      <c r="G1561" s="37">
        <v>0</v>
      </c>
      <c r="H1561" s="17">
        <v>0</v>
      </c>
      <c r="I1561" s="17">
        <v>0</v>
      </c>
      <c r="J1561" s="99">
        <f>SUM(SamplingData[[#This Row],[Losing Candidate]:[Under Votes]])</f>
        <v>32</v>
      </c>
      <c r="K1561" s="100">
        <f>IF(AND(SamplingData[[#This Row],[Total]]&lt;&gt; 0, NOT(ISBLANK(SamplingData[[#This Row],[Losing Candidate]]))),(SamplingData[[#This Row],[Total]]+SamplingData[[#This Row],[Winning Candidate]]-SamplingData[[#This Row],[Losing Candidate]])/(SamplingData[[#Totals],[Winning Candidate]]-SamplingData[[#Totals],[Losing Candidate]]), 0)</f>
        <v>2.2660460558549728E-3</v>
      </c>
      <c r="L1561" s="100">
        <f>IF(AND(SamplingData[[#This Row],[Total]]&lt;&gt; 0, NOT(ISBLANK(SamplingData[[#This Row],[Candidate 3]]))),(SamplingData[[#This Row],[Total]]+SamplingData[[#This Row],[Winning Candidate]]-SamplingData[[#This Row],[Candidate 3]])/(SamplingData[[#Totals],[Winning Candidate]]-SamplingData[[#Totals],[Candidate 3]]), 0)</f>
        <v>1.3872310223570024E-3</v>
      </c>
      <c r="M1561" s="100">
        <f>IF(AND(SamplingData[[#This Row],[Total]]&lt;&gt; 0, NOT(ISBLANK(SamplingData[[#This Row],[Candidate 4]]))),(SamplingData[[#This Row],[Total]]+SamplingData[[#This Row],[Winning Candidate]]-SamplingData[[#This Row],[Candidate 4]])/(SamplingData[[#Totals],[Winning Candidate]]-SamplingData[[#Totals],[Candidate 4]]), 0)</f>
        <v>1.0523546435148646E-3</v>
      </c>
      <c r="N1561" s="100">
        <f>IF(AND(SamplingData[[#This Row],[Total]]&lt;&gt; 0, NOT(ISBLANK(SamplingData[[#This Row],[Candidate 5]]))),(SamplingData[[#This Row],[Total]]+SamplingData[[#This Row],[Winning Candidate]]-SamplingData[[#This Row],[Candidate 5]])/(SamplingData[[#Totals],[Winning Candidate]]-SamplingData[[#Totals],[Candidate 5]]), 0)</f>
        <v>1.0946241790318657E-3</v>
      </c>
      <c r="O1561" s="100">
        <f>IF(AND(SamplingData[[#This Row],[Total]]&lt;&gt; 0, NOT(ISBLANK(SamplingData[[#This Row],[Candidate 6]]))),(SamplingData[[#This Row],[Total]]+SamplingData[[#This Row],[Winning Candidate]]-SamplingData[[#This Row],[Candidate 6]])/(SamplingData[[#Totals],[Winning Candidate]]-SamplingData[[#Totals],[Candidate 6]]), 0)</f>
        <v>1.0943047517144107E-3</v>
      </c>
      <c r="P1561" s="100">
        <f>MAX(SamplingData[[#This Row],[Error Bound (up) - Max. possible relative overstatement - Losing Candidate]:[Error Bound (up) - Max. possible relative overstatement - Candidate 6]])</f>
        <v>2.2660460558549728E-3</v>
      </c>
      <c r="Q1561" s="100">
        <f>IF(SamplingData[[#This Row],[Max Error Bound (up)]] = 0,0,SamplingData[[#This Row],[Max Error Bound (up)]]/SamplingData[[#Totals],[Max Error Bound (up)]])</f>
        <v>3.5863908630249576E-4</v>
      </c>
      <c r="R1561" s="101">
        <f>SUM($Q$5:Q1561)</f>
        <v>0.54743421346087395</v>
      </c>
      <c r="S1561" s="100" t="str">
        <f t="array" ref="S1561">IF(SamplingData[[#This Row],[up/U Selection Probability]] = 0, "Zero", TEXT(SamplingData[[#This Row],[Lower Range]], REPT("0",LEN('General Info'!$B$40))) &amp; " - " &amp; TEXT(SamplingData[[#This Row],[Upper Range]], REPT("0",LEN('General Info'!$B$40))))</f>
        <v>54708 - 54742</v>
      </c>
      <c r="T1561" s="100">
        <f>SamplingData[[#This Row],[Upper Range]]-SamplingData[[#This Row],[Span]]</f>
        <v>54707.557796096233</v>
      </c>
      <c r="U1561" s="100">
        <f>IF(ISNUMBER('General Info'!$B$40), ((SamplingData[[#This Row],[up/U Selection Probability]]) * 'General Info'!$B$40) - 1, 0)</f>
        <v>34.863549991163275</v>
      </c>
      <c r="V1561" s="100">
        <f>IF(ISNUMBER('General Info'!$B$40), (SamplingData[[#This Row],[Running (cumulative) sum]] * ('General Info'!$B$40 -'General Info'!$B$41 + 1)) + 'General Info'!$B$41 - 1, 0)</f>
        <v>54742.421346087394</v>
      </c>
      <c r="W1561" s="100" t="str">
        <f>IF(ISERROR(MATCH(SamplingData[[#This Row],[Batch by Type (p)]],SelectedPrecincts[Batch Name], 0)), "", INDEX(SelectedPrecincts[Draw], MATCH(SamplingData[[#This Row],[Batch by Type (p)]],SelectedPrecincts[Batch Name], 0)))</f>
        <v/>
      </c>
      <c r="X1561" s="102">
        <f>IF(COUNTIF(SelectedPrecincts[Batch Name],SamplingData[[#This Row],[Batch by Type (p)]]) &lt;&gt; 0, COUNTIF(SelectedPrecincts[Batch Name],SamplingData[[#This Row],[Batch by Type (p)]]), 0)</f>
        <v>0</v>
      </c>
    </row>
    <row r="1562" spans="1:24" ht="15" customHeight="1">
      <c r="A1562" s="18" t="s">
        <v>1738</v>
      </c>
      <c r="B1562" s="18">
        <v>10</v>
      </c>
      <c r="C1562" s="18">
        <v>5</v>
      </c>
      <c r="D1562" s="18">
        <v>1</v>
      </c>
      <c r="E1562" s="18">
        <v>1</v>
      </c>
      <c r="F1562" s="18">
        <v>0</v>
      </c>
      <c r="G1562" s="18">
        <v>2</v>
      </c>
      <c r="H1562" s="18">
        <v>0</v>
      </c>
      <c r="I1562" s="18">
        <v>2</v>
      </c>
      <c r="J1562" s="99">
        <f>SUM(SamplingData[[#This Row],[Losing Candidate]:[Under Votes]])</f>
        <v>21</v>
      </c>
      <c r="K1562"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562" s="100">
        <f>IF(AND(SamplingData[[#This Row],[Total]]&lt;&gt; 0, NOT(ISBLANK(SamplingData[[#This Row],[Candidate 3]]))),(SamplingData[[#This Row],[Total]]+SamplingData[[#This Row],[Winning Candidate]]-SamplingData[[#This Row],[Candidate 3]])/(SamplingData[[#Totals],[Winning Candidate]]-SamplingData[[#Totals],[Candidate 3]]), 0)</f>
        <v>8.0652966416104783E-4</v>
      </c>
      <c r="M1562" s="100">
        <f>IF(AND(SamplingData[[#This Row],[Total]]&lt;&gt; 0, NOT(ISBLANK(SamplingData[[#This Row],[Candidate 4]]))),(SamplingData[[#This Row],[Total]]+SamplingData[[#This Row],[Winning Candidate]]-SamplingData[[#This Row],[Candidate 4]])/(SamplingData[[#Totals],[Winning Candidate]]-SamplingData[[#Totals],[Candidate 4]]), 0)</f>
        <v>7.3080183577421145E-4</v>
      </c>
      <c r="N1562" s="100">
        <f>IF(AND(SamplingData[[#This Row],[Total]]&lt;&gt; 0, NOT(ISBLANK(SamplingData[[#This Row],[Candidate 5]]))),(SamplingData[[#This Row],[Total]]+SamplingData[[#This Row],[Winning Candidate]]-SamplingData[[#This Row],[Candidate 5]])/(SamplingData[[#Totals],[Winning Candidate]]-SamplingData[[#Totals],[Candidate 5]]), 0)</f>
        <v>6.3244952566285579E-4</v>
      </c>
      <c r="O1562" s="100">
        <f>IF(AND(SamplingData[[#This Row],[Total]]&lt;&gt; 0, NOT(ISBLANK(SamplingData[[#This Row],[Candidate 6]]))),(SamplingData[[#This Row],[Total]]+SamplingData[[#This Row],[Winning Candidate]]-SamplingData[[#This Row],[Candidate 6]])/(SamplingData[[#Totals],[Winning Candidate]]-SamplingData[[#Totals],[Candidate 6]]), 0)</f>
        <v>5.8362920091435243E-4</v>
      </c>
      <c r="P1562" s="100">
        <f>MAX(SamplingData[[#This Row],[Error Bound (up) - Max. possible relative overstatement - Losing Candidate]:[Error Bound (up) - Max. possible relative overstatement - Candidate 6]])</f>
        <v>9.7991180793728563E-4</v>
      </c>
      <c r="Q1562" s="100">
        <f>IF(SamplingData[[#This Row],[Max Error Bound (up)]] = 0,0,SamplingData[[#This Row],[Max Error Bound (up)]]/SamplingData[[#Totals],[Max Error Bound (up)]])</f>
        <v>1.550871724551333E-4</v>
      </c>
      <c r="R1562" s="101">
        <f>SUM($Q$5:Q1562)</f>
        <v>0.54758930063332911</v>
      </c>
      <c r="S1562" s="100" t="str">
        <f t="array" ref="S1562">IF(SamplingData[[#This Row],[up/U Selection Probability]] = 0, "Zero", TEXT(SamplingData[[#This Row],[Lower Range]], REPT("0",LEN('General Info'!$B$40))) &amp; " - " &amp; TEXT(SamplingData[[#This Row],[Upper Range]], REPT("0",LEN('General Info'!$B$40))))</f>
        <v>54743 - 54758</v>
      </c>
      <c r="T1562" s="100">
        <f>SamplingData[[#This Row],[Upper Range]]-SamplingData[[#This Row],[Span]]</f>
        <v>54743.421501174569</v>
      </c>
      <c r="U1562" s="100">
        <f>IF(ISNUMBER('General Info'!$B$40), ((SamplingData[[#This Row],[up/U Selection Probability]]) * 'General Info'!$B$40) - 1, 0)</f>
        <v>14.508562158340876</v>
      </c>
      <c r="V1562" s="100">
        <f>IF(ISNUMBER('General Info'!$B$40), (SamplingData[[#This Row],[Running (cumulative) sum]] * ('General Info'!$B$40 -'General Info'!$B$41 + 1)) + 'General Info'!$B$41 - 1, 0)</f>
        <v>54757.930063332911</v>
      </c>
      <c r="W1562" s="100" t="str">
        <f>IF(ISERROR(MATCH(SamplingData[[#This Row],[Batch by Type (p)]],SelectedPrecincts[Batch Name], 0)), "", INDEX(SelectedPrecincts[Draw], MATCH(SamplingData[[#This Row],[Batch by Type (p)]],SelectedPrecincts[Batch Name], 0)))</f>
        <v/>
      </c>
      <c r="X1562" s="102">
        <f>IF(COUNTIF(SelectedPrecincts[Batch Name],SamplingData[[#This Row],[Batch by Type (p)]]) &lt;&gt; 0, COUNTIF(SelectedPrecincts[Batch Name],SamplingData[[#This Row],[Batch by Type (p)]]), 0)</f>
        <v>0</v>
      </c>
    </row>
    <row r="1563" spans="1:24" ht="15" customHeight="1">
      <c r="A1563" s="18" t="s">
        <v>1739</v>
      </c>
      <c r="B1563" s="18">
        <v>12</v>
      </c>
      <c r="C1563" s="18">
        <v>17</v>
      </c>
      <c r="D1563" s="16">
        <v>3</v>
      </c>
      <c r="E1563" s="16">
        <v>8</v>
      </c>
      <c r="F1563" s="37">
        <v>0</v>
      </c>
      <c r="G1563" s="37">
        <v>0</v>
      </c>
      <c r="H1563" s="17">
        <v>0</v>
      </c>
      <c r="I1563" s="17">
        <v>0</v>
      </c>
      <c r="J1563" s="99">
        <f>SUM(SamplingData[[#This Row],[Losing Candidate]:[Under Votes]])</f>
        <v>40</v>
      </c>
      <c r="K1563"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563" s="100">
        <f>IF(AND(SamplingData[[#This Row],[Total]]&lt;&gt; 0, NOT(ISBLANK(SamplingData[[#This Row],[Candidate 3]]))),(SamplingData[[#This Row],[Total]]+SamplingData[[#This Row],[Winning Candidate]]-SamplingData[[#This Row],[Candidate 3]])/(SamplingData[[#Totals],[Winning Candidate]]-SamplingData[[#Totals],[Candidate 3]]), 0)</f>
        <v>1.7421040745878634E-3</v>
      </c>
      <c r="M1563" s="100">
        <f>IF(AND(SamplingData[[#This Row],[Total]]&lt;&gt; 0, NOT(ISBLANK(SamplingData[[#This Row],[Candidate 4]]))),(SamplingData[[#This Row],[Total]]+SamplingData[[#This Row],[Winning Candidate]]-SamplingData[[#This Row],[Candidate 4]])/(SamplingData[[#Totals],[Winning Candidate]]-SamplingData[[#Totals],[Candidate 4]]), 0)</f>
        <v>1.4323715981174544E-3</v>
      </c>
      <c r="N1563" s="100">
        <f>IF(AND(SamplingData[[#This Row],[Total]]&lt;&gt; 0, NOT(ISBLANK(SamplingData[[#This Row],[Candidate 5]]))),(SamplingData[[#This Row],[Total]]+SamplingData[[#This Row],[Winning Candidate]]-SamplingData[[#This Row],[Candidate 5]])/(SamplingData[[#Totals],[Winning Candidate]]-SamplingData[[#Totals],[Candidate 5]]), 0)</f>
        <v>1.3865239601070299E-3</v>
      </c>
      <c r="O1563" s="100">
        <f>IF(AND(SamplingData[[#This Row],[Total]]&lt;&gt; 0, NOT(ISBLANK(SamplingData[[#This Row],[Candidate 6]]))),(SamplingData[[#This Row],[Total]]+SamplingData[[#This Row],[Winning Candidate]]-SamplingData[[#This Row],[Candidate 6]])/(SamplingData[[#Totals],[Winning Candidate]]-SamplingData[[#Totals],[Candidate 6]]), 0)</f>
        <v>1.3861193521715869E-3</v>
      </c>
      <c r="P1563" s="100">
        <f>MAX(SamplingData[[#This Row],[Error Bound (up) - Max. possible relative overstatement - Losing Candidate]:[Error Bound (up) - Max. possible relative overstatement - Candidate 6]])</f>
        <v>2.7560019598236157E-3</v>
      </c>
      <c r="Q1563" s="100">
        <f>IF(SamplingData[[#This Row],[Max Error Bound (up)]] = 0,0,SamplingData[[#This Row],[Max Error Bound (up)]]/SamplingData[[#Totals],[Max Error Bound (up)]])</f>
        <v>4.3618267253006237E-4</v>
      </c>
      <c r="R1563" s="101">
        <f>SUM($Q$5:Q1563)</f>
        <v>0.54802548330585921</v>
      </c>
      <c r="S1563" s="100" t="str">
        <f t="array" ref="S1563">IF(SamplingData[[#This Row],[up/U Selection Probability]] = 0, "Zero", TEXT(SamplingData[[#This Row],[Lower Range]], REPT("0",LEN('General Info'!$B$40))) &amp; " - " &amp; TEXT(SamplingData[[#This Row],[Upper Range]], REPT("0",LEN('General Info'!$B$40))))</f>
        <v>54759 - 54802</v>
      </c>
      <c r="T1563" s="100">
        <f>SamplingData[[#This Row],[Upper Range]]-SamplingData[[#This Row],[Span]]</f>
        <v>54758.930499515591</v>
      </c>
      <c r="U1563" s="100">
        <f>IF(ISNUMBER('General Info'!$B$40), ((SamplingData[[#This Row],[up/U Selection Probability]]) * 'General Info'!$B$40) - 1, 0)</f>
        <v>42.617831070333708</v>
      </c>
      <c r="V1563" s="100">
        <f>IF(ISNUMBER('General Info'!$B$40), (SamplingData[[#This Row],[Running (cumulative) sum]] * ('General Info'!$B$40 -'General Info'!$B$41 + 1)) + 'General Info'!$B$41 - 1, 0)</f>
        <v>54801.548330585923</v>
      </c>
      <c r="W1563" s="100" t="str">
        <f>IF(ISERROR(MATCH(SamplingData[[#This Row],[Batch by Type (p)]],SelectedPrecincts[Batch Name], 0)), "", INDEX(SelectedPrecincts[Draw], MATCH(SamplingData[[#This Row],[Batch by Type (p)]],SelectedPrecincts[Batch Name], 0)))</f>
        <v/>
      </c>
      <c r="X1563" s="102">
        <f>IF(COUNTIF(SelectedPrecincts[Batch Name],SamplingData[[#This Row],[Batch by Type (p)]]) &lt;&gt; 0, COUNTIF(SelectedPrecincts[Batch Name],SamplingData[[#This Row],[Batch by Type (p)]]), 0)</f>
        <v>0</v>
      </c>
    </row>
    <row r="1564" spans="1:24" ht="15" customHeight="1">
      <c r="A1564" s="18" t="s">
        <v>1740</v>
      </c>
      <c r="B1564" s="18">
        <v>4</v>
      </c>
      <c r="C1564" s="18">
        <v>5</v>
      </c>
      <c r="D1564" s="18">
        <v>2</v>
      </c>
      <c r="E1564" s="18">
        <v>1</v>
      </c>
      <c r="F1564" s="18">
        <v>0</v>
      </c>
      <c r="G1564" s="18">
        <v>0</v>
      </c>
      <c r="H1564" s="18">
        <v>0</v>
      </c>
      <c r="I1564" s="18">
        <v>0</v>
      </c>
      <c r="J1564" s="99">
        <f>SUM(SamplingData[[#This Row],[Losing Candidate]:[Under Votes]])</f>
        <v>12</v>
      </c>
      <c r="K1564"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1564" s="100">
        <f>IF(AND(SamplingData[[#This Row],[Total]]&lt;&gt; 0, NOT(ISBLANK(SamplingData[[#This Row],[Candidate 3]]))),(SamplingData[[#This Row],[Total]]+SamplingData[[#This Row],[Winning Candidate]]-SamplingData[[#This Row],[Candidate 3]])/(SamplingData[[#Totals],[Winning Candidate]]-SamplingData[[#Totals],[Candidate 3]]), 0)</f>
        <v>4.8391779849662873E-4</v>
      </c>
      <c r="M1564" s="100">
        <f>IF(AND(SamplingData[[#This Row],[Total]]&lt;&gt; 0, NOT(ISBLANK(SamplingData[[#This Row],[Candidate 4]]))),(SamplingData[[#This Row],[Total]]+SamplingData[[#This Row],[Winning Candidate]]-SamplingData[[#This Row],[Candidate 4]])/(SamplingData[[#Totals],[Winning Candidate]]-SamplingData[[#Totals],[Candidate 4]]), 0)</f>
        <v>4.6771317489549536E-4</v>
      </c>
      <c r="N1564" s="100">
        <f>IF(AND(SamplingData[[#This Row],[Total]]&lt;&gt; 0, NOT(ISBLANK(SamplingData[[#This Row],[Candidate 5]]))),(SamplingData[[#This Row],[Total]]+SamplingData[[#This Row],[Winning Candidate]]-SamplingData[[#This Row],[Candidate 5]])/(SamplingData[[#Totals],[Winning Candidate]]-SamplingData[[#Totals],[Candidate 5]]), 0)</f>
        <v>4.1352468985648261E-4</v>
      </c>
      <c r="O1564" s="100">
        <f>IF(AND(SamplingData[[#This Row],[Total]]&lt;&gt; 0, NOT(ISBLANK(SamplingData[[#This Row],[Candidate 6]]))),(SamplingData[[#This Row],[Total]]+SamplingData[[#This Row],[Winning Candidate]]-SamplingData[[#This Row],[Candidate 6]])/(SamplingData[[#Totals],[Winning Candidate]]-SamplingData[[#Totals],[Candidate 6]]), 0)</f>
        <v>4.1340401731433294E-4</v>
      </c>
      <c r="P1564" s="100">
        <f>MAX(SamplingData[[#This Row],[Error Bound (up) - Max. possible relative overstatement - Losing Candidate]:[Error Bound (up) - Max. possible relative overstatement - Candidate 6]])</f>
        <v>7.9617834394904463E-4</v>
      </c>
      <c r="Q1564" s="100">
        <f>IF(SamplingData[[#This Row],[Max Error Bound (up)]] = 0,0,SamplingData[[#This Row],[Max Error Bound (up)]]/SamplingData[[#Totals],[Max Error Bound (up)]])</f>
        <v>1.2600832761979581E-4</v>
      </c>
      <c r="R1564" s="101">
        <f>SUM($Q$5:Q1564)</f>
        <v>0.54815149163347898</v>
      </c>
      <c r="S1564" s="100" t="str">
        <f t="array" ref="S1564">IF(SamplingData[[#This Row],[up/U Selection Probability]] = 0, "Zero", TEXT(SamplingData[[#This Row],[Lower Range]], REPT("0",LEN('General Info'!$B$40))) &amp; " - " &amp; TEXT(SamplingData[[#This Row],[Upper Range]], REPT("0",LEN('General Info'!$B$40))))</f>
        <v>54803 - 54814</v>
      </c>
      <c r="T1564" s="100">
        <f>SamplingData[[#This Row],[Upper Range]]-SamplingData[[#This Row],[Span]]</f>
        <v>54802.548456594253</v>
      </c>
      <c r="U1564" s="100">
        <f>IF(ISNUMBER('General Info'!$B$40), ((SamplingData[[#This Row],[up/U Selection Probability]]) * 'General Info'!$B$40) - 1, 0)</f>
        <v>11.600706753651961</v>
      </c>
      <c r="V1564" s="100">
        <f>IF(ISNUMBER('General Info'!$B$40), (SamplingData[[#This Row],[Running (cumulative) sum]] * ('General Info'!$B$40 -'General Info'!$B$41 + 1)) + 'General Info'!$B$41 - 1, 0)</f>
        <v>54814.149163347902</v>
      </c>
      <c r="W1564" s="100" t="str">
        <f>IF(ISERROR(MATCH(SamplingData[[#This Row],[Batch by Type (p)]],SelectedPrecincts[Batch Name], 0)), "", INDEX(SelectedPrecincts[Draw], MATCH(SamplingData[[#This Row],[Batch by Type (p)]],SelectedPrecincts[Batch Name], 0)))</f>
        <v/>
      </c>
      <c r="X1564" s="102">
        <f>IF(COUNTIF(SelectedPrecincts[Batch Name],SamplingData[[#This Row],[Batch by Type (p)]]) &lt;&gt; 0, COUNTIF(SelectedPrecincts[Batch Name],SamplingData[[#This Row],[Batch by Type (p)]]), 0)</f>
        <v>0</v>
      </c>
    </row>
    <row r="1565" spans="1:24" ht="15" customHeight="1">
      <c r="A1565" s="18" t="s">
        <v>1741</v>
      </c>
      <c r="B1565" s="18">
        <v>47</v>
      </c>
      <c r="C1565" s="18">
        <v>57</v>
      </c>
      <c r="D1565" s="16">
        <v>21</v>
      </c>
      <c r="E1565" s="16">
        <v>10</v>
      </c>
      <c r="F1565" s="37">
        <v>0</v>
      </c>
      <c r="G1565" s="37">
        <v>0</v>
      </c>
      <c r="H1565" s="17">
        <v>0</v>
      </c>
      <c r="I1565" s="17">
        <v>0</v>
      </c>
      <c r="J1565" s="99">
        <f>SUM(SamplingData[[#This Row],[Losing Candidate]:[Under Votes]])</f>
        <v>135</v>
      </c>
      <c r="K1565" s="100">
        <f>IF(AND(SamplingData[[#This Row],[Total]]&lt;&gt; 0, NOT(ISBLANK(SamplingData[[#This Row],[Losing Candidate]]))),(SamplingData[[#This Row],[Total]]+SamplingData[[#This Row],[Winning Candidate]]-SamplingData[[#This Row],[Losing Candidate]])/(SamplingData[[#Totals],[Winning Candidate]]-SamplingData[[#Totals],[Losing Candidate]]), 0)</f>
        <v>8.880450759431651E-3</v>
      </c>
      <c r="L1565" s="100">
        <f>IF(AND(SamplingData[[#This Row],[Total]]&lt;&gt; 0, NOT(ISBLANK(SamplingData[[#This Row],[Candidate 3]]))),(SamplingData[[#This Row],[Total]]+SamplingData[[#This Row],[Winning Candidate]]-SamplingData[[#This Row],[Candidate 3]])/(SamplingData[[#Totals],[Winning Candidate]]-SamplingData[[#Totals],[Candidate 3]]), 0)</f>
        <v>5.5166629028615671E-3</v>
      </c>
      <c r="M1565" s="100">
        <f>IF(AND(SamplingData[[#This Row],[Total]]&lt;&gt; 0, NOT(ISBLANK(SamplingData[[#This Row],[Candidate 4]]))),(SamplingData[[#This Row],[Total]]+SamplingData[[#This Row],[Winning Candidate]]-SamplingData[[#This Row],[Candidate 4]])/(SamplingData[[#Totals],[Winning Candidate]]-SamplingData[[#Totals],[Candidate 4]]), 0)</f>
        <v>5.3202373644362592E-3</v>
      </c>
      <c r="N1565" s="100">
        <f>IF(AND(SamplingData[[#This Row],[Total]]&lt;&gt; 0, NOT(ISBLANK(SamplingData[[#This Row],[Candidate 5]]))),(SamplingData[[#This Row],[Total]]+SamplingData[[#This Row],[Winning Candidate]]-SamplingData[[#This Row],[Candidate 5]])/(SamplingData[[#Totals],[Winning Candidate]]-SamplingData[[#Totals],[Candidate 5]]), 0)</f>
        <v>4.6703964972026274E-3</v>
      </c>
      <c r="O1565" s="100">
        <f>IF(AND(SamplingData[[#This Row],[Total]]&lt;&gt; 0, NOT(ISBLANK(SamplingData[[#This Row],[Candidate 6]]))),(SamplingData[[#This Row],[Total]]+SamplingData[[#This Row],[Winning Candidate]]-SamplingData[[#This Row],[Candidate 6]])/(SamplingData[[#Totals],[Winning Candidate]]-SamplingData[[#Totals],[Candidate 6]]), 0)</f>
        <v>4.6690336073148195E-3</v>
      </c>
      <c r="P1565" s="100">
        <f>MAX(SamplingData[[#This Row],[Error Bound (up) - Max. possible relative overstatement - Losing Candidate]:[Error Bound (up) - Max. possible relative overstatement - Candidate 6]])</f>
        <v>8.880450759431651E-3</v>
      </c>
      <c r="Q1565" s="100">
        <f>IF(SamplingData[[#This Row],[Max Error Bound (up)]] = 0,0,SamplingData[[#This Row],[Max Error Bound (up)]]/SamplingData[[#Totals],[Max Error Bound (up)]])</f>
        <v>1.4054775003746456E-3</v>
      </c>
      <c r="R1565" s="101">
        <f>SUM($Q$5:Q1565)</f>
        <v>0.54955696913385366</v>
      </c>
      <c r="S1565" s="100" t="str">
        <f t="array" ref="S1565">IF(SamplingData[[#This Row],[up/U Selection Probability]] = 0, "Zero", TEXT(SamplingData[[#This Row],[Lower Range]], REPT("0",LEN('General Info'!$B$40))) &amp; " - " &amp; TEXT(SamplingData[[#This Row],[Upper Range]], REPT("0",LEN('General Info'!$B$40))))</f>
        <v>54815 - 54955</v>
      </c>
      <c r="T1565" s="100">
        <f>SamplingData[[#This Row],[Upper Range]]-SamplingData[[#This Row],[Span]]</f>
        <v>54815.150568825396</v>
      </c>
      <c r="U1565" s="100">
        <f>IF(ISNUMBER('General Info'!$B$40), ((SamplingData[[#This Row],[up/U Selection Probability]]) * 'General Info'!$B$40) - 1, 0)</f>
        <v>139.54634455996418</v>
      </c>
      <c r="V1565" s="100">
        <f>IF(ISNUMBER('General Info'!$B$40), (SamplingData[[#This Row],[Running (cumulative) sum]] * ('General Info'!$B$40 -'General Info'!$B$41 + 1)) + 'General Info'!$B$41 - 1, 0)</f>
        <v>54954.696913385364</v>
      </c>
      <c r="W1565" s="100" t="str">
        <f>IF(ISERROR(MATCH(SamplingData[[#This Row],[Batch by Type (p)]],SelectedPrecincts[Batch Name], 0)), "", INDEX(SelectedPrecincts[Draw], MATCH(SamplingData[[#This Row],[Batch by Type (p)]],SelectedPrecincts[Batch Name], 0)))</f>
        <v/>
      </c>
      <c r="X1565" s="102">
        <f>IF(COUNTIF(SelectedPrecincts[Batch Name],SamplingData[[#This Row],[Batch by Type (p)]]) &lt;&gt; 0, COUNTIF(SelectedPrecincts[Batch Name],SamplingData[[#This Row],[Batch by Type (p)]]), 0)</f>
        <v>0</v>
      </c>
    </row>
    <row r="1566" spans="1:24" ht="15" customHeight="1">
      <c r="A1566" s="18" t="s">
        <v>1742</v>
      </c>
      <c r="B1566" s="18">
        <v>11</v>
      </c>
      <c r="C1566" s="18">
        <v>26</v>
      </c>
      <c r="D1566" s="18">
        <v>5</v>
      </c>
      <c r="E1566" s="18">
        <v>1</v>
      </c>
      <c r="F1566" s="18">
        <v>0</v>
      </c>
      <c r="G1566" s="18">
        <v>1</v>
      </c>
      <c r="H1566" s="18">
        <v>0</v>
      </c>
      <c r="I1566" s="18">
        <v>1</v>
      </c>
      <c r="J1566" s="99">
        <f>SUM(SamplingData[[#This Row],[Losing Candidate]:[Under Votes]])</f>
        <v>45</v>
      </c>
      <c r="K1566"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566" s="100">
        <f>IF(AND(SamplingData[[#This Row],[Total]]&lt;&gt; 0, NOT(ISBLANK(SamplingData[[#This Row],[Candidate 3]]))),(SamplingData[[#This Row],[Total]]+SamplingData[[#This Row],[Winning Candidate]]-SamplingData[[#This Row],[Candidate 3]])/(SamplingData[[#Totals],[Winning Candidate]]-SamplingData[[#Totals],[Candidate 3]]), 0)</f>
        <v>2.1292383133851662E-3</v>
      </c>
      <c r="M1566" s="100">
        <f>IF(AND(SamplingData[[#This Row],[Total]]&lt;&gt; 0, NOT(ISBLANK(SamplingData[[#This Row],[Candidate 4]]))),(SamplingData[[#This Row],[Total]]+SamplingData[[#This Row],[Winning Candidate]]-SamplingData[[#This Row],[Candidate 4]])/(SamplingData[[#Totals],[Winning Candidate]]-SamplingData[[#Totals],[Candidate 4]]), 0)</f>
        <v>2.0462451401677922E-3</v>
      </c>
      <c r="N1566" s="100">
        <f>IF(AND(SamplingData[[#This Row],[Total]]&lt;&gt; 0, NOT(ISBLANK(SamplingData[[#This Row],[Candidate 5]]))),(SamplingData[[#This Row],[Total]]+SamplingData[[#This Row],[Winning Candidate]]-SamplingData[[#This Row],[Candidate 5]])/(SamplingData[[#Totals],[Winning Candidate]]-SamplingData[[#Totals],[Candidate 5]]), 0)</f>
        <v>1.7270737046947214E-3</v>
      </c>
      <c r="O1566" s="100">
        <f>IF(AND(SamplingData[[#This Row],[Total]]&lt;&gt; 0, NOT(ISBLANK(SamplingData[[#This Row],[Candidate 6]]))),(SamplingData[[#This Row],[Total]]+SamplingData[[#This Row],[Winning Candidate]]-SamplingData[[#This Row],[Candidate 6]])/(SamplingData[[#Totals],[Winning Candidate]]-SamplingData[[#Totals],[Candidate 6]]), 0)</f>
        <v>1.7022518360001945E-3</v>
      </c>
      <c r="P1566" s="100">
        <f>MAX(SamplingData[[#This Row],[Error Bound (up) - Max. possible relative overstatement - Losing Candidate]:[Error Bound (up) - Max. possible relative overstatement - Candidate 6]])</f>
        <v>3.6746692797648213E-3</v>
      </c>
      <c r="Q1566" s="100">
        <f>IF(SamplingData[[#This Row],[Max Error Bound (up)]] = 0,0,SamplingData[[#This Row],[Max Error Bound (up)]]/SamplingData[[#Totals],[Max Error Bound (up)]])</f>
        <v>5.8157689670674997E-4</v>
      </c>
      <c r="R1566" s="101">
        <f>SUM($Q$5:Q1566)</f>
        <v>0.55013854603056045</v>
      </c>
      <c r="S1566" s="100" t="str">
        <f t="array" ref="S1566">IF(SamplingData[[#This Row],[up/U Selection Probability]] = 0, "Zero", TEXT(SamplingData[[#This Row],[Lower Range]], REPT("0",LEN('General Info'!$B$40))) &amp; " - " &amp; TEXT(SamplingData[[#This Row],[Upper Range]], REPT("0",LEN('General Info'!$B$40))))</f>
        <v>54956 - 55013</v>
      </c>
      <c r="T1566" s="100">
        <f>SamplingData[[#This Row],[Upper Range]]-SamplingData[[#This Row],[Span]]</f>
        <v>54955.697494962267</v>
      </c>
      <c r="U1566" s="100">
        <f>IF(ISNUMBER('General Info'!$B$40), ((SamplingData[[#This Row],[up/U Selection Probability]]) * 'General Info'!$B$40) - 1, 0)</f>
        <v>57.157108093778291</v>
      </c>
      <c r="V1566" s="100">
        <f>IF(ISNUMBER('General Info'!$B$40), (SamplingData[[#This Row],[Running (cumulative) sum]] * ('General Info'!$B$40 -'General Info'!$B$41 + 1)) + 'General Info'!$B$41 - 1, 0)</f>
        <v>55012.854603056046</v>
      </c>
      <c r="W1566" s="100" t="str">
        <f>IF(ISERROR(MATCH(SamplingData[[#This Row],[Batch by Type (p)]],SelectedPrecincts[Batch Name], 0)), "", INDEX(SelectedPrecincts[Draw], MATCH(SamplingData[[#This Row],[Batch by Type (p)]],SelectedPrecincts[Batch Name], 0)))</f>
        <v/>
      </c>
      <c r="X1566" s="102">
        <f>IF(COUNTIF(SelectedPrecincts[Batch Name],SamplingData[[#This Row],[Batch by Type (p)]]) &lt;&gt; 0, COUNTIF(SelectedPrecincts[Batch Name],SamplingData[[#This Row],[Batch by Type (p)]]), 0)</f>
        <v>0</v>
      </c>
    </row>
    <row r="1567" spans="1:24" ht="15" customHeight="1">
      <c r="A1567" s="18" t="s">
        <v>1743</v>
      </c>
      <c r="B1567" s="18">
        <v>31</v>
      </c>
      <c r="C1567" s="18">
        <v>30</v>
      </c>
      <c r="D1567" s="16">
        <v>8</v>
      </c>
      <c r="E1567" s="16">
        <v>10</v>
      </c>
      <c r="F1567" s="37">
        <v>0</v>
      </c>
      <c r="G1567" s="37">
        <v>0</v>
      </c>
      <c r="H1567" s="17">
        <v>0</v>
      </c>
      <c r="I1567" s="17">
        <v>0</v>
      </c>
      <c r="J1567" s="99">
        <f>SUM(SamplingData[[#This Row],[Losing Candidate]:[Under Votes]])</f>
        <v>79</v>
      </c>
      <c r="K1567" s="100">
        <f>IF(AND(SamplingData[[#This Row],[Total]]&lt;&gt; 0, NOT(ISBLANK(SamplingData[[#This Row],[Losing Candidate]]))),(SamplingData[[#This Row],[Total]]+SamplingData[[#This Row],[Winning Candidate]]-SamplingData[[#This Row],[Losing Candidate]])/(SamplingData[[#Totals],[Winning Candidate]]-SamplingData[[#Totals],[Losing Candidate]]), 0)</f>
        <v>4.7770700636942673E-3</v>
      </c>
      <c r="L1567" s="100">
        <f>IF(AND(SamplingData[[#This Row],[Total]]&lt;&gt; 0, NOT(ISBLANK(SamplingData[[#This Row],[Candidate 3]]))),(SamplingData[[#This Row],[Total]]+SamplingData[[#This Row],[Winning Candidate]]-SamplingData[[#This Row],[Candidate 3]])/(SamplingData[[#Totals],[Winning Candidate]]-SamplingData[[#Totals],[Candidate 3]]), 0)</f>
        <v>3.2583798432106333E-3</v>
      </c>
      <c r="M1567" s="100">
        <f>IF(AND(SamplingData[[#This Row],[Total]]&lt;&gt; 0, NOT(ISBLANK(SamplingData[[#This Row],[Candidate 4]]))),(SamplingData[[#This Row],[Total]]+SamplingData[[#This Row],[Winning Candidate]]-SamplingData[[#This Row],[Candidate 4]])/(SamplingData[[#Totals],[Winning Candidate]]-SamplingData[[#Totals],[Candidate 4]]), 0)</f>
        <v>2.8939752696658773E-3</v>
      </c>
      <c r="N1567" s="100">
        <f>IF(AND(SamplingData[[#This Row],[Total]]&lt;&gt; 0, NOT(ISBLANK(SamplingData[[#This Row],[Candidate 5]]))),(SamplingData[[#This Row],[Total]]+SamplingData[[#This Row],[Winning Candidate]]-SamplingData[[#This Row],[Candidate 5]])/(SamplingData[[#Totals],[Winning Candidate]]-SamplingData[[#Totals],[Candidate 5]]), 0)</f>
        <v>2.6514230114327414E-3</v>
      </c>
      <c r="O1567" s="100">
        <f>IF(AND(SamplingData[[#This Row],[Total]]&lt;&gt; 0, NOT(ISBLANK(SamplingData[[#This Row],[Candidate 6]]))),(SamplingData[[#This Row],[Total]]+SamplingData[[#This Row],[Winning Candidate]]-SamplingData[[#This Row],[Candidate 6]])/(SamplingData[[#Totals],[Winning Candidate]]-SamplingData[[#Totals],[Candidate 6]]), 0)</f>
        <v>2.6506492874860173E-3</v>
      </c>
      <c r="P1567" s="100">
        <f>MAX(SamplingData[[#This Row],[Error Bound (up) - Max. possible relative overstatement - Losing Candidate]:[Error Bound (up) - Max. possible relative overstatement - Candidate 6]])</f>
        <v>4.7770700636942673E-3</v>
      </c>
      <c r="Q1567" s="100">
        <f>IF(SamplingData[[#This Row],[Max Error Bound (up)]] = 0,0,SamplingData[[#This Row],[Max Error Bound (up)]]/SamplingData[[#Totals],[Max Error Bound (up)]])</f>
        <v>7.5604996571877487E-4</v>
      </c>
      <c r="R1567" s="101">
        <f>SUM($Q$5:Q1567)</f>
        <v>0.55089459599627921</v>
      </c>
      <c r="S1567" s="100" t="str">
        <f t="array" ref="S1567">IF(SamplingData[[#This Row],[up/U Selection Probability]] = 0, "Zero", TEXT(SamplingData[[#This Row],[Lower Range]], REPT("0",LEN('General Info'!$B$40))) &amp; " - " &amp; TEXT(SamplingData[[#This Row],[Upper Range]], REPT("0",LEN('General Info'!$B$40))))</f>
        <v>55014 - 55088</v>
      </c>
      <c r="T1567" s="100">
        <f>SamplingData[[#This Row],[Upper Range]]-SamplingData[[#This Row],[Span]]</f>
        <v>55013.855359106012</v>
      </c>
      <c r="U1567" s="100">
        <f>IF(ISNUMBER('General Info'!$B$40), ((SamplingData[[#This Row],[up/U Selection Probability]]) * 'General Info'!$B$40) - 1, 0)</f>
        <v>74.604240521911763</v>
      </c>
      <c r="V1567" s="100">
        <f>IF(ISNUMBER('General Info'!$B$40), (SamplingData[[#This Row],[Running (cumulative) sum]] * ('General Info'!$B$40 -'General Info'!$B$41 + 1)) + 'General Info'!$B$41 - 1, 0)</f>
        <v>55088.459599627924</v>
      </c>
      <c r="W1567" s="100" t="str">
        <f>IF(ISERROR(MATCH(SamplingData[[#This Row],[Batch by Type (p)]],SelectedPrecincts[Batch Name], 0)), "", INDEX(SelectedPrecincts[Draw], MATCH(SamplingData[[#This Row],[Batch by Type (p)]],SelectedPrecincts[Batch Name], 0)))</f>
        <v/>
      </c>
      <c r="X1567" s="102">
        <f>IF(COUNTIF(SelectedPrecincts[Batch Name],SamplingData[[#This Row],[Batch by Type (p)]]) &lt;&gt; 0, COUNTIF(SelectedPrecincts[Batch Name],SamplingData[[#This Row],[Batch by Type (p)]]), 0)</f>
        <v>0</v>
      </c>
    </row>
    <row r="1568" spans="1:24" ht="15" customHeight="1">
      <c r="A1568" s="18" t="s">
        <v>1744</v>
      </c>
      <c r="B1568" s="18">
        <v>12</v>
      </c>
      <c r="C1568" s="18">
        <v>11</v>
      </c>
      <c r="D1568" s="18">
        <v>2</v>
      </c>
      <c r="E1568" s="18">
        <v>2</v>
      </c>
      <c r="F1568" s="18">
        <v>2</v>
      </c>
      <c r="G1568" s="18">
        <v>1</v>
      </c>
      <c r="H1568" s="18">
        <v>0</v>
      </c>
      <c r="I1568" s="18">
        <v>0</v>
      </c>
      <c r="J1568" s="99">
        <f>SUM(SamplingData[[#This Row],[Losing Candidate]:[Under Votes]])</f>
        <v>30</v>
      </c>
      <c r="K1568"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1568" s="100">
        <f>IF(AND(SamplingData[[#This Row],[Total]]&lt;&gt; 0, NOT(ISBLANK(SamplingData[[#This Row],[Candidate 3]]))),(SamplingData[[#This Row],[Total]]+SamplingData[[#This Row],[Winning Candidate]]-SamplingData[[#This Row],[Candidate 3]])/(SamplingData[[#Totals],[Winning Candidate]]-SamplingData[[#Totals],[Candidate 3]]), 0)</f>
        <v>1.2581862760912346E-3</v>
      </c>
      <c r="M1568" s="100">
        <f>IF(AND(SamplingData[[#This Row],[Total]]&lt;&gt; 0, NOT(ISBLANK(SamplingData[[#This Row],[Candidate 4]]))),(SamplingData[[#This Row],[Total]]+SamplingData[[#This Row],[Winning Candidate]]-SamplingData[[#This Row],[Candidate 4]])/(SamplingData[[#Totals],[Winning Candidate]]-SamplingData[[#Totals],[Candidate 4]]), 0)</f>
        <v>1.14005086380777E-3</v>
      </c>
      <c r="N1568" s="100">
        <f>IF(AND(SamplingData[[#This Row],[Total]]&lt;&gt; 0, NOT(ISBLANK(SamplingData[[#This Row],[Candidate 5]]))),(SamplingData[[#This Row],[Total]]+SamplingData[[#This Row],[Winning Candidate]]-SamplingData[[#This Row],[Candidate 5]])/(SamplingData[[#Totals],[Winning Candidate]]-SamplingData[[#Totals],[Candidate 5]]), 0)</f>
        <v>9.4867428849428363E-4</v>
      </c>
      <c r="O1568" s="100">
        <f>IF(AND(SamplingData[[#This Row],[Total]]&lt;&gt; 0, NOT(ISBLANK(SamplingData[[#This Row],[Candidate 6]]))),(SamplingData[[#This Row],[Total]]+SamplingData[[#This Row],[Winning Candidate]]-SamplingData[[#This Row],[Candidate 6]])/(SamplingData[[#Totals],[Winning Candidate]]-SamplingData[[#Totals],[Candidate 6]]), 0)</f>
        <v>9.7271533485725399E-4</v>
      </c>
      <c r="P1568" s="100">
        <f>MAX(SamplingData[[#This Row],[Error Bound (up) - Max. possible relative overstatement - Losing Candidate]:[Error Bound (up) - Max. possible relative overstatement - Candidate 6]])</f>
        <v>1.7760901518863303E-3</v>
      </c>
      <c r="Q1568" s="100">
        <f>IF(SamplingData[[#This Row],[Max Error Bound (up)]] = 0,0,SamplingData[[#This Row],[Max Error Bound (up)]]/SamplingData[[#Totals],[Max Error Bound (up)]])</f>
        <v>2.8109550007492914E-4</v>
      </c>
      <c r="R1568" s="101">
        <f>SUM($Q$5:Q1568)</f>
        <v>0.55117569149635415</v>
      </c>
      <c r="S1568" s="100" t="str">
        <f t="array" ref="S1568">IF(SamplingData[[#This Row],[up/U Selection Probability]] = 0, "Zero", TEXT(SamplingData[[#This Row],[Lower Range]], REPT("0",LEN('General Info'!$B$40))) &amp; " - " &amp; TEXT(SamplingData[[#This Row],[Upper Range]], REPT("0",LEN('General Info'!$B$40))))</f>
        <v>55089 - 55117</v>
      </c>
      <c r="T1568" s="100">
        <f>SamplingData[[#This Row],[Upper Range]]-SamplingData[[#This Row],[Span]]</f>
        <v>55089.459880723422</v>
      </c>
      <c r="U1568" s="100">
        <f>IF(ISNUMBER('General Info'!$B$40), ((SamplingData[[#This Row],[up/U Selection Probability]]) * 'General Info'!$B$40) - 1, 0)</f>
        <v>27.109268911992839</v>
      </c>
      <c r="V1568" s="100">
        <f>IF(ISNUMBER('General Info'!$B$40), (SamplingData[[#This Row],[Running (cumulative) sum]] * ('General Info'!$B$40 -'General Info'!$B$41 + 1)) + 'General Info'!$B$41 - 1, 0)</f>
        <v>55116.569149635412</v>
      </c>
      <c r="W1568" s="100" t="str">
        <f>IF(ISERROR(MATCH(SamplingData[[#This Row],[Batch by Type (p)]],SelectedPrecincts[Batch Name], 0)), "", INDEX(SelectedPrecincts[Draw], MATCH(SamplingData[[#This Row],[Batch by Type (p)]],SelectedPrecincts[Batch Name], 0)))</f>
        <v/>
      </c>
      <c r="X1568" s="102">
        <f>IF(COUNTIF(SelectedPrecincts[Batch Name],SamplingData[[#This Row],[Batch by Type (p)]]) &lt;&gt; 0, COUNTIF(SelectedPrecincts[Batch Name],SamplingData[[#This Row],[Batch by Type (p)]]), 0)</f>
        <v>0</v>
      </c>
    </row>
    <row r="1569" spans="1:24" ht="15" customHeight="1">
      <c r="A1569" s="18" t="s">
        <v>1745</v>
      </c>
      <c r="B1569" s="18">
        <v>32</v>
      </c>
      <c r="C1569" s="18">
        <v>43</v>
      </c>
      <c r="D1569" s="16">
        <v>17</v>
      </c>
      <c r="E1569" s="16">
        <v>11</v>
      </c>
      <c r="F1569" s="37">
        <v>0</v>
      </c>
      <c r="G1569" s="37">
        <v>0</v>
      </c>
      <c r="H1569" s="17">
        <v>0</v>
      </c>
      <c r="I1569" s="17">
        <v>0</v>
      </c>
      <c r="J1569" s="99">
        <f>SUM(SamplingData[[#This Row],[Losing Candidate]:[Under Votes]])</f>
        <v>103</v>
      </c>
      <c r="K1569" s="100">
        <f>IF(AND(SamplingData[[#This Row],[Total]]&lt;&gt; 0, NOT(ISBLANK(SamplingData[[#This Row],[Losing Candidate]]))),(SamplingData[[#This Row],[Total]]+SamplingData[[#This Row],[Winning Candidate]]-SamplingData[[#This Row],[Losing Candidate]])/(SamplingData[[#Totals],[Winning Candidate]]-SamplingData[[#Totals],[Losing Candidate]]), 0)</f>
        <v>6.9818716315531602E-3</v>
      </c>
      <c r="L1569" s="100">
        <f>IF(AND(SamplingData[[#This Row],[Total]]&lt;&gt; 0, NOT(ISBLANK(SamplingData[[#This Row],[Candidate 3]]))),(SamplingData[[#This Row],[Total]]+SamplingData[[#This Row],[Winning Candidate]]-SamplingData[[#This Row],[Candidate 3]])/(SamplingData[[#Totals],[Winning Candidate]]-SamplingData[[#Totals],[Candidate 3]]), 0)</f>
        <v>4.1616930670710069E-3</v>
      </c>
      <c r="M1569" s="100">
        <f>IF(AND(SamplingData[[#This Row],[Total]]&lt;&gt; 0, NOT(ISBLANK(SamplingData[[#This Row],[Candidate 4]]))),(SamplingData[[#This Row],[Total]]+SamplingData[[#This Row],[Winning Candidate]]-SamplingData[[#This Row],[Candidate 4]])/(SamplingData[[#Totals],[Winning Candidate]]-SamplingData[[#Totals],[Candidate 4]]), 0)</f>
        <v>3.9463299131807421E-3</v>
      </c>
      <c r="N1569" s="100">
        <f>IF(AND(SamplingData[[#This Row],[Total]]&lt;&gt; 0, NOT(ISBLANK(SamplingData[[#This Row],[Candidate 5]]))),(SamplingData[[#This Row],[Total]]+SamplingData[[#This Row],[Winning Candidate]]-SamplingData[[#This Row],[Candidate 5]])/(SamplingData[[#Totals],[Winning Candidate]]-SamplingData[[#Totals],[Candidate 5]]), 0)</f>
        <v>3.5514473364144975E-3</v>
      </c>
      <c r="O1569" s="100">
        <f>IF(AND(SamplingData[[#This Row],[Total]]&lt;&gt; 0, NOT(ISBLANK(SamplingData[[#This Row],[Candidate 6]]))),(SamplingData[[#This Row],[Total]]+SamplingData[[#This Row],[Winning Candidate]]-SamplingData[[#This Row],[Candidate 6]])/(SamplingData[[#Totals],[Winning Candidate]]-SamplingData[[#Totals],[Candidate 6]]), 0)</f>
        <v>3.5504109722289774E-3</v>
      </c>
      <c r="P1569" s="100">
        <f>MAX(SamplingData[[#This Row],[Error Bound (up) - Max. possible relative overstatement - Losing Candidate]:[Error Bound (up) - Max. possible relative overstatement - Candidate 6]])</f>
        <v>6.9818716315531602E-3</v>
      </c>
      <c r="Q1569" s="100">
        <f>IF(SamplingData[[#This Row],[Max Error Bound (up)]] = 0,0,SamplingData[[#This Row],[Max Error Bound (up)]]/SamplingData[[#Totals],[Max Error Bound (up)]])</f>
        <v>1.1049961037428249E-3</v>
      </c>
      <c r="R1569" s="101">
        <f>SUM($Q$5:Q1569)</f>
        <v>0.55228068760009696</v>
      </c>
      <c r="S1569" s="100" t="str">
        <f t="array" ref="S1569">IF(SamplingData[[#This Row],[up/U Selection Probability]] = 0, "Zero", TEXT(SamplingData[[#This Row],[Lower Range]], REPT("0",LEN('General Info'!$B$40))) &amp; " - " &amp; TEXT(SamplingData[[#This Row],[Upper Range]], REPT("0",LEN('General Info'!$B$40))))</f>
        <v>55118 - 55227</v>
      </c>
      <c r="T1569" s="100">
        <f>SamplingData[[#This Row],[Upper Range]]-SamplingData[[#This Row],[Span]]</f>
        <v>55117.570254631515</v>
      </c>
      <c r="U1569" s="100">
        <f>IF(ISNUMBER('General Info'!$B$40), ((SamplingData[[#This Row],[up/U Selection Probability]]) * 'General Info'!$B$40) - 1, 0)</f>
        <v>109.49850537817875</v>
      </c>
      <c r="V1569" s="100">
        <f>IF(ISNUMBER('General Info'!$B$40), (SamplingData[[#This Row],[Running (cumulative) sum]] * ('General Info'!$B$40 -'General Info'!$B$41 + 1)) + 'General Info'!$B$41 - 1, 0)</f>
        <v>55227.068760009694</v>
      </c>
      <c r="W1569" s="100" t="str">
        <f>IF(ISERROR(MATCH(SamplingData[[#This Row],[Batch by Type (p)]],SelectedPrecincts[Batch Name], 0)), "", INDEX(SelectedPrecincts[Draw], MATCH(SamplingData[[#This Row],[Batch by Type (p)]],SelectedPrecincts[Batch Name], 0)))</f>
        <v/>
      </c>
      <c r="X1569" s="102">
        <f>IF(COUNTIF(SelectedPrecincts[Batch Name],SamplingData[[#This Row],[Batch by Type (p)]]) &lt;&gt; 0, COUNTIF(SelectedPrecincts[Batch Name],SamplingData[[#This Row],[Batch by Type (p)]]), 0)</f>
        <v>0</v>
      </c>
    </row>
    <row r="1570" spans="1:24" ht="15" customHeight="1">
      <c r="A1570" s="18" t="s">
        <v>1746</v>
      </c>
      <c r="B1570" s="18">
        <v>17</v>
      </c>
      <c r="C1570" s="18">
        <v>13</v>
      </c>
      <c r="D1570" s="18">
        <v>9</v>
      </c>
      <c r="E1570" s="18">
        <v>6</v>
      </c>
      <c r="F1570" s="18">
        <v>0</v>
      </c>
      <c r="G1570" s="18">
        <v>0</v>
      </c>
      <c r="H1570" s="18">
        <v>0</v>
      </c>
      <c r="I1570" s="18">
        <v>1</v>
      </c>
      <c r="J1570" s="99">
        <f>SUM(SamplingData[[#This Row],[Losing Candidate]:[Under Votes]])</f>
        <v>46</v>
      </c>
      <c r="K1570"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570" s="100">
        <f>IF(AND(SamplingData[[#This Row],[Total]]&lt;&gt; 0, NOT(ISBLANK(SamplingData[[#This Row],[Candidate 3]]))),(SamplingData[[#This Row],[Total]]+SamplingData[[#This Row],[Winning Candidate]]-SamplingData[[#This Row],[Candidate 3]])/(SamplingData[[#Totals],[Winning Candidate]]-SamplingData[[#Totals],[Candidate 3]]), 0)</f>
        <v>1.6130593283220957E-3</v>
      </c>
      <c r="M1570" s="100">
        <f>IF(AND(SamplingData[[#This Row],[Total]]&lt;&gt; 0, NOT(ISBLANK(SamplingData[[#This Row],[Candidate 4]]))),(SamplingData[[#This Row],[Total]]+SamplingData[[#This Row],[Winning Candidate]]-SamplingData[[#This Row],[Candidate 4]])/(SamplingData[[#Totals],[Winning Candidate]]-SamplingData[[#Totals],[Candidate 4]]), 0)</f>
        <v>1.5492998918413283E-3</v>
      </c>
      <c r="N1570" s="100">
        <f>IF(AND(SamplingData[[#This Row],[Total]]&lt;&gt; 0, NOT(ISBLANK(SamplingData[[#This Row],[Candidate 5]]))),(SamplingData[[#This Row],[Total]]+SamplingData[[#This Row],[Winning Candidate]]-SamplingData[[#This Row],[Candidate 5]])/(SamplingData[[#Totals],[Winning Candidate]]-SamplingData[[#Totals],[Candidate 5]]), 0)</f>
        <v>1.4351739236195572E-3</v>
      </c>
      <c r="O1570" s="100">
        <f>IF(AND(SamplingData[[#This Row],[Total]]&lt;&gt; 0, NOT(ISBLANK(SamplingData[[#This Row],[Candidate 6]]))),(SamplingData[[#This Row],[Total]]+SamplingData[[#This Row],[Winning Candidate]]-SamplingData[[#This Row],[Candidate 6]])/(SamplingData[[#Totals],[Winning Candidate]]-SamplingData[[#Totals],[Candidate 6]]), 0)</f>
        <v>1.4347551189144497E-3</v>
      </c>
      <c r="P1570" s="100">
        <f>MAX(SamplingData[[#This Row],[Error Bound (up) - Max. possible relative overstatement - Losing Candidate]:[Error Bound (up) - Max. possible relative overstatement - Candidate 6]])</f>
        <v>2.5722684958353749E-3</v>
      </c>
      <c r="Q1570" s="100">
        <f>IF(SamplingData[[#This Row],[Max Error Bound (up)]] = 0,0,SamplingData[[#This Row],[Max Error Bound (up)]]/SamplingData[[#Totals],[Max Error Bound (up)]])</f>
        <v>4.0710382769472496E-4</v>
      </c>
      <c r="R1570" s="101">
        <f>SUM($Q$5:Q1570)</f>
        <v>0.55268779142779167</v>
      </c>
      <c r="S1570" s="100" t="str">
        <f t="array" ref="S1570">IF(SamplingData[[#This Row],[up/U Selection Probability]] = 0, "Zero", TEXT(SamplingData[[#This Row],[Lower Range]], REPT("0",LEN('General Info'!$B$40))) &amp; " - " &amp; TEXT(SamplingData[[#This Row],[Upper Range]], REPT("0",LEN('General Info'!$B$40))))</f>
        <v>55228 - 55268</v>
      </c>
      <c r="T1570" s="100">
        <f>SamplingData[[#This Row],[Upper Range]]-SamplingData[[#This Row],[Span]]</f>
        <v>55228.069167113521</v>
      </c>
      <c r="U1570" s="100">
        <f>IF(ISNUMBER('General Info'!$B$40), ((SamplingData[[#This Row],[up/U Selection Probability]]) * 'General Info'!$B$40) - 1, 0)</f>
        <v>39.709975665644798</v>
      </c>
      <c r="V1570" s="100">
        <f>IF(ISNUMBER('General Info'!$B$40), (SamplingData[[#This Row],[Running (cumulative) sum]] * ('General Info'!$B$40 -'General Info'!$B$41 + 1)) + 'General Info'!$B$41 - 1, 0)</f>
        <v>55267.779142779167</v>
      </c>
      <c r="W1570" s="100" t="str">
        <f>IF(ISERROR(MATCH(SamplingData[[#This Row],[Batch by Type (p)]],SelectedPrecincts[Batch Name], 0)), "", INDEX(SelectedPrecincts[Draw], MATCH(SamplingData[[#This Row],[Batch by Type (p)]],SelectedPrecincts[Batch Name], 0)))</f>
        <v/>
      </c>
      <c r="X1570" s="102">
        <f>IF(COUNTIF(SelectedPrecincts[Batch Name],SamplingData[[#This Row],[Batch by Type (p)]]) &lt;&gt; 0, COUNTIF(SelectedPrecincts[Batch Name],SamplingData[[#This Row],[Batch by Type (p)]]), 0)</f>
        <v>0</v>
      </c>
    </row>
    <row r="1571" spans="1:24" ht="15" customHeight="1">
      <c r="A1571" s="18" t="s">
        <v>1747</v>
      </c>
      <c r="B1571" s="18">
        <v>26</v>
      </c>
      <c r="C1571" s="18">
        <v>23</v>
      </c>
      <c r="D1571" s="16">
        <v>16</v>
      </c>
      <c r="E1571" s="16">
        <v>13</v>
      </c>
      <c r="F1571" s="37">
        <v>0</v>
      </c>
      <c r="G1571" s="37">
        <v>0</v>
      </c>
      <c r="H1571" s="17">
        <v>0</v>
      </c>
      <c r="I1571" s="17">
        <v>2</v>
      </c>
      <c r="J1571" s="99">
        <f>SUM(SamplingData[[#This Row],[Losing Candidate]:[Under Votes]])</f>
        <v>80</v>
      </c>
      <c r="K1571" s="100">
        <f>IF(AND(SamplingData[[#This Row],[Total]]&lt;&gt; 0, NOT(ISBLANK(SamplingData[[#This Row],[Losing Candidate]]))),(SamplingData[[#This Row],[Total]]+SamplingData[[#This Row],[Winning Candidate]]-SamplingData[[#This Row],[Losing Candidate]])/(SamplingData[[#Totals],[Winning Candidate]]-SamplingData[[#Totals],[Losing Candidate]]), 0)</f>
        <v>4.7158255756981869E-3</v>
      </c>
      <c r="L1571" s="100">
        <f>IF(AND(SamplingData[[#This Row],[Total]]&lt;&gt; 0, NOT(ISBLANK(SamplingData[[#This Row],[Candidate 3]]))),(SamplingData[[#This Row],[Total]]+SamplingData[[#This Row],[Winning Candidate]]-SamplingData[[#This Row],[Candidate 3]])/(SamplingData[[#Totals],[Winning Candidate]]-SamplingData[[#Totals],[Candidate 3]]), 0)</f>
        <v>2.8067232312804463E-3</v>
      </c>
      <c r="M1571" s="100">
        <f>IF(AND(SamplingData[[#This Row],[Total]]&lt;&gt; 0, NOT(ISBLANK(SamplingData[[#This Row],[Candidate 4]]))),(SamplingData[[#This Row],[Total]]+SamplingData[[#This Row],[Winning Candidate]]-SamplingData[[#This Row],[Candidate 4]])/(SamplingData[[#Totals],[Winning Candidate]]-SamplingData[[#Totals],[Candidate 4]]), 0)</f>
        <v>2.6308866087871611E-3</v>
      </c>
      <c r="N1571" s="100">
        <f>IF(AND(SamplingData[[#This Row],[Total]]&lt;&gt; 0, NOT(ISBLANK(SamplingData[[#This Row],[Candidate 5]]))),(SamplingData[[#This Row],[Total]]+SamplingData[[#This Row],[Winning Candidate]]-SamplingData[[#This Row],[Candidate 5]])/(SamplingData[[#Totals],[Winning Candidate]]-SamplingData[[#Totals],[Candidate 5]]), 0)</f>
        <v>2.5054731208951591E-3</v>
      </c>
      <c r="O1571" s="100">
        <f>IF(AND(SamplingData[[#This Row],[Total]]&lt;&gt; 0, NOT(ISBLANK(SamplingData[[#This Row],[Candidate 6]]))),(SamplingData[[#This Row],[Total]]+SamplingData[[#This Row],[Winning Candidate]]-SamplingData[[#This Row],[Candidate 6]])/(SamplingData[[#Totals],[Winning Candidate]]-SamplingData[[#Totals],[Candidate 6]]), 0)</f>
        <v>2.504741987257429E-3</v>
      </c>
      <c r="P1571" s="100">
        <f>MAX(SamplingData[[#This Row],[Error Bound (up) - Max. possible relative overstatement - Losing Candidate]:[Error Bound (up) - Max. possible relative overstatement - Candidate 6]])</f>
        <v>4.7158255756981869E-3</v>
      </c>
      <c r="Q1571" s="100">
        <f>IF(SamplingData[[#This Row],[Max Error Bound (up)]] = 0,0,SamplingData[[#This Row],[Max Error Bound (up)]]/SamplingData[[#Totals],[Max Error Bound (up)]])</f>
        <v>7.4635701744032903E-4</v>
      </c>
      <c r="R1571" s="101">
        <f>SUM($Q$5:Q1571)</f>
        <v>0.55343414844523198</v>
      </c>
      <c r="S1571" s="100" t="str">
        <f t="array" ref="S1571">IF(SamplingData[[#This Row],[up/U Selection Probability]] = 0, "Zero", TEXT(SamplingData[[#This Row],[Lower Range]], REPT("0",LEN('General Info'!$B$40))) &amp; " - " &amp; TEXT(SamplingData[[#This Row],[Upper Range]], REPT("0",LEN('General Info'!$B$40))))</f>
        <v>55269 - 55342</v>
      </c>
      <c r="T1571" s="100">
        <f>SamplingData[[#This Row],[Upper Range]]-SamplingData[[#This Row],[Span]]</f>
        <v>55268.779889136182</v>
      </c>
      <c r="U1571" s="100">
        <f>IF(ISNUMBER('General Info'!$B$40), ((SamplingData[[#This Row],[up/U Selection Probability]]) * 'General Info'!$B$40) - 1, 0)</f>
        <v>73.634955387015466</v>
      </c>
      <c r="V1571" s="100">
        <f>IF(ISNUMBER('General Info'!$B$40), (SamplingData[[#This Row],[Running (cumulative) sum]] * ('General Info'!$B$40 -'General Info'!$B$41 + 1)) + 'General Info'!$B$41 - 1, 0)</f>
        <v>55342.414844523199</v>
      </c>
      <c r="W1571" s="100" t="str">
        <f>IF(ISERROR(MATCH(SamplingData[[#This Row],[Batch by Type (p)]],SelectedPrecincts[Batch Name], 0)), "", INDEX(SelectedPrecincts[Draw], MATCH(SamplingData[[#This Row],[Batch by Type (p)]],SelectedPrecincts[Batch Name], 0)))</f>
        <v/>
      </c>
      <c r="X1571" s="102">
        <f>IF(COUNTIF(SelectedPrecincts[Batch Name],SamplingData[[#This Row],[Batch by Type (p)]]) &lt;&gt; 0, COUNTIF(SelectedPrecincts[Batch Name],SamplingData[[#This Row],[Batch by Type (p)]]), 0)</f>
        <v>0</v>
      </c>
    </row>
    <row r="1572" spans="1:24" ht="15" customHeight="1">
      <c r="A1572" s="18" t="s">
        <v>1748</v>
      </c>
      <c r="B1572" s="18">
        <v>12</v>
      </c>
      <c r="C1572" s="18">
        <v>10</v>
      </c>
      <c r="D1572" s="18">
        <v>7</v>
      </c>
      <c r="E1572" s="18">
        <v>3</v>
      </c>
      <c r="F1572" s="18">
        <v>0</v>
      </c>
      <c r="G1572" s="18">
        <v>0</v>
      </c>
      <c r="H1572" s="18">
        <v>0</v>
      </c>
      <c r="I1572" s="18">
        <v>2</v>
      </c>
      <c r="J1572" s="99">
        <f>SUM(SamplingData[[#This Row],[Losing Candidate]:[Under Votes]])</f>
        <v>34</v>
      </c>
      <c r="K1572"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572" s="100">
        <f>IF(AND(SamplingData[[#This Row],[Total]]&lt;&gt; 0, NOT(ISBLANK(SamplingData[[#This Row],[Candidate 3]]))),(SamplingData[[#This Row],[Total]]+SamplingData[[#This Row],[Winning Candidate]]-SamplingData[[#This Row],[Candidate 3]])/(SamplingData[[#Totals],[Winning Candidate]]-SamplingData[[#Totals],[Candidate 3]]), 0)</f>
        <v>1.1936639029583509E-3</v>
      </c>
      <c r="M1572" s="100">
        <f>IF(AND(SamplingData[[#This Row],[Total]]&lt;&gt; 0, NOT(ISBLANK(SamplingData[[#This Row],[Candidate 4]]))),(SamplingData[[#This Row],[Total]]+SamplingData[[#This Row],[Winning Candidate]]-SamplingData[[#This Row],[Candidate 4]])/(SamplingData[[#Totals],[Winning Candidate]]-SamplingData[[#Totals],[Candidate 4]]), 0)</f>
        <v>1.1985150106697067E-3</v>
      </c>
      <c r="N1572" s="100">
        <f>IF(AND(SamplingData[[#This Row],[Total]]&lt;&gt; 0, NOT(ISBLANK(SamplingData[[#This Row],[Candidate 5]]))),(SamplingData[[#This Row],[Total]]+SamplingData[[#This Row],[Winning Candidate]]-SamplingData[[#This Row],[Candidate 5]])/(SamplingData[[#Totals],[Winning Candidate]]-SamplingData[[#Totals],[Candidate 5]]), 0)</f>
        <v>1.0702991972756021E-3</v>
      </c>
      <c r="O1572" s="100">
        <f>IF(AND(SamplingData[[#This Row],[Total]]&lt;&gt; 0, NOT(ISBLANK(SamplingData[[#This Row],[Candidate 6]]))),(SamplingData[[#This Row],[Total]]+SamplingData[[#This Row],[Winning Candidate]]-SamplingData[[#This Row],[Candidate 6]])/(SamplingData[[#Totals],[Winning Candidate]]-SamplingData[[#Totals],[Candidate 6]]), 0)</f>
        <v>1.0699868683429793E-3</v>
      </c>
      <c r="P1572" s="100">
        <f>MAX(SamplingData[[#This Row],[Error Bound (up) - Max. possible relative overstatement - Losing Candidate]:[Error Bound (up) - Max. possible relative overstatement - Candidate 6]])</f>
        <v>1.9598236158745713E-3</v>
      </c>
      <c r="Q1572" s="100">
        <f>IF(SamplingData[[#This Row],[Max Error Bound (up)]] = 0,0,SamplingData[[#This Row],[Max Error Bound (up)]]/SamplingData[[#Totals],[Max Error Bound (up)]])</f>
        <v>3.1017434491026661E-4</v>
      </c>
      <c r="R1572" s="101">
        <f>SUM($Q$5:Q1572)</f>
        <v>0.5537443227901423</v>
      </c>
      <c r="S1572" s="100" t="str">
        <f t="array" ref="S1572">IF(SamplingData[[#This Row],[up/U Selection Probability]] = 0, "Zero", TEXT(SamplingData[[#This Row],[Lower Range]], REPT("0",LEN('General Info'!$B$40))) &amp; " - " &amp; TEXT(SamplingData[[#This Row],[Upper Range]], REPT("0",LEN('General Info'!$B$40))))</f>
        <v>55343 - 55373</v>
      </c>
      <c r="T1572" s="100">
        <f>SamplingData[[#This Row],[Upper Range]]-SamplingData[[#This Row],[Span]]</f>
        <v>55343.415154697548</v>
      </c>
      <c r="U1572" s="100">
        <f>IF(ISNUMBER('General Info'!$B$40), ((SamplingData[[#This Row],[up/U Selection Probability]]) * 'General Info'!$B$40) - 1, 0)</f>
        <v>30.017124316681752</v>
      </c>
      <c r="V1572" s="100">
        <f>IF(ISNUMBER('General Info'!$B$40), (SamplingData[[#This Row],[Running (cumulative) sum]] * ('General Info'!$B$40 -'General Info'!$B$41 + 1)) + 'General Info'!$B$41 - 1, 0)</f>
        <v>55373.432279014232</v>
      </c>
      <c r="W1572" s="100" t="str">
        <f>IF(ISERROR(MATCH(SamplingData[[#This Row],[Batch by Type (p)]],SelectedPrecincts[Batch Name], 0)), "", INDEX(SelectedPrecincts[Draw], MATCH(SamplingData[[#This Row],[Batch by Type (p)]],SelectedPrecincts[Batch Name], 0)))</f>
        <v/>
      </c>
      <c r="X1572" s="102">
        <f>IF(COUNTIF(SelectedPrecincts[Batch Name],SamplingData[[#This Row],[Batch by Type (p)]]) &lt;&gt; 0, COUNTIF(SelectedPrecincts[Batch Name],SamplingData[[#This Row],[Batch by Type (p)]]), 0)</f>
        <v>0</v>
      </c>
    </row>
    <row r="1573" spans="1:24" ht="15" customHeight="1">
      <c r="A1573" s="18" t="s">
        <v>1749</v>
      </c>
      <c r="B1573" s="18">
        <v>33</v>
      </c>
      <c r="C1573" s="18">
        <v>70</v>
      </c>
      <c r="D1573" s="16">
        <v>10</v>
      </c>
      <c r="E1573" s="16">
        <v>16</v>
      </c>
      <c r="F1573" s="37">
        <v>0</v>
      </c>
      <c r="G1573" s="37">
        <v>0</v>
      </c>
      <c r="H1573" s="17">
        <v>0</v>
      </c>
      <c r="I1573" s="17">
        <v>1</v>
      </c>
      <c r="J1573" s="99">
        <f>SUM(SamplingData[[#This Row],[Losing Candidate]:[Under Votes]])</f>
        <v>130</v>
      </c>
      <c r="K1573" s="100">
        <f>IF(AND(SamplingData[[#This Row],[Total]]&lt;&gt; 0, NOT(ISBLANK(SamplingData[[#This Row],[Losing Candidate]]))),(SamplingData[[#This Row],[Total]]+SamplingData[[#This Row],[Winning Candidate]]-SamplingData[[#This Row],[Losing Candidate]])/(SamplingData[[#Totals],[Winning Candidate]]-SamplingData[[#Totals],[Losing Candidate]]), 0)</f>
        <v>1.0227829495345418E-2</v>
      </c>
      <c r="L1573" s="100">
        <f>IF(AND(SamplingData[[#This Row],[Total]]&lt;&gt; 0, NOT(ISBLANK(SamplingData[[#This Row],[Candidate 3]]))),(SamplingData[[#This Row],[Total]]+SamplingData[[#This Row],[Winning Candidate]]-SamplingData[[#This Row],[Candidate 3]])/(SamplingData[[#Totals],[Winning Candidate]]-SamplingData[[#Totals],[Candidate 3]]), 0)</f>
        <v>6.1296254476239636E-3</v>
      </c>
      <c r="M1573" s="100">
        <f>IF(AND(SamplingData[[#This Row],[Total]]&lt;&gt; 0, NOT(ISBLANK(SamplingData[[#This Row],[Candidate 4]]))),(SamplingData[[#This Row],[Total]]+SamplingData[[#This Row],[Winning Candidate]]-SamplingData[[#This Row],[Candidate 4]])/(SamplingData[[#Totals],[Winning Candidate]]-SamplingData[[#Totals],[Candidate 4]]), 0)</f>
        <v>5.3787015112981961E-3</v>
      </c>
      <c r="N1573" s="100">
        <f>IF(AND(SamplingData[[#This Row],[Total]]&lt;&gt; 0, NOT(ISBLANK(SamplingData[[#This Row],[Candidate 5]]))),(SamplingData[[#This Row],[Total]]+SamplingData[[#This Row],[Winning Candidate]]-SamplingData[[#This Row],[Candidate 5]])/(SamplingData[[#Totals],[Winning Candidate]]-SamplingData[[#Totals],[Candidate 5]]), 0)</f>
        <v>4.8649963512527369E-3</v>
      </c>
      <c r="O1573" s="100">
        <f>IF(AND(SamplingData[[#This Row],[Total]]&lt;&gt; 0, NOT(ISBLANK(SamplingData[[#This Row],[Candidate 6]]))),(SamplingData[[#This Row],[Total]]+SamplingData[[#This Row],[Winning Candidate]]-SamplingData[[#This Row],[Candidate 6]])/(SamplingData[[#Totals],[Winning Candidate]]-SamplingData[[#Totals],[Candidate 6]]), 0)</f>
        <v>4.8635766742862697E-3</v>
      </c>
      <c r="P1573" s="100">
        <f>MAX(SamplingData[[#This Row],[Error Bound (up) - Max. possible relative overstatement - Losing Candidate]:[Error Bound (up) - Max. possible relative overstatement - Candidate 6]])</f>
        <v>1.0227829495345418E-2</v>
      </c>
      <c r="Q1573" s="100">
        <f>IF(SamplingData[[#This Row],[Max Error Bound (up)]] = 0,0,SamplingData[[#This Row],[Max Error Bound (up)]]/SamplingData[[#Totals],[Max Error Bound (up)]])</f>
        <v>1.6187223625004539E-3</v>
      </c>
      <c r="R1573" s="101">
        <f>SUM($Q$5:Q1573)</f>
        <v>0.55536304515264279</v>
      </c>
      <c r="S1573" s="100" t="str">
        <f t="array" ref="S1573">IF(SamplingData[[#This Row],[up/U Selection Probability]] = 0, "Zero", TEXT(SamplingData[[#This Row],[Lower Range]], REPT("0",LEN('General Info'!$B$40))) &amp; " - " &amp; TEXT(SamplingData[[#This Row],[Upper Range]], REPT("0",LEN('General Info'!$B$40))))</f>
        <v>55374 - 55535</v>
      </c>
      <c r="T1573" s="100">
        <f>SamplingData[[#This Row],[Upper Range]]-SamplingData[[#This Row],[Span]]</f>
        <v>55374.433897736599</v>
      </c>
      <c r="U1573" s="100">
        <f>IF(ISNUMBER('General Info'!$B$40), ((SamplingData[[#This Row],[up/U Selection Probability]]) * 'General Info'!$B$40) - 1, 0)</f>
        <v>160.8706175276829</v>
      </c>
      <c r="V1573" s="100">
        <f>IF(ISNUMBER('General Info'!$B$40), (SamplingData[[#This Row],[Running (cumulative) sum]] * ('General Info'!$B$40 -'General Info'!$B$41 + 1)) + 'General Info'!$B$41 - 1, 0)</f>
        <v>55535.304515264281</v>
      </c>
      <c r="W1573" s="100" t="str">
        <f>IF(ISERROR(MATCH(SamplingData[[#This Row],[Batch by Type (p)]],SelectedPrecincts[Batch Name], 0)), "", INDEX(SelectedPrecincts[Draw], MATCH(SamplingData[[#This Row],[Batch by Type (p)]],SelectedPrecincts[Batch Name], 0)))</f>
        <v/>
      </c>
      <c r="X1573" s="102">
        <f>IF(COUNTIF(SelectedPrecincts[Batch Name],SamplingData[[#This Row],[Batch by Type (p)]]) &lt;&gt; 0, COUNTIF(SelectedPrecincts[Batch Name],SamplingData[[#This Row],[Batch by Type (p)]]), 0)</f>
        <v>0</v>
      </c>
    </row>
    <row r="1574" spans="1:24" ht="15" customHeight="1">
      <c r="A1574" s="18" t="s">
        <v>1750</v>
      </c>
      <c r="B1574" s="18">
        <v>24</v>
      </c>
      <c r="C1574" s="18">
        <v>32</v>
      </c>
      <c r="D1574" s="18">
        <v>8</v>
      </c>
      <c r="E1574" s="18">
        <v>9</v>
      </c>
      <c r="F1574" s="18">
        <v>0</v>
      </c>
      <c r="G1574" s="18">
        <v>0</v>
      </c>
      <c r="H1574" s="18">
        <v>0</v>
      </c>
      <c r="I1574" s="18">
        <v>0</v>
      </c>
      <c r="J1574" s="99">
        <f>SUM(SamplingData[[#This Row],[Losing Candidate]:[Under Votes]])</f>
        <v>73</v>
      </c>
      <c r="K1574"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1574" s="100">
        <f>IF(AND(SamplingData[[#This Row],[Total]]&lt;&gt; 0, NOT(ISBLANK(SamplingData[[#This Row],[Candidate 3]]))),(SamplingData[[#This Row],[Total]]+SamplingData[[#This Row],[Winning Candidate]]-SamplingData[[#This Row],[Candidate 3]])/(SamplingData[[#Totals],[Winning Candidate]]-SamplingData[[#Totals],[Candidate 3]]), 0)</f>
        <v>3.1293350969448658E-3</v>
      </c>
      <c r="M1574" s="100">
        <f>IF(AND(SamplingData[[#This Row],[Total]]&lt;&gt; 0, NOT(ISBLANK(SamplingData[[#This Row],[Candidate 4]]))),(SamplingData[[#This Row],[Total]]+SamplingData[[#This Row],[Winning Candidate]]-SamplingData[[#This Row],[Candidate 4]])/(SamplingData[[#Totals],[Winning Candidate]]-SamplingData[[#Totals],[Candidate 4]]), 0)</f>
        <v>2.8062790493729719E-3</v>
      </c>
      <c r="N1574" s="100">
        <f>IF(AND(SamplingData[[#This Row],[Total]]&lt;&gt; 0, NOT(ISBLANK(SamplingData[[#This Row],[Candidate 5]]))),(SamplingData[[#This Row],[Total]]+SamplingData[[#This Row],[Winning Candidate]]-SamplingData[[#This Row],[Candidate 5]])/(SamplingData[[#Totals],[Winning Candidate]]-SamplingData[[#Totals],[Candidate 5]]), 0)</f>
        <v>2.5541230844076867E-3</v>
      </c>
      <c r="O1574" s="100">
        <f>IF(AND(SamplingData[[#This Row],[Total]]&lt;&gt; 0, NOT(ISBLANK(SamplingData[[#This Row],[Candidate 6]]))),(SamplingData[[#This Row],[Total]]+SamplingData[[#This Row],[Winning Candidate]]-SamplingData[[#This Row],[Candidate 6]])/(SamplingData[[#Totals],[Winning Candidate]]-SamplingData[[#Totals],[Candidate 6]]), 0)</f>
        <v>2.5533777540002918E-3</v>
      </c>
      <c r="P1574" s="100">
        <f>MAX(SamplingData[[#This Row],[Error Bound (up) - Max. possible relative overstatement - Losing Candidate]:[Error Bound (up) - Max. possible relative overstatement - Candidate 6]])</f>
        <v>4.9608035276825085E-3</v>
      </c>
      <c r="Q1574" s="100">
        <f>IF(SamplingData[[#This Row],[Max Error Bound (up)]] = 0,0,SamplingData[[#This Row],[Max Error Bound (up)]]/SamplingData[[#Totals],[Max Error Bound (up)]])</f>
        <v>7.8512881055411239E-4</v>
      </c>
      <c r="R1574" s="101">
        <f>SUM($Q$5:Q1574)</f>
        <v>0.55614817396319693</v>
      </c>
      <c r="S1574" s="100" t="str">
        <f t="array" ref="S1574">IF(SamplingData[[#This Row],[up/U Selection Probability]] = 0, "Zero", TEXT(SamplingData[[#This Row],[Lower Range]], REPT("0",LEN('General Info'!$B$40))) &amp; " - " &amp; TEXT(SamplingData[[#This Row],[Upper Range]], REPT("0",LEN('General Info'!$B$40))))</f>
        <v>55536 - 55614</v>
      </c>
      <c r="T1574" s="100">
        <f>SamplingData[[#This Row],[Upper Range]]-SamplingData[[#This Row],[Span]]</f>
        <v>55536.305300393098</v>
      </c>
      <c r="U1574" s="100">
        <f>IF(ISNUMBER('General Info'!$B$40), ((SamplingData[[#This Row],[up/U Selection Probability]]) * 'General Info'!$B$40) - 1, 0)</f>
        <v>77.512095926600679</v>
      </c>
      <c r="V1574" s="100">
        <f>IF(ISNUMBER('General Info'!$B$40), (SamplingData[[#This Row],[Running (cumulative) sum]] * ('General Info'!$B$40 -'General Info'!$B$41 + 1)) + 'General Info'!$B$41 - 1, 0)</f>
        <v>55613.817396319697</v>
      </c>
      <c r="W1574" s="100" t="str">
        <f>IF(ISERROR(MATCH(SamplingData[[#This Row],[Batch by Type (p)]],SelectedPrecincts[Batch Name], 0)), "", INDEX(SelectedPrecincts[Draw], MATCH(SamplingData[[#This Row],[Batch by Type (p)]],SelectedPrecincts[Batch Name], 0)))</f>
        <v/>
      </c>
      <c r="X1574" s="102">
        <f>IF(COUNTIF(SelectedPrecincts[Batch Name],SamplingData[[#This Row],[Batch by Type (p)]]) &lt;&gt; 0, COUNTIF(SelectedPrecincts[Batch Name],SamplingData[[#This Row],[Batch by Type (p)]]), 0)</f>
        <v>0</v>
      </c>
    </row>
    <row r="1575" spans="1:24" ht="15" customHeight="1">
      <c r="A1575" s="18" t="s">
        <v>1751</v>
      </c>
      <c r="B1575" s="18">
        <v>26</v>
      </c>
      <c r="C1575" s="18">
        <v>49</v>
      </c>
      <c r="D1575" s="16">
        <v>9</v>
      </c>
      <c r="E1575" s="16">
        <v>9</v>
      </c>
      <c r="F1575" s="37">
        <v>1</v>
      </c>
      <c r="G1575" s="37">
        <v>0</v>
      </c>
      <c r="H1575" s="17">
        <v>0</v>
      </c>
      <c r="I1575" s="17">
        <v>0</v>
      </c>
      <c r="J1575" s="99">
        <f>SUM(SamplingData[[#This Row],[Losing Candidate]:[Under Votes]])</f>
        <v>94</v>
      </c>
      <c r="K1575" s="100">
        <f>IF(AND(SamplingData[[#This Row],[Total]]&lt;&gt; 0, NOT(ISBLANK(SamplingData[[#This Row],[Losing Candidate]]))),(SamplingData[[#This Row],[Total]]+SamplingData[[#This Row],[Winning Candidate]]-SamplingData[[#This Row],[Losing Candidate]])/(SamplingData[[#Totals],[Winning Candidate]]-SamplingData[[#Totals],[Losing Candidate]]), 0)</f>
        <v>7.1656050955414014E-3</v>
      </c>
      <c r="L1575" s="100">
        <f>IF(AND(SamplingData[[#This Row],[Total]]&lt;&gt; 0, NOT(ISBLANK(SamplingData[[#This Row],[Candidate 3]]))),(SamplingData[[#This Row],[Total]]+SamplingData[[#This Row],[Winning Candidate]]-SamplingData[[#This Row],[Candidate 3]])/(SamplingData[[#Totals],[Winning Candidate]]-SamplingData[[#Totals],[Candidate 3]]), 0)</f>
        <v>4.3229989999032164E-3</v>
      </c>
      <c r="M1575" s="100">
        <f>IF(AND(SamplingData[[#This Row],[Total]]&lt;&gt; 0, NOT(ISBLANK(SamplingData[[#This Row],[Candidate 4]]))),(SamplingData[[#This Row],[Total]]+SamplingData[[#This Row],[Winning Candidate]]-SamplingData[[#This Row],[Candidate 4]])/(SamplingData[[#Totals],[Winning Candidate]]-SamplingData[[#Totals],[Candidate 4]]), 0)</f>
        <v>3.9170978397497737E-3</v>
      </c>
      <c r="N1575" s="100">
        <f>IF(AND(SamplingData[[#This Row],[Total]]&lt;&gt; 0, NOT(ISBLANK(SamplingData[[#This Row],[Candidate 5]]))),(SamplingData[[#This Row],[Total]]+SamplingData[[#This Row],[Winning Candidate]]-SamplingData[[#This Row],[Candidate 5]])/(SamplingData[[#Totals],[Winning Candidate]]-SamplingData[[#Totals],[Candidate 5]]), 0)</f>
        <v>3.4541474093894428E-3</v>
      </c>
      <c r="O1575" s="100">
        <f>IF(AND(SamplingData[[#This Row],[Total]]&lt;&gt; 0, NOT(ISBLANK(SamplingData[[#This Row],[Candidate 6]]))),(SamplingData[[#This Row],[Total]]+SamplingData[[#This Row],[Winning Candidate]]-SamplingData[[#This Row],[Candidate 6]])/(SamplingData[[#Totals],[Winning Candidate]]-SamplingData[[#Totals],[Candidate 6]]), 0)</f>
        <v>3.4774573221146832E-3</v>
      </c>
      <c r="P1575" s="100">
        <f>MAX(SamplingData[[#This Row],[Error Bound (up) - Max. possible relative overstatement - Losing Candidate]:[Error Bound (up) - Max. possible relative overstatement - Candidate 6]])</f>
        <v>7.1656050955414014E-3</v>
      </c>
      <c r="Q1575" s="100">
        <f>IF(SamplingData[[#This Row],[Max Error Bound (up)]] = 0,0,SamplingData[[#This Row],[Max Error Bound (up)]]/SamplingData[[#Totals],[Max Error Bound (up)]])</f>
        <v>1.1340749485781623E-3</v>
      </c>
      <c r="R1575" s="101">
        <f>SUM($Q$5:Q1575)</f>
        <v>0.55728224891177514</v>
      </c>
      <c r="S1575" s="100" t="str">
        <f t="array" ref="S1575">IF(SamplingData[[#This Row],[up/U Selection Probability]] = 0, "Zero", TEXT(SamplingData[[#This Row],[Lower Range]], REPT("0",LEN('General Info'!$B$40))) &amp; " - " &amp; TEXT(SamplingData[[#This Row],[Upper Range]], REPT("0",LEN('General Info'!$B$40))))</f>
        <v>55615 - 55727</v>
      </c>
      <c r="T1575" s="100">
        <f>SamplingData[[#This Row],[Upper Range]]-SamplingData[[#This Row],[Span]]</f>
        <v>55614.818530394652</v>
      </c>
      <c r="U1575" s="100">
        <f>IF(ISNUMBER('General Info'!$B$40), ((SamplingData[[#This Row],[up/U Selection Probability]]) * 'General Info'!$B$40) - 1, 0)</f>
        <v>112.40636078286765</v>
      </c>
      <c r="V1575" s="100">
        <f>IF(ISNUMBER('General Info'!$B$40), (SamplingData[[#This Row],[Running (cumulative) sum]] * ('General Info'!$B$40 -'General Info'!$B$41 + 1)) + 'General Info'!$B$41 - 1, 0)</f>
        <v>55727.224891177517</v>
      </c>
      <c r="W1575" s="100" t="str">
        <f>IF(ISERROR(MATCH(SamplingData[[#This Row],[Batch by Type (p)]],SelectedPrecincts[Batch Name], 0)), "", INDEX(SelectedPrecincts[Draw], MATCH(SamplingData[[#This Row],[Batch by Type (p)]],SelectedPrecincts[Batch Name], 0)))</f>
        <v/>
      </c>
      <c r="X1575" s="102">
        <f>IF(COUNTIF(SelectedPrecincts[Batch Name],SamplingData[[#This Row],[Batch by Type (p)]]) &lt;&gt; 0, COUNTIF(SelectedPrecincts[Batch Name],SamplingData[[#This Row],[Batch by Type (p)]]), 0)</f>
        <v>0</v>
      </c>
    </row>
    <row r="1576" spans="1:24" ht="15" customHeight="1">
      <c r="A1576" s="18" t="s">
        <v>1752</v>
      </c>
      <c r="B1576" s="18">
        <v>12</v>
      </c>
      <c r="C1576" s="18">
        <v>15</v>
      </c>
      <c r="D1576" s="18">
        <v>5</v>
      </c>
      <c r="E1576" s="18">
        <v>4</v>
      </c>
      <c r="F1576" s="18">
        <v>0</v>
      </c>
      <c r="G1576" s="18">
        <v>0</v>
      </c>
      <c r="H1576" s="18">
        <v>0</v>
      </c>
      <c r="I1576" s="18">
        <v>1</v>
      </c>
      <c r="J1576" s="99">
        <f>SUM(SamplingData[[#This Row],[Losing Candidate]:[Under Votes]])</f>
        <v>37</v>
      </c>
      <c r="K1576"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576" s="100">
        <f>IF(AND(SamplingData[[#This Row],[Total]]&lt;&gt; 0, NOT(ISBLANK(SamplingData[[#This Row],[Candidate 3]]))),(SamplingData[[#This Row],[Total]]+SamplingData[[#This Row],[Winning Candidate]]-SamplingData[[#This Row],[Candidate 3]])/(SamplingData[[#Totals],[Winning Candidate]]-SamplingData[[#Totals],[Candidate 3]]), 0)</f>
        <v>1.5162757686227699E-3</v>
      </c>
      <c r="M1576" s="100">
        <f>IF(AND(SamplingData[[#This Row],[Total]]&lt;&gt; 0, NOT(ISBLANK(SamplingData[[#This Row],[Candidate 4]]))),(SamplingData[[#This Row],[Total]]+SamplingData[[#This Row],[Winning Candidate]]-SamplingData[[#This Row],[Candidate 4]])/(SamplingData[[#Totals],[Winning Candidate]]-SamplingData[[#Totals],[Candidate 4]]), 0)</f>
        <v>1.403139524686486E-3</v>
      </c>
      <c r="N1576" s="100">
        <f>IF(AND(SamplingData[[#This Row],[Total]]&lt;&gt; 0, NOT(ISBLANK(SamplingData[[#This Row],[Candidate 5]]))),(SamplingData[[#This Row],[Total]]+SamplingData[[#This Row],[Winning Candidate]]-SamplingData[[#This Row],[Candidate 5]])/(SamplingData[[#Totals],[Winning Candidate]]-SamplingData[[#Totals],[Candidate 5]]), 0)</f>
        <v>1.2648990513257116E-3</v>
      </c>
      <c r="O1576" s="100">
        <f>IF(AND(SamplingData[[#This Row],[Total]]&lt;&gt; 0, NOT(ISBLANK(SamplingData[[#This Row],[Candidate 6]]))),(SamplingData[[#This Row],[Total]]+SamplingData[[#This Row],[Winning Candidate]]-SamplingData[[#This Row],[Candidate 6]])/(SamplingData[[#Totals],[Winning Candidate]]-SamplingData[[#Totals],[Candidate 6]]), 0)</f>
        <v>1.2645299353144302E-3</v>
      </c>
      <c r="P1576" s="100">
        <f>MAX(SamplingData[[#This Row],[Error Bound (up) - Max. possible relative overstatement - Losing Candidate]:[Error Bound (up) - Max. possible relative overstatement - Candidate 6]])</f>
        <v>2.4497795198432141E-3</v>
      </c>
      <c r="Q1576" s="100">
        <f>IF(SamplingData[[#This Row],[Max Error Bound (up)]] = 0,0,SamplingData[[#This Row],[Max Error Bound (up)]]/SamplingData[[#Totals],[Max Error Bound (up)]])</f>
        <v>3.8771793113783328E-4</v>
      </c>
      <c r="R1576" s="101">
        <f>SUM($Q$5:Q1576)</f>
        <v>0.55766996684291292</v>
      </c>
      <c r="S1576" s="100" t="str">
        <f t="array" ref="S1576">IF(SamplingData[[#This Row],[up/U Selection Probability]] = 0, "Zero", TEXT(SamplingData[[#This Row],[Lower Range]], REPT("0",LEN('General Info'!$B$40))) &amp; " - " &amp; TEXT(SamplingData[[#This Row],[Upper Range]], REPT("0",LEN('General Info'!$B$40))))</f>
        <v>55728 - 55766</v>
      </c>
      <c r="T1576" s="100">
        <f>SamplingData[[#This Row],[Upper Range]]-SamplingData[[#This Row],[Span]]</f>
        <v>55728.225278895436</v>
      </c>
      <c r="U1576" s="100">
        <f>IF(ISNUMBER('General Info'!$B$40), ((SamplingData[[#This Row],[up/U Selection Probability]]) * 'General Info'!$B$40) - 1, 0)</f>
        <v>37.771405395852192</v>
      </c>
      <c r="V1576" s="100">
        <f>IF(ISNUMBER('General Info'!$B$40), (SamplingData[[#This Row],[Running (cumulative) sum]] * ('General Info'!$B$40 -'General Info'!$B$41 + 1)) + 'General Info'!$B$41 - 1, 0)</f>
        <v>55765.996684291291</v>
      </c>
      <c r="W1576" s="100" t="str">
        <f>IF(ISERROR(MATCH(SamplingData[[#This Row],[Batch by Type (p)]],SelectedPrecincts[Batch Name], 0)), "", INDEX(SelectedPrecincts[Draw], MATCH(SamplingData[[#This Row],[Batch by Type (p)]],SelectedPrecincts[Batch Name], 0)))</f>
        <v/>
      </c>
      <c r="X1576" s="102">
        <f>IF(COUNTIF(SelectedPrecincts[Batch Name],SamplingData[[#This Row],[Batch by Type (p)]]) &lt;&gt; 0, COUNTIF(SelectedPrecincts[Batch Name],SamplingData[[#This Row],[Batch by Type (p)]]), 0)</f>
        <v>0</v>
      </c>
    </row>
    <row r="1577" spans="1:24" ht="15" customHeight="1">
      <c r="A1577" s="18" t="s">
        <v>1753</v>
      </c>
      <c r="B1577" s="18">
        <v>42</v>
      </c>
      <c r="C1577" s="18">
        <v>81</v>
      </c>
      <c r="D1577" s="16">
        <v>19</v>
      </c>
      <c r="E1577" s="16">
        <v>4</v>
      </c>
      <c r="F1577" s="37">
        <v>0</v>
      </c>
      <c r="G1577" s="37">
        <v>0</v>
      </c>
      <c r="H1577" s="17">
        <v>0</v>
      </c>
      <c r="I1577" s="17">
        <v>2</v>
      </c>
      <c r="J1577" s="99">
        <f>SUM(SamplingData[[#This Row],[Losing Candidate]:[Under Votes]])</f>
        <v>148</v>
      </c>
      <c r="K1577" s="100">
        <f>IF(AND(SamplingData[[#This Row],[Total]]&lt;&gt; 0, NOT(ISBLANK(SamplingData[[#This Row],[Losing Candidate]]))),(SamplingData[[#This Row],[Total]]+SamplingData[[#This Row],[Winning Candidate]]-SamplingData[[#This Row],[Losing Candidate]])/(SamplingData[[#Totals],[Winning Candidate]]-SamplingData[[#Totals],[Losing Candidate]]), 0)</f>
        <v>1.1452719255267026E-2</v>
      </c>
      <c r="L1577" s="100">
        <f>IF(AND(SamplingData[[#This Row],[Total]]&lt;&gt; 0, NOT(ISBLANK(SamplingData[[#This Row],[Candidate 3]]))),(SamplingData[[#This Row],[Total]]+SamplingData[[#This Row],[Winning Candidate]]-SamplingData[[#This Row],[Candidate 3]])/(SamplingData[[#Totals],[Winning Candidate]]-SamplingData[[#Totals],[Candidate 3]]), 0)</f>
        <v>6.7748491789528017E-3</v>
      </c>
      <c r="M1577" s="100">
        <f>IF(AND(SamplingData[[#This Row],[Total]]&lt;&gt; 0, NOT(ISBLANK(SamplingData[[#This Row],[Candidate 4]]))),(SamplingData[[#This Row],[Total]]+SamplingData[[#This Row],[Winning Candidate]]-SamplingData[[#This Row],[Candidate 4]])/(SamplingData[[#Totals],[Winning Candidate]]-SamplingData[[#Totals],[Candidate 4]]), 0)</f>
        <v>6.5772165219679032E-3</v>
      </c>
      <c r="N1577" s="100">
        <f>IF(AND(SamplingData[[#This Row],[Total]]&lt;&gt; 0, NOT(ISBLANK(SamplingData[[#This Row],[Candidate 5]]))),(SamplingData[[#This Row],[Total]]+SamplingData[[#This Row],[Winning Candidate]]-SamplingData[[#This Row],[Candidate 5]])/(SamplingData[[#Totals],[Winning Candidate]]-SamplingData[[#Totals],[Candidate 5]]), 0)</f>
        <v>5.5704208221843835E-3</v>
      </c>
      <c r="O1577" s="100">
        <f>IF(AND(SamplingData[[#This Row],[Total]]&lt;&gt; 0, NOT(ISBLANK(SamplingData[[#This Row],[Candidate 6]]))),(SamplingData[[#This Row],[Total]]+SamplingData[[#This Row],[Winning Candidate]]-SamplingData[[#This Row],[Candidate 6]])/(SamplingData[[#Totals],[Winning Candidate]]-SamplingData[[#Totals],[Candidate 6]]), 0)</f>
        <v>5.5687952920577795E-3</v>
      </c>
      <c r="P1577" s="100">
        <f>MAX(SamplingData[[#This Row],[Error Bound (up) - Max. possible relative overstatement - Losing Candidate]:[Error Bound (up) - Max. possible relative overstatement - Candidate 6]])</f>
        <v>1.1452719255267026E-2</v>
      </c>
      <c r="Q1577" s="100">
        <f>IF(SamplingData[[#This Row],[Max Error Bound (up)]] = 0,0,SamplingData[[#This Row],[Max Error Bound (up)]]/SamplingData[[#Totals],[Max Error Bound (up)]])</f>
        <v>1.8125813280693707E-3</v>
      </c>
      <c r="R1577" s="101">
        <f>SUM($Q$5:Q1577)</f>
        <v>0.55948254817098231</v>
      </c>
      <c r="S1577" s="100" t="str">
        <f t="array" ref="S1577">IF(SamplingData[[#This Row],[up/U Selection Probability]] = 0, "Zero", TEXT(SamplingData[[#This Row],[Lower Range]], REPT("0",LEN('General Info'!$B$40))) &amp; " - " &amp; TEXT(SamplingData[[#This Row],[Upper Range]], REPT("0",LEN('General Info'!$B$40))))</f>
        <v>55767 - 55947</v>
      </c>
      <c r="T1577" s="100">
        <f>SamplingData[[#This Row],[Upper Range]]-SamplingData[[#This Row],[Span]]</f>
        <v>55766.998496872628</v>
      </c>
      <c r="U1577" s="100">
        <f>IF(ISNUMBER('General Info'!$B$40), ((SamplingData[[#This Row],[up/U Selection Probability]]) * 'General Info'!$B$40) - 1, 0)</f>
        <v>180.25632022560899</v>
      </c>
      <c r="V1577" s="100">
        <f>IF(ISNUMBER('General Info'!$B$40), (SamplingData[[#This Row],[Running (cumulative) sum]] * ('General Info'!$B$40 -'General Info'!$B$41 + 1)) + 'General Info'!$B$41 - 1, 0)</f>
        <v>55947.254817098234</v>
      </c>
      <c r="W1577" s="100" t="str">
        <f>IF(ISERROR(MATCH(SamplingData[[#This Row],[Batch by Type (p)]],SelectedPrecincts[Batch Name], 0)), "", INDEX(SelectedPrecincts[Draw], MATCH(SamplingData[[#This Row],[Batch by Type (p)]],SelectedPrecincts[Batch Name], 0)))</f>
        <v/>
      </c>
      <c r="X1577" s="102">
        <f>IF(COUNTIF(SelectedPrecincts[Batch Name],SamplingData[[#This Row],[Batch by Type (p)]]) &lt;&gt; 0, COUNTIF(SelectedPrecincts[Batch Name],SamplingData[[#This Row],[Batch by Type (p)]]), 0)</f>
        <v>0</v>
      </c>
    </row>
    <row r="1578" spans="1:24" ht="15" customHeight="1">
      <c r="A1578" s="18" t="s">
        <v>1754</v>
      </c>
      <c r="B1578" s="18">
        <v>24</v>
      </c>
      <c r="C1578" s="18">
        <v>19</v>
      </c>
      <c r="D1578" s="18">
        <v>15</v>
      </c>
      <c r="E1578" s="18">
        <v>4</v>
      </c>
      <c r="F1578" s="18">
        <v>0</v>
      </c>
      <c r="G1578" s="18">
        <v>0</v>
      </c>
      <c r="H1578" s="18">
        <v>0</v>
      </c>
      <c r="I1578" s="18">
        <v>0</v>
      </c>
      <c r="J1578" s="99">
        <f>SUM(SamplingData[[#This Row],[Losing Candidate]:[Under Votes]])</f>
        <v>62</v>
      </c>
      <c r="K1578" s="100">
        <f>IF(AND(SamplingData[[#This Row],[Total]]&lt;&gt; 0, NOT(ISBLANK(SamplingData[[#This Row],[Losing Candidate]]))),(SamplingData[[#This Row],[Total]]+SamplingData[[#This Row],[Winning Candidate]]-SamplingData[[#This Row],[Losing Candidate]])/(SamplingData[[#Totals],[Winning Candidate]]-SamplingData[[#Totals],[Losing Candidate]]), 0)</f>
        <v>3.4909358157765801E-3</v>
      </c>
      <c r="L1578" s="100">
        <f>IF(AND(SamplingData[[#This Row],[Total]]&lt;&gt; 0, NOT(ISBLANK(SamplingData[[#This Row],[Candidate 3]]))),(SamplingData[[#This Row],[Total]]+SamplingData[[#This Row],[Winning Candidate]]-SamplingData[[#This Row],[Candidate 3]])/(SamplingData[[#Totals],[Winning Candidate]]-SamplingData[[#Totals],[Candidate 3]]), 0)</f>
        <v>2.1292383133851662E-3</v>
      </c>
      <c r="M1578" s="100">
        <f>IF(AND(SamplingData[[#This Row],[Total]]&lt;&gt; 0, NOT(ISBLANK(SamplingData[[#This Row],[Candidate 4]]))),(SamplingData[[#This Row],[Total]]+SamplingData[[#This Row],[Winning Candidate]]-SamplingData[[#This Row],[Candidate 4]])/(SamplingData[[#Totals],[Winning Candidate]]-SamplingData[[#Totals],[Candidate 4]]), 0)</f>
        <v>2.2508696541845715E-3</v>
      </c>
      <c r="N1578" s="100">
        <f>IF(AND(SamplingData[[#This Row],[Total]]&lt;&gt; 0, NOT(ISBLANK(SamplingData[[#This Row],[Candidate 5]]))),(SamplingData[[#This Row],[Total]]+SamplingData[[#This Row],[Winning Candidate]]-SamplingData[[#This Row],[Candidate 5]])/(SamplingData[[#Totals],[Winning Candidate]]-SamplingData[[#Totals],[Candidate 5]]), 0)</f>
        <v>1.9703235222573584E-3</v>
      </c>
      <c r="O1578" s="100">
        <f>IF(AND(SamplingData[[#This Row],[Total]]&lt;&gt; 0, NOT(ISBLANK(SamplingData[[#This Row],[Candidate 6]]))),(SamplingData[[#This Row],[Total]]+SamplingData[[#This Row],[Winning Candidate]]-SamplingData[[#This Row],[Candidate 6]])/(SamplingData[[#Totals],[Winning Candidate]]-SamplingData[[#Totals],[Candidate 6]]), 0)</f>
        <v>1.9697485530859394E-3</v>
      </c>
      <c r="P1578" s="100">
        <f>MAX(SamplingData[[#This Row],[Error Bound (up) - Max. possible relative overstatement - Losing Candidate]:[Error Bound (up) - Max. possible relative overstatement - Candidate 6]])</f>
        <v>3.4909358157765801E-3</v>
      </c>
      <c r="Q1578" s="100">
        <f>IF(SamplingData[[#This Row],[Max Error Bound (up)]] = 0,0,SamplingData[[#This Row],[Max Error Bound (up)]]/SamplingData[[#Totals],[Max Error Bound (up)]])</f>
        <v>5.5249805187141245E-4</v>
      </c>
      <c r="R1578" s="101">
        <f>SUM($Q$5:Q1578)</f>
        <v>0.56003504622285372</v>
      </c>
      <c r="S1578" s="100" t="str">
        <f t="array" ref="S1578">IF(SamplingData[[#This Row],[up/U Selection Probability]] = 0, "Zero", TEXT(SamplingData[[#This Row],[Lower Range]], REPT("0",LEN('General Info'!$B$40))) &amp; " - " &amp; TEXT(SamplingData[[#This Row],[Upper Range]], REPT("0",LEN('General Info'!$B$40))))</f>
        <v>55948 - 56003</v>
      </c>
      <c r="T1578" s="100">
        <f>SamplingData[[#This Row],[Upper Range]]-SamplingData[[#This Row],[Span]]</f>
        <v>55948.255369596278</v>
      </c>
      <c r="U1578" s="100">
        <f>IF(ISNUMBER('General Info'!$B$40), ((SamplingData[[#This Row],[up/U Selection Probability]]) * 'General Info'!$B$40) - 1, 0)</f>
        <v>54.249252689089374</v>
      </c>
      <c r="V1578" s="100">
        <f>IF(ISNUMBER('General Info'!$B$40), (SamplingData[[#This Row],[Running (cumulative) sum]] * ('General Info'!$B$40 -'General Info'!$B$41 + 1)) + 'General Info'!$B$41 - 1, 0)</f>
        <v>56002.504622285371</v>
      </c>
      <c r="W1578" s="100" t="str">
        <f>IF(ISERROR(MATCH(SamplingData[[#This Row],[Batch by Type (p)]],SelectedPrecincts[Batch Name], 0)), "", INDEX(SelectedPrecincts[Draw], MATCH(SamplingData[[#This Row],[Batch by Type (p)]],SelectedPrecincts[Batch Name], 0)))</f>
        <v/>
      </c>
      <c r="X1578" s="102">
        <f>IF(COUNTIF(SelectedPrecincts[Batch Name],SamplingData[[#This Row],[Batch by Type (p)]]) &lt;&gt; 0, COUNTIF(SelectedPrecincts[Batch Name],SamplingData[[#This Row],[Batch by Type (p)]]), 0)</f>
        <v>0</v>
      </c>
    </row>
    <row r="1579" spans="1:24" ht="15" customHeight="1">
      <c r="A1579" s="18" t="s">
        <v>1755</v>
      </c>
      <c r="B1579" s="18">
        <v>38</v>
      </c>
      <c r="C1579" s="18">
        <v>44</v>
      </c>
      <c r="D1579" s="16">
        <v>22</v>
      </c>
      <c r="E1579" s="16">
        <v>12</v>
      </c>
      <c r="F1579" s="37">
        <v>0</v>
      </c>
      <c r="G1579" s="37">
        <v>0</v>
      </c>
      <c r="H1579" s="17">
        <v>0</v>
      </c>
      <c r="I1579" s="17">
        <v>0</v>
      </c>
      <c r="J1579" s="99">
        <f>SUM(SamplingData[[#This Row],[Losing Candidate]:[Under Votes]])</f>
        <v>116</v>
      </c>
      <c r="K1579" s="100">
        <f>IF(AND(SamplingData[[#This Row],[Total]]&lt;&gt; 0, NOT(ISBLANK(SamplingData[[#This Row],[Losing Candidate]]))),(SamplingData[[#This Row],[Total]]+SamplingData[[#This Row],[Winning Candidate]]-SamplingData[[#This Row],[Losing Candidate]])/(SamplingData[[#Totals],[Winning Candidate]]-SamplingData[[#Totals],[Losing Candidate]]), 0)</f>
        <v>7.4718275355218034E-3</v>
      </c>
      <c r="L1579" s="100">
        <f>IF(AND(SamplingData[[#This Row],[Total]]&lt;&gt; 0, NOT(ISBLANK(SamplingData[[#This Row],[Candidate 3]]))),(SamplingData[[#This Row],[Total]]+SamplingData[[#This Row],[Winning Candidate]]-SamplingData[[#This Row],[Candidate 3]])/(SamplingData[[#Totals],[Winning Candidate]]-SamplingData[[#Totals],[Candidate 3]]), 0)</f>
        <v>4.4520437461689844E-3</v>
      </c>
      <c r="M1579" s="100">
        <f>IF(AND(SamplingData[[#This Row],[Total]]&lt;&gt; 0, NOT(ISBLANK(SamplingData[[#This Row],[Candidate 4]]))),(SamplingData[[#This Row],[Total]]+SamplingData[[#This Row],[Winning Candidate]]-SamplingData[[#This Row],[Candidate 4]])/(SamplingData[[#Totals],[Winning Candidate]]-SamplingData[[#Totals],[Candidate 4]]), 0)</f>
        <v>4.3263468677833322E-3</v>
      </c>
      <c r="N1579" s="100">
        <f>IF(AND(SamplingData[[#This Row],[Total]]&lt;&gt; 0, NOT(ISBLANK(SamplingData[[#This Row],[Candidate 5]]))),(SamplingData[[#This Row],[Total]]+SamplingData[[#This Row],[Winning Candidate]]-SamplingData[[#This Row],[Candidate 5]])/(SamplingData[[#Totals],[Winning Candidate]]-SamplingData[[#Totals],[Candidate 5]]), 0)</f>
        <v>3.8919970810021892E-3</v>
      </c>
      <c r="O1579" s="100">
        <f>IF(AND(SamplingData[[#This Row],[Total]]&lt;&gt; 0, NOT(ISBLANK(SamplingData[[#This Row],[Candidate 6]]))),(SamplingData[[#This Row],[Total]]+SamplingData[[#This Row],[Winning Candidate]]-SamplingData[[#This Row],[Candidate 6]])/(SamplingData[[#Totals],[Winning Candidate]]-SamplingData[[#Totals],[Candidate 6]]), 0)</f>
        <v>3.8908613394290159E-3</v>
      </c>
      <c r="P1579" s="100">
        <f>MAX(SamplingData[[#This Row],[Error Bound (up) - Max. possible relative overstatement - Losing Candidate]:[Error Bound (up) - Max. possible relative overstatement - Candidate 6]])</f>
        <v>7.4718275355218034E-3</v>
      </c>
      <c r="Q1579" s="100">
        <f>IF(SamplingData[[#This Row],[Max Error Bound (up)]] = 0,0,SamplingData[[#This Row],[Max Error Bound (up)]]/SamplingData[[#Totals],[Max Error Bound (up)]])</f>
        <v>1.1825396899703916E-3</v>
      </c>
      <c r="R1579" s="101">
        <f>SUM($Q$5:Q1579)</f>
        <v>0.56121758591282411</v>
      </c>
      <c r="S1579" s="100" t="str">
        <f t="array" ref="S1579">IF(SamplingData[[#This Row],[up/U Selection Probability]] = 0, "Zero", TEXT(SamplingData[[#This Row],[Lower Range]], REPT("0",LEN('General Info'!$B$40))) &amp; " - " &amp; TEXT(SamplingData[[#This Row],[Upper Range]], REPT("0",LEN('General Info'!$B$40))))</f>
        <v>56004 - 56121</v>
      </c>
      <c r="T1579" s="100">
        <f>SamplingData[[#This Row],[Upper Range]]-SamplingData[[#This Row],[Span]]</f>
        <v>56003.505804825065</v>
      </c>
      <c r="U1579" s="100">
        <f>IF(ISNUMBER('General Info'!$B$40), ((SamplingData[[#This Row],[up/U Selection Probability]]) * 'General Info'!$B$40) - 1, 0)</f>
        <v>117.25278645734919</v>
      </c>
      <c r="V1579" s="100">
        <f>IF(ISNUMBER('General Info'!$B$40), (SamplingData[[#This Row],[Running (cumulative) sum]] * ('General Info'!$B$40 -'General Info'!$B$41 + 1)) + 'General Info'!$B$41 - 1, 0)</f>
        <v>56120.758591282414</v>
      </c>
      <c r="W1579" s="100" t="str">
        <f>IF(ISERROR(MATCH(SamplingData[[#This Row],[Batch by Type (p)]],SelectedPrecincts[Batch Name], 0)), "", INDEX(SelectedPrecincts[Draw], MATCH(SamplingData[[#This Row],[Batch by Type (p)]],SelectedPrecincts[Batch Name], 0)))</f>
        <v/>
      </c>
      <c r="X1579" s="102">
        <f>IF(COUNTIF(SelectedPrecincts[Batch Name],SamplingData[[#This Row],[Batch by Type (p)]]) &lt;&gt; 0, COUNTIF(SelectedPrecincts[Batch Name],SamplingData[[#This Row],[Batch by Type (p)]]), 0)</f>
        <v>0</v>
      </c>
    </row>
    <row r="1580" spans="1:24" ht="15" customHeight="1">
      <c r="A1580" s="18" t="s">
        <v>1756</v>
      </c>
      <c r="B1580" s="18">
        <v>31</v>
      </c>
      <c r="C1580" s="18">
        <v>36</v>
      </c>
      <c r="D1580" s="18">
        <v>11</v>
      </c>
      <c r="E1580" s="18">
        <v>1</v>
      </c>
      <c r="F1580" s="18">
        <v>0</v>
      </c>
      <c r="G1580" s="18">
        <v>1</v>
      </c>
      <c r="H1580" s="18">
        <v>0</v>
      </c>
      <c r="I1580" s="18">
        <v>1</v>
      </c>
      <c r="J1580" s="99">
        <f>SUM(SamplingData[[#This Row],[Losing Candidate]:[Under Votes]])</f>
        <v>81</v>
      </c>
      <c r="K1580"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1580" s="100">
        <f>IF(AND(SamplingData[[#This Row],[Total]]&lt;&gt; 0, NOT(ISBLANK(SamplingData[[#This Row],[Candidate 3]]))),(SamplingData[[#This Row],[Total]]+SamplingData[[#This Row],[Winning Candidate]]-SamplingData[[#This Row],[Candidate 3]])/(SamplingData[[#Totals],[Winning Candidate]]-SamplingData[[#Totals],[Candidate 3]]), 0)</f>
        <v>3.4196857760428428E-3</v>
      </c>
      <c r="M1580" s="100">
        <f>IF(AND(SamplingData[[#This Row],[Total]]&lt;&gt; 0, NOT(ISBLANK(SamplingData[[#This Row],[Candidate 4]]))),(SamplingData[[#This Row],[Total]]+SamplingData[[#This Row],[Winning Candidate]]-SamplingData[[#This Row],[Candidate 4]])/(SamplingData[[#Totals],[Winning Candidate]]-SamplingData[[#Totals],[Candidate 4]]), 0)</f>
        <v>3.3909205179923413E-3</v>
      </c>
      <c r="N1580" s="100">
        <f>IF(AND(SamplingData[[#This Row],[Total]]&lt;&gt; 0, NOT(ISBLANK(SamplingData[[#This Row],[Candidate 5]]))),(SamplingData[[#This Row],[Total]]+SamplingData[[#This Row],[Winning Candidate]]-SamplingData[[#This Row],[Candidate 5]])/(SamplingData[[#Totals],[Winning Candidate]]-SamplingData[[#Totals],[Candidate 5]]), 0)</f>
        <v>2.8460228654828509E-3</v>
      </c>
      <c r="O1580" s="100">
        <f>IF(AND(SamplingData[[#This Row],[Total]]&lt;&gt; 0, NOT(ISBLANK(SamplingData[[#This Row],[Candidate 6]]))),(SamplingData[[#This Row],[Total]]+SamplingData[[#This Row],[Winning Candidate]]-SamplingData[[#This Row],[Candidate 6]])/(SamplingData[[#Totals],[Winning Candidate]]-SamplingData[[#Totals],[Candidate 6]]), 0)</f>
        <v>2.8208744710860366E-3</v>
      </c>
      <c r="P1580" s="100">
        <f>MAX(SamplingData[[#This Row],[Error Bound (up) - Max. possible relative overstatement - Losing Candidate]:[Error Bound (up) - Max. possible relative overstatement - Candidate 6]])</f>
        <v>5.2670259676629106E-3</v>
      </c>
      <c r="Q1580" s="100">
        <f>IF(SamplingData[[#This Row],[Max Error Bound (up)]] = 0,0,SamplingData[[#This Row],[Max Error Bound (up)]]/SamplingData[[#Totals],[Max Error Bound (up)]])</f>
        <v>8.3359355194634159E-4</v>
      </c>
      <c r="R1580" s="101">
        <f>SUM($Q$5:Q1580)</f>
        <v>0.56205117946477046</v>
      </c>
      <c r="S1580" s="100" t="str">
        <f t="array" ref="S1580">IF(SamplingData[[#This Row],[up/U Selection Probability]] = 0, "Zero", TEXT(SamplingData[[#This Row],[Lower Range]], REPT("0",LEN('General Info'!$B$40))) &amp; " - " &amp; TEXT(SamplingData[[#This Row],[Upper Range]], REPT("0",LEN('General Info'!$B$40))))</f>
        <v>56122 - 56204</v>
      </c>
      <c r="T1580" s="100">
        <f>SamplingData[[#This Row],[Upper Range]]-SamplingData[[#This Row],[Span]]</f>
        <v>56121.759424875963</v>
      </c>
      <c r="U1580" s="100">
        <f>IF(ISNUMBER('General Info'!$B$40), ((SamplingData[[#This Row],[up/U Selection Probability]]) * 'General Info'!$B$40) - 1, 0)</f>
        <v>82.358521601082217</v>
      </c>
      <c r="V1580" s="100">
        <f>IF(ISNUMBER('General Info'!$B$40), (SamplingData[[#This Row],[Running (cumulative) sum]] * ('General Info'!$B$40 -'General Info'!$B$41 + 1)) + 'General Info'!$B$41 - 1, 0)</f>
        <v>56204.117946477047</v>
      </c>
      <c r="W1580" s="100" t="str">
        <f>IF(ISERROR(MATCH(SamplingData[[#This Row],[Batch by Type (p)]],SelectedPrecincts[Batch Name], 0)), "", INDEX(SelectedPrecincts[Draw], MATCH(SamplingData[[#This Row],[Batch by Type (p)]],SelectedPrecincts[Batch Name], 0)))</f>
        <v/>
      </c>
      <c r="X1580" s="102">
        <f>IF(COUNTIF(SelectedPrecincts[Batch Name],SamplingData[[#This Row],[Batch by Type (p)]]) &lt;&gt; 0, COUNTIF(SelectedPrecincts[Batch Name],SamplingData[[#This Row],[Batch by Type (p)]]), 0)</f>
        <v>0</v>
      </c>
    </row>
    <row r="1581" spans="1:24" ht="15" customHeight="1">
      <c r="A1581" s="18" t="s">
        <v>1757</v>
      </c>
      <c r="B1581" s="18">
        <v>37</v>
      </c>
      <c r="C1581" s="18">
        <v>59</v>
      </c>
      <c r="D1581" s="16">
        <v>17</v>
      </c>
      <c r="E1581" s="16">
        <v>16</v>
      </c>
      <c r="F1581" s="37">
        <v>0</v>
      </c>
      <c r="G1581" s="37">
        <v>0</v>
      </c>
      <c r="H1581" s="17">
        <v>0</v>
      </c>
      <c r="I1581" s="17">
        <v>0</v>
      </c>
      <c r="J1581" s="99">
        <f>SUM(SamplingData[[#This Row],[Losing Candidate]:[Under Votes]])</f>
        <v>129</v>
      </c>
      <c r="K1581" s="100">
        <f>IF(AND(SamplingData[[#This Row],[Total]]&lt;&gt; 0, NOT(ISBLANK(SamplingData[[#This Row],[Losing Candidate]]))),(SamplingData[[#This Row],[Total]]+SamplingData[[#This Row],[Winning Candidate]]-SamplingData[[#This Row],[Losing Candidate]])/(SamplingData[[#Totals],[Winning Candidate]]-SamplingData[[#Totals],[Losing Candidate]]), 0)</f>
        <v>9.2479176874081335E-3</v>
      </c>
      <c r="L1581" s="100">
        <f>IF(AND(SamplingData[[#This Row],[Total]]&lt;&gt; 0, NOT(ISBLANK(SamplingData[[#This Row],[Candidate 3]]))),(SamplingData[[#This Row],[Total]]+SamplingData[[#This Row],[Winning Candidate]]-SamplingData[[#This Row],[Candidate 3]])/(SamplingData[[#Totals],[Winning Candidate]]-SamplingData[[#Totals],[Candidate 3]]), 0)</f>
        <v>5.5166629028615671E-3</v>
      </c>
      <c r="M1581" s="100">
        <f>IF(AND(SamplingData[[#This Row],[Total]]&lt;&gt; 0, NOT(ISBLANK(SamplingData[[#This Row],[Candidate 4]]))),(SamplingData[[#This Row],[Total]]+SamplingData[[#This Row],[Winning Candidate]]-SamplingData[[#This Row],[Candidate 4]])/(SamplingData[[#Totals],[Winning Candidate]]-SamplingData[[#Totals],[Candidate 4]]), 0)</f>
        <v>5.0279166301265745E-3</v>
      </c>
      <c r="N1581" s="100">
        <f>IF(AND(SamplingData[[#This Row],[Total]]&lt;&gt; 0, NOT(ISBLANK(SamplingData[[#This Row],[Candidate 5]]))),(SamplingData[[#This Row],[Total]]+SamplingData[[#This Row],[Winning Candidate]]-SamplingData[[#This Row],[Candidate 5]])/(SamplingData[[#Totals],[Winning Candidate]]-SamplingData[[#Totals],[Candidate 5]]), 0)</f>
        <v>4.5730965701775723E-3</v>
      </c>
      <c r="O1581" s="100">
        <f>IF(AND(SamplingData[[#This Row],[Total]]&lt;&gt; 0, NOT(ISBLANK(SamplingData[[#This Row],[Candidate 6]]))),(SamplingData[[#This Row],[Total]]+SamplingData[[#This Row],[Winning Candidate]]-SamplingData[[#This Row],[Candidate 6]])/(SamplingData[[#Totals],[Winning Candidate]]-SamplingData[[#Totals],[Candidate 6]]), 0)</f>
        <v>4.5717620738290939E-3</v>
      </c>
      <c r="P1581" s="100">
        <f>MAX(SamplingData[[#This Row],[Error Bound (up) - Max. possible relative overstatement - Losing Candidate]:[Error Bound (up) - Max. possible relative overstatement - Candidate 6]])</f>
        <v>9.2479176874081335E-3</v>
      </c>
      <c r="Q1581" s="100">
        <f>IF(SamplingData[[#This Row],[Max Error Bound (up)]] = 0,0,SamplingData[[#This Row],[Max Error Bound (up)]]/SamplingData[[#Totals],[Max Error Bound (up)]])</f>
        <v>1.4636351900453206E-3</v>
      </c>
      <c r="R1581" s="101">
        <f>SUM($Q$5:Q1581)</f>
        <v>0.56351481465481579</v>
      </c>
      <c r="S1581" s="100" t="str">
        <f t="array" ref="S1581">IF(SamplingData[[#This Row],[up/U Selection Probability]] = 0, "Zero", TEXT(SamplingData[[#This Row],[Lower Range]], REPT("0",LEN('General Info'!$B$40))) &amp; " - " &amp; TEXT(SamplingData[[#This Row],[Upper Range]], REPT("0",LEN('General Info'!$B$40))))</f>
        <v>56205 - 56350</v>
      </c>
      <c r="T1581" s="100">
        <f>SamplingData[[#This Row],[Upper Range]]-SamplingData[[#This Row],[Span]]</f>
        <v>56205.119410112238</v>
      </c>
      <c r="U1581" s="100">
        <f>IF(ISNUMBER('General Info'!$B$40), ((SamplingData[[#This Row],[up/U Selection Probability]]) * 'General Info'!$B$40) - 1, 0)</f>
        <v>145.36205536934202</v>
      </c>
      <c r="V1581" s="100">
        <f>IF(ISNUMBER('General Info'!$B$40), (SamplingData[[#This Row],[Running (cumulative) sum]] * ('General Info'!$B$40 -'General Info'!$B$41 + 1)) + 'General Info'!$B$41 - 1, 0)</f>
        <v>56350.481465481578</v>
      </c>
      <c r="W1581" s="100" t="str">
        <f>IF(ISERROR(MATCH(SamplingData[[#This Row],[Batch by Type (p)]],SelectedPrecincts[Batch Name], 0)), "", INDEX(SelectedPrecincts[Draw], MATCH(SamplingData[[#This Row],[Batch by Type (p)]],SelectedPrecincts[Batch Name], 0)))</f>
        <v/>
      </c>
      <c r="X1581" s="102">
        <f>IF(COUNTIF(SelectedPrecincts[Batch Name],SamplingData[[#This Row],[Batch by Type (p)]]) &lt;&gt; 0, COUNTIF(SelectedPrecincts[Batch Name],SamplingData[[#This Row],[Batch by Type (p)]]), 0)</f>
        <v>0</v>
      </c>
    </row>
    <row r="1582" spans="1:24" ht="15" customHeight="1">
      <c r="A1582" s="18" t="s">
        <v>1758</v>
      </c>
      <c r="B1582" s="18">
        <v>15</v>
      </c>
      <c r="C1582" s="18">
        <v>31</v>
      </c>
      <c r="D1582" s="18">
        <v>13</v>
      </c>
      <c r="E1582" s="18">
        <v>10</v>
      </c>
      <c r="F1582" s="18">
        <v>0</v>
      </c>
      <c r="G1582" s="18">
        <v>0</v>
      </c>
      <c r="H1582" s="18">
        <v>0</v>
      </c>
      <c r="I1582" s="18">
        <v>1</v>
      </c>
      <c r="J1582" s="99">
        <f>SUM(SamplingData[[#This Row],[Losing Candidate]:[Under Votes]])</f>
        <v>70</v>
      </c>
      <c r="K1582"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1582" s="100">
        <f>IF(AND(SamplingData[[#This Row],[Total]]&lt;&gt; 0, NOT(ISBLANK(SamplingData[[#This Row],[Candidate 3]]))),(SamplingData[[#This Row],[Total]]+SamplingData[[#This Row],[Winning Candidate]]-SamplingData[[#This Row],[Candidate 3]])/(SamplingData[[#Totals],[Winning Candidate]]-SamplingData[[#Totals],[Candidate 3]]), 0)</f>
        <v>2.8389844178468883E-3</v>
      </c>
      <c r="M1582" s="100">
        <f>IF(AND(SamplingData[[#This Row],[Total]]&lt;&gt; 0, NOT(ISBLANK(SamplingData[[#This Row],[Candidate 4]]))),(SamplingData[[#This Row],[Total]]+SamplingData[[#This Row],[Winning Candidate]]-SamplingData[[#This Row],[Candidate 4]])/(SamplingData[[#Totals],[Winning Candidate]]-SamplingData[[#Totals],[Candidate 4]]), 0)</f>
        <v>2.6601186822181296E-3</v>
      </c>
      <c r="N1582" s="100">
        <f>IF(AND(SamplingData[[#This Row],[Total]]&lt;&gt; 0, NOT(ISBLANK(SamplingData[[#This Row],[Candidate 5]]))),(SamplingData[[#This Row],[Total]]+SamplingData[[#This Row],[Winning Candidate]]-SamplingData[[#This Row],[Candidate 5]])/(SamplingData[[#Totals],[Winning Candidate]]-SamplingData[[#Totals],[Candidate 5]]), 0)</f>
        <v>2.456823157382632E-3</v>
      </c>
      <c r="O1582" s="100">
        <f>IF(AND(SamplingData[[#This Row],[Total]]&lt;&gt; 0, NOT(ISBLANK(SamplingData[[#This Row],[Candidate 6]]))),(SamplingData[[#This Row],[Total]]+SamplingData[[#This Row],[Winning Candidate]]-SamplingData[[#This Row],[Candidate 6]])/(SamplingData[[#Totals],[Winning Candidate]]-SamplingData[[#Totals],[Candidate 6]]), 0)</f>
        <v>2.4561062205145662E-3</v>
      </c>
      <c r="P1582" s="100">
        <f>MAX(SamplingData[[#This Row],[Error Bound (up) - Max. possible relative overstatement - Losing Candidate]:[Error Bound (up) - Max. possible relative overstatement - Candidate 6]])</f>
        <v>5.2670259676629106E-3</v>
      </c>
      <c r="Q1582" s="100">
        <f>IF(SamplingData[[#This Row],[Max Error Bound (up)]] = 0,0,SamplingData[[#This Row],[Max Error Bound (up)]]/SamplingData[[#Totals],[Max Error Bound (up)]])</f>
        <v>8.3359355194634159E-4</v>
      </c>
      <c r="R1582" s="101">
        <f>SUM($Q$5:Q1582)</f>
        <v>0.56434840820676213</v>
      </c>
      <c r="S1582" s="100" t="str">
        <f t="array" ref="S1582">IF(SamplingData[[#This Row],[up/U Selection Probability]] = 0, "Zero", TEXT(SamplingData[[#This Row],[Lower Range]], REPT("0",LEN('General Info'!$B$40))) &amp; " - " &amp; TEXT(SamplingData[[#This Row],[Upper Range]], REPT("0",LEN('General Info'!$B$40))))</f>
        <v>56351 - 56434</v>
      </c>
      <c r="T1582" s="100">
        <f>SamplingData[[#This Row],[Upper Range]]-SamplingData[[#This Row],[Span]]</f>
        <v>56351.482299075127</v>
      </c>
      <c r="U1582" s="100">
        <f>IF(ISNUMBER('General Info'!$B$40), ((SamplingData[[#This Row],[up/U Selection Probability]]) * 'General Info'!$B$40) - 1, 0)</f>
        <v>82.358521601082217</v>
      </c>
      <c r="V1582" s="100">
        <f>IF(ISNUMBER('General Info'!$B$40), (SamplingData[[#This Row],[Running (cumulative) sum]] * ('General Info'!$B$40 -'General Info'!$B$41 + 1)) + 'General Info'!$B$41 - 1, 0)</f>
        <v>56433.840820676211</v>
      </c>
      <c r="W1582" s="100" t="str">
        <f>IF(ISERROR(MATCH(SamplingData[[#This Row],[Batch by Type (p)]],SelectedPrecincts[Batch Name], 0)), "", INDEX(SelectedPrecincts[Draw], MATCH(SamplingData[[#This Row],[Batch by Type (p)]],SelectedPrecincts[Batch Name], 0)))</f>
        <v/>
      </c>
      <c r="X1582" s="102">
        <f>IF(COUNTIF(SelectedPrecincts[Batch Name],SamplingData[[#This Row],[Batch by Type (p)]]) &lt;&gt; 0, COUNTIF(SelectedPrecincts[Batch Name],SamplingData[[#This Row],[Batch by Type (p)]]), 0)</f>
        <v>0</v>
      </c>
    </row>
    <row r="1583" spans="1:24" ht="15" customHeight="1">
      <c r="A1583" s="18" t="s">
        <v>1759</v>
      </c>
      <c r="B1583" s="18">
        <v>3</v>
      </c>
      <c r="C1583" s="18">
        <v>2</v>
      </c>
      <c r="D1583" s="16">
        <v>6</v>
      </c>
      <c r="E1583" s="16">
        <v>4</v>
      </c>
      <c r="F1583" s="37">
        <v>0</v>
      </c>
      <c r="G1583" s="37">
        <v>0</v>
      </c>
      <c r="H1583" s="17">
        <v>0</v>
      </c>
      <c r="I1583" s="17">
        <v>1</v>
      </c>
      <c r="J1583" s="99">
        <f>SUM(SamplingData[[#This Row],[Losing Candidate]:[Under Votes]])</f>
        <v>16</v>
      </c>
      <c r="K1583"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583" s="100">
        <f>IF(AND(SamplingData[[#This Row],[Total]]&lt;&gt; 0, NOT(ISBLANK(SamplingData[[#This Row],[Candidate 3]]))),(SamplingData[[#This Row],[Total]]+SamplingData[[#This Row],[Winning Candidate]]-SamplingData[[#This Row],[Candidate 3]])/(SamplingData[[#Totals],[Winning Candidate]]-SamplingData[[#Totals],[Candidate 3]]), 0)</f>
        <v>3.8713423879730297E-4</v>
      </c>
      <c r="M1583" s="100">
        <f>IF(AND(SamplingData[[#This Row],[Total]]&lt;&gt; 0, NOT(ISBLANK(SamplingData[[#This Row],[Candidate 4]]))),(SamplingData[[#This Row],[Total]]+SamplingData[[#This Row],[Winning Candidate]]-SamplingData[[#This Row],[Candidate 4]])/(SamplingData[[#Totals],[Winning Candidate]]-SamplingData[[#Totals],[Candidate 4]]), 0)</f>
        <v>4.0924902803355842E-4</v>
      </c>
      <c r="N1583" s="100">
        <f>IF(AND(SamplingData[[#This Row],[Total]]&lt;&gt; 0, NOT(ISBLANK(SamplingData[[#This Row],[Candidate 5]]))),(SamplingData[[#This Row],[Total]]+SamplingData[[#This Row],[Winning Candidate]]-SamplingData[[#This Row],[Candidate 5]])/(SamplingData[[#Totals],[Winning Candidate]]-SamplingData[[#Totals],[Candidate 5]]), 0)</f>
        <v>4.3784967161274629E-4</v>
      </c>
      <c r="O1583" s="100">
        <f>IF(AND(SamplingData[[#This Row],[Total]]&lt;&gt; 0, NOT(ISBLANK(SamplingData[[#This Row],[Candidate 6]]))),(SamplingData[[#This Row],[Total]]+SamplingData[[#This Row],[Winning Candidate]]-SamplingData[[#This Row],[Candidate 6]])/(SamplingData[[#Totals],[Winning Candidate]]-SamplingData[[#Totals],[Candidate 6]]), 0)</f>
        <v>4.3772190068576433E-4</v>
      </c>
      <c r="P1583" s="100">
        <f>MAX(SamplingData[[#This Row],[Error Bound (up) - Max. possible relative overstatement - Losing Candidate]:[Error Bound (up) - Max. possible relative overstatement - Candidate 6]])</f>
        <v>9.1866731994120533E-4</v>
      </c>
      <c r="Q1583" s="100">
        <f>IF(SamplingData[[#This Row],[Max Error Bound (up)]] = 0,0,SamplingData[[#This Row],[Max Error Bound (up)]]/SamplingData[[#Totals],[Max Error Bound (up)]])</f>
        <v>1.4539422417668749E-4</v>
      </c>
      <c r="R1583" s="101">
        <f>SUM($Q$5:Q1583)</f>
        <v>0.56449380243093883</v>
      </c>
      <c r="S1583" s="100" t="str">
        <f t="array" ref="S1583">IF(SamplingData[[#This Row],[up/U Selection Probability]] = 0, "Zero", TEXT(SamplingData[[#This Row],[Lower Range]], REPT("0",LEN('General Info'!$B$40))) &amp; " - " &amp; TEXT(SamplingData[[#This Row],[Upper Range]], REPT("0",LEN('General Info'!$B$40))))</f>
        <v>56435 - 56448</v>
      </c>
      <c r="T1583" s="100">
        <f>SamplingData[[#This Row],[Upper Range]]-SamplingData[[#This Row],[Span]]</f>
        <v>56434.840966070435</v>
      </c>
      <c r="U1583" s="100">
        <f>IF(ISNUMBER('General Info'!$B$40), ((SamplingData[[#This Row],[up/U Selection Probability]]) * 'General Info'!$B$40) - 1, 0)</f>
        <v>13.539277023444573</v>
      </c>
      <c r="V1583" s="100">
        <f>IF(ISNUMBER('General Info'!$B$40), (SamplingData[[#This Row],[Running (cumulative) sum]] * ('General Info'!$B$40 -'General Info'!$B$41 + 1)) + 'General Info'!$B$41 - 1, 0)</f>
        <v>56448.380243093881</v>
      </c>
      <c r="W1583" s="100" t="str">
        <f>IF(ISERROR(MATCH(SamplingData[[#This Row],[Batch by Type (p)]],SelectedPrecincts[Batch Name], 0)), "", INDEX(SelectedPrecincts[Draw], MATCH(SamplingData[[#This Row],[Batch by Type (p)]],SelectedPrecincts[Batch Name], 0)))</f>
        <v/>
      </c>
      <c r="X1583" s="102">
        <f>IF(COUNTIF(SelectedPrecincts[Batch Name],SamplingData[[#This Row],[Batch by Type (p)]]) &lt;&gt; 0, COUNTIF(SelectedPrecincts[Batch Name],SamplingData[[#This Row],[Batch by Type (p)]]), 0)</f>
        <v>0</v>
      </c>
    </row>
    <row r="1584" spans="1:24" ht="15" customHeight="1">
      <c r="A1584" s="18" t="s">
        <v>1760</v>
      </c>
      <c r="B1584" s="18">
        <v>3</v>
      </c>
      <c r="C1584" s="18">
        <v>3</v>
      </c>
      <c r="D1584" s="18">
        <v>1</v>
      </c>
      <c r="E1584" s="18">
        <v>0</v>
      </c>
      <c r="F1584" s="18">
        <v>0</v>
      </c>
      <c r="G1584" s="18">
        <v>0</v>
      </c>
      <c r="H1584" s="18">
        <v>0</v>
      </c>
      <c r="I1584" s="18">
        <v>0</v>
      </c>
      <c r="J1584" s="99">
        <f>SUM(SamplingData[[#This Row],[Losing Candidate]:[Under Votes]])</f>
        <v>7</v>
      </c>
      <c r="K1584"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584" s="100">
        <f>IF(AND(SamplingData[[#This Row],[Total]]&lt;&gt; 0, NOT(ISBLANK(SamplingData[[#This Row],[Candidate 3]]))),(SamplingData[[#This Row],[Total]]+SamplingData[[#This Row],[Winning Candidate]]-SamplingData[[#This Row],[Candidate 3]])/(SamplingData[[#Totals],[Winning Candidate]]-SamplingData[[#Totals],[Candidate 3]]), 0)</f>
        <v>2.9035067909797722E-4</v>
      </c>
      <c r="M1584" s="100">
        <f>IF(AND(SamplingData[[#This Row],[Total]]&lt;&gt; 0, NOT(ISBLANK(SamplingData[[#This Row],[Candidate 4]]))),(SamplingData[[#This Row],[Total]]+SamplingData[[#This Row],[Winning Candidate]]-SamplingData[[#This Row],[Candidate 4]])/(SamplingData[[#Totals],[Winning Candidate]]-SamplingData[[#Totals],[Candidate 4]]), 0)</f>
        <v>2.9232073430968461E-4</v>
      </c>
      <c r="N1584" s="100">
        <f>IF(AND(SamplingData[[#This Row],[Total]]&lt;&gt; 0, NOT(ISBLANK(SamplingData[[#This Row],[Candidate 5]]))),(SamplingData[[#This Row],[Total]]+SamplingData[[#This Row],[Winning Candidate]]-SamplingData[[#This Row],[Candidate 5]])/(SamplingData[[#Totals],[Winning Candidate]]-SamplingData[[#Totals],[Candidate 5]]), 0)</f>
        <v>2.4324981756263683E-4</v>
      </c>
      <c r="O1584" s="100">
        <f>IF(AND(SamplingData[[#This Row],[Total]]&lt;&gt; 0, NOT(ISBLANK(SamplingData[[#This Row],[Candidate 6]]))),(SamplingData[[#This Row],[Total]]+SamplingData[[#This Row],[Winning Candidate]]-SamplingData[[#This Row],[Candidate 6]])/(SamplingData[[#Totals],[Winning Candidate]]-SamplingData[[#Totals],[Candidate 6]]), 0)</f>
        <v>2.431788337143135E-4</v>
      </c>
      <c r="P1584" s="100">
        <f>MAX(SamplingData[[#This Row],[Error Bound (up) - Max. possible relative overstatement - Losing Candidate]:[Error Bound (up) - Max. possible relative overstatement - Candidate 6]])</f>
        <v>4.2871141597256246E-4</v>
      </c>
      <c r="Q1584" s="100">
        <f>IF(SamplingData[[#This Row],[Max Error Bound (up)]] = 0,0,SamplingData[[#This Row],[Max Error Bound (up)]]/SamplingData[[#Totals],[Max Error Bound (up)]])</f>
        <v>6.7850637949120826E-5</v>
      </c>
      <c r="R1584" s="101">
        <f>SUM($Q$5:Q1584)</f>
        <v>0.56456165306888795</v>
      </c>
      <c r="S1584" s="100" t="str">
        <f t="array" ref="S1584">IF(SamplingData[[#This Row],[up/U Selection Probability]] = 0, "Zero", TEXT(SamplingData[[#This Row],[Lower Range]], REPT("0",LEN('General Info'!$B$40))) &amp; " - " &amp; TEXT(SamplingData[[#This Row],[Upper Range]], REPT("0",LEN('General Info'!$B$40))))</f>
        <v>56449 - 56455</v>
      </c>
      <c r="T1584" s="100">
        <f>SamplingData[[#This Row],[Upper Range]]-SamplingData[[#This Row],[Span]]</f>
        <v>56449.380310944522</v>
      </c>
      <c r="U1584" s="100">
        <f>IF(ISNUMBER('General Info'!$B$40), ((SamplingData[[#This Row],[up/U Selection Probability]]) * 'General Info'!$B$40) - 1, 0)</f>
        <v>5.7849959442741339</v>
      </c>
      <c r="V1584" s="100">
        <f>IF(ISNUMBER('General Info'!$B$40), (SamplingData[[#This Row],[Running (cumulative) sum]] * ('General Info'!$B$40 -'General Info'!$B$41 + 1)) + 'General Info'!$B$41 - 1, 0)</f>
        <v>56455.165306888797</v>
      </c>
      <c r="W1584" s="100" t="str">
        <f>IF(ISERROR(MATCH(SamplingData[[#This Row],[Batch by Type (p)]],SelectedPrecincts[Batch Name], 0)), "", INDEX(SelectedPrecincts[Draw], MATCH(SamplingData[[#This Row],[Batch by Type (p)]],SelectedPrecincts[Batch Name], 0)))</f>
        <v/>
      </c>
      <c r="X1584" s="102">
        <f>IF(COUNTIF(SelectedPrecincts[Batch Name],SamplingData[[#This Row],[Batch by Type (p)]]) &lt;&gt; 0, COUNTIF(SelectedPrecincts[Batch Name],SamplingData[[#This Row],[Batch by Type (p)]]), 0)</f>
        <v>0</v>
      </c>
    </row>
    <row r="1585" spans="1:24" ht="15" customHeight="1">
      <c r="A1585" s="18" t="s">
        <v>1761</v>
      </c>
      <c r="B1585" s="18">
        <v>1</v>
      </c>
      <c r="C1585" s="18">
        <v>0</v>
      </c>
      <c r="D1585" s="16">
        <v>2</v>
      </c>
      <c r="E1585" s="16">
        <v>0</v>
      </c>
      <c r="F1585" s="37">
        <v>0</v>
      </c>
      <c r="G1585" s="37">
        <v>0</v>
      </c>
      <c r="H1585" s="17">
        <v>0</v>
      </c>
      <c r="I1585" s="17">
        <v>0</v>
      </c>
      <c r="J1585" s="99">
        <f>SUM(SamplingData[[#This Row],[Losing Candidate]:[Under Votes]])</f>
        <v>3</v>
      </c>
      <c r="K1585"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585" s="100">
        <f>IF(AND(SamplingData[[#This Row],[Total]]&lt;&gt; 0, NOT(ISBLANK(SamplingData[[#This Row],[Candidate 3]]))),(SamplingData[[#This Row],[Total]]+SamplingData[[#This Row],[Winning Candidate]]-SamplingData[[#This Row],[Candidate 3]])/(SamplingData[[#Totals],[Winning Candidate]]-SamplingData[[#Totals],[Candidate 3]]), 0)</f>
        <v>3.2261186566441917E-5</v>
      </c>
      <c r="M1585" s="100">
        <f>IF(AND(SamplingData[[#This Row],[Total]]&lt;&gt; 0, NOT(ISBLANK(SamplingData[[#This Row],[Candidate 4]]))),(SamplingData[[#This Row],[Total]]+SamplingData[[#This Row],[Winning Candidate]]-SamplingData[[#This Row],[Candidate 4]])/(SamplingData[[#Totals],[Winning Candidate]]-SamplingData[[#Totals],[Candidate 4]]), 0)</f>
        <v>8.7696220292905373E-5</v>
      </c>
      <c r="N1585" s="100">
        <f>IF(AND(SamplingData[[#This Row],[Total]]&lt;&gt; 0, NOT(ISBLANK(SamplingData[[#This Row],[Candidate 5]]))),(SamplingData[[#This Row],[Total]]+SamplingData[[#This Row],[Winning Candidate]]-SamplingData[[#This Row],[Candidate 5]])/(SamplingData[[#Totals],[Winning Candidate]]-SamplingData[[#Totals],[Candidate 5]]), 0)</f>
        <v>7.2974945268791054E-5</v>
      </c>
      <c r="O1585" s="100">
        <f>IF(AND(SamplingData[[#This Row],[Total]]&lt;&gt; 0, NOT(ISBLANK(SamplingData[[#This Row],[Candidate 6]]))),(SamplingData[[#This Row],[Total]]+SamplingData[[#This Row],[Winning Candidate]]-SamplingData[[#This Row],[Candidate 6]])/(SamplingData[[#Totals],[Winning Candidate]]-SamplingData[[#Totals],[Candidate 6]]), 0)</f>
        <v>7.2953650114294054E-5</v>
      </c>
      <c r="P1585" s="100">
        <f>MAX(SamplingData[[#This Row],[Error Bound (up) - Max. possible relative overstatement - Losing Candidate]:[Error Bound (up) - Max. possible relative overstatement - Candidate 6]])</f>
        <v>1.224889759921607E-4</v>
      </c>
      <c r="Q1585" s="100">
        <f>IF(SamplingData[[#This Row],[Max Error Bound (up)]] = 0,0,SamplingData[[#This Row],[Max Error Bound (up)]]/SamplingData[[#Totals],[Max Error Bound (up)]])</f>
        <v>1.9385896556891663E-5</v>
      </c>
      <c r="R1585" s="101">
        <f>SUM($Q$5:Q1585)</f>
        <v>0.56458103896544487</v>
      </c>
      <c r="S1585" s="100" t="str">
        <f t="array" ref="S1585">IF(SamplingData[[#This Row],[up/U Selection Probability]] = 0, "Zero", TEXT(SamplingData[[#This Row],[Lower Range]], REPT("0",LEN('General Info'!$B$40))) &amp; " - " &amp; TEXT(SamplingData[[#This Row],[Upper Range]], REPT("0",LEN('General Info'!$B$40))))</f>
        <v>56456 - 56457</v>
      </c>
      <c r="T1585" s="100">
        <f>SamplingData[[#This Row],[Upper Range]]-SamplingData[[#This Row],[Span]]</f>
        <v>56456.165326274699</v>
      </c>
      <c r="U1585" s="100">
        <f>IF(ISNUMBER('General Info'!$B$40), ((SamplingData[[#This Row],[up/U Selection Probability]]) * 'General Info'!$B$40) - 1, 0)</f>
        <v>0.93857026979260949</v>
      </c>
      <c r="V1585" s="100">
        <f>IF(ISNUMBER('General Info'!$B$40), (SamplingData[[#This Row],[Running (cumulative) sum]] * ('General Info'!$B$40 -'General Info'!$B$41 + 1)) + 'General Info'!$B$41 - 1, 0)</f>
        <v>56457.10389654449</v>
      </c>
      <c r="W1585" s="100" t="str">
        <f>IF(ISERROR(MATCH(SamplingData[[#This Row],[Batch by Type (p)]],SelectedPrecincts[Batch Name], 0)), "", INDEX(SelectedPrecincts[Draw], MATCH(SamplingData[[#This Row],[Batch by Type (p)]],SelectedPrecincts[Batch Name], 0)))</f>
        <v/>
      </c>
      <c r="X1585" s="102">
        <f>IF(COUNTIF(SelectedPrecincts[Batch Name],SamplingData[[#This Row],[Batch by Type (p)]]) &lt;&gt; 0, COUNTIF(SelectedPrecincts[Batch Name],SamplingData[[#This Row],[Batch by Type (p)]]), 0)</f>
        <v>0</v>
      </c>
    </row>
    <row r="1586" spans="1:24" ht="15" customHeight="1">
      <c r="A1586" s="18" t="s">
        <v>1762</v>
      </c>
      <c r="B1586" s="18">
        <v>0</v>
      </c>
      <c r="C1586" s="18">
        <v>1</v>
      </c>
      <c r="D1586" s="18">
        <v>0</v>
      </c>
      <c r="E1586" s="18">
        <v>0</v>
      </c>
      <c r="F1586" s="18">
        <v>0</v>
      </c>
      <c r="G1586" s="18">
        <v>0</v>
      </c>
      <c r="H1586" s="18">
        <v>0</v>
      </c>
      <c r="I1586" s="18">
        <v>0</v>
      </c>
      <c r="J1586" s="99">
        <f>SUM(SamplingData[[#This Row],[Losing Candidate]:[Under Votes]])</f>
        <v>1</v>
      </c>
      <c r="K158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586" s="100">
        <f>IF(AND(SamplingData[[#This Row],[Total]]&lt;&gt; 0, NOT(ISBLANK(SamplingData[[#This Row],[Candidate 3]]))),(SamplingData[[#This Row],[Total]]+SamplingData[[#This Row],[Winning Candidate]]-SamplingData[[#This Row],[Candidate 3]])/(SamplingData[[#Totals],[Winning Candidate]]-SamplingData[[#Totals],[Candidate 3]]), 0)</f>
        <v>6.4522373132883833E-5</v>
      </c>
      <c r="M1586" s="100">
        <f>IF(AND(SamplingData[[#This Row],[Total]]&lt;&gt; 0, NOT(ISBLANK(SamplingData[[#This Row],[Candidate 4]]))),(SamplingData[[#This Row],[Total]]+SamplingData[[#This Row],[Winning Candidate]]-SamplingData[[#This Row],[Candidate 4]])/(SamplingData[[#Totals],[Winning Candidate]]-SamplingData[[#Totals],[Candidate 4]]), 0)</f>
        <v>5.846414686193692E-5</v>
      </c>
      <c r="N1586" s="100">
        <f>IF(AND(SamplingData[[#This Row],[Total]]&lt;&gt; 0, NOT(ISBLANK(SamplingData[[#This Row],[Candidate 5]]))),(SamplingData[[#This Row],[Total]]+SamplingData[[#This Row],[Winning Candidate]]-SamplingData[[#This Row],[Candidate 5]])/(SamplingData[[#Totals],[Winning Candidate]]-SamplingData[[#Totals],[Candidate 5]]), 0)</f>
        <v>4.8649963512527367E-5</v>
      </c>
      <c r="O1586" s="100">
        <f>IF(AND(SamplingData[[#This Row],[Total]]&lt;&gt; 0, NOT(ISBLANK(SamplingData[[#This Row],[Candidate 6]]))),(SamplingData[[#This Row],[Total]]+SamplingData[[#This Row],[Winning Candidate]]-SamplingData[[#This Row],[Candidate 6]])/(SamplingData[[#Totals],[Winning Candidate]]-SamplingData[[#Totals],[Candidate 6]]), 0)</f>
        <v>4.8635766742862701E-5</v>
      </c>
      <c r="P1586" s="100">
        <f>MAX(SamplingData[[#This Row],[Error Bound (up) - Max. possible relative overstatement - Losing Candidate]:[Error Bound (up) - Max. possible relative overstatement - Candidate 6]])</f>
        <v>1.224889759921607E-4</v>
      </c>
      <c r="Q1586" s="100">
        <f>IF(SamplingData[[#This Row],[Max Error Bound (up)]] = 0,0,SamplingData[[#This Row],[Max Error Bound (up)]]/SamplingData[[#Totals],[Max Error Bound (up)]])</f>
        <v>1.9385896556891663E-5</v>
      </c>
      <c r="R1586" s="101">
        <f>SUM($Q$5:Q1586)</f>
        <v>0.56460042486200179</v>
      </c>
      <c r="S1586" s="100" t="str">
        <f t="array" ref="S1586">IF(SamplingData[[#This Row],[up/U Selection Probability]] = 0, "Zero", TEXT(SamplingData[[#This Row],[Lower Range]], REPT("0",LEN('General Info'!$B$40))) &amp; " - " &amp; TEXT(SamplingData[[#This Row],[Upper Range]], REPT("0",LEN('General Info'!$B$40))))</f>
        <v>56458 - 56459</v>
      </c>
      <c r="T1586" s="100">
        <f>SamplingData[[#This Row],[Upper Range]]-SamplingData[[#This Row],[Span]]</f>
        <v>56458.103915930391</v>
      </c>
      <c r="U1586" s="100">
        <f>IF(ISNUMBER('General Info'!$B$40), ((SamplingData[[#This Row],[up/U Selection Probability]]) * 'General Info'!$B$40) - 1, 0)</f>
        <v>0.93857026979260949</v>
      </c>
      <c r="V1586" s="100">
        <f>IF(ISNUMBER('General Info'!$B$40), (SamplingData[[#This Row],[Running (cumulative) sum]] * ('General Info'!$B$40 -'General Info'!$B$41 + 1)) + 'General Info'!$B$41 - 1, 0)</f>
        <v>56459.042486200182</v>
      </c>
      <c r="W1586" s="100" t="str">
        <f>IF(ISERROR(MATCH(SamplingData[[#This Row],[Batch by Type (p)]],SelectedPrecincts[Batch Name], 0)), "", INDEX(SelectedPrecincts[Draw], MATCH(SamplingData[[#This Row],[Batch by Type (p)]],SelectedPrecincts[Batch Name], 0)))</f>
        <v/>
      </c>
      <c r="X1586" s="102">
        <f>IF(COUNTIF(SelectedPrecincts[Batch Name],SamplingData[[#This Row],[Batch by Type (p)]]) &lt;&gt; 0, COUNTIF(SelectedPrecincts[Batch Name],SamplingData[[#This Row],[Batch by Type (p)]]), 0)</f>
        <v>0</v>
      </c>
    </row>
    <row r="1587" spans="1:24" ht="15" customHeight="1">
      <c r="A1587" s="18" t="s">
        <v>1763</v>
      </c>
      <c r="B1587" s="18">
        <v>5</v>
      </c>
      <c r="C1587" s="18">
        <v>3</v>
      </c>
      <c r="D1587" s="16">
        <v>0</v>
      </c>
      <c r="E1587" s="16">
        <v>2</v>
      </c>
      <c r="F1587" s="37">
        <v>0</v>
      </c>
      <c r="G1587" s="37">
        <v>0</v>
      </c>
      <c r="H1587" s="17">
        <v>0</v>
      </c>
      <c r="I1587" s="17">
        <v>0</v>
      </c>
      <c r="J1587" s="99">
        <f>SUM(SamplingData[[#This Row],[Losing Candidate]:[Under Votes]])</f>
        <v>10</v>
      </c>
      <c r="K1587"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587" s="100">
        <f>IF(AND(SamplingData[[#This Row],[Total]]&lt;&gt; 0, NOT(ISBLANK(SamplingData[[#This Row],[Candidate 3]]))),(SamplingData[[#This Row],[Total]]+SamplingData[[#This Row],[Winning Candidate]]-SamplingData[[#This Row],[Candidate 3]])/(SamplingData[[#Totals],[Winning Candidate]]-SamplingData[[#Totals],[Candidate 3]]), 0)</f>
        <v>4.1939542536374486E-4</v>
      </c>
      <c r="M1587" s="100">
        <f>IF(AND(SamplingData[[#This Row],[Total]]&lt;&gt; 0, NOT(ISBLANK(SamplingData[[#This Row],[Candidate 4]]))),(SamplingData[[#This Row],[Total]]+SamplingData[[#This Row],[Winning Candidate]]-SamplingData[[#This Row],[Candidate 4]])/(SamplingData[[#Totals],[Winning Candidate]]-SamplingData[[#Totals],[Candidate 4]]), 0)</f>
        <v>3.2155280774065302E-4</v>
      </c>
      <c r="N1587" s="100">
        <f>IF(AND(SamplingData[[#This Row],[Total]]&lt;&gt; 0, NOT(ISBLANK(SamplingData[[#This Row],[Candidate 5]]))),(SamplingData[[#This Row],[Total]]+SamplingData[[#This Row],[Winning Candidate]]-SamplingData[[#This Row],[Candidate 5]])/(SamplingData[[#Totals],[Winning Candidate]]-SamplingData[[#Totals],[Candidate 5]]), 0)</f>
        <v>3.1622476283142789E-4</v>
      </c>
      <c r="O1587" s="100">
        <f>IF(AND(SamplingData[[#This Row],[Total]]&lt;&gt; 0, NOT(ISBLANK(SamplingData[[#This Row],[Candidate 6]]))),(SamplingData[[#This Row],[Total]]+SamplingData[[#This Row],[Winning Candidate]]-SamplingData[[#This Row],[Candidate 6]])/(SamplingData[[#Totals],[Winning Candidate]]-SamplingData[[#Totals],[Candidate 6]]), 0)</f>
        <v>3.1613248382860755E-4</v>
      </c>
      <c r="P1587" s="100">
        <f>MAX(SamplingData[[#This Row],[Error Bound (up) - Max. possible relative overstatement - Losing Candidate]:[Error Bound (up) - Max. possible relative overstatement - Candidate 6]])</f>
        <v>4.8995590396864281E-4</v>
      </c>
      <c r="Q1587" s="100">
        <f>IF(SamplingData[[#This Row],[Max Error Bound (up)]] = 0,0,SamplingData[[#This Row],[Max Error Bound (up)]]/SamplingData[[#Totals],[Max Error Bound (up)]])</f>
        <v>7.7543586227566652E-5</v>
      </c>
      <c r="R1587" s="101">
        <f>SUM($Q$5:Q1587)</f>
        <v>0.56467796844822937</v>
      </c>
      <c r="S1587" s="100" t="str">
        <f t="array" ref="S1587">IF(SamplingData[[#This Row],[up/U Selection Probability]] = 0, "Zero", TEXT(SamplingData[[#This Row],[Lower Range]], REPT("0",LEN('General Info'!$B$40))) &amp; " - " &amp; TEXT(SamplingData[[#This Row],[Upper Range]], REPT("0",LEN('General Info'!$B$40))))</f>
        <v>56460 - 56467</v>
      </c>
      <c r="T1587" s="100">
        <f>SamplingData[[#This Row],[Upper Range]]-SamplingData[[#This Row],[Span]]</f>
        <v>56460.042563743766</v>
      </c>
      <c r="U1587" s="100">
        <f>IF(ISNUMBER('General Info'!$B$40), ((SamplingData[[#This Row],[up/U Selection Probability]]) * 'General Info'!$B$40) - 1, 0)</f>
        <v>6.754281079170438</v>
      </c>
      <c r="V1587" s="100">
        <f>IF(ISNUMBER('General Info'!$B$40), (SamplingData[[#This Row],[Running (cumulative) sum]] * ('General Info'!$B$40 -'General Info'!$B$41 + 1)) + 'General Info'!$B$41 - 1, 0)</f>
        <v>56466.796844822937</v>
      </c>
      <c r="W1587" s="100" t="str">
        <f>IF(ISERROR(MATCH(SamplingData[[#This Row],[Batch by Type (p)]],SelectedPrecincts[Batch Name], 0)), "", INDEX(SelectedPrecincts[Draw], MATCH(SamplingData[[#This Row],[Batch by Type (p)]],SelectedPrecincts[Batch Name], 0)))</f>
        <v/>
      </c>
      <c r="X1587" s="102">
        <f>IF(COUNTIF(SelectedPrecincts[Batch Name],SamplingData[[#This Row],[Batch by Type (p)]]) &lt;&gt; 0, COUNTIF(SelectedPrecincts[Batch Name],SamplingData[[#This Row],[Batch by Type (p)]]), 0)</f>
        <v>0</v>
      </c>
    </row>
    <row r="1588" spans="1:24" ht="15" customHeight="1">
      <c r="A1588" s="18" t="s">
        <v>1764</v>
      </c>
      <c r="B1588" s="18">
        <v>3</v>
      </c>
      <c r="C1588" s="18">
        <v>1</v>
      </c>
      <c r="D1588" s="18">
        <v>0</v>
      </c>
      <c r="E1588" s="18">
        <v>0</v>
      </c>
      <c r="F1588" s="18">
        <v>0</v>
      </c>
      <c r="G1588" s="18">
        <v>0</v>
      </c>
      <c r="H1588" s="18">
        <v>0</v>
      </c>
      <c r="I1588" s="18">
        <v>0</v>
      </c>
      <c r="J1588" s="99">
        <f>SUM(SamplingData[[#This Row],[Losing Candidate]:[Under Votes]])</f>
        <v>4</v>
      </c>
      <c r="K158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588" s="100">
        <f>IF(AND(SamplingData[[#This Row],[Total]]&lt;&gt; 0, NOT(ISBLANK(SamplingData[[#This Row],[Candidate 3]]))),(SamplingData[[#This Row],[Total]]+SamplingData[[#This Row],[Winning Candidate]]-SamplingData[[#This Row],[Candidate 3]])/(SamplingData[[#Totals],[Winning Candidate]]-SamplingData[[#Totals],[Candidate 3]]), 0)</f>
        <v>1.6130593283220958E-4</v>
      </c>
      <c r="M1588" s="100">
        <f>IF(AND(SamplingData[[#This Row],[Total]]&lt;&gt; 0, NOT(ISBLANK(SamplingData[[#This Row],[Candidate 4]]))),(SamplingData[[#This Row],[Total]]+SamplingData[[#This Row],[Winning Candidate]]-SamplingData[[#This Row],[Candidate 4]])/(SamplingData[[#Totals],[Winning Candidate]]-SamplingData[[#Totals],[Candidate 4]]), 0)</f>
        <v>1.4616036715484231E-4</v>
      </c>
      <c r="N1588" s="100">
        <f>IF(AND(SamplingData[[#This Row],[Total]]&lt;&gt; 0, NOT(ISBLANK(SamplingData[[#This Row],[Candidate 5]]))),(SamplingData[[#This Row],[Total]]+SamplingData[[#This Row],[Winning Candidate]]-SamplingData[[#This Row],[Candidate 5]])/(SamplingData[[#Totals],[Winning Candidate]]-SamplingData[[#Totals],[Candidate 5]]), 0)</f>
        <v>1.2162490878131841E-4</v>
      </c>
      <c r="O1588" s="100">
        <f>IF(AND(SamplingData[[#This Row],[Total]]&lt;&gt; 0, NOT(ISBLANK(SamplingData[[#This Row],[Candidate 6]]))),(SamplingData[[#This Row],[Total]]+SamplingData[[#This Row],[Winning Candidate]]-SamplingData[[#This Row],[Candidate 6]])/(SamplingData[[#Totals],[Winning Candidate]]-SamplingData[[#Totals],[Candidate 6]]), 0)</f>
        <v>1.2158941685715675E-4</v>
      </c>
      <c r="P1588" s="100">
        <f>MAX(SamplingData[[#This Row],[Error Bound (up) - Max. possible relative overstatement - Losing Candidate]:[Error Bound (up) - Max. possible relative overstatement - Candidate 6]])</f>
        <v>1.6130593283220958E-4</v>
      </c>
      <c r="Q1588" s="100">
        <f>IF(SamplingData[[#This Row],[Max Error Bound (up)]] = 0,0,SamplingData[[#This Row],[Max Error Bound (up)]]/SamplingData[[#Totals],[Max Error Bound (up)]])</f>
        <v>2.5529318884160328E-5</v>
      </c>
      <c r="R1588" s="101">
        <f>SUM($Q$5:Q1588)</f>
        <v>0.56470349776711348</v>
      </c>
      <c r="S1588" s="100" t="str">
        <f t="array" ref="S1588">IF(SamplingData[[#This Row],[up/U Selection Probability]] = 0, "Zero", TEXT(SamplingData[[#This Row],[Lower Range]], REPT("0",LEN('General Info'!$B$40))) &amp; " - " &amp; TEXT(SamplingData[[#This Row],[Upper Range]], REPT("0",LEN('General Info'!$B$40))))</f>
        <v>56468 - 56469</v>
      </c>
      <c r="T1588" s="100">
        <f>SamplingData[[#This Row],[Upper Range]]-SamplingData[[#This Row],[Span]]</f>
        <v>56467.796870352257</v>
      </c>
      <c r="U1588" s="100">
        <f>IF(ISNUMBER('General Info'!$B$40), ((SamplingData[[#This Row],[up/U Selection Probability]]) * 'General Info'!$B$40) - 1, 0)</f>
        <v>1.5529063590971486</v>
      </c>
      <c r="V1588" s="100">
        <f>IF(ISNUMBER('General Info'!$B$40), (SamplingData[[#This Row],[Running (cumulative) sum]] * ('General Info'!$B$40 -'General Info'!$B$41 + 1)) + 'General Info'!$B$41 - 1, 0)</f>
        <v>56469.349776711351</v>
      </c>
      <c r="W1588" s="100" t="str">
        <f>IF(ISERROR(MATCH(SamplingData[[#This Row],[Batch by Type (p)]],SelectedPrecincts[Batch Name], 0)), "", INDEX(SelectedPrecincts[Draw], MATCH(SamplingData[[#This Row],[Batch by Type (p)]],SelectedPrecincts[Batch Name], 0)))</f>
        <v/>
      </c>
      <c r="X1588" s="102">
        <f>IF(COUNTIF(SelectedPrecincts[Batch Name],SamplingData[[#This Row],[Batch by Type (p)]]) &lt;&gt; 0, COUNTIF(SelectedPrecincts[Batch Name],SamplingData[[#This Row],[Batch by Type (p)]]), 0)</f>
        <v>0</v>
      </c>
    </row>
    <row r="1589" spans="1:24" ht="15" customHeight="1">
      <c r="A1589" s="18" t="s">
        <v>1765</v>
      </c>
      <c r="B1589" s="18">
        <v>1</v>
      </c>
      <c r="C1589" s="18">
        <v>0</v>
      </c>
      <c r="D1589" s="16">
        <v>0</v>
      </c>
      <c r="E1589" s="16">
        <v>1</v>
      </c>
      <c r="F1589" s="37">
        <v>0</v>
      </c>
      <c r="G1589" s="37">
        <v>0</v>
      </c>
      <c r="H1589" s="17">
        <v>0</v>
      </c>
      <c r="I1589" s="17">
        <v>0</v>
      </c>
      <c r="J1589" s="99">
        <f>SUM(SamplingData[[#This Row],[Losing Candidate]:[Under Votes]])</f>
        <v>2</v>
      </c>
      <c r="K1589"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589" s="100">
        <f>IF(AND(SamplingData[[#This Row],[Total]]&lt;&gt; 0, NOT(ISBLANK(SamplingData[[#This Row],[Candidate 3]]))),(SamplingData[[#This Row],[Total]]+SamplingData[[#This Row],[Winning Candidate]]-SamplingData[[#This Row],[Candidate 3]])/(SamplingData[[#Totals],[Winning Candidate]]-SamplingData[[#Totals],[Candidate 3]]), 0)</f>
        <v>6.4522373132883833E-5</v>
      </c>
      <c r="M1589" s="100">
        <f>IF(AND(SamplingData[[#This Row],[Total]]&lt;&gt; 0, NOT(ISBLANK(SamplingData[[#This Row],[Candidate 4]]))),(SamplingData[[#This Row],[Total]]+SamplingData[[#This Row],[Winning Candidate]]-SamplingData[[#This Row],[Candidate 4]])/(SamplingData[[#Totals],[Winning Candidate]]-SamplingData[[#Totals],[Candidate 4]]), 0)</f>
        <v>2.923207343096846E-5</v>
      </c>
      <c r="N1589" s="100">
        <f>IF(AND(SamplingData[[#This Row],[Total]]&lt;&gt; 0, NOT(ISBLANK(SamplingData[[#This Row],[Candidate 5]]))),(SamplingData[[#This Row],[Total]]+SamplingData[[#This Row],[Winning Candidate]]-SamplingData[[#This Row],[Candidate 5]])/(SamplingData[[#Totals],[Winning Candidate]]-SamplingData[[#Totals],[Candidate 5]]), 0)</f>
        <v>4.8649963512527367E-5</v>
      </c>
      <c r="O1589" s="100">
        <f>IF(AND(SamplingData[[#This Row],[Total]]&lt;&gt; 0, NOT(ISBLANK(SamplingData[[#This Row],[Candidate 6]]))),(SamplingData[[#This Row],[Total]]+SamplingData[[#This Row],[Winning Candidate]]-SamplingData[[#This Row],[Candidate 6]])/(SamplingData[[#Totals],[Winning Candidate]]-SamplingData[[#Totals],[Candidate 6]]), 0)</f>
        <v>4.8635766742862701E-5</v>
      </c>
      <c r="P1589" s="100">
        <f>MAX(SamplingData[[#This Row],[Error Bound (up) - Max. possible relative overstatement - Losing Candidate]:[Error Bound (up) - Max. possible relative overstatement - Candidate 6]])</f>
        <v>6.4522373132883833E-5</v>
      </c>
      <c r="Q1589" s="100">
        <f>IF(SamplingData[[#This Row],[Max Error Bound (up)]] = 0,0,SamplingData[[#This Row],[Max Error Bound (up)]]/SamplingData[[#Totals],[Max Error Bound (up)]])</f>
        <v>1.0211727553664133E-5</v>
      </c>
      <c r="R1589" s="101">
        <f>SUM($Q$5:Q1589)</f>
        <v>0.56471370949466715</v>
      </c>
      <c r="S1589" s="100" t="str">
        <f t="array" ref="S1589">IF(SamplingData[[#This Row],[up/U Selection Probability]] = 0, "Zero", TEXT(SamplingData[[#This Row],[Lower Range]], REPT("0",LEN('General Info'!$B$40))) &amp; " - " &amp; TEXT(SamplingData[[#This Row],[Upper Range]], REPT("0",LEN('General Info'!$B$40))))</f>
        <v>56470 - 56470</v>
      </c>
      <c r="T1589" s="100">
        <f>SamplingData[[#This Row],[Upper Range]]-SamplingData[[#This Row],[Span]]</f>
        <v>56470.34978692307</v>
      </c>
      <c r="U1589" s="100">
        <f>IF(ISNUMBER('General Info'!$B$40), ((SamplingData[[#This Row],[up/U Selection Probability]]) * 'General Info'!$B$40) - 1, 0)</f>
        <v>2.116254363885961E-2</v>
      </c>
      <c r="V1589" s="100">
        <f>IF(ISNUMBER('General Info'!$B$40), (SamplingData[[#This Row],[Running (cumulative) sum]] * ('General Info'!$B$40 -'General Info'!$B$41 + 1)) + 'General Info'!$B$41 - 1, 0)</f>
        <v>56470.370949466713</v>
      </c>
      <c r="W1589" s="100" t="str">
        <f>IF(ISERROR(MATCH(SamplingData[[#This Row],[Batch by Type (p)]],SelectedPrecincts[Batch Name], 0)), "", INDEX(SelectedPrecincts[Draw], MATCH(SamplingData[[#This Row],[Batch by Type (p)]],SelectedPrecincts[Batch Name], 0)))</f>
        <v/>
      </c>
      <c r="X1589" s="102">
        <f>IF(COUNTIF(SelectedPrecincts[Batch Name],SamplingData[[#This Row],[Batch by Type (p)]]) &lt;&gt; 0, COUNTIF(SelectedPrecincts[Batch Name],SamplingData[[#This Row],[Batch by Type (p)]]), 0)</f>
        <v>0</v>
      </c>
    </row>
    <row r="1590" spans="1:24" ht="15" customHeight="1">
      <c r="A1590" s="18" t="s">
        <v>1766</v>
      </c>
      <c r="B1590" s="18">
        <v>0</v>
      </c>
      <c r="C1590" s="18">
        <v>0</v>
      </c>
      <c r="D1590" s="18">
        <v>0</v>
      </c>
      <c r="E1590" s="18">
        <v>0</v>
      </c>
      <c r="F1590" s="18">
        <v>0</v>
      </c>
      <c r="G1590" s="18">
        <v>0</v>
      </c>
      <c r="H1590" s="18">
        <v>0</v>
      </c>
      <c r="I1590" s="18">
        <v>0</v>
      </c>
      <c r="J1590" s="99">
        <f>SUM(SamplingData[[#This Row],[Losing Candidate]:[Under Votes]])</f>
        <v>0</v>
      </c>
      <c r="K1590" s="100">
        <f>IF(AND(SamplingData[[#This Row],[Total]]&lt;&gt; 0, NOT(ISBLANK(SamplingData[[#This Row],[Losing Candidate]]))),(SamplingData[[#This Row],[Total]]+SamplingData[[#This Row],[Winning Candidate]]-SamplingData[[#This Row],[Losing Candidate]])/(SamplingData[[#Totals],[Winning Candidate]]-SamplingData[[#Totals],[Losing Candidate]]), 0)</f>
        <v>0</v>
      </c>
      <c r="L1590" s="100">
        <f>IF(AND(SamplingData[[#This Row],[Total]]&lt;&gt; 0, NOT(ISBLANK(SamplingData[[#This Row],[Candidate 3]]))),(SamplingData[[#This Row],[Total]]+SamplingData[[#This Row],[Winning Candidate]]-SamplingData[[#This Row],[Candidate 3]])/(SamplingData[[#Totals],[Winning Candidate]]-SamplingData[[#Totals],[Candidate 3]]), 0)</f>
        <v>0</v>
      </c>
      <c r="M1590" s="100">
        <f>IF(AND(SamplingData[[#This Row],[Total]]&lt;&gt; 0, NOT(ISBLANK(SamplingData[[#This Row],[Candidate 4]]))),(SamplingData[[#This Row],[Total]]+SamplingData[[#This Row],[Winning Candidate]]-SamplingData[[#This Row],[Candidate 4]])/(SamplingData[[#Totals],[Winning Candidate]]-SamplingData[[#Totals],[Candidate 4]]), 0)</f>
        <v>0</v>
      </c>
      <c r="N1590" s="100">
        <f>IF(AND(SamplingData[[#This Row],[Total]]&lt;&gt; 0, NOT(ISBLANK(SamplingData[[#This Row],[Candidate 5]]))),(SamplingData[[#This Row],[Total]]+SamplingData[[#This Row],[Winning Candidate]]-SamplingData[[#This Row],[Candidate 5]])/(SamplingData[[#Totals],[Winning Candidate]]-SamplingData[[#Totals],[Candidate 5]]), 0)</f>
        <v>0</v>
      </c>
      <c r="O1590" s="100">
        <f>IF(AND(SamplingData[[#This Row],[Total]]&lt;&gt; 0, NOT(ISBLANK(SamplingData[[#This Row],[Candidate 6]]))),(SamplingData[[#This Row],[Total]]+SamplingData[[#This Row],[Winning Candidate]]-SamplingData[[#This Row],[Candidate 6]])/(SamplingData[[#Totals],[Winning Candidate]]-SamplingData[[#Totals],[Candidate 6]]), 0)</f>
        <v>0</v>
      </c>
      <c r="P1590" s="100">
        <f>MAX(SamplingData[[#This Row],[Error Bound (up) - Max. possible relative overstatement - Losing Candidate]:[Error Bound (up) - Max. possible relative overstatement - Candidate 6]])</f>
        <v>0</v>
      </c>
      <c r="Q1590" s="100">
        <f>IF(SamplingData[[#This Row],[Max Error Bound (up)]] = 0,0,SamplingData[[#This Row],[Max Error Bound (up)]]/SamplingData[[#Totals],[Max Error Bound (up)]])</f>
        <v>0</v>
      </c>
      <c r="R1590" s="101">
        <f>SUM($Q$5:Q1590)</f>
        <v>0.56471370949466715</v>
      </c>
      <c r="S1590" s="100" t="str">
        <f t="array" ref="S1590">IF(SamplingData[[#This Row],[up/U Selection Probability]] = 0, "Zero", TEXT(SamplingData[[#This Row],[Lower Range]], REPT("0",LEN('General Info'!$B$40))) &amp; " - " &amp; TEXT(SamplingData[[#This Row],[Upper Range]], REPT("0",LEN('General Info'!$B$40))))</f>
        <v>Zero</v>
      </c>
      <c r="T1590" s="100">
        <f>SamplingData[[#This Row],[Upper Range]]-SamplingData[[#This Row],[Span]]</f>
        <v>56471.370949466713</v>
      </c>
      <c r="U1590" s="100">
        <f>IF(ISNUMBER('General Info'!$B$40), ((SamplingData[[#This Row],[up/U Selection Probability]]) * 'General Info'!$B$40) - 1, 0)</f>
        <v>-1</v>
      </c>
      <c r="V1590" s="100">
        <f>IF(ISNUMBER('General Info'!$B$40), (SamplingData[[#This Row],[Running (cumulative) sum]] * ('General Info'!$B$40 -'General Info'!$B$41 + 1)) + 'General Info'!$B$41 - 1, 0)</f>
        <v>56470.370949466713</v>
      </c>
      <c r="W1590" s="100" t="str">
        <f>IF(ISERROR(MATCH(SamplingData[[#This Row],[Batch by Type (p)]],SelectedPrecincts[Batch Name], 0)), "", INDEX(SelectedPrecincts[Draw], MATCH(SamplingData[[#This Row],[Batch by Type (p)]],SelectedPrecincts[Batch Name], 0)))</f>
        <v/>
      </c>
      <c r="X1590" s="102">
        <f>IF(COUNTIF(SelectedPrecincts[Batch Name],SamplingData[[#This Row],[Batch by Type (p)]]) &lt;&gt; 0, COUNTIF(SelectedPrecincts[Batch Name],SamplingData[[#This Row],[Batch by Type (p)]]), 0)</f>
        <v>0</v>
      </c>
    </row>
    <row r="1591" spans="1:24" ht="15" customHeight="1">
      <c r="A1591" s="18" t="s">
        <v>1767</v>
      </c>
      <c r="B1591" s="18">
        <v>10</v>
      </c>
      <c r="C1591" s="18">
        <v>6</v>
      </c>
      <c r="D1591" s="16">
        <v>4</v>
      </c>
      <c r="E1591" s="16">
        <v>2</v>
      </c>
      <c r="F1591" s="37">
        <v>0</v>
      </c>
      <c r="G1591" s="37">
        <v>0</v>
      </c>
      <c r="H1591" s="17">
        <v>0</v>
      </c>
      <c r="I1591" s="17">
        <v>0</v>
      </c>
      <c r="J1591" s="99">
        <f>SUM(SamplingData[[#This Row],[Losing Candidate]:[Under Votes]])</f>
        <v>22</v>
      </c>
      <c r="K1591"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1591" s="100">
        <f>IF(AND(SamplingData[[#This Row],[Total]]&lt;&gt; 0, NOT(ISBLANK(SamplingData[[#This Row],[Candidate 3]]))),(SamplingData[[#This Row],[Total]]+SamplingData[[#This Row],[Winning Candidate]]-SamplingData[[#This Row],[Candidate 3]])/(SamplingData[[#Totals],[Winning Candidate]]-SamplingData[[#Totals],[Candidate 3]]), 0)</f>
        <v>7.7426847759460595E-4</v>
      </c>
      <c r="M1591" s="100">
        <f>IF(AND(SamplingData[[#This Row],[Total]]&lt;&gt; 0, NOT(ISBLANK(SamplingData[[#This Row],[Candidate 4]]))),(SamplingData[[#This Row],[Total]]+SamplingData[[#This Row],[Winning Candidate]]-SamplingData[[#This Row],[Candidate 4]])/(SamplingData[[#Totals],[Winning Candidate]]-SamplingData[[#Totals],[Candidate 4]]), 0)</f>
        <v>7.6003390920517991E-4</v>
      </c>
      <c r="N1591" s="100">
        <f>IF(AND(SamplingData[[#This Row],[Total]]&lt;&gt; 0, NOT(ISBLANK(SamplingData[[#This Row],[Candidate 5]]))),(SamplingData[[#This Row],[Total]]+SamplingData[[#This Row],[Winning Candidate]]-SamplingData[[#This Row],[Candidate 5]])/(SamplingData[[#Totals],[Winning Candidate]]-SamplingData[[#Totals],[Candidate 5]]), 0)</f>
        <v>6.8109948917538315E-4</v>
      </c>
      <c r="O1591" s="100">
        <f>IF(AND(SamplingData[[#This Row],[Total]]&lt;&gt; 0, NOT(ISBLANK(SamplingData[[#This Row],[Candidate 6]]))),(SamplingData[[#This Row],[Total]]+SamplingData[[#This Row],[Winning Candidate]]-SamplingData[[#This Row],[Candidate 6]])/(SamplingData[[#Totals],[Winning Candidate]]-SamplingData[[#Totals],[Candidate 6]]), 0)</f>
        <v>6.8090073440007777E-4</v>
      </c>
      <c r="P1591" s="100">
        <f>MAX(SamplingData[[#This Row],[Error Bound (up) - Max. possible relative overstatement - Losing Candidate]:[Error Bound (up) - Max. possible relative overstatement - Candidate 6]])</f>
        <v>1.1024007839294464E-3</v>
      </c>
      <c r="Q1591" s="100">
        <f>IF(SamplingData[[#This Row],[Max Error Bound (up)]] = 0,0,SamplingData[[#This Row],[Max Error Bound (up)]]/SamplingData[[#Totals],[Max Error Bound (up)]])</f>
        <v>1.7447306901202498E-4</v>
      </c>
      <c r="R1591" s="101">
        <f>SUM($Q$5:Q1591)</f>
        <v>0.56488818256367912</v>
      </c>
      <c r="S1591" s="100" t="str">
        <f t="array" ref="S1591">IF(SamplingData[[#This Row],[up/U Selection Probability]] = 0, "Zero", TEXT(SamplingData[[#This Row],[Lower Range]], REPT("0",LEN('General Info'!$B$40))) &amp; " - " &amp; TEXT(SamplingData[[#This Row],[Upper Range]], REPT("0",LEN('General Info'!$B$40))))</f>
        <v>56471 - 56488</v>
      </c>
      <c r="T1591" s="100">
        <f>SamplingData[[#This Row],[Upper Range]]-SamplingData[[#This Row],[Span]]</f>
        <v>56471.371123939782</v>
      </c>
      <c r="U1591" s="100">
        <f>IF(ISNUMBER('General Info'!$B$40), ((SamplingData[[#This Row],[up/U Selection Probability]]) * 'General Info'!$B$40) - 1, 0)</f>
        <v>16.447132428133486</v>
      </c>
      <c r="V1591" s="100">
        <f>IF(ISNUMBER('General Info'!$B$40), (SamplingData[[#This Row],[Running (cumulative) sum]] * ('General Info'!$B$40 -'General Info'!$B$41 + 1)) + 'General Info'!$B$41 - 1, 0)</f>
        <v>56487.818256367915</v>
      </c>
      <c r="W1591" s="100" t="str">
        <f>IF(ISERROR(MATCH(SamplingData[[#This Row],[Batch by Type (p)]],SelectedPrecincts[Batch Name], 0)), "", INDEX(SelectedPrecincts[Draw], MATCH(SamplingData[[#This Row],[Batch by Type (p)]],SelectedPrecincts[Batch Name], 0)))</f>
        <v/>
      </c>
      <c r="X1591" s="102">
        <f>IF(COUNTIF(SelectedPrecincts[Batch Name],SamplingData[[#This Row],[Batch by Type (p)]]) &lt;&gt; 0, COUNTIF(SelectedPrecincts[Batch Name],SamplingData[[#This Row],[Batch by Type (p)]]), 0)</f>
        <v>0</v>
      </c>
    </row>
    <row r="1592" spans="1:24" ht="15" customHeight="1">
      <c r="A1592" s="18" t="s">
        <v>1768</v>
      </c>
      <c r="B1592" s="18">
        <v>5</v>
      </c>
      <c r="C1592" s="18">
        <v>4</v>
      </c>
      <c r="D1592" s="18">
        <v>3</v>
      </c>
      <c r="E1592" s="18">
        <v>4</v>
      </c>
      <c r="F1592" s="18">
        <v>1</v>
      </c>
      <c r="G1592" s="18">
        <v>0</v>
      </c>
      <c r="H1592" s="18">
        <v>0</v>
      </c>
      <c r="I1592" s="18">
        <v>0</v>
      </c>
      <c r="J1592" s="99">
        <f>SUM(SamplingData[[#This Row],[Losing Candidate]:[Under Votes]])</f>
        <v>17</v>
      </c>
      <c r="K1592"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592" s="100">
        <f>IF(AND(SamplingData[[#This Row],[Total]]&lt;&gt; 0, NOT(ISBLANK(SamplingData[[#This Row],[Candidate 3]]))),(SamplingData[[#This Row],[Total]]+SamplingData[[#This Row],[Winning Candidate]]-SamplingData[[#This Row],[Candidate 3]])/(SamplingData[[#Totals],[Winning Candidate]]-SamplingData[[#Totals],[Candidate 3]]), 0)</f>
        <v>5.8070135819595443E-4</v>
      </c>
      <c r="M1592" s="100">
        <f>IF(AND(SamplingData[[#This Row],[Total]]&lt;&gt; 0, NOT(ISBLANK(SamplingData[[#This Row],[Candidate 4]]))),(SamplingData[[#This Row],[Total]]+SamplingData[[#This Row],[Winning Candidate]]-SamplingData[[#This Row],[Candidate 4]])/(SamplingData[[#Totals],[Winning Candidate]]-SamplingData[[#Totals],[Candidate 4]]), 0)</f>
        <v>4.9694524832646382E-4</v>
      </c>
      <c r="N1592" s="100">
        <f>IF(AND(SamplingData[[#This Row],[Total]]&lt;&gt; 0, NOT(ISBLANK(SamplingData[[#This Row],[Candidate 5]]))),(SamplingData[[#This Row],[Total]]+SamplingData[[#This Row],[Winning Candidate]]-SamplingData[[#This Row],[Candidate 5]])/(SamplingData[[#Totals],[Winning Candidate]]-SamplingData[[#Totals],[Candidate 5]]), 0)</f>
        <v>4.8649963512527365E-4</v>
      </c>
      <c r="O1592" s="100">
        <f>IF(AND(SamplingData[[#This Row],[Total]]&lt;&gt; 0, NOT(ISBLANK(SamplingData[[#This Row],[Candidate 6]]))),(SamplingData[[#This Row],[Total]]+SamplingData[[#This Row],[Winning Candidate]]-SamplingData[[#This Row],[Candidate 6]])/(SamplingData[[#Totals],[Winning Candidate]]-SamplingData[[#Totals],[Candidate 6]]), 0)</f>
        <v>5.1067555080005838E-4</v>
      </c>
      <c r="P1592" s="100">
        <f>MAX(SamplingData[[#This Row],[Error Bound (up) - Max. possible relative overstatement - Losing Candidate]:[Error Bound (up) - Max. possible relative overstatement - Candidate 6]])</f>
        <v>9.7991180793728563E-4</v>
      </c>
      <c r="Q1592" s="100">
        <f>IF(SamplingData[[#This Row],[Max Error Bound (up)]] = 0,0,SamplingData[[#This Row],[Max Error Bound (up)]]/SamplingData[[#Totals],[Max Error Bound (up)]])</f>
        <v>1.550871724551333E-4</v>
      </c>
      <c r="R1592" s="101">
        <f>SUM($Q$5:Q1592)</f>
        <v>0.56504326973613428</v>
      </c>
      <c r="S1592" s="100" t="str">
        <f t="array" ref="S1592">IF(SamplingData[[#This Row],[up/U Selection Probability]] = 0, "Zero", TEXT(SamplingData[[#This Row],[Lower Range]], REPT("0",LEN('General Info'!$B$40))) &amp; " - " &amp; TEXT(SamplingData[[#This Row],[Upper Range]], REPT("0",LEN('General Info'!$B$40))))</f>
        <v>56489 - 56503</v>
      </c>
      <c r="T1592" s="100">
        <f>SamplingData[[#This Row],[Upper Range]]-SamplingData[[#This Row],[Span]]</f>
        <v>56488.818411455082</v>
      </c>
      <c r="U1592" s="100">
        <f>IF(ISNUMBER('General Info'!$B$40), ((SamplingData[[#This Row],[up/U Selection Probability]]) * 'General Info'!$B$40) - 1, 0)</f>
        <v>14.508562158340876</v>
      </c>
      <c r="V1592" s="100">
        <f>IF(ISNUMBER('General Info'!$B$40), (SamplingData[[#This Row],[Running (cumulative) sum]] * ('General Info'!$B$40 -'General Info'!$B$41 + 1)) + 'General Info'!$B$41 - 1, 0)</f>
        <v>56503.326973613424</v>
      </c>
      <c r="W1592" s="100" t="str">
        <f>IF(ISERROR(MATCH(SamplingData[[#This Row],[Batch by Type (p)]],SelectedPrecincts[Batch Name], 0)), "", INDEX(SelectedPrecincts[Draw], MATCH(SamplingData[[#This Row],[Batch by Type (p)]],SelectedPrecincts[Batch Name], 0)))</f>
        <v/>
      </c>
      <c r="X1592" s="102">
        <f>IF(COUNTIF(SelectedPrecincts[Batch Name],SamplingData[[#This Row],[Batch by Type (p)]]) &lt;&gt; 0, COUNTIF(SelectedPrecincts[Batch Name],SamplingData[[#This Row],[Batch by Type (p)]]), 0)</f>
        <v>0</v>
      </c>
    </row>
    <row r="1593" spans="1:24" ht="15" customHeight="1">
      <c r="A1593" s="18" t="s">
        <v>1769</v>
      </c>
      <c r="B1593" s="18">
        <v>0</v>
      </c>
      <c r="C1593" s="18">
        <v>0</v>
      </c>
      <c r="D1593" s="16">
        <v>0</v>
      </c>
      <c r="E1593" s="16">
        <v>0</v>
      </c>
      <c r="F1593" s="37">
        <v>0</v>
      </c>
      <c r="G1593" s="37">
        <v>0</v>
      </c>
      <c r="H1593" s="17">
        <v>0</v>
      </c>
      <c r="I1593" s="17">
        <v>0</v>
      </c>
      <c r="J1593" s="99">
        <f>SUM(SamplingData[[#This Row],[Losing Candidate]:[Under Votes]])</f>
        <v>0</v>
      </c>
      <c r="K1593" s="100">
        <f>IF(AND(SamplingData[[#This Row],[Total]]&lt;&gt; 0, NOT(ISBLANK(SamplingData[[#This Row],[Losing Candidate]]))),(SamplingData[[#This Row],[Total]]+SamplingData[[#This Row],[Winning Candidate]]-SamplingData[[#This Row],[Losing Candidate]])/(SamplingData[[#Totals],[Winning Candidate]]-SamplingData[[#Totals],[Losing Candidate]]), 0)</f>
        <v>0</v>
      </c>
      <c r="L1593" s="100">
        <f>IF(AND(SamplingData[[#This Row],[Total]]&lt;&gt; 0, NOT(ISBLANK(SamplingData[[#This Row],[Candidate 3]]))),(SamplingData[[#This Row],[Total]]+SamplingData[[#This Row],[Winning Candidate]]-SamplingData[[#This Row],[Candidate 3]])/(SamplingData[[#Totals],[Winning Candidate]]-SamplingData[[#Totals],[Candidate 3]]), 0)</f>
        <v>0</v>
      </c>
      <c r="M1593" s="100">
        <f>IF(AND(SamplingData[[#This Row],[Total]]&lt;&gt; 0, NOT(ISBLANK(SamplingData[[#This Row],[Candidate 4]]))),(SamplingData[[#This Row],[Total]]+SamplingData[[#This Row],[Winning Candidate]]-SamplingData[[#This Row],[Candidate 4]])/(SamplingData[[#Totals],[Winning Candidate]]-SamplingData[[#Totals],[Candidate 4]]), 0)</f>
        <v>0</v>
      </c>
      <c r="N1593" s="100">
        <f>IF(AND(SamplingData[[#This Row],[Total]]&lt;&gt; 0, NOT(ISBLANK(SamplingData[[#This Row],[Candidate 5]]))),(SamplingData[[#This Row],[Total]]+SamplingData[[#This Row],[Winning Candidate]]-SamplingData[[#This Row],[Candidate 5]])/(SamplingData[[#Totals],[Winning Candidate]]-SamplingData[[#Totals],[Candidate 5]]), 0)</f>
        <v>0</v>
      </c>
      <c r="O1593" s="100">
        <f>IF(AND(SamplingData[[#This Row],[Total]]&lt;&gt; 0, NOT(ISBLANK(SamplingData[[#This Row],[Candidate 6]]))),(SamplingData[[#This Row],[Total]]+SamplingData[[#This Row],[Winning Candidate]]-SamplingData[[#This Row],[Candidate 6]])/(SamplingData[[#Totals],[Winning Candidate]]-SamplingData[[#Totals],[Candidate 6]]), 0)</f>
        <v>0</v>
      </c>
      <c r="P1593" s="100">
        <f>MAX(SamplingData[[#This Row],[Error Bound (up) - Max. possible relative overstatement - Losing Candidate]:[Error Bound (up) - Max. possible relative overstatement - Candidate 6]])</f>
        <v>0</v>
      </c>
      <c r="Q1593" s="100">
        <f>IF(SamplingData[[#This Row],[Max Error Bound (up)]] = 0,0,SamplingData[[#This Row],[Max Error Bound (up)]]/SamplingData[[#Totals],[Max Error Bound (up)]])</f>
        <v>0</v>
      </c>
      <c r="R1593" s="101">
        <f>SUM($Q$5:Q1593)</f>
        <v>0.56504326973613428</v>
      </c>
      <c r="S1593" s="100" t="str">
        <f t="array" ref="S1593">IF(SamplingData[[#This Row],[up/U Selection Probability]] = 0, "Zero", TEXT(SamplingData[[#This Row],[Lower Range]], REPT("0",LEN('General Info'!$B$40))) &amp; " - " &amp; TEXT(SamplingData[[#This Row],[Upper Range]], REPT("0",LEN('General Info'!$B$40))))</f>
        <v>Zero</v>
      </c>
      <c r="T1593" s="100">
        <f>SamplingData[[#This Row],[Upper Range]]-SamplingData[[#This Row],[Span]]</f>
        <v>56504.326973613424</v>
      </c>
      <c r="U1593" s="100">
        <f>IF(ISNUMBER('General Info'!$B$40), ((SamplingData[[#This Row],[up/U Selection Probability]]) * 'General Info'!$B$40) - 1, 0)</f>
        <v>-1</v>
      </c>
      <c r="V1593" s="100">
        <f>IF(ISNUMBER('General Info'!$B$40), (SamplingData[[#This Row],[Running (cumulative) sum]] * ('General Info'!$B$40 -'General Info'!$B$41 + 1)) + 'General Info'!$B$41 - 1, 0)</f>
        <v>56503.326973613424</v>
      </c>
      <c r="W1593" s="100" t="str">
        <f>IF(ISERROR(MATCH(SamplingData[[#This Row],[Batch by Type (p)]],SelectedPrecincts[Batch Name], 0)), "", INDEX(SelectedPrecincts[Draw], MATCH(SamplingData[[#This Row],[Batch by Type (p)]],SelectedPrecincts[Batch Name], 0)))</f>
        <v/>
      </c>
      <c r="X1593" s="102">
        <f>IF(COUNTIF(SelectedPrecincts[Batch Name],SamplingData[[#This Row],[Batch by Type (p)]]) &lt;&gt; 0, COUNTIF(SelectedPrecincts[Batch Name],SamplingData[[#This Row],[Batch by Type (p)]]), 0)</f>
        <v>0</v>
      </c>
    </row>
    <row r="1594" spans="1:24" ht="15" customHeight="1">
      <c r="A1594" s="18" t="s">
        <v>1770</v>
      </c>
      <c r="B1594" s="18">
        <v>0</v>
      </c>
      <c r="C1594" s="18">
        <v>0</v>
      </c>
      <c r="D1594" s="18">
        <v>0</v>
      </c>
      <c r="E1594" s="18">
        <v>0</v>
      </c>
      <c r="F1594" s="18">
        <v>0</v>
      </c>
      <c r="G1594" s="18">
        <v>0</v>
      </c>
      <c r="H1594" s="18">
        <v>0</v>
      </c>
      <c r="I1594" s="18">
        <v>0</v>
      </c>
      <c r="J1594" s="99">
        <f>SUM(SamplingData[[#This Row],[Losing Candidate]:[Under Votes]])</f>
        <v>0</v>
      </c>
      <c r="K1594" s="100">
        <f>IF(AND(SamplingData[[#This Row],[Total]]&lt;&gt; 0, NOT(ISBLANK(SamplingData[[#This Row],[Losing Candidate]]))),(SamplingData[[#This Row],[Total]]+SamplingData[[#This Row],[Winning Candidate]]-SamplingData[[#This Row],[Losing Candidate]])/(SamplingData[[#Totals],[Winning Candidate]]-SamplingData[[#Totals],[Losing Candidate]]), 0)</f>
        <v>0</v>
      </c>
      <c r="L1594" s="100">
        <f>IF(AND(SamplingData[[#This Row],[Total]]&lt;&gt; 0, NOT(ISBLANK(SamplingData[[#This Row],[Candidate 3]]))),(SamplingData[[#This Row],[Total]]+SamplingData[[#This Row],[Winning Candidate]]-SamplingData[[#This Row],[Candidate 3]])/(SamplingData[[#Totals],[Winning Candidate]]-SamplingData[[#Totals],[Candidate 3]]), 0)</f>
        <v>0</v>
      </c>
      <c r="M1594" s="100">
        <f>IF(AND(SamplingData[[#This Row],[Total]]&lt;&gt; 0, NOT(ISBLANK(SamplingData[[#This Row],[Candidate 4]]))),(SamplingData[[#This Row],[Total]]+SamplingData[[#This Row],[Winning Candidate]]-SamplingData[[#This Row],[Candidate 4]])/(SamplingData[[#Totals],[Winning Candidate]]-SamplingData[[#Totals],[Candidate 4]]), 0)</f>
        <v>0</v>
      </c>
      <c r="N1594" s="100">
        <f>IF(AND(SamplingData[[#This Row],[Total]]&lt;&gt; 0, NOT(ISBLANK(SamplingData[[#This Row],[Candidate 5]]))),(SamplingData[[#This Row],[Total]]+SamplingData[[#This Row],[Winning Candidate]]-SamplingData[[#This Row],[Candidate 5]])/(SamplingData[[#Totals],[Winning Candidate]]-SamplingData[[#Totals],[Candidate 5]]), 0)</f>
        <v>0</v>
      </c>
      <c r="O1594" s="100">
        <f>IF(AND(SamplingData[[#This Row],[Total]]&lt;&gt; 0, NOT(ISBLANK(SamplingData[[#This Row],[Candidate 6]]))),(SamplingData[[#This Row],[Total]]+SamplingData[[#This Row],[Winning Candidate]]-SamplingData[[#This Row],[Candidate 6]])/(SamplingData[[#Totals],[Winning Candidate]]-SamplingData[[#Totals],[Candidate 6]]), 0)</f>
        <v>0</v>
      </c>
      <c r="P1594" s="100">
        <f>MAX(SamplingData[[#This Row],[Error Bound (up) - Max. possible relative overstatement - Losing Candidate]:[Error Bound (up) - Max. possible relative overstatement - Candidate 6]])</f>
        <v>0</v>
      </c>
      <c r="Q1594" s="100">
        <f>IF(SamplingData[[#This Row],[Max Error Bound (up)]] = 0,0,SamplingData[[#This Row],[Max Error Bound (up)]]/SamplingData[[#Totals],[Max Error Bound (up)]])</f>
        <v>0</v>
      </c>
      <c r="R1594" s="101">
        <f>SUM($Q$5:Q1594)</f>
        <v>0.56504326973613428</v>
      </c>
      <c r="S1594" s="100" t="str">
        <f t="array" ref="S1594">IF(SamplingData[[#This Row],[up/U Selection Probability]] = 0, "Zero", TEXT(SamplingData[[#This Row],[Lower Range]], REPT("0",LEN('General Info'!$B$40))) &amp; " - " &amp; TEXT(SamplingData[[#This Row],[Upper Range]], REPT("0",LEN('General Info'!$B$40))))</f>
        <v>Zero</v>
      </c>
      <c r="T1594" s="100">
        <f>SamplingData[[#This Row],[Upper Range]]-SamplingData[[#This Row],[Span]]</f>
        <v>56504.326973613424</v>
      </c>
      <c r="U1594" s="100">
        <f>IF(ISNUMBER('General Info'!$B$40), ((SamplingData[[#This Row],[up/U Selection Probability]]) * 'General Info'!$B$40) - 1, 0)</f>
        <v>-1</v>
      </c>
      <c r="V1594" s="100">
        <f>IF(ISNUMBER('General Info'!$B$40), (SamplingData[[#This Row],[Running (cumulative) sum]] * ('General Info'!$B$40 -'General Info'!$B$41 + 1)) + 'General Info'!$B$41 - 1, 0)</f>
        <v>56503.326973613424</v>
      </c>
      <c r="W1594" s="100" t="str">
        <f>IF(ISERROR(MATCH(SamplingData[[#This Row],[Batch by Type (p)]],SelectedPrecincts[Batch Name], 0)), "", INDEX(SelectedPrecincts[Draw], MATCH(SamplingData[[#This Row],[Batch by Type (p)]],SelectedPrecincts[Batch Name], 0)))</f>
        <v/>
      </c>
      <c r="X1594" s="102">
        <f>IF(COUNTIF(SelectedPrecincts[Batch Name],SamplingData[[#This Row],[Batch by Type (p)]]) &lt;&gt; 0, COUNTIF(SelectedPrecincts[Batch Name],SamplingData[[#This Row],[Batch by Type (p)]]), 0)</f>
        <v>0</v>
      </c>
    </row>
    <row r="1595" spans="1:24" ht="15" customHeight="1">
      <c r="A1595" s="18" t="s">
        <v>1771</v>
      </c>
      <c r="B1595" s="18">
        <v>2</v>
      </c>
      <c r="C1595" s="18">
        <v>4</v>
      </c>
      <c r="D1595" s="16">
        <v>3</v>
      </c>
      <c r="E1595" s="16">
        <v>0</v>
      </c>
      <c r="F1595" s="37">
        <v>0</v>
      </c>
      <c r="G1595" s="37">
        <v>0</v>
      </c>
      <c r="H1595" s="17">
        <v>0</v>
      </c>
      <c r="I1595" s="17">
        <v>0</v>
      </c>
      <c r="J1595" s="99">
        <f>SUM(SamplingData[[#This Row],[Losing Candidate]:[Under Votes]])</f>
        <v>9</v>
      </c>
      <c r="K1595"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595" s="100">
        <f>IF(AND(SamplingData[[#This Row],[Total]]&lt;&gt; 0, NOT(ISBLANK(SamplingData[[#This Row],[Candidate 3]]))),(SamplingData[[#This Row],[Total]]+SamplingData[[#This Row],[Winning Candidate]]-SamplingData[[#This Row],[Candidate 3]])/(SamplingData[[#Totals],[Winning Candidate]]-SamplingData[[#Totals],[Candidate 3]]), 0)</f>
        <v>3.2261186566441915E-4</v>
      </c>
      <c r="M1595" s="100">
        <f>IF(AND(SamplingData[[#This Row],[Total]]&lt;&gt; 0, NOT(ISBLANK(SamplingData[[#This Row],[Candidate 4]]))),(SamplingData[[#This Row],[Total]]+SamplingData[[#This Row],[Winning Candidate]]-SamplingData[[#This Row],[Candidate 4]])/(SamplingData[[#Totals],[Winning Candidate]]-SamplingData[[#Totals],[Candidate 4]]), 0)</f>
        <v>3.8001695460258996E-4</v>
      </c>
      <c r="N1595" s="100">
        <f>IF(AND(SamplingData[[#This Row],[Total]]&lt;&gt; 0, NOT(ISBLANK(SamplingData[[#This Row],[Candidate 5]]))),(SamplingData[[#This Row],[Total]]+SamplingData[[#This Row],[Winning Candidate]]-SamplingData[[#This Row],[Candidate 5]])/(SamplingData[[#Totals],[Winning Candidate]]-SamplingData[[#Totals],[Candidate 5]]), 0)</f>
        <v>3.1622476283142789E-4</v>
      </c>
      <c r="O1595" s="100">
        <f>IF(AND(SamplingData[[#This Row],[Total]]&lt;&gt; 0, NOT(ISBLANK(SamplingData[[#This Row],[Candidate 6]]))),(SamplingData[[#This Row],[Total]]+SamplingData[[#This Row],[Winning Candidate]]-SamplingData[[#This Row],[Candidate 6]])/(SamplingData[[#Totals],[Winning Candidate]]-SamplingData[[#Totals],[Candidate 6]]), 0)</f>
        <v>3.1613248382860755E-4</v>
      </c>
      <c r="P1595" s="100">
        <f>MAX(SamplingData[[#This Row],[Error Bound (up) - Max. possible relative overstatement - Losing Candidate]:[Error Bound (up) - Max. possible relative overstatement - Candidate 6]])</f>
        <v>6.7368936795688392E-4</v>
      </c>
      <c r="Q1595" s="100">
        <f>IF(SamplingData[[#This Row],[Max Error Bound (up)]] = 0,0,SamplingData[[#This Row],[Max Error Bound (up)]]/SamplingData[[#Totals],[Max Error Bound (up)]])</f>
        <v>1.0662243106290416E-4</v>
      </c>
      <c r="R1595" s="101">
        <f>SUM($Q$5:Q1595)</f>
        <v>0.56514989216719713</v>
      </c>
      <c r="S1595" s="100" t="str">
        <f t="array" ref="S1595">IF(SamplingData[[#This Row],[up/U Selection Probability]] = 0, "Zero", TEXT(SamplingData[[#This Row],[Lower Range]], REPT("0",LEN('General Info'!$B$40))) &amp; " - " &amp; TEXT(SamplingData[[#This Row],[Upper Range]], REPT("0",LEN('General Info'!$B$40))))</f>
        <v>56504 - 56514</v>
      </c>
      <c r="T1595" s="100">
        <f>SamplingData[[#This Row],[Upper Range]]-SamplingData[[#This Row],[Span]]</f>
        <v>56504.327080235853</v>
      </c>
      <c r="U1595" s="100">
        <f>IF(ISNUMBER('General Info'!$B$40), ((SamplingData[[#This Row],[up/U Selection Probability]]) * 'General Info'!$B$40) - 1, 0)</f>
        <v>9.6621364838593529</v>
      </c>
      <c r="V1595" s="100">
        <f>IF(ISNUMBER('General Info'!$B$40), (SamplingData[[#This Row],[Running (cumulative) sum]] * ('General Info'!$B$40 -'General Info'!$B$41 + 1)) + 'General Info'!$B$41 - 1, 0)</f>
        <v>56513.98921671971</v>
      </c>
      <c r="W1595" s="100" t="str">
        <f>IF(ISERROR(MATCH(SamplingData[[#This Row],[Batch by Type (p)]],SelectedPrecincts[Batch Name], 0)), "", INDEX(SelectedPrecincts[Draw], MATCH(SamplingData[[#This Row],[Batch by Type (p)]],SelectedPrecincts[Batch Name], 0)))</f>
        <v/>
      </c>
      <c r="X1595" s="102">
        <f>IF(COUNTIF(SelectedPrecincts[Batch Name],SamplingData[[#This Row],[Batch by Type (p)]]) &lt;&gt; 0, COUNTIF(SelectedPrecincts[Batch Name],SamplingData[[#This Row],[Batch by Type (p)]]), 0)</f>
        <v>0</v>
      </c>
    </row>
    <row r="1596" spans="1:24" ht="15" customHeight="1">
      <c r="A1596" s="18" t="s">
        <v>1772</v>
      </c>
      <c r="B1596" s="18">
        <v>0</v>
      </c>
      <c r="C1596" s="18">
        <v>2</v>
      </c>
      <c r="D1596" s="18">
        <v>0</v>
      </c>
      <c r="E1596" s="18">
        <v>0</v>
      </c>
      <c r="F1596" s="18">
        <v>0</v>
      </c>
      <c r="G1596" s="18">
        <v>0</v>
      </c>
      <c r="H1596" s="18">
        <v>0</v>
      </c>
      <c r="I1596" s="18">
        <v>0</v>
      </c>
      <c r="J1596" s="99">
        <f>SUM(SamplingData[[#This Row],[Losing Candidate]:[Under Votes]])</f>
        <v>2</v>
      </c>
      <c r="K1596"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596" s="100">
        <f>IF(AND(SamplingData[[#This Row],[Total]]&lt;&gt; 0, NOT(ISBLANK(SamplingData[[#This Row],[Candidate 3]]))),(SamplingData[[#This Row],[Total]]+SamplingData[[#This Row],[Winning Candidate]]-SamplingData[[#This Row],[Candidate 3]])/(SamplingData[[#Totals],[Winning Candidate]]-SamplingData[[#Totals],[Candidate 3]]), 0)</f>
        <v>1.2904474626576767E-4</v>
      </c>
      <c r="M1596" s="100">
        <f>IF(AND(SamplingData[[#This Row],[Total]]&lt;&gt; 0, NOT(ISBLANK(SamplingData[[#This Row],[Candidate 4]]))),(SamplingData[[#This Row],[Total]]+SamplingData[[#This Row],[Winning Candidate]]-SamplingData[[#This Row],[Candidate 4]])/(SamplingData[[#Totals],[Winning Candidate]]-SamplingData[[#Totals],[Candidate 4]]), 0)</f>
        <v>1.1692829372387384E-4</v>
      </c>
      <c r="N1596" s="100">
        <f>IF(AND(SamplingData[[#This Row],[Total]]&lt;&gt; 0, NOT(ISBLANK(SamplingData[[#This Row],[Candidate 5]]))),(SamplingData[[#This Row],[Total]]+SamplingData[[#This Row],[Winning Candidate]]-SamplingData[[#This Row],[Candidate 5]])/(SamplingData[[#Totals],[Winning Candidate]]-SamplingData[[#Totals],[Candidate 5]]), 0)</f>
        <v>9.7299927025054734E-5</v>
      </c>
      <c r="O1596" s="100">
        <f>IF(AND(SamplingData[[#This Row],[Total]]&lt;&gt; 0, NOT(ISBLANK(SamplingData[[#This Row],[Candidate 6]]))),(SamplingData[[#This Row],[Total]]+SamplingData[[#This Row],[Winning Candidate]]-SamplingData[[#This Row],[Candidate 6]])/(SamplingData[[#Totals],[Winning Candidate]]-SamplingData[[#Totals],[Candidate 6]]), 0)</f>
        <v>9.7271533485725401E-5</v>
      </c>
      <c r="P1596" s="100">
        <f>MAX(SamplingData[[#This Row],[Error Bound (up) - Max. possible relative overstatement - Losing Candidate]:[Error Bound (up) - Max. possible relative overstatement - Candidate 6]])</f>
        <v>2.4497795198432141E-4</v>
      </c>
      <c r="Q1596" s="100">
        <f>IF(SamplingData[[#This Row],[Max Error Bound (up)]] = 0,0,SamplingData[[#This Row],[Max Error Bound (up)]]/SamplingData[[#Totals],[Max Error Bound (up)]])</f>
        <v>3.8771793113783326E-5</v>
      </c>
      <c r="R1596" s="101">
        <f>SUM($Q$5:Q1596)</f>
        <v>0.56518866396031087</v>
      </c>
      <c r="S1596" s="100" t="str">
        <f t="array" ref="S1596">IF(SamplingData[[#This Row],[up/U Selection Probability]] = 0, "Zero", TEXT(SamplingData[[#This Row],[Lower Range]], REPT("0",LEN('General Info'!$B$40))) &amp; " - " &amp; TEXT(SamplingData[[#This Row],[Upper Range]], REPT("0",LEN('General Info'!$B$40))))</f>
        <v>56515 - 56518</v>
      </c>
      <c r="T1596" s="100">
        <f>SamplingData[[#This Row],[Upper Range]]-SamplingData[[#This Row],[Span]]</f>
        <v>56514.989255491506</v>
      </c>
      <c r="U1596" s="100">
        <f>IF(ISNUMBER('General Info'!$B$40), ((SamplingData[[#This Row],[up/U Selection Probability]]) * 'General Info'!$B$40) - 1, 0)</f>
        <v>2.877140539585219</v>
      </c>
      <c r="V1596" s="100">
        <f>IF(ISNUMBER('General Info'!$B$40), (SamplingData[[#This Row],[Running (cumulative) sum]] * ('General Info'!$B$40 -'General Info'!$B$41 + 1)) + 'General Info'!$B$41 - 1, 0)</f>
        <v>56517.866396031088</v>
      </c>
      <c r="W1596" s="100" t="str">
        <f>IF(ISERROR(MATCH(SamplingData[[#This Row],[Batch by Type (p)]],SelectedPrecincts[Batch Name], 0)), "", INDEX(SelectedPrecincts[Draw], MATCH(SamplingData[[#This Row],[Batch by Type (p)]],SelectedPrecincts[Batch Name], 0)))</f>
        <v/>
      </c>
      <c r="X1596" s="102">
        <f>IF(COUNTIF(SelectedPrecincts[Batch Name],SamplingData[[#This Row],[Batch by Type (p)]]) &lt;&gt; 0, COUNTIF(SelectedPrecincts[Batch Name],SamplingData[[#This Row],[Batch by Type (p)]]), 0)</f>
        <v>0</v>
      </c>
    </row>
    <row r="1597" spans="1:24" ht="15" customHeight="1">
      <c r="A1597" s="18" t="s">
        <v>1773</v>
      </c>
      <c r="B1597" s="18">
        <v>13</v>
      </c>
      <c r="C1597" s="18">
        <v>20</v>
      </c>
      <c r="D1597" s="16">
        <v>7</v>
      </c>
      <c r="E1597" s="16">
        <v>8</v>
      </c>
      <c r="F1597" s="37">
        <v>1</v>
      </c>
      <c r="G1597" s="37">
        <v>0</v>
      </c>
      <c r="H1597" s="17">
        <v>0</v>
      </c>
      <c r="I1597" s="17">
        <v>2</v>
      </c>
      <c r="J1597" s="99">
        <f>SUM(SamplingData[[#This Row],[Losing Candidate]:[Under Votes]])</f>
        <v>51</v>
      </c>
      <c r="K1597" s="100">
        <f>IF(AND(SamplingData[[#This Row],[Total]]&lt;&gt; 0, NOT(ISBLANK(SamplingData[[#This Row],[Losing Candidate]]))),(SamplingData[[#This Row],[Total]]+SamplingData[[#This Row],[Winning Candidate]]-SamplingData[[#This Row],[Losing Candidate]])/(SamplingData[[#Totals],[Winning Candidate]]-SamplingData[[#Totals],[Losing Candidate]]), 0)</f>
        <v>3.5521803037726605E-3</v>
      </c>
      <c r="L1597" s="100">
        <f>IF(AND(SamplingData[[#This Row],[Total]]&lt;&gt; 0, NOT(ISBLANK(SamplingData[[#This Row],[Candidate 3]]))),(SamplingData[[#This Row],[Total]]+SamplingData[[#This Row],[Winning Candidate]]-SamplingData[[#This Row],[Candidate 3]])/(SamplingData[[#Totals],[Winning Candidate]]-SamplingData[[#Totals],[Candidate 3]]), 0)</f>
        <v>2.0647159402522827E-3</v>
      </c>
      <c r="M1597" s="100">
        <f>IF(AND(SamplingData[[#This Row],[Total]]&lt;&gt; 0, NOT(ISBLANK(SamplingData[[#This Row],[Candidate 4]]))),(SamplingData[[#This Row],[Total]]+SamplingData[[#This Row],[Winning Candidate]]-SamplingData[[#This Row],[Candidate 4]])/(SamplingData[[#Totals],[Winning Candidate]]-SamplingData[[#Totals],[Candidate 4]]), 0)</f>
        <v>1.841620626151013E-3</v>
      </c>
      <c r="N1597" s="100">
        <f>IF(AND(SamplingData[[#This Row],[Total]]&lt;&gt; 0, NOT(ISBLANK(SamplingData[[#This Row],[Candidate 5]]))),(SamplingData[[#This Row],[Total]]+SamplingData[[#This Row],[Winning Candidate]]-SamplingData[[#This Row],[Candidate 5]])/(SamplingData[[#Totals],[Winning Candidate]]-SamplingData[[#Totals],[Candidate 5]]), 0)</f>
        <v>1.7027487229384578E-3</v>
      </c>
      <c r="O1597" s="100">
        <f>IF(AND(SamplingData[[#This Row],[Total]]&lt;&gt; 0, NOT(ISBLANK(SamplingData[[#This Row],[Candidate 6]]))),(SamplingData[[#This Row],[Total]]+SamplingData[[#This Row],[Winning Candidate]]-SamplingData[[#This Row],[Candidate 6]])/(SamplingData[[#Totals],[Winning Candidate]]-SamplingData[[#Totals],[Candidate 6]]), 0)</f>
        <v>1.7265697193716259E-3</v>
      </c>
      <c r="P1597" s="100">
        <f>MAX(SamplingData[[#This Row],[Error Bound (up) - Max. possible relative overstatement - Losing Candidate]:[Error Bound (up) - Max. possible relative overstatement - Candidate 6]])</f>
        <v>3.5521803037726605E-3</v>
      </c>
      <c r="Q1597" s="100">
        <f>IF(SamplingData[[#This Row],[Max Error Bound (up)]] = 0,0,SamplingData[[#This Row],[Max Error Bound (up)]]/SamplingData[[#Totals],[Max Error Bound (up)]])</f>
        <v>5.6219100014985829E-4</v>
      </c>
      <c r="R1597" s="101">
        <f>SUM($Q$5:Q1597)</f>
        <v>0.56575085496046074</v>
      </c>
      <c r="S1597" s="100" t="str">
        <f t="array" ref="S1597">IF(SamplingData[[#This Row],[up/U Selection Probability]] = 0, "Zero", TEXT(SamplingData[[#This Row],[Lower Range]], REPT("0",LEN('General Info'!$B$40))) &amp; " - " &amp; TEXT(SamplingData[[#This Row],[Upper Range]], REPT("0",LEN('General Info'!$B$40))))</f>
        <v>56519 - 56574</v>
      </c>
      <c r="T1597" s="100">
        <f>SamplingData[[#This Row],[Upper Range]]-SamplingData[[#This Row],[Span]]</f>
        <v>56518.866958222083</v>
      </c>
      <c r="U1597" s="100">
        <f>IF(ISNUMBER('General Info'!$B$40), ((SamplingData[[#This Row],[up/U Selection Probability]]) * 'General Info'!$B$40) - 1, 0)</f>
        <v>55.218537823985677</v>
      </c>
      <c r="V1597" s="100">
        <f>IF(ISNUMBER('General Info'!$B$40), (SamplingData[[#This Row],[Running (cumulative) sum]] * ('General Info'!$B$40 -'General Info'!$B$41 + 1)) + 'General Info'!$B$41 - 1, 0)</f>
        <v>56574.085496046071</v>
      </c>
      <c r="W1597" s="100" t="str">
        <f>IF(ISERROR(MATCH(SamplingData[[#This Row],[Batch by Type (p)]],SelectedPrecincts[Batch Name], 0)), "", INDEX(SelectedPrecincts[Draw], MATCH(SamplingData[[#This Row],[Batch by Type (p)]],SelectedPrecincts[Batch Name], 0)))</f>
        <v/>
      </c>
      <c r="X1597" s="102">
        <f>IF(COUNTIF(SelectedPrecincts[Batch Name],SamplingData[[#This Row],[Batch by Type (p)]]) &lt;&gt; 0, COUNTIF(SelectedPrecincts[Batch Name],SamplingData[[#This Row],[Batch by Type (p)]]), 0)</f>
        <v>0</v>
      </c>
    </row>
    <row r="1598" spans="1:24" ht="15" customHeight="1">
      <c r="A1598" s="18" t="s">
        <v>1774</v>
      </c>
      <c r="B1598" s="18">
        <v>7</v>
      </c>
      <c r="C1598" s="18">
        <v>13</v>
      </c>
      <c r="D1598" s="18">
        <v>2</v>
      </c>
      <c r="E1598" s="18">
        <v>2</v>
      </c>
      <c r="F1598" s="18">
        <v>0</v>
      </c>
      <c r="G1598" s="18">
        <v>0</v>
      </c>
      <c r="H1598" s="18">
        <v>0</v>
      </c>
      <c r="I1598" s="18">
        <v>1</v>
      </c>
      <c r="J1598" s="99">
        <f>SUM(SamplingData[[#This Row],[Losing Candidate]:[Under Votes]])</f>
        <v>25</v>
      </c>
      <c r="K1598"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598" s="100">
        <f>IF(AND(SamplingData[[#This Row],[Total]]&lt;&gt; 0, NOT(ISBLANK(SamplingData[[#This Row],[Candidate 3]]))),(SamplingData[[#This Row],[Total]]+SamplingData[[#This Row],[Winning Candidate]]-SamplingData[[#This Row],[Candidate 3]])/(SamplingData[[#Totals],[Winning Candidate]]-SamplingData[[#Totals],[Candidate 3]]), 0)</f>
        <v>1.1614027163919089E-3</v>
      </c>
      <c r="M1598" s="100">
        <f>IF(AND(SamplingData[[#This Row],[Total]]&lt;&gt; 0, NOT(ISBLANK(SamplingData[[#This Row],[Candidate 4]]))),(SamplingData[[#This Row],[Total]]+SamplingData[[#This Row],[Winning Candidate]]-SamplingData[[#This Row],[Candidate 4]])/(SamplingData[[#Totals],[Winning Candidate]]-SamplingData[[#Totals],[Candidate 4]]), 0)</f>
        <v>1.0523546435148646E-3</v>
      </c>
      <c r="N1598" s="100">
        <f>IF(AND(SamplingData[[#This Row],[Total]]&lt;&gt; 0, NOT(ISBLANK(SamplingData[[#This Row],[Candidate 5]]))),(SamplingData[[#This Row],[Total]]+SamplingData[[#This Row],[Winning Candidate]]-SamplingData[[#This Row],[Candidate 5]])/(SamplingData[[#Totals],[Winning Candidate]]-SamplingData[[#Totals],[Candidate 5]]), 0)</f>
        <v>9.2434930673801995E-4</v>
      </c>
      <c r="O1598" s="100">
        <f>IF(AND(SamplingData[[#This Row],[Total]]&lt;&gt; 0, NOT(ISBLANK(SamplingData[[#This Row],[Candidate 6]]))),(SamplingData[[#This Row],[Total]]+SamplingData[[#This Row],[Winning Candidate]]-SamplingData[[#This Row],[Candidate 6]])/(SamplingData[[#Totals],[Winning Candidate]]-SamplingData[[#Totals],[Candidate 6]]), 0)</f>
        <v>9.2407956811439132E-4</v>
      </c>
      <c r="P1598" s="100">
        <f>MAX(SamplingData[[#This Row],[Error Bound (up) - Max. possible relative overstatement - Losing Candidate]:[Error Bound (up) - Max. possible relative overstatement - Candidate 6]])</f>
        <v>1.8985791278784908E-3</v>
      </c>
      <c r="Q1598" s="100">
        <f>IF(SamplingData[[#This Row],[Max Error Bound (up)]] = 0,0,SamplingData[[#This Row],[Max Error Bound (up)]]/SamplingData[[#Totals],[Max Error Bound (up)]])</f>
        <v>3.0048139663182077E-4</v>
      </c>
      <c r="R1598" s="101">
        <f>SUM($Q$5:Q1598)</f>
        <v>0.56605133635709259</v>
      </c>
      <c r="S1598" s="100" t="str">
        <f t="array" ref="S1598">IF(SamplingData[[#This Row],[up/U Selection Probability]] = 0, "Zero", TEXT(SamplingData[[#This Row],[Lower Range]], REPT("0",LEN('General Info'!$B$40))) &amp; " - " &amp; TEXT(SamplingData[[#This Row],[Upper Range]], REPT("0",LEN('General Info'!$B$40))))</f>
        <v>56575 - 56604</v>
      </c>
      <c r="T1598" s="100">
        <f>SamplingData[[#This Row],[Upper Range]]-SamplingData[[#This Row],[Span]]</f>
        <v>56575.08579652747</v>
      </c>
      <c r="U1598" s="100">
        <f>IF(ISNUMBER('General Info'!$B$40), ((SamplingData[[#This Row],[up/U Selection Probability]]) * 'General Info'!$B$40) - 1, 0)</f>
        <v>29.047839181785445</v>
      </c>
      <c r="V1598" s="100">
        <f>IF(ISNUMBER('General Info'!$B$40), (SamplingData[[#This Row],[Running (cumulative) sum]] * ('General Info'!$B$40 -'General Info'!$B$41 + 1)) + 'General Info'!$B$41 - 1, 0)</f>
        <v>56604.133635709259</v>
      </c>
      <c r="W1598" s="100" t="str">
        <f>IF(ISERROR(MATCH(SamplingData[[#This Row],[Batch by Type (p)]],SelectedPrecincts[Batch Name], 0)), "", INDEX(SelectedPrecincts[Draw], MATCH(SamplingData[[#This Row],[Batch by Type (p)]],SelectedPrecincts[Batch Name], 0)))</f>
        <v/>
      </c>
      <c r="X1598" s="102">
        <f>IF(COUNTIF(SelectedPrecincts[Batch Name],SamplingData[[#This Row],[Batch by Type (p)]]) &lt;&gt; 0, COUNTIF(SelectedPrecincts[Batch Name],SamplingData[[#This Row],[Batch by Type (p)]]), 0)</f>
        <v>0</v>
      </c>
    </row>
    <row r="1599" spans="1:24" ht="15" customHeight="1">
      <c r="A1599" s="18" t="s">
        <v>1775</v>
      </c>
      <c r="B1599" s="18">
        <v>23</v>
      </c>
      <c r="C1599" s="18">
        <v>41</v>
      </c>
      <c r="D1599" s="16">
        <v>21</v>
      </c>
      <c r="E1599" s="16">
        <v>11</v>
      </c>
      <c r="F1599" s="37">
        <v>0</v>
      </c>
      <c r="G1599" s="37">
        <v>0</v>
      </c>
      <c r="H1599" s="17">
        <v>0</v>
      </c>
      <c r="I1599" s="17">
        <v>2</v>
      </c>
      <c r="J1599" s="99">
        <f>SUM(SamplingData[[#This Row],[Losing Candidate]:[Under Votes]])</f>
        <v>98</v>
      </c>
      <c r="K1599" s="100">
        <f>IF(AND(SamplingData[[#This Row],[Total]]&lt;&gt; 0, NOT(ISBLANK(SamplingData[[#This Row],[Losing Candidate]]))),(SamplingData[[#This Row],[Total]]+SamplingData[[#This Row],[Winning Candidate]]-SamplingData[[#This Row],[Losing Candidate]])/(SamplingData[[#Totals],[Winning Candidate]]-SamplingData[[#Totals],[Losing Candidate]]), 0)</f>
        <v>7.104360607545321E-3</v>
      </c>
      <c r="L1599" s="100">
        <f>IF(AND(SamplingData[[#This Row],[Total]]&lt;&gt; 0, NOT(ISBLANK(SamplingData[[#This Row],[Candidate 3]]))),(SamplingData[[#This Row],[Total]]+SamplingData[[#This Row],[Winning Candidate]]-SamplingData[[#This Row],[Candidate 3]])/(SamplingData[[#Totals],[Winning Candidate]]-SamplingData[[#Totals],[Candidate 3]]), 0)</f>
        <v>3.8068200148401459E-3</v>
      </c>
      <c r="M1599" s="100">
        <f>IF(AND(SamplingData[[#This Row],[Total]]&lt;&gt; 0, NOT(ISBLANK(SamplingData[[#This Row],[Candidate 4]]))),(SamplingData[[#This Row],[Total]]+SamplingData[[#This Row],[Winning Candidate]]-SamplingData[[#This Row],[Candidate 4]])/(SamplingData[[#Totals],[Winning Candidate]]-SamplingData[[#Totals],[Candidate 4]]), 0)</f>
        <v>3.7417053991639629E-3</v>
      </c>
      <c r="N1599" s="100">
        <f>IF(AND(SamplingData[[#This Row],[Total]]&lt;&gt; 0, NOT(ISBLANK(SamplingData[[#This Row],[Candidate 5]]))),(SamplingData[[#This Row],[Total]]+SamplingData[[#This Row],[Winning Candidate]]-SamplingData[[#This Row],[Candidate 5]])/(SamplingData[[#Totals],[Winning Candidate]]-SamplingData[[#Totals],[Candidate 5]]), 0)</f>
        <v>3.3811724641206521E-3</v>
      </c>
      <c r="O1599" s="100">
        <f>IF(AND(SamplingData[[#This Row],[Total]]&lt;&gt; 0, NOT(ISBLANK(SamplingData[[#This Row],[Candidate 6]]))),(SamplingData[[#This Row],[Total]]+SamplingData[[#This Row],[Winning Candidate]]-SamplingData[[#This Row],[Candidate 6]])/(SamplingData[[#Totals],[Winning Candidate]]-SamplingData[[#Totals],[Candidate 6]]), 0)</f>
        <v>3.3801857886289577E-3</v>
      </c>
      <c r="P1599" s="100">
        <f>MAX(SamplingData[[#This Row],[Error Bound (up) - Max. possible relative overstatement - Losing Candidate]:[Error Bound (up) - Max. possible relative overstatement - Candidate 6]])</f>
        <v>7.104360607545321E-3</v>
      </c>
      <c r="Q1599" s="100">
        <f>IF(SamplingData[[#This Row],[Max Error Bound (up)]] = 0,0,SamplingData[[#This Row],[Max Error Bound (up)]]/SamplingData[[#Totals],[Max Error Bound (up)]])</f>
        <v>1.1243820002997166E-3</v>
      </c>
      <c r="R1599" s="101">
        <f>SUM($Q$5:Q1599)</f>
        <v>0.56717571835739233</v>
      </c>
      <c r="S1599" s="100" t="str">
        <f t="array" ref="S1599">IF(SamplingData[[#This Row],[up/U Selection Probability]] = 0, "Zero", TEXT(SamplingData[[#This Row],[Lower Range]], REPT("0",LEN('General Info'!$B$40))) &amp; " - " &amp; TEXT(SamplingData[[#This Row],[Upper Range]], REPT("0",LEN('General Info'!$B$40))))</f>
        <v>56605 - 56717</v>
      </c>
      <c r="T1599" s="100">
        <f>SamplingData[[#This Row],[Upper Range]]-SamplingData[[#This Row],[Span]]</f>
        <v>56605.134760091263</v>
      </c>
      <c r="U1599" s="100">
        <f>IF(ISNUMBER('General Info'!$B$40), ((SamplingData[[#This Row],[up/U Selection Probability]]) * 'General Info'!$B$40) - 1, 0)</f>
        <v>111.43707564797135</v>
      </c>
      <c r="V1599" s="100">
        <f>IF(ISNUMBER('General Info'!$B$40), (SamplingData[[#This Row],[Running (cumulative) sum]] * ('General Info'!$B$40 -'General Info'!$B$41 + 1)) + 'General Info'!$B$41 - 1, 0)</f>
        <v>56716.571835739232</v>
      </c>
      <c r="W1599" s="100" t="str">
        <f>IF(ISERROR(MATCH(SamplingData[[#This Row],[Batch by Type (p)]],SelectedPrecincts[Batch Name], 0)), "", INDEX(SelectedPrecincts[Draw], MATCH(SamplingData[[#This Row],[Batch by Type (p)]],SelectedPrecincts[Batch Name], 0)))</f>
        <v/>
      </c>
      <c r="X1599" s="102">
        <f>IF(COUNTIF(SelectedPrecincts[Batch Name],SamplingData[[#This Row],[Batch by Type (p)]]) &lt;&gt; 0, COUNTIF(SelectedPrecincts[Batch Name],SamplingData[[#This Row],[Batch by Type (p)]]), 0)</f>
        <v>0</v>
      </c>
    </row>
    <row r="1600" spans="1:24" ht="15" customHeight="1">
      <c r="A1600" s="18" t="s">
        <v>1776</v>
      </c>
      <c r="B1600" s="18">
        <v>8</v>
      </c>
      <c r="C1600" s="18">
        <v>22</v>
      </c>
      <c r="D1600" s="18">
        <v>4</v>
      </c>
      <c r="E1600" s="18">
        <v>4</v>
      </c>
      <c r="F1600" s="18">
        <v>2</v>
      </c>
      <c r="G1600" s="18">
        <v>0</v>
      </c>
      <c r="H1600" s="18">
        <v>0</v>
      </c>
      <c r="I1600" s="18">
        <v>1</v>
      </c>
      <c r="J1600" s="99">
        <f>SUM(SamplingData[[#This Row],[Losing Candidate]:[Under Votes]])</f>
        <v>41</v>
      </c>
      <c r="K1600" s="100">
        <f>IF(AND(SamplingData[[#This Row],[Total]]&lt;&gt; 0, NOT(ISBLANK(SamplingData[[#This Row],[Losing Candidate]]))),(SamplingData[[#This Row],[Total]]+SamplingData[[#This Row],[Winning Candidate]]-SamplingData[[#This Row],[Losing Candidate]])/(SamplingData[[#Totals],[Winning Candidate]]-SamplingData[[#Totals],[Losing Candidate]]), 0)</f>
        <v>3.3684468397844193E-3</v>
      </c>
      <c r="L1600" s="100">
        <f>IF(AND(SamplingData[[#This Row],[Total]]&lt;&gt; 0, NOT(ISBLANK(SamplingData[[#This Row],[Candidate 3]]))),(SamplingData[[#This Row],[Total]]+SamplingData[[#This Row],[Winning Candidate]]-SamplingData[[#This Row],[Candidate 3]])/(SamplingData[[#Totals],[Winning Candidate]]-SamplingData[[#Totals],[Candidate 3]]), 0)</f>
        <v>1.9034100074200729E-3</v>
      </c>
      <c r="M1600" s="100">
        <f>IF(AND(SamplingData[[#This Row],[Total]]&lt;&gt; 0, NOT(ISBLANK(SamplingData[[#This Row],[Candidate 4]]))),(SamplingData[[#This Row],[Total]]+SamplingData[[#This Row],[Winning Candidate]]-SamplingData[[#This Row],[Candidate 4]])/(SamplingData[[#Totals],[Winning Candidate]]-SamplingData[[#Totals],[Candidate 4]]), 0)</f>
        <v>1.7246923324271391E-3</v>
      </c>
      <c r="N1600" s="100">
        <f>IF(AND(SamplingData[[#This Row],[Total]]&lt;&gt; 0, NOT(ISBLANK(SamplingData[[#This Row],[Candidate 5]]))),(SamplingData[[#This Row],[Total]]+SamplingData[[#This Row],[Winning Candidate]]-SamplingData[[#This Row],[Candidate 5]])/(SamplingData[[#Totals],[Winning Candidate]]-SamplingData[[#Totals],[Candidate 5]]), 0)</f>
        <v>1.4838238871320846E-3</v>
      </c>
      <c r="O1600" s="100">
        <f>IF(AND(SamplingData[[#This Row],[Total]]&lt;&gt; 0, NOT(ISBLANK(SamplingData[[#This Row],[Candidate 6]]))),(SamplingData[[#This Row],[Total]]+SamplingData[[#This Row],[Winning Candidate]]-SamplingData[[#This Row],[Candidate 6]])/(SamplingData[[#Totals],[Winning Candidate]]-SamplingData[[#Totals],[Candidate 6]]), 0)</f>
        <v>1.532026652400175E-3</v>
      </c>
      <c r="P1600" s="100">
        <f>MAX(SamplingData[[#This Row],[Error Bound (up) - Max. possible relative overstatement - Losing Candidate]:[Error Bound (up) - Max. possible relative overstatement - Candidate 6]])</f>
        <v>3.3684468397844193E-3</v>
      </c>
      <c r="Q1600" s="100">
        <f>IF(SamplingData[[#This Row],[Max Error Bound (up)]] = 0,0,SamplingData[[#This Row],[Max Error Bound (up)]]/SamplingData[[#Totals],[Max Error Bound (up)]])</f>
        <v>5.3311215531452077E-4</v>
      </c>
      <c r="R1600" s="101">
        <f>SUM($Q$5:Q1600)</f>
        <v>0.56770883051270682</v>
      </c>
      <c r="S1600" s="100" t="str">
        <f t="array" ref="S1600">IF(SamplingData[[#This Row],[up/U Selection Probability]] = 0, "Zero", TEXT(SamplingData[[#This Row],[Lower Range]], REPT("0",LEN('General Info'!$B$40))) &amp; " - " &amp; TEXT(SamplingData[[#This Row],[Upper Range]], REPT("0",LEN('General Info'!$B$40))))</f>
        <v>56718 - 56770</v>
      </c>
      <c r="T1600" s="100">
        <f>SamplingData[[#This Row],[Upper Range]]-SamplingData[[#This Row],[Span]]</f>
        <v>56717.57236885139</v>
      </c>
      <c r="U1600" s="100">
        <f>IF(ISNUMBER('General Info'!$B$40), ((SamplingData[[#This Row],[up/U Selection Probability]]) * 'General Info'!$B$40) - 1, 0)</f>
        <v>52.310682419296761</v>
      </c>
      <c r="V1600" s="100">
        <f>IF(ISNUMBER('General Info'!$B$40), (SamplingData[[#This Row],[Running (cumulative) sum]] * ('General Info'!$B$40 -'General Info'!$B$41 + 1)) + 'General Info'!$B$41 - 1, 0)</f>
        <v>56769.883051270685</v>
      </c>
      <c r="W1600" s="100" t="str">
        <f>IF(ISERROR(MATCH(SamplingData[[#This Row],[Batch by Type (p)]],SelectedPrecincts[Batch Name], 0)), "", INDEX(SelectedPrecincts[Draw], MATCH(SamplingData[[#This Row],[Batch by Type (p)]],SelectedPrecincts[Batch Name], 0)))</f>
        <v/>
      </c>
      <c r="X1600" s="102">
        <f>IF(COUNTIF(SelectedPrecincts[Batch Name],SamplingData[[#This Row],[Batch by Type (p)]]) &lt;&gt; 0, COUNTIF(SelectedPrecincts[Batch Name],SamplingData[[#This Row],[Batch by Type (p)]]), 0)</f>
        <v>0</v>
      </c>
    </row>
    <row r="1601" spans="1:24" ht="15" customHeight="1">
      <c r="A1601" s="18" t="s">
        <v>1777</v>
      </c>
      <c r="B1601" s="18">
        <v>35</v>
      </c>
      <c r="C1601" s="18">
        <v>40</v>
      </c>
      <c r="D1601" s="16">
        <v>11</v>
      </c>
      <c r="E1601" s="16">
        <v>5</v>
      </c>
      <c r="F1601" s="37">
        <v>0</v>
      </c>
      <c r="G1601" s="37">
        <v>2</v>
      </c>
      <c r="H1601" s="17">
        <v>0</v>
      </c>
      <c r="I1601" s="17">
        <v>1</v>
      </c>
      <c r="J1601" s="99">
        <f>SUM(SamplingData[[#This Row],[Losing Candidate]:[Under Votes]])</f>
        <v>94</v>
      </c>
      <c r="K1601" s="100">
        <f>IF(AND(SamplingData[[#This Row],[Total]]&lt;&gt; 0, NOT(ISBLANK(SamplingData[[#This Row],[Losing Candidate]]))),(SamplingData[[#This Row],[Total]]+SamplingData[[#This Row],[Winning Candidate]]-SamplingData[[#This Row],[Losing Candidate]])/(SamplingData[[#Totals],[Winning Candidate]]-SamplingData[[#Totals],[Losing Candidate]]), 0)</f>
        <v>6.063204311611955E-3</v>
      </c>
      <c r="L1601" s="100">
        <f>IF(AND(SamplingData[[#This Row],[Total]]&lt;&gt; 0, NOT(ISBLANK(SamplingData[[#This Row],[Candidate 3]]))),(SamplingData[[#This Row],[Total]]+SamplingData[[#This Row],[Winning Candidate]]-SamplingData[[#This Row],[Candidate 3]])/(SamplingData[[#Totals],[Winning Candidate]]-SamplingData[[#Totals],[Candidate 3]]), 0)</f>
        <v>3.9681259476723558E-3</v>
      </c>
      <c r="M1601" s="100">
        <f>IF(AND(SamplingData[[#This Row],[Total]]&lt;&gt; 0, NOT(ISBLANK(SamplingData[[#This Row],[Candidate 4]]))),(SamplingData[[#This Row],[Total]]+SamplingData[[#This Row],[Winning Candidate]]-SamplingData[[#This Row],[Candidate 4]])/(SamplingData[[#Totals],[Winning Candidate]]-SamplingData[[#Totals],[Candidate 4]]), 0)</f>
        <v>3.7709374725949313E-3</v>
      </c>
      <c r="N1601" s="100">
        <f>IF(AND(SamplingData[[#This Row],[Total]]&lt;&gt; 0, NOT(ISBLANK(SamplingData[[#This Row],[Candidate 5]]))),(SamplingData[[#This Row],[Total]]+SamplingData[[#This Row],[Winning Candidate]]-SamplingData[[#This Row],[Candidate 5]])/(SamplingData[[#Totals],[Winning Candidate]]-SamplingData[[#Totals],[Candidate 5]]), 0)</f>
        <v>3.2595475553393333E-3</v>
      </c>
      <c r="O1601" s="100">
        <f>IF(AND(SamplingData[[#This Row],[Total]]&lt;&gt; 0, NOT(ISBLANK(SamplingData[[#This Row],[Candidate 6]]))),(SamplingData[[#This Row],[Total]]+SamplingData[[#This Row],[Winning Candidate]]-SamplingData[[#This Row],[Candidate 6]])/(SamplingData[[#Totals],[Winning Candidate]]-SamplingData[[#Totals],[Candidate 6]]), 0)</f>
        <v>3.2099606050289384E-3</v>
      </c>
      <c r="P1601" s="100">
        <f>MAX(SamplingData[[#This Row],[Error Bound (up) - Max. possible relative overstatement - Losing Candidate]:[Error Bound (up) - Max. possible relative overstatement - Candidate 6]])</f>
        <v>6.063204311611955E-3</v>
      </c>
      <c r="Q1601" s="100">
        <f>IF(SamplingData[[#This Row],[Max Error Bound (up)]] = 0,0,SamplingData[[#This Row],[Max Error Bound (up)]]/SamplingData[[#Totals],[Max Error Bound (up)]])</f>
        <v>9.5960187956613729E-4</v>
      </c>
      <c r="R1601" s="101">
        <f>SUM($Q$5:Q1601)</f>
        <v>0.56866843239227294</v>
      </c>
      <c r="S1601" s="100" t="str">
        <f t="array" ref="S1601">IF(SamplingData[[#This Row],[up/U Selection Probability]] = 0, "Zero", TEXT(SamplingData[[#This Row],[Lower Range]], REPT("0",LEN('General Info'!$B$40))) &amp; " - " &amp; TEXT(SamplingData[[#This Row],[Upper Range]], REPT("0",LEN('General Info'!$B$40))))</f>
        <v>56771 - 56866</v>
      </c>
      <c r="T1601" s="100">
        <f>SamplingData[[#This Row],[Upper Range]]-SamplingData[[#This Row],[Span]]</f>
        <v>56770.884010872564</v>
      </c>
      <c r="U1601" s="100">
        <f>IF(ISNUMBER('General Info'!$B$40), ((SamplingData[[#This Row],[up/U Selection Probability]]) * 'General Info'!$B$40) - 1, 0)</f>
        <v>94.959228354734165</v>
      </c>
      <c r="V1601" s="100">
        <f>IF(ISNUMBER('General Info'!$B$40), (SamplingData[[#This Row],[Running (cumulative) sum]] * ('General Info'!$B$40 -'General Info'!$B$41 + 1)) + 'General Info'!$B$41 - 1, 0)</f>
        <v>56865.843239227295</v>
      </c>
      <c r="W1601" s="100" t="str">
        <f>IF(ISERROR(MATCH(SamplingData[[#This Row],[Batch by Type (p)]],SelectedPrecincts[Batch Name], 0)), "", INDEX(SelectedPrecincts[Draw], MATCH(SamplingData[[#This Row],[Batch by Type (p)]],SelectedPrecincts[Batch Name], 0)))</f>
        <v/>
      </c>
      <c r="X1601" s="102">
        <f>IF(COUNTIF(SelectedPrecincts[Batch Name],SamplingData[[#This Row],[Batch by Type (p)]]) &lt;&gt; 0, COUNTIF(SelectedPrecincts[Batch Name],SamplingData[[#This Row],[Batch by Type (p)]]), 0)</f>
        <v>0</v>
      </c>
    </row>
    <row r="1602" spans="1:24" ht="15" customHeight="1">
      <c r="A1602" s="18" t="s">
        <v>1778</v>
      </c>
      <c r="B1602" s="18">
        <v>5</v>
      </c>
      <c r="C1602" s="18">
        <v>11</v>
      </c>
      <c r="D1602" s="18">
        <v>4</v>
      </c>
      <c r="E1602" s="18">
        <v>2</v>
      </c>
      <c r="F1602" s="18">
        <v>0</v>
      </c>
      <c r="G1602" s="18">
        <v>0</v>
      </c>
      <c r="H1602" s="18">
        <v>0</v>
      </c>
      <c r="I1602" s="18">
        <v>0</v>
      </c>
      <c r="J1602" s="99">
        <f>SUM(SamplingData[[#This Row],[Losing Candidate]:[Under Votes]])</f>
        <v>22</v>
      </c>
      <c r="K1602"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602" s="100">
        <f>IF(AND(SamplingData[[#This Row],[Total]]&lt;&gt; 0, NOT(ISBLANK(SamplingData[[#This Row],[Candidate 3]]))),(SamplingData[[#This Row],[Total]]+SamplingData[[#This Row],[Winning Candidate]]-SamplingData[[#This Row],[Candidate 3]])/(SamplingData[[#Totals],[Winning Candidate]]-SamplingData[[#Totals],[Candidate 3]]), 0)</f>
        <v>9.3557441042681547E-4</v>
      </c>
      <c r="M1602" s="100">
        <f>IF(AND(SamplingData[[#This Row],[Total]]&lt;&gt; 0, NOT(ISBLANK(SamplingData[[#This Row],[Candidate 4]]))),(SamplingData[[#This Row],[Total]]+SamplingData[[#This Row],[Winning Candidate]]-SamplingData[[#This Row],[Candidate 4]])/(SamplingData[[#Totals],[Winning Candidate]]-SamplingData[[#Totals],[Candidate 4]]), 0)</f>
        <v>9.0619427636002225E-4</v>
      </c>
      <c r="N1602" s="100">
        <f>IF(AND(SamplingData[[#This Row],[Total]]&lt;&gt; 0, NOT(ISBLANK(SamplingData[[#This Row],[Candidate 5]]))),(SamplingData[[#This Row],[Total]]+SamplingData[[#This Row],[Winning Candidate]]-SamplingData[[#This Row],[Candidate 5]])/(SamplingData[[#Totals],[Winning Candidate]]-SamplingData[[#Totals],[Candidate 5]]), 0)</f>
        <v>8.0272439795670155E-4</v>
      </c>
      <c r="O1602" s="100">
        <f>IF(AND(SamplingData[[#This Row],[Total]]&lt;&gt; 0, NOT(ISBLANK(SamplingData[[#This Row],[Candidate 6]]))),(SamplingData[[#This Row],[Total]]+SamplingData[[#This Row],[Winning Candidate]]-SamplingData[[#This Row],[Candidate 6]])/(SamplingData[[#Totals],[Winning Candidate]]-SamplingData[[#Totals],[Candidate 6]]), 0)</f>
        <v>8.024901512572346E-4</v>
      </c>
      <c r="P1602" s="100">
        <f>MAX(SamplingData[[#This Row],[Error Bound (up) - Max. possible relative overstatement - Losing Candidate]:[Error Bound (up) - Max. possible relative overstatement - Candidate 6]])</f>
        <v>1.7148456638902498E-3</v>
      </c>
      <c r="Q1602" s="100">
        <f>IF(SamplingData[[#This Row],[Max Error Bound (up)]] = 0,0,SamplingData[[#This Row],[Max Error Bound (up)]]/SamplingData[[#Totals],[Max Error Bound (up)]])</f>
        <v>2.714025517964833E-4</v>
      </c>
      <c r="R1602" s="101">
        <f>SUM($Q$5:Q1602)</f>
        <v>0.56893983494406941</v>
      </c>
      <c r="S1602" s="100" t="str">
        <f t="array" ref="S1602">IF(SamplingData[[#This Row],[up/U Selection Probability]] = 0, "Zero", TEXT(SamplingData[[#This Row],[Lower Range]], REPT("0",LEN('General Info'!$B$40))) &amp; " - " &amp; TEXT(SamplingData[[#This Row],[Upper Range]], REPT("0",LEN('General Info'!$B$40))))</f>
        <v>56867 - 56893</v>
      </c>
      <c r="T1602" s="100">
        <f>SamplingData[[#This Row],[Upper Range]]-SamplingData[[#This Row],[Span]]</f>
        <v>56866.843510629849</v>
      </c>
      <c r="U1602" s="100">
        <f>IF(ISNUMBER('General Info'!$B$40), ((SamplingData[[#This Row],[up/U Selection Probability]]) * 'General Info'!$B$40) - 1, 0)</f>
        <v>26.139983777096536</v>
      </c>
      <c r="V1602" s="100">
        <f>IF(ISNUMBER('General Info'!$B$40), (SamplingData[[#This Row],[Running (cumulative) sum]] * ('General Info'!$B$40 -'General Info'!$B$41 + 1)) + 'General Info'!$B$41 - 1, 0)</f>
        <v>56892.983494406944</v>
      </c>
      <c r="W1602" s="100" t="str">
        <f>IF(ISERROR(MATCH(SamplingData[[#This Row],[Batch by Type (p)]],SelectedPrecincts[Batch Name], 0)), "", INDEX(SelectedPrecincts[Draw], MATCH(SamplingData[[#This Row],[Batch by Type (p)]],SelectedPrecincts[Batch Name], 0)))</f>
        <v/>
      </c>
      <c r="X1602" s="102">
        <f>IF(COUNTIF(SelectedPrecincts[Batch Name],SamplingData[[#This Row],[Batch by Type (p)]]) &lt;&gt; 0, COUNTIF(SelectedPrecincts[Batch Name],SamplingData[[#This Row],[Batch by Type (p)]]), 0)</f>
        <v>0</v>
      </c>
    </row>
    <row r="1603" spans="1:24" ht="15" customHeight="1">
      <c r="A1603" s="18" t="s">
        <v>1779</v>
      </c>
      <c r="B1603" s="18">
        <v>33</v>
      </c>
      <c r="C1603" s="18">
        <v>44</v>
      </c>
      <c r="D1603" s="16">
        <v>16</v>
      </c>
      <c r="E1603" s="16">
        <v>9</v>
      </c>
      <c r="F1603" s="37">
        <v>0</v>
      </c>
      <c r="G1603" s="37">
        <v>1</v>
      </c>
      <c r="H1603" s="17">
        <v>0</v>
      </c>
      <c r="I1603" s="17">
        <v>3</v>
      </c>
      <c r="J1603" s="99">
        <f>SUM(SamplingData[[#This Row],[Losing Candidate]:[Under Votes]])</f>
        <v>106</v>
      </c>
      <c r="K1603" s="100">
        <f>IF(AND(SamplingData[[#This Row],[Total]]&lt;&gt; 0, NOT(ISBLANK(SamplingData[[#This Row],[Losing Candidate]]))),(SamplingData[[#This Row],[Total]]+SamplingData[[#This Row],[Winning Candidate]]-SamplingData[[#This Row],[Losing Candidate]])/(SamplingData[[#Totals],[Winning Candidate]]-SamplingData[[#Totals],[Losing Candidate]]), 0)</f>
        <v>7.1656050955414014E-3</v>
      </c>
      <c r="L1603" s="100">
        <f>IF(AND(SamplingData[[#This Row],[Total]]&lt;&gt; 0, NOT(ISBLANK(SamplingData[[#This Row],[Candidate 3]]))),(SamplingData[[#This Row],[Total]]+SamplingData[[#This Row],[Winning Candidate]]-SamplingData[[#This Row],[Candidate 3]])/(SamplingData[[#Totals],[Winning Candidate]]-SamplingData[[#Totals],[Candidate 3]]), 0)</f>
        <v>4.3229989999032164E-3</v>
      </c>
      <c r="M1603" s="100">
        <f>IF(AND(SamplingData[[#This Row],[Total]]&lt;&gt; 0, NOT(ISBLANK(SamplingData[[#This Row],[Candidate 4]]))),(SamplingData[[#This Row],[Total]]+SamplingData[[#This Row],[Winning Candidate]]-SamplingData[[#This Row],[Candidate 4]])/(SamplingData[[#Totals],[Winning Candidate]]-SamplingData[[#Totals],[Candidate 4]]), 0)</f>
        <v>4.1217223537665529E-3</v>
      </c>
      <c r="N1603" s="100">
        <f>IF(AND(SamplingData[[#This Row],[Total]]&lt;&gt; 0, NOT(ISBLANK(SamplingData[[#This Row],[Candidate 5]]))),(SamplingData[[#This Row],[Total]]+SamplingData[[#This Row],[Winning Candidate]]-SamplingData[[#This Row],[Candidate 5]])/(SamplingData[[#Totals],[Winning Candidate]]-SamplingData[[#Totals],[Candidate 5]]), 0)</f>
        <v>3.6487472634395522E-3</v>
      </c>
      <c r="O1603" s="100">
        <f>IF(AND(SamplingData[[#This Row],[Total]]&lt;&gt; 0, NOT(ISBLANK(SamplingData[[#This Row],[Candidate 6]]))),(SamplingData[[#This Row],[Total]]+SamplingData[[#This Row],[Winning Candidate]]-SamplingData[[#This Row],[Candidate 6]])/(SamplingData[[#Totals],[Winning Candidate]]-SamplingData[[#Totals],[Candidate 6]]), 0)</f>
        <v>3.6233646223432711E-3</v>
      </c>
      <c r="P1603" s="100">
        <f>MAX(SamplingData[[#This Row],[Error Bound (up) - Max. possible relative overstatement - Losing Candidate]:[Error Bound (up) - Max. possible relative overstatement - Candidate 6]])</f>
        <v>7.1656050955414014E-3</v>
      </c>
      <c r="Q1603" s="100">
        <f>IF(SamplingData[[#This Row],[Max Error Bound (up)]] = 0,0,SamplingData[[#This Row],[Max Error Bound (up)]]/SamplingData[[#Totals],[Max Error Bound (up)]])</f>
        <v>1.1340749485781623E-3</v>
      </c>
      <c r="R1603" s="101">
        <f>SUM($Q$5:Q1603)</f>
        <v>0.57007390989264761</v>
      </c>
      <c r="S1603" s="100" t="str">
        <f t="array" ref="S1603">IF(SamplingData[[#This Row],[up/U Selection Probability]] = 0, "Zero", TEXT(SamplingData[[#This Row],[Lower Range]], REPT("0",LEN('General Info'!$B$40))) &amp; " - " &amp; TEXT(SamplingData[[#This Row],[Upper Range]], REPT("0",LEN('General Info'!$B$40))))</f>
        <v>56894 - 57006</v>
      </c>
      <c r="T1603" s="100">
        <f>SamplingData[[#This Row],[Upper Range]]-SamplingData[[#This Row],[Span]]</f>
        <v>56893.9846284819</v>
      </c>
      <c r="U1603" s="100">
        <f>IF(ISNUMBER('General Info'!$B$40), ((SamplingData[[#This Row],[up/U Selection Probability]]) * 'General Info'!$B$40) - 1, 0)</f>
        <v>112.40636078286765</v>
      </c>
      <c r="V1603" s="100">
        <f>IF(ISNUMBER('General Info'!$B$40), (SamplingData[[#This Row],[Running (cumulative) sum]] * ('General Info'!$B$40 -'General Info'!$B$41 + 1)) + 'General Info'!$B$41 - 1, 0)</f>
        <v>57006.390989264764</v>
      </c>
      <c r="W1603" s="100" t="str">
        <f>IF(ISERROR(MATCH(SamplingData[[#This Row],[Batch by Type (p)]],SelectedPrecincts[Batch Name], 0)), "", INDEX(SelectedPrecincts[Draw], MATCH(SamplingData[[#This Row],[Batch by Type (p)]],SelectedPrecincts[Batch Name], 0)))</f>
        <v/>
      </c>
      <c r="X1603" s="102">
        <f>IF(COUNTIF(SelectedPrecincts[Batch Name],SamplingData[[#This Row],[Batch by Type (p)]]) &lt;&gt; 0, COUNTIF(SelectedPrecincts[Batch Name],SamplingData[[#This Row],[Batch by Type (p)]]), 0)</f>
        <v>0</v>
      </c>
    </row>
    <row r="1604" spans="1:24" ht="15" customHeight="1">
      <c r="A1604" s="18" t="s">
        <v>1780</v>
      </c>
      <c r="B1604" s="18">
        <v>10</v>
      </c>
      <c r="C1604" s="18">
        <v>28</v>
      </c>
      <c r="D1604" s="18">
        <v>9</v>
      </c>
      <c r="E1604" s="18">
        <v>4</v>
      </c>
      <c r="F1604" s="18">
        <v>1</v>
      </c>
      <c r="G1604" s="18">
        <v>1</v>
      </c>
      <c r="H1604" s="18">
        <v>0</v>
      </c>
      <c r="I1604" s="18">
        <v>2</v>
      </c>
      <c r="J1604" s="99">
        <f>SUM(SamplingData[[#This Row],[Losing Candidate]:[Under Votes]])</f>
        <v>55</v>
      </c>
      <c r="K1604" s="100">
        <f>IF(AND(SamplingData[[#This Row],[Total]]&lt;&gt; 0, NOT(ISBLANK(SamplingData[[#This Row],[Losing Candidate]]))),(SamplingData[[#This Row],[Total]]+SamplingData[[#This Row],[Winning Candidate]]-SamplingData[[#This Row],[Losing Candidate]])/(SamplingData[[#Totals],[Winning Candidate]]-SamplingData[[#Totals],[Losing Candidate]]), 0)</f>
        <v>4.4708476237138662E-3</v>
      </c>
      <c r="L1604" s="100">
        <f>IF(AND(SamplingData[[#This Row],[Total]]&lt;&gt; 0, NOT(ISBLANK(SamplingData[[#This Row],[Candidate 3]]))),(SamplingData[[#This Row],[Total]]+SamplingData[[#This Row],[Winning Candidate]]-SamplingData[[#This Row],[Candidate 3]])/(SamplingData[[#Totals],[Winning Candidate]]-SamplingData[[#Totals],[Candidate 3]]), 0)</f>
        <v>2.3873278059167017E-3</v>
      </c>
      <c r="M1604" s="100">
        <f>IF(AND(SamplingData[[#This Row],[Total]]&lt;&gt; 0, NOT(ISBLANK(SamplingData[[#This Row],[Candidate 4]]))),(SamplingData[[#This Row],[Total]]+SamplingData[[#This Row],[Winning Candidate]]-SamplingData[[#This Row],[Candidate 4]])/(SamplingData[[#Totals],[Winning Candidate]]-SamplingData[[#Totals],[Candidate 4]]), 0)</f>
        <v>2.3093338010465084E-3</v>
      </c>
      <c r="N1604" s="100">
        <f>IF(AND(SamplingData[[#This Row],[Total]]&lt;&gt; 0, NOT(ISBLANK(SamplingData[[#This Row],[Candidate 5]]))),(SamplingData[[#This Row],[Total]]+SamplingData[[#This Row],[Winning Candidate]]-SamplingData[[#This Row],[Candidate 5]])/(SamplingData[[#Totals],[Winning Candidate]]-SamplingData[[#Totals],[Candidate 5]]), 0)</f>
        <v>1.994648504013622E-3</v>
      </c>
      <c r="O1604" s="100">
        <f>IF(AND(SamplingData[[#This Row],[Total]]&lt;&gt; 0, NOT(ISBLANK(SamplingData[[#This Row],[Candidate 6]]))),(SamplingData[[#This Row],[Total]]+SamplingData[[#This Row],[Winning Candidate]]-SamplingData[[#This Row],[Candidate 6]])/(SamplingData[[#Totals],[Winning Candidate]]-SamplingData[[#Totals],[Candidate 6]]), 0)</f>
        <v>1.9940664364573707E-3</v>
      </c>
      <c r="P1604" s="100">
        <f>MAX(SamplingData[[#This Row],[Error Bound (up) - Max. possible relative overstatement - Losing Candidate]:[Error Bound (up) - Max. possible relative overstatement - Candidate 6]])</f>
        <v>4.4708476237138662E-3</v>
      </c>
      <c r="Q1604" s="100">
        <f>IF(SamplingData[[#This Row],[Max Error Bound (up)]] = 0,0,SamplingData[[#This Row],[Max Error Bound (up)]]/SamplingData[[#Totals],[Max Error Bound (up)]])</f>
        <v>7.0758522432654578E-4</v>
      </c>
      <c r="R1604" s="101">
        <f>SUM($Q$5:Q1604)</f>
        <v>0.57078149511697418</v>
      </c>
      <c r="S1604" s="100" t="str">
        <f t="array" ref="S1604">IF(SamplingData[[#This Row],[up/U Selection Probability]] = 0, "Zero", TEXT(SamplingData[[#This Row],[Lower Range]], REPT("0",LEN('General Info'!$B$40))) &amp; " - " &amp; TEXT(SamplingData[[#This Row],[Upper Range]], REPT("0",LEN('General Info'!$B$40))))</f>
        <v>57007 - 57077</v>
      </c>
      <c r="T1604" s="100">
        <f>SamplingData[[#This Row],[Upper Range]]-SamplingData[[#This Row],[Span]]</f>
        <v>57007.391696849991</v>
      </c>
      <c r="U1604" s="100">
        <f>IF(ISNUMBER('General Info'!$B$40), ((SamplingData[[#This Row],[up/U Selection Probability]]) * 'General Info'!$B$40) - 1, 0)</f>
        <v>69.757814847430254</v>
      </c>
      <c r="V1604" s="100">
        <f>IF(ISNUMBER('General Info'!$B$40), (SamplingData[[#This Row],[Running (cumulative) sum]] * ('General Info'!$B$40 -'General Info'!$B$41 + 1)) + 'General Info'!$B$41 - 1, 0)</f>
        <v>57077.149511697418</v>
      </c>
      <c r="W1604" s="100" t="str">
        <f>IF(ISERROR(MATCH(SamplingData[[#This Row],[Batch by Type (p)]],SelectedPrecincts[Batch Name], 0)), "", INDEX(SelectedPrecincts[Draw], MATCH(SamplingData[[#This Row],[Batch by Type (p)]],SelectedPrecincts[Batch Name], 0)))</f>
        <v/>
      </c>
      <c r="X1604" s="102">
        <f>IF(COUNTIF(SelectedPrecincts[Batch Name],SamplingData[[#This Row],[Batch by Type (p)]]) &lt;&gt; 0, COUNTIF(SelectedPrecincts[Batch Name],SamplingData[[#This Row],[Batch by Type (p)]]), 0)</f>
        <v>0</v>
      </c>
    </row>
    <row r="1605" spans="1:24" ht="15" customHeight="1">
      <c r="A1605" s="18" t="s">
        <v>1781</v>
      </c>
      <c r="B1605" s="18">
        <v>30</v>
      </c>
      <c r="C1605" s="18">
        <v>58</v>
      </c>
      <c r="D1605" s="16">
        <v>16</v>
      </c>
      <c r="E1605" s="16">
        <v>7</v>
      </c>
      <c r="F1605" s="37">
        <v>0</v>
      </c>
      <c r="G1605" s="37">
        <v>0</v>
      </c>
      <c r="H1605" s="17">
        <v>0</v>
      </c>
      <c r="I1605" s="17">
        <v>1</v>
      </c>
      <c r="J1605" s="99">
        <f>SUM(SamplingData[[#This Row],[Losing Candidate]:[Under Votes]])</f>
        <v>112</v>
      </c>
      <c r="K1605" s="100">
        <f>IF(AND(SamplingData[[#This Row],[Total]]&lt;&gt; 0, NOT(ISBLANK(SamplingData[[#This Row],[Losing Candidate]]))),(SamplingData[[#This Row],[Total]]+SamplingData[[#This Row],[Winning Candidate]]-SamplingData[[#This Row],[Losing Candidate]])/(SamplingData[[#Totals],[Winning Candidate]]-SamplingData[[#Totals],[Losing Candidate]]), 0)</f>
        <v>8.5742283194512499E-3</v>
      </c>
      <c r="L1605" s="100">
        <f>IF(AND(SamplingData[[#This Row],[Total]]&lt;&gt; 0, NOT(ISBLANK(SamplingData[[#This Row],[Candidate 3]]))),(SamplingData[[#This Row],[Total]]+SamplingData[[#This Row],[Winning Candidate]]-SamplingData[[#This Row],[Candidate 3]])/(SamplingData[[#Totals],[Winning Candidate]]-SamplingData[[#Totals],[Candidate 3]]), 0)</f>
        <v>4.9682227312320545E-3</v>
      </c>
      <c r="M1605" s="100">
        <f>IF(AND(SamplingData[[#This Row],[Total]]&lt;&gt; 0, NOT(ISBLANK(SamplingData[[#This Row],[Candidate 4]]))),(SamplingData[[#This Row],[Total]]+SamplingData[[#This Row],[Winning Candidate]]-SamplingData[[#This Row],[Candidate 4]])/(SamplingData[[#Totals],[Winning Candidate]]-SamplingData[[#Totals],[Candidate 4]]), 0)</f>
        <v>4.7648279692478592E-3</v>
      </c>
      <c r="N1605" s="100">
        <f>IF(AND(SamplingData[[#This Row],[Total]]&lt;&gt; 0, NOT(ISBLANK(SamplingData[[#This Row],[Candidate 5]]))),(SamplingData[[#This Row],[Total]]+SamplingData[[#This Row],[Winning Candidate]]-SamplingData[[#This Row],[Candidate 5]])/(SamplingData[[#Totals],[Winning Candidate]]-SamplingData[[#Totals],[Candidate 5]]), 0)</f>
        <v>4.1352468985648263E-3</v>
      </c>
      <c r="O1605" s="100">
        <f>IF(AND(SamplingData[[#This Row],[Total]]&lt;&gt; 0, NOT(ISBLANK(SamplingData[[#This Row],[Candidate 6]]))),(SamplingData[[#This Row],[Total]]+SamplingData[[#This Row],[Winning Candidate]]-SamplingData[[#This Row],[Candidate 6]])/(SamplingData[[#Totals],[Winning Candidate]]-SamplingData[[#Totals],[Candidate 6]]), 0)</f>
        <v>4.1340401731433298E-3</v>
      </c>
      <c r="P1605" s="100">
        <f>MAX(SamplingData[[#This Row],[Error Bound (up) - Max. possible relative overstatement - Losing Candidate]:[Error Bound (up) - Max. possible relative overstatement - Candidate 6]])</f>
        <v>8.5742283194512499E-3</v>
      </c>
      <c r="Q1605" s="100">
        <f>IF(SamplingData[[#This Row],[Max Error Bound (up)]] = 0,0,SamplingData[[#This Row],[Max Error Bound (up)]]/SamplingData[[#Totals],[Max Error Bound (up)]])</f>
        <v>1.3570127589824165E-3</v>
      </c>
      <c r="R1605" s="101">
        <f>SUM($Q$5:Q1605)</f>
        <v>0.57213850787595655</v>
      </c>
      <c r="S1605" s="100" t="str">
        <f t="array" ref="S1605">IF(SamplingData[[#This Row],[up/U Selection Probability]] = 0, "Zero", TEXT(SamplingData[[#This Row],[Lower Range]], REPT("0",LEN('General Info'!$B$40))) &amp; " - " &amp; TEXT(SamplingData[[#This Row],[Upper Range]], REPT("0",LEN('General Info'!$B$40))))</f>
        <v>57078 - 57213</v>
      </c>
      <c r="T1605" s="100">
        <f>SamplingData[[#This Row],[Upper Range]]-SamplingData[[#This Row],[Span]]</f>
        <v>57078.150868710174</v>
      </c>
      <c r="U1605" s="100">
        <f>IF(ISNUMBER('General Info'!$B$40), ((SamplingData[[#This Row],[up/U Selection Probability]]) * 'General Info'!$B$40) - 1, 0)</f>
        <v>134.69991888548267</v>
      </c>
      <c r="V1605" s="100">
        <f>IF(ISNUMBER('General Info'!$B$40), (SamplingData[[#This Row],[Running (cumulative) sum]] * ('General Info'!$B$40 -'General Info'!$B$41 + 1)) + 'General Info'!$B$41 - 1, 0)</f>
        <v>57212.850787595657</v>
      </c>
      <c r="W1605" s="100" t="str">
        <f>IF(ISERROR(MATCH(SamplingData[[#This Row],[Batch by Type (p)]],SelectedPrecincts[Batch Name], 0)), "", INDEX(SelectedPrecincts[Draw], MATCH(SamplingData[[#This Row],[Batch by Type (p)]],SelectedPrecincts[Batch Name], 0)))</f>
        <v/>
      </c>
      <c r="X1605" s="102">
        <f>IF(COUNTIF(SelectedPrecincts[Batch Name],SamplingData[[#This Row],[Batch by Type (p)]]) &lt;&gt; 0, COUNTIF(SelectedPrecincts[Batch Name],SamplingData[[#This Row],[Batch by Type (p)]]), 0)</f>
        <v>0</v>
      </c>
    </row>
    <row r="1606" spans="1:24" ht="15" customHeight="1">
      <c r="A1606" s="18" t="s">
        <v>1782</v>
      </c>
      <c r="B1606" s="18">
        <v>18</v>
      </c>
      <c r="C1606" s="18">
        <v>27</v>
      </c>
      <c r="D1606" s="18">
        <v>6</v>
      </c>
      <c r="E1606" s="18">
        <v>1</v>
      </c>
      <c r="F1606" s="18">
        <v>0</v>
      </c>
      <c r="G1606" s="18">
        <v>0</v>
      </c>
      <c r="H1606" s="18">
        <v>0</v>
      </c>
      <c r="I1606" s="18">
        <v>0</v>
      </c>
      <c r="J1606" s="99">
        <f>SUM(SamplingData[[#This Row],[Losing Candidate]:[Under Votes]])</f>
        <v>52</v>
      </c>
      <c r="K1606"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606" s="100">
        <f>IF(AND(SamplingData[[#This Row],[Total]]&lt;&gt; 0, NOT(ISBLANK(SamplingData[[#This Row],[Candidate 3]]))),(SamplingData[[#This Row],[Total]]+SamplingData[[#This Row],[Winning Candidate]]-SamplingData[[#This Row],[Candidate 3]])/(SamplingData[[#Totals],[Winning Candidate]]-SamplingData[[#Totals],[Candidate 3]]), 0)</f>
        <v>2.3550666193502597E-3</v>
      </c>
      <c r="M1606" s="100">
        <f>IF(AND(SamplingData[[#This Row],[Total]]&lt;&gt; 0, NOT(ISBLANK(SamplingData[[#This Row],[Candidate 4]]))),(SamplingData[[#This Row],[Total]]+SamplingData[[#This Row],[Winning Candidate]]-SamplingData[[#This Row],[Candidate 4]])/(SamplingData[[#Totals],[Winning Candidate]]-SamplingData[[#Totals],[Candidate 4]]), 0)</f>
        <v>2.28010172761554E-3</v>
      </c>
      <c r="N1606" s="100">
        <f>IF(AND(SamplingData[[#This Row],[Total]]&lt;&gt; 0, NOT(ISBLANK(SamplingData[[#This Row],[Candidate 5]]))),(SamplingData[[#This Row],[Total]]+SamplingData[[#This Row],[Winning Candidate]]-SamplingData[[#This Row],[Candidate 5]])/(SamplingData[[#Totals],[Winning Candidate]]-SamplingData[[#Totals],[Candidate 5]]), 0)</f>
        <v>1.921673558744831E-3</v>
      </c>
      <c r="O1606" s="100">
        <f>IF(AND(SamplingData[[#This Row],[Total]]&lt;&gt; 0, NOT(ISBLANK(SamplingData[[#This Row],[Candidate 6]]))),(SamplingData[[#This Row],[Total]]+SamplingData[[#This Row],[Winning Candidate]]-SamplingData[[#This Row],[Candidate 6]])/(SamplingData[[#Totals],[Winning Candidate]]-SamplingData[[#Totals],[Candidate 6]]), 0)</f>
        <v>1.9211127863430768E-3</v>
      </c>
      <c r="P1606" s="100">
        <f>MAX(SamplingData[[#This Row],[Error Bound (up) - Max. possible relative overstatement - Losing Candidate]:[Error Bound (up) - Max. possible relative overstatement - Candidate 6]])</f>
        <v>3.7359137677609017E-3</v>
      </c>
      <c r="Q1606" s="100">
        <f>IF(SamplingData[[#This Row],[Max Error Bound (up)]] = 0,0,SamplingData[[#This Row],[Max Error Bound (up)]]/SamplingData[[#Totals],[Max Error Bound (up)]])</f>
        <v>5.9126984498519581E-4</v>
      </c>
      <c r="R1606" s="101">
        <f>SUM($Q$5:Q1606)</f>
        <v>0.57272977772094169</v>
      </c>
      <c r="S1606" s="100" t="str">
        <f t="array" ref="S1606">IF(SamplingData[[#This Row],[up/U Selection Probability]] = 0, "Zero", TEXT(SamplingData[[#This Row],[Lower Range]], REPT("0",LEN('General Info'!$B$40))) &amp; " - " &amp; TEXT(SamplingData[[#This Row],[Upper Range]], REPT("0",LEN('General Info'!$B$40))))</f>
        <v>57214 - 57272</v>
      </c>
      <c r="T1606" s="100">
        <f>SamplingData[[#This Row],[Upper Range]]-SamplingData[[#This Row],[Span]]</f>
        <v>57213.851378865496</v>
      </c>
      <c r="U1606" s="100">
        <f>IF(ISNUMBER('General Info'!$B$40), ((SamplingData[[#This Row],[up/U Selection Probability]]) * 'General Info'!$B$40) - 1, 0)</f>
        <v>58.126393228674594</v>
      </c>
      <c r="V1606" s="100">
        <f>IF(ISNUMBER('General Info'!$B$40), (SamplingData[[#This Row],[Running (cumulative) sum]] * ('General Info'!$B$40 -'General Info'!$B$41 + 1)) + 'General Info'!$B$41 - 1, 0)</f>
        <v>57271.977772094171</v>
      </c>
      <c r="W1606" s="100" t="str">
        <f>IF(ISERROR(MATCH(SamplingData[[#This Row],[Batch by Type (p)]],SelectedPrecincts[Batch Name], 0)), "", INDEX(SelectedPrecincts[Draw], MATCH(SamplingData[[#This Row],[Batch by Type (p)]],SelectedPrecincts[Batch Name], 0)))</f>
        <v/>
      </c>
      <c r="X1606" s="102">
        <f>IF(COUNTIF(SelectedPrecincts[Batch Name],SamplingData[[#This Row],[Batch by Type (p)]]) &lt;&gt; 0, COUNTIF(SelectedPrecincts[Batch Name],SamplingData[[#This Row],[Batch by Type (p)]]), 0)</f>
        <v>0</v>
      </c>
    </row>
    <row r="1607" spans="1:24" ht="15" customHeight="1">
      <c r="A1607" s="18" t="s">
        <v>1783</v>
      </c>
      <c r="B1607" s="18">
        <v>11</v>
      </c>
      <c r="C1607" s="18">
        <v>6</v>
      </c>
      <c r="D1607" s="16">
        <v>2</v>
      </c>
      <c r="E1607" s="16">
        <v>9</v>
      </c>
      <c r="F1607" s="37">
        <v>0</v>
      </c>
      <c r="G1607" s="37">
        <v>0</v>
      </c>
      <c r="H1607" s="17">
        <v>0</v>
      </c>
      <c r="I1607" s="17">
        <v>0</v>
      </c>
      <c r="J1607" s="99">
        <f>SUM(SamplingData[[#This Row],[Losing Candidate]:[Under Votes]])</f>
        <v>28</v>
      </c>
      <c r="K1607"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607" s="100">
        <f>IF(AND(SamplingData[[#This Row],[Total]]&lt;&gt; 0, NOT(ISBLANK(SamplingData[[#This Row],[Candidate 3]]))),(SamplingData[[#This Row],[Total]]+SamplingData[[#This Row],[Winning Candidate]]-SamplingData[[#This Row],[Candidate 3]])/(SamplingData[[#Totals],[Winning Candidate]]-SamplingData[[#Totals],[Candidate 3]]), 0)</f>
        <v>1.0323579701261413E-3</v>
      </c>
      <c r="M1607" s="100">
        <f>IF(AND(SamplingData[[#This Row],[Total]]&lt;&gt; 0, NOT(ISBLANK(SamplingData[[#This Row],[Candidate 4]]))),(SamplingData[[#This Row],[Total]]+SamplingData[[#This Row],[Winning Candidate]]-SamplingData[[#This Row],[Candidate 4]])/(SamplingData[[#Totals],[Winning Candidate]]-SamplingData[[#Totals],[Candidate 4]]), 0)</f>
        <v>7.3080183577421145E-4</v>
      </c>
      <c r="N1607" s="100">
        <f>IF(AND(SamplingData[[#This Row],[Total]]&lt;&gt; 0, NOT(ISBLANK(SamplingData[[#This Row],[Candidate 5]]))),(SamplingData[[#This Row],[Total]]+SamplingData[[#This Row],[Winning Candidate]]-SamplingData[[#This Row],[Candidate 5]])/(SamplingData[[#Totals],[Winning Candidate]]-SamplingData[[#Totals],[Candidate 5]]), 0)</f>
        <v>8.2704937971296523E-4</v>
      </c>
      <c r="O1607" s="100">
        <f>IF(AND(SamplingData[[#This Row],[Total]]&lt;&gt; 0, NOT(ISBLANK(SamplingData[[#This Row],[Candidate 6]]))),(SamplingData[[#This Row],[Total]]+SamplingData[[#This Row],[Winning Candidate]]-SamplingData[[#This Row],[Candidate 6]])/(SamplingData[[#Totals],[Winning Candidate]]-SamplingData[[#Totals],[Candidate 6]]), 0)</f>
        <v>8.2680803462866588E-4</v>
      </c>
      <c r="P1607" s="100">
        <f>MAX(SamplingData[[#This Row],[Error Bound (up) - Max. possible relative overstatement - Losing Candidate]:[Error Bound (up) - Max. possible relative overstatement - Candidate 6]])</f>
        <v>1.408623223909848E-3</v>
      </c>
      <c r="Q1607" s="100">
        <f>IF(SamplingData[[#This Row],[Max Error Bound (up)]] = 0,0,SamplingData[[#This Row],[Max Error Bound (up)]]/SamplingData[[#Totals],[Max Error Bound (up)]])</f>
        <v>2.229378104042541E-4</v>
      </c>
      <c r="R1607" s="101">
        <f>SUM($Q$5:Q1607)</f>
        <v>0.57295271553134597</v>
      </c>
      <c r="S1607" s="100" t="str">
        <f t="array" ref="S1607">IF(SamplingData[[#This Row],[up/U Selection Probability]] = 0, "Zero", TEXT(SamplingData[[#This Row],[Lower Range]], REPT("0",LEN('General Info'!$B$40))) &amp; " - " &amp; TEXT(SamplingData[[#This Row],[Upper Range]], REPT("0",LEN('General Info'!$B$40))))</f>
        <v>57273 - 57294</v>
      </c>
      <c r="T1607" s="100">
        <f>SamplingData[[#This Row],[Upper Range]]-SamplingData[[#This Row],[Span]]</f>
        <v>57272.977995031979</v>
      </c>
      <c r="U1607" s="100">
        <f>IF(ISNUMBER('General Info'!$B$40), ((SamplingData[[#This Row],[up/U Selection Probability]]) * 'General Info'!$B$40) - 1, 0)</f>
        <v>21.293558102615005</v>
      </c>
      <c r="V1607" s="100">
        <f>IF(ISNUMBER('General Info'!$B$40), (SamplingData[[#This Row],[Running (cumulative) sum]] * ('General Info'!$B$40 -'General Info'!$B$41 + 1)) + 'General Info'!$B$41 - 1, 0)</f>
        <v>57294.271553134597</v>
      </c>
      <c r="W1607" s="100" t="str">
        <f>IF(ISERROR(MATCH(SamplingData[[#This Row],[Batch by Type (p)]],SelectedPrecincts[Batch Name], 0)), "", INDEX(SelectedPrecincts[Draw], MATCH(SamplingData[[#This Row],[Batch by Type (p)]],SelectedPrecincts[Batch Name], 0)))</f>
        <v/>
      </c>
      <c r="X1607" s="102">
        <f>IF(COUNTIF(SelectedPrecincts[Batch Name],SamplingData[[#This Row],[Batch by Type (p)]]) &lt;&gt; 0, COUNTIF(SelectedPrecincts[Batch Name],SamplingData[[#This Row],[Batch by Type (p)]]), 0)</f>
        <v>0</v>
      </c>
    </row>
    <row r="1608" spans="1:24" ht="15" customHeight="1">
      <c r="A1608" s="18" t="s">
        <v>1784</v>
      </c>
      <c r="B1608" s="18">
        <v>13</v>
      </c>
      <c r="C1608" s="18">
        <v>10</v>
      </c>
      <c r="D1608" s="18">
        <v>1</v>
      </c>
      <c r="E1608" s="18">
        <v>1</v>
      </c>
      <c r="F1608" s="18">
        <v>0</v>
      </c>
      <c r="G1608" s="18">
        <v>1</v>
      </c>
      <c r="H1608" s="18">
        <v>0</v>
      </c>
      <c r="I1608" s="18">
        <v>0</v>
      </c>
      <c r="J1608" s="99">
        <f>SUM(SamplingData[[#This Row],[Losing Candidate]:[Under Votes]])</f>
        <v>26</v>
      </c>
      <c r="K1608"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608" s="100">
        <f>IF(AND(SamplingData[[#This Row],[Total]]&lt;&gt; 0, NOT(ISBLANK(SamplingData[[#This Row],[Candidate 3]]))),(SamplingData[[#This Row],[Total]]+SamplingData[[#This Row],[Winning Candidate]]-SamplingData[[#This Row],[Candidate 3]])/(SamplingData[[#Totals],[Winning Candidate]]-SamplingData[[#Totals],[Candidate 3]]), 0)</f>
        <v>1.1291415298254669E-3</v>
      </c>
      <c r="M1608" s="100">
        <f>IF(AND(SamplingData[[#This Row],[Total]]&lt;&gt; 0, NOT(ISBLANK(SamplingData[[#This Row],[Candidate 4]]))),(SamplingData[[#This Row],[Total]]+SamplingData[[#This Row],[Winning Candidate]]-SamplingData[[#This Row],[Candidate 4]])/(SamplingData[[#Totals],[Winning Candidate]]-SamplingData[[#Totals],[Candidate 4]]), 0)</f>
        <v>1.0231225700838961E-3</v>
      </c>
      <c r="N1608" s="100">
        <f>IF(AND(SamplingData[[#This Row],[Total]]&lt;&gt; 0, NOT(ISBLANK(SamplingData[[#This Row],[Candidate 5]]))),(SamplingData[[#This Row],[Total]]+SamplingData[[#This Row],[Winning Candidate]]-SamplingData[[#This Row],[Candidate 5]])/(SamplingData[[#Totals],[Winning Candidate]]-SamplingData[[#Totals],[Candidate 5]]), 0)</f>
        <v>8.7569934322549259E-4</v>
      </c>
      <c r="O1608" s="100">
        <f>IF(AND(SamplingData[[#This Row],[Total]]&lt;&gt; 0, NOT(ISBLANK(SamplingData[[#This Row],[Candidate 6]]))),(SamplingData[[#This Row],[Total]]+SamplingData[[#This Row],[Winning Candidate]]-SamplingData[[#This Row],[Candidate 6]])/(SamplingData[[#Totals],[Winning Candidate]]-SamplingData[[#Totals],[Candidate 6]]), 0)</f>
        <v>8.5112591800009726E-4</v>
      </c>
      <c r="P1608" s="100">
        <f>MAX(SamplingData[[#This Row],[Error Bound (up) - Max. possible relative overstatement - Losing Candidate]:[Error Bound (up) - Max. possible relative overstatement - Candidate 6]])</f>
        <v>1.408623223909848E-3</v>
      </c>
      <c r="Q1608" s="100">
        <f>IF(SamplingData[[#This Row],[Max Error Bound (up)]] = 0,0,SamplingData[[#This Row],[Max Error Bound (up)]]/SamplingData[[#Totals],[Max Error Bound (up)]])</f>
        <v>2.229378104042541E-4</v>
      </c>
      <c r="R1608" s="101">
        <f>SUM($Q$5:Q1608)</f>
        <v>0.57317565334175025</v>
      </c>
      <c r="S1608" s="100" t="str">
        <f t="array" ref="S1608">IF(SamplingData[[#This Row],[up/U Selection Probability]] = 0, "Zero", TEXT(SamplingData[[#This Row],[Lower Range]], REPT("0",LEN('General Info'!$B$40))) &amp; " - " &amp; TEXT(SamplingData[[#This Row],[Upper Range]], REPT("0",LEN('General Info'!$B$40))))</f>
        <v>57295 - 57317</v>
      </c>
      <c r="T1608" s="100">
        <f>SamplingData[[#This Row],[Upper Range]]-SamplingData[[#This Row],[Span]]</f>
        <v>57295.271776072404</v>
      </c>
      <c r="U1608" s="100">
        <f>IF(ISNUMBER('General Info'!$B$40), ((SamplingData[[#This Row],[up/U Selection Probability]]) * 'General Info'!$B$40) - 1, 0)</f>
        <v>21.293558102615005</v>
      </c>
      <c r="V1608" s="100">
        <f>IF(ISNUMBER('General Info'!$B$40), (SamplingData[[#This Row],[Running (cumulative) sum]] * ('General Info'!$B$40 -'General Info'!$B$41 + 1)) + 'General Info'!$B$41 - 1, 0)</f>
        <v>57316.565334175022</v>
      </c>
      <c r="W1608" s="100" t="str">
        <f>IF(ISERROR(MATCH(SamplingData[[#This Row],[Batch by Type (p)]],SelectedPrecincts[Batch Name], 0)), "", INDEX(SelectedPrecincts[Draw], MATCH(SamplingData[[#This Row],[Batch by Type (p)]],SelectedPrecincts[Batch Name], 0)))</f>
        <v/>
      </c>
      <c r="X1608" s="102">
        <f>IF(COUNTIF(SelectedPrecincts[Batch Name],SamplingData[[#This Row],[Batch by Type (p)]]) &lt;&gt; 0, COUNTIF(SelectedPrecincts[Batch Name],SamplingData[[#This Row],[Batch by Type (p)]]), 0)</f>
        <v>0</v>
      </c>
    </row>
    <row r="1609" spans="1:24" ht="15" customHeight="1">
      <c r="A1609" s="18" t="s">
        <v>1785</v>
      </c>
      <c r="B1609" s="18">
        <v>25</v>
      </c>
      <c r="C1609" s="18">
        <v>31</v>
      </c>
      <c r="D1609" s="16">
        <v>10</v>
      </c>
      <c r="E1609" s="16">
        <v>6</v>
      </c>
      <c r="F1609" s="37">
        <v>1</v>
      </c>
      <c r="G1609" s="37">
        <v>1</v>
      </c>
      <c r="H1609" s="17">
        <v>0</v>
      </c>
      <c r="I1609" s="17">
        <v>3</v>
      </c>
      <c r="J1609" s="99">
        <f>SUM(SamplingData[[#This Row],[Losing Candidate]:[Under Votes]])</f>
        <v>77</v>
      </c>
      <c r="K1609" s="100">
        <f>IF(AND(SamplingData[[#This Row],[Total]]&lt;&gt; 0, NOT(ISBLANK(SamplingData[[#This Row],[Losing Candidate]]))),(SamplingData[[#This Row],[Total]]+SamplingData[[#This Row],[Winning Candidate]]-SamplingData[[#This Row],[Losing Candidate]])/(SamplingData[[#Totals],[Winning Candidate]]-SamplingData[[#Totals],[Losing Candidate]]), 0)</f>
        <v>5.0832925036746694E-3</v>
      </c>
      <c r="L1609" s="100">
        <f>IF(AND(SamplingData[[#This Row],[Total]]&lt;&gt; 0, NOT(ISBLANK(SamplingData[[#This Row],[Candidate 3]]))),(SamplingData[[#This Row],[Total]]+SamplingData[[#This Row],[Winning Candidate]]-SamplingData[[#This Row],[Candidate 3]])/(SamplingData[[#Totals],[Winning Candidate]]-SamplingData[[#Totals],[Candidate 3]]), 0)</f>
        <v>3.1615962835113073E-3</v>
      </c>
      <c r="M1609" s="100">
        <f>IF(AND(SamplingData[[#This Row],[Total]]&lt;&gt; 0, NOT(ISBLANK(SamplingData[[#This Row],[Candidate 4]]))),(SamplingData[[#This Row],[Total]]+SamplingData[[#This Row],[Winning Candidate]]-SamplingData[[#This Row],[Candidate 4]])/(SamplingData[[#Totals],[Winning Candidate]]-SamplingData[[#Totals],[Candidate 4]]), 0)</f>
        <v>2.9816714899587827E-3</v>
      </c>
      <c r="N1609" s="100">
        <f>IF(AND(SamplingData[[#This Row],[Total]]&lt;&gt; 0, NOT(ISBLANK(SamplingData[[#This Row],[Candidate 5]]))),(SamplingData[[#This Row],[Total]]+SamplingData[[#This Row],[Winning Candidate]]-SamplingData[[#This Row],[Candidate 5]])/(SamplingData[[#Totals],[Winning Candidate]]-SamplingData[[#Totals],[Candidate 5]]), 0)</f>
        <v>2.6027730479202139E-3</v>
      </c>
      <c r="O1609" s="100">
        <f>IF(AND(SamplingData[[#This Row],[Total]]&lt;&gt; 0, NOT(ISBLANK(SamplingData[[#This Row],[Candidate 6]]))),(SamplingData[[#This Row],[Total]]+SamplingData[[#This Row],[Winning Candidate]]-SamplingData[[#This Row],[Candidate 6]])/(SamplingData[[#Totals],[Winning Candidate]]-SamplingData[[#Totals],[Candidate 6]]), 0)</f>
        <v>2.6020135207431546E-3</v>
      </c>
      <c r="P1609" s="100">
        <f>MAX(SamplingData[[#This Row],[Error Bound (up) - Max. possible relative overstatement - Losing Candidate]:[Error Bound (up) - Max. possible relative overstatement - Candidate 6]])</f>
        <v>5.0832925036746694E-3</v>
      </c>
      <c r="Q1609" s="100">
        <f>IF(SamplingData[[#This Row],[Max Error Bound (up)]] = 0,0,SamplingData[[#This Row],[Max Error Bound (up)]]/SamplingData[[#Totals],[Max Error Bound (up)]])</f>
        <v>8.0451470711100407E-4</v>
      </c>
      <c r="R1609" s="101">
        <f>SUM($Q$5:Q1609)</f>
        <v>0.57398016804886121</v>
      </c>
      <c r="S1609" s="100" t="str">
        <f t="array" ref="S1609">IF(SamplingData[[#This Row],[up/U Selection Probability]] = 0, "Zero", TEXT(SamplingData[[#This Row],[Lower Range]], REPT("0",LEN('General Info'!$B$40))) &amp; " - " &amp; TEXT(SamplingData[[#This Row],[Upper Range]], REPT("0",LEN('General Info'!$B$40))))</f>
        <v>57318 - 57397</v>
      </c>
      <c r="T1609" s="100">
        <f>SamplingData[[#This Row],[Upper Range]]-SamplingData[[#This Row],[Span]]</f>
        <v>57317.566138689726</v>
      </c>
      <c r="U1609" s="100">
        <f>IF(ISNUMBER('General Info'!$B$40), ((SamplingData[[#This Row],[up/U Selection Probability]]) * 'General Info'!$B$40) - 1, 0)</f>
        <v>79.4506661963933</v>
      </c>
      <c r="V1609" s="100">
        <f>IF(ISNUMBER('General Info'!$B$40), (SamplingData[[#This Row],[Running (cumulative) sum]] * ('General Info'!$B$40 -'General Info'!$B$41 + 1)) + 'General Info'!$B$41 - 1, 0)</f>
        <v>57397.016804886123</v>
      </c>
      <c r="W1609" s="100" t="str">
        <f>IF(ISERROR(MATCH(SamplingData[[#This Row],[Batch by Type (p)]],SelectedPrecincts[Batch Name], 0)), "", INDEX(SelectedPrecincts[Draw], MATCH(SamplingData[[#This Row],[Batch by Type (p)]],SelectedPrecincts[Batch Name], 0)))</f>
        <v/>
      </c>
      <c r="X1609" s="102">
        <f>IF(COUNTIF(SelectedPrecincts[Batch Name],SamplingData[[#This Row],[Batch by Type (p)]]) &lt;&gt; 0, COUNTIF(SelectedPrecincts[Batch Name],SamplingData[[#This Row],[Batch by Type (p)]]), 0)</f>
        <v>0</v>
      </c>
    </row>
    <row r="1610" spans="1:24" ht="15" customHeight="1">
      <c r="A1610" s="18" t="s">
        <v>1786</v>
      </c>
      <c r="B1610" s="18">
        <v>11</v>
      </c>
      <c r="C1610" s="18">
        <v>20</v>
      </c>
      <c r="D1610" s="18">
        <v>1</v>
      </c>
      <c r="E1610" s="18">
        <v>0</v>
      </c>
      <c r="F1610" s="18">
        <v>0</v>
      </c>
      <c r="G1610" s="18">
        <v>0</v>
      </c>
      <c r="H1610" s="18">
        <v>0</v>
      </c>
      <c r="I1610" s="18">
        <v>1</v>
      </c>
      <c r="J1610" s="99">
        <f>SUM(SamplingData[[#This Row],[Losing Candidate]:[Under Votes]])</f>
        <v>33</v>
      </c>
      <c r="K1610"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610" s="100">
        <f>IF(AND(SamplingData[[#This Row],[Total]]&lt;&gt; 0, NOT(ISBLANK(SamplingData[[#This Row],[Candidate 3]]))),(SamplingData[[#This Row],[Total]]+SamplingData[[#This Row],[Winning Candidate]]-SamplingData[[#This Row],[Candidate 3]])/(SamplingData[[#Totals],[Winning Candidate]]-SamplingData[[#Totals],[Candidate 3]]), 0)</f>
        <v>1.6775817014549794E-3</v>
      </c>
      <c r="M1610" s="100">
        <f>IF(AND(SamplingData[[#This Row],[Total]]&lt;&gt; 0, NOT(ISBLANK(SamplingData[[#This Row],[Candidate 4]]))),(SamplingData[[#This Row],[Total]]+SamplingData[[#This Row],[Winning Candidate]]-SamplingData[[#This Row],[Candidate 4]])/(SamplingData[[#Totals],[Winning Candidate]]-SamplingData[[#Totals],[Candidate 4]]), 0)</f>
        <v>1.5492998918413283E-3</v>
      </c>
      <c r="N1610" s="100">
        <f>IF(AND(SamplingData[[#This Row],[Total]]&lt;&gt; 0, NOT(ISBLANK(SamplingData[[#This Row],[Candidate 5]]))),(SamplingData[[#This Row],[Total]]+SamplingData[[#This Row],[Winning Candidate]]-SamplingData[[#This Row],[Candidate 5]])/(SamplingData[[#Totals],[Winning Candidate]]-SamplingData[[#Totals],[Candidate 5]]), 0)</f>
        <v>1.2892240330819751E-3</v>
      </c>
      <c r="O1610" s="100">
        <f>IF(AND(SamplingData[[#This Row],[Total]]&lt;&gt; 0, NOT(ISBLANK(SamplingData[[#This Row],[Candidate 6]]))),(SamplingData[[#This Row],[Total]]+SamplingData[[#This Row],[Winning Candidate]]-SamplingData[[#This Row],[Candidate 6]])/(SamplingData[[#Totals],[Winning Candidate]]-SamplingData[[#Totals],[Candidate 6]]), 0)</f>
        <v>1.2888478186858616E-3</v>
      </c>
      <c r="P1610" s="100">
        <f>MAX(SamplingData[[#This Row],[Error Bound (up) - Max. possible relative overstatement - Losing Candidate]:[Error Bound (up) - Max. possible relative overstatement - Candidate 6]])</f>
        <v>2.5722684958353749E-3</v>
      </c>
      <c r="Q1610" s="100">
        <f>IF(SamplingData[[#This Row],[Max Error Bound (up)]] = 0,0,SamplingData[[#This Row],[Max Error Bound (up)]]/SamplingData[[#Totals],[Max Error Bound (up)]])</f>
        <v>4.0710382769472496E-4</v>
      </c>
      <c r="R1610" s="101">
        <f>SUM($Q$5:Q1610)</f>
        <v>0.57438727187655592</v>
      </c>
      <c r="S1610" s="100" t="str">
        <f t="array" ref="S1610">IF(SamplingData[[#This Row],[up/U Selection Probability]] = 0, "Zero", TEXT(SamplingData[[#This Row],[Lower Range]], REPT("0",LEN('General Info'!$B$40))) &amp; " - " &amp; TEXT(SamplingData[[#This Row],[Upper Range]], REPT("0",LEN('General Info'!$B$40))))</f>
        <v>57398 - 57438</v>
      </c>
      <c r="T1610" s="100">
        <f>SamplingData[[#This Row],[Upper Range]]-SamplingData[[#This Row],[Span]]</f>
        <v>57398.017211989943</v>
      </c>
      <c r="U1610" s="100">
        <f>IF(ISNUMBER('General Info'!$B$40), ((SamplingData[[#This Row],[up/U Selection Probability]]) * 'General Info'!$B$40) - 1, 0)</f>
        <v>39.709975665644798</v>
      </c>
      <c r="V1610" s="100">
        <f>IF(ISNUMBER('General Info'!$B$40), (SamplingData[[#This Row],[Running (cumulative) sum]] * ('General Info'!$B$40 -'General Info'!$B$41 + 1)) + 'General Info'!$B$41 - 1, 0)</f>
        <v>57437.72718765559</v>
      </c>
      <c r="W1610" s="100" t="str">
        <f>IF(ISERROR(MATCH(SamplingData[[#This Row],[Batch by Type (p)]],SelectedPrecincts[Batch Name], 0)), "", INDEX(SelectedPrecincts[Draw], MATCH(SamplingData[[#This Row],[Batch by Type (p)]],SelectedPrecincts[Batch Name], 0)))</f>
        <v/>
      </c>
      <c r="X1610" s="102">
        <f>IF(COUNTIF(SelectedPrecincts[Batch Name],SamplingData[[#This Row],[Batch by Type (p)]]) &lt;&gt; 0, COUNTIF(SelectedPrecincts[Batch Name],SamplingData[[#This Row],[Batch by Type (p)]]), 0)</f>
        <v>0</v>
      </c>
    </row>
    <row r="1611" spans="1:24" ht="15" customHeight="1">
      <c r="A1611" s="18" t="s">
        <v>1787</v>
      </c>
      <c r="B1611" s="18">
        <v>27</v>
      </c>
      <c r="C1611" s="18">
        <v>38</v>
      </c>
      <c r="D1611" s="16">
        <v>10</v>
      </c>
      <c r="E1611" s="16">
        <v>10</v>
      </c>
      <c r="F1611" s="37">
        <v>0</v>
      </c>
      <c r="G1611" s="37">
        <v>1</v>
      </c>
      <c r="H1611" s="17">
        <v>0</v>
      </c>
      <c r="I1611" s="17">
        <v>1</v>
      </c>
      <c r="J1611" s="99">
        <f>SUM(SamplingData[[#This Row],[Losing Candidate]:[Under Votes]])</f>
        <v>87</v>
      </c>
      <c r="K1611" s="100">
        <f>IF(AND(SamplingData[[#This Row],[Total]]&lt;&gt; 0, NOT(ISBLANK(SamplingData[[#This Row],[Losing Candidate]]))),(SamplingData[[#This Row],[Total]]+SamplingData[[#This Row],[Winning Candidate]]-SamplingData[[#This Row],[Losing Candidate]])/(SamplingData[[#Totals],[Winning Candidate]]-SamplingData[[#Totals],[Losing Candidate]]), 0)</f>
        <v>6.0019598236158746E-3</v>
      </c>
      <c r="L1611" s="100">
        <f>IF(AND(SamplingData[[#This Row],[Total]]&lt;&gt; 0, NOT(ISBLANK(SamplingData[[#This Row],[Candidate 3]]))),(SamplingData[[#This Row],[Total]]+SamplingData[[#This Row],[Winning Candidate]]-SamplingData[[#This Row],[Candidate 3]])/(SamplingData[[#Totals],[Winning Candidate]]-SamplingData[[#Totals],[Candidate 3]]), 0)</f>
        <v>3.7100364551408199E-3</v>
      </c>
      <c r="M1611" s="100">
        <f>IF(AND(SamplingData[[#This Row],[Total]]&lt;&gt; 0, NOT(ISBLANK(SamplingData[[#This Row],[Candidate 4]]))),(SamplingData[[#This Row],[Total]]+SamplingData[[#This Row],[Winning Candidate]]-SamplingData[[#This Row],[Candidate 4]])/(SamplingData[[#Totals],[Winning Candidate]]-SamplingData[[#Totals],[Candidate 4]]), 0)</f>
        <v>3.3616884445613728E-3</v>
      </c>
      <c r="N1611" s="100">
        <f>IF(AND(SamplingData[[#This Row],[Total]]&lt;&gt; 0, NOT(ISBLANK(SamplingData[[#This Row],[Candidate 5]]))),(SamplingData[[#This Row],[Total]]+SamplingData[[#This Row],[Winning Candidate]]-SamplingData[[#This Row],[Candidate 5]])/(SamplingData[[#Totals],[Winning Candidate]]-SamplingData[[#Totals],[Candidate 5]]), 0)</f>
        <v>3.0406227195329603E-3</v>
      </c>
      <c r="O1611" s="100">
        <f>IF(AND(SamplingData[[#This Row],[Total]]&lt;&gt; 0, NOT(ISBLANK(SamplingData[[#This Row],[Candidate 6]]))),(SamplingData[[#This Row],[Total]]+SamplingData[[#This Row],[Winning Candidate]]-SamplingData[[#This Row],[Candidate 6]])/(SamplingData[[#Totals],[Winning Candidate]]-SamplingData[[#Totals],[Candidate 6]]), 0)</f>
        <v>3.0154175380574873E-3</v>
      </c>
      <c r="P1611" s="100">
        <f>MAX(SamplingData[[#This Row],[Error Bound (up) - Max. possible relative overstatement - Losing Candidate]:[Error Bound (up) - Max. possible relative overstatement - Candidate 6]])</f>
        <v>6.0019598236158746E-3</v>
      </c>
      <c r="Q1611" s="100">
        <f>IF(SamplingData[[#This Row],[Max Error Bound (up)]] = 0,0,SamplingData[[#This Row],[Max Error Bound (up)]]/SamplingData[[#Totals],[Max Error Bound (up)]])</f>
        <v>9.4990893128769145E-4</v>
      </c>
      <c r="R1611" s="101">
        <f>SUM($Q$5:Q1611)</f>
        <v>0.57533718080784357</v>
      </c>
      <c r="S1611" s="100" t="str">
        <f t="array" ref="S1611">IF(SamplingData[[#This Row],[up/U Selection Probability]] = 0, "Zero", TEXT(SamplingData[[#This Row],[Lower Range]], REPT("0",LEN('General Info'!$B$40))) &amp; " - " &amp; TEXT(SamplingData[[#This Row],[Upper Range]], REPT("0",LEN('General Info'!$B$40))))</f>
        <v>57439 - 57533</v>
      </c>
      <c r="T1611" s="100">
        <f>SamplingData[[#This Row],[Upper Range]]-SamplingData[[#This Row],[Span]]</f>
        <v>57438.728137564518</v>
      </c>
      <c r="U1611" s="100">
        <f>IF(ISNUMBER('General Info'!$B$40), ((SamplingData[[#This Row],[up/U Selection Probability]]) * 'General Info'!$B$40) - 1, 0)</f>
        <v>93.989943219837855</v>
      </c>
      <c r="V1611" s="100">
        <f>IF(ISNUMBER('General Info'!$B$40), (SamplingData[[#This Row],[Running (cumulative) sum]] * ('General Info'!$B$40 -'General Info'!$B$41 + 1)) + 'General Info'!$B$41 - 1, 0)</f>
        <v>57532.718080784354</v>
      </c>
      <c r="W1611" s="100" t="str">
        <f>IF(ISERROR(MATCH(SamplingData[[#This Row],[Batch by Type (p)]],SelectedPrecincts[Batch Name], 0)), "", INDEX(SelectedPrecincts[Draw], MATCH(SamplingData[[#This Row],[Batch by Type (p)]],SelectedPrecincts[Batch Name], 0)))</f>
        <v/>
      </c>
      <c r="X1611" s="102">
        <f>IF(COUNTIF(SelectedPrecincts[Batch Name],SamplingData[[#This Row],[Batch by Type (p)]]) &lt;&gt; 0, COUNTIF(SelectedPrecincts[Batch Name],SamplingData[[#This Row],[Batch by Type (p)]]), 0)</f>
        <v>0</v>
      </c>
    </row>
    <row r="1612" spans="1:24" ht="15" customHeight="1">
      <c r="A1612" s="18" t="s">
        <v>1788</v>
      </c>
      <c r="B1612" s="18">
        <v>25</v>
      </c>
      <c r="C1612" s="18">
        <v>12</v>
      </c>
      <c r="D1612" s="18">
        <v>1</v>
      </c>
      <c r="E1612" s="18">
        <v>0</v>
      </c>
      <c r="F1612" s="18">
        <v>1</v>
      </c>
      <c r="G1612" s="18">
        <v>0</v>
      </c>
      <c r="H1612" s="18">
        <v>0</v>
      </c>
      <c r="I1612" s="18">
        <v>1</v>
      </c>
      <c r="J1612" s="99">
        <f>SUM(SamplingData[[#This Row],[Losing Candidate]:[Under Votes]])</f>
        <v>40</v>
      </c>
      <c r="K1612"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1612" s="100">
        <f>IF(AND(SamplingData[[#This Row],[Total]]&lt;&gt; 0, NOT(ISBLANK(SamplingData[[#This Row],[Candidate 3]]))),(SamplingData[[#This Row],[Total]]+SamplingData[[#This Row],[Winning Candidate]]-SamplingData[[#This Row],[Candidate 3]])/(SamplingData[[#Totals],[Winning Candidate]]-SamplingData[[#Totals],[Candidate 3]]), 0)</f>
        <v>1.6453205148885377E-3</v>
      </c>
      <c r="M1612" s="100">
        <f>IF(AND(SamplingData[[#This Row],[Total]]&lt;&gt; 0, NOT(ISBLANK(SamplingData[[#This Row],[Candidate 4]]))),(SamplingData[[#This Row],[Total]]+SamplingData[[#This Row],[Winning Candidate]]-SamplingData[[#This Row],[Candidate 4]])/(SamplingData[[#Totals],[Winning Candidate]]-SamplingData[[#Totals],[Candidate 4]]), 0)</f>
        <v>1.5200678184103598E-3</v>
      </c>
      <c r="N1612" s="100">
        <f>IF(AND(SamplingData[[#This Row],[Total]]&lt;&gt; 0, NOT(ISBLANK(SamplingData[[#This Row],[Candidate 5]]))),(SamplingData[[#This Row],[Total]]+SamplingData[[#This Row],[Winning Candidate]]-SamplingData[[#This Row],[Candidate 5]])/(SamplingData[[#Totals],[Winning Candidate]]-SamplingData[[#Totals],[Candidate 5]]), 0)</f>
        <v>1.2405740695694478E-3</v>
      </c>
      <c r="O1612" s="100">
        <f>IF(AND(SamplingData[[#This Row],[Total]]&lt;&gt; 0, NOT(ISBLANK(SamplingData[[#This Row],[Candidate 6]]))),(SamplingData[[#This Row],[Total]]+SamplingData[[#This Row],[Winning Candidate]]-SamplingData[[#This Row],[Candidate 6]])/(SamplingData[[#Totals],[Winning Candidate]]-SamplingData[[#Totals],[Candidate 6]]), 0)</f>
        <v>1.2645299353144302E-3</v>
      </c>
      <c r="P1612" s="100">
        <f>MAX(SamplingData[[#This Row],[Error Bound (up) - Max. possible relative overstatement - Losing Candidate]:[Error Bound (up) - Max. possible relative overstatement - Candidate 6]])</f>
        <v>1.6536011758941694E-3</v>
      </c>
      <c r="Q1612" s="100">
        <f>IF(SamplingData[[#This Row],[Max Error Bound (up)]] = 0,0,SamplingData[[#This Row],[Max Error Bound (up)]]/SamplingData[[#Totals],[Max Error Bound (up)]])</f>
        <v>2.6170960351803746E-4</v>
      </c>
      <c r="R1612" s="101">
        <f>SUM($Q$5:Q1612)</f>
        <v>0.57559889041136159</v>
      </c>
      <c r="S1612" s="100" t="str">
        <f t="array" ref="S1612">IF(SamplingData[[#This Row],[up/U Selection Probability]] = 0, "Zero", TEXT(SamplingData[[#This Row],[Lower Range]], REPT("0",LEN('General Info'!$B$40))) &amp; " - " &amp; TEXT(SamplingData[[#This Row],[Upper Range]], REPT("0",LEN('General Info'!$B$40))))</f>
        <v>57534 - 57559</v>
      </c>
      <c r="T1612" s="100">
        <f>SamplingData[[#This Row],[Upper Range]]-SamplingData[[#This Row],[Span]]</f>
        <v>57533.718342493958</v>
      </c>
      <c r="U1612" s="100">
        <f>IF(ISNUMBER('General Info'!$B$40), ((SamplingData[[#This Row],[up/U Selection Probability]]) * 'General Info'!$B$40) - 1, 0)</f>
        <v>25.170698642200229</v>
      </c>
      <c r="V1612" s="100">
        <f>IF(ISNUMBER('General Info'!$B$40), (SamplingData[[#This Row],[Running (cumulative) sum]] * ('General Info'!$B$40 -'General Info'!$B$41 + 1)) + 'General Info'!$B$41 - 1, 0)</f>
        <v>57558.889041136157</v>
      </c>
      <c r="W1612" s="100" t="str">
        <f>IF(ISERROR(MATCH(SamplingData[[#This Row],[Batch by Type (p)]],SelectedPrecincts[Batch Name], 0)), "", INDEX(SelectedPrecincts[Draw], MATCH(SamplingData[[#This Row],[Batch by Type (p)]],SelectedPrecincts[Batch Name], 0)))</f>
        <v/>
      </c>
      <c r="X1612" s="102">
        <f>IF(COUNTIF(SelectedPrecincts[Batch Name],SamplingData[[#This Row],[Batch by Type (p)]]) &lt;&gt; 0, COUNTIF(SelectedPrecincts[Batch Name],SamplingData[[#This Row],[Batch by Type (p)]]), 0)</f>
        <v>0</v>
      </c>
    </row>
    <row r="1613" spans="1:24" ht="15" customHeight="1">
      <c r="A1613" s="18" t="s">
        <v>1789</v>
      </c>
      <c r="B1613" s="18">
        <v>25</v>
      </c>
      <c r="C1613" s="18">
        <v>45</v>
      </c>
      <c r="D1613" s="16">
        <v>15</v>
      </c>
      <c r="E1613" s="16">
        <v>7</v>
      </c>
      <c r="F1613" s="37">
        <v>0</v>
      </c>
      <c r="G1613" s="37">
        <v>2</v>
      </c>
      <c r="H1613" s="17">
        <v>0</v>
      </c>
      <c r="I1613" s="17">
        <v>1</v>
      </c>
      <c r="J1613" s="99">
        <f>SUM(SamplingData[[#This Row],[Losing Candidate]:[Under Votes]])</f>
        <v>95</v>
      </c>
      <c r="K1613" s="100">
        <f>IF(AND(SamplingData[[#This Row],[Total]]&lt;&gt; 0, NOT(ISBLANK(SamplingData[[#This Row],[Losing Candidate]]))),(SamplingData[[#This Row],[Total]]+SamplingData[[#This Row],[Winning Candidate]]-SamplingData[[#This Row],[Losing Candidate]])/(SamplingData[[#Totals],[Winning Candidate]]-SamplingData[[#Totals],[Losing Candidate]]), 0)</f>
        <v>7.0431161195492406E-3</v>
      </c>
      <c r="L1613" s="100">
        <f>IF(AND(SamplingData[[#This Row],[Total]]&lt;&gt; 0, NOT(ISBLANK(SamplingData[[#This Row],[Candidate 3]]))),(SamplingData[[#This Row],[Total]]+SamplingData[[#This Row],[Winning Candidate]]-SamplingData[[#This Row],[Candidate 3]])/(SamplingData[[#Totals],[Winning Candidate]]-SamplingData[[#Totals],[Candidate 3]]), 0)</f>
        <v>4.0326483208052389E-3</v>
      </c>
      <c r="M1613" s="100">
        <f>IF(AND(SamplingData[[#This Row],[Total]]&lt;&gt; 0, NOT(ISBLANK(SamplingData[[#This Row],[Candidate 4]]))),(SamplingData[[#This Row],[Total]]+SamplingData[[#This Row],[Winning Candidate]]-SamplingData[[#This Row],[Candidate 4]])/(SamplingData[[#Totals],[Winning Candidate]]-SamplingData[[#Totals],[Candidate 4]]), 0)</f>
        <v>3.8878657663188052E-3</v>
      </c>
      <c r="N1613" s="100">
        <f>IF(AND(SamplingData[[#This Row],[Total]]&lt;&gt; 0, NOT(ISBLANK(SamplingData[[#This Row],[Candidate 5]]))),(SamplingData[[#This Row],[Total]]+SamplingData[[#This Row],[Winning Candidate]]-SamplingData[[#This Row],[Candidate 5]])/(SamplingData[[#Totals],[Winning Candidate]]-SamplingData[[#Totals],[Candidate 5]]), 0)</f>
        <v>3.4054974458769156E-3</v>
      </c>
      <c r="O1613" s="100">
        <f>IF(AND(SamplingData[[#This Row],[Total]]&lt;&gt; 0, NOT(ISBLANK(SamplingData[[#This Row],[Candidate 6]]))),(SamplingData[[#This Row],[Total]]+SamplingData[[#This Row],[Winning Candidate]]-SamplingData[[#This Row],[Candidate 6]])/(SamplingData[[#Totals],[Winning Candidate]]-SamplingData[[#Totals],[Candidate 6]]), 0)</f>
        <v>3.3558679052575263E-3</v>
      </c>
      <c r="P1613" s="100">
        <f>MAX(SamplingData[[#This Row],[Error Bound (up) - Max. possible relative overstatement - Losing Candidate]:[Error Bound (up) - Max. possible relative overstatement - Candidate 6]])</f>
        <v>7.0431161195492406E-3</v>
      </c>
      <c r="Q1613" s="100">
        <f>IF(SamplingData[[#This Row],[Max Error Bound (up)]] = 0,0,SamplingData[[#This Row],[Max Error Bound (up)]]/SamplingData[[#Totals],[Max Error Bound (up)]])</f>
        <v>1.1146890520212706E-3</v>
      </c>
      <c r="R1613" s="101">
        <f>SUM($Q$5:Q1613)</f>
        <v>0.57671357946338286</v>
      </c>
      <c r="S1613" s="100" t="str">
        <f t="array" ref="S1613">IF(SamplingData[[#This Row],[up/U Selection Probability]] = 0, "Zero", TEXT(SamplingData[[#This Row],[Lower Range]], REPT("0",LEN('General Info'!$B$40))) &amp; " - " &amp; TEXT(SamplingData[[#This Row],[Upper Range]], REPT("0",LEN('General Info'!$B$40))))</f>
        <v>57560 - 57670</v>
      </c>
      <c r="T1613" s="100">
        <f>SamplingData[[#This Row],[Upper Range]]-SamplingData[[#This Row],[Span]]</f>
        <v>57559.890155825211</v>
      </c>
      <c r="U1613" s="100">
        <f>IF(ISNUMBER('General Info'!$B$40), ((SamplingData[[#This Row],[up/U Selection Probability]]) * 'General Info'!$B$40) - 1, 0)</f>
        <v>110.46779051307504</v>
      </c>
      <c r="V1613" s="100">
        <f>IF(ISNUMBER('General Info'!$B$40), (SamplingData[[#This Row],[Running (cumulative) sum]] * ('General Info'!$B$40 -'General Info'!$B$41 + 1)) + 'General Info'!$B$41 - 1, 0)</f>
        <v>57670.357946338285</v>
      </c>
      <c r="W1613" s="100" t="str">
        <f>IF(ISERROR(MATCH(SamplingData[[#This Row],[Batch by Type (p)]],SelectedPrecincts[Batch Name], 0)), "", INDEX(SelectedPrecincts[Draw], MATCH(SamplingData[[#This Row],[Batch by Type (p)]],SelectedPrecincts[Batch Name], 0)))</f>
        <v/>
      </c>
      <c r="X1613" s="102">
        <f>IF(COUNTIF(SelectedPrecincts[Batch Name],SamplingData[[#This Row],[Batch by Type (p)]]) &lt;&gt; 0, COUNTIF(SelectedPrecincts[Batch Name],SamplingData[[#This Row],[Batch by Type (p)]]), 0)</f>
        <v>0</v>
      </c>
    </row>
    <row r="1614" spans="1:24" ht="15" customHeight="1">
      <c r="A1614" s="18" t="s">
        <v>1790</v>
      </c>
      <c r="B1614" s="18">
        <v>12</v>
      </c>
      <c r="C1614" s="18">
        <v>20</v>
      </c>
      <c r="D1614" s="18">
        <v>15</v>
      </c>
      <c r="E1614" s="18">
        <v>1</v>
      </c>
      <c r="F1614" s="18">
        <v>0</v>
      </c>
      <c r="G1614" s="18">
        <v>0</v>
      </c>
      <c r="H1614" s="18">
        <v>0</v>
      </c>
      <c r="I1614" s="18">
        <v>0</v>
      </c>
      <c r="J1614" s="99">
        <f>SUM(SamplingData[[#This Row],[Losing Candidate]:[Under Votes]])</f>
        <v>48</v>
      </c>
      <c r="K1614"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1614" s="100">
        <f>IF(AND(SamplingData[[#This Row],[Total]]&lt;&gt; 0, NOT(ISBLANK(SamplingData[[#This Row],[Candidate 3]]))),(SamplingData[[#This Row],[Total]]+SamplingData[[#This Row],[Winning Candidate]]-SamplingData[[#This Row],[Candidate 3]])/(SamplingData[[#Totals],[Winning Candidate]]-SamplingData[[#Totals],[Candidate 3]]), 0)</f>
        <v>1.7098428880214214E-3</v>
      </c>
      <c r="M1614" s="100">
        <f>IF(AND(SamplingData[[#This Row],[Total]]&lt;&gt; 0, NOT(ISBLANK(SamplingData[[#This Row],[Candidate 4]]))),(SamplingData[[#This Row],[Total]]+SamplingData[[#This Row],[Winning Candidate]]-SamplingData[[#This Row],[Candidate 4]])/(SamplingData[[#Totals],[Winning Candidate]]-SamplingData[[#Totals],[Candidate 4]]), 0)</f>
        <v>1.9585489198748868E-3</v>
      </c>
      <c r="N1614" s="100">
        <f>IF(AND(SamplingData[[#This Row],[Total]]&lt;&gt; 0, NOT(ISBLANK(SamplingData[[#This Row],[Candidate 5]]))),(SamplingData[[#This Row],[Total]]+SamplingData[[#This Row],[Winning Candidate]]-SamplingData[[#This Row],[Candidate 5]])/(SamplingData[[#Totals],[Winning Candidate]]-SamplingData[[#Totals],[Candidate 5]]), 0)</f>
        <v>1.6540987594259305E-3</v>
      </c>
      <c r="O1614" s="100">
        <f>IF(AND(SamplingData[[#This Row],[Total]]&lt;&gt; 0, NOT(ISBLANK(SamplingData[[#This Row],[Candidate 6]]))),(SamplingData[[#This Row],[Total]]+SamplingData[[#This Row],[Winning Candidate]]-SamplingData[[#This Row],[Candidate 6]])/(SamplingData[[#Totals],[Winning Candidate]]-SamplingData[[#Totals],[Candidate 6]]), 0)</f>
        <v>1.6536160692573318E-3</v>
      </c>
      <c r="P1614" s="100">
        <f>MAX(SamplingData[[#This Row],[Error Bound (up) - Max. possible relative overstatement - Losing Candidate]:[Error Bound (up) - Max. possible relative overstatement - Candidate 6]])</f>
        <v>3.4296913277804997E-3</v>
      </c>
      <c r="Q1614" s="100">
        <f>IF(SamplingData[[#This Row],[Max Error Bound (up)]] = 0,0,SamplingData[[#This Row],[Max Error Bound (up)]]/SamplingData[[#Totals],[Max Error Bound (up)]])</f>
        <v>5.4280510359296661E-4</v>
      </c>
      <c r="R1614" s="101">
        <f>SUM($Q$5:Q1614)</f>
        <v>0.57725638456697581</v>
      </c>
      <c r="S1614" s="100" t="str">
        <f t="array" ref="S1614">IF(SamplingData[[#This Row],[up/U Selection Probability]] = 0, "Zero", TEXT(SamplingData[[#This Row],[Lower Range]], REPT("0",LEN('General Info'!$B$40))) &amp; " - " &amp; TEXT(SamplingData[[#This Row],[Upper Range]], REPT("0",LEN('General Info'!$B$40))))</f>
        <v>57671 - 57725</v>
      </c>
      <c r="T1614" s="100">
        <f>SamplingData[[#This Row],[Upper Range]]-SamplingData[[#This Row],[Span]]</f>
        <v>57671.358489143393</v>
      </c>
      <c r="U1614" s="100">
        <f>IF(ISNUMBER('General Info'!$B$40), ((SamplingData[[#This Row],[up/U Selection Probability]]) * 'General Info'!$B$40) - 1, 0)</f>
        <v>53.279967554193071</v>
      </c>
      <c r="V1614" s="100">
        <f>IF(ISNUMBER('General Info'!$B$40), (SamplingData[[#This Row],[Running (cumulative) sum]] * ('General Info'!$B$40 -'General Info'!$B$41 + 1)) + 'General Info'!$B$41 - 1, 0)</f>
        <v>57724.638456697583</v>
      </c>
      <c r="W1614" s="100" t="str">
        <f>IF(ISERROR(MATCH(SamplingData[[#This Row],[Batch by Type (p)]],SelectedPrecincts[Batch Name], 0)), "", INDEX(SelectedPrecincts[Draw], MATCH(SamplingData[[#This Row],[Batch by Type (p)]],SelectedPrecincts[Batch Name], 0)))</f>
        <v/>
      </c>
      <c r="X1614" s="102">
        <f>IF(COUNTIF(SelectedPrecincts[Batch Name],SamplingData[[#This Row],[Batch by Type (p)]]) &lt;&gt; 0, COUNTIF(SelectedPrecincts[Batch Name],SamplingData[[#This Row],[Batch by Type (p)]]), 0)</f>
        <v>0</v>
      </c>
    </row>
    <row r="1615" spans="1:24" ht="15" customHeight="1">
      <c r="A1615" s="18" t="s">
        <v>1791</v>
      </c>
      <c r="B1615" s="18">
        <v>32</v>
      </c>
      <c r="C1615" s="18">
        <v>56</v>
      </c>
      <c r="D1615" s="16">
        <v>12</v>
      </c>
      <c r="E1615" s="16">
        <v>9</v>
      </c>
      <c r="F1615" s="37">
        <v>0</v>
      </c>
      <c r="G1615" s="37">
        <v>0</v>
      </c>
      <c r="H1615" s="17">
        <v>0</v>
      </c>
      <c r="I1615" s="17">
        <v>2</v>
      </c>
      <c r="J1615" s="99">
        <f>SUM(SamplingData[[#This Row],[Losing Candidate]:[Under Votes]])</f>
        <v>111</v>
      </c>
      <c r="K1615" s="100">
        <f>IF(AND(SamplingData[[#This Row],[Total]]&lt;&gt; 0, NOT(ISBLANK(SamplingData[[#This Row],[Losing Candidate]]))),(SamplingData[[#This Row],[Total]]+SamplingData[[#This Row],[Winning Candidate]]-SamplingData[[#This Row],[Losing Candidate]])/(SamplingData[[#Totals],[Winning Candidate]]-SamplingData[[#Totals],[Losing Candidate]]), 0)</f>
        <v>8.268005879470847E-3</v>
      </c>
      <c r="L1615" s="100">
        <f>IF(AND(SamplingData[[#This Row],[Total]]&lt;&gt; 0, NOT(ISBLANK(SamplingData[[#This Row],[Candidate 3]]))),(SamplingData[[#This Row],[Total]]+SamplingData[[#This Row],[Winning Candidate]]-SamplingData[[#This Row],[Candidate 3]])/(SamplingData[[#Totals],[Winning Candidate]]-SamplingData[[#Totals],[Candidate 3]]), 0)</f>
        <v>5.0004839177984969E-3</v>
      </c>
      <c r="M1615" s="100">
        <f>IF(AND(SamplingData[[#This Row],[Total]]&lt;&gt; 0, NOT(ISBLANK(SamplingData[[#This Row],[Candidate 4]]))),(SamplingData[[#This Row],[Total]]+SamplingData[[#This Row],[Winning Candidate]]-SamplingData[[#This Row],[Candidate 4]])/(SamplingData[[#Totals],[Winning Candidate]]-SamplingData[[#Totals],[Candidate 4]]), 0)</f>
        <v>4.6186676020930168E-3</v>
      </c>
      <c r="N1615" s="100">
        <f>IF(AND(SamplingData[[#This Row],[Total]]&lt;&gt; 0, NOT(ISBLANK(SamplingData[[#This Row],[Candidate 5]]))),(SamplingData[[#This Row],[Total]]+SamplingData[[#This Row],[Winning Candidate]]-SamplingData[[#This Row],[Candidate 5]])/(SamplingData[[#Totals],[Winning Candidate]]-SamplingData[[#Totals],[Candidate 5]]), 0)</f>
        <v>4.0622719532960351E-3</v>
      </c>
      <c r="O1615" s="100">
        <f>IF(AND(SamplingData[[#This Row],[Total]]&lt;&gt; 0, NOT(ISBLANK(SamplingData[[#This Row],[Candidate 6]]))),(SamplingData[[#This Row],[Total]]+SamplingData[[#This Row],[Winning Candidate]]-SamplingData[[#This Row],[Candidate 6]])/(SamplingData[[#Totals],[Winning Candidate]]-SamplingData[[#Totals],[Candidate 6]]), 0)</f>
        <v>4.0610865230290352E-3</v>
      </c>
      <c r="P1615" s="100">
        <f>MAX(SamplingData[[#This Row],[Error Bound (up) - Max. possible relative overstatement - Losing Candidate]:[Error Bound (up) - Max. possible relative overstatement - Candidate 6]])</f>
        <v>8.268005879470847E-3</v>
      </c>
      <c r="Q1615" s="100">
        <f>IF(SamplingData[[#This Row],[Max Error Bound (up)]] = 0,0,SamplingData[[#This Row],[Max Error Bound (up)]]/SamplingData[[#Totals],[Max Error Bound (up)]])</f>
        <v>1.3085480175901872E-3</v>
      </c>
      <c r="R1615" s="101">
        <f>SUM($Q$5:Q1615)</f>
        <v>0.57856493258456598</v>
      </c>
      <c r="S1615" s="100" t="str">
        <f t="array" ref="S1615">IF(SamplingData[[#This Row],[up/U Selection Probability]] = 0, "Zero", TEXT(SamplingData[[#This Row],[Lower Range]], REPT("0",LEN('General Info'!$B$40))) &amp; " - " &amp; TEXT(SamplingData[[#This Row],[Upper Range]], REPT("0",LEN('General Info'!$B$40))))</f>
        <v>57726 - 57855</v>
      </c>
      <c r="T1615" s="100">
        <f>SamplingData[[#This Row],[Upper Range]]-SamplingData[[#This Row],[Span]]</f>
        <v>57725.6397652456</v>
      </c>
      <c r="U1615" s="100">
        <f>IF(ISNUMBER('General Info'!$B$40), ((SamplingData[[#This Row],[up/U Selection Probability]]) * 'General Info'!$B$40) - 1, 0)</f>
        <v>129.85349321100114</v>
      </c>
      <c r="V1615" s="100">
        <f>IF(ISNUMBER('General Info'!$B$40), (SamplingData[[#This Row],[Running (cumulative) sum]] * ('General Info'!$B$40 -'General Info'!$B$41 + 1)) + 'General Info'!$B$41 - 1, 0)</f>
        <v>57855.493258456598</v>
      </c>
      <c r="W1615" s="100">
        <f>IF(ISERROR(MATCH(SamplingData[[#This Row],[Batch by Type (p)]],SelectedPrecincts[Batch Name], 0)), "", INDEX(SelectedPrecincts[Draw], MATCH(SamplingData[[#This Row],[Batch by Type (p)]],SelectedPrecincts[Batch Name], 0)))</f>
        <v>7</v>
      </c>
      <c r="X1615" s="102">
        <f>IF(COUNTIF(SelectedPrecincts[Batch Name],SamplingData[[#This Row],[Batch by Type (p)]]) &lt;&gt; 0, COUNTIF(SelectedPrecincts[Batch Name],SamplingData[[#This Row],[Batch by Type (p)]]), 0)</f>
        <v>1</v>
      </c>
    </row>
    <row r="1616" spans="1:24" ht="15" customHeight="1">
      <c r="A1616" s="18" t="s">
        <v>1792</v>
      </c>
      <c r="B1616" s="18">
        <v>15</v>
      </c>
      <c r="C1616" s="18">
        <v>43</v>
      </c>
      <c r="D1616" s="18">
        <v>11</v>
      </c>
      <c r="E1616" s="18">
        <v>1</v>
      </c>
      <c r="F1616" s="18">
        <v>1</v>
      </c>
      <c r="G1616" s="18">
        <v>1</v>
      </c>
      <c r="H1616" s="18">
        <v>0</v>
      </c>
      <c r="I1616" s="18">
        <v>0</v>
      </c>
      <c r="J1616" s="99">
        <f>SUM(SamplingData[[#This Row],[Losing Candidate]:[Under Votes]])</f>
        <v>72</v>
      </c>
      <c r="K1616" s="100">
        <f>IF(AND(SamplingData[[#This Row],[Total]]&lt;&gt; 0, NOT(ISBLANK(SamplingData[[#This Row],[Losing Candidate]]))),(SamplingData[[#This Row],[Total]]+SamplingData[[#This Row],[Winning Candidate]]-SamplingData[[#This Row],[Losing Candidate]])/(SamplingData[[#Totals],[Winning Candidate]]-SamplingData[[#Totals],[Losing Candidate]]), 0)</f>
        <v>6.1244487996080354E-3</v>
      </c>
      <c r="L1616" s="100">
        <f>IF(AND(SamplingData[[#This Row],[Total]]&lt;&gt; 0, NOT(ISBLANK(SamplingData[[#This Row],[Candidate 3]]))),(SamplingData[[#This Row],[Total]]+SamplingData[[#This Row],[Winning Candidate]]-SamplingData[[#This Row],[Candidate 3]])/(SamplingData[[#Totals],[Winning Candidate]]-SamplingData[[#Totals],[Candidate 3]]), 0)</f>
        <v>3.3551634029099589E-3</v>
      </c>
      <c r="M1616" s="100">
        <f>IF(AND(SamplingData[[#This Row],[Total]]&lt;&gt; 0, NOT(ISBLANK(SamplingData[[#This Row],[Candidate 4]]))),(SamplingData[[#This Row],[Total]]+SamplingData[[#This Row],[Winning Candidate]]-SamplingData[[#This Row],[Candidate 4]])/(SamplingData[[#Totals],[Winning Candidate]]-SamplingData[[#Totals],[Candidate 4]]), 0)</f>
        <v>3.3324563711304043E-3</v>
      </c>
      <c r="N1616" s="100">
        <f>IF(AND(SamplingData[[#This Row],[Total]]&lt;&gt; 0, NOT(ISBLANK(SamplingData[[#This Row],[Candidate 5]]))),(SamplingData[[#This Row],[Total]]+SamplingData[[#This Row],[Winning Candidate]]-SamplingData[[#This Row],[Candidate 5]])/(SamplingData[[#Totals],[Winning Candidate]]-SamplingData[[#Totals],[Candidate 5]]), 0)</f>
        <v>2.7730479202140597E-3</v>
      </c>
      <c r="O1616" s="100">
        <f>IF(AND(SamplingData[[#This Row],[Total]]&lt;&gt; 0, NOT(ISBLANK(SamplingData[[#This Row],[Candidate 6]]))),(SamplingData[[#This Row],[Total]]+SamplingData[[#This Row],[Winning Candidate]]-SamplingData[[#This Row],[Candidate 6]])/(SamplingData[[#Totals],[Winning Candidate]]-SamplingData[[#Totals],[Candidate 6]]), 0)</f>
        <v>2.7722387043431738E-3</v>
      </c>
      <c r="P1616" s="100">
        <f>MAX(SamplingData[[#This Row],[Error Bound (up) - Max. possible relative overstatement - Losing Candidate]:[Error Bound (up) - Max. possible relative overstatement - Candidate 6]])</f>
        <v>6.1244487996080354E-3</v>
      </c>
      <c r="Q1616" s="100">
        <f>IF(SamplingData[[#This Row],[Max Error Bound (up)]] = 0,0,SamplingData[[#This Row],[Max Error Bound (up)]]/SamplingData[[#Totals],[Max Error Bound (up)]])</f>
        <v>9.6929482784458313E-4</v>
      </c>
      <c r="R1616" s="101">
        <f>SUM($Q$5:Q1616)</f>
        <v>0.57953422741241056</v>
      </c>
      <c r="S1616" s="100" t="str">
        <f t="array" ref="S1616">IF(SamplingData[[#This Row],[up/U Selection Probability]] = 0, "Zero", TEXT(SamplingData[[#This Row],[Lower Range]], REPT("0",LEN('General Info'!$B$40))) &amp; " - " &amp; TEXT(SamplingData[[#This Row],[Upper Range]], REPT("0",LEN('General Info'!$B$40))))</f>
        <v>57856 - 57952</v>
      </c>
      <c r="T1616" s="100">
        <f>SamplingData[[#This Row],[Upper Range]]-SamplingData[[#This Row],[Span]]</f>
        <v>57856.494227751427</v>
      </c>
      <c r="U1616" s="100">
        <f>IF(ISNUMBER('General Info'!$B$40), ((SamplingData[[#This Row],[up/U Selection Probability]]) * 'General Info'!$B$40) - 1, 0)</f>
        <v>95.928513489630475</v>
      </c>
      <c r="V1616" s="100">
        <f>IF(ISNUMBER('General Info'!$B$40), (SamplingData[[#This Row],[Running (cumulative) sum]] * ('General Info'!$B$40 -'General Info'!$B$41 + 1)) + 'General Info'!$B$41 - 1, 0)</f>
        <v>57952.422741241055</v>
      </c>
      <c r="W1616" s="100" t="str">
        <f>IF(ISERROR(MATCH(SamplingData[[#This Row],[Batch by Type (p)]],SelectedPrecincts[Batch Name], 0)), "", INDEX(SelectedPrecincts[Draw], MATCH(SamplingData[[#This Row],[Batch by Type (p)]],SelectedPrecincts[Batch Name], 0)))</f>
        <v/>
      </c>
      <c r="X1616" s="102">
        <f>IF(COUNTIF(SelectedPrecincts[Batch Name],SamplingData[[#This Row],[Batch by Type (p)]]) &lt;&gt; 0, COUNTIF(SelectedPrecincts[Batch Name],SamplingData[[#This Row],[Batch by Type (p)]]), 0)</f>
        <v>0</v>
      </c>
    </row>
    <row r="1617" spans="1:24" ht="15" customHeight="1">
      <c r="A1617" s="18" t="s">
        <v>1793</v>
      </c>
      <c r="B1617" s="18">
        <v>43</v>
      </c>
      <c r="C1617" s="18">
        <v>57</v>
      </c>
      <c r="D1617" s="16">
        <v>14</v>
      </c>
      <c r="E1617" s="16">
        <v>10</v>
      </c>
      <c r="F1617" s="37">
        <v>0</v>
      </c>
      <c r="G1617" s="37">
        <v>0</v>
      </c>
      <c r="H1617" s="17">
        <v>0</v>
      </c>
      <c r="I1617" s="17">
        <v>0</v>
      </c>
      <c r="J1617" s="99">
        <f>SUM(SamplingData[[#This Row],[Losing Candidate]:[Under Votes]])</f>
        <v>124</v>
      </c>
      <c r="K1617" s="100">
        <f>IF(AND(SamplingData[[#This Row],[Total]]&lt;&gt; 0, NOT(ISBLANK(SamplingData[[#This Row],[Losing Candidate]]))),(SamplingData[[#This Row],[Total]]+SamplingData[[#This Row],[Winning Candidate]]-SamplingData[[#This Row],[Losing Candidate]])/(SamplingData[[#Totals],[Winning Candidate]]-SamplingData[[#Totals],[Losing Candidate]]), 0)</f>
        <v>8.4517393434590891E-3</v>
      </c>
      <c r="L1617" s="100">
        <f>IF(AND(SamplingData[[#This Row],[Total]]&lt;&gt; 0, NOT(ISBLANK(SamplingData[[#This Row],[Candidate 3]]))),(SamplingData[[#This Row],[Total]]+SamplingData[[#This Row],[Winning Candidate]]-SamplingData[[#This Row],[Candidate 3]])/(SamplingData[[#Totals],[Winning Candidate]]-SamplingData[[#Totals],[Candidate 3]]), 0)</f>
        <v>5.3876181565958E-3</v>
      </c>
      <c r="M1617" s="100">
        <f>IF(AND(SamplingData[[#This Row],[Total]]&lt;&gt; 0, NOT(ISBLANK(SamplingData[[#This Row],[Candidate 4]]))),(SamplingData[[#This Row],[Total]]+SamplingData[[#This Row],[Winning Candidate]]-SamplingData[[#This Row],[Candidate 4]])/(SamplingData[[#Totals],[Winning Candidate]]-SamplingData[[#Totals],[Candidate 4]]), 0)</f>
        <v>4.998684556695606E-3</v>
      </c>
      <c r="N1617" s="100">
        <f>IF(AND(SamplingData[[#This Row],[Total]]&lt;&gt; 0, NOT(ISBLANK(SamplingData[[#This Row],[Candidate 5]]))),(SamplingData[[#This Row],[Total]]+SamplingData[[#This Row],[Winning Candidate]]-SamplingData[[#This Row],[Candidate 5]])/(SamplingData[[#Totals],[Winning Candidate]]-SamplingData[[#Totals],[Candidate 5]]), 0)</f>
        <v>4.4028216978837268E-3</v>
      </c>
      <c r="O1617" s="100">
        <f>IF(AND(SamplingData[[#This Row],[Total]]&lt;&gt; 0, NOT(ISBLANK(SamplingData[[#This Row],[Candidate 6]]))),(SamplingData[[#This Row],[Total]]+SamplingData[[#This Row],[Winning Candidate]]-SamplingData[[#This Row],[Candidate 6]])/(SamplingData[[#Totals],[Winning Candidate]]-SamplingData[[#Totals],[Candidate 6]]), 0)</f>
        <v>4.4015368902290746E-3</v>
      </c>
      <c r="P1617" s="100">
        <f>MAX(SamplingData[[#This Row],[Error Bound (up) - Max. possible relative overstatement - Losing Candidate]:[Error Bound (up) - Max. possible relative overstatement - Candidate 6]])</f>
        <v>8.4517393434590891E-3</v>
      </c>
      <c r="Q1617" s="100">
        <f>IF(SamplingData[[#This Row],[Max Error Bound (up)]] = 0,0,SamplingData[[#This Row],[Max Error Bound (up)]]/SamplingData[[#Totals],[Max Error Bound (up)]])</f>
        <v>1.3376268624255248E-3</v>
      </c>
      <c r="R1617" s="101">
        <f>SUM($Q$5:Q1617)</f>
        <v>0.58087185427483612</v>
      </c>
      <c r="S1617" s="100" t="str">
        <f t="array" ref="S1617">IF(SamplingData[[#This Row],[up/U Selection Probability]] = 0, "Zero", TEXT(SamplingData[[#This Row],[Lower Range]], REPT("0",LEN('General Info'!$B$40))) &amp; " - " &amp; TEXT(SamplingData[[#This Row],[Upper Range]], REPT("0",LEN('General Info'!$B$40))))</f>
        <v>57953 - 58086</v>
      </c>
      <c r="T1617" s="100">
        <f>SamplingData[[#This Row],[Upper Range]]-SamplingData[[#This Row],[Span]]</f>
        <v>57953.424078867924</v>
      </c>
      <c r="U1617" s="100">
        <f>IF(ISNUMBER('General Info'!$B$40), ((SamplingData[[#This Row],[up/U Selection Probability]]) * 'General Info'!$B$40) - 1, 0)</f>
        <v>132.76134861569005</v>
      </c>
      <c r="V1617" s="100">
        <f>IF(ISNUMBER('General Info'!$B$40), (SamplingData[[#This Row],[Running (cumulative) sum]] * ('General Info'!$B$40 -'General Info'!$B$41 + 1)) + 'General Info'!$B$41 - 1, 0)</f>
        <v>58086.185427483615</v>
      </c>
      <c r="W1617" s="100" t="str">
        <f>IF(ISERROR(MATCH(SamplingData[[#This Row],[Batch by Type (p)]],SelectedPrecincts[Batch Name], 0)), "", INDEX(SelectedPrecincts[Draw], MATCH(SamplingData[[#This Row],[Batch by Type (p)]],SelectedPrecincts[Batch Name], 0)))</f>
        <v/>
      </c>
      <c r="X1617" s="102">
        <f>IF(COUNTIF(SelectedPrecincts[Batch Name],SamplingData[[#This Row],[Batch by Type (p)]]) &lt;&gt; 0, COUNTIF(SelectedPrecincts[Batch Name],SamplingData[[#This Row],[Batch by Type (p)]]), 0)</f>
        <v>0</v>
      </c>
    </row>
    <row r="1618" spans="1:24" ht="15" customHeight="1">
      <c r="A1618" s="18" t="s">
        <v>1794</v>
      </c>
      <c r="B1618" s="18">
        <v>15</v>
      </c>
      <c r="C1618" s="18">
        <v>9</v>
      </c>
      <c r="D1618" s="18">
        <v>3</v>
      </c>
      <c r="E1618" s="18">
        <v>2</v>
      </c>
      <c r="F1618" s="18">
        <v>0</v>
      </c>
      <c r="G1618" s="18">
        <v>0</v>
      </c>
      <c r="H1618" s="18">
        <v>0</v>
      </c>
      <c r="I1618" s="18">
        <v>1</v>
      </c>
      <c r="J1618" s="99">
        <f>SUM(SamplingData[[#This Row],[Losing Candidate]:[Under Votes]])</f>
        <v>30</v>
      </c>
      <c r="K1618"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1618" s="100">
        <f>IF(AND(SamplingData[[#This Row],[Total]]&lt;&gt; 0, NOT(ISBLANK(SamplingData[[#This Row],[Candidate 3]]))),(SamplingData[[#This Row],[Total]]+SamplingData[[#This Row],[Winning Candidate]]-SamplingData[[#This Row],[Candidate 3]])/(SamplingData[[#Totals],[Winning Candidate]]-SamplingData[[#Totals],[Candidate 3]]), 0)</f>
        <v>1.1614027163919089E-3</v>
      </c>
      <c r="M1618" s="100">
        <f>IF(AND(SamplingData[[#This Row],[Total]]&lt;&gt; 0, NOT(ISBLANK(SamplingData[[#This Row],[Candidate 4]]))),(SamplingData[[#This Row],[Total]]+SamplingData[[#This Row],[Winning Candidate]]-SamplingData[[#This Row],[Candidate 4]])/(SamplingData[[#Totals],[Winning Candidate]]-SamplingData[[#Totals],[Candidate 4]]), 0)</f>
        <v>1.081586716945833E-3</v>
      </c>
      <c r="N1618" s="100">
        <f>IF(AND(SamplingData[[#This Row],[Total]]&lt;&gt; 0, NOT(ISBLANK(SamplingData[[#This Row],[Candidate 5]]))),(SamplingData[[#This Row],[Total]]+SamplingData[[#This Row],[Winning Candidate]]-SamplingData[[#This Row],[Candidate 5]])/(SamplingData[[#Totals],[Winning Candidate]]-SamplingData[[#Totals],[Candidate 5]]), 0)</f>
        <v>9.4867428849428363E-4</v>
      </c>
      <c r="O1618" s="100">
        <f>IF(AND(SamplingData[[#This Row],[Total]]&lt;&gt; 0, NOT(ISBLANK(SamplingData[[#This Row],[Candidate 6]]))),(SamplingData[[#This Row],[Total]]+SamplingData[[#This Row],[Winning Candidate]]-SamplingData[[#This Row],[Candidate 6]])/(SamplingData[[#Totals],[Winning Candidate]]-SamplingData[[#Totals],[Candidate 6]]), 0)</f>
        <v>9.4839745148582271E-4</v>
      </c>
      <c r="P1618" s="100">
        <f>MAX(SamplingData[[#This Row],[Error Bound (up) - Max. possible relative overstatement - Losing Candidate]:[Error Bound (up) - Max. possible relative overstatement - Candidate 6]])</f>
        <v>1.4698677119059284E-3</v>
      </c>
      <c r="Q1618" s="100">
        <f>IF(SamplingData[[#This Row],[Max Error Bound (up)]] = 0,0,SamplingData[[#This Row],[Max Error Bound (up)]]/SamplingData[[#Totals],[Max Error Bound (up)]])</f>
        <v>2.3263075868269994E-4</v>
      </c>
      <c r="R1618" s="101">
        <f>SUM($Q$5:Q1618)</f>
        <v>0.58110448503351886</v>
      </c>
      <c r="S1618" s="100" t="str">
        <f t="array" ref="S1618">IF(SamplingData[[#This Row],[up/U Selection Probability]] = 0, "Zero", TEXT(SamplingData[[#This Row],[Lower Range]], REPT("0",LEN('General Info'!$B$40))) &amp; " - " &amp; TEXT(SamplingData[[#This Row],[Upper Range]], REPT("0",LEN('General Info'!$B$40))))</f>
        <v>58087 - 58109</v>
      </c>
      <c r="T1618" s="100">
        <f>SamplingData[[#This Row],[Upper Range]]-SamplingData[[#This Row],[Span]]</f>
        <v>58087.185660114374</v>
      </c>
      <c r="U1618" s="100">
        <f>IF(ISNUMBER('General Info'!$B$40), ((SamplingData[[#This Row],[up/U Selection Probability]]) * 'General Info'!$B$40) - 1, 0)</f>
        <v>22.262843237511312</v>
      </c>
      <c r="V1618" s="100">
        <f>IF(ISNUMBER('General Info'!$B$40), (SamplingData[[#This Row],[Running (cumulative) sum]] * ('General Info'!$B$40 -'General Info'!$B$41 + 1)) + 'General Info'!$B$41 - 1, 0)</f>
        <v>58109.448503351887</v>
      </c>
      <c r="W1618" s="100" t="str">
        <f>IF(ISERROR(MATCH(SamplingData[[#This Row],[Batch by Type (p)]],SelectedPrecincts[Batch Name], 0)), "", INDEX(SelectedPrecincts[Draw], MATCH(SamplingData[[#This Row],[Batch by Type (p)]],SelectedPrecincts[Batch Name], 0)))</f>
        <v/>
      </c>
      <c r="X1618" s="102">
        <f>IF(COUNTIF(SelectedPrecincts[Batch Name],SamplingData[[#This Row],[Batch by Type (p)]]) &lt;&gt; 0, COUNTIF(SelectedPrecincts[Batch Name],SamplingData[[#This Row],[Batch by Type (p)]]), 0)</f>
        <v>0</v>
      </c>
    </row>
    <row r="1619" spans="1:24" ht="15" customHeight="1">
      <c r="A1619" s="18" t="s">
        <v>1795</v>
      </c>
      <c r="B1619" s="18">
        <v>18</v>
      </c>
      <c r="C1619" s="18">
        <v>27</v>
      </c>
      <c r="D1619" s="16">
        <v>17</v>
      </c>
      <c r="E1619" s="16">
        <v>18</v>
      </c>
      <c r="F1619" s="37">
        <v>0</v>
      </c>
      <c r="G1619" s="37">
        <v>0</v>
      </c>
      <c r="H1619" s="17">
        <v>0</v>
      </c>
      <c r="I1619" s="17">
        <v>0</v>
      </c>
      <c r="J1619" s="99">
        <f>SUM(SamplingData[[#This Row],[Losing Candidate]:[Under Votes]])</f>
        <v>80</v>
      </c>
      <c r="K1619" s="100">
        <f>IF(AND(SamplingData[[#This Row],[Total]]&lt;&gt; 0, NOT(ISBLANK(SamplingData[[#This Row],[Losing Candidate]]))),(SamplingData[[#This Row],[Total]]+SamplingData[[#This Row],[Winning Candidate]]-SamplingData[[#This Row],[Losing Candidate]])/(SamplingData[[#Totals],[Winning Candidate]]-SamplingData[[#Totals],[Losing Candidate]]), 0)</f>
        <v>5.4507594316511518E-3</v>
      </c>
      <c r="L1619" s="100">
        <f>IF(AND(SamplingData[[#This Row],[Total]]&lt;&gt; 0, NOT(ISBLANK(SamplingData[[#This Row],[Candidate 3]]))),(SamplingData[[#This Row],[Total]]+SamplingData[[#This Row],[Winning Candidate]]-SamplingData[[#This Row],[Candidate 3]])/(SamplingData[[#Totals],[Winning Candidate]]-SamplingData[[#Totals],[Candidate 3]]), 0)</f>
        <v>2.9035067909797723E-3</v>
      </c>
      <c r="M1619" s="100">
        <f>IF(AND(SamplingData[[#This Row],[Total]]&lt;&gt; 0, NOT(ISBLANK(SamplingData[[#This Row],[Candidate 4]]))),(SamplingData[[#This Row],[Total]]+SamplingData[[#This Row],[Winning Candidate]]-SamplingData[[#This Row],[Candidate 4]])/(SamplingData[[#Totals],[Winning Candidate]]-SamplingData[[#Totals],[Candidate 4]]), 0)</f>
        <v>2.6016545353561927E-3</v>
      </c>
      <c r="N1619" s="100">
        <f>IF(AND(SamplingData[[#This Row],[Total]]&lt;&gt; 0, NOT(ISBLANK(SamplingData[[#This Row],[Candidate 5]]))),(SamplingData[[#This Row],[Total]]+SamplingData[[#This Row],[Winning Candidate]]-SamplingData[[#This Row],[Candidate 5]])/(SamplingData[[#Totals],[Winning Candidate]]-SamplingData[[#Totals],[Candidate 5]]), 0)</f>
        <v>2.6027730479202139E-3</v>
      </c>
      <c r="O1619" s="100">
        <f>IF(AND(SamplingData[[#This Row],[Total]]&lt;&gt; 0, NOT(ISBLANK(SamplingData[[#This Row],[Candidate 6]]))),(SamplingData[[#This Row],[Total]]+SamplingData[[#This Row],[Winning Candidate]]-SamplingData[[#This Row],[Candidate 6]])/(SamplingData[[#Totals],[Winning Candidate]]-SamplingData[[#Totals],[Candidate 6]]), 0)</f>
        <v>2.6020135207431546E-3</v>
      </c>
      <c r="P1619" s="100">
        <f>MAX(SamplingData[[#This Row],[Error Bound (up) - Max. possible relative overstatement - Losing Candidate]:[Error Bound (up) - Max. possible relative overstatement - Candidate 6]])</f>
        <v>5.4507594316511518E-3</v>
      </c>
      <c r="Q1619" s="100">
        <f>IF(SamplingData[[#This Row],[Max Error Bound (up)]] = 0,0,SamplingData[[#This Row],[Max Error Bound (up)]]/SamplingData[[#Totals],[Max Error Bound (up)]])</f>
        <v>8.6267239678167911E-4</v>
      </c>
      <c r="R1619" s="101">
        <f>SUM($Q$5:Q1619)</f>
        <v>0.58196715743030059</v>
      </c>
      <c r="S1619" s="100" t="str">
        <f t="array" ref="S1619">IF(SamplingData[[#This Row],[up/U Selection Probability]] = 0, "Zero", TEXT(SamplingData[[#This Row],[Lower Range]], REPT("0",LEN('General Info'!$B$40))) &amp; " - " &amp; TEXT(SamplingData[[#This Row],[Upper Range]], REPT("0",LEN('General Info'!$B$40))))</f>
        <v>58110 - 58196</v>
      </c>
      <c r="T1619" s="100">
        <f>SamplingData[[#This Row],[Upper Range]]-SamplingData[[#This Row],[Span]]</f>
        <v>58110.449366024288</v>
      </c>
      <c r="U1619" s="100">
        <f>IF(ISNUMBER('General Info'!$B$40), ((SamplingData[[#This Row],[up/U Selection Probability]]) * 'General Info'!$B$40) - 1, 0)</f>
        <v>85.266377005771133</v>
      </c>
      <c r="V1619" s="100">
        <f>IF(ISNUMBER('General Info'!$B$40), (SamplingData[[#This Row],[Running (cumulative) sum]] * ('General Info'!$B$40 -'General Info'!$B$41 + 1)) + 'General Info'!$B$41 - 1, 0)</f>
        <v>58195.715743030058</v>
      </c>
      <c r="W1619" s="100" t="str">
        <f>IF(ISERROR(MATCH(SamplingData[[#This Row],[Batch by Type (p)]],SelectedPrecincts[Batch Name], 0)), "", INDEX(SelectedPrecincts[Draw], MATCH(SamplingData[[#This Row],[Batch by Type (p)]],SelectedPrecincts[Batch Name], 0)))</f>
        <v/>
      </c>
      <c r="X1619" s="102">
        <f>IF(COUNTIF(SelectedPrecincts[Batch Name],SamplingData[[#This Row],[Batch by Type (p)]]) &lt;&gt; 0, COUNTIF(SelectedPrecincts[Batch Name],SamplingData[[#This Row],[Batch by Type (p)]]), 0)</f>
        <v>0</v>
      </c>
    </row>
    <row r="1620" spans="1:24" ht="15" customHeight="1">
      <c r="A1620" s="18" t="s">
        <v>1796</v>
      </c>
      <c r="B1620" s="18">
        <v>23</v>
      </c>
      <c r="C1620" s="18">
        <v>13</v>
      </c>
      <c r="D1620" s="18">
        <v>3</v>
      </c>
      <c r="E1620" s="18">
        <v>0</v>
      </c>
      <c r="F1620" s="18">
        <v>1</v>
      </c>
      <c r="G1620" s="18">
        <v>0</v>
      </c>
      <c r="H1620" s="18">
        <v>0</v>
      </c>
      <c r="I1620" s="18">
        <v>1</v>
      </c>
      <c r="J1620" s="99">
        <f>SUM(SamplingData[[#This Row],[Losing Candidate]:[Under Votes]])</f>
        <v>41</v>
      </c>
      <c r="K1620"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620" s="100">
        <f>IF(AND(SamplingData[[#This Row],[Total]]&lt;&gt; 0, NOT(ISBLANK(SamplingData[[#This Row],[Candidate 3]]))),(SamplingData[[#This Row],[Total]]+SamplingData[[#This Row],[Winning Candidate]]-SamplingData[[#This Row],[Candidate 3]])/(SamplingData[[#Totals],[Winning Candidate]]-SamplingData[[#Totals],[Candidate 3]]), 0)</f>
        <v>1.6453205148885377E-3</v>
      </c>
      <c r="M1620" s="100">
        <f>IF(AND(SamplingData[[#This Row],[Total]]&lt;&gt; 0, NOT(ISBLANK(SamplingData[[#This Row],[Candidate 4]]))),(SamplingData[[#This Row],[Total]]+SamplingData[[#This Row],[Winning Candidate]]-SamplingData[[#This Row],[Candidate 4]])/(SamplingData[[#Totals],[Winning Candidate]]-SamplingData[[#Totals],[Candidate 4]]), 0)</f>
        <v>1.5785319652722968E-3</v>
      </c>
      <c r="N1620" s="100">
        <f>IF(AND(SamplingData[[#This Row],[Total]]&lt;&gt; 0, NOT(ISBLANK(SamplingData[[#This Row],[Candidate 5]]))),(SamplingData[[#This Row],[Total]]+SamplingData[[#This Row],[Winning Candidate]]-SamplingData[[#This Row],[Candidate 5]])/(SamplingData[[#Totals],[Winning Candidate]]-SamplingData[[#Totals],[Candidate 5]]), 0)</f>
        <v>1.2892240330819751E-3</v>
      </c>
      <c r="O1620" s="100">
        <f>IF(AND(SamplingData[[#This Row],[Total]]&lt;&gt; 0, NOT(ISBLANK(SamplingData[[#This Row],[Candidate 6]]))),(SamplingData[[#This Row],[Total]]+SamplingData[[#This Row],[Winning Candidate]]-SamplingData[[#This Row],[Candidate 6]])/(SamplingData[[#Totals],[Winning Candidate]]-SamplingData[[#Totals],[Candidate 6]]), 0)</f>
        <v>1.313165702057293E-3</v>
      </c>
      <c r="P1620" s="100">
        <f>MAX(SamplingData[[#This Row],[Error Bound (up) - Max. possible relative overstatement - Losing Candidate]:[Error Bound (up) - Max. possible relative overstatement - Candidate 6]])</f>
        <v>1.8985791278784908E-3</v>
      </c>
      <c r="Q1620" s="100">
        <f>IF(SamplingData[[#This Row],[Max Error Bound (up)]] = 0,0,SamplingData[[#This Row],[Max Error Bound (up)]]/SamplingData[[#Totals],[Max Error Bound (up)]])</f>
        <v>3.0048139663182077E-4</v>
      </c>
      <c r="R1620" s="101">
        <f>SUM($Q$5:Q1620)</f>
        <v>0.58226763882693244</v>
      </c>
      <c r="S1620" s="100" t="str">
        <f t="array" ref="S1620">IF(SamplingData[[#This Row],[up/U Selection Probability]] = 0, "Zero", TEXT(SamplingData[[#This Row],[Lower Range]], REPT("0",LEN('General Info'!$B$40))) &amp; " - " &amp; TEXT(SamplingData[[#This Row],[Upper Range]], REPT("0",LEN('General Info'!$B$40))))</f>
        <v>58197 - 58226</v>
      </c>
      <c r="T1620" s="100">
        <f>SamplingData[[#This Row],[Upper Range]]-SamplingData[[#This Row],[Span]]</f>
        <v>58196.716043511457</v>
      </c>
      <c r="U1620" s="100">
        <f>IF(ISNUMBER('General Info'!$B$40), ((SamplingData[[#This Row],[up/U Selection Probability]]) * 'General Info'!$B$40) - 1, 0)</f>
        <v>29.047839181785445</v>
      </c>
      <c r="V1620" s="100">
        <f>IF(ISNUMBER('General Info'!$B$40), (SamplingData[[#This Row],[Running (cumulative) sum]] * ('General Info'!$B$40 -'General Info'!$B$41 + 1)) + 'General Info'!$B$41 - 1, 0)</f>
        <v>58225.763882693245</v>
      </c>
      <c r="W1620" s="100" t="str">
        <f>IF(ISERROR(MATCH(SamplingData[[#This Row],[Batch by Type (p)]],SelectedPrecincts[Batch Name], 0)), "", INDEX(SelectedPrecincts[Draw], MATCH(SamplingData[[#This Row],[Batch by Type (p)]],SelectedPrecincts[Batch Name], 0)))</f>
        <v/>
      </c>
      <c r="X1620" s="102">
        <f>IF(COUNTIF(SelectedPrecincts[Batch Name],SamplingData[[#This Row],[Batch by Type (p)]]) &lt;&gt; 0, COUNTIF(SelectedPrecincts[Batch Name],SamplingData[[#This Row],[Batch by Type (p)]]), 0)</f>
        <v>0</v>
      </c>
    </row>
    <row r="1621" spans="1:24" ht="15" customHeight="1">
      <c r="A1621" s="18" t="s">
        <v>1797</v>
      </c>
      <c r="B1621" s="18">
        <v>32</v>
      </c>
      <c r="C1621" s="18">
        <v>56</v>
      </c>
      <c r="D1621" s="16">
        <v>17</v>
      </c>
      <c r="E1621" s="16">
        <v>11</v>
      </c>
      <c r="F1621" s="37">
        <v>2</v>
      </c>
      <c r="G1621" s="37">
        <v>0</v>
      </c>
      <c r="H1621" s="17">
        <v>0</v>
      </c>
      <c r="I1621" s="17">
        <v>1</v>
      </c>
      <c r="J1621" s="99">
        <f>SUM(SamplingData[[#This Row],[Losing Candidate]:[Under Votes]])</f>
        <v>119</v>
      </c>
      <c r="K1621" s="100">
        <f>IF(AND(SamplingData[[#This Row],[Total]]&lt;&gt; 0, NOT(ISBLANK(SamplingData[[#This Row],[Losing Candidate]]))),(SamplingData[[#This Row],[Total]]+SamplingData[[#This Row],[Winning Candidate]]-SamplingData[[#This Row],[Losing Candidate]])/(SamplingData[[#Totals],[Winning Candidate]]-SamplingData[[#Totals],[Losing Candidate]]), 0)</f>
        <v>8.7579617834394902E-3</v>
      </c>
      <c r="L1621" s="100">
        <f>IF(AND(SamplingData[[#This Row],[Total]]&lt;&gt; 0, NOT(ISBLANK(SamplingData[[#This Row],[Candidate 3]]))),(SamplingData[[#This Row],[Total]]+SamplingData[[#This Row],[Winning Candidate]]-SamplingData[[#This Row],[Candidate 3]])/(SamplingData[[#Totals],[Winning Candidate]]-SamplingData[[#Totals],[Candidate 3]]), 0)</f>
        <v>5.0972674774978225E-3</v>
      </c>
      <c r="M1621" s="100">
        <f>IF(AND(SamplingData[[#This Row],[Total]]&lt;&gt; 0, NOT(ISBLANK(SamplingData[[#This Row],[Candidate 4]]))),(SamplingData[[#This Row],[Total]]+SamplingData[[#This Row],[Winning Candidate]]-SamplingData[[#This Row],[Candidate 4]])/(SamplingData[[#Totals],[Winning Candidate]]-SamplingData[[#Totals],[Candidate 4]]), 0)</f>
        <v>4.7940600426788268E-3</v>
      </c>
      <c r="N1621" s="100">
        <f>IF(AND(SamplingData[[#This Row],[Total]]&lt;&gt; 0, NOT(ISBLANK(SamplingData[[#This Row],[Candidate 5]]))),(SamplingData[[#This Row],[Total]]+SamplingData[[#This Row],[Winning Candidate]]-SamplingData[[#This Row],[Candidate 5]])/(SamplingData[[#Totals],[Winning Candidate]]-SamplingData[[#Totals],[Candidate 5]]), 0)</f>
        <v>4.2082218438336174E-3</v>
      </c>
      <c r="O1621" s="100">
        <f>IF(AND(SamplingData[[#This Row],[Total]]&lt;&gt; 0, NOT(ISBLANK(SamplingData[[#This Row],[Candidate 6]]))),(SamplingData[[#This Row],[Total]]+SamplingData[[#This Row],[Winning Candidate]]-SamplingData[[#This Row],[Candidate 6]])/(SamplingData[[#Totals],[Winning Candidate]]-SamplingData[[#Totals],[Candidate 6]]), 0)</f>
        <v>4.2556295900004863E-3</v>
      </c>
      <c r="P1621" s="100">
        <f>MAX(SamplingData[[#This Row],[Error Bound (up) - Max. possible relative overstatement - Losing Candidate]:[Error Bound (up) - Max. possible relative overstatement - Candidate 6]])</f>
        <v>8.7579617834394902E-3</v>
      </c>
      <c r="Q1621" s="100">
        <f>IF(SamplingData[[#This Row],[Max Error Bound (up)]] = 0,0,SamplingData[[#This Row],[Max Error Bound (up)]]/SamplingData[[#Totals],[Max Error Bound (up)]])</f>
        <v>1.3860916038177539E-3</v>
      </c>
      <c r="R1621" s="101">
        <f>SUM($Q$5:Q1621)</f>
        <v>0.58365373043075019</v>
      </c>
      <c r="S1621" s="100" t="str">
        <f t="array" ref="S1621">IF(SamplingData[[#This Row],[up/U Selection Probability]] = 0, "Zero", TEXT(SamplingData[[#This Row],[Lower Range]], REPT("0",LEN('General Info'!$B$40))) &amp; " - " &amp; TEXT(SamplingData[[#This Row],[Upper Range]], REPT("0",LEN('General Info'!$B$40))))</f>
        <v>58227 - 58364</v>
      </c>
      <c r="T1621" s="100">
        <f>SamplingData[[#This Row],[Upper Range]]-SamplingData[[#This Row],[Span]]</f>
        <v>58226.765268784853</v>
      </c>
      <c r="U1621" s="100">
        <f>IF(ISNUMBER('General Info'!$B$40), ((SamplingData[[#This Row],[up/U Selection Probability]]) * 'General Info'!$B$40) - 1, 0)</f>
        <v>137.60777429017156</v>
      </c>
      <c r="V1621" s="100">
        <f>IF(ISNUMBER('General Info'!$B$40), (SamplingData[[#This Row],[Running (cumulative) sum]] * ('General Info'!$B$40 -'General Info'!$B$41 + 1)) + 'General Info'!$B$41 - 1, 0)</f>
        <v>58364.373043075022</v>
      </c>
      <c r="W1621" s="100" t="str">
        <f>IF(ISERROR(MATCH(SamplingData[[#This Row],[Batch by Type (p)]],SelectedPrecincts[Batch Name], 0)), "", INDEX(SelectedPrecincts[Draw], MATCH(SamplingData[[#This Row],[Batch by Type (p)]],SelectedPrecincts[Batch Name], 0)))</f>
        <v/>
      </c>
      <c r="X1621" s="102">
        <f>IF(COUNTIF(SelectedPrecincts[Batch Name],SamplingData[[#This Row],[Batch by Type (p)]]) &lt;&gt; 0, COUNTIF(SelectedPrecincts[Batch Name],SamplingData[[#This Row],[Batch by Type (p)]]), 0)</f>
        <v>0</v>
      </c>
    </row>
    <row r="1622" spans="1:24" ht="15" customHeight="1">
      <c r="A1622" s="18" t="s">
        <v>1798</v>
      </c>
      <c r="B1622" s="18">
        <v>17</v>
      </c>
      <c r="C1622" s="18">
        <v>19</v>
      </c>
      <c r="D1622" s="18">
        <v>4</v>
      </c>
      <c r="E1622" s="18">
        <v>5</v>
      </c>
      <c r="F1622" s="18">
        <v>0</v>
      </c>
      <c r="G1622" s="18">
        <v>0</v>
      </c>
      <c r="H1622" s="18">
        <v>0</v>
      </c>
      <c r="I1622" s="18">
        <v>0</v>
      </c>
      <c r="J1622" s="99">
        <f>SUM(SamplingData[[#This Row],[Losing Candidate]:[Under Votes]])</f>
        <v>45</v>
      </c>
      <c r="K1622" s="100">
        <f>IF(AND(SamplingData[[#This Row],[Total]]&lt;&gt; 0, NOT(ISBLANK(SamplingData[[#This Row],[Losing Candidate]]))),(SamplingData[[#This Row],[Total]]+SamplingData[[#This Row],[Winning Candidate]]-SamplingData[[#This Row],[Losing Candidate]])/(SamplingData[[#Totals],[Winning Candidate]]-SamplingData[[#Totals],[Losing Candidate]]), 0)</f>
        <v>2.8784909358157765E-3</v>
      </c>
      <c r="L1622" s="100">
        <f>IF(AND(SamplingData[[#This Row],[Total]]&lt;&gt; 0, NOT(ISBLANK(SamplingData[[#This Row],[Candidate 3]]))),(SamplingData[[#This Row],[Total]]+SamplingData[[#This Row],[Winning Candidate]]-SamplingData[[#This Row],[Candidate 3]])/(SamplingData[[#Totals],[Winning Candidate]]-SamplingData[[#Totals],[Candidate 3]]), 0)</f>
        <v>1.9356711939865149E-3</v>
      </c>
      <c r="M1622" s="100">
        <f>IF(AND(SamplingData[[#This Row],[Total]]&lt;&gt; 0, NOT(ISBLANK(SamplingData[[#This Row],[Candidate 4]]))),(SamplingData[[#This Row],[Total]]+SamplingData[[#This Row],[Winning Candidate]]-SamplingData[[#This Row],[Candidate 4]])/(SamplingData[[#Totals],[Winning Candidate]]-SamplingData[[#Totals],[Candidate 4]]), 0)</f>
        <v>1.7246923324271391E-3</v>
      </c>
      <c r="N1622" s="100">
        <f>IF(AND(SamplingData[[#This Row],[Total]]&lt;&gt; 0, NOT(ISBLANK(SamplingData[[#This Row],[Candidate 5]]))),(SamplingData[[#This Row],[Total]]+SamplingData[[#This Row],[Winning Candidate]]-SamplingData[[#This Row],[Candidate 5]])/(SamplingData[[#Totals],[Winning Candidate]]-SamplingData[[#Totals],[Candidate 5]]), 0)</f>
        <v>1.5567988324008757E-3</v>
      </c>
      <c r="O1622" s="100">
        <f>IF(AND(SamplingData[[#This Row],[Total]]&lt;&gt; 0, NOT(ISBLANK(SamplingData[[#This Row],[Candidate 6]]))),(SamplingData[[#This Row],[Total]]+SamplingData[[#This Row],[Winning Candidate]]-SamplingData[[#This Row],[Candidate 6]])/(SamplingData[[#Totals],[Winning Candidate]]-SamplingData[[#Totals],[Candidate 6]]), 0)</f>
        <v>1.5563445357716064E-3</v>
      </c>
      <c r="P1622" s="100">
        <f>MAX(SamplingData[[#This Row],[Error Bound (up) - Max. possible relative overstatement - Losing Candidate]:[Error Bound (up) - Max. possible relative overstatement - Candidate 6]])</f>
        <v>2.8784909358157765E-3</v>
      </c>
      <c r="Q1622" s="100">
        <f>IF(SamplingData[[#This Row],[Max Error Bound (up)]] = 0,0,SamplingData[[#This Row],[Max Error Bound (up)]]/SamplingData[[#Totals],[Max Error Bound (up)]])</f>
        <v>4.5556856908695405E-4</v>
      </c>
      <c r="R1622" s="101">
        <f>SUM($Q$5:Q1622)</f>
        <v>0.5841092989998371</v>
      </c>
      <c r="S1622" s="100" t="str">
        <f t="array" ref="S1622">IF(SamplingData[[#This Row],[up/U Selection Probability]] = 0, "Zero", TEXT(SamplingData[[#This Row],[Lower Range]], REPT("0",LEN('General Info'!$B$40))) &amp; " - " &amp; TEXT(SamplingData[[#This Row],[Upper Range]], REPT("0",LEN('General Info'!$B$40))))</f>
        <v>58365 - 58410</v>
      </c>
      <c r="T1622" s="100">
        <f>SamplingData[[#This Row],[Upper Range]]-SamplingData[[#This Row],[Span]]</f>
        <v>58365.373498643588</v>
      </c>
      <c r="U1622" s="100">
        <f>IF(ISNUMBER('General Info'!$B$40), ((SamplingData[[#This Row],[up/U Selection Probability]]) * 'General Info'!$B$40) - 1, 0)</f>
        <v>44.556401340126321</v>
      </c>
      <c r="V1622" s="100">
        <f>IF(ISNUMBER('General Info'!$B$40), (SamplingData[[#This Row],[Running (cumulative) sum]] * ('General Info'!$B$40 -'General Info'!$B$41 + 1)) + 'General Info'!$B$41 - 1, 0)</f>
        <v>58409.929899983712</v>
      </c>
      <c r="W1622" s="100" t="str">
        <f>IF(ISERROR(MATCH(SamplingData[[#This Row],[Batch by Type (p)]],SelectedPrecincts[Batch Name], 0)), "", INDEX(SelectedPrecincts[Draw], MATCH(SamplingData[[#This Row],[Batch by Type (p)]],SelectedPrecincts[Batch Name], 0)))</f>
        <v/>
      </c>
      <c r="X1622" s="102">
        <f>IF(COUNTIF(SelectedPrecincts[Batch Name],SamplingData[[#This Row],[Batch by Type (p)]]) &lt;&gt; 0, COUNTIF(SelectedPrecincts[Batch Name],SamplingData[[#This Row],[Batch by Type (p)]]), 0)</f>
        <v>0</v>
      </c>
    </row>
    <row r="1623" spans="1:24" ht="15" customHeight="1">
      <c r="A1623" s="18" t="s">
        <v>1799</v>
      </c>
      <c r="B1623" s="18">
        <v>28</v>
      </c>
      <c r="C1623" s="18">
        <v>26</v>
      </c>
      <c r="D1623" s="16">
        <v>11</v>
      </c>
      <c r="E1623" s="16">
        <v>6</v>
      </c>
      <c r="F1623" s="37">
        <v>0</v>
      </c>
      <c r="G1623" s="37">
        <v>0</v>
      </c>
      <c r="H1623" s="17">
        <v>1</v>
      </c>
      <c r="I1623" s="17">
        <v>1</v>
      </c>
      <c r="J1623" s="99">
        <f>SUM(SamplingData[[#This Row],[Losing Candidate]:[Under Votes]])</f>
        <v>73</v>
      </c>
      <c r="K1623" s="100">
        <f>IF(AND(SamplingData[[#This Row],[Total]]&lt;&gt; 0, NOT(ISBLANK(SamplingData[[#This Row],[Losing Candidate]]))),(SamplingData[[#This Row],[Total]]+SamplingData[[#This Row],[Winning Candidate]]-SamplingData[[#This Row],[Losing Candidate]])/(SamplingData[[#Totals],[Winning Candidate]]-SamplingData[[#Totals],[Losing Candidate]]), 0)</f>
        <v>4.3483586477217053E-3</v>
      </c>
      <c r="L1623" s="100">
        <f>IF(AND(SamplingData[[#This Row],[Total]]&lt;&gt; 0, NOT(ISBLANK(SamplingData[[#This Row],[Candidate 3]]))),(SamplingData[[#This Row],[Total]]+SamplingData[[#This Row],[Winning Candidate]]-SamplingData[[#This Row],[Candidate 3]])/(SamplingData[[#Totals],[Winning Candidate]]-SamplingData[[#Totals],[Candidate 3]]), 0)</f>
        <v>2.8389844178468883E-3</v>
      </c>
      <c r="M1623" s="100">
        <f>IF(AND(SamplingData[[#This Row],[Total]]&lt;&gt; 0, NOT(ISBLANK(SamplingData[[#This Row],[Candidate 4]]))),(SamplingData[[#This Row],[Total]]+SamplingData[[#This Row],[Winning Candidate]]-SamplingData[[#This Row],[Candidate 4]])/(SamplingData[[#Totals],[Winning Candidate]]-SamplingData[[#Totals],[Candidate 4]]), 0)</f>
        <v>2.7185828290800665E-3</v>
      </c>
      <c r="N1623" s="100">
        <f>IF(AND(SamplingData[[#This Row],[Total]]&lt;&gt; 0, NOT(ISBLANK(SamplingData[[#This Row],[Candidate 5]]))),(SamplingData[[#This Row],[Total]]+SamplingData[[#This Row],[Winning Candidate]]-SamplingData[[#This Row],[Candidate 5]])/(SamplingData[[#Totals],[Winning Candidate]]-SamplingData[[#Totals],[Candidate 5]]), 0)</f>
        <v>2.4081731938701044E-3</v>
      </c>
      <c r="O1623" s="100">
        <f>IF(AND(SamplingData[[#This Row],[Total]]&lt;&gt; 0, NOT(ISBLANK(SamplingData[[#This Row],[Candidate 6]]))),(SamplingData[[#This Row],[Total]]+SamplingData[[#This Row],[Winning Candidate]]-SamplingData[[#This Row],[Candidate 6]])/(SamplingData[[#Totals],[Winning Candidate]]-SamplingData[[#Totals],[Candidate 6]]), 0)</f>
        <v>2.4074704537717039E-3</v>
      </c>
      <c r="P1623" s="100">
        <f>MAX(SamplingData[[#This Row],[Error Bound (up) - Max. possible relative overstatement - Losing Candidate]:[Error Bound (up) - Max. possible relative overstatement - Candidate 6]])</f>
        <v>4.3483586477217053E-3</v>
      </c>
      <c r="Q1623" s="100">
        <f>IF(SamplingData[[#This Row],[Max Error Bound (up)]] = 0,0,SamplingData[[#This Row],[Max Error Bound (up)]]/SamplingData[[#Totals],[Max Error Bound (up)]])</f>
        <v>6.881993277696541E-4</v>
      </c>
      <c r="R1623" s="101">
        <f>SUM($Q$5:Q1623)</f>
        <v>0.58479749832760675</v>
      </c>
      <c r="S1623" s="100" t="str">
        <f t="array" ref="S1623">IF(SamplingData[[#This Row],[up/U Selection Probability]] = 0, "Zero", TEXT(SamplingData[[#This Row],[Lower Range]], REPT("0",LEN('General Info'!$B$40))) &amp; " - " &amp; TEXT(SamplingData[[#This Row],[Upper Range]], REPT("0",LEN('General Info'!$B$40))))</f>
        <v>58411 - 58479</v>
      </c>
      <c r="T1623" s="100">
        <f>SamplingData[[#This Row],[Upper Range]]-SamplingData[[#This Row],[Span]]</f>
        <v>58410.930588183037</v>
      </c>
      <c r="U1623" s="100">
        <f>IF(ISNUMBER('General Info'!$B$40), ((SamplingData[[#This Row],[up/U Selection Probability]]) * 'General Info'!$B$40) - 1, 0)</f>
        <v>67.819244577637633</v>
      </c>
      <c r="V1623" s="100">
        <f>IF(ISNUMBER('General Info'!$B$40), (SamplingData[[#This Row],[Running (cumulative) sum]] * ('General Info'!$B$40 -'General Info'!$B$41 + 1)) + 'General Info'!$B$41 - 1, 0)</f>
        <v>58478.749832760674</v>
      </c>
      <c r="W1623" s="100" t="str">
        <f>IF(ISERROR(MATCH(SamplingData[[#This Row],[Batch by Type (p)]],SelectedPrecincts[Batch Name], 0)), "", INDEX(SelectedPrecincts[Draw], MATCH(SamplingData[[#This Row],[Batch by Type (p)]],SelectedPrecincts[Batch Name], 0)))</f>
        <v/>
      </c>
      <c r="X1623" s="102">
        <f>IF(COUNTIF(SelectedPrecincts[Batch Name],SamplingData[[#This Row],[Batch by Type (p)]]) &lt;&gt; 0, COUNTIF(SelectedPrecincts[Batch Name],SamplingData[[#This Row],[Batch by Type (p)]]), 0)</f>
        <v>0</v>
      </c>
    </row>
    <row r="1624" spans="1:24" ht="15" customHeight="1">
      <c r="A1624" s="18" t="s">
        <v>1800</v>
      </c>
      <c r="B1624" s="18">
        <v>34</v>
      </c>
      <c r="C1624" s="18">
        <v>17</v>
      </c>
      <c r="D1624" s="18">
        <v>2</v>
      </c>
      <c r="E1624" s="18">
        <v>2</v>
      </c>
      <c r="F1624" s="18">
        <v>0</v>
      </c>
      <c r="G1624" s="18">
        <v>0</v>
      </c>
      <c r="H1624" s="18">
        <v>0</v>
      </c>
      <c r="I1624" s="18">
        <v>0</v>
      </c>
      <c r="J1624" s="99">
        <f>SUM(SamplingData[[#This Row],[Losing Candidate]:[Under Votes]])</f>
        <v>55</v>
      </c>
      <c r="K1624"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1624" s="100">
        <f>IF(AND(SamplingData[[#This Row],[Total]]&lt;&gt; 0, NOT(ISBLANK(SamplingData[[#This Row],[Candidate 3]]))),(SamplingData[[#This Row],[Total]]+SamplingData[[#This Row],[Winning Candidate]]-SamplingData[[#This Row],[Candidate 3]])/(SamplingData[[#Totals],[Winning Candidate]]-SamplingData[[#Totals],[Candidate 3]]), 0)</f>
        <v>2.2582830596509338E-3</v>
      </c>
      <c r="M1624" s="100">
        <f>IF(AND(SamplingData[[#This Row],[Total]]&lt;&gt; 0, NOT(ISBLANK(SamplingData[[#This Row],[Candidate 4]]))),(SamplingData[[#This Row],[Total]]+SamplingData[[#This Row],[Winning Candidate]]-SamplingData[[#This Row],[Candidate 4]])/(SamplingData[[#Totals],[Winning Candidate]]-SamplingData[[#Totals],[Candidate 4]]), 0)</f>
        <v>2.0462451401677922E-3</v>
      </c>
      <c r="N1624" s="100">
        <f>IF(AND(SamplingData[[#This Row],[Total]]&lt;&gt; 0, NOT(ISBLANK(SamplingData[[#This Row],[Candidate 5]]))),(SamplingData[[#This Row],[Total]]+SamplingData[[#This Row],[Winning Candidate]]-SamplingData[[#This Row],[Candidate 5]])/(SamplingData[[#Totals],[Winning Candidate]]-SamplingData[[#Totals],[Candidate 5]]), 0)</f>
        <v>1.7513986864509852E-3</v>
      </c>
      <c r="O1624" s="100">
        <f>IF(AND(SamplingData[[#This Row],[Total]]&lt;&gt; 0, NOT(ISBLANK(SamplingData[[#This Row],[Candidate 6]]))),(SamplingData[[#This Row],[Total]]+SamplingData[[#This Row],[Winning Candidate]]-SamplingData[[#This Row],[Candidate 6]])/(SamplingData[[#Totals],[Winning Candidate]]-SamplingData[[#Totals],[Candidate 6]]), 0)</f>
        <v>1.7508876027430573E-3</v>
      </c>
      <c r="P1624" s="100">
        <f>MAX(SamplingData[[#This Row],[Error Bound (up) - Max. possible relative overstatement - Losing Candidate]:[Error Bound (up) - Max. possible relative overstatement - Candidate 6]])</f>
        <v>2.3272905438510533E-3</v>
      </c>
      <c r="Q1624" s="100">
        <f>IF(SamplingData[[#This Row],[Max Error Bound (up)]] = 0,0,SamplingData[[#This Row],[Max Error Bound (up)]]/SamplingData[[#Totals],[Max Error Bound (up)]])</f>
        <v>3.683320345809416E-4</v>
      </c>
      <c r="R1624" s="101">
        <f>SUM($Q$5:Q1624)</f>
        <v>0.58516583036218772</v>
      </c>
      <c r="S1624" s="100" t="str">
        <f t="array" ref="S1624">IF(SamplingData[[#This Row],[up/U Selection Probability]] = 0, "Zero", TEXT(SamplingData[[#This Row],[Lower Range]], REPT("0",LEN('General Info'!$B$40))) &amp; " - " &amp; TEXT(SamplingData[[#This Row],[Upper Range]], REPT("0",LEN('General Info'!$B$40))))</f>
        <v>58480 - 58516</v>
      </c>
      <c r="T1624" s="100">
        <f>SamplingData[[#This Row],[Upper Range]]-SamplingData[[#This Row],[Span]]</f>
        <v>58479.750201092713</v>
      </c>
      <c r="U1624" s="100">
        <f>IF(ISNUMBER('General Info'!$B$40), ((SamplingData[[#This Row],[up/U Selection Probability]]) * 'General Info'!$B$40) - 1, 0)</f>
        <v>35.832835126059578</v>
      </c>
      <c r="V1624" s="100">
        <f>IF(ISNUMBER('General Info'!$B$40), (SamplingData[[#This Row],[Running (cumulative) sum]] * ('General Info'!$B$40 -'General Info'!$B$41 + 1)) + 'General Info'!$B$41 - 1, 0)</f>
        <v>58515.58303621877</v>
      </c>
      <c r="W1624" s="100" t="str">
        <f>IF(ISERROR(MATCH(SamplingData[[#This Row],[Batch by Type (p)]],SelectedPrecincts[Batch Name], 0)), "", INDEX(SelectedPrecincts[Draw], MATCH(SamplingData[[#This Row],[Batch by Type (p)]],SelectedPrecincts[Batch Name], 0)))</f>
        <v/>
      </c>
      <c r="X1624" s="102">
        <f>IF(COUNTIF(SelectedPrecincts[Batch Name],SamplingData[[#This Row],[Batch by Type (p)]]) &lt;&gt; 0, COUNTIF(SelectedPrecincts[Batch Name],SamplingData[[#This Row],[Batch by Type (p)]]), 0)</f>
        <v>0</v>
      </c>
    </row>
    <row r="1625" spans="1:24" ht="15" customHeight="1">
      <c r="A1625" s="18" t="s">
        <v>1801</v>
      </c>
      <c r="B1625" s="18">
        <v>37</v>
      </c>
      <c r="C1625" s="18">
        <v>40</v>
      </c>
      <c r="D1625" s="16">
        <v>15</v>
      </c>
      <c r="E1625" s="16">
        <v>12</v>
      </c>
      <c r="F1625" s="37">
        <v>0</v>
      </c>
      <c r="G1625" s="37">
        <v>0</v>
      </c>
      <c r="H1625" s="17">
        <v>0</v>
      </c>
      <c r="I1625" s="17">
        <v>1</v>
      </c>
      <c r="J1625" s="99">
        <f>SUM(SamplingData[[#This Row],[Losing Candidate]:[Under Votes]])</f>
        <v>105</v>
      </c>
      <c r="K1625" s="100">
        <f>IF(AND(SamplingData[[#This Row],[Total]]&lt;&gt; 0, NOT(ISBLANK(SamplingData[[#This Row],[Losing Candidate]]))),(SamplingData[[#This Row],[Total]]+SamplingData[[#This Row],[Winning Candidate]]-SamplingData[[#This Row],[Losing Candidate]])/(SamplingData[[#Totals],[Winning Candidate]]-SamplingData[[#Totals],[Losing Candidate]]), 0)</f>
        <v>6.6144047035766778E-3</v>
      </c>
      <c r="L1625" s="100">
        <f>IF(AND(SamplingData[[#This Row],[Total]]&lt;&gt; 0, NOT(ISBLANK(SamplingData[[#This Row],[Candidate 3]]))),(SamplingData[[#This Row],[Total]]+SamplingData[[#This Row],[Winning Candidate]]-SamplingData[[#This Row],[Candidate 3]])/(SamplingData[[#Totals],[Winning Candidate]]-SamplingData[[#Totals],[Candidate 3]]), 0)</f>
        <v>4.1939542536374485E-3</v>
      </c>
      <c r="M1625" s="100">
        <f>IF(AND(SamplingData[[#This Row],[Total]]&lt;&gt; 0, NOT(ISBLANK(SamplingData[[#This Row],[Candidate 4]]))),(SamplingData[[#This Row],[Total]]+SamplingData[[#This Row],[Winning Candidate]]-SamplingData[[#This Row],[Candidate 4]])/(SamplingData[[#Totals],[Winning Candidate]]-SamplingData[[#Totals],[Candidate 4]]), 0)</f>
        <v>3.8878657663188052E-3</v>
      </c>
      <c r="N1625" s="100">
        <f>IF(AND(SamplingData[[#This Row],[Total]]&lt;&gt; 0, NOT(ISBLANK(SamplingData[[#This Row],[Candidate 5]]))),(SamplingData[[#This Row],[Total]]+SamplingData[[#This Row],[Winning Candidate]]-SamplingData[[#This Row],[Candidate 5]])/(SamplingData[[#Totals],[Winning Candidate]]-SamplingData[[#Totals],[Candidate 5]]), 0)</f>
        <v>3.5271223546582339E-3</v>
      </c>
      <c r="O1625" s="100">
        <f>IF(AND(SamplingData[[#This Row],[Total]]&lt;&gt; 0, NOT(ISBLANK(SamplingData[[#This Row],[Candidate 6]]))),(SamplingData[[#This Row],[Total]]+SamplingData[[#This Row],[Winning Candidate]]-SamplingData[[#This Row],[Candidate 6]])/(SamplingData[[#Totals],[Winning Candidate]]-SamplingData[[#Totals],[Candidate 6]]), 0)</f>
        <v>3.526093088857546E-3</v>
      </c>
      <c r="P1625" s="100">
        <f>MAX(SamplingData[[#This Row],[Error Bound (up) - Max. possible relative overstatement - Losing Candidate]:[Error Bound (up) - Max. possible relative overstatement - Candidate 6]])</f>
        <v>6.6144047035766778E-3</v>
      </c>
      <c r="Q1625" s="100">
        <f>IF(SamplingData[[#This Row],[Max Error Bound (up)]] = 0,0,SamplingData[[#This Row],[Max Error Bound (up)]]/SamplingData[[#Totals],[Max Error Bound (up)]])</f>
        <v>1.0468384140721499E-3</v>
      </c>
      <c r="R1625" s="101">
        <f>SUM($Q$5:Q1625)</f>
        <v>0.58621266877625988</v>
      </c>
      <c r="S1625" s="100" t="str">
        <f t="array" ref="S1625">IF(SamplingData[[#This Row],[up/U Selection Probability]] = 0, "Zero", TEXT(SamplingData[[#This Row],[Lower Range]], REPT("0",LEN('General Info'!$B$40))) &amp; " - " &amp; TEXT(SamplingData[[#This Row],[Upper Range]], REPT("0",LEN('General Info'!$B$40))))</f>
        <v>58517 - 58620</v>
      </c>
      <c r="T1625" s="100">
        <f>SamplingData[[#This Row],[Upper Range]]-SamplingData[[#This Row],[Span]]</f>
        <v>58516.584083057191</v>
      </c>
      <c r="U1625" s="100">
        <f>IF(ISNUMBER('General Info'!$B$40), ((SamplingData[[#This Row],[up/U Selection Probability]]) * 'General Info'!$B$40) - 1, 0)</f>
        <v>103.68279456880092</v>
      </c>
      <c r="V1625" s="100">
        <f>IF(ISNUMBER('General Info'!$B$40), (SamplingData[[#This Row],[Running (cumulative) sum]] * ('General Info'!$B$40 -'General Info'!$B$41 + 1)) + 'General Info'!$B$41 - 1, 0)</f>
        <v>58620.266877625989</v>
      </c>
      <c r="W1625" s="100" t="str">
        <f>IF(ISERROR(MATCH(SamplingData[[#This Row],[Batch by Type (p)]],SelectedPrecincts[Batch Name], 0)), "", INDEX(SelectedPrecincts[Draw], MATCH(SamplingData[[#This Row],[Batch by Type (p)]],SelectedPrecincts[Batch Name], 0)))</f>
        <v/>
      </c>
      <c r="X1625" s="102">
        <f>IF(COUNTIF(SelectedPrecincts[Batch Name],SamplingData[[#This Row],[Batch by Type (p)]]) &lt;&gt; 0, COUNTIF(SelectedPrecincts[Batch Name],SamplingData[[#This Row],[Batch by Type (p)]]), 0)</f>
        <v>0</v>
      </c>
    </row>
    <row r="1626" spans="1:24" ht="15" customHeight="1">
      <c r="A1626" s="18" t="s">
        <v>1802</v>
      </c>
      <c r="B1626" s="18">
        <v>14</v>
      </c>
      <c r="C1626" s="18">
        <v>18</v>
      </c>
      <c r="D1626" s="18">
        <v>4</v>
      </c>
      <c r="E1626" s="18">
        <v>0</v>
      </c>
      <c r="F1626" s="18">
        <v>0</v>
      </c>
      <c r="G1626" s="18">
        <v>3</v>
      </c>
      <c r="H1626" s="18">
        <v>0</v>
      </c>
      <c r="I1626" s="18">
        <v>1</v>
      </c>
      <c r="J1626" s="99">
        <f>SUM(SamplingData[[#This Row],[Losing Candidate]:[Under Votes]])</f>
        <v>40</v>
      </c>
      <c r="K1626" s="100">
        <f>IF(AND(SamplingData[[#This Row],[Total]]&lt;&gt; 0, NOT(ISBLANK(SamplingData[[#This Row],[Losing Candidate]]))),(SamplingData[[#This Row],[Total]]+SamplingData[[#This Row],[Winning Candidate]]-SamplingData[[#This Row],[Losing Candidate]])/(SamplingData[[#Totals],[Winning Candidate]]-SamplingData[[#Totals],[Losing Candidate]]), 0)</f>
        <v>2.6947574718275357E-3</v>
      </c>
      <c r="L1626" s="100">
        <f>IF(AND(SamplingData[[#This Row],[Total]]&lt;&gt; 0, NOT(ISBLANK(SamplingData[[#This Row],[Candidate 3]]))),(SamplingData[[#This Row],[Total]]+SamplingData[[#This Row],[Winning Candidate]]-SamplingData[[#This Row],[Candidate 3]])/(SamplingData[[#Totals],[Winning Candidate]]-SamplingData[[#Totals],[Candidate 3]]), 0)</f>
        <v>1.7421040745878634E-3</v>
      </c>
      <c r="M1626" s="100">
        <f>IF(AND(SamplingData[[#This Row],[Total]]&lt;&gt; 0, NOT(ISBLANK(SamplingData[[#This Row],[Candidate 4]]))),(SamplingData[[#This Row],[Total]]+SamplingData[[#This Row],[Winning Candidate]]-SamplingData[[#This Row],[Candidate 4]])/(SamplingData[[#Totals],[Winning Candidate]]-SamplingData[[#Totals],[Candidate 4]]), 0)</f>
        <v>1.6954602589961706E-3</v>
      </c>
      <c r="N1626" s="100">
        <f>IF(AND(SamplingData[[#This Row],[Total]]&lt;&gt; 0, NOT(ISBLANK(SamplingData[[#This Row],[Candidate 5]]))),(SamplingData[[#This Row],[Total]]+SamplingData[[#This Row],[Winning Candidate]]-SamplingData[[#This Row],[Candidate 5]])/(SamplingData[[#Totals],[Winning Candidate]]-SamplingData[[#Totals],[Candidate 5]]), 0)</f>
        <v>1.4108489418632937E-3</v>
      </c>
      <c r="O1626" s="100">
        <f>IF(AND(SamplingData[[#This Row],[Total]]&lt;&gt; 0, NOT(ISBLANK(SamplingData[[#This Row],[Candidate 6]]))),(SamplingData[[#This Row],[Total]]+SamplingData[[#This Row],[Winning Candidate]]-SamplingData[[#This Row],[Candidate 6]])/(SamplingData[[#Totals],[Winning Candidate]]-SamplingData[[#Totals],[Candidate 6]]), 0)</f>
        <v>1.3374835854287244E-3</v>
      </c>
      <c r="P1626" s="100">
        <f>MAX(SamplingData[[#This Row],[Error Bound (up) - Max. possible relative overstatement - Losing Candidate]:[Error Bound (up) - Max. possible relative overstatement - Candidate 6]])</f>
        <v>2.6947574718275357E-3</v>
      </c>
      <c r="Q1626" s="100">
        <f>IF(SamplingData[[#This Row],[Max Error Bound (up)]] = 0,0,SamplingData[[#This Row],[Max Error Bound (up)]]/SamplingData[[#Totals],[Max Error Bound (up)]])</f>
        <v>4.2648972425161664E-4</v>
      </c>
      <c r="R1626" s="101">
        <f>SUM($Q$5:Q1626)</f>
        <v>0.58663915850051152</v>
      </c>
      <c r="S1626" s="100" t="str">
        <f t="array" ref="S1626">IF(SamplingData[[#This Row],[up/U Selection Probability]] = 0, "Zero", TEXT(SamplingData[[#This Row],[Lower Range]], REPT("0",LEN('General Info'!$B$40))) &amp; " - " &amp; TEXT(SamplingData[[#This Row],[Upper Range]], REPT("0",LEN('General Info'!$B$40))))</f>
        <v>58621 - 58663</v>
      </c>
      <c r="T1626" s="100">
        <f>SamplingData[[#This Row],[Upper Range]]-SamplingData[[#This Row],[Span]]</f>
        <v>58621.267304115718</v>
      </c>
      <c r="U1626" s="100">
        <f>IF(ISNUMBER('General Info'!$B$40), ((SamplingData[[#This Row],[up/U Selection Probability]]) * 'General Info'!$B$40) - 1, 0)</f>
        <v>41.648545935437411</v>
      </c>
      <c r="V1626" s="100">
        <f>IF(ISNUMBER('General Info'!$B$40), (SamplingData[[#This Row],[Running (cumulative) sum]] * ('General Info'!$B$40 -'General Info'!$B$41 + 1)) + 'General Info'!$B$41 - 1, 0)</f>
        <v>58662.915850051155</v>
      </c>
      <c r="W1626" s="100" t="str">
        <f>IF(ISERROR(MATCH(SamplingData[[#This Row],[Batch by Type (p)]],SelectedPrecincts[Batch Name], 0)), "", INDEX(SelectedPrecincts[Draw], MATCH(SamplingData[[#This Row],[Batch by Type (p)]],SelectedPrecincts[Batch Name], 0)))</f>
        <v/>
      </c>
      <c r="X1626" s="102">
        <f>IF(COUNTIF(SelectedPrecincts[Batch Name],SamplingData[[#This Row],[Batch by Type (p)]]) &lt;&gt; 0, COUNTIF(SelectedPrecincts[Batch Name],SamplingData[[#This Row],[Batch by Type (p)]]), 0)</f>
        <v>0</v>
      </c>
    </row>
    <row r="1627" spans="1:24" ht="15" customHeight="1">
      <c r="A1627" s="18" t="s">
        <v>1803</v>
      </c>
      <c r="B1627" s="18">
        <v>23</v>
      </c>
      <c r="C1627" s="18">
        <v>25</v>
      </c>
      <c r="D1627" s="16">
        <v>7</v>
      </c>
      <c r="E1627" s="16">
        <v>9</v>
      </c>
      <c r="F1627" s="37">
        <v>1</v>
      </c>
      <c r="G1627" s="37">
        <v>1</v>
      </c>
      <c r="H1627" s="17">
        <v>0</v>
      </c>
      <c r="I1627" s="17">
        <v>0</v>
      </c>
      <c r="J1627" s="99">
        <f>SUM(SamplingData[[#This Row],[Losing Candidate]:[Under Votes]])</f>
        <v>66</v>
      </c>
      <c r="K1627" s="100">
        <f>IF(AND(SamplingData[[#This Row],[Total]]&lt;&gt; 0, NOT(ISBLANK(SamplingData[[#This Row],[Losing Candidate]]))),(SamplingData[[#This Row],[Total]]+SamplingData[[#This Row],[Winning Candidate]]-SamplingData[[#This Row],[Losing Candidate]])/(SamplingData[[#Totals],[Winning Candidate]]-SamplingData[[#Totals],[Losing Candidate]]), 0)</f>
        <v>4.1646251837334641E-3</v>
      </c>
      <c r="L1627" s="100">
        <f>IF(AND(SamplingData[[#This Row],[Total]]&lt;&gt; 0, NOT(ISBLANK(SamplingData[[#This Row],[Candidate 3]]))),(SamplingData[[#This Row],[Total]]+SamplingData[[#This Row],[Winning Candidate]]-SamplingData[[#This Row],[Candidate 3]])/(SamplingData[[#Totals],[Winning Candidate]]-SamplingData[[#Totals],[Candidate 3]]), 0)</f>
        <v>2.7099396715811208E-3</v>
      </c>
      <c r="M1627" s="100">
        <f>IF(AND(SamplingData[[#This Row],[Total]]&lt;&gt; 0, NOT(ISBLANK(SamplingData[[#This Row],[Candidate 4]]))),(SamplingData[[#This Row],[Total]]+SamplingData[[#This Row],[Winning Candidate]]-SamplingData[[#This Row],[Candidate 4]])/(SamplingData[[#Totals],[Winning Candidate]]-SamplingData[[#Totals],[Candidate 4]]), 0)</f>
        <v>2.3970300213394134E-3</v>
      </c>
      <c r="N1627" s="100">
        <f>IF(AND(SamplingData[[#This Row],[Total]]&lt;&gt; 0, NOT(ISBLANK(SamplingData[[#This Row],[Candidate 5]]))),(SamplingData[[#This Row],[Total]]+SamplingData[[#This Row],[Winning Candidate]]-SamplingData[[#This Row],[Candidate 5]])/(SamplingData[[#Totals],[Winning Candidate]]-SamplingData[[#Totals],[Candidate 5]]), 0)</f>
        <v>2.1892483580637314E-3</v>
      </c>
      <c r="O1627" s="100">
        <f>IF(AND(SamplingData[[#This Row],[Total]]&lt;&gt; 0, NOT(ISBLANK(SamplingData[[#This Row],[Candidate 6]]))),(SamplingData[[#This Row],[Total]]+SamplingData[[#This Row],[Winning Candidate]]-SamplingData[[#This Row],[Candidate 6]])/(SamplingData[[#Totals],[Winning Candidate]]-SamplingData[[#Totals],[Candidate 6]]), 0)</f>
        <v>2.1886095034288214E-3</v>
      </c>
      <c r="P1627" s="100">
        <f>MAX(SamplingData[[#This Row],[Error Bound (up) - Max. possible relative overstatement - Losing Candidate]:[Error Bound (up) - Max. possible relative overstatement - Candidate 6]])</f>
        <v>4.1646251837334641E-3</v>
      </c>
      <c r="Q1627" s="100">
        <f>IF(SamplingData[[#This Row],[Max Error Bound (up)]] = 0,0,SamplingData[[#This Row],[Max Error Bound (up)]]/SamplingData[[#Totals],[Max Error Bound (up)]])</f>
        <v>6.5912048293431658E-4</v>
      </c>
      <c r="R1627" s="101">
        <f>SUM($Q$5:Q1627)</f>
        <v>0.58729827898344578</v>
      </c>
      <c r="S1627" s="100" t="str">
        <f t="array" ref="S1627">IF(SamplingData[[#This Row],[up/U Selection Probability]] = 0, "Zero", TEXT(SamplingData[[#This Row],[Lower Range]], REPT("0",LEN('General Info'!$B$40))) &amp; " - " &amp; TEXT(SamplingData[[#This Row],[Upper Range]], REPT("0",LEN('General Info'!$B$40))))</f>
        <v>58664 - 58729</v>
      </c>
      <c r="T1627" s="100">
        <f>SamplingData[[#This Row],[Upper Range]]-SamplingData[[#This Row],[Span]]</f>
        <v>58663.916509171628</v>
      </c>
      <c r="U1627" s="100">
        <f>IF(ISNUMBER('General Info'!$B$40), ((SamplingData[[#This Row],[up/U Selection Probability]]) * 'General Info'!$B$40) - 1, 0)</f>
        <v>64.911389172948716</v>
      </c>
      <c r="V1627" s="100">
        <f>IF(ISNUMBER('General Info'!$B$40), (SamplingData[[#This Row],[Running (cumulative) sum]] * ('General Info'!$B$40 -'General Info'!$B$41 + 1)) + 'General Info'!$B$41 - 1, 0)</f>
        <v>58728.827898344578</v>
      </c>
      <c r="W1627" s="100" t="str">
        <f>IF(ISERROR(MATCH(SamplingData[[#This Row],[Batch by Type (p)]],SelectedPrecincts[Batch Name], 0)), "", INDEX(SelectedPrecincts[Draw], MATCH(SamplingData[[#This Row],[Batch by Type (p)]],SelectedPrecincts[Batch Name], 0)))</f>
        <v/>
      </c>
      <c r="X1627" s="102">
        <f>IF(COUNTIF(SelectedPrecincts[Batch Name],SamplingData[[#This Row],[Batch by Type (p)]]) &lt;&gt; 0, COUNTIF(SelectedPrecincts[Batch Name],SamplingData[[#This Row],[Batch by Type (p)]]), 0)</f>
        <v>0</v>
      </c>
    </row>
    <row r="1628" spans="1:24" ht="15" customHeight="1">
      <c r="A1628" s="18" t="s">
        <v>1804</v>
      </c>
      <c r="B1628" s="18">
        <v>10</v>
      </c>
      <c r="C1628" s="18">
        <v>6</v>
      </c>
      <c r="D1628" s="18">
        <v>3</v>
      </c>
      <c r="E1628" s="18">
        <v>1</v>
      </c>
      <c r="F1628" s="18">
        <v>0</v>
      </c>
      <c r="G1628" s="18">
        <v>0</v>
      </c>
      <c r="H1628" s="18">
        <v>0</v>
      </c>
      <c r="I1628" s="18">
        <v>0</v>
      </c>
      <c r="J1628" s="99">
        <f>SUM(SamplingData[[#This Row],[Losing Candidate]:[Under Votes]])</f>
        <v>20</v>
      </c>
      <c r="K1628"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628" s="100">
        <f>IF(AND(SamplingData[[#This Row],[Total]]&lt;&gt; 0, NOT(ISBLANK(SamplingData[[#This Row],[Candidate 3]]))),(SamplingData[[#This Row],[Total]]+SamplingData[[#This Row],[Winning Candidate]]-SamplingData[[#This Row],[Candidate 3]])/(SamplingData[[#Totals],[Winning Candidate]]-SamplingData[[#Totals],[Candidate 3]]), 0)</f>
        <v>7.4200729102816406E-4</v>
      </c>
      <c r="M1628" s="100">
        <f>IF(AND(SamplingData[[#This Row],[Total]]&lt;&gt; 0, NOT(ISBLANK(SamplingData[[#This Row],[Candidate 4]]))),(SamplingData[[#This Row],[Total]]+SamplingData[[#This Row],[Winning Candidate]]-SamplingData[[#This Row],[Candidate 4]])/(SamplingData[[#Totals],[Winning Candidate]]-SamplingData[[#Totals],[Candidate 4]]), 0)</f>
        <v>7.3080183577421145E-4</v>
      </c>
      <c r="N1628" s="100">
        <f>IF(AND(SamplingData[[#This Row],[Total]]&lt;&gt; 0, NOT(ISBLANK(SamplingData[[#This Row],[Candidate 5]]))),(SamplingData[[#This Row],[Total]]+SamplingData[[#This Row],[Winning Candidate]]-SamplingData[[#This Row],[Candidate 5]])/(SamplingData[[#Totals],[Winning Candidate]]-SamplingData[[#Totals],[Candidate 5]]), 0)</f>
        <v>6.3244952566285579E-4</v>
      </c>
      <c r="O1628" s="100">
        <f>IF(AND(SamplingData[[#This Row],[Total]]&lt;&gt; 0, NOT(ISBLANK(SamplingData[[#This Row],[Candidate 6]]))),(SamplingData[[#This Row],[Total]]+SamplingData[[#This Row],[Winning Candidate]]-SamplingData[[#This Row],[Candidate 6]])/(SamplingData[[#Totals],[Winning Candidate]]-SamplingData[[#Totals],[Candidate 6]]), 0)</f>
        <v>6.322649676572151E-4</v>
      </c>
      <c r="P1628" s="100">
        <f>MAX(SamplingData[[#This Row],[Error Bound (up) - Max. possible relative overstatement - Losing Candidate]:[Error Bound (up) - Max. possible relative overstatement - Candidate 6]])</f>
        <v>9.7991180793728563E-4</v>
      </c>
      <c r="Q1628" s="100">
        <f>IF(SamplingData[[#This Row],[Max Error Bound (up)]] = 0,0,SamplingData[[#This Row],[Max Error Bound (up)]]/SamplingData[[#Totals],[Max Error Bound (up)]])</f>
        <v>1.550871724551333E-4</v>
      </c>
      <c r="R1628" s="101">
        <f>SUM($Q$5:Q1628)</f>
        <v>0.58745336615590094</v>
      </c>
      <c r="S1628" s="100" t="str">
        <f t="array" ref="S1628">IF(SamplingData[[#This Row],[up/U Selection Probability]] = 0, "Zero", TEXT(SamplingData[[#This Row],[Lower Range]], REPT("0",LEN('General Info'!$B$40))) &amp; " - " &amp; TEXT(SamplingData[[#This Row],[Upper Range]], REPT("0",LEN('General Info'!$B$40))))</f>
        <v>58730 - 58744</v>
      </c>
      <c r="T1628" s="100">
        <f>SamplingData[[#This Row],[Upper Range]]-SamplingData[[#This Row],[Span]]</f>
        <v>58729.828053431753</v>
      </c>
      <c r="U1628" s="100">
        <f>IF(ISNUMBER('General Info'!$B$40), ((SamplingData[[#This Row],[up/U Selection Probability]]) * 'General Info'!$B$40) - 1, 0)</f>
        <v>14.508562158340876</v>
      </c>
      <c r="V1628" s="100">
        <f>IF(ISNUMBER('General Info'!$B$40), (SamplingData[[#This Row],[Running (cumulative) sum]] * ('General Info'!$B$40 -'General Info'!$B$41 + 1)) + 'General Info'!$B$41 - 1, 0)</f>
        <v>58744.336615590095</v>
      </c>
      <c r="W1628" s="100" t="str">
        <f>IF(ISERROR(MATCH(SamplingData[[#This Row],[Batch by Type (p)]],SelectedPrecincts[Batch Name], 0)), "", INDEX(SelectedPrecincts[Draw], MATCH(SamplingData[[#This Row],[Batch by Type (p)]],SelectedPrecincts[Batch Name], 0)))</f>
        <v/>
      </c>
      <c r="X1628" s="102">
        <f>IF(COUNTIF(SelectedPrecincts[Batch Name],SamplingData[[#This Row],[Batch by Type (p)]]) &lt;&gt; 0, COUNTIF(SelectedPrecincts[Batch Name],SamplingData[[#This Row],[Batch by Type (p)]]), 0)</f>
        <v>0</v>
      </c>
    </row>
    <row r="1629" spans="1:24" ht="15" customHeight="1">
      <c r="A1629" s="18" t="s">
        <v>1805</v>
      </c>
      <c r="B1629" s="18">
        <v>14</v>
      </c>
      <c r="C1629" s="18">
        <v>24</v>
      </c>
      <c r="D1629" s="16">
        <v>7</v>
      </c>
      <c r="E1629" s="16">
        <v>3</v>
      </c>
      <c r="F1629" s="37">
        <v>2</v>
      </c>
      <c r="G1629" s="37">
        <v>0</v>
      </c>
      <c r="H1629" s="17">
        <v>0</v>
      </c>
      <c r="I1629" s="17">
        <v>0</v>
      </c>
      <c r="J1629" s="99">
        <f>SUM(SamplingData[[#This Row],[Losing Candidate]:[Under Votes]])</f>
        <v>50</v>
      </c>
      <c r="K1629"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629" s="100">
        <f>IF(AND(SamplingData[[#This Row],[Total]]&lt;&gt; 0, NOT(ISBLANK(SamplingData[[#This Row],[Candidate 3]]))),(SamplingData[[#This Row],[Total]]+SamplingData[[#This Row],[Winning Candidate]]-SamplingData[[#This Row],[Candidate 3]])/(SamplingData[[#Totals],[Winning Candidate]]-SamplingData[[#Totals],[Candidate 3]]), 0)</f>
        <v>2.1614994999516082E-3</v>
      </c>
      <c r="M1629" s="100">
        <f>IF(AND(SamplingData[[#This Row],[Total]]&lt;&gt; 0, NOT(ISBLANK(SamplingData[[#This Row],[Candidate 4]]))),(SamplingData[[#This Row],[Total]]+SamplingData[[#This Row],[Winning Candidate]]-SamplingData[[#This Row],[Candidate 4]])/(SamplingData[[#Totals],[Winning Candidate]]-SamplingData[[#Totals],[Candidate 4]]), 0)</f>
        <v>2.0754772135987607E-3</v>
      </c>
      <c r="N1629" s="100">
        <f>IF(AND(SamplingData[[#This Row],[Total]]&lt;&gt; 0, NOT(ISBLANK(SamplingData[[#This Row],[Candidate 5]]))),(SamplingData[[#This Row],[Total]]+SamplingData[[#This Row],[Winning Candidate]]-SamplingData[[#This Row],[Candidate 5]])/(SamplingData[[#Totals],[Winning Candidate]]-SamplingData[[#Totals],[Candidate 5]]), 0)</f>
        <v>1.7513986864509852E-3</v>
      </c>
      <c r="O1629" s="100">
        <f>IF(AND(SamplingData[[#This Row],[Total]]&lt;&gt; 0, NOT(ISBLANK(SamplingData[[#This Row],[Candidate 6]]))),(SamplingData[[#This Row],[Total]]+SamplingData[[#This Row],[Winning Candidate]]-SamplingData[[#This Row],[Candidate 6]])/(SamplingData[[#Totals],[Winning Candidate]]-SamplingData[[#Totals],[Candidate 6]]), 0)</f>
        <v>1.7995233694859199E-3</v>
      </c>
      <c r="P1629" s="100">
        <f>MAX(SamplingData[[#This Row],[Error Bound (up) - Max. possible relative overstatement - Losing Candidate]:[Error Bound (up) - Max. possible relative overstatement - Candidate 6]])</f>
        <v>3.6746692797648213E-3</v>
      </c>
      <c r="Q1629" s="100">
        <f>IF(SamplingData[[#This Row],[Max Error Bound (up)]] = 0,0,SamplingData[[#This Row],[Max Error Bound (up)]]/SamplingData[[#Totals],[Max Error Bound (up)]])</f>
        <v>5.8157689670674997E-4</v>
      </c>
      <c r="R1629" s="101">
        <f>SUM($Q$5:Q1629)</f>
        <v>0.58803494305260773</v>
      </c>
      <c r="S1629" s="100" t="str">
        <f t="array" ref="S1629">IF(SamplingData[[#This Row],[up/U Selection Probability]] = 0, "Zero", TEXT(SamplingData[[#This Row],[Lower Range]], REPT("0",LEN('General Info'!$B$40))) &amp; " - " &amp; TEXT(SamplingData[[#This Row],[Upper Range]], REPT("0",LEN('General Info'!$B$40))))</f>
        <v>58745 - 58802</v>
      </c>
      <c r="T1629" s="100">
        <f>SamplingData[[#This Row],[Upper Range]]-SamplingData[[#This Row],[Span]]</f>
        <v>58745.337197166991</v>
      </c>
      <c r="U1629" s="100">
        <f>IF(ISNUMBER('General Info'!$B$40), ((SamplingData[[#This Row],[up/U Selection Probability]]) * 'General Info'!$B$40) - 1, 0)</f>
        <v>57.157108093778291</v>
      </c>
      <c r="V1629" s="100">
        <f>IF(ISNUMBER('General Info'!$B$40), (SamplingData[[#This Row],[Running (cumulative) sum]] * ('General Info'!$B$40 -'General Info'!$B$41 + 1)) + 'General Info'!$B$41 - 1, 0)</f>
        <v>58802.49430526077</v>
      </c>
      <c r="W1629" s="100" t="str">
        <f>IF(ISERROR(MATCH(SamplingData[[#This Row],[Batch by Type (p)]],SelectedPrecincts[Batch Name], 0)), "", INDEX(SelectedPrecincts[Draw], MATCH(SamplingData[[#This Row],[Batch by Type (p)]],SelectedPrecincts[Batch Name], 0)))</f>
        <v/>
      </c>
      <c r="X1629" s="102">
        <f>IF(COUNTIF(SelectedPrecincts[Batch Name],SamplingData[[#This Row],[Batch by Type (p)]]) &lt;&gt; 0, COUNTIF(SelectedPrecincts[Batch Name],SamplingData[[#This Row],[Batch by Type (p)]]), 0)</f>
        <v>0</v>
      </c>
    </row>
    <row r="1630" spans="1:24" ht="15" customHeight="1">
      <c r="A1630" s="18" t="s">
        <v>1806</v>
      </c>
      <c r="B1630" s="18">
        <v>5</v>
      </c>
      <c r="C1630" s="18">
        <v>10</v>
      </c>
      <c r="D1630" s="18">
        <v>4</v>
      </c>
      <c r="E1630" s="18">
        <v>3</v>
      </c>
      <c r="F1630" s="18">
        <v>1</v>
      </c>
      <c r="G1630" s="18">
        <v>1</v>
      </c>
      <c r="H1630" s="18">
        <v>0</v>
      </c>
      <c r="I1630" s="18">
        <v>0</v>
      </c>
      <c r="J1630" s="99">
        <f>SUM(SamplingData[[#This Row],[Losing Candidate]:[Under Votes]])</f>
        <v>24</v>
      </c>
      <c r="K1630"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1630" s="100">
        <f>IF(AND(SamplingData[[#This Row],[Total]]&lt;&gt; 0, NOT(ISBLANK(SamplingData[[#This Row],[Candidate 3]]))),(SamplingData[[#This Row],[Total]]+SamplingData[[#This Row],[Winning Candidate]]-SamplingData[[#This Row],[Candidate 3]])/(SamplingData[[#Totals],[Winning Candidate]]-SamplingData[[#Totals],[Candidate 3]]), 0)</f>
        <v>9.6783559699325746E-4</v>
      </c>
      <c r="M1630" s="100">
        <f>IF(AND(SamplingData[[#This Row],[Total]]&lt;&gt; 0, NOT(ISBLANK(SamplingData[[#This Row],[Candidate 4]]))),(SamplingData[[#This Row],[Total]]+SamplingData[[#This Row],[Winning Candidate]]-SamplingData[[#This Row],[Candidate 4]])/(SamplingData[[#Totals],[Winning Candidate]]-SamplingData[[#Totals],[Candidate 4]]), 0)</f>
        <v>9.0619427636002225E-4</v>
      </c>
      <c r="N1630" s="100">
        <f>IF(AND(SamplingData[[#This Row],[Total]]&lt;&gt; 0, NOT(ISBLANK(SamplingData[[#This Row],[Candidate 5]]))),(SamplingData[[#This Row],[Total]]+SamplingData[[#This Row],[Winning Candidate]]-SamplingData[[#This Row],[Candidate 5]])/(SamplingData[[#Totals],[Winning Candidate]]-SamplingData[[#Totals],[Candidate 5]]), 0)</f>
        <v>8.0272439795670155E-4</v>
      </c>
      <c r="O1630" s="100">
        <f>IF(AND(SamplingData[[#This Row],[Total]]&lt;&gt; 0, NOT(ISBLANK(SamplingData[[#This Row],[Candidate 6]]))),(SamplingData[[#This Row],[Total]]+SamplingData[[#This Row],[Winning Candidate]]-SamplingData[[#This Row],[Candidate 6]])/(SamplingData[[#Totals],[Winning Candidate]]-SamplingData[[#Totals],[Candidate 6]]), 0)</f>
        <v>8.024901512572346E-4</v>
      </c>
      <c r="P1630" s="100">
        <f>MAX(SamplingData[[#This Row],[Error Bound (up) - Max. possible relative overstatement - Losing Candidate]:[Error Bound (up) - Max. possible relative overstatement - Candidate 6]])</f>
        <v>1.7760901518863303E-3</v>
      </c>
      <c r="Q1630" s="100">
        <f>IF(SamplingData[[#This Row],[Max Error Bound (up)]] = 0,0,SamplingData[[#This Row],[Max Error Bound (up)]]/SamplingData[[#Totals],[Max Error Bound (up)]])</f>
        <v>2.8109550007492914E-4</v>
      </c>
      <c r="R1630" s="101">
        <f>SUM($Q$5:Q1630)</f>
        <v>0.58831603855268266</v>
      </c>
      <c r="S1630" s="100" t="str">
        <f t="array" ref="S1630">IF(SamplingData[[#This Row],[up/U Selection Probability]] = 0, "Zero", TEXT(SamplingData[[#This Row],[Lower Range]], REPT("0",LEN('General Info'!$B$40))) &amp; " - " &amp; TEXT(SamplingData[[#This Row],[Upper Range]], REPT("0",LEN('General Info'!$B$40))))</f>
        <v>58803 - 58831</v>
      </c>
      <c r="T1630" s="100">
        <f>SamplingData[[#This Row],[Upper Range]]-SamplingData[[#This Row],[Span]]</f>
        <v>58803.494586356275</v>
      </c>
      <c r="U1630" s="100">
        <f>IF(ISNUMBER('General Info'!$B$40), ((SamplingData[[#This Row],[up/U Selection Probability]]) * 'General Info'!$B$40) - 1, 0)</f>
        <v>27.109268911992839</v>
      </c>
      <c r="V1630" s="100">
        <f>IF(ISNUMBER('General Info'!$B$40), (SamplingData[[#This Row],[Running (cumulative) sum]] * ('General Info'!$B$40 -'General Info'!$B$41 + 1)) + 'General Info'!$B$41 - 1, 0)</f>
        <v>58830.603855268266</v>
      </c>
      <c r="W1630" s="100" t="str">
        <f>IF(ISERROR(MATCH(SamplingData[[#This Row],[Batch by Type (p)]],SelectedPrecincts[Batch Name], 0)), "", INDEX(SelectedPrecincts[Draw], MATCH(SamplingData[[#This Row],[Batch by Type (p)]],SelectedPrecincts[Batch Name], 0)))</f>
        <v/>
      </c>
      <c r="X1630" s="102">
        <f>IF(COUNTIF(SelectedPrecincts[Batch Name],SamplingData[[#This Row],[Batch by Type (p)]]) &lt;&gt; 0, COUNTIF(SelectedPrecincts[Batch Name],SamplingData[[#This Row],[Batch by Type (p)]]), 0)</f>
        <v>0</v>
      </c>
    </row>
    <row r="1631" spans="1:24" ht="15" customHeight="1">
      <c r="A1631" s="18" t="s">
        <v>1807</v>
      </c>
      <c r="B1631" s="18">
        <v>24</v>
      </c>
      <c r="C1631" s="18">
        <v>31</v>
      </c>
      <c r="D1631" s="16">
        <v>9</v>
      </c>
      <c r="E1631" s="16">
        <v>8</v>
      </c>
      <c r="F1631" s="37">
        <v>0</v>
      </c>
      <c r="G1631" s="37">
        <v>0</v>
      </c>
      <c r="H1631" s="17">
        <v>0</v>
      </c>
      <c r="I1631" s="17">
        <v>1</v>
      </c>
      <c r="J1631" s="99">
        <f>SUM(SamplingData[[#This Row],[Losing Candidate]:[Under Votes]])</f>
        <v>73</v>
      </c>
      <c r="K1631"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4.8995590396864281E-3</v>
      </c>
      <c r="L1631" s="100">
        <f>IF(AND(SamplingData[[#This Row],[Total]]&lt;&gt; 0, NOT(ISBLANK(SamplingData[[#This Row],[Candidate 3]]))),(SamplingData[[#This Row],[Total]]+SamplingData[[#This Row],[Winning Candidate]]-SamplingData[[#This Row],[Candidate 3]])/(SamplingData[[#Totals],[Winning Candidate]]-SamplingData[[#Totals],[Candidate 3]]), 0)</f>
        <v>3.0648127238119818E-3</v>
      </c>
      <c r="M1631" s="100">
        <f>IF(AND(SamplingData[[#This Row],[Total]]&lt;&gt; 0, NOT(ISBLANK(SamplingData[[#This Row],[Candidate 4]]))),(SamplingData[[#This Row],[Total]]+SamplingData[[#This Row],[Winning Candidate]]-SamplingData[[#This Row],[Candidate 4]])/(SamplingData[[#Totals],[Winning Candidate]]-SamplingData[[#Totals],[Candidate 4]]), 0)</f>
        <v>2.8062790493729719E-3</v>
      </c>
      <c r="N1631" s="100">
        <f>IF(AND(SamplingData[[#This Row],[Total]]&lt;&gt; 0, NOT(ISBLANK(SamplingData[[#This Row],[Candidate 5]]))),(SamplingData[[#This Row],[Total]]+SamplingData[[#This Row],[Winning Candidate]]-SamplingData[[#This Row],[Candidate 5]])/(SamplingData[[#Totals],[Winning Candidate]]-SamplingData[[#Totals],[Candidate 5]]), 0)</f>
        <v>2.5297981026514232E-3</v>
      </c>
      <c r="O1631" s="100">
        <f>IF(AND(SamplingData[[#This Row],[Total]]&lt;&gt; 0, NOT(ISBLANK(SamplingData[[#This Row],[Candidate 6]]))),(SamplingData[[#This Row],[Total]]+SamplingData[[#This Row],[Winning Candidate]]-SamplingData[[#This Row],[Candidate 6]])/(SamplingData[[#Totals],[Winning Candidate]]-SamplingData[[#Totals],[Candidate 6]]), 0)</f>
        <v>2.5290598706288604E-3</v>
      </c>
      <c r="P1631" s="100">
        <f>MAX(SamplingData[[#This Row],[Error Bound (up) - Max. possible relative overstatement - Losing Candidate]:[Error Bound (up) - Max. possible relative overstatement - Candidate 6]])</f>
        <v>4.8995590396864281E-3</v>
      </c>
      <c r="Q1631" s="100">
        <f>IF(SamplingData[[#This Row],[Max Error Bound (up)]] = 0,0,SamplingData[[#This Row],[Max Error Bound (up)]]/SamplingData[[#Totals],[Max Error Bound (up)]])</f>
        <v>7.7543586227566655E-4</v>
      </c>
      <c r="R1631" s="101">
        <f>SUM($Q$5:Q1631)</f>
        <v>0.58909147441495835</v>
      </c>
      <c r="S1631" s="100" t="str">
        <f t="array" ref="S1631">IF(SamplingData[[#This Row],[up/U Selection Probability]] = 0, "Zero", TEXT(SamplingData[[#This Row],[Lower Range]], REPT("0",LEN('General Info'!$B$40))) &amp; " - " &amp; TEXT(SamplingData[[#This Row],[Upper Range]], REPT("0",LEN('General Info'!$B$40))))</f>
        <v>58832 - 58908</v>
      </c>
      <c r="T1631" s="100">
        <f>SamplingData[[#This Row],[Upper Range]]-SamplingData[[#This Row],[Span]]</f>
        <v>58831.604630704132</v>
      </c>
      <c r="U1631" s="100">
        <f>IF(ISNUMBER('General Info'!$B$40), ((SamplingData[[#This Row],[up/U Selection Probability]]) * 'General Info'!$B$40) - 1, 0)</f>
        <v>76.542810791704383</v>
      </c>
      <c r="V1631" s="100">
        <f>IF(ISNUMBER('General Info'!$B$40), (SamplingData[[#This Row],[Running (cumulative) sum]] * ('General Info'!$B$40 -'General Info'!$B$41 + 1)) + 'General Info'!$B$41 - 1, 0)</f>
        <v>58908.147441495836</v>
      </c>
      <c r="W1631" s="100" t="str">
        <f>IF(ISERROR(MATCH(SamplingData[[#This Row],[Batch by Type (p)]],SelectedPrecincts[Batch Name], 0)), "", INDEX(SelectedPrecincts[Draw], MATCH(SamplingData[[#This Row],[Batch by Type (p)]],SelectedPrecincts[Batch Name], 0)))</f>
        <v/>
      </c>
      <c r="X1631" s="102">
        <f>IF(COUNTIF(SelectedPrecincts[Batch Name],SamplingData[[#This Row],[Batch by Type (p)]]) &lt;&gt; 0, COUNTIF(SelectedPrecincts[Batch Name],SamplingData[[#This Row],[Batch by Type (p)]]), 0)</f>
        <v>0</v>
      </c>
    </row>
    <row r="1632" spans="1:24" ht="15" customHeight="1">
      <c r="A1632" s="18" t="s">
        <v>1808</v>
      </c>
      <c r="B1632" s="18">
        <v>9</v>
      </c>
      <c r="C1632" s="18">
        <v>6</v>
      </c>
      <c r="D1632" s="18">
        <v>2</v>
      </c>
      <c r="E1632" s="18">
        <v>3</v>
      </c>
      <c r="F1632" s="18">
        <v>0</v>
      </c>
      <c r="G1632" s="18">
        <v>0</v>
      </c>
      <c r="H1632" s="18">
        <v>1</v>
      </c>
      <c r="I1632" s="18">
        <v>0</v>
      </c>
      <c r="J1632" s="99">
        <f>SUM(SamplingData[[#This Row],[Losing Candidate]:[Under Votes]])</f>
        <v>21</v>
      </c>
      <c r="K1632"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1632" s="100">
        <f>IF(AND(SamplingData[[#This Row],[Total]]&lt;&gt; 0, NOT(ISBLANK(SamplingData[[#This Row],[Candidate 3]]))),(SamplingData[[#This Row],[Total]]+SamplingData[[#This Row],[Winning Candidate]]-SamplingData[[#This Row],[Candidate 3]])/(SamplingData[[#Totals],[Winning Candidate]]-SamplingData[[#Totals],[Candidate 3]]), 0)</f>
        <v>8.0652966416104783E-4</v>
      </c>
      <c r="M1632" s="100">
        <f>IF(AND(SamplingData[[#This Row],[Total]]&lt;&gt; 0, NOT(ISBLANK(SamplingData[[#This Row],[Candidate 4]]))),(SamplingData[[#This Row],[Total]]+SamplingData[[#This Row],[Winning Candidate]]-SamplingData[[#This Row],[Candidate 4]])/(SamplingData[[#Totals],[Winning Candidate]]-SamplingData[[#Totals],[Candidate 4]]), 0)</f>
        <v>7.0156976234324298E-4</v>
      </c>
      <c r="N1632" s="100">
        <f>IF(AND(SamplingData[[#This Row],[Total]]&lt;&gt; 0, NOT(ISBLANK(SamplingData[[#This Row],[Candidate 5]]))),(SamplingData[[#This Row],[Total]]+SamplingData[[#This Row],[Winning Candidate]]-SamplingData[[#This Row],[Candidate 5]])/(SamplingData[[#Totals],[Winning Candidate]]-SamplingData[[#Totals],[Candidate 5]]), 0)</f>
        <v>6.5677450741911947E-4</v>
      </c>
      <c r="O1632" s="100">
        <f>IF(AND(SamplingData[[#This Row],[Total]]&lt;&gt; 0, NOT(ISBLANK(SamplingData[[#This Row],[Candidate 6]]))),(SamplingData[[#This Row],[Total]]+SamplingData[[#This Row],[Winning Candidate]]-SamplingData[[#This Row],[Candidate 6]])/(SamplingData[[#Totals],[Winning Candidate]]-SamplingData[[#Totals],[Candidate 6]]), 0)</f>
        <v>6.5658285102864649E-4</v>
      </c>
      <c r="P1632" s="100">
        <f>MAX(SamplingData[[#This Row],[Error Bound (up) - Max. possible relative overstatement - Losing Candidate]:[Error Bound (up) - Max. possible relative overstatement - Candidate 6]])</f>
        <v>1.1024007839294464E-3</v>
      </c>
      <c r="Q1632" s="100">
        <f>IF(SamplingData[[#This Row],[Max Error Bound (up)]] = 0,0,SamplingData[[#This Row],[Max Error Bound (up)]]/SamplingData[[#Totals],[Max Error Bound (up)]])</f>
        <v>1.7447306901202498E-4</v>
      </c>
      <c r="R1632" s="101">
        <f>SUM($Q$5:Q1632)</f>
        <v>0.58926594748397032</v>
      </c>
      <c r="S1632" s="100" t="str">
        <f t="array" ref="S1632">IF(SamplingData[[#This Row],[up/U Selection Probability]] = 0, "Zero", TEXT(SamplingData[[#This Row],[Lower Range]], REPT("0",LEN('General Info'!$B$40))) &amp; " - " &amp; TEXT(SamplingData[[#This Row],[Upper Range]], REPT("0",LEN('General Info'!$B$40))))</f>
        <v>58909 - 58926</v>
      </c>
      <c r="T1632" s="100">
        <f>SamplingData[[#This Row],[Upper Range]]-SamplingData[[#This Row],[Span]]</f>
        <v>58909.147615968897</v>
      </c>
      <c r="U1632" s="100">
        <f>IF(ISNUMBER('General Info'!$B$40), ((SamplingData[[#This Row],[up/U Selection Probability]]) * 'General Info'!$B$40) - 1, 0)</f>
        <v>16.447132428133486</v>
      </c>
      <c r="V1632" s="100">
        <f>IF(ISNUMBER('General Info'!$B$40), (SamplingData[[#This Row],[Running (cumulative) sum]] * ('General Info'!$B$40 -'General Info'!$B$41 + 1)) + 'General Info'!$B$41 - 1, 0)</f>
        <v>58925.59474839703</v>
      </c>
      <c r="W1632" s="100" t="str">
        <f>IF(ISERROR(MATCH(SamplingData[[#This Row],[Batch by Type (p)]],SelectedPrecincts[Batch Name], 0)), "", INDEX(SelectedPrecincts[Draw], MATCH(SamplingData[[#This Row],[Batch by Type (p)]],SelectedPrecincts[Batch Name], 0)))</f>
        <v/>
      </c>
      <c r="X1632" s="102">
        <f>IF(COUNTIF(SelectedPrecincts[Batch Name],SamplingData[[#This Row],[Batch by Type (p)]]) &lt;&gt; 0, COUNTIF(SelectedPrecincts[Batch Name],SamplingData[[#This Row],[Batch by Type (p)]]), 0)</f>
        <v>0</v>
      </c>
    </row>
    <row r="1633" spans="1:24" ht="15" customHeight="1">
      <c r="A1633" s="18" t="s">
        <v>1809</v>
      </c>
      <c r="B1633" s="18">
        <v>4</v>
      </c>
      <c r="C1633" s="18">
        <v>57</v>
      </c>
      <c r="D1633" s="16">
        <v>4</v>
      </c>
      <c r="E1633" s="16">
        <v>5</v>
      </c>
      <c r="F1633" s="37">
        <v>2</v>
      </c>
      <c r="G1633" s="37">
        <v>0</v>
      </c>
      <c r="H1633" s="17">
        <v>0</v>
      </c>
      <c r="I1633" s="17">
        <v>0</v>
      </c>
      <c r="J1633" s="99">
        <f>SUM(SamplingData[[#This Row],[Losing Candidate]:[Under Votes]])</f>
        <v>72</v>
      </c>
      <c r="K1633" s="100">
        <f>IF(AND(SamplingData[[#This Row],[Total]]&lt;&gt; 0, NOT(ISBLANK(SamplingData[[#This Row],[Losing Candidate]]))),(SamplingData[[#This Row],[Total]]+SamplingData[[#This Row],[Winning Candidate]]-SamplingData[[#This Row],[Losing Candidate]])/(SamplingData[[#Totals],[Winning Candidate]]-SamplingData[[#Totals],[Losing Candidate]]), 0)</f>
        <v>7.6555609995100438E-3</v>
      </c>
      <c r="L1633" s="100">
        <f>IF(AND(SamplingData[[#This Row],[Total]]&lt;&gt; 0, NOT(ISBLANK(SamplingData[[#This Row],[Candidate 3]]))),(SamplingData[[#This Row],[Total]]+SamplingData[[#This Row],[Winning Candidate]]-SamplingData[[#This Row],[Candidate 3]])/(SamplingData[[#Totals],[Winning Candidate]]-SamplingData[[#Totals],[Candidate 3]]), 0)</f>
        <v>4.0326483208052389E-3</v>
      </c>
      <c r="M1633" s="100">
        <f>IF(AND(SamplingData[[#This Row],[Total]]&lt;&gt; 0, NOT(ISBLANK(SamplingData[[#This Row],[Candidate 4]]))),(SamplingData[[#This Row],[Total]]+SamplingData[[#This Row],[Winning Candidate]]-SamplingData[[#This Row],[Candidate 4]])/(SamplingData[[#Totals],[Winning Candidate]]-SamplingData[[#Totals],[Candidate 4]]), 0)</f>
        <v>3.624777105440089E-3</v>
      </c>
      <c r="N1633" s="100">
        <f>IF(AND(SamplingData[[#This Row],[Total]]&lt;&gt; 0, NOT(ISBLANK(SamplingData[[#This Row],[Candidate 5]]))),(SamplingData[[#This Row],[Total]]+SamplingData[[#This Row],[Winning Candidate]]-SamplingData[[#This Row],[Candidate 5]])/(SamplingData[[#Totals],[Winning Candidate]]-SamplingData[[#Totals],[Candidate 5]]), 0)</f>
        <v>3.0892726830454879E-3</v>
      </c>
      <c r="O1633" s="100">
        <f>IF(AND(SamplingData[[#This Row],[Total]]&lt;&gt; 0, NOT(ISBLANK(SamplingData[[#This Row],[Candidate 6]]))),(SamplingData[[#This Row],[Total]]+SamplingData[[#This Row],[Winning Candidate]]-SamplingData[[#This Row],[Candidate 6]])/(SamplingData[[#Totals],[Winning Candidate]]-SamplingData[[#Totals],[Candidate 6]]), 0)</f>
        <v>3.1370069549146442E-3</v>
      </c>
      <c r="P1633" s="100">
        <f>MAX(SamplingData[[#This Row],[Error Bound (up) - Max. possible relative overstatement - Losing Candidate]:[Error Bound (up) - Max. possible relative overstatement - Candidate 6]])</f>
        <v>7.6555609995100438E-3</v>
      </c>
      <c r="Q1633" s="100">
        <f>IF(SamplingData[[#This Row],[Max Error Bound (up)]] = 0,0,SamplingData[[#This Row],[Max Error Bound (up)]]/SamplingData[[#Totals],[Max Error Bound (up)]])</f>
        <v>1.2116185348057288E-3</v>
      </c>
      <c r="R1633" s="101">
        <f>SUM($Q$5:Q1633)</f>
        <v>0.5904775660187761</v>
      </c>
      <c r="S1633" s="100" t="str">
        <f t="array" ref="S1633">IF(SamplingData[[#This Row],[up/U Selection Probability]] = 0, "Zero", TEXT(SamplingData[[#This Row],[Lower Range]], REPT("0",LEN('General Info'!$B$40))) &amp; " - " &amp; TEXT(SamplingData[[#This Row],[Upper Range]], REPT("0",LEN('General Info'!$B$40))))</f>
        <v>58927 - 59047</v>
      </c>
      <c r="T1633" s="100">
        <f>SamplingData[[#This Row],[Upper Range]]-SamplingData[[#This Row],[Span]]</f>
        <v>58926.595960015577</v>
      </c>
      <c r="U1633" s="100">
        <f>IF(ISNUMBER('General Info'!$B$40), ((SamplingData[[#This Row],[up/U Selection Probability]]) * 'General Info'!$B$40) - 1, 0)</f>
        <v>120.16064186203808</v>
      </c>
      <c r="V1633" s="100">
        <f>IF(ISNUMBER('General Info'!$B$40), (SamplingData[[#This Row],[Running (cumulative) sum]] * ('General Info'!$B$40 -'General Info'!$B$41 + 1)) + 'General Info'!$B$41 - 1, 0)</f>
        <v>59046.756601877612</v>
      </c>
      <c r="W1633" s="100" t="str">
        <f>IF(ISERROR(MATCH(SamplingData[[#This Row],[Batch by Type (p)]],SelectedPrecincts[Batch Name], 0)), "", INDEX(SelectedPrecincts[Draw], MATCH(SamplingData[[#This Row],[Batch by Type (p)]],SelectedPrecincts[Batch Name], 0)))</f>
        <v/>
      </c>
      <c r="X1633" s="102">
        <f>IF(COUNTIF(SelectedPrecincts[Batch Name],SamplingData[[#This Row],[Batch by Type (p)]]) &lt;&gt; 0, COUNTIF(SelectedPrecincts[Batch Name],SamplingData[[#This Row],[Batch by Type (p)]]), 0)</f>
        <v>0</v>
      </c>
    </row>
    <row r="1634" spans="1:24" ht="15" customHeight="1">
      <c r="A1634" s="18" t="s">
        <v>1810</v>
      </c>
      <c r="B1634" s="18">
        <v>2</v>
      </c>
      <c r="C1634" s="18">
        <v>31</v>
      </c>
      <c r="D1634" s="18">
        <v>8</v>
      </c>
      <c r="E1634" s="18">
        <v>1</v>
      </c>
      <c r="F1634" s="18">
        <v>0</v>
      </c>
      <c r="G1634" s="18">
        <v>0</v>
      </c>
      <c r="H1634" s="18">
        <v>0</v>
      </c>
      <c r="I1634" s="18">
        <v>1</v>
      </c>
      <c r="J1634" s="99">
        <f>SUM(SamplingData[[#This Row],[Losing Candidate]:[Under Votes]])</f>
        <v>43</v>
      </c>
      <c r="K1634" s="100">
        <f>IF(AND(SamplingData[[#This Row],[Total]]&lt;&gt; 0, NOT(ISBLANK(SamplingData[[#This Row],[Losing Candidate]]))),(SamplingData[[#This Row],[Total]]+SamplingData[[#This Row],[Winning Candidate]]-SamplingData[[#This Row],[Losing Candidate]])/(SamplingData[[#Totals],[Winning Candidate]]-SamplingData[[#Totals],[Losing Candidate]]), 0)</f>
        <v>4.4096031357177858E-3</v>
      </c>
      <c r="L1634" s="100">
        <f>IF(AND(SamplingData[[#This Row],[Total]]&lt;&gt; 0, NOT(ISBLANK(SamplingData[[#This Row],[Candidate 3]]))),(SamplingData[[#This Row],[Total]]+SamplingData[[#This Row],[Winning Candidate]]-SamplingData[[#This Row],[Candidate 3]])/(SamplingData[[#Totals],[Winning Candidate]]-SamplingData[[#Totals],[Candidate 3]]), 0)</f>
        <v>2.1292383133851662E-3</v>
      </c>
      <c r="M1634" s="100">
        <f>IF(AND(SamplingData[[#This Row],[Total]]&lt;&gt; 0, NOT(ISBLANK(SamplingData[[#This Row],[Candidate 4]]))),(SamplingData[[#This Row],[Total]]+SamplingData[[#This Row],[Winning Candidate]]-SamplingData[[#This Row],[Candidate 4]])/(SamplingData[[#Totals],[Winning Candidate]]-SamplingData[[#Totals],[Candidate 4]]), 0)</f>
        <v>2.1339413604606976E-3</v>
      </c>
      <c r="N1634" s="100">
        <f>IF(AND(SamplingData[[#This Row],[Total]]&lt;&gt; 0, NOT(ISBLANK(SamplingData[[#This Row],[Candidate 5]]))),(SamplingData[[#This Row],[Total]]+SamplingData[[#This Row],[Winning Candidate]]-SamplingData[[#This Row],[Candidate 5]])/(SamplingData[[#Totals],[Winning Candidate]]-SamplingData[[#Totals],[Candidate 5]]), 0)</f>
        <v>1.8000486499635125E-3</v>
      </c>
      <c r="O1634" s="100">
        <f>IF(AND(SamplingData[[#This Row],[Total]]&lt;&gt; 0, NOT(ISBLANK(SamplingData[[#This Row],[Candidate 6]]))),(SamplingData[[#This Row],[Total]]+SamplingData[[#This Row],[Winning Candidate]]-SamplingData[[#This Row],[Candidate 6]])/(SamplingData[[#Totals],[Winning Candidate]]-SamplingData[[#Totals],[Candidate 6]]), 0)</f>
        <v>1.7995233694859199E-3</v>
      </c>
      <c r="P1634" s="100">
        <f>MAX(SamplingData[[#This Row],[Error Bound (up) - Max. possible relative overstatement - Losing Candidate]:[Error Bound (up) - Max. possible relative overstatement - Candidate 6]])</f>
        <v>4.4096031357177858E-3</v>
      </c>
      <c r="Q1634" s="100">
        <f>IF(SamplingData[[#This Row],[Max Error Bound (up)]] = 0,0,SamplingData[[#This Row],[Max Error Bound (up)]]/SamplingData[[#Totals],[Max Error Bound (up)]])</f>
        <v>6.9789227604809994E-4</v>
      </c>
      <c r="R1634" s="101">
        <f>SUM($Q$5:Q1634)</f>
        <v>0.59117545829482421</v>
      </c>
      <c r="S1634" s="100" t="str">
        <f t="array" ref="S1634">IF(SamplingData[[#This Row],[up/U Selection Probability]] = 0, "Zero", TEXT(SamplingData[[#This Row],[Lower Range]], REPT("0",LEN('General Info'!$B$40))) &amp; " - " &amp; TEXT(SamplingData[[#This Row],[Upper Range]], REPT("0",LEN('General Info'!$B$40))))</f>
        <v>59048 - 59117</v>
      </c>
      <c r="T1634" s="100">
        <f>SamplingData[[#This Row],[Upper Range]]-SamplingData[[#This Row],[Span]]</f>
        <v>59047.757299769888</v>
      </c>
      <c r="U1634" s="100">
        <f>IF(ISNUMBER('General Info'!$B$40), ((SamplingData[[#This Row],[up/U Selection Probability]]) * 'General Info'!$B$40) - 1, 0)</f>
        <v>68.788529712533943</v>
      </c>
      <c r="V1634" s="100">
        <f>IF(ISNUMBER('General Info'!$B$40), (SamplingData[[#This Row],[Running (cumulative) sum]] * ('General Info'!$B$40 -'General Info'!$B$41 + 1)) + 'General Info'!$B$41 - 1, 0)</f>
        <v>59116.54582948242</v>
      </c>
      <c r="W1634" s="100" t="str">
        <f>IF(ISERROR(MATCH(SamplingData[[#This Row],[Batch by Type (p)]],SelectedPrecincts[Batch Name], 0)), "", INDEX(SelectedPrecincts[Draw], MATCH(SamplingData[[#This Row],[Batch by Type (p)]],SelectedPrecincts[Batch Name], 0)))</f>
        <v/>
      </c>
      <c r="X1634" s="102">
        <f>IF(COUNTIF(SelectedPrecincts[Batch Name],SamplingData[[#This Row],[Batch by Type (p)]]) &lt;&gt; 0, COUNTIF(SelectedPrecincts[Batch Name],SamplingData[[#This Row],[Batch by Type (p)]]), 0)</f>
        <v>0</v>
      </c>
    </row>
    <row r="1635" spans="1:24" ht="15" customHeight="1">
      <c r="A1635" s="18" t="s">
        <v>1811</v>
      </c>
      <c r="B1635" s="18">
        <v>11</v>
      </c>
      <c r="C1635" s="18">
        <v>41</v>
      </c>
      <c r="D1635" s="16">
        <v>4</v>
      </c>
      <c r="E1635" s="16">
        <v>2</v>
      </c>
      <c r="F1635" s="37">
        <v>0</v>
      </c>
      <c r="G1635" s="37">
        <v>0</v>
      </c>
      <c r="H1635" s="17">
        <v>0</v>
      </c>
      <c r="I1635" s="17">
        <v>0</v>
      </c>
      <c r="J1635" s="99">
        <f>SUM(SamplingData[[#This Row],[Losing Candidate]:[Under Votes]])</f>
        <v>58</v>
      </c>
      <c r="K1635" s="100">
        <f>IF(AND(SamplingData[[#This Row],[Total]]&lt;&gt; 0, NOT(ISBLANK(SamplingData[[#This Row],[Losing Candidate]]))),(SamplingData[[#This Row],[Total]]+SamplingData[[#This Row],[Winning Candidate]]-SamplingData[[#This Row],[Losing Candidate]])/(SamplingData[[#Totals],[Winning Candidate]]-SamplingData[[#Totals],[Losing Candidate]]), 0)</f>
        <v>5.3895149436550714E-3</v>
      </c>
      <c r="L1635" s="100">
        <f>IF(AND(SamplingData[[#This Row],[Total]]&lt;&gt; 0, NOT(ISBLANK(SamplingData[[#This Row],[Candidate 3]]))),(SamplingData[[#This Row],[Total]]+SamplingData[[#This Row],[Winning Candidate]]-SamplingData[[#This Row],[Candidate 3]])/(SamplingData[[#Totals],[Winning Candidate]]-SamplingData[[#Totals],[Candidate 3]]), 0)</f>
        <v>3.0648127238119818E-3</v>
      </c>
      <c r="M1635" s="100">
        <f>IF(AND(SamplingData[[#This Row],[Total]]&lt;&gt; 0, NOT(ISBLANK(SamplingData[[#This Row],[Candidate 4]]))),(SamplingData[[#This Row],[Total]]+SamplingData[[#This Row],[Winning Candidate]]-SamplingData[[#This Row],[Candidate 4]])/(SamplingData[[#Totals],[Winning Candidate]]-SamplingData[[#Totals],[Candidate 4]]), 0)</f>
        <v>2.8355111228039404E-3</v>
      </c>
      <c r="N1635" s="100">
        <f>IF(AND(SamplingData[[#This Row],[Total]]&lt;&gt; 0, NOT(ISBLANK(SamplingData[[#This Row],[Candidate 5]]))),(SamplingData[[#This Row],[Total]]+SamplingData[[#This Row],[Winning Candidate]]-SamplingData[[#This Row],[Candidate 5]])/(SamplingData[[#Totals],[Winning Candidate]]-SamplingData[[#Totals],[Candidate 5]]), 0)</f>
        <v>2.4081731938701044E-3</v>
      </c>
      <c r="O1635" s="100">
        <f>IF(AND(SamplingData[[#This Row],[Total]]&lt;&gt; 0, NOT(ISBLANK(SamplingData[[#This Row],[Candidate 6]]))),(SamplingData[[#This Row],[Total]]+SamplingData[[#This Row],[Winning Candidate]]-SamplingData[[#This Row],[Candidate 6]])/(SamplingData[[#Totals],[Winning Candidate]]-SamplingData[[#Totals],[Candidate 6]]), 0)</f>
        <v>2.4074704537717039E-3</v>
      </c>
      <c r="P1635" s="100">
        <f>MAX(SamplingData[[#This Row],[Error Bound (up) - Max. possible relative overstatement - Losing Candidate]:[Error Bound (up) - Max. possible relative overstatement - Candidate 6]])</f>
        <v>5.3895149436550714E-3</v>
      </c>
      <c r="Q1635" s="100">
        <f>IF(SamplingData[[#This Row],[Max Error Bound (up)]] = 0,0,SamplingData[[#This Row],[Max Error Bound (up)]]/SamplingData[[#Totals],[Max Error Bound (up)]])</f>
        <v>8.5297944850323327E-4</v>
      </c>
      <c r="R1635" s="101">
        <f>SUM($Q$5:Q1635)</f>
        <v>0.59202843774332747</v>
      </c>
      <c r="S1635" s="100" t="str">
        <f t="array" ref="S1635">IF(SamplingData[[#This Row],[up/U Selection Probability]] = 0, "Zero", TEXT(SamplingData[[#This Row],[Lower Range]], REPT("0",LEN('General Info'!$B$40))) &amp; " - " &amp; TEXT(SamplingData[[#This Row],[Upper Range]], REPT("0",LEN('General Info'!$B$40))))</f>
        <v>59118 - 59202</v>
      </c>
      <c r="T1635" s="100">
        <f>SamplingData[[#This Row],[Upper Range]]-SamplingData[[#This Row],[Span]]</f>
        <v>59117.546682461871</v>
      </c>
      <c r="U1635" s="100">
        <f>IF(ISNUMBER('General Info'!$B$40), ((SamplingData[[#This Row],[up/U Selection Probability]]) * 'General Info'!$B$40) - 1, 0)</f>
        <v>84.297091870874823</v>
      </c>
      <c r="V1635" s="100">
        <f>IF(ISNUMBER('General Info'!$B$40), (SamplingData[[#This Row],[Running (cumulative) sum]] * ('General Info'!$B$40 -'General Info'!$B$41 + 1)) + 'General Info'!$B$41 - 1, 0)</f>
        <v>59201.843774332745</v>
      </c>
      <c r="W1635" s="100" t="str">
        <f>IF(ISERROR(MATCH(SamplingData[[#This Row],[Batch by Type (p)]],SelectedPrecincts[Batch Name], 0)), "", INDEX(SelectedPrecincts[Draw], MATCH(SamplingData[[#This Row],[Batch by Type (p)]],SelectedPrecincts[Batch Name], 0)))</f>
        <v/>
      </c>
      <c r="X1635" s="102">
        <f>IF(COUNTIF(SelectedPrecincts[Batch Name],SamplingData[[#This Row],[Batch by Type (p)]]) &lt;&gt; 0, COUNTIF(SelectedPrecincts[Batch Name],SamplingData[[#This Row],[Batch by Type (p)]]), 0)</f>
        <v>0</v>
      </c>
    </row>
    <row r="1636" spans="1:24" ht="15" customHeight="1">
      <c r="A1636" s="18" t="s">
        <v>1812</v>
      </c>
      <c r="B1636" s="18">
        <v>9</v>
      </c>
      <c r="C1636" s="18">
        <v>11</v>
      </c>
      <c r="D1636" s="18">
        <v>0</v>
      </c>
      <c r="E1636" s="18">
        <v>3</v>
      </c>
      <c r="F1636" s="18">
        <v>0</v>
      </c>
      <c r="G1636" s="18">
        <v>0</v>
      </c>
      <c r="H1636" s="18">
        <v>0</v>
      </c>
      <c r="I1636" s="18">
        <v>2</v>
      </c>
      <c r="J1636" s="99">
        <f>SUM(SamplingData[[#This Row],[Losing Candidate]:[Under Votes]])</f>
        <v>25</v>
      </c>
      <c r="K1636"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1636" s="100">
        <f>IF(AND(SamplingData[[#This Row],[Total]]&lt;&gt; 0, NOT(ISBLANK(SamplingData[[#This Row],[Candidate 3]]))),(SamplingData[[#This Row],[Total]]+SamplingData[[#This Row],[Winning Candidate]]-SamplingData[[#This Row],[Candidate 3]])/(SamplingData[[#Totals],[Winning Candidate]]-SamplingData[[#Totals],[Candidate 3]]), 0)</f>
        <v>1.1614027163919089E-3</v>
      </c>
      <c r="M1636" s="100">
        <f>IF(AND(SamplingData[[#This Row],[Total]]&lt;&gt; 0, NOT(ISBLANK(SamplingData[[#This Row],[Candidate 4]]))),(SamplingData[[#This Row],[Total]]+SamplingData[[#This Row],[Winning Candidate]]-SamplingData[[#This Row],[Candidate 4]])/(SamplingData[[#Totals],[Winning Candidate]]-SamplingData[[#Totals],[Candidate 4]]), 0)</f>
        <v>9.6465842322195918E-4</v>
      </c>
      <c r="N1636" s="100">
        <f>IF(AND(SamplingData[[#This Row],[Total]]&lt;&gt; 0, NOT(ISBLANK(SamplingData[[#This Row],[Candidate 5]]))),(SamplingData[[#This Row],[Total]]+SamplingData[[#This Row],[Winning Candidate]]-SamplingData[[#This Row],[Candidate 5]])/(SamplingData[[#Totals],[Winning Candidate]]-SamplingData[[#Totals],[Candidate 5]]), 0)</f>
        <v>8.7569934322549259E-4</v>
      </c>
      <c r="O1636" s="100">
        <f>IF(AND(SamplingData[[#This Row],[Total]]&lt;&gt; 0, NOT(ISBLANK(SamplingData[[#This Row],[Candidate 6]]))),(SamplingData[[#This Row],[Total]]+SamplingData[[#This Row],[Winning Candidate]]-SamplingData[[#This Row],[Candidate 6]])/(SamplingData[[#Totals],[Winning Candidate]]-SamplingData[[#Totals],[Candidate 6]]), 0)</f>
        <v>8.7544380137152865E-4</v>
      </c>
      <c r="P1636" s="100">
        <f>MAX(SamplingData[[#This Row],[Error Bound (up) - Max. possible relative overstatement - Losing Candidate]:[Error Bound (up) - Max. possible relative overstatement - Candidate 6]])</f>
        <v>1.6536011758941694E-3</v>
      </c>
      <c r="Q1636" s="100">
        <f>IF(SamplingData[[#This Row],[Max Error Bound (up)]] = 0,0,SamplingData[[#This Row],[Max Error Bound (up)]]/SamplingData[[#Totals],[Max Error Bound (up)]])</f>
        <v>2.6170960351803746E-4</v>
      </c>
      <c r="R1636" s="101">
        <f>SUM($Q$5:Q1636)</f>
        <v>0.59229014734684549</v>
      </c>
      <c r="S1636" s="100" t="str">
        <f t="array" ref="S1636">IF(SamplingData[[#This Row],[up/U Selection Probability]] = 0, "Zero", TEXT(SamplingData[[#This Row],[Lower Range]], REPT("0",LEN('General Info'!$B$40))) &amp; " - " &amp; TEXT(SamplingData[[#This Row],[Upper Range]], REPT("0",LEN('General Info'!$B$40))))</f>
        <v>59203 - 59228</v>
      </c>
      <c r="T1636" s="100">
        <f>SamplingData[[#This Row],[Upper Range]]-SamplingData[[#This Row],[Span]]</f>
        <v>59202.844036042348</v>
      </c>
      <c r="U1636" s="100">
        <f>IF(ISNUMBER('General Info'!$B$40), ((SamplingData[[#This Row],[up/U Selection Probability]]) * 'General Info'!$B$40) - 1, 0)</f>
        <v>25.170698642200229</v>
      </c>
      <c r="V1636" s="100">
        <f>IF(ISNUMBER('General Info'!$B$40), (SamplingData[[#This Row],[Running (cumulative) sum]] * ('General Info'!$B$40 -'General Info'!$B$41 + 1)) + 'General Info'!$B$41 - 1, 0)</f>
        <v>59228.014734684548</v>
      </c>
      <c r="W1636" s="100" t="str">
        <f>IF(ISERROR(MATCH(SamplingData[[#This Row],[Batch by Type (p)]],SelectedPrecincts[Batch Name], 0)), "", INDEX(SelectedPrecincts[Draw], MATCH(SamplingData[[#This Row],[Batch by Type (p)]],SelectedPrecincts[Batch Name], 0)))</f>
        <v/>
      </c>
      <c r="X1636" s="102">
        <f>IF(COUNTIF(SelectedPrecincts[Batch Name],SamplingData[[#This Row],[Batch by Type (p)]]) &lt;&gt; 0, COUNTIF(SelectedPrecincts[Batch Name],SamplingData[[#This Row],[Batch by Type (p)]]), 0)</f>
        <v>0</v>
      </c>
    </row>
    <row r="1637" spans="1:24" ht="15" customHeight="1">
      <c r="A1637" s="18" t="s">
        <v>1813</v>
      </c>
      <c r="B1637" s="18">
        <v>12</v>
      </c>
      <c r="C1637" s="18">
        <v>44</v>
      </c>
      <c r="D1637" s="16">
        <v>8</v>
      </c>
      <c r="E1637" s="16">
        <v>9</v>
      </c>
      <c r="F1637" s="37">
        <v>1</v>
      </c>
      <c r="G1637" s="37">
        <v>0</v>
      </c>
      <c r="H1637" s="17">
        <v>0</v>
      </c>
      <c r="I1637" s="17">
        <v>0</v>
      </c>
      <c r="J1637" s="99">
        <f>SUM(SamplingData[[#This Row],[Losing Candidate]:[Under Votes]])</f>
        <v>74</v>
      </c>
      <c r="K1637" s="100">
        <f>IF(AND(SamplingData[[#This Row],[Total]]&lt;&gt; 0, NOT(ISBLANK(SamplingData[[#This Row],[Losing Candidate]]))),(SamplingData[[#This Row],[Total]]+SamplingData[[#This Row],[Winning Candidate]]-SamplingData[[#This Row],[Losing Candidate]])/(SamplingData[[#Totals],[Winning Candidate]]-SamplingData[[#Totals],[Losing Candidate]]), 0)</f>
        <v>6.4919157275845178E-3</v>
      </c>
      <c r="L1637" s="100">
        <f>IF(AND(SamplingData[[#This Row],[Total]]&lt;&gt; 0, NOT(ISBLANK(SamplingData[[#This Row],[Candidate 3]]))),(SamplingData[[#This Row],[Total]]+SamplingData[[#This Row],[Winning Candidate]]-SamplingData[[#This Row],[Candidate 3]])/(SamplingData[[#Totals],[Winning Candidate]]-SamplingData[[#Totals],[Candidate 3]]), 0)</f>
        <v>3.5487305223086104E-3</v>
      </c>
      <c r="M1637" s="100">
        <f>IF(AND(SamplingData[[#This Row],[Total]]&lt;&gt; 0, NOT(ISBLANK(SamplingData[[#This Row],[Candidate 4]]))),(SamplingData[[#This Row],[Total]]+SamplingData[[#This Row],[Winning Candidate]]-SamplingData[[#This Row],[Candidate 4]])/(SamplingData[[#Totals],[Winning Candidate]]-SamplingData[[#Totals],[Candidate 4]]), 0)</f>
        <v>3.186296003975562E-3</v>
      </c>
      <c r="N1637" s="100">
        <f>IF(AND(SamplingData[[#This Row],[Total]]&lt;&gt; 0, NOT(ISBLANK(SamplingData[[#This Row],[Candidate 5]]))),(SamplingData[[#This Row],[Total]]+SamplingData[[#This Row],[Winning Candidate]]-SamplingData[[#This Row],[Candidate 5]])/(SamplingData[[#Totals],[Winning Candidate]]-SamplingData[[#Totals],[Candidate 5]]), 0)</f>
        <v>2.8460228654828509E-3</v>
      </c>
      <c r="O1637" s="100">
        <f>IF(AND(SamplingData[[#This Row],[Total]]&lt;&gt; 0, NOT(ISBLANK(SamplingData[[#This Row],[Candidate 6]]))),(SamplingData[[#This Row],[Total]]+SamplingData[[#This Row],[Winning Candidate]]-SamplingData[[#This Row],[Candidate 6]])/(SamplingData[[#Totals],[Winning Candidate]]-SamplingData[[#Totals],[Candidate 6]]), 0)</f>
        <v>2.8695102378288994E-3</v>
      </c>
      <c r="P1637" s="100">
        <f>MAX(SamplingData[[#This Row],[Error Bound (up) - Max. possible relative overstatement - Losing Candidate]:[Error Bound (up) - Max. possible relative overstatement - Candidate 6]])</f>
        <v>6.4919157275845178E-3</v>
      </c>
      <c r="Q1637" s="100">
        <f>IF(SamplingData[[#This Row],[Max Error Bound (up)]] = 0,0,SamplingData[[#This Row],[Max Error Bound (up)]]/SamplingData[[#Totals],[Max Error Bound (up)]])</f>
        <v>1.0274525175152582E-3</v>
      </c>
      <c r="R1637" s="101">
        <f>SUM($Q$5:Q1637)</f>
        <v>0.59331759986436072</v>
      </c>
      <c r="S1637" s="100" t="str">
        <f t="array" ref="S1637">IF(SamplingData[[#This Row],[up/U Selection Probability]] = 0, "Zero", TEXT(SamplingData[[#This Row],[Lower Range]], REPT("0",LEN('General Info'!$B$40))) &amp; " - " &amp; TEXT(SamplingData[[#This Row],[Upper Range]], REPT("0",LEN('General Info'!$B$40))))</f>
        <v>59229 - 59331</v>
      </c>
      <c r="T1637" s="100">
        <f>SamplingData[[#This Row],[Upper Range]]-SamplingData[[#This Row],[Span]]</f>
        <v>59229.015762137067</v>
      </c>
      <c r="U1637" s="100">
        <f>IF(ISNUMBER('General Info'!$B$40), ((SamplingData[[#This Row],[up/U Selection Probability]]) * 'General Info'!$B$40) - 1, 0)</f>
        <v>101.74422429900831</v>
      </c>
      <c r="V1637" s="100">
        <f>IF(ISNUMBER('General Info'!$B$40), (SamplingData[[#This Row],[Running (cumulative) sum]] * ('General Info'!$B$40 -'General Info'!$B$41 + 1)) + 'General Info'!$B$41 - 1, 0)</f>
        <v>59330.759986436075</v>
      </c>
      <c r="W1637" s="100" t="str">
        <f>IF(ISERROR(MATCH(SamplingData[[#This Row],[Batch by Type (p)]],SelectedPrecincts[Batch Name], 0)), "", INDEX(SelectedPrecincts[Draw], MATCH(SamplingData[[#This Row],[Batch by Type (p)]],SelectedPrecincts[Batch Name], 0)))</f>
        <v/>
      </c>
      <c r="X1637" s="102">
        <f>IF(COUNTIF(SelectedPrecincts[Batch Name],SamplingData[[#This Row],[Batch by Type (p)]]) &lt;&gt; 0, COUNTIF(SelectedPrecincts[Batch Name],SamplingData[[#This Row],[Batch by Type (p)]]), 0)</f>
        <v>0</v>
      </c>
    </row>
    <row r="1638" spans="1:24" ht="15" customHeight="1">
      <c r="A1638" s="18" t="s">
        <v>1814</v>
      </c>
      <c r="B1638" s="18">
        <v>5</v>
      </c>
      <c r="C1638" s="18">
        <v>27</v>
      </c>
      <c r="D1638" s="18">
        <v>0</v>
      </c>
      <c r="E1638" s="18">
        <v>1</v>
      </c>
      <c r="F1638" s="18">
        <v>0</v>
      </c>
      <c r="G1638" s="18">
        <v>0</v>
      </c>
      <c r="H1638" s="18">
        <v>0</v>
      </c>
      <c r="I1638" s="18">
        <v>1</v>
      </c>
      <c r="J1638" s="99">
        <f>SUM(SamplingData[[#This Row],[Losing Candidate]:[Under Votes]])</f>
        <v>34</v>
      </c>
      <c r="K1638"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1638" s="100">
        <f>IF(AND(SamplingData[[#This Row],[Total]]&lt;&gt; 0, NOT(ISBLANK(SamplingData[[#This Row],[Candidate 3]]))),(SamplingData[[#This Row],[Total]]+SamplingData[[#This Row],[Winning Candidate]]-SamplingData[[#This Row],[Candidate 3]])/(SamplingData[[#Totals],[Winning Candidate]]-SamplingData[[#Totals],[Candidate 3]]), 0)</f>
        <v>1.9679323805529567E-3</v>
      </c>
      <c r="M1638" s="100">
        <f>IF(AND(SamplingData[[#This Row],[Total]]&lt;&gt; 0, NOT(ISBLANK(SamplingData[[#This Row],[Candidate 4]]))),(SamplingData[[#This Row],[Total]]+SamplingData[[#This Row],[Winning Candidate]]-SamplingData[[#This Row],[Candidate 4]])/(SamplingData[[#Totals],[Winning Candidate]]-SamplingData[[#Totals],[Candidate 4]]), 0)</f>
        <v>1.7539244058581076E-3</v>
      </c>
      <c r="N1638" s="100">
        <f>IF(AND(SamplingData[[#This Row],[Total]]&lt;&gt; 0, NOT(ISBLANK(SamplingData[[#This Row],[Candidate 5]]))),(SamplingData[[#This Row],[Total]]+SamplingData[[#This Row],[Winning Candidate]]-SamplingData[[#This Row],[Candidate 5]])/(SamplingData[[#Totals],[Winning Candidate]]-SamplingData[[#Totals],[Candidate 5]]), 0)</f>
        <v>1.4838238871320846E-3</v>
      </c>
      <c r="O1638" s="100">
        <f>IF(AND(SamplingData[[#This Row],[Total]]&lt;&gt; 0, NOT(ISBLANK(SamplingData[[#This Row],[Candidate 6]]))),(SamplingData[[#This Row],[Total]]+SamplingData[[#This Row],[Winning Candidate]]-SamplingData[[#This Row],[Candidate 6]])/(SamplingData[[#Totals],[Winning Candidate]]-SamplingData[[#Totals],[Candidate 6]]), 0)</f>
        <v>1.4833908856573125E-3</v>
      </c>
      <c r="P1638" s="100">
        <f>MAX(SamplingData[[#This Row],[Error Bound (up) - Max. possible relative overstatement - Losing Candidate]:[Error Bound (up) - Max. possible relative overstatement - Candidate 6]])</f>
        <v>3.4296913277804997E-3</v>
      </c>
      <c r="Q1638" s="100">
        <f>IF(SamplingData[[#This Row],[Max Error Bound (up)]] = 0,0,SamplingData[[#This Row],[Max Error Bound (up)]]/SamplingData[[#Totals],[Max Error Bound (up)]])</f>
        <v>5.4280510359296661E-4</v>
      </c>
      <c r="R1638" s="101">
        <f>SUM($Q$5:Q1638)</f>
        <v>0.59386040496795367</v>
      </c>
      <c r="S1638" s="100" t="str">
        <f t="array" ref="S1638">IF(SamplingData[[#This Row],[up/U Selection Probability]] = 0, "Zero", TEXT(SamplingData[[#This Row],[Lower Range]], REPT("0",LEN('General Info'!$B$40))) &amp; " - " &amp; TEXT(SamplingData[[#This Row],[Upper Range]], REPT("0",LEN('General Info'!$B$40))))</f>
        <v>59332 - 59385</v>
      </c>
      <c r="T1638" s="100">
        <f>SamplingData[[#This Row],[Upper Range]]-SamplingData[[#This Row],[Span]]</f>
        <v>59331.760529241175</v>
      </c>
      <c r="U1638" s="100">
        <f>IF(ISNUMBER('General Info'!$B$40), ((SamplingData[[#This Row],[up/U Selection Probability]]) * 'General Info'!$B$40) - 1, 0)</f>
        <v>53.279967554193071</v>
      </c>
      <c r="V1638" s="100">
        <f>IF(ISNUMBER('General Info'!$B$40), (SamplingData[[#This Row],[Running (cumulative) sum]] * ('General Info'!$B$40 -'General Info'!$B$41 + 1)) + 'General Info'!$B$41 - 1, 0)</f>
        <v>59385.040496795365</v>
      </c>
      <c r="W1638" s="100" t="str">
        <f>IF(ISERROR(MATCH(SamplingData[[#This Row],[Batch by Type (p)]],SelectedPrecincts[Batch Name], 0)), "", INDEX(SelectedPrecincts[Draw], MATCH(SamplingData[[#This Row],[Batch by Type (p)]],SelectedPrecincts[Batch Name], 0)))</f>
        <v/>
      </c>
      <c r="X1638" s="102">
        <f>IF(COUNTIF(SelectedPrecincts[Batch Name],SamplingData[[#This Row],[Batch by Type (p)]]) &lt;&gt; 0, COUNTIF(SelectedPrecincts[Batch Name],SamplingData[[#This Row],[Batch by Type (p)]]), 0)</f>
        <v>0</v>
      </c>
    </row>
    <row r="1639" spans="1:24" ht="15" customHeight="1">
      <c r="A1639" s="18" t="s">
        <v>1815</v>
      </c>
      <c r="B1639" s="18">
        <v>0</v>
      </c>
      <c r="C1639" s="18">
        <v>0</v>
      </c>
      <c r="D1639" s="16">
        <v>0</v>
      </c>
      <c r="E1639" s="16">
        <v>0</v>
      </c>
      <c r="F1639" s="37">
        <v>0</v>
      </c>
      <c r="G1639" s="37">
        <v>0</v>
      </c>
      <c r="H1639" s="17">
        <v>0</v>
      </c>
      <c r="I1639" s="17">
        <v>0</v>
      </c>
      <c r="J1639" s="99">
        <f>SUM(SamplingData[[#This Row],[Losing Candidate]:[Under Votes]])</f>
        <v>0</v>
      </c>
      <c r="K1639" s="100">
        <f>IF(AND(SamplingData[[#This Row],[Total]]&lt;&gt; 0, NOT(ISBLANK(SamplingData[[#This Row],[Losing Candidate]]))),(SamplingData[[#This Row],[Total]]+SamplingData[[#This Row],[Winning Candidate]]-SamplingData[[#This Row],[Losing Candidate]])/(SamplingData[[#Totals],[Winning Candidate]]-SamplingData[[#Totals],[Losing Candidate]]), 0)</f>
        <v>0</v>
      </c>
      <c r="L1639" s="100">
        <f>IF(AND(SamplingData[[#This Row],[Total]]&lt;&gt; 0, NOT(ISBLANK(SamplingData[[#This Row],[Candidate 3]]))),(SamplingData[[#This Row],[Total]]+SamplingData[[#This Row],[Winning Candidate]]-SamplingData[[#This Row],[Candidate 3]])/(SamplingData[[#Totals],[Winning Candidate]]-SamplingData[[#Totals],[Candidate 3]]), 0)</f>
        <v>0</v>
      </c>
      <c r="M1639" s="100">
        <f>IF(AND(SamplingData[[#This Row],[Total]]&lt;&gt; 0, NOT(ISBLANK(SamplingData[[#This Row],[Candidate 4]]))),(SamplingData[[#This Row],[Total]]+SamplingData[[#This Row],[Winning Candidate]]-SamplingData[[#This Row],[Candidate 4]])/(SamplingData[[#Totals],[Winning Candidate]]-SamplingData[[#Totals],[Candidate 4]]), 0)</f>
        <v>0</v>
      </c>
      <c r="N1639" s="100">
        <f>IF(AND(SamplingData[[#This Row],[Total]]&lt;&gt; 0, NOT(ISBLANK(SamplingData[[#This Row],[Candidate 5]]))),(SamplingData[[#This Row],[Total]]+SamplingData[[#This Row],[Winning Candidate]]-SamplingData[[#This Row],[Candidate 5]])/(SamplingData[[#Totals],[Winning Candidate]]-SamplingData[[#Totals],[Candidate 5]]), 0)</f>
        <v>0</v>
      </c>
      <c r="O1639" s="100">
        <f>IF(AND(SamplingData[[#This Row],[Total]]&lt;&gt; 0, NOT(ISBLANK(SamplingData[[#This Row],[Candidate 6]]))),(SamplingData[[#This Row],[Total]]+SamplingData[[#This Row],[Winning Candidate]]-SamplingData[[#This Row],[Candidate 6]])/(SamplingData[[#Totals],[Winning Candidate]]-SamplingData[[#Totals],[Candidate 6]]), 0)</f>
        <v>0</v>
      </c>
      <c r="P1639" s="100">
        <f>MAX(SamplingData[[#This Row],[Error Bound (up) - Max. possible relative overstatement - Losing Candidate]:[Error Bound (up) - Max. possible relative overstatement - Candidate 6]])</f>
        <v>0</v>
      </c>
      <c r="Q1639" s="100">
        <f>IF(SamplingData[[#This Row],[Max Error Bound (up)]] = 0,0,SamplingData[[#This Row],[Max Error Bound (up)]]/SamplingData[[#Totals],[Max Error Bound (up)]])</f>
        <v>0</v>
      </c>
      <c r="R1639" s="101">
        <f>SUM($Q$5:Q1639)</f>
        <v>0.59386040496795367</v>
      </c>
      <c r="S1639" s="100" t="str">
        <f t="array" ref="S1639">IF(SamplingData[[#This Row],[up/U Selection Probability]] = 0, "Zero", TEXT(SamplingData[[#This Row],[Lower Range]], REPT("0",LEN('General Info'!$B$40))) &amp; " - " &amp; TEXT(SamplingData[[#This Row],[Upper Range]], REPT("0",LEN('General Info'!$B$40))))</f>
        <v>Zero</v>
      </c>
      <c r="T1639" s="100">
        <f>SamplingData[[#This Row],[Upper Range]]-SamplingData[[#This Row],[Span]]</f>
        <v>59386.040496795365</v>
      </c>
      <c r="U1639" s="100">
        <f>IF(ISNUMBER('General Info'!$B$40), ((SamplingData[[#This Row],[up/U Selection Probability]]) * 'General Info'!$B$40) - 1, 0)</f>
        <v>-1</v>
      </c>
      <c r="V1639" s="100">
        <f>IF(ISNUMBER('General Info'!$B$40), (SamplingData[[#This Row],[Running (cumulative) sum]] * ('General Info'!$B$40 -'General Info'!$B$41 + 1)) + 'General Info'!$B$41 - 1, 0)</f>
        <v>59385.040496795365</v>
      </c>
      <c r="W1639" s="100" t="str">
        <f>IF(ISERROR(MATCH(SamplingData[[#This Row],[Batch by Type (p)]],SelectedPrecincts[Batch Name], 0)), "", INDEX(SelectedPrecincts[Draw], MATCH(SamplingData[[#This Row],[Batch by Type (p)]],SelectedPrecincts[Batch Name], 0)))</f>
        <v/>
      </c>
      <c r="X1639" s="102">
        <f>IF(COUNTIF(SelectedPrecincts[Batch Name],SamplingData[[#This Row],[Batch by Type (p)]]) &lt;&gt; 0, COUNTIF(SelectedPrecincts[Batch Name],SamplingData[[#This Row],[Batch by Type (p)]]), 0)</f>
        <v>0</v>
      </c>
    </row>
    <row r="1640" spans="1:24" ht="15" customHeight="1">
      <c r="A1640" s="18" t="s">
        <v>1816</v>
      </c>
      <c r="B1640" s="18">
        <v>0</v>
      </c>
      <c r="C1640" s="18">
        <v>0</v>
      </c>
      <c r="D1640" s="18">
        <v>0</v>
      </c>
      <c r="E1640" s="18">
        <v>0</v>
      </c>
      <c r="F1640" s="18">
        <v>0</v>
      </c>
      <c r="G1640" s="18">
        <v>0</v>
      </c>
      <c r="H1640" s="18">
        <v>0</v>
      </c>
      <c r="I1640" s="18">
        <v>0</v>
      </c>
      <c r="J1640" s="99">
        <f>SUM(SamplingData[[#This Row],[Losing Candidate]:[Under Votes]])</f>
        <v>0</v>
      </c>
      <c r="K1640" s="100">
        <f>IF(AND(SamplingData[[#This Row],[Total]]&lt;&gt; 0, NOT(ISBLANK(SamplingData[[#This Row],[Losing Candidate]]))),(SamplingData[[#This Row],[Total]]+SamplingData[[#This Row],[Winning Candidate]]-SamplingData[[#This Row],[Losing Candidate]])/(SamplingData[[#Totals],[Winning Candidate]]-SamplingData[[#Totals],[Losing Candidate]]), 0)</f>
        <v>0</v>
      </c>
      <c r="L1640" s="100">
        <f>IF(AND(SamplingData[[#This Row],[Total]]&lt;&gt; 0, NOT(ISBLANK(SamplingData[[#This Row],[Candidate 3]]))),(SamplingData[[#This Row],[Total]]+SamplingData[[#This Row],[Winning Candidate]]-SamplingData[[#This Row],[Candidate 3]])/(SamplingData[[#Totals],[Winning Candidate]]-SamplingData[[#Totals],[Candidate 3]]), 0)</f>
        <v>0</v>
      </c>
      <c r="M1640" s="100">
        <f>IF(AND(SamplingData[[#This Row],[Total]]&lt;&gt; 0, NOT(ISBLANK(SamplingData[[#This Row],[Candidate 4]]))),(SamplingData[[#This Row],[Total]]+SamplingData[[#This Row],[Winning Candidate]]-SamplingData[[#This Row],[Candidate 4]])/(SamplingData[[#Totals],[Winning Candidate]]-SamplingData[[#Totals],[Candidate 4]]), 0)</f>
        <v>0</v>
      </c>
      <c r="N1640" s="100">
        <f>IF(AND(SamplingData[[#This Row],[Total]]&lt;&gt; 0, NOT(ISBLANK(SamplingData[[#This Row],[Candidate 5]]))),(SamplingData[[#This Row],[Total]]+SamplingData[[#This Row],[Winning Candidate]]-SamplingData[[#This Row],[Candidate 5]])/(SamplingData[[#Totals],[Winning Candidate]]-SamplingData[[#Totals],[Candidate 5]]), 0)</f>
        <v>0</v>
      </c>
      <c r="O1640" s="100">
        <f>IF(AND(SamplingData[[#This Row],[Total]]&lt;&gt; 0, NOT(ISBLANK(SamplingData[[#This Row],[Candidate 6]]))),(SamplingData[[#This Row],[Total]]+SamplingData[[#This Row],[Winning Candidate]]-SamplingData[[#This Row],[Candidate 6]])/(SamplingData[[#Totals],[Winning Candidate]]-SamplingData[[#Totals],[Candidate 6]]), 0)</f>
        <v>0</v>
      </c>
      <c r="P1640" s="100">
        <f>MAX(SamplingData[[#This Row],[Error Bound (up) - Max. possible relative overstatement - Losing Candidate]:[Error Bound (up) - Max. possible relative overstatement - Candidate 6]])</f>
        <v>0</v>
      </c>
      <c r="Q1640" s="100">
        <f>IF(SamplingData[[#This Row],[Max Error Bound (up)]] = 0,0,SamplingData[[#This Row],[Max Error Bound (up)]]/SamplingData[[#Totals],[Max Error Bound (up)]])</f>
        <v>0</v>
      </c>
      <c r="R1640" s="101">
        <f>SUM($Q$5:Q1640)</f>
        <v>0.59386040496795367</v>
      </c>
      <c r="S1640" s="100" t="str">
        <f t="array" ref="S1640">IF(SamplingData[[#This Row],[up/U Selection Probability]] = 0, "Zero", TEXT(SamplingData[[#This Row],[Lower Range]], REPT("0",LEN('General Info'!$B$40))) &amp; " - " &amp; TEXT(SamplingData[[#This Row],[Upper Range]], REPT("0",LEN('General Info'!$B$40))))</f>
        <v>Zero</v>
      </c>
      <c r="T1640" s="100">
        <f>SamplingData[[#This Row],[Upper Range]]-SamplingData[[#This Row],[Span]]</f>
        <v>59386.040496795365</v>
      </c>
      <c r="U1640" s="100">
        <f>IF(ISNUMBER('General Info'!$B$40), ((SamplingData[[#This Row],[up/U Selection Probability]]) * 'General Info'!$B$40) - 1, 0)</f>
        <v>-1</v>
      </c>
      <c r="V1640" s="100">
        <f>IF(ISNUMBER('General Info'!$B$40), (SamplingData[[#This Row],[Running (cumulative) sum]] * ('General Info'!$B$40 -'General Info'!$B$41 + 1)) + 'General Info'!$B$41 - 1, 0)</f>
        <v>59385.040496795365</v>
      </c>
      <c r="W1640" s="100" t="str">
        <f>IF(ISERROR(MATCH(SamplingData[[#This Row],[Batch by Type (p)]],SelectedPrecincts[Batch Name], 0)), "", INDEX(SelectedPrecincts[Draw], MATCH(SamplingData[[#This Row],[Batch by Type (p)]],SelectedPrecincts[Batch Name], 0)))</f>
        <v/>
      </c>
      <c r="X1640" s="102">
        <f>IF(COUNTIF(SelectedPrecincts[Batch Name],SamplingData[[#This Row],[Batch by Type (p)]]) &lt;&gt; 0, COUNTIF(SelectedPrecincts[Batch Name],SamplingData[[#This Row],[Batch by Type (p)]]), 0)</f>
        <v>0</v>
      </c>
    </row>
    <row r="1641" spans="1:24" ht="15" customHeight="1">
      <c r="A1641" s="18" t="s">
        <v>1817</v>
      </c>
      <c r="B1641" s="18">
        <v>12</v>
      </c>
      <c r="C1641" s="18">
        <v>25</v>
      </c>
      <c r="D1641" s="16">
        <v>7</v>
      </c>
      <c r="E1641" s="16">
        <v>6</v>
      </c>
      <c r="F1641" s="37">
        <v>0</v>
      </c>
      <c r="G1641" s="37">
        <v>0</v>
      </c>
      <c r="H1641" s="17">
        <v>0</v>
      </c>
      <c r="I1641" s="17">
        <v>0</v>
      </c>
      <c r="J1641" s="99">
        <f>SUM(SamplingData[[#This Row],[Losing Candidate]:[Under Votes]])</f>
        <v>50</v>
      </c>
      <c r="K1641" s="100">
        <f>IF(AND(SamplingData[[#This Row],[Total]]&lt;&gt; 0, NOT(ISBLANK(SamplingData[[#This Row],[Losing Candidate]]))),(SamplingData[[#This Row],[Total]]+SamplingData[[#This Row],[Winning Candidate]]-SamplingData[[#This Row],[Losing Candidate]])/(SamplingData[[#Totals],[Winning Candidate]]-SamplingData[[#Totals],[Losing Candidate]]), 0)</f>
        <v>3.8584027437530621E-3</v>
      </c>
      <c r="L1641" s="100">
        <f>IF(AND(SamplingData[[#This Row],[Total]]&lt;&gt; 0, NOT(ISBLANK(SamplingData[[#This Row],[Candidate 3]]))),(SamplingData[[#This Row],[Total]]+SamplingData[[#This Row],[Winning Candidate]]-SamplingData[[#This Row],[Candidate 3]])/(SamplingData[[#Totals],[Winning Candidate]]-SamplingData[[#Totals],[Candidate 3]]), 0)</f>
        <v>2.1937606865180502E-3</v>
      </c>
      <c r="M1641" s="100">
        <f>IF(AND(SamplingData[[#This Row],[Total]]&lt;&gt; 0, NOT(ISBLANK(SamplingData[[#This Row],[Candidate 4]]))),(SamplingData[[#This Row],[Total]]+SamplingData[[#This Row],[Winning Candidate]]-SamplingData[[#This Row],[Candidate 4]])/(SamplingData[[#Totals],[Winning Candidate]]-SamplingData[[#Totals],[Candidate 4]]), 0)</f>
        <v>2.0170130667368238E-3</v>
      </c>
      <c r="N1641" s="100">
        <f>IF(AND(SamplingData[[#This Row],[Total]]&lt;&gt; 0, NOT(ISBLANK(SamplingData[[#This Row],[Candidate 5]]))),(SamplingData[[#This Row],[Total]]+SamplingData[[#This Row],[Winning Candidate]]-SamplingData[[#This Row],[Candidate 5]])/(SamplingData[[#Totals],[Winning Candidate]]-SamplingData[[#Totals],[Candidate 5]]), 0)</f>
        <v>1.8243736317197761E-3</v>
      </c>
      <c r="O1641" s="100">
        <f>IF(AND(SamplingData[[#This Row],[Total]]&lt;&gt; 0, NOT(ISBLANK(SamplingData[[#This Row],[Candidate 6]]))),(SamplingData[[#This Row],[Total]]+SamplingData[[#This Row],[Winning Candidate]]-SamplingData[[#This Row],[Candidate 6]])/(SamplingData[[#Totals],[Winning Candidate]]-SamplingData[[#Totals],[Candidate 6]]), 0)</f>
        <v>1.8238412528573513E-3</v>
      </c>
      <c r="P1641" s="100">
        <f>MAX(SamplingData[[#This Row],[Error Bound (up) - Max. possible relative overstatement - Losing Candidate]:[Error Bound (up) - Max. possible relative overstatement - Candidate 6]])</f>
        <v>3.8584027437530621E-3</v>
      </c>
      <c r="Q1641" s="100">
        <f>IF(SamplingData[[#This Row],[Max Error Bound (up)]] = 0,0,SamplingData[[#This Row],[Max Error Bound (up)]]/SamplingData[[#Totals],[Max Error Bound (up)]])</f>
        <v>6.1065574154208738E-4</v>
      </c>
      <c r="R1641" s="101">
        <f>SUM($Q$5:Q1641)</f>
        <v>0.59447106070949574</v>
      </c>
      <c r="S1641" s="100" t="str">
        <f t="array" ref="S1641">IF(SamplingData[[#This Row],[up/U Selection Probability]] = 0, "Zero", TEXT(SamplingData[[#This Row],[Lower Range]], REPT("0",LEN('General Info'!$B$40))) &amp; " - " &amp; TEXT(SamplingData[[#This Row],[Upper Range]], REPT("0",LEN('General Info'!$B$40))))</f>
        <v>59386 - 59446</v>
      </c>
      <c r="T1641" s="100">
        <f>SamplingData[[#This Row],[Upper Range]]-SamplingData[[#This Row],[Span]]</f>
        <v>59386.041107451107</v>
      </c>
      <c r="U1641" s="100">
        <f>IF(ISNUMBER('General Info'!$B$40), ((SamplingData[[#This Row],[up/U Selection Probability]]) * 'General Info'!$B$40) - 1, 0)</f>
        <v>60.064963498467193</v>
      </c>
      <c r="V1641" s="100">
        <f>IF(ISNUMBER('General Info'!$B$40), (SamplingData[[#This Row],[Running (cumulative) sum]] * ('General Info'!$B$40 -'General Info'!$B$41 + 1)) + 'General Info'!$B$41 - 1, 0)</f>
        <v>59446.106070949572</v>
      </c>
      <c r="W1641" s="100" t="str">
        <f>IF(ISERROR(MATCH(SamplingData[[#This Row],[Batch by Type (p)]],SelectedPrecincts[Batch Name], 0)), "", INDEX(SelectedPrecincts[Draw], MATCH(SamplingData[[#This Row],[Batch by Type (p)]],SelectedPrecincts[Batch Name], 0)))</f>
        <v/>
      </c>
      <c r="X1641" s="102">
        <f>IF(COUNTIF(SelectedPrecincts[Batch Name],SamplingData[[#This Row],[Batch by Type (p)]]) &lt;&gt; 0, COUNTIF(SelectedPrecincts[Batch Name],SamplingData[[#This Row],[Batch by Type (p)]]), 0)</f>
        <v>0</v>
      </c>
    </row>
    <row r="1642" spans="1:24" ht="15" customHeight="1">
      <c r="A1642" s="18" t="s">
        <v>1818</v>
      </c>
      <c r="B1642" s="18">
        <v>2</v>
      </c>
      <c r="C1642" s="18">
        <v>2</v>
      </c>
      <c r="D1642" s="18">
        <v>3</v>
      </c>
      <c r="E1642" s="18">
        <v>1</v>
      </c>
      <c r="F1642" s="18">
        <v>0</v>
      </c>
      <c r="G1642" s="18">
        <v>0</v>
      </c>
      <c r="H1642" s="18">
        <v>0</v>
      </c>
      <c r="I1642" s="18">
        <v>0</v>
      </c>
      <c r="J1642" s="99">
        <f>SUM(SamplingData[[#This Row],[Losing Candidate]:[Under Votes]])</f>
        <v>8</v>
      </c>
      <c r="K1642"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642" s="100">
        <f>IF(AND(SamplingData[[#This Row],[Total]]&lt;&gt; 0, NOT(ISBLANK(SamplingData[[#This Row],[Candidate 3]]))),(SamplingData[[#This Row],[Total]]+SamplingData[[#This Row],[Winning Candidate]]-SamplingData[[#This Row],[Candidate 3]])/(SamplingData[[#Totals],[Winning Candidate]]-SamplingData[[#Totals],[Candidate 3]]), 0)</f>
        <v>2.258283059650934E-4</v>
      </c>
      <c r="M1642" s="100">
        <f>IF(AND(SamplingData[[#This Row],[Total]]&lt;&gt; 0, NOT(ISBLANK(SamplingData[[#This Row],[Candidate 4]]))),(SamplingData[[#This Row],[Total]]+SamplingData[[#This Row],[Winning Candidate]]-SamplingData[[#This Row],[Candidate 4]])/(SamplingData[[#Totals],[Winning Candidate]]-SamplingData[[#Totals],[Candidate 4]]), 0)</f>
        <v>2.6308866087871614E-4</v>
      </c>
      <c r="N1642" s="100">
        <f>IF(AND(SamplingData[[#This Row],[Total]]&lt;&gt; 0, NOT(ISBLANK(SamplingData[[#This Row],[Candidate 5]]))),(SamplingData[[#This Row],[Total]]+SamplingData[[#This Row],[Winning Candidate]]-SamplingData[[#This Row],[Candidate 5]])/(SamplingData[[#Totals],[Winning Candidate]]-SamplingData[[#Totals],[Candidate 5]]), 0)</f>
        <v>2.4324981756263683E-4</v>
      </c>
      <c r="O1642" s="100">
        <f>IF(AND(SamplingData[[#This Row],[Total]]&lt;&gt; 0, NOT(ISBLANK(SamplingData[[#This Row],[Candidate 6]]))),(SamplingData[[#This Row],[Total]]+SamplingData[[#This Row],[Winning Candidate]]-SamplingData[[#This Row],[Candidate 6]])/(SamplingData[[#Totals],[Winning Candidate]]-SamplingData[[#Totals],[Candidate 6]]), 0)</f>
        <v>2.431788337143135E-4</v>
      </c>
      <c r="P1642" s="100">
        <f>MAX(SamplingData[[#This Row],[Error Bound (up) - Max. possible relative overstatement - Losing Candidate]:[Error Bound (up) - Max. possible relative overstatement - Candidate 6]])</f>
        <v>4.8995590396864281E-4</v>
      </c>
      <c r="Q1642" s="100">
        <f>IF(SamplingData[[#This Row],[Max Error Bound (up)]] = 0,0,SamplingData[[#This Row],[Max Error Bound (up)]]/SamplingData[[#Totals],[Max Error Bound (up)]])</f>
        <v>7.7543586227566652E-5</v>
      </c>
      <c r="R1642" s="101">
        <f>SUM($Q$5:Q1642)</f>
        <v>0.59454860429572332</v>
      </c>
      <c r="S1642" s="100" t="str">
        <f t="array" ref="S1642">IF(SamplingData[[#This Row],[up/U Selection Probability]] = 0, "Zero", TEXT(SamplingData[[#This Row],[Lower Range]], REPT("0",LEN('General Info'!$B$40))) &amp; " - " &amp; TEXT(SamplingData[[#This Row],[Upper Range]], REPT("0",LEN('General Info'!$B$40))))</f>
        <v>59447 - 59454</v>
      </c>
      <c r="T1642" s="100">
        <f>SamplingData[[#This Row],[Upper Range]]-SamplingData[[#This Row],[Span]]</f>
        <v>59447.106148493163</v>
      </c>
      <c r="U1642" s="100">
        <f>IF(ISNUMBER('General Info'!$B$40), ((SamplingData[[#This Row],[up/U Selection Probability]]) * 'General Info'!$B$40) - 1, 0)</f>
        <v>6.754281079170438</v>
      </c>
      <c r="V1642" s="100">
        <f>IF(ISNUMBER('General Info'!$B$40), (SamplingData[[#This Row],[Running (cumulative) sum]] * ('General Info'!$B$40 -'General Info'!$B$41 + 1)) + 'General Info'!$B$41 - 1, 0)</f>
        <v>59453.860429572334</v>
      </c>
      <c r="W1642" s="100" t="str">
        <f>IF(ISERROR(MATCH(SamplingData[[#This Row],[Batch by Type (p)]],SelectedPrecincts[Batch Name], 0)), "", INDEX(SelectedPrecincts[Draw], MATCH(SamplingData[[#This Row],[Batch by Type (p)]],SelectedPrecincts[Batch Name], 0)))</f>
        <v/>
      </c>
      <c r="X1642" s="102">
        <f>IF(COUNTIF(SelectedPrecincts[Batch Name],SamplingData[[#This Row],[Batch by Type (p)]]) &lt;&gt; 0, COUNTIF(SelectedPrecincts[Batch Name],SamplingData[[#This Row],[Batch by Type (p)]]), 0)</f>
        <v>0</v>
      </c>
    </row>
    <row r="1643" spans="1:24" ht="15" customHeight="1">
      <c r="A1643" s="18" t="s">
        <v>1819</v>
      </c>
      <c r="B1643" s="18">
        <v>30</v>
      </c>
      <c r="C1643" s="18">
        <v>26</v>
      </c>
      <c r="D1643" s="16">
        <v>7</v>
      </c>
      <c r="E1643" s="16">
        <v>6</v>
      </c>
      <c r="F1643" s="37">
        <v>0</v>
      </c>
      <c r="G1643" s="37">
        <v>0</v>
      </c>
      <c r="H1643" s="17">
        <v>0</v>
      </c>
      <c r="I1643" s="17">
        <v>0</v>
      </c>
      <c r="J1643" s="99">
        <f>SUM(SamplingData[[#This Row],[Losing Candidate]:[Under Votes]])</f>
        <v>69</v>
      </c>
      <c r="K1643"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1643" s="100">
        <f>IF(AND(SamplingData[[#This Row],[Total]]&lt;&gt; 0, NOT(ISBLANK(SamplingData[[#This Row],[Candidate 3]]))),(SamplingData[[#This Row],[Total]]+SamplingData[[#This Row],[Winning Candidate]]-SamplingData[[#This Row],[Candidate 3]])/(SamplingData[[#Totals],[Winning Candidate]]-SamplingData[[#Totals],[Candidate 3]]), 0)</f>
        <v>2.8389844178468883E-3</v>
      </c>
      <c r="M1643" s="100">
        <f>IF(AND(SamplingData[[#This Row],[Total]]&lt;&gt; 0, NOT(ISBLANK(SamplingData[[#This Row],[Candidate 4]]))),(SamplingData[[#This Row],[Total]]+SamplingData[[#This Row],[Winning Candidate]]-SamplingData[[#This Row],[Candidate 4]])/(SamplingData[[#Totals],[Winning Candidate]]-SamplingData[[#Totals],[Candidate 4]]), 0)</f>
        <v>2.6016545353561927E-3</v>
      </c>
      <c r="N1643" s="100">
        <f>IF(AND(SamplingData[[#This Row],[Total]]&lt;&gt; 0, NOT(ISBLANK(SamplingData[[#This Row],[Candidate 5]]))),(SamplingData[[#This Row],[Total]]+SamplingData[[#This Row],[Winning Candidate]]-SamplingData[[#This Row],[Candidate 5]])/(SamplingData[[#Totals],[Winning Candidate]]-SamplingData[[#Totals],[Candidate 5]]), 0)</f>
        <v>2.3108732668450497E-3</v>
      </c>
      <c r="O1643" s="100">
        <f>IF(AND(SamplingData[[#This Row],[Total]]&lt;&gt; 0, NOT(ISBLANK(SamplingData[[#This Row],[Candidate 6]]))),(SamplingData[[#This Row],[Total]]+SamplingData[[#This Row],[Winning Candidate]]-SamplingData[[#This Row],[Candidate 6]])/(SamplingData[[#Totals],[Winning Candidate]]-SamplingData[[#Totals],[Candidate 6]]), 0)</f>
        <v>2.3101989202859784E-3</v>
      </c>
      <c r="P1643" s="100">
        <f>MAX(SamplingData[[#This Row],[Error Bound (up) - Max. possible relative overstatement - Losing Candidate]:[Error Bound (up) - Max. possible relative overstatement - Candidate 6]])</f>
        <v>3.9808917197452229E-3</v>
      </c>
      <c r="Q1643" s="100">
        <f>IF(SamplingData[[#This Row],[Max Error Bound (up)]] = 0,0,SamplingData[[#This Row],[Max Error Bound (up)]]/SamplingData[[#Totals],[Max Error Bound (up)]])</f>
        <v>6.3004163809897906E-4</v>
      </c>
      <c r="R1643" s="101">
        <f>SUM($Q$5:Q1643)</f>
        <v>0.5951786459338223</v>
      </c>
      <c r="S1643" s="100" t="str">
        <f t="array" ref="S1643">IF(SamplingData[[#This Row],[up/U Selection Probability]] = 0, "Zero", TEXT(SamplingData[[#This Row],[Lower Range]], REPT("0",LEN('General Info'!$B$40))) &amp; " - " &amp; TEXT(SamplingData[[#This Row],[Upper Range]], REPT("0",LEN('General Info'!$B$40))))</f>
        <v>59455 - 59517</v>
      </c>
      <c r="T1643" s="100">
        <f>SamplingData[[#This Row],[Upper Range]]-SamplingData[[#This Row],[Span]]</f>
        <v>59454.861059613977</v>
      </c>
      <c r="U1643" s="100">
        <f>IF(ISNUMBER('General Info'!$B$40), ((SamplingData[[#This Row],[up/U Selection Probability]]) * 'General Info'!$B$40) - 1, 0)</f>
        <v>62.003533768259807</v>
      </c>
      <c r="V1643" s="100">
        <f>IF(ISNUMBER('General Info'!$B$40), (SamplingData[[#This Row],[Running (cumulative) sum]] * ('General Info'!$B$40 -'General Info'!$B$41 + 1)) + 'General Info'!$B$41 - 1, 0)</f>
        <v>59516.864593382234</v>
      </c>
      <c r="W1643" s="100" t="str">
        <f>IF(ISERROR(MATCH(SamplingData[[#This Row],[Batch by Type (p)]],SelectedPrecincts[Batch Name], 0)), "", INDEX(SelectedPrecincts[Draw], MATCH(SamplingData[[#This Row],[Batch by Type (p)]],SelectedPrecincts[Batch Name], 0)))</f>
        <v/>
      </c>
      <c r="X1643" s="102">
        <f>IF(COUNTIF(SelectedPrecincts[Batch Name],SamplingData[[#This Row],[Batch by Type (p)]]) &lt;&gt; 0, COUNTIF(SelectedPrecincts[Batch Name],SamplingData[[#This Row],[Batch by Type (p)]]), 0)</f>
        <v>0</v>
      </c>
    </row>
    <row r="1644" spans="1:24" ht="15" customHeight="1">
      <c r="A1644" s="18" t="s">
        <v>1820</v>
      </c>
      <c r="B1644" s="18">
        <v>12</v>
      </c>
      <c r="C1644" s="18">
        <v>5</v>
      </c>
      <c r="D1644" s="18">
        <v>1</v>
      </c>
      <c r="E1644" s="18">
        <v>2</v>
      </c>
      <c r="F1644" s="18">
        <v>0</v>
      </c>
      <c r="G1644" s="18">
        <v>0</v>
      </c>
      <c r="H1644" s="18">
        <v>1</v>
      </c>
      <c r="I1644" s="18">
        <v>0</v>
      </c>
      <c r="J1644" s="99">
        <f>SUM(SamplingData[[#This Row],[Losing Candidate]:[Under Votes]])</f>
        <v>21</v>
      </c>
      <c r="K1644"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644" s="100">
        <f>IF(AND(SamplingData[[#This Row],[Total]]&lt;&gt; 0, NOT(ISBLANK(SamplingData[[#This Row],[Candidate 3]]))),(SamplingData[[#This Row],[Total]]+SamplingData[[#This Row],[Winning Candidate]]-SamplingData[[#This Row],[Candidate 3]])/(SamplingData[[#Totals],[Winning Candidate]]-SamplingData[[#Totals],[Candidate 3]]), 0)</f>
        <v>8.0652966416104783E-4</v>
      </c>
      <c r="M1644" s="100">
        <f>IF(AND(SamplingData[[#This Row],[Total]]&lt;&gt; 0, NOT(ISBLANK(SamplingData[[#This Row],[Candidate 4]]))),(SamplingData[[#This Row],[Total]]+SamplingData[[#This Row],[Winning Candidate]]-SamplingData[[#This Row],[Candidate 4]])/(SamplingData[[#Totals],[Winning Candidate]]-SamplingData[[#Totals],[Candidate 4]]), 0)</f>
        <v>7.0156976234324298E-4</v>
      </c>
      <c r="N1644" s="100">
        <f>IF(AND(SamplingData[[#This Row],[Total]]&lt;&gt; 0, NOT(ISBLANK(SamplingData[[#This Row],[Candidate 5]]))),(SamplingData[[#This Row],[Total]]+SamplingData[[#This Row],[Winning Candidate]]-SamplingData[[#This Row],[Candidate 5]])/(SamplingData[[#Totals],[Winning Candidate]]-SamplingData[[#Totals],[Candidate 5]]), 0)</f>
        <v>6.3244952566285579E-4</v>
      </c>
      <c r="O1644" s="100">
        <f>IF(AND(SamplingData[[#This Row],[Total]]&lt;&gt; 0, NOT(ISBLANK(SamplingData[[#This Row],[Candidate 6]]))),(SamplingData[[#This Row],[Total]]+SamplingData[[#This Row],[Winning Candidate]]-SamplingData[[#This Row],[Candidate 6]])/(SamplingData[[#Totals],[Winning Candidate]]-SamplingData[[#Totals],[Candidate 6]]), 0)</f>
        <v>6.322649676572151E-4</v>
      </c>
      <c r="P1644" s="100">
        <f>MAX(SamplingData[[#This Row],[Error Bound (up) - Max. possible relative overstatement - Losing Candidate]:[Error Bound (up) - Max. possible relative overstatement - Candidate 6]])</f>
        <v>8.5742283194512492E-4</v>
      </c>
      <c r="Q1644" s="100">
        <f>IF(SamplingData[[#This Row],[Max Error Bound (up)]] = 0,0,SamplingData[[#This Row],[Max Error Bound (up)]]/SamplingData[[#Totals],[Max Error Bound (up)]])</f>
        <v>1.3570127589824165E-4</v>
      </c>
      <c r="R1644" s="101">
        <f>SUM($Q$5:Q1644)</f>
        <v>0.59531434720972054</v>
      </c>
      <c r="S1644" s="100" t="str">
        <f t="array" ref="S1644">IF(SamplingData[[#This Row],[up/U Selection Probability]] = 0, "Zero", TEXT(SamplingData[[#This Row],[Lower Range]], REPT("0",LEN('General Info'!$B$40))) &amp; " - " &amp; TEXT(SamplingData[[#This Row],[Upper Range]], REPT("0",LEN('General Info'!$B$40))))</f>
        <v>59518 - 59530</v>
      </c>
      <c r="T1644" s="100">
        <f>SamplingData[[#This Row],[Upper Range]]-SamplingData[[#This Row],[Span]]</f>
        <v>59517.8647290835</v>
      </c>
      <c r="U1644" s="100">
        <f>IF(ISNUMBER('General Info'!$B$40), ((SamplingData[[#This Row],[up/U Selection Probability]]) * 'General Info'!$B$40) - 1, 0)</f>
        <v>12.569991888548268</v>
      </c>
      <c r="V1644" s="100">
        <f>IF(ISNUMBER('General Info'!$B$40), (SamplingData[[#This Row],[Running (cumulative) sum]] * ('General Info'!$B$40 -'General Info'!$B$41 + 1)) + 'General Info'!$B$41 - 1, 0)</f>
        <v>59530.434720972051</v>
      </c>
      <c r="W1644" s="100" t="str">
        <f>IF(ISERROR(MATCH(SamplingData[[#This Row],[Batch by Type (p)]],SelectedPrecincts[Batch Name], 0)), "", INDEX(SelectedPrecincts[Draw], MATCH(SamplingData[[#This Row],[Batch by Type (p)]],SelectedPrecincts[Batch Name], 0)))</f>
        <v/>
      </c>
      <c r="X1644" s="102">
        <f>IF(COUNTIF(SelectedPrecincts[Batch Name],SamplingData[[#This Row],[Batch by Type (p)]]) &lt;&gt; 0, COUNTIF(SelectedPrecincts[Batch Name],SamplingData[[#This Row],[Batch by Type (p)]]), 0)</f>
        <v>0</v>
      </c>
    </row>
    <row r="1645" spans="1:24" ht="15" customHeight="1">
      <c r="A1645" s="18" t="s">
        <v>1821</v>
      </c>
      <c r="B1645" s="18">
        <v>15</v>
      </c>
      <c r="C1645" s="18">
        <v>18</v>
      </c>
      <c r="D1645" s="16">
        <v>3</v>
      </c>
      <c r="E1645" s="16">
        <v>8</v>
      </c>
      <c r="F1645" s="37">
        <v>0</v>
      </c>
      <c r="G1645" s="37">
        <v>0</v>
      </c>
      <c r="H1645" s="17">
        <v>0</v>
      </c>
      <c r="I1645" s="17">
        <v>2</v>
      </c>
      <c r="J1645" s="99">
        <f>SUM(SamplingData[[#This Row],[Losing Candidate]:[Under Votes]])</f>
        <v>46</v>
      </c>
      <c r="K1645"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1645" s="100">
        <f>IF(AND(SamplingData[[#This Row],[Total]]&lt;&gt; 0, NOT(ISBLANK(SamplingData[[#This Row],[Candidate 3]]))),(SamplingData[[#This Row],[Total]]+SamplingData[[#This Row],[Winning Candidate]]-SamplingData[[#This Row],[Candidate 3]])/(SamplingData[[#Totals],[Winning Candidate]]-SamplingData[[#Totals],[Candidate 3]]), 0)</f>
        <v>1.9679323805529567E-3</v>
      </c>
      <c r="M1645" s="100">
        <f>IF(AND(SamplingData[[#This Row],[Total]]&lt;&gt; 0, NOT(ISBLANK(SamplingData[[#This Row],[Candidate 4]]))),(SamplingData[[#This Row],[Total]]+SamplingData[[#This Row],[Winning Candidate]]-SamplingData[[#This Row],[Candidate 4]])/(SamplingData[[#Totals],[Winning Candidate]]-SamplingData[[#Totals],[Candidate 4]]), 0)</f>
        <v>1.6369961121342337E-3</v>
      </c>
      <c r="N1645" s="100">
        <f>IF(AND(SamplingData[[#This Row],[Total]]&lt;&gt; 0, NOT(ISBLANK(SamplingData[[#This Row],[Candidate 5]]))),(SamplingData[[#This Row],[Total]]+SamplingData[[#This Row],[Winning Candidate]]-SamplingData[[#This Row],[Candidate 5]])/(SamplingData[[#Totals],[Winning Candidate]]-SamplingData[[#Totals],[Candidate 5]]), 0)</f>
        <v>1.5567988324008757E-3</v>
      </c>
      <c r="O1645" s="100">
        <f>IF(AND(SamplingData[[#This Row],[Total]]&lt;&gt; 0, NOT(ISBLANK(SamplingData[[#This Row],[Candidate 6]]))),(SamplingData[[#This Row],[Total]]+SamplingData[[#This Row],[Winning Candidate]]-SamplingData[[#This Row],[Candidate 6]])/(SamplingData[[#Totals],[Winning Candidate]]-SamplingData[[#Totals],[Candidate 6]]), 0)</f>
        <v>1.5563445357716064E-3</v>
      </c>
      <c r="P1645" s="100">
        <f>MAX(SamplingData[[#This Row],[Error Bound (up) - Max. possible relative overstatement - Losing Candidate]:[Error Bound (up) - Max. possible relative overstatement - Candidate 6]])</f>
        <v>3.0009799118079373E-3</v>
      </c>
      <c r="Q1645" s="100">
        <f>IF(SamplingData[[#This Row],[Max Error Bound (up)]] = 0,0,SamplingData[[#This Row],[Max Error Bound (up)]]/SamplingData[[#Totals],[Max Error Bound (up)]])</f>
        <v>4.7495446564384573E-4</v>
      </c>
      <c r="R1645" s="101">
        <f>SUM($Q$5:Q1645)</f>
        <v>0.59578930167536437</v>
      </c>
      <c r="S1645" s="100" t="str">
        <f t="array" ref="S1645">IF(SamplingData[[#This Row],[up/U Selection Probability]] = 0, "Zero", TEXT(SamplingData[[#This Row],[Lower Range]], REPT("0",LEN('General Info'!$B$40))) &amp; " - " &amp; TEXT(SamplingData[[#This Row],[Upper Range]], REPT("0",LEN('General Info'!$B$40))))</f>
        <v>59531 - 59578</v>
      </c>
      <c r="T1645" s="100">
        <f>SamplingData[[#This Row],[Upper Range]]-SamplingData[[#This Row],[Span]]</f>
        <v>59531.435195926519</v>
      </c>
      <c r="U1645" s="100">
        <f>IF(ISNUMBER('General Info'!$B$40), ((SamplingData[[#This Row],[up/U Selection Probability]]) * 'General Info'!$B$40) - 1, 0)</f>
        <v>46.494971609918927</v>
      </c>
      <c r="V1645" s="100">
        <f>IF(ISNUMBER('General Info'!$B$40), (SamplingData[[#This Row],[Running (cumulative) sum]] * ('General Info'!$B$40 -'General Info'!$B$41 + 1)) + 'General Info'!$B$41 - 1, 0)</f>
        <v>59577.93016753644</v>
      </c>
      <c r="W1645" s="100" t="str">
        <f>IF(ISERROR(MATCH(SamplingData[[#This Row],[Batch by Type (p)]],SelectedPrecincts[Batch Name], 0)), "", INDEX(SelectedPrecincts[Draw], MATCH(SamplingData[[#This Row],[Batch by Type (p)]],SelectedPrecincts[Batch Name], 0)))</f>
        <v/>
      </c>
      <c r="X1645" s="102">
        <f>IF(COUNTIF(SelectedPrecincts[Batch Name],SamplingData[[#This Row],[Batch by Type (p)]]) &lt;&gt; 0, COUNTIF(SelectedPrecincts[Batch Name],SamplingData[[#This Row],[Batch by Type (p)]]), 0)</f>
        <v>0</v>
      </c>
    </row>
    <row r="1646" spans="1:24" ht="15" customHeight="1">
      <c r="A1646" s="18" t="s">
        <v>1822</v>
      </c>
      <c r="B1646" s="18">
        <v>11</v>
      </c>
      <c r="C1646" s="18">
        <v>1</v>
      </c>
      <c r="D1646" s="18">
        <v>2</v>
      </c>
      <c r="E1646" s="18">
        <v>0</v>
      </c>
      <c r="F1646" s="18">
        <v>0</v>
      </c>
      <c r="G1646" s="18">
        <v>0</v>
      </c>
      <c r="H1646" s="18">
        <v>0</v>
      </c>
      <c r="I1646" s="18">
        <v>0</v>
      </c>
      <c r="J1646" s="99">
        <f>SUM(SamplingData[[#This Row],[Losing Candidate]:[Under Votes]])</f>
        <v>14</v>
      </c>
      <c r="K1646"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646" s="100">
        <f>IF(AND(SamplingData[[#This Row],[Total]]&lt;&gt; 0, NOT(ISBLANK(SamplingData[[#This Row],[Candidate 3]]))),(SamplingData[[#This Row],[Total]]+SamplingData[[#This Row],[Winning Candidate]]-SamplingData[[#This Row],[Candidate 3]])/(SamplingData[[#Totals],[Winning Candidate]]-SamplingData[[#Totals],[Candidate 3]]), 0)</f>
        <v>4.1939542536374486E-4</v>
      </c>
      <c r="M1646" s="100">
        <f>IF(AND(SamplingData[[#This Row],[Total]]&lt;&gt; 0, NOT(ISBLANK(SamplingData[[#This Row],[Candidate 4]]))),(SamplingData[[#This Row],[Total]]+SamplingData[[#This Row],[Winning Candidate]]-SamplingData[[#This Row],[Candidate 4]])/(SamplingData[[#Totals],[Winning Candidate]]-SamplingData[[#Totals],[Candidate 4]]), 0)</f>
        <v>4.3848110146452689E-4</v>
      </c>
      <c r="N1646" s="100">
        <f>IF(AND(SamplingData[[#This Row],[Total]]&lt;&gt; 0, NOT(ISBLANK(SamplingData[[#This Row],[Candidate 5]]))),(SamplingData[[#This Row],[Total]]+SamplingData[[#This Row],[Winning Candidate]]-SamplingData[[#This Row],[Candidate 5]])/(SamplingData[[#Totals],[Winning Candidate]]-SamplingData[[#Totals],[Candidate 5]]), 0)</f>
        <v>3.6487472634395525E-4</v>
      </c>
      <c r="O1646" s="100">
        <f>IF(AND(SamplingData[[#This Row],[Total]]&lt;&gt; 0, NOT(ISBLANK(SamplingData[[#This Row],[Candidate 6]]))),(SamplingData[[#This Row],[Total]]+SamplingData[[#This Row],[Winning Candidate]]-SamplingData[[#This Row],[Candidate 6]])/(SamplingData[[#Totals],[Winning Candidate]]-SamplingData[[#Totals],[Candidate 6]]), 0)</f>
        <v>3.6476825057147027E-4</v>
      </c>
      <c r="P1646" s="100">
        <f>MAX(SamplingData[[#This Row],[Error Bound (up) - Max. possible relative overstatement - Losing Candidate]:[Error Bound (up) - Max. possible relative overstatement - Candidate 6]])</f>
        <v>4.3848110146452689E-4</v>
      </c>
      <c r="Q1646" s="100">
        <f>IF(SamplingData[[#This Row],[Max Error Bound (up)]] = 0,0,SamplingData[[#This Row],[Max Error Bound (up)]]/SamplingData[[#Totals],[Max Error Bound (up)]])</f>
        <v>6.9396851482269375E-5</v>
      </c>
      <c r="R1646" s="101">
        <f>SUM($Q$5:Q1646)</f>
        <v>0.59585869852684659</v>
      </c>
      <c r="S1646" s="100" t="str">
        <f t="array" ref="S1646">IF(SamplingData[[#This Row],[up/U Selection Probability]] = 0, "Zero", TEXT(SamplingData[[#This Row],[Lower Range]], REPT("0",LEN('General Info'!$B$40))) &amp; " - " &amp; TEXT(SamplingData[[#This Row],[Upper Range]], REPT("0",LEN('General Info'!$B$40))))</f>
        <v>59579 - 59585</v>
      </c>
      <c r="T1646" s="100">
        <f>SamplingData[[#This Row],[Upper Range]]-SamplingData[[#This Row],[Span]]</f>
        <v>59578.93023693328</v>
      </c>
      <c r="U1646" s="100">
        <f>IF(ISNUMBER('General Info'!$B$40), ((SamplingData[[#This Row],[up/U Selection Probability]]) * 'General Info'!$B$40) - 1, 0)</f>
        <v>5.9396157513754551</v>
      </c>
      <c r="V1646" s="100">
        <f>IF(ISNUMBER('General Info'!$B$40), (SamplingData[[#This Row],[Running (cumulative) sum]] * ('General Info'!$B$40 -'General Info'!$B$41 + 1)) + 'General Info'!$B$41 - 1, 0)</f>
        <v>59584.869852684657</v>
      </c>
      <c r="W1646" s="100" t="str">
        <f>IF(ISERROR(MATCH(SamplingData[[#This Row],[Batch by Type (p)]],SelectedPrecincts[Batch Name], 0)), "", INDEX(SelectedPrecincts[Draw], MATCH(SamplingData[[#This Row],[Batch by Type (p)]],SelectedPrecincts[Batch Name], 0)))</f>
        <v/>
      </c>
      <c r="X1646" s="102">
        <f>IF(COUNTIF(SelectedPrecincts[Batch Name],SamplingData[[#This Row],[Batch by Type (p)]]) &lt;&gt; 0, COUNTIF(SelectedPrecincts[Batch Name],SamplingData[[#This Row],[Batch by Type (p)]]), 0)</f>
        <v>0</v>
      </c>
    </row>
    <row r="1647" spans="1:24" ht="15" customHeight="1">
      <c r="A1647" s="18" t="s">
        <v>1823</v>
      </c>
      <c r="B1647" s="18">
        <v>34</v>
      </c>
      <c r="C1647" s="18">
        <v>47</v>
      </c>
      <c r="D1647" s="16">
        <v>17</v>
      </c>
      <c r="E1647" s="16">
        <v>13</v>
      </c>
      <c r="F1647" s="37">
        <v>2</v>
      </c>
      <c r="G1647" s="37">
        <v>0</v>
      </c>
      <c r="H1647" s="17">
        <v>0</v>
      </c>
      <c r="I1647" s="17">
        <v>2</v>
      </c>
      <c r="J1647" s="99">
        <f>SUM(SamplingData[[#This Row],[Losing Candidate]:[Under Votes]])</f>
        <v>115</v>
      </c>
      <c r="K1647" s="100">
        <f>IF(AND(SamplingData[[#This Row],[Total]]&lt;&gt; 0, NOT(ISBLANK(SamplingData[[#This Row],[Losing Candidate]]))),(SamplingData[[#This Row],[Total]]+SamplingData[[#This Row],[Winning Candidate]]-SamplingData[[#This Row],[Losing Candidate]])/(SamplingData[[#Totals],[Winning Candidate]]-SamplingData[[#Totals],[Losing Candidate]]), 0)</f>
        <v>7.839294463498285E-3</v>
      </c>
      <c r="L1647" s="100">
        <f>IF(AND(SamplingData[[#This Row],[Total]]&lt;&gt; 0, NOT(ISBLANK(SamplingData[[#This Row],[Candidate 3]]))),(SamplingData[[#This Row],[Total]]+SamplingData[[#This Row],[Winning Candidate]]-SamplingData[[#This Row],[Candidate 3]])/(SamplingData[[#Totals],[Winning Candidate]]-SamplingData[[#Totals],[Candidate 3]]), 0)</f>
        <v>4.6778720521340779E-3</v>
      </c>
      <c r="M1647" s="100">
        <f>IF(AND(SamplingData[[#This Row],[Total]]&lt;&gt; 0, NOT(ISBLANK(SamplingData[[#This Row],[Candidate 4]]))),(SamplingData[[#This Row],[Total]]+SamplingData[[#This Row],[Winning Candidate]]-SamplingData[[#This Row],[Candidate 4]])/(SamplingData[[#Totals],[Winning Candidate]]-SamplingData[[#Totals],[Candidate 4]]), 0)</f>
        <v>4.3555789412143006E-3</v>
      </c>
      <c r="N1647" s="100">
        <f>IF(AND(SamplingData[[#This Row],[Total]]&lt;&gt; 0, NOT(ISBLANK(SamplingData[[#This Row],[Candidate 5]]))),(SamplingData[[#This Row],[Total]]+SamplingData[[#This Row],[Winning Candidate]]-SamplingData[[#This Row],[Candidate 5]])/(SamplingData[[#Totals],[Winning Candidate]]-SamplingData[[#Totals],[Candidate 5]]), 0)</f>
        <v>3.8919970810021892E-3</v>
      </c>
      <c r="O1647" s="100">
        <f>IF(AND(SamplingData[[#This Row],[Total]]&lt;&gt; 0, NOT(ISBLANK(SamplingData[[#This Row],[Candidate 6]]))),(SamplingData[[#This Row],[Total]]+SamplingData[[#This Row],[Winning Candidate]]-SamplingData[[#This Row],[Candidate 6]])/(SamplingData[[#Totals],[Winning Candidate]]-SamplingData[[#Totals],[Candidate 6]]), 0)</f>
        <v>3.9394971061718787E-3</v>
      </c>
      <c r="P1647" s="100">
        <f>MAX(SamplingData[[#This Row],[Error Bound (up) - Max. possible relative overstatement - Losing Candidate]:[Error Bound (up) - Max. possible relative overstatement - Candidate 6]])</f>
        <v>7.839294463498285E-3</v>
      </c>
      <c r="Q1647" s="100">
        <f>IF(SamplingData[[#This Row],[Max Error Bound (up)]] = 0,0,SamplingData[[#This Row],[Max Error Bound (up)]]/SamplingData[[#Totals],[Max Error Bound (up)]])</f>
        <v>1.2406973796410664E-3</v>
      </c>
      <c r="R1647" s="101">
        <f>SUM($Q$5:Q1647)</f>
        <v>0.59709939590648764</v>
      </c>
      <c r="S1647" s="100" t="str">
        <f t="array" ref="S1647">IF(SamplingData[[#This Row],[up/U Selection Probability]] = 0, "Zero", TEXT(SamplingData[[#This Row],[Lower Range]], REPT("0",LEN('General Info'!$B$40))) &amp; " - " &amp; TEXT(SamplingData[[#This Row],[Upper Range]], REPT("0",LEN('General Info'!$B$40))))</f>
        <v>59586 - 59709</v>
      </c>
      <c r="T1647" s="100">
        <f>SamplingData[[#This Row],[Upper Range]]-SamplingData[[#This Row],[Span]]</f>
        <v>59585.871093382033</v>
      </c>
      <c r="U1647" s="100">
        <f>IF(ISNUMBER('General Info'!$B$40), ((SamplingData[[#This Row],[up/U Selection Probability]]) * 'General Info'!$B$40) - 1, 0)</f>
        <v>123.06849726672701</v>
      </c>
      <c r="V1647" s="100">
        <f>IF(ISNUMBER('General Info'!$B$40), (SamplingData[[#This Row],[Running (cumulative) sum]] * ('General Info'!$B$40 -'General Info'!$B$41 + 1)) + 'General Info'!$B$41 - 1, 0)</f>
        <v>59708.939590648763</v>
      </c>
      <c r="W1647" s="100" t="str">
        <f>IF(ISERROR(MATCH(SamplingData[[#This Row],[Batch by Type (p)]],SelectedPrecincts[Batch Name], 0)), "", INDEX(SelectedPrecincts[Draw], MATCH(SamplingData[[#This Row],[Batch by Type (p)]],SelectedPrecincts[Batch Name], 0)))</f>
        <v/>
      </c>
      <c r="X1647" s="102">
        <f>IF(COUNTIF(SelectedPrecincts[Batch Name],SamplingData[[#This Row],[Batch by Type (p)]]) &lt;&gt; 0, COUNTIF(SelectedPrecincts[Batch Name],SamplingData[[#This Row],[Batch by Type (p)]]), 0)</f>
        <v>0</v>
      </c>
    </row>
    <row r="1648" spans="1:24" ht="15" customHeight="1">
      <c r="A1648" s="18" t="s">
        <v>1824</v>
      </c>
      <c r="B1648" s="18">
        <v>28</v>
      </c>
      <c r="C1648" s="18">
        <v>15</v>
      </c>
      <c r="D1648" s="18">
        <v>7</v>
      </c>
      <c r="E1648" s="18">
        <v>2</v>
      </c>
      <c r="F1648" s="18">
        <v>0</v>
      </c>
      <c r="G1648" s="18">
        <v>0</v>
      </c>
      <c r="H1648" s="18">
        <v>0</v>
      </c>
      <c r="I1648" s="18">
        <v>1</v>
      </c>
      <c r="J1648" s="99">
        <f>SUM(SamplingData[[#This Row],[Losing Candidate]:[Under Votes]])</f>
        <v>53</v>
      </c>
      <c r="K1648"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648" s="100">
        <f>IF(AND(SamplingData[[#This Row],[Total]]&lt;&gt; 0, NOT(ISBLANK(SamplingData[[#This Row],[Candidate 3]]))),(SamplingData[[#This Row],[Total]]+SamplingData[[#This Row],[Winning Candidate]]-SamplingData[[#This Row],[Candidate 3]])/(SamplingData[[#Totals],[Winning Candidate]]-SamplingData[[#Totals],[Candidate 3]]), 0)</f>
        <v>1.9679323805529567E-3</v>
      </c>
      <c r="M1648" s="100">
        <f>IF(AND(SamplingData[[#This Row],[Total]]&lt;&gt; 0, NOT(ISBLANK(SamplingData[[#This Row],[Candidate 4]]))),(SamplingData[[#This Row],[Total]]+SamplingData[[#This Row],[Winning Candidate]]-SamplingData[[#This Row],[Candidate 4]])/(SamplingData[[#Totals],[Winning Candidate]]-SamplingData[[#Totals],[Candidate 4]]), 0)</f>
        <v>1.9293168464439184E-3</v>
      </c>
      <c r="N1648" s="100">
        <f>IF(AND(SamplingData[[#This Row],[Total]]&lt;&gt; 0, NOT(ISBLANK(SamplingData[[#This Row],[Candidate 5]]))),(SamplingData[[#This Row],[Total]]+SamplingData[[#This Row],[Winning Candidate]]-SamplingData[[#This Row],[Candidate 5]])/(SamplingData[[#Totals],[Winning Candidate]]-SamplingData[[#Totals],[Candidate 5]]), 0)</f>
        <v>1.6540987594259305E-3</v>
      </c>
      <c r="O1648" s="100">
        <f>IF(AND(SamplingData[[#This Row],[Total]]&lt;&gt; 0, NOT(ISBLANK(SamplingData[[#This Row],[Candidate 6]]))),(SamplingData[[#This Row],[Total]]+SamplingData[[#This Row],[Winning Candidate]]-SamplingData[[#This Row],[Candidate 6]])/(SamplingData[[#Totals],[Winning Candidate]]-SamplingData[[#Totals],[Candidate 6]]), 0)</f>
        <v>1.6536160692573318E-3</v>
      </c>
      <c r="P1648" s="100">
        <f>MAX(SamplingData[[#This Row],[Error Bound (up) - Max. possible relative overstatement - Losing Candidate]:[Error Bound (up) - Max. possible relative overstatement - Candidate 6]])</f>
        <v>2.4497795198432141E-3</v>
      </c>
      <c r="Q1648" s="100">
        <f>IF(SamplingData[[#This Row],[Max Error Bound (up)]] = 0,0,SamplingData[[#This Row],[Max Error Bound (up)]]/SamplingData[[#Totals],[Max Error Bound (up)]])</f>
        <v>3.8771793113783328E-4</v>
      </c>
      <c r="R1648" s="101">
        <f>SUM($Q$5:Q1648)</f>
        <v>0.59748711383762543</v>
      </c>
      <c r="S1648" s="100" t="str">
        <f t="array" ref="S1648">IF(SamplingData[[#This Row],[up/U Selection Probability]] = 0, "Zero", TEXT(SamplingData[[#This Row],[Lower Range]], REPT("0",LEN('General Info'!$B$40))) &amp; " - " &amp; TEXT(SamplingData[[#This Row],[Upper Range]], REPT("0",LEN('General Info'!$B$40))))</f>
        <v>59710 - 59748</v>
      </c>
      <c r="T1648" s="100">
        <f>SamplingData[[#This Row],[Upper Range]]-SamplingData[[#This Row],[Span]]</f>
        <v>59709.939978366689</v>
      </c>
      <c r="U1648" s="100">
        <f>IF(ISNUMBER('General Info'!$B$40), ((SamplingData[[#This Row],[up/U Selection Probability]]) * 'General Info'!$B$40) - 1, 0)</f>
        <v>37.771405395852192</v>
      </c>
      <c r="V1648" s="100">
        <f>IF(ISNUMBER('General Info'!$B$40), (SamplingData[[#This Row],[Running (cumulative) sum]] * ('General Info'!$B$40 -'General Info'!$B$41 + 1)) + 'General Info'!$B$41 - 1, 0)</f>
        <v>59747.711383762544</v>
      </c>
      <c r="W1648" s="100" t="str">
        <f>IF(ISERROR(MATCH(SamplingData[[#This Row],[Batch by Type (p)]],SelectedPrecincts[Batch Name], 0)), "", INDEX(SelectedPrecincts[Draw], MATCH(SamplingData[[#This Row],[Batch by Type (p)]],SelectedPrecincts[Batch Name], 0)))</f>
        <v/>
      </c>
      <c r="X1648" s="102">
        <f>IF(COUNTIF(SelectedPrecincts[Batch Name],SamplingData[[#This Row],[Batch by Type (p)]]) &lt;&gt; 0, COUNTIF(SelectedPrecincts[Batch Name],SamplingData[[#This Row],[Batch by Type (p)]]), 0)</f>
        <v>0</v>
      </c>
    </row>
    <row r="1649" spans="1:24" ht="15" customHeight="1">
      <c r="A1649" s="18" t="s">
        <v>1825</v>
      </c>
      <c r="B1649" s="18">
        <v>32</v>
      </c>
      <c r="C1649" s="18">
        <v>23</v>
      </c>
      <c r="D1649" s="16">
        <v>8</v>
      </c>
      <c r="E1649" s="16">
        <v>7</v>
      </c>
      <c r="F1649" s="37">
        <v>0</v>
      </c>
      <c r="G1649" s="37">
        <v>1</v>
      </c>
      <c r="H1649" s="17">
        <v>0</v>
      </c>
      <c r="I1649" s="17">
        <v>1</v>
      </c>
      <c r="J1649" s="99">
        <f>SUM(SamplingData[[#This Row],[Losing Candidate]:[Under Votes]])</f>
        <v>72</v>
      </c>
      <c r="K1649" s="100">
        <f>IF(AND(SamplingData[[#This Row],[Total]]&lt;&gt; 0, NOT(ISBLANK(SamplingData[[#This Row],[Losing Candidate]]))),(SamplingData[[#This Row],[Total]]+SamplingData[[#This Row],[Winning Candidate]]-SamplingData[[#This Row],[Losing Candidate]])/(SamplingData[[#Totals],[Winning Candidate]]-SamplingData[[#Totals],[Losing Candidate]]), 0)</f>
        <v>3.8584027437530621E-3</v>
      </c>
      <c r="L1649" s="100">
        <f>IF(AND(SamplingData[[#This Row],[Total]]&lt;&gt; 0, NOT(ISBLANK(SamplingData[[#This Row],[Candidate 3]]))),(SamplingData[[#This Row],[Total]]+SamplingData[[#This Row],[Winning Candidate]]-SamplingData[[#This Row],[Candidate 3]])/(SamplingData[[#Totals],[Winning Candidate]]-SamplingData[[#Totals],[Candidate 3]]), 0)</f>
        <v>2.8067232312804463E-3</v>
      </c>
      <c r="M1649" s="100">
        <f>IF(AND(SamplingData[[#This Row],[Total]]&lt;&gt; 0, NOT(ISBLANK(SamplingData[[#This Row],[Candidate 4]]))),(SamplingData[[#This Row],[Total]]+SamplingData[[#This Row],[Winning Candidate]]-SamplingData[[#This Row],[Candidate 4]])/(SamplingData[[#Totals],[Winning Candidate]]-SamplingData[[#Totals],[Candidate 4]]), 0)</f>
        <v>2.5724224619252242E-3</v>
      </c>
      <c r="N1649" s="100">
        <f>IF(AND(SamplingData[[#This Row],[Total]]&lt;&gt; 0, NOT(ISBLANK(SamplingData[[#This Row],[Candidate 5]]))),(SamplingData[[#This Row],[Total]]+SamplingData[[#This Row],[Winning Candidate]]-SamplingData[[#This Row],[Candidate 5]])/(SamplingData[[#Totals],[Winning Candidate]]-SamplingData[[#Totals],[Candidate 5]]), 0)</f>
        <v>2.3108732668450497E-3</v>
      </c>
      <c r="O1649" s="100">
        <f>IF(AND(SamplingData[[#This Row],[Total]]&lt;&gt; 0, NOT(ISBLANK(SamplingData[[#This Row],[Candidate 6]]))),(SamplingData[[#This Row],[Total]]+SamplingData[[#This Row],[Winning Candidate]]-SamplingData[[#This Row],[Candidate 6]])/(SamplingData[[#Totals],[Winning Candidate]]-SamplingData[[#Totals],[Candidate 6]]), 0)</f>
        <v>2.285881036914547E-3</v>
      </c>
      <c r="P1649" s="100">
        <f>MAX(SamplingData[[#This Row],[Error Bound (up) - Max. possible relative overstatement - Losing Candidate]:[Error Bound (up) - Max. possible relative overstatement - Candidate 6]])</f>
        <v>3.8584027437530621E-3</v>
      </c>
      <c r="Q1649" s="100">
        <f>IF(SamplingData[[#This Row],[Max Error Bound (up)]] = 0,0,SamplingData[[#This Row],[Max Error Bound (up)]]/SamplingData[[#Totals],[Max Error Bound (up)]])</f>
        <v>6.1065574154208738E-4</v>
      </c>
      <c r="R1649" s="101">
        <f>SUM($Q$5:Q1649)</f>
        <v>0.59809776957916749</v>
      </c>
      <c r="S1649" s="100" t="str">
        <f t="array" ref="S1649">IF(SamplingData[[#This Row],[up/U Selection Probability]] = 0, "Zero", TEXT(SamplingData[[#This Row],[Lower Range]], REPT("0",LEN('General Info'!$B$40))) &amp; " - " &amp; TEXT(SamplingData[[#This Row],[Upper Range]], REPT("0",LEN('General Info'!$B$40))))</f>
        <v>59749 - 59809</v>
      </c>
      <c r="T1649" s="100">
        <f>SamplingData[[#This Row],[Upper Range]]-SamplingData[[#This Row],[Span]]</f>
        <v>59748.711994418285</v>
      </c>
      <c r="U1649" s="100">
        <f>IF(ISNUMBER('General Info'!$B$40), ((SamplingData[[#This Row],[up/U Selection Probability]]) * 'General Info'!$B$40) - 1, 0)</f>
        <v>60.064963498467193</v>
      </c>
      <c r="V1649" s="100">
        <f>IF(ISNUMBER('General Info'!$B$40), (SamplingData[[#This Row],[Running (cumulative) sum]] * ('General Info'!$B$40 -'General Info'!$B$41 + 1)) + 'General Info'!$B$41 - 1, 0)</f>
        <v>59808.776957916751</v>
      </c>
      <c r="W1649" s="100" t="str">
        <f>IF(ISERROR(MATCH(SamplingData[[#This Row],[Batch by Type (p)]],SelectedPrecincts[Batch Name], 0)), "", INDEX(SelectedPrecincts[Draw], MATCH(SamplingData[[#This Row],[Batch by Type (p)]],SelectedPrecincts[Batch Name], 0)))</f>
        <v/>
      </c>
      <c r="X1649" s="102">
        <f>IF(COUNTIF(SelectedPrecincts[Batch Name],SamplingData[[#This Row],[Batch by Type (p)]]) &lt;&gt; 0, COUNTIF(SelectedPrecincts[Batch Name],SamplingData[[#This Row],[Batch by Type (p)]]), 0)</f>
        <v>0</v>
      </c>
    </row>
    <row r="1650" spans="1:24" ht="15" customHeight="1">
      <c r="A1650" s="18" t="s">
        <v>1826</v>
      </c>
      <c r="B1650" s="18">
        <v>11</v>
      </c>
      <c r="C1650" s="18">
        <v>4</v>
      </c>
      <c r="D1650" s="18">
        <v>5</v>
      </c>
      <c r="E1650" s="18">
        <v>5</v>
      </c>
      <c r="F1650" s="18">
        <v>0</v>
      </c>
      <c r="G1650" s="18">
        <v>0</v>
      </c>
      <c r="H1650" s="18">
        <v>0</v>
      </c>
      <c r="I1650" s="18">
        <v>0</v>
      </c>
      <c r="J1650" s="99">
        <f>SUM(SamplingData[[#This Row],[Losing Candidate]:[Under Votes]])</f>
        <v>25</v>
      </c>
      <c r="K1650"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1650" s="100">
        <f>IF(AND(SamplingData[[#This Row],[Total]]&lt;&gt; 0, NOT(ISBLANK(SamplingData[[#This Row],[Candidate 3]]))),(SamplingData[[#This Row],[Total]]+SamplingData[[#This Row],[Winning Candidate]]-SamplingData[[#This Row],[Candidate 3]])/(SamplingData[[#Totals],[Winning Candidate]]-SamplingData[[#Totals],[Candidate 3]]), 0)</f>
        <v>7.7426847759460595E-4</v>
      </c>
      <c r="M1650" s="100">
        <f>IF(AND(SamplingData[[#This Row],[Total]]&lt;&gt; 0, NOT(ISBLANK(SamplingData[[#This Row],[Candidate 4]]))),(SamplingData[[#This Row],[Total]]+SamplingData[[#This Row],[Winning Candidate]]-SamplingData[[#This Row],[Candidate 4]])/(SamplingData[[#Totals],[Winning Candidate]]-SamplingData[[#Totals],[Candidate 4]]), 0)</f>
        <v>7.0156976234324298E-4</v>
      </c>
      <c r="N1650" s="100">
        <f>IF(AND(SamplingData[[#This Row],[Total]]&lt;&gt; 0, NOT(ISBLANK(SamplingData[[#This Row],[Candidate 5]]))),(SamplingData[[#This Row],[Total]]+SamplingData[[#This Row],[Winning Candidate]]-SamplingData[[#This Row],[Candidate 5]])/(SamplingData[[#Totals],[Winning Candidate]]-SamplingData[[#Totals],[Candidate 5]]), 0)</f>
        <v>7.0542447093164683E-4</v>
      </c>
      <c r="O1650" s="100">
        <f>IF(AND(SamplingData[[#This Row],[Total]]&lt;&gt; 0, NOT(ISBLANK(SamplingData[[#This Row],[Candidate 6]]))),(SamplingData[[#This Row],[Total]]+SamplingData[[#This Row],[Winning Candidate]]-SamplingData[[#This Row],[Candidate 6]])/(SamplingData[[#Totals],[Winning Candidate]]-SamplingData[[#Totals],[Candidate 6]]), 0)</f>
        <v>7.0521861777150916E-4</v>
      </c>
      <c r="P1650" s="100">
        <f>MAX(SamplingData[[#This Row],[Error Bound (up) - Max. possible relative overstatement - Losing Candidate]:[Error Bound (up) - Max. possible relative overstatement - Candidate 6]])</f>
        <v>1.1024007839294464E-3</v>
      </c>
      <c r="Q1650" s="100">
        <f>IF(SamplingData[[#This Row],[Max Error Bound (up)]] = 0,0,SamplingData[[#This Row],[Max Error Bound (up)]]/SamplingData[[#Totals],[Max Error Bound (up)]])</f>
        <v>1.7447306901202498E-4</v>
      </c>
      <c r="R1650" s="101">
        <f>SUM($Q$5:Q1650)</f>
        <v>0.59827224264817946</v>
      </c>
      <c r="S1650" s="100" t="str">
        <f t="array" ref="S1650">IF(SamplingData[[#This Row],[up/U Selection Probability]] = 0, "Zero", TEXT(SamplingData[[#This Row],[Lower Range]], REPT("0",LEN('General Info'!$B$40))) &amp; " - " &amp; TEXT(SamplingData[[#This Row],[Upper Range]], REPT("0",LEN('General Info'!$B$40))))</f>
        <v>59810 - 59826</v>
      </c>
      <c r="T1650" s="100">
        <f>SamplingData[[#This Row],[Upper Range]]-SamplingData[[#This Row],[Span]]</f>
        <v>59809.777132389812</v>
      </c>
      <c r="U1650" s="100">
        <f>IF(ISNUMBER('General Info'!$B$40), ((SamplingData[[#This Row],[up/U Selection Probability]]) * 'General Info'!$B$40) - 1, 0)</f>
        <v>16.447132428133486</v>
      </c>
      <c r="V1650" s="100">
        <f>IF(ISNUMBER('General Info'!$B$40), (SamplingData[[#This Row],[Running (cumulative) sum]] * ('General Info'!$B$40 -'General Info'!$B$41 + 1)) + 'General Info'!$B$41 - 1, 0)</f>
        <v>59826.224264817945</v>
      </c>
      <c r="W1650" s="100" t="str">
        <f>IF(ISERROR(MATCH(SamplingData[[#This Row],[Batch by Type (p)]],SelectedPrecincts[Batch Name], 0)), "", INDEX(SelectedPrecincts[Draw], MATCH(SamplingData[[#This Row],[Batch by Type (p)]],SelectedPrecincts[Batch Name], 0)))</f>
        <v/>
      </c>
      <c r="X1650" s="102">
        <f>IF(COUNTIF(SelectedPrecincts[Batch Name],SamplingData[[#This Row],[Batch by Type (p)]]) &lt;&gt; 0, COUNTIF(SelectedPrecincts[Batch Name],SamplingData[[#This Row],[Batch by Type (p)]]), 0)</f>
        <v>0</v>
      </c>
    </row>
    <row r="1651" spans="1:24" ht="15" customHeight="1">
      <c r="A1651" s="18" t="s">
        <v>1827</v>
      </c>
      <c r="B1651" s="18">
        <v>22</v>
      </c>
      <c r="C1651" s="18">
        <v>34</v>
      </c>
      <c r="D1651" s="16">
        <v>6</v>
      </c>
      <c r="E1651" s="16">
        <v>7</v>
      </c>
      <c r="F1651" s="37">
        <v>0</v>
      </c>
      <c r="G1651" s="37">
        <v>0</v>
      </c>
      <c r="H1651" s="17">
        <v>0</v>
      </c>
      <c r="I1651" s="17">
        <v>0</v>
      </c>
      <c r="J1651" s="99">
        <f>SUM(SamplingData[[#This Row],[Losing Candidate]:[Under Votes]])</f>
        <v>69</v>
      </c>
      <c r="K1651"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1651" s="100">
        <f>IF(AND(SamplingData[[#This Row],[Total]]&lt;&gt; 0, NOT(ISBLANK(SamplingData[[#This Row],[Candidate 3]]))),(SamplingData[[#This Row],[Total]]+SamplingData[[#This Row],[Winning Candidate]]-SamplingData[[#This Row],[Candidate 3]])/(SamplingData[[#Totals],[Winning Candidate]]-SamplingData[[#Totals],[Candidate 3]]), 0)</f>
        <v>3.1293350969448658E-3</v>
      </c>
      <c r="M1651" s="100">
        <f>IF(AND(SamplingData[[#This Row],[Total]]&lt;&gt; 0, NOT(ISBLANK(SamplingData[[#This Row],[Candidate 4]]))),(SamplingData[[#This Row],[Total]]+SamplingData[[#This Row],[Winning Candidate]]-SamplingData[[#This Row],[Candidate 4]])/(SamplingData[[#Totals],[Winning Candidate]]-SamplingData[[#Totals],[Candidate 4]]), 0)</f>
        <v>2.8062790493729719E-3</v>
      </c>
      <c r="N1651" s="100">
        <f>IF(AND(SamplingData[[#This Row],[Total]]&lt;&gt; 0, NOT(ISBLANK(SamplingData[[#This Row],[Candidate 5]]))),(SamplingData[[#This Row],[Total]]+SamplingData[[#This Row],[Winning Candidate]]-SamplingData[[#This Row],[Candidate 5]])/(SamplingData[[#Totals],[Winning Candidate]]-SamplingData[[#Totals],[Candidate 5]]), 0)</f>
        <v>2.5054731208951591E-3</v>
      </c>
      <c r="O1651" s="100">
        <f>IF(AND(SamplingData[[#This Row],[Total]]&lt;&gt; 0, NOT(ISBLANK(SamplingData[[#This Row],[Candidate 6]]))),(SamplingData[[#This Row],[Total]]+SamplingData[[#This Row],[Winning Candidate]]-SamplingData[[#This Row],[Candidate 6]])/(SamplingData[[#Totals],[Winning Candidate]]-SamplingData[[#Totals],[Candidate 6]]), 0)</f>
        <v>2.504741987257429E-3</v>
      </c>
      <c r="P1651" s="100">
        <f>MAX(SamplingData[[#This Row],[Error Bound (up) - Max. possible relative overstatement - Losing Candidate]:[Error Bound (up) - Max. possible relative overstatement - Candidate 6]])</f>
        <v>4.9608035276825085E-3</v>
      </c>
      <c r="Q1651" s="100">
        <f>IF(SamplingData[[#This Row],[Max Error Bound (up)]] = 0,0,SamplingData[[#This Row],[Max Error Bound (up)]]/SamplingData[[#Totals],[Max Error Bound (up)]])</f>
        <v>7.8512881055411239E-4</v>
      </c>
      <c r="R1651" s="101">
        <f>SUM($Q$5:Q1651)</f>
        <v>0.59905737145873361</v>
      </c>
      <c r="S1651" s="100" t="str">
        <f t="array" ref="S1651">IF(SamplingData[[#This Row],[up/U Selection Probability]] = 0, "Zero", TEXT(SamplingData[[#This Row],[Lower Range]], REPT("0",LEN('General Info'!$B$40))) &amp; " - " &amp; TEXT(SamplingData[[#This Row],[Upper Range]], REPT("0",LEN('General Info'!$B$40))))</f>
        <v>59827 - 59905</v>
      </c>
      <c r="T1651" s="100">
        <f>SamplingData[[#This Row],[Upper Range]]-SamplingData[[#This Row],[Span]]</f>
        <v>59827.225049946763</v>
      </c>
      <c r="U1651" s="100">
        <f>IF(ISNUMBER('General Info'!$B$40), ((SamplingData[[#This Row],[up/U Selection Probability]]) * 'General Info'!$B$40) - 1, 0)</f>
        <v>77.512095926600679</v>
      </c>
      <c r="V1651" s="100">
        <f>IF(ISNUMBER('General Info'!$B$40), (SamplingData[[#This Row],[Running (cumulative) sum]] * ('General Info'!$B$40 -'General Info'!$B$41 + 1)) + 'General Info'!$B$41 - 1, 0)</f>
        <v>59904.737145873361</v>
      </c>
      <c r="W1651" s="100" t="str">
        <f>IF(ISERROR(MATCH(SamplingData[[#This Row],[Batch by Type (p)]],SelectedPrecincts[Batch Name], 0)), "", INDEX(SelectedPrecincts[Draw], MATCH(SamplingData[[#This Row],[Batch by Type (p)]],SelectedPrecincts[Batch Name], 0)))</f>
        <v/>
      </c>
      <c r="X1651" s="102">
        <f>IF(COUNTIF(SelectedPrecincts[Batch Name],SamplingData[[#This Row],[Batch by Type (p)]]) &lt;&gt; 0, COUNTIF(SelectedPrecincts[Batch Name],SamplingData[[#This Row],[Batch by Type (p)]]), 0)</f>
        <v>0</v>
      </c>
    </row>
    <row r="1652" spans="1:24" ht="15" customHeight="1">
      <c r="A1652" s="18" t="s">
        <v>1828</v>
      </c>
      <c r="B1652" s="18">
        <v>19</v>
      </c>
      <c r="C1652" s="18">
        <v>7</v>
      </c>
      <c r="D1652" s="18">
        <v>1</v>
      </c>
      <c r="E1652" s="18">
        <v>1</v>
      </c>
      <c r="F1652" s="18">
        <v>0</v>
      </c>
      <c r="G1652" s="18">
        <v>0</v>
      </c>
      <c r="H1652" s="18">
        <v>0</v>
      </c>
      <c r="I1652" s="18">
        <v>0</v>
      </c>
      <c r="J1652" s="99">
        <f>SUM(SamplingData[[#This Row],[Losing Candidate]:[Under Votes]])</f>
        <v>28</v>
      </c>
      <c r="K1652"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652" s="100">
        <f>IF(AND(SamplingData[[#This Row],[Total]]&lt;&gt; 0, NOT(ISBLANK(SamplingData[[#This Row],[Candidate 3]]))),(SamplingData[[#This Row],[Total]]+SamplingData[[#This Row],[Winning Candidate]]-SamplingData[[#This Row],[Candidate 3]])/(SamplingData[[#Totals],[Winning Candidate]]-SamplingData[[#Totals],[Candidate 3]]), 0)</f>
        <v>1.0968803432590251E-3</v>
      </c>
      <c r="M1652" s="100">
        <f>IF(AND(SamplingData[[#This Row],[Total]]&lt;&gt; 0, NOT(ISBLANK(SamplingData[[#This Row],[Candidate 4]]))),(SamplingData[[#This Row],[Total]]+SamplingData[[#This Row],[Winning Candidate]]-SamplingData[[#This Row],[Candidate 4]])/(SamplingData[[#Totals],[Winning Candidate]]-SamplingData[[#Totals],[Candidate 4]]), 0)</f>
        <v>9.9389049665292765E-4</v>
      </c>
      <c r="N1652" s="100">
        <f>IF(AND(SamplingData[[#This Row],[Total]]&lt;&gt; 0, NOT(ISBLANK(SamplingData[[#This Row],[Candidate 5]]))),(SamplingData[[#This Row],[Total]]+SamplingData[[#This Row],[Winning Candidate]]-SamplingData[[#This Row],[Candidate 5]])/(SamplingData[[#Totals],[Winning Candidate]]-SamplingData[[#Totals],[Candidate 5]]), 0)</f>
        <v>8.5137436146922891E-4</v>
      </c>
      <c r="O1652" s="100">
        <f>IF(AND(SamplingData[[#This Row],[Total]]&lt;&gt; 0, NOT(ISBLANK(SamplingData[[#This Row],[Candidate 6]]))),(SamplingData[[#This Row],[Total]]+SamplingData[[#This Row],[Winning Candidate]]-SamplingData[[#This Row],[Candidate 6]])/(SamplingData[[#Totals],[Winning Candidate]]-SamplingData[[#Totals],[Candidate 6]]), 0)</f>
        <v>8.5112591800009726E-4</v>
      </c>
      <c r="P1652" s="100">
        <f>MAX(SamplingData[[#This Row],[Error Bound (up) - Max. possible relative overstatement - Losing Candidate]:[Error Bound (up) - Max. possible relative overstatement - Candidate 6]])</f>
        <v>1.0968803432590251E-3</v>
      </c>
      <c r="Q1652" s="100">
        <f>IF(SamplingData[[#This Row],[Max Error Bound (up)]] = 0,0,SamplingData[[#This Row],[Max Error Bound (up)]]/SamplingData[[#Totals],[Max Error Bound (up)]])</f>
        <v>1.7359936841229023E-4</v>
      </c>
      <c r="R1652" s="101">
        <f>SUM($Q$5:Q1652)</f>
        <v>0.59923097082714594</v>
      </c>
      <c r="S1652" s="100" t="str">
        <f t="array" ref="S1652">IF(SamplingData[[#This Row],[up/U Selection Probability]] = 0, "Zero", TEXT(SamplingData[[#This Row],[Lower Range]], REPT("0",LEN('General Info'!$B$40))) &amp; " - " &amp; TEXT(SamplingData[[#This Row],[Upper Range]], REPT("0",LEN('General Info'!$B$40))))</f>
        <v>59906 - 59922</v>
      </c>
      <c r="T1652" s="100">
        <f>SamplingData[[#This Row],[Upper Range]]-SamplingData[[#This Row],[Span]]</f>
        <v>59905.737319472733</v>
      </c>
      <c r="U1652" s="100">
        <f>IF(ISNUMBER('General Info'!$B$40), ((SamplingData[[#This Row],[up/U Selection Probability]]) * 'General Info'!$B$40) - 1, 0)</f>
        <v>16.359763241860612</v>
      </c>
      <c r="V1652" s="100">
        <f>IF(ISNUMBER('General Info'!$B$40), (SamplingData[[#This Row],[Running (cumulative) sum]] * ('General Info'!$B$40 -'General Info'!$B$41 + 1)) + 'General Info'!$B$41 - 1, 0)</f>
        <v>59922.097082714594</v>
      </c>
      <c r="W1652" s="100" t="str">
        <f>IF(ISERROR(MATCH(SamplingData[[#This Row],[Batch by Type (p)]],SelectedPrecincts[Batch Name], 0)), "", INDEX(SelectedPrecincts[Draw], MATCH(SamplingData[[#This Row],[Batch by Type (p)]],SelectedPrecincts[Batch Name], 0)))</f>
        <v/>
      </c>
      <c r="X1652" s="102">
        <f>IF(COUNTIF(SelectedPrecincts[Batch Name],SamplingData[[#This Row],[Batch by Type (p)]]) &lt;&gt; 0, COUNTIF(SelectedPrecincts[Batch Name],SamplingData[[#This Row],[Batch by Type (p)]]), 0)</f>
        <v>0</v>
      </c>
    </row>
    <row r="1653" spans="1:24" ht="15" customHeight="1">
      <c r="A1653" s="18" t="s">
        <v>1829</v>
      </c>
      <c r="B1653" s="18">
        <v>4</v>
      </c>
      <c r="C1653" s="18">
        <v>5</v>
      </c>
      <c r="D1653" s="16">
        <v>1</v>
      </c>
      <c r="E1653" s="16">
        <v>4</v>
      </c>
      <c r="F1653" s="37">
        <v>0</v>
      </c>
      <c r="G1653" s="37">
        <v>0</v>
      </c>
      <c r="H1653" s="17">
        <v>0</v>
      </c>
      <c r="I1653" s="17">
        <v>0</v>
      </c>
      <c r="J1653" s="99">
        <f>SUM(SamplingData[[#This Row],[Losing Candidate]:[Under Votes]])</f>
        <v>14</v>
      </c>
      <c r="K1653"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653" s="100">
        <f>IF(AND(SamplingData[[#This Row],[Total]]&lt;&gt; 0, NOT(ISBLANK(SamplingData[[#This Row],[Candidate 3]]))),(SamplingData[[#This Row],[Total]]+SamplingData[[#This Row],[Winning Candidate]]-SamplingData[[#This Row],[Candidate 3]])/(SamplingData[[#Totals],[Winning Candidate]]-SamplingData[[#Totals],[Candidate 3]]), 0)</f>
        <v>5.8070135819595443E-4</v>
      </c>
      <c r="M1653" s="100">
        <f>IF(AND(SamplingData[[#This Row],[Total]]&lt;&gt; 0, NOT(ISBLANK(SamplingData[[#This Row],[Candidate 4]]))),(SamplingData[[#This Row],[Total]]+SamplingData[[#This Row],[Winning Candidate]]-SamplingData[[#This Row],[Candidate 4]])/(SamplingData[[#Totals],[Winning Candidate]]-SamplingData[[#Totals],[Candidate 4]]), 0)</f>
        <v>4.3848110146452689E-4</v>
      </c>
      <c r="N1653" s="100">
        <f>IF(AND(SamplingData[[#This Row],[Total]]&lt;&gt; 0, NOT(ISBLANK(SamplingData[[#This Row],[Candidate 5]]))),(SamplingData[[#This Row],[Total]]+SamplingData[[#This Row],[Winning Candidate]]-SamplingData[[#This Row],[Candidate 5]])/(SamplingData[[#Totals],[Winning Candidate]]-SamplingData[[#Totals],[Candidate 5]]), 0)</f>
        <v>4.6217465336900997E-4</v>
      </c>
      <c r="O1653" s="100">
        <f>IF(AND(SamplingData[[#This Row],[Total]]&lt;&gt; 0, NOT(ISBLANK(SamplingData[[#This Row],[Candidate 6]]))),(SamplingData[[#This Row],[Total]]+SamplingData[[#This Row],[Winning Candidate]]-SamplingData[[#This Row],[Candidate 6]])/(SamplingData[[#Totals],[Winning Candidate]]-SamplingData[[#Totals],[Candidate 6]]), 0)</f>
        <v>4.6203978405719566E-4</v>
      </c>
      <c r="P1653" s="100">
        <f>MAX(SamplingData[[#This Row],[Error Bound (up) - Max. possible relative overstatement - Losing Candidate]:[Error Bound (up) - Max. possible relative overstatement - Candidate 6]])</f>
        <v>9.1866731994120533E-4</v>
      </c>
      <c r="Q1653" s="100">
        <f>IF(SamplingData[[#This Row],[Max Error Bound (up)]] = 0,0,SamplingData[[#This Row],[Max Error Bound (up)]]/SamplingData[[#Totals],[Max Error Bound (up)]])</f>
        <v>1.4539422417668749E-4</v>
      </c>
      <c r="R1653" s="101">
        <f>SUM($Q$5:Q1653)</f>
        <v>0.59937636505132263</v>
      </c>
      <c r="S1653" s="100" t="str">
        <f t="array" ref="S1653">IF(SamplingData[[#This Row],[up/U Selection Probability]] = 0, "Zero", TEXT(SamplingData[[#This Row],[Lower Range]], REPT("0",LEN('General Info'!$B$40))) &amp; " - " &amp; TEXT(SamplingData[[#This Row],[Upper Range]], REPT("0",LEN('General Info'!$B$40))))</f>
        <v>59923 - 59937</v>
      </c>
      <c r="T1653" s="100">
        <f>SamplingData[[#This Row],[Upper Range]]-SamplingData[[#This Row],[Span]]</f>
        <v>59923.097228108818</v>
      </c>
      <c r="U1653" s="100">
        <f>IF(ISNUMBER('General Info'!$B$40), ((SamplingData[[#This Row],[up/U Selection Probability]]) * 'General Info'!$B$40) - 1, 0)</f>
        <v>13.539277023444573</v>
      </c>
      <c r="V1653" s="100">
        <f>IF(ISNUMBER('General Info'!$B$40), (SamplingData[[#This Row],[Running (cumulative) sum]] * ('General Info'!$B$40 -'General Info'!$B$41 + 1)) + 'General Info'!$B$41 - 1, 0)</f>
        <v>59936.636505132265</v>
      </c>
      <c r="W1653" s="100" t="str">
        <f>IF(ISERROR(MATCH(SamplingData[[#This Row],[Batch by Type (p)]],SelectedPrecincts[Batch Name], 0)), "", INDEX(SelectedPrecincts[Draw], MATCH(SamplingData[[#This Row],[Batch by Type (p)]],SelectedPrecincts[Batch Name], 0)))</f>
        <v/>
      </c>
      <c r="X1653" s="102">
        <f>IF(COUNTIF(SelectedPrecincts[Batch Name],SamplingData[[#This Row],[Batch by Type (p)]]) &lt;&gt; 0, COUNTIF(SelectedPrecincts[Batch Name],SamplingData[[#This Row],[Batch by Type (p)]]), 0)</f>
        <v>0</v>
      </c>
    </row>
    <row r="1654" spans="1:24" ht="15" customHeight="1">
      <c r="A1654" s="18" t="s">
        <v>1830</v>
      </c>
      <c r="B1654" s="18">
        <v>1</v>
      </c>
      <c r="C1654" s="18">
        <v>2</v>
      </c>
      <c r="D1654" s="18">
        <v>0</v>
      </c>
      <c r="E1654" s="18">
        <v>0</v>
      </c>
      <c r="F1654" s="18">
        <v>1</v>
      </c>
      <c r="G1654" s="18">
        <v>0</v>
      </c>
      <c r="H1654" s="18">
        <v>0</v>
      </c>
      <c r="I1654" s="18">
        <v>0</v>
      </c>
      <c r="J1654" s="99">
        <f>SUM(SamplingData[[#This Row],[Losing Candidate]:[Under Votes]])</f>
        <v>4</v>
      </c>
      <c r="K1654"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1654" s="100">
        <f>IF(AND(SamplingData[[#This Row],[Total]]&lt;&gt; 0, NOT(ISBLANK(SamplingData[[#This Row],[Candidate 3]]))),(SamplingData[[#This Row],[Total]]+SamplingData[[#This Row],[Winning Candidate]]-SamplingData[[#This Row],[Candidate 3]])/(SamplingData[[#Totals],[Winning Candidate]]-SamplingData[[#Totals],[Candidate 3]]), 0)</f>
        <v>1.9356711939865149E-4</v>
      </c>
      <c r="M1654" s="100">
        <f>IF(AND(SamplingData[[#This Row],[Total]]&lt;&gt; 0, NOT(ISBLANK(SamplingData[[#This Row],[Candidate 4]]))),(SamplingData[[#This Row],[Total]]+SamplingData[[#This Row],[Winning Candidate]]-SamplingData[[#This Row],[Candidate 4]])/(SamplingData[[#Totals],[Winning Candidate]]-SamplingData[[#Totals],[Candidate 4]]), 0)</f>
        <v>1.7539244058581075E-4</v>
      </c>
      <c r="N1654" s="100">
        <f>IF(AND(SamplingData[[#This Row],[Total]]&lt;&gt; 0, NOT(ISBLANK(SamplingData[[#This Row],[Candidate 5]]))),(SamplingData[[#This Row],[Total]]+SamplingData[[#This Row],[Winning Candidate]]-SamplingData[[#This Row],[Candidate 5]])/(SamplingData[[#Totals],[Winning Candidate]]-SamplingData[[#Totals],[Candidate 5]]), 0)</f>
        <v>1.2162490878131841E-4</v>
      </c>
      <c r="O1654" s="100">
        <f>IF(AND(SamplingData[[#This Row],[Total]]&lt;&gt; 0, NOT(ISBLANK(SamplingData[[#This Row],[Candidate 6]]))),(SamplingData[[#This Row],[Total]]+SamplingData[[#This Row],[Winning Candidate]]-SamplingData[[#This Row],[Candidate 6]])/(SamplingData[[#Totals],[Winning Candidate]]-SamplingData[[#Totals],[Candidate 6]]), 0)</f>
        <v>1.4590730022858811E-4</v>
      </c>
      <c r="P1654" s="100">
        <f>MAX(SamplingData[[#This Row],[Error Bound (up) - Max. possible relative overstatement - Losing Candidate]:[Error Bound (up) - Max. possible relative overstatement - Candidate 6]])</f>
        <v>3.0622243998040176E-4</v>
      </c>
      <c r="Q1654" s="100">
        <f>IF(SamplingData[[#This Row],[Max Error Bound (up)]] = 0,0,SamplingData[[#This Row],[Max Error Bound (up)]]/SamplingData[[#Totals],[Max Error Bound (up)]])</f>
        <v>4.8464741392229159E-5</v>
      </c>
      <c r="R1654" s="101">
        <f>SUM($Q$5:Q1654)</f>
        <v>0.59942482979271483</v>
      </c>
      <c r="S1654" s="100" t="str">
        <f t="array" ref="S1654">IF(SamplingData[[#This Row],[up/U Selection Probability]] = 0, "Zero", TEXT(SamplingData[[#This Row],[Lower Range]], REPT("0",LEN('General Info'!$B$40))) &amp; " - " &amp; TEXT(SamplingData[[#This Row],[Upper Range]], REPT("0",LEN('General Info'!$B$40))))</f>
        <v>59938 - 59941</v>
      </c>
      <c r="T1654" s="100">
        <f>SamplingData[[#This Row],[Upper Range]]-SamplingData[[#This Row],[Span]]</f>
        <v>59937.636553596996</v>
      </c>
      <c r="U1654" s="100">
        <f>IF(ISNUMBER('General Info'!$B$40), ((SamplingData[[#This Row],[up/U Selection Probability]]) * 'General Info'!$B$40) - 1, 0)</f>
        <v>3.8464256744815239</v>
      </c>
      <c r="V1654" s="100">
        <f>IF(ISNUMBER('General Info'!$B$40), (SamplingData[[#This Row],[Running (cumulative) sum]] * ('General Info'!$B$40 -'General Info'!$B$41 + 1)) + 'General Info'!$B$41 - 1, 0)</f>
        <v>59941.482979271481</v>
      </c>
      <c r="W1654" s="100" t="str">
        <f>IF(ISERROR(MATCH(SamplingData[[#This Row],[Batch by Type (p)]],SelectedPrecincts[Batch Name], 0)), "", INDEX(SelectedPrecincts[Draw], MATCH(SamplingData[[#This Row],[Batch by Type (p)]],SelectedPrecincts[Batch Name], 0)))</f>
        <v/>
      </c>
      <c r="X1654" s="102">
        <f>IF(COUNTIF(SelectedPrecincts[Batch Name],SamplingData[[#This Row],[Batch by Type (p)]]) &lt;&gt; 0, COUNTIF(SelectedPrecincts[Batch Name],SamplingData[[#This Row],[Batch by Type (p)]]), 0)</f>
        <v>0</v>
      </c>
    </row>
    <row r="1655" spans="1:24" ht="15" customHeight="1">
      <c r="A1655" s="18" t="s">
        <v>1831</v>
      </c>
      <c r="B1655" s="18">
        <v>19</v>
      </c>
      <c r="C1655" s="18">
        <v>19</v>
      </c>
      <c r="D1655" s="16">
        <v>9</v>
      </c>
      <c r="E1655" s="16">
        <v>14</v>
      </c>
      <c r="F1655" s="37">
        <v>0</v>
      </c>
      <c r="G1655" s="37">
        <v>1</v>
      </c>
      <c r="H1655" s="17">
        <v>0</v>
      </c>
      <c r="I1655" s="17">
        <v>1</v>
      </c>
      <c r="J1655" s="99">
        <f>SUM(SamplingData[[#This Row],[Losing Candidate]:[Under Votes]])</f>
        <v>63</v>
      </c>
      <c r="K1655" s="100">
        <f>IF(AND(SamplingData[[#This Row],[Total]]&lt;&gt; 0, NOT(ISBLANK(SamplingData[[#This Row],[Losing Candidate]]))),(SamplingData[[#This Row],[Total]]+SamplingData[[#This Row],[Winning Candidate]]-SamplingData[[#This Row],[Losing Candidate]])/(SamplingData[[#Totals],[Winning Candidate]]-SamplingData[[#Totals],[Losing Candidate]]), 0)</f>
        <v>3.8584027437530621E-3</v>
      </c>
      <c r="L1655" s="100">
        <f>IF(AND(SamplingData[[#This Row],[Total]]&lt;&gt; 0, NOT(ISBLANK(SamplingData[[#This Row],[Candidate 3]]))),(SamplingData[[#This Row],[Total]]+SamplingData[[#This Row],[Winning Candidate]]-SamplingData[[#This Row],[Candidate 3]])/(SamplingData[[#Totals],[Winning Candidate]]-SamplingData[[#Totals],[Candidate 3]]), 0)</f>
        <v>2.3550666193502597E-3</v>
      </c>
      <c r="M1655" s="100">
        <f>IF(AND(SamplingData[[#This Row],[Total]]&lt;&gt; 0, NOT(ISBLANK(SamplingData[[#This Row],[Candidate 4]]))),(SamplingData[[#This Row],[Total]]+SamplingData[[#This Row],[Winning Candidate]]-SamplingData[[#This Row],[Candidate 4]])/(SamplingData[[#Totals],[Winning Candidate]]-SamplingData[[#Totals],[Candidate 4]]), 0)</f>
        <v>1.9877809933058553E-3</v>
      </c>
      <c r="N1655" s="100">
        <f>IF(AND(SamplingData[[#This Row],[Total]]&lt;&gt; 0, NOT(ISBLANK(SamplingData[[#This Row],[Candidate 5]]))),(SamplingData[[#This Row],[Total]]+SamplingData[[#This Row],[Winning Candidate]]-SamplingData[[#This Row],[Candidate 5]])/(SamplingData[[#Totals],[Winning Candidate]]-SamplingData[[#Totals],[Candidate 5]]), 0)</f>
        <v>1.994648504013622E-3</v>
      </c>
      <c r="O1655" s="100">
        <f>IF(AND(SamplingData[[#This Row],[Total]]&lt;&gt; 0, NOT(ISBLANK(SamplingData[[#This Row],[Candidate 6]]))),(SamplingData[[#This Row],[Total]]+SamplingData[[#This Row],[Winning Candidate]]-SamplingData[[#This Row],[Candidate 6]])/(SamplingData[[#Totals],[Winning Candidate]]-SamplingData[[#Totals],[Candidate 6]]), 0)</f>
        <v>1.9697485530859394E-3</v>
      </c>
      <c r="P1655" s="100">
        <f>MAX(SamplingData[[#This Row],[Error Bound (up) - Max. possible relative overstatement - Losing Candidate]:[Error Bound (up) - Max. possible relative overstatement - Candidate 6]])</f>
        <v>3.8584027437530621E-3</v>
      </c>
      <c r="Q1655" s="100">
        <f>IF(SamplingData[[#This Row],[Max Error Bound (up)]] = 0,0,SamplingData[[#This Row],[Max Error Bound (up)]]/SamplingData[[#Totals],[Max Error Bound (up)]])</f>
        <v>6.1065574154208738E-4</v>
      </c>
      <c r="R1655" s="101">
        <f>SUM($Q$5:Q1655)</f>
        <v>0.6000354855342569</v>
      </c>
      <c r="S1655" s="100" t="str">
        <f t="array" ref="S1655">IF(SamplingData[[#This Row],[up/U Selection Probability]] = 0, "Zero", TEXT(SamplingData[[#This Row],[Lower Range]], REPT("0",LEN('General Info'!$B$40))) &amp; " - " &amp; TEXT(SamplingData[[#This Row],[Upper Range]], REPT("0",LEN('General Info'!$B$40))))</f>
        <v>59942 - 60003</v>
      </c>
      <c r="T1655" s="100">
        <f>SamplingData[[#This Row],[Upper Range]]-SamplingData[[#This Row],[Span]]</f>
        <v>59942.483589927222</v>
      </c>
      <c r="U1655" s="100">
        <f>IF(ISNUMBER('General Info'!$B$40), ((SamplingData[[#This Row],[up/U Selection Probability]]) * 'General Info'!$B$40) - 1, 0)</f>
        <v>60.064963498467193</v>
      </c>
      <c r="V1655" s="100">
        <f>IF(ISNUMBER('General Info'!$B$40), (SamplingData[[#This Row],[Running (cumulative) sum]] * ('General Info'!$B$40 -'General Info'!$B$41 + 1)) + 'General Info'!$B$41 - 1, 0)</f>
        <v>60002.548553425688</v>
      </c>
      <c r="W1655" s="100" t="str">
        <f>IF(ISERROR(MATCH(SamplingData[[#This Row],[Batch by Type (p)]],SelectedPrecincts[Batch Name], 0)), "", INDEX(SelectedPrecincts[Draw], MATCH(SamplingData[[#This Row],[Batch by Type (p)]],SelectedPrecincts[Batch Name], 0)))</f>
        <v/>
      </c>
      <c r="X1655" s="102">
        <f>IF(COUNTIF(SelectedPrecincts[Batch Name],SamplingData[[#This Row],[Batch by Type (p)]]) &lt;&gt; 0, COUNTIF(SelectedPrecincts[Batch Name],SamplingData[[#This Row],[Batch by Type (p)]]), 0)</f>
        <v>0</v>
      </c>
    </row>
    <row r="1656" spans="1:24" ht="15" customHeight="1">
      <c r="A1656" s="18" t="s">
        <v>1832</v>
      </c>
      <c r="B1656" s="18">
        <v>5</v>
      </c>
      <c r="C1656" s="18">
        <v>8</v>
      </c>
      <c r="D1656" s="18">
        <v>2</v>
      </c>
      <c r="E1656" s="18">
        <v>2</v>
      </c>
      <c r="F1656" s="18">
        <v>0</v>
      </c>
      <c r="G1656" s="18">
        <v>1</v>
      </c>
      <c r="H1656" s="18">
        <v>0</v>
      </c>
      <c r="I1656" s="18">
        <v>0</v>
      </c>
      <c r="J1656" s="99">
        <f>SUM(SamplingData[[#This Row],[Losing Candidate]:[Under Votes]])</f>
        <v>18</v>
      </c>
      <c r="K1656"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656" s="100">
        <f>IF(AND(SamplingData[[#This Row],[Total]]&lt;&gt; 0, NOT(ISBLANK(SamplingData[[#This Row],[Candidate 3]]))),(SamplingData[[#This Row],[Total]]+SamplingData[[#This Row],[Winning Candidate]]-SamplingData[[#This Row],[Candidate 3]])/(SamplingData[[#Totals],[Winning Candidate]]-SamplingData[[#Totals],[Candidate 3]]), 0)</f>
        <v>7.7426847759460595E-4</v>
      </c>
      <c r="M1656" s="100">
        <f>IF(AND(SamplingData[[#This Row],[Total]]&lt;&gt; 0, NOT(ISBLANK(SamplingData[[#This Row],[Candidate 4]]))),(SamplingData[[#This Row],[Total]]+SamplingData[[#This Row],[Winning Candidate]]-SamplingData[[#This Row],[Candidate 4]])/(SamplingData[[#Totals],[Winning Candidate]]-SamplingData[[#Totals],[Candidate 4]]), 0)</f>
        <v>7.0156976234324298E-4</v>
      </c>
      <c r="N1656" s="100">
        <f>IF(AND(SamplingData[[#This Row],[Total]]&lt;&gt; 0, NOT(ISBLANK(SamplingData[[#This Row],[Candidate 5]]))),(SamplingData[[#This Row],[Total]]+SamplingData[[#This Row],[Winning Candidate]]-SamplingData[[#This Row],[Candidate 5]])/(SamplingData[[#Totals],[Winning Candidate]]-SamplingData[[#Totals],[Candidate 5]]), 0)</f>
        <v>6.3244952566285579E-4</v>
      </c>
      <c r="O1656" s="100">
        <f>IF(AND(SamplingData[[#This Row],[Total]]&lt;&gt; 0, NOT(ISBLANK(SamplingData[[#This Row],[Candidate 6]]))),(SamplingData[[#This Row],[Total]]+SamplingData[[#This Row],[Winning Candidate]]-SamplingData[[#This Row],[Candidate 6]])/(SamplingData[[#Totals],[Winning Candidate]]-SamplingData[[#Totals],[Candidate 6]]), 0)</f>
        <v>6.0794708428578371E-4</v>
      </c>
      <c r="P1656" s="100">
        <f>MAX(SamplingData[[#This Row],[Error Bound (up) - Max. possible relative overstatement - Losing Candidate]:[Error Bound (up) - Max. possible relative overstatement - Candidate 6]])</f>
        <v>1.2861342479176874E-3</v>
      </c>
      <c r="Q1656" s="100">
        <f>IF(SamplingData[[#This Row],[Max Error Bound (up)]] = 0,0,SamplingData[[#This Row],[Max Error Bound (up)]]/SamplingData[[#Totals],[Max Error Bound (up)]])</f>
        <v>2.0355191384736248E-4</v>
      </c>
      <c r="R1656" s="101">
        <f>SUM($Q$5:Q1656)</f>
        <v>0.60023903744810425</v>
      </c>
      <c r="S1656" s="100" t="str">
        <f t="array" ref="S1656">IF(SamplingData[[#This Row],[up/U Selection Probability]] = 0, "Zero", TEXT(SamplingData[[#This Row],[Lower Range]], REPT("0",LEN('General Info'!$B$40))) &amp; " - " &amp; TEXT(SamplingData[[#This Row],[Upper Range]], REPT("0",LEN('General Info'!$B$40))))</f>
        <v>60004 - 60023</v>
      </c>
      <c r="T1656" s="100">
        <f>SamplingData[[#This Row],[Upper Range]]-SamplingData[[#This Row],[Span]]</f>
        <v>60003.548756977609</v>
      </c>
      <c r="U1656" s="100">
        <f>IF(ISNUMBER('General Info'!$B$40), ((SamplingData[[#This Row],[up/U Selection Probability]]) * 'General Info'!$B$40) - 1, 0)</f>
        <v>19.354987832822399</v>
      </c>
      <c r="V1656" s="100">
        <f>IF(ISNUMBER('General Info'!$B$40), (SamplingData[[#This Row],[Running (cumulative) sum]] * ('General Info'!$B$40 -'General Info'!$B$41 + 1)) + 'General Info'!$B$41 - 1, 0)</f>
        <v>60022.903744810428</v>
      </c>
      <c r="W1656" s="100" t="str">
        <f>IF(ISERROR(MATCH(SamplingData[[#This Row],[Batch by Type (p)]],SelectedPrecincts[Batch Name], 0)), "", INDEX(SelectedPrecincts[Draw], MATCH(SamplingData[[#This Row],[Batch by Type (p)]],SelectedPrecincts[Batch Name], 0)))</f>
        <v/>
      </c>
      <c r="X1656" s="102">
        <f>IF(COUNTIF(SelectedPrecincts[Batch Name],SamplingData[[#This Row],[Batch by Type (p)]]) &lt;&gt; 0, COUNTIF(SelectedPrecincts[Batch Name],SamplingData[[#This Row],[Batch by Type (p)]]), 0)</f>
        <v>0</v>
      </c>
    </row>
    <row r="1657" spans="1:24" ht="15" customHeight="1">
      <c r="A1657" s="18" t="s">
        <v>1833</v>
      </c>
      <c r="B1657" s="18">
        <v>16</v>
      </c>
      <c r="C1657" s="18">
        <v>20</v>
      </c>
      <c r="D1657" s="16">
        <v>7</v>
      </c>
      <c r="E1657" s="16">
        <v>7</v>
      </c>
      <c r="F1657" s="37">
        <v>0</v>
      </c>
      <c r="G1657" s="37">
        <v>0</v>
      </c>
      <c r="H1657" s="17">
        <v>0</v>
      </c>
      <c r="I1657" s="17">
        <v>0</v>
      </c>
      <c r="J1657" s="99">
        <f>SUM(SamplingData[[#This Row],[Losing Candidate]:[Under Votes]])</f>
        <v>50</v>
      </c>
      <c r="K1657"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1657" s="100">
        <f>IF(AND(SamplingData[[#This Row],[Total]]&lt;&gt; 0, NOT(ISBLANK(SamplingData[[#This Row],[Candidate 3]]))),(SamplingData[[#This Row],[Total]]+SamplingData[[#This Row],[Winning Candidate]]-SamplingData[[#This Row],[Candidate 3]])/(SamplingData[[#Totals],[Winning Candidate]]-SamplingData[[#Totals],[Candidate 3]]), 0)</f>
        <v>2.0324547536858407E-3</v>
      </c>
      <c r="M1657" s="100">
        <f>IF(AND(SamplingData[[#This Row],[Total]]&lt;&gt; 0, NOT(ISBLANK(SamplingData[[#This Row],[Candidate 4]]))),(SamplingData[[#This Row],[Total]]+SamplingData[[#This Row],[Winning Candidate]]-SamplingData[[#This Row],[Candidate 4]])/(SamplingData[[#Totals],[Winning Candidate]]-SamplingData[[#Totals],[Candidate 4]]), 0)</f>
        <v>1.841620626151013E-3</v>
      </c>
      <c r="N1657" s="100">
        <f>IF(AND(SamplingData[[#This Row],[Total]]&lt;&gt; 0, NOT(ISBLANK(SamplingData[[#This Row],[Candidate 5]]))),(SamplingData[[#This Row],[Total]]+SamplingData[[#This Row],[Winning Candidate]]-SamplingData[[#This Row],[Candidate 5]])/(SamplingData[[#Totals],[Winning Candidate]]-SamplingData[[#Totals],[Candidate 5]]), 0)</f>
        <v>1.7027487229384578E-3</v>
      </c>
      <c r="O1657" s="100">
        <f>IF(AND(SamplingData[[#This Row],[Total]]&lt;&gt; 0, NOT(ISBLANK(SamplingData[[#This Row],[Candidate 6]]))),(SamplingData[[#This Row],[Total]]+SamplingData[[#This Row],[Winning Candidate]]-SamplingData[[#This Row],[Candidate 6]])/(SamplingData[[#Totals],[Winning Candidate]]-SamplingData[[#Totals],[Candidate 6]]), 0)</f>
        <v>1.7022518360001945E-3</v>
      </c>
      <c r="P1657" s="100">
        <f>MAX(SamplingData[[#This Row],[Error Bound (up) - Max. possible relative overstatement - Losing Candidate]:[Error Bound (up) - Max. possible relative overstatement - Candidate 6]])</f>
        <v>3.3072023517883389E-3</v>
      </c>
      <c r="Q1657" s="100">
        <f>IF(SamplingData[[#This Row],[Max Error Bound (up)]] = 0,0,SamplingData[[#This Row],[Max Error Bound (up)]]/SamplingData[[#Totals],[Max Error Bound (up)]])</f>
        <v>5.2341920703607493E-4</v>
      </c>
      <c r="R1657" s="101">
        <f>SUM($Q$5:Q1657)</f>
        <v>0.60076245665514028</v>
      </c>
      <c r="S1657" s="100" t="str">
        <f t="array" ref="S1657">IF(SamplingData[[#This Row],[up/U Selection Probability]] = 0, "Zero", TEXT(SamplingData[[#This Row],[Lower Range]], REPT("0",LEN('General Info'!$B$40))) &amp; " - " &amp; TEXT(SamplingData[[#This Row],[Upper Range]], REPT("0",LEN('General Info'!$B$40))))</f>
        <v>60024 - 60075</v>
      </c>
      <c r="T1657" s="100">
        <f>SamplingData[[#This Row],[Upper Range]]-SamplingData[[#This Row],[Span]]</f>
        <v>60023.904268229628</v>
      </c>
      <c r="U1657" s="100">
        <f>IF(ISNUMBER('General Info'!$B$40), ((SamplingData[[#This Row],[up/U Selection Probability]]) * 'General Info'!$B$40) - 1, 0)</f>
        <v>51.341397284400458</v>
      </c>
      <c r="V1657" s="100">
        <f>IF(ISNUMBER('General Info'!$B$40), (SamplingData[[#This Row],[Running (cumulative) sum]] * ('General Info'!$B$40 -'General Info'!$B$41 + 1)) + 'General Info'!$B$41 - 1, 0)</f>
        <v>60075.245665514027</v>
      </c>
      <c r="W1657" s="100" t="str">
        <f>IF(ISERROR(MATCH(SamplingData[[#This Row],[Batch by Type (p)]],SelectedPrecincts[Batch Name], 0)), "", INDEX(SelectedPrecincts[Draw], MATCH(SamplingData[[#This Row],[Batch by Type (p)]],SelectedPrecincts[Batch Name], 0)))</f>
        <v/>
      </c>
      <c r="X1657" s="102">
        <f>IF(COUNTIF(SelectedPrecincts[Batch Name],SamplingData[[#This Row],[Batch by Type (p)]]) &lt;&gt; 0, COUNTIF(SelectedPrecincts[Batch Name],SamplingData[[#This Row],[Batch by Type (p)]]), 0)</f>
        <v>0</v>
      </c>
    </row>
    <row r="1658" spans="1:24" ht="15" customHeight="1">
      <c r="A1658" s="18" t="s">
        <v>1834</v>
      </c>
      <c r="B1658" s="18">
        <v>13</v>
      </c>
      <c r="C1658" s="18">
        <v>8</v>
      </c>
      <c r="D1658" s="18">
        <v>0</v>
      </c>
      <c r="E1658" s="18">
        <v>0</v>
      </c>
      <c r="F1658" s="18">
        <v>0</v>
      </c>
      <c r="G1658" s="18">
        <v>0</v>
      </c>
      <c r="H1658" s="18">
        <v>0</v>
      </c>
      <c r="I1658" s="18">
        <v>0</v>
      </c>
      <c r="J1658" s="99">
        <f>SUM(SamplingData[[#This Row],[Losing Candidate]:[Under Votes]])</f>
        <v>21</v>
      </c>
      <c r="K1658"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658" s="100">
        <f>IF(AND(SamplingData[[#This Row],[Total]]&lt;&gt; 0, NOT(ISBLANK(SamplingData[[#This Row],[Candidate 3]]))),(SamplingData[[#This Row],[Total]]+SamplingData[[#This Row],[Winning Candidate]]-SamplingData[[#This Row],[Candidate 3]])/(SamplingData[[#Totals],[Winning Candidate]]-SamplingData[[#Totals],[Candidate 3]]), 0)</f>
        <v>9.3557441042681547E-4</v>
      </c>
      <c r="M1658" s="100">
        <f>IF(AND(SamplingData[[#This Row],[Total]]&lt;&gt; 0, NOT(ISBLANK(SamplingData[[#This Row],[Candidate 4]]))),(SamplingData[[#This Row],[Total]]+SamplingData[[#This Row],[Winning Candidate]]-SamplingData[[#This Row],[Candidate 4]])/(SamplingData[[#Totals],[Winning Candidate]]-SamplingData[[#Totals],[Candidate 4]]), 0)</f>
        <v>8.4773012949808531E-4</v>
      </c>
      <c r="N1658" s="100">
        <f>IF(AND(SamplingData[[#This Row],[Total]]&lt;&gt; 0, NOT(ISBLANK(SamplingData[[#This Row],[Candidate 5]]))),(SamplingData[[#This Row],[Total]]+SamplingData[[#This Row],[Winning Candidate]]-SamplingData[[#This Row],[Candidate 5]])/(SamplingData[[#Totals],[Winning Candidate]]-SamplingData[[#Totals],[Candidate 5]]), 0)</f>
        <v>7.0542447093164683E-4</v>
      </c>
      <c r="O1658" s="100">
        <f>IF(AND(SamplingData[[#This Row],[Total]]&lt;&gt; 0, NOT(ISBLANK(SamplingData[[#This Row],[Candidate 6]]))),(SamplingData[[#This Row],[Total]]+SamplingData[[#This Row],[Winning Candidate]]-SamplingData[[#This Row],[Candidate 6]])/(SamplingData[[#Totals],[Winning Candidate]]-SamplingData[[#Totals],[Candidate 6]]), 0)</f>
        <v>7.0521861777150916E-4</v>
      </c>
      <c r="P1658" s="100">
        <f>MAX(SamplingData[[#This Row],[Error Bound (up) - Max. possible relative overstatement - Losing Candidate]:[Error Bound (up) - Max. possible relative overstatement - Candidate 6]])</f>
        <v>9.7991180793728563E-4</v>
      </c>
      <c r="Q1658" s="100">
        <f>IF(SamplingData[[#This Row],[Max Error Bound (up)]] = 0,0,SamplingData[[#This Row],[Max Error Bound (up)]]/SamplingData[[#Totals],[Max Error Bound (up)]])</f>
        <v>1.550871724551333E-4</v>
      </c>
      <c r="R1658" s="101">
        <f>SUM($Q$5:Q1658)</f>
        <v>0.60091754382759544</v>
      </c>
      <c r="S1658" s="100" t="str">
        <f t="array" ref="S1658">IF(SamplingData[[#This Row],[up/U Selection Probability]] = 0, "Zero", TEXT(SamplingData[[#This Row],[Lower Range]], REPT("0",LEN('General Info'!$B$40))) &amp; " - " &amp; TEXT(SamplingData[[#This Row],[Upper Range]], REPT("0",LEN('General Info'!$B$40))))</f>
        <v>60076 - 60091</v>
      </c>
      <c r="T1658" s="100">
        <f>SamplingData[[#This Row],[Upper Range]]-SamplingData[[#This Row],[Span]]</f>
        <v>60076.245820601202</v>
      </c>
      <c r="U1658" s="100">
        <f>IF(ISNUMBER('General Info'!$B$40), ((SamplingData[[#This Row],[up/U Selection Probability]]) * 'General Info'!$B$40) - 1, 0)</f>
        <v>14.508562158340876</v>
      </c>
      <c r="V1658" s="100">
        <f>IF(ISNUMBER('General Info'!$B$40), (SamplingData[[#This Row],[Running (cumulative) sum]] * ('General Info'!$B$40 -'General Info'!$B$41 + 1)) + 'General Info'!$B$41 - 1, 0)</f>
        <v>60090.754382759544</v>
      </c>
      <c r="W1658" s="100" t="str">
        <f>IF(ISERROR(MATCH(SamplingData[[#This Row],[Batch by Type (p)]],SelectedPrecincts[Batch Name], 0)), "", INDEX(SelectedPrecincts[Draw], MATCH(SamplingData[[#This Row],[Batch by Type (p)]],SelectedPrecincts[Batch Name], 0)))</f>
        <v/>
      </c>
      <c r="X1658" s="102">
        <f>IF(COUNTIF(SelectedPrecincts[Batch Name],SamplingData[[#This Row],[Batch by Type (p)]]) &lt;&gt; 0, COUNTIF(SelectedPrecincts[Batch Name],SamplingData[[#This Row],[Batch by Type (p)]]), 0)</f>
        <v>0</v>
      </c>
    </row>
    <row r="1659" spans="1:24" ht="15" customHeight="1">
      <c r="A1659" s="18" t="s">
        <v>1835</v>
      </c>
      <c r="B1659" s="18">
        <v>11</v>
      </c>
      <c r="C1659" s="18">
        <v>22</v>
      </c>
      <c r="D1659" s="16">
        <v>9</v>
      </c>
      <c r="E1659" s="16">
        <v>3</v>
      </c>
      <c r="F1659" s="37">
        <v>0</v>
      </c>
      <c r="G1659" s="37">
        <v>0</v>
      </c>
      <c r="H1659" s="17">
        <v>0</v>
      </c>
      <c r="I1659" s="17">
        <v>0</v>
      </c>
      <c r="J1659" s="99">
        <f>SUM(SamplingData[[#This Row],[Losing Candidate]:[Under Votes]])</f>
        <v>45</v>
      </c>
      <c r="K1659"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1659" s="100">
        <f>IF(AND(SamplingData[[#This Row],[Total]]&lt;&gt; 0, NOT(ISBLANK(SamplingData[[#This Row],[Candidate 3]]))),(SamplingData[[#This Row],[Total]]+SamplingData[[#This Row],[Winning Candidate]]-SamplingData[[#This Row],[Candidate 3]])/(SamplingData[[#Totals],[Winning Candidate]]-SamplingData[[#Totals],[Candidate 3]]), 0)</f>
        <v>1.8711488208536309E-3</v>
      </c>
      <c r="M1659" s="100">
        <f>IF(AND(SamplingData[[#This Row],[Total]]&lt;&gt; 0, NOT(ISBLANK(SamplingData[[#This Row],[Candidate 4]]))),(SamplingData[[#This Row],[Total]]+SamplingData[[#This Row],[Winning Candidate]]-SamplingData[[#This Row],[Candidate 4]])/(SamplingData[[#Totals],[Winning Candidate]]-SamplingData[[#Totals],[Candidate 4]]), 0)</f>
        <v>1.8708526995819814E-3</v>
      </c>
      <c r="N1659" s="100">
        <f>IF(AND(SamplingData[[#This Row],[Total]]&lt;&gt; 0, NOT(ISBLANK(SamplingData[[#This Row],[Candidate 5]]))),(SamplingData[[#This Row],[Total]]+SamplingData[[#This Row],[Winning Candidate]]-SamplingData[[#This Row],[Candidate 5]])/(SamplingData[[#Totals],[Winning Candidate]]-SamplingData[[#Totals],[Candidate 5]]), 0)</f>
        <v>1.6297737776696667E-3</v>
      </c>
      <c r="O1659" s="100">
        <f>IF(AND(SamplingData[[#This Row],[Total]]&lt;&gt; 0, NOT(ISBLANK(SamplingData[[#This Row],[Candidate 6]]))),(SamplingData[[#This Row],[Total]]+SamplingData[[#This Row],[Winning Candidate]]-SamplingData[[#This Row],[Candidate 6]])/(SamplingData[[#Totals],[Winning Candidate]]-SamplingData[[#Totals],[Candidate 6]]), 0)</f>
        <v>1.6292981858859006E-3</v>
      </c>
      <c r="P1659" s="100">
        <f>MAX(SamplingData[[#This Row],[Error Bound (up) - Max. possible relative overstatement - Losing Candidate]:[Error Bound (up) - Max. possible relative overstatement - Candidate 6]])</f>
        <v>3.4296913277804997E-3</v>
      </c>
      <c r="Q1659" s="100">
        <f>IF(SamplingData[[#This Row],[Max Error Bound (up)]] = 0,0,SamplingData[[#This Row],[Max Error Bound (up)]]/SamplingData[[#Totals],[Max Error Bound (up)]])</f>
        <v>5.4280510359296661E-4</v>
      </c>
      <c r="R1659" s="101">
        <f>SUM($Q$5:Q1659)</f>
        <v>0.60146034893118838</v>
      </c>
      <c r="S1659" s="100" t="str">
        <f t="array" ref="S1659">IF(SamplingData[[#This Row],[up/U Selection Probability]] = 0, "Zero", TEXT(SamplingData[[#This Row],[Lower Range]], REPT("0",LEN('General Info'!$B$40))) &amp; " - " &amp; TEXT(SamplingData[[#This Row],[Upper Range]], REPT("0",LEN('General Info'!$B$40))))</f>
        <v>60092 - 60145</v>
      </c>
      <c r="T1659" s="100">
        <f>SamplingData[[#This Row],[Upper Range]]-SamplingData[[#This Row],[Span]]</f>
        <v>60091.754925564645</v>
      </c>
      <c r="U1659" s="100">
        <f>IF(ISNUMBER('General Info'!$B$40), ((SamplingData[[#This Row],[up/U Selection Probability]]) * 'General Info'!$B$40) - 1, 0)</f>
        <v>53.279967554193071</v>
      </c>
      <c r="V1659" s="100">
        <f>IF(ISNUMBER('General Info'!$B$40), (SamplingData[[#This Row],[Running (cumulative) sum]] * ('General Info'!$B$40 -'General Info'!$B$41 + 1)) + 'General Info'!$B$41 - 1, 0)</f>
        <v>60145.034893118835</v>
      </c>
      <c r="W1659" s="100" t="str">
        <f>IF(ISERROR(MATCH(SamplingData[[#This Row],[Batch by Type (p)]],SelectedPrecincts[Batch Name], 0)), "", INDEX(SelectedPrecincts[Draw], MATCH(SamplingData[[#This Row],[Batch by Type (p)]],SelectedPrecincts[Batch Name], 0)))</f>
        <v/>
      </c>
      <c r="X1659" s="102">
        <f>IF(COUNTIF(SelectedPrecincts[Batch Name],SamplingData[[#This Row],[Batch by Type (p)]]) &lt;&gt; 0, COUNTIF(SelectedPrecincts[Batch Name],SamplingData[[#This Row],[Batch by Type (p)]]), 0)</f>
        <v>0</v>
      </c>
    </row>
    <row r="1660" spans="1:24" ht="15" customHeight="1">
      <c r="A1660" s="18" t="s">
        <v>1836</v>
      </c>
      <c r="B1660" s="18">
        <v>14</v>
      </c>
      <c r="C1660" s="18">
        <v>10</v>
      </c>
      <c r="D1660" s="18">
        <v>3</v>
      </c>
      <c r="E1660" s="18">
        <v>3</v>
      </c>
      <c r="F1660" s="18">
        <v>0</v>
      </c>
      <c r="G1660" s="18">
        <v>0</v>
      </c>
      <c r="H1660" s="18">
        <v>0</v>
      </c>
      <c r="I1660" s="18">
        <v>1</v>
      </c>
      <c r="J1660" s="99">
        <f>SUM(SamplingData[[#This Row],[Losing Candidate]:[Under Votes]])</f>
        <v>31</v>
      </c>
      <c r="K1660"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1660" s="100">
        <f>IF(AND(SamplingData[[#This Row],[Total]]&lt;&gt; 0, NOT(ISBLANK(SamplingData[[#This Row],[Candidate 3]]))),(SamplingData[[#This Row],[Total]]+SamplingData[[#This Row],[Winning Candidate]]-SamplingData[[#This Row],[Candidate 3]])/(SamplingData[[#Totals],[Winning Candidate]]-SamplingData[[#Totals],[Candidate 3]]), 0)</f>
        <v>1.2259250895247926E-3</v>
      </c>
      <c r="M1660" s="100">
        <f>IF(AND(SamplingData[[#This Row],[Total]]&lt;&gt; 0, NOT(ISBLANK(SamplingData[[#This Row],[Candidate 4]]))),(SamplingData[[#This Row],[Total]]+SamplingData[[#This Row],[Winning Candidate]]-SamplingData[[#This Row],[Candidate 4]])/(SamplingData[[#Totals],[Winning Candidate]]-SamplingData[[#Totals],[Candidate 4]]), 0)</f>
        <v>1.1108187903768015E-3</v>
      </c>
      <c r="N1660" s="100">
        <f>IF(AND(SamplingData[[#This Row],[Total]]&lt;&gt; 0, NOT(ISBLANK(SamplingData[[#This Row],[Candidate 5]]))),(SamplingData[[#This Row],[Total]]+SamplingData[[#This Row],[Winning Candidate]]-SamplingData[[#This Row],[Candidate 5]])/(SamplingData[[#Totals],[Winning Candidate]]-SamplingData[[#Totals],[Candidate 5]]), 0)</f>
        <v>9.9732425200681099E-4</v>
      </c>
      <c r="O1660" s="100">
        <f>IF(AND(SamplingData[[#This Row],[Total]]&lt;&gt; 0, NOT(ISBLANK(SamplingData[[#This Row],[Candidate 6]]))),(SamplingData[[#This Row],[Total]]+SamplingData[[#This Row],[Winning Candidate]]-SamplingData[[#This Row],[Candidate 6]])/(SamplingData[[#Totals],[Winning Candidate]]-SamplingData[[#Totals],[Candidate 6]]), 0)</f>
        <v>9.9703321822868537E-4</v>
      </c>
      <c r="P1660" s="100">
        <f>MAX(SamplingData[[#This Row],[Error Bound (up) - Max. possible relative overstatement - Losing Candidate]:[Error Bound (up) - Max. possible relative overstatement - Candidate 6]])</f>
        <v>1.6536011758941694E-3</v>
      </c>
      <c r="Q1660" s="100">
        <f>IF(SamplingData[[#This Row],[Max Error Bound (up)]] = 0,0,SamplingData[[#This Row],[Max Error Bound (up)]]/SamplingData[[#Totals],[Max Error Bound (up)]])</f>
        <v>2.6170960351803746E-4</v>
      </c>
      <c r="R1660" s="101">
        <f>SUM($Q$5:Q1660)</f>
        <v>0.60172205853470639</v>
      </c>
      <c r="S1660" s="100" t="str">
        <f t="array" ref="S1660">IF(SamplingData[[#This Row],[up/U Selection Probability]] = 0, "Zero", TEXT(SamplingData[[#This Row],[Lower Range]], REPT("0",LEN('General Info'!$B$40))) &amp; " - " &amp; TEXT(SamplingData[[#This Row],[Upper Range]], REPT("0",LEN('General Info'!$B$40))))</f>
        <v>60146 - 60171</v>
      </c>
      <c r="T1660" s="100">
        <f>SamplingData[[#This Row],[Upper Range]]-SamplingData[[#This Row],[Span]]</f>
        <v>60146.035154828438</v>
      </c>
      <c r="U1660" s="100">
        <f>IF(ISNUMBER('General Info'!$B$40), ((SamplingData[[#This Row],[up/U Selection Probability]]) * 'General Info'!$B$40) - 1, 0)</f>
        <v>25.170698642200229</v>
      </c>
      <c r="V1660" s="100">
        <f>IF(ISNUMBER('General Info'!$B$40), (SamplingData[[#This Row],[Running (cumulative) sum]] * ('General Info'!$B$40 -'General Info'!$B$41 + 1)) + 'General Info'!$B$41 - 1, 0)</f>
        <v>60171.205853470638</v>
      </c>
      <c r="W1660" s="100" t="str">
        <f>IF(ISERROR(MATCH(SamplingData[[#This Row],[Batch by Type (p)]],SelectedPrecincts[Batch Name], 0)), "", INDEX(SelectedPrecincts[Draw], MATCH(SamplingData[[#This Row],[Batch by Type (p)]],SelectedPrecincts[Batch Name], 0)))</f>
        <v/>
      </c>
      <c r="X1660" s="102">
        <f>IF(COUNTIF(SelectedPrecincts[Batch Name],SamplingData[[#This Row],[Batch by Type (p)]]) &lt;&gt; 0, COUNTIF(SelectedPrecincts[Batch Name],SamplingData[[#This Row],[Batch by Type (p)]]), 0)</f>
        <v>0</v>
      </c>
    </row>
    <row r="1661" spans="1:24" ht="15" customHeight="1">
      <c r="A1661" s="18" t="s">
        <v>1837</v>
      </c>
      <c r="B1661" s="18">
        <v>28</v>
      </c>
      <c r="C1661" s="18">
        <v>30</v>
      </c>
      <c r="D1661" s="16">
        <v>15</v>
      </c>
      <c r="E1661" s="16">
        <v>14</v>
      </c>
      <c r="F1661" s="37">
        <v>2</v>
      </c>
      <c r="G1661" s="37">
        <v>0</v>
      </c>
      <c r="H1661" s="17">
        <v>0</v>
      </c>
      <c r="I1661" s="17">
        <v>1</v>
      </c>
      <c r="J1661" s="99">
        <f>SUM(SamplingData[[#This Row],[Losing Candidate]:[Under Votes]])</f>
        <v>90</v>
      </c>
      <c r="K1661" s="100">
        <f>IF(AND(SamplingData[[#This Row],[Total]]&lt;&gt; 0, NOT(ISBLANK(SamplingData[[#This Row],[Losing Candidate]]))),(SamplingData[[#This Row],[Total]]+SamplingData[[#This Row],[Winning Candidate]]-SamplingData[[#This Row],[Losing Candidate]])/(SamplingData[[#Totals],[Winning Candidate]]-SamplingData[[#Totals],[Losing Candidate]]), 0)</f>
        <v>5.6344928956393921E-3</v>
      </c>
      <c r="L1661" s="100">
        <f>IF(AND(SamplingData[[#This Row],[Total]]&lt;&gt; 0, NOT(ISBLANK(SamplingData[[#This Row],[Candidate 3]]))),(SamplingData[[#This Row],[Total]]+SamplingData[[#This Row],[Winning Candidate]]-SamplingData[[#This Row],[Candidate 3]])/(SamplingData[[#Totals],[Winning Candidate]]-SamplingData[[#Totals],[Candidate 3]]), 0)</f>
        <v>3.3874245894764008E-3</v>
      </c>
      <c r="M1661" s="100">
        <f>IF(AND(SamplingData[[#This Row],[Total]]&lt;&gt; 0, NOT(ISBLANK(SamplingData[[#This Row],[Candidate 4]]))),(SamplingData[[#This Row],[Total]]+SamplingData[[#This Row],[Winning Candidate]]-SamplingData[[#This Row],[Candidate 4]])/(SamplingData[[#Totals],[Winning Candidate]]-SamplingData[[#Totals],[Candidate 4]]), 0)</f>
        <v>3.0985997836826566E-3</v>
      </c>
      <c r="N1661" s="100">
        <f>IF(AND(SamplingData[[#This Row],[Total]]&lt;&gt; 0, NOT(ISBLANK(SamplingData[[#This Row],[Candidate 5]]))),(SamplingData[[#This Row],[Total]]+SamplingData[[#This Row],[Winning Candidate]]-SamplingData[[#This Row],[Candidate 5]])/(SamplingData[[#Totals],[Winning Candidate]]-SamplingData[[#Totals],[Candidate 5]]), 0)</f>
        <v>2.8703478472391145E-3</v>
      </c>
      <c r="O1661" s="100">
        <f>IF(AND(SamplingData[[#This Row],[Total]]&lt;&gt; 0, NOT(ISBLANK(SamplingData[[#This Row],[Candidate 6]]))),(SamplingData[[#This Row],[Total]]+SamplingData[[#This Row],[Winning Candidate]]-SamplingData[[#This Row],[Candidate 6]])/(SamplingData[[#Totals],[Winning Candidate]]-SamplingData[[#Totals],[Candidate 6]]), 0)</f>
        <v>2.9181460045717622E-3</v>
      </c>
      <c r="P1661" s="100">
        <f>MAX(SamplingData[[#This Row],[Error Bound (up) - Max. possible relative overstatement - Losing Candidate]:[Error Bound (up) - Max. possible relative overstatement - Candidate 6]])</f>
        <v>5.6344928956393921E-3</v>
      </c>
      <c r="Q1661" s="100">
        <f>IF(SamplingData[[#This Row],[Max Error Bound (up)]] = 0,0,SamplingData[[#This Row],[Max Error Bound (up)]]/SamplingData[[#Totals],[Max Error Bound (up)]])</f>
        <v>8.9175124161701641E-4</v>
      </c>
      <c r="R1661" s="101">
        <f>SUM($Q$5:Q1661)</f>
        <v>0.60261380977632339</v>
      </c>
      <c r="S1661" s="100" t="str">
        <f t="array" ref="S1661">IF(SamplingData[[#This Row],[up/U Selection Probability]] = 0, "Zero", TEXT(SamplingData[[#This Row],[Lower Range]], REPT("0",LEN('General Info'!$B$40))) &amp; " - " &amp; TEXT(SamplingData[[#This Row],[Upper Range]], REPT("0",LEN('General Info'!$B$40))))</f>
        <v>60172 - 60260</v>
      </c>
      <c r="T1661" s="100">
        <f>SamplingData[[#This Row],[Upper Range]]-SamplingData[[#This Row],[Span]]</f>
        <v>60172.206745221876</v>
      </c>
      <c r="U1661" s="100">
        <f>IF(ISNUMBER('General Info'!$B$40), ((SamplingData[[#This Row],[up/U Selection Probability]]) * 'General Info'!$B$40) - 1, 0)</f>
        <v>88.174232410460021</v>
      </c>
      <c r="V1661" s="100">
        <f>IF(ISNUMBER('General Info'!$B$40), (SamplingData[[#This Row],[Running (cumulative) sum]] * ('General Info'!$B$40 -'General Info'!$B$41 + 1)) + 'General Info'!$B$41 - 1, 0)</f>
        <v>60260.38097763234</v>
      </c>
      <c r="W1661" s="100" t="str">
        <f>IF(ISERROR(MATCH(SamplingData[[#This Row],[Batch by Type (p)]],SelectedPrecincts[Batch Name], 0)), "", INDEX(SelectedPrecincts[Draw], MATCH(SamplingData[[#This Row],[Batch by Type (p)]],SelectedPrecincts[Batch Name], 0)))</f>
        <v/>
      </c>
      <c r="X1661" s="102">
        <f>IF(COUNTIF(SelectedPrecincts[Batch Name],SamplingData[[#This Row],[Batch by Type (p)]]) &lt;&gt; 0, COUNTIF(SelectedPrecincts[Batch Name],SamplingData[[#This Row],[Batch by Type (p)]]), 0)</f>
        <v>0</v>
      </c>
    </row>
    <row r="1662" spans="1:24" ht="15" customHeight="1">
      <c r="A1662" s="18" t="s">
        <v>1838</v>
      </c>
      <c r="B1662" s="18">
        <v>10</v>
      </c>
      <c r="C1662" s="18">
        <v>6</v>
      </c>
      <c r="D1662" s="18">
        <v>1</v>
      </c>
      <c r="E1662" s="18">
        <v>1</v>
      </c>
      <c r="F1662" s="18">
        <v>0</v>
      </c>
      <c r="G1662" s="18">
        <v>0</v>
      </c>
      <c r="H1662" s="18">
        <v>0</v>
      </c>
      <c r="I1662" s="18">
        <v>1</v>
      </c>
      <c r="J1662" s="99">
        <f>SUM(SamplingData[[#This Row],[Losing Candidate]:[Under Votes]])</f>
        <v>19</v>
      </c>
      <c r="K1662"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662" s="100">
        <f>IF(AND(SamplingData[[#This Row],[Total]]&lt;&gt; 0, NOT(ISBLANK(SamplingData[[#This Row],[Candidate 3]]))),(SamplingData[[#This Row],[Total]]+SamplingData[[#This Row],[Winning Candidate]]-SamplingData[[#This Row],[Candidate 3]])/(SamplingData[[#Totals],[Winning Candidate]]-SamplingData[[#Totals],[Candidate 3]]), 0)</f>
        <v>7.7426847759460595E-4</v>
      </c>
      <c r="M1662" s="100">
        <f>IF(AND(SamplingData[[#This Row],[Total]]&lt;&gt; 0, NOT(ISBLANK(SamplingData[[#This Row],[Candidate 4]]))),(SamplingData[[#This Row],[Total]]+SamplingData[[#This Row],[Winning Candidate]]-SamplingData[[#This Row],[Candidate 4]])/(SamplingData[[#Totals],[Winning Candidate]]-SamplingData[[#Totals],[Candidate 4]]), 0)</f>
        <v>7.0156976234324298E-4</v>
      </c>
      <c r="N1662" s="100">
        <f>IF(AND(SamplingData[[#This Row],[Total]]&lt;&gt; 0, NOT(ISBLANK(SamplingData[[#This Row],[Candidate 5]]))),(SamplingData[[#This Row],[Total]]+SamplingData[[#This Row],[Winning Candidate]]-SamplingData[[#This Row],[Candidate 5]])/(SamplingData[[#Totals],[Winning Candidate]]-SamplingData[[#Totals],[Candidate 5]]), 0)</f>
        <v>6.0812454390659211E-4</v>
      </c>
      <c r="O1662" s="100">
        <f>IF(AND(SamplingData[[#This Row],[Total]]&lt;&gt; 0, NOT(ISBLANK(SamplingData[[#This Row],[Candidate 6]]))),(SamplingData[[#This Row],[Total]]+SamplingData[[#This Row],[Winning Candidate]]-SamplingData[[#This Row],[Candidate 6]])/(SamplingData[[#Totals],[Winning Candidate]]-SamplingData[[#Totals],[Candidate 6]]), 0)</f>
        <v>6.0794708428578371E-4</v>
      </c>
      <c r="P1662" s="100">
        <f>MAX(SamplingData[[#This Row],[Error Bound (up) - Max. possible relative overstatement - Losing Candidate]:[Error Bound (up) - Max. possible relative overstatement - Candidate 6]])</f>
        <v>9.1866731994120533E-4</v>
      </c>
      <c r="Q1662" s="100">
        <f>IF(SamplingData[[#This Row],[Max Error Bound (up)]] = 0,0,SamplingData[[#This Row],[Max Error Bound (up)]]/SamplingData[[#Totals],[Max Error Bound (up)]])</f>
        <v>1.4539422417668749E-4</v>
      </c>
      <c r="R1662" s="101">
        <f>SUM($Q$5:Q1662)</f>
        <v>0.60275920400050009</v>
      </c>
      <c r="S1662" s="100" t="str">
        <f t="array" ref="S1662">IF(SamplingData[[#This Row],[up/U Selection Probability]] = 0, "Zero", TEXT(SamplingData[[#This Row],[Lower Range]], REPT("0",LEN('General Info'!$B$40))) &amp; " - " &amp; TEXT(SamplingData[[#This Row],[Upper Range]], REPT("0",LEN('General Info'!$B$40))))</f>
        <v>60261 - 60275</v>
      </c>
      <c r="T1662" s="100">
        <f>SamplingData[[#This Row],[Upper Range]]-SamplingData[[#This Row],[Span]]</f>
        <v>60261.381123026564</v>
      </c>
      <c r="U1662" s="100">
        <f>IF(ISNUMBER('General Info'!$B$40), ((SamplingData[[#This Row],[up/U Selection Probability]]) * 'General Info'!$B$40) - 1, 0)</f>
        <v>13.539277023444573</v>
      </c>
      <c r="V1662" s="100">
        <f>IF(ISNUMBER('General Info'!$B$40), (SamplingData[[#This Row],[Running (cumulative) sum]] * ('General Info'!$B$40 -'General Info'!$B$41 + 1)) + 'General Info'!$B$41 - 1, 0)</f>
        <v>60274.92040005001</v>
      </c>
      <c r="W1662" s="100" t="str">
        <f>IF(ISERROR(MATCH(SamplingData[[#This Row],[Batch by Type (p)]],SelectedPrecincts[Batch Name], 0)), "", INDEX(SelectedPrecincts[Draw], MATCH(SamplingData[[#This Row],[Batch by Type (p)]],SelectedPrecincts[Batch Name], 0)))</f>
        <v/>
      </c>
      <c r="X1662" s="102">
        <f>IF(COUNTIF(SelectedPrecincts[Batch Name],SamplingData[[#This Row],[Batch by Type (p)]]) &lt;&gt; 0, COUNTIF(SelectedPrecincts[Batch Name],SamplingData[[#This Row],[Batch by Type (p)]]), 0)</f>
        <v>0</v>
      </c>
    </row>
    <row r="1663" spans="1:24" ht="15" customHeight="1">
      <c r="A1663" s="18" t="s">
        <v>1839</v>
      </c>
      <c r="B1663" s="18">
        <v>25</v>
      </c>
      <c r="C1663" s="18">
        <v>31</v>
      </c>
      <c r="D1663" s="16">
        <v>13</v>
      </c>
      <c r="E1663" s="16">
        <v>8</v>
      </c>
      <c r="F1663" s="37">
        <v>0</v>
      </c>
      <c r="G1663" s="37">
        <v>0</v>
      </c>
      <c r="H1663" s="17">
        <v>0</v>
      </c>
      <c r="I1663" s="17">
        <v>2</v>
      </c>
      <c r="J1663" s="99">
        <f>SUM(SamplingData[[#This Row],[Losing Candidate]:[Under Votes]])</f>
        <v>79</v>
      </c>
      <c r="K1663" s="100">
        <f>IF(AND(SamplingData[[#This Row],[Total]]&lt;&gt; 0, NOT(ISBLANK(SamplingData[[#This Row],[Losing Candidate]]))),(SamplingData[[#This Row],[Total]]+SamplingData[[#This Row],[Winning Candidate]]-SamplingData[[#This Row],[Losing Candidate]])/(SamplingData[[#Totals],[Winning Candidate]]-SamplingData[[#Totals],[Losing Candidate]]), 0)</f>
        <v>5.2057814796668302E-3</v>
      </c>
      <c r="L1663" s="100">
        <f>IF(AND(SamplingData[[#This Row],[Total]]&lt;&gt; 0, NOT(ISBLANK(SamplingData[[#This Row],[Candidate 3]]))),(SamplingData[[#This Row],[Total]]+SamplingData[[#This Row],[Winning Candidate]]-SamplingData[[#This Row],[Candidate 3]])/(SamplingData[[#Totals],[Winning Candidate]]-SamplingData[[#Totals],[Candidate 3]]), 0)</f>
        <v>3.1293350969448658E-3</v>
      </c>
      <c r="M1663" s="100">
        <f>IF(AND(SamplingData[[#This Row],[Total]]&lt;&gt; 0, NOT(ISBLANK(SamplingData[[#This Row],[Candidate 4]]))),(SamplingData[[#This Row],[Total]]+SamplingData[[#This Row],[Winning Candidate]]-SamplingData[[#This Row],[Candidate 4]])/(SamplingData[[#Totals],[Winning Candidate]]-SamplingData[[#Totals],[Candidate 4]]), 0)</f>
        <v>2.9816714899587827E-3</v>
      </c>
      <c r="N1663" s="100">
        <f>IF(AND(SamplingData[[#This Row],[Total]]&lt;&gt; 0, NOT(ISBLANK(SamplingData[[#This Row],[Candidate 5]]))),(SamplingData[[#This Row],[Total]]+SamplingData[[#This Row],[Winning Candidate]]-SamplingData[[#This Row],[Candidate 5]])/(SamplingData[[#Totals],[Winning Candidate]]-SamplingData[[#Totals],[Candidate 5]]), 0)</f>
        <v>2.675747993189005E-3</v>
      </c>
      <c r="O1663" s="100">
        <f>IF(AND(SamplingData[[#This Row],[Total]]&lt;&gt; 0, NOT(ISBLANK(SamplingData[[#This Row],[Candidate 6]]))),(SamplingData[[#This Row],[Total]]+SamplingData[[#This Row],[Winning Candidate]]-SamplingData[[#This Row],[Candidate 6]])/(SamplingData[[#Totals],[Winning Candidate]]-SamplingData[[#Totals],[Candidate 6]]), 0)</f>
        <v>2.6749671708574487E-3</v>
      </c>
      <c r="P1663" s="100">
        <f>MAX(SamplingData[[#This Row],[Error Bound (up) - Max. possible relative overstatement - Losing Candidate]:[Error Bound (up) - Max. possible relative overstatement - Candidate 6]])</f>
        <v>5.2057814796668302E-3</v>
      </c>
      <c r="Q1663" s="100">
        <f>IF(SamplingData[[#This Row],[Max Error Bound (up)]] = 0,0,SamplingData[[#This Row],[Max Error Bound (up)]]/SamplingData[[#Totals],[Max Error Bound (up)]])</f>
        <v>8.2390060366789575E-4</v>
      </c>
      <c r="R1663" s="101">
        <f>SUM($Q$5:Q1663)</f>
        <v>0.60358310460416797</v>
      </c>
      <c r="S1663" s="100" t="str">
        <f t="array" ref="S1663">IF(SamplingData[[#This Row],[up/U Selection Probability]] = 0, "Zero", TEXT(SamplingData[[#This Row],[Lower Range]], REPT("0",LEN('General Info'!$B$40))) &amp; " - " &amp; TEXT(SamplingData[[#This Row],[Upper Range]], REPT("0",LEN('General Info'!$B$40))))</f>
        <v>60276 - 60357</v>
      </c>
      <c r="T1663" s="100">
        <f>SamplingData[[#This Row],[Upper Range]]-SamplingData[[#This Row],[Span]]</f>
        <v>60275.921223950609</v>
      </c>
      <c r="U1663" s="100">
        <f>IF(ISNUMBER('General Info'!$B$40), ((SamplingData[[#This Row],[up/U Selection Probability]]) * 'General Info'!$B$40) - 1, 0)</f>
        <v>81.389236466185906</v>
      </c>
      <c r="V1663" s="100">
        <f>IF(ISNUMBER('General Info'!$B$40), (SamplingData[[#This Row],[Running (cumulative) sum]] * ('General Info'!$B$40 -'General Info'!$B$41 + 1)) + 'General Info'!$B$41 - 1, 0)</f>
        <v>60357.310460416797</v>
      </c>
      <c r="W1663" s="100" t="str">
        <f>IF(ISERROR(MATCH(SamplingData[[#This Row],[Batch by Type (p)]],SelectedPrecincts[Batch Name], 0)), "", INDEX(SelectedPrecincts[Draw], MATCH(SamplingData[[#This Row],[Batch by Type (p)]],SelectedPrecincts[Batch Name], 0)))</f>
        <v/>
      </c>
      <c r="X1663" s="102">
        <f>IF(COUNTIF(SelectedPrecincts[Batch Name],SamplingData[[#This Row],[Batch by Type (p)]]) &lt;&gt; 0, COUNTIF(SelectedPrecincts[Batch Name],SamplingData[[#This Row],[Batch by Type (p)]]), 0)</f>
        <v>0</v>
      </c>
    </row>
    <row r="1664" spans="1:24" ht="15" customHeight="1">
      <c r="A1664" s="18" t="s">
        <v>1840</v>
      </c>
      <c r="B1664" s="18">
        <v>12</v>
      </c>
      <c r="C1664" s="18">
        <v>14</v>
      </c>
      <c r="D1664" s="18">
        <v>1</v>
      </c>
      <c r="E1664" s="18">
        <v>4</v>
      </c>
      <c r="F1664" s="18">
        <v>0</v>
      </c>
      <c r="G1664" s="18">
        <v>0</v>
      </c>
      <c r="H1664" s="18">
        <v>0</v>
      </c>
      <c r="I1664" s="18">
        <v>2</v>
      </c>
      <c r="J1664" s="99">
        <f>SUM(SamplingData[[#This Row],[Losing Candidate]:[Under Votes]])</f>
        <v>33</v>
      </c>
      <c r="K1664" s="100">
        <f>IF(AND(SamplingData[[#This Row],[Total]]&lt;&gt; 0, NOT(ISBLANK(SamplingData[[#This Row],[Losing Candidate]]))),(SamplingData[[#This Row],[Total]]+SamplingData[[#This Row],[Winning Candidate]]-SamplingData[[#This Row],[Losing Candidate]])/(SamplingData[[#Totals],[Winning Candidate]]-SamplingData[[#Totals],[Losing Candidate]]), 0)</f>
        <v>2.1435570798628125E-3</v>
      </c>
      <c r="L1664" s="100">
        <f>IF(AND(SamplingData[[#This Row],[Total]]&lt;&gt; 0, NOT(ISBLANK(SamplingData[[#This Row],[Candidate 3]]))),(SamplingData[[#This Row],[Total]]+SamplingData[[#This Row],[Winning Candidate]]-SamplingData[[#This Row],[Candidate 3]])/(SamplingData[[#Totals],[Winning Candidate]]-SamplingData[[#Totals],[Candidate 3]]), 0)</f>
        <v>1.4840145820563281E-3</v>
      </c>
      <c r="M1664" s="100">
        <f>IF(AND(SamplingData[[#This Row],[Total]]&lt;&gt; 0, NOT(ISBLANK(SamplingData[[#This Row],[Candidate 4]]))),(SamplingData[[#This Row],[Total]]+SamplingData[[#This Row],[Winning Candidate]]-SamplingData[[#This Row],[Candidate 4]])/(SamplingData[[#Totals],[Winning Candidate]]-SamplingData[[#Totals],[Candidate 4]]), 0)</f>
        <v>1.2569791575316436E-3</v>
      </c>
      <c r="N1664" s="100">
        <f>IF(AND(SamplingData[[#This Row],[Total]]&lt;&gt; 0, NOT(ISBLANK(SamplingData[[#This Row],[Candidate 5]]))),(SamplingData[[#This Row],[Total]]+SamplingData[[#This Row],[Winning Candidate]]-SamplingData[[#This Row],[Candidate 5]])/(SamplingData[[#Totals],[Winning Candidate]]-SamplingData[[#Totals],[Candidate 5]]), 0)</f>
        <v>1.1432741425443931E-3</v>
      </c>
      <c r="O1664" s="100">
        <f>IF(AND(SamplingData[[#This Row],[Total]]&lt;&gt; 0, NOT(ISBLANK(SamplingData[[#This Row],[Candidate 6]]))),(SamplingData[[#This Row],[Total]]+SamplingData[[#This Row],[Winning Candidate]]-SamplingData[[#This Row],[Candidate 6]])/(SamplingData[[#Totals],[Winning Candidate]]-SamplingData[[#Totals],[Candidate 6]]), 0)</f>
        <v>1.1429405184572735E-3</v>
      </c>
      <c r="P1664" s="100">
        <f>MAX(SamplingData[[#This Row],[Error Bound (up) - Max. possible relative overstatement - Losing Candidate]:[Error Bound (up) - Max. possible relative overstatement - Candidate 6]])</f>
        <v>2.1435570798628125E-3</v>
      </c>
      <c r="Q1664" s="100">
        <f>IF(SamplingData[[#This Row],[Max Error Bound (up)]] = 0,0,SamplingData[[#This Row],[Max Error Bound (up)]]/SamplingData[[#Totals],[Max Error Bound (up)]])</f>
        <v>3.3925318974560413E-4</v>
      </c>
      <c r="R1664" s="101">
        <f>SUM($Q$5:Q1664)</f>
        <v>0.60392235779391357</v>
      </c>
      <c r="S1664" s="100" t="str">
        <f t="array" ref="S1664">IF(SamplingData[[#This Row],[up/U Selection Probability]] = 0, "Zero", TEXT(SamplingData[[#This Row],[Lower Range]], REPT("0",LEN('General Info'!$B$40))) &amp; " - " &amp; TEXT(SamplingData[[#This Row],[Upper Range]], REPT("0",LEN('General Info'!$B$40))))</f>
        <v>60358 - 60391</v>
      </c>
      <c r="T1664" s="100">
        <f>SamplingData[[#This Row],[Upper Range]]-SamplingData[[#This Row],[Span]]</f>
        <v>60358.310799669984</v>
      </c>
      <c r="U1664" s="100">
        <f>IF(ISNUMBER('General Info'!$B$40), ((SamplingData[[#This Row],[up/U Selection Probability]]) * 'General Info'!$B$40) - 1, 0)</f>
        <v>32.924979721370669</v>
      </c>
      <c r="V1664" s="100">
        <f>IF(ISNUMBER('General Info'!$B$40), (SamplingData[[#This Row],[Running (cumulative) sum]] * ('General Info'!$B$40 -'General Info'!$B$41 + 1)) + 'General Info'!$B$41 - 1, 0)</f>
        <v>60391.235779391354</v>
      </c>
      <c r="W1664" s="100" t="str">
        <f>IF(ISERROR(MATCH(SamplingData[[#This Row],[Batch by Type (p)]],SelectedPrecincts[Batch Name], 0)), "", INDEX(SelectedPrecincts[Draw], MATCH(SamplingData[[#This Row],[Batch by Type (p)]],SelectedPrecincts[Batch Name], 0)))</f>
        <v/>
      </c>
      <c r="X1664" s="102">
        <f>IF(COUNTIF(SelectedPrecincts[Batch Name],SamplingData[[#This Row],[Batch by Type (p)]]) &lt;&gt; 0, COUNTIF(SelectedPrecincts[Batch Name],SamplingData[[#This Row],[Batch by Type (p)]]), 0)</f>
        <v>0</v>
      </c>
    </row>
    <row r="1665" spans="1:24" ht="15" customHeight="1">
      <c r="A1665" s="18" t="s">
        <v>1841</v>
      </c>
      <c r="B1665" s="18">
        <v>24</v>
      </c>
      <c r="C1665" s="18">
        <v>25</v>
      </c>
      <c r="D1665" s="16">
        <v>8</v>
      </c>
      <c r="E1665" s="16">
        <v>5</v>
      </c>
      <c r="F1665" s="37">
        <v>0</v>
      </c>
      <c r="G1665" s="37">
        <v>0</v>
      </c>
      <c r="H1665" s="17">
        <v>0</v>
      </c>
      <c r="I1665" s="17">
        <v>1</v>
      </c>
      <c r="J1665" s="99">
        <f>SUM(SamplingData[[#This Row],[Losing Candidate]:[Under Votes]])</f>
        <v>63</v>
      </c>
      <c r="K1665" s="100">
        <f>IF(AND(SamplingData[[#This Row],[Total]]&lt;&gt; 0, NOT(ISBLANK(SamplingData[[#This Row],[Losing Candidate]]))),(SamplingData[[#This Row],[Total]]+SamplingData[[#This Row],[Winning Candidate]]-SamplingData[[#This Row],[Losing Candidate]])/(SamplingData[[#Totals],[Winning Candidate]]-SamplingData[[#Totals],[Losing Candidate]]), 0)</f>
        <v>3.9196472317491425E-3</v>
      </c>
      <c r="L1665" s="100">
        <f>IF(AND(SamplingData[[#This Row],[Total]]&lt;&gt; 0, NOT(ISBLANK(SamplingData[[#This Row],[Candidate 3]]))),(SamplingData[[#This Row],[Total]]+SamplingData[[#This Row],[Winning Candidate]]-SamplingData[[#This Row],[Candidate 3]])/(SamplingData[[#Totals],[Winning Candidate]]-SamplingData[[#Totals],[Candidate 3]]), 0)</f>
        <v>2.5808949253153532E-3</v>
      </c>
      <c r="M1665" s="100">
        <f>IF(AND(SamplingData[[#This Row],[Total]]&lt;&gt; 0, NOT(ISBLANK(SamplingData[[#This Row],[Candidate 4]]))),(SamplingData[[#This Row],[Total]]+SamplingData[[#This Row],[Winning Candidate]]-SamplingData[[#This Row],[Candidate 4]])/(SamplingData[[#Totals],[Winning Candidate]]-SamplingData[[#Totals],[Candidate 4]]), 0)</f>
        <v>2.4262620947703819E-3</v>
      </c>
      <c r="N1665" s="100">
        <f>IF(AND(SamplingData[[#This Row],[Total]]&lt;&gt; 0, NOT(ISBLANK(SamplingData[[#This Row],[Candidate 5]]))),(SamplingData[[#This Row],[Total]]+SamplingData[[#This Row],[Winning Candidate]]-SamplingData[[#This Row],[Candidate 5]])/(SamplingData[[#Totals],[Winning Candidate]]-SamplingData[[#Totals],[Candidate 5]]), 0)</f>
        <v>2.1405983945512043E-3</v>
      </c>
      <c r="O1665" s="100">
        <f>IF(AND(SamplingData[[#This Row],[Total]]&lt;&gt; 0, NOT(ISBLANK(SamplingData[[#This Row],[Candidate 6]]))),(SamplingData[[#This Row],[Total]]+SamplingData[[#This Row],[Winning Candidate]]-SamplingData[[#This Row],[Candidate 6]])/(SamplingData[[#Totals],[Winning Candidate]]-SamplingData[[#Totals],[Candidate 6]]), 0)</f>
        <v>2.1399737366859586E-3</v>
      </c>
      <c r="P1665" s="100">
        <f>MAX(SamplingData[[#This Row],[Error Bound (up) - Max. possible relative overstatement - Losing Candidate]:[Error Bound (up) - Max. possible relative overstatement - Candidate 6]])</f>
        <v>3.9196472317491425E-3</v>
      </c>
      <c r="Q1665" s="100">
        <f>IF(SamplingData[[#This Row],[Max Error Bound (up)]] = 0,0,SamplingData[[#This Row],[Max Error Bound (up)]]/SamplingData[[#Totals],[Max Error Bound (up)]])</f>
        <v>6.2034868982053322E-4</v>
      </c>
      <c r="R1665" s="101">
        <f>SUM($Q$5:Q1665)</f>
        <v>0.60454270648373409</v>
      </c>
      <c r="S1665" s="100" t="str">
        <f t="array" ref="S1665">IF(SamplingData[[#This Row],[up/U Selection Probability]] = 0, "Zero", TEXT(SamplingData[[#This Row],[Lower Range]], REPT("0",LEN('General Info'!$B$40))) &amp; " - " &amp; TEXT(SamplingData[[#This Row],[Upper Range]], REPT("0",LEN('General Info'!$B$40))))</f>
        <v>60392 - 60453</v>
      </c>
      <c r="T1665" s="100">
        <f>SamplingData[[#This Row],[Upper Range]]-SamplingData[[#This Row],[Span]]</f>
        <v>60392.236399740046</v>
      </c>
      <c r="U1665" s="100">
        <f>IF(ISNUMBER('General Info'!$B$40), ((SamplingData[[#This Row],[up/U Selection Probability]]) * 'General Info'!$B$40) - 1, 0)</f>
        <v>61.034248633363504</v>
      </c>
      <c r="V1665" s="100">
        <f>IF(ISNUMBER('General Info'!$B$40), (SamplingData[[#This Row],[Running (cumulative) sum]] * ('General Info'!$B$40 -'General Info'!$B$41 + 1)) + 'General Info'!$B$41 - 1, 0)</f>
        <v>60453.270648373407</v>
      </c>
      <c r="W1665" s="100" t="str">
        <f>IF(ISERROR(MATCH(SamplingData[[#This Row],[Batch by Type (p)]],SelectedPrecincts[Batch Name], 0)), "", INDEX(SelectedPrecincts[Draw], MATCH(SamplingData[[#This Row],[Batch by Type (p)]],SelectedPrecincts[Batch Name], 0)))</f>
        <v/>
      </c>
      <c r="X1665" s="102">
        <f>IF(COUNTIF(SelectedPrecincts[Batch Name],SamplingData[[#This Row],[Batch by Type (p)]]) &lt;&gt; 0, COUNTIF(SelectedPrecincts[Batch Name],SamplingData[[#This Row],[Batch by Type (p)]]), 0)</f>
        <v>0</v>
      </c>
    </row>
    <row r="1666" spans="1:24" ht="15" customHeight="1">
      <c r="A1666" s="18" t="s">
        <v>1842</v>
      </c>
      <c r="B1666" s="18">
        <v>11</v>
      </c>
      <c r="C1666" s="18">
        <v>8</v>
      </c>
      <c r="D1666" s="18">
        <v>1</v>
      </c>
      <c r="E1666" s="18">
        <v>3</v>
      </c>
      <c r="F1666" s="18">
        <v>0</v>
      </c>
      <c r="G1666" s="18">
        <v>0</v>
      </c>
      <c r="H1666" s="18">
        <v>0</v>
      </c>
      <c r="I1666" s="18">
        <v>0</v>
      </c>
      <c r="J1666" s="99">
        <f>SUM(SamplingData[[#This Row],[Losing Candidate]:[Under Votes]])</f>
        <v>23</v>
      </c>
      <c r="K166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666" s="100">
        <f>IF(AND(SamplingData[[#This Row],[Total]]&lt;&gt; 0, NOT(ISBLANK(SamplingData[[#This Row],[Candidate 3]]))),(SamplingData[[#This Row],[Total]]+SamplingData[[#This Row],[Winning Candidate]]-SamplingData[[#This Row],[Candidate 3]])/(SamplingData[[#Totals],[Winning Candidate]]-SamplingData[[#Totals],[Candidate 3]]), 0)</f>
        <v>9.6783559699325746E-4</v>
      </c>
      <c r="M1666" s="100">
        <f>IF(AND(SamplingData[[#This Row],[Total]]&lt;&gt; 0, NOT(ISBLANK(SamplingData[[#This Row],[Candidate 4]]))),(SamplingData[[#This Row],[Total]]+SamplingData[[#This Row],[Winning Candidate]]-SamplingData[[#This Row],[Candidate 4]])/(SamplingData[[#Totals],[Winning Candidate]]-SamplingData[[#Totals],[Candidate 4]]), 0)</f>
        <v>8.1849805606711685E-4</v>
      </c>
      <c r="N1666" s="100">
        <f>IF(AND(SamplingData[[#This Row],[Total]]&lt;&gt; 0, NOT(ISBLANK(SamplingData[[#This Row],[Candidate 5]]))),(SamplingData[[#This Row],[Total]]+SamplingData[[#This Row],[Winning Candidate]]-SamplingData[[#This Row],[Candidate 5]])/(SamplingData[[#Totals],[Winning Candidate]]-SamplingData[[#Totals],[Candidate 5]]), 0)</f>
        <v>7.5407443444417419E-4</v>
      </c>
      <c r="O1666" s="100">
        <f>IF(AND(SamplingData[[#This Row],[Total]]&lt;&gt; 0, NOT(ISBLANK(SamplingData[[#This Row],[Candidate 6]]))),(SamplingData[[#This Row],[Total]]+SamplingData[[#This Row],[Winning Candidate]]-SamplingData[[#This Row],[Candidate 6]])/(SamplingData[[#Totals],[Winning Candidate]]-SamplingData[[#Totals],[Candidate 6]]), 0)</f>
        <v>7.5385438451437182E-4</v>
      </c>
      <c r="P1666" s="100">
        <f>MAX(SamplingData[[#This Row],[Error Bound (up) - Max. possible relative overstatement - Losing Candidate]:[Error Bound (up) - Max. possible relative overstatement - Candidate 6]])</f>
        <v>1.224889759921607E-3</v>
      </c>
      <c r="Q1666" s="100">
        <f>IF(SamplingData[[#This Row],[Max Error Bound (up)]] = 0,0,SamplingData[[#This Row],[Max Error Bound (up)]]/SamplingData[[#Totals],[Max Error Bound (up)]])</f>
        <v>1.9385896556891664E-4</v>
      </c>
      <c r="R1666" s="101">
        <f>SUM($Q$5:Q1666)</f>
        <v>0.60473656544930299</v>
      </c>
      <c r="S1666" s="100" t="str">
        <f t="array" ref="S1666">IF(SamplingData[[#This Row],[up/U Selection Probability]] = 0, "Zero", TEXT(SamplingData[[#This Row],[Lower Range]], REPT("0",LEN('General Info'!$B$40))) &amp; " - " &amp; TEXT(SamplingData[[#This Row],[Upper Range]], REPT("0",LEN('General Info'!$B$40))))</f>
        <v>60454 - 60473</v>
      </c>
      <c r="T1666" s="100">
        <f>SamplingData[[#This Row],[Upper Range]]-SamplingData[[#This Row],[Span]]</f>
        <v>60454.270842232378</v>
      </c>
      <c r="U1666" s="100">
        <f>IF(ISNUMBER('General Info'!$B$40), ((SamplingData[[#This Row],[up/U Selection Probability]]) * 'General Info'!$B$40) - 1, 0)</f>
        <v>18.385702697926096</v>
      </c>
      <c r="V1666" s="100">
        <f>IF(ISNUMBER('General Info'!$B$40), (SamplingData[[#This Row],[Running (cumulative) sum]] * ('General Info'!$B$40 -'General Info'!$B$41 + 1)) + 'General Info'!$B$41 - 1, 0)</f>
        <v>60472.656544930302</v>
      </c>
      <c r="W1666" s="100" t="str">
        <f>IF(ISERROR(MATCH(SamplingData[[#This Row],[Batch by Type (p)]],SelectedPrecincts[Batch Name], 0)), "", INDEX(SelectedPrecincts[Draw], MATCH(SamplingData[[#This Row],[Batch by Type (p)]],SelectedPrecincts[Batch Name], 0)))</f>
        <v/>
      </c>
      <c r="X1666" s="102">
        <f>IF(COUNTIF(SelectedPrecincts[Batch Name],SamplingData[[#This Row],[Batch by Type (p)]]) &lt;&gt; 0, COUNTIF(SelectedPrecincts[Batch Name],SamplingData[[#This Row],[Batch by Type (p)]]), 0)</f>
        <v>0</v>
      </c>
    </row>
    <row r="1667" spans="1:24" ht="15" customHeight="1">
      <c r="A1667" s="18" t="s">
        <v>1843</v>
      </c>
      <c r="B1667" s="18">
        <v>20</v>
      </c>
      <c r="C1667" s="18">
        <v>36</v>
      </c>
      <c r="D1667" s="16">
        <v>8</v>
      </c>
      <c r="E1667" s="16">
        <v>14</v>
      </c>
      <c r="F1667" s="37">
        <v>0</v>
      </c>
      <c r="G1667" s="37">
        <v>2</v>
      </c>
      <c r="H1667" s="17">
        <v>1</v>
      </c>
      <c r="I1667" s="17">
        <v>0</v>
      </c>
      <c r="J1667" s="99">
        <f>SUM(SamplingData[[#This Row],[Losing Candidate]:[Under Votes]])</f>
        <v>81</v>
      </c>
      <c r="K1667" s="100">
        <f>IF(AND(SamplingData[[#This Row],[Total]]&lt;&gt; 0, NOT(ISBLANK(SamplingData[[#This Row],[Losing Candidate]]))),(SamplingData[[#This Row],[Total]]+SamplingData[[#This Row],[Winning Candidate]]-SamplingData[[#This Row],[Losing Candidate]])/(SamplingData[[#Totals],[Winning Candidate]]-SamplingData[[#Totals],[Losing Candidate]]), 0)</f>
        <v>5.9407153356197942E-3</v>
      </c>
      <c r="L1667" s="100">
        <f>IF(AND(SamplingData[[#This Row],[Total]]&lt;&gt; 0, NOT(ISBLANK(SamplingData[[#This Row],[Candidate 3]]))),(SamplingData[[#This Row],[Total]]+SamplingData[[#This Row],[Winning Candidate]]-SamplingData[[#This Row],[Candidate 3]])/(SamplingData[[#Totals],[Winning Candidate]]-SamplingData[[#Totals],[Candidate 3]]), 0)</f>
        <v>3.5164693357421688E-3</v>
      </c>
      <c r="M1667" s="100">
        <f>IF(AND(SamplingData[[#This Row],[Total]]&lt;&gt; 0, NOT(ISBLANK(SamplingData[[#This Row],[Candidate 4]]))),(SamplingData[[#This Row],[Total]]+SamplingData[[#This Row],[Winning Candidate]]-SamplingData[[#This Row],[Candidate 4]])/(SamplingData[[#Totals],[Winning Candidate]]-SamplingData[[#Totals],[Candidate 4]]), 0)</f>
        <v>3.0109035633897512E-3</v>
      </c>
      <c r="N1667" s="100">
        <f>IF(AND(SamplingData[[#This Row],[Total]]&lt;&gt; 0, NOT(ISBLANK(SamplingData[[#This Row],[Candidate 5]]))),(SamplingData[[#This Row],[Total]]+SamplingData[[#This Row],[Winning Candidate]]-SamplingData[[#This Row],[Candidate 5]])/(SamplingData[[#Totals],[Winning Candidate]]-SamplingData[[#Totals],[Candidate 5]]), 0)</f>
        <v>2.8460228654828509E-3</v>
      </c>
      <c r="O1667" s="100">
        <f>IF(AND(SamplingData[[#This Row],[Total]]&lt;&gt; 0, NOT(ISBLANK(SamplingData[[#This Row],[Candidate 6]]))),(SamplingData[[#This Row],[Total]]+SamplingData[[#This Row],[Winning Candidate]]-SamplingData[[#This Row],[Candidate 6]])/(SamplingData[[#Totals],[Winning Candidate]]-SamplingData[[#Totals],[Candidate 6]]), 0)</f>
        <v>2.7965565877146052E-3</v>
      </c>
      <c r="P1667" s="100">
        <f>MAX(SamplingData[[#This Row],[Error Bound (up) - Max. possible relative overstatement - Losing Candidate]:[Error Bound (up) - Max. possible relative overstatement - Candidate 6]])</f>
        <v>5.9407153356197942E-3</v>
      </c>
      <c r="Q1667" s="100">
        <f>IF(SamplingData[[#This Row],[Max Error Bound (up)]] = 0,0,SamplingData[[#This Row],[Max Error Bound (up)]]/SamplingData[[#Totals],[Max Error Bound (up)]])</f>
        <v>9.4021598300924561E-4</v>
      </c>
      <c r="R1667" s="101">
        <f>SUM($Q$5:Q1667)</f>
        <v>0.60567678143231218</v>
      </c>
      <c r="S1667" s="100" t="str">
        <f t="array" ref="S1667">IF(SamplingData[[#This Row],[up/U Selection Probability]] = 0, "Zero", TEXT(SamplingData[[#This Row],[Lower Range]], REPT("0",LEN('General Info'!$B$40))) &amp; " - " &amp; TEXT(SamplingData[[#This Row],[Upper Range]], REPT("0",LEN('General Info'!$B$40))))</f>
        <v>60474 - 60567</v>
      </c>
      <c r="T1667" s="100">
        <f>SamplingData[[#This Row],[Upper Range]]-SamplingData[[#This Row],[Span]]</f>
        <v>60473.657485146279</v>
      </c>
      <c r="U1667" s="100">
        <f>IF(ISNUMBER('General Info'!$B$40), ((SamplingData[[#This Row],[up/U Selection Probability]]) * 'General Info'!$B$40) - 1, 0)</f>
        <v>93.020658084941559</v>
      </c>
      <c r="V1667" s="100">
        <f>IF(ISNUMBER('General Info'!$B$40), (SamplingData[[#This Row],[Running (cumulative) sum]] * ('General Info'!$B$40 -'General Info'!$B$41 + 1)) + 'General Info'!$B$41 - 1, 0)</f>
        <v>60566.67814323122</v>
      </c>
      <c r="W1667" s="100" t="str">
        <f>IF(ISERROR(MATCH(SamplingData[[#This Row],[Batch by Type (p)]],SelectedPrecincts[Batch Name], 0)), "", INDEX(SelectedPrecincts[Draw], MATCH(SamplingData[[#This Row],[Batch by Type (p)]],SelectedPrecincts[Batch Name], 0)))</f>
        <v/>
      </c>
      <c r="X1667" s="102">
        <f>IF(COUNTIF(SelectedPrecincts[Batch Name],SamplingData[[#This Row],[Batch by Type (p)]]) &lt;&gt; 0, COUNTIF(SelectedPrecincts[Batch Name],SamplingData[[#This Row],[Batch by Type (p)]]), 0)</f>
        <v>0</v>
      </c>
    </row>
    <row r="1668" spans="1:24" ht="15" customHeight="1">
      <c r="A1668" s="18" t="s">
        <v>1844</v>
      </c>
      <c r="B1668" s="18">
        <v>13</v>
      </c>
      <c r="C1668" s="18">
        <v>12</v>
      </c>
      <c r="D1668" s="18">
        <v>2</v>
      </c>
      <c r="E1668" s="18">
        <v>0</v>
      </c>
      <c r="F1668" s="18">
        <v>1</v>
      </c>
      <c r="G1668" s="18">
        <v>0</v>
      </c>
      <c r="H1668" s="18">
        <v>0</v>
      </c>
      <c r="I1668" s="18">
        <v>2</v>
      </c>
      <c r="J1668" s="99">
        <f>SUM(SamplingData[[#This Row],[Losing Candidate]:[Under Votes]])</f>
        <v>30</v>
      </c>
      <c r="K1668"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1668" s="100">
        <f>IF(AND(SamplingData[[#This Row],[Total]]&lt;&gt; 0, NOT(ISBLANK(SamplingData[[#This Row],[Candidate 3]]))),(SamplingData[[#This Row],[Total]]+SamplingData[[#This Row],[Winning Candidate]]-SamplingData[[#This Row],[Candidate 3]])/(SamplingData[[#Totals],[Winning Candidate]]-SamplingData[[#Totals],[Candidate 3]]), 0)</f>
        <v>1.2904474626576766E-3</v>
      </c>
      <c r="M1668" s="100">
        <f>IF(AND(SamplingData[[#This Row],[Total]]&lt;&gt; 0, NOT(ISBLANK(SamplingData[[#This Row],[Candidate 4]]))),(SamplingData[[#This Row],[Total]]+SamplingData[[#This Row],[Winning Candidate]]-SamplingData[[#This Row],[Candidate 4]])/(SamplingData[[#Totals],[Winning Candidate]]-SamplingData[[#Totals],[Candidate 4]]), 0)</f>
        <v>1.2277470841006752E-3</v>
      </c>
      <c r="N1668" s="100">
        <f>IF(AND(SamplingData[[#This Row],[Total]]&lt;&gt; 0, NOT(ISBLANK(SamplingData[[#This Row],[Candidate 5]]))),(SamplingData[[#This Row],[Total]]+SamplingData[[#This Row],[Winning Candidate]]-SamplingData[[#This Row],[Candidate 5]])/(SamplingData[[#Totals],[Winning Candidate]]-SamplingData[[#Totals],[Candidate 5]]), 0)</f>
        <v>9.9732425200681099E-4</v>
      </c>
      <c r="O1668" s="100">
        <f>IF(AND(SamplingData[[#This Row],[Total]]&lt;&gt; 0, NOT(ISBLANK(SamplingData[[#This Row],[Candidate 6]]))),(SamplingData[[#This Row],[Total]]+SamplingData[[#This Row],[Winning Candidate]]-SamplingData[[#This Row],[Candidate 6]])/(SamplingData[[#Totals],[Winning Candidate]]-SamplingData[[#Totals],[Candidate 6]]), 0)</f>
        <v>1.0213511016001168E-3</v>
      </c>
      <c r="P1668" s="100">
        <f>MAX(SamplingData[[#This Row],[Error Bound (up) - Max. possible relative overstatement - Losing Candidate]:[Error Bound (up) - Max. possible relative overstatement - Candidate 6]])</f>
        <v>1.7760901518863303E-3</v>
      </c>
      <c r="Q1668" s="100">
        <f>IF(SamplingData[[#This Row],[Max Error Bound (up)]] = 0,0,SamplingData[[#This Row],[Max Error Bound (up)]]/SamplingData[[#Totals],[Max Error Bound (up)]])</f>
        <v>2.8109550007492914E-4</v>
      </c>
      <c r="R1668" s="101">
        <f>SUM($Q$5:Q1668)</f>
        <v>0.60595787693238712</v>
      </c>
      <c r="S1668" s="100" t="str">
        <f t="array" ref="S1668">IF(SamplingData[[#This Row],[up/U Selection Probability]] = 0, "Zero", TEXT(SamplingData[[#This Row],[Lower Range]], REPT("0",LEN('General Info'!$B$40))) &amp; " - " &amp; TEXT(SamplingData[[#This Row],[Upper Range]], REPT("0",LEN('General Info'!$B$40))))</f>
        <v>60568 - 60595</v>
      </c>
      <c r="T1668" s="100">
        <f>SamplingData[[#This Row],[Upper Range]]-SamplingData[[#This Row],[Span]]</f>
        <v>60567.678424326725</v>
      </c>
      <c r="U1668" s="100">
        <f>IF(ISNUMBER('General Info'!$B$40), ((SamplingData[[#This Row],[up/U Selection Probability]]) * 'General Info'!$B$40) - 1, 0)</f>
        <v>27.109268911992839</v>
      </c>
      <c r="V1668" s="100">
        <f>IF(ISNUMBER('General Info'!$B$40), (SamplingData[[#This Row],[Running (cumulative) sum]] * ('General Info'!$B$40 -'General Info'!$B$41 + 1)) + 'General Info'!$B$41 - 1, 0)</f>
        <v>60594.787693238715</v>
      </c>
      <c r="W1668" s="100" t="str">
        <f>IF(ISERROR(MATCH(SamplingData[[#This Row],[Batch by Type (p)]],SelectedPrecincts[Batch Name], 0)), "", INDEX(SelectedPrecincts[Draw], MATCH(SamplingData[[#This Row],[Batch by Type (p)]],SelectedPrecincts[Batch Name], 0)))</f>
        <v/>
      </c>
      <c r="X1668" s="102">
        <f>IF(COUNTIF(SelectedPrecincts[Batch Name],SamplingData[[#This Row],[Batch by Type (p)]]) &lt;&gt; 0, COUNTIF(SelectedPrecincts[Batch Name],SamplingData[[#This Row],[Batch by Type (p)]]), 0)</f>
        <v>0</v>
      </c>
    </row>
    <row r="1669" spans="1:24" ht="15" customHeight="1">
      <c r="A1669" s="18" t="s">
        <v>1845</v>
      </c>
      <c r="B1669" s="18">
        <v>19</v>
      </c>
      <c r="C1669" s="18">
        <v>11</v>
      </c>
      <c r="D1669" s="16">
        <v>10</v>
      </c>
      <c r="E1669" s="16">
        <v>10</v>
      </c>
      <c r="F1669" s="37">
        <v>0</v>
      </c>
      <c r="G1669" s="37">
        <v>0</v>
      </c>
      <c r="H1669" s="17">
        <v>0</v>
      </c>
      <c r="I1669" s="17">
        <v>0</v>
      </c>
      <c r="J1669" s="99">
        <f>SUM(SamplingData[[#This Row],[Losing Candidate]:[Under Votes]])</f>
        <v>50</v>
      </c>
      <c r="K1669"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669" s="100">
        <f>IF(AND(SamplingData[[#This Row],[Total]]&lt;&gt; 0, NOT(ISBLANK(SamplingData[[#This Row],[Candidate 3]]))),(SamplingData[[#This Row],[Total]]+SamplingData[[#This Row],[Winning Candidate]]-SamplingData[[#This Row],[Candidate 3]])/(SamplingData[[#Totals],[Winning Candidate]]-SamplingData[[#Totals],[Candidate 3]]), 0)</f>
        <v>1.6453205148885377E-3</v>
      </c>
      <c r="M1669" s="100">
        <f>IF(AND(SamplingData[[#This Row],[Total]]&lt;&gt; 0, NOT(ISBLANK(SamplingData[[#This Row],[Candidate 4]]))),(SamplingData[[#This Row],[Total]]+SamplingData[[#This Row],[Winning Candidate]]-SamplingData[[#This Row],[Candidate 4]])/(SamplingData[[#Totals],[Winning Candidate]]-SamplingData[[#Totals],[Candidate 4]]), 0)</f>
        <v>1.4908357449793914E-3</v>
      </c>
      <c r="N1669" s="100">
        <f>IF(AND(SamplingData[[#This Row],[Total]]&lt;&gt; 0, NOT(ISBLANK(SamplingData[[#This Row],[Candidate 5]]))),(SamplingData[[#This Row],[Total]]+SamplingData[[#This Row],[Winning Candidate]]-SamplingData[[#This Row],[Candidate 5]])/(SamplingData[[#Totals],[Winning Candidate]]-SamplingData[[#Totals],[Candidate 5]]), 0)</f>
        <v>1.4838238871320846E-3</v>
      </c>
      <c r="O1669" s="100">
        <f>IF(AND(SamplingData[[#This Row],[Total]]&lt;&gt; 0, NOT(ISBLANK(SamplingData[[#This Row],[Candidate 6]]))),(SamplingData[[#This Row],[Total]]+SamplingData[[#This Row],[Winning Candidate]]-SamplingData[[#This Row],[Candidate 6]])/(SamplingData[[#Totals],[Winning Candidate]]-SamplingData[[#Totals],[Candidate 6]]), 0)</f>
        <v>1.4833908856573125E-3</v>
      </c>
      <c r="P1669" s="100">
        <f>MAX(SamplingData[[#This Row],[Error Bound (up) - Max. possible relative overstatement - Losing Candidate]:[Error Bound (up) - Max. possible relative overstatement - Candidate 6]])</f>
        <v>2.5722684958353749E-3</v>
      </c>
      <c r="Q1669" s="100">
        <f>IF(SamplingData[[#This Row],[Max Error Bound (up)]] = 0,0,SamplingData[[#This Row],[Max Error Bound (up)]]/SamplingData[[#Totals],[Max Error Bound (up)]])</f>
        <v>4.0710382769472496E-4</v>
      </c>
      <c r="R1669" s="101">
        <f>SUM($Q$5:Q1669)</f>
        <v>0.60636498076008183</v>
      </c>
      <c r="S1669" s="100" t="str">
        <f t="array" ref="S1669">IF(SamplingData[[#This Row],[up/U Selection Probability]] = 0, "Zero", TEXT(SamplingData[[#This Row],[Lower Range]], REPT("0",LEN('General Info'!$B$40))) &amp; " - " &amp; TEXT(SamplingData[[#This Row],[Upper Range]], REPT("0",LEN('General Info'!$B$40))))</f>
        <v>60596 - 60635</v>
      </c>
      <c r="T1669" s="100">
        <f>SamplingData[[#This Row],[Upper Range]]-SamplingData[[#This Row],[Span]]</f>
        <v>60595.788100342535</v>
      </c>
      <c r="U1669" s="100">
        <f>IF(ISNUMBER('General Info'!$B$40), ((SamplingData[[#This Row],[up/U Selection Probability]]) * 'General Info'!$B$40) - 1, 0)</f>
        <v>39.709975665644798</v>
      </c>
      <c r="V1669" s="100">
        <f>IF(ISNUMBER('General Info'!$B$40), (SamplingData[[#This Row],[Running (cumulative) sum]] * ('General Info'!$B$40 -'General Info'!$B$41 + 1)) + 'General Info'!$B$41 - 1, 0)</f>
        <v>60635.498076008182</v>
      </c>
      <c r="W1669" s="100" t="str">
        <f>IF(ISERROR(MATCH(SamplingData[[#This Row],[Batch by Type (p)]],SelectedPrecincts[Batch Name], 0)), "", INDEX(SelectedPrecincts[Draw], MATCH(SamplingData[[#This Row],[Batch by Type (p)]],SelectedPrecincts[Batch Name], 0)))</f>
        <v/>
      </c>
      <c r="X1669" s="102">
        <f>IF(COUNTIF(SelectedPrecincts[Batch Name],SamplingData[[#This Row],[Batch by Type (p)]]) &lt;&gt; 0, COUNTIF(SelectedPrecincts[Batch Name],SamplingData[[#This Row],[Batch by Type (p)]]), 0)</f>
        <v>0</v>
      </c>
    </row>
    <row r="1670" spans="1:24" ht="15" customHeight="1">
      <c r="A1670" s="18" t="s">
        <v>1846</v>
      </c>
      <c r="B1670" s="18">
        <v>7</v>
      </c>
      <c r="C1670" s="18">
        <v>14</v>
      </c>
      <c r="D1670" s="18">
        <v>3</v>
      </c>
      <c r="E1670" s="18">
        <v>0</v>
      </c>
      <c r="F1670" s="18">
        <v>0</v>
      </c>
      <c r="G1670" s="18">
        <v>0</v>
      </c>
      <c r="H1670" s="18">
        <v>0</v>
      </c>
      <c r="I1670" s="18">
        <v>0</v>
      </c>
      <c r="J1670" s="99">
        <f>SUM(SamplingData[[#This Row],[Losing Candidate]:[Under Votes]])</f>
        <v>24</v>
      </c>
      <c r="K1670"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670" s="100">
        <f>IF(AND(SamplingData[[#This Row],[Total]]&lt;&gt; 0, NOT(ISBLANK(SamplingData[[#This Row],[Candidate 3]]))),(SamplingData[[#This Row],[Total]]+SamplingData[[#This Row],[Winning Candidate]]-SamplingData[[#This Row],[Candidate 3]])/(SamplingData[[#Totals],[Winning Candidate]]-SamplingData[[#Totals],[Candidate 3]]), 0)</f>
        <v>1.1291415298254669E-3</v>
      </c>
      <c r="M1670" s="100">
        <f>IF(AND(SamplingData[[#This Row],[Total]]&lt;&gt; 0, NOT(ISBLANK(SamplingData[[#This Row],[Candidate 4]]))),(SamplingData[[#This Row],[Total]]+SamplingData[[#This Row],[Winning Candidate]]-SamplingData[[#This Row],[Candidate 4]])/(SamplingData[[#Totals],[Winning Candidate]]-SamplingData[[#Totals],[Candidate 4]]), 0)</f>
        <v>1.1108187903768015E-3</v>
      </c>
      <c r="N1670" s="100">
        <f>IF(AND(SamplingData[[#This Row],[Total]]&lt;&gt; 0, NOT(ISBLANK(SamplingData[[#This Row],[Candidate 5]]))),(SamplingData[[#This Row],[Total]]+SamplingData[[#This Row],[Winning Candidate]]-SamplingData[[#This Row],[Candidate 5]])/(SamplingData[[#Totals],[Winning Candidate]]-SamplingData[[#Totals],[Candidate 5]]), 0)</f>
        <v>9.2434930673801995E-4</v>
      </c>
      <c r="O1670" s="100">
        <f>IF(AND(SamplingData[[#This Row],[Total]]&lt;&gt; 0, NOT(ISBLANK(SamplingData[[#This Row],[Candidate 6]]))),(SamplingData[[#This Row],[Total]]+SamplingData[[#This Row],[Winning Candidate]]-SamplingData[[#This Row],[Candidate 6]])/(SamplingData[[#Totals],[Winning Candidate]]-SamplingData[[#Totals],[Candidate 6]]), 0)</f>
        <v>9.2407956811439132E-4</v>
      </c>
      <c r="P1670" s="100">
        <f>MAX(SamplingData[[#This Row],[Error Bound (up) - Max. possible relative overstatement - Losing Candidate]:[Error Bound (up) - Max. possible relative overstatement - Candidate 6]])</f>
        <v>1.8985791278784908E-3</v>
      </c>
      <c r="Q1670" s="100">
        <f>IF(SamplingData[[#This Row],[Max Error Bound (up)]] = 0,0,SamplingData[[#This Row],[Max Error Bound (up)]]/SamplingData[[#Totals],[Max Error Bound (up)]])</f>
        <v>3.0048139663182077E-4</v>
      </c>
      <c r="R1670" s="101">
        <f>SUM($Q$5:Q1670)</f>
        <v>0.60666546215671369</v>
      </c>
      <c r="S1670" s="100" t="str">
        <f t="array" ref="S1670">IF(SamplingData[[#This Row],[up/U Selection Probability]] = 0, "Zero", TEXT(SamplingData[[#This Row],[Lower Range]], REPT("0",LEN('General Info'!$B$40))) &amp; " - " &amp; TEXT(SamplingData[[#This Row],[Upper Range]], REPT("0",LEN('General Info'!$B$40))))</f>
        <v>60636 - 60666</v>
      </c>
      <c r="T1670" s="100">
        <f>SamplingData[[#This Row],[Upper Range]]-SamplingData[[#This Row],[Span]]</f>
        <v>60636.498376489581</v>
      </c>
      <c r="U1670" s="100">
        <f>IF(ISNUMBER('General Info'!$B$40), ((SamplingData[[#This Row],[up/U Selection Probability]]) * 'General Info'!$B$40) - 1, 0)</f>
        <v>29.047839181785445</v>
      </c>
      <c r="V1670" s="100">
        <f>IF(ISNUMBER('General Info'!$B$40), (SamplingData[[#This Row],[Running (cumulative) sum]] * ('General Info'!$B$40 -'General Info'!$B$41 + 1)) + 'General Info'!$B$41 - 1, 0)</f>
        <v>60665.546215671369</v>
      </c>
      <c r="W1670" s="100" t="str">
        <f>IF(ISERROR(MATCH(SamplingData[[#This Row],[Batch by Type (p)]],SelectedPrecincts[Batch Name], 0)), "", INDEX(SelectedPrecincts[Draw], MATCH(SamplingData[[#This Row],[Batch by Type (p)]],SelectedPrecincts[Batch Name], 0)))</f>
        <v/>
      </c>
      <c r="X1670" s="102">
        <f>IF(COUNTIF(SelectedPrecincts[Batch Name],SamplingData[[#This Row],[Batch by Type (p)]]) &lt;&gt; 0, COUNTIF(SelectedPrecincts[Batch Name],SamplingData[[#This Row],[Batch by Type (p)]]), 0)</f>
        <v>0</v>
      </c>
    </row>
    <row r="1671" spans="1:24" ht="15" customHeight="1">
      <c r="A1671" s="18" t="s">
        <v>1847</v>
      </c>
      <c r="B1671" s="18">
        <v>15</v>
      </c>
      <c r="C1671" s="18">
        <v>22</v>
      </c>
      <c r="D1671" s="16">
        <v>3</v>
      </c>
      <c r="E1671" s="16">
        <v>3</v>
      </c>
      <c r="F1671" s="37">
        <v>0</v>
      </c>
      <c r="G1671" s="37">
        <v>1</v>
      </c>
      <c r="H1671" s="17">
        <v>0</v>
      </c>
      <c r="I1671" s="17">
        <v>2</v>
      </c>
      <c r="J1671" s="99">
        <f>SUM(SamplingData[[#This Row],[Losing Candidate]:[Under Votes]])</f>
        <v>46</v>
      </c>
      <c r="K1671" s="100">
        <f>IF(AND(SamplingData[[#This Row],[Total]]&lt;&gt; 0, NOT(ISBLANK(SamplingData[[#This Row],[Losing Candidate]]))),(SamplingData[[#This Row],[Total]]+SamplingData[[#This Row],[Winning Candidate]]-SamplingData[[#This Row],[Losing Candidate]])/(SamplingData[[#Totals],[Winning Candidate]]-SamplingData[[#Totals],[Losing Candidate]]), 0)</f>
        <v>3.2459578637922589E-3</v>
      </c>
      <c r="L1671" s="100">
        <f>IF(AND(SamplingData[[#This Row],[Total]]&lt;&gt; 0, NOT(ISBLANK(SamplingData[[#This Row],[Candidate 3]]))),(SamplingData[[#This Row],[Total]]+SamplingData[[#This Row],[Winning Candidate]]-SamplingData[[#This Row],[Candidate 3]])/(SamplingData[[#Totals],[Winning Candidate]]-SamplingData[[#Totals],[Candidate 3]]), 0)</f>
        <v>2.0969771268187242E-3</v>
      </c>
      <c r="M1671" s="100">
        <f>IF(AND(SamplingData[[#This Row],[Total]]&lt;&gt; 0, NOT(ISBLANK(SamplingData[[#This Row],[Candidate 4]]))),(SamplingData[[#This Row],[Total]]+SamplingData[[#This Row],[Winning Candidate]]-SamplingData[[#This Row],[Candidate 4]])/(SamplingData[[#Totals],[Winning Candidate]]-SamplingData[[#Totals],[Candidate 4]]), 0)</f>
        <v>1.9000847730129499E-3</v>
      </c>
      <c r="N1671" s="100">
        <f>IF(AND(SamplingData[[#This Row],[Total]]&lt;&gt; 0, NOT(ISBLANK(SamplingData[[#This Row],[Candidate 5]]))),(SamplingData[[#This Row],[Total]]+SamplingData[[#This Row],[Winning Candidate]]-SamplingData[[#This Row],[Candidate 5]])/(SamplingData[[#Totals],[Winning Candidate]]-SamplingData[[#Totals],[Candidate 5]]), 0)</f>
        <v>1.6540987594259305E-3</v>
      </c>
      <c r="O1671" s="100">
        <f>IF(AND(SamplingData[[#This Row],[Total]]&lt;&gt; 0, NOT(ISBLANK(SamplingData[[#This Row],[Candidate 6]]))),(SamplingData[[#This Row],[Total]]+SamplingData[[#This Row],[Winning Candidate]]-SamplingData[[#This Row],[Candidate 6]])/(SamplingData[[#Totals],[Winning Candidate]]-SamplingData[[#Totals],[Candidate 6]]), 0)</f>
        <v>1.6292981858859006E-3</v>
      </c>
      <c r="P1671" s="100">
        <f>MAX(SamplingData[[#This Row],[Error Bound (up) - Max. possible relative overstatement - Losing Candidate]:[Error Bound (up) - Max. possible relative overstatement - Candidate 6]])</f>
        <v>3.2459578637922589E-3</v>
      </c>
      <c r="Q1671" s="100">
        <f>IF(SamplingData[[#This Row],[Max Error Bound (up)]] = 0,0,SamplingData[[#This Row],[Max Error Bound (up)]]/SamplingData[[#Totals],[Max Error Bound (up)]])</f>
        <v>5.1372625875762909E-4</v>
      </c>
      <c r="R1671" s="101">
        <f>SUM($Q$5:Q1671)</f>
        <v>0.60717918841547136</v>
      </c>
      <c r="S1671" s="100" t="str">
        <f t="array" ref="S1671">IF(SamplingData[[#This Row],[up/U Selection Probability]] = 0, "Zero", TEXT(SamplingData[[#This Row],[Lower Range]], REPT("0",LEN('General Info'!$B$40))) &amp; " - " &amp; TEXT(SamplingData[[#This Row],[Upper Range]], REPT("0",LEN('General Info'!$B$40))))</f>
        <v>60667 - 60717</v>
      </c>
      <c r="T1671" s="100">
        <f>SamplingData[[#This Row],[Upper Range]]-SamplingData[[#This Row],[Span]]</f>
        <v>60666.546729397633</v>
      </c>
      <c r="U1671" s="100">
        <f>IF(ISNUMBER('General Info'!$B$40), ((SamplingData[[#This Row],[up/U Selection Probability]]) * 'General Info'!$B$40) - 1, 0)</f>
        <v>50.372112149504154</v>
      </c>
      <c r="V1671" s="100">
        <f>IF(ISNUMBER('General Info'!$B$40), (SamplingData[[#This Row],[Running (cumulative) sum]] * ('General Info'!$B$40 -'General Info'!$B$41 + 1)) + 'General Info'!$B$41 - 1, 0)</f>
        <v>60716.918841547136</v>
      </c>
      <c r="W1671" s="100" t="str">
        <f>IF(ISERROR(MATCH(SamplingData[[#This Row],[Batch by Type (p)]],SelectedPrecincts[Batch Name], 0)), "", INDEX(SelectedPrecincts[Draw], MATCH(SamplingData[[#This Row],[Batch by Type (p)]],SelectedPrecincts[Batch Name], 0)))</f>
        <v/>
      </c>
      <c r="X1671" s="102">
        <f>IF(COUNTIF(SelectedPrecincts[Batch Name],SamplingData[[#This Row],[Batch by Type (p)]]) &lt;&gt; 0, COUNTIF(SelectedPrecincts[Batch Name],SamplingData[[#This Row],[Batch by Type (p)]]), 0)</f>
        <v>0</v>
      </c>
    </row>
    <row r="1672" spans="1:24" ht="15" customHeight="1">
      <c r="A1672" s="18" t="s">
        <v>1848</v>
      </c>
      <c r="B1672" s="18">
        <v>3</v>
      </c>
      <c r="C1672" s="18">
        <v>10</v>
      </c>
      <c r="D1672" s="18">
        <v>5</v>
      </c>
      <c r="E1672" s="18">
        <v>0</v>
      </c>
      <c r="F1672" s="18">
        <v>0</v>
      </c>
      <c r="G1672" s="18">
        <v>0</v>
      </c>
      <c r="H1672" s="18">
        <v>0</v>
      </c>
      <c r="I1672" s="18">
        <v>0</v>
      </c>
      <c r="J1672" s="99">
        <f>SUM(SamplingData[[#This Row],[Losing Candidate]:[Under Votes]])</f>
        <v>18</v>
      </c>
      <c r="K1672"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1672" s="100">
        <f>IF(AND(SamplingData[[#This Row],[Total]]&lt;&gt; 0, NOT(ISBLANK(SamplingData[[#This Row],[Candidate 3]]))),(SamplingData[[#This Row],[Total]]+SamplingData[[#This Row],[Winning Candidate]]-SamplingData[[#This Row],[Candidate 3]])/(SamplingData[[#Totals],[Winning Candidate]]-SamplingData[[#Totals],[Candidate 3]]), 0)</f>
        <v>7.4200729102816406E-4</v>
      </c>
      <c r="M1672" s="100">
        <f>IF(AND(SamplingData[[#This Row],[Total]]&lt;&gt; 0, NOT(ISBLANK(SamplingData[[#This Row],[Candidate 4]]))),(SamplingData[[#This Row],[Total]]+SamplingData[[#This Row],[Winning Candidate]]-SamplingData[[#This Row],[Candidate 4]])/(SamplingData[[#Totals],[Winning Candidate]]-SamplingData[[#Totals],[Candidate 4]]), 0)</f>
        <v>8.1849805606711685E-4</v>
      </c>
      <c r="N1672" s="100">
        <f>IF(AND(SamplingData[[#This Row],[Total]]&lt;&gt; 0, NOT(ISBLANK(SamplingData[[#This Row],[Candidate 5]]))),(SamplingData[[#This Row],[Total]]+SamplingData[[#This Row],[Winning Candidate]]-SamplingData[[#This Row],[Candidate 5]])/(SamplingData[[#Totals],[Winning Candidate]]-SamplingData[[#Totals],[Candidate 5]]), 0)</f>
        <v>6.8109948917538315E-4</v>
      </c>
      <c r="O1672" s="100">
        <f>IF(AND(SamplingData[[#This Row],[Total]]&lt;&gt; 0, NOT(ISBLANK(SamplingData[[#This Row],[Candidate 6]]))),(SamplingData[[#This Row],[Total]]+SamplingData[[#This Row],[Winning Candidate]]-SamplingData[[#This Row],[Candidate 6]])/(SamplingData[[#Totals],[Winning Candidate]]-SamplingData[[#Totals],[Candidate 6]]), 0)</f>
        <v>6.8090073440007777E-4</v>
      </c>
      <c r="P1672" s="100">
        <f>MAX(SamplingData[[#This Row],[Error Bound (up) - Max. possible relative overstatement - Losing Candidate]:[Error Bound (up) - Max. possible relative overstatement - Candidate 6]])</f>
        <v>1.5311121999020088E-3</v>
      </c>
      <c r="Q1672" s="100">
        <f>IF(SamplingData[[#This Row],[Max Error Bound (up)]] = 0,0,SamplingData[[#This Row],[Max Error Bound (up)]]/SamplingData[[#Totals],[Max Error Bound (up)]])</f>
        <v>2.4232370696114578E-4</v>
      </c>
      <c r="R1672" s="101">
        <f>SUM($Q$5:Q1672)</f>
        <v>0.60742151212243256</v>
      </c>
      <c r="S1672" s="100" t="str">
        <f t="array" ref="S1672">IF(SamplingData[[#This Row],[up/U Selection Probability]] = 0, "Zero", TEXT(SamplingData[[#This Row],[Lower Range]], REPT("0",LEN('General Info'!$B$40))) &amp; " - " &amp; TEXT(SamplingData[[#This Row],[Upper Range]], REPT("0",LEN('General Info'!$B$40))))</f>
        <v>60718 - 60741</v>
      </c>
      <c r="T1672" s="100">
        <f>SamplingData[[#This Row],[Upper Range]]-SamplingData[[#This Row],[Span]]</f>
        <v>60717.919083870845</v>
      </c>
      <c r="U1672" s="100">
        <f>IF(ISNUMBER('General Info'!$B$40), ((SamplingData[[#This Row],[up/U Selection Probability]]) * 'General Info'!$B$40) - 1, 0)</f>
        <v>23.232128372407619</v>
      </c>
      <c r="V1672" s="100">
        <f>IF(ISNUMBER('General Info'!$B$40), (SamplingData[[#This Row],[Running (cumulative) sum]] * ('General Info'!$B$40 -'General Info'!$B$41 + 1)) + 'General Info'!$B$41 - 1, 0)</f>
        <v>60741.151212243254</v>
      </c>
      <c r="W1672" s="100" t="str">
        <f>IF(ISERROR(MATCH(SamplingData[[#This Row],[Batch by Type (p)]],SelectedPrecincts[Batch Name], 0)), "", INDEX(SelectedPrecincts[Draw], MATCH(SamplingData[[#This Row],[Batch by Type (p)]],SelectedPrecincts[Batch Name], 0)))</f>
        <v/>
      </c>
      <c r="X1672" s="102">
        <f>IF(COUNTIF(SelectedPrecincts[Batch Name],SamplingData[[#This Row],[Batch by Type (p)]]) &lt;&gt; 0, COUNTIF(SelectedPrecincts[Batch Name],SamplingData[[#This Row],[Batch by Type (p)]]), 0)</f>
        <v>0</v>
      </c>
    </row>
    <row r="1673" spans="1:24" ht="15" customHeight="1">
      <c r="A1673" s="18" t="s">
        <v>1849</v>
      </c>
      <c r="B1673" s="18">
        <v>11</v>
      </c>
      <c r="C1673" s="18">
        <v>14</v>
      </c>
      <c r="D1673" s="16">
        <v>7</v>
      </c>
      <c r="E1673" s="16">
        <v>10</v>
      </c>
      <c r="F1673" s="37">
        <v>0</v>
      </c>
      <c r="G1673" s="37">
        <v>0</v>
      </c>
      <c r="H1673" s="17">
        <v>0</v>
      </c>
      <c r="I1673" s="17">
        <v>0</v>
      </c>
      <c r="J1673" s="99">
        <f>SUM(SamplingData[[#This Row],[Losing Candidate]:[Under Votes]])</f>
        <v>42</v>
      </c>
      <c r="K1673"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673" s="100">
        <f>IF(AND(SamplingData[[#This Row],[Total]]&lt;&gt; 0, NOT(ISBLANK(SamplingData[[#This Row],[Candidate 3]]))),(SamplingData[[#This Row],[Total]]+SamplingData[[#This Row],[Winning Candidate]]-SamplingData[[#This Row],[Candidate 3]])/(SamplingData[[#Totals],[Winning Candidate]]-SamplingData[[#Totals],[Candidate 3]]), 0)</f>
        <v>1.5807981417556537E-3</v>
      </c>
      <c r="M1673" s="100">
        <f>IF(AND(SamplingData[[#This Row],[Total]]&lt;&gt; 0, NOT(ISBLANK(SamplingData[[#This Row],[Candidate 4]]))),(SamplingData[[#This Row],[Total]]+SamplingData[[#This Row],[Winning Candidate]]-SamplingData[[#This Row],[Candidate 4]])/(SamplingData[[#Totals],[Winning Candidate]]-SamplingData[[#Totals],[Candidate 4]]), 0)</f>
        <v>1.344675377824549E-3</v>
      </c>
      <c r="N1673" s="100">
        <f>IF(AND(SamplingData[[#This Row],[Total]]&lt;&gt; 0, NOT(ISBLANK(SamplingData[[#This Row],[Candidate 5]]))),(SamplingData[[#This Row],[Total]]+SamplingData[[#This Row],[Winning Candidate]]-SamplingData[[#This Row],[Candidate 5]])/(SamplingData[[#Totals],[Winning Candidate]]-SamplingData[[#Totals],[Candidate 5]]), 0)</f>
        <v>1.3621989783507663E-3</v>
      </c>
      <c r="O1673" s="100">
        <f>IF(AND(SamplingData[[#This Row],[Total]]&lt;&gt; 0, NOT(ISBLANK(SamplingData[[#This Row],[Candidate 6]]))),(SamplingData[[#This Row],[Total]]+SamplingData[[#This Row],[Winning Candidate]]-SamplingData[[#This Row],[Candidate 6]])/(SamplingData[[#Totals],[Winning Candidate]]-SamplingData[[#Totals],[Candidate 6]]), 0)</f>
        <v>1.3618014688001555E-3</v>
      </c>
      <c r="P1673" s="100">
        <f>MAX(SamplingData[[#This Row],[Error Bound (up) - Max. possible relative overstatement - Losing Candidate]:[Error Bound (up) - Max. possible relative overstatement - Candidate 6]])</f>
        <v>2.7560019598236157E-3</v>
      </c>
      <c r="Q1673" s="100">
        <f>IF(SamplingData[[#This Row],[Max Error Bound (up)]] = 0,0,SamplingData[[#This Row],[Max Error Bound (up)]]/SamplingData[[#Totals],[Max Error Bound (up)]])</f>
        <v>4.3618267253006237E-4</v>
      </c>
      <c r="R1673" s="101">
        <f>SUM($Q$5:Q1673)</f>
        <v>0.60785769479496266</v>
      </c>
      <c r="S1673" s="100" t="str">
        <f t="array" ref="S1673">IF(SamplingData[[#This Row],[up/U Selection Probability]] = 0, "Zero", TEXT(SamplingData[[#This Row],[Lower Range]], REPT("0",LEN('General Info'!$B$40))) &amp; " - " &amp; TEXT(SamplingData[[#This Row],[Upper Range]], REPT("0",LEN('General Info'!$B$40))))</f>
        <v>60742 - 60785</v>
      </c>
      <c r="T1673" s="100">
        <f>SamplingData[[#This Row],[Upper Range]]-SamplingData[[#This Row],[Span]]</f>
        <v>60742.151648425934</v>
      </c>
      <c r="U1673" s="100">
        <f>IF(ISNUMBER('General Info'!$B$40), ((SamplingData[[#This Row],[up/U Selection Probability]]) * 'General Info'!$B$40) - 1, 0)</f>
        <v>42.617831070333708</v>
      </c>
      <c r="V1673" s="100">
        <f>IF(ISNUMBER('General Info'!$B$40), (SamplingData[[#This Row],[Running (cumulative) sum]] * ('General Info'!$B$40 -'General Info'!$B$41 + 1)) + 'General Info'!$B$41 - 1, 0)</f>
        <v>60784.769479496266</v>
      </c>
      <c r="W1673" s="100" t="str">
        <f>IF(ISERROR(MATCH(SamplingData[[#This Row],[Batch by Type (p)]],SelectedPrecincts[Batch Name], 0)), "", INDEX(SelectedPrecincts[Draw], MATCH(SamplingData[[#This Row],[Batch by Type (p)]],SelectedPrecincts[Batch Name], 0)))</f>
        <v/>
      </c>
      <c r="X1673" s="102">
        <f>IF(COUNTIF(SelectedPrecincts[Batch Name],SamplingData[[#This Row],[Batch by Type (p)]]) &lt;&gt; 0, COUNTIF(SelectedPrecincts[Batch Name],SamplingData[[#This Row],[Batch by Type (p)]]), 0)</f>
        <v>0</v>
      </c>
    </row>
    <row r="1674" spans="1:24" ht="15" customHeight="1">
      <c r="A1674" s="18" t="s">
        <v>1850</v>
      </c>
      <c r="B1674" s="18">
        <v>11</v>
      </c>
      <c r="C1674" s="18">
        <v>6</v>
      </c>
      <c r="D1674" s="18">
        <v>2</v>
      </c>
      <c r="E1674" s="18">
        <v>1</v>
      </c>
      <c r="F1674" s="18">
        <v>0</v>
      </c>
      <c r="G1674" s="18">
        <v>0</v>
      </c>
      <c r="H1674" s="18">
        <v>0</v>
      </c>
      <c r="I1674" s="18">
        <v>2</v>
      </c>
      <c r="J1674" s="99">
        <f>SUM(SamplingData[[#This Row],[Losing Candidate]:[Under Votes]])</f>
        <v>22</v>
      </c>
      <c r="K1674"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674" s="100">
        <f>IF(AND(SamplingData[[#This Row],[Total]]&lt;&gt; 0, NOT(ISBLANK(SamplingData[[#This Row],[Candidate 3]]))),(SamplingData[[#This Row],[Total]]+SamplingData[[#This Row],[Winning Candidate]]-SamplingData[[#This Row],[Candidate 3]])/(SamplingData[[#Totals],[Winning Candidate]]-SamplingData[[#Totals],[Candidate 3]]), 0)</f>
        <v>8.3879085072748971E-4</v>
      </c>
      <c r="M1674" s="100">
        <f>IF(AND(SamplingData[[#This Row],[Total]]&lt;&gt; 0, NOT(ISBLANK(SamplingData[[#This Row],[Candidate 4]]))),(SamplingData[[#This Row],[Total]]+SamplingData[[#This Row],[Winning Candidate]]-SamplingData[[#This Row],[Candidate 4]])/(SamplingData[[#Totals],[Winning Candidate]]-SamplingData[[#Totals],[Candidate 4]]), 0)</f>
        <v>7.8926598263614838E-4</v>
      </c>
      <c r="N1674" s="100">
        <f>IF(AND(SamplingData[[#This Row],[Total]]&lt;&gt; 0, NOT(ISBLANK(SamplingData[[#This Row],[Candidate 5]]))),(SamplingData[[#This Row],[Total]]+SamplingData[[#This Row],[Winning Candidate]]-SamplingData[[#This Row],[Candidate 5]])/(SamplingData[[#Totals],[Winning Candidate]]-SamplingData[[#Totals],[Candidate 5]]), 0)</f>
        <v>6.8109948917538315E-4</v>
      </c>
      <c r="O1674" s="100">
        <f>IF(AND(SamplingData[[#This Row],[Total]]&lt;&gt; 0, NOT(ISBLANK(SamplingData[[#This Row],[Candidate 6]]))),(SamplingData[[#This Row],[Total]]+SamplingData[[#This Row],[Winning Candidate]]-SamplingData[[#This Row],[Candidate 6]])/(SamplingData[[#Totals],[Winning Candidate]]-SamplingData[[#Totals],[Candidate 6]]), 0)</f>
        <v>6.8090073440007777E-4</v>
      </c>
      <c r="P1674" s="100">
        <f>MAX(SamplingData[[#This Row],[Error Bound (up) - Max. possible relative overstatement - Losing Candidate]:[Error Bound (up) - Max. possible relative overstatement - Candidate 6]])</f>
        <v>1.041156295933366E-3</v>
      </c>
      <c r="Q1674" s="100">
        <f>IF(SamplingData[[#This Row],[Max Error Bound (up)]] = 0,0,SamplingData[[#This Row],[Max Error Bound (up)]]/SamplingData[[#Totals],[Max Error Bound (up)]])</f>
        <v>1.6478012073357914E-4</v>
      </c>
      <c r="R1674" s="101">
        <f>SUM($Q$5:Q1674)</f>
        <v>0.60802247491569628</v>
      </c>
      <c r="S1674" s="100" t="str">
        <f t="array" ref="S1674">IF(SamplingData[[#This Row],[up/U Selection Probability]] = 0, "Zero", TEXT(SamplingData[[#This Row],[Lower Range]], REPT("0",LEN('General Info'!$B$40))) &amp; " - " &amp; TEXT(SamplingData[[#This Row],[Upper Range]], REPT("0",LEN('General Info'!$B$40))))</f>
        <v>60786 - 60801</v>
      </c>
      <c r="T1674" s="100">
        <f>SamplingData[[#This Row],[Upper Range]]-SamplingData[[#This Row],[Span]]</f>
        <v>60785.769644276392</v>
      </c>
      <c r="U1674" s="100">
        <f>IF(ISNUMBER('General Info'!$B$40), ((SamplingData[[#This Row],[up/U Selection Probability]]) * 'General Info'!$B$40) - 1, 0)</f>
        <v>15.477847293237179</v>
      </c>
      <c r="V1674" s="100">
        <f>IF(ISNUMBER('General Info'!$B$40), (SamplingData[[#This Row],[Running (cumulative) sum]] * ('General Info'!$B$40 -'General Info'!$B$41 + 1)) + 'General Info'!$B$41 - 1, 0)</f>
        <v>60801.247491569629</v>
      </c>
      <c r="W1674" s="100" t="str">
        <f>IF(ISERROR(MATCH(SamplingData[[#This Row],[Batch by Type (p)]],SelectedPrecincts[Batch Name], 0)), "", INDEX(SelectedPrecincts[Draw], MATCH(SamplingData[[#This Row],[Batch by Type (p)]],SelectedPrecincts[Batch Name], 0)))</f>
        <v/>
      </c>
      <c r="X1674" s="102">
        <f>IF(COUNTIF(SelectedPrecincts[Batch Name],SamplingData[[#This Row],[Batch by Type (p)]]) &lt;&gt; 0, COUNTIF(SelectedPrecincts[Batch Name],SamplingData[[#This Row],[Batch by Type (p)]]), 0)</f>
        <v>0</v>
      </c>
    </row>
    <row r="1675" spans="1:24" ht="15" customHeight="1">
      <c r="A1675" s="18" t="s">
        <v>1851</v>
      </c>
      <c r="B1675" s="18">
        <v>19</v>
      </c>
      <c r="C1675" s="18">
        <v>37</v>
      </c>
      <c r="D1675" s="16">
        <v>4</v>
      </c>
      <c r="E1675" s="16">
        <v>6</v>
      </c>
      <c r="F1675" s="37">
        <v>0</v>
      </c>
      <c r="G1675" s="37">
        <v>0</v>
      </c>
      <c r="H1675" s="17">
        <v>0</v>
      </c>
      <c r="I1675" s="17">
        <v>2</v>
      </c>
      <c r="J1675" s="99">
        <f>SUM(SamplingData[[#This Row],[Losing Candidate]:[Under Votes]])</f>
        <v>68</v>
      </c>
      <c r="K1675"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1675" s="100">
        <f>IF(AND(SamplingData[[#This Row],[Total]]&lt;&gt; 0, NOT(ISBLANK(SamplingData[[#This Row],[Candidate 3]]))),(SamplingData[[#This Row],[Total]]+SamplingData[[#This Row],[Winning Candidate]]-SamplingData[[#This Row],[Candidate 3]])/(SamplingData[[#Totals],[Winning Candidate]]-SamplingData[[#Totals],[Candidate 3]]), 0)</f>
        <v>3.2583798432106333E-3</v>
      </c>
      <c r="M1675" s="100">
        <f>IF(AND(SamplingData[[#This Row],[Total]]&lt;&gt; 0, NOT(ISBLANK(SamplingData[[#This Row],[Candidate 4]]))),(SamplingData[[#This Row],[Total]]+SamplingData[[#This Row],[Winning Candidate]]-SamplingData[[#This Row],[Candidate 4]])/(SamplingData[[#Totals],[Winning Candidate]]-SamplingData[[#Totals],[Candidate 4]]), 0)</f>
        <v>2.8939752696658773E-3</v>
      </c>
      <c r="N1675" s="100">
        <f>IF(AND(SamplingData[[#This Row],[Total]]&lt;&gt; 0, NOT(ISBLANK(SamplingData[[#This Row],[Candidate 5]]))),(SamplingData[[#This Row],[Total]]+SamplingData[[#This Row],[Winning Candidate]]-SamplingData[[#This Row],[Candidate 5]])/(SamplingData[[#Totals],[Winning Candidate]]-SamplingData[[#Totals],[Candidate 5]]), 0)</f>
        <v>2.5541230844076867E-3</v>
      </c>
      <c r="O1675" s="100">
        <f>IF(AND(SamplingData[[#This Row],[Total]]&lt;&gt; 0, NOT(ISBLANK(SamplingData[[#This Row],[Candidate 6]]))),(SamplingData[[#This Row],[Total]]+SamplingData[[#This Row],[Winning Candidate]]-SamplingData[[#This Row],[Candidate 6]])/(SamplingData[[#Totals],[Winning Candidate]]-SamplingData[[#Totals],[Candidate 6]]), 0)</f>
        <v>2.5533777540002918E-3</v>
      </c>
      <c r="P1675" s="100">
        <f>MAX(SamplingData[[#This Row],[Error Bound (up) - Max. possible relative overstatement - Losing Candidate]:[Error Bound (up) - Max. possible relative overstatement - Candidate 6]])</f>
        <v>5.2670259676629106E-3</v>
      </c>
      <c r="Q1675" s="100">
        <f>IF(SamplingData[[#This Row],[Max Error Bound (up)]] = 0,0,SamplingData[[#This Row],[Max Error Bound (up)]]/SamplingData[[#Totals],[Max Error Bound (up)]])</f>
        <v>8.3359355194634159E-4</v>
      </c>
      <c r="R1675" s="101">
        <f>SUM($Q$5:Q1675)</f>
        <v>0.60885606846764262</v>
      </c>
      <c r="S1675" s="100" t="str">
        <f t="array" ref="S1675">IF(SamplingData[[#This Row],[up/U Selection Probability]] = 0, "Zero", TEXT(SamplingData[[#This Row],[Lower Range]], REPT("0",LEN('General Info'!$B$40))) &amp; " - " &amp; TEXT(SamplingData[[#This Row],[Upper Range]], REPT("0",LEN('General Info'!$B$40))))</f>
        <v>60802 - 60885</v>
      </c>
      <c r="T1675" s="100">
        <f>SamplingData[[#This Row],[Upper Range]]-SamplingData[[#This Row],[Span]]</f>
        <v>60802.248325163178</v>
      </c>
      <c r="U1675" s="100">
        <f>IF(ISNUMBER('General Info'!$B$40), ((SamplingData[[#This Row],[up/U Selection Probability]]) * 'General Info'!$B$40) - 1, 0)</f>
        <v>82.358521601082217</v>
      </c>
      <c r="V1675" s="100">
        <f>IF(ISNUMBER('General Info'!$B$40), (SamplingData[[#This Row],[Running (cumulative) sum]] * ('General Info'!$B$40 -'General Info'!$B$41 + 1)) + 'General Info'!$B$41 - 1, 0)</f>
        <v>60884.606846764262</v>
      </c>
      <c r="W1675" s="100" t="str">
        <f>IF(ISERROR(MATCH(SamplingData[[#This Row],[Batch by Type (p)]],SelectedPrecincts[Batch Name], 0)), "", INDEX(SelectedPrecincts[Draw], MATCH(SamplingData[[#This Row],[Batch by Type (p)]],SelectedPrecincts[Batch Name], 0)))</f>
        <v/>
      </c>
      <c r="X1675" s="102">
        <f>IF(COUNTIF(SelectedPrecincts[Batch Name],SamplingData[[#This Row],[Batch by Type (p)]]) &lt;&gt; 0, COUNTIF(SelectedPrecincts[Batch Name],SamplingData[[#This Row],[Batch by Type (p)]]), 0)</f>
        <v>0</v>
      </c>
    </row>
    <row r="1676" spans="1:24" ht="15" customHeight="1">
      <c r="A1676" s="18" t="s">
        <v>1852</v>
      </c>
      <c r="B1676" s="18">
        <v>10</v>
      </c>
      <c r="C1676" s="18">
        <v>9</v>
      </c>
      <c r="D1676" s="18">
        <v>2</v>
      </c>
      <c r="E1676" s="18">
        <v>5</v>
      </c>
      <c r="F1676" s="18">
        <v>0</v>
      </c>
      <c r="G1676" s="18">
        <v>0</v>
      </c>
      <c r="H1676" s="18">
        <v>0</v>
      </c>
      <c r="I1676" s="18">
        <v>1</v>
      </c>
      <c r="J1676" s="99">
        <f>SUM(SamplingData[[#This Row],[Losing Candidate]:[Under Votes]])</f>
        <v>27</v>
      </c>
      <c r="K1676"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676" s="100">
        <f>IF(AND(SamplingData[[#This Row],[Total]]&lt;&gt; 0, NOT(ISBLANK(SamplingData[[#This Row],[Candidate 3]]))),(SamplingData[[#This Row],[Total]]+SamplingData[[#This Row],[Winning Candidate]]-SamplingData[[#This Row],[Candidate 3]])/(SamplingData[[#Totals],[Winning Candidate]]-SamplingData[[#Totals],[Candidate 3]]), 0)</f>
        <v>1.0968803432590251E-3</v>
      </c>
      <c r="M1676" s="100">
        <f>IF(AND(SamplingData[[#This Row],[Total]]&lt;&gt; 0, NOT(ISBLANK(SamplingData[[#This Row],[Candidate 4]]))),(SamplingData[[#This Row],[Total]]+SamplingData[[#This Row],[Winning Candidate]]-SamplingData[[#This Row],[Candidate 4]])/(SamplingData[[#Totals],[Winning Candidate]]-SamplingData[[#Totals],[Candidate 4]]), 0)</f>
        <v>9.0619427636002225E-4</v>
      </c>
      <c r="N1676" s="100">
        <f>IF(AND(SamplingData[[#This Row],[Total]]&lt;&gt; 0, NOT(ISBLANK(SamplingData[[#This Row],[Candidate 5]]))),(SamplingData[[#This Row],[Total]]+SamplingData[[#This Row],[Winning Candidate]]-SamplingData[[#This Row],[Candidate 5]])/(SamplingData[[#Totals],[Winning Candidate]]-SamplingData[[#Totals],[Candidate 5]]), 0)</f>
        <v>8.7569934322549259E-4</v>
      </c>
      <c r="O1676" s="100">
        <f>IF(AND(SamplingData[[#This Row],[Total]]&lt;&gt; 0, NOT(ISBLANK(SamplingData[[#This Row],[Candidate 6]]))),(SamplingData[[#This Row],[Total]]+SamplingData[[#This Row],[Winning Candidate]]-SamplingData[[#This Row],[Candidate 6]])/(SamplingData[[#Totals],[Winning Candidate]]-SamplingData[[#Totals],[Candidate 6]]), 0)</f>
        <v>8.7544380137152865E-4</v>
      </c>
      <c r="P1676" s="100">
        <f>MAX(SamplingData[[#This Row],[Error Bound (up) - Max. possible relative overstatement - Losing Candidate]:[Error Bound (up) - Max. possible relative overstatement - Candidate 6]])</f>
        <v>1.5923566878980893E-3</v>
      </c>
      <c r="Q1676" s="100">
        <f>IF(SamplingData[[#This Row],[Max Error Bound (up)]] = 0,0,SamplingData[[#This Row],[Max Error Bound (up)]]/SamplingData[[#Totals],[Max Error Bound (up)]])</f>
        <v>2.5201665523959162E-4</v>
      </c>
      <c r="R1676" s="101">
        <f>SUM($Q$5:Q1676)</f>
        <v>0.60910808512288217</v>
      </c>
      <c r="S1676" s="100" t="str">
        <f t="array" ref="S1676">IF(SamplingData[[#This Row],[up/U Selection Probability]] = 0, "Zero", TEXT(SamplingData[[#This Row],[Lower Range]], REPT("0",LEN('General Info'!$B$40))) &amp; " - " &amp; TEXT(SamplingData[[#This Row],[Upper Range]], REPT("0",LEN('General Info'!$B$40))))</f>
        <v>60886 - 60910</v>
      </c>
      <c r="T1676" s="100">
        <f>SamplingData[[#This Row],[Upper Range]]-SamplingData[[#This Row],[Span]]</f>
        <v>60885.607098780914</v>
      </c>
      <c r="U1676" s="100">
        <f>IF(ISNUMBER('General Info'!$B$40), ((SamplingData[[#This Row],[up/U Selection Probability]]) * 'General Info'!$B$40) - 1, 0)</f>
        <v>24.201413507303922</v>
      </c>
      <c r="V1676" s="100">
        <f>IF(ISNUMBER('General Info'!$B$40), (SamplingData[[#This Row],[Running (cumulative) sum]] * ('General Info'!$B$40 -'General Info'!$B$41 + 1)) + 'General Info'!$B$41 - 1, 0)</f>
        <v>60909.808512288218</v>
      </c>
      <c r="W1676" s="100" t="str">
        <f>IF(ISERROR(MATCH(SamplingData[[#This Row],[Batch by Type (p)]],SelectedPrecincts[Batch Name], 0)), "", INDEX(SelectedPrecincts[Draw], MATCH(SamplingData[[#This Row],[Batch by Type (p)]],SelectedPrecincts[Batch Name], 0)))</f>
        <v/>
      </c>
      <c r="X1676" s="102">
        <f>IF(COUNTIF(SelectedPrecincts[Batch Name],SamplingData[[#This Row],[Batch by Type (p)]]) &lt;&gt; 0, COUNTIF(SelectedPrecincts[Batch Name],SamplingData[[#This Row],[Batch by Type (p)]]), 0)</f>
        <v>0</v>
      </c>
    </row>
    <row r="1677" spans="1:24" ht="15" customHeight="1">
      <c r="A1677" s="18" t="s">
        <v>1853</v>
      </c>
      <c r="B1677" s="18">
        <v>18</v>
      </c>
      <c r="C1677" s="18">
        <v>36</v>
      </c>
      <c r="D1677" s="16">
        <v>5</v>
      </c>
      <c r="E1677" s="16">
        <v>8</v>
      </c>
      <c r="F1677" s="37">
        <v>0</v>
      </c>
      <c r="G1677" s="37">
        <v>0</v>
      </c>
      <c r="H1677" s="17">
        <v>0</v>
      </c>
      <c r="I1677" s="17">
        <v>1</v>
      </c>
      <c r="J1677" s="99">
        <f>SUM(SamplingData[[#This Row],[Losing Candidate]:[Under Votes]])</f>
        <v>68</v>
      </c>
      <c r="K1677"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1677" s="100">
        <f>IF(AND(SamplingData[[#This Row],[Total]]&lt;&gt; 0, NOT(ISBLANK(SamplingData[[#This Row],[Candidate 3]]))),(SamplingData[[#This Row],[Total]]+SamplingData[[#This Row],[Winning Candidate]]-SamplingData[[#This Row],[Candidate 3]])/(SamplingData[[#Totals],[Winning Candidate]]-SamplingData[[#Totals],[Candidate 3]]), 0)</f>
        <v>3.1938574700777493E-3</v>
      </c>
      <c r="M1677" s="100">
        <f>IF(AND(SamplingData[[#This Row],[Total]]&lt;&gt; 0, NOT(ISBLANK(SamplingData[[#This Row],[Candidate 4]]))),(SamplingData[[#This Row],[Total]]+SamplingData[[#This Row],[Winning Candidate]]-SamplingData[[#This Row],[Candidate 4]])/(SamplingData[[#Totals],[Winning Candidate]]-SamplingData[[#Totals],[Candidate 4]]), 0)</f>
        <v>2.8062790493729719E-3</v>
      </c>
      <c r="N1677" s="100">
        <f>IF(AND(SamplingData[[#This Row],[Total]]&lt;&gt; 0, NOT(ISBLANK(SamplingData[[#This Row],[Candidate 5]]))),(SamplingData[[#This Row],[Total]]+SamplingData[[#This Row],[Winning Candidate]]-SamplingData[[#This Row],[Candidate 5]])/(SamplingData[[#Totals],[Winning Candidate]]-SamplingData[[#Totals],[Candidate 5]]), 0)</f>
        <v>2.5297981026514232E-3</v>
      </c>
      <c r="O1677" s="100">
        <f>IF(AND(SamplingData[[#This Row],[Total]]&lt;&gt; 0, NOT(ISBLANK(SamplingData[[#This Row],[Candidate 6]]))),(SamplingData[[#This Row],[Total]]+SamplingData[[#This Row],[Winning Candidate]]-SamplingData[[#This Row],[Candidate 6]])/(SamplingData[[#Totals],[Winning Candidate]]-SamplingData[[#Totals],[Candidate 6]]), 0)</f>
        <v>2.5290598706288604E-3</v>
      </c>
      <c r="P1677" s="100">
        <f>MAX(SamplingData[[#This Row],[Error Bound (up) - Max. possible relative overstatement - Losing Candidate]:[Error Bound (up) - Max. possible relative overstatement - Candidate 6]])</f>
        <v>5.2670259676629106E-3</v>
      </c>
      <c r="Q1677" s="100">
        <f>IF(SamplingData[[#This Row],[Max Error Bound (up)]] = 0,0,SamplingData[[#This Row],[Max Error Bound (up)]]/SamplingData[[#Totals],[Max Error Bound (up)]])</f>
        <v>8.3359355194634159E-4</v>
      </c>
      <c r="R1677" s="101">
        <f>SUM($Q$5:Q1677)</f>
        <v>0.60994167867482851</v>
      </c>
      <c r="S1677" s="100" t="str">
        <f t="array" ref="S1677">IF(SamplingData[[#This Row],[up/U Selection Probability]] = 0, "Zero", TEXT(SamplingData[[#This Row],[Lower Range]], REPT("0",LEN('General Info'!$B$40))) &amp; " - " &amp; TEXT(SamplingData[[#This Row],[Upper Range]], REPT("0",LEN('General Info'!$B$40))))</f>
        <v>60911 - 60993</v>
      </c>
      <c r="T1677" s="100">
        <f>SamplingData[[#This Row],[Upper Range]]-SamplingData[[#This Row],[Span]]</f>
        <v>60910.809345881768</v>
      </c>
      <c r="U1677" s="100">
        <f>IF(ISNUMBER('General Info'!$B$40), ((SamplingData[[#This Row],[up/U Selection Probability]]) * 'General Info'!$B$40) - 1, 0)</f>
        <v>82.358521601082217</v>
      </c>
      <c r="V1677" s="100">
        <f>IF(ISNUMBER('General Info'!$B$40), (SamplingData[[#This Row],[Running (cumulative) sum]] * ('General Info'!$B$40 -'General Info'!$B$41 + 1)) + 'General Info'!$B$41 - 1, 0)</f>
        <v>60993.167867482851</v>
      </c>
      <c r="W1677" s="100" t="str">
        <f>IF(ISERROR(MATCH(SamplingData[[#This Row],[Batch by Type (p)]],SelectedPrecincts[Batch Name], 0)), "", INDEX(SelectedPrecincts[Draw], MATCH(SamplingData[[#This Row],[Batch by Type (p)]],SelectedPrecincts[Batch Name], 0)))</f>
        <v/>
      </c>
      <c r="X1677" s="102">
        <f>IF(COUNTIF(SelectedPrecincts[Batch Name],SamplingData[[#This Row],[Batch by Type (p)]]) &lt;&gt; 0, COUNTIF(SelectedPrecincts[Batch Name],SamplingData[[#This Row],[Batch by Type (p)]]), 0)</f>
        <v>0</v>
      </c>
    </row>
    <row r="1678" spans="1:24" ht="15" customHeight="1">
      <c r="A1678" s="18" t="s">
        <v>1854</v>
      </c>
      <c r="B1678" s="18">
        <v>2</v>
      </c>
      <c r="C1678" s="18">
        <v>7</v>
      </c>
      <c r="D1678" s="18">
        <v>3</v>
      </c>
      <c r="E1678" s="18">
        <v>0</v>
      </c>
      <c r="F1678" s="18">
        <v>0</v>
      </c>
      <c r="G1678" s="18">
        <v>0</v>
      </c>
      <c r="H1678" s="18">
        <v>0</v>
      </c>
      <c r="I1678" s="18">
        <v>0</v>
      </c>
      <c r="J1678" s="99">
        <f>SUM(SamplingData[[#This Row],[Losing Candidate]:[Under Votes]])</f>
        <v>12</v>
      </c>
      <c r="K1678"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678" s="100">
        <f>IF(AND(SamplingData[[#This Row],[Total]]&lt;&gt; 0, NOT(ISBLANK(SamplingData[[#This Row],[Candidate 3]]))),(SamplingData[[#This Row],[Total]]+SamplingData[[#This Row],[Winning Candidate]]-SamplingData[[#This Row],[Candidate 3]])/(SamplingData[[#Totals],[Winning Candidate]]-SamplingData[[#Totals],[Candidate 3]]), 0)</f>
        <v>5.1617898506307067E-4</v>
      </c>
      <c r="M1678" s="100">
        <f>IF(AND(SamplingData[[#This Row],[Total]]&lt;&gt; 0, NOT(ISBLANK(SamplingData[[#This Row],[Candidate 4]]))),(SamplingData[[#This Row],[Total]]+SamplingData[[#This Row],[Winning Candidate]]-SamplingData[[#This Row],[Candidate 4]])/(SamplingData[[#Totals],[Winning Candidate]]-SamplingData[[#Totals],[Candidate 4]]), 0)</f>
        <v>5.5540939518840076E-4</v>
      </c>
      <c r="N1678" s="100">
        <f>IF(AND(SamplingData[[#This Row],[Total]]&lt;&gt; 0, NOT(ISBLANK(SamplingData[[#This Row],[Candidate 5]]))),(SamplingData[[#This Row],[Total]]+SamplingData[[#This Row],[Winning Candidate]]-SamplingData[[#This Row],[Candidate 5]])/(SamplingData[[#Totals],[Winning Candidate]]-SamplingData[[#Totals],[Candidate 5]]), 0)</f>
        <v>4.6217465336900997E-4</v>
      </c>
      <c r="O1678" s="100">
        <f>IF(AND(SamplingData[[#This Row],[Total]]&lt;&gt; 0, NOT(ISBLANK(SamplingData[[#This Row],[Candidate 6]]))),(SamplingData[[#This Row],[Total]]+SamplingData[[#This Row],[Winning Candidate]]-SamplingData[[#This Row],[Candidate 6]])/(SamplingData[[#Totals],[Winning Candidate]]-SamplingData[[#Totals],[Candidate 6]]), 0)</f>
        <v>4.6203978405719566E-4</v>
      </c>
      <c r="P1678" s="100">
        <f>MAX(SamplingData[[#This Row],[Error Bound (up) - Max. possible relative overstatement - Losing Candidate]:[Error Bound (up) - Max. possible relative overstatement - Candidate 6]])</f>
        <v>1.041156295933366E-3</v>
      </c>
      <c r="Q1678" s="100">
        <f>IF(SamplingData[[#This Row],[Max Error Bound (up)]] = 0,0,SamplingData[[#This Row],[Max Error Bound (up)]]/SamplingData[[#Totals],[Max Error Bound (up)]])</f>
        <v>1.6478012073357914E-4</v>
      </c>
      <c r="R1678" s="101">
        <f>SUM($Q$5:Q1678)</f>
        <v>0.61010645879556213</v>
      </c>
      <c r="S1678" s="100" t="str">
        <f t="array" ref="S1678">IF(SamplingData[[#This Row],[up/U Selection Probability]] = 0, "Zero", TEXT(SamplingData[[#This Row],[Lower Range]], REPT("0",LEN('General Info'!$B$40))) &amp; " - " &amp; TEXT(SamplingData[[#This Row],[Upper Range]], REPT("0",LEN('General Info'!$B$40))))</f>
        <v>60994 - 61010</v>
      </c>
      <c r="T1678" s="100">
        <f>SamplingData[[#This Row],[Upper Range]]-SamplingData[[#This Row],[Span]]</f>
        <v>60994.168032262976</v>
      </c>
      <c r="U1678" s="100">
        <f>IF(ISNUMBER('General Info'!$B$40), ((SamplingData[[#This Row],[up/U Selection Probability]]) * 'General Info'!$B$40) - 1, 0)</f>
        <v>15.477847293237179</v>
      </c>
      <c r="V1678" s="100">
        <f>IF(ISNUMBER('General Info'!$B$40), (SamplingData[[#This Row],[Running (cumulative) sum]] * ('General Info'!$B$40 -'General Info'!$B$41 + 1)) + 'General Info'!$B$41 - 1, 0)</f>
        <v>61009.645879556214</v>
      </c>
      <c r="W1678" s="100" t="str">
        <f>IF(ISERROR(MATCH(SamplingData[[#This Row],[Batch by Type (p)]],SelectedPrecincts[Batch Name], 0)), "", INDEX(SelectedPrecincts[Draw], MATCH(SamplingData[[#This Row],[Batch by Type (p)]],SelectedPrecincts[Batch Name], 0)))</f>
        <v/>
      </c>
      <c r="X1678" s="102">
        <f>IF(COUNTIF(SelectedPrecincts[Batch Name],SamplingData[[#This Row],[Batch by Type (p)]]) &lt;&gt; 0, COUNTIF(SelectedPrecincts[Batch Name],SamplingData[[#This Row],[Batch by Type (p)]]), 0)</f>
        <v>0</v>
      </c>
    </row>
    <row r="1679" spans="1:24" ht="15" customHeight="1">
      <c r="A1679" s="18" t="s">
        <v>1855</v>
      </c>
      <c r="B1679" s="18">
        <v>19</v>
      </c>
      <c r="C1679" s="18">
        <v>25</v>
      </c>
      <c r="D1679" s="16">
        <v>7</v>
      </c>
      <c r="E1679" s="16">
        <v>19</v>
      </c>
      <c r="F1679" s="37">
        <v>0</v>
      </c>
      <c r="G1679" s="37">
        <v>1</v>
      </c>
      <c r="H1679" s="17">
        <v>1</v>
      </c>
      <c r="I1679" s="17">
        <v>1</v>
      </c>
      <c r="J1679" s="99">
        <f>SUM(SamplingData[[#This Row],[Losing Candidate]:[Under Votes]])</f>
        <v>73</v>
      </c>
      <c r="K1679" s="100">
        <f>IF(AND(SamplingData[[#This Row],[Total]]&lt;&gt; 0, NOT(ISBLANK(SamplingData[[#This Row],[Losing Candidate]]))),(SamplingData[[#This Row],[Total]]+SamplingData[[#This Row],[Winning Candidate]]-SamplingData[[#This Row],[Losing Candidate]])/(SamplingData[[#Totals],[Winning Candidate]]-SamplingData[[#Totals],[Losing Candidate]]), 0)</f>
        <v>4.8383145516903477E-3</v>
      </c>
      <c r="L1679" s="100">
        <f>IF(AND(SamplingData[[#This Row],[Total]]&lt;&gt; 0, NOT(ISBLANK(SamplingData[[#This Row],[Candidate 3]]))),(SamplingData[[#This Row],[Total]]+SamplingData[[#This Row],[Winning Candidate]]-SamplingData[[#This Row],[Candidate 3]])/(SamplingData[[#Totals],[Winning Candidate]]-SamplingData[[#Totals],[Candidate 3]]), 0)</f>
        <v>2.9357679775462143E-3</v>
      </c>
      <c r="M1679" s="100">
        <f>IF(AND(SamplingData[[#This Row],[Total]]&lt;&gt; 0, NOT(ISBLANK(SamplingData[[#This Row],[Candidate 4]]))),(SamplingData[[#This Row],[Total]]+SamplingData[[#This Row],[Winning Candidate]]-SamplingData[[#This Row],[Candidate 4]])/(SamplingData[[#Totals],[Winning Candidate]]-SamplingData[[#Totals],[Candidate 4]]), 0)</f>
        <v>2.3093338010465084E-3</v>
      </c>
      <c r="N1679" s="100">
        <f>IF(AND(SamplingData[[#This Row],[Total]]&lt;&gt; 0, NOT(ISBLANK(SamplingData[[#This Row],[Candidate 5]]))),(SamplingData[[#This Row],[Total]]+SamplingData[[#This Row],[Winning Candidate]]-SamplingData[[#This Row],[Candidate 5]])/(SamplingData[[#Totals],[Winning Candidate]]-SamplingData[[#Totals],[Candidate 5]]), 0)</f>
        <v>2.3838482121138409E-3</v>
      </c>
      <c r="O1679" s="100">
        <f>IF(AND(SamplingData[[#This Row],[Total]]&lt;&gt; 0, NOT(ISBLANK(SamplingData[[#This Row],[Candidate 6]]))),(SamplingData[[#This Row],[Total]]+SamplingData[[#This Row],[Winning Candidate]]-SamplingData[[#This Row],[Candidate 6]])/(SamplingData[[#Totals],[Winning Candidate]]-SamplingData[[#Totals],[Candidate 6]]), 0)</f>
        <v>2.3588346870288411E-3</v>
      </c>
      <c r="P1679" s="100">
        <f>MAX(SamplingData[[#This Row],[Error Bound (up) - Max. possible relative overstatement - Losing Candidate]:[Error Bound (up) - Max. possible relative overstatement - Candidate 6]])</f>
        <v>4.8383145516903477E-3</v>
      </c>
      <c r="Q1679" s="100">
        <f>IF(SamplingData[[#This Row],[Max Error Bound (up)]] = 0,0,SamplingData[[#This Row],[Max Error Bound (up)]]/SamplingData[[#Totals],[Max Error Bound (up)]])</f>
        <v>7.6574291399722071E-4</v>
      </c>
      <c r="R1679" s="101">
        <f>SUM($Q$5:Q1679)</f>
        <v>0.61087220170955936</v>
      </c>
      <c r="S1679" s="100" t="str">
        <f t="array" ref="S1679">IF(SamplingData[[#This Row],[up/U Selection Probability]] = 0, "Zero", TEXT(SamplingData[[#This Row],[Lower Range]], REPT("0",LEN('General Info'!$B$40))) &amp; " - " &amp; TEXT(SamplingData[[#This Row],[Upper Range]], REPT("0",LEN('General Info'!$B$40))))</f>
        <v>61011 - 61086</v>
      </c>
      <c r="T1679" s="100">
        <f>SamplingData[[#This Row],[Upper Range]]-SamplingData[[#This Row],[Span]]</f>
        <v>61010.64664529913</v>
      </c>
      <c r="U1679" s="100">
        <f>IF(ISNUMBER('General Info'!$B$40), ((SamplingData[[#This Row],[up/U Selection Probability]]) * 'General Info'!$B$40) - 1, 0)</f>
        <v>75.573525656808073</v>
      </c>
      <c r="V1679" s="100">
        <f>IF(ISNUMBER('General Info'!$B$40), (SamplingData[[#This Row],[Running (cumulative) sum]] * ('General Info'!$B$40 -'General Info'!$B$41 + 1)) + 'General Info'!$B$41 - 1, 0)</f>
        <v>61086.220170955938</v>
      </c>
      <c r="W1679" s="100" t="str">
        <f>IF(ISERROR(MATCH(SamplingData[[#This Row],[Batch by Type (p)]],SelectedPrecincts[Batch Name], 0)), "", INDEX(SelectedPrecincts[Draw], MATCH(SamplingData[[#This Row],[Batch by Type (p)]],SelectedPrecincts[Batch Name], 0)))</f>
        <v/>
      </c>
      <c r="X1679" s="102">
        <f>IF(COUNTIF(SelectedPrecincts[Batch Name],SamplingData[[#This Row],[Batch by Type (p)]]) &lt;&gt; 0, COUNTIF(SelectedPrecincts[Batch Name],SamplingData[[#This Row],[Batch by Type (p)]]), 0)</f>
        <v>0</v>
      </c>
    </row>
    <row r="1680" spans="1:24" ht="15" customHeight="1">
      <c r="A1680" s="18" t="s">
        <v>1856</v>
      </c>
      <c r="B1680" s="18">
        <v>12</v>
      </c>
      <c r="C1680" s="18">
        <v>10</v>
      </c>
      <c r="D1680" s="18">
        <v>4</v>
      </c>
      <c r="E1680" s="18">
        <v>1</v>
      </c>
      <c r="F1680" s="18">
        <v>1</v>
      </c>
      <c r="G1680" s="18">
        <v>0</v>
      </c>
      <c r="H1680" s="18">
        <v>0</v>
      </c>
      <c r="I1680" s="18">
        <v>0</v>
      </c>
      <c r="J1680" s="99">
        <f>SUM(SamplingData[[#This Row],[Losing Candidate]:[Under Votes]])</f>
        <v>28</v>
      </c>
      <c r="K1680"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680" s="100">
        <f>IF(AND(SamplingData[[#This Row],[Total]]&lt;&gt; 0, NOT(ISBLANK(SamplingData[[#This Row],[Candidate 3]]))),(SamplingData[[#This Row],[Total]]+SamplingData[[#This Row],[Winning Candidate]]-SamplingData[[#This Row],[Candidate 3]])/(SamplingData[[#Totals],[Winning Candidate]]-SamplingData[[#Totals],[Candidate 3]]), 0)</f>
        <v>1.0968803432590251E-3</v>
      </c>
      <c r="M1680" s="100">
        <f>IF(AND(SamplingData[[#This Row],[Total]]&lt;&gt; 0, NOT(ISBLANK(SamplingData[[#This Row],[Candidate 4]]))),(SamplingData[[#This Row],[Total]]+SamplingData[[#This Row],[Winning Candidate]]-SamplingData[[#This Row],[Candidate 4]])/(SamplingData[[#Totals],[Winning Candidate]]-SamplingData[[#Totals],[Candidate 4]]), 0)</f>
        <v>1.081586716945833E-3</v>
      </c>
      <c r="N1680" s="100">
        <f>IF(AND(SamplingData[[#This Row],[Total]]&lt;&gt; 0, NOT(ISBLANK(SamplingData[[#This Row],[Candidate 5]]))),(SamplingData[[#This Row],[Total]]+SamplingData[[#This Row],[Winning Candidate]]-SamplingData[[#This Row],[Candidate 5]])/(SamplingData[[#Totals],[Winning Candidate]]-SamplingData[[#Totals],[Candidate 5]]), 0)</f>
        <v>9.0002432498175627E-4</v>
      </c>
      <c r="O1680" s="100">
        <f>IF(AND(SamplingData[[#This Row],[Total]]&lt;&gt; 0, NOT(ISBLANK(SamplingData[[#This Row],[Candidate 6]]))),(SamplingData[[#This Row],[Total]]+SamplingData[[#This Row],[Winning Candidate]]-SamplingData[[#This Row],[Candidate 6]])/(SamplingData[[#Totals],[Winning Candidate]]-SamplingData[[#Totals],[Candidate 6]]), 0)</f>
        <v>9.2407956811439132E-4</v>
      </c>
      <c r="P1680" s="100">
        <f>MAX(SamplingData[[#This Row],[Error Bound (up) - Max. possible relative overstatement - Losing Candidate]:[Error Bound (up) - Max. possible relative overstatement - Candidate 6]])</f>
        <v>1.5923566878980893E-3</v>
      </c>
      <c r="Q1680" s="100">
        <f>IF(SamplingData[[#This Row],[Max Error Bound (up)]] = 0,0,SamplingData[[#This Row],[Max Error Bound (up)]]/SamplingData[[#Totals],[Max Error Bound (up)]])</f>
        <v>2.5201665523959162E-4</v>
      </c>
      <c r="R1680" s="101">
        <f>SUM($Q$5:Q1680)</f>
        <v>0.61112421836479891</v>
      </c>
      <c r="S1680" s="100" t="str">
        <f t="array" ref="S1680">IF(SamplingData[[#This Row],[up/U Selection Probability]] = 0, "Zero", TEXT(SamplingData[[#This Row],[Lower Range]], REPT("0",LEN('General Info'!$B$40))) &amp; " - " &amp; TEXT(SamplingData[[#This Row],[Upper Range]], REPT("0",LEN('General Info'!$B$40))))</f>
        <v>61087 - 61111</v>
      </c>
      <c r="T1680" s="100">
        <f>SamplingData[[#This Row],[Upper Range]]-SamplingData[[#This Row],[Span]]</f>
        <v>61087.22042297259</v>
      </c>
      <c r="U1680" s="100">
        <f>IF(ISNUMBER('General Info'!$B$40), ((SamplingData[[#This Row],[up/U Selection Probability]]) * 'General Info'!$B$40) - 1, 0)</f>
        <v>24.201413507303922</v>
      </c>
      <c r="V1680" s="100">
        <f>IF(ISNUMBER('General Info'!$B$40), (SamplingData[[#This Row],[Running (cumulative) sum]] * ('General Info'!$B$40 -'General Info'!$B$41 + 1)) + 'General Info'!$B$41 - 1, 0)</f>
        <v>61111.421836479894</v>
      </c>
      <c r="W1680" s="100" t="str">
        <f>IF(ISERROR(MATCH(SamplingData[[#This Row],[Batch by Type (p)]],SelectedPrecincts[Batch Name], 0)), "", INDEX(SelectedPrecincts[Draw], MATCH(SamplingData[[#This Row],[Batch by Type (p)]],SelectedPrecincts[Batch Name], 0)))</f>
        <v/>
      </c>
      <c r="X1680" s="102">
        <f>IF(COUNTIF(SelectedPrecincts[Batch Name],SamplingData[[#This Row],[Batch by Type (p)]]) &lt;&gt; 0, COUNTIF(SelectedPrecincts[Batch Name],SamplingData[[#This Row],[Batch by Type (p)]]), 0)</f>
        <v>0</v>
      </c>
    </row>
    <row r="1681" spans="1:24" ht="15" customHeight="1">
      <c r="A1681" s="18" t="s">
        <v>1857</v>
      </c>
      <c r="B1681" s="18">
        <v>25</v>
      </c>
      <c r="C1681" s="18">
        <v>14</v>
      </c>
      <c r="D1681" s="16">
        <v>7</v>
      </c>
      <c r="E1681" s="16">
        <v>13</v>
      </c>
      <c r="F1681" s="37">
        <v>0</v>
      </c>
      <c r="G1681" s="37">
        <v>0</v>
      </c>
      <c r="H1681" s="17">
        <v>0</v>
      </c>
      <c r="I1681" s="17">
        <v>1</v>
      </c>
      <c r="J1681" s="99">
        <f>SUM(SamplingData[[#This Row],[Losing Candidate]:[Under Votes]])</f>
        <v>60</v>
      </c>
      <c r="K1681"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1681" s="100">
        <f>IF(AND(SamplingData[[#This Row],[Total]]&lt;&gt; 0, NOT(ISBLANK(SamplingData[[#This Row],[Candidate 3]]))),(SamplingData[[#This Row],[Total]]+SamplingData[[#This Row],[Winning Candidate]]-SamplingData[[#This Row],[Candidate 3]])/(SamplingData[[#Totals],[Winning Candidate]]-SamplingData[[#Totals],[Candidate 3]]), 0)</f>
        <v>2.1614994999516082E-3</v>
      </c>
      <c r="M1681" s="100">
        <f>IF(AND(SamplingData[[#This Row],[Total]]&lt;&gt; 0, NOT(ISBLANK(SamplingData[[#This Row],[Candidate 4]]))),(SamplingData[[#This Row],[Total]]+SamplingData[[#This Row],[Winning Candidate]]-SamplingData[[#This Row],[Candidate 4]])/(SamplingData[[#Totals],[Winning Candidate]]-SamplingData[[#Totals],[Candidate 4]]), 0)</f>
        <v>1.783156479289076E-3</v>
      </c>
      <c r="N1681" s="100">
        <f>IF(AND(SamplingData[[#This Row],[Total]]&lt;&gt; 0, NOT(ISBLANK(SamplingData[[#This Row],[Candidate 5]]))),(SamplingData[[#This Row],[Total]]+SamplingData[[#This Row],[Winning Candidate]]-SamplingData[[#This Row],[Candidate 5]])/(SamplingData[[#Totals],[Winning Candidate]]-SamplingData[[#Totals],[Candidate 5]]), 0)</f>
        <v>1.8000486499635125E-3</v>
      </c>
      <c r="O1681" s="100">
        <f>IF(AND(SamplingData[[#This Row],[Total]]&lt;&gt; 0, NOT(ISBLANK(SamplingData[[#This Row],[Candidate 6]]))),(SamplingData[[#This Row],[Total]]+SamplingData[[#This Row],[Winning Candidate]]-SamplingData[[#This Row],[Candidate 6]])/(SamplingData[[#Totals],[Winning Candidate]]-SamplingData[[#Totals],[Candidate 6]]), 0)</f>
        <v>1.7995233694859199E-3</v>
      </c>
      <c r="P1681" s="100">
        <f>MAX(SamplingData[[#This Row],[Error Bound (up) - Max. possible relative overstatement - Losing Candidate]:[Error Bound (up) - Max. possible relative overstatement - Candidate 6]])</f>
        <v>3.0009799118079373E-3</v>
      </c>
      <c r="Q1681" s="100">
        <f>IF(SamplingData[[#This Row],[Max Error Bound (up)]] = 0,0,SamplingData[[#This Row],[Max Error Bound (up)]]/SamplingData[[#Totals],[Max Error Bound (up)]])</f>
        <v>4.7495446564384573E-4</v>
      </c>
      <c r="R1681" s="101">
        <f>SUM($Q$5:Q1681)</f>
        <v>0.61159917283044274</v>
      </c>
      <c r="S1681" s="100" t="str">
        <f t="array" ref="S1681">IF(SamplingData[[#This Row],[up/U Selection Probability]] = 0, "Zero", TEXT(SamplingData[[#This Row],[Lower Range]], REPT("0",LEN('General Info'!$B$40))) &amp; " - " &amp; TEXT(SamplingData[[#This Row],[Upper Range]], REPT("0",LEN('General Info'!$B$40))))</f>
        <v>61112 - 61159</v>
      </c>
      <c r="T1681" s="100">
        <f>SamplingData[[#This Row],[Upper Range]]-SamplingData[[#This Row],[Span]]</f>
        <v>61112.422311434355</v>
      </c>
      <c r="U1681" s="100">
        <f>IF(ISNUMBER('General Info'!$B$40), ((SamplingData[[#This Row],[up/U Selection Probability]]) * 'General Info'!$B$40) - 1, 0)</f>
        <v>46.494971609918927</v>
      </c>
      <c r="V1681" s="100">
        <f>IF(ISNUMBER('General Info'!$B$40), (SamplingData[[#This Row],[Running (cumulative) sum]] * ('General Info'!$B$40 -'General Info'!$B$41 + 1)) + 'General Info'!$B$41 - 1, 0)</f>
        <v>61158.917283044277</v>
      </c>
      <c r="W1681" s="100" t="str">
        <f>IF(ISERROR(MATCH(SamplingData[[#This Row],[Batch by Type (p)]],SelectedPrecincts[Batch Name], 0)), "", INDEX(SelectedPrecincts[Draw], MATCH(SamplingData[[#This Row],[Batch by Type (p)]],SelectedPrecincts[Batch Name], 0)))</f>
        <v/>
      </c>
      <c r="X1681" s="102">
        <f>IF(COUNTIF(SelectedPrecincts[Batch Name],SamplingData[[#This Row],[Batch by Type (p)]]) &lt;&gt; 0, COUNTIF(SelectedPrecincts[Batch Name],SamplingData[[#This Row],[Batch by Type (p)]]), 0)</f>
        <v>0</v>
      </c>
    </row>
    <row r="1682" spans="1:24" ht="15" customHeight="1">
      <c r="A1682" s="18" t="s">
        <v>1858</v>
      </c>
      <c r="B1682" s="18">
        <v>0</v>
      </c>
      <c r="C1682" s="18">
        <v>3</v>
      </c>
      <c r="D1682" s="18">
        <v>4</v>
      </c>
      <c r="E1682" s="18">
        <v>1</v>
      </c>
      <c r="F1682" s="18">
        <v>0</v>
      </c>
      <c r="G1682" s="18">
        <v>0</v>
      </c>
      <c r="H1682" s="18">
        <v>0</v>
      </c>
      <c r="I1682" s="18">
        <v>0</v>
      </c>
      <c r="J1682" s="99">
        <f>SUM(SamplingData[[#This Row],[Losing Candidate]:[Under Votes]])</f>
        <v>8</v>
      </c>
      <c r="K1682"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682" s="100">
        <f>IF(AND(SamplingData[[#This Row],[Total]]&lt;&gt; 0, NOT(ISBLANK(SamplingData[[#This Row],[Candidate 3]]))),(SamplingData[[#This Row],[Total]]+SamplingData[[#This Row],[Winning Candidate]]-SamplingData[[#This Row],[Candidate 3]])/(SamplingData[[#Totals],[Winning Candidate]]-SamplingData[[#Totals],[Candidate 3]]), 0)</f>
        <v>2.258283059650934E-4</v>
      </c>
      <c r="M1682" s="100">
        <f>IF(AND(SamplingData[[#This Row],[Total]]&lt;&gt; 0, NOT(ISBLANK(SamplingData[[#This Row],[Candidate 4]]))),(SamplingData[[#This Row],[Total]]+SamplingData[[#This Row],[Winning Candidate]]-SamplingData[[#This Row],[Candidate 4]])/(SamplingData[[#Totals],[Winning Candidate]]-SamplingData[[#Totals],[Candidate 4]]), 0)</f>
        <v>2.9232073430968461E-4</v>
      </c>
      <c r="N1682" s="100">
        <f>IF(AND(SamplingData[[#This Row],[Total]]&lt;&gt; 0, NOT(ISBLANK(SamplingData[[#This Row],[Candidate 5]]))),(SamplingData[[#This Row],[Total]]+SamplingData[[#This Row],[Winning Candidate]]-SamplingData[[#This Row],[Candidate 5]])/(SamplingData[[#Totals],[Winning Candidate]]-SamplingData[[#Totals],[Candidate 5]]), 0)</f>
        <v>2.6757479931890053E-4</v>
      </c>
      <c r="O1682" s="100">
        <f>IF(AND(SamplingData[[#This Row],[Total]]&lt;&gt; 0, NOT(ISBLANK(SamplingData[[#This Row],[Candidate 6]]))),(SamplingData[[#This Row],[Total]]+SamplingData[[#This Row],[Winning Candidate]]-SamplingData[[#This Row],[Candidate 6]])/(SamplingData[[#Totals],[Winning Candidate]]-SamplingData[[#Totals],[Candidate 6]]), 0)</f>
        <v>2.6749671708574483E-4</v>
      </c>
      <c r="P1682" s="100">
        <f>MAX(SamplingData[[#This Row],[Error Bound (up) - Max. possible relative overstatement - Losing Candidate]:[Error Bound (up) - Max. possible relative overstatement - Candidate 6]])</f>
        <v>6.7368936795688392E-4</v>
      </c>
      <c r="Q1682" s="100">
        <f>IF(SamplingData[[#This Row],[Max Error Bound (up)]] = 0,0,SamplingData[[#This Row],[Max Error Bound (up)]]/SamplingData[[#Totals],[Max Error Bound (up)]])</f>
        <v>1.0662243106290416E-4</v>
      </c>
      <c r="R1682" s="101">
        <f>SUM($Q$5:Q1682)</f>
        <v>0.61170579526150559</v>
      </c>
      <c r="S1682" s="100" t="str">
        <f t="array" ref="S1682">IF(SamplingData[[#This Row],[up/U Selection Probability]] = 0, "Zero", TEXT(SamplingData[[#This Row],[Lower Range]], REPT("0",LEN('General Info'!$B$40))) &amp; " - " &amp; TEXT(SamplingData[[#This Row],[Upper Range]], REPT("0",LEN('General Info'!$B$40))))</f>
        <v>61160 - 61170</v>
      </c>
      <c r="T1682" s="100">
        <f>SamplingData[[#This Row],[Upper Range]]-SamplingData[[#This Row],[Span]]</f>
        <v>61159.917389666705</v>
      </c>
      <c r="U1682" s="100">
        <f>IF(ISNUMBER('General Info'!$B$40), ((SamplingData[[#This Row],[up/U Selection Probability]]) * 'General Info'!$B$40) - 1, 0)</f>
        <v>9.6621364838593529</v>
      </c>
      <c r="V1682" s="100">
        <f>IF(ISNUMBER('General Info'!$B$40), (SamplingData[[#This Row],[Running (cumulative) sum]] * ('General Info'!$B$40 -'General Info'!$B$41 + 1)) + 'General Info'!$B$41 - 1, 0)</f>
        <v>61169.579526150563</v>
      </c>
      <c r="W1682" s="100" t="str">
        <f>IF(ISERROR(MATCH(SamplingData[[#This Row],[Batch by Type (p)]],SelectedPrecincts[Batch Name], 0)), "", INDEX(SelectedPrecincts[Draw], MATCH(SamplingData[[#This Row],[Batch by Type (p)]],SelectedPrecincts[Batch Name], 0)))</f>
        <v/>
      </c>
      <c r="X1682" s="102">
        <f>IF(COUNTIF(SelectedPrecincts[Batch Name],SamplingData[[#This Row],[Batch by Type (p)]]) &lt;&gt; 0, COUNTIF(SelectedPrecincts[Batch Name],SamplingData[[#This Row],[Batch by Type (p)]]), 0)</f>
        <v>0</v>
      </c>
    </row>
    <row r="1683" spans="1:24" ht="15" customHeight="1">
      <c r="A1683" s="18" t="s">
        <v>1859</v>
      </c>
      <c r="B1683" s="18">
        <v>31</v>
      </c>
      <c r="C1683" s="18">
        <v>10</v>
      </c>
      <c r="D1683" s="16">
        <v>7</v>
      </c>
      <c r="E1683" s="16">
        <v>6</v>
      </c>
      <c r="F1683" s="37">
        <v>0</v>
      </c>
      <c r="G1683" s="37">
        <v>0</v>
      </c>
      <c r="H1683" s="17">
        <v>0</v>
      </c>
      <c r="I1683" s="17">
        <v>1</v>
      </c>
      <c r="J1683" s="99">
        <f>SUM(SamplingData[[#This Row],[Losing Candidate]:[Under Votes]])</f>
        <v>55</v>
      </c>
      <c r="K1683"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1683" s="100">
        <f>IF(AND(SamplingData[[#This Row],[Total]]&lt;&gt; 0, NOT(ISBLANK(SamplingData[[#This Row],[Candidate 3]]))),(SamplingData[[#This Row],[Total]]+SamplingData[[#This Row],[Winning Candidate]]-SamplingData[[#This Row],[Candidate 3]])/(SamplingData[[#Totals],[Winning Candidate]]-SamplingData[[#Totals],[Candidate 3]]), 0)</f>
        <v>1.8711488208536309E-3</v>
      </c>
      <c r="M1683" s="100">
        <f>IF(AND(SamplingData[[#This Row],[Total]]&lt;&gt; 0, NOT(ISBLANK(SamplingData[[#This Row],[Candidate 4]]))),(SamplingData[[#This Row],[Total]]+SamplingData[[#This Row],[Winning Candidate]]-SamplingData[[#This Row],[Candidate 4]])/(SamplingData[[#Totals],[Winning Candidate]]-SamplingData[[#Totals],[Candidate 4]]), 0)</f>
        <v>1.7246923324271391E-3</v>
      </c>
      <c r="N1683" s="100">
        <f>IF(AND(SamplingData[[#This Row],[Total]]&lt;&gt; 0, NOT(ISBLANK(SamplingData[[#This Row],[Candidate 5]]))),(SamplingData[[#This Row],[Total]]+SamplingData[[#This Row],[Winning Candidate]]-SamplingData[[#This Row],[Candidate 5]])/(SamplingData[[#Totals],[Winning Candidate]]-SamplingData[[#Totals],[Candidate 5]]), 0)</f>
        <v>1.5811238141571393E-3</v>
      </c>
      <c r="O1683" s="100">
        <f>IF(AND(SamplingData[[#This Row],[Total]]&lt;&gt; 0, NOT(ISBLANK(SamplingData[[#This Row],[Candidate 6]]))),(SamplingData[[#This Row],[Total]]+SamplingData[[#This Row],[Winning Candidate]]-SamplingData[[#This Row],[Candidate 6]])/(SamplingData[[#Totals],[Winning Candidate]]-SamplingData[[#Totals],[Candidate 6]]), 0)</f>
        <v>1.5806624191430378E-3</v>
      </c>
      <c r="P1683" s="100">
        <f>MAX(SamplingData[[#This Row],[Error Bound (up) - Max. possible relative overstatement - Losing Candidate]:[Error Bound (up) - Max. possible relative overstatement - Candidate 6]])</f>
        <v>2.0823125918667321E-3</v>
      </c>
      <c r="Q1683" s="100">
        <f>IF(SamplingData[[#This Row],[Max Error Bound (up)]] = 0,0,SamplingData[[#This Row],[Max Error Bound (up)]]/SamplingData[[#Totals],[Max Error Bound (up)]])</f>
        <v>3.2956024146715829E-4</v>
      </c>
      <c r="R1683" s="101">
        <f>SUM($Q$5:Q1683)</f>
        <v>0.61203535550297272</v>
      </c>
      <c r="S1683" s="100" t="str">
        <f t="array" ref="S1683">IF(SamplingData[[#This Row],[up/U Selection Probability]] = 0, "Zero", TEXT(SamplingData[[#This Row],[Lower Range]], REPT("0",LEN('General Info'!$B$40))) &amp; " - " &amp; TEXT(SamplingData[[#This Row],[Upper Range]], REPT("0",LEN('General Info'!$B$40))))</f>
        <v>61171 - 61203</v>
      </c>
      <c r="T1683" s="100">
        <f>SamplingData[[#This Row],[Upper Range]]-SamplingData[[#This Row],[Span]]</f>
        <v>61170.579855710799</v>
      </c>
      <c r="U1683" s="100">
        <f>IF(ISNUMBER('General Info'!$B$40), ((SamplingData[[#This Row],[up/U Selection Probability]]) * 'General Info'!$B$40) - 1, 0)</f>
        <v>31.955694586474358</v>
      </c>
      <c r="V1683" s="100">
        <f>IF(ISNUMBER('General Info'!$B$40), (SamplingData[[#This Row],[Running (cumulative) sum]] * ('General Info'!$B$40 -'General Info'!$B$41 + 1)) + 'General Info'!$B$41 - 1, 0)</f>
        <v>61202.535550297274</v>
      </c>
      <c r="W1683" s="100" t="str">
        <f>IF(ISERROR(MATCH(SamplingData[[#This Row],[Batch by Type (p)]],SelectedPrecincts[Batch Name], 0)), "", INDEX(SelectedPrecincts[Draw], MATCH(SamplingData[[#This Row],[Batch by Type (p)]],SelectedPrecincts[Batch Name], 0)))</f>
        <v/>
      </c>
      <c r="X1683" s="102">
        <f>IF(COUNTIF(SelectedPrecincts[Batch Name],SamplingData[[#This Row],[Batch by Type (p)]]) &lt;&gt; 0, COUNTIF(SelectedPrecincts[Batch Name],SamplingData[[#This Row],[Batch by Type (p)]]), 0)</f>
        <v>0</v>
      </c>
    </row>
    <row r="1684" spans="1:24" ht="15" customHeight="1">
      <c r="A1684" s="18" t="s">
        <v>1860</v>
      </c>
      <c r="B1684" s="18">
        <v>9</v>
      </c>
      <c r="C1684" s="18">
        <v>7</v>
      </c>
      <c r="D1684" s="18">
        <v>3</v>
      </c>
      <c r="E1684" s="18">
        <v>4</v>
      </c>
      <c r="F1684" s="18">
        <v>0</v>
      </c>
      <c r="G1684" s="18">
        <v>3</v>
      </c>
      <c r="H1684" s="18">
        <v>0</v>
      </c>
      <c r="I1684" s="18">
        <v>1</v>
      </c>
      <c r="J1684" s="99">
        <f>SUM(SamplingData[[#This Row],[Losing Candidate]:[Under Votes]])</f>
        <v>27</v>
      </c>
      <c r="K1684"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1684" s="100">
        <f>IF(AND(SamplingData[[#This Row],[Total]]&lt;&gt; 0, NOT(ISBLANK(SamplingData[[#This Row],[Candidate 3]]))),(SamplingData[[#This Row],[Total]]+SamplingData[[#This Row],[Winning Candidate]]-SamplingData[[#This Row],[Candidate 3]])/(SamplingData[[#Totals],[Winning Candidate]]-SamplingData[[#Totals],[Candidate 3]]), 0)</f>
        <v>1.0000967835596993E-3</v>
      </c>
      <c r="M1684" s="100">
        <f>IF(AND(SamplingData[[#This Row],[Total]]&lt;&gt; 0, NOT(ISBLANK(SamplingData[[#This Row],[Candidate 4]]))),(SamplingData[[#This Row],[Total]]+SamplingData[[#This Row],[Winning Candidate]]-SamplingData[[#This Row],[Candidate 4]])/(SamplingData[[#Totals],[Winning Candidate]]-SamplingData[[#Totals],[Candidate 4]]), 0)</f>
        <v>8.7696220292905378E-4</v>
      </c>
      <c r="N1684" s="100">
        <f>IF(AND(SamplingData[[#This Row],[Total]]&lt;&gt; 0, NOT(ISBLANK(SamplingData[[#This Row],[Candidate 5]]))),(SamplingData[[#This Row],[Total]]+SamplingData[[#This Row],[Winning Candidate]]-SamplingData[[#This Row],[Candidate 5]])/(SamplingData[[#Totals],[Winning Candidate]]-SamplingData[[#Totals],[Candidate 5]]), 0)</f>
        <v>8.2704937971296523E-4</v>
      </c>
      <c r="O1684" s="100">
        <f>IF(AND(SamplingData[[#This Row],[Total]]&lt;&gt; 0, NOT(ISBLANK(SamplingData[[#This Row],[Candidate 6]]))),(SamplingData[[#This Row],[Total]]+SamplingData[[#This Row],[Winning Candidate]]-SamplingData[[#This Row],[Candidate 6]])/(SamplingData[[#Totals],[Winning Candidate]]-SamplingData[[#Totals],[Candidate 6]]), 0)</f>
        <v>7.5385438451437182E-4</v>
      </c>
      <c r="P1684" s="100">
        <f>MAX(SamplingData[[#This Row],[Error Bound (up) - Max. possible relative overstatement - Losing Candidate]:[Error Bound (up) - Max. possible relative overstatement - Candidate 6]])</f>
        <v>1.5311121999020088E-3</v>
      </c>
      <c r="Q1684" s="100">
        <f>IF(SamplingData[[#This Row],[Max Error Bound (up)]] = 0,0,SamplingData[[#This Row],[Max Error Bound (up)]]/SamplingData[[#Totals],[Max Error Bound (up)]])</f>
        <v>2.4232370696114578E-4</v>
      </c>
      <c r="R1684" s="101">
        <f>SUM($Q$5:Q1684)</f>
        <v>0.61227767920993392</v>
      </c>
      <c r="S1684" s="100" t="str">
        <f t="array" ref="S1684">IF(SamplingData[[#This Row],[up/U Selection Probability]] = 0, "Zero", TEXT(SamplingData[[#This Row],[Lower Range]], REPT("0",LEN('General Info'!$B$40))) &amp; " - " &amp; TEXT(SamplingData[[#This Row],[Upper Range]], REPT("0",LEN('General Info'!$B$40))))</f>
        <v>61204 - 61227</v>
      </c>
      <c r="T1684" s="100">
        <f>SamplingData[[#This Row],[Upper Range]]-SamplingData[[#This Row],[Span]]</f>
        <v>61203.535792620984</v>
      </c>
      <c r="U1684" s="100">
        <f>IF(ISNUMBER('General Info'!$B$40), ((SamplingData[[#This Row],[up/U Selection Probability]]) * 'General Info'!$B$40) - 1, 0)</f>
        <v>23.232128372407619</v>
      </c>
      <c r="V1684" s="100">
        <f>IF(ISNUMBER('General Info'!$B$40), (SamplingData[[#This Row],[Running (cumulative) sum]] * ('General Info'!$B$40 -'General Info'!$B$41 + 1)) + 'General Info'!$B$41 - 1, 0)</f>
        <v>61226.767920993392</v>
      </c>
      <c r="W1684" s="100" t="str">
        <f>IF(ISERROR(MATCH(SamplingData[[#This Row],[Batch by Type (p)]],SelectedPrecincts[Batch Name], 0)), "", INDEX(SelectedPrecincts[Draw], MATCH(SamplingData[[#This Row],[Batch by Type (p)]],SelectedPrecincts[Batch Name], 0)))</f>
        <v/>
      </c>
      <c r="X1684" s="102">
        <f>IF(COUNTIF(SelectedPrecincts[Batch Name],SamplingData[[#This Row],[Batch by Type (p)]]) &lt;&gt; 0, COUNTIF(SelectedPrecincts[Batch Name],SamplingData[[#This Row],[Batch by Type (p)]]), 0)</f>
        <v>0</v>
      </c>
    </row>
    <row r="1685" spans="1:24" ht="15" customHeight="1">
      <c r="A1685" s="18" t="s">
        <v>1861</v>
      </c>
      <c r="B1685" s="18">
        <v>13</v>
      </c>
      <c r="C1685" s="18">
        <v>31</v>
      </c>
      <c r="D1685" s="16">
        <v>16</v>
      </c>
      <c r="E1685" s="16">
        <v>14</v>
      </c>
      <c r="F1685" s="37">
        <v>0</v>
      </c>
      <c r="G1685" s="37">
        <v>1</v>
      </c>
      <c r="H1685" s="17">
        <v>0</v>
      </c>
      <c r="I1685" s="17">
        <v>1</v>
      </c>
      <c r="J1685" s="99">
        <f>SUM(SamplingData[[#This Row],[Losing Candidate]:[Under Votes]])</f>
        <v>76</v>
      </c>
      <c r="K1685" s="100">
        <f>IF(AND(SamplingData[[#This Row],[Total]]&lt;&gt; 0, NOT(ISBLANK(SamplingData[[#This Row],[Losing Candidate]]))),(SamplingData[[#This Row],[Total]]+SamplingData[[#This Row],[Winning Candidate]]-SamplingData[[#This Row],[Losing Candidate]])/(SamplingData[[#Totals],[Winning Candidate]]-SamplingData[[#Totals],[Losing Candidate]]), 0)</f>
        <v>5.7569818716315529E-3</v>
      </c>
      <c r="L1685" s="100">
        <f>IF(AND(SamplingData[[#This Row],[Total]]&lt;&gt; 0, NOT(ISBLANK(SamplingData[[#This Row],[Candidate 3]]))),(SamplingData[[#This Row],[Total]]+SamplingData[[#This Row],[Winning Candidate]]-SamplingData[[#This Row],[Candidate 3]])/(SamplingData[[#Totals],[Winning Candidate]]-SamplingData[[#Totals],[Candidate 3]]), 0)</f>
        <v>2.9357679775462143E-3</v>
      </c>
      <c r="M1685" s="100">
        <f>IF(AND(SamplingData[[#This Row],[Total]]&lt;&gt; 0, NOT(ISBLANK(SamplingData[[#This Row],[Candidate 4]]))),(SamplingData[[#This Row],[Total]]+SamplingData[[#This Row],[Winning Candidate]]-SamplingData[[#This Row],[Candidate 4]])/(SamplingData[[#Totals],[Winning Candidate]]-SamplingData[[#Totals],[Candidate 4]]), 0)</f>
        <v>2.7185828290800665E-3</v>
      </c>
      <c r="N1685" s="100">
        <f>IF(AND(SamplingData[[#This Row],[Total]]&lt;&gt; 0, NOT(ISBLANK(SamplingData[[#This Row],[Candidate 5]]))),(SamplingData[[#This Row],[Total]]+SamplingData[[#This Row],[Winning Candidate]]-SamplingData[[#This Row],[Candidate 5]])/(SamplingData[[#Totals],[Winning Candidate]]-SamplingData[[#Totals],[Candidate 5]]), 0)</f>
        <v>2.6027730479202139E-3</v>
      </c>
      <c r="O1685" s="100">
        <f>IF(AND(SamplingData[[#This Row],[Total]]&lt;&gt; 0, NOT(ISBLANK(SamplingData[[#This Row],[Candidate 6]]))),(SamplingData[[#This Row],[Total]]+SamplingData[[#This Row],[Winning Candidate]]-SamplingData[[#This Row],[Candidate 6]])/(SamplingData[[#Totals],[Winning Candidate]]-SamplingData[[#Totals],[Candidate 6]]), 0)</f>
        <v>2.5776956373717232E-3</v>
      </c>
      <c r="P1685" s="100">
        <f>MAX(SamplingData[[#This Row],[Error Bound (up) - Max. possible relative overstatement - Losing Candidate]:[Error Bound (up) - Max. possible relative overstatement - Candidate 6]])</f>
        <v>5.7569818716315529E-3</v>
      </c>
      <c r="Q1685" s="100">
        <f>IF(SamplingData[[#This Row],[Max Error Bound (up)]] = 0,0,SamplingData[[#This Row],[Max Error Bound (up)]]/SamplingData[[#Totals],[Max Error Bound (up)]])</f>
        <v>9.1113713817390809E-4</v>
      </c>
      <c r="R1685" s="101">
        <f>SUM($Q$5:Q1685)</f>
        <v>0.61318881634810785</v>
      </c>
      <c r="S1685" s="100" t="str">
        <f t="array" ref="S1685">IF(SamplingData[[#This Row],[up/U Selection Probability]] = 0, "Zero", TEXT(SamplingData[[#This Row],[Lower Range]], REPT("0",LEN('General Info'!$B$40))) &amp; " - " &amp; TEXT(SamplingData[[#This Row],[Upper Range]], REPT("0",LEN('General Info'!$B$40))))</f>
        <v>61228 - 61318</v>
      </c>
      <c r="T1685" s="100">
        <f>SamplingData[[#This Row],[Upper Range]]-SamplingData[[#This Row],[Span]]</f>
        <v>61227.768832130532</v>
      </c>
      <c r="U1685" s="100">
        <f>IF(ISNUMBER('General Info'!$B$40), ((SamplingData[[#This Row],[up/U Selection Probability]]) * 'General Info'!$B$40) - 1, 0)</f>
        <v>90.112802680252642</v>
      </c>
      <c r="V1685" s="100">
        <f>IF(ISNUMBER('General Info'!$B$40), (SamplingData[[#This Row],[Running (cumulative) sum]] * ('General Info'!$B$40 -'General Info'!$B$41 + 1)) + 'General Info'!$B$41 - 1, 0)</f>
        <v>61317.881634810787</v>
      </c>
      <c r="W1685" s="100" t="str">
        <f>IF(ISERROR(MATCH(SamplingData[[#This Row],[Batch by Type (p)]],SelectedPrecincts[Batch Name], 0)), "", INDEX(SelectedPrecincts[Draw], MATCH(SamplingData[[#This Row],[Batch by Type (p)]],SelectedPrecincts[Batch Name], 0)))</f>
        <v/>
      </c>
      <c r="X1685" s="102">
        <f>IF(COUNTIF(SelectedPrecincts[Batch Name],SamplingData[[#This Row],[Batch by Type (p)]]) &lt;&gt; 0, COUNTIF(SelectedPrecincts[Batch Name],SamplingData[[#This Row],[Batch by Type (p)]]), 0)</f>
        <v>0</v>
      </c>
    </row>
    <row r="1686" spans="1:24" ht="15" customHeight="1">
      <c r="A1686" s="18" t="s">
        <v>1862</v>
      </c>
      <c r="B1686" s="18">
        <v>4</v>
      </c>
      <c r="C1686" s="18">
        <v>5</v>
      </c>
      <c r="D1686" s="18">
        <v>2</v>
      </c>
      <c r="E1686" s="18">
        <v>1</v>
      </c>
      <c r="F1686" s="18">
        <v>0</v>
      </c>
      <c r="G1686" s="18">
        <v>0</v>
      </c>
      <c r="H1686" s="18">
        <v>0</v>
      </c>
      <c r="I1686" s="18">
        <v>1</v>
      </c>
      <c r="J1686" s="99">
        <f>SUM(SamplingData[[#This Row],[Losing Candidate]:[Under Votes]])</f>
        <v>13</v>
      </c>
      <c r="K1686"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1686" s="100">
        <f>IF(AND(SamplingData[[#This Row],[Total]]&lt;&gt; 0, NOT(ISBLANK(SamplingData[[#This Row],[Candidate 3]]))),(SamplingData[[#This Row],[Total]]+SamplingData[[#This Row],[Winning Candidate]]-SamplingData[[#This Row],[Candidate 3]])/(SamplingData[[#Totals],[Winning Candidate]]-SamplingData[[#Totals],[Candidate 3]]), 0)</f>
        <v>5.1617898506307067E-4</v>
      </c>
      <c r="M1686" s="100">
        <f>IF(AND(SamplingData[[#This Row],[Total]]&lt;&gt; 0, NOT(ISBLANK(SamplingData[[#This Row],[Candidate 4]]))),(SamplingData[[#This Row],[Total]]+SamplingData[[#This Row],[Winning Candidate]]-SamplingData[[#This Row],[Candidate 4]])/(SamplingData[[#Totals],[Winning Candidate]]-SamplingData[[#Totals],[Candidate 4]]), 0)</f>
        <v>4.9694524832646382E-4</v>
      </c>
      <c r="N1686" s="100">
        <f>IF(AND(SamplingData[[#This Row],[Total]]&lt;&gt; 0, NOT(ISBLANK(SamplingData[[#This Row],[Candidate 5]]))),(SamplingData[[#This Row],[Total]]+SamplingData[[#This Row],[Winning Candidate]]-SamplingData[[#This Row],[Candidate 5]])/(SamplingData[[#Totals],[Winning Candidate]]-SamplingData[[#Totals],[Candidate 5]]), 0)</f>
        <v>4.3784967161274629E-4</v>
      </c>
      <c r="O1686" s="100">
        <f>IF(AND(SamplingData[[#This Row],[Total]]&lt;&gt; 0, NOT(ISBLANK(SamplingData[[#This Row],[Candidate 6]]))),(SamplingData[[#This Row],[Total]]+SamplingData[[#This Row],[Winning Candidate]]-SamplingData[[#This Row],[Candidate 6]])/(SamplingData[[#Totals],[Winning Candidate]]-SamplingData[[#Totals],[Candidate 6]]), 0)</f>
        <v>4.3772190068576433E-4</v>
      </c>
      <c r="P1686" s="100">
        <f>MAX(SamplingData[[#This Row],[Error Bound (up) - Max. possible relative overstatement - Losing Candidate]:[Error Bound (up) - Max. possible relative overstatement - Candidate 6]])</f>
        <v>8.5742283194512492E-4</v>
      </c>
      <c r="Q1686" s="100">
        <f>IF(SamplingData[[#This Row],[Max Error Bound (up)]] = 0,0,SamplingData[[#This Row],[Max Error Bound (up)]]/SamplingData[[#Totals],[Max Error Bound (up)]])</f>
        <v>1.3570127589824165E-4</v>
      </c>
      <c r="R1686" s="101">
        <f>SUM($Q$5:Q1686)</f>
        <v>0.61332451762400608</v>
      </c>
      <c r="S1686" s="100" t="str">
        <f t="array" ref="S1686">IF(SamplingData[[#This Row],[up/U Selection Probability]] = 0, "Zero", TEXT(SamplingData[[#This Row],[Lower Range]], REPT("0",LEN('General Info'!$B$40))) &amp; " - " &amp; TEXT(SamplingData[[#This Row],[Upper Range]], REPT("0",LEN('General Info'!$B$40))))</f>
        <v>61319 - 61331</v>
      </c>
      <c r="T1686" s="100">
        <f>SamplingData[[#This Row],[Upper Range]]-SamplingData[[#This Row],[Span]]</f>
        <v>61318.88177051206</v>
      </c>
      <c r="U1686" s="100">
        <f>IF(ISNUMBER('General Info'!$B$40), ((SamplingData[[#This Row],[up/U Selection Probability]]) * 'General Info'!$B$40) - 1, 0)</f>
        <v>12.569991888548268</v>
      </c>
      <c r="V1686" s="100">
        <f>IF(ISNUMBER('General Info'!$B$40), (SamplingData[[#This Row],[Running (cumulative) sum]] * ('General Info'!$B$40 -'General Info'!$B$41 + 1)) + 'General Info'!$B$41 - 1, 0)</f>
        <v>61331.451762400611</v>
      </c>
      <c r="W1686" s="100" t="str">
        <f>IF(ISERROR(MATCH(SamplingData[[#This Row],[Batch by Type (p)]],SelectedPrecincts[Batch Name], 0)), "", INDEX(SelectedPrecincts[Draw], MATCH(SamplingData[[#This Row],[Batch by Type (p)]],SelectedPrecincts[Batch Name], 0)))</f>
        <v/>
      </c>
      <c r="X1686" s="102">
        <f>IF(COUNTIF(SelectedPrecincts[Batch Name],SamplingData[[#This Row],[Batch by Type (p)]]) &lt;&gt; 0, COUNTIF(SelectedPrecincts[Batch Name],SamplingData[[#This Row],[Batch by Type (p)]]), 0)</f>
        <v>0</v>
      </c>
    </row>
    <row r="1687" spans="1:24" ht="15" customHeight="1">
      <c r="A1687" s="18" t="s">
        <v>1863</v>
      </c>
      <c r="B1687" s="18">
        <v>11</v>
      </c>
      <c r="C1687" s="18">
        <v>24</v>
      </c>
      <c r="D1687" s="16">
        <v>2</v>
      </c>
      <c r="E1687" s="16">
        <v>4</v>
      </c>
      <c r="F1687" s="37">
        <v>0</v>
      </c>
      <c r="G1687" s="37">
        <v>0</v>
      </c>
      <c r="H1687" s="17">
        <v>0</v>
      </c>
      <c r="I1687" s="17">
        <v>1</v>
      </c>
      <c r="J1687" s="99">
        <f>SUM(SamplingData[[#This Row],[Losing Candidate]:[Under Votes]])</f>
        <v>42</v>
      </c>
      <c r="K1687" s="100">
        <f>IF(AND(SamplingData[[#This Row],[Total]]&lt;&gt; 0, NOT(ISBLANK(SamplingData[[#This Row],[Losing Candidate]]))),(SamplingData[[#This Row],[Total]]+SamplingData[[#This Row],[Winning Candidate]]-SamplingData[[#This Row],[Losing Candidate]])/(SamplingData[[#Totals],[Winning Candidate]]-SamplingData[[#Totals],[Losing Candidate]]), 0)</f>
        <v>3.3684468397844193E-3</v>
      </c>
      <c r="L1687" s="100">
        <f>IF(AND(SamplingData[[#This Row],[Total]]&lt;&gt; 0, NOT(ISBLANK(SamplingData[[#This Row],[Candidate 3]]))),(SamplingData[[#This Row],[Total]]+SamplingData[[#This Row],[Winning Candidate]]-SamplingData[[#This Row],[Candidate 3]])/(SamplingData[[#Totals],[Winning Candidate]]-SamplingData[[#Totals],[Candidate 3]]), 0)</f>
        <v>2.0647159402522827E-3</v>
      </c>
      <c r="M1687" s="100">
        <f>IF(AND(SamplingData[[#This Row],[Total]]&lt;&gt; 0, NOT(ISBLANK(SamplingData[[#This Row],[Candidate 4]]))),(SamplingData[[#This Row],[Total]]+SamplingData[[#This Row],[Winning Candidate]]-SamplingData[[#This Row],[Candidate 4]])/(SamplingData[[#Totals],[Winning Candidate]]-SamplingData[[#Totals],[Candidate 4]]), 0)</f>
        <v>1.8123885527200445E-3</v>
      </c>
      <c r="N1687" s="100">
        <f>IF(AND(SamplingData[[#This Row],[Total]]&lt;&gt; 0, NOT(ISBLANK(SamplingData[[#This Row],[Candidate 5]]))),(SamplingData[[#This Row],[Total]]+SamplingData[[#This Row],[Winning Candidate]]-SamplingData[[#This Row],[Candidate 5]])/(SamplingData[[#Totals],[Winning Candidate]]-SamplingData[[#Totals],[Candidate 5]]), 0)</f>
        <v>1.6054487959134031E-3</v>
      </c>
      <c r="O1687" s="100">
        <f>IF(AND(SamplingData[[#This Row],[Total]]&lt;&gt; 0, NOT(ISBLANK(SamplingData[[#This Row],[Candidate 6]]))),(SamplingData[[#This Row],[Total]]+SamplingData[[#This Row],[Winning Candidate]]-SamplingData[[#This Row],[Candidate 6]])/(SamplingData[[#Totals],[Winning Candidate]]-SamplingData[[#Totals],[Candidate 6]]), 0)</f>
        <v>1.6049803025144692E-3</v>
      </c>
      <c r="P1687" s="100">
        <f>MAX(SamplingData[[#This Row],[Error Bound (up) - Max. possible relative overstatement - Losing Candidate]:[Error Bound (up) - Max. possible relative overstatement - Candidate 6]])</f>
        <v>3.3684468397844193E-3</v>
      </c>
      <c r="Q1687" s="100">
        <f>IF(SamplingData[[#This Row],[Max Error Bound (up)]] = 0,0,SamplingData[[#This Row],[Max Error Bound (up)]]/SamplingData[[#Totals],[Max Error Bound (up)]])</f>
        <v>5.3311215531452077E-4</v>
      </c>
      <c r="R1687" s="101">
        <f>SUM($Q$5:Q1687)</f>
        <v>0.61385762977932057</v>
      </c>
      <c r="S1687" s="100" t="str">
        <f t="array" ref="S1687">IF(SamplingData[[#This Row],[up/U Selection Probability]] = 0, "Zero", TEXT(SamplingData[[#This Row],[Lower Range]], REPT("0",LEN('General Info'!$B$40))) &amp; " - " &amp; TEXT(SamplingData[[#This Row],[Upper Range]], REPT("0",LEN('General Info'!$B$40))))</f>
        <v>61332 - 61385</v>
      </c>
      <c r="T1687" s="100">
        <f>SamplingData[[#This Row],[Upper Range]]-SamplingData[[#This Row],[Span]]</f>
        <v>61332.452295512761</v>
      </c>
      <c r="U1687" s="100">
        <f>IF(ISNUMBER('General Info'!$B$40), ((SamplingData[[#This Row],[up/U Selection Probability]]) * 'General Info'!$B$40) - 1, 0)</f>
        <v>52.310682419296761</v>
      </c>
      <c r="V1687" s="100">
        <f>IF(ISNUMBER('General Info'!$B$40), (SamplingData[[#This Row],[Running (cumulative) sum]] * ('General Info'!$B$40 -'General Info'!$B$41 + 1)) + 'General Info'!$B$41 - 1, 0)</f>
        <v>61384.762977932056</v>
      </c>
      <c r="W1687" s="100" t="str">
        <f>IF(ISERROR(MATCH(SamplingData[[#This Row],[Batch by Type (p)]],SelectedPrecincts[Batch Name], 0)), "", INDEX(SelectedPrecincts[Draw], MATCH(SamplingData[[#This Row],[Batch by Type (p)]],SelectedPrecincts[Batch Name], 0)))</f>
        <v/>
      </c>
      <c r="X1687" s="102">
        <f>IF(COUNTIF(SelectedPrecincts[Batch Name],SamplingData[[#This Row],[Batch by Type (p)]]) &lt;&gt; 0, COUNTIF(SelectedPrecincts[Batch Name],SamplingData[[#This Row],[Batch by Type (p)]]), 0)</f>
        <v>0</v>
      </c>
    </row>
    <row r="1688" spans="1:24" ht="15" customHeight="1">
      <c r="A1688" s="18" t="s">
        <v>1864</v>
      </c>
      <c r="B1688" s="18">
        <v>7</v>
      </c>
      <c r="C1688" s="18">
        <v>3</v>
      </c>
      <c r="D1688" s="18">
        <v>2</v>
      </c>
      <c r="E1688" s="18">
        <v>0</v>
      </c>
      <c r="F1688" s="18">
        <v>0</v>
      </c>
      <c r="G1688" s="18">
        <v>0</v>
      </c>
      <c r="H1688" s="18">
        <v>0</v>
      </c>
      <c r="I1688" s="18">
        <v>0</v>
      </c>
      <c r="J1688" s="99">
        <f>SUM(SamplingData[[#This Row],[Losing Candidate]:[Under Votes]])</f>
        <v>12</v>
      </c>
      <c r="K1688"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688" s="100">
        <f>IF(AND(SamplingData[[#This Row],[Total]]&lt;&gt; 0, NOT(ISBLANK(SamplingData[[#This Row],[Candidate 3]]))),(SamplingData[[#This Row],[Total]]+SamplingData[[#This Row],[Winning Candidate]]-SamplingData[[#This Row],[Candidate 3]])/(SamplingData[[#Totals],[Winning Candidate]]-SamplingData[[#Totals],[Candidate 3]]), 0)</f>
        <v>4.1939542536374486E-4</v>
      </c>
      <c r="M1688" s="100">
        <f>IF(AND(SamplingData[[#This Row],[Total]]&lt;&gt; 0, NOT(ISBLANK(SamplingData[[#This Row],[Candidate 4]]))),(SamplingData[[#This Row],[Total]]+SamplingData[[#This Row],[Winning Candidate]]-SamplingData[[#This Row],[Candidate 4]])/(SamplingData[[#Totals],[Winning Candidate]]-SamplingData[[#Totals],[Candidate 4]]), 0)</f>
        <v>4.3848110146452689E-4</v>
      </c>
      <c r="N1688" s="100">
        <f>IF(AND(SamplingData[[#This Row],[Total]]&lt;&gt; 0, NOT(ISBLANK(SamplingData[[#This Row],[Candidate 5]]))),(SamplingData[[#This Row],[Total]]+SamplingData[[#This Row],[Winning Candidate]]-SamplingData[[#This Row],[Candidate 5]])/(SamplingData[[#Totals],[Winning Candidate]]-SamplingData[[#Totals],[Candidate 5]]), 0)</f>
        <v>3.6487472634395525E-4</v>
      </c>
      <c r="O1688" s="100">
        <f>IF(AND(SamplingData[[#This Row],[Total]]&lt;&gt; 0, NOT(ISBLANK(SamplingData[[#This Row],[Candidate 6]]))),(SamplingData[[#This Row],[Total]]+SamplingData[[#This Row],[Winning Candidate]]-SamplingData[[#This Row],[Candidate 6]])/(SamplingData[[#Totals],[Winning Candidate]]-SamplingData[[#Totals],[Candidate 6]]), 0)</f>
        <v>3.6476825057147027E-4</v>
      </c>
      <c r="P1688" s="100">
        <f>MAX(SamplingData[[#This Row],[Error Bound (up) - Max. possible relative overstatement - Losing Candidate]:[Error Bound (up) - Max. possible relative overstatement - Candidate 6]])</f>
        <v>4.8995590396864281E-4</v>
      </c>
      <c r="Q1688" s="100">
        <f>IF(SamplingData[[#This Row],[Max Error Bound (up)]] = 0,0,SamplingData[[#This Row],[Max Error Bound (up)]]/SamplingData[[#Totals],[Max Error Bound (up)]])</f>
        <v>7.7543586227566652E-5</v>
      </c>
      <c r="R1688" s="101">
        <f>SUM($Q$5:Q1688)</f>
        <v>0.61393517336554815</v>
      </c>
      <c r="S1688" s="100" t="str">
        <f t="array" ref="S1688">IF(SamplingData[[#This Row],[up/U Selection Probability]] = 0, "Zero", TEXT(SamplingData[[#This Row],[Lower Range]], REPT("0",LEN('General Info'!$B$40))) &amp; " - " &amp; TEXT(SamplingData[[#This Row],[Upper Range]], REPT("0",LEN('General Info'!$B$40))))</f>
        <v>61386 - 61393</v>
      </c>
      <c r="T1688" s="100">
        <f>SamplingData[[#This Row],[Upper Range]]-SamplingData[[#This Row],[Span]]</f>
        <v>61385.763055475647</v>
      </c>
      <c r="U1688" s="100">
        <f>IF(ISNUMBER('General Info'!$B$40), ((SamplingData[[#This Row],[up/U Selection Probability]]) * 'General Info'!$B$40) - 1, 0)</f>
        <v>6.754281079170438</v>
      </c>
      <c r="V1688" s="100">
        <f>IF(ISNUMBER('General Info'!$B$40), (SamplingData[[#This Row],[Running (cumulative) sum]] * ('General Info'!$B$40 -'General Info'!$B$41 + 1)) + 'General Info'!$B$41 - 1, 0)</f>
        <v>61392.517336554818</v>
      </c>
      <c r="W1688" s="100" t="str">
        <f>IF(ISERROR(MATCH(SamplingData[[#This Row],[Batch by Type (p)]],SelectedPrecincts[Batch Name], 0)), "", INDEX(SelectedPrecincts[Draw], MATCH(SamplingData[[#This Row],[Batch by Type (p)]],SelectedPrecincts[Batch Name], 0)))</f>
        <v/>
      </c>
      <c r="X1688" s="102">
        <f>IF(COUNTIF(SelectedPrecincts[Batch Name],SamplingData[[#This Row],[Batch by Type (p)]]) &lt;&gt; 0, COUNTIF(SelectedPrecincts[Batch Name],SamplingData[[#This Row],[Batch by Type (p)]]), 0)</f>
        <v>0</v>
      </c>
    </row>
    <row r="1689" spans="1:24" ht="15" customHeight="1">
      <c r="A1689" s="18" t="s">
        <v>1865</v>
      </c>
      <c r="B1689" s="18">
        <v>15</v>
      </c>
      <c r="C1689" s="18">
        <v>17</v>
      </c>
      <c r="D1689" s="16">
        <v>11</v>
      </c>
      <c r="E1689" s="16">
        <v>12</v>
      </c>
      <c r="F1689" s="37">
        <v>0</v>
      </c>
      <c r="G1689" s="37">
        <v>0</v>
      </c>
      <c r="H1689" s="17">
        <v>0</v>
      </c>
      <c r="I1689" s="17">
        <v>1</v>
      </c>
      <c r="J1689" s="99">
        <f>SUM(SamplingData[[#This Row],[Losing Candidate]:[Under Votes]])</f>
        <v>56</v>
      </c>
      <c r="K1689" s="100">
        <f>IF(AND(SamplingData[[#This Row],[Total]]&lt;&gt; 0, NOT(ISBLANK(SamplingData[[#This Row],[Losing Candidate]]))),(SamplingData[[#This Row],[Total]]+SamplingData[[#This Row],[Winning Candidate]]-SamplingData[[#This Row],[Losing Candidate]])/(SamplingData[[#Totals],[Winning Candidate]]-SamplingData[[#Totals],[Losing Candidate]]), 0)</f>
        <v>3.5521803037726605E-3</v>
      </c>
      <c r="L1689" s="100">
        <f>IF(AND(SamplingData[[#This Row],[Total]]&lt;&gt; 0, NOT(ISBLANK(SamplingData[[#This Row],[Candidate 3]]))),(SamplingData[[#This Row],[Total]]+SamplingData[[#This Row],[Winning Candidate]]-SamplingData[[#This Row],[Candidate 3]])/(SamplingData[[#Totals],[Winning Candidate]]-SamplingData[[#Totals],[Candidate 3]]), 0)</f>
        <v>2.0001935671193987E-3</v>
      </c>
      <c r="M1689" s="100">
        <f>IF(AND(SamplingData[[#This Row],[Total]]&lt;&gt; 0, NOT(ISBLANK(SamplingData[[#This Row],[Candidate 4]]))),(SamplingData[[#This Row],[Total]]+SamplingData[[#This Row],[Winning Candidate]]-SamplingData[[#This Row],[Candidate 4]])/(SamplingData[[#Totals],[Winning Candidate]]-SamplingData[[#Totals],[Candidate 4]]), 0)</f>
        <v>1.783156479289076E-3</v>
      </c>
      <c r="N1689" s="100">
        <f>IF(AND(SamplingData[[#This Row],[Total]]&lt;&gt; 0, NOT(ISBLANK(SamplingData[[#This Row],[Candidate 5]]))),(SamplingData[[#This Row],[Total]]+SamplingData[[#This Row],[Winning Candidate]]-SamplingData[[#This Row],[Candidate 5]])/(SamplingData[[#Totals],[Winning Candidate]]-SamplingData[[#Totals],[Candidate 5]]), 0)</f>
        <v>1.7757236682072487E-3</v>
      </c>
      <c r="O1689" s="100">
        <f>IF(AND(SamplingData[[#This Row],[Total]]&lt;&gt; 0, NOT(ISBLANK(SamplingData[[#This Row],[Candidate 6]]))),(SamplingData[[#This Row],[Total]]+SamplingData[[#This Row],[Winning Candidate]]-SamplingData[[#This Row],[Candidate 6]])/(SamplingData[[#Totals],[Winning Candidate]]-SamplingData[[#Totals],[Candidate 6]]), 0)</f>
        <v>1.7752054861144887E-3</v>
      </c>
      <c r="P1689" s="100">
        <f>MAX(SamplingData[[#This Row],[Error Bound (up) - Max. possible relative overstatement - Losing Candidate]:[Error Bound (up) - Max. possible relative overstatement - Candidate 6]])</f>
        <v>3.5521803037726605E-3</v>
      </c>
      <c r="Q1689" s="100">
        <f>IF(SamplingData[[#This Row],[Max Error Bound (up)]] = 0,0,SamplingData[[#This Row],[Max Error Bound (up)]]/SamplingData[[#Totals],[Max Error Bound (up)]])</f>
        <v>5.6219100014985829E-4</v>
      </c>
      <c r="R1689" s="101">
        <f>SUM($Q$5:Q1689)</f>
        <v>0.61449736436569802</v>
      </c>
      <c r="S1689" s="100" t="str">
        <f t="array" ref="S1689">IF(SamplingData[[#This Row],[up/U Selection Probability]] = 0, "Zero", TEXT(SamplingData[[#This Row],[Lower Range]], REPT("0",LEN('General Info'!$B$40))) &amp; " - " &amp; TEXT(SamplingData[[#This Row],[Upper Range]], REPT("0",LEN('General Info'!$B$40))))</f>
        <v>61394 - 61449</v>
      </c>
      <c r="T1689" s="100">
        <f>SamplingData[[#This Row],[Upper Range]]-SamplingData[[#This Row],[Span]]</f>
        <v>61393.517898745813</v>
      </c>
      <c r="U1689" s="100">
        <f>IF(ISNUMBER('General Info'!$B$40), ((SamplingData[[#This Row],[up/U Selection Probability]]) * 'General Info'!$B$40) - 1, 0)</f>
        <v>55.218537823985677</v>
      </c>
      <c r="V1689" s="100">
        <f>IF(ISNUMBER('General Info'!$B$40), (SamplingData[[#This Row],[Running (cumulative) sum]] * ('General Info'!$B$40 -'General Info'!$B$41 + 1)) + 'General Info'!$B$41 - 1, 0)</f>
        <v>61448.736436569801</v>
      </c>
      <c r="W1689" s="100" t="str">
        <f>IF(ISERROR(MATCH(SamplingData[[#This Row],[Batch by Type (p)]],SelectedPrecincts[Batch Name], 0)), "", INDEX(SelectedPrecincts[Draw], MATCH(SamplingData[[#This Row],[Batch by Type (p)]],SelectedPrecincts[Batch Name], 0)))</f>
        <v/>
      </c>
      <c r="X1689" s="102">
        <f>IF(COUNTIF(SelectedPrecincts[Batch Name],SamplingData[[#This Row],[Batch by Type (p)]]) &lt;&gt; 0, COUNTIF(SelectedPrecincts[Batch Name],SamplingData[[#This Row],[Batch by Type (p)]]), 0)</f>
        <v>0</v>
      </c>
    </row>
    <row r="1690" spans="1:24" ht="15" customHeight="1">
      <c r="A1690" s="18" t="s">
        <v>1866</v>
      </c>
      <c r="B1690" s="18">
        <v>5</v>
      </c>
      <c r="C1690" s="18">
        <v>4</v>
      </c>
      <c r="D1690" s="18">
        <v>3</v>
      </c>
      <c r="E1690" s="18">
        <v>2</v>
      </c>
      <c r="F1690" s="18">
        <v>0</v>
      </c>
      <c r="G1690" s="18">
        <v>0</v>
      </c>
      <c r="H1690" s="18">
        <v>0</v>
      </c>
      <c r="I1690" s="18">
        <v>0</v>
      </c>
      <c r="J1690" s="99">
        <f>SUM(SamplingData[[#This Row],[Losing Candidate]:[Under Votes]])</f>
        <v>14</v>
      </c>
      <c r="K1690"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1690" s="100">
        <f>IF(AND(SamplingData[[#This Row],[Total]]&lt;&gt; 0, NOT(ISBLANK(SamplingData[[#This Row],[Candidate 3]]))),(SamplingData[[#This Row],[Total]]+SamplingData[[#This Row],[Winning Candidate]]-SamplingData[[#This Row],[Candidate 3]])/(SamplingData[[#Totals],[Winning Candidate]]-SamplingData[[#Totals],[Candidate 3]]), 0)</f>
        <v>4.8391779849662873E-4</v>
      </c>
      <c r="M1690" s="100">
        <f>IF(AND(SamplingData[[#This Row],[Total]]&lt;&gt; 0, NOT(ISBLANK(SamplingData[[#This Row],[Candidate 4]]))),(SamplingData[[#This Row],[Total]]+SamplingData[[#This Row],[Winning Candidate]]-SamplingData[[#This Row],[Candidate 4]])/(SamplingData[[#Totals],[Winning Candidate]]-SamplingData[[#Totals],[Candidate 4]]), 0)</f>
        <v>4.6771317489549536E-4</v>
      </c>
      <c r="N1690" s="100">
        <f>IF(AND(SamplingData[[#This Row],[Total]]&lt;&gt; 0, NOT(ISBLANK(SamplingData[[#This Row],[Candidate 5]]))),(SamplingData[[#This Row],[Total]]+SamplingData[[#This Row],[Winning Candidate]]-SamplingData[[#This Row],[Candidate 5]])/(SamplingData[[#Totals],[Winning Candidate]]-SamplingData[[#Totals],[Candidate 5]]), 0)</f>
        <v>4.3784967161274629E-4</v>
      </c>
      <c r="O1690" s="100">
        <f>IF(AND(SamplingData[[#This Row],[Total]]&lt;&gt; 0, NOT(ISBLANK(SamplingData[[#This Row],[Candidate 6]]))),(SamplingData[[#This Row],[Total]]+SamplingData[[#This Row],[Winning Candidate]]-SamplingData[[#This Row],[Candidate 6]])/(SamplingData[[#Totals],[Winning Candidate]]-SamplingData[[#Totals],[Candidate 6]]), 0)</f>
        <v>4.3772190068576433E-4</v>
      </c>
      <c r="P1690" s="100">
        <f>MAX(SamplingData[[#This Row],[Error Bound (up) - Max. possible relative overstatement - Losing Candidate]:[Error Bound (up) - Max. possible relative overstatement - Candidate 6]])</f>
        <v>7.9617834394904463E-4</v>
      </c>
      <c r="Q1690" s="100">
        <f>IF(SamplingData[[#This Row],[Max Error Bound (up)]] = 0,0,SamplingData[[#This Row],[Max Error Bound (up)]]/SamplingData[[#Totals],[Max Error Bound (up)]])</f>
        <v>1.2600832761979581E-4</v>
      </c>
      <c r="R1690" s="101">
        <f>SUM($Q$5:Q1690)</f>
        <v>0.61462337269331779</v>
      </c>
      <c r="S1690" s="100" t="str">
        <f t="array" ref="S1690">IF(SamplingData[[#This Row],[up/U Selection Probability]] = 0, "Zero", TEXT(SamplingData[[#This Row],[Lower Range]], REPT("0",LEN('General Info'!$B$40))) &amp; " - " &amp; TEXT(SamplingData[[#This Row],[Upper Range]], REPT("0",LEN('General Info'!$B$40))))</f>
        <v>61450 - 61461</v>
      </c>
      <c r="T1690" s="100">
        <f>SamplingData[[#This Row],[Upper Range]]-SamplingData[[#This Row],[Span]]</f>
        <v>61449.736562578131</v>
      </c>
      <c r="U1690" s="100">
        <f>IF(ISNUMBER('General Info'!$B$40), ((SamplingData[[#This Row],[up/U Selection Probability]]) * 'General Info'!$B$40) - 1, 0)</f>
        <v>11.600706753651961</v>
      </c>
      <c r="V1690" s="100">
        <f>IF(ISNUMBER('General Info'!$B$40), (SamplingData[[#This Row],[Running (cumulative) sum]] * ('General Info'!$B$40 -'General Info'!$B$41 + 1)) + 'General Info'!$B$41 - 1, 0)</f>
        <v>61461.33726933178</v>
      </c>
      <c r="W1690" s="100" t="str">
        <f>IF(ISERROR(MATCH(SamplingData[[#This Row],[Batch by Type (p)]],SelectedPrecincts[Batch Name], 0)), "", INDEX(SelectedPrecincts[Draw], MATCH(SamplingData[[#This Row],[Batch by Type (p)]],SelectedPrecincts[Batch Name], 0)))</f>
        <v/>
      </c>
      <c r="X1690" s="102">
        <f>IF(COUNTIF(SelectedPrecincts[Batch Name],SamplingData[[#This Row],[Batch by Type (p)]]) &lt;&gt; 0, COUNTIF(SelectedPrecincts[Batch Name],SamplingData[[#This Row],[Batch by Type (p)]]), 0)</f>
        <v>0</v>
      </c>
    </row>
    <row r="1691" spans="1:24" ht="15" customHeight="1">
      <c r="A1691" s="18" t="s">
        <v>1867</v>
      </c>
      <c r="B1691" s="18">
        <v>16</v>
      </c>
      <c r="C1691" s="18">
        <v>29</v>
      </c>
      <c r="D1691" s="16">
        <v>3</v>
      </c>
      <c r="E1691" s="16">
        <v>4</v>
      </c>
      <c r="F1691" s="37">
        <v>1</v>
      </c>
      <c r="G1691" s="37">
        <v>0</v>
      </c>
      <c r="H1691" s="17">
        <v>0</v>
      </c>
      <c r="I1691" s="17">
        <v>0</v>
      </c>
      <c r="J1691" s="99">
        <f>SUM(SamplingData[[#This Row],[Losing Candidate]:[Under Votes]])</f>
        <v>53</v>
      </c>
      <c r="K1691" s="100">
        <f>IF(AND(SamplingData[[#This Row],[Total]]&lt;&gt; 0, NOT(ISBLANK(SamplingData[[#This Row],[Losing Candidate]]))),(SamplingData[[#This Row],[Total]]+SamplingData[[#This Row],[Winning Candidate]]-SamplingData[[#This Row],[Losing Candidate]])/(SamplingData[[#Totals],[Winning Candidate]]-SamplingData[[#Totals],[Losing Candidate]]), 0)</f>
        <v>4.0421362077413033E-3</v>
      </c>
      <c r="L1691" s="100">
        <f>IF(AND(SamplingData[[#This Row],[Total]]&lt;&gt; 0, NOT(ISBLANK(SamplingData[[#This Row],[Candidate 3]]))),(SamplingData[[#This Row],[Total]]+SamplingData[[#This Row],[Winning Candidate]]-SamplingData[[#This Row],[Candidate 3]])/(SamplingData[[#Totals],[Winning Candidate]]-SamplingData[[#Totals],[Candidate 3]]), 0)</f>
        <v>2.5486337387489112E-3</v>
      </c>
      <c r="M1691" s="100">
        <f>IF(AND(SamplingData[[#This Row],[Total]]&lt;&gt; 0, NOT(ISBLANK(SamplingData[[#This Row],[Candidate 4]]))),(SamplingData[[#This Row],[Total]]+SamplingData[[#This Row],[Winning Candidate]]-SamplingData[[#This Row],[Candidate 4]])/(SamplingData[[#Totals],[Winning Candidate]]-SamplingData[[#Totals],[Candidate 4]]), 0)</f>
        <v>2.28010172761554E-3</v>
      </c>
      <c r="N1691" s="100">
        <f>IF(AND(SamplingData[[#This Row],[Total]]&lt;&gt; 0, NOT(ISBLANK(SamplingData[[#This Row],[Candidate 5]]))),(SamplingData[[#This Row],[Total]]+SamplingData[[#This Row],[Winning Candidate]]-SamplingData[[#This Row],[Candidate 5]])/(SamplingData[[#Totals],[Winning Candidate]]-SamplingData[[#Totals],[Candidate 5]]), 0)</f>
        <v>1.9703235222573584E-3</v>
      </c>
      <c r="O1691" s="100">
        <f>IF(AND(SamplingData[[#This Row],[Total]]&lt;&gt; 0, NOT(ISBLANK(SamplingData[[#This Row],[Candidate 6]]))),(SamplingData[[#This Row],[Total]]+SamplingData[[#This Row],[Winning Candidate]]-SamplingData[[#This Row],[Candidate 6]])/(SamplingData[[#Totals],[Winning Candidate]]-SamplingData[[#Totals],[Candidate 6]]), 0)</f>
        <v>1.9940664364573707E-3</v>
      </c>
      <c r="P1691" s="100">
        <f>MAX(SamplingData[[#This Row],[Error Bound (up) - Max. possible relative overstatement - Losing Candidate]:[Error Bound (up) - Max. possible relative overstatement - Candidate 6]])</f>
        <v>4.0421362077413033E-3</v>
      </c>
      <c r="Q1691" s="100">
        <f>IF(SamplingData[[#This Row],[Max Error Bound (up)]] = 0,0,SamplingData[[#This Row],[Max Error Bound (up)]]/SamplingData[[#Totals],[Max Error Bound (up)]])</f>
        <v>6.397345863774249E-4</v>
      </c>
      <c r="R1691" s="101">
        <f>SUM($Q$5:Q1691)</f>
        <v>0.61526310727969524</v>
      </c>
      <c r="S1691" s="100" t="str">
        <f t="array" ref="S1691">IF(SamplingData[[#This Row],[up/U Selection Probability]] = 0, "Zero", TEXT(SamplingData[[#This Row],[Lower Range]], REPT("0",LEN('General Info'!$B$40))) &amp; " - " &amp; TEXT(SamplingData[[#This Row],[Upper Range]], REPT("0",LEN('General Info'!$B$40))))</f>
        <v>61462 - 61525</v>
      </c>
      <c r="T1691" s="100">
        <f>SamplingData[[#This Row],[Upper Range]]-SamplingData[[#This Row],[Span]]</f>
        <v>61462.337909066366</v>
      </c>
      <c r="U1691" s="100">
        <f>IF(ISNUMBER('General Info'!$B$40), ((SamplingData[[#This Row],[up/U Selection Probability]]) * 'General Info'!$B$40) - 1, 0)</f>
        <v>62.97281890315611</v>
      </c>
      <c r="V1691" s="100">
        <f>IF(ISNUMBER('General Info'!$B$40), (SamplingData[[#This Row],[Running (cumulative) sum]] * ('General Info'!$B$40 -'General Info'!$B$41 + 1)) + 'General Info'!$B$41 - 1, 0)</f>
        <v>61525.310727969525</v>
      </c>
      <c r="W1691" s="100" t="str">
        <f>IF(ISERROR(MATCH(SamplingData[[#This Row],[Batch by Type (p)]],SelectedPrecincts[Batch Name], 0)), "", INDEX(SelectedPrecincts[Draw], MATCH(SamplingData[[#This Row],[Batch by Type (p)]],SelectedPrecincts[Batch Name], 0)))</f>
        <v/>
      </c>
      <c r="X1691" s="102">
        <f>IF(COUNTIF(SelectedPrecincts[Batch Name],SamplingData[[#This Row],[Batch by Type (p)]]) &lt;&gt; 0, COUNTIF(SelectedPrecincts[Batch Name],SamplingData[[#This Row],[Batch by Type (p)]]), 0)</f>
        <v>0</v>
      </c>
    </row>
    <row r="1692" spans="1:24" ht="15" customHeight="1">
      <c r="A1692" s="18" t="s">
        <v>1868</v>
      </c>
      <c r="B1692" s="18">
        <v>8</v>
      </c>
      <c r="C1692" s="18">
        <v>14</v>
      </c>
      <c r="D1692" s="18">
        <v>4</v>
      </c>
      <c r="E1692" s="18">
        <v>1</v>
      </c>
      <c r="F1692" s="18">
        <v>0</v>
      </c>
      <c r="G1692" s="18">
        <v>0</v>
      </c>
      <c r="H1692" s="18">
        <v>0</v>
      </c>
      <c r="I1692" s="18">
        <v>0</v>
      </c>
      <c r="J1692" s="99">
        <f>SUM(SamplingData[[#This Row],[Losing Candidate]:[Under Votes]])</f>
        <v>27</v>
      </c>
      <c r="K1692" s="100">
        <f>IF(AND(SamplingData[[#This Row],[Total]]&lt;&gt; 0, NOT(ISBLANK(SamplingData[[#This Row],[Losing Candidate]]))),(SamplingData[[#This Row],[Total]]+SamplingData[[#This Row],[Winning Candidate]]-SamplingData[[#This Row],[Losing Candidate]])/(SamplingData[[#Totals],[Winning Candidate]]-SamplingData[[#Totals],[Losing Candidate]]), 0)</f>
        <v>2.0210681038706517E-3</v>
      </c>
      <c r="L1692" s="100">
        <f>IF(AND(SamplingData[[#This Row],[Total]]&lt;&gt; 0, NOT(ISBLANK(SamplingData[[#This Row],[Candidate 3]]))),(SamplingData[[#This Row],[Total]]+SamplingData[[#This Row],[Winning Candidate]]-SamplingData[[#This Row],[Candidate 3]])/(SamplingData[[#Totals],[Winning Candidate]]-SamplingData[[#Totals],[Candidate 3]]), 0)</f>
        <v>1.1936639029583509E-3</v>
      </c>
      <c r="M1692" s="100">
        <f>IF(AND(SamplingData[[#This Row],[Total]]&lt;&gt; 0, NOT(ISBLANK(SamplingData[[#This Row],[Candidate 4]]))),(SamplingData[[#This Row],[Total]]+SamplingData[[#This Row],[Winning Candidate]]-SamplingData[[#This Row],[Candidate 4]])/(SamplingData[[#Totals],[Winning Candidate]]-SamplingData[[#Totals],[Candidate 4]]), 0)</f>
        <v>1.1692829372387384E-3</v>
      </c>
      <c r="N1692" s="100">
        <f>IF(AND(SamplingData[[#This Row],[Total]]&lt;&gt; 0, NOT(ISBLANK(SamplingData[[#This Row],[Candidate 5]]))),(SamplingData[[#This Row],[Total]]+SamplingData[[#This Row],[Winning Candidate]]-SamplingData[[#This Row],[Candidate 5]])/(SamplingData[[#Totals],[Winning Candidate]]-SamplingData[[#Totals],[Candidate 5]]), 0)</f>
        <v>9.9732425200681099E-4</v>
      </c>
      <c r="O1692" s="100">
        <f>IF(AND(SamplingData[[#This Row],[Total]]&lt;&gt; 0, NOT(ISBLANK(SamplingData[[#This Row],[Candidate 6]]))),(SamplingData[[#This Row],[Total]]+SamplingData[[#This Row],[Winning Candidate]]-SamplingData[[#This Row],[Candidate 6]])/(SamplingData[[#Totals],[Winning Candidate]]-SamplingData[[#Totals],[Candidate 6]]), 0)</f>
        <v>9.9703321822868537E-4</v>
      </c>
      <c r="P1692" s="100">
        <f>MAX(SamplingData[[#This Row],[Error Bound (up) - Max. possible relative overstatement - Losing Candidate]:[Error Bound (up) - Max. possible relative overstatement - Candidate 6]])</f>
        <v>2.0210681038706517E-3</v>
      </c>
      <c r="Q1692" s="100">
        <f>IF(SamplingData[[#This Row],[Max Error Bound (up)]] = 0,0,SamplingData[[#This Row],[Max Error Bound (up)]]/SamplingData[[#Totals],[Max Error Bound (up)]])</f>
        <v>3.1986729318871245E-4</v>
      </c>
      <c r="R1692" s="101">
        <f>SUM($Q$5:Q1692)</f>
        <v>0.61558297457288391</v>
      </c>
      <c r="S1692" s="100" t="str">
        <f t="array" ref="S1692">IF(SamplingData[[#This Row],[up/U Selection Probability]] = 0, "Zero", TEXT(SamplingData[[#This Row],[Lower Range]], REPT("0",LEN('General Info'!$B$40))) &amp; " - " &amp; TEXT(SamplingData[[#This Row],[Upper Range]], REPT("0",LEN('General Info'!$B$40))))</f>
        <v>61526 - 61557</v>
      </c>
      <c r="T1692" s="100">
        <f>SamplingData[[#This Row],[Upper Range]]-SamplingData[[#This Row],[Span]]</f>
        <v>61526.311047836811</v>
      </c>
      <c r="U1692" s="100">
        <f>IF(ISNUMBER('General Info'!$B$40), ((SamplingData[[#This Row],[up/U Selection Probability]]) * 'General Info'!$B$40) - 1, 0)</f>
        <v>30.986409451578055</v>
      </c>
      <c r="V1692" s="100">
        <f>IF(ISNUMBER('General Info'!$B$40), (SamplingData[[#This Row],[Running (cumulative) sum]] * ('General Info'!$B$40 -'General Info'!$B$41 + 1)) + 'General Info'!$B$41 - 1, 0)</f>
        <v>61557.29745728839</v>
      </c>
      <c r="W1692" s="100" t="str">
        <f>IF(ISERROR(MATCH(SamplingData[[#This Row],[Batch by Type (p)]],SelectedPrecincts[Batch Name], 0)), "", INDEX(SelectedPrecincts[Draw], MATCH(SamplingData[[#This Row],[Batch by Type (p)]],SelectedPrecincts[Batch Name], 0)))</f>
        <v/>
      </c>
      <c r="X1692" s="102">
        <f>IF(COUNTIF(SelectedPrecincts[Batch Name],SamplingData[[#This Row],[Batch by Type (p)]]) &lt;&gt; 0, COUNTIF(SelectedPrecincts[Batch Name],SamplingData[[#This Row],[Batch by Type (p)]]), 0)</f>
        <v>0</v>
      </c>
    </row>
    <row r="1693" spans="1:24" ht="15" customHeight="1">
      <c r="A1693" s="18" t="s">
        <v>1869</v>
      </c>
      <c r="B1693" s="18">
        <v>21</v>
      </c>
      <c r="C1693" s="18">
        <v>27</v>
      </c>
      <c r="D1693" s="16">
        <v>8</v>
      </c>
      <c r="E1693" s="16">
        <v>10</v>
      </c>
      <c r="F1693" s="37">
        <v>0</v>
      </c>
      <c r="G1693" s="37">
        <v>1</v>
      </c>
      <c r="H1693" s="17">
        <v>0</v>
      </c>
      <c r="I1693" s="17">
        <v>1</v>
      </c>
      <c r="J1693" s="99">
        <f>SUM(SamplingData[[#This Row],[Losing Candidate]:[Under Votes]])</f>
        <v>68</v>
      </c>
      <c r="K1693" s="100">
        <f>IF(AND(SamplingData[[#This Row],[Total]]&lt;&gt; 0, NOT(ISBLANK(SamplingData[[#This Row],[Losing Candidate]]))),(SamplingData[[#This Row],[Total]]+SamplingData[[#This Row],[Winning Candidate]]-SamplingData[[#This Row],[Losing Candidate]])/(SamplingData[[#Totals],[Winning Candidate]]-SamplingData[[#Totals],[Losing Candidate]]), 0)</f>
        <v>4.5320921117099457E-3</v>
      </c>
      <c r="L1693" s="100">
        <f>IF(AND(SamplingData[[#This Row],[Total]]&lt;&gt; 0, NOT(ISBLANK(SamplingData[[#This Row],[Candidate 3]]))),(SamplingData[[#This Row],[Total]]+SamplingData[[#This Row],[Winning Candidate]]-SamplingData[[#This Row],[Candidate 3]])/(SamplingData[[#Totals],[Winning Candidate]]-SamplingData[[#Totals],[Candidate 3]]), 0)</f>
        <v>2.8067232312804463E-3</v>
      </c>
      <c r="M1693" s="100">
        <f>IF(AND(SamplingData[[#This Row],[Total]]&lt;&gt; 0, NOT(ISBLANK(SamplingData[[#This Row],[Candidate 4]]))),(SamplingData[[#This Row],[Total]]+SamplingData[[#This Row],[Winning Candidate]]-SamplingData[[#This Row],[Candidate 4]])/(SamplingData[[#Totals],[Winning Candidate]]-SamplingData[[#Totals],[Candidate 4]]), 0)</f>
        <v>2.4847262416323188E-3</v>
      </c>
      <c r="N1693" s="100">
        <f>IF(AND(SamplingData[[#This Row],[Total]]&lt;&gt; 0, NOT(ISBLANK(SamplingData[[#This Row],[Candidate 5]]))),(SamplingData[[#This Row],[Total]]+SamplingData[[#This Row],[Winning Candidate]]-SamplingData[[#This Row],[Candidate 5]])/(SamplingData[[#Totals],[Winning Candidate]]-SamplingData[[#Totals],[Candidate 5]]), 0)</f>
        <v>2.3108732668450497E-3</v>
      </c>
      <c r="O1693" s="100">
        <f>IF(AND(SamplingData[[#This Row],[Total]]&lt;&gt; 0, NOT(ISBLANK(SamplingData[[#This Row],[Candidate 6]]))),(SamplingData[[#This Row],[Total]]+SamplingData[[#This Row],[Winning Candidate]]-SamplingData[[#This Row],[Candidate 6]])/(SamplingData[[#Totals],[Winning Candidate]]-SamplingData[[#Totals],[Candidate 6]]), 0)</f>
        <v>2.285881036914547E-3</v>
      </c>
      <c r="P1693" s="100">
        <f>MAX(SamplingData[[#This Row],[Error Bound (up) - Max. possible relative overstatement - Losing Candidate]:[Error Bound (up) - Max. possible relative overstatement - Candidate 6]])</f>
        <v>4.5320921117099457E-3</v>
      </c>
      <c r="Q1693" s="100">
        <f>IF(SamplingData[[#This Row],[Max Error Bound (up)]] = 0,0,SamplingData[[#This Row],[Max Error Bound (up)]]/SamplingData[[#Totals],[Max Error Bound (up)]])</f>
        <v>7.1727817260499151E-4</v>
      </c>
      <c r="R1693" s="101">
        <f>SUM($Q$5:Q1693)</f>
        <v>0.61630025274548894</v>
      </c>
      <c r="S1693" s="100" t="str">
        <f t="array" ref="S1693">IF(SamplingData[[#This Row],[up/U Selection Probability]] = 0, "Zero", TEXT(SamplingData[[#This Row],[Lower Range]], REPT("0",LEN('General Info'!$B$40))) &amp; " - " &amp; TEXT(SamplingData[[#This Row],[Upper Range]], REPT("0",LEN('General Info'!$B$40))))</f>
        <v>61558 - 61629</v>
      </c>
      <c r="T1693" s="100">
        <f>SamplingData[[#This Row],[Upper Range]]-SamplingData[[#This Row],[Span]]</f>
        <v>61558.298174566567</v>
      </c>
      <c r="U1693" s="100">
        <f>IF(ISNUMBER('General Info'!$B$40), ((SamplingData[[#This Row],[up/U Selection Probability]]) * 'General Info'!$B$40) - 1, 0)</f>
        <v>70.72709998232655</v>
      </c>
      <c r="V1693" s="100">
        <f>IF(ISNUMBER('General Info'!$B$40), (SamplingData[[#This Row],[Running (cumulative) sum]] * ('General Info'!$B$40 -'General Info'!$B$41 + 1)) + 'General Info'!$B$41 - 1, 0)</f>
        <v>61629.025274548891</v>
      </c>
      <c r="W1693" s="100" t="str">
        <f>IF(ISERROR(MATCH(SamplingData[[#This Row],[Batch by Type (p)]],SelectedPrecincts[Batch Name], 0)), "", INDEX(SelectedPrecincts[Draw], MATCH(SamplingData[[#This Row],[Batch by Type (p)]],SelectedPrecincts[Batch Name], 0)))</f>
        <v/>
      </c>
      <c r="X1693" s="102">
        <f>IF(COUNTIF(SelectedPrecincts[Batch Name],SamplingData[[#This Row],[Batch by Type (p)]]) &lt;&gt; 0, COUNTIF(SelectedPrecincts[Batch Name],SamplingData[[#This Row],[Batch by Type (p)]]), 0)</f>
        <v>0</v>
      </c>
    </row>
    <row r="1694" spans="1:24" ht="15" customHeight="1">
      <c r="A1694" s="18" t="s">
        <v>1870</v>
      </c>
      <c r="B1694" s="18">
        <v>3</v>
      </c>
      <c r="C1694" s="18">
        <v>7</v>
      </c>
      <c r="D1694" s="18">
        <v>2</v>
      </c>
      <c r="E1694" s="18">
        <v>3</v>
      </c>
      <c r="F1694" s="18">
        <v>0</v>
      </c>
      <c r="G1694" s="18">
        <v>0</v>
      </c>
      <c r="H1694" s="18">
        <v>0</v>
      </c>
      <c r="I1694" s="18">
        <v>0</v>
      </c>
      <c r="J1694" s="99">
        <f>SUM(SamplingData[[#This Row],[Losing Candidate]:[Under Votes]])</f>
        <v>15</v>
      </c>
      <c r="K1694"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694" s="100">
        <f>IF(AND(SamplingData[[#This Row],[Total]]&lt;&gt; 0, NOT(ISBLANK(SamplingData[[#This Row],[Candidate 3]]))),(SamplingData[[#This Row],[Total]]+SamplingData[[#This Row],[Winning Candidate]]-SamplingData[[#This Row],[Candidate 3]])/(SamplingData[[#Totals],[Winning Candidate]]-SamplingData[[#Totals],[Candidate 3]]), 0)</f>
        <v>6.4522373132883831E-4</v>
      </c>
      <c r="M1694" s="100">
        <f>IF(AND(SamplingData[[#This Row],[Total]]&lt;&gt; 0, NOT(ISBLANK(SamplingData[[#This Row],[Candidate 4]]))),(SamplingData[[#This Row],[Total]]+SamplingData[[#This Row],[Winning Candidate]]-SamplingData[[#This Row],[Candidate 4]])/(SamplingData[[#Totals],[Winning Candidate]]-SamplingData[[#Totals],[Candidate 4]]), 0)</f>
        <v>5.5540939518840076E-4</v>
      </c>
      <c r="N1694" s="100">
        <f>IF(AND(SamplingData[[#This Row],[Total]]&lt;&gt; 0, NOT(ISBLANK(SamplingData[[#This Row],[Candidate 5]]))),(SamplingData[[#This Row],[Total]]+SamplingData[[#This Row],[Winning Candidate]]-SamplingData[[#This Row],[Candidate 5]])/(SamplingData[[#Totals],[Winning Candidate]]-SamplingData[[#Totals],[Candidate 5]]), 0)</f>
        <v>5.3514959863780107E-4</v>
      </c>
      <c r="O1694" s="100">
        <f>IF(AND(SamplingData[[#This Row],[Total]]&lt;&gt; 0, NOT(ISBLANK(SamplingData[[#This Row],[Candidate 6]]))),(SamplingData[[#This Row],[Total]]+SamplingData[[#This Row],[Winning Candidate]]-SamplingData[[#This Row],[Candidate 6]])/(SamplingData[[#Totals],[Winning Candidate]]-SamplingData[[#Totals],[Candidate 6]]), 0)</f>
        <v>5.3499343417148966E-4</v>
      </c>
      <c r="P1694" s="100">
        <f>MAX(SamplingData[[#This Row],[Error Bound (up) - Max. possible relative overstatement - Losing Candidate]:[Error Bound (up) - Max. possible relative overstatement - Candidate 6]])</f>
        <v>1.1636452719255266E-3</v>
      </c>
      <c r="Q1694" s="100">
        <f>IF(SamplingData[[#This Row],[Max Error Bound (up)]] = 0,0,SamplingData[[#This Row],[Max Error Bound (up)]]/SamplingData[[#Totals],[Max Error Bound (up)]])</f>
        <v>1.841660172904708E-4</v>
      </c>
      <c r="R1694" s="101">
        <f>SUM($Q$5:Q1694)</f>
        <v>0.61648441876277937</v>
      </c>
      <c r="S1694" s="100" t="str">
        <f t="array" ref="S1694">IF(SamplingData[[#This Row],[up/U Selection Probability]] = 0, "Zero", TEXT(SamplingData[[#This Row],[Lower Range]], REPT("0",LEN('General Info'!$B$40))) &amp; " - " &amp; TEXT(SamplingData[[#This Row],[Upper Range]], REPT("0",LEN('General Info'!$B$40))))</f>
        <v>61630 - 61647</v>
      </c>
      <c r="T1694" s="100">
        <f>SamplingData[[#This Row],[Upper Range]]-SamplingData[[#This Row],[Span]]</f>
        <v>61630.02545871491</v>
      </c>
      <c r="U1694" s="100">
        <f>IF(ISNUMBER('General Info'!$B$40), ((SamplingData[[#This Row],[up/U Selection Probability]]) * 'General Info'!$B$40) - 1, 0)</f>
        <v>17.416417563029789</v>
      </c>
      <c r="V1694" s="100">
        <f>IF(ISNUMBER('General Info'!$B$40), (SamplingData[[#This Row],[Running (cumulative) sum]] * ('General Info'!$B$40 -'General Info'!$B$41 + 1)) + 'General Info'!$B$41 - 1, 0)</f>
        <v>61647.441876277939</v>
      </c>
      <c r="W1694" s="100" t="str">
        <f>IF(ISERROR(MATCH(SamplingData[[#This Row],[Batch by Type (p)]],SelectedPrecincts[Batch Name], 0)), "", INDEX(SelectedPrecincts[Draw], MATCH(SamplingData[[#This Row],[Batch by Type (p)]],SelectedPrecincts[Batch Name], 0)))</f>
        <v/>
      </c>
      <c r="X1694" s="102">
        <f>IF(COUNTIF(SelectedPrecincts[Batch Name],SamplingData[[#This Row],[Batch by Type (p)]]) &lt;&gt; 0, COUNTIF(SelectedPrecincts[Batch Name],SamplingData[[#This Row],[Batch by Type (p)]]), 0)</f>
        <v>0</v>
      </c>
    </row>
    <row r="1695" spans="1:24" ht="15" customHeight="1">
      <c r="A1695" s="18" t="s">
        <v>1871</v>
      </c>
      <c r="B1695" s="18">
        <v>4</v>
      </c>
      <c r="C1695" s="18">
        <v>6</v>
      </c>
      <c r="D1695" s="16">
        <v>0</v>
      </c>
      <c r="E1695" s="16">
        <v>3</v>
      </c>
      <c r="F1695" s="37">
        <v>0</v>
      </c>
      <c r="G1695" s="37">
        <v>0</v>
      </c>
      <c r="H1695" s="17">
        <v>0</v>
      </c>
      <c r="I1695" s="17">
        <v>0</v>
      </c>
      <c r="J1695" s="99">
        <f>SUM(SamplingData[[#This Row],[Losing Candidate]:[Under Votes]])</f>
        <v>13</v>
      </c>
      <c r="K1695"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695" s="100">
        <f>IF(AND(SamplingData[[#This Row],[Total]]&lt;&gt; 0, NOT(ISBLANK(SamplingData[[#This Row],[Candidate 3]]))),(SamplingData[[#This Row],[Total]]+SamplingData[[#This Row],[Winning Candidate]]-SamplingData[[#This Row],[Candidate 3]])/(SamplingData[[#Totals],[Winning Candidate]]-SamplingData[[#Totals],[Candidate 3]]), 0)</f>
        <v>6.1296254476239632E-4</v>
      </c>
      <c r="M1695" s="100">
        <f>IF(AND(SamplingData[[#This Row],[Total]]&lt;&gt; 0, NOT(ISBLANK(SamplingData[[#This Row],[Candidate 4]]))),(SamplingData[[#This Row],[Total]]+SamplingData[[#This Row],[Winning Candidate]]-SamplingData[[#This Row],[Candidate 4]])/(SamplingData[[#Totals],[Winning Candidate]]-SamplingData[[#Totals],[Candidate 4]]), 0)</f>
        <v>4.6771317489549536E-4</v>
      </c>
      <c r="N1695" s="100">
        <f>IF(AND(SamplingData[[#This Row],[Total]]&lt;&gt; 0, NOT(ISBLANK(SamplingData[[#This Row],[Candidate 5]]))),(SamplingData[[#This Row],[Total]]+SamplingData[[#This Row],[Winning Candidate]]-SamplingData[[#This Row],[Candidate 5]])/(SamplingData[[#Totals],[Winning Candidate]]-SamplingData[[#Totals],[Candidate 5]]), 0)</f>
        <v>4.6217465336900997E-4</v>
      </c>
      <c r="O1695" s="100">
        <f>IF(AND(SamplingData[[#This Row],[Total]]&lt;&gt; 0, NOT(ISBLANK(SamplingData[[#This Row],[Candidate 6]]))),(SamplingData[[#This Row],[Total]]+SamplingData[[#This Row],[Winning Candidate]]-SamplingData[[#This Row],[Candidate 6]])/(SamplingData[[#Totals],[Winning Candidate]]-SamplingData[[#Totals],[Candidate 6]]), 0)</f>
        <v>4.6203978405719566E-4</v>
      </c>
      <c r="P1695" s="100">
        <f>MAX(SamplingData[[#This Row],[Error Bound (up) - Max. possible relative overstatement - Losing Candidate]:[Error Bound (up) - Max. possible relative overstatement - Candidate 6]])</f>
        <v>9.1866731994120533E-4</v>
      </c>
      <c r="Q1695" s="100">
        <f>IF(SamplingData[[#This Row],[Max Error Bound (up)]] = 0,0,SamplingData[[#This Row],[Max Error Bound (up)]]/SamplingData[[#Totals],[Max Error Bound (up)]])</f>
        <v>1.4539422417668749E-4</v>
      </c>
      <c r="R1695" s="101">
        <f>SUM($Q$5:Q1695)</f>
        <v>0.61662981298695607</v>
      </c>
      <c r="S1695" s="100" t="str">
        <f t="array" ref="S1695">IF(SamplingData[[#This Row],[up/U Selection Probability]] = 0, "Zero", TEXT(SamplingData[[#This Row],[Lower Range]], REPT("0",LEN('General Info'!$B$40))) &amp; " - " &amp; TEXT(SamplingData[[#This Row],[Upper Range]], REPT("0",LEN('General Info'!$B$40))))</f>
        <v>61648 - 61662</v>
      </c>
      <c r="T1695" s="100">
        <f>SamplingData[[#This Row],[Upper Range]]-SamplingData[[#This Row],[Span]]</f>
        <v>61648.442021672163</v>
      </c>
      <c r="U1695" s="100">
        <f>IF(ISNUMBER('General Info'!$B$40), ((SamplingData[[#This Row],[up/U Selection Probability]]) * 'General Info'!$B$40) - 1, 0)</f>
        <v>13.539277023444573</v>
      </c>
      <c r="V1695" s="100">
        <f>IF(ISNUMBER('General Info'!$B$40), (SamplingData[[#This Row],[Running (cumulative) sum]] * ('General Info'!$B$40 -'General Info'!$B$41 + 1)) + 'General Info'!$B$41 - 1, 0)</f>
        <v>61661.981298695609</v>
      </c>
      <c r="W1695" s="100" t="str">
        <f>IF(ISERROR(MATCH(SamplingData[[#This Row],[Batch by Type (p)]],SelectedPrecincts[Batch Name], 0)), "", INDEX(SelectedPrecincts[Draw], MATCH(SamplingData[[#This Row],[Batch by Type (p)]],SelectedPrecincts[Batch Name], 0)))</f>
        <v/>
      </c>
      <c r="X1695" s="102">
        <f>IF(COUNTIF(SelectedPrecincts[Batch Name],SamplingData[[#This Row],[Batch by Type (p)]]) &lt;&gt; 0, COUNTIF(SelectedPrecincts[Batch Name],SamplingData[[#This Row],[Batch by Type (p)]]), 0)</f>
        <v>0</v>
      </c>
    </row>
    <row r="1696" spans="1:24" ht="15" customHeight="1">
      <c r="A1696" s="18" t="s">
        <v>1872</v>
      </c>
      <c r="B1696" s="18">
        <v>1</v>
      </c>
      <c r="C1696" s="18">
        <v>2</v>
      </c>
      <c r="D1696" s="18">
        <v>0</v>
      </c>
      <c r="E1696" s="18">
        <v>0</v>
      </c>
      <c r="F1696" s="18">
        <v>0</v>
      </c>
      <c r="G1696" s="18">
        <v>0</v>
      </c>
      <c r="H1696" s="18">
        <v>0</v>
      </c>
      <c r="I1696" s="18">
        <v>0</v>
      </c>
      <c r="J1696" s="99">
        <f>SUM(SamplingData[[#This Row],[Losing Candidate]:[Under Votes]])</f>
        <v>3</v>
      </c>
      <c r="K1696"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696" s="100">
        <f>IF(AND(SamplingData[[#This Row],[Total]]&lt;&gt; 0, NOT(ISBLANK(SamplingData[[#This Row],[Candidate 3]]))),(SamplingData[[#This Row],[Total]]+SamplingData[[#This Row],[Winning Candidate]]-SamplingData[[#This Row],[Candidate 3]])/(SamplingData[[#Totals],[Winning Candidate]]-SamplingData[[#Totals],[Candidate 3]]), 0)</f>
        <v>1.6130593283220958E-4</v>
      </c>
      <c r="M1696" s="100">
        <f>IF(AND(SamplingData[[#This Row],[Total]]&lt;&gt; 0, NOT(ISBLANK(SamplingData[[#This Row],[Candidate 4]]))),(SamplingData[[#This Row],[Total]]+SamplingData[[#This Row],[Winning Candidate]]-SamplingData[[#This Row],[Candidate 4]])/(SamplingData[[#Totals],[Winning Candidate]]-SamplingData[[#Totals],[Candidate 4]]), 0)</f>
        <v>1.4616036715484231E-4</v>
      </c>
      <c r="N1696" s="100">
        <f>IF(AND(SamplingData[[#This Row],[Total]]&lt;&gt; 0, NOT(ISBLANK(SamplingData[[#This Row],[Candidate 5]]))),(SamplingData[[#This Row],[Total]]+SamplingData[[#This Row],[Winning Candidate]]-SamplingData[[#This Row],[Candidate 5]])/(SamplingData[[#Totals],[Winning Candidate]]-SamplingData[[#Totals],[Candidate 5]]), 0)</f>
        <v>1.2162490878131841E-4</v>
      </c>
      <c r="O1696" s="100">
        <f>IF(AND(SamplingData[[#This Row],[Total]]&lt;&gt; 0, NOT(ISBLANK(SamplingData[[#This Row],[Candidate 6]]))),(SamplingData[[#This Row],[Total]]+SamplingData[[#This Row],[Winning Candidate]]-SamplingData[[#This Row],[Candidate 6]])/(SamplingData[[#Totals],[Winning Candidate]]-SamplingData[[#Totals],[Candidate 6]]), 0)</f>
        <v>1.2158941685715675E-4</v>
      </c>
      <c r="P1696" s="100">
        <f>MAX(SamplingData[[#This Row],[Error Bound (up) - Max. possible relative overstatement - Losing Candidate]:[Error Bound (up) - Max. possible relative overstatement - Candidate 6]])</f>
        <v>2.4497795198432141E-4</v>
      </c>
      <c r="Q1696" s="100">
        <f>IF(SamplingData[[#This Row],[Max Error Bound (up)]] = 0,0,SamplingData[[#This Row],[Max Error Bound (up)]]/SamplingData[[#Totals],[Max Error Bound (up)]])</f>
        <v>3.8771793113783326E-5</v>
      </c>
      <c r="R1696" s="101">
        <f>SUM($Q$5:Q1696)</f>
        <v>0.61666858478006981</v>
      </c>
      <c r="S1696" s="100" t="str">
        <f t="array" ref="S1696">IF(SamplingData[[#This Row],[up/U Selection Probability]] = 0, "Zero", TEXT(SamplingData[[#This Row],[Lower Range]], REPT("0",LEN('General Info'!$B$40))) &amp; " - " &amp; TEXT(SamplingData[[#This Row],[Upper Range]], REPT("0",LEN('General Info'!$B$40))))</f>
        <v>61663 - 61666</v>
      </c>
      <c r="T1696" s="100">
        <f>SamplingData[[#This Row],[Upper Range]]-SamplingData[[#This Row],[Span]]</f>
        <v>61662.981337467398</v>
      </c>
      <c r="U1696" s="100">
        <f>IF(ISNUMBER('General Info'!$B$40), ((SamplingData[[#This Row],[up/U Selection Probability]]) * 'General Info'!$B$40) - 1, 0)</f>
        <v>2.877140539585219</v>
      </c>
      <c r="V1696" s="100">
        <f>IF(ISNUMBER('General Info'!$B$40), (SamplingData[[#This Row],[Running (cumulative) sum]] * ('General Info'!$B$40 -'General Info'!$B$41 + 1)) + 'General Info'!$B$41 - 1, 0)</f>
        <v>61665.85847800698</v>
      </c>
      <c r="W1696" s="100" t="str">
        <f>IF(ISERROR(MATCH(SamplingData[[#This Row],[Batch by Type (p)]],SelectedPrecincts[Batch Name], 0)), "", INDEX(SelectedPrecincts[Draw], MATCH(SamplingData[[#This Row],[Batch by Type (p)]],SelectedPrecincts[Batch Name], 0)))</f>
        <v/>
      </c>
      <c r="X1696" s="102">
        <f>IF(COUNTIF(SelectedPrecincts[Batch Name],SamplingData[[#This Row],[Batch by Type (p)]]) &lt;&gt; 0, COUNTIF(SelectedPrecincts[Batch Name],SamplingData[[#This Row],[Batch by Type (p)]]), 0)</f>
        <v>0</v>
      </c>
    </row>
    <row r="1697" spans="1:24" ht="15" customHeight="1">
      <c r="A1697" s="18" t="s">
        <v>1873</v>
      </c>
      <c r="B1697" s="18">
        <v>33</v>
      </c>
      <c r="C1697" s="18">
        <v>40</v>
      </c>
      <c r="D1697" s="16">
        <v>19</v>
      </c>
      <c r="E1697" s="16">
        <v>11</v>
      </c>
      <c r="F1697" s="37">
        <v>0</v>
      </c>
      <c r="G1697" s="37">
        <v>0</v>
      </c>
      <c r="H1697" s="17">
        <v>1</v>
      </c>
      <c r="I1697" s="17">
        <v>4</v>
      </c>
      <c r="J1697" s="99">
        <f>SUM(SamplingData[[#This Row],[Losing Candidate]:[Under Votes]])</f>
        <v>108</v>
      </c>
      <c r="K1697" s="100">
        <f>IF(AND(SamplingData[[#This Row],[Total]]&lt;&gt; 0, NOT(ISBLANK(SamplingData[[#This Row],[Losing Candidate]]))),(SamplingData[[#This Row],[Total]]+SamplingData[[#This Row],[Winning Candidate]]-SamplingData[[#This Row],[Losing Candidate]])/(SamplingData[[#Totals],[Winning Candidate]]-SamplingData[[#Totals],[Losing Candidate]]), 0)</f>
        <v>7.0431161195492406E-3</v>
      </c>
      <c r="L1697" s="100">
        <f>IF(AND(SamplingData[[#This Row],[Total]]&lt;&gt; 0, NOT(ISBLANK(SamplingData[[#This Row],[Candidate 3]]))),(SamplingData[[#This Row],[Total]]+SamplingData[[#This Row],[Winning Candidate]]-SamplingData[[#This Row],[Candidate 3]])/(SamplingData[[#Totals],[Winning Candidate]]-SamplingData[[#Totals],[Candidate 3]]), 0)</f>
        <v>4.1616930670710069E-3</v>
      </c>
      <c r="M1697" s="100">
        <f>IF(AND(SamplingData[[#This Row],[Total]]&lt;&gt; 0, NOT(ISBLANK(SamplingData[[#This Row],[Candidate 4]]))),(SamplingData[[#This Row],[Total]]+SamplingData[[#This Row],[Winning Candidate]]-SamplingData[[#This Row],[Candidate 4]])/(SamplingData[[#Totals],[Winning Candidate]]-SamplingData[[#Totals],[Candidate 4]]), 0)</f>
        <v>4.0047940600426791E-3</v>
      </c>
      <c r="N1697" s="100">
        <f>IF(AND(SamplingData[[#This Row],[Total]]&lt;&gt; 0, NOT(ISBLANK(SamplingData[[#This Row],[Candidate 5]]))),(SamplingData[[#This Row],[Total]]+SamplingData[[#This Row],[Winning Candidate]]-SamplingData[[#This Row],[Candidate 5]])/(SamplingData[[#Totals],[Winning Candidate]]-SamplingData[[#Totals],[Candidate 5]]), 0)</f>
        <v>3.6000972999270251E-3</v>
      </c>
      <c r="O1697" s="100">
        <f>IF(AND(SamplingData[[#This Row],[Total]]&lt;&gt; 0, NOT(ISBLANK(SamplingData[[#This Row],[Candidate 6]]))),(SamplingData[[#This Row],[Total]]+SamplingData[[#This Row],[Winning Candidate]]-SamplingData[[#This Row],[Candidate 6]])/(SamplingData[[#Totals],[Winning Candidate]]-SamplingData[[#Totals],[Candidate 6]]), 0)</f>
        <v>3.5990467389718397E-3</v>
      </c>
      <c r="P1697" s="100">
        <f>MAX(SamplingData[[#This Row],[Error Bound (up) - Max. possible relative overstatement - Losing Candidate]:[Error Bound (up) - Max. possible relative overstatement - Candidate 6]])</f>
        <v>7.0431161195492406E-3</v>
      </c>
      <c r="Q1697" s="100">
        <f>IF(SamplingData[[#This Row],[Max Error Bound (up)]] = 0,0,SamplingData[[#This Row],[Max Error Bound (up)]]/SamplingData[[#Totals],[Max Error Bound (up)]])</f>
        <v>1.1146890520212706E-3</v>
      </c>
      <c r="R1697" s="101">
        <f>SUM($Q$5:Q1697)</f>
        <v>0.61778327383209108</v>
      </c>
      <c r="S1697" s="100" t="str">
        <f t="array" ref="S1697">IF(SamplingData[[#This Row],[up/U Selection Probability]] = 0, "Zero", TEXT(SamplingData[[#This Row],[Lower Range]], REPT("0",LEN('General Info'!$B$40))) &amp; " - " &amp; TEXT(SamplingData[[#This Row],[Upper Range]], REPT("0",LEN('General Info'!$B$40))))</f>
        <v>61667 - 61777</v>
      </c>
      <c r="T1697" s="100">
        <f>SamplingData[[#This Row],[Upper Range]]-SamplingData[[#This Row],[Span]]</f>
        <v>61666.859592696033</v>
      </c>
      <c r="U1697" s="100">
        <f>IF(ISNUMBER('General Info'!$B$40), ((SamplingData[[#This Row],[up/U Selection Probability]]) * 'General Info'!$B$40) - 1, 0)</f>
        <v>110.46779051307504</v>
      </c>
      <c r="V1697" s="100">
        <f>IF(ISNUMBER('General Info'!$B$40), (SamplingData[[#This Row],[Running (cumulative) sum]] * ('General Info'!$B$40 -'General Info'!$B$41 + 1)) + 'General Info'!$B$41 - 1, 0)</f>
        <v>61777.327383209107</v>
      </c>
      <c r="W1697" s="100" t="str">
        <f>IF(ISERROR(MATCH(SamplingData[[#This Row],[Batch by Type (p)]],SelectedPrecincts[Batch Name], 0)), "", INDEX(SelectedPrecincts[Draw], MATCH(SamplingData[[#This Row],[Batch by Type (p)]],SelectedPrecincts[Batch Name], 0)))</f>
        <v/>
      </c>
      <c r="X1697" s="102">
        <f>IF(COUNTIF(SelectedPrecincts[Batch Name],SamplingData[[#This Row],[Batch by Type (p)]]) &lt;&gt; 0, COUNTIF(SelectedPrecincts[Batch Name],SamplingData[[#This Row],[Batch by Type (p)]]), 0)</f>
        <v>0</v>
      </c>
    </row>
    <row r="1698" spans="1:24" ht="15" customHeight="1">
      <c r="A1698" s="18" t="s">
        <v>1874</v>
      </c>
      <c r="B1698" s="18">
        <v>15</v>
      </c>
      <c r="C1698" s="18">
        <v>19</v>
      </c>
      <c r="D1698" s="18">
        <v>2</v>
      </c>
      <c r="E1698" s="18">
        <v>1</v>
      </c>
      <c r="F1698" s="18">
        <v>0</v>
      </c>
      <c r="G1698" s="18">
        <v>0</v>
      </c>
      <c r="H1698" s="18">
        <v>0</v>
      </c>
      <c r="I1698" s="18">
        <v>3</v>
      </c>
      <c r="J1698" s="99">
        <f>SUM(SamplingData[[#This Row],[Losing Candidate]:[Under Votes]])</f>
        <v>40</v>
      </c>
      <c r="K1698" s="100">
        <f>IF(AND(SamplingData[[#This Row],[Total]]&lt;&gt; 0, NOT(ISBLANK(SamplingData[[#This Row],[Losing Candidate]]))),(SamplingData[[#This Row],[Total]]+SamplingData[[#This Row],[Winning Candidate]]-SamplingData[[#This Row],[Losing Candidate]])/(SamplingData[[#Totals],[Winning Candidate]]-SamplingData[[#Totals],[Losing Candidate]]), 0)</f>
        <v>2.6947574718275357E-3</v>
      </c>
      <c r="L1698" s="100">
        <f>IF(AND(SamplingData[[#This Row],[Total]]&lt;&gt; 0, NOT(ISBLANK(SamplingData[[#This Row],[Candidate 3]]))),(SamplingData[[#This Row],[Total]]+SamplingData[[#This Row],[Winning Candidate]]-SamplingData[[#This Row],[Candidate 3]])/(SamplingData[[#Totals],[Winning Candidate]]-SamplingData[[#Totals],[Candidate 3]]), 0)</f>
        <v>1.8388876342871892E-3</v>
      </c>
      <c r="M1698" s="100">
        <f>IF(AND(SamplingData[[#This Row],[Total]]&lt;&gt; 0, NOT(ISBLANK(SamplingData[[#This Row],[Candidate 4]]))),(SamplingData[[#This Row],[Total]]+SamplingData[[#This Row],[Winning Candidate]]-SamplingData[[#This Row],[Candidate 4]])/(SamplingData[[#Totals],[Winning Candidate]]-SamplingData[[#Totals],[Candidate 4]]), 0)</f>
        <v>1.6954602589961706E-3</v>
      </c>
      <c r="N1698" s="100">
        <f>IF(AND(SamplingData[[#This Row],[Total]]&lt;&gt; 0, NOT(ISBLANK(SamplingData[[#This Row],[Candidate 5]]))),(SamplingData[[#This Row],[Total]]+SamplingData[[#This Row],[Winning Candidate]]-SamplingData[[#This Row],[Candidate 5]])/(SamplingData[[#Totals],[Winning Candidate]]-SamplingData[[#Totals],[Candidate 5]]), 0)</f>
        <v>1.4351739236195572E-3</v>
      </c>
      <c r="O1698" s="100">
        <f>IF(AND(SamplingData[[#This Row],[Total]]&lt;&gt; 0, NOT(ISBLANK(SamplingData[[#This Row],[Candidate 6]]))),(SamplingData[[#This Row],[Total]]+SamplingData[[#This Row],[Winning Candidate]]-SamplingData[[#This Row],[Candidate 6]])/(SamplingData[[#Totals],[Winning Candidate]]-SamplingData[[#Totals],[Candidate 6]]), 0)</f>
        <v>1.4347551189144497E-3</v>
      </c>
      <c r="P1698" s="100">
        <f>MAX(SamplingData[[#This Row],[Error Bound (up) - Max. possible relative overstatement - Losing Candidate]:[Error Bound (up) - Max. possible relative overstatement - Candidate 6]])</f>
        <v>2.6947574718275357E-3</v>
      </c>
      <c r="Q1698" s="100">
        <f>IF(SamplingData[[#This Row],[Max Error Bound (up)]] = 0,0,SamplingData[[#This Row],[Max Error Bound (up)]]/SamplingData[[#Totals],[Max Error Bound (up)]])</f>
        <v>4.2648972425161664E-4</v>
      </c>
      <c r="R1698" s="101">
        <f>SUM($Q$5:Q1698)</f>
        <v>0.61820976355634272</v>
      </c>
      <c r="S1698" s="100" t="str">
        <f t="array" ref="S1698">IF(SamplingData[[#This Row],[up/U Selection Probability]] = 0, "Zero", TEXT(SamplingData[[#This Row],[Lower Range]], REPT("0",LEN('General Info'!$B$40))) &amp; " - " &amp; TEXT(SamplingData[[#This Row],[Upper Range]], REPT("0",LEN('General Info'!$B$40))))</f>
        <v>61778 - 61820</v>
      </c>
      <c r="T1698" s="100">
        <f>SamplingData[[#This Row],[Upper Range]]-SamplingData[[#This Row],[Span]]</f>
        <v>61778.327809698836</v>
      </c>
      <c r="U1698" s="100">
        <f>IF(ISNUMBER('General Info'!$B$40), ((SamplingData[[#This Row],[up/U Selection Probability]]) * 'General Info'!$B$40) - 1, 0)</f>
        <v>41.648545935437411</v>
      </c>
      <c r="V1698" s="100">
        <f>IF(ISNUMBER('General Info'!$B$40), (SamplingData[[#This Row],[Running (cumulative) sum]] * ('General Info'!$B$40 -'General Info'!$B$41 + 1)) + 'General Info'!$B$41 - 1, 0)</f>
        <v>61819.976355634273</v>
      </c>
      <c r="W1698" s="100" t="str">
        <f>IF(ISERROR(MATCH(SamplingData[[#This Row],[Batch by Type (p)]],SelectedPrecincts[Batch Name], 0)), "", INDEX(SelectedPrecincts[Draw], MATCH(SamplingData[[#This Row],[Batch by Type (p)]],SelectedPrecincts[Batch Name], 0)))</f>
        <v/>
      </c>
      <c r="X1698" s="102">
        <f>IF(COUNTIF(SelectedPrecincts[Batch Name],SamplingData[[#This Row],[Batch by Type (p)]]) &lt;&gt; 0, COUNTIF(SelectedPrecincts[Batch Name],SamplingData[[#This Row],[Batch by Type (p)]]), 0)</f>
        <v>0</v>
      </c>
    </row>
    <row r="1699" spans="1:24" ht="15" customHeight="1">
      <c r="A1699" s="18" t="s">
        <v>1875</v>
      </c>
      <c r="B1699" s="18">
        <v>48</v>
      </c>
      <c r="C1699" s="18">
        <v>63</v>
      </c>
      <c r="D1699" s="16">
        <v>17</v>
      </c>
      <c r="E1699" s="16">
        <v>14</v>
      </c>
      <c r="F1699" s="37">
        <v>1</v>
      </c>
      <c r="G1699" s="37">
        <v>0</v>
      </c>
      <c r="H1699" s="17">
        <v>1</v>
      </c>
      <c r="I1699" s="17">
        <v>3</v>
      </c>
      <c r="J1699" s="99">
        <f>SUM(SamplingData[[#This Row],[Losing Candidate]:[Under Votes]])</f>
        <v>147</v>
      </c>
      <c r="K1699" s="100">
        <f>IF(AND(SamplingData[[#This Row],[Total]]&lt;&gt; 0, NOT(ISBLANK(SamplingData[[#This Row],[Losing Candidate]]))),(SamplingData[[#This Row],[Total]]+SamplingData[[#This Row],[Winning Candidate]]-SamplingData[[#This Row],[Losing Candidate]])/(SamplingData[[#Totals],[Winning Candidate]]-SamplingData[[#Totals],[Losing Candidate]]), 0)</f>
        <v>9.9216070553650171E-3</v>
      </c>
      <c r="L1699" s="100">
        <f>IF(AND(SamplingData[[#This Row],[Total]]&lt;&gt; 0, NOT(ISBLANK(SamplingData[[#This Row],[Candidate 3]]))),(SamplingData[[#This Row],[Total]]+SamplingData[[#This Row],[Winning Candidate]]-SamplingData[[#This Row],[Candidate 3]])/(SamplingData[[#Totals],[Winning Candidate]]-SamplingData[[#Totals],[Candidate 3]]), 0)</f>
        <v>6.2264090073232891E-3</v>
      </c>
      <c r="M1699" s="100">
        <f>IF(AND(SamplingData[[#This Row],[Total]]&lt;&gt; 0, NOT(ISBLANK(SamplingData[[#This Row],[Candidate 4]]))),(SamplingData[[#This Row],[Total]]+SamplingData[[#This Row],[Winning Candidate]]-SamplingData[[#This Row],[Candidate 4]])/(SamplingData[[#Totals],[Winning Candidate]]-SamplingData[[#Totals],[Candidate 4]]), 0)</f>
        <v>5.7294863924698177E-3</v>
      </c>
      <c r="N1699" s="100">
        <f>IF(AND(SamplingData[[#This Row],[Total]]&lt;&gt; 0, NOT(ISBLANK(SamplingData[[#This Row],[Candidate 5]]))),(SamplingData[[#This Row],[Total]]+SamplingData[[#This Row],[Winning Candidate]]-SamplingData[[#This Row],[Candidate 5]])/(SamplingData[[#Totals],[Winning Candidate]]-SamplingData[[#Totals],[Candidate 5]]), 0)</f>
        <v>5.0839211870591094E-3</v>
      </c>
      <c r="O1699" s="100">
        <f>IF(AND(SamplingData[[#This Row],[Total]]&lt;&gt; 0, NOT(ISBLANK(SamplingData[[#This Row],[Candidate 6]]))),(SamplingData[[#This Row],[Total]]+SamplingData[[#This Row],[Winning Candidate]]-SamplingData[[#This Row],[Candidate 6]])/(SamplingData[[#Totals],[Winning Candidate]]-SamplingData[[#Totals],[Candidate 6]]), 0)</f>
        <v>5.1067555080005836E-3</v>
      </c>
      <c r="P1699" s="100">
        <f>MAX(SamplingData[[#This Row],[Error Bound (up) - Max. possible relative overstatement - Losing Candidate]:[Error Bound (up) - Max. possible relative overstatement - Candidate 6]])</f>
        <v>9.9216070553650171E-3</v>
      </c>
      <c r="Q1699" s="100">
        <f>IF(SamplingData[[#This Row],[Max Error Bound (up)]] = 0,0,SamplingData[[#This Row],[Max Error Bound (up)]]/SamplingData[[#Totals],[Max Error Bound (up)]])</f>
        <v>1.5702576211082248E-3</v>
      </c>
      <c r="R1699" s="101">
        <f>SUM($Q$5:Q1699)</f>
        <v>0.6197800211774509</v>
      </c>
      <c r="S1699" s="100" t="str">
        <f t="array" ref="S1699">IF(SamplingData[[#This Row],[up/U Selection Probability]] = 0, "Zero", TEXT(SamplingData[[#This Row],[Lower Range]], REPT("0",LEN('General Info'!$B$40))) &amp; " - " &amp; TEXT(SamplingData[[#This Row],[Upper Range]], REPT("0",LEN('General Info'!$B$40))))</f>
        <v>61821 - 61977</v>
      </c>
      <c r="T1699" s="100">
        <f>SamplingData[[#This Row],[Upper Range]]-SamplingData[[#This Row],[Span]]</f>
        <v>61820.977925891886</v>
      </c>
      <c r="U1699" s="100">
        <f>IF(ISNUMBER('General Info'!$B$40), ((SamplingData[[#This Row],[up/U Selection Probability]]) * 'General Info'!$B$40) - 1, 0)</f>
        <v>156.02419185320136</v>
      </c>
      <c r="V1699" s="100">
        <f>IF(ISNUMBER('General Info'!$B$40), (SamplingData[[#This Row],[Running (cumulative) sum]] * ('General Info'!$B$40 -'General Info'!$B$41 + 1)) + 'General Info'!$B$41 - 1, 0)</f>
        <v>61977.002117745091</v>
      </c>
      <c r="W1699" s="100" t="str">
        <f>IF(ISERROR(MATCH(SamplingData[[#This Row],[Batch by Type (p)]],SelectedPrecincts[Batch Name], 0)), "", INDEX(SelectedPrecincts[Draw], MATCH(SamplingData[[#This Row],[Batch by Type (p)]],SelectedPrecincts[Batch Name], 0)))</f>
        <v/>
      </c>
      <c r="X1699" s="102">
        <f>IF(COUNTIF(SelectedPrecincts[Batch Name],SamplingData[[#This Row],[Batch by Type (p)]]) &lt;&gt; 0, COUNTIF(SelectedPrecincts[Batch Name],SamplingData[[#This Row],[Batch by Type (p)]]), 0)</f>
        <v>0</v>
      </c>
    </row>
    <row r="1700" spans="1:24" ht="15" customHeight="1">
      <c r="A1700" s="18" t="s">
        <v>1876</v>
      </c>
      <c r="B1700" s="18">
        <v>14</v>
      </c>
      <c r="C1700" s="18">
        <v>35</v>
      </c>
      <c r="D1700" s="18">
        <v>18</v>
      </c>
      <c r="E1700" s="18">
        <v>4</v>
      </c>
      <c r="F1700" s="18">
        <v>2</v>
      </c>
      <c r="G1700" s="18">
        <v>1</v>
      </c>
      <c r="H1700" s="18">
        <v>0</v>
      </c>
      <c r="I1700" s="18">
        <v>1</v>
      </c>
      <c r="J1700" s="99">
        <f>SUM(SamplingData[[#This Row],[Losing Candidate]:[Under Votes]])</f>
        <v>75</v>
      </c>
      <c r="K1700" s="100">
        <f>IF(AND(SamplingData[[#This Row],[Total]]&lt;&gt; 0, NOT(ISBLANK(SamplingData[[#This Row],[Losing Candidate]]))),(SamplingData[[#This Row],[Total]]+SamplingData[[#This Row],[Winning Candidate]]-SamplingData[[#This Row],[Losing Candidate]])/(SamplingData[[#Totals],[Winning Candidate]]-SamplingData[[#Totals],[Losing Candidate]]), 0)</f>
        <v>5.8794708476237138E-3</v>
      </c>
      <c r="L1700" s="100">
        <f>IF(AND(SamplingData[[#This Row],[Total]]&lt;&gt; 0, NOT(ISBLANK(SamplingData[[#This Row],[Candidate 3]]))),(SamplingData[[#This Row],[Total]]+SamplingData[[#This Row],[Winning Candidate]]-SamplingData[[#This Row],[Candidate 3]])/(SamplingData[[#Totals],[Winning Candidate]]-SamplingData[[#Totals],[Candidate 3]]), 0)</f>
        <v>2.9680291641126563E-3</v>
      </c>
      <c r="M1700" s="100">
        <f>IF(AND(SamplingData[[#This Row],[Total]]&lt;&gt; 0, NOT(ISBLANK(SamplingData[[#This Row],[Candidate 4]]))),(SamplingData[[#This Row],[Total]]+SamplingData[[#This Row],[Winning Candidate]]-SamplingData[[#This Row],[Candidate 4]])/(SamplingData[[#Totals],[Winning Candidate]]-SamplingData[[#Totals],[Candidate 4]]), 0)</f>
        <v>3.0985997836826566E-3</v>
      </c>
      <c r="N1700" s="100">
        <f>IF(AND(SamplingData[[#This Row],[Total]]&lt;&gt; 0, NOT(ISBLANK(SamplingData[[#This Row],[Candidate 5]]))),(SamplingData[[#This Row],[Total]]+SamplingData[[#This Row],[Winning Candidate]]-SamplingData[[#This Row],[Candidate 5]])/(SamplingData[[#Totals],[Winning Candidate]]-SamplingData[[#Totals],[Candidate 5]]), 0)</f>
        <v>2.6270980296764779E-3</v>
      </c>
      <c r="O1700" s="100">
        <f>IF(AND(SamplingData[[#This Row],[Total]]&lt;&gt; 0, NOT(ISBLANK(SamplingData[[#This Row],[Candidate 6]]))),(SamplingData[[#This Row],[Total]]+SamplingData[[#This Row],[Winning Candidate]]-SamplingData[[#This Row],[Candidate 6]])/(SamplingData[[#Totals],[Winning Candidate]]-SamplingData[[#Totals],[Candidate 6]]), 0)</f>
        <v>2.6506492874860173E-3</v>
      </c>
      <c r="P1700" s="100">
        <f>MAX(SamplingData[[#This Row],[Error Bound (up) - Max. possible relative overstatement - Losing Candidate]:[Error Bound (up) - Max. possible relative overstatement - Candidate 6]])</f>
        <v>5.8794708476237138E-3</v>
      </c>
      <c r="Q1700" s="100">
        <f>IF(SamplingData[[#This Row],[Max Error Bound (up)]] = 0,0,SamplingData[[#This Row],[Max Error Bound (up)]]/SamplingData[[#Totals],[Max Error Bound (up)]])</f>
        <v>9.3052303473079977E-4</v>
      </c>
      <c r="R1700" s="101">
        <f>SUM($Q$5:Q1700)</f>
        <v>0.62071054421218175</v>
      </c>
      <c r="S1700" s="100" t="str">
        <f t="array" ref="S1700">IF(SamplingData[[#This Row],[up/U Selection Probability]] = 0, "Zero", TEXT(SamplingData[[#This Row],[Lower Range]], REPT("0",LEN('General Info'!$B$40))) &amp; " - " &amp; TEXT(SamplingData[[#This Row],[Upper Range]], REPT("0",LEN('General Info'!$B$40))))</f>
        <v>61978 - 62070</v>
      </c>
      <c r="T1700" s="100">
        <f>SamplingData[[#This Row],[Upper Range]]-SamplingData[[#This Row],[Span]]</f>
        <v>61978.003048268132</v>
      </c>
      <c r="U1700" s="100">
        <f>IF(ISNUMBER('General Info'!$B$40), ((SamplingData[[#This Row],[up/U Selection Probability]]) * 'General Info'!$B$40) - 1, 0)</f>
        <v>92.051372950045248</v>
      </c>
      <c r="V1700" s="100">
        <f>IF(ISNUMBER('General Info'!$B$40), (SamplingData[[#This Row],[Running (cumulative) sum]] * ('General Info'!$B$40 -'General Info'!$B$41 + 1)) + 'General Info'!$B$41 - 1, 0)</f>
        <v>62070.054421218178</v>
      </c>
      <c r="W1700" s="100" t="str">
        <f>IF(ISERROR(MATCH(SamplingData[[#This Row],[Batch by Type (p)]],SelectedPrecincts[Batch Name], 0)), "", INDEX(SelectedPrecincts[Draw], MATCH(SamplingData[[#This Row],[Batch by Type (p)]],SelectedPrecincts[Batch Name], 0)))</f>
        <v/>
      </c>
      <c r="X1700" s="102">
        <f>IF(COUNTIF(SelectedPrecincts[Batch Name],SamplingData[[#This Row],[Batch by Type (p)]]) &lt;&gt; 0, COUNTIF(SelectedPrecincts[Batch Name],SamplingData[[#This Row],[Batch by Type (p)]]), 0)</f>
        <v>0</v>
      </c>
    </row>
    <row r="1701" spans="1:24" ht="15" customHeight="1">
      <c r="A1701" s="18" t="s">
        <v>1877</v>
      </c>
      <c r="B1701" s="18">
        <v>32</v>
      </c>
      <c r="C1701" s="18">
        <v>48</v>
      </c>
      <c r="D1701" s="16">
        <v>13</v>
      </c>
      <c r="E1701" s="16">
        <v>7</v>
      </c>
      <c r="F1701" s="37">
        <v>0</v>
      </c>
      <c r="G1701" s="37">
        <v>0</v>
      </c>
      <c r="H1701" s="17">
        <v>0</v>
      </c>
      <c r="I1701" s="17">
        <v>0</v>
      </c>
      <c r="J1701" s="99">
        <f>SUM(SamplingData[[#This Row],[Losing Candidate]:[Under Votes]])</f>
        <v>100</v>
      </c>
      <c r="K1701" s="100">
        <f>IF(AND(SamplingData[[#This Row],[Total]]&lt;&gt; 0, NOT(ISBLANK(SamplingData[[#This Row],[Losing Candidate]]))),(SamplingData[[#This Row],[Total]]+SamplingData[[#This Row],[Winning Candidate]]-SamplingData[[#This Row],[Losing Candidate]])/(SamplingData[[#Totals],[Winning Candidate]]-SamplingData[[#Totals],[Losing Candidate]]), 0)</f>
        <v>7.104360607545321E-3</v>
      </c>
      <c r="L1701" s="100">
        <f>IF(AND(SamplingData[[#This Row],[Total]]&lt;&gt; 0, NOT(ISBLANK(SamplingData[[#This Row],[Candidate 3]]))),(SamplingData[[#This Row],[Total]]+SamplingData[[#This Row],[Winning Candidate]]-SamplingData[[#This Row],[Candidate 3]])/(SamplingData[[#Totals],[Winning Candidate]]-SamplingData[[#Totals],[Candidate 3]]), 0)</f>
        <v>4.355260186469658E-3</v>
      </c>
      <c r="M1701" s="100">
        <f>IF(AND(SamplingData[[#This Row],[Total]]&lt;&gt; 0, NOT(ISBLANK(SamplingData[[#This Row],[Candidate 4]]))),(SamplingData[[#This Row],[Total]]+SamplingData[[#This Row],[Winning Candidate]]-SamplingData[[#This Row],[Candidate 4]])/(SamplingData[[#Totals],[Winning Candidate]]-SamplingData[[#Totals],[Candidate 4]]), 0)</f>
        <v>4.1217223537665529E-3</v>
      </c>
      <c r="N1701" s="100">
        <f>IF(AND(SamplingData[[#This Row],[Total]]&lt;&gt; 0, NOT(ISBLANK(SamplingData[[#This Row],[Candidate 5]]))),(SamplingData[[#This Row],[Total]]+SamplingData[[#This Row],[Winning Candidate]]-SamplingData[[#This Row],[Candidate 5]])/(SamplingData[[#Totals],[Winning Candidate]]-SamplingData[[#Totals],[Candidate 5]]), 0)</f>
        <v>3.6000972999270251E-3</v>
      </c>
      <c r="O1701" s="100">
        <f>IF(AND(SamplingData[[#This Row],[Total]]&lt;&gt; 0, NOT(ISBLANK(SamplingData[[#This Row],[Candidate 6]]))),(SamplingData[[#This Row],[Total]]+SamplingData[[#This Row],[Winning Candidate]]-SamplingData[[#This Row],[Candidate 6]])/(SamplingData[[#Totals],[Winning Candidate]]-SamplingData[[#Totals],[Candidate 6]]), 0)</f>
        <v>3.5990467389718397E-3</v>
      </c>
      <c r="P1701" s="100">
        <f>MAX(SamplingData[[#This Row],[Error Bound (up) - Max. possible relative overstatement - Losing Candidate]:[Error Bound (up) - Max. possible relative overstatement - Candidate 6]])</f>
        <v>7.104360607545321E-3</v>
      </c>
      <c r="Q1701" s="100">
        <f>IF(SamplingData[[#This Row],[Max Error Bound (up)]] = 0,0,SamplingData[[#This Row],[Max Error Bound (up)]]/SamplingData[[#Totals],[Max Error Bound (up)]])</f>
        <v>1.1243820002997166E-3</v>
      </c>
      <c r="R1701" s="101">
        <f>SUM($Q$5:Q1701)</f>
        <v>0.62183492621248149</v>
      </c>
      <c r="S1701" s="100" t="str">
        <f t="array" ref="S1701">IF(SamplingData[[#This Row],[up/U Selection Probability]] = 0, "Zero", TEXT(SamplingData[[#This Row],[Lower Range]], REPT("0",LEN('General Info'!$B$40))) &amp; " - " &amp; TEXT(SamplingData[[#This Row],[Upper Range]], REPT("0",LEN('General Info'!$B$40))))</f>
        <v>62071 - 62182</v>
      </c>
      <c r="T1701" s="100">
        <f>SamplingData[[#This Row],[Upper Range]]-SamplingData[[#This Row],[Span]]</f>
        <v>62071.055545600182</v>
      </c>
      <c r="U1701" s="100">
        <f>IF(ISNUMBER('General Info'!$B$40), ((SamplingData[[#This Row],[up/U Selection Probability]]) * 'General Info'!$B$40) - 1, 0)</f>
        <v>111.43707564797135</v>
      </c>
      <c r="V1701" s="100">
        <f>IF(ISNUMBER('General Info'!$B$40), (SamplingData[[#This Row],[Running (cumulative) sum]] * ('General Info'!$B$40 -'General Info'!$B$41 + 1)) + 'General Info'!$B$41 - 1, 0)</f>
        <v>62182.492621248151</v>
      </c>
      <c r="W1701" s="100" t="str">
        <f>IF(ISERROR(MATCH(SamplingData[[#This Row],[Batch by Type (p)]],SelectedPrecincts[Batch Name], 0)), "", INDEX(SelectedPrecincts[Draw], MATCH(SamplingData[[#This Row],[Batch by Type (p)]],SelectedPrecincts[Batch Name], 0)))</f>
        <v/>
      </c>
      <c r="X1701" s="102">
        <f>IF(COUNTIF(SelectedPrecincts[Batch Name],SamplingData[[#This Row],[Batch by Type (p)]]) &lt;&gt; 0, COUNTIF(SelectedPrecincts[Batch Name],SamplingData[[#This Row],[Batch by Type (p)]]), 0)</f>
        <v>0</v>
      </c>
    </row>
    <row r="1702" spans="1:24" ht="15" customHeight="1">
      <c r="A1702" s="18" t="s">
        <v>1878</v>
      </c>
      <c r="B1702" s="18">
        <v>21</v>
      </c>
      <c r="C1702" s="18">
        <v>24</v>
      </c>
      <c r="D1702" s="18">
        <v>10</v>
      </c>
      <c r="E1702" s="18">
        <v>6</v>
      </c>
      <c r="F1702" s="18">
        <v>0</v>
      </c>
      <c r="G1702" s="18">
        <v>0</v>
      </c>
      <c r="H1702" s="18">
        <v>0</v>
      </c>
      <c r="I1702" s="18">
        <v>3</v>
      </c>
      <c r="J1702" s="99">
        <f>SUM(SamplingData[[#This Row],[Losing Candidate]:[Under Votes]])</f>
        <v>64</v>
      </c>
      <c r="K1702" s="100">
        <f>IF(AND(SamplingData[[#This Row],[Total]]&lt;&gt; 0, NOT(ISBLANK(SamplingData[[#This Row],[Losing Candidate]]))),(SamplingData[[#This Row],[Total]]+SamplingData[[#This Row],[Winning Candidate]]-SamplingData[[#This Row],[Losing Candidate]])/(SamplingData[[#Totals],[Winning Candidate]]-SamplingData[[#Totals],[Losing Candidate]]), 0)</f>
        <v>4.1033806957373837E-3</v>
      </c>
      <c r="L1702" s="100">
        <f>IF(AND(SamplingData[[#This Row],[Total]]&lt;&gt; 0, NOT(ISBLANK(SamplingData[[#This Row],[Candidate 3]]))),(SamplingData[[#This Row],[Total]]+SamplingData[[#This Row],[Winning Candidate]]-SamplingData[[#This Row],[Candidate 3]])/(SamplingData[[#Totals],[Winning Candidate]]-SamplingData[[#Totals],[Candidate 3]]), 0)</f>
        <v>2.5163725521824692E-3</v>
      </c>
      <c r="M1702" s="100">
        <f>IF(AND(SamplingData[[#This Row],[Total]]&lt;&gt; 0, NOT(ISBLANK(SamplingData[[#This Row],[Candidate 4]]))),(SamplingData[[#This Row],[Total]]+SamplingData[[#This Row],[Winning Candidate]]-SamplingData[[#This Row],[Candidate 4]])/(SamplingData[[#Totals],[Winning Candidate]]-SamplingData[[#Totals],[Candidate 4]]), 0)</f>
        <v>2.3970300213394134E-3</v>
      </c>
      <c r="N1702" s="100">
        <f>IF(AND(SamplingData[[#This Row],[Total]]&lt;&gt; 0, NOT(ISBLANK(SamplingData[[#This Row],[Candidate 5]]))),(SamplingData[[#This Row],[Total]]+SamplingData[[#This Row],[Winning Candidate]]-SamplingData[[#This Row],[Candidate 5]])/(SamplingData[[#Totals],[Winning Candidate]]-SamplingData[[#Totals],[Candidate 5]]), 0)</f>
        <v>2.1405983945512043E-3</v>
      </c>
      <c r="O1702" s="100">
        <f>IF(AND(SamplingData[[#This Row],[Total]]&lt;&gt; 0, NOT(ISBLANK(SamplingData[[#This Row],[Candidate 6]]))),(SamplingData[[#This Row],[Total]]+SamplingData[[#This Row],[Winning Candidate]]-SamplingData[[#This Row],[Candidate 6]])/(SamplingData[[#Totals],[Winning Candidate]]-SamplingData[[#Totals],[Candidate 6]]), 0)</f>
        <v>2.1399737366859586E-3</v>
      </c>
      <c r="P1702" s="100">
        <f>MAX(SamplingData[[#This Row],[Error Bound (up) - Max. possible relative overstatement - Losing Candidate]:[Error Bound (up) - Max. possible relative overstatement - Candidate 6]])</f>
        <v>4.1033806957373837E-3</v>
      </c>
      <c r="Q1702" s="100">
        <f>IF(SamplingData[[#This Row],[Max Error Bound (up)]] = 0,0,SamplingData[[#This Row],[Max Error Bound (up)]]/SamplingData[[#Totals],[Max Error Bound (up)]])</f>
        <v>6.4942753465587074E-4</v>
      </c>
      <c r="R1702" s="101">
        <f>SUM($Q$5:Q1702)</f>
        <v>0.6224843537471374</v>
      </c>
      <c r="S1702" s="100" t="str">
        <f t="array" ref="S1702">IF(SamplingData[[#This Row],[up/U Selection Probability]] = 0, "Zero", TEXT(SamplingData[[#This Row],[Lower Range]], REPT("0",LEN('General Info'!$B$40))) &amp; " - " &amp; TEXT(SamplingData[[#This Row],[Upper Range]], REPT("0",LEN('General Info'!$B$40))))</f>
        <v>62183 - 62247</v>
      </c>
      <c r="T1702" s="100">
        <f>SamplingData[[#This Row],[Upper Range]]-SamplingData[[#This Row],[Span]]</f>
        <v>62183.493270675688</v>
      </c>
      <c r="U1702" s="100">
        <f>IF(ISNUMBER('General Info'!$B$40), ((SamplingData[[#This Row],[up/U Selection Probability]]) * 'General Info'!$B$40) - 1, 0)</f>
        <v>63.94210403805242</v>
      </c>
      <c r="V1702" s="100">
        <f>IF(ISNUMBER('General Info'!$B$40), (SamplingData[[#This Row],[Running (cumulative) sum]] * ('General Info'!$B$40 -'General Info'!$B$41 + 1)) + 'General Info'!$B$41 - 1, 0)</f>
        <v>62247.435374713743</v>
      </c>
      <c r="W1702" s="100" t="str">
        <f>IF(ISERROR(MATCH(SamplingData[[#This Row],[Batch by Type (p)]],SelectedPrecincts[Batch Name], 0)), "", INDEX(SelectedPrecincts[Draw], MATCH(SamplingData[[#This Row],[Batch by Type (p)]],SelectedPrecincts[Batch Name], 0)))</f>
        <v/>
      </c>
      <c r="X1702" s="102">
        <f>IF(COUNTIF(SelectedPrecincts[Batch Name],SamplingData[[#This Row],[Batch by Type (p)]]) &lt;&gt; 0, COUNTIF(SelectedPrecincts[Batch Name],SamplingData[[#This Row],[Batch by Type (p)]]), 0)</f>
        <v>0</v>
      </c>
    </row>
    <row r="1703" spans="1:24" ht="15" customHeight="1">
      <c r="A1703" s="18" t="s">
        <v>1879</v>
      </c>
      <c r="B1703" s="18">
        <v>38</v>
      </c>
      <c r="C1703" s="18">
        <v>44</v>
      </c>
      <c r="D1703" s="16">
        <v>24</v>
      </c>
      <c r="E1703" s="16">
        <v>7</v>
      </c>
      <c r="F1703" s="37">
        <v>0</v>
      </c>
      <c r="G1703" s="37">
        <v>0</v>
      </c>
      <c r="H1703" s="17">
        <v>1</v>
      </c>
      <c r="I1703" s="17">
        <v>1</v>
      </c>
      <c r="J1703" s="99">
        <f>SUM(SamplingData[[#This Row],[Losing Candidate]:[Under Votes]])</f>
        <v>115</v>
      </c>
      <c r="K1703" s="100">
        <f>IF(AND(SamplingData[[#This Row],[Total]]&lt;&gt; 0, NOT(ISBLANK(SamplingData[[#This Row],[Losing Candidate]]))),(SamplingData[[#This Row],[Total]]+SamplingData[[#This Row],[Winning Candidate]]-SamplingData[[#This Row],[Losing Candidate]])/(SamplingData[[#Totals],[Winning Candidate]]-SamplingData[[#Totals],[Losing Candidate]]), 0)</f>
        <v>7.410583047525723E-3</v>
      </c>
      <c r="L1703" s="100">
        <f>IF(AND(SamplingData[[#This Row],[Total]]&lt;&gt; 0, NOT(ISBLANK(SamplingData[[#This Row],[Candidate 3]]))),(SamplingData[[#This Row],[Total]]+SamplingData[[#This Row],[Winning Candidate]]-SamplingData[[#This Row],[Candidate 3]])/(SamplingData[[#Totals],[Winning Candidate]]-SamplingData[[#Totals],[Candidate 3]]), 0)</f>
        <v>4.355260186469658E-3</v>
      </c>
      <c r="M1703" s="100">
        <f>IF(AND(SamplingData[[#This Row],[Total]]&lt;&gt; 0, NOT(ISBLANK(SamplingData[[#This Row],[Candidate 4]]))),(SamplingData[[#This Row],[Total]]+SamplingData[[#This Row],[Winning Candidate]]-SamplingData[[#This Row],[Candidate 4]])/(SamplingData[[#Totals],[Winning Candidate]]-SamplingData[[#Totals],[Candidate 4]]), 0)</f>
        <v>4.443275161507206E-3</v>
      </c>
      <c r="N1703" s="100">
        <f>IF(AND(SamplingData[[#This Row],[Total]]&lt;&gt; 0, NOT(ISBLANK(SamplingData[[#This Row],[Candidate 5]]))),(SamplingData[[#This Row],[Total]]+SamplingData[[#This Row],[Winning Candidate]]-SamplingData[[#This Row],[Candidate 5]])/(SamplingData[[#Totals],[Winning Candidate]]-SamplingData[[#Totals],[Candidate 5]]), 0)</f>
        <v>3.8676720992459257E-3</v>
      </c>
      <c r="O1703" s="100">
        <f>IF(AND(SamplingData[[#This Row],[Total]]&lt;&gt; 0, NOT(ISBLANK(SamplingData[[#This Row],[Candidate 6]]))),(SamplingData[[#This Row],[Total]]+SamplingData[[#This Row],[Winning Candidate]]-SamplingData[[#This Row],[Candidate 6]])/(SamplingData[[#Totals],[Winning Candidate]]-SamplingData[[#Totals],[Candidate 6]]), 0)</f>
        <v>3.8665434560575846E-3</v>
      </c>
      <c r="P1703" s="100">
        <f>MAX(SamplingData[[#This Row],[Error Bound (up) - Max. possible relative overstatement - Losing Candidate]:[Error Bound (up) - Max. possible relative overstatement - Candidate 6]])</f>
        <v>7.410583047525723E-3</v>
      </c>
      <c r="Q1703" s="100">
        <f>IF(SamplingData[[#This Row],[Max Error Bound (up)]] = 0,0,SamplingData[[#This Row],[Max Error Bound (up)]]/SamplingData[[#Totals],[Max Error Bound (up)]])</f>
        <v>1.1728467416919457E-3</v>
      </c>
      <c r="R1703" s="101">
        <f>SUM($Q$5:Q1703)</f>
        <v>0.62365720048882933</v>
      </c>
      <c r="S1703" s="100" t="str">
        <f t="array" ref="S1703">IF(SamplingData[[#This Row],[up/U Selection Probability]] = 0, "Zero", TEXT(SamplingData[[#This Row],[Lower Range]], REPT("0",LEN('General Info'!$B$40))) &amp; " - " &amp; TEXT(SamplingData[[#This Row],[Upper Range]], REPT("0",LEN('General Info'!$B$40))))</f>
        <v>62248 - 62365</v>
      </c>
      <c r="T1703" s="100">
        <f>SamplingData[[#This Row],[Upper Range]]-SamplingData[[#This Row],[Span]]</f>
        <v>62248.436547560479</v>
      </c>
      <c r="U1703" s="100">
        <f>IF(ISNUMBER('General Info'!$B$40), ((SamplingData[[#This Row],[up/U Selection Probability]]) * 'General Info'!$B$40) - 1, 0)</f>
        <v>116.28350132245288</v>
      </c>
      <c r="V1703" s="100">
        <f>IF(ISNUMBER('General Info'!$B$40), (SamplingData[[#This Row],[Running (cumulative) sum]] * ('General Info'!$B$40 -'General Info'!$B$41 + 1)) + 'General Info'!$B$41 - 1, 0)</f>
        <v>62364.720048882933</v>
      </c>
      <c r="W1703" s="100" t="str">
        <f>IF(ISERROR(MATCH(SamplingData[[#This Row],[Batch by Type (p)]],SelectedPrecincts[Batch Name], 0)), "", INDEX(SelectedPrecincts[Draw], MATCH(SamplingData[[#This Row],[Batch by Type (p)]],SelectedPrecincts[Batch Name], 0)))</f>
        <v/>
      </c>
      <c r="X1703" s="102">
        <f>IF(COUNTIF(SelectedPrecincts[Batch Name],SamplingData[[#This Row],[Batch by Type (p)]]) &lt;&gt; 0, COUNTIF(SelectedPrecincts[Batch Name],SamplingData[[#This Row],[Batch by Type (p)]]), 0)</f>
        <v>0</v>
      </c>
    </row>
    <row r="1704" spans="1:24" ht="15" customHeight="1">
      <c r="A1704" s="18" t="s">
        <v>1880</v>
      </c>
      <c r="B1704" s="18">
        <v>12</v>
      </c>
      <c r="C1704" s="18">
        <v>21</v>
      </c>
      <c r="D1704" s="18">
        <v>2</v>
      </c>
      <c r="E1704" s="18">
        <v>3</v>
      </c>
      <c r="F1704" s="18">
        <v>0</v>
      </c>
      <c r="G1704" s="18">
        <v>1</v>
      </c>
      <c r="H1704" s="18">
        <v>0</v>
      </c>
      <c r="I1704" s="18">
        <v>1</v>
      </c>
      <c r="J1704" s="99">
        <f>SUM(SamplingData[[#This Row],[Losing Candidate]:[Under Votes]])</f>
        <v>40</v>
      </c>
      <c r="K1704"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1704" s="100">
        <f>IF(AND(SamplingData[[#This Row],[Total]]&lt;&gt; 0, NOT(ISBLANK(SamplingData[[#This Row],[Candidate 3]]))),(SamplingData[[#This Row],[Total]]+SamplingData[[#This Row],[Winning Candidate]]-SamplingData[[#This Row],[Candidate 3]])/(SamplingData[[#Totals],[Winning Candidate]]-SamplingData[[#Totals],[Candidate 3]]), 0)</f>
        <v>1.9034100074200729E-3</v>
      </c>
      <c r="M1704" s="100">
        <f>IF(AND(SamplingData[[#This Row],[Total]]&lt;&gt; 0, NOT(ISBLANK(SamplingData[[#This Row],[Candidate 4]]))),(SamplingData[[#This Row],[Total]]+SamplingData[[#This Row],[Winning Candidate]]-SamplingData[[#This Row],[Candidate 4]])/(SamplingData[[#Totals],[Winning Candidate]]-SamplingData[[#Totals],[Candidate 4]]), 0)</f>
        <v>1.6954602589961706E-3</v>
      </c>
      <c r="N1704" s="100">
        <f>IF(AND(SamplingData[[#This Row],[Total]]&lt;&gt; 0, NOT(ISBLANK(SamplingData[[#This Row],[Candidate 5]]))),(SamplingData[[#This Row],[Total]]+SamplingData[[#This Row],[Winning Candidate]]-SamplingData[[#This Row],[Candidate 5]])/(SamplingData[[#Totals],[Winning Candidate]]-SamplingData[[#Totals],[Candidate 5]]), 0)</f>
        <v>1.4838238871320846E-3</v>
      </c>
      <c r="O1704" s="100">
        <f>IF(AND(SamplingData[[#This Row],[Total]]&lt;&gt; 0, NOT(ISBLANK(SamplingData[[#This Row],[Candidate 6]]))),(SamplingData[[#This Row],[Total]]+SamplingData[[#This Row],[Winning Candidate]]-SamplingData[[#This Row],[Candidate 6]])/(SamplingData[[#Totals],[Winning Candidate]]-SamplingData[[#Totals],[Candidate 6]]), 0)</f>
        <v>1.4590730022858811E-3</v>
      </c>
      <c r="P1704" s="100">
        <f>MAX(SamplingData[[#This Row],[Error Bound (up) - Max. possible relative overstatement - Losing Candidate]:[Error Bound (up) - Max. possible relative overstatement - Candidate 6]])</f>
        <v>3.0009799118079373E-3</v>
      </c>
      <c r="Q1704" s="100">
        <f>IF(SamplingData[[#This Row],[Max Error Bound (up)]] = 0,0,SamplingData[[#This Row],[Max Error Bound (up)]]/SamplingData[[#Totals],[Max Error Bound (up)]])</f>
        <v>4.7495446564384573E-4</v>
      </c>
      <c r="R1704" s="101">
        <f>SUM($Q$5:Q1704)</f>
        <v>0.62413215495447316</v>
      </c>
      <c r="S1704" s="100" t="str">
        <f t="array" ref="S1704">IF(SamplingData[[#This Row],[up/U Selection Probability]] = 0, "Zero", TEXT(SamplingData[[#This Row],[Lower Range]], REPT("0",LEN('General Info'!$B$40))) &amp; " - " &amp; TEXT(SamplingData[[#This Row],[Upper Range]], REPT("0",LEN('General Info'!$B$40))))</f>
        <v>62366 - 62412</v>
      </c>
      <c r="T1704" s="100">
        <f>SamplingData[[#This Row],[Upper Range]]-SamplingData[[#This Row],[Span]]</f>
        <v>62365.720523837394</v>
      </c>
      <c r="U1704" s="100">
        <f>IF(ISNUMBER('General Info'!$B$40), ((SamplingData[[#This Row],[up/U Selection Probability]]) * 'General Info'!$B$40) - 1, 0)</f>
        <v>46.494971609918927</v>
      </c>
      <c r="V1704" s="100">
        <f>IF(ISNUMBER('General Info'!$B$40), (SamplingData[[#This Row],[Running (cumulative) sum]] * ('General Info'!$B$40 -'General Info'!$B$41 + 1)) + 'General Info'!$B$41 - 1, 0)</f>
        <v>62412.215495447315</v>
      </c>
      <c r="W1704" s="100" t="str">
        <f>IF(ISERROR(MATCH(SamplingData[[#This Row],[Batch by Type (p)]],SelectedPrecincts[Batch Name], 0)), "", INDEX(SelectedPrecincts[Draw], MATCH(SamplingData[[#This Row],[Batch by Type (p)]],SelectedPrecincts[Batch Name], 0)))</f>
        <v/>
      </c>
      <c r="X1704" s="102">
        <f>IF(COUNTIF(SelectedPrecincts[Batch Name],SamplingData[[#This Row],[Batch by Type (p)]]) &lt;&gt; 0, COUNTIF(SelectedPrecincts[Batch Name],SamplingData[[#This Row],[Batch by Type (p)]]), 0)</f>
        <v>0</v>
      </c>
    </row>
    <row r="1705" spans="1:24" ht="15" customHeight="1">
      <c r="A1705" s="18" t="s">
        <v>1881</v>
      </c>
      <c r="B1705" s="18">
        <v>33</v>
      </c>
      <c r="C1705" s="18">
        <v>54</v>
      </c>
      <c r="D1705" s="16">
        <v>13</v>
      </c>
      <c r="E1705" s="16">
        <v>8</v>
      </c>
      <c r="F1705" s="37">
        <v>0</v>
      </c>
      <c r="G1705" s="37">
        <v>0</v>
      </c>
      <c r="H1705" s="17">
        <v>1</v>
      </c>
      <c r="I1705" s="17">
        <v>1</v>
      </c>
      <c r="J1705" s="99">
        <f>SUM(SamplingData[[#This Row],[Losing Candidate]:[Under Votes]])</f>
        <v>110</v>
      </c>
      <c r="K1705" s="100">
        <f>IF(AND(SamplingData[[#This Row],[Total]]&lt;&gt; 0, NOT(ISBLANK(SamplingData[[#This Row],[Losing Candidate]]))),(SamplingData[[#This Row],[Total]]+SamplingData[[#This Row],[Winning Candidate]]-SamplingData[[#This Row],[Losing Candidate]])/(SamplingData[[#Totals],[Winning Candidate]]-SamplingData[[#Totals],[Losing Candidate]]), 0)</f>
        <v>8.0230279274865254E-3</v>
      </c>
      <c r="L1705" s="100">
        <f>IF(AND(SamplingData[[#This Row],[Total]]&lt;&gt; 0, NOT(ISBLANK(SamplingData[[#This Row],[Candidate 3]]))),(SamplingData[[#This Row],[Total]]+SamplingData[[#This Row],[Winning Candidate]]-SamplingData[[#This Row],[Candidate 3]])/(SamplingData[[#Totals],[Winning Candidate]]-SamplingData[[#Totals],[Candidate 3]]), 0)</f>
        <v>4.871439171532729E-3</v>
      </c>
      <c r="M1705" s="100">
        <f>IF(AND(SamplingData[[#This Row],[Total]]&lt;&gt; 0, NOT(ISBLANK(SamplingData[[#This Row],[Candidate 4]]))),(SamplingData[[#This Row],[Total]]+SamplingData[[#This Row],[Winning Candidate]]-SamplingData[[#This Row],[Candidate 4]])/(SamplingData[[#Totals],[Winning Candidate]]-SamplingData[[#Totals],[Candidate 4]]), 0)</f>
        <v>4.5602034552310799E-3</v>
      </c>
      <c r="N1705" s="100">
        <f>IF(AND(SamplingData[[#This Row],[Total]]&lt;&gt; 0, NOT(ISBLANK(SamplingData[[#This Row],[Candidate 5]]))),(SamplingData[[#This Row],[Total]]+SamplingData[[#This Row],[Winning Candidate]]-SamplingData[[#This Row],[Candidate 5]])/(SamplingData[[#Totals],[Winning Candidate]]-SamplingData[[#Totals],[Candidate 5]]), 0)</f>
        <v>3.989297008027244E-3</v>
      </c>
      <c r="O1705" s="100">
        <f>IF(AND(SamplingData[[#This Row],[Total]]&lt;&gt; 0, NOT(ISBLANK(SamplingData[[#This Row],[Candidate 6]]))),(SamplingData[[#This Row],[Total]]+SamplingData[[#This Row],[Winning Candidate]]-SamplingData[[#This Row],[Candidate 6]])/(SamplingData[[#Totals],[Winning Candidate]]-SamplingData[[#Totals],[Candidate 6]]), 0)</f>
        <v>3.9881328729147415E-3</v>
      </c>
      <c r="P1705" s="100">
        <f>MAX(SamplingData[[#This Row],[Error Bound (up) - Max. possible relative overstatement - Losing Candidate]:[Error Bound (up) - Max. possible relative overstatement - Candidate 6]])</f>
        <v>8.0230279274865254E-3</v>
      </c>
      <c r="Q1705" s="100">
        <f>IF(SamplingData[[#This Row],[Max Error Bound (up)]] = 0,0,SamplingData[[#This Row],[Max Error Bound (up)]]/SamplingData[[#Totals],[Max Error Bound (up)]])</f>
        <v>1.2697762244764038E-3</v>
      </c>
      <c r="R1705" s="101">
        <f>SUM($Q$5:Q1705)</f>
        <v>0.6254019311789496</v>
      </c>
      <c r="S1705" s="100" t="str">
        <f t="array" ref="S1705">IF(SamplingData[[#This Row],[up/U Selection Probability]] = 0, "Zero", TEXT(SamplingData[[#This Row],[Lower Range]], REPT("0",LEN('General Info'!$B$40))) &amp; " - " &amp; TEXT(SamplingData[[#This Row],[Upper Range]], REPT("0",LEN('General Info'!$B$40))))</f>
        <v>62413 - 62539</v>
      </c>
      <c r="T1705" s="100">
        <f>SamplingData[[#This Row],[Upper Range]]-SamplingData[[#This Row],[Span]]</f>
        <v>62413.216765223544</v>
      </c>
      <c r="U1705" s="100">
        <f>IF(ISNUMBER('General Info'!$B$40), ((SamplingData[[#This Row],[up/U Selection Probability]]) * 'General Info'!$B$40) - 1, 0)</f>
        <v>125.97635267141591</v>
      </c>
      <c r="V1705" s="100">
        <f>IF(ISNUMBER('General Info'!$B$40), (SamplingData[[#This Row],[Running (cumulative) sum]] * ('General Info'!$B$40 -'General Info'!$B$41 + 1)) + 'General Info'!$B$41 - 1, 0)</f>
        <v>62539.19311789496</v>
      </c>
      <c r="W1705" s="100" t="str">
        <f>IF(ISERROR(MATCH(SamplingData[[#This Row],[Batch by Type (p)]],SelectedPrecincts[Batch Name], 0)), "", INDEX(SelectedPrecincts[Draw], MATCH(SamplingData[[#This Row],[Batch by Type (p)]],SelectedPrecincts[Batch Name], 0)))</f>
        <v/>
      </c>
      <c r="X1705" s="102">
        <f>IF(COUNTIF(SelectedPrecincts[Batch Name],SamplingData[[#This Row],[Batch by Type (p)]]) &lt;&gt; 0, COUNTIF(SelectedPrecincts[Batch Name],SamplingData[[#This Row],[Batch by Type (p)]]), 0)</f>
        <v>0</v>
      </c>
    </row>
    <row r="1706" spans="1:24" ht="15" customHeight="1">
      <c r="A1706" s="18" t="s">
        <v>1882</v>
      </c>
      <c r="B1706" s="18">
        <v>29</v>
      </c>
      <c r="C1706" s="18">
        <v>30</v>
      </c>
      <c r="D1706" s="18">
        <v>9</v>
      </c>
      <c r="E1706" s="18">
        <v>2</v>
      </c>
      <c r="F1706" s="18">
        <v>0</v>
      </c>
      <c r="G1706" s="18">
        <v>0</v>
      </c>
      <c r="H1706" s="18">
        <v>0</v>
      </c>
      <c r="I1706" s="18">
        <v>1</v>
      </c>
      <c r="J1706" s="99">
        <f>SUM(SamplingData[[#This Row],[Losing Candidate]:[Under Votes]])</f>
        <v>71</v>
      </c>
      <c r="K1706" s="100">
        <f>IF(AND(SamplingData[[#This Row],[Total]]&lt;&gt; 0, NOT(ISBLANK(SamplingData[[#This Row],[Losing Candidate]]))),(SamplingData[[#This Row],[Total]]+SamplingData[[#This Row],[Winning Candidate]]-SamplingData[[#This Row],[Losing Candidate]])/(SamplingData[[#Totals],[Winning Candidate]]-SamplingData[[#Totals],[Losing Candidate]]), 0)</f>
        <v>4.4096031357177858E-3</v>
      </c>
      <c r="L1706" s="100">
        <f>IF(AND(SamplingData[[#This Row],[Total]]&lt;&gt; 0, NOT(ISBLANK(SamplingData[[#This Row],[Candidate 3]]))),(SamplingData[[#This Row],[Total]]+SamplingData[[#This Row],[Winning Candidate]]-SamplingData[[#This Row],[Candidate 3]])/(SamplingData[[#Totals],[Winning Candidate]]-SamplingData[[#Totals],[Candidate 3]]), 0)</f>
        <v>2.9680291641126563E-3</v>
      </c>
      <c r="M1706" s="100">
        <f>IF(AND(SamplingData[[#This Row],[Total]]&lt;&gt; 0, NOT(ISBLANK(SamplingData[[#This Row],[Candidate 4]]))),(SamplingData[[#This Row],[Total]]+SamplingData[[#This Row],[Winning Candidate]]-SamplingData[[#This Row],[Candidate 4]])/(SamplingData[[#Totals],[Winning Candidate]]-SamplingData[[#Totals],[Candidate 4]]), 0)</f>
        <v>2.8939752696658773E-3</v>
      </c>
      <c r="N1706" s="100">
        <f>IF(AND(SamplingData[[#This Row],[Total]]&lt;&gt; 0, NOT(ISBLANK(SamplingData[[#This Row],[Candidate 5]]))),(SamplingData[[#This Row],[Total]]+SamplingData[[#This Row],[Winning Candidate]]-SamplingData[[#This Row],[Candidate 5]])/(SamplingData[[#Totals],[Winning Candidate]]-SamplingData[[#Totals],[Candidate 5]]), 0)</f>
        <v>2.456823157382632E-3</v>
      </c>
      <c r="O1706" s="100">
        <f>IF(AND(SamplingData[[#This Row],[Total]]&lt;&gt; 0, NOT(ISBLANK(SamplingData[[#This Row],[Candidate 6]]))),(SamplingData[[#This Row],[Total]]+SamplingData[[#This Row],[Winning Candidate]]-SamplingData[[#This Row],[Candidate 6]])/(SamplingData[[#Totals],[Winning Candidate]]-SamplingData[[#Totals],[Candidate 6]]), 0)</f>
        <v>2.4561062205145662E-3</v>
      </c>
      <c r="P1706" s="100">
        <f>MAX(SamplingData[[#This Row],[Error Bound (up) - Max. possible relative overstatement - Losing Candidate]:[Error Bound (up) - Max. possible relative overstatement - Candidate 6]])</f>
        <v>4.4096031357177858E-3</v>
      </c>
      <c r="Q1706" s="100">
        <f>IF(SamplingData[[#This Row],[Max Error Bound (up)]] = 0,0,SamplingData[[#This Row],[Max Error Bound (up)]]/SamplingData[[#Totals],[Max Error Bound (up)]])</f>
        <v>6.9789227604809994E-4</v>
      </c>
      <c r="R1706" s="101">
        <f>SUM($Q$5:Q1706)</f>
        <v>0.62609982345499771</v>
      </c>
      <c r="S1706" s="100" t="str">
        <f t="array" ref="S1706">IF(SamplingData[[#This Row],[up/U Selection Probability]] = 0, "Zero", TEXT(SamplingData[[#This Row],[Lower Range]], REPT("0",LEN('General Info'!$B$40))) &amp; " - " &amp; TEXT(SamplingData[[#This Row],[Upper Range]], REPT("0",LEN('General Info'!$B$40))))</f>
        <v>62540 - 62609</v>
      </c>
      <c r="T1706" s="100">
        <f>SamplingData[[#This Row],[Upper Range]]-SamplingData[[#This Row],[Span]]</f>
        <v>62540.193815787236</v>
      </c>
      <c r="U1706" s="100">
        <f>IF(ISNUMBER('General Info'!$B$40), ((SamplingData[[#This Row],[up/U Selection Probability]]) * 'General Info'!$B$40) - 1, 0)</f>
        <v>68.788529712533943</v>
      </c>
      <c r="V1706" s="100">
        <f>IF(ISNUMBER('General Info'!$B$40), (SamplingData[[#This Row],[Running (cumulative) sum]] * ('General Info'!$B$40 -'General Info'!$B$41 + 1)) + 'General Info'!$B$41 - 1, 0)</f>
        <v>62608.982345499768</v>
      </c>
      <c r="W1706" s="100" t="str">
        <f>IF(ISERROR(MATCH(SamplingData[[#This Row],[Batch by Type (p)]],SelectedPrecincts[Batch Name], 0)), "", INDEX(SelectedPrecincts[Draw], MATCH(SamplingData[[#This Row],[Batch by Type (p)]],SelectedPrecincts[Batch Name], 0)))</f>
        <v/>
      </c>
      <c r="X1706" s="102">
        <f>IF(COUNTIF(SelectedPrecincts[Batch Name],SamplingData[[#This Row],[Batch by Type (p)]]) &lt;&gt; 0, COUNTIF(SelectedPrecincts[Batch Name],SamplingData[[#This Row],[Batch by Type (p)]]), 0)</f>
        <v>0</v>
      </c>
    </row>
    <row r="1707" spans="1:24" ht="15" customHeight="1">
      <c r="A1707" s="18" t="s">
        <v>1883</v>
      </c>
      <c r="B1707" s="18">
        <v>40</v>
      </c>
      <c r="C1707" s="18">
        <v>40</v>
      </c>
      <c r="D1707" s="16">
        <v>23</v>
      </c>
      <c r="E1707" s="16">
        <v>9</v>
      </c>
      <c r="F1707" s="37">
        <v>0</v>
      </c>
      <c r="G1707" s="37">
        <v>0</v>
      </c>
      <c r="H1707" s="17">
        <v>0</v>
      </c>
      <c r="I1707" s="17">
        <v>4</v>
      </c>
      <c r="J1707" s="99">
        <f>SUM(SamplingData[[#This Row],[Losing Candidate]:[Under Votes]])</f>
        <v>116</v>
      </c>
      <c r="K1707" s="100">
        <f>IF(AND(SamplingData[[#This Row],[Total]]&lt;&gt; 0, NOT(ISBLANK(SamplingData[[#This Row],[Losing Candidate]]))),(SamplingData[[#This Row],[Total]]+SamplingData[[#This Row],[Winning Candidate]]-SamplingData[[#This Row],[Losing Candidate]])/(SamplingData[[#Totals],[Winning Candidate]]-SamplingData[[#Totals],[Losing Candidate]]), 0)</f>
        <v>7.104360607545321E-3</v>
      </c>
      <c r="L1707" s="100">
        <f>IF(AND(SamplingData[[#This Row],[Total]]&lt;&gt; 0, NOT(ISBLANK(SamplingData[[#This Row],[Candidate 3]]))),(SamplingData[[#This Row],[Total]]+SamplingData[[#This Row],[Winning Candidate]]-SamplingData[[#This Row],[Candidate 3]])/(SamplingData[[#Totals],[Winning Candidate]]-SamplingData[[#Totals],[Candidate 3]]), 0)</f>
        <v>4.2907378133367749E-3</v>
      </c>
      <c r="M1707" s="100">
        <f>IF(AND(SamplingData[[#This Row],[Total]]&lt;&gt; 0, NOT(ISBLANK(SamplingData[[#This Row],[Candidate 4]]))),(SamplingData[[#This Row],[Total]]+SamplingData[[#This Row],[Winning Candidate]]-SamplingData[[#This Row],[Candidate 4]])/(SamplingData[[#Totals],[Winning Candidate]]-SamplingData[[#Totals],[Candidate 4]]), 0)</f>
        <v>4.2971147943523637E-3</v>
      </c>
      <c r="N1707" s="100">
        <f>IF(AND(SamplingData[[#This Row],[Total]]&lt;&gt; 0, NOT(ISBLANK(SamplingData[[#This Row],[Candidate 5]]))),(SamplingData[[#This Row],[Total]]+SamplingData[[#This Row],[Winning Candidate]]-SamplingData[[#This Row],[Candidate 5]])/(SamplingData[[#Totals],[Winning Candidate]]-SamplingData[[#Totals],[Candidate 5]]), 0)</f>
        <v>3.7946971539771345E-3</v>
      </c>
      <c r="O1707" s="100">
        <f>IF(AND(SamplingData[[#This Row],[Total]]&lt;&gt; 0, NOT(ISBLANK(SamplingData[[#This Row],[Candidate 6]]))),(SamplingData[[#This Row],[Total]]+SamplingData[[#This Row],[Winning Candidate]]-SamplingData[[#This Row],[Candidate 6]])/(SamplingData[[#Totals],[Winning Candidate]]-SamplingData[[#Totals],[Candidate 6]]), 0)</f>
        <v>3.7935898059432908E-3</v>
      </c>
      <c r="P1707" s="100">
        <f>MAX(SamplingData[[#This Row],[Error Bound (up) - Max. possible relative overstatement - Losing Candidate]:[Error Bound (up) - Max. possible relative overstatement - Candidate 6]])</f>
        <v>7.104360607545321E-3</v>
      </c>
      <c r="Q1707" s="100">
        <f>IF(SamplingData[[#This Row],[Max Error Bound (up)]] = 0,0,SamplingData[[#This Row],[Max Error Bound (up)]]/SamplingData[[#Totals],[Max Error Bound (up)]])</f>
        <v>1.1243820002997166E-3</v>
      </c>
      <c r="R1707" s="101">
        <f>SUM($Q$5:Q1707)</f>
        <v>0.62722420545529745</v>
      </c>
      <c r="S1707" s="100" t="str">
        <f t="array" ref="S1707">IF(SamplingData[[#This Row],[up/U Selection Probability]] = 0, "Zero", TEXT(SamplingData[[#This Row],[Lower Range]], REPT("0",LEN('General Info'!$B$40))) &amp; " - " &amp; TEXT(SamplingData[[#This Row],[Upper Range]], REPT("0",LEN('General Info'!$B$40))))</f>
        <v>62610 - 62721</v>
      </c>
      <c r="T1707" s="100">
        <f>SamplingData[[#This Row],[Upper Range]]-SamplingData[[#This Row],[Span]]</f>
        <v>62609.983469881772</v>
      </c>
      <c r="U1707" s="100">
        <f>IF(ISNUMBER('General Info'!$B$40), ((SamplingData[[#This Row],[up/U Selection Probability]]) * 'General Info'!$B$40) - 1, 0)</f>
        <v>111.43707564797135</v>
      </c>
      <c r="V1707" s="100">
        <f>IF(ISNUMBER('General Info'!$B$40), (SamplingData[[#This Row],[Running (cumulative) sum]] * ('General Info'!$B$40 -'General Info'!$B$41 + 1)) + 'General Info'!$B$41 - 1, 0)</f>
        <v>62721.420545529742</v>
      </c>
      <c r="W1707" s="100" t="str">
        <f>IF(ISERROR(MATCH(SamplingData[[#This Row],[Batch by Type (p)]],SelectedPrecincts[Batch Name], 0)), "", INDEX(SelectedPrecincts[Draw], MATCH(SamplingData[[#This Row],[Batch by Type (p)]],SelectedPrecincts[Batch Name], 0)))</f>
        <v/>
      </c>
      <c r="X1707" s="102">
        <f>IF(COUNTIF(SelectedPrecincts[Batch Name],SamplingData[[#This Row],[Batch by Type (p)]]) &lt;&gt; 0, COUNTIF(SelectedPrecincts[Batch Name],SamplingData[[#This Row],[Batch by Type (p)]]), 0)</f>
        <v>0</v>
      </c>
    </row>
    <row r="1708" spans="1:24" ht="15" customHeight="1">
      <c r="A1708" s="18" t="s">
        <v>1884</v>
      </c>
      <c r="B1708" s="18">
        <v>13</v>
      </c>
      <c r="C1708" s="18">
        <v>14</v>
      </c>
      <c r="D1708" s="18">
        <v>7</v>
      </c>
      <c r="E1708" s="18">
        <v>4</v>
      </c>
      <c r="F1708" s="18">
        <v>0</v>
      </c>
      <c r="G1708" s="18">
        <v>1</v>
      </c>
      <c r="H1708" s="18">
        <v>0</v>
      </c>
      <c r="I1708" s="18">
        <v>3</v>
      </c>
      <c r="J1708" s="99">
        <f>SUM(SamplingData[[#This Row],[Losing Candidate]:[Under Votes]])</f>
        <v>42</v>
      </c>
      <c r="K1708"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1708" s="100">
        <f>IF(AND(SamplingData[[#This Row],[Total]]&lt;&gt; 0, NOT(ISBLANK(SamplingData[[#This Row],[Candidate 3]]))),(SamplingData[[#This Row],[Total]]+SamplingData[[#This Row],[Winning Candidate]]-SamplingData[[#This Row],[Candidate 3]])/(SamplingData[[#Totals],[Winning Candidate]]-SamplingData[[#Totals],[Candidate 3]]), 0)</f>
        <v>1.5807981417556537E-3</v>
      </c>
      <c r="M1708" s="100">
        <f>IF(AND(SamplingData[[#This Row],[Total]]&lt;&gt; 0, NOT(ISBLANK(SamplingData[[#This Row],[Candidate 4]]))),(SamplingData[[#This Row],[Total]]+SamplingData[[#This Row],[Winning Candidate]]-SamplingData[[#This Row],[Candidate 4]])/(SamplingData[[#Totals],[Winning Candidate]]-SamplingData[[#Totals],[Candidate 4]]), 0)</f>
        <v>1.5200678184103598E-3</v>
      </c>
      <c r="N1708" s="100">
        <f>IF(AND(SamplingData[[#This Row],[Total]]&lt;&gt; 0, NOT(ISBLANK(SamplingData[[#This Row],[Candidate 5]]))),(SamplingData[[#This Row],[Total]]+SamplingData[[#This Row],[Winning Candidate]]-SamplingData[[#This Row],[Candidate 5]])/(SamplingData[[#Totals],[Winning Candidate]]-SamplingData[[#Totals],[Candidate 5]]), 0)</f>
        <v>1.3621989783507663E-3</v>
      </c>
      <c r="O1708" s="100">
        <f>IF(AND(SamplingData[[#This Row],[Total]]&lt;&gt; 0, NOT(ISBLANK(SamplingData[[#This Row],[Candidate 6]]))),(SamplingData[[#This Row],[Total]]+SamplingData[[#This Row],[Winning Candidate]]-SamplingData[[#This Row],[Candidate 6]])/(SamplingData[[#Totals],[Winning Candidate]]-SamplingData[[#Totals],[Candidate 6]]), 0)</f>
        <v>1.3374835854287244E-3</v>
      </c>
      <c r="P1708" s="100">
        <f>MAX(SamplingData[[#This Row],[Error Bound (up) - Max. possible relative overstatement - Losing Candidate]:[Error Bound (up) - Max. possible relative overstatement - Candidate 6]])</f>
        <v>2.6335129838314553E-3</v>
      </c>
      <c r="Q1708" s="100">
        <f>IF(SamplingData[[#This Row],[Max Error Bound (up)]] = 0,0,SamplingData[[#This Row],[Max Error Bound (up)]]/SamplingData[[#Totals],[Max Error Bound (up)]])</f>
        <v>4.167967759731708E-4</v>
      </c>
      <c r="R1708" s="101">
        <f>SUM($Q$5:Q1708)</f>
        <v>0.62764100223127062</v>
      </c>
      <c r="S1708" s="100" t="str">
        <f t="array" ref="S1708">IF(SamplingData[[#This Row],[up/U Selection Probability]] = 0, "Zero", TEXT(SamplingData[[#This Row],[Lower Range]], REPT("0",LEN('General Info'!$B$40))) &amp; " - " &amp; TEXT(SamplingData[[#This Row],[Upper Range]], REPT("0",LEN('General Info'!$B$40))))</f>
        <v>62722 - 62763</v>
      </c>
      <c r="T1708" s="100">
        <f>SamplingData[[#This Row],[Upper Range]]-SamplingData[[#This Row],[Span]]</f>
        <v>62722.42096232652</v>
      </c>
      <c r="U1708" s="100">
        <f>IF(ISNUMBER('General Info'!$B$40), ((SamplingData[[#This Row],[up/U Selection Probability]]) * 'General Info'!$B$40) - 1, 0)</f>
        <v>40.679260800541108</v>
      </c>
      <c r="V1708" s="100">
        <f>IF(ISNUMBER('General Info'!$B$40), (SamplingData[[#This Row],[Running (cumulative) sum]] * ('General Info'!$B$40 -'General Info'!$B$41 + 1)) + 'General Info'!$B$41 - 1, 0)</f>
        <v>62763.100223127061</v>
      </c>
      <c r="W1708" s="100" t="str">
        <f>IF(ISERROR(MATCH(SamplingData[[#This Row],[Batch by Type (p)]],SelectedPrecincts[Batch Name], 0)), "", INDEX(SelectedPrecincts[Draw], MATCH(SamplingData[[#This Row],[Batch by Type (p)]],SelectedPrecincts[Batch Name], 0)))</f>
        <v/>
      </c>
      <c r="X1708" s="102">
        <f>IF(COUNTIF(SelectedPrecincts[Batch Name],SamplingData[[#This Row],[Batch by Type (p)]]) &lt;&gt; 0, COUNTIF(SelectedPrecincts[Batch Name],SamplingData[[#This Row],[Batch by Type (p)]]), 0)</f>
        <v>0</v>
      </c>
    </row>
    <row r="1709" spans="1:24" ht="15" customHeight="1">
      <c r="A1709" s="18" t="s">
        <v>1885</v>
      </c>
      <c r="B1709" s="18">
        <v>32</v>
      </c>
      <c r="C1709" s="18">
        <v>31</v>
      </c>
      <c r="D1709" s="16">
        <v>10</v>
      </c>
      <c r="E1709" s="16">
        <v>16</v>
      </c>
      <c r="F1709" s="37">
        <v>1</v>
      </c>
      <c r="G1709" s="37">
        <v>0</v>
      </c>
      <c r="H1709" s="17">
        <v>0</v>
      </c>
      <c r="I1709" s="17">
        <v>1</v>
      </c>
      <c r="J1709" s="99">
        <f>SUM(SamplingData[[#This Row],[Losing Candidate]:[Under Votes]])</f>
        <v>91</v>
      </c>
      <c r="K1709" s="100">
        <f>IF(AND(SamplingData[[#This Row],[Total]]&lt;&gt; 0, NOT(ISBLANK(SamplingData[[#This Row],[Losing Candidate]]))),(SamplingData[[#This Row],[Total]]+SamplingData[[#This Row],[Winning Candidate]]-SamplingData[[#This Row],[Losing Candidate]])/(SamplingData[[#Totals],[Winning Candidate]]-SamplingData[[#Totals],[Losing Candidate]]), 0)</f>
        <v>5.5120039196472313E-3</v>
      </c>
      <c r="L1709" s="100">
        <f>IF(AND(SamplingData[[#This Row],[Total]]&lt;&gt; 0, NOT(ISBLANK(SamplingData[[#This Row],[Candidate 3]]))),(SamplingData[[#This Row],[Total]]+SamplingData[[#This Row],[Winning Candidate]]-SamplingData[[#This Row],[Candidate 3]])/(SamplingData[[#Totals],[Winning Candidate]]-SamplingData[[#Totals],[Candidate 3]]), 0)</f>
        <v>3.6132528954414943E-3</v>
      </c>
      <c r="M1709" s="100">
        <f>IF(AND(SamplingData[[#This Row],[Total]]&lt;&gt; 0, NOT(ISBLANK(SamplingData[[#This Row],[Candidate 4]]))),(SamplingData[[#This Row],[Total]]+SamplingData[[#This Row],[Winning Candidate]]-SamplingData[[#This Row],[Candidate 4]])/(SamplingData[[#Totals],[Winning Candidate]]-SamplingData[[#Totals],[Candidate 4]]), 0)</f>
        <v>3.0985997836826566E-3</v>
      </c>
      <c r="N1709" s="100">
        <f>IF(AND(SamplingData[[#This Row],[Total]]&lt;&gt; 0, NOT(ISBLANK(SamplingData[[#This Row],[Candidate 5]]))),(SamplingData[[#This Row],[Total]]+SamplingData[[#This Row],[Winning Candidate]]-SamplingData[[#This Row],[Candidate 5]])/(SamplingData[[#Totals],[Winning Candidate]]-SamplingData[[#Totals],[Candidate 5]]), 0)</f>
        <v>2.9433227925079056E-3</v>
      </c>
      <c r="O1709" s="100">
        <f>IF(AND(SamplingData[[#This Row],[Total]]&lt;&gt; 0, NOT(ISBLANK(SamplingData[[#This Row],[Candidate 6]]))),(SamplingData[[#This Row],[Total]]+SamplingData[[#This Row],[Winning Candidate]]-SamplingData[[#This Row],[Candidate 6]])/(SamplingData[[#Totals],[Winning Candidate]]-SamplingData[[#Totals],[Candidate 6]]), 0)</f>
        <v>2.9667817713146249E-3</v>
      </c>
      <c r="P1709" s="100">
        <f>MAX(SamplingData[[#This Row],[Error Bound (up) - Max. possible relative overstatement - Losing Candidate]:[Error Bound (up) - Max. possible relative overstatement - Candidate 6]])</f>
        <v>5.5120039196472313E-3</v>
      </c>
      <c r="Q1709" s="100">
        <f>IF(SamplingData[[#This Row],[Max Error Bound (up)]] = 0,0,SamplingData[[#This Row],[Max Error Bound (up)]]/SamplingData[[#Totals],[Max Error Bound (up)]])</f>
        <v>8.7236534506012473E-4</v>
      </c>
      <c r="R1709" s="101">
        <f>SUM($Q$5:Q1709)</f>
        <v>0.62851336757633069</v>
      </c>
      <c r="S1709" s="100" t="str">
        <f t="array" ref="S1709">IF(SamplingData[[#This Row],[up/U Selection Probability]] = 0, "Zero", TEXT(SamplingData[[#This Row],[Lower Range]], REPT("0",LEN('General Info'!$B$40))) &amp; " - " &amp; TEXT(SamplingData[[#This Row],[Upper Range]], REPT("0",LEN('General Info'!$B$40))))</f>
        <v>62764 - 62850</v>
      </c>
      <c r="T1709" s="100">
        <f>SamplingData[[#This Row],[Upper Range]]-SamplingData[[#This Row],[Span]]</f>
        <v>62764.101095492406</v>
      </c>
      <c r="U1709" s="100">
        <f>IF(ISNUMBER('General Info'!$B$40), ((SamplingData[[#This Row],[up/U Selection Probability]]) * 'General Info'!$B$40) - 1, 0)</f>
        <v>86.235662140667415</v>
      </c>
      <c r="V1709" s="100">
        <f>IF(ISNUMBER('General Info'!$B$40), (SamplingData[[#This Row],[Running (cumulative) sum]] * ('General Info'!$B$40 -'General Info'!$B$41 + 1)) + 'General Info'!$B$41 - 1, 0)</f>
        <v>62850.336757633071</v>
      </c>
      <c r="W1709" s="100" t="str">
        <f>IF(ISERROR(MATCH(SamplingData[[#This Row],[Batch by Type (p)]],SelectedPrecincts[Batch Name], 0)), "", INDEX(SelectedPrecincts[Draw], MATCH(SamplingData[[#This Row],[Batch by Type (p)]],SelectedPrecincts[Batch Name], 0)))</f>
        <v/>
      </c>
      <c r="X1709" s="102">
        <f>IF(COUNTIF(SelectedPrecincts[Batch Name],SamplingData[[#This Row],[Batch by Type (p)]]) &lt;&gt; 0, COUNTIF(SelectedPrecincts[Batch Name],SamplingData[[#This Row],[Batch by Type (p)]]), 0)</f>
        <v>0</v>
      </c>
    </row>
    <row r="1710" spans="1:24" ht="15" customHeight="1">
      <c r="A1710" s="18" t="s">
        <v>1886</v>
      </c>
      <c r="B1710" s="18">
        <v>22</v>
      </c>
      <c r="C1710" s="18">
        <v>7</v>
      </c>
      <c r="D1710" s="18">
        <v>5</v>
      </c>
      <c r="E1710" s="18">
        <v>4</v>
      </c>
      <c r="F1710" s="18">
        <v>0</v>
      </c>
      <c r="G1710" s="18">
        <v>0</v>
      </c>
      <c r="H1710" s="18">
        <v>0</v>
      </c>
      <c r="I1710" s="18">
        <v>0</v>
      </c>
      <c r="J1710" s="99">
        <f>SUM(SamplingData[[#This Row],[Losing Candidate]:[Under Votes]])</f>
        <v>38</v>
      </c>
      <c r="K1710"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710" s="100">
        <f>IF(AND(SamplingData[[#This Row],[Total]]&lt;&gt; 0, NOT(ISBLANK(SamplingData[[#This Row],[Candidate 3]]))),(SamplingData[[#This Row],[Total]]+SamplingData[[#This Row],[Winning Candidate]]-SamplingData[[#This Row],[Candidate 3]])/(SamplingData[[#Totals],[Winning Candidate]]-SamplingData[[#Totals],[Candidate 3]]), 0)</f>
        <v>1.2904474626576766E-3</v>
      </c>
      <c r="M1710" s="100">
        <f>IF(AND(SamplingData[[#This Row],[Total]]&lt;&gt; 0, NOT(ISBLANK(SamplingData[[#This Row],[Candidate 4]]))),(SamplingData[[#This Row],[Total]]+SamplingData[[#This Row],[Winning Candidate]]-SamplingData[[#This Row],[Candidate 4]])/(SamplingData[[#Totals],[Winning Candidate]]-SamplingData[[#Totals],[Candidate 4]]), 0)</f>
        <v>1.1985150106697067E-3</v>
      </c>
      <c r="N1710" s="100">
        <f>IF(AND(SamplingData[[#This Row],[Total]]&lt;&gt; 0, NOT(ISBLANK(SamplingData[[#This Row],[Candidate 5]]))),(SamplingData[[#This Row],[Total]]+SamplingData[[#This Row],[Winning Candidate]]-SamplingData[[#This Row],[Candidate 5]])/(SamplingData[[#Totals],[Winning Candidate]]-SamplingData[[#Totals],[Candidate 5]]), 0)</f>
        <v>1.0946241790318657E-3</v>
      </c>
      <c r="O1710" s="100">
        <f>IF(AND(SamplingData[[#This Row],[Total]]&lt;&gt; 0, NOT(ISBLANK(SamplingData[[#This Row],[Candidate 6]]))),(SamplingData[[#This Row],[Total]]+SamplingData[[#This Row],[Winning Candidate]]-SamplingData[[#This Row],[Candidate 6]])/(SamplingData[[#Totals],[Winning Candidate]]-SamplingData[[#Totals],[Candidate 6]]), 0)</f>
        <v>1.0943047517144107E-3</v>
      </c>
      <c r="P1710" s="100">
        <f>MAX(SamplingData[[#This Row],[Error Bound (up) - Max. possible relative overstatement - Losing Candidate]:[Error Bound (up) - Max. possible relative overstatement - Candidate 6]])</f>
        <v>1.408623223909848E-3</v>
      </c>
      <c r="Q1710" s="100">
        <f>IF(SamplingData[[#This Row],[Max Error Bound (up)]] = 0,0,SamplingData[[#This Row],[Max Error Bound (up)]]/SamplingData[[#Totals],[Max Error Bound (up)]])</f>
        <v>2.229378104042541E-4</v>
      </c>
      <c r="R1710" s="101">
        <f>SUM($Q$5:Q1710)</f>
        <v>0.62873630538673497</v>
      </c>
      <c r="S1710" s="100" t="str">
        <f t="array" ref="S1710">IF(SamplingData[[#This Row],[up/U Selection Probability]] = 0, "Zero", TEXT(SamplingData[[#This Row],[Lower Range]], REPT("0",LEN('General Info'!$B$40))) &amp; " - " &amp; TEXT(SamplingData[[#This Row],[Upper Range]], REPT("0",LEN('General Info'!$B$40))))</f>
        <v>62851 - 62873</v>
      </c>
      <c r="T1710" s="100">
        <f>SamplingData[[#This Row],[Upper Range]]-SamplingData[[#This Row],[Span]]</f>
        <v>62851.336980570879</v>
      </c>
      <c r="U1710" s="100">
        <f>IF(ISNUMBER('General Info'!$B$40), ((SamplingData[[#This Row],[up/U Selection Probability]]) * 'General Info'!$B$40) - 1, 0)</f>
        <v>21.293558102615005</v>
      </c>
      <c r="V1710" s="100">
        <f>IF(ISNUMBER('General Info'!$B$40), (SamplingData[[#This Row],[Running (cumulative) sum]] * ('General Info'!$B$40 -'General Info'!$B$41 + 1)) + 'General Info'!$B$41 - 1, 0)</f>
        <v>62872.630538673497</v>
      </c>
      <c r="W1710" s="100" t="str">
        <f>IF(ISERROR(MATCH(SamplingData[[#This Row],[Batch by Type (p)]],SelectedPrecincts[Batch Name], 0)), "", INDEX(SelectedPrecincts[Draw], MATCH(SamplingData[[#This Row],[Batch by Type (p)]],SelectedPrecincts[Batch Name], 0)))</f>
        <v/>
      </c>
      <c r="X1710" s="102">
        <f>IF(COUNTIF(SelectedPrecincts[Batch Name],SamplingData[[#This Row],[Batch by Type (p)]]) &lt;&gt; 0, COUNTIF(SelectedPrecincts[Batch Name],SamplingData[[#This Row],[Batch by Type (p)]]), 0)</f>
        <v>0</v>
      </c>
    </row>
    <row r="1711" spans="1:24" ht="15" customHeight="1">
      <c r="A1711" s="18" t="s">
        <v>1887</v>
      </c>
      <c r="B1711" s="18">
        <v>36</v>
      </c>
      <c r="C1711" s="18">
        <v>48</v>
      </c>
      <c r="D1711" s="16">
        <v>8</v>
      </c>
      <c r="E1711" s="16">
        <v>12</v>
      </c>
      <c r="F1711" s="37">
        <v>1</v>
      </c>
      <c r="G1711" s="37">
        <v>0</v>
      </c>
      <c r="H1711" s="17">
        <v>0</v>
      </c>
      <c r="I1711" s="17">
        <v>1</v>
      </c>
      <c r="J1711" s="99">
        <f>SUM(SamplingData[[#This Row],[Losing Candidate]:[Under Votes]])</f>
        <v>106</v>
      </c>
      <c r="K1711" s="100">
        <f>IF(AND(SamplingData[[#This Row],[Total]]&lt;&gt; 0, NOT(ISBLANK(SamplingData[[#This Row],[Losing Candidate]]))),(SamplingData[[#This Row],[Total]]+SamplingData[[#This Row],[Winning Candidate]]-SamplingData[[#This Row],[Losing Candidate]])/(SamplingData[[#Totals],[Winning Candidate]]-SamplingData[[#Totals],[Losing Candidate]]), 0)</f>
        <v>7.2268495835374818E-3</v>
      </c>
      <c r="L1711" s="100">
        <f>IF(AND(SamplingData[[#This Row],[Total]]&lt;&gt; 0, NOT(ISBLANK(SamplingData[[#This Row],[Candidate 3]]))),(SamplingData[[#This Row],[Total]]+SamplingData[[#This Row],[Winning Candidate]]-SamplingData[[#This Row],[Candidate 3]])/(SamplingData[[#Totals],[Winning Candidate]]-SamplingData[[#Totals],[Candidate 3]]), 0)</f>
        <v>4.7101332387005194E-3</v>
      </c>
      <c r="M1711" s="100">
        <f>IF(AND(SamplingData[[#This Row],[Total]]&lt;&gt; 0, NOT(ISBLANK(SamplingData[[#This Row],[Candidate 4]]))),(SamplingData[[#This Row],[Total]]+SamplingData[[#This Row],[Winning Candidate]]-SamplingData[[#This Row],[Candidate 4]])/(SamplingData[[#Totals],[Winning Candidate]]-SamplingData[[#Totals],[Candidate 4]]), 0)</f>
        <v>4.1509544271975214E-3</v>
      </c>
      <c r="N1711" s="100">
        <f>IF(AND(SamplingData[[#This Row],[Total]]&lt;&gt; 0, NOT(ISBLANK(SamplingData[[#This Row],[Candidate 5]]))),(SamplingData[[#This Row],[Total]]+SamplingData[[#This Row],[Winning Candidate]]-SamplingData[[#This Row],[Candidate 5]])/(SamplingData[[#Totals],[Winning Candidate]]-SamplingData[[#Totals],[Candidate 5]]), 0)</f>
        <v>3.7217222087083434E-3</v>
      </c>
      <c r="O1711" s="100">
        <f>IF(AND(SamplingData[[#This Row],[Total]]&lt;&gt; 0, NOT(ISBLANK(SamplingData[[#This Row],[Candidate 6]]))),(SamplingData[[#This Row],[Total]]+SamplingData[[#This Row],[Winning Candidate]]-SamplingData[[#This Row],[Candidate 6]])/(SamplingData[[#Totals],[Winning Candidate]]-SamplingData[[#Totals],[Candidate 6]]), 0)</f>
        <v>3.7449540392004281E-3</v>
      </c>
      <c r="P1711" s="100">
        <f>MAX(SamplingData[[#This Row],[Error Bound (up) - Max. possible relative overstatement - Losing Candidate]:[Error Bound (up) - Max. possible relative overstatement - Candidate 6]])</f>
        <v>7.2268495835374818E-3</v>
      </c>
      <c r="Q1711" s="100">
        <f>IF(SamplingData[[#This Row],[Max Error Bound (up)]] = 0,0,SamplingData[[#This Row],[Max Error Bound (up)]]/SamplingData[[#Totals],[Max Error Bound (up)]])</f>
        <v>1.1437678968566083E-3</v>
      </c>
      <c r="R1711" s="101">
        <f>SUM($Q$5:Q1711)</f>
        <v>0.62988007328359163</v>
      </c>
      <c r="S1711" s="100" t="str">
        <f t="array" ref="S1711">IF(SamplingData[[#This Row],[up/U Selection Probability]] = 0, "Zero", TEXT(SamplingData[[#This Row],[Lower Range]], REPT("0",LEN('General Info'!$B$40))) &amp; " - " &amp; TEXT(SamplingData[[#This Row],[Upper Range]], REPT("0",LEN('General Info'!$B$40))))</f>
        <v>62874 - 62987</v>
      </c>
      <c r="T1711" s="100">
        <f>SamplingData[[#This Row],[Upper Range]]-SamplingData[[#This Row],[Span]]</f>
        <v>62873.631682441395</v>
      </c>
      <c r="U1711" s="100">
        <f>IF(ISNUMBER('General Info'!$B$40), ((SamplingData[[#This Row],[up/U Selection Probability]]) * 'General Info'!$B$40) - 1, 0)</f>
        <v>113.37564591776398</v>
      </c>
      <c r="V1711" s="100">
        <f>IF(ISNUMBER('General Info'!$B$40), (SamplingData[[#This Row],[Running (cumulative) sum]] * ('General Info'!$B$40 -'General Info'!$B$41 + 1)) + 'General Info'!$B$41 - 1, 0)</f>
        <v>62987.007328359163</v>
      </c>
      <c r="W1711" s="100" t="str">
        <f>IF(ISERROR(MATCH(SamplingData[[#This Row],[Batch by Type (p)]],SelectedPrecincts[Batch Name], 0)), "", INDEX(SelectedPrecincts[Draw], MATCH(SamplingData[[#This Row],[Batch by Type (p)]],SelectedPrecincts[Batch Name], 0)))</f>
        <v/>
      </c>
      <c r="X1711" s="102">
        <f>IF(COUNTIF(SelectedPrecincts[Batch Name],SamplingData[[#This Row],[Batch by Type (p)]]) &lt;&gt; 0, COUNTIF(SelectedPrecincts[Batch Name],SamplingData[[#This Row],[Batch by Type (p)]]), 0)</f>
        <v>0</v>
      </c>
    </row>
    <row r="1712" spans="1:24" ht="15" customHeight="1">
      <c r="A1712" s="18" t="s">
        <v>1888</v>
      </c>
      <c r="B1712" s="18">
        <v>23</v>
      </c>
      <c r="C1712" s="18">
        <v>27</v>
      </c>
      <c r="D1712" s="18">
        <v>8</v>
      </c>
      <c r="E1712" s="18">
        <v>1</v>
      </c>
      <c r="F1712" s="18">
        <v>0</v>
      </c>
      <c r="G1712" s="18">
        <v>0</v>
      </c>
      <c r="H1712" s="18">
        <v>0</v>
      </c>
      <c r="I1712" s="18">
        <v>2</v>
      </c>
      <c r="J1712" s="99">
        <f>SUM(SamplingData[[#This Row],[Losing Candidate]:[Under Votes]])</f>
        <v>61</v>
      </c>
      <c r="K1712"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1712" s="100">
        <f>IF(AND(SamplingData[[#This Row],[Total]]&lt;&gt; 0, NOT(ISBLANK(SamplingData[[#This Row],[Candidate 3]]))),(SamplingData[[#This Row],[Total]]+SamplingData[[#This Row],[Winning Candidate]]-SamplingData[[#This Row],[Candidate 3]])/(SamplingData[[#Totals],[Winning Candidate]]-SamplingData[[#Totals],[Candidate 3]]), 0)</f>
        <v>2.5808949253153532E-3</v>
      </c>
      <c r="M1712" s="100">
        <f>IF(AND(SamplingData[[#This Row],[Total]]&lt;&gt; 0, NOT(ISBLANK(SamplingData[[#This Row],[Candidate 4]]))),(SamplingData[[#This Row],[Total]]+SamplingData[[#This Row],[Winning Candidate]]-SamplingData[[#This Row],[Candidate 4]])/(SamplingData[[#Totals],[Winning Candidate]]-SamplingData[[#Totals],[Candidate 4]]), 0)</f>
        <v>2.5431903884942557E-3</v>
      </c>
      <c r="N1712" s="100">
        <f>IF(AND(SamplingData[[#This Row],[Total]]&lt;&gt; 0, NOT(ISBLANK(SamplingData[[#This Row],[Candidate 5]]))),(SamplingData[[#This Row],[Total]]+SamplingData[[#This Row],[Winning Candidate]]-SamplingData[[#This Row],[Candidate 5]])/(SamplingData[[#Totals],[Winning Candidate]]-SamplingData[[#Totals],[Candidate 5]]), 0)</f>
        <v>2.1405983945512043E-3</v>
      </c>
      <c r="O1712" s="100">
        <f>IF(AND(SamplingData[[#This Row],[Total]]&lt;&gt; 0, NOT(ISBLANK(SamplingData[[#This Row],[Candidate 6]]))),(SamplingData[[#This Row],[Total]]+SamplingData[[#This Row],[Winning Candidate]]-SamplingData[[#This Row],[Candidate 6]])/(SamplingData[[#Totals],[Winning Candidate]]-SamplingData[[#Totals],[Candidate 6]]), 0)</f>
        <v>2.1399737366859586E-3</v>
      </c>
      <c r="P1712" s="100">
        <f>MAX(SamplingData[[#This Row],[Error Bound (up) - Max. possible relative overstatement - Losing Candidate]:[Error Bound (up) - Max. possible relative overstatement - Candidate 6]])</f>
        <v>3.9808917197452229E-3</v>
      </c>
      <c r="Q1712" s="100">
        <f>IF(SamplingData[[#This Row],[Max Error Bound (up)]] = 0,0,SamplingData[[#This Row],[Max Error Bound (up)]]/SamplingData[[#Totals],[Max Error Bound (up)]])</f>
        <v>6.3004163809897906E-4</v>
      </c>
      <c r="R1712" s="101">
        <f>SUM($Q$5:Q1712)</f>
        <v>0.63051011492169062</v>
      </c>
      <c r="S1712" s="100" t="str">
        <f t="array" ref="S1712">IF(SamplingData[[#This Row],[up/U Selection Probability]] = 0, "Zero", TEXT(SamplingData[[#This Row],[Lower Range]], REPT("0",LEN('General Info'!$B$40))) &amp; " - " &amp; TEXT(SamplingData[[#This Row],[Upper Range]], REPT("0",LEN('General Info'!$B$40))))</f>
        <v>62988 - 63050</v>
      </c>
      <c r="T1712" s="100">
        <f>SamplingData[[#This Row],[Upper Range]]-SamplingData[[#This Row],[Span]]</f>
        <v>62988.007958400805</v>
      </c>
      <c r="U1712" s="100">
        <f>IF(ISNUMBER('General Info'!$B$40), ((SamplingData[[#This Row],[up/U Selection Probability]]) * 'General Info'!$B$40) - 1, 0)</f>
        <v>62.003533768259807</v>
      </c>
      <c r="V1712" s="100">
        <f>IF(ISNUMBER('General Info'!$B$40), (SamplingData[[#This Row],[Running (cumulative) sum]] * ('General Info'!$B$40 -'General Info'!$B$41 + 1)) + 'General Info'!$B$41 - 1, 0)</f>
        <v>63050.011492169062</v>
      </c>
      <c r="W1712" s="100" t="str">
        <f>IF(ISERROR(MATCH(SamplingData[[#This Row],[Batch by Type (p)]],SelectedPrecincts[Batch Name], 0)), "", INDEX(SelectedPrecincts[Draw], MATCH(SamplingData[[#This Row],[Batch by Type (p)]],SelectedPrecincts[Batch Name], 0)))</f>
        <v/>
      </c>
      <c r="X1712" s="102">
        <f>IF(COUNTIF(SelectedPrecincts[Batch Name],SamplingData[[#This Row],[Batch by Type (p)]]) &lt;&gt; 0, COUNTIF(SelectedPrecincts[Batch Name],SamplingData[[#This Row],[Batch by Type (p)]]), 0)</f>
        <v>0</v>
      </c>
    </row>
    <row r="1713" spans="1:24" ht="15" customHeight="1">
      <c r="A1713" s="18" t="s">
        <v>1889</v>
      </c>
      <c r="B1713" s="18">
        <v>54</v>
      </c>
      <c r="C1713" s="18">
        <v>49</v>
      </c>
      <c r="D1713" s="16">
        <v>14</v>
      </c>
      <c r="E1713" s="16">
        <v>18</v>
      </c>
      <c r="F1713" s="37">
        <v>3</v>
      </c>
      <c r="G1713" s="37">
        <v>0</v>
      </c>
      <c r="H1713" s="17">
        <v>0</v>
      </c>
      <c r="I1713" s="17">
        <v>4</v>
      </c>
      <c r="J1713" s="99">
        <f>SUM(SamplingData[[#This Row],[Losing Candidate]:[Under Votes]])</f>
        <v>142</v>
      </c>
      <c r="K1713" s="100">
        <f>IF(AND(SamplingData[[#This Row],[Total]]&lt;&gt; 0, NOT(ISBLANK(SamplingData[[#This Row],[Losing Candidate]]))),(SamplingData[[#This Row],[Total]]+SamplingData[[#This Row],[Winning Candidate]]-SamplingData[[#This Row],[Losing Candidate]])/(SamplingData[[#Totals],[Winning Candidate]]-SamplingData[[#Totals],[Losing Candidate]]), 0)</f>
        <v>8.3904948554630078E-3</v>
      </c>
      <c r="L1713" s="100">
        <f>IF(AND(SamplingData[[#This Row],[Total]]&lt;&gt; 0, NOT(ISBLANK(SamplingData[[#This Row],[Candidate 3]]))),(SamplingData[[#This Row],[Total]]+SamplingData[[#This Row],[Winning Candidate]]-SamplingData[[#This Row],[Candidate 3]])/(SamplingData[[#Totals],[Winning Candidate]]-SamplingData[[#Totals],[Candidate 3]]), 0)</f>
        <v>5.710230022260219E-3</v>
      </c>
      <c r="M1713" s="100">
        <f>IF(AND(SamplingData[[#This Row],[Total]]&lt;&gt; 0, NOT(ISBLANK(SamplingData[[#This Row],[Candidate 4]]))),(SamplingData[[#This Row],[Total]]+SamplingData[[#This Row],[Winning Candidate]]-SamplingData[[#This Row],[Candidate 4]])/(SamplingData[[#Totals],[Winning Candidate]]-SamplingData[[#Totals],[Candidate 4]]), 0)</f>
        <v>5.057148703557543E-3</v>
      </c>
      <c r="N1713" s="100">
        <f>IF(AND(SamplingData[[#This Row],[Total]]&lt;&gt; 0, NOT(ISBLANK(SamplingData[[#This Row],[Candidate 5]]))),(SamplingData[[#This Row],[Total]]+SamplingData[[#This Row],[Winning Candidate]]-SamplingData[[#This Row],[Candidate 5]])/(SamplingData[[#Totals],[Winning Candidate]]-SamplingData[[#Totals],[Candidate 5]]), 0)</f>
        <v>4.5730965701775723E-3</v>
      </c>
      <c r="O1713" s="100">
        <f>IF(AND(SamplingData[[#This Row],[Total]]&lt;&gt; 0, NOT(ISBLANK(SamplingData[[#This Row],[Candidate 6]]))),(SamplingData[[#This Row],[Total]]+SamplingData[[#This Row],[Winning Candidate]]-SamplingData[[#This Row],[Candidate 6]])/(SamplingData[[#Totals],[Winning Candidate]]-SamplingData[[#Totals],[Candidate 6]]), 0)</f>
        <v>4.6447157239433877E-3</v>
      </c>
      <c r="P1713" s="100">
        <f>MAX(SamplingData[[#This Row],[Error Bound (up) - Max. possible relative overstatement - Losing Candidate]:[Error Bound (up) - Max. possible relative overstatement - Candidate 6]])</f>
        <v>8.3904948554630078E-3</v>
      </c>
      <c r="Q1713" s="100">
        <f>IF(SamplingData[[#This Row],[Max Error Bound (up)]] = 0,0,SamplingData[[#This Row],[Max Error Bound (up)]]/SamplingData[[#Totals],[Max Error Bound (up)]])</f>
        <v>1.3279339141470789E-3</v>
      </c>
      <c r="R1713" s="101">
        <f>SUM($Q$5:Q1713)</f>
        <v>0.63183804883583772</v>
      </c>
      <c r="S1713" s="100" t="str">
        <f t="array" ref="S1713">IF(SamplingData[[#This Row],[up/U Selection Probability]] = 0, "Zero", TEXT(SamplingData[[#This Row],[Lower Range]], REPT("0",LEN('General Info'!$B$40))) &amp; " - " &amp; TEXT(SamplingData[[#This Row],[Upper Range]], REPT("0",LEN('General Info'!$B$40))))</f>
        <v>63051 - 63183</v>
      </c>
      <c r="T1713" s="100">
        <f>SamplingData[[#This Row],[Upper Range]]-SamplingData[[#This Row],[Span]]</f>
        <v>63051.012820102973</v>
      </c>
      <c r="U1713" s="100">
        <f>IF(ISNUMBER('General Info'!$B$40), ((SamplingData[[#This Row],[up/U Selection Probability]]) * 'General Info'!$B$40) - 1, 0)</f>
        <v>131.79206348079373</v>
      </c>
      <c r="V1713" s="100">
        <f>IF(ISNUMBER('General Info'!$B$40), (SamplingData[[#This Row],[Running (cumulative) sum]] * ('General Info'!$B$40 -'General Info'!$B$41 + 1)) + 'General Info'!$B$41 - 1, 0)</f>
        <v>63182.804883583769</v>
      </c>
      <c r="W1713" s="100" t="str">
        <f>IF(ISERROR(MATCH(SamplingData[[#This Row],[Batch by Type (p)]],SelectedPrecincts[Batch Name], 0)), "", INDEX(SelectedPrecincts[Draw], MATCH(SamplingData[[#This Row],[Batch by Type (p)]],SelectedPrecincts[Batch Name], 0)))</f>
        <v/>
      </c>
      <c r="X1713" s="102">
        <f>IF(COUNTIF(SelectedPrecincts[Batch Name],SamplingData[[#This Row],[Batch by Type (p)]]) &lt;&gt; 0, COUNTIF(SelectedPrecincts[Batch Name],SamplingData[[#This Row],[Batch by Type (p)]]), 0)</f>
        <v>0</v>
      </c>
    </row>
    <row r="1714" spans="1:24" ht="15" customHeight="1">
      <c r="A1714" s="18" t="s">
        <v>1890</v>
      </c>
      <c r="B1714" s="18">
        <v>18</v>
      </c>
      <c r="C1714" s="18">
        <v>24</v>
      </c>
      <c r="D1714" s="18">
        <v>9</v>
      </c>
      <c r="E1714" s="18">
        <v>3</v>
      </c>
      <c r="F1714" s="18">
        <v>0</v>
      </c>
      <c r="G1714" s="18">
        <v>0</v>
      </c>
      <c r="H1714" s="18">
        <v>0</v>
      </c>
      <c r="I1714" s="18">
        <v>1</v>
      </c>
      <c r="J1714" s="99">
        <f>SUM(SamplingData[[#This Row],[Losing Candidate]:[Under Votes]])</f>
        <v>55</v>
      </c>
      <c r="K1714"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714" s="100">
        <f>IF(AND(SamplingData[[#This Row],[Total]]&lt;&gt; 0, NOT(ISBLANK(SamplingData[[#This Row],[Candidate 3]]))),(SamplingData[[#This Row],[Total]]+SamplingData[[#This Row],[Winning Candidate]]-SamplingData[[#This Row],[Candidate 3]])/(SamplingData[[#Totals],[Winning Candidate]]-SamplingData[[#Totals],[Candidate 3]]), 0)</f>
        <v>2.2582830596509338E-3</v>
      </c>
      <c r="M1714" s="100">
        <f>IF(AND(SamplingData[[#This Row],[Total]]&lt;&gt; 0, NOT(ISBLANK(SamplingData[[#This Row],[Candidate 4]]))),(SamplingData[[#This Row],[Total]]+SamplingData[[#This Row],[Winning Candidate]]-SamplingData[[#This Row],[Candidate 4]])/(SamplingData[[#Totals],[Winning Candidate]]-SamplingData[[#Totals],[Candidate 4]]), 0)</f>
        <v>2.221637580753603E-3</v>
      </c>
      <c r="N1714" s="100">
        <f>IF(AND(SamplingData[[#This Row],[Total]]&lt;&gt; 0, NOT(ISBLANK(SamplingData[[#This Row],[Candidate 5]]))),(SamplingData[[#This Row],[Total]]+SamplingData[[#This Row],[Winning Candidate]]-SamplingData[[#This Row],[Candidate 5]])/(SamplingData[[#Totals],[Winning Candidate]]-SamplingData[[#Totals],[Candidate 5]]), 0)</f>
        <v>1.921673558744831E-3</v>
      </c>
      <c r="O1714" s="100">
        <f>IF(AND(SamplingData[[#This Row],[Total]]&lt;&gt; 0, NOT(ISBLANK(SamplingData[[#This Row],[Candidate 6]]))),(SamplingData[[#This Row],[Total]]+SamplingData[[#This Row],[Winning Candidate]]-SamplingData[[#This Row],[Candidate 6]])/(SamplingData[[#Totals],[Winning Candidate]]-SamplingData[[#Totals],[Candidate 6]]), 0)</f>
        <v>1.9211127863430768E-3</v>
      </c>
      <c r="P1714" s="100">
        <f>MAX(SamplingData[[#This Row],[Error Bound (up) - Max. possible relative overstatement - Losing Candidate]:[Error Bound (up) - Max. possible relative overstatement - Candidate 6]])</f>
        <v>3.7359137677609017E-3</v>
      </c>
      <c r="Q1714" s="100">
        <f>IF(SamplingData[[#This Row],[Max Error Bound (up)]] = 0,0,SamplingData[[#This Row],[Max Error Bound (up)]]/SamplingData[[#Totals],[Max Error Bound (up)]])</f>
        <v>5.9126984498519581E-4</v>
      </c>
      <c r="R1714" s="101">
        <f>SUM($Q$5:Q1714)</f>
        <v>0.63242931868082286</v>
      </c>
      <c r="S1714" s="100" t="str">
        <f t="array" ref="S1714">IF(SamplingData[[#This Row],[up/U Selection Probability]] = 0, "Zero", TEXT(SamplingData[[#This Row],[Lower Range]], REPT("0",LEN('General Info'!$B$40))) &amp; " - " &amp; TEXT(SamplingData[[#This Row],[Upper Range]], REPT("0",LEN('General Info'!$B$40))))</f>
        <v>63184 - 63242</v>
      </c>
      <c r="T1714" s="100">
        <f>SamplingData[[#This Row],[Upper Range]]-SamplingData[[#This Row],[Span]]</f>
        <v>63183.805474853609</v>
      </c>
      <c r="U1714" s="100">
        <f>IF(ISNUMBER('General Info'!$B$40), ((SamplingData[[#This Row],[up/U Selection Probability]]) * 'General Info'!$B$40) - 1, 0)</f>
        <v>58.126393228674594</v>
      </c>
      <c r="V1714" s="100">
        <f>IF(ISNUMBER('General Info'!$B$40), (SamplingData[[#This Row],[Running (cumulative) sum]] * ('General Info'!$B$40 -'General Info'!$B$41 + 1)) + 'General Info'!$B$41 - 1, 0)</f>
        <v>63241.931868082283</v>
      </c>
      <c r="W1714" s="100" t="str">
        <f>IF(ISERROR(MATCH(SamplingData[[#This Row],[Batch by Type (p)]],SelectedPrecincts[Batch Name], 0)), "", INDEX(SelectedPrecincts[Draw], MATCH(SamplingData[[#This Row],[Batch by Type (p)]],SelectedPrecincts[Batch Name], 0)))</f>
        <v/>
      </c>
      <c r="X1714" s="102">
        <f>IF(COUNTIF(SelectedPrecincts[Batch Name],SamplingData[[#This Row],[Batch by Type (p)]]) &lt;&gt; 0, COUNTIF(SelectedPrecincts[Batch Name],SamplingData[[#This Row],[Batch by Type (p)]]), 0)</f>
        <v>0</v>
      </c>
    </row>
    <row r="1715" spans="1:24" ht="15" customHeight="1">
      <c r="A1715" s="18" t="s">
        <v>1891</v>
      </c>
      <c r="B1715" s="18">
        <v>30</v>
      </c>
      <c r="C1715" s="18">
        <v>43</v>
      </c>
      <c r="D1715" s="16">
        <v>10</v>
      </c>
      <c r="E1715" s="16">
        <v>13</v>
      </c>
      <c r="F1715" s="37">
        <v>0</v>
      </c>
      <c r="G1715" s="37">
        <v>1</v>
      </c>
      <c r="H1715" s="17">
        <v>0</v>
      </c>
      <c r="I1715" s="17">
        <v>0</v>
      </c>
      <c r="J1715" s="99">
        <f>SUM(SamplingData[[#This Row],[Losing Candidate]:[Under Votes]])</f>
        <v>97</v>
      </c>
      <c r="K1715" s="100">
        <f>IF(AND(SamplingData[[#This Row],[Total]]&lt;&gt; 0, NOT(ISBLANK(SamplingData[[#This Row],[Losing Candidate]]))),(SamplingData[[#This Row],[Total]]+SamplingData[[#This Row],[Winning Candidate]]-SamplingData[[#This Row],[Losing Candidate]])/(SamplingData[[#Totals],[Winning Candidate]]-SamplingData[[#Totals],[Losing Candidate]]), 0)</f>
        <v>6.7368936795688386E-3</v>
      </c>
      <c r="L1715" s="100">
        <f>IF(AND(SamplingData[[#This Row],[Total]]&lt;&gt; 0, NOT(ISBLANK(SamplingData[[#This Row],[Candidate 3]]))),(SamplingData[[#This Row],[Total]]+SamplingData[[#This Row],[Winning Candidate]]-SamplingData[[#This Row],[Candidate 3]])/(SamplingData[[#Totals],[Winning Candidate]]-SamplingData[[#Totals],[Candidate 3]]), 0)</f>
        <v>4.1939542536374485E-3</v>
      </c>
      <c r="M1715" s="100">
        <f>IF(AND(SamplingData[[#This Row],[Total]]&lt;&gt; 0, NOT(ISBLANK(SamplingData[[#This Row],[Candidate 4]]))),(SamplingData[[#This Row],[Total]]+SamplingData[[#This Row],[Winning Candidate]]-SamplingData[[#This Row],[Candidate 4]])/(SamplingData[[#Totals],[Winning Candidate]]-SamplingData[[#Totals],[Candidate 4]]), 0)</f>
        <v>3.7124733257329944E-3</v>
      </c>
      <c r="N1715" s="100">
        <f>IF(AND(SamplingData[[#This Row],[Total]]&lt;&gt; 0, NOT(ISBLANK(SamplingData[[#This Row],[Candidate 5]]))),(SamplingData[[#This Row],[Total]]+SamplingData[[#This Row],[Winning Candidate]]-SamplingData[[#This Row],[Candidate 5]])/(SamplingData[[#Totals],[Winning Candidate]]-SamplingData[[#Totals],[Candidate 5]]), 0)</f>
        <v>3.4054974458769156E-3</v>
      </c>
      <c r="O1715" s="100">
        <f>IF(AND(SamplingData[[#This Row],[Total]]&lt;&gt; 0, NOT(ISBLANK(SamplingData[[#This Row],[Candidate 6]]))),(SamplingData[[#This Row],[Total]]+SamplingData[[#This Row],[Winning Candidate]]-SamplingData[[#This Row],[Candidate 6]])/(SamplingData[[#Totals],[Winning Candidate]]-SamplingData[[#Totals],[Candidate 6]]), 0)</f>
        <v>3.3801857886289577E-3</v>
      </c>
      <c r="P1715" s="100">
        <f>MAX(SamplingData[[#This Row],[Error Bound (up) - Max. possible relative overstatement - Losing Candidate]:[Error Bound (up) - Max. possible relative overstatement - Candidate 6]])</f>
        <v>6.7368936795688386E-3</v>
      </c>
      <c r="Q1715" s="100">
        <f>IF(SamplingData[[#This Row],[Max Error Bound (up)]] = 0,0,SamplingData[[#This Row],[Max Error Bound (up)]]/SamplingData[[#Totals],[Max Error Bound (up)]])</f>
        <v>1.0662243106290415E-3</v>
      </c>
      <c r="R1715" s="101">
        <f>SUM($Q$5:Q1715)</f>
        <v>0.63349554299145194</v>
      </c>
      <c r="S1715" s="100" t="str">
        <f t="array" ref="S1715">IF(SamplingData[[#This Row],[up/U Selection Probability]] = 0, "Zero", TEXT(SamplingData[[#This Row],[Lower Range]], REPT("0",LEN('General Info'!$B$40))) &amp; " - " &amp; TEXT(SamplingData[[#This Row],[Upper Range]], REPT("0",LEN('General Info'!$B$40))))</f>
        <v>63243 - 63349</v>
      </c>
      <c r="T1715" s="100">
        <f>SamplingData[[#This Row],[Upper Range]]-SamplingData[[#This Row],[Span]]</f>
        <v>63242.932934306598</v>
      </c>
      <c r="U1715" s="100">
        <f>IF(ISNUMBER('General Info'!$B$40), ((SamplingData[[#This Row],[up/U Selection Probability]]) * 'General Info'!$B$40) - 1, 0)</f>
        <v>105.62136483859352</v>
      </c>
      <c r="V1715" s="100">
        <f>IF(ISNUMBER('General Info'!$B$40), (SamplingData[[#This Row],[Running (cumulative) sum]] * ('General Info'!$B$40 -'General Info'!$B$41 + 1)) + 'General Info'!$B$41 - 1, 0)</f>
        <v>63348.554299145195</v>
      </c>
      <c r="W1715" s="100" t="str">
        <f>IF(ISERROR(MATCH(SamplingData[[#This Row],[Batch by Type (p)]],SelectedPrecincts[Batch Name], 0)), "", INDEX(SelectedPrecincts[Draw], MATCH(SamplingData[[#This Row],[Batch by Type (p)]],SelectedPrecincts[Batch Name], 0)))</f>
        <v/>
      </c>
      <c r="X1715" s="102">
        <f>IF(COUNTIF(SelectedPrecincts[Batch Name],SamplingData[[#This Row],[Batch by Type (p)]]) &lt;&gt; 0, COUNTIF(SelectedPrecincts[Batch Name],SamplingData[[#This Row],[Batch by Type (p)]]), 0)</f>
        <v>0</v>
      </c>
    </row>
    <row r="1716" spans="1:24" ht="15" customHeight="1">
      <c r="A1716" s="18" t="s">
        <v>1892</v>
      </c>
      <c r="B1716" s="18">
        <v>14</v>
      </c>
      <c r="C1716" s="18">
        <v>17</v>
      </c>
      <c r="D1716" s="18">
        <v>2</v>
      </c>
      <c r="E1716" s="18">
        <v>5</v>
      </c>
      <c r="F1716" s="18">
        <v>1</v>
      </c>
      <c r="G1716" s="18">
        <v>2</v>
      </c>
      <c r="H1716" s="18">
        <v>0</v>
      </c>
      <c r="I1716" s="18">
        <v>0</v>
      </c>
      <c r="J1716" s="99">
        <f>SUM(SamplingData[[#This Row],[Losing Candidate]:[Under Votes]])</f>
        <v>41</v>
      </c>
      <c r="K1716" s="100">
        <f>IF(AND(SamplingData[[#This Row],[Total]]&lt;&gt; 0, NOT(ISBLANK(SamplingData[[#This Row],[Losing Candidate]]))),(SamplingData[[#This Row],[Total]]+SamplingData[[#This Row],[Winning Candidate]]-SamplingData[[#This Row],[Losing Candidate]])/(SamplingData[[#Totals],[Winning Candidate]]-SamplingData[[#Totals],[Losing Candidate]]), 0)</f>
        <v>2.6947574718275357E-3</v>
      </c>
      <c r="L1716" s="100">
        <f>IF(AND(SamplingData[[#This Row],[Total]]&lt;&gt; 0, NOT(ISBLANK(SamplingData[[#This Row],[Candidate 3]]))),(SamplingData[[#This Row],[Total]]+SamplingData[[#This Row],[Winning Candidate]]-SamplingData[[#This Row],[Candidate 3]])/(SamplingData[[#Totals],[Winning Candidate]]-SamplingData[[#Totals],[Candidate 3]]), 0)</f>
        <v>1.8066264477207472E-3</v>
      </c>
      <c r="M1716" s="100">
        <f>IF(AND(SamplingData[[#This Row],[Total]]&lt;&gt; 0, NOT(ISBLANK(SamplingData[[#This Row],[Candidate 4]]))),(SamplingData[[#This Row],[Total]]+SamplingData[[#This Row],[Winning Candidate]]-SamplingData[[#This Row],[Candidate 4]])/(SamplingData[[#Totals],[Winning Candidate]]-SamplingData[[#Totals],[Candidate 4]]), 0)</f>
        <v>1.5492998918413283E-3</v>
      </c>
      <c r="N1716" s="100">
        <f>IF(AND(SamplingData[[#This Row],[Total]]&lt;&gt; 0, NOT(ISBLANK(SamplingData[[#This Row],[Candidate 5]]))),(SamplingData[[#This Row],[Total]]+SamplingData[[#This Row],[Winning Candidate]]-SamplingData[[#This Row],[Candidate 5]])/(SamplingData[[#Totals],[Winning Candidate]]-SamplingData[[#Totals],[Candidate 5]]), 0)</f>
        <v>1.3865239601070299E-3</v>
      </c>
      <c r="O1716" s="100">
        <f>IF(AND(SamplingData[[#This Row],[Total]]&lt;&gt; 0, NOT(ISBLANK(SamplingData[[#This Row],[Candidate 6]]))),(SamplingData[[#This Row],[Total]]+SamplingData[[#This Row],[Winning Candidate]]-SamplingData[[#This Row],[Candidate 6]])/(SamplingData[[#Totals],[Winning Candidate]]-SamplingData[[#Totals],[Candidate 6]]), 0)</f>
        <v>1.3618014688001555E-3</v>
      </c>
      <c r="P1716" s="100">
        <f>MAX(SamplingData[[#This Row],[Error Bound (up) - Max. possible relative overstatement - Losing Candidate]:[Error Bound (up) - Max. possible relative overstatement - Candidate 6]])</f>
        <v>2.6947574718275357E-3</v>
      </c>
      <c r="Q1716" s="100">
        <f>IF(SamplingData[[#This Row],[Max Error Bound (up)]] = 0,0,SamplingData[[#This Row],[Max Error Bound (up)]]/SamplingData[[#Totals],[Max Error Bound (up)]])</f>
        <v>4.2648972425161664E-4</v>
      </c>
      <c r="R1716" s="101">
        <f>SUM($Q$5:Q1716)</f>
        <v>0.63392203271570358</v>
      </c>
      <c r="S1716" s="100" t="str">
        <f t="array" ref="S1716">IF(SamplingData[[#This Row],[up/U Selection Probability]] = 0, "Zero", TEXT(SamplingData[[#This Row],[Lower Range]], REPT("0",LEN('General Info'!$B$40))) &amp; " - " &amp; TEXT(SamplingData[[#This Row],[Upper Range]], REPT("0",LEN('General Info'!$B$40))))</f>
        <v>63350 - 63391</v>
      </c>
      <c r="T1716" s="100">
        <f>SamplingData[[#This Row],[Upper Range]]-SamplingData[[#This Row],[Span]]</f>
        <v>63349.554725634924</v>
      </c>
      <c r="U1716" s="100">
        <f>IF(ISNUMBER('General Info'!$B$40), ((SamplingData[[#This Row],[up/U Selection Probability]]) * 'General Info'!$B$40) - 1, 0)</f>
        <v>41.648545935437411</v>
      </c>
      <c r="V1716" s="100">
        <f>IF(ISNUMBER('General Info'!$B$40), (SamplingData[[#This Row],[Running (cumulative) sum]] * ('General Info'!$B$40 -'General Info'!$B$41 + 1)) + 'General Info'!$B$41 - 1, 0)</f>
        <v>63391.203271570361</v>
      </c>
      <c r="W1716" s="100" t="str">
        <f>IF(ISERROR(MATCH(SamplingData[[#This Row],[Batch by Type (p)]],SelectedPrecincts[Batch Name], 0)), "", INDEX(SelectedPrecincts[Draw], MATCH(SamplingData[[#This Row],[Batch by Type (p)]],SelectedPrecincts[Batch Name], 0)))</f>
        <v/>
      </c>
      <c r="X1716" s="102">
        <f>IF(COUNTIF(SelectedPrecincts[Batch Name],SamplingData[[#This Row],[Batch by Type (p)]]) &lt;&gt; 0, COUNTIF(SelectedPrecincts[Batch Name],SamplingData[[#This Row],[Batch by Type (p)]]), 0)</f>
        <v>0</v>
      </c>
    </row>
    <row r="1717" spans="1:24" ht="15" customHeight="1">
      <c r="A1717" s="18" t="s">
        <v>1893</v>
      </c>
      <c r="B1717" s="18">
        <v>13</v>
      </c>
      <c r="C1717" s="18">
        <v>18</v>
      </c>
      <c r="D1717" s="16">
        <v>10</v>
      </c>
      <c r="E1717" s="16">
        <v>5</v>
      </c>
      <c r="F1717" s="37">
        <v>0</v>
      </c>
      <c r="G1717" s="37">
        <v>0</v>
      </c>
      <c r="H1717" s="17">
        <v>0</v>
      </c>
      <c r="I1717" s="17">
        <v>0</v>
      </c>
      <c r="J1717" s="99">
        <f>SUM(SamplingData[[#This Row],[Losing Candidate]:[Under Votes]])</f>
        <v>46</v>
      </c>
      <c r="K1717" s="100">
        <f>IF(AND(SamplingData[[#This Row],[Total]]&lt;&gt; 0, NOT(ISBLANK(SamplingData[[#This Row],[Losing Candidate]]))),(SamplingData[[#This Row],[Total]]+SamplingData[[#This Row],[Winning Candidate]]-SamplingData[[#This Row],[Losing Candidate]])/(SamplingData[[#Totals],[Winning Candidate]]-SamplingData[[#Totals],[Losing Candidate]]), 0)</f>
        <v>3.1234688878000981E-3</v>
      </c>
      <c r="L1717" s="100">
        <f>IF(AND(SamplingData[[#This Row],[Total]]&lt;&gt; 0, NOT(ISBLANK(SamplingData[[#This Row],[Candidate 3]]))),(SamplingData[[#This Row],[Total]]+SamplingData[[#This Row],[Winning Candidate]]-SamplingData[[#This Row],[Candidate 3]])/(SamplingData[[#Totals],[Winning Candidate]]-SamplingData[[#Totals],[Candidate 3]]), 0)</f>
        <v>1.7421040745878634E-3</v>
      </c>
      <c r="M1717" s="100">
        <f>IF(AND(SamplingData[[#This Row],[Total]]&lt;&gt; 0, NOT(ISBLANK(SamplingData[[#This Row],[Candidate 4]]))),(SamplingData[[#This Row],[Total]]+SamplingData[[#This Row],[Winning Candidate]]-SamplingData[[#This Row],[Candidate 4]])/(SamplingData[[#Totals],[Winning Candidate]]-SamplingData[[#Totals],[Candidate 4]]), 0)</f>
        <v>1.7246923324271391E-3</v>
      </c>
      <c r="N1717" s="100">
        <f>IF(AND(SamplingData[[#This Row],[Total]]&lt;&gt; 0, NOT(ISBLANK(SamplingData[[#This Row],[Candidate 5]]))),(SamplingData[[#This Row],[Total]]+SamplingData[[#This Row],[Winning Candidate]]-SamplingData[[#This Row],[Candidate 5]])/(SamplingData[[#Totals],[Winning Candidate]]-SamplingData[[#Totals],[Candidate 5]]), 0)</f>
        <v>1.5567988324008757E-3</v>
      </c>
      <c r="O1717" s="100">
        <f>IF(AND(SamplingData[[#This Row],[Total]]&lt;&gt; 0, NOT(ISBLANK(SamplingData[[#This Row],[Candidate 6]]))),(SamplingData[[#This Row],[Total]]+SamplingData[[#This Row],[Winning Candidate]]-SamplingData[[#This Row],[Candidate 6]])/(SamplingData[[#Totals],[Winning Candidate]]-SamplingData[[#Totals],[Candidate 6]]), 0)</f>
        <v>1.5563445357716064E-3</v>
      </c>
      <c r="P1717" s="100">
        <f>MAX(SamplingData[[#This Row],[Error Bound (up) - Max. possible relative overstatement - Losing Candidate]:[Error Bound (up) - Max. possible relative overstatement - Candidate 6]])</f>
        <v>3.1234688878000981E-3</v>
      </c>
      <c r="Q1717" s="100">
        <f>IF(SamplingData[[#This Row],[Max Error Bound (up)]] = 0,0,SamplingData[[#This Row],[Max Error Bound (up)]]/SamplingData[[#Totals],[Max Error Bound (up)]])</f>
        <v>4.9434036220073741E-4</v>
      </c>
      <c r="R1717" s="101">
        <f>SUM($Q$5:Q1717)</f>
        <v>0.63441637307790433</v>
      </c>
      <c r="S1717" s="100" t="str">
        <f t="array" ref="S1717">IF(SamplingData[[#This Row],[up/U Selection Probability]] = 0, "Zero", TEXT(SamplingData[[#This Row],[Lower Range]], REPT("0",LEN('General Info'!$B$40))) &amp; " - " &amp; TEXT(SamplingData[[#This Row],[Upper Range]], REPT("0",LEN('General Info'!$B$40))))</f>
        <v>63392 - 63441</v>
      </c>
      <c r="T1717" s="100">
        <f>SamplingData[[#This Row],[Upper Range]]-SamplingData[[#This Row],[Span]]</f>
        <v>63392.203765910723</v>
      </c>
      <c r="U1717" s="100">
        <f>IF(ISNUMBER('General Info'!$B$40), ((SamplingData[[#This Row],[up/U Selection Probability]]) * 'General Info'!$B$40) - 1, 0)</f>
        <v>48.433541879711541</v>
      </c>
      <c r="V1717" s="100">
        <f>IF(ISNUMBER('General Info'!$B$40), (SamplingData[[#This Row],[Running (cumulative) sum]] * ('General Info'!$B$40 -'General Info'!$B$41 + 1)) + 'General Info'!$B$41 - 1, 0)</f>
        <v>63440.637307790435</v>
      </c>
      <c r="W1717" s="100" t="str">
        <f>IF(ISERROR(MATCH(SamplingData[[#This Row],[Batch by Type (p)]],SelectedPrecincts[Batch Name], 0)), "", INDEX(SelectedPrecincts[Draw], MATCH(SamplingData[[#This Row],[Batch by Type (p)]],SelectedPrecincts[Batch Name], 0)))</f>
        <v/>
      </c>
      <c r="X1717" s="102">
        <f>IF(COUNTIF(SelectedPrecincts[Batch Name],SamplingData[[#This Row],[Batch by Type (p)]]) &lt;&gt; 0, COUNTIF(SelectedPrecincts[Batch Name],SamplingData[[#This Row],[Batch by Type (p)]]), 0)</f>
        <v>0</v>
      </c>
    </row>
    <row r="1718" spans="1:24" ht="15" customHeight="1">
      <c r="A1718" s="18" t="s">
        <v>1894</v>
      </c>
      <c r="B1718" s="18">
        <v>10</v>
      </c>
      <c r="C1718" s="18">
        <v>14</v>
      </c>
      <c r="D1718" s="18">
        <v>3</v>
      </c>
      <c r="E1718" s="18">
        <v>4</v>
      </c>
      <c r="F1718" s="18">
        <v>0</v>
      </c>
      <c r="G1718" s="18">
        <v>0</v>
      </c>
      <c r="H1718" s="18">
        <v>0</v>
      </c>
      <c r="I1718" s="18">
        <v>0</v>
      </c>
      <c r="J1718" s="99">
        <f>SUM(SamplingData[[#This Row],[Losing Candidate]:[Under Votes]])</f>
        <v>31</v>
      </c>
      <c r="K1718" s="100">
        <f>IF(AND(SamplingData[[#This Row],[Total]]&lt;&gt; 0, NOT(ISBLANK(SamplingData[[#This Row],[Losing Candidate]]))),(SamplingData[[#This Row],[Total]]+SamplingData[[#This Row],[Winning Candidate]]-SamplingData[[#This Row],[Losing Candidate]])/(SamplingData[[#Totals],[Winning Candidate]]-SamplingData[[#Totals],[Losing Candidate]]), 0)</f>
        <v>2.1435570798628125E-3</v>
      </c>
      <c r="L1718" s="100">
        <f>IF(AND(SamplingData[[#This Row],[Total]]&lt;&gt; 0, NOT(ISBLANK(SamplingData[[#This Row],[Candidate 3]]))),(SamplingData[[#This Row],[Total]]+SamplingData[[#This Row],[Winning Candidate]]-SamplingData[[#This Row],[Candidate 3]])/(SamplingData[[#Totals],[Winning Candidate]]-SamplingData[[#Totals],[Candidate 3]]), 0)</f>
        <v>1.3549698357905604E-3</v>
      </c>
      <c r="M1718" s="100">
        <f>IF(AND(SamplingData[[#This Row],[Total]]&lt;&gt; 0, NOT(ISBLANK(SamplingData[[#This Row],[Candidate 4]]))),(SamplingData[[#This Row],[Total]]+SamplingData[[#This Row],[Winning Candidate]]-SamplingData[[#This Row],[Candidate 4]])/(SamplingData[[#Totals],[Winning Candidate]]-SamplingData[[#Totals],[Candidate 4]]), 0)</f>
        <v>1.1985150106697067E-3</v>
      </c>
      <c r="N1718" s="100">
        <f>IF(AND(SamplingData[[#This Row],[Total]]&lt;&gt; 0, NOT(ISBLANK(SamplingData[[#This Row],[Candidate 5]]))),(SamplingData[[#This Row],[Total]]+SamplingData[[#This Row],[Winning Candidate]]-SamplingData[[#This Row],[Candidate 5]])/(SamplingData[[#Totals],[Winning Candidate]]-SamplingData[[#Totals],[Candidate 5]]), 0)</f>
        <v>1.0946241790318657E-3</v>
      </c>
      <c r="O1718" s="100">
        <f>IF(AND(SamplingData[[#This Row],[Total]]&lt;&gt; 0, NOT(ISBLANK(SamplingData[[#This Row],[Candidate 6]]))),(SamplingData[[#This Row],[Total]]+SamplingData[[#This Row],[Winning Candidate]]-SamplingData[[#This Row],[Candidate 6]])/(SamplingData[[#Totals],[Winning Candidate]]-SamplingData[[#Totals],[Candidate 6]]), 0)</f>
        <v>1.0943047517144107E-3</v>
      </c>
      <c r="P1718" s="100">
        <f>MAX(SamplingData[[#This Row],[Error Bound (up) - Max. possible relative overstatement - Losing Candidate]:[Error Bound (up) - Max. possible relative overstatement - Candidate 6]])</f>
        <v>2.1435570798628125E-3</v>
      </c>
      <c r="Q1718" s="100">
        <f>IF(SamplingData[[#This Row],[Max Error Bound (up)]] = 0,0,SamplingData[[#This Row],[Max Error Bound (up)]]/SamplingData[[#Totals],[Max Error Bound (up)]])</f>
        <v>3.3925318974560413E-4</v>
      </c>
      <c r="R1718" s="101">
        <f>SUM($Q$5:Q1718)</f>
        <v>0.63475562626764992</v>
      </c>
      <c r="S1718" s="100" t="str">
        <f t="array" ref="S1718">IF(SamplingData[[#This Row],[up/U Selection Probability]] = 0, "Zero", TEXT(SamplingData[[#This Row],[Lower Range]], REPT("0",LEN('General Info'!$B$40))) &amp; " - " &amp; TEXT(SamplingData[[#This Row],[Upper Range]], REPT("0",LEN('General Info'!$B$40))))</f>
        <v>63442 - 63475</v>
      </c>
      <c r="T1718" s="100">
        <f>SamplingData[[#This Row],[Upper Range]]-SamplingData[[#This Row],[Span]]</f>
        <v>63441.637647043623</v>
      </c>
      <c r="U1718" s="100">
        <f>IF(ISNUMBER('General Info'!$B$40), ((SamplingData[[#This Row],[up/U Selection Probability]]) * 'General Info'!$B$40) - 1, 0)</f>
        <v>32.924979721370669</v>
      </c>
      <c r="V1718" s="100">
        <f>IF(ISNUMBER('General Info'!$B$40), (SamplingData[[#This Row],[Running (cumulative) sum]] * ('General Info'!$B$40 -'General Info'!$B$41 + 1)) + 'General Info'!$B$41 - 1, 0)</f>
        <v>63474.562626764993</v>
      </c>
      <c r="W1718" s="100" t="str">
        <f>IF(ISERROR(MATCH(SamplingData[[#This Row],[Batch by Type (p)]],SelectedPrecincts[Batch Name], 0)), "", INDEX(SelectedPrecincts[Draw], MATCH(SamplingData[[#This Row],[Batch by Type (p)]],SelectedPrecincts[Batch Name], 0)))</f>
        <v/>
      </c>
      <c r="X1718" s="102">
        <f>IF(COUNTIF(SelectedPrecincts[Batch Name],SamplingData[[#This Row],[Batch by Type (p)]]) &lt;&gt; 0, COUNTIF(SelectedPrecincts[Batch Name],SamplingData[[#This Row],[Batch by Type (p)]]), 0)</f>
        <v>0</v>
      </c>
    </row>
    <row r="1719" spans="1:24" ht="15" customHeight="1">
      <c r="A1719" s="18" t="s">
        <v>1895</v>
      </c>
      <c r="B1719" s="18">
        <v>35</v>
      </c>
      <c r="C1719" s="18">
        <v>40</v>
      </c>
      <c r="D1719" s="16">
        <v>12</v>
      </c>
      <c r="E1719" s="16">
        <v>9</v>
      </c>
      <c r="F1719" s="37">
        <v>0</v>
      </c>
      <c r="G1719" s="37">
        <v>0</v>
      </c>
      <c r="H1719" s="17">
        <v>0</v>
      </c>
      <c r="I1719" s="17">
        <v>0</v>
      </c>
      <c r="J1719" s="99">
        <f>SUM(SamplingData[[#This Row],[Losing Candidate]:[Under Votes]])</f>
        <v>96</v>
      </c>
      <c r="K1719" s="100">
        <f>IF(AND(SamplingData[[#This Row],[Total]]&lt;&gt; 0, NOT(ISBLANK(SamplingData[[#This Row],[Losing Candidate]]))),(SamplingData[[#This Row],[Total]]+SamplingData[[#This Row],[Winning Candidate]]-SamplingData[[#This Row],[Losing Candidate]])/(SamplingData[[#Totals],[Winning Candidate]]-SamplingData[[#Totals],[Losing Candidate]]), 0)</f>
        <v>6.1856932876041158E-3</v>
      </c>
      <c r="L1719" s="100">
        <f>IF(AND(SamplingData[[#This Row],[Total]]&lt;&gt; 0, NOT(ISBLANK(SamplingData[[#This Row],[Candidate 3]]))),(SamplingData[[#This Row],[Total]]+SamplingData[[#This Row],[Winning Candidate]]-SamplingData[[#This Row],[Candidate 3]])/(SamplingData[[#Totals],[Winning Candidate]]-SamplingData[[#Totals],[Candidate 3]]), 0)</f>
        <v>4.0003871342387974E-3</v>
      </c>
      <c r="M1719" s="100">
        <f>IF(AND(SamplingData[[#This Row],[Total]]&lt;&gt; 0, NOT(ISBLANK(SamplingData[[#This Row],[Candidate 4]]))),(SamplingData[[#This Row],[Total]]+SamplingData[[#This Row],[Winning Candidate]]-SamplingData[[#This Row],[Candidate 4]])/(SamplingData[[#Totals],[Winning Candidate]]-SamplingData[[#Totals],[Candidate 4]]), 0)</f>
        <v>3.7124733257329944E-3</v>
      </c>
      <c r="N1719" s="100">
        <f>IF(AND(SamplingData[[#This Row],[Total]]&lt;&gt; 0, NOT(ISBLANK(SamplingData[[#This Row],[Candidate 5]]))),(SamplingData[[#This Row],[Total]]+SamplingData[[#This Row],[Winning Candidate]]-SamplingData[[#This Row],[Candidate 5]])/(SamplingData[[#Totals],[Winning Candidate]]-SamplingData[[#Totals],[Candidate 5]]), 0)</f>
        <v>3.3081975188518609E-3</v>
      </c>
      <c r="O1719" s="100">
        <f>IF(AND(SamplingData[[#This Row],[Total]]&lt;&gt; 0, NOT(ISBLANK(SamplingData[[#This Row],[Candidate 6]]))),(SamplingData[[#This Row],[Total]]+SamplingData[[#This Row],[Winning Candidate]]-SamplingData[[#This Row],[Candidate 6]])/(SamplingData[[#Totals],[Winning Candidate]]-SamplingData[[#Totals],[Candidate 6]]), 0)</f>
        <v>3.3072321385146635E-3</v>
      </c>
      <c r="P1719" s="100">
        <f>MAX(SamplingData[[#This Row],[Error Bound (up) - Max. possible relative overstatement - Losing Candidate]:[Error Bound (up) - Max. possible relative overstatement - Candidate 6]])</f>
        <v>6.1856932876041158E-3</v>
      </c>
      <c r="Q1719" s="100">
        <f>IF(SamplingData[[#This Row],[Max Error Bound (up)]] = 0,0,SamplingData[[#This Row],[Max Error Bound (up)]]/SamplingData[[#Totals],[Max Error Bound (up)]])</f>
        <v>9.7898777612302908E-4</v>
      </c>
      <c r="R1719" s="101">
        <f>SUM($Q$5:Q1719)</f>
        <v>0.63573461404377296</v>
      </c>
      <c r="S1719" s="100" t="str">
        <f t="array" ref="S1719">IF(SamplingData[[#This Row],[up/U Selection Probability]] = 0, "Zero", TEXT(SamplingData[[#This Row],[Lower Range]], REPT("0",LEN('General Info'!$B$40))) &amp; " - " &amp; TEXT(SamplingData[[#This Row],[Upper Range]], REPT("0",LEN('General Info'!$B$40))))</f>
        <v>63476 - 63572</v>
      </c>
      <c r="T1719" s="100">
        <f>SamplingData[[#This Row],[Upper Range]]-SamplingData[[#This Row],[Span]]</f>
        <v>63475.563605752766</v>
      </c>
      <c r="U1719" s="100">
        <f>IF(ISNUMBER('General Info'!$B$40), ((SamplingData[[#This Row],[up/U Selection Probability]]) * 'General Info'!$B$40) - 1, 0)</f>
        <v>96.897798624526786</v>
      </c>
      <c r="V1719" s="100">
        <f>IF(ISNUMBER('General Info'!$B$40), (SamplingData[[#This Row],[Running (cumulative) sum]] * ('General Info'!$B$40 -'General Info'!$B$41 + 1)) + 'General Info'!$B$41 - 1, 0)</f>
        <v>63572.461404377296</v>
      </c>
      <c r="W1719" s="100" t="str">
        <f>IF(ISERROR(MATCH(SamplingData[[#This Row],[Batch by Type (p)]],SelectedPrecincts[Batch Name], 0)), "", INDEX(SelectedPrecincts[Draw], MATCH(SamplingData[[#This Row],[Batch by Type (p)]],SelectedPrecincts[Batch Name], 0)))</f>
        <v/>
      </c>
      <c r="X1719" s="102">
        <f>IF(COUNTIF(SelectedPrecincts[Batch Name],SamplingData[[#This Row],[Batch by Type (p)]]) &lt;&gt; 0, COUNTIF(SelectedPrecincts[Batch Name],SamplingData[[#This Row],[Batch by Type (p)]]), 0)</f>
        <v>0</v>
      </c>
    </row>
    <row r="1720" spans="1:24" ht="15" customHeight="1">
      <c r="A1720" s="18" t="s">
        <v>1896</v>
      </c>
      <c r="B1720" s="18">
        <v>24</v>
      </c>
      <c r="C1720" s="18">
        <v>21</v>
      </c>
      <c r="D1720" s="18">
        <v>4</v>
      </c>
      <c r="E1720" s="18">
        <v>5</v>
      </c>
      <c r="F1720" s="18">
        <v>0</v>
      </c>
      <c r="G1720" s="18">
        <v>2</v>
      </c>
      <c r="H1720" s="18">
        <v>0</v>
      </c>
      <c r="I1720" s="18">
        <v>1</v>
      </c>
      <c r="J1720" s="99">
        <f>SUM(SamplingData[[#This Row],[Losing Candidate]:[Under Votes]])</f>
        <v>57</v>
      </c>
      <c r="K1720"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1720" s="100">
        <f>IF(AND(SamplingData[[#This Row],[Total]]&lt;&gt; 0, NOT(ISBLANK(SamplingData[[#This Row],[Candidate 3]]))),(SamplingData[[#This Row],[Total]]+SamplingData[[#This Row],[Winning Candidate]]-SamplingData[[#This Row],[Candidate 3]])/(SamplingData[[#Totals],[Winning Candidate]]-SamplingData[[#Totals],[Candidate 3]]), 0)</f>
        <v>2.3873278059167017E-3</v>
      </c>
      <c r="M1720" s="100">
        <f>IF(AND(SamplingData[[#This Row],[Total]]&lt;&gt; 0, NOT(ISBLANK(SamplingData[[#This Row],[Candidate 4]]))),(SamplingData[[#This Row],[Total]]+SamplingData[[#This Row],[Winning Candidate]]-SamplingData[[#This Row],[Candidate 4]])/(SamplingData[[#Totals],[Winning Candidate]]-SamplingData[[#Totals],[Candidate 4]]), 0)</f>
        <v>2.1339413604606976E-3</v>
      </c>
      <c r="N1720" s="100">
        <f>IF(AND(SamplingData[[#This Row],[Total]]&lt;&gt; 0, NOT(ISBLANK(SamplingData[[#This Row],[Candidate 5]]))),(SamplingData[[#This Row],[Total]]+SamplingData[[#This Row],[Winning Candidate]]-SamplingData[[#This Row],[Candidate 5]])/(SamplingData[[#Totals],[Winning Candidate]]-SamplingData[[#Totals],[Candidate 5]]), 0)</f>
        <v>1.8973485769885673E-3</v>
      </c>
      <c r="O1720" s="100">
        <f>IF(AND(SamplingData[[#This Row],[Total]]&lt;&gt; 0, NOT(ISBLANK(SamplingData[[#This Row],[Candidate 6]]))),(SamplingData[[#This Row],[Total]]+SamplingData[[#This Row],[Winning Candidate]]-SamplingData[[#This Row],[Candidate 6]])/(SamplingData[[#Totals],[Winning Candidate]]-SamplingData[[#Totals],[Candidate 6]]), 0)</f>
        <v>1.8481591362287826E-3</v>
      </c>
      <c r="P1720" s="100">
        <f>MAX(SamplingData[[#This Row],[Error Bound (up) - Max. possible relative overstatement - Losing Candidate]:[Error Bound (up) - Max. possible relative overstatement - Candidate 6]])</f>
        <v>3.3072023517883389E-3</v>
      </c>
      <c r="Q1720" s="100">
        <f>IF(SamplingData[[#This Row],[Max Error Bound (up)]] = 0,0,SamplingData[[#This Row],[Max Error Bound (up)]]/SamplingData[[#Totals],[Max Error Bound (up)]])</f>
        <v>5.2341920703607493E-4</v>
      </c>
      <c r="R1720" s="101">
        <f>SUM($Q$5:Q1720)</f>
        <v>0.63625803325080899</v>
      </c>
      <c r="S1720" s="100" t="str">
        <f t="array" ref="S1720">IF(SamplingData[[#This Row],[up/U Selection Probability]] = 0, "Zero", TEXT(SamplingData[[#This Row],[Lower Range]], REPT("0",LEN('General Info'!$B$40))) &amp; " - " &amp; TEXT(SamplingData[[#This Row],[Upper Range]], REPT("0",LEN('General Info'!$B$40))))</f>
        <v>63573 - 63625</v>
      </c>
      <c r="T1720" s="100">
        <f>SamplingData[[#This Row],[Upper Range]]-SamplingData[[#This Row],[Span]]</f>
        <v>63573.461927796503</v>
      </c>
      <c r="U1720" s="100">
        <f>IF(ISNUMBER('General Info'!$B$40), ((SamplingData[[#This Row],[up/U Selection Probability]]) * 'General Info'!$B$40) - 1, 0)</f>
        <v>51.341397284400458</v>
      </c>
      <c r="V1720" s="100">
        <f>IF(ISNUMBER('General Info'!$B$40), (SamplingData[[#This Row],[Running (cumulative) sum]] * ('General Info'!$B$40 -'General Info'!$B$41 + 1)) + 'General Info'!$B$41 - 1, 0)</f>
        <v>63624.803325080902</v>
      </c>
      <c r="W1720" s="100" t="str">
        <f>IF(ISERROR(MATCH(SamplingData[[#This Row],[Batch by Type (p)]],SelectedPrecincts[Batch Name], 0)), "", INDEX(SelectedPrecincts[Draw], MATCH(SamplingData[[#This Row],[Batch by Type (p)]],SelectedPrecincts[Batch Name], 0)))</f>
        <v/>
      </c>
      <c r="X1720" s="102">
        <f>IF(COUNTIF(SelectedPrecincts[Batch Name],SamplingData[[#This Row],[Batch by Type (p)]]) &lt;&gt; 0, COUNTIF(SelectedPrecincts[Batch Name],SamplingData[[#This Row],[Batch by Type (p)]]), 0)</f>
        <v>0</v>
      </c>
    </row>
    <row r="1721" spans="1:24" ht="15" customHeight="1">
      <c r="A1721" s="18" t="s">
        <v>1897</v>
      </c>
      <c r="B1721" s="18">
        <v>47</v>
      </c>
      <c r="C1721" s="18">
        <v>43</v>
      </c>
      <c r="D1721" s="16">
        <v>25</v>
      </c>
      <c r="E1721" s="16">
        <v>11</v>
      </c>
      <c r="F1721" s="37">
        <v>1</v>
      </c>
      <c r="G1721" s="37">
        <v>0</v>
      </c>
      <c r="H1721" s="17">
        <v>0</v>
      </c>
      <c r="I1721" s="17">
        <v>1</v>
      </c>
      <c r="J1721" s="99">
        <f>SUM(SamplingData[[#This Row],[Losing Candidate]:[Under Votes]])</f>
        <v>128</v>
      </c>
      <c r="K1721" s="100">
        <f>IF(AND(SamplingData[[#This Row],[Total]]&lt;&gt; 0, NOT(ISBLANK(SamplingData[[#This Row],[Losing Candidate]]))),(SamplingData[[#This Row],[Total]]+SamplingData[[#This Row],[Winning Candidate]]-SamplingData[[#This Row],[Losing Candidate]])/(SamplingData[[#Totals],[Winning Candidate]]-SamplingData[[#Totals],[Losing Candidate]]), 0)</f>
        <v>7.5943165115139634E-3</v>
      </c>
      <c r="L1721" s="100">
        <f>IF(AND(SamplingData[[#This Row],[Total]]&lt;&gt; 0, NOT(ISBLANK(SamplingData[[#This Row],[Candidate 3]]))),(SamplingData[[#This Row],[Total]]+SamplingData[[#This Row],[Winning Candidate]]-SamplingData[[#This Row],[Candidate 3]])/(SamplingData[[#Totals],[Winning Candidate]]-SamplingData[[#Totals],[Candidate 3]]), 0)</f>
        <v>4.7101332387005194E-3</v>
      </c>
      <c r="M1721" s="100">
        <f>IF(AND(SamplingData[[#This Row],[Total]]&lt;&gt; 0, NOT(ISBLANK(SamplingData[[#This Row],[Candidate 4]]))),(SamplingData[[#This Row],[Total]]+SamplingData[[#This Row],[Winning Candidate]]-SamplingData[[#This Row],[Candidate 4]])/(SamplingData[[#Totals],[Winning Candidate]]-SamplingData[[#Totals],[Candidate 4]]), 0)</f>
        <v>4.6771317489549538E-3</v>
      </c>
      <c r="N1721" s="100">
        <f>IF(AND(SamplingData[[#This Row],[Total]]&lt;&gt; 0, NOT(ISBLANK(SamplingData[[#This Row],[Candidate 5]]))),(SamplingData[[#This Row],[Total]]+SamplingData[[#This Row],[Winning Candidate]]-SamplingData[[#This Row],[Candidate 5]])/(SamplingData[[#Totals],[Winning Candidate]]-SamplingData[[#Totals],[Candidate 5]]), 0)</f>
        <v>4.1352468985648263E-3</v>
      </c>
      <c r="O1721" s="100">
        <f>IF(AND(SamplingData[[#This Row],[Total]]&lt;&gt; 0, NOT(ISBLANK(SamplingData[[#This Row],[Candidate 6]]))),(SamplingData[[#This Row],[Total]]+SamplingData[[#This Row],[Winning Candidate]]-SamplingData[[#This Row],[Candidate 6]])/(SamplingData[[#Totals],[Winning Candidate]]-SamplingData[[#Totals],[Candidate 6]]), 0)</f>
        <v>4.1583580565147608E-3</v>
      </c>
      <c r="P1721" s="100">
        <f>MAX(SamplingData[[#This Row],[Error Bound (up) - Max. possible relative overstatement - Losing Candidate]:[Error Bound (up) - Max. possible relative overstatement - Candidate 6]])</f>
        <v>7.5943165115139634E-3</v>
      </c>
      <c r="Q1721" s="100">
        <f>IF(SamplingData[[#This Row],[Max Error Bound (up)]] = 0,0,SamplingData[[#This Row],[Max Error Bound (up)]]/SamplingData[[#Totals],[Max Error Bound (up)]])</f>
        <v>1.2019255865272831E-3</v>
      </c>
      <c r="R1721" s="101">
        <f>SUM($Q$5:Q1721)</f>
        <v>0.6374599588373363</v>
      </c>
      <c r="S1721" s="100" t="str">
        <f t="array" ref="S1721">IF(SamplingData[[#This Row],[up/U Selection Probability]] = 0, "Zero", TEXT(SamplingData[[#This Row],[Lower Range]], REPT("0",LEN('General Info'!$B$40))) &amp; " - " &amp; TEXT(SamplingData[[#This Row],[Upper Range]], REPT("0",LEN('General Info'!$B$40))))</f>
        <v>63626 - 63745</v>
      </c>
      <c r="T1721" s="100">
        <f>SamplingData[[#This Row],[Upper Range]]-SamplingData[[#This Row],[Span]]</f>
        <v>63625.80452700649</v>
      </c>
      <c r="U1721" s="100">
        <f>IF(ISNUMBER('General Info'!$B$40), ((SamplingData[[#This Row],[up/U Selection Probability]]) * 'General Info'!$B$40) - 1, 0)</f>
        <v>119.19135672714178</v>
      </c>
      <c r="V1721" s="100">
        <f>IF(ISNUMBER('General Info'!$B$40), (SamplingData[[#This Row],[Running (cumulative) sum]] * ('General Info'!$B$40 -'General Info'!$B$41 + 1)) + 'General Info'!$B$41 - 1, 0)</f>
        <v>63744.995883733631</v>
      </c>
      <c r="W1721" s="100" t="str">
        <f>IF(ISERROR(MATCH(SamplingData[[#This Row],[Batch by Type (p)]],SelectedPrecincts[Batch Name], 0)), "", INDEX(SelectedPrecincts[Draw], MATCH(SamplingData[[#This Row],[Batch by Type (p)]],SelectedPrecincts[Batch Name], 0)))</f>
        <v/>
      </c>
      <c r="X1721" s="102">
        <f>IF(COUNTIF(SelectedPrecincts[Batch Name],SamplingData[[#This Row],[Batch by Type (p)]]) &lt;&gt; 0, COUNTIF(SelectedPrecincts[Batch Name],SamplingData[[#This Row],[Batch by Type (p)]]), 0)</f>
        <v>0</v>
      </c>
    </row>
    <row r="1722" spans="1:24" ht="15" customHeight="1">
      <c r="A1722" s="18" t="s">
        <v>1898</v>
      </c>
      <c r="B1722" s="18">
        <v>34</v>
      </c>
      <c r="C1722" s="18">
        <v>14</v>
      </c>
      <c r="D1722" s="18">
        <v>5</v>
      </c>
      <c r="E1722" s="18">
        <v>6</v>
      </c>
      <c r="F1722" s="18">
        <v>1</v>
      </c>
      <c r="G1722" s="18">
        <v>0</v>
      </c>
      <c r="H1722" s="18">
        <v>0</v>
      </c>
      <c r="I1722" s="18">
        <v>2</v>
      </c>
      <c r="J1722" s="99">
        <f>SUM(SamplingData[[#This Row],[Losing Candidate]:[Under Votes]])</f>
        <v>62</v>
      </c>
      <c r="K1722"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722" s="100">
        <f>IF(AND(SamplingData[[#This Row],[Total]]&lt;&gt; 0, NOT(ISBLANK(SamplingData[[#This Row],[Candidate 3]]))),(SamplingData[[#This Row],[Total]]+SamplingData[[#This Row],[Winning Candidate]]-SamplingData[[#This Row],[Candidate 3]])/(SamplingData[[#Totals],[Winning Candidate]]-SamplingData[[#Totals],[Candidate 3]]), 0)</f>
        <v>2.2905442462173757E-3</v>
      </c>
      <c r="M1722" s="100">
        <f>IF(AND(SamplingData[[#This Row],[Total]]&lt;&gt; 0, NOT(ISBLANK(SamplingData[[#This Row],[Candidate 4]]))),(SamplingData[[#This Row],[Total]]+SamplingData[[#This Row],[Winning Candidate]]-SamplingData[[#This Row],[Candidate 4]])/(SamplingData[[#Totals],[Winning Candidate]]-SamplingData[[#Totals],[Candidate 4]]), 0)</f>
        <v>2.0462451401677922E-3</v>
      </c>
      <c r="N1722" s="100">
        <f>IF(AND(SamplingData[[#This Row],[Total]]&lt;&gt; 0, NOT(ISBLANK(SamplingData[[#This Row],[Candidate 5]]))),(SamplingData[[#This Row],[Total]]+SamplingData[[#This Row],[Winning Candidate]]-SamplingData[[#This Row],[Candidate 5]])/(SamplingData[[#Totals],[Winning Candidate]]-SamplingData[[#Totals],[Candidate 5]]), 0)</f>
        <v>1.8243736317197761E-3</v>
      </c>
      <c r="O1722" s="100">
        <f>IF(AND(SamplingData[[#This Row],[Total]]&lt;&gt; 0, NOT(ISBLANK(SamplingData[[#This Row],[Candidate 6]]))),(SamplingData[[#This Row],[Total]]+SamplingData[[#This Row],[Winning Candidate]]-SamplingData[[#This Row],[Candidate 6]])/(SamplingData[[#Totals],[Winning Candidate]]-SamplingData[[#Totals],[Candidate 6]]), 0)</f>
        <v>1.8481591362287826E-3</v>
      </c>
      <c r="P1722" s="100">
        <f>MAX(SamplingData[[#This Row],[Error Bound (up) - Max. possible relative overstatement - Losing Candidate]:[Error Bound (up) - Max. possible relative overstatement - Candidate 6]])</f>
        <v>2.5722684958353749E-3</v>
      </c>
      <c r="Q1722" s="100">
        <f>IF(SamplingData[[#This Row],[Max Error Bound (up)]] = 0,0,SamplingData[[#This Row],[Max Error Bound (up)]]/SamplingData[[#Totals],[Max Error Bound (up)]])</f>
        <v>4.0710382769472496E-4</v>
      </c>
      <c r="R1722" s="101">
        <f>SUM($Q$5:Q1722)</f>
        <v>0.63786706266503101</v>
      </c>
      <c r="S1722" s="100" t="str">
        <f t="array" ref="S1722">IF(SamplingData[[#This Row],[up/U Selection Probability]] = 0, "Zero", TEXT(SamplingData[[#This Row],[Lower Range]], REPT("0",LEN('General Info'!$B$40))) &amp; " - " &amp; TEXT(SamplingData[[#This Row],[Upper Range]], REPT("0",LEN('General Info'!$B$40))))</f>
        <v>63746 - 63786</v>
      </c>
      <c r="T1722" s="100">
        <f>SamplingData[[#This Row],[Upper Range]]-SamplingData[[#This Row],[Span]]</f>
        <v>63745.996290837458</v>
      </c>
      <c r="U1722" s="100">
        <f>IF(ISNUMBER('General Info'!$B$40), ((SamplingData[[#This Row],[up/U Selection Probability]]) * 'General Info'!$B$40) - 1, 0)</f>
        <v>39.709975665644798</v>
      </c>
      <c r="V1722" s="100">
        <f>IF(ISNUMBER('General Info'!$B$40), (SamplingData[[#This Row],[Running (cumulative) sum]] * ('General Info'!$B$40 -'General Info'!$B$41 + 1)) + 'General Info'!$B$41 - 1, 0)</f>
        <v>63785.706266503104</v>
      </c>
      <c r="W1722" s="100" t="str">
        <f>IF(ISERROR(MATCH(SamplingData[[#This Row],[Batch by Type (p)]],SelectedPrecincts[Batch Name], 0)), "", INDEX(SelectedPrecincts[Draw], MATCH(SamplingData[[#This Row],[Batch by Type (p)]],SelectedPrecincts[Batch Name], 0)))</f>
        <v/>
      </c>
      <c r="X1722" s="102">
        <f>IF(COUNTIF(SelectedPrecincts[Batch Name],SamplingData[[#This Row],[Batch by Type (p)]]) &lt;&gt; 0, COUNTIF(SelectedPrecincts[Batch Name],SamplingData[[#This Row],[Batch by Type (p)]]), 0)</f>
        <v>0</v>
      </c>
    </row>
    <row r="1723" spans="1:24" ht="15" customHeight="1">
      <c r="A1723" s="18" t="s">
        <v>1899</v>
      </c>
      <c r="B1723" s="18">
        <v>37</v>
      </c>
      <c r="C1723" s="18">
        <v>34</v>
      </c>
      <c r="D1723" s="16">
        <v>10</v>
      </c>
      <c r="E1723" s="16">
        <v>9</v>
      </c>
      <c r="F1723" s="37">
        <v>0</v>
      </c>
      <c r="G1723" s="37">
        <v>0</v>
      </c>
      <c r="H1723" s="17">
        <v>0</v>
      </c>
      <c r="I1723" s="17">
        <v>4</v>
      </c>
      <c r="J1723" s="99">
        <f>SUM(SamplingData[[#This Row],[Losing Candidate]:[Under Votes]])</f>
        <v>94</v>
      </c>
      <c r="K1723" s="100">
        <f>IF(AND(SamplingData[[#This Row],[Total]]&lt;&gt; 0, NOT(ISBLANK(SamplingData[[#This Row],[Losing Candidate]]))),(SamplingData[[#This Row],[Total]]+SamplingData[[#This Row],[Winning Candidate]]-SamplingData[[#This Row],[Losing Candidate]])/(SamplingData[[#Totals],[Winning Candidate]]-SamplingData[[#Totals],[Losing Candidate]]), 0)</f>
        <v>5.5732484076433117E-3</v>
      </c>
      <c r="L1723" s="100">
        <f>IF(AND(SamplingData[[#This Row],[Total]]&lt;&gt; 0, NOT(ISBLANK(SamplingData[[#This Row],[Candidate 3]]))),(SamplingData[[#This Row],[Total]]+SamplingData[[#This Row],[Winning Candidate]]-SamplingData[[#This Row],[Candidate 3]])/(SamplingData[[#Totals],[Winning Candidate]]-SamplingData[[#Totals],[Candidate 3]]), 0)</f>
        <v>3.8068200148401459E-3</v>
      </c>
      <c r="M1723" s="100">
        <f>IF(AND(SamplingData[[#This Row],[Total]]&lt;&gt; 0, NOT(ISBLANK(SamplingData[[#This Row],[Candidate 4]]))),(SamplingData[[#This Row],[Total]]+SamplingData[[#This Row],[Winning Candidate]]-SamplingData[[#This Row],[Candidate 4]])/(SamplingData[[#Totals],[Winning Candidate]]-SamplingData[[#Totals],[Candidate 4]]), 0)</f>
        <v>3.4786167382852467E-3</v>
      </c>
      <c r="N1723" s="100">
        <f>IF(AND(SamplingData[[#This Row],[Total]]&lt;&gt; 0, NOT(ISBLANK(SamplingData[[#This Row],[Candidate 5]]))),(SamplingData[[#This Row],[Total]]+SamplingData[[#This Row],[Winning Candidate]]-SamplingData[[#This Row],[Candidate 5]])/(SamplingData[[#Totals],[Winning Candidate]]-SamplingData[[#Totals],[Candidate 5]]), 0)</f>
        <v>3.1135976648017515E-3</v>
      </c>
      <c r="O1723" s="100">
        <f>IF(AND(SamplingData[[#This Row],[Total]]&lt;&gt; 0, NOT(ISBLANK(SamplingData[[#This Row],[Candidate 6]]))),(SamplingData[[#This Row],[Total]]+SamplingData[[#This Row],[Winning Candidate]]-SamplingData[[#This Row],[Candidate 6]])/(SamplingData[[#Totals],[Winning Candidate]]-SamplingData[[#Totals],[Candidate 6]]), 0)</f>
        <v>3.1126890715432128E-3</v>
      </c>
      <c r="P1723" s="100">
        <f>MAX(SamplingData[[#This Row],[Error Bound (up) - Max. possible relative overstatement - Losing Candidate]:[Error Bound (up) - Max. possible relative overstatement - Candidate 6]])</f>
        <v>5.5732484076433117E-3</v>
      </c>
      <c r="Q1723" s="100">
        <f>IF(SamplingData[[#This Row],[Max Error Bound (up)]] = 0,0,SamplingData[[#This Row],[Max Error Bound (up)]]/SamplingData[[#Totals],[Max Error Bound (up)]])</f>
        <v>8.8205829333857057E-4</v>
      </c>
      <c r="R1723" s="101">
        <f>SUM($Q$5:Q1723)</f>
        <v>0.63874912095836955</v>
      </c>
      <c r="S1723" s="100" t="str">
        <f t="array" ref="S1723">IF(SamplingData[[#This Row],[up/U Selection Probability]] = 0, "Zero", TEXT(SamplingData[[#This Row],[Lower Range]], REPT("0",LEN('General Info'!$B$40))) &amp; " - " &amp; TEXT(SamplingData[[#This Row],[Upper Range]], REPT("0",LEN('General Info'!$B$40))))</f>
        <v>63787 - 63874</v>
      </c>
      <c r="T1723" s="100">
        <f>SamplingData[[#This Row],[Upper Range]]-SamplingData[[#This Row],[Span]]</f>
        <v>63786.707148561392</v>
      </c>
      <c r="U1723" s="100">
        <f>IF(ISNUMBER('General Info'!$B$40), ((SamplingData[[#This Row],[up/U Selection Probability]]) * 'General Info'!$B$40) - 1, 0)</f>
        <v>87.204947275563725</v>
      </c>
      <c r="V1723" s="100">
        <f>IF(ISNUMBER('General Info'!$B$40), (SamplingData[[#This Row],[Running (cumulative) sum]] * ('General Info'!$B$40 -'General Info'!$B$41 + 1)) + 'General Info'!$B$41 - 1, 0)</f>
        <v>63873.912095836953</v>
      </c>
      <c r="W1723" s="100" t="str">
        <f>IF(ISERROR(MATCH(SamplingData[[#This Row],[Batch by Type (p)]],SelectedPrecincts[Batch Name], 0)), "", INDEX(SelectedPrecincts[Draw], MATCH(SamplingData[[#This Row],[Batch by Type (p)]],SelectedPrecincts[Batch Name], 0)))</f>
        <v/>
      </c>
      <c r="X1723" s="102">
        <f>IF(COUNTIF(SelectedPrecincts[Batch Name],SamplingData[[#This Row],[Batch by Type (p)]]) &lt;&gt; 0, COUNTIF(SelectedPrecincts[Batch Name],SamplingData[[#This Row],[Batch by Type (p)]]), 0)</f>
        <v>0</v>
      </c>
    </row>
    <row r="1724" spans="1:24" ht="15" customHeight="1">
      <c r="A1724" s="18" t="s">
        <v>1900</v>
      </c>
      <c r="B1724" s="18">
        <v>25</v>
      </c>
      <c r="C1724" s="18">
        <v>16</v>
      </c>
      <c r="D1724" s="18">
        <v>9</v>
      </c>
      <c r="E1724" s="18">
        <v>3</v>
      </c>
      <c r="F1724" s="18">
        <v>0</v>
      </c>
      <c r="G1724" s="18">
        <v>0</v>
      </c>
      <c r="H1724" s="18">
        <v>0</v>
      </c>
      <c r="I1724" s="18">
        <v>1</v>
      </c>
      <c r="J1724" s="99">
        <f>SUM(SamplingData[[#This Row],[Losing Candidate]:[Under Votes]])</f>
        <v>54</v>
      </c>
      <c r="K1724"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724" s="100">
        <f>IF(AND(SamplingData[[#This Row],[Total]]&lt;&gt; 0, NOT(ISBLANK(SamplingData[[#This Row],[Candidate 3]]))),(SamplingData[[#This Row],[Total]]+SamplingData[[#This Row],[Winning Candidate]]-SamplingData[[#This Row],[Candidate 3]])/(SamplingData[[#Totals],[Winning Candidate]]-SamplingData[[#Totals],[Candidate 3]]), 0)</f>
        <v>1.9679323805529567E-3</v>
      </c>
      <c r="M1724" s="100">
        <f>IF(AND(SamplingData[[#This Row],[Total]]&lt;&gt; 0, NOT(ISBLANK(SamplingData[[#This Row],[Candidate 4]]))),(SamplingData[[#This Row],[Total]]+SamplingData[[#This Row],[Winning Candidate]]-SamplingData[[#This Row],[Candidate 4]])/(SamplingData[[#Totals],[Winning Candidate]]-SamplingData[[#Totals],[Candidate 4]]), 0)</f>
        <v>1.9585489198748868E-3</v>
      </c>
      <c r="N1724" s="100">
        <f>IF(AND(SamplingData[[#This Row],[Total]]&lt;&gt; 0, NOT(ISBLANK(SamplingData[[#This Row],[Candidate 5]]))),(SamplingData[[#This Row],[Total]]+SamplingData[[#This Row],[Winning Candidate]]-SamplingData[[#This Row],[Candidate 5]])/(SamplingData[[#Totals],[Winning Candidate]]-SamplingData[[#Totals],[Candidate 5]]), 0)</f>
        <v>1.7027487229384578E-3</v>
      </c>
      <c r="O1724" s="100">
        <f>IF(AND(SamplingData[[#This Row],[Total]]&lt;&gt; 0, NOT(ISBLANK(SamplingData[[#This Row],[Candidate 6]]))),(SamplingData[[#This Row],[Total]]+SamplingData[[#This Row],[Winning Candidate]]-SamplingData[[#This Row],[Candidate 6]])/(SamplingData[[#Totals],[Winning Candidate]]-SamplingData[[#Totals],[Candidate 6]]), 0)</f>
        <v>1.7022518360001945E-3</v>
      </c>
      <c r="P1724" s="100">
        <f>MAX(SamplingData[[#This Row],[Error Bound (up) - Max. possible relative overstatement - Losing Candidate]:[Error Bound (up) - Max. possible relative overstatement - Candidate 6]])</f>
        <v>2.7560019598236157E-3</v>
      </c>
      <c r="Q1724" s="100">
        <f>IF(SamplingData[[#This Row],[Max Error Bound (up)]] = 0,0,SamplingData[[#This Row],[Max Error Bound (up)]]/SamplingData[[#Totals],[Max Error Bound (up)]])</f>
        <v>4.3618267253006237E-4</v>
      </c>
      <c r="R1724" s="101">
        <f>SUM($Q$5:Q1724)</f>
        <v>0.63918530363089965</v>
      </c>
      <c r="S1724" s="100" t="str">
        <f t="array" ref="S1724">IF(SamplingData[[#This Row],[up/U Selection Probability]] = 0, "Zero", TEXT(SamplingData[[#This Row],[Lower Range]], REPT("0",LEN('General Info'!$B$40))) &amp; " - " &amp; TEXT(SamplingData[[#This Row],[Upper Range]], REPT("0",LEN('General Info'!$B$40))))</f>
        <v>63875 - 63918</v>
      </c>
      <c r="T1724" s="100">
        <f>SamplingData[[#This Row],[Upper Range]]-SamplingData[[#This Row],[Span]]</f>
        <v>63874.912532019633</v>
      </c>
      <c r="U1724" s="100">
        <f>IF(ISNUMBER('General Info'!$B$40), ((SamplingData[[#This Row],[up/U Selection Probability]]) * 'General Info'!$B$40) - 1, 0)</f>
        <v>42.617831070333708</v>
      </c>
      <c r="V1724" s="100">
        <f>IF(ISNUMBER('General Info'!$B$40), (SamplingData[[#This Row],[Running (cumulative) sum]] * ('General Info'!$B$40 -'General Info'!$B$41 + 1)) + 'General Info'!$B$41 - 1, 0)</f>
        <v>63917.530363089965</v>
      </c>
      <c r="W1724" s="100" t="str">
        <f>IF(ISERROR(MATCH(SamplingData[[#This Row],[Batch by Type (p)]],SelectedPrecincts[Batch Name], 0)), "", INDEX(SelectedPrecincts[Draw], MATCH(SamplingData[[#This Row],[Batch by Type (p)]],SelectedPrecincts[Batch Name], 0)))</f>
        <v/>
      </c>
      <c r="X1724" s="102">
        <f>IF(COUNTIF(SelectedPrecincts[Batch Name],SamplingData[[#This Row],[Batch by Type (p)]]) &lt;&gt; 0, COUNTIF(SelectedPrecincts[Batch Name],SamplingData[[#This Row],[Batch by Type (p)]]), 0)</f>
        <v>0</v>
      </c>
    </row>
    <row r="1725" spans="1:24" ht="15" customHeight="1">
      <c r="A1725" s="18" t="s">
        <v>1901</v>
      </c>
      <c r="B1725" s="18">
        <v>47</v>
      </c>
      <c r="C1725" s="18">
        <v>55</v>
      </c>
      <c r="D1725" s="16">
        <v>12</v>
      </c>
      <c r="E1725" s="16">
        <v>11</v>
      </c>
      <c r="F1725" s="37">
        <v>0</v>
      </c>
      <c r="G1725" s="37">
        <v>1</v>
      </c>
      <c r="H1725" s="17">
        <v>0</v>
      </c>
      <c r="I1725" s="17">
        <v>1</v>
      </c>
      <c r="J1725" s="99">
        <f>SUM(SamplingData[[#This Row],[Losing Candidate]:[Under Votes]])</f>
        <v>127</v>
      </c>
      <c r="K1725" s="100">
        <f>IF(AND(SamplingData[[#This Row],[Total]]&lt;&gt; 0, NOT(ISBLANK(SamplingData[[#This Row],[Losing Candidate]]))),(SamplingData[[#This Row],[Total]]+SamplingData[[#This Row],[Winning Candidate]]-SamplingData[[#This Row],[Losing Candidate]])/(SamplingData[[#Totals],[Winning Candidate]]-SamplingData[[#Totals],[Losing Candidate]]), 0)</f>
        <v>8.268005879470847E-3</v>
      </c>
      <c r="L1725" s="100">
        <f>IF(AND(SamplingData[[#This Row],[Total]]&lt;&gt; 0, NOT(ISBLANK(SamplingData[[#This Row],[Candidate 3]]))),(SamplingData[[#This Row],[Total]]+SamplingData[[#This Row],[Winning Candidate]]-SamplingData[[#This Row],[Candidate 3]])/(SamplingData[[#Totals],[Winning Candidate]]-SamplingData[[#Totals],[Candidate 3]]), 0)</f>
        <v>5.4844017162951255E-3</v>
      </c>
      <c r="M1725" s="100">
        <f>IF(AND(SamplingData[[#This Row],[Total]]&lt;&gt; 0, NOT(ISBLANK(SamplingData[[#This Row],[Candidate 4]]))),(SamplingData[[#This Row],[Total]]+SamplingData[[#This Row],[Winning Candidate]]-SamplingData[[#This Row],[Candidate 4]])/(SamplingData[[#Totals],[Winning Candidate]]-SamplingData[[#Totals],[Candidate 4]]), 0)</f>
        <v>4.998684556695606E-3</v>
      </c>
      <c r="N1725" s="100">
        <f>IF(AND(SamplingData[[#This Row],[Total]]&lt;&gt; 0, NOT(ISBLANK(SamplingData[[#This Row],[Candidate 5]]))),(SamplingData[[#This Row],[Total]]+SamplingData[[#This Row],[Winning Candidate]]-SamplingData[[#This Row],[Candidate 5]])/(SamplingData[[#Totals],[Winning Candidate]]-SamplingData[[#Totals],[Candidate 5]]), 0)</f>
        <v>4.42714667963999E-3</v>
      </c>
      <c r="O1725" s="100">
        <f>IF(AND(SamplingData[[#This Row],[Total]]&lt;&gt; 0, NOT(ISBLANK(SamplingData[[#This Row],[Candidate 6]]))),(SamplingData[[#This Row],[Total]]+SamplingData[[#This Row],[Winning Candidate]]-SamplingData[[#This Row],[Candidate 6]])/(SamplingData[[#Totals],[Winning Candidate]]-SamplingData[[#Totals],[Candidate 6]]), 0)</f>
        <v>4.4015368902290746E-3</v>
      </c>
      <c r="P1725" s="100">
        <f>MAX(SamplingData[[#This Row],[Error Bound (up) - Max. possible relative overstatement - Losing Candidate]:[Error Bound (up) - Max. possible relative overstatement - Candidate 6]])</f>
        <v>8.268005879470847E-3</v>
      </c>
      <c r="Q1725" s="100">
        <f>IF(SamplingData[[#This Row],[Max Error Bound (up)]] = 0,0,SamplingData[[#This Row],[Max Error Bound (up)]]/SamplingData[[#Totals],[Max Error Bound (up)]])</f>
        <v>1.3085480175901872E-3</v>
      </c>
      <c r="R1725" s="101">
        <f>SUM($Q$5:Q1725)</f>
        <v>0.64049385164848982</v>
      </c>
      <c r="S1725" s="100" t="str">
        <f t="array" ref="S1725">IF(SamplingData[[#This Row],[up/U Selection Probability]] = 0, "Zero", TEXT(SamplingData[[#This Row],[Lower Range]], REPT("0",LEN('General Info'!$B$40))) &amp; " - " &amp; TEXT(SamplingData[[#This Row],[Upper Range]], REPT("0",LEN('General Info'!$B$40))))</f>
        <v>63919 - 64048</v>
      </c>
      <c r="T1725" s="100">
        <f>SamplingData[[#This Row],[Upper Range]]-SamplingData[[#This Row],[Span]]</f>
        <v>63918.531671637982</v>
      </c>
      <c r="U1725" s="100">
        <f>IF(ISNUMBER('General Info'!$B$40), ((SamplingData[[#This Row],[up/U Selection Probability]]) * 'General Info'!$B$40) - 1, 0)</f>
        <v>129.85349321100114</v>
      </c>
      <c r="V1725" s="100">
        <f>IF(ISNUMBER('General Info'!$B$40), (SamplingData[[#This Row],[Running (cumulative) sum]] * ('General Info'!$B$40 -'General Info'!$B$41 + 1)) + 'General Info'!$B$41 - 1, 0)</f>
        <v>64048.38516484898</v>
      </c>
      <c r="W1725" s="100" t="str">
        <f>IF(ISERROR(MATCH(SamplingData[[#This Row],[Batch by Type (p)]],SelectedPrecincts[Batch Name], 0)), "", INDEX(SelectedPrecincts[Draw], MATCH(SamplingData[[#This Row],[Batch by Type (p)]],SelectedPrecincts[Batch Name], 0)))</f>
        <v/>
      </c>
      <c r="X1725" s="102">
        <f>IF(COUNTIF(SelectedPrecincts[Batch Name],SamplingData[[#This Row],[Batch by Type (p)]]) &lt;&gt; 0, COUNTIF(SelectedPrecincts[Batch Name],SamplingData[[#This Row],[Batch by Type (p)]]), 0)</f>
        <v>0</v>
      </c>
    </row>
    <row r="1726" spans="1:24" ht="15" customHeight="1">
      <c r="A1726" s="18" t="s">
        <v>1902</v>
      </c>
      <c r="B1726" s="18">
        <v>35</v>
      </c>
      <c r="C1726" s="18">
        <v>38</v>
      </c>
      <c r="D1726" s="18">
        <v>7</v>
      </c>
      <c r="E1726" s="18">
        <v>4</v>
      </c>
      <c r="F1726" s="18">
        <v>0</v>
      </c>
      <c r="G1726" s="18">
        <v>1</v>
      </c>
      <c r="H1726" s="18">
        <v>0</v>
      </c>
      <c r="I1726" s="18">
        <v>2</v>
      </c>
      <c r="J1726" s="99">
        <f>SUM(SamplingData[[#This Row],[Losing Candidate]:[Under Votes]])</f>
        <v>87</v>
      </c>
      <c r="K1726" s="100">
        <f>IF(AND(SamplingData[[#This Row],[Total]]&lt;&gt; 0, NOT(ISBLANK(SamplingData[[#This Row],[Losing Candidate]]))),(SamplingData[[#This Row],[Total]]+SamplingData[[#This Row],[Winning Candidate]]-SamplingData[[#This Row],[Losing Candidate]])/(SamplingData[[#Totals],[Winning Candidate]]-SamplingData[[#Totals],[Losing Candidate]]), 0)</f>
        <v>5.5120039196472313E-3</v>
      </c>
      <c r="L1726" s="100">
        <f>IF(AND(SamplingData[[#This Row],[Total]]&lt;&gt; 0, NOT(ISBLANK(SamplingData[[#This Row],[Candidate 3]]))),(SamplingData[[#This Row],[Total]]+SamplingData[[#This Row],[Winning Candidate]]-SamplingData[[#This Row],[Candidate 3]])/(SamplingData[[#Totals],[Winning Candidate]]-SamplingData[[#Totals],[Candidate 3]]), 0)</f>
        <v>3.8068200148401459E-3</v>
      </c>
      <c r="M1726" s="100">
        <f>IF(AND(SamplingData[[#This Row],[Total]]&lt;&gt; 0, NOT(ISBLANK(SamplingData[[#This Row],[Candidate 4]]))),(SamplingData[[#This Row],[Total]]+SamplingData[[#This Row],[Winning Candidate]]-SamplingData[[#This Row],[Candidate 4]])/(SamplingData[[#Totals],[Winning Candidate]]-SamplingData[[#Totals],[Candidate 4]]), 0)</f>
        <v>3.5370808851471836E-3</v>
      </c>
      <c r="N1726" s="100">
        <f>IF(AND(SamplingData[[#This Row],[Total]]&lt;&gt; 0, NOT(ISBLANK(SamplingData[[#This Row],[Candidate 5]]))),(SamplingData[[#This Row],[Total]]+SamplingData[[#This Row],[Winning Candidate]]-SamplingData[[#This Row],[Candidate 5]])/(SamplingData[[#Totals],[Winning Candidate]]-SamplingData[[#Totals],[Candidate 5]]), 0)</f>
        <v>3.0406227195329603E-3</v>
      </c>
      <c r="O1726" s="100">
        <f>IF(AND(SamplingData[[#This Row],[Total]]&lt;&gt; 0, NOT(ISBLANK(SamplingData[[#This Row],[Candidate 6]]))),(SamplingData[[#This Row],[Total]]+SamplingData[[#This Row],[Winning Candidate]]-SamplingData[[#This Row],[Candidate 6]])/(SamplingData[[#Totals],[Winning Candidate]]-SamplingData[[#Totals],[Candidate 6]]), 0)</f>
        <v>3.0154175380574873E-3</v>
      </c>
      <c r="P1726" s="100">
        <f>MAX(SamplingData[[#This Row],[Error Bound (up) - Max. possible relative overstatement - Losing Candidate]:[Error Bound (up) - Max. possible relative overstatement - Candidate 6]])</f>
        <v>5.5120039196472313E-3</v>
      </c>
      <c r="Q1726" s="100">
        <f>IF(SamplingData[[#This Row],[Max Error Bound (up)]] = 0,0,SamplingData[[#This Row],[Max Error Bound (up)]]/SamplingData[[#Totals],[Max Error Bound (up)]])</f>
        <v>8.7236534506012473E-4</v>
      </c>
      <c r="R1726" s="101">
        <f>SUM($Q$5:Q1726)</f>
        <v>0.6413662169935499</v>
      </c>
      <c r="S1726" s="100" t="str">
        <f t="array" ref="S1726">IF(SamplingData[[#This Row],[up/U Selection Probability]] = 0, "Zero", TEXT(SamplingData[[#This Row],[Lower Range]], REPT("0",LEN('General Info'!$B$40))) &amp; " - " &amp; TEXT(SamplingData[[#This Row],[Upper Range]], REPT("0",LEN('General Info'!$B$40))))</f>
        <v>64049 - 64136</v>
      </c>
      <c r="T1726" s="100">
        <f>SamplingData[[#This Row],[Upper Range]]-SamplingData[[#This Row],[Span]]</f>
        <v>64049.386037214324</v>
      </c>
      <c r="U1726" s="100">
        <f>IF(ISNUMBER('General Info'!$B$40), ((SamplingData[[#This Row],[up/U Selection Probability]]) * 'General Info'!$B$40) - 1, 0)</f>
        <v>86.235662140667415</v>
      </c>
      <c r="V1726" s="100">
        <f>IF(ISNUMBER('General Info'!$B$40), (SamplingData[[#This Row],[Running (cumulative) sum]] * ('General Info'!$B$40 -'General Info'!$B$41 + 1)) + 'General Info'!$B$41 - 1, 0)</f>
        <v>64135.62169935499</v>
      </c>
      <c r="W1726" s="100">
        <f>IF(ISERROR(MATCH(SamplingData[[#This Row],[Batch by Type (p)]],SelectedPrecincts[Batch Name], 0)), "", INDEX(SelectedPrecincts[Draw], MATCH(SamplingData[[#This Row],[Batch by Type (p)]],SelectedPrecincts[Batch Name], 0)))</f>
        <v>3</v>
      </c>
      <c r="X1726" s="102">
        <f>IF(COUNTIF(SelectedPrecincts[Batch Name],SamplingData[[#This Row],[Batch by Type (p)]]) &lt;&gt; 0, COUNTIF(SelectedPrecincts[Batch Name],SamplingData[[#This Row],[Batch by Type (p)]]), 0)</f>
        <v>1</v>
      </c>
    </row>
    <row r="1727" spans="1:24" ht="15" customHeight="1">
      <c r="A1727" s="18" t="s">
        <v>1903</v>
      </c>
      <c r="B1727" s="18">
        <v>40</v>
      </c>
      <c r="C1727" s="18">
        <v>39</v>
      </c>
      <c r="D1727" s="16">
        <v>11</v>
      </c>
      <c r="E1727" s="16">
        <v>10</v>
      </c>
      <c r="F1727" s="37">
        <v>0</v>
      </c>
      <c r="G1727" s="37">
        <v>0</v>
      </c>
      <c r="H1727" s="17">
        <v>0</v>
      </c>
      <c r="I1727" s="17">
        <v>0</v>
      </c>
      <c r="J1727" s="99">
        <f>SUM(SamplingData[[#This Row],[Losing Candidate]:[Under Votes]])</f>
        <v>100</v>
      </c>
      <c r="K1727" s="100">
        <f>IF(AND(SamplingData[[#This Row],[Total]]&lt;&gt; 0, NOT(ISBLANK(SamplingData[[#This Row],[Losing Candidate]]))),(SamplingData[[#This Row],[Total]]+SamplingData[[#This Row],[Winning Candidate]]-SamplingData[[#This Row],[Losing Candidate]])/(SamplingData[[#Totals],[Winning Candidate]]-SamplingData[[#Totals],[Losing Candidate]]), 0)</f>
        <v>6.063204311611955E-3</v>
      </c>
      <c r="L1727" s="100">
        <f>IF(AND(SamplingData[[#This Row],[Total]]&lt;&gt; 0, NOT(ISBLANK(SamplingData[[#This Row],[Candidate 3]]))),(SamplingData[[#This Row],[Total]]+SamplingData[[#This Row],[Winning Candidate]]-SamplingData[[#This Row],[Candidate 3]])/(SamplingData[[#Totals],[Winning Candidate]]-SamplingData[[#Totals],[Candidate 3]]), 0)</f>
        <v>4.1294318805045653E-3</v>
      </c>
      <c r="M1727" s="100">
        <f>IF(AND(SamplingData[[#This Row],[Total]]&lt;&gt; 0, NOT(ISBLANK(SamplingData[[#This Row],[Candidate 4]]))),(SamplingData[[#This Row],[Total]]+SamplingData[[#This Row],[Winning Candidate]]-SamplingData[[#This Row],[Candidate 4]])/(SamplingData[[#Totals],[Winning Candidate]]-SamplingData[[#Totals],[Candidate 4]]), 0)</f>
        <v>3.7709374725949313E-3</v>
      </c>
      <c r="N1727" s="100">
        <f>IF(AND(SamplingData[[#This Row],[Total]]&lt;&gt; 0, NOT(ISBLANK(SamplingData[[#This Row],[Candidate 5]]))),(SamplingData[[#This Row],[Total]]+SamplingData[[#This Row],[Winning Candidate]]-SamplingData[[#This Row],[Candidate 5]])/(SamplingData[[#Totals],[Winning Candidate]]-SamplingData[[#Totals],[Candidate 5]]), 0)</f>
        <v>3.3811724641206521E-3</v>
      </c>
      <c r="O1727" s="100">
        <f>IF(AND(SamplingData[[#This Row],[Total]]&lt;&gt; 0, NOT(ISBLANK(SamplingData[[#This Row],[Candidate 6]]))),(SamplingData[[#This Row],[Total]]+SamplingData[[#This Row],[Winning Candidate]]-SamplingData[[#This Row],[Candidate 6]])/(SamplingData[[#Totals],[Winning Candidate]]-SamplingData[[#Totals],[Candidate 6]]), 0)</f>
        <v>3.3801857886289577E-3</v>
      </c>
      <c r="P1727" s="100">
        <f>MAX(SamplingData[[#This Row],[Error Bound (up) - Max. possible relative overstatement - Losing Candidate]:[Error Bound (up) - Max. possible relative overstatement - Candidate 6]])</f>
        <v>6.063204311611955E-3</v>
      </c>
      <c r="Q1727" s="100">
        <f>IF(SamplingData[[#This Row],[Max Error Bound (up)]] = 0,0,SamplingData[[#This Row],[Max Error Bound (up)]]/SamplingData[[#Totals],[Max Error Bound (up)]])</f>
        <v>9.5960187956613729E-4</v>
      </c>
      <c r="R1727" s="101">
        <f>SUM($Q$5:Q1727)</f>
        <v>0.64232581887311602</v>
      </c>
      <c r="S1727" s="100" t="str">
        <f t="array" ref="S1727">IF(SamplingData[[#This Row],[up/U Selection Probability]] = 0, "Zero", TEXT(SamplingData[[#This Row],[Lower Range]], REPT("0",LEN('General Info'!$B$40))) &amp; " - " &amp; TEXT(SamplingData[[#This Row],[Upper Range]], REPT("0",LEN('General Info'!$B$40))))</f>
        <v>64137 - 64232</v>
      </c>
      <c r="T1727" s="100">
        <f>SamplingData[[#This Row],[Upper Range]]-SamplingData[[#This Row],[Span]]</f>
        <v>64136.622658956869</v>
      </c>
      <c r="U1727" s="100">
        <f>IF(ISNUMBER('General Info'!$B$40), ((SamplingData[[#This Row],[up/U Selection Probability]]) * 'General Info'!$B$40) - 1, 0)</f>
        <v>94.959228354734165</v>
      </c>
      <c r="V1727" s="100">
        <f>IF(ISNUMBER('General Info'!$B$40), (SamplingData[[#This Row],[Running (cumulative) sum]] * ('General Info'!$B$40 -'General Info'!$B$41 + 1)) + 'General Info'!$B$41 - 1, 0)</f>
        <v>64231.5818873116</v>
      </c>
      <c r="W1727" s="100" t="str">
        <f>IF(ISERROR(MATCH(SamplingData[[#This Row],[Batch by Type (p)]],SelectedPrecincts[Batch Name], 0)), "", INDEX(SelectedPrecincts[Draw], MATCH(SamplingData[[#This Row],[Batch by Type (p)]],SelectedPrecincts[Batch Name], 0)))</f>
        <v/>
      </c>
      <c r="X1727" s="102">
        <f>IF(COUNTIF(SelectedPrecincts[Batch Name],SamplingData[[#This Row],[Batch by Type (p)]]) &lt;&gt; 0, COUNTIF(SelectedPrecincts[Batch Name],SamplingData[[#This Row],[Batch by Type (p)]]), 0)</f>
        <v>0</v>
      </c>
    </row>
    <row r="1728" spans="1:24" ht="15" customHeight="1">
      <c r="A1728" s="18" t="s">
        <v>1904</v>
      </c>
      <c r="B1728" s="18">
        <v>19</v>
      </c>
      <c r="C1728" s="18">
        <v>11</v>
      </c>
      <c r="D1728" s="18">
        <v>11</v>
      </c>
      <c r="E1728" s="18">
        <v>2</v>
      </c>
      <c r="F1728" s="18">
        <v>0</v>
      </c>
      <c r="G1728" s="18">
        <v>0</v>
      </c>
      <c r="H1728" s="18">
        <v>0</v>
      </c>
      <c r="I1728" s="18">
        <v>1</v>
      </c>
      <c r="J1728" s="99">
        <f>SUM(SamplingData[[#This Row],[Losing Candidate]:[Under Votes]])</f>
        <v>44</v>
      </c>
      <c r="K1728" s="100">
        <f>IF(AND(SamplingData[[#This Row],[Total]]&lt;&gt; 0, NOT(ISBLANK(SamplingData[[#This Row],[Losing Candidate]]))),(SamplingData[[#This Row],[Total]]+SamplingData[[#This Row],[Winning Candidate]]-SamplingData[[#This Row],[Losing Candidate]])/(SamplingData[[#Totals],[Winning Candidate]]-SamplingData[[#Totals],[Losing Candidate]]), 0)</f>
        <v>2.2048015678588929E-3</v>
      </c>
      <c r="L1728" s="100">
        <f>IF(AND(SamplingData[[#This Row],[Total]]&lt;&gt; 0, NOT(ISBLANK(SamplingData[[#This Row],[Candidate 3]]))),(SamplingData[[#This Row],[Total]]+SamplingData[[#This Row],[Winning Candidate]]-SamplingData[[#This Row],[Candidate 3]])/(SamplingData[[#Totals],[Winning Candidate]]-SamplingData[[#Totals],[Candidate 3]]), 0)</f>
        <v>1.4194922089234441E-3</v>
      </c>
      <c r="M1728" s="100">
        <f>IF(AND(SamplingData[[#This Row],[Total]]&lt;&gt; 0, NOT(ISBLANK(SamplingData[[#This Row],[Candidate 4]]))),(SamplingData[[#This Row],[Total]]+SamplingData[[#This Row],[Winning Candidate]]-SamplingData[[#This Row],[Candidate 4]])/(SamplingData[[#Totals],[Winning Candidate]]-SamplingData[[#Totals],[Candidate 4]]), 0)</f>
        <v>1.5492998918413283E-3</v>
      </c>
      <c r="N1728" s="100">
        <f>IF(AND(SamplingData[[#This Row],[Total]]&lt;&gt; 0, NOT(ISBLANK(SamplingData[[#This Row],[Candidate 5]]))),(SamplingData[[#This Row],[Total]]+SamplingData[[#This Row],[Winning Candidate]]-SamplingData[[#This Row],[Candidate 5]])/(SamplingData[[#Totals],[Winning Candidate]]-SamplingData[[#Totals],[Candidate 5]]), 0)</f>
        <v>1.3378739965945025E-3</v>
      </c>
      <c r="O1728" s="100">
        <f>IF(AND(SamplingData[[#This Row],[Total]]&lt;&gt; 0, NOT(ISBLANK(SamplingData[[#This Row],[Candidate 6]]))),(SamplingData[[#This Row],[Total]]+SamplingData[[#This Row],[Winning Candidate]]-SamplingData[[#This Row],[Candidate 6]])/(SamplingData[[#Totals],[Winning Candidate]]-SamplingData[[#Totals],[Candidate 6]]), 0)</f>
        <v>1.3374835854287244E-3</v>
      </c>
      <c r="P1728" s="100">
        <f>MAX(SamplingData[[#This Row],[Error Bound (up) - Max. possible relative overstatement - Losing Candidate]:[Error Bound (up) - Max. possible relative overstatement - Candidate 6]])</f>
        <v>2.2048015678588929E-3</v>
      </c>
      <c r="Q1728" s="100">
        <f>IF(SamplingData[[#This Row],[Max Error Bound (up)]] = 0,0,SamplingData[[#This Row],[Max Error Bound (up)]]/SamplingData[[#Totals],[Max Error Bound (up)]])</f>
        <v>3.4894613802404997E-4</v>
      </c>
      <c r="R1728" s="101">
        <f>SUM($Q$5:Q1728)</f>
        <v>0.64267476501114007</v>
      </c>
      <c r="S1728" s="100" t="str">
        <f t="array" ref="S1728">IF(SamplingData[[#This Row],[up/U Selection Probability]] = 0, "Zero", TEXT(SamplingData[[#This Row],[Lower Range]], REPT("0",LEN('General Info'!$B$40))) &amp; " - " &amp; TEXT(SamplingData[[#This Row],[Upper Range]], REPT("0",LEN('General Info'!$B$40))))</f>
        <v>64233 - 64266</v>
      </c>
      <c r="T1728" s="100">
        <f>SamplingData[[#This Row],[Upper Range]]-SamplingData[[#This Row],[Span]]</f>
        <v>64232.582236257738</v>
      </c>
      <c r="U1728" s="100">
        <f>IF(ISNUMBER('General Info'!$B$40), ((SamplingData[[#This Row],[up/U Selection Probability]]) * 'General Info'!$B$40) - 1, 0)</f>
        <v>33.894264856266972</v>
      </c>
      <c r="V1728" s="100">
        <f>IF(ISNUMBER('General Info'!$B$40), (SamplingData[[#This Row],[Running (cumulative) sum]] * ('General Info'!$B$40 -'General Info'!$B$41 + 1)) + 'General Info'!$B$41 - 1, 0)</f>
        <v>64266.476501114004</v>
      </c>
      <c r="W1728" s="100" t="str">
        <f>IF(ISERROR(MATCH(SamplingData[[#This Row],[Batch by Type (p)]],SelectedPrecincts[Batch Name], 0)), "", INDEX(SelectedPrecincts[Draw], MATCH(SamplingData[[#This Row],[Batch by Type (p)]],SelectedPrecincts[Batch Name], 0)))</f>
        <v/>
      </c>
      <c r="X1728" s="102">
        <f>IF(COUNTIF(SelectedPrecincts[Batch Name],SamplingData[[#This Row],[Batch by Type (p)]]) &lt;&gt; 0, COUNTIF(SelectedPrecincts[Batch Name],SamplingData[[#This Row],[Batch by Type (p)]]), 0)</f>
        <v>0</v>
      </c>
    </row>
    <row r="1729" spans="1:24" ht="15" customHeight="1">
      <c r="A1729" s="18" t="s">
        <v>1905</v>
      </c>
      <c r="B1729" s="18">
        <v>37</v>
      </c>
      <c r="C1729" s="18">
        <v>41</v>
      </c>
      <c r="D1729" s="16">
        <v>7</v>
      </c>
      <c r="E1729" s="16">
        <v>12</v>
      </c>
      <c r="F1729" s="37">
        <v>0</v>
      </c>
      <c r="G1729" s="37">
        <v>1</v>
      </c>
      <c r="H1729" s="17">
        <v>0</v>
      </c>
      <c r="I1729" s="17">
        <v>4</v>
      </c>
      <c r="J1729" s="99">
        <f>SUM(SamplingData[[#This Row],[Losing Candidate]:[Under Votes]])</f>
        <v>102</v>
      </c>
      <c r="K1729" s="100">
        <f>IF(AND(SamplingData[[#This Row],[Total]]&lt;&gt; 0, NOT(ISBLANK(SamplingData[[#This Row],[Losing Candidate]]))),(SamplingData[[#This Row],[Total]]+SamplingData[[#This Row],[Winning Candidate]]-SamplingData[[#This Row],[Losing Candidate]])/(SamplingData[[#Totals],[Winning Candidate]]-SamplingData[[#Totals],[Losing Candidate]]), 0)</f>
        <v>6.4919157275845178E-3</v>
      </c>
      <c r="L1729" s="100">
        <f>IF(AND(SamplingData[[#This Row],[Total]]&lt;&gt; 0, NOT(ISBLANK(SamplingData[[#This Row],[Candidate 3]]))),(SamplingData[[#This Row],[Total]]+SamplingData[[#This Row],[Winning Candidate]]-SamplingData[[#This Row],[Candidate 3]])/(SamplingData[[#Totals],[Winning Candidate]]-SamplingData[[#Totals],[Candidate 3]]), 0)</f>
        <v>4.3875213730361004E-3</v>
      </c>
      <c r="M1729" s="100">
        <f>IF(AND(SamplingData[[#This Row],[Total]]&lt;&gt; 0, NOT(ISBLANK(SamplingData[[#This Row],[Candidate 4]]))),(SamplingData[[#This Row],[Total]]+SamplingData[[#This Row],[Winning Candidate]]-SamplingData[[#This Row],[Candidate 4]])/(SamplingData[[#Totals],[Winning Candidate]]-SamplingData[[#Totals],[Candidate 4]]), 0)</f>
        <v>3.8294016194568683E-3</v>
      </c>
      <c r="N1729" s="100">
        <f>IF(AND(SamplingData[[#This Row],[Total]]&lt;&gt; 0, NOT(ISBLANK(SamplingData[[#This Row],[Candidate 5]]))),(SamplingData[[#This Row],[Total]]+SamplingData[[#This Row],[Winning Candidate]]-SamplingData[[#This Row],[Candidate 5]])/(SamplingData[[#Totals],[Winning Candidate]]-SamplingData[[#Totals],[Candidate 5]]), 0)</f>
        <v>3.4784723911457068E-3</v>
      </c>
      <c r="O1729" s="100">
        <f>IF(AND(SamplingData[[#This Row],[Total]]&lt;&gt; 0, NOT(ISBLANK(SamplingData[[#This Row],[Candidate 6]]))),(SamplingData[[#This Row],[Total]]+SamplingData[[#This Row],[Winning Candidate]]-SamplingData[[#This Row],[Candidate 6]])/(SamplingData[[#Totals],[Winning Candidate]]-SamplingData[[#Totals],[Candidate 6]]), 0)</f>
        <v>3.4531394387432518E-3</v>
      </c>
      <c r="P1729" s="100">
        <f>MAX(SamplingData[[#This Row],[Error Bound (up) - Max. possible relative overstatement - Losing Candidate]:[Error Bound (up) - Max. possible relative overstatement - Candidate 6]])</f>
        <v>6.4919157275845178E-3</v>
      </c>
      <c r="Q1729" s="100">
        <f>IF(SamplingData[[#This Row],[Max Error Bound (up)]] = 0,0,SamplingData[[#This Row],[Max Error Bound (up)]]/SamplingData[[#Totals],[Max Error Bound (up)]])</f>
        <v>1.0274525175152582E-3</v>
      </c>
      <c r="R1729" s="101">
        <f>SUM($Q$5:Q1729)</f>
        <v>0.64370221752865531</v>
      </c>
      <c r="S1729" s="100" t="str">
        <f t="array" ref="S1729">IF(SamplingData[[#This Row],[up/U Selection Probability]] = 0, "Zero", TEXT(SamplingData[[#This Row],[Lower Range]], REPT("0",LEN('General Info'!$B$40))) &amp; " - " &amp; TEXT(SamplingData[[#This Row],[Upper Range]], REPT("0",LEN('General Info'!$B$40))))</f>
        <v>64267 - 64369</v>
      </c>
      <c r="T1729" s="100">
        <f>SamplingData[[#This Row],[Upper Range]]-SamplingData[[#This Row],[Span]]</f>
        <v>64267.477528566524</v>
      </c>
      <c r="U1729" s="100">
        <f>IF(ISNUMBER('General Info'!$B$40), ((SamplingData[[#This Row],[up/U Selection Probability]]) * 'General Info'!$B$40) - 1, 0)</f>
        <v>101.74422429900831</v>
      </c>
      <c r="V1729" s="100">
        <f>IF(ISNUMBER('General Info'!$B$40), (SamplingData[[#This Row],[Running (cumulative) sum]] * ('General Info'!$B$40 -'General Info'!$B$41 + 1)) + 'General Info'!$B$41 - 1, 0)</f>
        <v>64369.221752865531</v>
      </c>
      <c r="W1729" s="100" t="str">
        <f>IF(ISERROR(MATCH(SamplingData[[#This Row],[Batch by Type (p)]],SelectedPrecincts[Batch Name], 0)), "", INDEX(SelectedPrecincts[Draw], MATCH(SamplingData[[#This Row],[Batch by Type (p)]],SelectedPrecincts[Batch Name], 0)))</f>
        <v/>
      </c>
      <c r="X1729" s="102">
        <f>IF(COUNTIF(SelectedPrecincts[Batch Name],SamplingData[[#This Row],[Batch by Type (p)]]) &lt;&gt; 0, COUNTIF(SelectedPrecincts[Batch Name],SamplingData[[#This Row],[Batch by Type (p)]]), 0)</f>
        <v>0</v>
      </c>
    </row>
    <row r="1730" spans="1:24" ht="15" customHeight="1">
      <c r="A1730" s="18" t="s">
        <v>1906</v>
      </c>
      <c r="B1730" s="18">
        <v>28</v>
      </c>
      <c r="C1730" s="18">
        <v>25</v>
      </c>
      <c r="D1730" s="18">
        <v>8</v>
      </c>
      <c r="E1730" s="18">
        <v>2</v>
      </c>
      <c r="F1730" s="18">
        <v>1</v>
      </c>
      <c r="G1730" s="18">
        <v>0</v>
      </c>
      <c r="H1730" s="18">
        <v>0</v>
      </c>
      <c r="I1730" s="18">
        <v>0</v>
      </c>
      <c r="J1730" s="99">
        <f>SUM(SamplingData[[#This Row],[Losing Candidate]:[Under Votes]])</f>
        <v>64</v>
      </c>
      <c r="K1730"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730" s="100">
        <f>IF(AND(SamplingData[[#This Row],[Total]]&lt;&gt; 0, NOT(ISBLANK(SamplingData[[#This Row],[Candidate 3]]))),(SamplingData[[#This Row],[Total]]+SamplingData[[#This Row],[Winning Candidate]]-SamplingData[[#This Row],[Candidate 3]])/(SamplingData[[#Totals],[Winning Candidate]]-SamplingData[[#Totals],[Candidate 3]]), 0)</f>
        <v>2.6131561118817952E-3</v>
      </c>
      <c r="M1730" s="100">
        <f>IF(AND(SamplingData[[#This Row],[Total]]&lt;&gt; 0, NOT(ISBLANK(SamplingData[[#This Row],[Candidate 4]]))),(SamplingData[[#This Row],[Total]]+SamplingData[[#This Row],[Winning Candidate]]-SamplingData[[#This Row],[Candidate 4]])/(SamplingData[[#Totals],[Winning Candidate]]-SamplingData[[#Totals],[Candidate 4]]), 0)</f>
        <v>2.5431903884942557E-3</v>
      </c>
      <c r="N1730" s="100">
        <f>IF(AND(SamplingData[[#This Row],[Total]]&lt;&gt; 0, NOT(ISBLANK(SamplingData[[#This Row],[Candidate 5]]))),(SamplingData[[#This Row],[Total]]+SamplingData[[#This Row],[Winning Candidate]]-SamplingData[[#This Row],[Candidate 5]])/(SamplingData[[#Totals],[Winning Candidate]]-SamplingData[[#Totals],[Candidate 5]]), 0)</f>
        <v>2.1405983945512043E-3</v>
      </c>
      <c r="O1730" s="100">
        <f>IF(AND(SamplingData[[#This Row],[Total]]&lt;&gt; 0, NOT(ISBLANK(SamplingData[[#This Row],[Candidate 6]]))),(SamplingData[[#This Row],[Total]]+SamplingData[[#This Row],[Winning Candidate]]-SamplingData[[#This Row],[Candidate 6]])/(SamplingData[[#Totals],[Winning Candidate]]-SamplingData[[#Totals],[Candidate 6]]), 0)</f>
        <v>2.16429162005739E-3</v>
      </c>
      <c r="P1730" s="100">
        <f>MAX(SamplingData[[#This Row],[Error Bound (up) - Max. possible relative overstatement - Losing Candidate]:[Error Bound (up) - Max. possible relative overstatement - Candidate 6]])</f>
        <v>3.7359137677609017E-3</v>
      </c>
      <c r="Q1730" s="100">
        <f>IF(SamplingData[[#This Row],[Max Error Bound (up)]] = 0,0,SamplingData[[#This Row],[Max Error Bound (up)]]/SamplingData[[#Totals],[Max Error Bound (up)]])</f>
        <v>5.9126984498519581E-4</v>
      </c>
      <c r="R1730" s="101">
        <f>SUM($Q$5:Q1730)</f>
        <v>0.64429348737364045</v>
      </c>
      <c r="S1730" s="100" t="str">
        <f t="array" ref="S1730">IF(SamplingData[[#This Row],[up/U Selection Probability]] = 0, "Zero", TEXT(SamplingData[[#This Row],[Lower Range]], REPT("0",LEN('General Info'!$B$40))) &amp; " - " &amp; TEXT(SamplingData[[#This Row],[Upper Range]], REPT("0",LEN('General Info'!$B$40))))</f>
        <v>64370 - 64428</v>
      </c>
      <c r="T1730" s="100">
        <f>SamplingData[[#This Row],[Upper Range]]-SamplingData[[#This Row],[Span]]</f>
        <v>64370.222344135371</v>
      </c>
      <c r="U1730" s="100">
        <f>IF(ISNUMBER('General Info'!$B$40), ((SamplingData[[#This Row],[up/U Selection Probability]]) * 'General Info'!$B$40) - 1, 0)</f>
        <v>58.126393228674594</v>
      </c>
      <c r="V1730" s="100">
        <f>IF(ISNUMBER('General Info'!$B$40), (SamplingData[[#This Row],[Running (cumulative) sum]] * ('General Info'!$B$40 -'General Info'!$B$41 + 1)) + 'General Info'!$B$41 - 1, 0)</f>
        <v>64428.348737364046</v>
      </c>
      <c r="W1730" s="100" t="str">
        <f>IF(ISERROR(MATCH(SamplingData[[#This Row],[Batch by Type (p)]],SelectedPrecincts[Batch Name], 0)), "", INDEX(SelectedPrecincts[Draw], MATCH(SamplingData[[#This Row],[Batch by Type (p)]],SelectedPrecincts[Batch Name], 0)))</f>
        <v/>
      </c>
      <c r="X1730" s="102">
        <f>IF(COUNTIF(SelectedPrecincts[Batch Name],SamplingData[[#This Row],[Batch by Type (p)]]) &lt;&gt; 0, COUNTIF(SelectedPrecincts[Batch Name],SamplingData[[#This Row],[Batch by Type (p)]]), 0)</f>
        <v>0</v>
      </c>
    </row>
    <row r="1731" spans="1:24" ht="15" customHeight="1">
      <c r="A1731" s="18" t="s">
        <v>1907</v>
      </c>
      <c r="B1731" s="18">
        <v>16</v>
      </c>
      <c r="C1731" s="18">
        <v>16</v>
      </c>
      <c r="D1731" s="16">
        <v>7</v>
      </c>
      <c r="E1731" s="16">
        <v>4</v>
      </c>
      <c r="F1731" s="37">
        <v>0</v>
      </c>
      <c r="G1731" s="37">
        <v>2</v>
      </c>
      <c r="H1731" s="17">
        <v>0</v>
      </c>
      <c r="I1731" s="17">
        <v>0</v>
      </c>
      <c r="J1731" s="99">
        <f>SUM(SamplingData[[#This Row],[Losing Candidate]:[Under Votes]])</f>
        <v>45</v>
      </c>
      <c r="K1731"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731" s="100">
        <f>IF(AND(SamplingData[[#This Row],[Total]]&lt;&gt; 0, NOT(ISBLANK(SamplingData[[#This Row],[Candidate 3]]))),(SamplingData[[#This Row],[Total]]+SamplingData[[#This Row],[Winning Candidate]]-SamplingData[[#This Row],[Candidate 3]])/(SamplingData[[#Totals],[Winning Candidate]]-SamplingData[[#Totals],[Candidate 3]]), 0)</f>
        <v>1.7421040745878634E-3</v>
      </c>
      <c r="M1731" s="100">
        <f>IF(AND(SamplingData[[#This Row],[Total]]&lt;&gt; 0, NOT(ISBLANK(SamplingData[[#This Row],[Candidate 4]]))),(SamplingData[[#This Row],[Total]]+SamplingData[[#This Row],[Winning Candidate]]-SamplingData[[#This Row],[Candidate 4]])/(SamplingData[[#Totals],[Winning Candidate]]-SamplingData[[#Totals],[Candidate 4]]), 0)</f>
        <v>1.6662281855652022E-3</v>
      </c>
      <c r="N1731" s="100">
        <f>IF(AND(SamplingData[[#This Row],[Total]]&lt;&gt; 0, NOT(ISBLANK(SamplingData[[#This Row],[Candidate 5]]))),(SamplingData[[#This Row],[Total]]+SamplingData[[#This Row],[Winning Candidate]]-SamplingData[[#This Row],[Candidate 5]])/(SamplingData[[#Totals],[Winning Candidate]]-SamplingData[[#Totals],[Candidate 5]]), 0)</f>
        <v>1.4838238871320846E-3</v>
      </c>
      <c r="O1731" s="100">
        <f>IF(AND(SamplingData[[#This Row],[Total]]&lt;&gt; 0, NOT(ISBLANK(SamplingData[[#This Row],[Candidate 6]]))),(SamplingData[[#This Row],[Total]]+SamplingData[[#This Row],[Winning Candidate]]-SamplingData[[#This Row],[Candidate 6]])/(SamplingData[[#Totals],[Winning Candidate]]-SamplingData[[#Totals],[Candidate 6]]), 0)</f>
        <v>1.4347551189144497E-3</v>
      </c>
      <c r="P1731" s="100">
        <f>MAX(SamplingData[[#This Row],[Error Bound (up) - Max. possible relative overstatement - Losing Candidate]:[Error Bound (up) - Max. possible relative overstatement - Candidate 6]])</f>
        <v>2.7560019598236157E-3</v>
      </c>
      <c r="Q1731" s="100">
        <f>IF(SamplingData[[#This Row],[Max Error Bound (up)]] = 0,0,SamplingData[[#This Row],[Max Error Bound (up)]]/SamplingData[[#Totals],[Max Error Bound (up)]])</f>
        <v>4.3618267253006237E-4</v>
      </c>
      <c r="R1731" s="101">
        <f>SUM($Q$5:Q1731)</f>
        <v>0.64472967004617054</v>
      </c>
      <c r="S1731" s="100" t="str">
        <f t="array" ref="S1731">IF(SamplingData[[#This Row],[up/U Selection Probability]] = 0, "Zero", TEXT(SamplingData[[#This Row],[Lower Range]], REPT("0",LEN('General Info'!$B$40))) &amp; " - " &amp; TEXT(SamplingData[[#This Row],[Upper Range]], REPT("0",LEN('General Info'!$B$40))))</f>
        <v>64429 - 64472</v>
      </c>
      <c r="T1731" s="100">
        <f>SamplingData[[#This Row],[Upper Range]]-SamplingData[[#This Row],[Span]]</f>
        <v>64429.349173546725</v>
      </c>
      <c r="U1731" s="100">
        <f>IF(ISNUMBER('General Info'!$B$40), ((SamplingData[[#This Row],[up/U Selection Probability]]) * 'General Info'!$B$40) - 1, 0)</f>
        <v>42.617831070333708</v>
      </c>
      <c r="V1731" s="100">
        <f>IF(ISNUMBER('General Info'!$B$40), (SamplingData[[#This Row],[Running (cumulative) sum]] * ('General Info'!$B$40 -'General Info'!$B$41 + 1)) + 'General Info'!$B$41 - 1, 0)</f>
        <v>64471.967004617058</v>
      </c>
      <c r="W1731" s="100" t="str">
        <f>IF(ISERROR(MATCH(SamplingData[[#This Row],[Batch by Type (p)]],SelectedPrecincts[Batch Name], 0)), "", INDEX(SelectedPrecincts[Draw], MATCH(SamplingData[[#This Row],[Batch by Type (p)]],SelectedPrecincts[Batch Name], 0)))</f>
        <v/>
      </c>
      <c r="X1731" s="102">
        <f>IF(COUNTIF(SelectedPrecincts[Batch Name],SamplingData[[#This Row],[Batch by Type (p)]]) &lt;&gt; 0, COUNTIF(SelectedPrecincts[Batch Name],SamplingData[[#This Row],[Batch by Type (p)]]), 0)</f>
        <v>0</v>
      </c>
    </row>
    <row r="1732" spans="1:24" ht="15" customHeight="1">
      <c r="A1732" s="18" t="s">
        <v>1908</v>
      </c>
      <c r="B1732" s="18">
        <v>13</v>
      </c>
      <c r="C1732" s="18">
        <v>6</v>
      </c>
      <c r="D1732" s="18">
        <v>4</v>
      </c>
      <c r="E1732" s="18">
        <v>0</v>
      </c>
      <c r="F1732" s="18">
        <v>0</v>
      </c>
      <c r="G1732" s="18">
        <v>0</v>
      </c>
      <c r="H1732" s="18">
        <v>0</v>
      </c>
      <c r="I1732" s="18">
        <v>0</v>
      </c>
      <c r="J1732" s="99">
        <f>SUM(SamplingData[[#This Row],[Losing Candidate]:[Under Votes]])</f>
        <v>23</v>
      </c>
      <c r="K1732"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732" s="100">
        <f>IF(AND(SamplingData[[#This Row],[Total]]&lt;&gt; 0, NOT(ISBLANK(SamplingData[[#This Row],[Candidate 3]]))),(SamplingData[[#This Row],[Total]]+SamplingData[[#This Row],[Winning Candidate]]-SamplingData[[#This Row],[Candidate 3]])/(SamplingData[[#Totals],[Winning Candidate]]-SamplingData[[#Totals],[Candidate 3]]), 0)</f>
        <v>8.0652966416104783E-4</v>
      </c>
      <c r="M1732" s="100">
        <f>IF(AND(SamplingData[[#This Row],[Total]]&lt;&gt; 0, NOT(ISBLANK(SamplingData[[#This Row],[Candidate 4]]))),(SamplingData[[#This Row],[Total]]+SamplingData[[#This Row],[Winning Candidate]]-SamplingData[[#This Row],[Candidate 4]])/(SamplingData[[#Totals],[Winning Candidate]]-SamplingData[[#Totals],[Candidate 4]]), 0)</f>
        <v>8.4773012949808531E-4</v>
      </c>
      <c r="N1732" s="100">
        <f>IF(AND(SamplingData[[#This Row],[Total]]&lt;&gt; 0, NOT(ISBLANK(SamplingData[[#This Row],[Candidate 5]]))),(SamplingData[[#This Row],[Total]]+SamplingData[[#This Row],[Winning Candidate]]-SamplingData[[#This Row],[Candidate 5]])/(SamplingData[[#Totals],[Winning Candidate]]-SamplingData[[#Totals],[Candidate 5]]), 0)</f>
        <v>7.0542447093164683E-4</v>
      </c>
      <c r="O1732" s="100">
        <f>IF(AND(SamplingData[[#This Row],[Total]]&lt;&gt; 0, NOT(ISBLANK(SamplingData[[#This Row],[Candidate 6]]))),(SamplingData[[#This Row],[Total]]+SamplingData[[#This Row],[Winning Candidate]]-SamplingData[[#This Row],[Candidate 6]])/(SamplingData[[#Totals],[Winning Candidate]]-SamplingData[[#Totals],[Candidate 6]]), 0)</f>
        <v>7.0521861777150916E-4</v>
      </c>
      <c r="P1732" s="100">
        <f>MAX(SamplingData[[#This Row],[Error Bound (up) - Max. possible relative overstatement - Losing Candidate]:[Error Bound (up) - Max. possible relative overstatement - Candidate 6]])</f>
        <v>9.7991180793728563E-4</v>
      </c>
      <c r="Q1732" s="100">
        <f>IF(SamplingData[[#This Row],[Max Error Bound (up)]] = 0,0,SamplingData[[#This Row],[Max Error Bound (up)]]/SamplingData[[#Totals],[Max Error Bound (up)]])</f>
        <v>1.550871724551333E-4</v>
      </c>
      <c r="R1732" s="101">
        <f>SUM($Q$5:Q1732)</f>
        <v>0.6448847572186257</v>
      </c>
      <c r="S1732" s="100" t="str">
        <f t="array" ref="S1732">IF(SamplingData[[#This Row],[up/U Selection Probability]] = 0, "Zero", TEXT(SamplingData[[#This Row],[Lower Range]], REPT("0",LEN('General Info'!$B$40))) &amp; " - " &amp; TEXT(SamplingData[[#This Row],[Upper Range]], REPT("0",LEN('General Info'!$B$40))))</f>
        <v>64473 - 64487</v>
      </c>
      <c r="T1732" s="100">
        <f>SamplingData[[#This Row],[Upper Range]]-SamplingData[[#This Row],[Span]]</f>
        <v>64472.967159704225</v>
      </c>
      <c r="U1732" s="100">
        <f>IF(ISNUMBER('General Info'!$B$40), ((SamplingData[[#This Row],[up/U Selection Probability]]) * 'General Info'!$B$40) - 1, 0)</f>
        <v>14.508562158340876</v>
      </c>
      <c r="V1732" s="100">
        <f>IF(ISNUMBER('General Info'!$B$40), (SamplingData[[#This Row],[Running (cumulative) sum]] * ('General Info'!$B$40 -'General Info'!$B$41 + 1)) + 'General Info'!$B$41 - 1, 0)</f>
        <v>64487.475721862567</v>
      </c>
      <c r="W1732" s="100" t="str">
        <f>IF(ISERROR(MATCH(SamplingData[[#This Row],[Batch by Type (p)]],SelectedPrecincts[Batch Name], 0)), "", INDEX(SelectedPrecincts[Draw], MATCH(SamplingData[[#This Row],[Batch by Type (p)]],SelectedPrecincts[Batch Name], 0)))</f>
        <v/>
      </c>
      <c r="X1732" s="102">
        <f>IF(COUNTIF(SelectedPrecincts[Batch Name],SamplingData[[#This Row],[Batch by Type (p)]]) &lt;&gt; 0, COUNTIF(SelectedPrecincts[Batch Name],SamplingData[[#This Row],[Batch by Type (p)]]), 0)</f>
        <v>0</v>
      </c>
    </row>
    <row r="1733" spans="1:24" ht="15" customHeight="1">
      <c r="A1733" s="18" t="s">
        <v>1909</v>
      </c>
      <c r="B1733" s="18">
        <v>10</v>
      </c>
      <c r="C1733" s="18">
        <v>31</v>
      </c>
      <c r="D1733" s="16">
        <v>7</v>
      </c>
      <c r="E1733" s="16">
        <v>5</v>
      </c>
      <c r="F1733" s="37">
        <v>0</v>
      </c>
      <c r="G1733" s="37">
        <v>0</v>
      </c>
      <c r="H1733" s="17">
        <v>0</v>
      </c>
      <c r="I1733" s="17">
        <v>0</v>
      </c>
      <c r="J1733" s="99">
        <f>SUM(SamplingData[[#This Row],[Losing Candidate]:[Under Votes]])</f>
        <v>53</v>
      </c>
      <c r="K1733" s="100">
        <f>IF(AND(SamplingData[[#This Row],[Total]]&lt;&gt; 0, NOT(ISBLANK(SamplingData[[#This Row],[Losing Candidate]]))),(SamplingData[[#This Row],[Total]]+SamplingData[[#This Row],[Winning Candidate]]-SamplingData[[#This Row],[Losing Candidate]])/(SamplingData[[#Totals],[Winning Candidate]]-SamplingData[[#Totals],[Losing Candidate]]), 0)</f>
        <v>4.5320921117099457E-3</v>
      </c>
      <c r="L1733" s="100">
        <f>IF(AND(SamplingData[[#This Row],[Total]]&lt;&gt; 0, NOT(ISBLANK(SamplingData[[#This Row],[Candidate 3]]))),(SamplingData[[#This Row],[Total]]+SamplingData[[#This Row],[Winning Candidate]]-SamplingData[[#This Row],[Candidate 3]])/(SamplingData[[#Totals],[Winning Candidate]]-SamplingData[[#Totals],[Candidate 3]]), 0)</f>
        <v>2.4841113656160273E-3</v>
      </c>
      <c r="M1733" s="100">
        <f>IF(AND(SamplingData[[#This Row],[Total]]&lt;&gt; 0, NOT(ISBLANK(SamplingData[[#This Row],[Candidate 4]]))),(SamplingData[[#This Row],[Total]]+SamplingData[[#This Row],[Winning Candidate]]-SamplingData[[#This Row],[Candidate 4]])/(SamplingData[[#Totals],[Winning Candidate]]-SamplingData[[#Totals],[Candidate 4]]), 0)</f>
        <v>2.3093338010465084E-3</v>
      </c>
      <c r="N1733" s="100">
        <f>IF(AND(SamplingData[[#This Row],[Total]]&lt;&gt; 0, NOT(ISBLANK(SamplingData[[#This Row],[Candidate 5]]))),(SamplingData[[#This Row],[Total]]+SamplingData[[#This Row],[Winning Candidate]]-SamplingData[[#This Row],[Candidate 5]])/(SamplingData[[#Totals],[Winning Candidate]]-SamplingData[[#Totals],[Candidate 5]]), 0)</f>
        <v>2.0432984675261496E-3</v>
      </c>
      <c r="O1733" s="100">
        <f>IF(AND(SamplingData[[#This Row],[Total]]&lt;&gt; 0, NOT(ISBLANK(SamplingData[[#This Row],[Candidate 6]]))),(SamplingData[[#This Row],[Total]]+SamplingData[[#This Row],[Winning Candidate]]-SamplingData[[#This Row],[Candidate 6]])/(SamplingData[[#Totals],[Winning Candidate]]-SamplingData[[#Totals],[Candidate 6]]), 0)</f>
        <v>2.0427022032002335E-3</v>
      </c>
      <c r="P1733" s="100">
        <f>MAX(SamplingData[[#This Row],[Error Bound (up) - Max. possible relative overstatement - Losing Candidate]:[Error Bound (up) - Max. possible relative overstatement - Candidate 6]])</f>
        <v>4.5320921117099457E-3</v>
      </c>
      <c r="Q1733" s="100">
        <f>IF(SamplingData[[#This Row],[Max Error Bound (up)]] = 0,0,SamplingData[[#This Row],[Max Error Bound (up)]]/SamplingData[[#Totals],[Max Error Bound (up)]])</f>
        <v>7.1727817260499151E-4</v>
      </c>
      <c r="R1733" s="101">
        <f>SUM($Q$5:Q1733)</f>
        <v>0.64560203539123073</v>
      </c>
      <c r="S1733" s="100" t="str">
        <f t="array" ref="S1733">IF(SamplingData[[#This Row],[up/U Selection Probability]] = 0, "Zero", TEXT(SamplingData[[#This Row],[Lower Range]], REPT("0",LEN('General Info'!$B$40))) &amp; " - " &amp; TEXT(SamplingData[[#This Row],[Upper Range]], REPT("0",LEN('General Info'!$B$40))))</f>
        <v>64488 - 64559</v>
      </c>
      <c r="T1733" s="100">
        <f>SamplingData[[#This Row],[Upper Range]]-SamplingData[[#This Row],[Span]]</f>
        <v>64488.476439140752</v>
      </c>
      <c r="U1733" s="100">
        <f>IF(ISNUMBER('General Info'!$B$40), ((SamplingData[[#This Row],[up/U Selection Probability]]) * 'General Info'!$B$40) - 1, 0)</f>
        <v>70.72709998232655</v>
      </c>
      <c r="V1733" s="100">
        <f>IF(ISNUMBER('General Info'!$B$40), (SamplingData[[#This Row],[Running (cumulative) sum]] * ('General Info'!$B$40 -'General Info'!$B$41 + 1)) + 'General Info'!$B$41 - 1, 0)</f>
        <v>64559.203539123075</v>
      </c>
      <c r="W1733" s="100" t="str">
        <f>IF(ISERROR(MATCH(SamplingData[[#This Row],[Batch by Type (p)]],SelectedPrecincts[Batch Name], 0)), "", INDEX(SelectedPrecincts[Draw], MATCH(SamplingData[[#This Row],[Batch by Type (p)]],SelectedPrecincts[Batch Name], 0)))</f>
        <v/>
      </c>
      <c r="X1733" s="102">
        <f>IF(COUNTIF(SelectedPrecincts[Batch Name],SamplingData[[#This Row],[Batch by Type (p)]]) &lt;&gt; 0, COUNTIF(SelectedPrecincts[Batch Name],SamplingData[[#This Row],[Batch by Type (p)]]), 0)</f>
        <v>0</v>
      </c>
    </row>
    <row r="1734" spans="1:24" ht="15" customHeight="1">
      <c r="A1734" s="18" t="s">
        <v>1910</v>
      </c>
      <c r="B1734" s="18">
        <v>9</v>
      </c>
      <c r="C1734" s="18">
        <v>10</v>
      </c>
      <c r="D1734" s="18">
        <v>2</v>
      </c>
      <c r="E1734" s="18">
        <v>2</v>
      </c>
      <c r="F1734" s="18">
        <v>0</v>
      </c>
      <c r="G1734" s="18">
        <v>1</v>
      </c>
      <c r="H1734" s="18">
        <v>0</v>
      </c>
      <c r="I1734" s="18">
        <v>0</v>
      </c>
      <c r="J1734" s="99">
        <f>SUM(SamplingData[[#This Row],[Losing Candidate]:[Under Votes]])</f>
        <v>24</v>
      </c>
      <c r="K1734"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1734" s="100">
        <f>IF(AND(SamplingData[[#This Row],[Total]]&lt;&gt; 0, NOT(ISBLANK(SamplingData[[#This Row],[Candidate 3]]))),(SamplingData[[#This Row],[Total]]+SamplingData[[#This Row],[Winning Candidate]]-SamplingData[[#This Row],[Candidate 3]])/(SamplingData[[#Totals],[Winning Candidate]]-SamplingData[[#Totals],[Candidate 3]]), 0)</f>
        <v>1.0323579701261413E-3</v>
      </c>
      <c r="M1734" s="100">
        <f>IF(AND(SamplingData[[#This Row],[Total]]&lt;&gt; 0, NOT(ISBLANK(SamplingData[[#This Row],[Candidate 4]]))),(SamplingData[[#This Row],[Total]]+SamplingData[[#This Row],[Winning Candidate]]-SamplingData[[#This Row],[Candidate 4]])/(SamplingData[[#Totals],[Winning Candidate]]-SamplingData[[#Totals],[Candidate 4]]), 0)</f>
        <v>9.3542634979099071E-4</v>
      </c>
      <c r="N1734" s="100">
        <f>IF(AND(SamplingData[[#This Row],[Total]]&lt;&gt; 0, NOT(ISBLANK(SamplingData[[#This Row],[Candidate 5]]))),(SamplingData[[#This Row],[Total]]+SamplingData[[#This Row],[Winning Candidate]]-SamplingData[[#This Row],[Candidate 5]])/(SamplingData[[#Totals],[Winning Candidate]]-SamplingData[[#Totals],[Candidate 5]]), 0)</f>
        <v>8.2704937971296523E-4</v>
      </c>
      <c r="O1734" s="100">
        <f>IF(AND(SamplingData[[#This Row],[Total]]&lt;&gt; 0, NOT(ISBLANK(SamplingData[[#This Row],[Candidate 6]]))),(SamplingData[[#This Row],[Total]]+SamplingData[[#This Row],[Winning Candidate]]-SamplingData[[#This Row],[Candidate 6]])/(SamplingData[[#Totals],[Winning Candidate]]-SamplingData[[#Totals],[Candidate 6]]), 0)</f>
        <v>8.024901512572346E-4</v>
      </c>
      <c r="P1734" s="100">
        <f>MAX(SamplingData[[#This Row],[Error Bound (up) - Max. possible relative overstatement - Losing Candidate]:[Error Bound (up) - Max. possible relative overstatement - Candidate 6]])</f>
        <v>1.5311121999020088E-3</v>
      </c>
      <c r="Q1734" s="100">
        <f>IF(SamplingData[[#This Row],[Max Error Bound (up)]] = 0,0,SamplingData[[#This Row],[Max Error Bound (up)]]/SamplingData[[#Totals],[Max Error Bound (up)]])</f>
        <v>2.4232370696114578E-4</v>
      </c>
      <c r="R1734" s="101">
        <f>SUM($Q$5:Q1734)</f>
        <v>0.64584435909819193</v>
      </c>
      <c r="S1734" s="100" t="str">
        <f t="array" ref="S1734">IF(SamplingData[[#This Row],[up/U Selection Probability]] = 0, "Zero", TEXT(SamplingData[[#This Row],[Lower Range]], REPT("0",LEN('General Info'!$B$40))) &amp; " - " &amp; TEXT(SamplingData[[#This Row],[Upper Range]], REPT("0",LEN('General Info'!$B$40))))</f>
        <v>64560 - 64583</v>
      </c>
      <c r="T1734" s="100">
        <f>SamplingData[[#This Row],[Upper Range]]-SamplingData[[#This Row],[Span]]</f>
        <v>64560.203781446784</v>
      </c>
      <c r="U1734" s="100">
        <f>IF(ISNUMBER('General Info'!$B$40), ((SamplingData[[#This Row],[up/U Selection Probability]]) * 'General Info'!$B$40) - 1, 0)</f>
        <v>23.232128372407619</v>
      </c>
      <c r="V1734" s="100">
        <f>IF(ISNUMBER('General Info'!$B$40), (SamplingData[[#This Row],[Running (cumulative) sum]] * ('General Info'!$B$40 -'General Info'!$B$41 + 1)) + 'General Info'!$B$41 - 1, 0)</f>
        <v>64583.435909819193</v>
      </c>
      <c r="W1734" s="100" t="str">
        <f>IF(ISERROR(MATCH(SamplingData[[#This Row],[Batch by Type (p)]],SelectedPrecincts[Batch Name], 0)), "", INDEX(SelectedPrecincts[Draw], MATCH(SamplingData[[#This Row],[Batch by Type (p)]],SelectedPrecincts[Batch Name], 0)))</f>
        <v/>
      </c>
      <c r="X1734" s="102">
        <f>IF(COUNTIF(SelectedPrecincts[Batch Name],SamplingData[[#This Row],[Batch by Type (p)]]) &lt;&gt; 0, COUNTIF(SelectedPrecincts[Batch Name],SamplingData[[#This Row],[Batch by Type (p)]]), 0)</f>
        <v>0</v>
      </c>
    </row>
    <row r="1735" spans="1:24" ht="15" customHeight="1">
      <c r="A1735" s="18" t="s">
        <v>1911</v>
      </c>
      <c r="B1735" s="18">
        <v>28</v>
      </c>
      <c r="C1735" s="18">
        <v>18</v>
      </c>
      <c r="D1735" s="16">
        <v>8</v>
      </c>
      <c r="E1735" s="16">
        <v>4</v>
      </c>
      <c r="F1735" s="37">
        <v>0</v>
      </c>
      <c r="G1735" s="37">
        <v>0</v>
      </c>
      <c r="H1735" s="17">
        <v>1</v>
      </c>
      <c r="I1735" s="17">
        <v>0</v>
      </c>
      <c r="J1735" s="99">
        <f>SUM(SamplingData[[#This Row],[Losing Candidate]:[Under Votes]])</f>
        <v>59</v>
      </c>
      <c r="K1735"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1735" s="100">
        <f>IF(AND(SamplingData[[#This Row],[Total]]&lt;&gt; 0, NOT(ISBLANK(SamplingData[[#This Row],[Candidate 3]]))),(SamplingData[[#This Row],[Total]]+SamplingData[[#This Row],[Winning Candidate]]-SamplingData[[#This Row],[Candidate 3]])/(SamplingData[[#Totals],[Winning Candidate]]-SamplingData[[#Totals],[Candidate 3]]), 0)</f>
        <v>2.2260218730844922E-3</v>
      </c>
      <c r="M1735" s="100">
        <f>IF(AND(SamplingData[[#This Row],[Total]]&lt;&gt; 0, NOT(ISBLANK(SamplingData[[#This Row],[Candidate 4]]))),(SamplingData[[#This Row],[Total]]+SamplingData[[#This Row],[Winning Candidate]]-SamplingData[[#This Row],[Candidate 4]])/(SamplingData[[#Totals],[Winning Candidate]]-SamplingData[[#Totals],[Candidate 4]]), 0)</f>
        <v>2.1339413604606976E-3</v>
      </c>
      <c r="N1735" s="100">
        <f>IF(AND(SamplingData[[#This Row],[Total]]&lt;&gt; 0, NOT(ISBLANK(SamplingData[[#This Row],[Candidate 5]]))),(SamplingData[[#This Row],[Total]]+SamplingData[[#This Row],[Winning Candidate]]-SamplingData[[#This Row],[Candidate 5]])/(SamplingData[[#Totals],[Winning Candidate]]-SamplingData[[#Totals],[Candidate 5]]), 0)</f>
        <v>1.8730235952323035E-3</v>
      </c>
      <c r="O1735" s="100">
        <f>IF(AND(SamplingData[[#This Row],[Total]]&lt;&gt; 0, NOT(ISBLANK(SamplingData[[#This Row],[Candidate 6]]))),(SamplingData[[#This Row],[Total]]+SamplingData[[#This Row],[Winning Candidate]]-SamplingData[[#This Row],[Candidate 6]])/(SamplingData[[#Totals],[Winning Candidate]]-SamplingData[[#Totals],[Candidate 6]]), 0)</f>
        <v>1.872477019600214E-3</v>
      </c>
      <c r="P1735" s="100">
        <f>MAX(SamplingData[[#This Row],[Error Bound (up) - Max. possible relative overstatement - Losing Candidate]:[Error Bound (up) - Max. possible relative overstatement - Candidate 6]])</f>
        <v>3.0009799118079373E-3</v>
      </c>
      <c r="Q1735" s="100">
        <f>IF(SamplingData[[#This Row],[Max Error Bound (up)]] = 0,0,SamplingData[[#This Row],[Max Error Bound (up)]]/SamplingData[[#Totals],[Max Error Bound (up)]])</f>
        <v>4.7495446564384573E-4</v>
      </c>
      <c r="R1735" s="101">
        <f>SUM($Q$5:Q1735)</f>
        <v>0.64631931356383576</v>
      </c>
      <c r="S1735" s="100" t="str">
        <f t="array" ref="S1735">IF(SamplingData[[#This Row],[up/U Selection Probability]] = 0, "Zero", TEXT(SamplingData[[#This Row],[Lower Range]], REPT("0",LEN('General Info'!$B$40))) &amp; " - " &amp; TEXT(SamplingData[[#This Row],[Upper Range]], REPT("0",LEN('General Info'!$B$40))))</f>
        <v>64584 - 64631</v>
      </c>
      <c r="T1735" s="100">
        <f>SamplingData[[#This Row],[Upper Range]]-SamplingData[[#This Row],[Span]]</f>
        <v>64584.436384773653</v>
      </c>
      <c r="U1735" s="100">
        <f>IF(ISNUMBER('General Info'!$B$40), ((SamplingData[[#This Row],[up/U Selection Probability]]) * 'General Info'!$B$40) - 1, 0)</f>
        <v>46.494971609918927</v>
      </c>
      <c r="V1735" s="100">
        <f>IF(ISNUMBER('General Info'!$B$40), (SamplingData[[#This Row],[Running (cumulative) sum]] * ('General Info'!$B$40 -'General Info'!$B$41 + 1)) + 'General Info'!$B$41 - 1, 0)</f>
        <v>64630.931356383575</v>
      </c>
      <c r="W1735" s="100" t="str">
        <f>IF(ISERROR(MATCH(SamplingData[[#This Row],[Batch by Type (p)]],SelectedPrecincts[Batch Name], 0)), "", INDEX(SelectedPrecincts[Draw], MATCH(SamplingData[[#This Row],[Batch by Type (p)]],SelectedPrecincts[Batch Name], 0)))</f>
        <v/>
      </c>
      <c r="X1735" s="102">
        <f>IF(COUNTIF(SelectedPrecincts[Batch Name],SamplingData[[#This Row],[Batch by Type (p)]]) &lt;&gt; 0, COUNTIF(SelectedPrecincts[Batch Name],SamplingData[[#This Row],[Batch by Type (p)]]), 0)</f>
        <v>0</v>
      </c>
    </row>
    <row r="1736" spans="1:24" ht="15" customHeight="1">
      <c r="A1736" s="18" t="s">
        <v>1912</v>
      </c>
      <c r="B1736" s="18">
        <v>8</v>
      </c>
      <c r="C1736" s="18">
        <v>10</v>
      </c>
      <c r="D1736" s="18">
        <v>2</v>
      </c>
      <c r="E1736" s="18">
        <v>2</v>
      </c>
      <c r="F1736" s="18">
        <v>1</v>
      </c>
      <c r="G1736" s="18">
        <v>0</v>
      </c>
      <c r="H1736" s="18">
        <v>0</v>
      </c>
      <c r="I1736" s="18">
        <v>1</v>
      </c>
      <c r="J1736" s="99">
        <f>SUM(SamplingData[[#This Row],[Losing Candidate]:[Under Votes]])</f>
        <v>24</v>
      </c>
      <c r="K1736"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736" s="100">
        <f>IF(AND(SamplingData[[#This Row],[Total]]&lt;&gt; 0, NOT(ISBLANK(SamplingData[[#This Row],[Candidate 3]]))),(SamplingData[[#This Row],[Total]]+SamplingData[[#This Row],[Winning Candidate]]-SamplingData[[#This Row],[Candidate 3]])/(SamplingData[[#Totals],[Winning Candidate]]-SamplingData[[#Totals],[Candidate 3]]), 0)</f>
        <v>1.0323579701261413E-3</v>
      </c>
      <c r="M1736" s="100">
        <f>IF(AND(SamplingData[[#This Row],[Total]]&lt;&gt; 0, NOT(ISBLANK(SamplingData[[#This Row],[Candidate 4]]))),(SamplingData[[#This Row],[Total]]+SamplingData[[#This Row],[Winning Candidate]]-SamplingData[[#This Row],[Candidate 4]])/(SamplingData[[#Totals],[Winning Candidate]]-SamplingData[[#Totals],[Candidate 4]]), 0)</f>
        <v>9.3542634979099071E-4</v>
      </c>
      <c r="N1736" s="100">
        <f>IF(AND(SamplingData[[#This Row],[Total]]&lt;&gt; 0, NOT(ISBLANK(SamplingData[[#This Row],[Candidate 5]]))),(SamplingData[[#This Row],[Total]]+SamplingData[[#This Row],[Winning Candidate]]-SamplingData[[#This Row],[Candidate 5]])/(SamplingData[[#Totals],[Winning Candidate]]-SamplingData[[#Totals],[Candidate 5]]), 0)</f>
        <v>8.0272439795670155E-4</v>
      </c>
      <c r="O1736" s="100">
        <f>IF(AND(SamplingData[[#This Row],[Total]]&lt;&gt; 0, NOT(ISBLANK(SamplingData[[#This Row],[Candidate 6]]))),(SamplingData[[#This Row],[Total]]+SamplingData[[#This Row],[Winning Candidate]]-SamplingData[[#This Row],[Candidate 6]])/(SamplingData[[#Totals],[Winning Candidate]]-SamplingData[[#Totals],[Candidate 6]]), 0)</f>
        <v>8.2680803462866588E-4</v>
      </c>
      <c r="P1736" s="100">
        <f>MAX(SamplingData[[#This Row],[Error Bound (up) - Max. possible relative overstatement - Losing Candidate]:[Error Bound (up) - Max. possible relative overstatement - Candidate 6]])</f>
        <v>1.5923566878980893E-3</v>
      </c>
      <c r="Q1736" s="100">
        <f>IF(SamplingData[[#This Row],[Max Error Bound (up)]] = 0,0,SamplingData[[#This Row],[Max Error Bound (up)]]/SamplingData[[#Totals],[Max Error Bound (up)]])</f>
        <v>2.5201665523959162E-4</v>
      </c>
      <c r="R1736" s="101">
        <f>SUM($Q$5:Q1736)</f>
        <v>0.64657133021907531</v>
      </c>
      <c r="S1736" s="100" t="str">
        <f t="array" ref="S1736">IF(SamplingData[[#This Row],[up/U Selection Probability]] = 0, "Zero", TEXT(SamplingData[[#This Row],[Lower Range]], REPT("0",LEN('General Info'!$B$40))) &amp; " - " &amp; TEXT(SamplingData[[#This Row],[Upper Range]], REPT("0",LEN('General Info'!$B$40))))</f>
        <v>64632 - 64656</v>
      </c>
      <c r="T1736" s="100">
        <f>SamplingData[[#This Row],[Upper Range]]-SamplingData[[#This Row],[Span]]</f>
        <v>64631.931608400228</v>
      </c>
      <c r="U1736" s="100">
        <f>IF(ISNUMBER('General Info'!$B$40), ((SamplingData[[#This Row],[up/U Selection Probability]]) * 'General Info'!$B$40) - 1, 0)</f>
        <v>24.201413507303922</v>
      </c>
      <c r="V1736" s="100">
        <f>IF(ISNUMBER('General Info'!$B$40), (SamplingData[[#This Row],[Running (cumulative) sum]] * ('General Info'!$B$40 -'General Info'!$B$41 + 1)) + 'General Info'!$B$41 - 1, 0)</f>
        <v>64656.133021907532</v>
      </c>
      <c r="W1736" s="100" t="str">
        <f>IF(ISERROR(MATCH(SamplingData[[#This Row],[Batch by Type (p)]],SelectedPrecincts[Batch Name], 0)), "", INDEX(SelectedPrecincts[Draw], MATCH(SamplingData[[#This Row],[Batch by Type (p)]],SelectedPrecincts[Batch Name], 0)))</f>
        <v/>
      </c>
      <c r="X1736" s="102">
        <f>IF(COUNTIF(SelectedPrecincts[Batch Name],SamplingData[[#This Row],[Batch by Type (p)]]) &lt;&gt; 0, COUNTIF(SelectedPrecincts[Batch Name],SamplingData[[#This Row],[Batch by Type (p)]]), 0)</f>
        <v>0</v>
      </c>
    </row>
    <row r="1737" spans="1:24" ht="15" customHeight="1">
      <c r="A1737" s="18" t="s">
        <v>1913</v>
      </c>
      <c r="B1737" s="18">
        <v>21</v>
      </c>
      <c r="C1737" s="18">
        <v>22</v>
      </c>
      <c r="D1737" s="16">
        <v>10</v>
      </c>
      <c r="E1737" s="16">
        <v>3</v>
      </c>
      <c r="F1737" s="37">
        <v>0</v>
      </c>
      <c r="G1737" s="37">
        <v>0</v>
      </c>
      <c r="H1737" s="17">
        <v>0</v>
      </c>
      <c r="I1737" s="17">
        <v>1</v>
      </c>
      <c r="J1737" s="99">
        <f>SUM(SamplingData[[#This Row],[Losing Candidate]:[Under Votes]])</f>
        <v>57</v>
      </c>
      <c r="K1737" s="100">
        <f>IF(AND(SamplingData[[#This Row],[Total]]&lt;&gt; 0, NOT(ISBLANK(SamplingData[[#This Row],[Losing Candidate]]))),(SamplingData[[#This Row],[Total]]+SamplingData[[#This Row],[Winning Candidate]]-SamplingData[[#This Row],[Losing Candidate]])/(SamplingData[[#Totals],[Winning Candidate]]-SamplingData[[#Totals],[Losing Candidate]]), 0)</f>
        <v>3.5521803037726605E-3</v>
      </c>
      <c r="L1737" s="100">
        <f>IF(AND(SamplingData[[#This Row],[Total]]&lt;&gt; 0, NOT(ISBLANK(SamplingData[[#This Row],[Candidate 3]]))),(SamplingData[[#This Row],[Total]]+SamplingData[[#This Row],[Winning Candidate]]-SamplingData[[#This Row],[Candidate 3]])/(SamplingData[[#Totals],[Winning Candidate]]-SamplingData[[#Totals],[Candidate 3]]), 0)</f>
        <v>2.2260218730844922E-3</v>
      </c>
      <c r="M1737" s="100">
        <f>IF(AND(SamplingData[[#This Row],[Total]]&lt;&gt; 0, NOT(ISBLANK(SamplingData[[#This Row],[Candidate 4]]))),(SamplingData[[#This Row],[Total]]+SamplingData[[#This Row],[Winning Candidate]]-SamplingData[[#This Row],[Candidate 4]])/(SamplingData[[#Totals],[Winning Candidate]]-SamplingData[[#Totals],[Candidate 4]]), 0)</f>
        <v>2.221637580753603E-3</v>
      </c>
      <c r="N1737" s="100">
        <f>IF(AND(SamplingData[[#This Row],[Total]]&lt;&gt; 0, NOT(ISBLANK(SamplingData[[#This Row],[Candidate 5]]))),(SamplingData[[#This Row],[Total]]+SamplingData[[#This Row],[Winning Candidate]]-SamplingData[[#This Row],[Candidate 5]])/(SamplingData[[#Totals],[Winning Candidate]]-SamplingData[[#Totals],[Candidate 5]]), 0)</f>
        <v>1.921673558744831E-3</v>
      </c>
      <c r="O1737" s="100">
        <f>IF(AND(SamplingData[[#This Row],[Total]]&lt;&gt; 0, NOT(ISBLANK(SamplingData[[#This Row],[Candidate 6]]))),(SamplingData[[#This Row],[Total]]+SamplingData[[#This Row],[Winning Candidate]]-SamplingData[[#This Row],[Candidate 6]])/(SamplingData[[#Totals],[Winning Candidate]]-SamplingData[[#Totals],[Candidate 6]]), 0)</f>
        <v>1.9211127863430768E-3</v>
      </c>
      <c r="P1737" s="100">
        <f>MAX(SamplingData[[#This Row],[Error Bound (up) - Max. possible relative overstatement - Losing Candidate]:[Error Bound (up) - Max. possible relative overstatement - Candidate 6]])</f>
        <v>3.5521803037726605E-3</v>
      </c>
      <c r="Q1737" s="100">
        <f>IF(SamplingData[[#This Row],[Max Error Bound (up)]] = 0,0,SamplingData[[#This Row],[Max Error Bound (up)]]/SamplingData[[#Totals],[Max Error Bound (up)]])</f>
        <v>5.6219100014985829E-4</v>
      </c>
      <c r="R1737" s="101">
        <f>SUM($Q$5:Q1737)</f>
        <v>0.64713352121922518</v>
      </c>
      <c r="S1737" s="100" t="str">
        <f t="array" ref="S1737">IF(SamplingData[[#This Row],[up/U Selection Probability]] = 0, "Zero", TEXT(SamplingData[[#This Row],[Lower Range]], REPT("0",LEN('General Info'!$B$40))) &amp; " - " &amp; TEXT(SamplingData[[#This Row],[Upper Range]], REPT("0",LEN('General Info'!$B$40))))</f>
        <v>64657 - 64712</v>
      </c>
      <c r="T1737" s="100">
        <f>SamplingData[[#This Row],[Upper Range]]-SamplingData[[#This Row],[Span]]</f>
        <v>64657.133584098527</v>
      </c>
      <c r="U1737" s="100">
        <f>IF(ISNUMBER('General Info'!$B$40), ((SamplingData[[#This Row],[up/U Selection Probability]]) * 'General Info'!$B$40) - 1, 0)</f>
        <v>55.218537823985677</v>
      </c>
      <c r="V1737" s="100">
        <f>IF(ISNUMBER('General Info'!$B$40), (SamplingData[[#This Row],[Running (cumulative) sum]] * ('General Info'!$B$40 -'General Info'!$B$41 + 1)) + 'General Info'!$B$41 - 1, 0)</f>
        <v>64712.352121922515</v>
      </c>
      <c r="W1737" s="100" t="str">
        <f>IF(ISERROR(MATCH(SamplingData[[#This Row],[Batch by Type (p)]],SelectedPrecincts[Batch Name], 0)), "", INDEX(SelectedPrecincts[Draw], MATCH(SamplingData[[#This Row],[Batch by Type (p)]],SelectedPrecincts[Batch Name], 0)))</f>
        <v/>
      </c>
      <c r="X1737" s="102">
        <f>IF(COUNTIF(SelectedPrecincts[Batch Name],SamplingData[[#This Row],[Batch by Type (p)]]) &lt;&gt; 0, COUNTIF(SelectedPrecincts[Batch Name],SamplingData[[#This Row],[Batch by Type (p)]]), 0)</f>
        <v>0</v>
      </c>
    </row>
    <row r="1738" spans="1:24" ht="15" customHeight="1">
      <c r="A1738" s="18" t="s">
        <v>1914</v>
      </c>
      <c r="B1738" s="18">
        <v>1</v>
      </c>
      <c r="C1738" s="18">
        <v>7</v>
      </c>
      <c r="D1738" s="18">
        <v>1</v>
      </c>
      <c r="E1738" s="18">
        <v>2</v>
      </c>
      <c r="F1738" s="18">
        <v>0</v>
      </c>
      <c r="G1738" s="18">
        <v>0</v>
      </c>
      <c r="H1738" s="18">
        <v>0</v>
      </c>
      <c r="I1738" s="18">
        <v>0</v>
      </c>
      <c r="J1738" s="99">
        <f>SUM(SamplingData[[#This Row],[Losing Candidate]:[Under Votes]])</f>
        <v>11</v>
      </c>
      <c r="K1738"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738" s="100">
        <f>IF(AND(SamplingData[[#This Row],[Total]]&lt;&gt; 0, NOT(ISBLANK(SamplingData[[#This Row],[Candidate 3]]))),(SamplingData[[#This Row],[Total]]+SamplingData[[#This Row],[Winning Candidate]]-SamplingData[[#This Row],[Candidate 3]])/(SamplingData[[#Totals],[Winning Candidate]]-SamplingData[[#Totals],[Candidate 3]]), 0)</f>
        <v>5.4844017162951255E-4</v>
      </c>
      <c r="M1738" s="100">
        <f>IF(AND(SamplingData[[#This Row],[Total]]&lt;&gt; 0, NOT(ISBLANK(SamplingData[[#This Row],[Candidate 4]]))),(SamplingData[[#This Row],[Total]]+SamplingData[[#This Row],[Winning Candidate]]-SamplingData[[#This Row],[Candidate 4]])/(SamplingData[[#Totals],[Winning Candidate]]-SamplingData[[#Totals],[Candidate 4]]), 0)</f>
        <v>4.6771317489549536E-4</v>
      </c>
      <c r="N1738" s="100">
        <f>IF(AND(SamplingData[[#This Row],[Total]]&lt;&gt; 0, NOT(ISBLANK(SamplingData[[#This Row],[Candidate 5]]))),(SamplingData[[#This Row],[Total]]+SamplingData[[#This Row],[Winning Candidate]]-SamplingData[[#This Row],[Candidate 5]])/(SamplingData[[#Totals],[Winning Candidate]]-SamplingData[[#Totals],[Candidate 5]]), 0)</f>
        <v>4.3784967161274629E-4</v>
      </c>
      <c r="O1738" s="100">
        <f>IF(AND(SamplingData[[#This Row],[Total]]&lt;&gt; 0, NOT(ISBLANK(SamplingData[[#This Row],[Candidate 6]]))),(SamplingData[[#This Row],[Total]]+SamplingData[[#This Row],[Winning Candidate]]-SamplingData[[#This Row],[Candidate 6]])/(SamplingData[[#Totals],[Winning Candidate]]-SamplingData[[#Totals],[Candidate 6]]), 0)</f>
        <v>4.3772190068576433E-4</v>
      </c>
      <c r="P1738" s="100">
        <f>MAX(SamplingData[[#This Row],[Error Bound (up) - Max. possible relative overstatement - Losing Candidate]:[Error Bound (up) - Max. possible relative overstatement - Candidate 6]])</f>
        <v>1.041156295933366E-3</v>
      </c>
      <c r="Q1738" s="100">
        <f>IF(SamplingData[[#This Row],[Max Error Bound (up)]] = 0,0,SamplingData[[#This Row],[Max Error Bound (up)]]/SamplingData[[#Totals],[Max Error Bound (up)]])</f>
        <v>1.6478012073357914E-4</v>
      </c>
      <c r="R1738" s="101">
        <f>SUM($Q$5:Q1738)</f>
        <v>0.6472983013399588</v>
      </c>
      <c r="S1738" s="100" t="str">
        <f t="array" ref="S1738">IF(SamplingData[[#This Row],[up/U Selection Probability]] = 0, "Zero", TEXT(SamplingData[[#This Row],[Lower Range]], REPT("0",LEN('General Info'!$B$40))) &amp; " - " &amp; TEXT(SamplingData[[#This Row],[Upper Range]], REPT("0",LEN('General Info'!$B$40))))</f>
        <v>64713 - 64729</v>
      </c>
      <c r="T1738" s="100">
        <f>SamplingData[[#This Row],[Upper Range]]-SamplingData[[#This Row],[Span]]</f>
        <v>64713.35228670264</v>
      </c>
      <c r="U1738" s="100">
        <f>IF(ISNUMBER('General Info'!$B$40), ((SamplingData[[#This Row],[up/U Selection Probability]]) * 'General Info'!$B$40) - 1, 0)</f>
        <v>15.477847293237179</v>
      </c>
      <c r="V1738" s="100">
        <f>IF(ISNUMBER('General Info'!$B$40), (SamplingData[[#This Row],[Running (cumulative) sum]] * ('General Info'!$B$40 -'General Info'!$B$41 + 1)) + 'General Info'!$B$41 - 1, 0)</f>
        <v>64728.830133995878</v>
      </c>
      <c r="W1738" s="100" t="str">
        <f>IF(ISERROR(MATCH(SamplingData[[#This Row],[Batch by Type (p)]],SelectedPrecincts[Batch Name], 0)), "", INDEX(SelectedPrecincts[Draw], MATCH(SamplingData[[#This Row],[Batch by Type (p)]],SelectedPrecincts[Batch Name], 0)))</f>
        <v/>
      </c>
      <c r="X1738" s="102">
        <f>IF(COUNTIF(SelectedPrecincts[Batch Name],SamplingData[[#This Row],[Batch by Type (p)]]) &lt;&gt; 0, COUNTIF(SelectedPrecincts[Batch Name],SamplingData[[#This Row],[Batch by Type (p)]]), 0)</f>
        <v>0</v>
      </c>
    </row>
    <row r="1739" spans="1:24" ht="15" customHeight="1">
      <c r="A1739" s="18" t="s">
        <v>1915</v>
      </c>
      <c r="B1739" s="18">
        <v>13</v>
      </c>
      <c r="C1739" s="18">
        <v>16</v>
      </c>
      <c r="D1739" s="16">
        <v>6</v>
      </c>
      <c r="E1739" s="16">
        <v>2</v>
      </c>
      <c r="F1739" s="37">
        <v>2</v>
      </c>
      <c r="G1739" s="37">
        <v>0</v>
      </c>
      <c r="H1739" s="17">
        <v>0</v>
      </c>
      <c r="I1739" s="17">
        <v>0</v>
      </c>
      <c r="J1739" s="99">
        <f>SUM(SamplingData[[#This Row],[Losing Candidate]:[Under Votes]])</f>
        <v>39</v>
      </c>
      <c r="K1739"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739" s="100">
        <f>IF(AND(SamplingData[[#This Row],[Total]]&lt;&gt; 0, NOT(ISBLANK(SamplingData[[#This Row],[Candidate 3]]))),(SamplingData[[#This Row],[Total]]+SamplingData[[#This Row],[Winning Candidate]]-SamplingData[[#This Row],[Candidate 3]])/(SamplingData[[#Totals],[Winning Candidate]]-SamplingData[[#Totals],[Candidate 3]]), 0)</f>
        <v>1.5807981417556537E-3</v>
      </c>
      <c r="M1739" s="100">
        <f>IF(AND(SamplingData[[#This Row],[Total]]&lt;&gt; 0, NOT(ISBLANK(SamplingData[[#This Row],[Candidate 4]]))),(SamplingData[[#This Row],[Total]]+SamplingData[[#This Row],[Winning Candidate]]-SamplingData[[#This Row],[Candidate 4]])/(SamplingData[[#Totals],[Winning Candidate]]-SamplingData[[#Totals],[Candidate 4]]), 0)</f>
        <v>1.5492998918413283E-3</v>
      </c>
      <c r="N1739" s="100">
        <f>IF(AND(SamplingData[[#This Row],[Total]]&lt;&gt; 0, NOT(ISBLANK(SamplingData[[#This Row],[Candidate 5]]))),(SamplingData[[#This Row],[Total]]+SamplingData[[#This Row],[Winning Candidate]]-SamplingData[[#This Row],[Candidate 5]])/(SamplingData[[#Totals],[Winning Candidate]]-SamplingData[[#Totals],[Candidate 5]]), 0)</f>
        <v>1.2892240330819751E-3</v>
      </c>
      <c r="O1739" s="100">
        <f>IF(AND(SamplingData[[#This Row],[Total]]&lt;&gt; 0, NOT(ISBLANK(SamplingData[[#This Row],[Candidate 6]]))),(SamplingData[[#This Row],[Total]]+SamplingData[[#This Row],[Winning Candidate]]-SamplingData[[#This Row],[Candidate 6]])/(SamplingData[[#Totals],[Winning Candidate]]-SamplingData[[#Totals],[Candidate 6]]), 0)</f>
        <v>1.3374835854287244E-3</v>
      </c>
      <c r="P1739" s="100">
        <f>MAX(SamplingData[[#This Row],[Error Bound (up) - Max. possible relative overstatement - Losing Candidate]:[Error Bound (up) - Max. possible relative overstatement - Candidate 6]])</f>
        <v>2.5722684958353749E-3</v>
      </c>
      <c r="Q1739" s="100">
        <f>IF(SamplingData[[#This Row],[Max Error Bound (up)]] = 0,0,SamplingData[[#This Row],[Max Error Bound (up)]]/SamplingData[[#Totals],[Max Error Bound (up)]])</f>
        <v>4.0710382769472496E-4</v>
      </c>
      <c r="R1739" s="101">
        <f>SUM($Q$5:Q1739)</f>
        <v>0.64770540516765351</v>
      </c>
      <c r="S1739" s="100" t="str">
        <f t="array" ref="S1739">IF(SamplingData[[#This Row],[up/U Selection Probability]] = 0, "Zero", TEXT(SamplingData[[#This Row],[Lower Range]], REPT("0",LEN('General Info'!$B$40))) &amp; " - " &amp; TEXT(SamplingData[[#This Row],[Upper Range]], REPT("0",LEN('General Info'!$B$40))))</f>
        <v>64730 - 64770</v>
      </c>
      <c r="T1739" s="100">
        <f>SamplingData[[#This Row],[Upper Range]]-SamplingData[[#This Row],[Span]]</f>
        <v>64729.830541099705</v>
      </c>
      <c r="U1739" s="100">
        <f>IF(ISNUMBER('General Info'!$B$40), ((SamplingData[[#This Row],[up/U Selection Probability]]) * 'General Info'!$B$40) - 1, 0)</f>
        <v>39.709975665644798</v>
      </c>
      <c r="V1739" s="100">
        <f>IF(ISNUMBER('General Info'!$B$40), (SamplingData[[#This Row],[Running (cumulative) sum]] * ('General Info'!$B$40 -'General Info'!$B$41 + 1)) + 'General Info'!$B$41 - 1, 0)</f>
        <v>64769.540516765352</v>
      </c>
      <c r="W1739" s="100" t="str">
        <f>IF(ISERROR(MATCH(SamplingData[[#This Row],[Batch by Type (p)]],SelectedPrecincts[Batch Name], 0)), "", INDEX(SelectedPrecincts[Draw], MATCH(SamplingData[[#This Row],[Batch by Type (p)]],SelectedPrecincts[Batch Name], 0)))</f>
        <v/>
      </c>
      <c r="X1739" s="102">
        <f>IF(COUNTIF(SelectedPrecincts[Batch Name],SamplingData[[#This Row],[Batch by Type (p)]]) &lt;&gt; 0, COUNTIF(SelectedPrecincts[Batch Name],SamplingData[[#This Row],[Batch by Type (p)]]), 0)</f>
        <v>0</v>
      </c>
    </row>
    <row r="1740" spans="1:24" ht="15" customHeight="1">
      <c r="A1740" s="18" t="s">
        <v>1916</v>
      </c>
      <c r="B1740" s="18">
        <v>1</v>
      </c>
      <c r="C1740" s="18">
        <v>5</v>
      </c>
      <c r="D1740" s="18">
        <v>0</v>
      </c>
      <c r="E1740" s="18">
        <v>3</v>
      </c>
      <c r="F1740" s="18">
        <v>0</v>
      </c>
      <c r="G1740" s="18">
        <v>0</v>
      </c>
      <c r="H1740" s="18">
        <v>0</v>
      </c>
      <c r="I1740" s="18">
        <v>0</v>
      </c>
      <c r="J1740" s="99">
        <f>SUM(SamplingData[[#This Row],[Losing Candidate]:[Under Votes]])</f>
        <v>9</v>
      </c>
      <c r="K1740"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1740" s="100">
        <f>IF(AND(SamplingData[[#This Row],[Total]]&lt;&gt; 0, NOT(ISBLANK(SamplingData[[#This Row],[Candidate 3]]))),(SamplingData[[#This Row],[Total]]+SamplingData[[#This Row],[Winning Candidate]]-SamplingData[[#This Row],[Candidate 3]])/(SamplingData[[#Totals],[Winning Candidate]]-SamplingData[[#Totals],[Candidate 3]]), 0)</f>
        <v>4.5165661193018679E-4</v>
      </c>
      <c r="M1740" s="100">
        <f>IF(AND(SamplingData[[#This Row],[Total]]&lt;&gt; 0, NOT(ISBLANK(SamplingData[[#This Row],[Candidate 4]]))),(SamplingData[[#This Row],[Total]]+SamplingData[[#This Row],[Winning Candidate]]-SamplingData[[#This Row],[Candidate 4]])/(SamplingData[[#Totals],[Winning Candidate]]-SamplingData[[#Totals],[Candidate 4]]), 0)</f>
        <v>3.2155280774065302E-4</v>
      </c>
      <c r="N1740" s="100">
        <f>IF(AND(SamplingData[[#This Row],[Total]]&lt;&gt; 0, NOT(ISBLANK(SamplingData[[#This Row],[Candidate 5]]))),(SamplingData[[#This Row],[Total]]+SamplingData[[#This Row],[Winning Candidate]]-SamplingData[[#This Row],[Candidate 5]])/(SamplingData[[#Totals],[Winning Candidate]]-SamplingData[[#Totals],[Candidate 5]]), 0)</f>
        <v>3.4054974458769157E-4</v>
      </c>
      <c r="O1740" s="100">
        <f>IF(AND(SamplingData[[#This Row],[Total]]&lt;&gt; 0, NOT(ISBLANK(SamplingData[[#This Row],[Candidate 6]]))),(SamplingData[[#This Row],[Total]]+SamplingData[[#This Row],[Winning Candidate]]-SamplingData[[#This Row],[Candidate 6]])/(SamplingData[[#Totals],[Winning Candidate]]-SamplingData[[#Totals],[Candidate 6]]), 0)</f>
        <v>3.4045036720003888E-4</v>
      </c>
      <c r="P1740" s="100">
        <f>MAX(SamplingData[[#This Row],[Error Bound (up) - Max. possible relative overstatement - Losing Candidate]:[Error Bound (up) - Max. possible relative overstatement - Candidate 6]])</f>
        <v>7.9617834394904463E-4</v>
      </c>
      <c r="Q1740" s="100">
        <f>IF(SamplingData[[#This Row],[Max Error Bound (up)]] = 0,0,SamplingData[[#This Row],[Max Error Bound (up)]]/SamplingData[[#Totals],[Max Error Bound (up)]])</f>
        <v>1.2600832761979581E-4</v>
      </c>
      <c r="R1740" s="101">
        <f>SUM($Q$5:Q1740)</f>
        <v>0.64783141349527329</v>
      </c>
      <c r="S1740" s="100" t="str">
        <f t="array" ref="S1740">IF(SamplingData[[#This Row],[up/U Selection Probability]] = 0, "Zero", TEXT(SamplingData[[#This Row],[Lower Range]], REPT("0",LEN('General Info'!$B$40))) &amp; " - " &amp; TEXT(SamplingData[[#This Row],[Upper Range]], REPT("0",LEN('General Info'!$B$40))))</f>
        <v>64771 - 64782</v>
      </c>
      <c r="T1740" s="100">
        <f>SamplingData[[#This Row],[Upper Range]]-SamplingData[[#This Row],[Span]]</f>
        <v>64770.540642773682</v>
      </c>
      <c r="U1740" s="100">
        <f>IF(ISNUMBER('General Info'!$B$40), ((SamplingData[[#This Row],[up/U Selection Probability]]) * 'General Info'!$B$40) - 1, 0)</f>
        <v>11.600706753651961</v>
      </c>
      <c r="V1740" s="100">
        <f>IF(ISNUMBER('General Info'!$B$40), (SamplingData[[#This Row],[Running (cumulative) sum]] * ('General Info'!$B$40 -'General Info'!$B$41 + 1)) + 'General Info'!$B$41 - 1, 0)</f>
        <v>64782.14134952733</v>
      </c>
      <c r="W1740" s="100" t="str">
        <f>IF(ISERROR(MATCH(SamplingData[[#This Row],[Batch by Type (p)]],SelectedPrecincts[Batch Name], 0)), "", INDEX(SelectedPrecincts[Draw], MATCH(SamplingData[[#This Row],[Batch by Type (p)]],SelectedPrecincts[Batch Name], 0)))</f>
        <v/>
      </c>
      <c r="X1740" s="102">
        <f>IF(COUNTIF(SelectedPrecincts[Batch Name],SamplingData[[#This Row],[Batch by Type (p)]]) &lt;&gt; 0, COUNTIF(SelectedPrecincts[Batch Name],SamplingData[[#This Row],[Batch by Type (p)]]), 0)</f>
        <v>0</v>
      </c>
    </row>
    <row r="1741" spans="1:24" ht="15" customHeight="1">
      <c r="A1741" s="18" t="s">
        <v>1917</v>
      </c>
      <c r="B1741" s="18">
        <v>29</v>
      </c>
      <c r="C1741" s="18">
        <v>38</v>
      </c>
      <c r="D1741" s="16">
        <v>7</v>
      </c>
      <c r="E1741" s="16">
        <v>10</v>
      </c>
      <c r="F1741" s="37">
        <v>0</v>
      </c>
      <c r="G1741" s="37">
        <v>0</v>
      </c>
      <c r="H1741" s="17">
        <v>1</v>
      </c>
      <c r="I1741" s="17">
        <v>0</v>
      </c>
      <c r="J1741" s="99">
        <f>SUM(SamplingData[[#This Row],[Losing Candidate]:[Under Votes]])</f>
        <v>85</v>
      </c>
      <c r="K1741" s="100">
        <f>IF(AND(SamplingData[[#This Row],[Total]]&lt;&gt; 0, NOT(ISBLANK(SamplingData[[#This Row],[Losing Candidate]]))),(SamplingData[[#This Row],[Total]]+SamplingData[[#This Row],[Winning Candidate]]-SamplingData[[#This Row],[Losing Candidate]])/(SamplingData[[#Totals],[Winning Candidate]]-SamplingData[[#Totals],[Losing Candidate]]), 0)</f>
        <v>5.7569818716315529E-3</v>
      </c>
      <c r="L1741" s="100">
        <f>IF(AND(SamplingData[[#This Row],[Total]]&lt;&gt; 0, NOT(ISBLANK(SamplingData[[#This Row],[Candidate 3]]))),(SamplingData[[#This Row],[Total]]+SamplingData[[#This Row],[Winning Candidate]]-SamplingData[[#This Row],[Candidate 3]])/(SamplingData[[#Totals],[Winning Candidate]]-SamplingData[[#Totals],[Candidate 3]]), 0)</f>
        <v>3.7422976417072619E-3</v>
      </c>
      <c r="M1741" s="100">
        <f>IF(AND(SamplingData[[#This Row],[Total]]&lt;&gt; 0, NOT(ISBLANK(SamplingData[[#This Row],[Candidate 4]]))),(SamplingData[[#This Row],[Total]]+SamplingData[[#This Row],[Winning Candidate]]-SamplingData[[#This Row],[Candidate 4]])/(SamplingData[[#Totals],[Winning Candidate]]-SamplingData[[#Totals],[Candidate 4]]), 0)</f>
        <v>3.3032242976994359E-3</v>
      </c>
      <c r="N1741" s="100">
        <f>IF(AND(SamplingData[[#This Row],[Total]]&lt;&gt; 0, NOT(ISBLANK(SamplingData[[#This Row],[Candidate 5]]))),(SamplingData[[#This Row],[Total]]+SamplingData[[#This Row],[Winning Candidate]]-SamplingData[[#This Row],[Candidate 5]])/(SamplingData[[#Totals],[Winning Candidate]]-SamplingData[[#Totals],[Candidate 5]]), 0)</f>
        <v>2.9919727560204332E-3</v>
      </c>
      <c r="O1741" s="100">
        <f>IF(AND(SamplingData[[#This Row],[Total]]&lt;&gt; 0, NOT(ISBLANK(SamplingData[[#This Row],[Candidate 6]]))),(SamplingData[[#This Row],[Total]]+SamplingData[[#This Row],[Winning Candidate]]-SamplingData[[#This Row],[Candidate 6]])/(SamplingData[[#Totals],[Winning Candidate]]-SamplingData[[#Totals],[Candidate 6]]), 0)</f>
        <v>2.9910996546860563E-3</v>
      </c>
      <c r="P1741" s="100">
        <f>MAX(SamplingData[[#This Row],[Error Bound (up) - Max. possible relative overstatement - Losing Candidate]:[Error Bound (up) - Max. possible relative overstatement - Candidate 6]])</f>
        <v>5.7569818716315529E-3</v>
      </c>
      <c r="Q1741" s="100">
        <f>IF(SamplingData[[#This Row],[Max Error Bound (up)]] = 0,0,SamplingData[[#This Row],[Max Error Bound (up)]]/SamplingData[[#Totals],[Max Error Bound (up)]])</f>
        <v>9.1113713817390809E-4</v>
      </c>
      <c r="R1741" s="101">
        <f>SUM($Q$5:Q1741)</f>
        <v>0.64874255063344721</v>
      </c>
      <c r="S1741" s="100" t="str">
        <f t="array" ref="S1741">IF(SamplingData[[#This Row],[up/U Selection Probability]] = 0, "Zero", TEXT(SamplingData[[#This Row],[Lower Range]], REPT("0",LEN('General Info'!$B$40))) &amp; " - " &amp; TEXT(SamplingData[[#This Row],[Upper Range]], REPT("0",LEN('General Info'!$B$40))))</f>
        <v>64783 - 64873</v>
      </c>
      <c r="T1741" s="100">
        <f>SamplingData[[#This Row],[Upper Range]]-SamplingData[[#This Row],[Span]]</f>
        <v>64783.14226066447</v>
      </c>
      <c r="U1741" s="100">
        <f>IF(ISNUMBER('General Info'!$B$40), ((SamplingData[[#This Row],[up/U Selection Probability]]) * 'General Info'!$B$40) - 1, 0)</f>
        <v>90.112802680252642</v>
      </c>
      <c r="V1741" s="100">
        <f>IF(ISNUMBER('General Info'!$B$40), (SamplingData[[#This Row],[Running (cumulative) sum]] * ('General Info'!$B$40 -'General Info'!$B$41 + 1)) + 'General Info'!$B$41 - 1, 0)</f>
        <v>64873.255063344724</v>
      </c>
      <c r="W1741" s="100" t="str">
        <f>IF(ISERROR(MATCH(SamplingData[[#This Row],[Batch by Type (p)]],SelectedPrecincts[Batch Name], 0)), "", INDEX(SelectedPrecincts[Draw], MATCH(SamplingData[[#This Row],[Batch by Type (p)]],SelectedPrecincts[Batch Name], 0)))</f>
        <v/>
      </c>
      <c r="X1741" s="102">
        <f>IF(COUNTIF(SelectedPrecincts[Batch Name],SamplingData[[#This Row],[Batch by Type (p)]]) &lt;&gt; 0, COUNTIF(SelectedPrecincts[Batch Name],SamplingData[[#This Row],[Batch by Type (p)]]), 0)</f>
        <v>0</v>
      </c>
    </row>
    <row r="1742" spans="1:24" ht="15" customHeight="1">
      <c r="A1742" s="18" t="s">
        <v>1918</v>
      </c>
      <c r="B1742" s="18">
        <v>12</v>
      </c>
      <c r="C1742" s="18">
        <v>20</v>
      </c>
      <c r="D1742" s="18">
        <v>4</v>
      </c>
      <c r="E1742" s="18">
        <v>3</v>
      </c>
      <c r="F1742" s="18">
        <v>0</v>
      </c>
      <c r="G1742" s="18">
        <v>0</v>
      </c>
      <c r="H1742" s="18">
        <v>0</v>
      </c>
      <c r="I1742" s="18">
        <v>0</v>
      </c>
      <c r="J1742" s="99">
        <f>SUM(SamplingData[[#This Row],[Losing Candidate]:[Under Votes]])</f>
        <v>39</v>
      </c>
      <c r="K1742" s="100">
        <f>IF(AND(SamplingData[[#This Row],[Total]]&lt;&gt; 0, NOT(ISBLANK(SamplingData[[#This Row],[Losing Candidate]]))),(SamplingData[[#This Row],[Total]]+SamplingData[[#This Row],[Winning Candidate]]-SamplingData[[#This Row],[Losing Candidate]])/(SamplingData[[#Totals],[Winning Candidate]]-SamplingData[[#Totals],[Losing Candidate]]), 0)</f>
        <v>2.8784909358157765E-3</v>
      </c>
      <c r="L1742" s="100">
        <f>IF(AND(SamplingData[[#This Row],[Total]]&lt;&gt; 0, NOT(ISBLANK(SamplingData[[#This Row],[Candidate 3]]))),(SamplingData[[#This Row],[Total]]+SamplingData[[#This Row],[Winning Candidate]]-SamplingData[[#This Row],[Candidate 3]])/(SamplingData[[#Totals],[Winning Candidate]]-SamplingData[[#Totals],[Candidate 3]]), 0)</f>
        <v>1.7743652611543052E-3</v>
      </c>
      <c r="M1742" s="100">
        <f>IF(AND(SamplingData[[#This Row],[Total]]&lt;&gt; 0, NOT(ISBLANK(SamplingData[[#This Row],[Candidate 4]]))),(SamplingData[[#This Row],[Total]]+SamplingData[[#This Row],[Winning Candidate]]-SamplingData[[#This Row],[Candidate 4]])/(SamplingData[[#Totals],[Winning Candidate]]-SamplingData[[#Totals],[Candidate 4]]), 0)</f>
        <v>1.6369961121342337E-3</v>
      </c>
      <c r="N1742" s="100">
        <f>IF(AND(SamplingData[[#This Row],[Total]]&lt;&gt; 0, NOT(ISBLANK(SamplingData[[#This Row],[Candidate 5]]))),(SamplingData[[#This Row],[Total]]+SamplingData[[#This Row],[Winning Candidate]]-SamplingData[[#This Row],[Candidate 5]])/(SamplingData[[#Totals],[Winning Candidate]]-SamplingData[[#Totals],[Candidate 5]]), 0)</f>
        <v>1.4351739236195572E-3</v>
      </c>
      <c r="O1742" s="100">
        <f>IF(AND(SamplingData[[#This Row],[Total]]&lt;&gt; 0, NOT(ISBLANK(SamplingData[[#This Row],[Candidate 6]]))),(SamplingData[[#This Row],[Total]]+SamplingData[[#This Row],[Winning Candidate]]-SamplingData[[#This Row],[Candidate 6]])/(SamplingData[[#Totals],[Winning Candidate]]-SamplingData[[#Totals],[Candidate 6]]), 0)</f>
        <v>1.4347551189144497E-3</v>
      </c>
      <c r="P1742" s="100">
        <f>MAX(SamplingData[[#This Row],[Error Bound (up) - Max. possible relative overstatement - Losing Candidate]:[Error Bound (up) - Max. possible relative overstatement - Candidate 6]])</f>
        <v>2.8784909358157765E-3</v>
      </c>
      <c r="Q1742" s="100">
        <f>IF(SamplingData[[#This Row],[Max Error Bound (up)]] = 0,0,SamplingData[[#This Row],[Max Error Bound (up)]]/SamplingData[[#Totals],[Max Error Bound (up)]])</f>
        <v>4.5556856908695405E-4</v>
      </c>
      <c r="R1742" s="101">
        <f>SUM($Q$5:Q1742)</f>
        <v>0.64919811920253412</v>
      </c>
      <c r="S1742" s="100" t="str">
        <f t="array" ref="S1742">IF(SamplingData[[#This Row],[up/U Selection Probability]] = 0, "Zero", TEXT(SamplingData[[#This Row],[Lower Range]], REPT("0",LEN('General Info'!$B$40))) &amp; " - " &amp; TEXT(SamplingData[[#This Row],[Upper Range]], REPT("0",LEN('General Info'!$B$40))))</f>
        <v>64874 - 64919</v>
      </c>
      <c r="T1742" s="100">
        <f>SamplingData[[#This Row],[Upper Range]]-SamplingData[[#This Row],[Span]]</f>
        <v>64874.255518913291</v>
      </c>
      <c r="U1742" s="100">
        <f>IF(ISNUMBER('General Info'!$B$40), ((SamplingData[[#This Row],[up/U Selection Probability]]) * 'General Info'!$B$40) - 1, 0)</f>
        <v>44.556401340126321</v>
      </c>
      <c r="V1742" s="100">
        <f>IF(ISNUMBER('General Info'!$B$40), (SamplingData[[#This Row],[Running (cumulative) sum]] * ('General Info'!$B$40 -'General Info'!$B$41 + 1)) + 'General Info'!$B$41 - 1, 0)</f>
        <v>64918.811920253414</v>
      </c>
      <c r="W1742" s="100" t="str">
        <f>IF(ISERROR(MATCH(SamplingData[[#This Row],[Batch by Type (p)]],SelectedPrecincts[Batch Name], 0)), "", INDEX(SelectedPrecincts[Draw], MATCH(SamplingData[[#This Row],[Batch by Type (p)]],SelectedPrecincts[Batch Name], 0)))</f>
        <v/>
      </c>
      <c r="X1742" s="102">
        <f>IF(COUNTIF(SelectedPrecincts[Batch Name],SamplingData[[#This Row],[Batch by Type (p)]]) &lt;&gt; 0, COUNTIF(SelectedPrecincts[Batch Name],SamplingData[[#This Row],[Batch by Type (p)]]), 0)</f>
        <v>0</v>
      </c>
    </row>
    <row r="1743" spans="1:24" ht="15" customHeight="1">
      <c r="A1743" s="18" t="s">
        <v>1919</v>
      </c>
      <c r="B1743" s="18">
        <v>6</v>
      </c>
      <c r="C1743" s="18">
        <v>20</v>
      </c>
      <c r="D1743" s="16">
        <v>8</v>
      </c>
      <c r="E1743" s="16">
        <v>3</v>
      </c>
      <c r="F1743" s="37">
        <v>0</v>
      </c>
      <c r="G1743" s="37">
        <v>0</v>
      </c>
      <c r="H1743" s="17">
        <v>0</v>
      </c>
      <c r="I1743" s="17">
        <v>1</v>
      </c>
      <c r="J1743" s="99">
        <f>SUM(SamplingData[[#This Row],[Losing Candidate]:[Under Votes]])</f>
        <v>38</v>
      </c>
      <c r="K1743"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1743" s="100">
        <f>IF(AND(SamplingData[[#This Row],[Total]]&lt;&gt; 0, NOT(ISBLANK(SamplingData[[#This Row],[Candidate 3]]))),(SamplingData[[#This Row],[Total]]+SamplingData[[#This Row],[Winning Candidate]]-SamplingData[[#This Row],[Candidate 3]])/(SamplingData[[#Totals],[Winning Candidate]]-SamplingData[[#Totals],[Candidate 3]]), 0)</f>
        <v>1.6130593283220957E-3</v>
      </c>
      <c r="M1743" s="100">
        <f>IF(AND(SamplingData[[#This Row],[Total]]&lt;&gt; 0, NOT(ISBLANK(SamplingData[[#This Row],[Candidate 4]]))),(SamplingData[[#This Row],[Total]]+SamplingData[[#This Row],[Winning Candidate]]-SamplingData[[#This Row],[Candidate 4]])/(SamplingData[[#Totals],[Winning Candidate]]-SamplingData[[#Totals],[Candidate 4]]), 0)</f>
        <v>1.6077640387032652E-3</v>
      </c>
      <c r="N1743" s="100">
        <f>IF(AND(SamplingData[[#This Row],[Total]]&lt;&gt; 0, NOT(ISBLANK(SamplingData[[#This Row],[Candidate 5]]))),(SamplingData[[#This Row],[Total]]+SamplingData[[#This Row],[Winning Candidate]]-SamplingData[[#This Row],[Candidate 5]])/(SamplingData[[#Totals],[Winning Candidate]]-SamplingData[[#Totals],[Candidate 5]]), 0)</f>
        <v>1.4108489418632937E-3</v>
      </c>
      <c r="O1743" s="100">
        <f>IF(AND(SamplingData[[#This Row],[Total]]&lt;&gt; 0, NOT(ISBLANK(SamplingData[[#This Row],[Candidate 6]]))),(SamplingData[[#This Row],[Total]]+SamplingData[[#This Row],[Winning Candidate]]-SamplingData[[#This Row],[Candidate 6]])/(SamplingData[[#Totals],[Winning Candidate]]-SamplingData[[#Totals],[Candidate 6]]), 0)</f>
        <v>1.4104372355430183E-3</v>
      </c>
      <c r="P1743" s="100">
        <f>MAX(SamplingData[[#This Row],[Error Bound (up) - Max. possible relative overstatement - Losing Candidate]:[Error Bound (up) - Max. possible relative overstatement - Candidate 6]])</f>
        <v>3.1847133757961785E-3</v>
      </c>
      <c r="Q1743" s="100">
        <f>IF(SamplingData[[#This Row],[Max Error Bound (up)]] = 0,0,SamplingData[[#This Row],[Max Error Bound (up)]]/SamplingData[[#Totals],[Max Error Bound (up)]])</f>
        <v>5.0403331047918325E-4</v>
      </c>
      <c r="R1743" s="101">
        <f>SUM($Q$5:Q1743)</f>
        <v>0.64970215251301333</v>
      </c>
      <c r="S1743" s="100" t="str">
        <f t="array" ref="S1743">IF(SamplingData[[#This Row],[up/U Selection Probability]] = 0, "Zero", TEXT(SamplingData[[#This Row],[Lower Range]], REPT("0",LEN('General Info'!$B$40))) &amp; " - " &amp; TEXT(SamplingData[[#This Row],[Upper Range]], REPT("0",LEN('General Info'!$B$40))))</f>
        <v>64920 - 64969</v>
      </c>
      <c r="T1743" s="100">
        <f>SamplingData[[#This Row],[Upper Range]]-SamplingData[[#This Row],[Span]]</f>
        <v>64919.812424286727</v>
      </c>
      <c r="U1743" s="100">
        <f>IF(ISNUMBER('General Info'!$B$40), ((SamplingData[[#This Row],[up/U Selection Probability]]) * 'General Info'!$B$40) - 1, 0)</f>
        <v>49.402827014607844</v>
      </c>
      <c r="V1743" s="100">
        <f>IF(ISNUMBER('General Info'!$B$40), (SamplingData[[#This Row],[Running (cumulative) sum]] * ('General Info'!$B$40 -'General Info'!$B$41 + 1)) + 'General Info'!$B$41 - 1, 0)</f>
        <v>64969.215251301335</v>
      </c>
      <c r="W1743" s="100" t="str">
        <f>IF(ISERROR(MATCH(SamplingData[[#This Row],[Batch by Type (p)]],SelectedPrecincts[Batch Name], 0)), "", INDEX(SelectedPrecincts[Draw], MATCH(SamplingData[[#This Row],[Batch by Type (p)]],SelectedPrecincts[Batch Name], 0)))</f>
        <v/>
      </c>
      <c r="X1743" s="102">
        <f>IF(COUNTIF(SelectedPrecincts[Batch Name],SamplingData[[#This Row],[Batch by Type (p)]]) &lt;&gt; 0, COUNTIF(SelectedPrecincts[Batch Name],SamplingData[[#This Row],[Batch by Type (p)]]), 0)</f>
        <v>0</v>
      </c>
    </row>
    <row r="1744" spans="1:24" ht="15" customHeight="1">
      <c r="A1744" s="18" t="s">
        <v>1920</v>
      </c>
      <c r="B1744" s="18">
        <v>9</v>
      </c>
      <c r="C1744" s="18">
        <v>15</v>
      </c>
      <c r="D1744" s="18">
        <v>2</v>
      </c>
      <c r="E1744" s="18">
        <v>2</v>
      </c>
      <c r="F1744" s="18">
        <v>0</v>
      </c>
      <c r="G1744" s="18">
        <v>1</v>
      </c>
      <c r="H1744" s="18">
        <v>0</v>
      </c>
      <c r="I1744" s="18">
        <v>0</v>
      </c>
      <c r="J1744" s="99">
        <f>SUM(SamplingData[[#This Row],[Losing Candidate]:[Under Votes]])</f>
        <v>29</v>
      </c>
      <c r="K1744" s="100">
        <f>IF(AND(SamplingData[[#This Row],[Total]]&lt;&gt; 0, NOT(ISBLANK(SamplingData[[#This Row],[Losing Candidate]]))),(SamplingData[[#This Row],[Total]]+SamplingData[[#This Row],[Winning Candidate]]-SamplingData[[#This Row],[Losing Candidate]])/(SamplingData[[#Totals],[Winning Candidate]]-SamplingData[[#Totals],[Losing Candidate]]), 0)</f>
        <v>2.1435570798628125E-3</v>
      </c>
      <c r="L1744" s="100">
        <f>IF(AND(SamplingData[[#This Row],[Total]]&lt;&gt; 0, NOT(ISBLANK(SamplingData[[#This Row],[Candidate 3]]))),(SamplingData[[#This Row],[Total]]+SamplingData[[#This Row],[Winning Candidate]]-SamplingData[[#This Row],[Candidate 3]])/(SamplingData[[#Totals],[Winning Candidate]]-SamplingData[[#Totals],[Candidate 3]]), 0)</f>
        <v>1.3549698357905604E-3</v>
      </c>
      <c r="M1744" s="100">
        <f>IF(AND(SamplingData[[#This Row],[Total]]&lt;&gt; 0, NOT(ISBLANK(SamplingData[[#This Row],[Candidate 4]]))),(SamplingData[[#This Row],[Total]]+SamplingData[[#This Row],[Winning Candidate]]-SamplingData[[#This Row],[Candidate 4]])/(SamplingData[[#Totals],[Winning Candidate]]-SamplingData[[#Totals],[Candidate 4]]), 0)</f>
        <v>1.2277470841006752E-3</v>
      </c>
      <c r="N1744" s="100">
        <f>IF(AND(SamplingData[[#This Row],[Total]]&lt;&gt; 0, NOT(ISBLANK(SamplingData[[#This Row],[Candidate 5]]))),(SamplingData[[#This Row],[Total]]+SamplingData[[#This Row],[Winning Candidate]]-SamplingData[[#This Row],[Candidate 5]])/(SamplingData[[#Totals],[Winning Candidate]]-SamplingData[[#Totals],[Candidate 5]]), 0)</f>
        <v>1.0702991972756021E-3</v>
      </c>
      <c r="O1744" s="100">
        <f>IF(AND(SamplingData[[#This Row],[Total]]&lt;&gt; 0, NOT(ISBLANK(SamplingData[[#This Row],[Candidate 6]]))),(SamplingData[[#This Row],[Total]]+SamplingData[[#This Row],[Winning Candidate]]-SamplingData[[#This Row],[Candidate 6]])/(SamplingData[[#Totals],[Winning Candidate]]-SamplingData[[#Totals],[Candidate 6]]), 0)</f>
        <v>1.0456689849715481E-3</v>
      </c>
      <c r="P1744" s="100">
        <f>MAX(SamplingData[[#This Row],[Error Bound (up) - Max. possible relative overstatement - Losing Candidate]:[Error Bound (up) - Max. possible relative overstatement - Candidate 6]])</f>
        <v>2.1435570798628125E-3</v>
      </c>
      <c r="Q1744" s="100">
        <f>IF(SamplingData[[#This Row],[Max Error Bound (up)]] = 0,0,SamplingData[[#This Row],[Max Error Bound (up)]]/SamplingData[[#Totals],[Max Error Bound (up)]])</f>
        <v>3.3925318974560413E-4</v>
      </c>
      <c r="R1744" s="101">
        <f>SUM($Q$5:Q1744)</f>
        <v>0.65004140570275892</v>
      </c>
      <c r="S1744" s="100" t="str">
        <f t="array" ref="S1744">IF(SamplingData[[#This Row],[up/U Selection Probability]] = 0, "Zero", TEXT(SamplingData[[#This Row],[Lower Range]], REPT("0",LEN('General Info'!$B$40))) &amp; " - " &amp; TEXT(SamplingData[[#This Row],[Upper Range]], REPT("0",LEN('General Info'!$B$40))))</f>
        <v>64970 - 65003</v>
      </c>
      <c r="T1744" s="100">
        <f>SamplingData[[#This Row],[Upper Range]]-SamplingData[[#This Row],[Span]]</f>
        <v>64970.215590554522</v>
      </c>
      <c r="U1744" s="100">
        <f>IF(ISNUMBER('General Info'!$B$40), ((SamplingData[[#This Row],[up/U Selection Probability]]) * 'General Info'!$B$40) - 1, 0)</f>
        <v>32.924979721370669</v>
      </c>
      <c r="V1744" s="100">
        <f>IF(ISNUMBER('General Info'!$B$40), (SamplingData[[#This Row],[Running (cumulative) sum]] * ('General Info'!$B$40 -'General Info'!$B$41 + 1)) + 'General Info'!$B$41 - 1, 0)</f>
        <v>65003.140570275893</v>
      </c>
      <c r="W1744" s="100" t="str">
        <f>IF(ISERROR(MATCH(SamplingData[[#This Row],[Batch by Type (p)]],SelectedPrecincts[Batch Name], 0)), "", INDEX(SelectedPrecincts[Draw], MATCH(SamplingData[[#This Row],[Batch by Type (p)]],SelectedPrecincts[Batch Name], 0)))</f>
        <v/>
      </c>
      <c r="X1744" s="102">
        <f>IF(COUNTIF(SelectedPrecincts[Batch Name],SamplingData[[#This Row],[Batch by Type (p)]]) &lt;&gt; 0, COUNTIF(SelectedPrecincts[Batch Name],SamplingData[[#This Row],[Batch by Type (p)]]), 0)</f>
        <v>0</v>
      </c>
    </row>
    <row r="1745" spans="1:24" ht="15" customHeight="1">
      <c r="A1745" s="18" t="s">
        <v>1921</v>
      </c>
      <c r="B1745" s="18">
        <v>26</v>
      </c>
      <c r="C1745" s="18">
        <v>38</v>
      </c>
      <c r="D1745" s="16">
        <v>10</v>
      </c>
      <c r="E1745" s="16">
        <v>9</v>
      </c>
      <c r="F1745" s="37">
        <v>1</v>
      </c>
      <c r="G1745" s="37">
        <v>3</v>
      </c>
      <c r="H1745" s="17">
        <v>0</v>
      </c>
      <c r="I1745" s="17">
        <v>0</v>
      </c>
      <c r="J1745" s="99">
        <f>SUM(SamplingData[[#This Row],[Losing Candidate]:[Under Votes]])</f>
        <v>87</v>
      </c>
      <c r="K1745" s="100">
        <f>IF(AND(SamplingData[[#This Row],[Total]]&lt;&gt; 0, NOT(ISBLANK(SamplingData[[#This Row],[Losing Candidate]]))),(SamplingData[[#This Row],[Total]]+SamplingData[[#This Row],[Winning Candidate]]-SamplingData[[#This Row],[Losing Candidate]])/(SamplingData[[#Totals],[Winning Candidate]]-SamplingData[[#Totals],[Losing Candidate]]), 0)</f>
        <v>6.063204311611955E-3</v>
      </c>
      <c r="L1745" s="100">
        <f>IF(AND(SamplingData[[#This Row],[Total]]&lt;&gt; 0, NOT(ISBLANK(SamplingData[[#This Row],[Candidate 3]]))),(SamplingData[[#This Row],[Total]]+SamplingData[[#This Row],[Winning Candidate]]-SamplingData[[#This Row],[Candidate 3]])/(SamplingData[[#Totals],[Winning Candidate]]-SamplingData[[#Totals],[Candidate 3]]), 0)</f>
        <v>3.7100364551408199E-3</v>
      </c>
      <c r="M1745" s="100">
        <f>IF(AND(SamplingData[[#This Row],[Total]]&lt;&gt; 0, NOT(ISBLANK(SamplingData[[#This Row],[Candidate 4]]))),(SamplingData[[#This Row],[Total]]+SamplingData[[#This Row],[Winning Candidate]]-SamplingData[[#This Row],[Candidate 4]])/(SamplingData[[#Totals],[Winning Candidate]]-SamplingData[[#Totals],[Candidate 4]]), 0)</f>
        <v>3.3909205179923413E-3</v>
      </c>
      <c r="N1745" s="100">
        <f>IF(AND(SamplingData[[#This Row],[Total]]&lt;&gt; 0, NOT(ISBLANK(SamplingData[[#This Row],[Candidate 5]]))),(SamplingData[[#This Row],[Total]]+SamplingData[[#This Row],[Winning Candidate]]-SamplingData[[#This Row],[Candidate 5]])/(SamplingData[[#Totals],[Winning Candidate]]-SamplingData[[#Totals],[Candidate 5]]), 0)</f>
        <v>3.0162977377766968E-3</v>
      </c>
      <c r="O1745" s="100">
        <f>IF(AND(SamplingData[[#This Row],[Total]]&lt;&gt; 0, NOT(ISBLANK(SamplingData[[#This Row],[Candidate 6]]))),(SamplingData[[#This Row],[Total]]+SamplingData[[#This Row],[Winning Candidate]]-SamplingData[[#This Row],[Candidate 6]])/(SamplingData[[#Totals],[Winning Candidate]]-SamplingData[[#Totals],[Candidate 6]]), 0)</f>
        <v>2.9667817713146249E-3</v>
      </c>
      <c r="P1745" s="100">
        <f>MAX(SamplingData[[#This Row],[Error Bound (up) - Max. possible relative overstatement - Losing Candidate]:[Error Bound (up) - Max. possible relative overstatement - Candidate 6]])</f>
        <v>6.063204311611955E-3</v>
      </c>
      <c r="Q1745" s="100">
        <f>IF(SamplingData[[#This Row],[Max Error Bound (up)]] = 0,0,SamplingData[[#This Row],[Max Error Bound (up)]]/SamplingData[[#Totals],[Max Error Bound (up)]])</f>
        <v>9.5960187956613729E-4</v>
      </c>
      <c r="R1745" s="101">
        <f>SUM($Q$5:Q1745)</f>
        <v>0.65100100758232504</v>
      </c>
      <c r="S1745" s="100" t="str">
        <f t="array" ref="S1745">IF(SamplingData[[#This Row],[up/U Selection Probability]] = 0, "Zero", TEXT(SamplingData[[#This Row],[Lower Range]], REPT("0",LEN('General Info'!$B$40))) &amp; " - " &amp; TEXT(SamplingData[[#This Row],[Upper Range]], REPT("0",LEN('General Info'!$B$40))))</f>
        <v>65004 - 65099</v>
      </c>
      <c r="T1745" s="100">
        <f>SamplingData[[#This Row],[Upper Range]]-SamplingData[[#This Row],[Span]]</f>
        <v>65004.141529877772</v>
      </c>
      <c r="U1745" s="100">
        <f>IF(ISNUMBER('General Info'!$B$40), ((SamplingData[[#This Row],[up/U Selection Probability]]) * 'General Info'!$B$40) - 1, 0)</f>
        <v>94.959228354734165</v>
      </c>
      <c r="V1745" s="100">
        <f>IF(ISNUMBER('General Info'!$B$40), (SamplingData[[#This Row],[Running (cumulative) sum]] * ('General Info'!$B$40 -'General Info'!$B$41 + 1)) + 'General Info'!$B$41 - 1, 0)</f>
        <v>65099.100758232504</v>
      </c>
      <c r="W1745" s="100" t="str">
        <f>IF(ISERROR(MATCH(SamplingData[[#This Row],[Batch by Type (p)]],SelectedPrecincts[Batch Name], 0)), "", INDEX(SelectedPrecincts[Draw], MATCH(SamplingData[[#This Row],[Batch by Type (p)]],SelectedPrecincts[Batch Name], 0)))</f>
        <v/>
      </c>
      <c r="X1745" s="102">
        <f>IF(COUNTIF(SelectedPrecincts[Batch Name],SamplingData[[#This Row],[Batch by Type (p)]]) &lt;&gt; 0, COUNTIF(SelectedPrecincts[Batch Name],SamplingData[[#This Row],[Batch by Type (p)]]), 0)</f>
        <v>0</v>
      </c>
    </row>
    <row r="1746" spans="1:24" ht="15" customHeight="1">
      <c r="A1746" s="18" t="s">
        <v>1922</v>
      </c>
      <c r="B1746" s="18">
        <v>5</v>
      </c>
      <c r="C1746" s="18">
        <v>11</v>
      </c>
      <c r="D1746" s="18">
        <v>3</v>
      </c>
      <c r="E1746" s="18">
        <v>0</v>
      </c>
      <c r="F1746" s="18">
        <v>0</v>
      </c>
      <c r="G1746" s="18">
        <v>0</v>
      </c>
      <c r="H1746" s="18">
        <v>0</v>
      </c>
      <c r="I1746" s="18">
        <v>0</v>
      </c>
      <c r="J1746" s="99">
        <f>SUM(SamplingData[[#This Row],[Losing Candidate]:[Under Votes]])</f>
        <v>19</v>
      </c>
      <c r="K1746"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1746" s="100">
        <f>IF(AND(SamplingData[[#This Row],[Total]]&lt;&gt; 0, NOT(ISBLANK(SamplingData[[#This Row],[Candidate 3]]))),(SamplingData[[#This Row],[Total]]+SamplingData[[#This Row],[Winning Candidate]]-SamplingData[[#This Row],[Candidate 3]])/(SamplingData[[#Totals],[Winning Candidate]]-SamplingData[[#Totals],[Candidate 3]]), 0)</f>
        <v>8.710520372939317E-4</v>
      </c>
      <c r="M1746" s="100">
        <f>IF(AND(SamplingData[[#This Row],[Total]]&lt;&gt; 0, NOT(ISBLANK(SamplingData[[#This Row],[Candidate 4]]))),(SamplingData[[#This Row],[Total]]+SamplingData[[#This Row],[Winning Candidate]]-SamplingData[[#This Row],[Candidate 4]])/(SamplingData[[#Totals],[Winning Candidate]]-SamplingData[[#Totals],[Candidate 4]]), 0)</f>
        <v>8.7696220292905378E-4</v>
      </c>
      <c r="N1746" s="100">
        <f>IF(AND(SamplingData[[#This Row],[Total]]&lt;&gt; 0, NOT(ISBLANK(SamplingData[[#This Row],[Candidate 5]]))),(SamplingData[[#This Row],[Total]]+SamplingData[[#This Row],[Winning Candidate]]-SamplingData[[#This Row],[Candidate 5]])/(SamplingData[[#Totals],[Winning Candidate]]-SamplingData[[#Totals],[Candidate 5]]), 0)</f>
        <v>7.2974945268791051E-4</v>
      </c>
      <c r="O1746" s="100">
        <f>IF(AND(SamplingData[[#This Row],[Total]]&lt;&gt; 0, NOT(ISBLANK(SamplingData[[#This Row],[Candidate 6]]))),(SamplingData[[#This Row],[Total]]+SamplingData[[#This Row],[Winning Candidate]]-SamplingData[[#This Row],[Candidate 6]])/(SamplingData[[#Totals],[Winning Candidate]]-SamplingData[[#Totals],[Candidate 6]]), 0)</f>
        <v>7.2953650114294054E-4</v>
      </c>
      <c r="P1746" s="100">
        <f>MAX(SamplingData[[#This Row],[Error Bound (up) - Max. possible relative overstatement - Losing Candidate]:[Error Bound (up) - Max. possible relative overstatement - Candidate 6]])</f>
        <v>1.5311121999020088E-3</v>
      </c>
      <c r="Q1746" s="100">
        <f>IF(SamplingData[[#This Row],[Max Error Bound (up)]] = 0,0,SamplingData[[#This Row],[Max Error Bound (up)]]/SamplingData[[#Totals],[Max Error Bound (up)]])</f>
        <v>2.4232370696114578E-4</v>
      </c>
      <c r="R1746" s="101">
        <f>SUM($Q$5:Q1746)</f>
        <v>0.65124333128928624</v>
      </c>
      <c r="S1746" s="100" t="str">
        <f t="array" ref="S1746">IF(SamplingData[[#This Row],[up/U Selection Probability]] = 0, "Zero", TEXT(SamplingData[[#This Row],[Lower Range]], REPT("0",LEN('General Info'!$B$40))) &amp; " - " &amp; TEXT(SamplingData[[#This Row],[Upper Range]], REPT("0",LEN('General Info'!$B$40))))</f>
        <v>65100 - 65123</v>
      </c>
      <c r="T1746" s="100">
        <f>SamplingData[[#This Row],[Upper Range]]-SamplingData[[#This Row],[Span]]</f>
        <v>65100.101000556213</v>
      </c>
      <c r="U1746" s="100">
        <f>IF(ISNUMBER('General Info'!$B$40), ((SamplingData[[#This Row],[up/U Selection Probability]]) * 'General Info'!$B$40) - 1, 0)</f>
        <v>23.232128372407619</v>
      </c>
      <c r="V1746" s="100">
        <f>IF(ISNUMBER('General Info'!$B$40), (SamplingData[[#This Row],[Running (cumulative) sum]] * ('General Info'!$B$40 -'General Info'!$B$41 + 1)) + 'General Info'!$B$41 - 1, 0)</f>
        <v>65123.333128928622</v>
      </c>
      <c r="W1746" s="100" t="str">
        <f>IF(ISERROR(MATCH(SamplingData[[#This Row],[Batch by Type (p)]],SelectedPrecincts[Batch Name], 0)), "", INDEX(SelectedPrecincts[Draw], MATCH(SamplingData[[#This Row],[Batch by Type (p)]],SelectedPrecincts[Batch Name], 0)))</f>
        <v/>
      </c>
      <c r="X1746" s="102">
        <f>IF(COUNTIF(SelectedPrecincts[Batch Name],SamplingData[[#This Row],[Batch by Type (p)]]) &lt;&gt; 0, COUNTIF(SelectedPrecincts[Batch Name],SamplingData[[#This Row],[Batch by Type (p)]]), 0)</f>
        <v>0</v>
      </c>
    </row>
    <row r="1747" spans="1:24" ht="15" customHeight="1">
      <c r="A1747" s="18" t="s">
        <v>1923</v>
      </c>
      <c r="B1747" s="18">
        <v>24</v>
      </c>
      <c r="C1747" s="18">
        <v>29</v>
      </c>
      <c r="D1747" s="16">
        <v>13</v>
      </c>
      <c r="E1747" s="16">
        <v>10</v>
      </c>
      <c r="F1747" s="37">
        <v>0</v>
      </c>
      <c r="G1747" s="37">
        <v>0</v>
      </c>
      <c r="H1747" s="17">
        <v>0</v>
      </c>
      <c r="I1747" s="17">
        <v>0</v>
      </c>
      <c r="J1747" s="99">
        <f>SUM(SamplingData[[#This Row],[Losing Candidate]:[Under Votes]])</f>
        <v>76</v>
      </c>
      <c r="K1747"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1747" s="100">
        <f>IF(AND(SamplingData[[#This Row],[Total]]&lt;&gt; 0, NOT(ISBLANK(SamplingData[[#This Row],[Candidate 3]]))),(SamplingData[[#This Row],[Total]]+SamplingData[[#This Row],[Winning Candidate]]-SamplingData[[#This Row],[Candidate 3]])/(SamplingData[[#Totals],[Winning Candidate]]-SamplingData[[#Totals],[Candidate 3]]), 0)</f>
        <v>2.9680291641126563E-3</v>
      </c>
      <c r="M1747" s="100">
        <f>IF(AND(SamplingData[[#This Row],[Total]]&lt;&gt; 0, NOT(ISBLANK(SamplingData[[#This Row],[Candidate 4]]))),(SamplingData[[#This Row],[Total]]+SamplingData[[#This Row],[Winning Candidate]]-SamplingData[[#This Row],[Candidate 4]])/(SamplingData[[#Totals],[Winning Candidate]]-SamplingData[[#Totals],[Candidate 4]]), 0)</f>
        <v>2.7770469759420035E-3</v>
      </c>
      <c r="N1747" s="100">
        <f>IF(AND(SamplingData[[#This Row],[Total]]&lt;&gt; 0, NOT(ISBLANK(SamplingData[[#This Row],[Candidate 5]]))),(SamplingData[[#This Row],[Total]]+SamplingData[[#This Row],[Winning Candidate]]-SamplingData[[#This Row],[Candidate 5]])/(SamplingData[[#Totals],[Winning Candidate]]-SamplingData[[#Totals],[Candidate 5]]), 0)</f>
        <v>2.5541230844076867E-3</v>
      </c>
      <c r="O1747" s="100">
        <f>IF(AND(SamplingData[[#This Row],[Total]]&lt;&gt; 0, NOT(ISBLANK(SamplingData[[#This Row],[Candidate 6]]))),(SamplingData[[#This Row],[Total]]+SamplingData[[#This Row],[Winning Candidate]]-SamplingData[[#This Row],[Candidate 6]])/(SamplingData[[#Totals],[Winning Candidate]]-SamplingData[[#Totals],[Candidate 6]]), 0)</f>
        <v>2.5533777540002918E-3</v>
      </c>
      <c r="P1747" s="100">
        <f>MAX(SamplingData[[#This Row],[Error Bound (up) - Max. possible relative overstatement - Losing Candidate]:[Error Bound (up) - Max. possible relative overstatement - Candidate 6]])</f>
        <v>4.9608035276825085E-3</v>
      </c>
      <c r="Q1747" s="100">
        <f>IF(SamplingData[[#This Row],[Max Error Bound (up)]] = 0,0,SamplingData[[#This Row],[Max Error Bound (up)]]/SamplingData[[#Totals],[Max Error Bound (up)]])</f>
        <v>7.8512881055411239E-4</v>
      </c>
      <c r="R1747" s="101">
        <f>SUM($Q$5:Q1747)</f>
        <v>0.65202846009984039</v>
      </c>
      <c r="S1747" s="100" t="str">
        <f t="array" ref="S1747">IF(SamplingData[[#This Row],[up/U Selection Probability]] = 0, "Zero", TEXT(SamplingData[[#This Row],[Lower Range]], REPT("0",LEN('General Info'!$B$40))) &amp; " - " &amp; TEXT(SamplingData[[#This Row],[Upper Range]], REPT("0",LEN('General Info'!$B$40))))</f>
        <v>65124 - 65202</v>
      </c>
      <c r="T1747" s="100">
        <f>SamplingData[[#This Row],[Upper Range]]-SamplingData[[#This Row],[Span]]</f>
        <v>65124.333914057439</v>
      </c>
      <c r="U1747" s="100">
        <f>IF(ISNUMBER('General Info'!$B$40), ((SamplingData[[#This Row],[up/U Selection Probability]]) * 'General Info'!$B$40) - 1, 0)</f>
        <v>77.512095926600679</v>
      </c>
      <c r="V1747" s="100">
        <f>IF(ISNUMBER('General Info'!$B$40), (SamplingData[[#This Row],[Running (cumulative) sum]] * ('General Info'!$B$40 -'General Info'!$B$41 + 1)) + 'General Info'!$B$41 - 1, 0)</f>
        <v>65201.846009984038</v>
      </c>
      <c r="W1747" s="100" t="str">
        <f>IF(ISERROR(MATCH(SamplingData[[#This Row],[Batch by Type (p)]],SelectedPrecincts[Batch Name], 0)), "", INDEX(SelectedPrecincts[Draw], MATCH(SamplingData[[#This Row],[Batch by Type (p)]],SelectedPrecincts[Batch Name], 0)))</f>
        <v/>
      </c>
      <c r="X1747" s="102">
        <f>IF(COUNTIF(SelectedPrecincts[Batch Name],SamplingData[[#This Row],[Batch by Type (p)]]) &lt;&gt; 0, COUNTIF(SelectedPrecincts[Batch Name],SamplingData[[#This Row],[Batch by Type (p)]]), 0)</f>
        <v>0</v>
      </c>
    </row>
    <row r="1748" spans="1:24" ht="15" customHeight="1">
      <c r="A1748" s="18" t="s">
        <v>1924</v>
      </c>
      <c r="B1748" s="18">
        <v>5</v>
      </c>
      <c r="C1748" s="18">
        <v>10</v>
      </c>
      <c r="D1748" s="18">
        <v>1</v>
      </c>
      <c r="E1748" s="18">
        <v>3</v>
      </c>
      <c r="F1748" s="18">
        <v>0</v>
      </c>
      <c r="G1748" s="18">
        <v>0</v>
      </c>
      <c r="H1748" s="18">
        <v>0</v>
      </c>
      <c r="I1748" s="18">
        <v>0</v>
      </c>
      <c r="J1748" s="99">
        <f>SUM(SamplingData[[#This Row],[Losing Candidate]:[Under Votes]])</f>
        <v>19</v>
      </c>
      <c r="K1748"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1748" s="100">
        <f>IF(AND(SamplingData[[#This Row],[Total]]&lt;&gt; 0, NOT(ISBLANK(SamplingData[[#This Row],[Candidate 3]]))),(SamplingData[[#This Row],[Total]]+SamplingData[[#This Row],[Winning Candidate]]-SamplingData[[#This Row],[Candidate 3]])/(SamplingData[[#Totals],[Winning Candidate]]-SamplingData[[#Totals],[Candidate 3]]), 0)</f>
        <v>9.0331322386037359E-4</v>
      </c>
      <c r="M1748" s="100">
        <f>IF(AND(SamplingData[[#This Row],[Total]]&lt;&gt; 0, NOT(ISBLANK(SamplingData[[#This Row],[Candidate 4]]))),(SamplingData[[#This Row],[Total]]+SamplingData[[#This Row],[Winning Candidate]]-SamplingData[[#This Row],[Candidate 4]])/(SamplingData[[#Totals],[Winning Candidate]]-SamplingData[[#Totals],[Candidate 4]]), 0)</f>
        <v>7.6003390920517991E-4</v>
      </c>
      <c r="N1748" s="100">
        <f>IF(AND(SamplingData[[#This Row],[Total]]&lt;&gt; 0, NOT(ISBLANK(SamplingData[[#This Row],[Candidate 5]]))),(SamplingData[[#This Row],[Total]]+SamplingData[[#This Row],[Winning Candidate]]-SamplingData[[#This Row],[Candidate 5]])/(SamplingData[[#Totals],[Winning Candidate]]-SamplingData[[#Totals],[Candidate 5]]), 0)</f>
        <v>7.0542447093164683E-4</v>
      </c>
      <c r="O1748" s="100">
        <f>IF(AND(SamplingData[[#This Row],[Total]]&lt;&gt; 0, NOT(ISBLANK(SamplingData[[#This Row],[Candidate 6]]))),(SamplingData[[#This Row],[Total]]+SamplingData[[#This Row],[Winning Candidate]]-SamplingData[[#This Row],[Candidate 6]])/(SamplingData[[#Totals],[Winning Candidate]]-SamplingData[[#Totals],[Candidate 6]]), 0)</f>
        <v>7.0521861777150916E-4</v>
      </c>
      <c r="P1748" s="100">
        <f>MAX(SamplingData[[#This Row],[Error Bound (up) - Max. possible relative overstatement - Losing Candidate]:[Error Bound (up) - Max. possible relative overstatement - Candidate 6]])</f>
        <v>1.4698677119059284E-3</v>
      </c>
      <c r="Q1748" s="100">
        <f>IF(SamplingData[[#This Row],[Max Error Bound (up)]] = 0,0,SamplingData[[#This Row],[Max Error Bound (up)]]/SamplingData[[#Totals],[Max Error Bound (up)]])</f>
        <v>2.3263075868269994E-4</v>
      </c>
      <c r="R1748" s="101">
        <f>SUM($Q$5:Q1748)</f>
        <v>0.65226109085852313</v>
      </c>
      <c r="S1748" s="100" t="str">
        <f t="array" ref="S1748">IF(SamplingData[[#This Row],[up/U Selection Probability]] = 0, "Zero", TEXT(SamplingData[[#This Row],[Lower Range]], REPT("0",LEN('General Info'!$B$40))) &amp; " - " &amp; TEXT(SamplingData[[#This Row],[Upper Range]], REPT("0",LEN('General Info'!$B$40))))</f>
        <v>65203 - 65225</v>
      </c>
      <c r="T1748" s="100">
        <f>SamplingData[[#This Row],[Upper Range]]-SamplingData[[#This Row],[Span]]</f>
        <v>65202.846242614796</v>
      </c>
      <c r="U1748" s="100">
        <f>IF(ISNUMBER('General Info'!$B$40), ((SamplingData[[#This Row],[up/U Selection Probability]]) * 'General Info'!$B$40) - 1, 0)</f>
        <v>22.262843237511312</v>
      </c>
      <c r="V1748" s="100">
        <f>IF(ISNUMBER('General Info'!$B$40), (SamplingData[[#This Row],[Running (cumulative) sum]] * ('General Info'!$B$40 -'General Info'!$B$41 + 1)) + 'General Info'!$B$41 - 1, 0)</f>
        <v>65225.109085852309</v>
      </c>
      <c r="W1748" s="100" t="str">
        <f>IF(ISERROR(MATCH(SamplingData[[#This Row],[Batch by Type (p)]],SelectedPrecincts[Batch Name], 0)), "", INDEX(SelectedPrecincts[Draw], MATCH(SamplingData[[#This Row],[Batch by Type (p)]],SelectedPrecincts[Batch Name], 0)))</f>
        <v/>
      </c>
      <c r="X1748" s="102">
        <f>IF(COUNTIF(SelectedPrecincts[Batch Name],SamplingData[[#This Row],[Batch by Type (p)]]) &lt;&gt; 0, COUNTIF(SelectedPrecincts[Batch Name],SamplingData[[#This Row],[Batch by Type (p)]]), 0)</f>
        <v>0</v>
      </c>
    </row>
    <row r="1749" spans="1:24" ht="15" customHeight="1">
      <c r="A1749" s="18" t="s">
        <v>1925</v>
      </c>
      <c r="B1749" s="18">
        <v>3</v>
      </c>
      <c r="C1749" s="18">
        <v>7</v>
      </c>
      <c r="D1749" s="16">
        <v>3</v>
      </c>
      <c r="E1749" s="16">
        <v>4</v>
      </c>
      <c r="F1749" s="37">
        <v>0</v>
      </c>
      <c r="G1749" s="37">
        <v>1</v>
      </c>
      <c r="H1749" s="17">
        <v>0</v>
      </c>
      <c r="I1749" s="17">
        <v>0</v>
      </c>
      <c r="J1749" s="99">
        <f>SUM(SamplingData[[#This Row],[Losing Candidate]:[Under Votes]])</f>
        <v>18</v>
      </c>
      <c r="K1749"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1749" s="100">
        <f>IF(AND(SamplingData[[#This Row],[Total]]&lt;&gt; 0, NOT(ISBLANK(SamplingData[[#This Row],[Candidate 3]]))),(SamplingData[[#This Row],[Total]]+SamplingData[[#This Row],[Winning Candidate]]-SamplingData[[#This Row],[Candidate 3]])/(SamplingData[[#Totals],[Winning Candidate]]-SamplingData[[#Totals],[Candidate 3]]), 0)</f>
        <v>7.0974610446172207E-4</v>
      </c>
      <c r="M1749" s="100">
        <f>IF(AND(SamplingData[[#This Row],[Total]]&lt;&gt; 0, NOT(ISBLANK(SamplingData[[#This Row],[Candidate 4]]))),(SamplingData[[#This Row],[Total]]+SamplingData[[#This Row],[Winning Candidate]]-SamplingData[[#This Row],[Candidate 4]])/(SamplingData[[#Totals],[Winning Candidate]]-SamplingData[[#Totals],[Candidate 4]]), 0)</f>
        <v>6.1387354205033758E-4</v>
      </c>
      <c r="N1749" s="100">
        <f>IF(AND(SamplingData[[#This Row],[Total]]&lt;&gt; 0, NOT(ISBLANK(SamplingData[[#This Row],[Candidate 5]]))),(SamplingData[[#This Row],[Total]]+SamplingData[[#This Row],[Winning Candidate]]-SamplingData[[#This Row],[Candidate 5]])/(SamplingData[[#Totals],[Winning Candidate]]-SamplingData[[#Totals],[Candidate 5]]), 0)</f>
        <v>6.0812454390659211E-4</v>
      </c>
      <c r="O1749" s="100">
        <f>IF(AND(SamplingData[[#This Row],[Total]]&lt;&gt; 0, NOT(ISBLANK(SamplingData[[#This Row],[Candidate 6]]))),(SamplingData[[#This Row],[Total]]+SamplingData[[#This Row],[Winning Candidate]]-SamplingData[[#This Row],[Candidate 6]])/(SamplingData[[#Totals],[Winning Candidate]]-SamplingData[[#Totals],[Candidate 6]]), 0)</f>
        <v>5.8362920091435243E-4</v>
      </c>
      <c r="P1749" s="100">
        <f>MAX(SamplingData[[#This Row],[Error Bound (up) - Max. possible relative overstatement - Losing Candidate]:[Error Bound (up) - Max. possible relative overstatement - Candidate 6]])</f>
        <v>1.3473787359137678E-3</v>
      </c>
      <c r="Q1749" s="100">
        <f>IF(SamplingData[[#This Row],[Max Error Bound (up)]] = 0,0,SamplingData[[#This Row],[Max Error Bound (up)]]/SamplingData[[#Totals],[Max Error Bound (up)]])</f>
        <v>2.1324486212580832E-4</v>
      </c>
      <c r="R1749" s="101">
        <f>SUM($Q$5:Q1749)</f>
        <v>0.65247433572064895</v>
      </c>
      <c r="S1749" s="100" t="str">
        <f t="array" ref="S1749">IF(SamplingData[[#This Row],[up/U Selection Probability]] = 0, "Zero", TEXT(SamplingData[[#This Row],[Lower Range]], REPT("0",LEN('General Info'!$B$40))) &amp; " - " &amp; TEXT(SamplingData[[#This Row],[Upper Range]], REPT("0",LEN('General Info'!$B$40))))</f>
        <v>65226 - 65246</v>
      </c>
      <c r="T1749" s="100">
        <f>SamplingData[[#This Row],[Upper Range]]-SamplingData[[#This Row],[Span]]</f>
        <v>65226.109299097174</v>
      </c>
      <c r="U1749" s="100">
        <f>IF(ISNUMBER('General Info'!$B$40), ((SamplingData[[#This Row],[up/U Selection Probability]]) * 'General Info'!$B$40) - 1, 0)</f>
        <v>20.324272967718706</v>
      </c>
      <c r="V1749" s="100">
        <f>IF(ISNUMBER('General Info'!$B$40), (SamplingData[[#This Row],[Running (cumulative) sum]] * ('General Info'!$B$40 -'General Info'!$B$41 + 1)) + 'General Info'!$B$41 - 1, 0)</f>
        <v>65246.433572064896</v>
      </c>
      <c r="W1749" s="100" t="str">
        <f>IF(ISERROR(MATCH(SamplingData[[#This Row],[Batch by Type (p)]],SelectedPrecincts[Batch Name], 0)), "", INDEX(SelectedPrecincts[Draw], MATCH(SamplingData[[#This Row],[Batch by Type (p)]],SelectedPrecincts[Batch Name], 0)))</f>
        <v/>
      </c>
      <c r="X1749" s="102">
        <f>IF(COUNTIF(SelectedPrecincts[Batch Name],SamplingData[[#This Row],[Batch by Type (p)]]) &lt;&gt; 0, COUNTIF(SelectedPrecincts[Batch Name],SamplingData[[#This Row],[Batch by Type (p)]]), 0)</f>
        <v>0</v>
      </c>
    </row>
    <row r="1750" spans="1:24" ht="15" customHeight="1">
      <c r="A1750" s="18" t="s">
        <v>1926</v>
      </c>
      <c r="B1750" s="18">
        <v>2</v>
      </c>
      <c r="C1750" s="18">
        <v>1</v>
      </c>
      <c r="D1750" s="18">
        <v>3</v>
      </c>
      <c r="E1750" s="18">
        <v>0</v>
      </c>
      <c r="F1750" s="18">
        <v>0</v>
      </c>
      <c r="G1750" s="18">
        <v>0</v>
      </c>
      <c r="H1750" s="18">
        <v>0</v>
      </c>
      <c r="I1750" s="18">
        <v>1</v>
      </c>
      <c r="J1750" s="99">
        <f>SUM(SamplingData[[#This Row],[Losing Candidate]:[Under Votes]])</f>
        <v>7</v>
      </c>
      <c r="K1750"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750" s="100">
        <f>IF(AND(SamplingData[[#This Row],[Total]]&lt;&gt; 0, NOT(ISBLANK(SamplingData[[#This Row],[Candidate 3]]))),(SamplingData[[#This Row],[Total]]+SamplingData[[#This Row],[Winning Candidate]]-SamplingData[[#This Row],[Candidate 3]])/(SamplingData[[#Totals],[Winning Candidate]]-SamplingData[[#Totals],[Candidate 3]]), 0)</f>
        <v>1.6130593283220958E-4</v>
      </c>
      <c r="M1750" s="100">
        <f>IF(AND(SamplingData[[#This Row],[Total]]&lt;&gt; 0, NOT(ISBLANK(SamplingData[[#This Row],[Candidate 4]]))),(SamplingData[[#This Row],[Total]]+SamplingData[[#This Row],[Winning Candidate]]-SamplingData[[#This Row],[Candidate 4]])/(SamplingData[[#Totals],[Winning Candidate]]-SamplingData[[#Totals],[Candidate 4]]), 0)</f>
        <v>2.3385658744774768E-4</v>
      </c>
      <c r="N1750" s="100">
        <f>IF(AND(SamplingData[[#This Row],[Total]]&lt;&gt; 0, NOT(ISBLANK(SamplingData[[#This Row],[Candidate 5]]))),(SamplingData[[#This Row],[Total]]+SamplingData[[#This Row],[Winning Candidate]]-SamplingData[[#This Row],[Candidate 5]])/(SamplingData[[#Totals],[Winning Candidate]]-SamplingData[[#Totals],[Candidate 5]]), 0)</f>
        <v>1.9459985405010947E-4</v>
      </c>
      <c r="O1750" s="100">
        <f>IF(AND(SamplingData[[#This Row],[Total]]&lt;&gt; 0, NOT(ISBLANK(SamplingData[[#This Row],[Candidate 6]]))),(SamplingData[[#This Row],[Total]]+SamplingData[[#This Row],[Winning Candidate]]-SamplingData[[#This Row],[Candidate 6]])/(SamplingData[[#Totals],[Winning Candidate]]-SamplingData[[#Totals],[Candidate 6]]), 0)</f>
        <v>1.945430669714508E-4</v>
      </c>
      <c r="P1750" s="100">
        <f>MAX(SamplingData[[#This Row],[Error Bound (up) - Max. possible relative overstatement - Losing Candidate]:[Error Bound (up) - Max. possible relative overstatement - Candidate 6]])</f>
        <v>3.6746692797648211E-4</v>
      </c>
      <c r="Q1750" s="100">
        <f>IF(SamplingData[[#This Row],[Max Error Bound (up)]] = 0,0,SamplingData[[#This Row],[Max Error Bound (up)]]/SamplingData[[#Totals],[Max Error Bound (up)]])</f>
        <v>5.8157689670674986E-5</v>
      </c>
      <c r="R1750" s="101">
        <f>SUM($Q$5:Q1750)</f>
        <v>0.6525324934103196</v>
      </c>
      <c r="S1750" s="100" t="str">
        <f t="array" ref="S1750">IF(SamplingData[[#This Row],[up/U Selection Probability]] = 0, "Zero", TEXT(SamplingData[[#This Row],[Lower Range]], REPT("0",LEN('General Info'!$B$40))) &amp; " - " &amp; TEXT(SamplingData[[#This Row],[Upper Range]], REPT("0",LEN('General Info'!$B$40))))</f>
        <v>65247 - 65252</v>
      </c>
      <c r="T1750" s="100">
        <f>SamplingData[[#This Row],[Upper Range]]-SamplingData[[#This Row],[Span]]</f>
        <v>65247.433630222578</v>
      </c>
      <c r="U1750" s="100">
        <f>IF(ISNUMBER('General Info'!$B$40), ((SamplingData[[#This Row],[up/U Selection Probability]]) * 'General Info'!$B$40) - 1, 0)</f>
        <v>4.815710809377828</v>
      </c>
      <c r="V1750" s="100">
        <f>IF(ISNUMBER('General Info'!$B$40), (SamplingData[[#This Row],[Running (cumulative) sum]] * ('General Info'!$B$40 -'General Info'!$B$41 + 1)) + 'General Info'!$B$41 - 1, 0)</f>
        <v>65252.249341031958</v>
      </c>
      <c r="W1750" s="100" t="str">
        <f>IF(ISERROR(MATCH(SamplingData[[#This Row],[Batch by Type (p)]],SelectedPrecincts[Batch Name], 0)), "", INDEX(SelectedPrecincts[Draw], MATCH(SamplingData[[#This Row],[Batch by Type (p)]],SelectedPrecincts[Batch Name], 0)))</f>
        <v/>
      </c>
      <c r="X1750" s="102">
        <f>IF(COUNTIF(SelectedPrecincts[Batch Name],SamplingData[[#This Row],[Batch by Type (p)]]) &lt;&gt; 0, COUNTIF(SelectedPrecincts[Batch Name],SamplingData[[#This Row],[Batch by Type (p)]]), 0)</f>
        <v>0</v>
      </c>
    </row>
    <row r="1751" spans="1:24" ht="15" customHeight="1">
      <c r="A1751" s="18" t="s">
        <v>1927</v>
      </c>
      <c r="B1751" s="18">
        <v>12</v>
      </c>
      <c r="C1751" s="18">
        <v>35</v>
      </c>
      <c r="D1751" s="16">
        <v>5</v>
      </c>
      <c r="E1751" s="16">
        <v>6</v>
      </c>
      <c r="F1751" s="37">
        <v>0</v>
      </c>
      <c r="G1751" s="37">
        <v>0</v>
      </c>
      <c r="H1751" s="17">
        <v>0</v>
      </c>
      <c r="I1751" s="17">
        <v>1</v>
      </c>
      <c r="J1751" s="99">
        <f>SUM(SamplingData[[#This Row],[Losing Candidate]:[Under Votes]])</f>
        <v>59</v>
      </c>
      <c r="K1751"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1751" s="100">
        <f>IF(AND(SamplingData[[#This Row],[Total]]&lt;&gt; 0, NOT(ISBLANK(SamplingData[[#This Row],[Candidate 3]]))),(SamplingData[[#This Row],[Total]]+SamplingData[[#This Row],[Winning Candidate]]-SamplingData[[#This Row],[Candidate 3]])/(SamplingData[[#Totals],[Winning Candidate]]-SamplingData[[#Totals],[Candidate 3]]), 0)</f>
        <v>2.8712456044133303E-3</v>
      </c>
      <c r="M1751" s="100">
        <f>IF(AND(SamplingData[[#This Row],[Total]]&lt;&gt; 0, NOT(ISBLANK(SamplingData[[#This Row],[Candidate 4]]))),(SamplingData[[#This Row],[Total]]+SamplingData[[#This Row],[Winning Candidate]]-SamplingData[[#This Row],[Candidate 4]])/(SamplingData[[#Totals],[Winning Candidate]]-SamplingData[[#Totals],[Candidate 4]]), 0)</f>
        <v>2.5724224619252242E-3</v>
      </c>
      <c r="N1751" s="100">
        <f>IF(AND(SamplingData[[#This Row],[Total]]&lt;&gt; 0, NOT(ISBLANK(SamplingData[[#This Row],[Candidate 5]]))),(SamplingData[[#This Row],[Total]]+SamplingData[[#This Row],[Winning Candidate]]-SamplingData[[#This Row],[Candidate 5]])/(SamplingData[[#Totals],[Winning Candidate]]-SamplingData[[#Totals],[Candidate 5]]), 0)</f>
        <v>2.2865482850887861E-3</v>
      </c>
      <c r="O1751" s="100">
        <f>IF(AND(SamplingData[[#This Row],[Total]]&lt;&gt; 0, NOT(ISBLANK(SamplingData[[#This Row],[Candidate 6]]))),(SamplingData[[#This Row],[Total]]+SamplingData[[#This Row],[Winning Candidate]]-SamplingData[[#This Row],[Candidate 6]])/(SamplingData[[#Totals],[Winning Candidate]]-SamplingData[[#Totals],[Candidate 6]]), 0)</f>
        <v>2.285881036914547E-3</v>
      </c>
      <c r="P1751" s="100">
        <f>MAX(SamplingData[[#This Row],[Error Bound (up) - Max. possible relative overstatement - Losing Candidate]:[Error Bound (up) - Max. possible relative overstatement - Candidate 6]])</f>
        <v>5.0220480156785889E-3</v>
      </c>
      <c r="Q1751" s="100">
        <f>IF(SamplingData[[#This Row],[Max Error Bound (up)]] = 0,0,SamplingData[[#This Row],[Max Error Bound (up)]]/SamplingData[[#Totals],[Max Error Bound (up)]])</f>
        <v>7.9482175883255823E-4</v>
      </c>
      <c r="R1751" s="101">
        <f>SUM($Q$5:Q1751)</f>
        <v>0.65332731516915221</v>
      </c>
      <c r="S1751" s="100" t="str">
        <f t="array" ref="S1751">IF(SamplingData[[#This Row],[up/U Selection Probability]] = 0, "Zero", TEXT(SamplingData[[#This Row],[Lower Range]], REPT("0",LEN('General Info'!$B$40))) &amp; " - " &amp; TEXT(SamplingData[[#This Row],[Upper Range]], REPT("0",LEN('General Info'!$B$40))))</f>
        <v>65253 - 65332</v>
      </c>
      <c r="T1751" s="100">
        <f>SamplingData[[#This Row],[Upper Range]]-SamplingData[[#This Row],[Span]]</f>
        <v>65253.250135853727</v>
      </c>
      <c r="U1751" s="100">
        <f>IF(ISNUMBER('General Info'!$B$40), ((SamplingData[[#This Row],[up/U Selection Probability]]) * 'General Info'!$B$40) - 1, 0)</f>
        <v>78.48138106149699</v>
      </c>
      <c r="V1751" s="100">
        <f>IF(ISNUMBER('General Info'!$B$40), (SamplingData[[#This Row],[Running (cumulative) sum]] * ('General Info'!$B$40 -'General Info'!$B$41 + 1)) + 'General Info'!$B$41 - 1, 0)</f>
        <v>65331.731516915221</v>
      </c>
      <c r="W1751" s="100" t="str">
        <f>IF(ISERROR(MATCH(SamplingData[[#This Row],[Batch by Type (p)]],SelectedPrecincts[Batch Name], 0)), "", INDEX(SelectedPrecincts[Draw], MATCH(SamplingData[[#This Row],[Batch by Type (p)]],SelectedPrecincts[Batch Name], 0)))</f>
        <v/>
      </c>
      <c r="X1751" s="102">
        <f>IF(COUNTIF(SelectedPrecincts[Batch Name],SamplingData[[#This Row],[Batch by Type (p)]]) &lt;&gt; 0, COUNTIF(SelectedPrecincts[Batch Name],SamplingData[[#This Row],[Batch by Type (p)]]), 0)</f>
        <v>0</v>
      </c>
    </row>
    <row r="1752" spans="1:24" ht="15" customHeight="1">
      <c r="A1752" s="18" t="s">
        <v>1928</v>
      </c>
      <c r="B1752" s="18">
        <v>4</v>
      </c>
      <c r="C1752" s="18">
        <v>5</v>
      </c>
      <c r="D1752" s="18">
        <v>1</v>
      </c>
      <c r="E1752" s="18">
        <v>3</v>
      </c>
      <c r="F1752" s="18">
        <v>1</v>
      </c>
      <c r="G1752" s="18">
        <v>0</v>
      </c>
      <c r="H1752" s="18">
        <v>0</v>
      </c>
      <c r="I1752" s="18">
        <v>0</v>
      </c>
      <c r="J1752" s="99">
        <f>SUM(SamplingData[[#This Row],[Losing Candidate]:[Under Votes]])</f>
        <v>14</v>
      </c>
      <c r="K1752"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752" s="100">
        <f>IF(AND(SamplingData[[#This Row],[Total]]&lt;&gt; 0, NOT(ISBLANK(SamplingData[[#This Row],[Candidate 3]]))),(SamplingData[[#This Row],[Total]]+SamplingData[[#This Row],[Winning Candidate]]-SamplingData[[#This Row],[Candidate 3]])/(SamplingData[[#Totals],[Winning Candidate]]-SamplingData[[#Totals],[Candidate 3]]), 0)</f>
        <v>5.8070135819595443E-4</v>
      </c>
      <c r="M1752" s="100">
        <f>IF(AND(SamplingData[[#This Row],[Total]]&lt;&gt; 0, NOT(ISBLANK(SamplingData[[#This Row],[Candidate 4]]))),(SamplingData[[#This Row],[Total]]+SamplingData[[#This Row],[Winning Candidate]]-SamplingData[[#This Row],[Candidate 4]])/(SamplingData[[#Totals],[Winning Candidate]]-SamplingData[[#Totals],[Candidate 4]]), 0)</f>
        <v>4.6771317489549536E-4</v>
      </c>
      <c r="N1752" s="100">
        <f>IF(AND(SamplingData[[#This Row],[Total]]&lt;&gt; 0, NOT(ISBLANK(SamplingData[[#This Row],[Candidate 5]]))),(SamplingData[[#This Row],[Total]]+SamplingData[[#This Row],[Winning Candidate]]-SamplingData[[#This Row],[Candidate 5]])/(SamplingData[[#Totals],[Winning Candidate]]-SamplingData[[#Totals],[Candidate 5]]), 0)</f>
        <v>4.3784967161274629E-4</v>
      </c>
      <c r="O1752" s="100">
        <f>IF(AND(SamplingData[[#This Row],[Total]]&lt;&gt; 0, NOT(ISBLANK(SamplingData[[#This Row],[Candidate 6]]))),(SamplingData[[#This Row],[Total]]+SamplingData[[#This Row],[Winning Candidate]]-SamplingData[[#This Row],[Candidate 6]])/(SamplingData[[#Totals],[Winning Candidate]]-SamplingData[[#Totals],[Candidate 6]]), 0)</f>
        <v>4.6203978405719566E-4</v>
      </c>
      <c r="P1752" s="100">
        <f>MAX(SamplingData[[#This Row],[Error Bound (up) - Max. possible relative overstatement - Losing Candidate]:[Error Bound (up) - Max. possible relative overstatement - Candidate 6]])</f>
        <v>9.1866731994120533E-4</v>
      </c>
      <c r="Q1752" s="100">
        <f>IF(SamplingData[[#This Row],[Max Error Bound (up)]] = 0,0,SamplingData[[#This Row],[Max Error Bound (up)]]/SamplingData[[#Totals],[Max Error Bound (up)]])</f>
        <v>1.4539422417668749E-4</v>
      </c>
      <c r="R1752" s="101">
        <f>SUM($Q$5:Q1752)</f>
        <v>0.65347270939332891</v>
      </c>
      <c r="S1752" s="100" t="str">
        <f t="array" ref="S1752">IF(SamplingData[[#This Row],[up/U Selection Probability]] = 0, "Zero", TEXT(SamplingData[[#This Row],[Lower Range]], REPT("0",LEN('General Info'!$B$40))) &amp; " - " &amp; TEXT(SamplingData[[#This Row],[Upper Range]], REPT("0",LEN('General Info'!$B$40))))</f>
        <v>65333 - 65346</v>
      </c>
      <c r="T1752" s="100">
        <f>SamplingData[[#This Row],[Upper Range]]-SamplingData[[#This Row],[Span]]</f>
        <v>65332.731662309445</v>
      </c>
      <c r="U1752" s="100">
        <f>IF(ISNUMBER('General Info'!$B$40), ((SamplingData[[#This Row],[up/U Selection Probability]]) * 'General Info'!$B$40) - 1, 0)</f>
        <v>13.539277023444573</v>
      </c>
      <c r="V1752" s="100">
        <f>IF(ISNUMBER('General Info'!$B$40), (SamplingData[[#This Row],[Running (cumulative) sum]] * ('General Info'!$B$40 -'General Info'!$B$41 + 1)) + 'General Info'!$B$41 - 1, 0)</f>
        <v>65346.270939332891</v>
      </c>
      <c r="W1752" s="100" t="str">
        <f>IF(ISERROR(MATCH(SamplingData[[#This Row],[Batch by Type (p)]],SelectedPrecincts[Batch Name], 0)), "", INDEX(SelectedPrecincts[Draw], MATCH(SamplingData[[#This Row],[Batch by Type (p)]],SelectedPrecincts[Batch Name], 0)))</f>
        <v/>
      </c>
      <c r="X1752" s="102">
        <f>IF(COUNTIF(SelectedPrecincts[Batch Name],SamplingData[[#This Row],[Batch by Type (p)]]) &lt;&gt; 0, COUNTIF(SelectedPrecincts[Batch Name],SamplingData[[#This Row],[Batch by Type (p)]]), 0)</f>
        <v>0</v>
      </c>
    </row>
    <row r="1753" spans="1:24" ht="15" customHeight="1">
      <c r="A1753" s="18" t="s">
        <v>1929</v>
      </c>
      <c r="B1753" s="18">
        <v>4</v>
      </c>
      <c r="C1753" s="18">
        <v>3</v>
      </c>
      <c r="D1753" s="16">
        <v>1</v>
      </c>
      <c r="E1753" s="16">
        <v>0</v>
      </c>
      <c r="F1753" s="37">
        <v>0</v>
      </c>
      <c r="G1753" s="37">
        <v>0</v>
      </c>
      <c r="H1753" s="17">
        <v>0</v>
      </c>
      <c r="I1753" s="17">
        <v>0</v>
      </c>
      <c r="J1753" s="99">
        <f>SUM(SamplingData[[#This Row],[Losing Candidate]:[Under Votes]])</f>
        <v>8</v>
      </c>
      <c r="K1753"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1753" s="100">
        <f>IF(AND(SamplingData[[#This Row],[Total]]&lt;&gt; 0, NOT(ISBLANK(SamplingData[[#This Row],[Candidate 3]]))),(SamplingData[[#This Row],[Total]]+SamplingData[[#This Row],[Winning Candidate]]-SamplingData[[#This Row],[Candidate 3]])/(SamplingData[[#Totals],[Winning Candidate]]-SamplingData[[#Totals],[Candidate 3]]), 0)</f>
        <v>3.2261186566441915E-4</v>
      </c>
      <c r="M1753" s="100">
        <f>IF(AND(SamplingData[[#This Row],[Total]]&lt;&gt; 0, NOT(ISBLANK(SamplingData[[#This Row],[Candidate 4]]))),(SamplingData[[#This Row],[Total]]+SamplingData[[#This Row],[Winning Candidate]]-SamplingData[[#This Row],[Candidate 4]])/(SamplingData[[#Totals],[Winning Candidate]]-SamplingData[[#Totals],[Candidate 4]]), 0)</f>
        <v>3.2155280774065302E-4</v>
      </c>
      <c r="N1753" s="100">
        <f>IF(AND(SamplingData[[#This Row],[Total]]&lt;&gt; 0, NOT(ISBLANK(SamplingData[[#This Row],[Candidate 5]]))),(SamplingData[[#This Row],[Total]]+SamplingData[[#This Row],[Winning Candidate]]-SamplingData[[#This Row],[Candidate 5]])/(SamplingData[[#Totals],[Winning Candidate]]-SamplingData[[#Totals],[Candidate 5]]), 0)</f>
        <v>2.6757479931890053E-4</v>
      </c>
      <c r="O1753" s="100">
        <f>IF(AND(SamplingData[[#This Row],[Total]]&lt;&gt; 0, NOT(ISBLANK(SamplingData[[#This Row],[Candidate 6]]))),(SamplingData[[#This Row],[Total]]+SamplingData[[#This Row],[Winning Candidate]]-SamplingData[[#This Row],[Candidate 6]])/(SamplingData[[#Totals],[Winning Candidate]]-SamplingData[[#Totals],[Candidate 6]]), 0)</f>
        <v>2.6749671708574483E-4</v>
      </c>
      <c r="P1753" s="100">
        <f>MAX(SamplingData[[#This Row],[Error Bound (up) - Max. possible relative overstatement - Losing Candidate]:[Error Bound (up) - Max. possible relative overstatement - Candidate 6]])</f>
        <v>4.2871141597256246E-4</v>
      </c>
      <c r="Q1753" s="100">
        <f>IF(SamplingData[[#This Row],[Max Error Bound (up)]] = 0,0,SamplingData[[#This Row],[Max Error Bound (up)]]/SamplingData[[#Totals],[Max Error Bound (up)]])</f>
        <v>6.7850637949120826E-5</v>
      </c>
      <c r="R1753" s="101">
        <f>SUM($Q$5:Q1753)</f>
        <v>0.65354056003127803</v>
      </c>
      <c r="S1753" s="100" t="str">
        <f t="array" ref="S1753">IF(SamplingData[[#This Row],[up/U Selection Probability]] = 0, "Zero", TEXT(SamplingData[[#This Row],[Lower Range]], REPT("0",LEN('General Info'!$B$40))) &amp; " - " &amp; TEXT(SamplingData[[#This Row],[Upper Range]], REPT("0",LEN('General Info'!$B$40))))</f>
        <v>65347 - 65353</v>
      </c>
      <c r="T1753" s="100">
        <f>SamplingData[[#This Row],[Upper Range]]-SamplingData[[#This Row],[Span]]</f>
        <v>65347.271007183524</v>
      </c>
      <c r="U1753" s="100">
        <f>IF(ISNUMBER('General Info'!$B$40), ((SamplingData[[#This Row],[up/U Selection Probability]]) * 'General Info'!$B$40) - 1, 0)</f>
        <v>5.7849959442741339</v>
      </c>
      <c r="V1753" s="100">
        <f>IF(ISNUMBER('General Info'!$B$40), (SamplingData[[#This Row],[Running (cumulative) sum]] * ('General Info'!$B$40 -'General Info'!$B$41 + 1)) + 'General Info'!$B$41 - 1, 0)</f>
        <v>65353.0560031278</v>
      </c>
      <c r="W1753" s="100" t="str">
        <f>IF(ISERROR(MATCH(SamplingData[[#This Row],[Batch by Type (p)]],SelectedPrecincts[Batch Name], 0)), "", INDEX(SelectedPrecincts[Draw], MATCH(SamplingData[[#This Row],[Batch by Type (p)]],SelectedPrecincts[Batch Name], 0)))</f>
        <v/>
      </c>
      <c r="X1753" s="102">
        <f>IF(COUNTIF(SelectedPrecincts[Batch Name],SamplingData[[#This Row],[Batch by Type (p)]]) &lt;&gt; 0, COUNTIF(SelectedPrecincts[Batch Name],SamplingData[[#This Row],[Batch by Type (p)]]), 0)</f>
        <v>0</v>
      </c>
    </row>
    <row r="1754" spans="1:24" ht="15" customHeight="1">
      <c r="A1754" s="18" t="s">
        <v>1930</v>
      </c>
      <c r="B1754" s="18">
        <v>0</v>
      </c>
      <c r="C1754" s="18">
        <v>0</v>
      </c>
      <c r="D1754" s="18">
        <v>0</v>
      </c>
      <c r="E1754" s="18">
        <v>0</v>
      </c>
      <c r="F1754" s="18">
        <v>0</v>
      </c>
      <c r="G1754" s="18">
        <v>0</v>
      </c>
      <c r="H1754" s="18">
        <v>0</v>
      </c>
      <c r="I1754" s="18">
        <v>0</v>
      </c>
      <c r="J1754" s="99">
        <f>SUM(SamplingData[[#This Row],[Losing Candidate]:[Under Votes]])</f>
        <v>0</v>
      </c>
      <c r="K1754" s="100">
        <f>IF(AND(SamplingData[[#This Row],[Total]]&lt;&gt; 0, NOT(ISBLANK(SamplingData[[#This Row],[Losing Candidate]]))),(SamplingData[[#This Row],[Total]]+SamplingData[[#This Row],[Winning Candidate]]-SamplingData[[#This Row],[Losing Candidate]])/(SamplingData[[#Totals],[Winning Candidate]]-SamplingData[[#Totals],[Losing Candidate]]), 0)</f>
        <v>0</v>
      </c>
      <c r="L1754" s="100">
        <f>IF(AND(SamplingData[[#This Row],[Total]]&lt;&gt; 0, NOT(ISBLANK(SamplingData[[#This Row],[Candidate 3]]))),(SamplingData[[#This Row],[Total]]+SamplingData[[#This Row],[Winning Candidate]]-SamplingData[[#This Row],[Candidate 3]])/(SamplingData[[#Totals],[Winning Candidate]]-SamplingData[[#Totals],[Candidate 3]]), 0)</f>
        <v>0</v>
      </c>
      <c r="M1754" s="100">
        <f>IF(AND(SamplingData[[#This Row],[Total]]&lt;&gt; 0, NOT(ISBLANK(SamplingData[[#This Row],[Candidate 4]]))),(SamplingData[[#This Row],[Total]]+SamplingData[[#This Row],[Winning Candidate]]-SamplingData[[#This Row],[Candidate 4]])/(SamplingData[[#Totals],[Winning Candidate]]-SamplingData[[#Totals],[Candidate 4]]), 0)</f>
        <v>0</v>
      </c>
      <c r="N1754" s="100">
        <f>IF(AND(SamplingData[[#This Row],[Total]]&lt;&gt; 0, NOT(ISBLANK(SamplingData[[#This Row],[Candidate 5]]))),(SamplingData[[#This Row],[Total]]+SamplingData[[#This Row],[Winning Candidate]]-SamplingData[[#This Row],[Candidate 5]])/(SamplingData[[#Totals],[Winning Candidate]]-SamplingData[[#Totals],[Candidate 5]]), 0)</f>
        <v>0</v>
      </c>
      <c r="O1754" s="100">
        <f>IF(AND(SamplingData[[#This Row],[Total]]&lt;&gt; 0, NOT(ISBLANK(SamplingData[[#This Row],[Candidate 6]]))),(SamplingData[[#This Row],[Total]]+SamplingData[[#This Row],[Winning Candidate]]-SamplingData[[#This Row],[Candidate 6]])/(SamplingData[[#Totals],[Winning Candidate]]-SamplingData[[#Totals],[Candidate 6]]), 0)</f>
        <v>0</v>
      </c>
      <c r="P1754" s="100">
        <f>MAX(SamplingData[[#This Row],[Error Bound (up) - Max. possible relative overstatement - Losing Candidate]:[Error Bound (up) - Max. possible relative overstatement - Candidate 6]])</f>
        <v>0</v>
      </c>
      <c r="Q1754" s="100">
        <f>IF(SamplingData[[#This Row],[Max Error Bound (up)]] = 0,0,SamplingData[[#This Row],[Max Error Bound (up)]]/SamplingData[[#Totals],[Max Error Bound (up)]])</f>
        <v>0</v>
      </c>
      <c r="R1754" s="101">
        <f>SUM($Q$5:Q1754)</f>
        <v>0.65354056003127803</v>
      </c>
      <c r="S1754" s="100" t="str">
        <f t="array" ref="S1754">IF(SamplingData[[#This Row],[up/U Selection Probability]] = 0, "Zero", TEXT(SamplingData[[#This Row],[Lower Range]], REPT("0",LEN('General Info'!$B$40))) &amp; " - " &amp; TEXT(SamplingData[[#This Row],[Upper Range]], REPT("0",LEN('General Info'!$B$40))))</f>
        <v>Zero</v>
      </c>
      <c r="T1754" s="100">
        <f>SamplingData[[#This Row],[Upper Range]]-SamplingData[[#This Row],[Span]]</f>
        <v>65354.0560031278</v>
      </c>
      <c r="U1754" s="100">
        <f>IF(ISNUMBER('General Info'!$B$40), ((SamplingData[[#This Row],[up/U Selection Probability]]) * 'General Info'!$B$40) - 1, 0)</f>
        <v>-1</v>
      </c>
      <c r="V1754" s="100">
        <f>IF(ISNUMBER('General Info'!$B$40), (SamplingData[[#This Row],[Running (cumulative) sum]] * ('General Info'!$B$40 -'General Info'!$B$41 + 1)) + 'General Info'!$B$41 - 1, 0)</f>
        <v>65353.0560031278</v>
      </c>
      <c r="W1754" s="100" t="str">
        <f>IF(ISERROR(MATCH(SamplingData[[#This Row],[Batch by Type (p)]],SelectedPrecincts[Batch Name], 0)), "", INDEX(SelectedPrecincts[Draw], MATCH(SamplingData[[#This Row],[Batch by Type (p)]],SelectedPrecincts[Batch Name], 0)))</f>
        <v/>
      </c>
      <c r="X1754" s="102">
        <f>IF(COUNTIF(SelectedPrecincts[Batch Name],SamplingData[[#This Row],[Batch by Type (p)]]) &lt;&gt; 0, COUNTIF(SelectedPrecincts[Batch Name],SamplingData[[#This Row],[Batch by Type (p)]]), 0)</f>
        <v>0</v>
      </c>
    </row>
    <row r="1755" spans="1:24" ht="15" customHeight="1">
      <c r="A1755" s="18" t="s">
        <v>1931</v>
      </c>
      <c r="B1755" s="18">
        <v>21</v>
      </c>
      <c r="C1755" s="18">
        <v>29</v>
      </c>
      <c r="D1755" s="16">
        <v>3</v>
      </c>
      <c r="E1755" s="16">
        <v>11</v>
      </c>
      <c r="F1755" s="37">
        <v>0</v>
      </c>
      <c r="G1755" s="37">
        <v>0</v>
      </c>
      <c r="H1755" s="17">
        <v>0</v>
      </c>
      <c r="I1755" s="17">
        <v>1</v>
      </c>
      <c r="J1755" s="99">
        <f>SUM(SamplingData[[#This Row],[Losing Candidate]:[Under Votes]])</f>
        <v>65</v>
      </c>
      <c r="K1755" s="100">
        <f>IF(AND(SamplingData[[#This Row],[Total]]&lt;&gt; 0, NOT(ISBLANK(SamplingData[[#This Row],[Losing Candidate]]))),(SamplingData[[#This Row],[Total]]+SamplingData[[#This Row],[Winning Candidate]]-SamplingData[[#This Row],[Losing Candidate]])/(SamplingData[[#Totals],[Winning Candidate]]-SamplingData[[#Totals],[Losing Candidate]]), 0)</f>
        <v>4.4708476237138662E-3</v>
      </c>
      <c r="L1755" s="100">
        <f>IF(AND(SamplingData[[#This Row],[Total]]&lt;&gt; 0, NOT(ISBLANK(SamplingData[[#This Row],[Candidate 3]]))),(SamplingData[[#This Row],[Total]]+SamplingData[[#This Row],[Winning Candidate]]-SamplingData[[#This Row],[Candidate 3]])/(SamplingData[[#Totals],[Winning Candidate]]-SamplingData[[#Totals],[Candidate 3]]), 0)</f>
        <v>2.9357679775462143E-3</v>
      </c>
      <c r="M1755" s="100">
        <f>IF(AND(SamplingData[[#This Row],[Total]]&lt;&gt; 0, NOT(ISBLANK(SamplingData[[#This Row],[Candidate 4]]))),(SamplingData[[#This Row],[Total]]+SamplingData[[#This Row],[Winning Candidate]]-SamplingData[[#This Row],[Candidate 4]])/(SamplingData[[#Totals],[Winning Candidate]]-SamplingData[[#Totals],[Candidate 4]]), 0)</f>
        <v>2.4262620947703819E-3</v>
      </c>
      <c r="N1755" s="100">
        <f>IF(AND(SamplingData[[#This Row],[Total]]&lt;&gt; 0, NOT(ISBLANK(SamplingData[[#This Row],[Candidate 5]]))),(SamplingData[[#This Row],[Total]]+SamplingData[[#This Row],[Winning Candidate]]-SamplingData[[#This Row],[Candidate 5]])/(SamplingData[[#Totals],[Winning Candidate]]-SamplingData[[#Totals],[Candidate 5]]), 0)</f>
        <v>2.2865482850887861E-3</v>
      </c>
      <c r="O1755" s="100">
        <f>IF(AND(SamplingData[[#This Row],[Total]]&lt;&gt; 0, NOT(ISBLANK(SamplingData[[#This Row],[Candidate 6]]))),(SamplingData[[#This Row],[Total]]+SamplingData[[#This Row],[Winning Candidate]]-SamplingData[[#This Row],[Candidate 6]])/(SamplingData[[#Totals],[Winning Candidate]]-SamplingData[[#Totals],[Candidate 6]]), 0)</f>
        <v>2.285881036914547E-3</v>
      </c>
      <c r="P1755" s="100">
        <f>MAX(SamplingData[[#This Row],[Error Bound (up) - Max. possible relative overstatement - Losing Candidate]:[Error Bound (up) - Max. possible relative overstatement - Candidate 6]])</f>
        <v>4.4708476237138662E-3</v>
      </c>
      <c r="Q1755" s="100">
        <f>IF(SamplingData[[#This Row],[Max Error Bound (up)]] = 0,0,SamplingData[[#This Row],[Max Error Bound (up)]]/SamplingData[[#Totals],[Max Error Bound (up)]])</f>
        <v>7.0758522432654578E-4</v>
      </c>
      <c r="R1755" s="101">
        <f>SUM($Q$5:Q1755)</f>
        <v>0.6542481452556046</v>
      </c>
      <c r="S1755" s="100" t="str">
        <f t="array" ref="S1755">IF(SamplingData[[#This Row],[up/U Selection Probability]] = 0, "Zero", TEXT(SamplingData[[#This Row],[Lower Range]], REPT("0",LEN('General Info'!$B$40))) &amp; " - " &amp; TEXT(SamplingData[[#This Row],[Upper Range]], REPT("0",LEN('General Info'!$B$40))))</f>
        <v>65354 - 65424</v>
      </c>
      <c r="T1755" s="100">
        <f>SamplingData[[#This Row],[Upper Range]]-SamplingData[[#This Row],[Span]]</f>
        <v>65354.056710713034</v>
      </c>
      <c r="U1755" s="100">
        <f>IF(ISNUMBER('General Info'!$B$40), ((SamplingData[[#This Row],[up/U Selection Probability]]) * 'General Info'!$B$40) - 1, 0)</f>
        <v>69.757814847430254</v>
      </c>
      <c r="V1755" s="100">
        <f>IF(ISNUMBER('General Info'!$B$40), (SamplingData[[#This Row],[Running (cumulative) sum]] * ('General Info'!$B$40 -'General Info'!$B$41 + 1)) + 'General Info'!$B$41 - 1, 0)</f>
        <v>65423.814525560461</v>
      </c>
      <c r="W1755" s="100" t="str">
        <f>IF(ISERROR(MATCH(SamplingData[[#This Row],[Batch by Type (p)]],SelectedPrecincts[Batch Name], 0)), "", INDEX(SelectedPrecincts[Draw], MATCH(SamplingData[[#This Row],[Batch by Type (p)]],SelectedPrecincts[Batch Name], 0)))</f>
        <v/>
      </c>
      <c r="X1755" s="102">
        <f>IF(COUNTIF(SelectedPrecincts[Batch Name],SamplingData[[#This Row],[Batch by Type (p)]]) &lt;&gt; 0, COUNTIF(SelectedPrecincts[Batch Name],SamplingData[[#This Row],[Batch by Type (p)]]), 0)</f>
        <v>0</v>
      </c>
    </row>
    <row r="1756" spans="1:24" ht="15" customHeight="1">
      <c r="A1756" s="18" t="s">
        <v>1932</v>
      </c>
      <c r="B1756" s="18">
        <v>3</v>
      </c>
      <c r="C1756" s="18">
        <v>7</v>
      </c>
      <c r="D1756" s="18">
        <v>2</v>
      </c>
      <c r="E1756" s="18">
        <v>1</v>
      </c>
      <c r="F1756" s="18">
        <v>0</v>
      </c>
      <c r="G1756" s="18">
        <v>0</v>
      </c>
      <c r="H1756" s="18">
        <v>0</v>
      </c>
      <c r="I1756" s="18">
        <v>0</v>
      </c>
      <c r="J1756" s="99">
        <f>SUM(SamplingData[[#This Row],[Losing Candidate]:[Under Votes]])</f>
        <v>13</v>
      </c>
      <c r="K1756"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756" s="100">
        <f>IF(AND(SamplingData[[#This Row],[Total]]&lt;&gt; 0, NOT(ISBLANK(SamplingData[[#This Row],[Candidate 3]]))),(SamplingData[[#This Row],[Total]]+SamplingData[[#This Row],[Winning Candidate]]-SamplingData[[#This Row],[Candidate 3]])/(SamplingData[[#Totals],[Winning Candidate]]-SamplingData[[#Totals],[Candidate 3]]), 0)</f>
        <v>5.8070135819595443E-4</v>
      </c>
      <c r="M1756" s="100">
        <f>IF(AND(SamplingData[[#This Row],[Total]]&lt;&gt; 0, NOT(ISBLANK(SamplingData[[#This Row],[Candidate 4]]))),(SamplingData[[#This Row],[Total]]+SamplingData[[#This Row],[Winning Candidate]]-SamplingData[[#This Row],[Candidate 4]])/(SamplingData[[#Totals],[Winning Candidate]]-SamplingData[[#Totals],[Candidate 4]]), 0)</f>
        <v>5.5540939518840076E-4</v>
      </c>
      <c r="N1756" s="100">
        <f>IF(AND(SamplingData[[#This Row],[Total]]&lt;&gt; 0, NOT(ISBLANK(SamplingData[[#This Row],[Candidate 5]]))),(SamplingData[[#This Row],[Total]]+SamplingData[[#This Row],[Winning Candidate]]-SamplingData[[#This Row],[Candidate 5]])/(SamplingData[[#Totals],[Winning Candidate]]-SamplingData[[#Totals],[Candidate 5]]), 0)</f>
        <v>4.8649963512527365E-4</v>
      </c>
      <c r="O1756" s="100">
        <f>IF(AND(SamplingData[[#This Row],[Total]]&lt;&gt; 0, NOT(ISBLANK(SamplingData[[#This Row],[Candidate 6]]))),(SamplingData[[#This Row],[Total]]+SamplingData[[#This Row],[Winning Candidate]]-SamplingData[[#This Row],[Candidate 6]])/(SamplingData[[#Totals],[Winning Candidate]]-SamplingData[[#Totals],[Candidate 6]]), 0)</f>
        <v>4.8635766742862699E-4</v>
      </c>
      <c r="P1756" s="100">
        <f>MAX(SamplingData[[#This Row],[Error Bound (up) - Max. possible relative overstatement - Losing Candidate]:[Error Bound (up) - Max. possible relative overstatement - Candidate 6]])</f>
        <v>1.041156295933366E-3</v>
      </c>
      <c r="Q1756" s="100">
        <f>IF(SamplingData[[#This Row],[Max Error Bound (up)]] = 0,0,SamplingData[[#This Row],[Max Error Bound (up)]]/SamplingData[[#Totals],[Max Error Bound (up)]])</f>
        <v>1.6478012073357914E-4</v>
      </c>
      <c r="R1756" s="101">
        <f>SUM($Q$5:Q1756)</f>
        <v>0.65441292537633822</v>
      </c>
      <c r="S1756" s="100" t="str">
        <f t="array" ref="S1756">IF(SamplingData[[#This Row],[up/U Selection Probability]] = 0, "Zero", TEXT(SamplingData[[#This Row],[Lower Range]], REPT("0",LEN('General Info'!$B$40))) &amp; " - " &amp; TEXT(SamplingData[[#This Row],[Upper Range]], REPT("0",LEN('General Info'!$B$40))))</f>
        <v>65425 - 65440</v>
      </c>
      <c r="T1756" s="100">
        <f>SamplingData[[#This Row],[Upper Range]]-SamplingData[[#This Row],[Span]]</f>
        <v>65424.814690340587</v>
      </c>
      <c r="U1756" s="100">
        <f>IF(ISNUMBER('General Info'!$B$40), ((SamplingData[[#This Row],[up/U Selection Probability]]) * 'General Info'!$B$40) - 1, 0)</f>
        <v>15.477847293237179</v>
      </c>
      <c r="V1756" s="100">
        <f>IF(ISNUMBER('General Info'!$B$40), (SamplingData[[#This Row],[Running (cumulative) sum]] * ('General Info'!$B$40 -'General Info'!$B$41 + 1)) + 'General Info'!$B$41 - 1, 0)</f>
        <v>65440.292537633824</v>
      </c>
      <c r="W1756" s="100" t="str">
        <f>IF(ISERROR(MATCH(SamplingData[[#This Row],[Batch by Type (p)]],SelectedPrecincts[Batch Name], 0)), "", INDEX(SelectedPrecincts[Draw], MATCH(SamplingData[[#This Row],[Batch by Type (p)]],SelectedPrecincts[Batch Name], 0)))</f>
        <v/>
      </c>
      <c r="X1756" s="102">
        <f>IF(COUNTIF(SelectedPrecincts[Batch Name],SamplingData[[#This Row],[Batch by Type (p)]]) &lt;&gt; 0, COUNTIF(SelectedPrecincts[Batch Name],SamplingData[[#This Row],[Batch by Type (p)]]), 0)</f>
        <v>0</v>
      </c>
    </row>
    <row r="1757" spans="1:24" ht="15" customHeight="1">
      <c r="A1757" s="18" t="s">
        <v>1933</v>
      </c>
      <c r="B1757" s="18">
        <v>17</v>
      </c>
      <c r="C1757" s="18">
        <v>19</v>
      </c>
      <c r="D1757" s="16">
        <v>12</v>
      </c>
      <c r="E1757" s="16">
        <v>6</v>
      </c>
      <c r="F1757" s="37">
        <v>0</v>
      </c>
      <c r="G1757" s="37">
        <v>0</v>
      </c>
      <c r="H1757" s="17">
        <v>0</v>
      </c>
      <c r="I1757" s="17">
        <v>0</v>
      </c>
      <c r="J1757" s="99">
        <f>SUM(SamplingData[[#This Row],[Losing Candidate]:[Under Votes]])</f>
        <v>54</v>
      </c>
      <c r="K1757"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1757" s="100">
        <f>IF(AND(SamplingData[[#This Row],[Total]]&lt;&gt; 0, NOT(ISBLANK(SamplingData[[#This Row],[Candidate 3]]))),(SamplingData[[#This Row],[Total]]+SamplingData[[#This Row],[Winning Candidate]]-SamplingData[[#This Row],[Candidate 3]])/(SamplingData[[#Totals],[Winning Candidate]]-SamplingData[[#Totals],[Candidate 3]]), 0)</f>
        <v>1.9679323805529567E-3</v>
      </c>
      <c r="M1757" s="100">
        <f>IF(AND(SamplingData[[#This Row],[Total]]&lt;&gt; 0, NOT(ISBLANK(SamplingData[[#This Row],[Candidate 4]]))),(SamplingData[[#This Row],[Total]]+SamplingData[[#This Row],[Winning Candidate]]-SamplingData[[#This Row],[Candidate 4]])/(SamplingData[[#Totals],[Winning Candidate]]-SamplingData[[#Totals],[Candidate 4]]), 0)</f>
        <v>1.9585489198748868E-3</v>
      </c>
      <c r="N1757" s="100">
        <f>IF(AND(SamplingData[[#This Row],[Total]]&lt;&gt; 0, NOT(ISBLANK(SamplingData[[#This Row],[Candidate 5]]))),(SamplingData[[#This Row],[Total]]+SamplingData[[#This Row],[Winning Candidate]]-SamplingData[[#This Row],[Candidate 5]])/(SamplingData[[#Totals],[Winning Candidate]]-SamplingData[[#Totals],[Candidate 5]]), 0)</f>
        <v>1.7757236682072487E-3</v>
      </c>
      <c r="O1757" s="100">
        <f>IF(AND(SamplingData[[#This Row],[Total]]&lt;&gt; 0, NOT(ISBLANK(SamplingData[[#This Row],[Candidate 6]]))),(SamplingData[[#This Row],[Total]]+SamplingData[[#This Row],[Winning Candidate]]-SamplingData[[#This Row],[Candidate 6]])/(SamplingData[[#Totals],[Winning Candidate]]-SamplingData[[#Totals],[Candidate 6]]), 0)</f>
        <v>1.7752054861144887E-3</v>
      </c>
      <c r="P1757" s="100">
        <f>MAX(SamplingData[[#This Row],[Error Bound (up) - Max. possible relative overstatement - Losing Candidate]:[Error Bound (up) - Max. possible relative overstatement - Candidate 6]])</f>
        <v>3.4296913277804997E-3</v>
      </c>
      <c r="Q1757" s="100">
        <f>IF(SamplingData[[#This Row],[Max Error Bound (up)]] = 0,0,SamplingData[[#This Row],[Max Error Bound (up)]]/SamplingData[[#Totals],[Max Error Bound (up)]])</f>
        <v>5.4280510359296661E-4</v>
      </c>
      <c r="R1757" s="101">
        <f>SUM($Q$5:Q1757)</f>
        <v>0.65495573047993116</v>
      </c>
      <c r="S1757" s="100" t="str">
        <f t="array" ref="S1757">IF(SamplingData[[#This Row],[up/U Selection Probability]] = 0, "Zero", TEXT(SamplingData[[#This Row],[Lower Range]], REPT("0",LEN('General Info'!$B$40))) &amp; " - " &amp; TEXT(SamplingData[[#This Row],[Upper Range]], REPT("0",LEN('General Info'!$B$40))))</f>
        <v>65441 - 65495</v>
      </c>
      <c r="T1757" s="100">
        <f>SamplingData[[#This Row],[Upper Range]]-SamplingData[[#This Row],[Span]]</f>
        <v>65441.293080438925</v>
      </c>
      <c r="U1757" s="100">
        <f>IF(ISNUMBER('General Info'!$B$40), ((SamplingData[[#This Row],[up/U Selection Probability]]) * 'General Info'!$B$40) - 1, 0)</f>
        <v>53.279967554193071</v>
      </c>
      <c r="V1757" s="100">
        <f>IF(ISNUMBER('General Info'!$B$40), (SamplingData[[#This Row],[Running (cumulative) sum]] * ('General Info'!$B$40 -'General Info'!$B$41 + 1)) + 'General Info'!$B$41 - 1, 0)</f>
        <v>65494.573047993115</v>
      </c>
      <c r="W1757" s="100" t="str">
        <f>IF(ISERROR(MATCH(SamplingData[[#This Row],[Batch by Type (p)]],SelectedPrecincts[Batch Name], 0)), "", INDEX(SelectedPrecincts[Draw], MATCH(SamplingData[[#This Row],[Batch by Type (p)]],SelectedPrecincts[Batch Name], 0)))</f>
        <v/>
      </c>
      <c r="X1757" s="102">
        <f>IF(COUNTIF(SelectedPrecincts[Batch Name],SamplingData[[#This Row],[Batch by Type (p)]]) &lt;&gt; 0, COUNTIF(SelectedPrecincts[Batch Name],SamplingData[[#This Row],[Batch by Type (p)]]), 0)</f>
        <v>0</v>
      </c>
    </row>
    <row r="1758" spans="1:24" ht="15" customHeight="1">
      <c r="A1758" s="18" t="s">
        <v>1934</v>
      </c>
      <c r="B1758" s="18">
        <v>7</v>
      </c>
      <c r="C1758" s="18">
        <v>2</v>
      </c>
      <c r="D1758" s="18">
        <v>3</v>
      </c>
      <c r="E1758" s="18">
        <v>1</v>
      </c>
      <c r="F1758" s="18">
        <v>0</v>
      </c>
      <c r="G1758" s="18">
        <v>0</v>
      </c>
      <c r="H1758" s="18">
        <v>0</v>
      </c>
      <c r="I1758" s="18">
        <v>0</v>
      </c>
      <c r="J1758" s="99">
        <f>SUM(SamplingData[[#This Row],[Losing Candidate]:[Under Votes]])</f>
        <v>13</v>
      </c>
      <c r="K1758"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758" s="100">
        <f>IF(AND(SamplingData[[#This Row],[Total]]&lt;&gt; 0, NOT(ISBLANK(SamplingData[[#This Row],[Candidate 3]]))),(SamplingData[[#This Row],[Total]]+SamplingData[[#This Row],[Winning Candidate]]-SamplingData[[#This Row],[Candidate 3]])/(SamplingData[[#Totals],[Winning Candidate]]-SamplingData[[#Totals],[Candidate 3]]), 0)</f>
        <v>3.8713423879730297E-4</v>
      </c>
      <c r="M1758" s="100">
        <f>IF(AND(SamplingData[[#This Row],[Total]]&lt;&gt; 0, NOT(ISBLANK(SamplingData[[#This Row],[Candidate 4]]))),(SamplingData[[#This Row],[Total]]+SamplingData[[#This Row],[Winning Candidate]]-SamplingData[[#This Row],[Candidate 4]])/(SamplingData[[#Totals],[Winning Candidate]]-SamplingData[[#Totals],[Candidate 4]]), 0)</f>
        <v>4.0924902803355842E-4</v>
      </c>
      <c r="N1758" s="100">
        <f>IF(AND(SamplingData[[#This Row],[Total]]&lt;&gt; 0, NOT(ISBLANK(SamplingData[[#This Row],[Candidate 5]]))),(SamplingData[[#This Row],[Total]]+SamplingData[[#This Row],[Winning Candidate]]-SamplingData[[#This Row],[Candidate 5]])/(SamplingData[[#Totals],[Winning Candidate]]-SamplingData[[#Totals],[Candidate 5]]), 0)</f>
        <v>3.6487472634395525E-4</v>
      </c>
      <c r="O1758" s="100">
        <f>IF(AND(SamplingData[[#This Row],[Total]]&lt;&gt; 0, NOT(ISBLANK(SamplingData[[#This Row],[Candidate 6]]))),(SamplingData[[#This Row],[Total]]+SamplingData[[#This Row],[Winning Candidate]]-SamplingData[[#This Row],[Candidate 6]])/(SamplingData[[#Totals],[Winning Candidate]]-SamplingData[[#Totals],[Candidate 6]]), 0)</f>
        <v>3.6476825057147027E-4</v>
      </c>
      <c r="P1758" s="100">
        <f>MAX(SamplingData[[#This Row],[Error Bound (up) - Max. possible relative overstatement - Losing Candidate]:[Error Bound (up) - Max. possible relative overstatement - Candidate 6]])</f>
        <v>4.8995590396864281E-4</v>
      </c>
      <c r="Q1758" s="100">
        <f>IF(SamplingData[[#This Row],[Max Error Bound (up)]] = 0,0,SamplingData[[#This Row],[Max Error Bound (up)]]/SamplingData[[#Totals],[Max Error Bound (up)]])</f>
        <v>7.7543586227566652E-5</v>
      </c>
      <c r="R1758" s="101">
        <f>SUM($Q$5:Q1758)</f>
        <v>0.65503327406615874</v>
      </c>
      <c r="S1758" s="100" t="str">
        <f t="array" ref="S1758">IF(SamplingData[[#This Row],[up/U Selection Probability]] = 0, "Zero", TEXT(SamplingData[[#This Row],[Lower Range]], REPT("0",LEN('General Info'!$B$40))) &amp; " - " &amp; TEXT(SamplingData[[#This Row],[Upper Range]], REPT("0",LEN('General Info'!$B$40))))</f>
        <v>65496 - 65502</v>
      </c>
      <c r="T1758" s="100">
        <f>SamplingData[[#This Row],[Upper Range]]-SamplingData[[#This Row],[Span]]</f>
        <v>65495.573125536706</v>
      </c>
      <c r="U1758" s="100">
        <f>IF(ISNUMBER('General Info'!$B$40), ((SamplingData[[#This Row],[up/U Selection Probability]]) * 'General Info'!$B$40) - 1, 0)</f>
        <v>6.754281079170438</v>
      </c>
      <c r="V1758" s="100">
        <f>IF(ISNUMBER('General Info'!$B$40), (SamplingData[[#This Row],[Running (cumulative) sum]] * ('General Info'!$B$40 -'General Info'!$B$41 + 1)) + 'General Info'!$B$41 - 1, 0)</f>
        <v>65502.327406615877</v>
      </c>
      <c r="W1758" s="100" t="str">
        <f>IF(ISERROR(MATCH(SamplingData[[#This Row],[Batch by Type (p)]],SelectedPrecincts[Batch Name], 0)), "", INDEX(SelectedPrecincts[Draw], MATCH(SamplingData[[#This Row],[Batch by Type (p)]],SelectedPrecincts[Batch Name], 0)))</f>
        <v/>
      </c>
      <c r="X1758" s="102">
        <f>IF(COUNTIF(SelectedPrecincts[Batch Name],SamplingData[[#This Row],[Batch by Type (p)]]) &lt;&gt; 0, COUNTIF(SelectedPrecincts[Batch Name],SamplingData[[#This Row],[Batch by Type (p)]]), 0)</f>
        <v>0</v>
      </c>
    </row>
    <row r="1759" spans="1:24" ht="15" customHeight="1">
      <c r="A1759" s="18" t="s">
        <v>1935</v>
      </c>
      <c r="B1759" s="18">
        <v>17</v>
      </c>
      <c r="C1759" s="18">
        <v>28</v>
      </c>
      <c r="D1759" s="16">
        <v>14</v>
      </c>
      <c r="E1759" s="16">
        <v>7</v>
      </c>
      <c r="F1759" s="37">
        <v>0</v>
      </c>
      <c r="G1759" s="37">
        <v>0</v>
      </c>
      <c r="H1759" s="17">
        <v>0</v>
      </c>
      <c r="I1759" s="17">
        <v>3</v>
      </c>
      <c r="J1759" s="99">
        <f>SUM(SamplingData[[#This Row],[Losing Candidate]:[Under Votes]])</f>
        <v>69</v>
      </c>
      <c r="K1759"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4.8995590396864281E-3</v>
      </c>
      <c r="L1759" s="100">
        <f>IF(AND(SamplingData[[#This Row],[Total]]&lt;&gt; 0, NOT(ISBLANK(SamplingData[[#This Row],[Candidate 3]]))),(SamplingData[[#This Row],[Total]]+SamplingData[[#This Row],[Winning Candidate]]-SamplingData[[#This Row],[Candidate 3]])/(SamplingData[[#Totals],[Winning Candidate]]-SamplingData[[#Totals],[Candidate 3]]), 0)</f>
        <v>2.6776784850146788E-3</v>
      </c>
      <c r="M1759" s="100">
        <f>IF(AND(SamplingData[[#This Row],[Total]]&lt;&gt; 0, NOT(ISBLANK(SamplingData[[#This Row],[Candidate 4]]))),(SamplingData[[#This Row],[Total]]+SamplingData[[#This Row],[Winning Candidate]]-SamplingData[[#This Row],[Candidate 4]])/(SamplingData[[#Totals],[Winning Candidate]]-SamplingData[[#Totals],[Candidate 4]]), 0)</f>
        <v>2.6308866087871611E-3</v>
      </c>
      <c r="N1759" s="100">
        <f>IF(AND(SamplingData[[#This Row],[Total]]&lt;&gt; 0, NOT(ISBLANK(SamplingData[[#This Row],[Candidate 5]]))),(SamplingData[[#This Row],[Total]]+SamplingData[[#This Row],[Winning Candidate]]-SamplingData[[#This Row],[Candidate 5]])/(SamplingData[[#Totals],[Winning Candidate]]-SamplingData[[#Totals],[Candidate 5]]), 0)</f>
        <v>2.3595232303575773E-3</v>
      </c>
      <c r="O1759" s="100">
        <f>IF(AND(SamplingData[[#This Row],[Total]]&lt;&gt; 0, NOT(ISBLANK(SamplingData[[#This Row],[Candidate 6]]))),(SamplingData[[#This Row],[Total]]+SamplingData[[#This Row],[Winning Candidate]]-SamplingData[[#This Row],[Candidate 6]])/(SamplingData[[#Totals],[Winning Candidate]]-SamplingData[[#Totals],[Candidate 6]]), 0)</f>
        <v>2.3588346870288411E-3</v>
      </c>
      <c r="P1759" s="100">
        <f>MAX(SamplingData[[#This Row],[Error Bound (up) - Max. possible relative overstatement - Losing Candidate]:[Error Bound (up) - Max. possible relative overstatement - Candidate 6]])</f>
        <v>4.8995590396864281E-3</v>
      </c>
      <c r="Q1759" s="100">
        <f>IF(SamplingData[[#This Row],[Max Error Bound (up)]] = 0,0,SamplingData[[#This Row],[Max Error Bound (up)]]/SamplingData[[#Totals],[Max Error Bound (up)]])</f>
        <v>7.7543586227566655E-4</v>
      </c>
      <c r="R1759" s="101">
        <f>SUM($Q$5:Q1759)</f>
        <v>0.65580870992843443</v>
      </c>
      <c r="S1759" s="100" t="str">
        <f t="array" ref="S1759">IF(SamplingData[[#This Row],[up/U Selection Probability]] = 0, "Zero", TEXT(SamplingData[[#This Row],[Lower Range]], REPT("0",LEN('General Info'!$B$40))) &amp; " - " &amp; TEXT(SamplingData[[#This Row],[Upper Range]], REPT("0",LEN('General Info'!$B$40))))</f>
        <v>65503 - 65580</v>
      </c>
      <c r="T1759" s="100">
        <f>SamplingData[[#This Row],[Upper Range]]-SamplingData[[#This Row],[Span]]</f>
        <v>65503.328182051737</v>
      </c>
      <c r="U1759" s="100">
        <f>IF(ISNUMBER('General Info'!$B$40), ((SamplingData[[#This Row],[up/U Selection Probability]]) * 'General Info'!$B$40) - 1, 0)</f>
        <v>76.542810791704383</v>
      </c>
      <c r="V1759" s="100">
        <f>IF(ISNUMBER('General Info'!$B$40), (SamplingData[[#This Row],[Running (cumulative) sum]] * ('General Info'!$B$40 -'General Info'!$B$41 + 1)) + 'General Info'!$B$41 - 1, 0)</f>
        <v>65579.87099284344</v>
      </c>
      <c r="W1759" s="100" t="str">
        <f>IF(ISERROR(MATCH(SamplingData[[#This Row],[Batch by Type (p)]],SelectedPrecincts[Batch Name], 0)), "", INDEX(SelectedPrecincts[Draw], MATCH(SamplingData[[#This Row],[Batch by Type (p)]],SelectedPrecincts[Batch Name], 0)))</f>
        <v/>
      </c>
      <c r="X1759" s="102">
        <f>IF(COUNTIF(SelectedPrecincts[Batch Name],SamplingData[[#This Row],[Batch by Type (p)]]) &lt;&gt; 0, COUNTIF(SelectedPrecincts[Batch Name],SamplingData[[#This Row],[Batch by Type (p)]]), 0)</f>
        <v>0</v>
      </c>
    </row>
    <row r="1760" spans="1:24" ht="15" customHeight="1">
      <c r="A1760" s="18" t="s">
        <v>1936</v>
      </c>
      <c r="B1760" s="18">
        <v>21</v>
      </c>
      <c r="C1760" s="18">
        <v>14</v>
      </c>
      <c r="D1760" s="18">
        <v>3</v>
      </c>
      <c r="E1760" s="18">
        <v>6</v>
      </c>
      <c r="F1760" s="18">
        <v>0</v>
      </c>
      <c r="G1760" s="18">
        <v>0</v>
      </c>
      <c r="H1760" s="18">
        <v>0</v>
      </c>
      <c r="I1760" s="18">
        <v>2</v>
      </c>
      <c r="J1760" s="99">
        <f>SUM(SamplingData[[#This Row],[Losing Candidate]:[Under Votes]])</f>
        <v>46</v>
      </c>
      <c r="K1760"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1760" s="100">
        <f>IF(AND(SamplingData[[#This Row],[Total]]&lt;&gt; 0, NOT(ISBLANK(SamplingData[[#This Row],[Candidate 3]]))),(SamplingData[[#This Row],[Total]]+SamplingData[[#This Row],[Winning Candidate]]-SamplingData[[#This Row],[Candidate 3]])/(SamplingData[[#Totals],[Winning Candidate]]-SamplingData[[#Totals],[Candidate 3]]), 0)</f>
        <v>1.8388876342871892E-3</v>
      </c>
      <c r="M1760" s="100">
        <f>IF(AND(SamplingData[[#This Row],[Total]]&lt;&gt; 0, NOT(ISBLANK(SamplingData[[#This Row],[Candidate 4]]))),(SamplingData[[#This Row],[Total]]+SamplingData[[#This Row],[Winning Candidate]]-SamplingData[[#This Row],[Candidate 4]])/(SamplingData[[#Totals],[Winning Candidate]]-SamplingData[[#Totals],[Candidate 4]]), 0)</f>
        <v>1.5785319652722968E-3</v>
      </c>
      <c r="N1760" s="100">
        <f>IF(AND(SamplingData[[#This Row],[Total]]&lt;&gt; 0, NOT(ISBLANK(SamplingData[[#This Row],[Candidate 5]]))),(SamplingData[[#This Row],[Total]]+SamplingData[[#This Row],[Winning Candidate]]-SamplingData[[#This Row],[Candidate 5]])/(SamplingData[[#Totals],[Winning Candidate]]-SamplingData[[#Totals],[Candidate 5]]), 0)</f>
        <v>1.459498905375821E-3</v>
      </c>
      <c r="O1760" s="100">
        <f>IF(AND(SamplingData[[#This Row],[Total]]&lt;&gt; 0, NOT(ISBLANK(SamplingData[[#This Row],[Candidate 6]]))),(SamplingData[[#This Row],[Total]]+SamplingData[[#This Row],[Winning Candidate]]-SamplingData[[#This Row],[Candidate 6]])/(SamplingData[[#Totals],[Winning Candidate]]-SamplingData[[#Totals],[Candidate 6]]), 0)</f>
        <v>1.4590730022858811E-3</v>
      </c>
      <c r="P1760" s="100">
        <f>MAX(SamplingData[[#This Row],[Error Bound (up) - Max. possible relative overstatement - Losing Candidate]:[Error Bound (up) - Max. possible relative overstatement - Candidate 6]])</f>
        <v>2.3885350318471337E-3</v>
      </c>
      <c r="Q1760" s="100">
        <f>IF(SamplingData[[#This Row],[Max Error Bound (up)]] = 0,0,SamplingData[[#This Row],[Max Error Bound (up)]]/SamplingData[[#Totals],[Max Error Bound (up)]])</f>
        <v>3.7802498285938744E-4</v>
      </c>
      <c r="R1760" s="101">
        <f>SUM($Q$5:Q1760)</f>
        <v>0.65618673491129387</v>
      </c>
      <c r="S1760" s="100" t="str">
        <f t="array" ref="S1760">IF(SamplingData[[#This Row],[up/U Selection Probability]] = 0, "Zero", TEXT(SamplingData[[#This Row],[Lower Range]], REPT("0",LEN('General Info'!$B$40))) &amp; " - " &amp; TEXT(SamplingData[[#This Row],[Upper Range]], REPT("0",LEN('General Info'!$B$40))))</f>
        <v>65581 - 65618</v>
      </c>
      <c r="T1760" s="100">
        <f>SamplingData[[#This Row],[Upper Range]]-SamplingData[[#This Row],[Span]]</f>
        <v>65580.871370868437</v>
      </c>
      <c r="U1760" s="100">
        <f>IF(ISNUMBER('General Info'!$B$40), ((SamplingData[[#This Row],[up/U Selection Probability]]) * 'General Info'!$B$40) - 1, 0)</f>
        <v>36.802120260955881</v>
      </c>
      <c r="V1760" s="100">
        <f>IF(ISNUMBER('General Info'!$B$40), (SamplingData[[#This Row],[Running (cumulative) sum]] * ('General Info'!$B$40 -'General Info'!$B$41 + 1)) + 'General Info'!$B$41 - 1, 0)</f>
        <v>65617.67349112939</v>
      </c>
      <c r="W1760" s="100" t="str">
        <f>IF(ISERROR(MATCH(SamplingData[[#This Row],[Batch by Type (p)]],SelectedPrecincts[Batch Name], 0)), "", INDEX(SelectedPrecincts[Draw], MATCH(SamplingData[[#This Row],[Batch by Type (p)]],SelectedPrecincts[Batch Name], 0)))</f>
        <v/>
      </c>
      <c r="X1760" s="102">
        <f>IF(COUNTIF(SelectedPrecincts[Batch Name],SamplingData[[#This Row],[Batch by Type (p)]]) &lt;&gt; 0, COUNTIF(SelectedPrecincts[Batch Name],SamplingData[[#This Row],[Batch by Type (p)]]), 0)</f>
        <v>0</v>
      </c>
    </row>
    <row r="1761" spans="1:24" ht="15" customHeight="1">
      <c r="A1761" s="18" t="s">
        <v>1937</v>
      </c>
      <c r="B1761" s="18">
        <v>16</v>
      </c>
      <c r="C1761" s="18">
        <v>8</v>
      </c>
      <c r="D1761" s="16">
        <v>4</v>
      </c>
      <c r="E1761" s="16">
        <v>3</v>
      </c>
      <c r="F1761" s="37">
        <v>0</v>
      </c>
      <c r="G1761" s="37">
        <v>0</v>
      </c>
      <c r="H1761" s="17">
        <v>0</v>
      </c>
      <c r="I1761" s="17">
        <v>0</v>
      </c>
      <c r="J1761" s="99">
        <f>SUM(SamplingData[[#This Row],[Losing Candidate]:[Under Votes]])</f>
        <v>31</v>
      </c>
      <c r="K1761"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761" s="100">
        <f>IF(AND(SamplingData[[#This Row],[Total]]&lt;&gt; 0, NOT(ISBLANK(SamplingData[[#This Row],[Candidate 3]]))),(SamplingData[[#This Row],[Total]]+SamplingData[[#This Row],[Winning Candidate]]-SamplingData[[#This Row],[Candidate 3]])/(SamplingData[[#Totals],[Winning Candidate]]-SamplingData[[#Totals],[Candidate 3]]), 0)</f>
        <v>1.1291415298254669E-3</v>
      </c>
      <c r="M1761" s="100">
        <f>IF(AND(SamplingData[[#This Row],[Total]]&lt;&gt; 0, NOT(ISBLANK(SamplingData[[#This Row],[Candidate 4]]))),(SamplingData[[#This Row],[Total]]+SamplingData[[#This Row],[Winning Candidate]]-SamplingData[[#This Row],[Candidate 4]])/(SamplingData[[#Totals],[Winning Candidate]]-SamplingData[[#Totals],[Candidate 4]]), 0)</f>
        <v>1.0523546435148646E-3</v>
      </c>
      <c r="N1761" s="100">
        <f>IF(AND(SamplingData[[#This Row],[Total]]&lt;&gt; 0, NOT(ISBLANK(SamplingData[[#This Row],[Candidate 5]]))),(SamplingData[[#This Row],[Total]]+SamplingData[[#This Row],[Winning Candidate]]-SamplingData[[#This Row],[Candidate 5]])/(SamplingData[[#Totals],[Winning Candidate]]-SamplingData[[#Totals],[Candidate 5]]), 0)</f>
        <v>9.4867428849428363E-4</v>
      </c>
      <c r="O1761" s="100">
        <f>IF(AND(SamplingData[[#This Row],[Total]]&lt;&gt; 0, NOT(ISBLANK(SamplingData[[#This Row],[Candidate 6]]))),(SamplingData[[#This Row],[Total]]+SamplingData[[#This Row],[Winning Candidate]]-SamplingData[[#This Row],[Candidate 6]])/(SamplingData[[#Totals],[Winning Candidate]]-SamplingData[[#Totals],[Candidate 6]]), 0)</f>
        <v>9.4839745148582271E-4</v>
      </c>
      <c r="P1761" s="100">
        <f>MAX(SamplingData[[#This Row],[Error Bound (up) - Max. possible relative overstatement - Losing Candidate]:[Error Bound (up) - Max. possible relative overstatement - Candidate 6]])</f>
        <v>1.408623223909848E-3</v>
      </c>
      <c r="Q1761" s="100">
        <f>IF(SamplingData[[#This Row],[Max Error Bound (up)]] = 0,0,SamplingData[[#This Row],[Max Error Bound (up)]]/SamplingData[[#Totals],[Max Error Bound (up)]])</f>
        <v>2.229378104042541E-4</v>
      </c>
      <c r="R1761" s="101">
        <f>SUM($Q$5:Q1761)</f>
        <v>0.65640967272169815</v>
      </c>
      <c r="S1761" s="100" t="str">
        <f t="array" ref="S1761">IF(SamplingData[[#This Row],[up/U Selection Probability]] = 0, "Zero", TEXT(SamplingData[[#This Row],[Lower Range]], REPT("0",LEN('General Info'!$B$40))) &amp; " - " &amp; TEXT(SamplingData[[#This Row],[Upper Range]], REPT("0",LEN('General Info'!$B$40))))</f>
        <v>65619 - 65640</v>
      </c>
      <c r="T1761" s="100">
        <f>SamplingData[[#This Row],[Upper Range]]-SamplingData[[#This Row],[Span]]</f>
        <v>65618.673714067205</v>
      </c>
      <c r="U1761" s="100">
        <f>IF(ISNUMBER('General Info'!$B$40), ((SamplingData[[#This Row],[up/U Selection Probability]]) * 'General Info'!$B$40) - 1, 0)</f>
        <v>21.293558102615005</v>
      </c>
      <c r="V1761" s="100">
        <f>IF(ISNUMBER('General Info'!$B$40), (SamplingData[[#This Row],[Running (cumulative) sum]] * ('General Info'!$B$40 -'General Info'!$B$41 + 1)) + 'General Info'!$B$41 - 1, 0)</f>
        <v>65639.967272169815</v>
      </c>
      <c r="W1761" s="100" t="str">
        <f>IF(ISERROR(MATCH(SamplingData[[#This Row],[Batch by Type (p)]],SelectedPrecincts[Batch Name], 0)), "", INDEX(SelectedPrecincts[Draw], MATCH(SamplingData[[#This Row],[Batch by Type (p)]],SelectedPrecincts[Batch Name], 0)))</f>
        <v/>
      </c>
      <c r="X1761" s="102">
        <f>IF(COUNTIF(SelectedPrecincts[Batch Name],SamplingData[[#This Row],[Batch by Type (p)]]) &lt;&gt; 0, COUNTIF(SelectedPrecincts[Batch Name],SamplingData[[#This Row],[Batch by Type (p)]]), 0)</f>
        <v>0</v>
      </c>
    </row>
    <row r="1762" spans="1:24" ht="15" customHeight="1">
      <c r="A1762" s="18" t="s">
        <v>1938</v>
      </c>
      <c r="B1762" s="18">
        <v>9</v>
      </c>
      <c r="C1762" s="18">
        <v>6</v>
      </c>
      <c r="D1762" s="18">
        <v>0</v>
      </c>
      <c r="E1762" s="18">
        <v>0</v>
      </c>
      <c r="F1762" s="18">
        <v>0</v>
      </c>
      <c r="G1762" s="18">
        <v>0</v>
      </c>
      <c r="H1762" s="18">
        <v>0</v>
      </c>
      <c r="I1762" s="18">
        <v>0</v>
      </c>
      <c r="J1762" s="99">
        <f>SUM(SamplingData[[#This Row],[Losing Candidate]:[Under Votes]])</f>
        <v>15</v>
      </c>
      <c r="K1762"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1762" s="100">
        <f>IF(AND(SamplingData[[#This Row],[Total]]&lt;&gt; 0, NOT(ISBLANK(SamplingData[[#This Row],[Candidate 3]]))),(SamplingData[[#This Row],[Total]]+SamplingData[[#This Row],[Winning Candidate]]-SamplingData[[#This Row],[Candidate 3]])/(SamplingData[[#Totals],[Winning Candidate]]-SamplingData[[#Totals],[Candidate 3]]), 0)</f>
        <v>6.7748491789528019E-4</v>
      </c>
      <c r="M1762" s="100">
        <f>IF(AND(SamplingData[[#This Row],[Total]]&lt;&gt; 0, NOT(ISBLANK(SamplingData[[#This Row],[Candidate 4]]))),(SamplingData[[#This Row],[Total]]+SamplingData[[#This Row],[Winning Candidate]]-SamplingData[[#This Row],[Candidate 4]])/(SamplingData[[#Totals],[Winning Candidate]]-SamplingData[[#Totals],[Candidate 4]]), 0)</f>
        <v>6.1387354205033758E-4</v>
      </c>
      <c r="N1762" s="100">
        <f>IF(AND(SamplingData[[#This Row],[Total]]&lt;&gt; 0, NOT(ISBLANK(SamplingData[[#This Row],[Candidate 5]]))),(SamplingData[[#This Row],[Total]]+SamplingData[[#This Row],[Winning Candidate]]-SamplingData[[#This Row],[Candidate 5]])/(SamplingData[[#Totals],[Winning Candidate]]-SamplingData[[#Totals],[Candidate 5]]), 0)</f>
        <v>5.1082461688153739E-4</v>
      </c>
      <c r="O1762" s="100">
        <f>IF(AND(SamplingData[[#This Row],[Total]]&lt;&gt; 0, NOT(ISBLANK(SamplingData[[#This Row],[Candidate 6]]))),(SamplingData[[#This Row],[Total]]+SamplingData[[#This Row],[Winning Candidate]]-SamplingData[[#This Row],[Candidate 6]])/(SamplingData[[#Totals],[Winning Candidate]]-SamplingData[[#Totals],[Candidate 6]]), 0)</f>
        <v>5.1067555080005838E-4</v>
      </c>
      <c r="P1762" s="100">
        <f>MAX(SamplingData[[#This Row],[Error Bound (up) - Max. possible relative overstatement - Losing Candidate]:[Error Bound (up) - Max. possible relative overstatement - Candidate 6]])</f>
        <v>7.3493385595296422E-4</v>
      </c>
      <c r="Q1762" s="100">
        <f>IF(SamplingData[[#This Row],[Max Error Bound (up)]] = 0,0,SamplingData[[#This Row],[Max Error Bound (up)]]/SamplingData[[#Totals],[Max Error Bound (up)]])</f>
        <v>1.1631537934134997E-4</v>
      </c>
      <c r="R1762" s="101">
        <f>SUM($Q$5:Q1762)</f>
        <v>0.65652598810103946</v>
      </c>
      <c r="S1762" s="100" t="str">
        <f t="array" ref="S1762">IF(SamplingData[[#This Row],[up/U Selection Probability]] = 0, "Zero", TEXT(SamplingData[[#This Row],[Lower Range]], REPT("0",LEN('General Info'!$B$40))) &amp; " - " &amp; TEXT(SamplingData[[#This Row],[Upper Range]], REPT("0",LEN('General Info'!$B$40))))</f>
        <v>65641 - 65652</v>
      </c>
      <c r="T1762" s="100">
        <f>SamplingData[[#This Row],[Upper Range]]-SamplingData[[#This Row],[Span]]</f>
        <v>65640.96738848518</v>
      </c>
      <c r="U1762" s="100">
        <f>IF(ISNUMBER('General Info'!$B$40), ((SamplingData[[#This Row],[up/U Selection Probability]]) * 'General Info'!$B$40) - 1, 0)</f>
        <v>10.631421618755656</v>
      </c>
      <c r="V1762" s="100">
        <f>IF(ISNUMBER('General Info'!$B$40), (SamplingData[[#This Row],[Running (cumulative) sum]] * ('General Info'!$B$40 -'General Info'!$B$41 + 1)) + 'General Info'!$B$41 - 1, 0)</f>
        <v>65651.59881010394</v>
      </c>
      <c r="W1762" s="100" t="str">
        <f>IF(ISERROR(MATCH(SamplingData[[#This Row],[Batch by Type (p)]],SelectedPrecincts[Batch Name], 0)), "", INDEX(SelectedPrecincts[Draw], MATCH(SamplingData[[#This Row],[Batch by Type (p)]],SelectedPrecincts[Batch Name], 0)))</f>
        <v/>
      </c>
      <c r="X1762" s="102">
        <f>IF(COUNTIF(SelectedPrecincts[Batch Name],SamplingData[[#This Row],[Batch by Type (p)]]) &lt;&gt; 0, COUNTIF(SelectedPrecincts[Batch Name],SamplingData[[#This Row],[Batch by Type (p)]]), 0)</f>
        <v>0</v>
      </c>
    </row>
    <row r="1763" spans="1:24" ht="15" customHeight="1">
      <c r="A1763" s="18" t="s">
        <v>1939</v>
      </c>
      <c r="B1763" s="18">
        <v>15</v>
      </c>
      <c r="C1763" s="18">
        <v>14</v>
      </c>
      <c r="D1763" s="16">
        <v>6</v>
      </c>
      <c r="E1763" s="16">
        <v>2</v>
      </c>
      <c r="F1763" s="37">
        <v>0</v>
      </c>
      <c r="G1763" s="37">
        <v>0</v>
      </c>
      <c r="H1763" s="17">
        <v>0</v>
      </c>
      <c r="I1763" s="17">
        <v>0</v>
      </c>
      <c r="J1763" s="99">
        <f>SUM(SamplingData[[#This Row],[Losing Candidate]:[Under Votes]])</f>
        <v>37</v>
      </c>
      <c r="K1763" s="100">
        <f>IF(AND(SamplingData[[#This Row],[Total]]&lt;&gt; 0, NOT(ISBLANK(SamplingData[[#This Row],[Losing Candidate]]))),(SamplingData[[#This Row],[Total]]+SamplingData[[#This Row],[Winning Candidate]]-SamplingData[[#This Row],[Losing Candidate]])/(SamplingData[[#Totals],[Winning Candidate]]-SamplingData[[#Totals],[Losing Candidate]]), 0)</f>
        <v>2.2048015678588929E-3</v>
      </c>
      <c r="L1763" s="100">
        <f>IF(AND(SamplingData[[#This Row],[Total]]&lt;&gt; 0, NOT(ISBLANK(SamplingData[[#This Row],[Candidate 3]]))),(SamplingData[[#This Row],[Total]]+SamplingData[[#This Row],[Winning Candidate]]-SamplingData[[#This Row],[Candidate 3]])/(SamplingData[[#Totals],[Winning Candidate]]-SamplingData[[#Totals],[Candidate 3]]), 0)</f>
        <v>1.4517533954898861E-3</v>
      </c>
      <c r="M1763" s="100">
        <f>IF(AND(SamplingData[[#This Row],[Total]]&lt;&gt; 0, NOT(ISBLANK(SamplingData[[#This Row],[Candidate 4]]))),(SamplingData[[#This Row],[Total]]+SamplingData[[#This Row],[Winning Candidate]]-SamplingData[[#This Row],[Candidate 4]])/(SamplingData[[#Totals],[Winning Candidate]]-SamplingData[[#Totals],[Candidate 4]]), 0)</f>
        <v>1.4323715981174544E-3</v>
      </c>
      <c r="N1763" s="100">
        <f>IF(AND(SamplingData[[#This Row],[Total]]&lt;&gt; 0, NOT(ISBLANK(SamplingData[[#This Row],[Candidate 5]]))),(SamplingData[[#This Row],[Total]]+SamplingData[[#This Row],[Winning Candidate]]-SamplingData[[#This Row],[Candidate 5]])/(SamplingData[[#Totals],[Winning Candidate]]-SamplingData[[#Totals],[Candidate 5]]), 0)</f>
        <v>1.2405740695694478E-3</v>
      </c>
      <c r="O1763" s="100">
        <f>IF(AND(SamplingData[[#This Row],[Total]]&lt;&gt; 0, NOT(ISBLANK(SamplingData[[#This Row],[Candidate 6]]))),(SamplingData[[#This Row],[Total]]+SamplingData[[#This Row],[Winning Candidate]]-SamplingData[[#This Row],[Candidate 6]])/(SamplingData[[#Totals],[Winning Candidate]]-SamplingData[[#Totals],[Candidate 6]]), 0)</f>
        <v>1.2402120519429988E-3</v>
      </c>
      <c r="P1763" s="100">
        <f>MAX(SamplingData[[#This Row],[Error Bound (up) - Max. possible relative overstatement - Losing Candidate]:[Error Bound (up) - Max. possible relative overstatement - Candidate 6]])</f>
        <v>2.2048015678588929E-3</v>
      </c>
      <c r="Q1763" s="100">
        <f>IF(SamplingData[[#This Row],[Max Error Bound (up)]] = 0,0,SamplingData[[#This Row],[Max Error Bound (up)]]/SamplingData[[#Totals],[Max Error Bound (up)]])</f>
        <v>3.4894613802404997E-4</v>
      </c>
      <c r="R1763" s="101">
        <f>SUM($Q$5:Q1763)</f>
        <v>0.65687493423906351</v>
      </c>
      <c r="S1763" s="100" t="str">
        <f t="array" ref="S1763">IF(SamplingData[[#This Row],[up/U Selection Probability]] = 0, "Zero", TEXT(SamplingData[[#This Row],[Lower Range]], REPT("0",LEN('General Info'!$B$40))) &amp; " - " &amp; TEXT(SamplingData[[#This Row],[Upper Range]], REPT("0",LEN('General Info'!$B$40))))</f>
        <v>65653 - 65686</v>
      </c>
      <c r="T1763" s="100">
        <f>SamplingData[[#This Row],[Upper Range]]-SamplingData[[#This Row],[Span]]</f>
        <v>65652.599159050078</v>
      </c>
      <c r="U1763" s="100">
        <f>IF(ISNUMBER('General Info'!$B$40), ((SamplingData[[#This Row],[up/U Selection Probability]]) * 'General Info'!$B$40) - 1, 0)</f>
        <v>33.894264856266972</v>
      </c>
      <c r="V1763" s="100">
        <f>IF(ISNUMBER('General Info'!$B$40), (SamplingData[[#This Row],[Running (cumulative) sum]] * ('General Info'!$B$40 -'General Info'!$B$41 + 1)) + 'General Info'!$B$41 - 1, 0)</f>
        <v>65686.493423906344</v>
      </c>
      <c r="W1763" s="100" t="str">
        <f>IF(ISERROR(MATCH(SamplingData[[#This Row],[Batch by Type (p)]],SelectedPrecincts[Batch Name], 0)), "", INDEX(SelectedPrecincts[Draw], MATCH(SamplingData[[#This Row],[Batch by Type (p)]],SelectedPrecincts[Batch Name], 0)))</f>
        <v/>
      </c>
      <c r="X1763" s="102">
        <f>IF(COUNTIF(SelectedPrecincts[Batch Name],SamplingData[[#This Row],[Batch by Type (p)]]) &lt;&gt; 0, COUNTIF(SelectedPrecincts[Batch Name],SamplingData[[#This Row],[Batch by Type (p)]]), 0)</f>
        <v>0</v>
      </c>
    </row>
    <row r="1764" spans="1:24" ht="15" customHeight="1">
      <c r="A1764" s="18" t="s">
        <v>1940</v>
      </c>
      <c r="B1764" s="18">
        <v>8</v>
      </c>
      <c r="C1764" s="18">
        <v>8</v>
      </c>
      <c r="D1764" s="18">
        <v>0</v>
      </c>
      <c r="E1764" s="18">
        <v>0</v>
      </c>
      <c r="F1764" s="18">
        <v>0</v>
      </c>
      <c r="G1764" s="18">
        <v>0</v>
      </c>
      <c r="H1764" s="18">
        <v>0</v>
      </c>
      <c r="I1764" s="18">
        <v>0</v>
      </c>
      <c r="J1764" s="99">
        <f>SUM(SamplingData[[#This Row],[Losing Candidate]:[Under Votes]])</f>
        <v>16</v>
      </c>
      <c r="K1764"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764" s="100">
        <f>IF(AND(SamplingData[[#This Row],[Total]]&lt;&gt; 0, NOT(ISBLANK(SamplingData[[#This Row],[Candidate 3]]))),(SamplingData[[#This Row],[Total]]+SamplingData[[#This Row],[Winning Candidate]]-SamplingData[[#This Row],[Candidate 3]])/(SamplingData[[#Totals],[Winning Candidate]]-SamplingData[[#Totals],[Candidate 3]]), 0)</f>
        <v>7.7426847759460595E-4</v>
      </c>
      <c r="M1764" s="100">
        <f>IF(AND(SamplingData[[#This Row],[Total]]&lt;&gt; 0, NOT(ISBLANK(SamplingData[[#This Row],[Candidate 4]]))),(SamplingData[[#This Row],[Total]]+SamplingData[[#This Row],[Winning Candidate]]-SamplingData[[#This Row],[Candidate 4]])/(SamplingData[[#Totals],[Winning Candidate]]-SamplingData[[#Totals],[Candidate 4]]), 0)</f>
        <v>7.0156976234324298E-4</v>
      </c>
      <c r="N1764" s="100">
        <f>IF(AND(SamplingData[[#This Row],[Total]]&lt;&gt; 0, NOT(ISBLANK(SamplingData[[#This Row],[Candidate 5]]))),(SamplingData[[#This Row],[Total]]+SamplingData[[#This Row],[Winning Candidate]]-SamplingData[[#This Row],[Candidate 5]])/(SamplingData[[#Totals],[Winning Candidate]]-SamplingData[[#Totals],[Candidate 5]]), 0)</f>
        <v>5.8379956215032843E-4</v>
      </c>
      <c r="O1764" s="100">
        <f>IF(AND(SamplingData[[#This Row],[Total]]&lt;&gt; 0, NOT(ISBLANK(SamplingData[[#This Row],[Candidate 6]]))),(SamplingData[[#This Row],[Total]]+SamplingData[[#This Row],[Winning Candidate]]-SamplingData[[#This Row],[Candidate 6]])/(SamplingData[[#Totals],[Winning Candidate]]-SamplingData[[#Totals],[Candidate 6]]), 0)</f>
        <v>5.8362920091435243E-4</v>
      </c>
      <c r="P1764" s="100">
        <f>MAX(SamplingData[[#This Row],[Error Bound (up) - Max. possible relative overstatement - Losing Candidate]:[Error Bound (up) - Max. possible relative overstatement - Candidate 6]])</f>
        <v>9.7991180793728563E-4</v>
      </c>
      <c r="Q1764" s="100">
        <f>IF(SamplingData[[#This Row],[Max Error Bound (up)]] = 0,0,SamplingData[[#This Row],[Max Error Bound (up)]]/SamplingData[[#Totals],[Max Error Bound (up)]])</f>
        <v>1.550871724551333E-4</v>
      </c>
      <c r="R1764" s="101">
        <f>SUM($Q$5:Q1764)</f>
        <v>0.65703002141151867</v>
      </c>
      <c r="S1764" s="100" t="str">
        <f t="array" ref="S1764">IF(SamplingData[[#This Row],[up/U Selection Probability]] = 0, "Zero", TEXT(SamplingData[[#This Row],[Lower Range]], REPT("0",LEN('General Info'!$B$40))) &amp; " - " &amp; TEXT(SamplingData[[#This Row],[Upper Range]], REPT("0",LEN('General Info'!$B$40))))</f>
        <v>65687 - 65702</v>
      </c>
      <c r="T1764" s="100">
        <f>SamplingData[[#This Row],[Upper Range]]-SamplingData[[#This Row],[Span]]</f>
        <v>65687.493578993526</v>
      </c>
      <c r="U1764" s="100">
        <f>IF(ISNUMBER('General Info'!$B$40), ((SamplingData[[#This Row],[up/U Selection Probability]]) * 'General Info'!$B$40) - 1, 0)</f>
        <v>14.508562158340876</v>
      </c>
      <c r="V1764" s="100">
        <f>IF(ISNUMBER('General Info'!$B$40), (SamplingData[[#This Row],[Running (cumulative) sum]] * ('General Info'!$B$40 -'General Info'!$B$41 + 1)) + 'General Info'!$B$41 - 1, 0)</f>
        <v>65702.002141151868</v>
      </c>
      <c r="W1764" s="100" t="str">
        <f>IF(ISERROR(MATCH(SamplingData[[#This Row],[Batch by Type (p)]],SelectedPrecincts[Batch Name], 0)), "", INDEX(SelectedPrecincts[Draw], MATCH(SamplingData[[#This Row],[Batch by Type (p)]],SelectedPrecincts[Batch Name], 0)))</f>
        <v/>
      </c>
      <c r="X1764" s="102">
        <f>IF(COUNTIF(SelectedPrecincts[Batch Name],SamplingData[[#This Row],[Batch by Type (p)]]) &lt;&gt; 0, COUNTIF(SelectedPrecincts[Batch Name],SamplingData[[#This Row],[Batch by Type (p)]]), 0)</f>
        <v>0</v>
      </c>
    </row>
    <row r="1765" spans="1:24" ht="15" customHeight="1">
      <c r="A1765" s="18" t="s">
        <v>1941</v>
      </c>
      <c r="B1765" s="18">
        <v>26</v>
      </c>
      <c r="C1765" s="18">
        <v>27</v>
      </c>
      <c r="D1765" s="16">
        <v>7</v>
      </c>
      <c r="E1765" s="16">
        <v>6</v>
      </c>
      <c r="F1765" s="37">
        <v>0</v>
      </c>
      <c r="G1765" s="37">
        <v>0</v>
      </c>
      <c r="H1765" s="17">
        <v>0</v>
      </c>
      <c r="I1765" s="17">
        <v>0</v>
      </c>
      <c r="J1765" s="99">
        <f>SUM(SamplingData[[#This Row],[Losing Candidate]:[Under Votes]])</f>
        <v>66</v>
      </c>
      <c r="K1765" s="100">
        <f>IF(AND(SamplingData[[#This Row],[Total]]&lt;&gt; 0, NOT(ISBLANK(SamplingData[[#This Row],[Losing Candidate]]))),(SamplingData[[#This Row],[Total]]+SamplingData[[#This Row],[Winning Candidate]]-SamplingData[[#This Row],[Losing Candidate]])/(SamplingData[[#Totals],[Winning Candidate]]-SamplingData[[#Totals],[Losing Candidate]]), 0)</f>
        <v>4.1033806957373837E-3</v>
      </c>
      <c r="L1765" s="100">
        <f>IF(AND(SamplingData[[#This Row],[Total]]&lt;&gt; 0, NOT(ISBLANK(SamplingData[[#This Row],[Candidate 3]]))),(SamplingData[[#This Row],[Total]]+SamplingData[[#This Row],[Winning Candidate]]-SamplingData[[#This Row],[Candidate 3]])/(SamplingData[[#Totals],[Winning Candidate]]-SamplingData[[#Totals],[Candidate 3]]), 0)</f>
        <v>2.7744620447140047E-3</v>
      </c>
      <c r="M1765" s="100">
        <f>IF(AND(SamplingData[[#This Row],[Total]]&lt;&gt; 0, NOT(ISBLANK(SamplingData[[#This Row],[Candidate 4]]))),(SamplingData[[#This Row],[Total]]+SamplingData[[#This Row],[Winning Candidate]]-SamplingData[[#This Row],[Candidate 4]])/(SamplingData[[#Totals],[Winning Candidate]]-SamplingData[[#Totals],[Candidate 4]]), 0)</f>
        <v>2.5431903884942557E-3</v>
      </c>
      <c r="N1765" s="100">
        <f>IF(AND(SamplingData[[#This Row],[Total]]&lt;&gt; 0, NOT(ISBLANK(SamplingData[[#This Row],[Candidate 5]]))),(SamplingData[[#This Row],[Total]]+SamplingData[[#This Row],[Winning Candidate]]-SamplingData[[#This Row],[Candidate 5]])/(SamplingData[[#Totals],[Winning Candidate]]-SamplingData[[#Totals],[Candidate 5]]), 0)</f>
        <v>2.2622233033325226E-3</v>
      </c>
      <c r="O1765" s="100">
        <f>IF(AND(SamplingData[[#This Row],[Total]]&lt;&gt; 0, NOT(ISBLANK(SamplingData[[#This Row],[Candidate 6]]))),(SamplingData[[#This Row],[Total]]+SamplingData[[#This Row],[Winning Candidate]]-SamplingData[[#This Row],[Candidate 6]])/(SamplingData[[#Totals],[Winning Candidate]]-SamplingData[[#Totals],[Candidate 6]]), 0)</f>
        <v>2.2615631535431156E-3</v>
      </c>
      <c r="P1765" s="100">
        <f>MAX(SamplingData[[#This Row],[Error Bound (up) - Max. possible relative overstatement - Losing Candidate]:[Error Bound (up) - Max. possible relative overstatement - Candidate 6]])</f>
        <v>4.1033806957373837E-3</v>
      </c>
      <c r="Q1765" s="100">
        <f>IF(SamplingData[[#This Row],[Max Error Bound (up)]] = 0,0,SamplingData[[#This Row],[Max Error Bound (up)]]/SamplingData[[#Totals],[Max Error Bound (up)]])</f>
        <v>6.4942753465587074E-4</v>
      </c>
      <c r="R1765" s="101">
        <f>SUM($Q$5:Q1765)</f>
        <v>0.65767944894617458</v>
      </c>
      <c r="S1765" s="100" t="str">
        <f t="array" ref="S1765">IF(SamplingData[[#This Row],[up/U Selection Probability]] = 0, "Zero", TEXT(SamplingData[[#This Row],[Lower Range]], REPT("0",LEN('General Info'!$B$40))) &amp; " - " &amp; TEXT(SamplingData[[#This Row],[Upper Range]], REPT("0",LEN('General Info'!$B$40))))</f>
        <v>65703 - 65767</v>
      </c>
      <c r="T1765" s="100">
        <f>SamplingData[[#This Row],[Upper Range]]-SamplingData[[#This Row],[Span]]</f>
        <v>65703.002790579398</v>
      </c>
      <c r="U1765" s="100">
        <f>IF(ISNUMBER('General Info'!$B$40), ((SamplingData[[#This Row],[up/U Selection Probability]]) * 'General Info'!$B$40) - 1, 0)</f>
        <v>63.94210403805242</v>
      </c>
      <c r="V1765" s="100">
        <f>IF(ISNUMBER('General Info'!$B$40), (SamplingData[[#This Row],[Running (cumulative) sum]] * ('General Info'!$B$40 -'General Info'!$B$41 + 1)) + 'General Info'!$B$41 - 1, 0)</f>
        <v>65766.944894617453</v>
      </c>
      <c r="W1765" s="100" t="str">
        <f>IF(ISERROR(MATCH(SamplingData[[#This Row],[Batch by Type (p)]],SelectedPrecincts[Batch Name], 0)), "", INDEX(SelectedPrecincts[Draw], MATCH(SamplingData[[#This Row],[Batch by Type (p)]],SelectedPrecincts[Batch Name], 0)))</f>
        <v/>
      </c>
      <c r="X1765" s="102">
        <f>IF(COUNTIF(SelectedPrecincts[Batch Name],SamplingData[[#This Row],[Batch by Type (p)]]) &lt;&gt; 0, COUNTIF(SelectedPrecincts[Batch Name],SamplingData[[#This Row],[Batch by Type (p)]]), 0)</f>
        <v>0</v>
      </c>
    </row>
    <row r="1766" spans="1:24" ht="15" customHeight="1">
      <c r="A1766" s="18" t="s">
        <v>1942</v>
      </c>
      <c r="B1766" s="18">
        <v>12</v>
      </c>
      <c r="C1766" s="18">
        <v>8</v>
      </c>
      <c r="D1766" s="18">
        <v>5</v>
      </c>
      <c r="E1766" s="18">
        <v>2</v>
      </c>
      <c r="F1766" s="18">
        <v>0</v>
      </c>
      <c r="G1766" s="18">
        <v>0</v>
      </c>
      <c r="H1766" s="18">
        <v>0</v>
      </c>
      <c r="I1766" s="18">
        <v>2</v>
      </c>
      <c r="J1766" s="99">
        <f>SUM(SamplingData[[#This Row],[Losing Candidate]:[Under Votes]])</f>
        <v>29</v>
      </c>
      <c r="K1766"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1766" s="100">
        <f>IF(AND(SamplingData[[#This Row],[Total]]&lt;&gt; 0, NOT(ISBLANK(SamplingData[[#This Row],[Candidate 3]]))),(SamplingData[[#This Row],[Total]]+SamplingData[[#This Row],[Winning Candidate]]-SamplingData[[#This Row],[Candidate 3]])/(SamplingData[[#Totals],[Winning Candidate]]-SamplingData[[#Totals],[Candidate 3]]), 0)</f>
        <v>1.0323579701261413E-3</v>
      </c>
      <c r="M1766" s="100">
        <f>IF(AND(SamplingData[[#This Row],[Total]]&lt;&gt; 0, NOT(ISBLANK(SamplingData[[#This Row],[Candidate 4]]))),(SamplingData[[#This Row],[Total]]+SamplingData[[#This Row],[Winning Candidate]]-SamplingData[[#This Row],[Candidate 4]])/(SamplingData[[#Totals],[Winning Candidate]]-SamplingData[[#Totals],[Candidate 4]]), 0)</f>
        <v>1.0231225700838961E-3</v>
      </c>
      <c r="N1766" s="100">
        <f>IF(AND(SamplingData[[#This Row],[Total]]&lt;&gt; 0, NOT(ISBLANK(SamplingData[[#This Row],[Candidate 5]]))),(SamplingData[[#This Row],[Total]]+SamplingData[[#This Row],[Winning Candidate]]-SamplingData[[#This Row],[Candidate 5]])/(SamplingData[[#Totals],[Winning Candidate]]-SamplingData[[#Totals],[Candidate 5]]), 0)</f>
        <v>9.0002432498175627E-4</v>
      </c>
      <c r="O1766" s="100">
        <f>IF(AND(SamplingData[[#This Row],[Total]]&lt;&gt; 0, NOT(ISBLANK(SamplingData[[#This Row],[Candidate 6]]))),(SamplingData[[#This Row],[Total]]+SamplingData[[#This Row],[Winning Candidate]]-SamplingData[[#This Row],[Candidate 6]])/(SamplingData[[#Totals],[Winning Candidate]]-SamplingData[[#Totals],[Candidate 6]]), 0)</f>
        <v>8.9976168474295993E-4</v>
      </c>
      <c r="P1766" s="100">
        <f>MAX(SamplingData[[#This Row],[Error Bound (up) - Max. possible relative overstatement - Losing Candidate]:[Error Bound (up) - Max. possible relative overstatement - Candidate 6]])</f>
        <v>1.5311121999020088E-3</v>
      </c>
      <c r="Q1766" s="100">
        <f>IF(SamplingData[[#This Row],[Max Error Bound (up)]] = 0,0,SamplingData[[#This Row],[Max Error Bound (up)]]/SamplingData[[#Totals],[Max Error Bound (up)]])</f>
        <v>2.4232370696114578E-4</v>
      </c>
      <c r="R1766" s="101">
        <f>SUM($Q$5:Q1766)</f>
        <v>0.65792177265313578</v>
      </c>
      <c r="S1766" s="100" t="str">
        <f t="array" ref="S1766">IF(SamplingData[[#This Row],[up/U Selection Probability]] = 0, "Zero", TEXT(SamplingData[[#This Row],[Lower Range]], REPT("0",LEN('General Info'!$B$40))) &amp; " - " &amp; TEXT(SamplingData[[#This Row],[Upper Range]], REPT("0",LEN('General Info'!$B$40))))</f>
        <v>65768 - 65791</v>
      </c>
      <c r="T1766" s="100">
        <f>SamplingData[[#This Row],[Upper Range]]-SamplingData[[#This Row],[Span]]</f>
        <v>65767.945136941184</v>
      </c>
      <c r="U1766" s="100">
        <f>IF(ISNUMBER('General Info'!$B$40), ((SamplingData[[#This Row],[up/U Selection Probability]]) * 'General Info'!$B$40) - 1, 0)</f>
        <v>23.232128372407619</v>
      </c>
      <c r="V1766" s="100">
        <f>IF(ISNUMBER('General Info'!$B$40), (SamplingData[[#This Row],[Running (cumulative) sum]] * ('General Info'!$B$40 -'General Info'!$B$41 + 1)) + 'General Info'!$B$41 - 1, 0)</f>
        <v>65791.177265313585</v>
      </c>
      <c r="W1766" s="100" t="str">
        <f>IF(ISERROR(MATCH(SamplingData[[#This Row],[Batch by Type (p)]],SelectedPrecincts[Batch Name], 0)), "", INDEX(SelectedPrecincts[Draw], MATCH(SamplingData[[#This Row],[Batch by Type (p)]],SelectedPrecincts[Batch Name], 0)))</f>
        <v/>
      </c>
      <c r="X1766" s="102">
        <f>IF(COUNTIF(SelectedPrecincts[Batch Name],SamplingData[[#This Row],[Batch by Type (p)]]) &lt;&gt; 0, COUNTIF(SelectedPrecincts[Batch Name],SamplingData[[#This Row],[Batch by Type (p)]]), 0)</f>
        <v>0</v>
      </c>
    </row>
    <row r="1767" spans="1:24" ht="15" customHeight="1">
      <c r="A1767" s="18" t="s">
        <v>1943</v>
      </c>
      <c r="B1767" s="18">
        <v>23</v>
      </c>
      <c r="C1767" s="18">
        <v>26</v>
      </c>
      <c r="D1767" s="16">
        <v>8</v>
      </c>
      <c r="E1767" s="16">
        <v>5</v>
      </c>
      <c r="F1767" s="37">
        <v>0</v>
      </c>
      <c r="G1767" s="37">
        <v>0</v>
      </c>
      <c r="H1767" s="17">
        <v>0</v>
      </c>
      <c r="I1767" s="17">
        <v>0</v>
      </c>
      <c r="J1767" s="99">
        <f>SUM(SamplingData[[#This Row],[Losing Candidate]:[Under Votes]])</f>
        <v>62</v>
      </c>
      <c r="K1767"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1767" s="100">
        <f>IF(AND(SamplingData[[#This Row],[Total]]&lt;&gt; 0, NOT(ISBLANK(SamplingData[[#This Row],[Candidate 3]]))),(SamplingData[[#This Row],[Total]]+SamplingData[[#This Row],[Winning Candidate]]-SamplingData[[#This Row],[Candidate 3]])/(SamplingData[[#Totals],[Winning Candidate]]-SamplingData[[#Totals],[Candidate 3]]), 0)</f>
        <v>2.5808949253153532E-3</v>
      </c>
      <c r="M1767" s="100">
        <f>IF(AND(SamplingData[[#This Row],[Total]]&lt;&gt; 0, NOT(ISBLANK(SamplingData[[#This Row],[Candidate 4]]))),(SamplingData[[#This Row],[Total]]+SamplingData[[#This Row],[Winning Candidate]]-SamplingData[[#This Row],[Candidate 4]])/(SamplingData[[#Totals],[Winning Candidate]]-SamplingData[[#Totals],[Candidate 4]]), 0)</f>
        <v>2.4262620947703819E-3</v>
      </c>
      <c r="N1767" s="100">
        <f>IF(AND(SamplingData[[#This Row],[Total]]&lt;&gt; 0, NOT(ISBLANK(SamplingData[[#This Row],[Candidate 5]]))),(SamplingData[[#This Row],[Total]]+SamplingData[[#This Row],[Winning Candidate]]-SamplingData[[#This Row],[Candidate 5]])/(SamplingData[[#Totals],[Winning Candidate]]-SamplingData[[#Totals],[Candidate 5]]), 0)</f>
        <v>2.1405983945512043E-3</v>
      </c>
      <c r="O1767" s="100">
        <f>IF(AND(SamplingData[[#This Row],[Total]]&lt;&gt; 0, NOT(ISBLANK(SamplingData[[#This Row],[Candidate 6]]))),(SamplingData[[#This Row],[Total]]+SamplingData[[#This Row],[Winning Candidate]]-SamplingData[[#This Row],[Candidate 6]])/(SamplingData[[#Totals],[Winning Candidate]]-SamplingData[[#Totals],[Candidate 6]]), 0)</f>
        <v>2.1399737366859586E-3</v>
      </c>
      <c r="P1767" s="100">
        <f>MAX(SamplingData[[#This Row],[Error Bound (up) - Max. possible relative overstatement - Losing Candidate]:[Error Bound (up) - Max. possible relative overstatement - Candidate 6]])</f>
        <v>3.9808917197452229E-3</v>
      </c>
      <c r="Q1767" s="100">
        <f>IF(SamplingData[[#This Row],[Max Error Bound (up)]] = 0,0,SamplingData[[#This Row],[Max Error Bound (up)]]/SamplingData[[#Totals],[Max Error Bound (up)]])</f>
        <v>6.3004163809897906E-4</v>
      </c>
      <c r="R1767" s="101">
        <f>SUM($Q$5:Q1767)</f>
        <v>0.65855181429123477</v>
      </c>
      <c r="S1767" s="100" t="str">
        <f t="array" ref="S1767">IF(SamplingData[[#This Row],[up/U Selection Probability]] = 0, "Zero", TEXT(SamplingData[[#This Row],[Lower Range]], REPT("0",LEN('General Info'!$B$40))) &amp; " - " &amp; TEXT(SamplingData[[#This Row],[Upper Range]], REPT("0",LEN('General Info'!$B$40))))</f>
        <v>65792 - 65854</v>
      </c>
      <c r="T1767" s="100">
        <f>SamplingData[[#This Row],[Upper Range]]-SamplingData[[#This Row],[Span]]</f>
        <v>65792.177895355213</v>
      </c>
      <c r="U1767" s="100">
        <f>IF(ISNUMBER('General Info'!$B$40), ((SamplingData[[#This Row],[up/U Selection Probability]]) * 'General Info'!$B$40) - 1, 0)</f>
        <v>62.003533768259807</v>
      </c>
      <c r="V1767" s="100">
        <f>IF(ISNUMBER('General Info'!$B$40), (SamplingData[[#This Row],[Running (cumulative) sum]] * ('General Info'!$B$40 -'General Info'!$B$41 + 1)) + 'General Info'!$B$41 - 1, 0)</f>
        <v>65854.181429123477</v>
      </c>
      <c r="W1767" s="100" t="str">
        <f>IF(ISERROR(MATCH(SamplingData[[#This Row],[Batch by Type (p)]],SelectedPrecincts[Batch Name], 0)), "", INDEX(SelectedPrecincts[Draw], MATCH(SamplingData[[#This Row],[Batch by Type (p)]],SelectedPrecincts[Batch Name], 0)))</f>
        <v/>
      </c>
      <c r="X1767" s="102">
        <f>IF(COUNTIF(SelectedPrecincts[Batch Name],SamplingData[[#This Row],[Batch by Type (p)]]) &lt;&gt; 0, COUNTIF(SelectedPrecincts[Batch Name],SamplingData[[#This Row],[Batch by Type (p)]]), 0)</f>
        <v>0</v>
      </c>
    </row>
    <row r="1768" spans="1:24" ht="15" customHeight="1">
      <c r="A1768" s="18" t="s">
        <v>1944</v>
      </c>
      <c r="B1768" s="18">
        <v>15</v>
      </c>
      <c r="C1768" s="18">
        <v>11</v>
      </c>
      <c r="D1768" s="18">
        <v>9</v>
      </c>
      <c r="E1768" s="18">
        <v>0</v>
      </c>
      <c r="F1768" s="18">
        <v>0</v>
      </c>
      <c r="G1768" s="18">
        <v>0</v>
      </c>
      <c r="H1768" s="18">
        <v>0</v>
      </c>
      <c r="I1768" s="18">
        <v>0</v>
      </c>
      <c r="J1768" s="99">
        <f>SUM(SamplingData[[#This Row],[Losing Candidate]:[Under Votes]])</f>
        <v>35</v>
      </c>
      <c r="K1768"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768" s="100">
        <f>IF(AND(SamplingData[[#This Row],[Total]]&lt;&gt; 0, NOT(ISBLANK(SamplingData[[#This Row],[Candidate 3]]))),(SamplingData[[#This Row],[Total]]+SamplingData[[#This Row],[Winning Candidate]]-SamplingData[[#This Row],[Candidate 3]])/(SamplingData[[#Totals],[Winning Candidate]]-SamplingData[[#Totals],[Candidate 3]]), 0)</f>
        <v>1.1936639029583509E-3</v>
      </c>
      <c r="M1768" s="100">
        <f>IF(AND(SamplingData[[#This Row],[Total]]&lt;&gt; 0, NOT(ISBLANK(SamplingData[[#This Row],[Candidate 4]]))),(SamplingData[[#This Row],[Total]]+SamplingData[[#This Row],[Winning Candidate]]-SamplingData[[#This Row],[Candidate 4]])/(SamplingData[[#Totals],[Winning Candidate]]-SamplingData[[#Totals],[Candidate 4]]), 0)</f>
        <v>1.344675377824549E-3</v>
      </c>
      <c r="N1768" s="100">
        <f>IF(AND(SamplingData[[#This Row],[Total]]&lt;&gt; 0, NOT(ISBLANK(SamplingData[[#This Row],[Candidate 5]]))),(SamplingData[[#This Row],[Total]]+SamplingData[[#This Row],[Winning Candidate]]-SamplingData[[#This Row],[Candidate 5]])/(SamplingData[[#Totals],[Winning Candidate]]-SamplingData[[#Totals],[Candidate 5]]), 0)</f>
        <v>1.1189491607881295E-3</v>
      </c>
      <c r="O1768" s="100">
        <f>IF(AND(SamplingData[[#This Row],[Total]]&lt;&gt; 0, NOT(ISBLANK(SamplingData[[#This Row],[Candidate 6]]))),(SamplingData[[#This Row],[Total]]+SamplingData[[#This Row],[Winning Candidate]]-SamplingData[[#This Row],[Candidate 6]])/(SamplingData[[#Totals],[Winning Candidate]]-SamplingData[[#Totals],[Candidate 6]]), 0)</f>
        <v>1.1186226350858421E-3</v>
      </c>
      <c r="P1768" s="100">
        <f>MAX(SamplingData[[#This Row],[Error Bound (up) - Max. possible relative overstatement - Losing Candidate]:[Error Bound (up) - Max. possible relative overstatement - Candidate 6]])</f>
        <v>1.8985791278784908E-3</v>
      </c>
      <c r="Q1768" s="100">
        <f>IF(SamplingData[[#This Row],[Max Error Bound (up)]] = 0,0,SamplingData[[#This Row],[Max Error Bound (up)]]/SamplingData[[#Totals],[Max Error Bound (up)]])</f>
        <v>3.0048139663182077E-4</v>
      </c>
      <c r="R1768" s="101">
        <f>SUM($Q$5:Q1768)</f>
        <v>0.65885229568786663</v>
      </c>
      <c r="S1768" s="100" t="str">
        <f t="array" ref="S1768">IF(SamplingData[[#This Row],[up/U Selection Probability]] = 0, "Zero", TEXT(SamplingData[[#This Row],[Lower Range]], REPT("0",LEN('General Info'!$B$40))) &amp; " - " &amp; TEXT(SamplingData[[#This Row],[Upper Range]], REPT("0",LEN('General Info'!$B$40))))</f>
        <v>65855 - 65884</v>
      </c>
      <c r="T1768" s="100">
        <f>SamplingData[[#This Row],[Upper Range]]-SamplingData[[#This Row],[Span]]</f>
        <v>65855.181729604868</v>
      </c>
      <c r="U1768" s="100">
        <f>IF(ISNUMBER('General Info'!$B$40), ((SamplingData[[#This Row],[up/U Selection Probability]]) * 'General Info'!$B$40) - 1, 0)</f>
        <v>29.047839181785445</v>
      </c>
      <c r="V1768" s="100">
        <f>IF(ISNUMBER('General Info'!$B$40), (SamplingData[[#This Row],[Running (cumulative) sum]] * ('General Info'!$B$40 -'General Info'!$B$41 + 1)) + 'General Info'!$B$41 - 1, 0)</f>
        <v>65884.229568786657</v>
      </c>
      <c r="W1768" s="100" t="str">
        <f>IF(ISERROR(MATCH(SamplingData[[#This Row],[Batch by Type (p)]],SelectedPrecincts[Batch Name], 0)), "", INDEX(SelectedPrecincts[Draw], MATCH(SamplingData[[#This Row],[Batch by Type (p)]],SelectedPrecincts[Batch Name], 0)))</f>
        <v/>
      </c>
      <c r="X1768" s="102">
        <f>IF(COUNTIF(SelectedPrecincts[Batch Name],SamplingData[[#This Row],[Batch by Type (p)]]) &lt;&gt; 0, COUNTIF(SelectedPrecincts[Batch Name],SamplingData[[#This Row],[Batch by Type (p)]]), 0)</f>
        <v>0</v>
      </c>
    </row>
    <row r="1769" spans="1:24" ht="15" customHeight="1">
      <c r="A1769" s="18" t="s">
        <v>1945</v>
      </c>
      <c r="B1769" s="18">
        <v>22</v>
      </c>
      <c r="C1769" s="18">
        <v>18</v>
      </c>
      <c r="D1769" s="16">
        <v>3</v>
      </c>
      <c r="E1769" s="16">
        <v>11</v>
      </c>
      <c r="F1769" s="37">
        <v>0</v>
      </c>
      <c r="G1769" s="37">
        <v>1</v>
      </c>
      <c r="H1769" s="17">
        <v>0</v>
      </c>
      <c r="I1769" s="17">
        <v>0</v>
      </c>
      <c r="J1769" s="99">
        <f>SUM(SamplingData[[#This Row],[Losing Candidate]:[Under Votes]])</f>
        <v>55</v>
      </c>
      <c r="K1769" s="100">
        <f>IF(AND(SamplingData[[#This Row],[Total]]&lt;&gt; 0, NOT(ISBLANK(SamplingData[[#This Row],[Losing Candidate]]))),(SamplingData[[#This Row],[Total]]+SamplingData[[#This Row],[Winning Candidate]]-SamplingData[[#This Row],[Losing Candidate]])/(SamplingData[[#Totals],[Winning Candidate]]-SamplingData[[#Totals],[Losing Candidate]]), 0)</f>
        <v>3.1234688878000981E-3</v>
      </c>
      <c r="L1769" s="100">
        <f>IF(AND(SamplingData[[#This Row],[Total]]&lt;&gt; 0, NOT(ISBLANK(SamplingData[[#This Row],[Candidate 3]]))),(SamplingData[[#This Row],[Total]]+SamplingData[[#This Row],[Winning Candidate]]-SamplingData[[#This Row],[Candidate 3]])/(SamplingData[[#Totals],[Winning Candidate]]-SamplingData[[#Totals],[Candidate 3]]), 0)</f>
        <v>2.2582830596509338E-3</v>
      </c>
      <c r="M1769" s="100">
        <f>IF(AND(SamplingData[[#This Row],[Total]]&lt;&gt; 0, NOT(ISBLANK(SamplingData[[#This Row],[Candidate 4]]))),(SamplingData[[#This Row],[Total]]+SamplingData[[#This Row],[Winning Candidate]]-SamplingData[[#This Row],[Candidate 4]])/(SamplingData[[#Totals],[Winning Candidate]]-SamplingData[[#Totals],[Candidate 4]]), 0)</f>
        <v>1.8123885527200445E-3</v>
      </c>
      <c r="N1769" s="100">
        <f>IF(AND(SamplingData[[#This Row],[Total]]&lt;&gt; 0, NOT(ISBLANK(SamplingData[[#This Row],[Candidate 5]]))),(SamplingData[[#This Row],[Total]]+SamplingData[[#This Row],[Winning Candidate]]-SamplingData[[#This Row],[Candidate 5]])/(SamplingData[[#Totals],[Winning Candidate]]-SamplingData[[#Totals],[Candidate 5]]), 0)</f>
        <v>1.7757236682072487E-3</v>
      </c>
      <c r="O1769" s="100">
        <f>IF(AND(SamplingData[[#This Row],[Total]]&lt;&gt; 0, NOT(ISBLANK(SamplingData[[#This Row],[Candidate 6]]))),(SamplingData[[#This Row],[Total]]+SamplingData[[#This Row],[Winning Candidate]]-SamplingData[[#This Row],[Candidate 6]])/(SamplingData[[#Totals],[Winning Candidate]]-SamplingData[[#Totals],[Candidate 6]]), 0)</f>
        <v>1.7508876027430573E-3</v>
      </c>
      <c r="P1769" s="100">
        <f>MAX(SamplingData[[#This Row],[Error Bound (up) - Max. possible relative overstatement - Losing Candidate]:[Error Bound (up) - Max. possible relative overstatement - Candidate 6]])</f>
        <v>3.1234688878000981E-3</v>
      </c>
      <c r="Q1769" s="100">
        <f>IF(SamplingData[[#This Row],[Max Error Bound (up)]] = 0,0,SamplingData[[#This Row],[Max Error Bound (up)]]/SamplingData[[#Totals],[Max Error Bound (up)]])</f>
        <v>4.9434036220073741E-4</v>
      </c>
      <c r="R1769" s="101">
        <f>SUM($Q$5:Q1769)</f>
        <v>0.65934663605006738</v>
      </c>
      <c r="S1769" s="100" t="str">
        <f t="array" ref="S1769">IF(SamplingData[[#This Row],[up/U Selection Probability]] = 0, "Zero", TEXT(SamplingData[[#This Row],[Lower Range]], REPT("0",LEN('General Info'!$B$40))) &amp; " - " &amp; TEXT(SamplingData[[#This Row],[Upper Range]], REPT("0",LEN('General Info'!$B$40))))</f>
        <v>65885 - 65934</v>
      </c>
      <c r="T1769" s="100">
        <f>SamplingData[[#This Row],[Upper Range]]-SamplingData[[#This Row],[Span]]</f>
        <v>65885.230063127019</v>
      </c>
      <c r="U1769" s="100">
        <f>IF(ISNUMBER('General Info'!$B$40), ((SamplingData[[#This Row],[up/U Selection Probability]]) * 'General Info'!$B$40) - 1, 0)</f>
        <v>48.433541879711541</v>
      </c>
      <c r="V1769" s="100">
        <f>IF(ISNUMBER('General Info'!$B$40), (SamplingData[[#This Row],[Running (cumulative) sum]] * ('General Info'!$B$40 -'General Info'!$B$41 + 1)) + 'General Info'!$B$41 - 1, 0)</f>
        <v>65933.663605006732</v>
      </c>
      <c r="W1769" s="100" t="str">
        <f>IF(ISERROR(MATCH(SamplingData[[#This Row],[Batch by Type (p)]],SelectedPrecincts[Batch Name], 0)), "", INDEX(SelectedPrecincts[Draw], MATCH(SamplingData[[#This Row],[Batch by Type (p)]],SelectedPrecincts[Batch Name], 0)))</f>
        <v/>
      </c>
      <c r="X1769" s="102">
        <f>IF(COUNTIF(SelectedPrecincts[Batch Name],SamplingData[[#This Row],[Batch by Type (p)]]) &lt;&gt; 0, COUNTIF(SelectedPrecincts[Batch Name],SamplingData[[#This Row],[Batch by Type (p)]]), 0)</f>
        <v>0</v>
      </c>
    </row>
    <row r="1770" spans="1:24" ht="15" customHeight="1">
      <c r="A1770" s="18" t="s">
        <v>1946</v>
      </c>
      <c r="B1770" s="18">
        <v>18</v>
      </c>
      <c r="C1770" s="18">
        <v>13</v>
      </c>
      <c r="D1770" s="18">
        <v>7</v>
      </c>
      <c r="E1770" s="18">
        <v>6</v>
      </c>
      <c r="F1770" s="18">
        <v>0</v>
      </c>
      <c r="G1770" s="18">
        <v>0</v>
      </c>
      <c r="H1770" s="18">
        <v>0</v>
      </c>
      <c r="I1770" s="18">
        <v>3</v>
      </c>
      <c r="J1770" s="99">
        <f>SUM(SamplingData[[#This Row],[Losing Candidate]:[Under Votes]])</f>
        <v>47</v>
      </c>
      <c r="K1770" s="100">
        <f>IF(AND(SamplingData[[#This Row],[Total]]&lt;&gt; 0, NOT(ISBLANK(SamplingData[[#This Row],[Losing Candidate]]))),(SamplingData[[#This Row],[Total]]+SamplingData[[#This Row],[Winning Candidate]]-SamplingData[[#This Row],[Losing Candidate]])/(SamplingData[[#Totals],[Winning Candidate]]-SamplingData[[#Totals],[Losing Candidate]]), 0)</f>
        <v>2.5722684958353749E-3</v>
      </c>
      <c r="L1770" s="100">
        <f>IF(AND(SamplingData[[#This Row],[Total]]&lt;&gt; 0, NOT(ISBLANK(SamplingData[[#This Row],[Candidate 3]]))),(SamplingData[[#This Row],[Total]]+SamplingData[[#This Row],[Winning Candidate]]-SamplingData[[#This Row],[Candidate 3]])/(SamplingData[[#Totals],[Winning Candidate]]-SamplingData[[#Totals],[Candidate 3]]), 0)</f>
        <v>1.7098428880214214E-3</v>
      </c>
      <c r="M1770" s="100">
        <f>IF(AND(SamplingData[[#This Row],[Total]]&lt;&gt; 0, NOT(ISBLANK(SamplingData[[#This Row],[Candidate 4]]))),(SamplingData[[#This Row],[Total]]+SamplingData[[#This Row],[Winning Candidate]]-SamplingData[[#This Row],[Candidate 4]])/(SamplingData[[#Totals],[Winning Candidate]]-SamplingData[[#Totals],[Candidate 4]]), 0)</f>
        <v>1.5785319652722968E-3</v>
      </c>
      <c r="N1770" s="100">
        <f>IF(AND(SamplingData[[#This Row],[Total]]&lt;&gt; 0, NOT(ISBLANK(SamplingData[[#This Row],[Candidate 5]]))),(SamplingData[[#This Row],[Total]]+SamplingData[[#This Row],[Winning Candidate]]-SamplingData[[#This Row],[Candidate 5]])/(SamplingData[[#Totals],[Winning Candidate]]-SamplingData[[#Totals],[Candidate 5]]), 0)</f>
        <v>1.459498905375821E-3</v>
      </c>
      <c r="O1770" s="100">
        <f>IF(AND(SamplingData[[#This Row],[Total]]&lt;&gt; 0, NOT(ISBLANK(SamplingData[[#This Row],[Candidate 6]]))),(SamplingData[[#This Row],[Total]]+SamplingData[[#This Row],[Winning Candidate]]-SamplingData[[#This Row],[Candidate 6]])/(SamplingData[[#Totals],[Winning Candidate]]-SamplingData[[#Totals],[Candidate 6]]), 0)</f>
        <v>1.4590730022858811E-3</v>
      </c>
      <c r="P1770" s="100">
        <f>MAX(SamplingData[[#This Row],[Error Bound (up) - Max. possible relative overstatement - Losing Candidate]:[Error Bound (up) - Max. possible relative overstatement - Candidate 6]])</f>
        <v>2.5722684958353749E-3</v>
      </c>
      <c r="Q1770" s="100">
        <f>IF(SamplingData[[#This Row],[Max Error Bound (up)]] = 0,0,SamplingData[[#This Row],[Max Error Bound (up)]]/SamplingData[[#Totals],[Max Error Bound (up)]])</f>
        <v>4.0710382769472496E-4</v>
      </c>
      <c r="R1770" s="101">
        <f>SUM($Q$5:Q1770)</f>
        <v>0.65975373987776209</v>
      </c>
      <c r="S1770" s="100" t="str">
        <f t="array" ref="S1770">IF(SamplingData[[#This Row],[up/U Selection Probability]] = 0, "Zero", TEXT(SamplingData[[#This Row],[Lower Range]], REPT("0",LEN('General Info'!$B$40))) &amp; " - " &amp; TEXT(SamplingData[[#This Row],[Upper Range]], REPT("0",LEN('General Info'!$B$40))))</f>
        <v>65935 - 65974</v>
      </c>
      <c r="T1770" s="100">
        <f>SamplingData[[#This Row],[Upper Range]]-SamplingData[[#This Row],[Span]]</f>
        <v>65934.664012110574</v>
      </c>
      <c r="U1770" s="100">
        <f>IF(ISNUMBER('General Info'!$B$40), ((SamplingData[[#This Row],[up/U Selection Probability]]) * 'General Info'!$B$40) - 1, 0)</f>
        <v>39.709975665644798</v>
      </c>
      <c r="V1770" s="100">
        <f>IF(ISNUMBER('General Info'!$B$40), (SamplingData[[#This Row],[Running (cumulative) sum]] * ('General Info'!$B$40 -'General Info'!$B$41 + 1)) + 'General Info'!$B$41 - 1, 0)</f>
        <v>65974.373987776213</v>
      </c>
      <c r="W1770" s="100" t="str">
        <f>IF(ISERROR(MATCH(SamplingData[[#This Row],[Batch by Type (p)]],SelectedPrecincts[Batch Name], 0)), "", INDEX(SelectedPrecincts[Draw], MATCH(SamplingData[[#This Row],[Batch by Type (p)]],SelectedPrecincts[Batch Name], 0)))</f>
        <v/>
      </c>
      <c r="X1770" s="102">
        <f>IF(COUNTIF(SelectedPrecincts[Batch Name],SamplingData[[#This Row],[Batch by Type (p)]]) &lt;&gt; 0, COUNTIF(SelectedPrecincts[Batch Name],SamplingData[[#This Row],[Batch by Type (p)]]), 0)</f>
        <v>0</v>
      </c>
    </row>
    <row r="1771" spans="1:24" ht="15" customHeight="1">
      <c r="A1771" s="18" t="s">
        <v>1947</v>
      </c>
      <c r="B1771" s="18">
        <v>48</v>
      </c>
      <c r="C1771" s="18">
        <v>55</v>
      </c>
      <c r="D1771" s="16">
        <v>14</v>
      </c>
      <c r="E1771" s="16">
        <v>11</v>
      </c>
      <c r="F1771" s="37">
        <v>1</v>
      </c>
      <c r="G1771" s="37">
        <v>1</v>
      </c>
      <c r="H1771" s="17">
        <v>0</v>
      </c>
      <c r="I1771" s="17">
        <v>1</v>
      </c>
      <c r="J1771" s="99">
        <f>SUM(SamplingData[[#This Row],[Losing Candidate]:[Under Votes]])</f>
        <v>131</v>
      </c>
      <c r="K1771" s="100">
        <f>IF(AND(SamplingData[[#This Row],[Total]]&lt;&gt; 0, NOT(ISBLANK(SamplingData[[#This Row],[Losing Candidate]]))),(SamplingData[[#This Row],[Total]]+SamplingData[[#This Row],[Winning Candidate]]-SamplingData[[#This Row],[Losing Candidate]])/(SamplingData[[#Totals],[Winning Candidate]]-SamplingData[[#Totals],[Losing Candidate]]), 0)</f>
        <v>8.4517393434590891E-3</v>
      </c>
      <c r="L1771" s="100">
        <f>IF(AND(SamplingData[[#This Row],[Total]]&lt;&gt; 0, NOT(ISBLANK(SamplingData[[#This Row],[Candidate 3]]))),(SamplingData[[#This Row],[Total]]+SamplingData[[#This Row],[Winning Candidate]]-SamplingData[[#This Row],[Candidate 3]])/(SamplingData[[#Totals],[Winning Candidate]]-SamplingData[[#Totals],[Candidate 3]]), 0)</f>
        <v>5.5489240894280095E-3</v>
      </c>
      <c r="M1771" s="100">
        <f>IF(AND(SamplingData[[#This Row],[Total]]&lt;&gt; 0, NOT(ISBLANK(SamplingData[[#This Row],[Candidate 4]]))),(SamplingData[[#This Row],[Total]]+SamplingData[[#This Row],[Winning Candidate]]-SamplingData[[#This Row],[Candidate 4]])/(SamplingData[[#Totals],[Winning Candidate]]-SamplingData[[#Totals],[Candidate 4]]), 0)</f>
        <v>5.1156128504194799E-3</v>
      </c>
      <c r="N1771" s="100">
        <f>IF(AND(SamplingData[[#This Row],[Total]]&lt;&gt; 0, NOT(ISBLANK(SamplingData[[#This Row],[Candidate 5]]))),(SamplingData[[#This Row],[Total]]+SamplingData[[#This Row],[Winning Candidate]]-SamplingData[[#This Row],[Candidate 5]])/(SamplingData[[#Totals],[Winning Candidate]]-SamplingData[[#Totals],[Candidate 5]]), 0)</f>
        <v>4.5001216249087811E-3</v>
      </c>
      <c r="O1771" s="100">
        <f>IF(AND(SamplingData[[#This Row],[Total]]&lt;&gt; 0, NOT(ISBLANK(SamplingData[[#This Row],[Candidate 6]]))),(SamplingData[[#This Row],[Total]]+SamplingData[[#This Row],[Winning Candidate]]-SamplingData[[#This Row],[Candidate 6]])/(SamplingData[[#Totals],[Winning Candidate]]-SamplingData[[#Totals],[Candidate 6]]), 0)</f>
        <v>4.4988084237148002E-3</v>
      </c>
      <c r="P1771" s="100">
        <f>MAX(SamplingData[[#This Row],[Error Bound (up) - Max. possible relative overstatement - Losing Candidate]:[Error Bound (up) - Max. possible relative overstatement - Candidate 6]])</f>
        <v>8.4517393434590891E-3</v>
      </c>
      <c r="Q1771" s="100">
        <f>IF(SamplingData[[#This Row],[Max Error Bound (up)]] = 0,0,SamplingData[[#This Row],[Max Error Bound (up)]]/SamplingData[[#Totals],[Max Error Bound (up)]])</f>
        <v>1.3376268624255248E-3</v>
      </c>
      <c r="R1771" s="101">
        <f>SUM($Q$5:Q1771)</f>
        <v>0.66109136674018765</v>
      </c>
      <c r="S1771" s="100" t="str">
        <f t="array" ref="S1771">IF(SamplingData[[#This Row],[up/U Selection Probability]] = 0, "Zero", TEXT(SamplingData[[#This Row],[Lower Range]], REPT("0",LEN('General Info'!$B$40))) &amp; " - " &amp; TEXT(SamplingData[[#This Row],[Upper Range]], REPT("0",LEN('General Info'!$B$40))))</f>
        <v>65975 - 66108</v>
      </c>
      <c r="T1771" s="100">
        <f>SamplingData[[#This Row],[Upper Range]]-SamplingData[[#This Row],[Span]]</f>
        <v>65975.375325403074</v>
      </c>
      <c r="U1771" s="100">
        <f>IF(ISNUMBER('General Info'!$B$40), ((SamplingData[[#This Row],[up/U Selection Probability]]) * 'General Info'!$B$40) - 1, 0)</f>
        <v>132.76134861569005</v>
      </c>
      <c r="V1771" s="100">
        <f>IF(ISNUMBER('General Info'!$B$40), (SamplingData[[#This Row],[Running (cumulative) sum]] * ('General Info'!$B$40 -'General Info'!$B$41 + 1)) + 'General Info'!$B$41 - 1, 0)</f>
        <v>66108.136674018766</v>
      </c>
      <c r="W1771" s="100" t="str">
        <f>IF(ISERROR(MATCH(SamplingData[[#This Row],[Batch by Type (p)]],SelectedPrecincts[Batch Name], 0)), "", INDEX(SelectedPrecincts[Draw], MATCH(SamplingData[[#This Row],[Batch by Type (p)]],SelectedPrecincts[Batch Name], 0)))</f>
        <v/>
      </c>
      <c r="X1771" s="102">
        <f>IF(COUNTIF(SelectedPrecincts[Batch Name],SamplingData[[#This Row],[Batch by Type (p)]]) &lt;&gt; 0, COUNTIF(SelectedPrecincts[Batch Name],SamplingData[[#This Row],[Batch by Type (p)]]), 0)</f>
        <v>0</v>
      </c>
    </row>
    <row r="1772" spans="1:24" ht="15" customHeight="1">
      <c r="A1772" s="18" t="s">
        <v>1948</v>
      </c>
      <c r="B1772" s="18">
        <v>20</v>
      </c>
      <c r="C1772" s="18">
        <v>16</v>
      </c>
      <c r="D1772" s="18">
        <v>5</v>
      </c>
      <c r="E1772" s="18">
        <v>6</v>
      </c>
      <c r="F1772" s="18">
        <v>0</v>
      </c>
      <c r="G1772" s="18">
        <v>2</v>
      </c>
      <c r="H1772" s="18">
        <v>0</v>
      </c>
      <c r="I1772" s="18">
        <v>3</v>
      </c>
      <c r="J1772" s="99">
        <f>SUM(SamplingData[[#This Row],[Losing Candidate]:[Under Votes]])</f>
        <v>52</v>
      </c>
      <c r="K1772" s="100">
        <f>IF(AND(SamplingData[[#This Row],[Total]]&lt;&gt; 0, NOT(ISBLANK(SamplingData[[#This Row],[Losing Candidate]]))),(SamplingData[[#This Row],[Total]]+SamplingData[[#This Row],[Winning Candidate]]-SamplingData[[#This Row],[Losing Candidate]])/(SamplingData[[#Totals],[Winning Candidate]]-SamplingData[[#Totals],[Losing Candidate]]), 0)</f>
        <v>2.9397354238118569E-3</v>
      </c>
      <c r="L1772" s="100">
        <f>IF(AND(SamplingData[[#This Row],[Total]]&lt;&gt; 0, NOT(ISBLANK(SamplingData[[#This Row],[Candidate 3]]))),(SamplingData[[#This Row],[Total]]+SamplingData[[#This Row],[Winning Candidate]]-SamplingData[[#This Row],[Candidate 3]])/(SamplingData[[#Totals],[Winning Candidate]]-SamplingData[[#Totals],[Candidate 3]]), 0)</f>
        <v>2.0324547536858407E-3</v>
      </c>
      <c r="M1772" s="100">
        <f>IF(AND(SamplingData[[#This Row],[Total]]&lt;&gt; 0, NOT(ISBLANK(SamplingData[[#This Row],[Candidate 4]]))),(SamplingData[[#This Row],[Total]]+SamplingData[[#This Row],[Winning Candidate]]-SamplingData[[#This Row],[Candidate 4]])/(SamplingData[[#Totals],[Winning Candidate]]-SamplingData[[#Totals],[Candidate 4]]), 0)</f>
        <v>1.8123885527200445E-3</v>
      </c>
      <c r="N1772" s="100">
        <f>IF(AND(SamplingData[[#This Row],[Total]]&lt;&gt; 0, NOT(ISBLANK(SamplingData[[#This Row],[Candidate 5]]))),(SamplingData[[#This Row],[Total]]+SamplingData[[#This Row],[Winning Candidate]]-SamplingData[[#This Row],[Candidate 5]])/(SamplingData[[#Totals],[Winning Candidate]]-SamplingData[[#Totals],[Candidate 5]]), 0)</f>
        <v>1.6540987594259305E-3</v>
      </c>
      <c r="O1772" s="100">
        <f>IF(AND(SamplingData[[#This Row],[Total]]&lt;&gt; 0, NOT(ISBLANK(SamplingData[[#This Row],[Candidate 6]]))),(SamplingData[[#This Row],[Total]]+SamplingData[[#This Row],[Winning Candidate]]-SamplingData[[#This Row],[Candidate 6]])/(SamplingData[[#Totals],[Winning Candidate]]-SamplingData[[#Totals],[Candidate 6]]), 0)</f>
        <v>1.6049803025144692E-3</v>
      </c>
      <c r="P1772" s="100">
        <f>MAX(SamplingData[[#This Row],[Error Bound (up) - Max. possible relative overstatement - Losing Candidate]:[Error Bound (up) - Max. possible relative overstatement - Candidate 6]])</f>
        <v>2.9397354238118569E-3</v>
      </c>
      <c r="Q1772" s="100">
        <f>IF(SamplingData[[#This Row],[Max Error Bound (up)]] = 0,0,SamplingData[[#This Row],[Max Error Bound (up)]]/SamplingData[[#Totals],[Max Error Bound (up)]])</f>
        <v>4.6526151736539989E-4</v>
      </c>
      <c r="R1772" s="101">
        <f>SUM($Q$5:Q1772)</f>
        <v>0.66155662825755301</v>
      </c>
      <c r="S1772" s="100" t="str">
        <f t="array" ref="S1772">IF(SamplingData[[#This Row],[up/U Selection Probability]] = 0, "Zero", TEXT(SamplingData[[#This Row],[Lower Range]], REPT("0",LEN('General Info'!$B$40))) &amp; " - " &amp; TEXT(SamplingData[[#This Row],[Upper Range]], REPT("0",LEN('General Info'!$B$40))))</f>
        <v>66109 - 66155</v>
      </c>
      <c r="T1772" s="100">
        <f>SamplingData[[#This Row],[Upper Range]]-SamplingData[[#This Row],[Span]]</f>
        <v>66109.137139280268</v>
      </c>
      <c r="U1772" s="100">
        <f>IF(ISNUMBER('General Info'!$B$40), ((SamplingData[[#This Row],[up/U Selection Probability]]) * 'General Info'!$B$40) - 1, 0)</f>
        <v>45.525686475022624</v>
      </c>
      <c r="V1772" s="100">
        <f>IF(ISNUMBER('General Info'!$B$40), (SamplingData[[#This Row],[Running (cumulative) sum]] * ('General Info'!$B$40 -'General Info'!$B$41 + 1)) + 'General Info'!$B$41 - 1, 0)</f>
        <v>66154.662825755295</v>
      </c>
      <c r="W1772" s="100" t="str">
        <f>IF(ISERROR(MATCH(SamplingData[[#This Row],[Batch by Type (p)]],SelectedPrecincts[Batch Name], 0)), "", INDEX(SelectedPrecincts[Draw], MATCH(SamplingData[[#This Row],[Batch by Type (p)]],SelectedPrecincts[Batch Name], 0)))</f>
        <v/>
      </c>
      <c r="X1772" s="102">
        <f>IF(COUNTIF(SelectedPrecincts[Batch Name],SamplingData[[#This Row],[Batch by Type (p)]]) &lt;&gt; 0, COUNTIF(SelectedPrecincts[Batch Name],SamplingData[[#This Row],[Batch by Type (p)]]), 0)</f>
        <v>0</v>
      </c>
    </row>
    <row r="1773" spans="1:24" ht="15" customHeight="1">
      <c r="A1773" s="18" t="s">
        <v>1949</v>
      </c>
      <c r="B1773" s="18">
        <v>40</v>
      </c>
      <c r="C1773" s="18">
        <v>38</v>
      </c>
      <c r="D1773" s="16">
        <v>8</v>
      </c>
      <c r="E1773" s="16">
        <v>13</v>
      </c>
      <c r="F1773" s="37">
        <v>0</v>
      </c>
      <c r="G1773" s="37">
        <v>0</v>
      </c>
      <c r="H1773" s="17">
        <v>0</v>
      </c>
      <c r="I1773" s="17">
        <v>1</v>
      </c>
      <c r="J1773" s="99">
        <f>SUM(SamplingData[[#This Row],[Losing Candidate]:[Under Votes]])</f>
        <v>100</v>
      </c>
      <c r="K1773" s="100">
        <f>IF(AND(SamplingData[[#This Row],[Total]]&lt;&gt; 0, NOT(ISBLANK(SamplingData[[#This Row],[Losing Candidate]]))),(SamplingData[[#This Row],[Total]]+SamplingData[[#This Row],[Winning Candidate]]-SamplingData[[#This Row],[Losing Candidate]])/(SamplingData[[#Totals],[Winning Candidate]]-SamplingData[[#Totals],[Losing Candidate]]), 0)</f>
        <v>6.0019598236158746E-3</v>
      </c>
      <c r="L1773" s="100">
        <f>IF(AND(SamplingData[[#This Row],[Total]]&lt;&gt; 0, NOT(ISBLANK(SamplingData[[#This Row],[Candidate 3]]))),(SamplingData[[#This Row],[Total]]+SamplingData[[#This Row],[Winning Candidate]]-SamplingData[[#This Row],[Candidate 3]])/(SamplingData[[#Totals],[Winning Candidate]]-SamplingData[[#Totals],[Candidate 3]]), 0)</f>
        <v>4.1939542536374485E-3</v>
      </c>
      <c r="M1773" s="100">
        <f>IF(AND(SamplingData[[#This Row],[Total]]&lt;&gt; 0, NOT(ISBLANK(SamplingData[[#This Row],[Candidate 4]]))),(SamplingData[[#This Row],[Total]]+SamplingData[[#This Row],[Winning Candidate]]-SamplingData[[#This Row],[Candidate 4]])/(SamplingData[[#Totals],[Winning Candidate]]-SamplingData[[#Totals],[Candidate 4]]), 0)</f>
        <v>3.6540091788710575E-3</v>
      </c>
      <c r="N1773" s="100">
        <f>IF(AND(SamplingData[[#This Row],[Total]]&lt;&gt; 0, NOT(ISBLANK(SamplingData[[#This Row],[Candidate 5]]))),(SamplingData[[#This Row],[Total]]+SamplingData[[#This Row],[Winning Candidate]]-SamplingData[[#This Row],[Candidate 5]])/(SamplingData[[#Totals],[Winning Candidate]]-SamplingData[[#Totals],[Candidate 5]]), 0)</f>
        <v>3.3568474823643881E-3</v>
      </c>
      <c r="O1773" s="100">
        <f>IF(AND(SamplingData[[#This Row],[Total]]&lt;&gt; 0, NOT(ISBLANK(SamplingData[[#This Row],[Candidate 6]]))),(SamplingData[[#This Row],[Total]]+SamplingData[[#This Row],[Winning Candidate]]-SamplingData[[#This Row],[Candidate 6]])/(SamplingData[[#Totals],[Winning Candidate]]-SamplingData[[#Totals],[Candidate 6]]), 0)</f>
        <v>3.3558679052575263E-3</v>
      </c>
      <c r="P1773" s="100">
        <f>MAX(SamplingData[[#This Row],[Error Bound (up) - Max. possible relative overstatement - Losing Candidate]:[Error Bound (up) - Max. possible relative overstatement - Candidate 6]])</f>
        <v>6.0019598236158746E-3</v>
      </c>
      <c r="Q1773" s="100">
        <f>IF(SamplingData[[#This Row],[Max Error Bound (up)]] = 0,0,SamplingData[[#This Row],[Max Error Bound (up)]]/SamplingData[[#Totals],[Max Error Bound (up)]])</f>
        <v>9.4990893128769145E-4</v>
      </c>
      <c r="R1773" s="101">
        <f>SUM($Q$5:Q1773)</f>
        <v>0.66250653718884067</v>
      </c>
      <c r="S1773" s="100" t="str">
        <f t="array" ref="S1773">IF(SamplingData[[#This Row],[up/U Selection Probability]] = 0, "Zero", TEXT(SamplingData[[#This Row],[Lower Range]], REPT("0",LEN('General Info'!$B$40))) &amp; " - " &amp; TEXT(SamplingData[[#This Row],[Upper Range]], REPT("0",LEN('General Info'!$B$40))))</f>
        <v>66156 - 66250</v>
      </c>
      <c r="T1773" s="100">
        <f>SamplingData[[#This Row],[Upper Range]]-SamplingData[[#This Row],[Span]]</f>
        <v>66155.66377566423</v>
      </c>
      <c r="U1773" s="100">
        <f>IF(ISNUMBER('General Info'!$B$40), ((SamplingData[[#This Row],[up/U Selection Probability]]) * 'General Info'!$B$40) - 1, 0)</f>
        <v>93.989943219837855</v>
      </c>
      <c r="V1773" s="100">
        <f>IF(ISNUMBER('General Info'!$B$40), (SamplingData[[#This Row],[Running (cumulative) sum]] * ('General Info'!$B$40 -'General Info'!$B$41 + 1)) + 'General Info'!$B$41 - 1, 0)</f>
        <v>66249.653718884074</v>
      </c>
      <c r="W1773" s="100" t="str">
        <f>IF(ISERROR(MATCH(SamplingData[[#This Row],[Batch by Type (p)]],SelectedPrecincts[Batch Name], 0)), "", INDEX(SelectedPrecincts[Draw], MATCH(SamplingData[[#This Row],[Batch by Type (p)]],SelectedPrecincts[Batch Name], 0)))</f>
        <v/>
      </c>
      <c r="X1773" s="102">
        <f>IF(COUNTIF(SelectedPrecincts[Batch Name],SamplingData[[#This Row],[Batch by Type (p)]]) &lt;&gt; 0, COUNTIF(SelectedPrecincts[Batch Name],SamplingData[[#This Row],[Batch by Type (p)]]), 0)</f>
        <v>0</v>
      </c>
    </row>
    <row r="1774" spans="1:24" ht="15" customHeight="1">
      <c r="A1774" s="18" t="s">
        <v>1950</v>
      </c>
      <c r="B1774" s="18">
        <v>29</v>
      </c>
      <c r="C1774" s="18">
        <v>25</v>
      </c>
      <c r="D1774" s="18">
        <v>4</v>
      </c>
      <c r="E1774" s="18">
        <v>2</v>
      </c>
      <c r="F1774" s="18">
        <v>0</v>
      </c>
      <c r="G1774" s="18">
        <v>1</v>
      </c>
      <c r="H1774" s="18">
        <v>0</v>
      </c>
      <c r="I1774" s="18">
        <v>0</v>
      </c>
      <c r="J1774" s="99">
        <f>SUM(SamplingData[[#This Row],[Losing Candidate]:[Under Votes]])</f>
        <v>61</v>
      </c>
      <c r="K1774" s="100">
        <f>IF(AND(SamplingData[[#This Row],[Total]]&lt;&gt; 0, NOT(ISBLANK(SamplingData[[#This Row],[Losing Candidate]]))),(SamplingData[[#This Row],[Total]]+SamplingData[[#This Row],[Winning Candidate]]-SamplingData[[#This Row],[Losing Candidate]])/(SamplingData[[#Totals],[Winning Candidate]]-SamplingData[[#Totals],[Losing Candidate]]), 0)</f>
        <v>3.4909358157765801E-3</v>
      </c>
      <c r="L1774" s="100">
        <f>IF(AND(SamplingData[[#This Row],[Total]]&lt;&gt; 0, NOT(ISBLANK(SamplingData[[#This Row],[Candidate 3]]))),(SamplingData[[#This Row],[Total]]+SamplingData[[#This Row],[Winning Candidate]]-SamplingData[[#This Row],[Candidate 3]])/(SamplingData[[#Totals],[Winning Candidate]]-SamplingData[[#Totals],[Candidate 3]]), 0)</f>
        <v>2.6454172984482368E-3</v>
      </c>
      <c r="M1774" s="100">
        <f>IF(AND(SamplingData[[#This Row],[Total]]&lt;&gt; 0, NOT(ISBLANK(SamplingData[[#This Row],[Candidate 4]]))),(SamplingData[[#This Row],[Total]]+SamplingData[[#This Row],[Winning Candidate]]-SamplingData[[#This Row],[Candidate 4]])/(SamplingData[[#Totals],[Winning Candidate]]-SamplingData[[#Totals],[Candidate 4]]), 0)</f>
        <v>2.4554941682013503E-3</v>
      </c>
      <c r="N1774" s="100">
        <f>IF(AND(SamplingData[[#This Row],[Total]]&lt;&gt; 0, NOT(ISBLANK(SamplingData[[#This Row],[Candidate 5]]))),(SamplingData[[#This Row],[Total]]+SamplingData[[#This Row],[Winning Candidate]]-SamplingData[[#This Row],[Candidate 5]])/(SamplingData[[#Totals],[Winning Candidate]]-SamplingData[[#Totals],[Candidate 5]]), 0)</f>
        <v>2.0919484310386767E-3</v>
      </c>
      <c r="O1774" s="100">
        <f>IF(AND(SamplingData[[#This Row],[Total]]&lt;&gt; 0, NOT(ISBLANK(SamplingData[[#This Row],[Candidate 6]]))),(SamplingData[[#This Row],[Total]]+SamplingData[[#This Row],[Winning Candidate]]-SamplingData[[#This Row],[Candidate 6]])/(SamplingData[[#Totals],[Winning Candidate]]-SamplingData[[#Totals],[Candidate 6]]), 0)</f>
        <v>2.0670200865716649E-3</v>
      </c>
      <c r="P1774" s="100">
        <f>MAX(SamplingData[[#This Row],[Error Bound (up) - Max. possible relative overstatement - Losing Candidate]:[Error Bound (up) - Max. possible relative overstatement - Candidate 6]])</f>
        <v>3.4909358157765801E-3</v>
      </c>
      <c r="Q1774" s="100">
        <f>IF(SamplingData[[#This Row],[Max Error Bound (up)]] = 0,0,SamplingData[[#This Row],[Max Error Bound (up)]]/SamplingData[[#Totals],[Max Error Bound (up)]])</f>
        <v>5.5249805187141245E-4</v>
      </c>
      <c r="R1774" s="101">
        <f>SUM($Q$5:Q1774)</f>
        <v>0.66305903524071208</v>
      </c>
      <c r="S1774" s="100" t="str">
        <f t="array" ref="S1774">IF(SamplingData[[#This Row],[up/U Selection Probability]] = 0, "Zero", TEXT(SamplingData[[#This Row],[Lower Range]], REPT("0",LEN('General Info'!$B$40))) &amp; " - " &amp; TEXT(SamplingData[[#This Row],[Upper Range]], REPT("0",LEN('General Info'!$B$40))))</f>
        <v>66251 - 66305</v>
      </c>
      <c r="T1774" s="100">
        <f>SamplingData[[#This Row],[Upper Range]]-SamplingData[[#This Row],[Span]]</f>
        <v>66250.654271382125</v>
      </c>
      <c r="U1774" s="100">
        <f>IF(ISNUMBER('General Info'!$B$40), ((SamplingData[[#This Row],[up/U Selection Probability]]) * 'General Info'!$B$40) - 1, 0)</f>
        <v>54.249252689089374</v>
      </c>
      <c r="V1774" s="100">
        <f>IF(ISNUMBER('General Info'!$B$40), (SamplingData[[#This Row],[Running (cumulative) sum]] * ('General Info'!$B$40 -'General Info'!$B$41 + 1)) + 'General Info'!$B$41 - 1, 0)</f>
        <v>66304.903524071211</v>
      </c>
      <c r="W1774" s="100" t="str">
        <f>IF(ISERROR(MATCH(SamplingData[[#This Row],[Batch by Type (p)]],SelectedPrecincts[Batch Name], 0)), "", INDEX(SelectedPrecincts[Draw], MATCH(SamplingData[[#This Row],[Batch by Type (p)]],SelectedPrecincts[Batch Name], 0)))</f>
        <v/>
      </c>
      <c r="X1774" s="102">
        <f>IF(COUNTIF(SelectedPrecincts[Batch Name],SamplingData[[#This Row],[Batch by Type (p)]]) &lt;&gt; 0, COUNTIF(SelectedPrecincts[Batch Name],SamplingData[[#This Row],[Batch by Type (p)]]), 0)</f>
        <v>0</v>
      </c>
    </row>
    <row r="1775" spans="1:24" ht="15" customHeight="1">
      <c r="A1775" s="18" t="s">
        <v>1951</v>
      </c>
      <c r="B1775" s="18">
        <v>39</v>
      </c>
      <c r="C1775" s="18">
        <v>47</v>
      </c>
      <c r="D1775" s="16">
        <v>16</v>
      </c>
      <c r="E1775" s="16">
        <v>7</v>
      </c>
      <c r="F1775" s="37">
        <v>1</v>
      </c>
      <c r="G1775" s="37">
        <v>2</v>
      </c>
      <c r="H1775" s="17">
        <v>0</v>
      </c>
      <c r="I1775" s="17">
        <v>4</v>
      </c>
      <c r="J1775" s="99">
        <f>SUM(SamplingData[[#This Row],[Losing Candidate]:[Under Votes]])</f>
        <v>116</v>
      </c>
      <c r="K1775" s="100">
        <f>IF(AND(SamplingData[[#This Row],[Total]]&lt;&gt; 0, NOT(ISBLANK(SamplingData[[#This Row],[Losing Candidate]]))),(SamplingData[[#This Row],[Total]]+SamplingData[[#This Row],[Winning Candidate]]-SamplingData[[#This Row],[Losing Candidate]])/(SamplingData[[#Totals],[Winning Candidate]]-SamplingData[[#Totals],[Losing Candidate]]), 0)</f>
        <v>7.5943165115139634E-3</v>
      </c>
      <c r="L1775" s="100">
        <f>IF(AND(SamplingData[[#This Row],[Total]]&lt;&gt; 0, NOT(ISBLANK(SamplingData[[#This Row],[Candidate 3]]))),(SamplingData[[#This Row],[Total]]+SamplingData[[#This Row],[Winning Candidate]]-SamplingData[[#This Row],[Candidate 3]])/(SamplingData[[#Totals],[Winning Candidate]]-SamplingData[[#Totals],[Candidate 3]]), 0)</f>
        <v>4.742394425266961E-3</v>
      </c>
      <c r="M1775" s="100">
        <f>IF(AND(SamplingData[[#This Row],[Total]]&lt;&gt; 0, NOT(ISBLANK(SamplingData[[#This Row],[Candidate 4]]))),(SamplingData[[#This Row],[Total]]+SamplingData[[#This Row],[Winning Candidate]]-SamplingData[[#This Row],[Candidate 4]])/(SamplingData[[#Totals],[Winning Candidate]]-SamplingData[[#Totals],[Candidate 4]]), 0)</f>
        <v>4.5602034552310799E-3</v>
      </c>
      <c r="N1775" s="100">
        <f>IF(AND(SamplingData[[#This Row],[Total]]&lt;&gt; 0, NOT(ISBLANK(SamplingData[[#This Row],[Candidate 5]]))),(SamplingData[[#This Row],[Total]]+SamplingData[[#This Row],[Winning Candidate]]-SamplingData[[#This Row],[Candidate 5]])/(SamplingData[[#Totals],[Winning Candidate]]-SamplingData[[#Totals],[Candidate 5]]), 0)</f>
        <v>3.9406470445147168E-3</v>
      </c>
      <c r="O1775" s="100">
        <f>IF(AND(SamplingData[[#This Row],[Total]]&lt;&gt; 0, NOT(ISBLANK(SamplingData[[#This Row],[Candidate 6]]))),(SamplingData[[#This Row],[Total]]+SamplingData[[#This Row],[Winning Candidate]]-SamplingData[[#This Row],[Candidate 6]])/(SamplingData[[#Totals],[Winning Candidate]]-SamplingData[[#Totals],[Candidate 6]]), 0)</f>
        <v>3.9151792228004478E-3</v>
      </c>
      <c r="P1775" s="100">
        <f>MAX(SamplingData[[#This Row],[Error Bound (up) - Max. possible relative overstatement - Losing Candidate]:[Error Bound (up) - Max. possible relative overstatement - Candidate 6]])</f>
        <v>7.5943165115139634E-3</v>
      </c>
      <c r="Q1775" s="100">
        <f>IF(SamplingData[[#This Row],[Max Error Bound (up)]] = 0,0,SamplingData[[#This Row],[Max Error Bound (up)]]/SamplingData[[#Totals],[Max Error Bound (up)]])</f>
        <v>1.2019255865272831E-3</v>
      </c>
      <c r="R1775" s="101">
        <f>SUM($Q$5:Q1775)</f>
        <v>0.6642609608272394</v>
      </c>
      <c r="S1775" s="100" t="str">
        <f t="array" ref="S1775">IF(SamplingData[[#This Row],[up/U Selection Probability]] = 0, "Zero", TEXT(SamplingData[[#This Row],[Lower Range]], REPT("0",LEN('General Info'!$B$40))) &amp; " - " &amp; TEXT(SamplingData[[#This Row],[Upper Range]], REPT("0",LEN('General Info'!$B$40))))</f>
        <v>66306 - 66425</v>
      </c>
      <c r="T1775" s="100">
        <f>SamplingData[[#This Row],[Upper Range]]-SamplingData[[#This Row],[Span]]</f>
        <v>66305.904725996807</v>
      </c>
      <c r="U1775" s="100">
        <f>IF(ISNUMBER('General Info'!$B$40), ((SamplingData[[#This Row],[up/U Selection Probability]]) * 'General Info'!$B$40) - 1, 0)</f>
        <v>119.19135672714178</v>
      </c>
      <c r="V1775" s="100">
        <f>IF(ISNUMBER('General Info'!$B$40), (SamplingData[[#This Row],[Running (cumulative) sum]] * ('General Info'!$B$40 -'General Info'!$B$41 + 1)) + 'General Info'!$B$41 - 1, 0)</f>
        <v>66425.096082723947</v>
      </c>
      <c r="W1775" s="100" t="str">
        <f>IF(ISERROR(MATCH(SamplingData[[#This Row],[Batch by Type (p)]],SelectedPrecincts[Batch Name], 0)), "", INDEX(SelectedPrecincts[Draw], MATCH(SamplingData[[#This Row],[Batch by Type (p)]],SelectedPrecincts[Batch Name], 0)))</f>
        <v/>
      </c>
      <c r="X1775" s="102">
        <f>IF(COUNTIF(SelectedPrecincts[Batch Name],SamplingData[[#This Row],[Batch by Type (p)]]) &lt;&gt; 0, COUNTIF(SelectedPrecincts[Batch Name],SamplingData[[#This Row],[Batch by Type (p)]]), 0)</f>
        <v>0</v>
      </c>
    </row>
    <row r="1776" spans="1:24" ht="15" customHeight="1">
      <c r="A1776" s="18" t="s">
        <v>1952</v>
      </c>
      <c r="B1776" s="18">
        <v>15</v>
      </c>
      <c r="C1776" s="18">
        <v>23</v>
      </c>
      <c r="D1776" s="18">
        <v>7</v>
      </c>
      <c r="E1776" s="18">
        <v>6</v>
      </c>
      <c r="F1776" s="18">
        <v>0</v>
      </c>
      <c r="G1776" s="18">
        <v>0</v>
      </c>
      <c r="H1776" s="18">
        <v>0</v>
      </c>
      <c r="I1776" s="18">
        <v>1</v>
      </c>
      <c r="J1776" s="99">
        <f>SUM(SamplingData[[#This Row],[Losing Candidate]:[Under Votes]])</f>
        <v>52</v>
      </c>
      <c r="K1776"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776" s="100">
        <f>IF(AND(SamplingData[[#This Row],[Total]]&lt;&gt; 0, NOT(ISBLANK(SamplingData[[#This Row],[Candidate 3]]))),(SamplingData[[#This Row],[Total]]+SamplingData[[#This Row],[Winning Candidate]]-SamplingData[[#This Row],[Candidate 3]])/(SamplingData[[#Totals],[Winning Candidate]]-SamplingData[[#Totals],[Candidate 3]]), 0)</f>
        <v>2.1937606865180502E-3</v>
      </c>
      <c r="M1776" s="100">
        <f>IF(AND(SamplingData[[#This Row],[Total]]&lt;&gt; 0, NOT(ISBLANK(SamplingData[[#This Row],[Candidate 4]]))),(SamplingData[[#This Row],[Total]]+SamplingData[[#This Row],[Winning Candidate]]-SamplingData[[#This Row],[Candidate 4]])/(SamplingData[[#Totals],[Winning Candidate]]-SamplingData[[#Totals],[Candidate 4]]), 0)</f>
        <v>2.0170130667368238E-3</v>
      </c>
      <c r="N1776" s="100">
        <f>IF(AND(SamplingData[[#This Row],[Total]]&lt;&gt; 0, NOT(ISBLANK(SamplingData[[#This Row],[Candidate 5]]))),(SamplingData[[#This Row],[Total]]+SamplingData[[#This Row],[Winning Candidate]]-SamplingData[[#This Row],[Candidate 5]])/(SamplingData[[#Totals],[Winning Candidate]]-SamplingData[[#Totals],[Candidate 5]]), 0)</f>
        <v>1.8243736317197761E-3</v>
      </c>
      <c r="O1776" s="100">
        <f>IF(AND(SamplingData[[#This Row],[Total]]&lt;&gt; 0, NOT(ISBLANK(SamplingData[[#This Row],[Candidate 6]]))),(SamplingData[[#This Row],[Total]]+SamplingData[[#This Row],[Winning Candidate]]-SamplingData[[#This Row],[Candidate 6]])/(SamplingData[[#Totals],[Winning Candidate]]-SamplingData[[#Totals],[Candidate 6]]), 0)</f>
        <v>1.8238412528573513E-3</v>
      </c>
      <c r="P1776" s="100">
        <f>MAX(SamplingData[[#This Row],[Error Bound (up) - Max. possible relative overstatement - Losing Candidate]:[Error Bound (up) - Max. possible relative overstatement - Candidate 6]])</f>
        <v>3.6746692797648213E-3</v>
      </c>
      <c r="Q1776" s="100">
        <f>IF(SamplingData[[#This Row],[Max Error Bound (up)]] = 0,0,SamplingData[[#This Row],[Max Error Bound (up)]]/SamplingData[[#Totals],[Max Error Bound (up)]])</f>
        <v>5.8157689670674997E-4</v>
      </c>
      <c r="R1776" s="101">
        <f>SUM($Q$5:Q1776)</f>
        <v>0.66484253772394619</v>
      </c>
      <c r="S1776" s="100" t="str">
        <f t="array" ref="S1776">IF(SamplingData[[#This Row],[up/U Selection Probability]] = 0, "Zero", TEXT(SamplingData[[#This Row],[Lower Range]], REPT("0",LEN('General Info'!$B$40))) &amp; " - " &amp; TEXT(SamplingData[[#This Row],[Upper Range]], REPT("0",LEN('General Info'!$B$40))))</f>
        <v>66426 - 66483</v>
      </c>
      <c r="T1776" s="100">
        <f>SamplingData[[#This Row],[Upper Range]]-SamplingData[[#This Row],[Span]]</f>
        <v>66426.096664300843</v>
      </c>
      <c r="U1776" s="100">
        <f>IF(ISNUMBER('General Info'!$B$40), ((SamplingData[[#This Row],[up/U Selection Probability]]) * 'General Info'!$B$40) - 1, 0)</f>
        <v>57.157108093778291</v>
      </c>
      <c r="V1776" s="100">
        <f>IF(ISNUMBER('General Info'!$B$40), (SamplingData[[#This Row],[Running (cumulative) sum]] * ('General Info'!$B$40 -'General Info'!$B$41 + 1)) + 'General Info'!$B$41 - 1, 0)</f>
        <v>66483.253772394615</v>
      </c>
      <c r="W1776" s="100" t="str">
        <f>IF(ISERROR(MATCH(SamplingData[[#This Row],[Batch by Type (p)]],SelectedPrecincts[Batch Name], 0)), "", INDEX(SelectedPrecincts[Draw], MATCH(SamplingData[[#This Row],[Batch by Type (p)]],SelectedPrecincts[Batch Name], 0)))</f>
        <v/>
      </c>
      <c r="X1776" s="102">
        <f>IF(COUNTIF(SelectedPrecincts[Batch Name],SamplingData[[#This Row],[Batch by Type (p)]]) &lt;&gt; 0, COUNTIF(SelectedPrecincts[Batch Name],SamplingData[[#This Row],[Batch by Type (p)]]), 0)</f>
        <v>0</v>
      </c>
    </row>
    <row r="1777" spans="1:24" ht="15" customHeight="1">
      <c r="A1777" s="18" t="s">
        <v>1953</v>
      </c>
      <c r="B1777" s="18">
        <v>46</v>
      </c>
      <c r="C1777" s="18">
        <v>70</v>
      </c>
      <c r="D1777" s="16">
        <v>9</v>
      </c>
      <c r="E1777" s="16">
        <v>9</v>
      </c>
      <c r="F1777" s="37">
        <v>0</v>
      </c>
      <c r="G1777" s="37">
        <v>0</v>
      </c>
      <c r="H1777" s="17">
        <v>0</v>
      </c>
      <c r="I1777" s="17">
        <v>0</v>
      </c>
      <c r="J1777" s="99">
        <f>SUM(SamplingData[[#This Row],[Losing Candidate]:[Under Votes]])</f>
        <v>134</v>
      </c>
      <c r="K1777" s="100">
        <f>IF(AND(SamplingData[[#This Row],[Total]]&lt;&gt; 0, NOT(ISBLANK(SamplingData[[#This Row],[Losing Candidate]]))),(SamplingData[[#This Row],[Total]]+SamplingData[[#This Row],[Winning Candidate]]-SamplingData[[#This Row],[Losing Candidate]])/(SamplingData[[#Totals],[Winning Candidate]]-SamplingData[[#Totals],[Losing Candidate]]), 0)</f>
        <v>9.6766291033806955E-3</v>
      </c>
      <c r="L1777" s="100">
        <f>IF(AND(SamplingData[[#This Row],[Total]]&lt;&gt; 0, NOT(ISBLANK(SamplingData[[#This Row],[Candidate 3]]))),(SamplingData[[#This Row],[Total]]+SamplingData[[#This Row],[Winning Candidate]]-SamplingData[[#This Row],[Candidate 3]])/(SamplingData[[#Totals],[Winning Candidate]]-SamplingData[[#Totals],[Candidate 3]]), 0)</f>
        <v>6.2909313804561731E-3</v>
      </c>
      <c r="M1777" s="100">
        <f>IF(AND(SamplingData[[#This Row],[Total]]&lt;&gt; 0, NOT(ISBLANK(SamplingData[[#This Row],[Candidate 4]]))),(SamplingData[[#This Row],[Total]]+SamplingData[[#This Row],[Winning Candidate]]-SamplingData[[#This Row],[Candidate 4]])/(SamplingData[[#Totals],[Winning Candidate]]-SamplingData[[#Totals],[Candidate 4]]), 0)</f>
        <v>5.7002543190388492E-3</v>
      </c>
      <c r="N1777" s="100">
        <f>IF(AND(SamplingData[[#This Row],[Total]]&lt;&gt; 0, NOT(ISBLANK(SamplingData[[#This Row],[Candidate 5]]))),(SamplingData[[#This Row],[Total]]+SamplingData[[#This Row],[Winning Candidate]]-SamplingData[[#This Row],[Candidate 5]])/(SamplingData[[#Totals],[Winning Candidate]]-SamplingData[[#Totals],[Candidate 5]]), 0)</f>
        <v>4.9622962782777912E-3</v>
      </c>
      <c r="O1777" s="100">
        <f>IF(AND(SamplingData[[#This Row],[Total]]&lt;&gt; 0, NOT(ISBLANK(SamplingData[[#This Row],[Candidate 6]]))),(SamplingData[[#This Row],[Total]]+SamplingData[[#This Row],[Winning Candidate]]-SamplingData[[#This Row],[Candidate 6]])/(SamplingData[[#Totals],[Winning Candidate]]-SamplingData[[#Totals],[Candidate 6]]), 0)</f>
        <v>4.9608482077719953E-3</v>
      </c>
      <c r="P1777" s="100">
        <f>MAX(SamplingData[[#This Row],[Error Bound (up) - Max. possible relative overstatement - Losing Candidate]:[Error Bound (up) - Max. possible relative overstatement - Candidate 6]])</f>
        <v>9.6766291033806955E-3</v>
      </c>
      <c r="Q1777" s="100">
        <f>IF(SamplingData[[#This Row],[Max Error Bound (up)]] = 0,0,SamplingData[[#This Row],[Max Error Bound (up)]]/SamplingData[[#Totals],[Max Error Bound (up)]])</f>
        <v>1.5314858279944414E-3</v>
      </c>
      <c r="R1777" s="101">
        <f>SUM($Q$5:Q1777)</f>
        <v>0.66637402355194064</v>
      </c>
      <c r="S1777" s="100" t="str">
        <f t="array" ref="S1777">IF(SamplingData[[#This Row],[up/U Selection Probability]] = 0, "Zero", TEXT(SamplingData[[#This Row],[Lower Range]], REPT("0",LEN('General Info'!$B$40))) &amp; " - " &amp; TEXT(SamplingData[[#This Row],[Upper Range]], REPT("0",LEN('General Info'!$B$40))))</f>
        <v>66484 - 66636</v>
      </c>
      <c r="T1777" s="100">
        <f>SamplingData[[#This Row],[Upper Range]]-SamplingData[[#This Row],[Span]]</f>
        <v>66484.255303880447</v>
      </c>
      <c r="U1777" s="100">
        <f>IF(ISNUMBER('General Info'!$B$40), ((SamplingData[[#This Row],[up/U Selection Probability]]) * 'General Info'!$B$40) - 1, 0)</f>
        <v>152.14705131361615</v>
      </c>
      <c r="V1777" s="100">
        <f>IF(ISNUMBER('General Info'!$B$40), (SamplingData[[#This Row],[Running (cumulative) sum]] * ('General Info'!$B$40 -'General Info'!$B$41 + 1)) + 'General Info'!$B$41 - 1, 0)</f>
        <v>66636.402355194063</v>
      </c>
      <c r="W1777" s="100" t="str">
        <f>IF(ISERROR(MATCH(SamplingData[[#This Row],[Batch by Type (p)]],SelectedPrecincts[Batch Name], 0)), "", INDEX(SelectedPrecincts[Draw], MATCH(SamplingData[[#This Row],[Batch by Type (p)]],SelectedPrecincts[Batch Name], 0)))</f>
        <v/>
      </c>
      <c r="X1777" s="102">
        <f>IF(COUNTIF(SelectedPrecincts[Batch Name],SamplingData[[#This Row],[Batch by Type (p)]]) &lt;&gt; 0, COUNTIF(SelectedPrecincts[Batch Name],SamplingData[[#This Row],[Batch by Type (p)]]), 0)</f>
        <v>0</v>
      </c>
    </row>
    <row r="1778" spans="1:24" ht="15" customHeight="1">
      <c r="A1778" s="18" t="s">
        <v>1954</v>
      </c>
      <c r="B1778" s="18">
        <v>14</v>
      </c>
      <c r="C1778" s="18">
        <v>30</v>
      </c>
      <c r="D1778" s="18">
        <v>4</v>
      </c>
      <c r="E1778" s="18">
        <v>1</v>
      </c>
      <c r="F1778" s="18">
        <v>0</v>
      </c>
      <c r="G1778" s="18">
        <v>0</v>
      </c>
      <c r="H1778" s="18">
        <v>0</v>
      </c>
      <c r="I1778" s="18">
        <v>0</v>
      </c>
      <c r="J1778" s="99">
        <f>SUM(SamplingData[[#This Row],[Losing Candidate]:[Under Votes]])</f>
        <v>49</v>
      </c>
      <c r="K1778"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1778" s="100">
        <f>IF(AND(SamplingData[[#This Row],[Total]]&lt;&gt; 0, NOT(ISBLANK(SamplingData[[#This Row],[Candidate 3]]))),(SamplingData[[#This Row],[Total]]+SamplingData[[#This Row],[Winning Candidate]]-SamplingData[[#This Row],[Candidate 3]])/(SamplingData[[#Totals],[Winning Candidate]]-SamplingData[[#Totals],[Candidate 3]]), 0)</f>
        <v>2.4195889924831437E-3</v>
      </c>
      <c r="M1778" s="100">
        <f>IF(AND(SamplingData[[#This Row],[Total]]&lt;&gt; 0, NOT(ISBLANK(SamplingData[[#This Row],[Candidate 4]]))),(SamplingData[[#This Row],[Total]]+SamplingData[[#This Row],[Winning Candidate]]-SamplingData[[#This Row],[Candidate 4]])/(SamplingData[[#Totals],[Winning Candidate]]-SamplingData[[#Totals],[Candidate 4]]), 0)</f>
        <v>2.28010172761554E-3</v>
      </c>
      <c r="N1778" s="100">
        <f>IF(AND(SamplingData[[#This Row],[Total]]&lt;&gt; 0, NOT(ISBLANK(SamplingData[[#This Row],[Candidate 5]]))),(SamplingData[[#This Row],[Total]]+SamplingData[[#This Row],[Winning Candidate]]-SamplingData[[#This Row],[Candidate 5]])/(SamplingData[[#Totals],[Winning Candidate]]-SamplingData[[#Totals],[Candidate 5]]), 0)</f>
        <v>1.921673558744831E-3</v>
      </c>
      <c r="O1778" s="100">
        <f>IF(AND(SamplingData[[#This Row],[Total]]&lt;&gt; 0, NOT(ISBLANK(SamplingData[[#This Row],[Candidate 6]]))),(SamplingData[[#This Row],[Total]]+SamplingData[[#This Row],[Winning Candidate]]-SamplingData[[#This Row],[Candidate 6]])/(SamplingData[[#Totals],[Winning Candidate]]-SamplingData[[#Totals],[Candidate 6]]), 0)</f>
        <v>1.9211127863430768E-3</v>
      </c>
      <c r="P1778" s="100">
        <f>MAX(SamplingData[[#This Row],[Error Bound (up) - Max. possible relative overstatement - Losing Candidate]:[Error Bound (up) - Max. possible relative overstatement - Candidate 6]])</f>
        <v>3.9808917197452229E-3</v>
      </c>
      <c r="Q1778" s="100">
        <f>IF(SamplingData[[#This Row],[Max Error Bound (up)]] = 0,0,SamplingData[[#This Row],[Max Error Bound (up)]]/SamplingData[[#Totals],[Max Error Bound (up)]])</f>
        <v>6.3004163809897906E-4</v>
      </c>
      <c r="R1778" s="101">
        <f>SUM($Q$5:Q1778)</f>
        <v>0.66700406519003963</v>
      </c>
      <c r="S1778" s="100" t="str">
        <f t="array" ref="S1778">IF(SamplingData[[#This Row],[up/U Selection Probability]] = 0, "Zero", TEXT(SamplingData[[#This Row],[Lower Range]], REPT("0",LEN('General Info'!$B$40))) &amp; " - " &amp; TEXT(SamplingData[[#This Row],[Upper Range]], REPT("0",LEN('General Info'!$B$40))))</f>
        <v>66637 - 66699</v>
      </c>
      <c r="T1778" s="100">
        <f>SamplingData[[#This Row],[Upper Range]]-SamplingData[[#This Row],[Span]]</f>
        <v>66637.402985235705</v>
      </c>
      <c r="U1778" s="100">
        <f>IF(ISNUMBER('General Info'!$B$40), ((SamplingData[[#This Row],[up/U Selection Probability]]) * 'General Info'!$B$40) - 1, 0)</f>
        <v>62.003533768259807</v>
      </c>
      <c r="V1778" s="100">
        <f>IF(ISNUMBER('General Info'!$B$40), (SamplingData[[#This Row],[Running (cumulative) sum]] * ('General Info'!$B$40 -'General Info'!$B$41 + 1)) + 'General Info'!$B$41 - 1, 0)</f>
        <v>66699.406519003969</v>
      </c>
      <c r="W1778" s="100" t="str">
        <f>IF(ISERROR(MATCH(SamplingData[[#This Row],[Batch by Type (p)]],SelectedPrecincts[Batch Name], 0)), "", INDEX(SelectedPrecincts[Draw], MATCH(SamplingData[[#This Row],[Batch by Type (p)]],SelectedPrecincts[Batch Name], 0)))</f>
        <v/>
      </c>
      <c r="X1778" s="102">
        <f>IF(COUNTIF(SelectedPrecincts[Batch Name],SamplingData[[#This Row],[Batch by Type (p)]]) &lt;&gt; 0, COUNTIF(SelectedPrecincts[Batch Name],SamplingData[[#This Row],[Batch by Type (p)]]), 0)</f>
        <v>0</v>
      </c>
    </row>
    <row r="1779" spans="1:24" ht="15" customHeight="1">
      <c r="A1779" s="18" t="s">
        <v>1955</v>
      </c>
      <c r="B1779" s="18">
        <v>12</v>
      </c>
      <c r="C1779" s="18">
        <v>18</v>
      </c>
      <c r="D1779" s="16">
        <v>4</v>
      </c>
      <c r="E1779" s="16">
        <v>5</v>
      </c>
      <c r="F1779" s="37">
        <v>0</v>
      </c>
      <c r="G1779" s="37">
        <v>0</v>
      </c>
      <c r="H1779" s="17">
        <v>0</v>
      </c>
      <c r="I1779" s="17">
        <v>0</v>
      </c>
      <c r="J1779" s="99">
        <f>SUM(SamplingData[[#This Row],[Losing Candidate]:[Under Votes]])</f>
        <v>39</v>
      </c>
      <c r="K1779"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779" s="100">
        <f>IF(AND(SamplingData[[#This Row],[Total]]&lt;&gt; 0, NOT(ISBLANK(SamplingData[[#This Row],[Candidate 3]]))),(SamplingData[[#This Row],[Total]]+SamplingData[[#This Row],[Winning Candidate]]-SamplingData[[#This Row],[Candidate 3]])/(SamplingData[[#Totals],[Winning Candidate]]-SamplingData[[#Totals],[Candidate 3]]), 0)</f>
        <v>1.7098428880214214E-3</v>
      </c>
      <c r="M1779" s="100">
        <f>IF(AND(SamplingData[[#This Row],[Total]]&lt;&gt; 0, NOT(ISBLANK(SamplingData[[#This Row],[Candidate 4]]))),(SamplingData[[#This Row],[Total]]+SamplingData[[#This Row],[Winning Candidate]]-SamplingData[[#This Row],[Candidate 4]])/(SamplingData[[#Totals],[Winning Candidate]]-SamplingData[[#Totals],[Candidate 4]]), 0)</f>
        <v>1.5200678184103598E-3</v>
      </c>
      <c r="N1779" s="100">
        <f>IF(AND(SamplingData[[#This Row],[Total]]&lt;&gt; 0, NOT(ISBLANK(SamplingData[[#This Row],[Candidate 5]]))),(SamplingData[[#This Row],[Total]]+SamplingData[[#This Row],[Winning Candidate]]-SamplingData[[#This Row],[Candidate 5]])/(SamplingData[[#Totals],[Winning Candidate]]-SamplingData[[#Totals],[Candidate 5]]), 0)</f>
        <v>1.3865239601070299E-3</v>
      </c>
      <c r="O1779" s="100">
        <f>IF(AND(SamplingData[[#This Row],[Total]]&lt;&gt; 0, NOT(ISBLANK(SamplingData[[#This Row],[Candidate 6]]))),(SamplingData[[#This Row],[Total]]+SamplingData[[#This Row],[Winning Candidate]]-SamplingData[[#This Row],[Candidate 6]])/(SamplingData[[#Totals],[Winning Candidate]]-SamplingData[[#Totals],[Candidate 6]]), 0)</f>
        <v>1.3861193521715869E-3</v>
      </c>
      <c r="P1779" s="100">
        <f>MAX(SamplingData[[#This Row],[Error Bound (up) - Max. possible relative overstatement - Losing Candidate]:[Error Bound (up) - Max. possible relative overstatement - Candidate 6]])</f>
        <v>2.7560019598236157E-3</v>
      </c>
      <c r="Q1779" s="100">
        <f>IF(SamplingData[[#This Row],[Max Error Bound (up)]] = 0,0,SamplingData[[#This Row],[Max Error Bound (up)]]/SamplingData[[#Totals],[Max Error Bound (up)]])</f>
        <v>4.3618267253006237E-4</v>
      </c>
      <c r="R1779" s="101">
        <f>SUM($Q$5:Q1779)</f>
        <v>0.66744024786256972</v>
      </c>
      <c r="S1779" s="100" t="str">
        <f t="array" ref="S1779">IF(SamplingData[[#This Row],[up/U Selection Probability]] = 0, "Zero", TEXT(SamplingData[[#This Row],[Lower Range]], REPT("0",LEN('General Info'!$B$40))) &amp; " - " &amp; TEXT(SamplingData[[#This Row],[Upper Range]], REPT("0",LEN('General Info'!$B$40))))</f>
        <v>66700 - 66743</v>
      </c>
      <c r="T1779" s="100">
        <f>SamplingData[[#This Row],[Upper Range]]-SamplingData[[#This Row],[Span]]</f>
        <v>66700.406955186627</v>
      </c>
      <c r="U1779" s="100">
        <f>IF(ISNUMBER('General Info'!$B$40), ((SamplingData[[#This Row],[up/U Selection Probability]]) * 'General Info'!$B$40) - 1, 0)</f>
        <v>42.617831070333708</v>
      </c>
      <c r="V1779" s="100">
        <f>IF(ISNUMBER('General Info'!$B$40), (SamplingData[[#This Row],[Running (cumulative) sum]] * ('General Info'!$B$40 -'General Info'!$B$41 + 1)) + 'General Info'!$B$41 - 1, 0)</f>
        <v>66743.024786256967</v>
      </c>
      <c r="W1779" s="100" t="str">
        <f>IF(ISERROR(MATCH(SamplingData[[#This Row],[Batch by Type (p)]],SelectedPrecincts[Batch Name], 0)), "", INDEX(SelectedPrecincts[Draw], MATCH(SamplingData[[#This Row],[Batch by Type (p)]],SelectedPrecincts[Batch Name], 0)))</f>
        <v/>
      </c>
      <c r="X1779" s="102">
        <f>IF(COUNTIF(SelectedPrecincts[Batch Name],SamplingData[[#This Row],[Batch by Type (p)]]) &lt;&gt; 0, COUNTIF(SelectedPrecincts[Batch Name],SamplingData[[#This Row],[Batch by Type (p)]]), 0)</f>
        <v>0</v>
      </c>
    </row>
    <row r="1780" spans="1:24" ht="15" customHeight="1">
      <c r="A1780" s="18" t="s">
        <v>1956</v>
      </c>
      <c r="B1780" s="18">
        <v>14</v>
      </c>
      <c r="C1780" s="18">
        <v>18</v>
      </c>
      <c r="D1780" s="18">
        <v>4</v>
      </c>
      <c r="E1780" s="18">
        <v>0</v>
      </c>
      <c r="F1780" s="18">
        <v>1</v>
      </c>
      <c r="G1780" s="18">
        <v>0</v>
      </c>
      <c r="H1780" s="18">
        <v>0</v>
      </c>
      <c r="I1780" s="18">
        <v>0</v>
      </c>
      <c r="J1780" s="99">
        <f>SUM(SamplingData[[#This Row],[Losing Candidate]:[Under Votes]])</f>
        <v>37</v>
      </c>
      <c r="K1780" s="100">
        <f>IF(AND(SamplingData[[#This Row],[Total]]&lt;&gt; 0, NOT(ISBLANK(SamplingData[[#This Row],[Losing Candidate]]))),(SamplingData[[#This Row],[Total]]+SamplingData[[#This Row],[Winning Candidate]]-SamplingData[[#This Row],[Losing Candidate]])/(SamplingData[[#Totals],[Winning Candidate]]-SamplingData[[#Totals],[Losing Candidate]]), 0)</f>
        <v>2.5110240078392945E-3</v>
      </c>
      <c r="L1780" s="100">
        <f>IF(AND(SamplingData[[#This Row],[Total]]&lt;&gt; 0, NOT(ISBLANK(SamplingData[[#This Row],[Candidate 3]]))),(SamplingData[[#This Row],[Total]]+SamplingData[[#This Row],[Winning Candidate]]-SamplingData[[#This Row],[Candidate 3]])/(SamplingData[[#Totals],[Winning Candidate]]-SamplingData[[#Totals],[Candidate 3]]), 0)</f>
        <v>1.6453205148885377E-3</v>
      </c>
      <c r="M1780" s="100">
        <f>IF(AND(SamplingData[[#This Row],[Total]]&lt;&gt; 0, NOT(ISBLANK(SamplingData[[#This Row],[Candidate 4]]))),(SamplingData[[#This Row],[Total]]+SamplingData[[#This Row],[Winning Candidate]]-SamplingData[[#This Row],[Candidate 4]])/(SamplingData[[#Totals],[Winning Candidate]]-SamplingData[[#Totals],[Candidate 4]]), 0)</f>
        <v>1.6077640387032652E-3</v>
      </c>
      <c r="N1780" s="100">
        <f>IF(AND(SamplingData[[#This Row],[Total]]&lt;&gt; 0, NOT(ISBLANK(SamplingData[[#This Row],[Candidate 5]]))),(SamplingData[[#This Row],[Total]]+SamplingData[[#This Row],[Winning Candidate]]-SamplingData[[#This Row],[Candidate 5]])/(SamplingData[[#Totals],[Winning Candidate]]-SamplingData[[#Totals],[Candidate 5]]), 0)</f>
        <v>1.3135490148382389E-3</v>
      </c>
      <c r="O1780" s="100">
        <f>IF(AND(SamplingData[[#This Row],[Total]]&lt;&gt; 0, NOT(ISBLANK(SamplingData[[#This Row],[Candidate 6]]))),(SamplingData[[#This Row],[Total]]+SamplingData[[#This Row],[Winning Candidate]]-SamplingData[[#This Row],[Candidate 6]])/(SamplingData[[#Totals],[Winning Candidate]]-SamplingData[[#Totals],[Candidate 6]]), 0)</f>
        <v>1.3374835854287244E-3</v>
      </c>
      <c r="P1780" s="100">
        <f>MAX(SamplingData[[#This Row],[Error Bound (up) - Max. possible relative overstatement - Losing Candidate]:[Error Bound (up) - Max. possible relative overstatement - Candidate 6]])</f>
        <v>2.5110240078392945E-3</v>
      </c>
      <c r="Q1780" s="100">
        <f>IF(SamplingData[[#This Row],[Max Error Bound (up)]] = 0,0,SamplingData[[#This Row],[Max Error Bound (up)]]/SamplingData[[#Totals],[Max Error Bound (up)]])</f>
        <v>3.9741087941627912E-4</v>
      </c>
      <c r="R1780" s="101">
        <f>SUM($Q$5:Q1780)</f>
        <v>0.66783765874198597</v>
      </c>
      <c r="S1780" s="100" t="str">
        <f t="array" ref="S1780">IF(SamplingData[[#This Row],[up/U Selection Probability]] = 0, "Zero", TEXT(SamplingData[[#This Row],[Lower Range]], REPT("0",LEN('General Info'!$B$40))) &amp; " - " &amp; TEXT(SamplingData[[#This Row],[Upper Range]], REPT("0",LEN('General Info'!$B$40))))</f>
        <v>66744 - 66783</v>
      </c>
      <c r="T1780" s="100">
        <f>SamplingData[[#This Row],[Upper Range]]-SamplingData[[#This Row],[Span]]</f>
        <v>66744.025183667851</v>
      </c>
      <c r="U1780" s="100">
        <f>IF(ISNUMBER('General Info'!$B$40), ((SamplingData[[#This Row],[up/U Selection Probability]]) * 'General Info'!$B$40) - 1, 0)</f>
        <v>38.740690530748495</v>
      </c>
      <c r="V1780" s="100">
        <f>IF(ISNUMBER('General Info'!$B$40), (SamplingData[[#This Row],[Running (cumulative) sum]] * ('General Info'!$B$40 -'General Info'!$B$41 + 1)) + 'General Info'!$B$41 - 1, 0)</f>
        <v>66782.765874198594</v>
      </c>
      <c r="W1780" s="100" t="str">
        <f>IF(ISERROR(MATCH(SamplingData[[#This Row],[Batch by Type (p)]],SelectedPrecincts[Batch Name], 0)), "", INDEX(SelectedPrecincts[Draw], MATCH(SamplingData[[#This Row],[Batch by Type (p)]],SelectedPrecincts[Batch Name], 0)))</f>
        <v/>
      </c>
      <c r="X1780" s="102">
        <f>IF(COUNTIF(SelectedPrecincts[Batch Name],SamplingData[[#This Row],[Batch by Type (p)]]) &lt;&gt; 0, COUNTIF(SelectedPrecincts[Batch Name],SamplingData[[#This Row],[Batch by Type (p)]]), 0)</f>
        <v>0</v>
      </c>
    </row>
    <row r="1781" spans="1:24" ht="15" customHeight="1">
      <c r="A1781" s="18" t="s">
        <v>1957</v>
      </c>
      <c r="B1781" s="18">
        <v>40</v>
      </c>
      <c r="C1781" s="18">
        <v>42</v>
      </c>
      <c r="D1781" s="16">
        <v>9</v>
      </c>
      <c r="E1781" s="16">
        <v>18</v>
      </c>
      <c r="F1781" s="37">
        <v>0</v>
      </c>
      <c r="G1781" s="37">
        <v>1</v>
      </c>
      <c r="H1781" s="17">
        <v>1</v>
      </c>
      <c r="I1781" s="17">
        <v>1</v>
      </c>
      <c r="J1781" s="99">
        <f>SUM(SamplingData[[#This Row],[Losing Candidate]:[Under Votes]])</f>
        <v>112</v>
      </c>
      <c r="K1781" s="100">
        <f>IF(AND(SamplingData[[#This Row],[Total]]&lt;&gt; 0, NOT(ISBLANK(SamplingData[[#This Row],[Losing Candidate]]))),(SamplingData[[#This Row],[Total]]+SamplingData[[#This Row],[Winning Candidate]]-SamplingData[[#This Row],[Losing Candidate]])/(SamplingData[[#Totals],[Winning Candidate]]-SamplingData[[#Totals],[Losing Candidate]]), 0)</f>
        <v>6.9818716315531602E-3</v>
      </c>
      <c r="L1781" s="100">
        <f>IF(AND(SamplingData[[#This Row],[Total]]&lt;&gt; 0, NOT(ISBLANK(SamplingData[[#This Row],[Candidate 3]]))),(SamplingData[[#This Row],[Total]]+SamplingData[[#This Row],[Winning Candidate]]-SamplingData[[#This Row],[Candidate 3]])/(SamplingData[[#Totals],[Winning Candidate]]-SamplingData[[#Totals],[Candidate 3]]), 0)</f>
        <v>4.6778720521340779E-3</v>
      </c>
      <c r="M1781" s="100">
        <f>IF(AND(SamplingData[[#This Row],[Total]]&lt;&gt; 0, NOT(ISBLANK(SamplingData[[#This Row],[Candidate 4]]))),(SamplingData[[#This Row],[Total]]+SamplingData[[#This Row],[Winning Candidate]]-SamplingData[[#This Row],[Candidate 4]])/(SamplingData[[#Totals],[Winning Candidate]]-SamplingData[[#Totals],[Candidate 4]]), 0)</f>
        <v>3.9755619866117106E-3</v>
      </c>
      <c r="N1781" s="100">
        <f>IF(AND(SamplingData[[#This Row],[Total]]&lt;&gt; 0, NOT(ISBLANK(SamplingData[[#This Row],[Candidate 5]]))),(SamplingData[[#This Row],[Total]]+SamplingData[[#This Row],[Winning Candidate]]-SamplingData[[#This Row],[Candidate 5]])/(SamplingData[[#Totals],[Winning Candidate]]-SamplingData[[#Totals],[Candidate 5]]), 0)</f>
        <v>3.7460471904646069E-3</v>
      </c>
      <c r="O1781" s="100">
        <f>IF(AND(SamplingData[[#This Row],[Total]]&lt;&gt; 0, NOT(ISBLANK(SamplingData[[#This Row],[Candidate 6]]))),(SamplingData[[#This Row],[Total]]+SamplingData[[#This Row],[Winning Candidate]]-SamplingData[[#This Row],[Candidate 6]])/(SamplingData[[#Totals],[Winning Candidate]]-SamplingData[[#Totals],[Candidate 6]]), 0)</f>
        <v>3.7206361558289967E-3</v>
      </c>
      <c r="P1781" s="100">
        <f>MAX(SamplingData[[#This Row],[Error Bound (up) - Max. possible relative overstatement - Losing Candidate]:[Error Bound (up) - Max. possible relative overstatement - Candidate 6]])</f>
        <v>6.9818716315531602E-3</v>
      </c>
      <c r="Q1781" s="100">
        <f>IF(SamplingData[[#This Row],[Max Error Bound (up)]] = 0,0,SamplingData[[#This Row],[Max Error Bound (up)]]/SamplingData[[#Totals],[Max Error Bound (up)]])</f>
        <v>1.1049961037428249E-3</v>
      </c>
      <c r="R1781" s="101">
        <f>SUM($Q$5:Q1781)</f>
        <v>0.66894265484572879</v>
      </c>
      <c r="S1781" s="100" t="str">
        <f t="array" ref="S1781">IF(SamplingData[[#This Row],[up/U Selection Probability]] = 0, "Zero", TEXT(SamplingData[[#This Row],[Lower Range]], REPT("0",LEN('General Info'!$B$40))) &amp; " - " &amp; TEXT(SamplingData[[#This Row],[Upper Range]], REPT("0",LEN('General Info'!$B$40))))</f>
        <v>66784 - 66893</v>
      </c>
      <c r="T1781" s="100">
        <f>SamplingData[[#This Row],[Upper Range]]-SamplingData[[#This Row],[Span]]</f>
        <v>66783.766979194697</v>
      </c>
      <c r="U1781" s="100">
        <f>IF(ISNUMBER('General Info'!$B$40), ((SamplingData[[#This Row],[up/U Selection Probability]]) * 'General Info'!$B$40) - 1, 0)</f>
        <v>109.49850537817875</v>
      </c>
      <c r="V1781" s="100">
        <f>IF(ISNUMBER('General Info'!$B$40), (SamplingData[[#This Row],[Running (cumulative) sum]] * ('General Info'!$B$40 -'General Info'!$B$41 + 1)) + 'General Info'!$B$41 - 1, 0)</f>
        <v>66893.265484572883</v>
      </c>
      <c r="W1781" s="100" t="str">
        <f>IF(ISERROR(MATCH(SamplingData[[#This Row],[Batch by Type (p)]],SelectedPrecincts[Batch Name], 0)), "", INDEX(SelectedPrecincts[Draw], MATCH(SamplingData[[#This Row],[Batch by Type (p)]],SelectedPrecincts[Batch Name], 0)))</f>
        <v/>
      </c>
      <c r="X1781" s="102">
        <f>IF(COUNTIF(SelectedPrecincts[Batch Name],SamplingData[[#This Row],[Batch by Type (p)]]) &lt;&gt; 0, COUNTIF(SelectedPrecincts[Batch Name],SamplingData[[#This Row],[Batch by Type (p)]]), 0)</f>
        <v>0</v>
      </c>
    </row>
    <row r="1782" spans="1:24" ht="15" customHeight="1">
      <c r="A1782" s="18" t="s">
        <v>1958</v>
      </c>
      <c r="B1782" s="18">
        <v>15</v>
      </c>
      <c r="C1782" s="18">
        <v>16</v>
      </c>
      <c r="D1782" s="18">
        <v>1</v>
      </c>
      <c r="E1782" s="18">
        <v>0</v>
      </c>
      <c r="F1782" s="18">
        <v>0</v>
      </c>
      <c r="G1782" s="18">
        <v>0</v>
      </c>
      <c r="H1782" s="18">
        <v>0</v>
      </c>
      <c r="I1782" s="18">
        <v>0</v>
      </c>
      <c r="J1782" s="99">
        <f>SUM(SamplingData[[#This Row],[Losing Candidate]:[Under Votes]])</f>
        <v>32</v>
      </c>
      <c r="K1782" s="100">
        <f>IF(AND(SamplingData[[#This Row],[Total]]&lt;&gt; 0, NOT(ISBLANK(SamplingData[[#This Row],[Losing Candidate]]))),(SamplingData[[#This Row],[Total]]+SamplingData[[#This Row],[Winning Candidate]]-SamplingData[[#This Row],[Losing Candidate]])/(SamplingData[[#Totals],[Winning Candidate]]-SamplingData[[#Totals],[Losing Candidate]]), 0)</f>
        <v>2.0210681038706517E-3</v>
      </c>
      <c r="L1782" s="100">
        <f>IF(AND(SamplingData[[#This Row],[Total]]&lt;&gt; 0, NOT(ISBLANK(SamplingData[[#This Row],[Candidate 3]]))),(SamplingData[[#This Row],[Total]]+SamplingData[[#This Row],[Winning Candidate]]-SamplingData[[#This Row],[Candidate 3]])/(SamplingData[[#Totals],[Winning Candidate]]-SamplingData[[#Totals],[Candidate 3]]), 0)</f>
        <v>1.5162757686227699E-3</v>
      </c>
      <c r="M1782" s="100">
        <f>IF(AND(SamplingData[[#This Row],[Total]]&lt;&gt; 0, NOT(ISBLANK(SamplingData[[#This Row],[Candidate 4]]))),(SamplingData[[#This Row],[Total]]+SamplingData[[#This Row],[Winning Candidate]]-SamplingData[[#This Row],[Candidate 4]])/(SamplingData[[#Totals],[Winning Candidate]]-SamplingData[[#Totals],[Candidate 4]]), 0)</f>
        <v>1.403139524686486E-3</v>
      </c>
      <c r="N1782" s="100">
        <f>IF(AND(SamplingData[[#This Row],[Total]]&lt;&gt; 0, NOT(ISBLANK(SamplingData[[#This Row],[Candidate 5]]))),(SamplingData[[#This Row],[Total]]+SamplingData[[#This Row],[Winning Candidate]]-SamplingData[[#This Row],[Candidate 5]])/(SamplingData[[#Totals],[Winning Candidate]]-SamplingData[[#Totals],[Candidate 5]]), 0)</f>
        <v>1.1675991243006569E-3</v>
      </c>
      <c r="O1782" s="100">
        <f>IF(AND(SamplingData[[#This Row],[Total]]&lt;&gt; 0, NOT(ISBLANK(SamplingData[[#This Row],[Candidate 6]]))),(SamplingData[[#This Row],[Total]]+SamplingData[[#This Row],[Winning Candidate]]-SamplingData[[#This Row],[Candidate 6]])/(SamplingData[[#Totals],[Winning Candidate]]-SamplingData[[#Totals],[Candidate 6]]), 0)</f>
        <v>1.1672584018287049E-3</v>
      </c>
      <c r="P1782" s="100">
        <f>MAX(SamplingData[[#This Row],[Error Bound (up) - Max. possible relative overstatement - Losing Candidate]:[Error Bound (up) - Max. possible relative overstatement - Candidate 6]])</f>
        <v>2.0210681038706517E-3</v>
      </c>
      <c r="Q1782" s="100">
        <f>IF(SamplingData[[#This Row],[Max Error Bound (up)]] = 0,0,SamplingData[[#This Row],[Max Error Bound (up)]]/SamplingData[[#Totals],[Max Error Bound (up)]])</f>
        <v>3.1986729318871245E-4</v>
      </c>
      <c r="R1782" s="101">
        <f>SUM($Q$5:Q1782)</f>
        <v>0.66926252213891746</v>
      </c>
      <c r="S1782" s="100" t="str">
        <f t="array" ref="S1782">IF(SamplingData[[#This Row],[up/U Selection Probability]] = 0, "Zero", TEXT(SamplingData[[#This Row],[Lower Range]], REPT("0",LEN('General Info'!$B$40))) &amp; " - " &amp; TEXT(SamplingData[[#This Row],[Upper Range]], REPT("0",LEN('General Info'!$B$40))))</f>
        <v>66894 - 66925</v>
      </c>
      <c r="T1782" s="100">
        <f>SamplingData[[#This Row],[Upper Range]]-SamplingData[[#This Row],[Span]]</f>
        <v>66894.265804440161</v>
      </c>
      <c r="U1782" s="100">
        <f>IF(ISNUMBER('General Info'!$B$40), ((SamplingData[[#This Row],[up/U Selection Probability]]) * 'General Info'!$B$40) - 1, 0)</f>
        <v>30.986409451578055</v>
      </c>
      <c r="V1782" s="100">
        <f>IF(ISNUMBER('General Info'!$B$40), (SamplingData[[#This Row],[Running (cumulative) sum]] * ('General Info'!$B$40 -'General Info'!$B$41 + 1)) + 'General Info'!$B$41 - 1, 0)</f>
        <v>66925.252213891741</v>
      </c>
      <c r="W1782" s="100" t="str">
        <f>IF(ISERROR(MATCH(SamplingData[[#This Row],[Batch by Type (p)]],SelectedPrecincts[Batch Name], 0)), "", INDEX(SelectedPrecincts[Draw], MATCH(SamplingData[[#This Row],[Batch by Type (p)]],SelectedPrecincts[Batch Name], 0)))</f>
        <v/>
      </c>
      <c r="X1782" s="102">
        <f>IF(COUNTIF(SelectedPrecincts[Batch Name],SamplingData[[#This Row],[Batch by Type (p)]]) &lt;&gt; 0, COUNTIF(SelectedPrecincts[Batch Name],SamplingData[[#This Row],[Batch by Type (p)]]), 0)</f>
        <v>0</v>
      </c>
    </row>
    <row r="1783" spans="1:24" ht="15" customHeight="1">
      <c r="A1783" s="18" t="s">
        <v>1959</v>
      </c>
      <c r="B1783" s="18">
        <v>51</v>
      </c>
      <c r="C1783" s="18">
        <v>51</v>
      </c>
      <c r="D1783" s="16">
        <v>33</v>
      </c>
      <c r="E1783" s="16">
        <v>8</v>
      </c>
      <c r="F1783" s="37">
        <v>0</v>
      </c>
      <c r="G1783" s="37">
        <v>1</v>
      </c>
      <c r="H1783" s="17">
        <v>0</v>
      </c>
      <c r="I1783" s="17">
        <v>3</v>
      </c>
      <c r="J1783" s="99">
        <f>SUM(SamplingData[[#This Row],[Losing Candidate]:[Under Votes]])</f>
        <v>147</v>
      </c>
      <c r="K1783" s="100">
        <f>IF(AND(SamplingData[[#This Row],[Total]]&lt;&gt; 0, NOT(ISBLANK(SamplingData[[#This Row],[Losing Candidate]]))),(SamplingData[[#This Row],[Total]]+SamplingData[[#This Row],[Winning Candidate]]-SamplingData[[#This Row],[Losing Candidate]])/(SamplingData[[#Totals],[Winning Candidate]]-SamplingData[[#Totals],[Losing Candidate]]), 0)</f>
        <v>9.0029397354238119E-3</v>
      </c>
      <c r="L1783" s="100">
        <f>IF(AND(SamplingData[[#This Row],[Total]]&lt;&gt; 0, NOT(ISBLANK(SamplingData[[#This Row],[Candidate 3]]))),(SamplingData[[#This Row],[Total]]+SamplingData[[#This Row],[Winning Candidate]]-SamplingData[[#This Row],[Candidate 3]])/(SamplingData[[#Totals],[Winning Candidate]]-SamplingData[[#Totals],[Candidate 3]]), 0)</f>
        <v>5.323095783462916E-3</v>
      </c>
      <c r="M1783" s="100">
        <f>IF(AND(SamplingData[[#This Row],[Total]]&lt;&gt; 0, NOT(ISBLANK(SamplingData[[#This Row],[Candidate 4]]))),(SamplingData[[#This Row],[Total]]+SamplingData[[#This Row],[Winning Candidate]]-SamplingData[[#This Row],[Candidate 4]])/(SamplingData[[#Totals],[Winning Candidate]]-SamplingData[[#Totals],[Candidate 4]]), 0)</f>
        <v>5.5540939518840069E-3</v>
      </c>
      <c r="N1783" s="100">
        <f>IF(AND(SamplingData[[#This Row],[Total]]&lt;&gt; 0, NOT(ISBLANK(SamplingData[[#This Row],[Candidate 5]]))),(SamplingData[[#This Row],[Total]]+SamplingData[[#This Row],[Winning Candidate]]-SamplingData[[#This Row],[Candidate 5]])/(SamplingData[[#Totals],[Winning Candidate]]-SamplingData[[#Totals],[Candidate 5]]), 0)</f>
        <v>4.8163463877402089E-3</v>
      </c>
      <c r="O1783" s="100">
        <f>IF(AND(SamplingData[[#This Row],[Total]]&lt;&gt; 0, NOT(ISBLANK(SamplingData[[#This Row],[Candidate 6]]))),(SamplingData[[#This Row],[Total]]+SamplingData[[#This Row],[Winning Candidate]]-SamplingData[[#This Row],[Candidate 6]])/(SamplingData[[#Totals],[Winning Candidate]]-SamplingData[[#Totals],[Candidate 6]]), 0)</f>
        <v>4.790623024171976E-3</v>
      </c>
      <c r="P1783" s="100">
        <f>MAX(SamplingData[[#This Row],[Error Bound (up) - Max. possible relative overstatement - Losing Candidate]:[Error Bound (up) - Max. possible relative overstatement - Candidate 6]])</f>
        <v>9.0029397354238119E-3</v>
      </c>
      <c r="Q1783" s="100">
        <f>IF(SamplingData[[#This Row],[Max Error Bound (up)]] = 0,0,SamplingData[[#This Row],[Max Error Bound (up)]]/SamplingData[[#Totals],[Max Error Bound (up)]])</f>
        <v>1.4248633969315373E-3</v>
      </c>
      <c r="R1783" s="101">
        <f>SUM($Q$5:Q1783)</f>
        <v>0.67068738553584895</v>
      </c>
      <c r="S1783" s="100" t="str">
        <f t="array" ref="S1783">IF(SamplingData[[#This Row],[up/U Selection Probability]] = 0, "Zero", TEXT(SamplingData[[#This Row],[Lower Range]], REPT("0",LEN('General Info'!$B$40))) &amp; " - " &amp; TEXT(SamplingData[[#This Row],[Upper Range]], REPT("0",LEN('General Info'!$B$40))))</f>
        <v>66926 - 67068</v>
      </c>
      <c r="T1783" s="100">
        <f>SamplingData[[#This Row],[Upper Range]]-SamplingData[[#This Row],[Span]]</f>
        <v>66926.253638755137</v>
      </c>
      <c r="U1783" s="100">
        <f>IF(ISNUMBER('General Info'!$B$40), ((SamplingData[[#This Row],[up/U Selection Probability]]) * 'General Info'!$B$40) - 1, 0)</f>
        <v>141.4849148297568</v>
      </c>
      <c r="V1783" s="100">
        <f>IF(ISNUMBER('General Info'!$B$40), (SamplingData[[#This Row],[Running (cumulative) sum]] * ('General Info'!$B$40 -'General Info'!$B$41 + 1)) + 'General Info'!$B$41 - 1, 0)</f>
        <v>67067.738553584888</v>
      </c>
      <c r="W1783" s="100" t="str">
        <f>IF(ISERROR(MATCH(SamplingData[[#This Row],[Batch by Type (p)]],SelectedPrecincts[Batch Name], 0)), "", INDEX(SelectedPrecincts[Draw], MATCH(SamplingData[[#This Row],[Batch by Type (p)]],SelectedPrecincts[Batch Name], 0)))</f>
        <v/>
      </c>
      <c r="X1783" s="102">
        <f>IF(COUNTIF(SelectedPrecincts[Batch Name],SamplingData[[#This Row],[Batch by Type (p)]]) &lt;&gt; 0, COUNTIF(SelectedPrecincts[Batch Name],SamplingData[[#This Row],[Batch by Type (p)]]), 0)</f>
        <v>0</v>
      </c>
    </row>
    <row r="1784" spans="1:24" ht="15" customHeight="1">
      <c r="A1784" s="18" t="s">
        <v>1960</v>
      </c>
      <c r="B1784" s="18">
        <v>16</v>
      </c>
      <c r="C1784" s="18">
        <v>14</v>
      </c>
      <c r="D1784" s="18">
        <v>4</v>
      </c>
      <c r="E1784" s="18">
        <v>1</v>
      </c>
      <c r="F1784" s="18">
        <v>0</v>
      </c>
      <c r="G1784" s="18">
        <v>0</v>
      </c>
      <c r="H1784" s="18">
        <v>0</v>
      </c>
      <c r="I1784" s="18">
        <v>2</v>
      </c>
      <c r="J1784" s="99">
        <f>SUM(SamplingData[[#This Row],[Losing Candidate]:[Under Votes]])</f>
        <v>37</v>
      </c>
      <c r="K1784" s="100">
        <f>IF(AND(SamplingData[[#This Row],[Total]]&lt;&gt; 0, NOT(ISBLANK(SamplingData[[#This Row],[Losing Candidate]]))),(SamplingData[[#This Row],[Total]]+SamplingData[[#This Row],[Winning Candidate]]-SamplingData[[#This Row],[Losing Candidate]])/(SamplingData[[#Totals],[Winning Candidate]]-SamplingData[[#Totals],[Losing Candidate]]), 0)</f>
        <v>2.1435570798628125E-3</v>
      </c>
      <c r="L1784" s="100">
        <f>IF(AND(SamplingData[[#This Row],[Total]]&lt;&gt; 0, NOT(ISBLANK(SamplingData[[#This Row],[Candidate 3]]))),(SamplingData[[#This Row],[Total]]+SamplingData[[#This Row],[Winning Candidate]]-SamplingData[[#This Row],[Candidate 3]])/(SamplingData[[#Totals],[Winning Candidate]]-SamplingData[[#Totals],[Candidate 3]]), 0)</f>
        <v>1.5162757686227699E-3</v>
      </c>
      <c r="M1784" s="100">
        <f>IF(AND(SamplingData[[#This Row],[Total]]&lt;&gt; 0, NOT(ISBLANK(SamplingData[[#This Row],[Candidate 4]]))),(SamplingData[[#This Row],[Total]]+SamplingData[[#This Row],[Winning Candidate]]-SamplingData[[#This Row],[Candidate 4]])/(SamplingData[[#Totals],[Winning Candidate]]-SamplingData[[#Totals],[Candidate 4]]), 0)</f>
        <v>1.4616036715484229E-3</v>
      </c>
      <c r="N1784" s="100">
        <f>IF(AND(SamplingData[[#This Row],[Total]]&lt;&gt; 0, NOT(ISBLANK(SamplingData[[#This Row],[Candidate 5]]))),(SamplingData[[#This Row],[Total]]+SamplingData[[#This Row],[Winning Candidate]]-SamplingData[[#This Row],[Candidate 5]])/(SamplingData[[#Totals],[Winning Candidate]]-SamplingData[[#Totals],[Candidate 5]]), 0)</f>
        <v>1.2405740695694478E-3</v>
      </c>
      <c r="O1784" s="100">
        <f>IF(AND(SamplingData[[#This Row],[Total]]&lt;&gt; 0, NOT(ISBLANK(SamplingData[[#This Row],[Candidate 6]]))),(SamplingData[[#This Row],[Total]]+SamplingData[[#This Row],[Winning Candidate]]-SamplingData[[#This Row],[Candidate 6]])/(SamplingData[[#Totals],[Winning Candidate]]-SamplingData[[#Totals],[Candidate 6]]), 0)</f>
        <v>1.2402120519429988E-3</v>
      </c>
      <c r="P1784" s="100">
        <f>MAX(SamplingData[[#This Row],[Error Bound (up) - Max. possible relative overstatement - Losing Candidate]:[Error Bound (up) - Max. possible relative overstatement - Candidate 6]])</f>
        <v>2.1435570798628125E-3</v>
      </c>
      <c r="Q1784" s="100">
        <f>IF(SamplingData[[#This Row],[Max Error Bound (up)]] = 0,0,SamplingData[[#This Row],[Max Error Bound (up)]]/SamplingData[[#Totals],[Max Error Bound (up)]])</f>
        <v>3.3925318974560413E-4</v>
      </c>
      <c r="R1784" s="101">
        <f>SUM($Q$5:Q1784)</f>
        <v>0.67102663872559454</v>
      </c>
      <c r="S1784" s="100" t="str">
        <f t="array" ref="S1784">IF(SamplingData[[#This Row],[up/U Selection Probability]] = 0, "Zero", TEXT(SamplingData[[#This Row],[Lower Range]], REPT("0",LEN('General Info'!$B$40))) &amp; " - " &amp; TEXT(SamplingData[[#This Row],[Upper Range]], REPT("0",LEN('General Info'!$B$40))))</f>
        <v>67069 - 67102</v>
      </c>
      <c r="T1784" s="100">
        <f>SamplingData[[#This Row],[Upper Range]]-SamplingData[[#This Row],[Span]]</f>
        <v>67068.738892838082</v>
      </c>
      <c r="U1784" s="100">
        <f>IF(ISNUMBER('General Info'!$B$40), ((SamplingData[[#This Row],[up/U Selection Probability]]) * 'General Info'!$B$40) - 1, 0)</f>
        <v>32.924979721370669</v>
      </c>
      <c r="V1784" s="100">
        <f>IF(ISNUMBER('General Info'!$B$40), (SamplingData[[#This Row],[Running (cumulative) sum]] * ('General Info'!$B$40 -'General Info'!$B$41 + 1)) + 'General Info'!$B$41 - 1, 0)</f>
        <v>67101.663872559453</v>
      </c>
      <c r="W1784" s="100" t="str">
        <f>IF(ISERROR(MATCH(SamplingData[[#This Row],[Batch by Type (p)]],SelectedPrecincts[Batch Name], 0)), "", INDEX(SelectedPrecincts[Draw], MATCH(SamplingData[[#This Row],[Batch by Type (p)]],SelectedPrecincts[Batch Name], 0)))</f>
        <v/>
      </c>
      <c r="X1784" s="102">
        <f>IF(COUNTIF(SelectedPrecincts[Batch Name],SamplingData[[#This Row],[Batch by Type (p)]]) &lt;&gt; 0, COUNTIF(SelectedPrecincts[Batch Name],SamplingData[[#This Row],[Batch by Type (p)]]), 0)</f>
        <v>0</v>
      </c>
    </row>
    <row r="1785" spans="1:24" ht="15" customHeight="1">
      <c r="A1785" s="18" t="s">
        <v>1961</v>
      </c>
      <c r="B1785" s="18">
        <v>17</v>
      </c>
      <c r="C1785" s="18">
        <v>13</v>
      </c>
      <c r="D1785" s="16">
        <v>8</v>
      </c>
      <c r="E1785" s="16">
        <v>4</v>
      </c>
      <c r="F1785" s="37">
        <v>0</v>
      </c>
      <c r="G1785" s="37">
        <v>0</v>
      </c>
      <c r="H1785" s="17">
        <v>0</v>
      </c>
      <c r="I1785" s="17">
        <v>0</v>
      </c>
      <c r="J1785" s="99">
        <f>SUM(SamplingData[[#This Row],[Losing Candidate]:[Under Votes]])</f>
        <v>42</v>
      </c>
      <c r="K1785"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1785" s="100">
        <f>IF(AND(SamplingData[[#This Row],[Total]]&lt;&gt; 0, NOT(ISBLANK(SamplingData[[#This Row],[Candidate 3]]))),(SamplingData[[#This Row],[Total]]+SamplingData[[#This Row],[Winning Candidate]]-SamplingData[[#This Row],[Candidate 3]])/(SamplingData[[#Totals],[Winning Candidate]]-SamplingData[[#Totals],[Candidate 3]]), 0)</f>
        <v>1.5162757686227699E-3</v>
      </c>
      <c r="M1785" s="100">
        <f>IF(AND(SamplingData[[#This Row],[Total]]&lt;&gt; 0, NOT(ISBLANK(SamplingData[[#This Row],[Candidate 4]]))),(SamplingData[[#This Row],[Total]]+SamplingData[[#This Row],[Winning Candidate]]-SamplingData[[#This Row],[Candidate 4]])/(SamplingData[[#Totals],[Winning Candidate]]-SamplingData[[#Totals],[Candidate 4]]), 0)</f>
        <v>1.4908357449793914E-3</v>
      </c>
      <c r="N1785" s="100">
        <f>IF(AND(SamplingData[[#This Row],[Total]]&lt;&gt; 0, NOT(ISBLANK(SamplingData[[#This Row],[Candidate 5]]))),(SamplingData[[#This Row],[Total]]+SamplingData[[#This Row],[Winning Candidate]]-SamplingData[[#This Row],[Candidate 5]])/(SamplingData[[#Totals],[Winning Candidate]]-SamplingData[[#Totals],[Candidate 5]]), 0)</f>
        <v>1.3378739965945025E-3</v>
      </c>
      <c r="O1785" s="100">
        <f>IF(AND(SamplingData[[#This Row],[Total]]&lt;&gt; 0, NOT(ISBLANK(SamplingData[[#This Row],[Candidate 6]]))),(SamplingData[[#This Row],[Total]]+SamplingData[[#This Row],[Winning Candidate]]-SamplingData[[#This Row],[Candidate 6]])/(SamplingData[[#Totals],[Winning Candidate]]-SamplingData[[#Totals],[Candidate 6]]), 0)</f>
        <v>1.3374835854287244E-3</v>
      </c>
      <c r="P1785" s="100">
        <f>MAX(SamplingData[[#This Row],[Error Bound (up) - Max. possible relative overstatement - Losing Candidate]:[Error Bound (up) - Max. possible relative overstatement - Candidate 6]])</f>
        <v>2.3272905438510533E-3</v>
      </c>
      <c r="Q1785" s="100">
        <f>IF(SamplingData[[#This Row],[Max Error Bound (up)]] = 0,0,SamplingData[[#This Row],[Max Error Bound (up)]]/SamplingData[[#Totals],[Max Error Bound (up)]])</f>
        <v>3.683320345809416E-4</v>
      </c>
      <c r="R1785" s="101">
        <f>SUM($Q$5:Q1785)</f>
        <v>0.67139497076017551</v>
      </c>
      <c r="S1785" s="100" t="str">
        <f t="array" ref="S1785">IF(SamplingData[[#This Row],[up/U Selection Probability]] = 0, "Zero", TEXT(SamplingData[[#This Row],[Lower Range]], REPT("0",LEN('General Info'!$B$40))) &amp; " - " &amp; TEXT(SamplingData[[#This Row],[Upper Range]], REPT("0",LEN('General Info'!$B$40))))</f>
        <v>67103 - 67138</v>
      </c>
      <c r="T1785" s="100">
        <f>SamplingData[[#This Row],[Upper Range]]-SamplingData[[#This Row],[Span]]</f>
        <v>67102.664240891492</v>
      </c>
      <c r="U1785" s="100">
        <f>IF(ISNUMBER('General Info'!$B$40), ((SamplingData[[#This Row],[up/U Selection Probability]]) * 'General Info'!$B$40) - 1, 0)</f>
        <v>35.832835126059578</v>
      </c>
      <c r="V1785" s="100">
        <f>IF(ISNUMBER('General Info'!$B$40), (SamplingData[[#This Row],[Running (cumulative) sum]] * ('General Info'!$B$40 -'General Info'!$B$41 + 1)) + 'General Info'!$B$41 - 1, 0)</f>
        <v>67138.497076017549</v>
      </c>
      <c r="W1785" s="100" t="str">
        <f>IF(ISERROR(MATCH(SamplingData[[#This Row],[Batch by Type (p)]],SelectedPrecincts[Batch Name], 0)), "", INDEX(SelectedPrecincts[Draw], MATCH(SamplingData[[#This Row],[Batch by Type (p)]],SelectedPrecincts[Batch Name], 0)))</f>
        <v/>
      </c>
      <c r="X1785" s="102">
        <f>IF(COUNTIF(SelectedPrecincts[Batch Name],SamplingData[[#This Row],[Batch by Type (p)]]) &lt;&gt; 0, COUNTIF(SelectedPrecincts[Batch Name],SamplingData[[#This Row],[Batch by Type (p)]]), 0)</f>
        <v>0</v>
      </c>
    </row>
    <row r="1786" spans="1:24" ht="15" customHeight="1">
      <c r="A1786" s="18" t="s">
        <v>1962</v>
      </c>
      <c r="B1786" s="18">
        <v>3</v>
      </c>
      <c r="C1786" s="18">
        <v>4</v>
      </c>
      <c r="D1786" s="18">
        <v>2</v>
      </c>
      <c r="E1786" s="18">
        <v>0</v>
      </c>
      <c r="F1786" s="18">
        <v>0</v>
      </c>
      <c r="G1786" s="18">
        <v>0</v>
      </c>
      <c r="H1786" s="18">
        <v>0</v>
      </c>
      <c r="I1786" s="18">
        <v>0</v>
      </c>
      <c r="J1786" s="99">
        <f>SUM(SamplingData[[#This Row],[Losing Candidate]:[Under Votes]])</f>
        <v>9</v>
      </c>
      <c r="K178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1786" s="100">
        <f>IF(AND(SamplingData[[#This Row],[Total]]&lt;&gt; 0, NOT(ISBLANK(SamplingData[[#This Row],[Candidate 3]]))),(SamplingData[[#This Row],[Total]]+SamplingData[[#This Row],[Winning Candidate]]-SamplingData[[#This Row],[Candidate 3]])/(SamplingData[[#Totals],[Winning Candidate]]-SamplingData[[#Totals],[Candidate 3]]), 0)</f>
        <v>3.5487305223086104E-4</v>
      </c>
      <c r="M1786" s="100">
        <f>IF(AND(SamplingData[[#This Row],[Total]]&lt;&gt; 0, NOT(ISBLANK(SamplingData[[#This Row],[Candidate 4]]))),(SamplingData[[#This Row],[Total]]+SamplingData[[#This Row],[Winning Candidate]]-SamplingData[[#This Row],[Candidate 4]])/(SamplingData[[#Totals],[Winning Candidate]]-SamplingData[[#Totals],[Candidate 4]]), 0)</f>
        <v>3.8001695460258996E-4</v>
      </c>
      <c r="N1786" s="100">
        <f>IF(AND(SamplingData[[#This Row],[Total]]&lt;&gt; 0, NOT(ISBLANK(SamplingData[[#This Row],[Candidate 5]]))),(SamplingData[[#This Row],[Total]]+SamplingData[[#This Row],[Winning Candidate]]-SamplingData[[#This Row],[Candidate 5]])/(SamplingData[[#Totals],[Winning Candidate]]-SamplingData[[#Totals],[Candidate 5]]), 0)</f>
        <v>3.1622476283142789E-4</v>
      </c>
      <c r="O1786" s="100">
        <f>IF(AND(SamplingData[[#This Row],[Total]]&lt;&gt; 0, NOT(ISBLANK(SamplingData[[#This Row],[Candidate 6]]))),(SamplingData[[#This Row],[Total]]+SamplingData[[#This Row],[Winning Candidate]]-SamplingData[[#This Row],[Candidate 6]])/(SamplingData[[#Totals],[Winning Candidate]]-SamplingData[[#Totals],[Candidate 6]]), 0)</f>
        <v>3.1613248382860755E-4</v>
      </c>
      <c r="P1786" s="100">
        <f>MAX(SamplingData[[#This Row],[Error Bound (up) - Max. possible relative overstatement - Losing Candidate]:[Error Bound (up) - Max. possible relative overstatement - Candidate 6]])</f>
        <v>6.1244487996080352E-4</v>
      </c>
      <c r="Q1786" s="100">
        <f>IF(SamplingData[[#This Row],[Max Error Bound (up)]] = 0,0,SamplingData[[#This Row],[Max Error Bound (up)]]/SamplingData[[#Totals],[Max Error Bound (up)]])</f>
        <v>9.6929482784458319E-5</v>
      </c>
      <c r="R1786" s="101">
        <f>SUM($Q$5:Q1786)</f>
        <v>0.67149190024296002</v>
      </c>
      <c r="S1786" s="100" t="str">
        <f t="array" ref="S1786">IF(SamplingData[[#This Row],[up/U Selection Probability]] = 0, "Zero", TEXT(SamplingData[[#This Row],[Lower Range]], REPT("0",LEN('General Info'!$B$40))) &amp; " - " &amp; TEXT(SamplingData[[#This Row],[Upper Range]], REPT("0",LEN('General Info'!$B$40))))</f>
        <v>67139 - 67148</v>
      </c>
      <c r="T1786" s="100">
        <f>SamplingData[[#This Row],[Upper Range]]-SamplingData[[#This Row],[Span]]</f>
        <v>67139.497172947027</v>
      </c>
      <c r="U1786" s="100">
        <f>IF(ISNUMBER('General Info'!$B$40), ((SamplingData[[#This Row],[up/U Selection Probability]]) * 'General Info'!$B$40) - 1, 0)</f>
        <v>8.6928513489630479</v>
      </c>
      <c r="V1786" s="100">
        <f>IF(ISNUMBER('General Info'!$B$40), (SamplingData[[#This Row],[Running (cumulative) sum]] * ('General Info'!$B$40 -'General Info'!$B$41 + 1)) + 'General Info'!$B$41 - 1, 0)</f>
        <v>67148.190024295996</v>
      </c>
      <c r="W1786" s="100" t="str">
        <f>IF(ISERROR(MATCH(SamplingData[[#This Row],[Batch by Type (p)]],SelectedPrecincts[Batch Name], 0)), "", INDEX(SelectedPrecincts[Draw], MATCH(SamplingData[[#This Row],[Batch by Type (p)]],SelectedPrecincts[Batch Name], 0)))</f>
        <v/>
      </c>
      <c r="X1786" s="102">
        <f>IF(COUNTIF(SelectedPrecincts[Batch Name],SamplingData[[#This Row],[Batch by Type (p)]]) &lt;&gt; 0, COUNTIF(SelectedPrecincts[Batch Name],SamplingData[[#This Row],[Batch by Type (p)]]), 0)</f>
        <v>0</v>
      </c>
    </row>
    <row r="1787" spans="1:24" ht="15" customHeight="1">
      <c r="A1787" s="18" t="s">
        <v>1963</v>
      </c>
      <c r="B1787" s="18">
        <v>25</v>
      </c>
      <c r="C1787" s="18">
        <v>57</v>
      </c>
      <c r="D1787" s="16">
        <v>6</v>
      </c>
      <c r="E1787" s="16">
        <v>13</v>
      </c>
      <c r="F1787" s="37">
        <v>1</v>
      </c>
      <c r="G1787" s="37">
        <v>0</v>
      </c>
      <c r="H1787" s="17">
        <v>0</v>
      </c>
      <c r="I1787" s="17">
        <v>2</v>
      </c>
      <c r="J1787" s="99">
        <f>SUM(SamplingData[[#This Row],[Losing Candidate]:[Under Votes]])</f>
        <v>104</v>
      </c>
      <c r="K1787" s="100">
        <f>IF(AND(SamplingData[[#This Row],[Total]]&lt;&gt; 0, NOT(ISBLANK(SamplingData[[#This Row],[Losing Candidate]]))),(SamplingData[[#This Row],[Total]]+SamplingData[[#This Row],[Winning Candidate]]-SamplingData[[#This Row],[Losing Candidate]])/(SamplingData[[#Totals],[Winning Candidate]]-SamplingData[[#Totals],[Losing Candidate]]), 0)</f>
        <v>8.3292503674669283E-3</v>
      </c>
      <c r="L1787" s="100">
        <f>IF(AND(SamplingData[[#This Row],[Total]]&lt;&gt; 0, NOT(ISBLANK(SamplingData[[#This Row],[Candidate 3]]))),(SamplingData[[#This Row],[Total]]+SamplingData[[#This Row],[Winning Candidate]]-SamplingData[[#This Row],[Candidate 3]])/(SamplingData[[#Totals],[Winning Candidate]]-SamplingData[[#Totals],[Candidate 3]]), 0)</f>
        <v>5.0004839177984969E-3</v>
      </c>
      <c r="M1787" s="100">
        <f>IF(AND(SamplingData[[#This Row],[Total]]&lt;&gt; 0, NOT(ISBLANK(SamplingData[[#This Row],[Candidate 4]]))),(SamplingData[[#This Row],[Total]]+SamplingData[[#This Row],[Winning Candidate]]-SamplingData[[#This Row],[Candidate 4]])/(SamplingData[[#Totals],[Winning Candidate]]-SamplingData[[#Totals],[Candidate 4]]), 0)</f>
        <v>4.3263468677833322E-3</v>
      </c>
      <c r="N1787" s="100">
        <f>IF(AND(SamplingData[[#This Row],[Total]]&lt;&gt; 0, NOT(ISBLANK(SamplingData[[#This Row],[Candidate 5]]))),(SamplingData[[#This Row],[Total]]+SamplingData[[#This Row],[Winning Candidate]]-SamplingData[[#This Row],[Candidate 5]])/(SamplingData[[#Totals],[Winning Candidate]]-SamplingData[[#Totals],[Candidate 5]]), 0)</f>
        <v>3.8919970810021892E-3</v>
      </c>
      <c r="O1787" s="100">
        <f>IF(AND(SamplingData[[#This Row],[Total]]&lt;&gt; 0, NOT(ISBLANK(SamplingData[[#This Row],[Candidate 6]]))),(SamplingData[[#This Row],[Total]]+SamplingData[[#This Row],[Winning Candidate]]-SamplingData[[#This Row],[Candidate 6]])/(SamplingData[[#Totals],[Winning Candidate]]-SamplingData[[#Totals],[Candidate 6]]), 0)</f>
        <v>3.9151792228004478E-3</v>
      </c>
      <c r="P1787" s="100">
        <f>MAX(SamplingData[[#This Row],[Error Bound (up) - Max. possible relative overstatement - Losing Candidate]:[Error Bound (up) - Max. possible relative overstatement - Candidate 6]])</f>
        <v>8.3292503674669283E-3</v>
      </c>
      <c r="Q1787" s="100">
        <f>IF(SamplingData[[#This Row],[Max Error Bound (up)]] = 0,0,SamplingData[[#This Row],[Max Error Bound (up)]]/SamplingData[[#Totals],[Max Error Bound (up)]])</f>
        <v>1.3182409658686332E-3</v>
      </c>
      <c r="R1787" s="101">
        <f>SUM($Q$5:Q1787)</f>
        <v>0.67281014120882865</v>
      </c>
      <c r="S1787" s="100" t="str">
        <f t="array" ref="S1787">IF(SamplingData[[#This Row],[up/U Selection Probability]] = 0, "Zero", TEXT(SamplingData[[#This Row],[Lower Range]], REPT("0",LEN('General Info'!$B$40))) &amp; " - " &amp; TEXT(SamplingData[[#This Row],[Upper Range]], REPT("0",LEN('General Info'!$B$40))))</f>
        <v>67149 - 67280</v>
      </c>
      <c r="T1787" s="100">
        <f>SamplingData[[#This Row],[Upper Range]]-SamplingData[[#This Row],[Span]]</f>
        <v>67149.191342536971</v>
      </c>
      <c r="U1787" s="100">
        <f>IF(ISNUMBER('General Info'!$B$40), ((SamplingData[[#This Row],[up/U Selection Probability]]) * 'General Info'!$B$40) - 1, 0)</f>
        <v>130.82277834589743</v>
      </c>
      <c r="V1787" s="100">
        <f>IF(ISNUMBER('General Info'!$B$40), (SamplingData[[#This Row],[Running (cumulative) sum]] * ('General Info'!$B$40 -'General Info'!$B$41 + 1)) + 'General Info'!$B$41 - 1, 0)</f>
        <v>67280.014120882872</v>
      </c>
      <c r="W1787" s="100" t="str">
        <f>IF(ISERROR(MATCH(SamplingData[[#This Row],[Batch by Type (p)]],SelectedPrecincts[Batch Name], 0)), "", INDEX(SelectedPrecincts[Draw], MATCH(SamplingData[[#This Row],[Batch by Type (p)]],SelectedPrecincts[Batch Name], 0)))</f>
        <v/>
      </c>
      <c r="X1787" s="102">
        <f>IF(COUNTIF(SelectedPrecincts[Batch Name],SamplingData[[#This Row],[Batch by Type (p)]]) &lt;&gt; 0, COUNTIF(SelectedPrecincts[Batch Name],SamplingData[[#This Row],[Batch by Type (p)]]), 0)</f>
        <v>0</v>
      </c>
    </row>
    <row r="1788" spans="1:24" ht="15" customHeight="1">
      <c r="A1788" s="18" t="s">
        <v>1964</v>
      </c>
      <c r="B1788" s="18">
        <v>23</v>
      </c>
      <c r="C1788" s="18">
        <v>25</v>
      </c>
      <c r="D1788" s="18">
        <v>6</v>
      </c>
      <c r="E1788" s="18">
        <v>2</v>
      </c>
      <c r="F1788" s="18">
        <v>0</v>
      </c>
      <c r="G1788" s="18">
        <v>1</v>
      </c>
      <c r="H1788" s="18">
        <v>0</v>
      </c>
      <c r="I1788" s="18">
        <v>0</v>
      </c>
      <c r="J1788" s="99">
        <f>SUM(SamplingData[[#This Row],[Losing Candidate]:[Under Votes]])</f>
        <v>57</v>
      </c>
      <c r="K1788" s="100">
        <f>IF(AND(SamplingData[[#This Row],[Total]]&lt;&gt; 0, NOT(ISBLANK(SamplingData[[#This Row],[Losing Candidate]]))),(SamplingData[[#This Row],[Total]]+SamplingData[[#This Row],[Winning Candidate]]-SamplingData[[#This Row],[Losing Candidate]])/(SamplingData[[#Totals],[Winning Candidate]]-SamplingData[[#Totals],[Losing Candidate]]), 0)</f>
        <v>3.6134247917687409E-3</v>
      </c>
      <c r="L1788" s="100">
        <f>IF(AND(SamplingData[[#This Row],[Total]]&lt;&gt; 0, NOT(ISBLANK(SamplingData[[#This Row],[Candidate 3]]))),(SamplingData[[#This Row],[Total]]+SamplingData[[#This Row],[Winning Candidate]]-SamplingData[[#This Row],[Candidate 3]])/(SamplingData[[#Totals],[Winning Candidate]]-SamplingData[[#Totals],[Candidate 3]]), 0)</f>
        <v>2.4518501790495853E-3</v>
      </c>
      <c r="M1788" s="100">
        <f>IF(AND(SamplingData[[#This Row],[Total]]&lt;&gt; 0, NOT(ISBLANK(SamplingData[[#This Row],[Candidate 4]]))),(SamplingData[[#This Row],[Total]]+SamplingData[[#This Row],[Winning Candidate]]-SamplingData[[#This Row],[Candidate 4]])/(SamplingData[[#Totals],[Winning Candidate]]-SamplingData[[#Totals],[Candidate 4]]), 0)</f>
        <v>2.3385658744774769E-3</v>
      </c>
      <c r="N1788" s="100">
        <f>IF(AND(SamplingData[[#This Row],[Total]]&lt;&gt; 0, NOT(ISBLANK(SamplingData[[#This Row],[Candidate 5]]))),(SamplingData[[#This Row],[Total]]+SamplingData[[#This Row],[Winning Candidate]]-SamplingData[[#This Row],[Candidate 5]])/(SamplingData[[#Totals],[Winning Candidate]]-SamplingData[[#Totals],[Candidate 5]]), 0)</f>
        <v>1.994648504013622E-3</v>
      </c>
      <c r="O1788" s="100">
        <f>IF(AND(SamplingData[[#This Row],[Total]]&lt;&gt; 0, NOT(ISBLANK(SamplingData[[#This Row],[Candidate 6]]))),(SamplingData[[#This Row],[Total]]+SamplingData[[#This Row],[Winning Candidate]]-SamplingData[[#This Row],[Candidate 6]])/(SamplingData[[#Totals],[Winning Candidate]]-SamplingData[[#Totals],[Candidate 6]]), 0)</f>
        <v>1.9697485530859394E-3</v>
      </c>
      <c r="P1788" s="100">
        <f>MAX(SamplingData[[#This Row],[Error Bound (up) - Max. possible relative overstatement - Losing Candidate]:[Error Bound (up) - Max. possible relative overstatement - Candidate 6]])</f>
        <v>3.6134247917687409E-3</v>
      </c>
      <c r="Q1788" s="100">
        <f>IF(SamplingData[[#This Row],[Max Error Bound (up)]] = 0,0,SamplingData[[#This Row],[Max Error Bound (up)]]/SamplingData[[#Totals],[Max Error Bound (up)]])</f>
        <v>5.7188394842830413E-4</v>
      </c>
      <c r="R1788" s="101">
        <f>SUM($Q$5:Q1788)</f>
        <v>0.67338202515725698</v>
      </c>
      <c r="S1788" s="100" t="str">
        <f t="array" ref="S1788">IF(SamplingData[[#This Row],[up/U Selection Probability]] = 0, "Zero", TEXT(SamplingData[[#This Row],[Lower Range]], REPT("0",LEN('General Info'!$B$40))) &amp; " - " &amp; TEXT(SamplingData[[#This Row],[Upper Range]], REPT("0",LEN('General Info'!$B$40))))</f>
        <v>67281 - 67337</v>
      </c>
      <c r="T1788" s="100">
        <f>SamplingData[[#This Row],[Upper Range]]-SamplingData[[#This Row],[Span]]</f>
        <v>67281.014692766825</v>
      </c>
      <c r="U1788" s="100">
        <f>IF(ISNUMBER('General Info'!$B$40), ((SamplingData[[#This Row],[up/U Selection Probability]]) * 'General Info'!$B$40) - 1, 0)</f>
        <v>56.187822958881988</v>
      </c>
      <c r="V1788" s="100">
        <f>IF(ISNUMBER('General Info'!$B$40), (SamplingData[[#This Row],[Running (cumulative) sum]] * ('General Info'!$B$40 -'General Info'!$B$41 + 1)) + 'General Info'!$B$41 - 1, 0)</f>
        <v>67337.202515725701</v>
      </c>
      <c r="W1788" s="100" t="str">
        <f>IF(ISERROR(MATCH(SamplingData[[#This Row],[Batch by Type (p)]],SelectedPrecincts[Batch Name], 0)), "", INDEX(SelectedPrecincts[Draw], MATCH(SamplingData[[#This Row],[Batch by Type (p)]],SelectedPrecincts[Batch Name], 0)))</f>
        <v/>
      </c>
      <c r="X1788" s="102">
        <f>IF(COUNTIF(SelectedPrecincts[Batch Name],SamplingData[[#This Row],[Batch by Type (p)]]) &lt;&gt; 0, COUNTIF(SelectedPrecincts[Batch Name],SamplingData[[#This Row],[Batch by Type (p)]]), 0)</f>
        <v>0</v>
      </c>
    </row>
    <row r="1789" spans="1:24" ht="15" customHeight="1">
      <c r="A1789" s="18" t="s">
        <v>1965</v>
      </c>
      <c r="B1789" s="18">
        <v>30</v>
      </c>
      <c r="C1789" s="18">
        <v>30</v>
      </c>
      <c r="D1789" s="16">
        <v>10</v>
      </c>
      <c r="E1789" s="16">
        <v>5</v>
      </c>
      <c r="F1789" s="37">
        <v>1</v>
      </c>
      <c r="G1789" s="37">
        <v>0</v>
      </c>
      <c r="H1789" s="17">
        <v>0</v>
      </c>
      <c r="I1789" s="17">
        <v>1</v>
      </c>
      <c r="J1789" s="99">
        <f>SUM(SamplingData[[#This Row],[Losing Candidate]:[Under Votes]])</f>
        <v>77</v>
      </c>
      <c r="K1789" s="100">
        <f>IF(AND(SamplingData[[#This Row],[Total]]&lt;&gt; 0, NOT(ISBLANK(SamplingData[[#This Row],[Losing Candidate]]))),(SamplingData[[#This Row],[Total]]+SamplingData[[#This Row],[Winning Candidate]]-SamplingData[[#This Row],[Losing Candidate]])/(SamplingData[[#Totals],[Winning Candidate]]-SamplingData[[#Totals],[Losing Candidate]]), 0)</f>
        <v>4.7158255756981869E-3</v>
      </c>
      <c r="L1789" s="100">
        <f>IF(AND(SamplingData[[#This Row],[Total]]&lt;&gt; 0, NOT(ISBLANK(SamplingData[[#This Row],[Candidate 3]]))),(SamplingData[[#This Row],[Total]]+SamplingData[[#This Row],[Winning Candidate]]-SamplingData[[#This Row],[Candidate 3]])/(SamplingData[[#Totals],[Winning Candidate]]-SamplingData[[#Totals],[Candidate 3]]), 0)</f>
        <v>3.1293350969448658E-3</v>
      </c>
      <c r="M1789" s="100">
        <f>IF(AND(SamplingData[[#This Row],[Total]]&lt;&gt; 0, NOT(ISBLANK(SamplingData[[#This Row],[Candidate 4]]))),(SamplingData[[#This Row],[Total]]+SamplingData[[#This Row],[Winning Candidate]]-SamplingData[[#This Row],[Candidate 4]])/(SamplingData[[#Totals],[Winning Candidate]]-SamplingData[[#Totals],[Candidate 4]]), 0)</f>
        <v>2.9816714899587827E-3</v>
      </c>
      <c r="N1789" s="100">
        <f>IF(AND(SamplingData[[#This Row],[Total]]&lt;&gt; 0, NOT(ISBLANK(SamplingData[[#This Row],[Candidate 5]]))),(SamplingData[[#This Row],[Total]]+SamplingData[[#This Row],[Winning Candidate]]-SamplingData[[#This Row],[Candidate 5]])/(SamplingData[[#Totals],[Winning Candidate]]-SamplingData[[#Totals],[Candidate 5]]), 0)</f>
        <v>2.5784480661639503E-3</v>
      </c>
      <c r="O1789" s="100">
        <f>IF(AND(SamplingData[[#This Row],[Total]]&lt;&gt; 0, NOT(ISBLANK(SamplingData[[#This Row],[Candidate 6]]))),(SamplingData[[#This Row],[Total]]+SamplingData[[#This Row],[Winning Candidate]]-SamplingData[[#This Row],[Candidate 6]])/(SamplingData[[#Totals],[Winning Candidate]]-SamplingData[[#Totals],[Candidate 6]]), 0)</f>
        <v>2.6020135207431546E-3</v>
      </c>
      <c r="P1789" s="100">
        <f>MAX(SamplingData[[#This Row],[Error Bound (up) - Max. possible relative overstatement - Losing Candidate]:[Error Bound (up) - Max. possible relative overstatement - Candidate 6]])</f>
        <v>4.7158255756981869E-3</v>
      </c>
      <c r="Q1789" s="100">
        <f>IF(SamplingData[[#This Row],[Max Error Bound (up)]] = 0,0,SamplingData[[#This Row],[Max Error Bound (up)]]/SamplingData[[#Totals],[Max Error Bound (up)]])</f>
        <v>7.4635701744032903E-4</v>
      </c>
      <c r="R1789" s="101">
        <f>SUM($Q$5:Q1789)</f>
        <v>0.67412838217469728</v>
      </c>
      <c r="S1789" s="100" t="str">
        <f t="array" ref="S1789">IF(SamplingData[[#This Row],[up/U Selection Probability]] = 0, "Zero", TEXT(SamplingData[[#This Row],[Lower Range]], REPT("0",LEN('General Info'!$B$40))) &amp; " - " &amp; TEXT(SamplingData[[#This Row],[Upper Range]], REPT("0",LEN('General Info'!$B$40))))</f>
        <v>67338 - 67412</v>
      </c>
      <c r="T1789" s="100">
        <f>SamplingData[[#This Row],[Upper Range]]-SamplingData[[#This Row],[Span]]</f>
        <v>67338.203262082723</v>
      </c>
      <c r="U1789" s="100">
        <f>IF(ISNUMBER('General Info'!$B$40), ((SamplingData[[#This Row],[up/U Selection Probability]]) * 'General Info'!$B$40) - 1, 0)</f>
        <v>73.634955387015466</v>
      </c>
      <c r="V1789" s="100">
        <f>IF(ISNUMBER('General Info'!$B$40), (SamplingData[[#This Row],[Running (cumulative) sum]] * ('General Info'!$B$40 -'General Info'!$B$41 + 1)) + 'General Info'!$B$41 - 1, 0)</f>
        <v>67411.838217469733</v>
      </c>
      <c r="W1789" s="100" t="str">
        <f>IF(ISERROR(MATCH(SamplingData[[#This Row],[Batch by Type (p)]],SelectedPrecincts[Batch Name], 0)), "", INDEX(SelectedPrecincts[Draw], MATCH(SamplingData[[#This Row],[Batch by Type (p)]],SelectedPrecincts[Batch Name], 0)))</f>
        <v/>
      </c>
      <c r="X1789" s="102">
        <f>IF(COUNTIF(SelectedPrecincts[Batch Name],SamplingData[[#This Row],[Batch by Type (p)]]) &lt;&gt; 0, COUNTIF(SelectedPrecincts[Batch Name],SamplingData[[#This Row],[Batch by Type (p)]]), 0)</f>
        <v>0</v>
      </c>
    </row>
    <row r="1790" spans="1:24" ht="15" customHeight="1">
      <c r="A1790" s="18" t="s">
        <v>1966</v>
      </c>
      <c r="B1790" s="18">
        <v>12</v>
      </c>
      <c r="C1790" s="18">
        <v>11</v>
      </c>
      <c r="D1790" s="18">
        <v>7</v>
      </c>
      <c r="E1790" s="18">
        <v>3</v>
      </c>
      <c r="F1790" s="18">
        <v>0</v>
      </c>
      <c r="G1790" s="18">
        <v>0</v>
      </c>
      <c r="H1790" s="18">
        <v>0</v>
      </c>
      <c r="I1790" s="18">
        <v>0</v>
      </c>
      <c r="J1790" s="99">
        <f>SUM(SamplingData[[#This Row],[Losing Candidate]:[Under Votes]])</f>
        <v>33</v>
      </c>
      <c r="K1790"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790" s="100">
        <f>IF(AND(SamplingData[[#This Row],[Total]]&lt;&gt; 0, NOT(ISBLANK(SamplingData[[#This Row],[Candidate 3]]))),(SamplingData[[#This Row],[Total]]+SamplingData[[#This Row],[Winning Candidate]]-SamplingData[[#This Row],[Candidate 3]])/(SamplingData[[#Totals],[Winning Candidate]]-SamplingData[[#Totals],[Candidate 3]]), 0)</f>
        <v>1.1936639029583509E-3</v>
      </c>
      <c r="M1790" s="100">
        <f>IF(AND(SamplingData[[#This Row],[Total]]&lt;&gt; 0, NOT(ISBLANK(SamplingData[[#This Row],[Candidate 4]]))),(SamplingData[[#This Row],[Total]]+SamplingData[[#This Row],[Winning Candidate]]-SamplingData[[#This Row],[Candidate 4]])/(SamplingData[[#Totals],[Winning Candidate]]-SamplingData[[#Totals],[Candidate 4]]), 0)</f>
        <v>1.1985150106697067E-3</v>
      </c>
      <c r="N1790" s="100">
        <f>IF(AND(SamplingData[[#This Row],[Total]]&lt;&gt; 0, NOT(ISBLANK(SamplingData[[#This Row],[Candidate 5]]))),(SamplingData[[#This Row],[Total]]+SamplingData[[#This Row],[Winning Candidate]]-SamplingData[[#This Row],[Candidate 5]])/(SamplingData[[#Totals],[Winning Candidate]]-SamplingData[[#Totals],[Candidate 5]]), 0)</f>
        <v>1.0702991972756021E-3</v>
      </c>
      <c r="O1790" s="100">
        <f>IF(AND(SamplingData[[#This Row],[Total]]&lt;&gt; 0, NOT(ISBLANK(SamplingData[[#This Row],[Candidate 6]]))),(SamplingData[[#This Row],[Total]]+SamplingData[[#This Row],[Winning Candidate]]-SamplingData[[#This Row],[Candidate 6]])/(SamplingData[[#Totals],[Winning Candidate]]-SamplingData[[#Totals],[Candidate 6]]), 0)</f>
        <v>1.0699868683429793E-3</v>
      </c>
      <c r="P1790" s="100">
        <f>MAX(SamplingData[[#This Row],[Error Bound (up) - Max. possible relative overstatement - Losing Candidate]:[Error Bound (up) - Max. possible relative overstatement - Candidate 6]])</f>
        <v>1.9598236158745713E-3</v>
      </c>
      <c r="Q1790" s="100">
        <f>IF(SamplingData[[#This Row],[Max Error Bound (up)]] = 0,0,SamplingData[[#This Row],[Max Error Bound (up)]]/SamplingData[[#Totals],[Max Error Bound (up)]])</f>
        <v>3.1017434491026661E-4</v>
      </c>
      <c r="R1790" s="101">
        <f>SUM($Q$5:Q1790)</f>
        <v>0.6744385565196076</v>
      </c>
      <c r="S1790" s="100" t="str">
        <f t="array" ref="S1790">IF(SamplingData[[#This Row],[up/U Selection Probability]] = 0, "Zero", TEXT(SamplingData[[#This Row],[Lower Range]], REPT("0",LEN('General Info'!$B$40))) &amp; " - " &amp; TEXT(SamplingData[[#This Row],[Upper Range]], REPT("0",LEN('General Info'!$B$40))))</f>
        <v>67413 - 67443</v>
      </c>
      <c r="T1790" s="100">
        <f>SamplingData[[#This Row],[Upper Range]]-SamplingData[[#This Row],[Span]]</f>
        <v>67412.838527644082</v>
      </c>
      <c r="U1790" s="100">
        <f>IF(ISNUMBER('General Info'!$B$40), ((SamplingData[[#This Row],[up/U Selection Probability]]) * 'General Info'!$B$40) - 1, 0)</f>
        <v>30.017124316681752</v>
      </c>
      <c r="V1790" s="100">
        <f>IF(ISNUMBER('General Info'!$B$40), (SamplingData[[#This Row],[Running (cumulative) sum]] * ('General Info'!$B$40 -'General Info'!$B$41 + 1)) + 'General Info'!$B$41 - 1, 0)</f>
        <v>67442.855651960766</v>
      </c>
      <c r="W1790" s="100" t="str">
        <f>IF(ISERROR(MATCH(SamplingData[[#This Row],[Batch by Type (p)]],SelectedPrecincts[Batch Name], 0)), "", INDEX(SelectedPrecincts[Draw], MATCH(SamplingData[[#This Row],[Batch by Type (p)]],SelectedPrecincts[Batch Name], 0)))</f>
        <v/>
      </c>
      <c r="X1790" s="102">
        <f>IF(COUNTIF(SelectedPrecincts[Batch Name],SamplingData[[#This Row],[Batch by Type (p)]]) &lt;&gt; 0, COUNTIF(SelectedPrecincts[Batch Name],SamplingData[[#This Row],[Batch by Type (p)]]), 0)</f>
        <v>0</v>
      </c>
    </row>
    <row r="1791" spans="1:24" ht="15" customHeight="1">
      <c r="A1791" s="18" t="s">
        <v>1967</v>
      </c>
      <c r="B1791" s="18">
        <v>18</v>
      </c>
      <c r="C1791" s="18">
        <v>40</v>
      </c>
      <c r="D1791" s="16">
        <v>14</v>
      </c>
      <c r="E1791" s="16">
        <v>9</v>
      </c>
      <c r="F1791" s="37">
        <v>2</v>
      </c>
      <c r="G1791" s="37">
        <v>0</v>
      </c>
      <c r="H1791" s="17">
        <v>0</v>
      </c>
      <c r="I1791" s="17">
        <v>0</v>
      </c>
      <c r="J1791" s="99">
        <f>SUM(SamplingData[[#This Row],[Losing Candidate]:[Under Votes]])</f>
        <v>83</v>
      </c>
      <c r="K1791" s="100">
        <f>IF(AND(SamplingData[[#This Row],[Total]]&lt;&gt; 0, NOT(ISBLANK(SamplingData[[#This Row],[Losing Candidate]]))),(SamplingData[[#This Row],[Total]]+SamplingData[[#This Row],[Winning Candidate]]-SamplingData[[#This Row],[Losing Candidate]])/(SamplingData[[#Totals],[Winning Candidate]]-SamplingData[[#Totals],[Losing Candidate]]), 0)</f>
        <v>6.4306712395884374E-3</v>
      </c>
      <c r="L1791" s="100">
        <f>IF(AND(SamplingData[[#This Row],[Total]]&lt;&gt; 0, NOT(ISBLANK(SamplingData[[#This Row],[Candidate 3]]))),(SamplingData[[#This Row],[Total]]+SamplingData[[#This Row],[Winning Candidate]]-SamplingData[[#This Row],[Candidate 3]])/(SamplingData[[#Totals],[Winning Candidate]]-SamplingData[[#Totals],[Candidate 3]]), 0)</f>
        <v>3.5164693357421688E-3</v>
      </c>
      <c r="M1791" s="100">
        <f>IF(AND(SamplingData[[#This Row],[Total]]&lt;&gt; 0, NOT(ISBLANK(SamplingData[[#This Row],[Candidate 4]]))),(SamplingData[[#This Row],[Total]]+SamplingData[[#This Row],[Winning Candidate]]-SamplingData[[#This Row],[Candidate 4]])/(SamplingData[[#Totals],[Winning Candidate]]-SamplingData[[#Totals],[Candidate 4]]), 0)</f>
        <v>3.3324563711304043E-3</v>
      </c>
      <c r="N1791" s="100">
        <f>IF(AND(SamplingData[[#This Row],[Total]]&lt;&gt; 0, NOT(ISBLANK(SamplingData[[#This Row],[Candidate 5]]))),(SamplingData[[#This Row],[Total]]+SamplingData[[#This Row],[Winning Candidate]]-SamplingData[[#This Row],[Candidate 5]])/(SamplingData[[#Totals],[Winning Candidate]]-SamplingData[[#Totals],[Candidate 5]]), 0)</f>
        <v>2.9433227925079056E-3</v>
      </c>
      <c r="O1791" s="100">
        <f>IF(AND(SamplingData[[#This Row],[Total]]&lt;&gt; 0, NOT(ISBLANK(SamplingData[[#This Row],[Candidate 6]]))),(SamplingData[[#This Row],[Total]]+SamplingData[[#This Row],[Winning Candidate]]-SamplingData[[#This Row],[Candidate 6]])/(SamplingData[[#Totals],[Winning Candidate]]-SamplingData[[#Totals],[Candidate 6]]), 0)</f>
        <v>2.9910996546860563E-3</v>
      </c>
      <c r="P1791" s="100">
        <f>MAX(SamplingData[[#This Row],[Error Bound (up) - Max. possible relative overstatement - Losing Candidate]:[Error Bound (up) - Max. possible relative overstatement - Candidate 6]])</f>
        <v>6.4306712395884374E-3</v>
      </c>
      <c r="Q1791" s="100">
        <f>IF(SamplingData[[#This Row],[Max Error Bound (up)]] = 0,0,SamplingData[[#This Row],[Max Error Bound (up)]]/SamplingData[[#Totals],[Max Error Bound (up)]])</f>
        <v>1.0177595692368124E-3</v>
      </c>
      <c r="R1791" s="101">
        <f>SUM($Q$5:Q1791)</f>
        <v>0.67545631608884438</v>
      </c>
      <c r="S1791" s="100" t="str">
        <f t="array" ref="S1791">IF(SamplingData[[#This Row],[up/U Selection Probability]] = 0, "Zero", TEXT(SamplingData[[#This Row],[Lower Range]], REPT("0",LEN('General Info'!$B$40))) &amp; " - " &amp; TEXT(SamplingData[[#This Row],[Upper Range]], REPT("0",LEN('General Info'!$B$40))))</f>
        <v>67444 - 67545</v>
      </c>
      <c r="T1791" s="100">
        <f>SamplingData[[#This Row],[Upper Range]]-SamplingData[[#This Row],[Span]]</f>
        <v>67443.85666972032</v>
      </c>
      <c r="U1791" s="100">
        <f>IF(ISNUMBER('General Info'!$B$40), ((SamplingData[[#This Row],[up/U Selection Probability]]) * 'General Info'!$B$40) - 1, 0)</f>
        <v>100.77493916411201</v>
      </c>
      <c r="V1791" s="100">
        <f>IF(ISNUMBER('General Info'!$B$40), (SamplingData[[#This Row],[Running (cumulative) sum]] * ('General Info'!$B$40 -'General Info'!$B$41 + 1)) + 'General Info'!$B$41 - 1, 0)</f>
        <v>67544.631608884432</v>
      </c>
      <c r="W1791" s="100" t="str">
        <f>IF(ISERROR(MATCH(SamplingData[[#This Row],[Batch by Type (p)]],SelectedPrecincts[Batch Name], 0)), "", INDEX(SelectedPrecincts[Draw], MATCH(SamplingData[[#This Row],[Batch by Type (p)]],SelectedPrecincts[Batch Name], 0)))</f>
        <v/>
      </c>
      <c r="X1791" s="102">
        <f>IF(COUNTIF(SelectedPrecincts[Batch Name],SamplingData[[#This Row],[Batch by Type (p)]]) &lt;&gt; 0, COUNTIF(SelectedPrecincts[Batch Name],SamplingData[[#This Row],[Batch by Type (p)]]), 0)</f>
        <v>0</v>
      </c>
    </row>
    <row r="1792" spans="1:24" ht="15" customHeight="1">
      <c r="A1792" s="18" t="s">
        <v>1968</v>
      </c>
      <c r="B1792" s="18">
        <v>14</v>
      </c>
      <c r="C1792" s="18">
        <v>16</v>
      </c>
      <c r="D1792" s="18">
        <v>12</v>
      </c>
      <c r="E1792" s="18">
        <v>4</v>
      </c>
      <c r="F1792" s="18">
        <v>0</v>
      </c>
      <c r="G1792" s="18">
        <v>2</v>
      </c>
      <c r="H1792" s="18">
        <v>0</v>
      </c>
      <c r="I1792" s="18">
        <v>1</v>
      </c>
      <c r="J1792" s="99">
        <f>SUM(SamplingData[[#This Row],[Losing Candidate]:[Under Votes]])</f>
        <v>49</v>
      </c>
      <c r="K1792" s="100">
        <f>IF(AND(SamplingData[[#This Row],[Total]]&lt;&gt; 0, NOT(ISBLANK(SamplingData[[#This Row],[Losing Candidate]]))),(SamplingData[[#This Row],[Total]]+SamplingData[[#This Row],[Winning Candidate]]-SamplingData[[#This Row],[Losing Candidate]])/(SamplingData[[#Totals],[Winning Candidate]]-SamplingData[[#Totals],[Losing Candidate]]), 0)</f>
        <v>3.1234688878000981E-3</v>
      </c>
      <c r="L1792" s="100">
        <f>IF(AND(SamplingData[[#This Row],[Total]]&lt;&gt; 0, NOT(ISBLANK(SamplingData[[#This Row],[Candidate 3]]))),(SamplingData[[#This Row],[Total]]+SamplingData[[#This Row],[Winning Candidate]]-SamplingData[[#This Row],[Candidate 3]])/(SamplingData[[#Totals],[Winning Candidate]]-SamplingData[[#Totals],[Candidate 3]]), 0)</f>
        <v>1.7098428880214214E-3</v>
      </c>
      <c r="M1792" s="100">
        <f>IF(AND(SamplingData[[#This Row],[Total]]&lt;&gt; 0, NOT(ISBLANK(SamplingData[[#This Row],[Candidate 4]]))),(SamplingData[[#This Row],[Total]]+SamplingData[[#This Row],[Winning Candidate]]-SamplingData[[#This Row],[Candidate 4]])/(SamplingData[[#Totals],[Winning Candidate]]-SamplingData[[#Totals],[Candidate 4]]), 0)</f>
        <v>1.783156479289076E-3</v>
      </c>
      <c r="N1792" s="100">
        <f>IF(AND(SamplingData[[#This Row],[Total]]&lt;&gt; 0, NOT(ISBLANK(SamplingData[[#This Row],[Candidate 5]]))),(SamplingData[[#This Row],[Total]]+SamplingData[[#This Row],[Winning Candidate]]-SamplingData[[#This Row],[Candidate 5]])/(SamplingData[[#Totals],[Winning Candidate]]-SamplingData[[#Totals],[Candidate 5]]), 0)</f>
        <v>1.5811238141571393E-3</v>
      </c>
      <c r="O1792" s="100">
        <f>IF(AND(SamplingData[[#This Row],[Total]]&lt;&gt; 0, NOT(ISBLANK(SamplingData[[#This Row],[Candidate 6]]))),(SamplingData[[#This Row],[Total]]+SamplingData[[#This Row],[Winning Candidate]]-SamplingData[[#This Row],[Candidate 6]])/(SamplingData[[#Totals],[Winning Candidate]]-SamplingData[[#Totals],[Candidate 6]]), 0)</f>
        <v>1.532026652400175E-3</v>
      </c>
      <c r="P1792" s="100">
        <f>MAX(SamplingData[[#This Row],[Error Bound (up) - Max. possible relative overstatement - Losing Candidate]:[Error Bound (up) - Max. possible relative overstatement - Candidate 6]])</f>
        <v>3.1234688878000981E-3</v>
      </c>
      <c r="Q1792" s="100">
        <f>IF(SamplingData[[#This Row],[Max Error Bound (up)]] = 0,0,SamplingData[[#This Row],[Max Error Bound (up)]]/SamplingData[[#Totals],[Max Error Bound (up)]])</f>
        <v>4.9434036220073741E-4</v>
      </c>
      <c r="R1792" s="101">
        <f>SUM($Q$5:Q1792)</f>
        <v>0.67595065645104513</v>
      </c>
      <c r="S1792" s="100" t="str">
        <f t="array" ref="S1792">IF(SamplingData[[#This Row],[up/U Selection Probability]] = 0, "Zero", TEXT(SamplingData[[#This Row],[Lower Range]], REPT("0",LEN('General Info'!$B$40))) &amp; " - " &amp; TEXT(SamplingData[[#This Row],[Upper Range]], REPT("0",LEN('General Info'!$B$40))))</f>
        <v>67546 - 67594</v>
      </c>
      <c r="T1792" s="100">
        <f>SamplingData[[#This Row],[Upper Range]]-SamplingData[[#This Row],[Span]]</f>
        <v>67545.632103224794</v>
      </c>
      <c r="U1792" s="100">
        <f>IF(ISNUMBER('General Info'!$B$40), ((SamplingData[[#This Row],[up/U Selection Probability]]) * 'General Info'!$B$40) - 1, 0)</f>
        <v>48.433541879711541</v>
      </c>
      <c r="V1792" s="100">
        <f>IF(ISNUMBER('General Info'!$B$40), (SamplingData[[#This Row],[Running (cumulative) sum]] * ('General Info'!$B$40 -'General Info'!$B$41 + 1)) + 'General Info'!$B$41 - 1, 0)</f>
        <v>67594.065645104507</v>
      </c>
      <c r="W1792" s="100" t="str">
        <f>IF(ISERROR(MATCH(SamplingData[[#This Row],[Batch by Type (p)]],SelectedPrecincts[Batch Name], 0)), "", INDEX(SelectedPrecincts[Draw], MATCH(SamplingData[[#This Row],[Batch by Type (p)]],SelectedPrecincts[Batch Name], 0)))</f>
        <v/>
      </c>
      <c r="X1792" s="102">
        <f>IF(COUNTIF(SelectedPrecincts[Batch Name],SamplingData[[#This Row],[Batch by Type (p)]]) &lt;&gt; 0, COUNTIF(SelectedPrecincts[Batch Name],SamplingData[[#This Row],[Batch by Type (p)]]), 0)</f>
        <v>0</v>
      </c>
    </row>
    <row r="1793" spans="1:24" ht="15" customHeight="1">
      <c r="A1793" s="18" t="s">
        <v>1969</v>
      </c>
      <c r="B1793" s="18">
        <v>17</v>
      </c>
      <c r="C1793" s="18">
        <v>56</v>
      </c>
      <c r="D1793" s="16">
        <v>8</v>
      </c>
      <c r="E1793" s="16">
        <v>6</v>
      </c>
      <c r="F1793" s="37">
        <v>0</v>
      </c>
      <c r="G1793" s="37">
        <v>0</v>
      </c>
      <c r="H1793" s="17">
        <v>0</v>
      </c>
      <c r="I1793" s="17">
        <v>1</v>
      </c>
      <c r="J1793" s="99">
        <f>SUM(SamplingData[[#This Row],[Losing Candidate]:[Under Votes]])</f>
        <v>88</v>
      </c>
      <c r="K1793" s="100">
        <f>IF(AND(SamplingData[[#This Row],[Total]]&lt;&gt; 0, NOT(ISBLANK(SamplingData[[#This Row],[Losing Candidate]]))),(SamplingData[[#This Row],[Total]]+SamplingData[[#This Row],[Winning Candidate]]-SamplingData[[#This Row],[Losing Candidate]])/(SamplingData[[#Totals],[Winning Candidate]]-SamplingData[[#Totals],[Losing Candidate]]), 0)</f>
        <v>7.7780499755022046E-3</v>
      </c>
      <c r="L1793" s="100">
        <f>IF(AND(SamplingData[[#This Row],[Total]]&lt;&gt; 0, NOT(ISBLANK(SamplingData[[#This Row],[Candidate 3]]))),(SamplingData[[#This Row],[Total]]+SamplingData[[#This Row],[Winning Candidate]]-SamplingData[[#This Row],[Candidate 3]])/(SamplingData[[#Totals],[Winning Candidate]]-SamplingData[[#Totals],[Candidate 3]]), 0)</f>
        <v>4.3875213730361004E-3</v>
      </c>
      <c r="M1793" s="100">
        <f>IF(AND(SamplingData[[#This Row],[Total]]&lt;&gt; 0, NOT(ISBLANK(SamplingData[[#This Row],[Candidate 4]]))),(SamplingData[[#This Row],[Total]]+SamplingData[[#This Row],[Winning Candidate]]-SamplingData[[#This Row],[Candidate 4]])/(SamplingData[[#Totals],[Winning Candidate]]-SamplingData[[#Totals],[Candidate 4]]), 0)</f>
        <v>4.0340261334736475E-3</v>
      </c>
      <c r="N1793" s="100">
        <f>IF(AND(SamplingData[[#This Row],[Total]]&lt;&gt; 0, NOT(ISBLANK(SamplingData[[#This Row],[Candidate 5]]))),(SamplingData[[#This Row],[Total]]+SamplingData[[#This Row],[Winning Candidate]]-SamplingData[[#This Row],[Candidate 5]])/(SamplingData[[#Totals],[Winning Candidate]]-SamplingData[[#Totals],[Candidate 5]]), 0)</f>
        <v>3.5027973729019704E-3</v>
      </c>
      <c r="O1793" s="100">
        <f>IF(AND(SamplingData[[#This Row],[Total]]&lt;&gt; 0, NOT(ISBLANK(SamplingData[[#This Row],[Candidate 6]]))),(SamplingData[[#This Row],[Total]]+SamplingData[[#This Row],[Winning Candidate]]-SamplingData[[#This Row],[Candidate 6]])/(SamplingData[[#Totals],[Winning Candidate]]-SamplingData[[#Totals],[Candidate 6]]), 0)</f>
        <v>3.5017752054861146E-3</v>
      </c>
      <c r="P1793" s="100">
        <f>MAX(SamplingData[[#This Row],[Error Bound (up) - Max. possible relative overstatement - Losing Candidate]:[Error Bound (up) - Max. possible relative overstatement - Candidate 6]])</f>
        <v>7.7780499755022046E-3</v>
      </c>
      <c r="Q1793" s="100">
        <f>IF(SamplingData[[#This Row],[Max Error Bound (up)]] = 0,0,SamplingData[[#This Row],[Max Error Bound (up)]]/SamplingData[[#Totals],[Max Error Bound (up)]])</f>
        <v>1.2310044313626205E-3</v>
      </c>
      <c r="R1793" s="101">
        <f>SUM($Q$5:Q1793)</f>
        <v>0.67718166088240772</v>
      </c>
      <c r="S1793" s="100" t="str">
        <f t="array" ref="S1793">IF(SamplingData[[#This Row],[up/U Selection Probability]] = 0, "Zero", TEXT(SamplingData[[#This Row],[Lower Range]], REPT("0",LEN('General Info'!$B$40))) &amp; " - " &amp; TEXT(SamplingData[[#This Row],[Upper Range]], REPT("0",LEN('General Info'!$B$40))))</f>
        <v>67595 - 67717</v>
      </c>
      <c r="T1793" s="100">
        <f>SamplingData[[#This Row],[Upper Range]]-SamplingData[[#This Row],[Span]]</f>
        <v>67595.066876108947</v>
      </c>
      <c r="U1793" s="100">
        <f>IF(ISNUMBER('General Info'!$B$40), ((SamplingData[[#This Row],[up/U Selection Probability]]) * 'General Info'!$B$40) - 1, 0)</f>
        <v>122.09921213183068</v>
      </c>
      <c r="V1793" s="100">
        <f>IF(ISNUMBER('General Info'!$B$40), (SamplingData[[#This Row],[Running (cumulative) sum]] * ('General Info'!$B$40 -'General Info'!$B$41 + 1)) + 'General Info'!$B$41 - 1, 0)</f>
        <v>67717.166088240774</v>
      </c>
      <c r="W1793" s="100" t="str">
        <f>IF(ISERROR(MATCH(SamplingData[[#This Row],[Batch by Type (p)]],SelectedPrecincts[Batch Name], 0)), "", INDEX(SelectedPrecincts[Draw], MATCH(SamplingData[[#This Row],[Batch by Type (p)]],SelectedPrecincts[Batch Name], 0)))</f>
        <v/>
      </c>
      <c r="X1793" s="102">
        <f>IF(COUNTIF(SelectedPrecincts[Batch Name],SamplingData[[#This Row],[Batch by Type (p)]]) &lt;&gt; 0, COUNTIF(SelectedPrecincts[Batch Name],SamplingData[[#This Row],[Batch by Type (p)]]), 0)</f>
        <v>0</v>
      </c>
    </row>
    <row r="1794" spans="1:24" ht="15" customHeight="1">
      <c r="A1794" s="18" t="s">
        <v>1970</v>
      </c>
      <c r="B1794" s="18">
        <v>14</v>
      </c>
      <c r="C1794" s="18">
        <v>40</v>
      </c>
      <c r="D1794" s="18">
        <v>2</v>
      </c>
      <c r="E1794" s="18">
        <v>1</v>
      </c>
      <c r="F1794" s="18">
        <v>1</v>
      </c>
      <c r="G1794" s="18">
        <v>0</v>
      </c>
      <c r="H1794" s="18">
        <v>0</v>
      </c>
      <c r="I1794" s="18">
        <v>0</v>
      </c>
      <c r="J1794" s="99">
        <f>SUM(SamplingData[[#This Row],[Losing Candidate]:[Under Votes]])</f>
        <v>58</v>
      </c>
      <c r="K1794" s="100">
        <f>IF(AND(SamplingData[[#This Row],[Total]]&lt;&gt; 0, NOT(ISBLANK(SamplingData[[#This Row],[Losing Candidate]]))),(SamplingData[[#This Row],[Total]]+SamplingData[[#This Row],[Winning Candidate]]-SamplingData[[#This Row],[Losing Candidate]])/(SamplingData[[#Totals],[Winning Candidate]]-SamplingData[[#Totals],[Losing Candidate]]), 0)</f>
        <v>5.1445369916707498E-3</v>
      </c>
      <c r="L1794" s="100">
        <f>IF(AND(SamplingData[[#This Row],[Total]]&lt;&gt; 0, NOT(ISBLANK(SamplingData[[#This Row],[Candidate 3]]))),(SamplingData[[#This Row],[Total]]+SamplingData[[#This Row],[Winning Candidate]]-SamplingData[[#This Row],[Candidate 3]])/(SamplingData[[#Totals],[Winning Candidate]]-SamplingData[[#Totals],[Candidate 3]]), 0)</f>
        <v>3.0970739103784238E-3</v>
      </c>
      <c r="M1794" s="100">
        <f>IF(AND(SamplingData[[#This Row],[Total]]&lt;&gt; 0, NOT(ISBLANK(SamplingData[[#This Row],[Candidate 4]]))),(SamplingData[[#This Row],[Total]]+SamplingData[[#This Row],[Winning Candidate]]-SamplingData[[#This Row],[Candidate 4]])/(SamplingData[[#Totals],[Winning Candidate]]-SamplingData[[#Totals],[Candidate 4]]), 0)</f>
        <v>2.8355111228039404E-3</v>
      </c>
      <c r="N1794" s="100">
        <f>IF(AND(SamplingData[[#This Row],[Total]]&lt;&gt; 0, NOT(ISBLANK(SamplingData[[#This Row],[Candidate 5]]))),(SamplingData[[#This Row],[Total]]+SamplingData[[#This Row],[Winning Candidate]]-SamplingData[[#This Row],[Candidate 5]])/(SamplingData[[#Totals],[Winning Candidate]]-SamplingData[[#Totals],[Candidate 5]]), 0)</f>
        <v>2.3595232303575773E-3</v>
      </c>
      <c r="O1794" s="100">
        <f>IF(AND(SamplingData[[#This Row],[Total]]&lt;&gt; 0, NOT(ISBLANK(SamplingData[[#This Row],[Candidate 6]]))),(SamplingData[[#This Row],[Total]]+SamplingData[[#This Row],[Winning Candidate]]-SamplingData[[#This Row],[Candidate 6]])/(SamplingData[[#Totals],[Winning Candidate]]-SamplingData[[#Totals],[Candidate 6]]), 0)</f>
        <v>2.3831525704002725E-3</v>
      </c>
      <c r="P1794" s="100">
        <f>MAX(SamplingData[[#This Row],[Error Bound (up) - Max. possible relative overstatement - Losing Candidate]:[Error Bound (up) - Max. possible relative overstatement - Candidate 6]])</f>
        <v>5.1445369916707498E-3</v>
      </c>
      <c r="Q1794" s="100">
        <f>IF(SamplingData[[#This Row],[Max Error Bound (up)]] = 0,0,SamplingData[[#This Row],[Max Error Bound (up)]]/SamplingData[[#Totals],[Max Error Bound (up)]])</f>
        <v>8.1420765538944991E-4</v>
      </c>
      <c r="R1794" s="101">
        <f>SUM($Q$5:Q1794)</f>
        <v>0.67799586853779714</v>
      </c>
      <c r="S1794" s="100" t="str">
        <f t="array" ref="S1794">IF(SamplingData[[#This Row],[up/U Selection Probability]] = 0, "Zero", TEXT(SamplingData[[#This Row],[Lower Range]], REPT("0",LEN('General Info'!$B$40))) &amp; " - " &amp; TEXT(SamplingData[[#This Row],[Upper Range]], REPT("0",LEN('General Info'!$B$40))))</f>
        <v>67718 - 67799</v>
      </c>
      <c r="T1794" s="100">
        <f>SamplingData[[#This Row],[Upper Range]]-SamplingData[[#This Row],[Span]]</f>
        <v>67718.166902448429</v>
      </c>
      <c r="U1794" s="100">
        <f>IF(ISNUMBER('General Info'!$B$40), ((SamplingData[[#This Row],[up/U Selection Probability]]) * 'General Info'!$B$40) - 1, 0)</f>
        <v>80.419951331289596</v>
      </c>
      <c r="V1794" s="100">
        <f>IF(ISNUMBER('General Info'!$B$40), (SamplingData[[#This Row],[Running (cumulative) sum]] * ('General Info'!$B$40 -'General Info'!$B$41 + 1)) + 'General Info'!$B$41 - 1, 0)</f>
        <v>67798.586853779721</v>
      </c>
      <c r="W1794" s="100" t="str">
        <f>IF(ISERROR(MATCH(SamplingData[[#This Row],[Batch by Type (p)]],SelectedPrecincts[Batch Name], 0)), "", INDEX(SelectedPrecincts[Draw], MATCH(SamplingData[[#This Row],[Batch by Type (p)]],SelectedPrecincts[Batch Name], 0)))</f>
        <v/>
      </c>
      <c r="X1794" s="102">
        <f>IF(COUNTIF(SelectedPrecincts[Batch Name],SamplingData[[#This Row],[Batch by Type (p)]]) &lt;&gt; 0, COUNTIF(SelectedPrecincts[Batch Name],SamplingData[[#This Row],[Batch by Type (p)]]), 0)</f>
        <v>0</v>
      </c>
    </row>
    <row r="1795" spans="1:24" ht="15" customHeight="1">
      <c r="A1795" s="18" t="s">
        <v>1971</v>
      </c>
      <c r="B1795" s="18">
        <v>16</v>
      </c>
      <c r="C1795" s="18">
        <v>87</v>
      </c>
      <c r="D1795" s="16">
        <v>5</v>
      </c>
      <c r="E1795" s="16">
        <v>5</v>
      </c>
      <c r="F1795" s="37">
        <v>1</v>
      </c>
      <c r="G1795" s="37">
        <v>0</v>
      </c>
      <c r="H1795" s="17">
        <v>0</v>
      </c>
      <c r="I1795" s="17">
        <v>1</v>
      </c>
      <c r="J1795" s="99">
        <f>SUM(SamplingData[[#This Row],[Losing Candidate]:[Under Votes]])</f>
        <v>115</v>
      </c>
      <c r="K1795" s="100">
        <f>IF(AND(SamplingData[[#This Row],[Total]]&lt;&gt; 0, NOT(ISBLANK(SamplingData[[#This Row],[Losing Candidate]]))),(SamplingData[[#This Row],[Total]]+SamplingData[[#This Row],[Winning Candidate]]-SamplingData[[#This Row],[Losing Candidate]])/(SamplingData[[#Totals],[Winning Candidate]]-SamplingData[[#Totals],[Losing Candidate]]), 0)</f>
        <v>1.1391474767270945E-2</v>
      </c>
      <c r="L1795" s="100">
        <f>IF(AND(SamplingData[[#This Row],[Total]]&lt;&gt; 0, NOT(ISBLANK(SamplingData[[#This Row],[Candidate 3]]))),(SamplingData[[#This Row],[Total]]+SamplingData[[#This Row],[Winning Candidate]]-SamplingData[[#This Row],[Candidate 3]])/(SamplingData[[#Totals],[Winning Candidate]]-SamplingData[[#Totals],[Candidate 3]]), 0)</f>
        <v>6.3554537535890571E-3</v>
      </c>
      <c r="M1795" s="100">
        <f>IF(AND(SamplingData[[#This Row],[Total]]&lt;&gt; 0, NOT(ISBLANK(SamplingData[[#This Row],[Candidate 4]]))),(SamplingData[[#This Row],[Total]]+SamplingData[[#This Row],[Winning Candidate]]-SamplingData[[#This Row],[Candidate 4]])/(SamplingData[[#Totals],[Winning Candidate]]-SamplingData[[#Totals],[Candidate 4]]), 0)</f>
        <v>5.7587184659007862E-3</v>
      </c>
      <c r="N1795" s="100">
        <f>IF(AND(SamplingData[[#This Row],[Total]]&lt;&gt; 0, NOT(ISBLANK(SamplingData[[#This Row],[Candidate 5]]))),(SamplingData[[#This Row],[Total]]+SamplingData[[#This Row],[Winning Candidate]]-SamplingData[[#This Row],[Candidate 5]])/(SamplingData[[#Totals],[Winning Candidate]]-SamplingData[[#Totals],[Candidate 5]]), 0)</f>
        <v>4.889321333009E-3</v>
      </c>
      <c r="O1795" s="100">
        <f>IF(AND(SamplingData[[#This Row],[Total]]&lt;&gt; 0, NOT(ISBLANK(SamplingData[[#This Row],[Candidate 6]]))),(SamplingData[[#This Row],[Total]]+SamplingData[[#This Row],[Winning Candidate]]-SamplingData[[#This Row],[Candidate 6]])/(SamplingData[[#Totals],[Winning Candidate]]-SamplingData[[#Totals],[Candidate 6]]), 0)</f>
        <v>4.9122124410291325E-3</v>
      </c>
      <c r="P1795" s="100">
        <f>MAX(SamplingData[[#This Row],[Error Bound (up) - Max. possible relative overstatement - Losing Candidate]:[Error Bound (up) - Max. possible relative overstatement - Candidate 6]])</f>
        <v>1.1391474767270945E-2</v>
      </c>
      <c r="Q1795" s="100">
        <f>IF(SamplingData[[#This Row],[Max Error Bound (up)]] = 0,0,SamplingData[[#This Row],[Max Error Bound (up)]]/SamplingData[[#Totals],[Max Error Bound (up)]])</f>
        <v>1.8028883797909245E-3</v>
      </c>
      <c r="R1795" s="101">
        <f>SUM($Q$5:Q1795)</f>
        <v>0.67979875691758807</v>
      </c>
      <c r="S1795" s="100" t="str">
        <f t="array" ref="S1795">IF(SamplingData[[#This Row],[up/U Selection Probability]] = 0, "Zero", TEXT(SamplingData[[#This Row],[Lower Range]], REPT("0",LEN('General Info'!$B$40))) &amp; " - " &amp; TEXT(SamplingData[[#This Row],[Upper Range]], REPT("0",LEN('General Info'!$B$40))))</f>
        <v>67800 - 67979</v>
      </c>
      <c r="T1795" s="100">
        <f>SamplingData[[#This Row],[Upper Range]]-SamplingData[[#This Row],[Span]]</f>
        <v>67799.588656668086</v>
      </c>
      <c r="U1795" s="100">
        <f>IF(ISNUMBER('General Info'!$B$40), ((SamplingData[[#This Row],[up/U Selection Probability]]) * 'General Info'!$B$40) - 1, 0)</f>
        <v>179.28703509071266</v>
      </c>
      <c r="V1795" s="100">
        <f>IF(ISNUMBER('General Info'!$B$40), (SamplingData[[#This Row],[Running (cumulative) sum]] * ('General Info'!$B$40 -'General Info'!$B$41 + 1)) + 'General Info'!$B$41 - 1, 0)</f>
        <v>67978.875691758803</v>
      </c>
      <c r="W1795" s="100" t="str">
        <f>IF(ISERROR(MATCH(SamplingData[[#This Row],[Batch by Type (p)]],SelectedPrecincts[Batch Name], 0)), "", INDEX(SelectedPrecincts[Draw], MATCH(SamplingData[[#This Row],[Batch by Type (p)]],SelectedPrecincts[Batch Name], 0)))</f>
        <v/>
      </c>
      <c r="X1795" s="102">
        <f>IF(COUNTIF(SelectedPrecincts[Batch Name],SamplingData[[#This Row],[Batch by Type (p)]]) &lt;&gt; 0, COUNTIF(SelectedPrecincts[Batch Name],SamplingData[[#This Row],[Batch by Type (p)]]), 0)</f>
        <v>0</v>
      </c>
    </row>
    <row r="1796" spans="1:24" ht="15" customHeight="1">
      <c r="A1796" s="18" t="s">
        <v>1972</v>
      </c>
      <c r="B1796" s="18">
        <v>11</v>
      </c>
      <c r="C1796" s="18">
        <v>37</v>
      </c>
      <c r="D1796" s="18">
        <v>6</v>
      </c>
      <c r="E1796" s="18">
        <v>4</v>
      </c>
      <c r="F1796" s="18">
        <v>1</v>
      </c>
      <c r="G1796" s="18">
        <v>0</v>
      </c>
      <c r="H1796" s="18">
        <v>0</v>
      </c>
      <c r="I1796" s="18">
        <v>0</v>
      </c>
      <c r="J1796" s="99">
        <f>SUM(SamplingData[[#This Row],[Losing Candidate]:[Under Votes]])</f>
        <v>59</v>
      </c>
      <c r="K1796" s="100">
        <f>IF(AND(SamplingData[[#This Row],[Total]]&lt;&gt; 0, NOT(ISBLANK(SamplingData[[#This Row],[Losing Candidate]]))),(SamplingData[[#This Row],[Total]]+SamplingData[[#This Row],[Winning Candidate]]-SamplingData[[#This Row],[Losing Candidate]])/(SamplingData[[#Totals],[Winning Candidate]]-SamplingData[[#Totals],[Losing Candidate]]), 0)</f>
        <v>5.2057814796668302E-3</v>
      </c>
      <c r="L1796" s="100">
        <f>IF(AND(SamplingData[[#This Row],[Total]]&lt;&gt; 0, NOT(ISBLANK(SamplingData[[#This Row],[Candidate 3]]))),(SamplingData[[#This Row],[Total]]+SamplingData[[#This Row],[Winning Candidate]]-SamplingData[[#This Row],[Candidate 3]])/(SamplingData[[#Totals],[Winning Candidate]]-SamplingData[[#Totals],[Candidate 3]]), 0)</f>
        <v>2.9035067909797723E-3</v>
      </c>
      <c r="M1796" s="100">
        <f>IF(AND(SamplingData[[#This Row],[Total]]&lt;&gt; 0, NOT(ISBLANK(SamplingData[[#This Row],[Candidate 4]]))),(SamplingData[[#This Row],[Total]]+SamplingData[[#This Row],[Winning Candidate]]-SamplingData[[#This Row],[Candidate 4]])/(SamplingData[[#Totals],[Winning Candidate]]-SamplingData[[#Totals],[Candidate 4]]), 0)</f>
        <v>2.6893507556490981E-3</v>
      </c>
      <c r="N1796" s="100">
        <f>IF(AND(SamplingData[[#This Row],[Total]]&lt;&gt; 0, NOT(ISBLANK(SamplingData[[#This Row],[Candidate 5]]))),(SamplingData[[#This Row],[Total]]+SamplingData[[#This Row],[Winning Candidate]]-SamplingData[[#This Row],[Candidate 5]])/(SamplingData[[#Totals],[Winning Candidate]]-SamplingData[[#Totals],[Candidate 5]]), 0)</f>
        <v>2.3108732668450497E-3</v>
      </c>
      <c r="O1796" s="100">
        <f>IF(AND(SamplingData[[#This Row],[Total]]&lt;&gt; 0, NOT(ISBLANK(SamplingData[[#This Row],[Candidate 6]]))),(SamplingData[[#This Row],[Total]]+SamplingData[[#This Row],[Winning Candidate]]-SamplingData[[#This Row],[Candidate 6]])/(SamplingData[[#Totals],[Winning Candidate]]-SamplingData[[#Totals],[Candidate 6]]), 0)</f>
        <v>2.3345168036574097E-3</v>
      </c>
      <c r="P1796" s="100">
        <f>MAX(SamplingData[[#This Row],[Error Bound (up) - Max. possible relative overstatement - Losing Candidate]:[Error Bound (up) - Max. possible relative overstatement - Candidate 6]])</f>
        <v>5.2057814796668302E-3</v>
      </c>
      <c r="Q1796" s="100">
        <f>IF(SamplingData[[#This Row],[Max Error Bound (up)]] = 0,0,SamplingData[[#This Row],[Max Error Bound (up)]]/SamplingData[[#Totals],[Max Error Bound (up)]])</f>
        <v>8.2390060366789575E-4</v>
      </c>
      <c r="R1796" s="101">
        <f>SUM($Q$5:Q1796)</f>
        <v>0.68062265752125595</v>
      </c>
      <c r="S1796" s="100" t="str">
        <f t="array" ref="S1796">IF(SamplingData[[#This Row],[up/U Selection Probability]] = 0, "Zero", TEXT(SamplingData[[#This Row],[Lower Range]], REPT("0",LEN('General Info'!$B$40))) &amp; " - " &amp; TEXT(SamplingData[[#This Row],[Upper Range]], REPT("0",LEN('General Info'!$B$40))))</f>
        <v>67980 - 68061</v>
      </c>
      <c r="T1796" s="100">
        <f>SamplingData[[#This Row],[Upper Range]]-SamplingData[[#This Row],[Span]]</f>
        <v>67979.876515659402</v>
      </c>
      <c r="U1796" s="100">
        <f>IF(ISNUMBER('General Info'!$B$40), ((SamplingData[[#This Row],[up/U Selection Probability]]) * 'General Info'!$B$40) - 1, 0)</f>
        <v>81.389236466185906</v>
      </c>
      <c r="V1796" s="100">
        <f>IF(ISNUMBER('General Info'!$B$40), (SamplingData[[#This Row],[Running (cumulative) sum]] * ('General Info'!$B$40 -'General Info'!$B$41 + 1)) + 'General Info'!$B$41 - 1, 0)</f>
        <v>68061.26575212559</v>
      </c>
      <c r="W1796" s="100" t="str">
        <f>IF(ISERROR(MATCH(SamplingData[[#This Row],[Batch by Type (p)]],SelectedPrecincts[Batch Name], 0)), "", INDEX(SelectedPrecincts[Draw], MATCH(SamplingData[[#This Row],[Batch by Type (p)]],SelectedPrecincts[Batch Name], 0)))</f>
        <v/>
      </c>
      <c r="X1796" s="102">
        <f>IF(COUNTIF(SelectedPrecincts[Batch Name],SamplingData[[#This Row],[Batch by Type (p)]]) &lt;&gt; 0, COUNTIF(SelectedPrecincts[Batch Name],SamplingData[[#This Row],[Batch by Type (p)]]), 0)</f>
        <v>0</v>
      </c>
    </row>
    <row r="1797" spans="1:24" ht="15" customHeight="1">
      <c r="A1797" s="18" t="s">
        <v>1973</v>
      </c>
      <c r="B1797" s="18">
        <v>8</v>
      </c>
      <c r="C1797" s="18">
        <v>78</v>
      </c>
      <c r="D1797" s="16">
        <v>9</v>
      </c>
      <c r="E1797" s="16">
        <v>7</v>
      </c>
      <c r="F1797" s="37">
        <v>0</v>
      </c>
      <c r="G1797" s="37">
        <v>1</v>
      </c>
      <c r="H1797" s="17">
        <v>0</v>
      </c>
      <c r="I1797" s="17">
        <v>0</v>
      </c>
      <c r="J1797" s="99">
        <f>SUM(SamplingData[[#This Row],[Losing Candidate]:[Under Votes]])</f>
        <v>103</v>
      </c>
      <c r="K1797" s="100">
        <f>IF(AND(SamplingData[[#This Row],[Total]]&lt;&gt; 0, NOT(ISBLANK(SamplingData[[#This Row],[Losing Candidate]]))),(SamplingData[[#This Row],[Total]]+SamplingData[[#This Row],[Winning Candidate]]-SamplingData[[#This Row],[Losing Candidate]])/(SamplingData[[#Totals],[Winning Candidate]]-SamplingData[[#Totals],[Losing Candidate]]), 0)</f>
        <v>1.0595296423321901E-2</v>
      </c>
      <c r="L1797" s="100">
        <f>IF(AND(SamplingData[[#This Row],[Total]]&lt;&gt; 0, NOT(ISBLANK(SamplingData[[#This Row],[Candidate 3]]))),(SamplingData[[#This Row],[Total]]+SamplingData[[#This Row],[Winning Candidate]]-SamplingData[[#This Row],[Candidate 3]])/(SamplingData[[#Totals],[Winning Candidate]]-SamplingData[[#Totals],[Candidate 3]]), 0)</f>
        <v>5.5489240894280095E-3</v>
      </c>
      <c r="M1797" s="100">
        <f>IF(AND(SamplingData[[#This Row],[Total]]&lt;&gt; 0, NOT(ISBLANK(SamplingData[[#This Row],[Candidate 4]]))),(SamplingData[[#This Row],[Total]]+SamplingData[[#This Row],[Winning Candidate]]-SamplingData[[#This Row],[Candidate 4]])/(SamplingData[[#Totals],[Winning Candidate]]-SamplingData[[#Totals],[Candidate 4]]), 0)</f>
        <v>5.0863807769885114E-3</v>
      </c>
      <c r="N1797" s="100">
        <f>IF(AND(SamplingData[[#This Row],[Total]]&lt;&gt; 0, NOT(ISBLANK(SamplingData[[#This Row],[Candidate 5]]))),(SamplingData[[#This Row],[Total]]+SamplingData[[#This Row],[Winning Candidate]]-SamplingData[[#This Row],[Candidate 5]])/(SamplingData[[#Totals],[Winning Candidate]]-SamplingData[[#Totals],[Candidate 5]]), 0)</f>
        <v>4.4028216978837268E-3</v>
      </c>
      <c r="O1797" s="100">
        <f>IF(AND(SamplingData[[#This Row],[Total]]&lt;&gt; 0, NOT(ISBLANK(SamplingData[[#This Row],[Candidate 6]]))),(SamplingData[[#This Row],[Total]]+SamplingData[[#This Row],[Winning Candidate]]-SamplingData[[#This Row],[Candidate 6]])/(SamplingData[[#Totals],[Winning Candidate]]-SamplingData[[#Totals],[Candidate 6]]), 0)</f>
        <v>4.3772190068576428E-3</v>
      </c>
      <c r="P1797" s="100">
        <f>MAX(SamplingData[[#This Row],[Error Bound (up) - Max. possible relative overstatement - Losing Candidate]:[Error Bound (up) - Max. possible relative overstatement - Candidate 6]])</f>
        <v>1.0595296423321901E-2</v>
      </c>
      <c r="Q1797" s="100">
        <f>IF(SamplingData[[#This Row],[Max Error Bound (up)]] = 0,0,SamplingData[[#This Row],[Max Error Bound (up)]]/SamplingData[[#Totals],[Max Error Bound (up)]])</f>
        <v>1.6768800521711289E-3</v>
      </c>
      <c r="R1797" s="101">
        <f>SUM($Q$5:Q1797)</f>
        <v>0.6822995375734271</v>
      </c>
      <c r="S1797" s="100" t="str">
        <f t="array" ref="S1797">IF(SamplingData[[#This Row],[up/U Selection Probability]] = 0, "Zero", TEXT(SamplingData[[#This Row],[Lower Range]], REPT("0",LEN('General Info'!$B$40))) &amp; " - " &amp; TEXT(SamplingData[[#This Row],[Upper Range]], REPT("0",LEN('General Info'!$B$40))))</f>
        <v>68062 - 68229</v>
      </c>
      <c r="T1797" s="100">
        <f>SamplingData[[#This Row],[Upper Range]]-SamplingData[[#This Row],[Span]]</f>
        <v>68062.267429005646</v>
      </c>
      <c r="U1797" s="100">
        <f>IF(ISNUMBER('General Info'!$B$40), ((SamplingData[[#This Row],[up/U Selection Probability]]) * 'General Info'!$B$40) - 1, 0)</f>
        <v>166.68632833706073</v>
      </c>
      <c r="V1797" s="100">
        <f>IF(ISNUMBER('General Info'!$B$40), (SamplingData[[#This Row],[Running (cumulative) sum]] * ('General Info'!$B$40 -'General Info'!$B$41 + 1)) + 'General Info'!$B$41 - 1, 0)</f>
        <v>68228.953757342708</v>
      </c>
      <c r="W1797" s="100" t="str">
        <f>IF(ISERROR(MATCH(SamplingData[[#This Row],[Batch by Type (p)]],SelectedPrecincts[Batch Name], 0)), "", INDEX(SelectedPrecincts[Draw], MATCH(SamplingData[[#This Row],[Batch by Type (p)]],SelectedPrecincts[Batch Name], 0)))</f>
        <v/>
      </c>
      <c r="X1797" s="102">
        <f>IF(COUNTIF(SelectedPrecincts[Batch Name],SamplingData[[#This Row],[Batch by Type (p)]]) &lt;&gt; 0, COUNTIF(SelectedPrecincts[Batch Name],SamplingData[[#This Row],[Batch by Type (p)]]), 0)</f>
        <v>0</v>
      </c>
    </row>
    <row r="1798" spans="1:24" ht="15" customHeight="1">
      <c r="A1798" s="18" t="s">
        <v>1974</v>
      </c>
      <c r="B1798" s="18">
        <v>5</v>
      </c>
      <c r="C1798" s="18">
        <v>28</v>
      </c>
      <c r="D1798" s="18">
        <v>2</v>
      </c>
      <c r="E1798" s="18">
        <v>4</v>
      </c>
      <c r="F1798" s="18">
        <v>0</v>
      </c>
      <c r="G1798" s="18">
        <v>0</v>
      </c>
      <c r="H1798" s="18">
        <v>0</v>
      </c>
      <c r="I1798" s="18">
        <v>2</v>
      </c>
      <c r="J1798" s="99">
        <f>SUM(SamplingData[[#This Row],[Losing Candidate]:[Under Votes]])</f>
        <v>41</v>
      </c>
      <c r="K1798" s="100">
        <f>IF(AND(SamplingData[[#This Row],[Total]]&lt;&gt; 0, NOT(ISBLANK(SamplingData[[#This Row],[Losing Candidate]]))),(SamplingData[[#This Row],[Total]]+SamplingData[[#This Row],[Winning Candidate]]-SamplingData[[#This Row],[Losing Candidate]])/(SamplingData[[#Totals],[Winning Candidate]]-SamplingData[[#Totals],[Losing Candidate]]), 0)</f>
        <v>3.9196472317491425E-3</v>
      </c>
      <c r="L1798" s="100">
        <f>IF(AND(SamplingData[[#This Row],[Total]]&lt;&gt; 0, NOT(ISBLANK(SamplingData[[#This Row],[Candidate 3]]))),(SamplingData[[#This Row],[Total]]+SamplingData[[#This Row],[Winning Candidate]]-SamplingData[[#This Row],[Candidate 3]])/(SamplingData[[#Totals],[Winning Candidate]]-SamplingData[[#Totals],[Candidate 3]]), 0)</f>
        <v>2.1614994999516082E-3</v>
      </c>
      <c r="M1798" s="100">
        <f>IF(AND(SamplingData[[#This Row],[Total]]&lt;&gt; 0, NOT(ISBLANK(SamplingData[[#This Row],[Candidate 4]]))),(SamplingData[[#This Row],[Total]]+SamplingData[[#This Row],[Winning Candidate]]-SamplingData[[#This Row],[Candidate 4]])/(SamplingData[[#Totals],[Winning Candidate]]-SamplingData[[#Totals],[Candidate 4]]), 0)</f>
        <v>1.9000847730129499E-3</v>
      </c>
      <c r="N1798" s="100">
        <f>IF(AND(SamplingData[[#This Row],[Total]]&lt;&gt; 0, NOT(ISBLANK(SamplingData[[#This Row],[Candidate 5]]))),(SamplingData[[#This Row],[Total]]+SamplingData[[#This Row],[Winning Candidate]]-SamplingData[[#This Row],[Candidate 5]])/(SamplingData[[#Totals],[Winning Candidate]]-SamplingData[[#Totals],[Candidate 5]]), 0)</f>
        <v>1.678423741182194E-3</v>
      </c>
      <c r="O1798" s="100">
        <f>IF(AND(SamplingData[[#This Row],[Total]]&lt;&gt; 0, NOT(ISBLANK(SamplingData[[#This Row],[Candidate 6]]))),(SamplingData[[#This Row],[Total]]+SamplingData[[#This Row],[Winning Candidate]]-SamplingData[[#This Row],[Candidate 6]])/(SamplingData[[#Totals],[Winning Candidate]]-SamplingData[[#Totals],[Candidate 6]]), 0)</f>
        <v>1.6779339526287631E-3</v>
      </c>
      <c r="P1798" s="100">
        <f>MAX(SamplingData[[#This Row],[Error Bound (up) - Max. possible relative overstatement - Losing Candidate]:[Error Bound (up) - Max. possible relative overstatement - Candidate 6]])</f>
        <v>3.9196472317491425E-3</v>
      </c>
      <c r="Q1798" s="100">
        <f>IF(SamplingData[[#This Row],[Max Error Bound (up)]] = 0,0,SamplingData[[#This Row],[Max Error Bound (up)]]/SamplingData[[#Totals],[Max Error Bound (up)]])</f>
        <v>6.2034868982053322E-4</v>
      </c>
      <c r="R1798" s="101">
        <f>SUM($Q$5:Q1798)</f>
        <v>0.68291988626324762</v>
      </c>
      <c r="S1798" s="100" t="str">
        <f t="array" ref="S1798">IF(SamplingData[[#This Row],[up/U Selection Probability]] = 0, "Zero", TEXT(SamplingData[[#This Row],[Lower Range]], REPT("0",LEN('General Info'!$B$40))) &amp; " - " &amp; TEXT(SamplingData[[#This Row],[Upper Range]], REPT("0",LEN('General Info'!$B$40))))</f>
        <v>68230 - 68291</v>
      </c>
      <c r="T1798" s="100">
        <f>SamplingData[[#This Row],[Upper Range]]-SamplingData[[#This Row],[Span]]</f>
        <v>68229.954377691392</v>
      </c>
      <c r="U1798" s="100">
        <f>IF(ISNUMBER('General Info'!$B$40), ((SamplingData[[#This Row],[up/U Selection Probability]]) * 'General Info'!$B$40) - 1, 0)</f>
        <v>61.034248633363504</v>
      </c>
      <c r="V1798" s="100">
        <f>IF(ISNUMBER('General Info'!$B$40), (SamplingData[[#This Row],[Running (cumulative) sum]] * ('General Info'!$B$40 -'General Info'!$B$41 + 1)) + 'General Info'!$B$41 - 1, 0)</f>
        <v>68290.988626324761</v>
      </c>
      <c r="W1798" s="100" t="str">
        <f>IF(ISERROR(MATCH(SamplingData[[#This Row],[Batch by Type (p)]],SelectedPrecincts[Batch Name], 0)), "", INDEX(SelectedPrecincts[Draw], MATCH(SamplingData[[#This Row],[Batch by Type (p)]],SelectedPrecincts[Batch Name], 0)))</f>
        <v/>
      </c>
      <c r="X1798" s="102">
        <f>IF(COUNTIF(SelectedPrecincts[Batch Name],SamplingData[[#This Row],[Batch by Type (p)]]) &lt;&gt; 0, COUNTIF(SelectedPrecincts[Batch Name],SamplingData[[#This Row],[Batch by Type (p)]]), 0)</f>
        <v>0</v>
      </c>
    </row>
    <row r="1799" spans="1:24" ht="15" customHeight="1">
      <c r="A1799" s="18" t="s">
        <v>1975</v>
      </c>
      <c r="B1799" s="18">
        <v>15</v>
      </c>
      <c r="C1799" s="18">
        <v>128</v>
      </c>
      <c r="D1799" s="16">
        <v>9</v>
      </c>
      <c r="E1799" s="16">
        <v>6</v>
      </c>
      <c r="F1799" s="37">
        <v>0</v>
      </c>
      <c r="G1799" s="37">
        <v>1</v>
      </c>
      <c r="H1799" s="17">
        <v>0</v>
      </c>
      <c r="I1799" s="17">
        <v>2</v>
      </c>
      <c r="J1799" s="99">
        <f>SUM(SamplingData[[#This Row],[Losing Candidate]:[Under Votes]])</f>
        <v>161</v>
      </c>
      <c r="K1799" s="100">
        <f>IF(AND(SamplingData[[#This Row],[Total]]&lt;&gt; 0, NOT(ISBLANK(SamplingData[[#This Row],[Losing Candidate]]))),(SamplingData[[#This Row],[Total]]+SamplingData[[#This Row],[Winning Candidate]]-SamplingData[[#This Row],[Losing Candidate]])/(SamplingData[[#Totals],[Winning Candidate]]-SamplingData[[#Totals],[Losing Candidate]]), 0)</f>
        <v>1.6780989710926016E-2</v>
      </c>
      <c r="L1799" s="100">
        <f>IF(AND(SamplingData[[#This Row],[Total]]&lt;&gt; 0, NOT(ISBLANK(SamplingData[[#This Row],[Candidate 3]]))),(SamplingData[[#This Row],[Total]]+SamplingData[[#This Row],[Winning Candidate]]-SamplingData[[#This Row],[Candidate 3]])/(SamplingData[[#Totals],[Winning Candidate]]-SamplingData[[#Totals],[Candidate 3]]), 0)</f>
        <v>9.033132238603735E-3</v>
      </c>
      <c r="M1799" s="100">
        <f>IF(AND(SamplingData[[#This Row],[Total]]&lt;&gt; 0, NOT(ISBLANK(SamplingData[[#This Row],[Candidate 4]]))),(SamplingData[[#This Row],[Total]]+SamplingData[[#This Row],[Winning Candidate]]-SamplingData[[#This Row],[Candidate 4]])/(SamplingData[[#Totals],[Winning Candidate]]-SamplingData[[#Totals],[Candidate 4]]), 0)</f>
        <v>8.2726767809640743E-3</v>
      </c>
      <c r="N1799" s="100">
        <f>IF(AND(SamplingData[[#This Row],[Total]]&lt;&gt; 0, NOT(ISBLANK(SamplingData[[#This Row],[Candidate 5]]))),(SamplingData[[#This Row],[Total]]+SamplingData[[#This Row],[Winning Candidate]]-SamplingData[[#This Row],[Candidate 5]])/(SamplingData[[#Totals],[Winning Candidate]]-SamplingData[[#Totals],[Candidate 5]]), 0)</f>
        <v>7.0299197275602047E-3</v>
      </c>
      <c r="O1799" s="100">
        <f>IF(AND(SamplingData[[#This Row],[Total]]&lt;&gt; 0, NOT(ISBLANK(SamplingData[[#This Row],[Candidate 6]]))),(SamplingData[[#This Row],[Total]]+SamplingData[[#This Row],[Winning Candidate]]-SamplingData[[#This Row],[Candidate 6]])/(SamplingData[[#Totals],[Winning Candidate]]-SamplingData[[#Totals],[Candidate 6]]), 0)</f>
        <v>7.0035504109722292E-3</v>
      </c>
      <c r="P1799" s="100">
        <f>MAX(SamplingData[[#This Row],[Error Bound (up) - Max. possible relative overstatement - Losing Candidate]:[Error Bound (up) - Max. possible relative overstatement - Candidate 6]])</f>
        <v>1.6780989710926016E-2</v>
      </c>
      <c r="Q1799" s="100">
        <f>IF(SamplingData[[#This Row],[Max Error Bound (up)]] = 0,0,SamplingData[[#This Row],[Max Error Bound (up)]]/SamplingData[[#Totals],[Max Error Bound (up)]])</f>
        <v>2.6558678282941578E-3</v>
      </c>
      <c r="R1799" s="101">
        <f>SUM($Q$5:Q1799)</f>
        <v>0.68557575409154181</v>
      </c>
      <c r="S1799" s="100" t="str">
        <f t="array" ref="S1799">IF(SamplingData[[#This Row],[up/U Selection Probability]] = 0, "Zero", TEXT(SamplingData[[#This Row],[Lower Range]], REPT("0",LEN('General Info'!$B$40))) &amp; " - " &amp; TEXT(SamplingData[[#This Row],[Upper Range]], REPT("0",LEN('General Info'!$B$40))))</f>
        <v>68292 - 68557</v>
      </c>
      <c r="T1799" s="100">
        <f>SamplingData[[#This Row],[Upper Range]]-SamplingData[[#This Row],[Span]]</f>
        <v>68291.991282192583</v>
      </c>
      <c r="U1799" s="100">
        <f>IF(ISNUMBER('General Info'!$B$40), ((SamplingData[[#This Row],[up/U Selection Probability]]) * 'General Info'!$B$40) - 1, 0)</f>
        <v>264.58412696158746</v>
      </c>
      <c r="V1799" s="100">
        <f>IF(ISNUMBER('General Info'!$B$40), (SamplingData[[#This Row],[Running (cumulative) sum]] * ('General Info'!$B$40 -'General Info'!$B$41 + 1)) + 'General Info'!$B$41 - 1, 0)</f>
        <v>68556.575409154175</v>
      </c>
      <c r="W1799" s="100" t="str">
        <f>IF(ISERROR(MATCH(SamplingData[[#This Row],[Batch by Type (p)]],SelectedPrecincts[Batch Name], 0)), "", INDEX(SelectedPrecincts[Draw], MATCH(SamplingData[[#This Row],[Batch by Type (p)]],SelectedPrecincts[Batch Name], 0)))</f>
        <v/>
      </c>
      <c r="X1799" s="102">
        <f>IF(COUNTIF(SelectedPrecincts[Batch Name],SamplingData[[#This Row],[Batch by Type (p)]]) &lt;&gt; 0, COUNTIF(SelectedPrecincts[Batch Name],SamplingData[[#This Row],[Batch by Type (p)]]), 0)</f>
        <v>0</v>
      </c>
    </row>
    <row r="1800" spans="1:24" ht="15" customHeight="1">
      <c r="A1800" s="18" t="s">
        <v>1976</v>
      </c>
      <c r="B1800" s="18">
        <v>11</v>
      </c>
      <c r="C1800" s="18">
        <v>48</v>
      </c>
      <c r="D1800" s="18">
        <v>9</v>
      </c>
      <c r="E1800" s="18">
        <v>2</v>
      </c>
      <c r="F1800" s="18">
        <v>1</v>
      </c>
      <c r="G1800" s="18">
        <v>0</v>
      </c>
      <c r="H1800" s="18">
        <v>0</v>
      </c>
      <c r="I1800" s="18">
        <v>1</v>
      </c>
      <c r="J1800" s="99">
        <f>SUM(SamplingData[[#This Row],[Losing Candidate]:[Under Votes]])</f>
        <v>72</v>
      </c>
      <c r="K1800" s="100">
        <f>IF(AND(SamplingData[[#This Row],[Total]]&lt;&gt; 0, NOT(ISBLANK(SamplingData[[#This Row],[Losing Candidate]]))),(SamplingData[[#This Row],[Total]]+SamplingData[[#This Row],[Winning Candidate]]-SamplingData[[#This Row],[Losing Candidate]])/(SamplingData[[#Totals],[Winning Candidate]]-SamplingData[[#Totals],[Losing Candidate]]), 0)</f>
        <v>6.6756491915727582E-3</v>
      </c>
      <c r="L1800" s="100">
        <f>IF(AND(SamplingData[[#This Row],[Total]]&lt;&gt; 0, NOT(ISBLANK(SamplingData[[#This Row],[Candidate 3]]))),(SamplingData[[#This Row],[Total]]+SamplingData[[#This Row],[Winning Candidate]]-SamplingData[[#This Row],[Candidate 3]])/(SamplingData[[#Totals],[Winning Candidate]]-SamplingData[[#Totals],[Candidate 3]]), 0)</f>
        <v>3.5809917088750524E-3</v>
      </c>
      <c r="M1800" s="100">
        <f>IF(AND(SamplingData[[#This Row],[Total]]&lt;&gt; 0, NOT(ISBLANK(SamplingData[[#This Row],[Candidate 4]]))),(SamplingData[[#This Row],[Total]]+SamplingData[[#This Row],[Winning Candidate]]-SamplingData[[#This Row],[Candidate 4]])/(SamplingData[[#Totals],[Winning Candidate]]-SamplingData[[#Totals],[Candidate 4]]), 0)</f>
        <v>3.4493846648542782E-3</v>
      </c>
      <c r="N1800" s="100">
        <f>IF(AND(SamplingData[[#This Row],[Total]]&lt;&gt; 0, NOT(ISBLANK(SamplingData[[#This Row],[Candidate 5]]))),(SamplingData[[#This Row],[Total]]+SamplingData[[#This Row],[Winning Candidate]]-SamplingData[[#This Row],[Candidate 5]])/(SamplingData[[#Totals],[Winning Candidate]]-SamplingData[[#Totals],[Candidate 5]]), 0)</f>
        <v>2.8946728289953785E-3</v>
      </c>
      <c r="O1800" s="100">
        <f>IF(AND(SamplingData[[#This Row],[Total]]&lt;&gt; 0, NOT(ISBLANK(SamplingData[[#This Row],[Candidate 6]]))),(SamplingData[[#This Row],[Total]]+SamplingData[[#This Row],[Winning Candidate]]-SamplingData[[#This Row],[Candidate 6]])/(SamplingData[[#Totals],[Winning Candidate]]-SamplingData[[#Totals],[Candidate 6]]), 0)</f>
        <v>2.9181460045717622E-3</v>
      </c>
      <c r="P1800" s="100">
        <f>MAX(SamplingData[[#This Row],[Error Bound (up) - Max. possible relative overstatement - Losing Candidate]:[Error Bound (up) - Max. possible relative overstatement - Candidate 6]])</f>
        <v>6.6756491915727582E-3</v>
      </c>
      <c r="Q1800" s="100">
        <f>IF(SamplingData[[#This Row],[Max Error Bound (up)]] = 0,0,SamplingData[[#This Row],[Max Error Bound (up)]]/SamplingData[[#Totals],[Max Error Bound (up)]])</f>
        <v>1.0565313623505956E-3</v>
      </c>
      <c r="R1800" s="101">
        <f>SUM($Q$5:Q1800)</f>
        <v>0.68663228545389243</v>
      </c>
      <c r="S1800" s="100" t="str">
        <f t="array" ref="S1800">IF(SamplingData[[#This Row],[up/U Selection Probability]] = 0, "Zero", TEXT(SamplingData[[#This Row],[Lower Range]], REPT("0",LEN('General Info'!$B$40))) &amp; " - " &amp; TEXT(SamplingData[[#This Row],[Upper Range]], REPT("0",LEN('General Info'!$B$40))))</f>
        <v>68558 - 68662</v>
      </c>
      <c r="T1800" s="100">
        <f>SamplingData[[#This Row],[Upper Range]]-SamplingData[[#This Row],[Span]]</f>
        <v>68557.576465685546</v>
      </c>
      <c r="U1800" s="100">
        <f>IF(ISNUMBER('General Info'!$B$40), ((SamplingData[[#This Row],[up/U Selection Probability]]) * 'General Info'!$B$40) - 1, 0)</f>
        <v>104.65207970369721</v>
      </c>
      <c r="V1800" s="100">
        <f>IF(ISNUMBER('General Info'!$B$40), (SamplingData[[#This Row],[Running (cumulative) sum]] * ('General Info'!$B$40 -'General Info'!$B$41 + 1)) + 'General Info'!$B$41 - 1, 0)</f>
        <v>68662.22854538924</v>
      </c>
      <c r="W1800" s="100" t="str">
        <f>IF(ISERROR(MATCH(SamplingData[[#This Row],[Batch by Type (p)]],SelectedPrecincts[Batch Name], 0)), "", INDEX(SelectedPrecincts[Draw], MATCH(SamplingData[[#This Row],[Batch by Type (p)]],SelectedPrecincts[Batch Name], 0)))</f>
        <v/>
      </c>
      <c r="X1800" s="102">
        <f>IF(COUNTIF(SelectedPrecincts[Batch Name],SamplingData[[#This Row],[Batch by Type (p)]]) &lt;&gt; 0, COUNTIF(SelectedPrecincts[Batch Name],SamplingData[[#This Row],[Batch by Type (p)]]), 0)</f>
        <v>0</v>
      </c>
    </row>
    <row r="1801" spans="1:24" ht="15" customHeight="1">
      <c r="A1801" s="18" t="s">
        <v>1977</v>
      </c>
      <c r="B1801" s="18">
        <v>15</v>
      </c>
      <c r="C1801" s="18">
        <v>91</v>
      </c>
      <c r="D1801" s="16">
        <v>10</v>
      </c>
      <c r="E1801" s="16">
        <v>2</v>
      </c>
      <c r="F1801" s="37">
        <v>1</v>
      </c>
      <c r="G1801" s="37">
        <v>0</v>
      </c>
      <c r="H1801" s="17">
        <v>0</v>
      </c>
      <c r="I1801" s="17">
        <v>1</v>
      </c>
      <c r="J1801" s="99">
        <f>SUM(SamplingData[[#This Row],[Losing Candidate]:[Under Votes]])</f>
        <v>120</v>
      </c>
      <c r="K1801" s="100">
        <f>IF(AND(SamplingData[[#This Row],[Total]]&lt;&gt; 0, NOT(ISBLANK(SamplingData[[#This Row],[Losing Candidate]]))),(SamplingData[[#This Row],[Total]]+SamplingData[[#This Row],[Winning Candidate]]-SamplingData[[#This Row],[Losing Candidate]])/(SamplingData[[#Totals],[Winning Candidate]]-SamplingData[[#Totals],[Losing Candidate]]), 0)</f>
        <v>1.2003919647231749E-2</v>
      </c>
      <c r="L1801" s="100">
        <f>IF(AND(SamplingData[[#This Row],[Total]]&lt;&gt; 0, NOT(ISBLANK(SamplingData[[#This Row],[Candidate 3]]))),(SamplingData[[#This Row],[Total]]+SamplingData[[#This Row],[Winning Candidate]]-SamplingData[[#This Row],[Candidate 3]])/(SamplingData[[#Totals],[Winning Candidate]]-SamplingData[[#Totals],[Candidate 3]]), 0)</f>
        <v>6.4844984998548251E-3</v>
      </c>
      <c r="M1801" s="100">
        <f>IF(AND(SamplingData[[#This Row],[Total]]&lt;&gt; 0, NOT(ISBLANK(SamplingData[[#This Row],[Candidate 4]]))),(SamplingData[[#This Row],[Total]]+SamplingData[[#This Row],[Winning Candidate]]-SamplingData[[#This Row],[Candidate 4]])/(SamplingData[[#Totals],[Winning Candidate]]-SamplingData[[#Totals],[Candidate 4]]), 0)</f>
        <v>6.1095033470724078E-3</v>
      </c>
      <c r="N1801" s="100">
        <f>IF(AND(SamplingData[[#This Row],[Total]]&lt;&gt; 0, NOT(ISBLANK(SamplingData[[#This Row],[Candidate 5]]))),(SamplingData[[#This Row],[Total]]+SamplingData[[#This Row],[Winning Candidate]]-SamplingData[[#This Row],[Candidate 5]])/(SamplingData[[#Totals],[Winning Candidate]]-SamplingData[[#Totals],[Candidate 5]]), 0)</f>
        <v>5.1082461688153735E-3</v>
      </c>
      <c r="O1801" s="100">
        <f>IF(AND(SamplingData[[#This Row],[Total]]&lt;&gt; 0, NOT(ISBLANK(SamplingData[[#This Row],[Candidate 6]]))),(SamplingData[[#This Row],[Total]]+SamplingData[[#This Row],[Winning Candidate]]-SamplingData[[#This Row],[Candidate 6]])/(SamplingData[[#Totals],[Winning Candidate]]-SamplingData[[#Totals],[Candidate 6]]), 0)</f>
        <v>5.1310733913720154E-3</v>
      </c>
      <c r="P1801" s="100">
        <f>MAX(SamplingData[[#This Row],[Error Bound (up) - Max. possible relative overstatement - Losing Candidate]:[Error Bound (up) - Max. possible relative overstatement - Candidate 6]])</f>
        <v>1.2003919647231749E-2</v>
      </c>
      <c r="Q1801" s="100">
        <f>IF(SamplingData[[#This Row],[Max Error Bound (up)]] = 0,0,SamplingData[[#This Row],[Max Error Bound (up)]]/SamplingData[[#Totals],[Max Error Bound (up)]])</f>
        <v>1.8998178625753829E-3</v>
      </c>
      <c r="R1801" s="101">
        <f>SUM($Q$5:Q1801)</f>
        <v>0.68853210331646786</v>
      </c>
      <c r="S1801" s="100" t="str">
        <f t="array" ref="S1801">IF(SamplingData[[#This Row],[up/U Selection Probability]] = 0, "Zero", TEXT(SamplingData[[#This Row],[Lower Range]], REPT("0",LEN('General Info'!$B$40))) &amp; " - " &amp; TEXT(SamplingData[[#This Row],[Upper Range]], REPT("0",LEN('General Info'!$B$40))))</f>
        <v>68663 - 68852</v>
      </c>
      <c r="T1801" s="100">
        <f>SamplingData[[#This Row],[Upper Range]]-SamplingData[[#This Row],[Span]]</f>
        <v>68663.230445207111</v>
      </c>
      <c r="U1801" s="100">
        <f>IF(ISNUMBER('General Info'!$B$40), ((SamplingData[[#This Row],[up/U Selection Probability]]) * 'General Info'!$B$40) - 1, 0)</f>
        <v>188.97988643967571</v>
      </c>
      <c r="V1801" s="100">
        <f>IF(ISNUMBER('General Info'!$B$40), (SamplingData[[#This Row],[Running (cumulative) sum]] * ('General Info'!$B$40 -'General Info'!$B$41 + 1)) + 'General Info'!$B$41 - 1, 0)</f>
        <v>68852.210331646784</v>
      </c>
      <c r="W1801" s="100" t="str">
        <f>IF(ISERROR(MATCH(SamplingData[[#This Row],[Batch by Type (p)]],SelectedPrecincts[Batch Name], 0)), "", INDEX(SelectedPrecincts[Draw], MATCH(SamplingData[[#This Row],[Batch by Type (p)]],SelectedPrecincts[Batch Name], 0)))</f>
        <v/>
      </c>
      <c r="X1801" s="102">
        <f>IF(COUNTIF(SelectedPrecincts[Batch Name],SamplingData[[#This Row],[Batch by Type (p)]]) &lt;&gt; 0, COUNTIF(SelectedPrecincts[Batch Name],SamplingData[[#This Row],[Batch by Type (p)]]), 0)</f>
        <v>0</v>
      </c>
    </row>
    <row r="1802" spans="1:24" ht="15" customHeight="1">
      <c r="A1802" s="18" t="s">
        <v>1978</v>
      </c>
      <c r="B1802" s="18">
        <v>7</v>
      </c>
      <c r="C1802" s="18">
        <v>36</v>
      </c>
      <c r="D1802" s="18">
        <v>6</v>
      </c>
      <c r="E1802" s="18">
        <v>3</v>
      </c>
      <c r="F1802" s="18">
        <v>0</v>
      </c>
      <c r="G1802" s="18">
        <v>0</v>
      </c>
      <c r="H1802" s="18">
        <v>0</v>
      </c>
      <c r="I1802" s="18">
        <v>0</v>
      </c>
      <c r="J1802" s="99">
        <f>SUM(SamplingData[[#This Row],[Losing Candidate]:[Under Votes]])</f>
        <v>52</v>
      </c>
      <c r="K1802"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1802" s="100">
        <f>IF(AND(SamplingData[[#This Row],[Total]]&lt;&gt; 0, NOT(ISBLANK(SamplingData[[#This Row],[Candidate 3]]))),(SamplingData[[#This Row],[Total]]+SamplingData[[#This Row],[Winning Candidate]]-SamplingData[[#This Row],[Candidate 3]])/(SamplingData[[#Totals],[Winning Candidate]]-SamplingData[[#Totals],[Candidate 3]]), 0)</f>
        <v>2.6454172984482368E-3</v>
      </c>
      <c r="M1802" s="100">
        <f>IF(AND(SamplingData[[#This Row],[Total]]&lt;&gt; 0, NOT(ISBLANK(SamplingData[[#This Row],[Candidate 4]]))),(SamplingData[[#This Row],[Total]]+SamplingData[[#This Row],[Winning Candidate]]-SamplingData[[#This Row],[Candidate 4]])/(SamplingData[[#Totals],[Winning Candidate]]-SamplingData[[#Totals],[Candidate 4]]), 0)</f>
        <v>2.4847262416323188E-3</v>
      </c>
      <c r="N1802" s="100">
        <f>IF(AND(SamplingData[[#This Row],[Total]]&lt;&gt; 0, NOT(ISBLANK(SamplingData[[#This Row],[Candidate 5]]))),(SamplingData[[#This Row],[Total]]+SamplingData[[#This Row],[Winning Candidate]]-SamplingData[[#This Row],[Candidate 5]])/(SamplingData[[#Totals],[Winning Candidate]]-SamplingData[[#Totals],[Candidate 5]]), 0)</f>
        <v>2.1405983945512043E-3</v>
      </c>
      <c r="O1802" s="100">
        <f>IF(AND(SamplingData[[#This Row],[Total]]&lt;&gt; 0, NOT(ISBLANK(SamplingData[[#This Row],[Candidate 6]]))),(SamplingData[[#This Row],[Total]]+SamplingData[[#This Row],[Winning Candidate]]-SamplingData[[#This Row],[Candidate 6]])/(SamplingData[[#Totals],[Winning Candidate]]-SamplingData[[#Totals],[Candidate 6]]), 0)</f>
        <v>2.1399737366859586E-3</v>
      </c>
      <c r="P1802" s="100">
        <f>MAX(SamplingData[[#This Row],[Error Bound (up) - Max. possible relative overstatement - Losing Candidate]:[Error Bound (up) - Max. possible relative overstatement - Candidate 6]])</f>
        <v>4.9608035276825085E-3</v>
      </c>
      <c r="Q1802" s="100">
        <f>IF(SamplingData[[#This Row],[Max Error Bound (up)]] = 0,0,SamplingData[[#This Row],[Max Error Bound (up)]]/SamplingData[[#Totals],[Max Error Bound (up)]])</f>
        <v>7.8512881055411239E-4</v>
      </c>
      <c r="R1802" s="101">
        <f>SUM($Q$5:Q1802)</f>
        <v>0.68931723212702201</v>
      </c>
      <c r="S1802" s="100" t="str">
        <f t="array" ref="S1802">IF(SamplingData[[#This Row],[up/U Selection Probability]] = 0, "Zero", TEXT(SamplingData[[#This Row],[Lower Range]], REPT("0",LEN('General Info'!$B$40))) &amp; " - " &amp; TEXT(SamplingData[[#This Row],[Upper Range]], REPT("0",LEN('General Info'!$B$40))))</f>
        <v>68853 - 68931</v>
      </c>
      <c r="T1802" s="100">
        <f>SamplingData[[#This Row],[Upper Range]]-SamplingData[[#This Row],[Span]]</f>
        <v>68853.211116775594</v>
      </c>
      <c r="U1802" s="100">
        <f>IF(ISNUMBER('General Info'!$B$40), ((SamplingData[[#This Row],[up/U Selection Probability]]) * 'General Info'!$B$40) - 1, 0)</f>
        <v>77.512095926600679</v>
      </c>
      <c r="V1802" s="100">
        <f>IF(ISNUMBER('General Info'!$B$40), (SamplingData[[#This Row],[Running (cumulative) sum]] * ('General Info'!$B$40 -'General Info'!$B$41 + 1)) + 'General Info'!$B$41 - 1, 0)</f>
        <v>68930.7232127022</v>
      </c>
      <c r="W1802" s="100" t="str">
        <f>IF(ISERROR(MATCH(SamplingData[[#This Row],[Batch by Type (p)]],SelectedPrecincts[Batch Name], 0)), "", INDEX(SelectedPrecincts[Draw], MATCH(SamplingData[[#This Row],[Batch by Type (p)]],SelectedPrecincts[Batch Name], 0)))</f>
        <v/>
      </c>
      <c r="X1802" s="102">
        <f>IF(COUNTIF(SelectedPrecincts[Batch Name],SamplingData[[#This Row],[Batch by Type (p)]]) &lt;&gt; 0, COUNTIF(SelectedPrecincts[Batch Name],SamplingData[[#This Row],[Batch by Type (p)]]), 0)</f>
        <v>0</v>
      </c>
    </row>
    <row r="1803" spans="1:24" ht="15" customHeight="1">
      <c r="A1803" s="18" t="s">
        <v>1979</v>
      </c>
      <c r="B1803" s="18">
        <v>40</v>
      </c>
      <c r="C1803" s="18">
        <v>45</v>
      </c>
      <c r="D1803" s="16">
        <v>7</v>
      </c>
      <c r="E1803" s="16">
        <v>7</v>
      </c>
      <c r="F1803" s="37">
        <v>1</v>
      </c>
      <c r="G1803" s="37">
        <v>0</v>
      </c>
      <c r="H1803" s="17">
        <v>0</v>
      </c>
      <c r="I1803" s="17">
        <v>1</v>
      </c>
      <c r="J1803" s="99">
        <f>SUM(SamplingData[[#This Row],[Losing Candidate]:[Under Votes]])</f>
        <v>101</v>
      </c>
      <c r="K1803" s="100">
        <f>IF(AND(SamplingData[[#This Row],[Total]]&lt;&gt; 0, NOT(ISBLANK(SamplingData[[#This Row],[Losing Candidate]]))),(SamplingData[[#This Row],[Total]]+SamplingData[[#This Row],[Winning Candidate]]-SamplingData[[#This Row],[Losing Candidate]])/(SamplingData[[#Totals],[Winning Candidate]]-SamplingData[[#Totals],[Losing Candidate]]), 0)</f>
        <v>6.4919157275845178E-3</v>
      </c>
      <c r="L1803" s="100">
        <f>IF(AND(SamplingData[[#This Row],[Total]]&lt;&gt; 0, NOT(ISBLANK(SamplingData[[#This Row],[Candidate 3]]))),(SamplingData[[#This Row],[Total]]+SamplingData[[#This Row],[Winning Candidate]]-SamplingData[[#This Row],[Candidate 3]])/(SamplingData[[#Totals],[Winning Candidate]]-SamplingData[[#Totals],[Candidate 3]]), 0)</f>
        <v>4.4843049327354259E-3</v>
      </c>
      <c r="M1803" s="100">
        <f>IF(AND(SamplingData[[#This Row],[Total]]&lt;&gt; 0, NOT(ISBLANK(SamplingData[[#This Row],[Candidate 4]]))),(SamplingData[[#This Row],[Total]]+SamplingData[[#This Row],[Winning Candidate]]-SamplingData[[#This Row],[Candidate 4]])/(SamplingData[[#Totals],[Winning Candidate]]-SamplingData[[#Totals],[Candidate 4]]), 0)</f>
        <v>4.063258206904616E-3</v>
      </c>
      <c r="N1803" s="100">
        <f>IF(AND(SamplingData[[#This Row],[Total]]&lt;&gt; 0, NOT(ISBLANK(SamplingData[[#This Row],[Candidate 5]]))),(SamplingData[[#This Row],[Total]]+SamplingData[[#This Row],[Winning Candidate]]-SamplingData[[#This Row],[Candidate 5]])/(SamplingData[[#Totals],[Winning Candidate]]-SamplingData[[#Totals],[Candidate 5]]), 0)</f>
        <v>3.5271223546582339E-3</v>
      </c>
      <c r="O1803" s="100">
        <f>IF(AND(SamplingData[[#This Row],[Total]]&lt;&gt; 0, NOT(ISBLANK(SamplingData[[#This Row],[Candidate 6]]))),(SamplingData[[#This Row],[Total]]+SamplingData[[#This Row],[Winning Candidate]]-SamplingData[[#This Row],[Candidate 6]])/(SamplingData[[#Totals],[Winning Candidate]]-SamplingData[[#Totals],[Candidate 6]]), 0)</f>
        <v>3.5504109722289774E-3</v>
      </c>
      <c r="P1803" s="100">
        <f>MAX(SamplingData[[#This Row],[Error Bound (up) - Max. possible relative overstatement - Losing Candidate]:[Error Bound (up) - Max. possible relative overstatement - Candidate 6]])</f>
        <v>6.4919157275845178E-3</v>
      </c>
      <c r="Q1803" s="100">
        <f>IF(SamplingData[[#This Row],[Max Error Bound (up)]] = 0,0,SamplingData[[#This Row],[Max Error Bound (up)]]/SamplingData[[#Totals],[Max Error Bound (up)]])</f>
        <v>1.0274525175152582E-3</v>
      </c>
      <c r="R1803" s="101">
        <f>SUM($Q$5:Q1803)</f>
        <v>0.69034468464453724</v>
      </c>
      <c r="S1803" s="100" t="str">
        <f t="array" ref="S1803">IF(SamplingData[[#This Row],[up/U Selection Probability]] = 0, "Zero", TEXT(SamplingData[[#This Row],[Lower Range]], REPT("0",LEN('General Info'!$B$40))) &amp; " - " &amp; TEXT(SamplingData[[#This Row],[Upper Range]], REPT("0",LEN('General Info'!$B$40))))</f>
        <v>68932 - 69033</v>
      </c>
      <c r="T1803" s="100">
        <f>SamplingData[[#This Row],[Upper Range]]-SamplingData[[#This Row],[Span]]</f>
        <v>68931.724240154712</v>
      </c>
      <c r="U1803" s="100">
        <f>IF(ISNUMBER('General Info'!$B$40), ((SamplingData[[#This Row],[up/U Selection Probability]]) * 'General Info'!$B$40) - 1, 0)</f>
        <v>101.74422429900831</v>
      </c>
      <c r="V1803" s="100">
        <f>IF(ISNUMBER('General Info'!$B$40), (SamplingData[[#This Row],[Running (cumulative) sum]] * ('General Info'!$B$40 -'General Info'!$B$41 + 1)) + 'General Info'!$B$41 - 1, 0)</f>
        <v>69033.468464453719</v>
      </c>
      <c r="W1803" s="100" t="str">
        <f>IF(ISERROR(MATCH(SamplingData[[#This Row],[Batch by Type (p)]],SelectedPrecincts[Batch Name], 0)), "", INDEX(SelectedPrecincts[Draw], MATCH(SamplingData[[#This Row],[Batch by Type (p)]],SelectedPrecincts[Batch Name], 0)))</f>
        <v/>
      </c>
      <c r="X1803" s="102">
        <f>IF(COUNTIF(SelectedPrecincts[Batch Name],SamplingData[[#This Row],[Batch by Type (p)]]) &lt;&gt; 0, COUNTIF(SelectedPrecincts[Batch Name],SamplingData[[#This Row],[Batch by Type (p)]]), 0)</f>
        <v>0</v>
      </c>
    </row>
    <row r="1804" spans="1:24" ht="15" customHeight="1">
      <c r="A1804" s="18" t="s">
        <v>1980</v>
      </c>
      <c r="B1804" s="18">
        <v>13</v>
      </c>
      <c r="C1804" s="18">
        <v>19</v>
      </c>
      <c r="D1804" s="18">
        <v>5</v>
      </c>
      <c r="E1804" s="18">
        <v>2</v>
      </c>
      <c r="F1804" s="18">
        <v>0</v>
      </c>
      <c r="G1804" s="18">
        <v>0</v>
      </c>
      <c r="H1804" s="18">
        <v>0</v>
      </c>
      <c r="I1804" s="18">
        <v>0</v>
      </c>
      <c r="J1804" s="99">
        <f>SUM(SamplingData[[#This Row],[Losing Candidate]:[Under Votes]])</f>
        <v>39</v>
      </c>
      <c r="K1804"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1804" s="100">
        <f>IF(AND(SamplingData[[#This Row],[Total]]&lt;&gt; 0, NOT(ISBLANK(SamplingData[[#This Row],[Candidate 3]]))),(SamplingData[[#This Row],[Total]]+SamplingData[[#This Row],[Winning Candidate]]-SamplingData[[#This Row],[Candidate 3]])/(SamplingData[[#Totals],[Winning Candidate]]-SamplingData[[#Totals],[Candidate 3]]), 0)</f>
        <v>1.7098428880214214E-3</v>
      </c>
      <c r="M1804" s="100">
        <f>IF(AND(SamplingData[[#This Row],[Total]]&lt;&gt; 0, NOT(ISBLANK(SamplingData[[#This Row],[Candidate 4]]))),(SamplingData[[#This Row],[Total]]+SamplingData[[#This Row],[Winning Candidate]]-SamplingData[[#This Row],[Candidate 4]])/(SamplingData[[#Totals],[Winning Candidate]]-SamplingData[[#Totals],[Candidate 4]]), 0)</f>
        <v>1.6369961121342337E-3</v>
      </c>
      <c r="N1804" s="100">
        <f>IF(AND(SamplingData[[#This Row],[Total]]&lt;&gt; 0, NOT(ISBLANK(SamplingData[[#This Row],[Candidate 5]]))),(SamplingData[[#This Row],[Total]]+SamplingData[[#This Row],[Winning Candidate]]-SamplingData[[#This Row],[Candidate 5]])/(SamplingData[[#Totals],[Winning Candidate]]-SamplingData[[#Totals],[Candidate 5]]), 0)</f>
        <v>1.4108489418632937E-3</v>
      </c>
      <c r="O1804" s="100">
        <f>IF(AND(SamplingData[[#This Row],[Total]]&lt;&gt; 0, NOT(ISBLANK(SamplingData[[#This Row],[Candidate 6]]))),(SamplingData[[#This Row],[Total]]+SamplingData[[#This Row],[Winning Candidate]]-SamplingData[[#This Row],[Candidate 6]])/(SamplingData[[#Totals],[Winning Candidate]]-SamplingData[[#Totals],[Candidate 6]]), 0)</f>
        <v>1.4104372355430183E-3</v>
      </c>
      <c r="P1804" s="100">
        <f>MAX(SamplingData[[#This Row],[Error Bound (up) - Max. possible relative overstatement - Losing Candidate]:[Error Bound (up) - Max. possible relative overstatement - Candidate 6]])</f>
        <v>2.7560019598236157E-3</v>
      </c>
      <c r="Q1804" s="100">
        <f>IF(SamplingData[[#This Row],[Max Error Bound (up)]] = 0,0,SamplingData[[#This Row],[Max Error Bound (up)]]/SamplingData[[#Totals],[Max Error Bound (up)]])</f>
        <v>4.3618267253006237E-4</v>
      </c>
      <c r="R1804" s="101">
        <f>SUM($Q$5:Q1804)</f>
        <v>0.69078086731706734</v>
      </c>
      <c r="S1804" s="100" t="str">
        <f t="array" ref="S1804">IF(SamplingData[[#This Row],[up/U Selection Probability]] = 0, "Zero", TEXT(SamplingData[[#This Row],[Lower Range]], REPT("0",LEN('General Info'!$B$40))) &amp; " - " &amp; TEXT(SamplingData[[#This Row],[Upper Range]], REPT("0",LEN('General Info'!$B$40))))</f>
        <v>69034 - 69077</v>
      </c>
      <c r="T1804" s="100">
        <f>SamplingData[[#This Row],[Upper Range]]-SamplingData[[#This Row],[Span]]</f>
        <v>69034.468900636391</v>
      </c>
      <c r="U1804" s="100">
        <f>IF(ISNUMBER('General Info'!$B$40), ((SamplingData[[#This Row],[up/U Selection Probability]]) * 'General Info'!$B$40) - 1, 0)</f>
        <v>42.617831070333708</v>
      </c>
      <c r="V1804" s="100">
        <f>IF(ISNUMBER('General Info'!$B$40), (SamplingData[[#This Row],[Running (cumulative) sum]] * ('General Info'!$B$40 -'General Info'!$B$41 + 1)) + 'General Info'!$B$41 - 1, 0)</f>
        <v>69077.086731706731</v>
      </c>
      <c r="W1804" s="100" t="str">
        <f>IF(ISERROR(MATCH(SamplingData[[#This Row],[Batch by Type (p)]],SelectedPrecincts[Batch Name], 0)), "", INDEX(SelectedPrecincts[Draw], MATCH(SamplingData[[#This Row],[Batch by Type (p)]],SelectedPrecincts[Batch Name], 0)))</f>
        <v/>
      </c>
      <c r="X1804" s="102">
        <f>IF(COUNTIF(SelectedPrecincts[Batch Name],SamplingData[[#This Row],[Batch by Type (p)]]) &lt;&gt; 0, COUNTIF(SelectedPrecincts[Batch Name],SamplingData[[#This Row],[Batch by Type (p)]]), 0)</f>
        <v>0</v>
      </c>
    </row>
    <row r="1805" spans="1:24" ht="15" customHeight="1">
      <c r="A1805" s="18" t="s">
        <v>1981</v>
      </c>
      <c r="B1805" s="18">
        <v>3</v>
      </c>
      <c r="C1805" s="18">
        <v>0</v>
      </c>
      <c r="D1805" s="16">
        <v>2</v>
      </c>
      <c r="E1805" s="16">
        <v>3</v>
      </c>
      <c r="F1805" s="37">
        <v>0</v>
      </c>
      <c r="G1805" s="37">
        <v>0</v>
      </c>
      <c r="H1805" s="17">
        <v>0</v>
      </c>
      <c r="I1805" s="17">
        <v>0</v>
      </c>
      <c r="J1805" s="99">
        <f>SUM(SamplingData[[#This Row],[Losing Candidate]:[Under Votes]])</f>
        <v>8</v>
      </c>
      <c r="K1805"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1805" s="100">
        <f>IF(AND(SamplingData[[#This Row],[Total]]&lt;&gt; 0, NOT(ISBLANK(SamplingData[[#This Row],[Candidate 3]]))),(SamplingData[[#This Row],[Total]]+SamplingData[[#This Row],[Winning Candidate]]-SamplingData[[#This Row],[Candidate 3]])/(SamplingData[[#Totals],[Winning Candidate]]-SamplingData[[#Totals],[Candidate 3]]), 0)</f>
        <v>1.9356711939865149E-4</v>
      </c>
      <c r="M1805" s="100">
        <f>IF(AND(SamplingData[[#This Row],[Total]]&lt;&gt; 0, NOT(ISBLANK(SamplingData[[#This Row],[Candidate 4]]))),(SamplingData[[#This Row],[Total]]+SamplingData[[#This Row],[Winning Candidate]]-SamplingData[[#This Row],[Candidate 4]])/(SamplingData[[#Totals],[Winning Candidate]]-SamplingData[[#Totals],[Candidate 4]]), 0)</f>
        <v>1.4616036715484231E-4</v>
      </c>
      <c r="N1805" s="100">
        <f>IF(AND(SamplingData[[#This Row],[Total]]&lt;&gt; 0, NOT(ISBLANK(SamplingData[[#This Row],[Candidate 5]]))),(SamplingData[[#This Row],[Total]]+SamplingData[[#This Row],[Winning Candidate]]-SamplingData[[#This Row],[Candidate 5]])/(SamplingData[[#Totals],[Winning Candidate]]-SamplingData[[#Totals],[Candidate 5]]), 0)</f>
        <v>1.9459985405010947E-4</v>
      </c>
      <c r="O1805" s="100">
        <f>IF(AND(SamplingData[[#This Row],[Total]]&lt;&gt; 0, NOT(ISBLANK(SamplingData[[#This Row],[Candidate 6]]))),(SamplingData[[#This Row],[Total]]+SamplingData[[#This Row],[Winning Candidate]]-SamplingData[[#This Row],[Candidate 6]])/(SamplingData[[#Totals],[Winning Candidate]]-SamplingData[[#Totals],[Candidate 6]]), 0)</f>
        <v>1.945430669714508E-4</v>
      </c>
      <c r="P1805" s="100">
        <f>MAX(SamplingData[[#This Row],[Error Bound (up) - Max. possible relative overstatement - Losing Candidate]:[Error Bound (up) - Max. possible relative overstatement - Candidate 6]])</f>
        <v>3.0622243998040176E-4</v>
      </c>
      <c r="Q1805" s="100">
        <f>IF(SamplingData[[#This Row],[Max Error Bound (up)]] = 0,0,SamplingData[[#This Row],[Max Error Bound (up)]]/SamplingData[[#Totals],[Max Error Bound (up)]])</f>
        <v>4.8464741392229159E-5</v>
      </c>
      <c r="R1805" s="101">
        <f>SUM($Q$5:Q1805)</f>
        <v>0.69082933205845953</v>
      </c>
      <c r="S1805" s="100" t="str">
        <f t="array" ref="S1805">IF(SamplingData[[#This Row],[up/U Selection Probability]] = 0, "Zero", TEXT(SamplingData[[#This Row],[Lower Range]], REPT("0",LEN('General Info'!$B$40))) &amp; " - " &amp; TEXT(SamplingData[[#This Row],[Upper Range]], REPT("0",LEN('General Info'!$B$40))))</f>
        <v>69078 - 69082</v>
      </c>
      <c r="T1805" s="100">
        <f>SamplingData[[#This Row],[Upper Range]]-SamplingData[[#This Row],[Span]]</f>
        <v>69078.086780171478</v>
      </c>
      <c r="U1805" s="100">
        <f>IF(ISNUMBER('General Info'!$B$40), ((SamplingData[[#This Row],[up/U Selection Probability]]) * 'General Info'!$B$40) - 1, 0)</f>
        <v>3.8464256744815239</v>
      </c>
      <c r="V1805" s="100">
        <f>IF(ISNUMBER('General Info'!$B$40), (SamplingData[[#This Row],[Running (cumulative) sum]] * ('General Info'!$B$40 -'General Info'!$B$41 + 1)) + 'General Info'!$B$41 - 1, 0)</f>
        <v>69081.933205845955</v>
      </c>
      <c r="W1805" s="100" t="str">
        <f>IF(ISERROR(MATCH(SamplingData[[#This Row],[Batch by Type (p)]],SelectedPrecincts[Batch Name], 0)), "", INDEX(SelectedPrecincts[Draw], MATCH(SamplingData[[#This Row],[Batch by Type (p)]],SelectedPrecincts[Batch Name], 0)))</f>
        <v/>
      </c>
      <c r="X1805" s="102">
        <f>IF(COUNTIF(SelectedPrecincts[Batch Name],SamplingData[[#This Row],[Batch by Type (p)]]) &lt;&gt; 0, COUNTIF(SelectedPrecincts[Batch Name],SamplingData[[#This Row],[Batch by Type (p)]]), 0)</f>
        <v>0</v>
      </c>
    </row>
    <row r="1806" spans="1:24" ht="15" customHeight="1">
      <c r="A1806" s="18" t="s">
        <v>1982</v>
      </c>
      <c r="B1806" s="18">
        <v>0</v>
      </c>
      <c r="C1806" s="18">
        <v>0</v>
      </c>
      <c r="D1806" s="18">
        <v>0</v>
      </c>
      <c r="E1806" s="18">
        <v>0</v>
      </c>
      <c r="F1806" s="18">
        <v>0</v>
      </c>
      <c r="G1806" s="18">
        <v>0</v>
      </c>
      <c r="H1806" s="18">
        <v>0</v>
      </c>
      <c r="I1806" s="18">
        <v>0</v>
      </c>
      <c r="J1806" s="99">
        <f>SUM(SamplingData[[#This Row],[Losing Candidate]:[Under Votes]])</f>
        <v>0</v>
      </c>
      <c r="K1806" s="100">
        <f>IF(AND(SamplingData[[#This Row],[Total]]&lt;&gt; 0, NOT(ISBLANK(SamplingData[[#This Row],[Losing Candidate]]))),(SamplingData[[#This Row],[Total]]+SamplingData[[#This Row],[Winning Candidate]]-SamplingData[[#This Row],[Losing Candidate]])/(SamplingData[[#Totals],[Winning Candidate]]-SamplingData[[#Totals],[Losing Candidate]]), 0)</f>
        <v>0</v>
      </c>
      <c r="L1806" s="100">
        <f>IF(AND(SamplingData[[#This Row],[Total]]&lt;&gt; 0, NOT(ISBLANK(SamplingData[[#This Row],[Candidate 3]]))),(SamplingData[[#This Row],[Total]]+SamplingData[[#This Row],[Winning Candidate]]-SamplingData[[#This Row],[Candidate 3]])/(SamplingData[[#Totals],[Winning Candidate]]-SamplingData[[#Totals],[Candidate 3]]), 0)</f>
        <v>0</v>
      </c>
      <c r="M1806" s="100">
        <f>IF(AND(SamplingData[[#This Row],[Total]]&lt;&gt; 0, NOT(ISBLANK(SamplingData[[#This Row],[Candidate 4]]))),(SamplingData[[#This Row],[Total]]+SamplingData[[#This Row],[Winning Candidate]]-SamplingData[[#This Row],[Candidate 4]])/(SamplingData[[#Totals],[Winning Candidate]]-SamplingData[[#Totals],[Candidate 4]]), 0)</f>
        <v>0</v>
      </c>
      <c r="N1806" s="100">
        <f>IF(AND(SamplingData[[#This Row],[Total]]&lt;&gt; 0, NOT(ISBLANK(SamplingData[[#This Row],[Candidate 5]]))),(SamplingData[[#This Row],[Total]]+SamplingData[[#This Row],[Winning Candidate]]-SamplingData[[#This Row],[Candidate 5]])/(SamplingData[[#Totals],[Winning Candidate]]-SamplingData[[#Totals],[Candidate 5]]), 0)</f>
        <v>0</v>
      </c>
      <c r="O1806" s="100">
        <f>IF(AND(SamplingData[[#This Row],[Total]]&lt;&gt; 0, NOT(ISBLANK(SamplingData[[#This Row],[Candidate 6]]))),(SamplingData[[#This Row],[Total]]+SamplingData[[#This Row],[Winning Candidate]]-SamplingData[[#This Row],[Candidate 6]])/(SamplingData[[#Totals],[Winning Candidate]]-SamplingData[[#Totals],[Candidate 6]]), 0)</f>
        <v>0</v>
      </c>
      <c r="P1806" s="100">
        <f>MAX(SamplingData[[#This Row],[Error Bound (up) - Max. possible relative overstatement - Losing Candidate]:[Error Bound (up) - Max. possible relative overstatement - Candidate 6]])</f>
        <v>0</v>
      </c>
      <c r="Q1806" s="100">
        <f>IF(SamplingData[[#This Row],[Max Error Bound (up)]] = 0,0,SamplingData[[#This Row],[Max Error Bound (up)]]/SamplingData[[#Totals],[Max Error Bound (up)]])</f>
        <v>0</v>
      </c>
      <c r="R1806" s="101">
        <f>SUM($Q$5:Q1806)</f>
        <v>0.69082933205845953</v>
      </c>
      <c r="S1806" s="100" t="str">
        <f t="array" ref="S1806">IF(SamplingData[[#This Row],[up/U Selection Probability]] = 0, "Zero", TEXT(SamplingData[[#This Row],[Lower Range]], REPT("0",LEN('General Info'!$B$40))) &amp; " - " &amp; TEXT(SamplingData[[#This Row],[Upper Range]], REPT("0",LEN('General Info'!$B$40))))</f>
        <v>Zero</v>
      </c>
      <c r="T1806" s="100">
        <f>SamplingData[[#This Row],[Upper Range]]-SamplingData[[#This Row],[Span]]</f>
        <v>69082.933205845955</v>
      </c>
      <c r="U1806" s="100">
        <f>IF(ISNUMBER('General Info'!$B$40), ((SamplingData[[#This Row],[up/U Selection Probability]]) * 'General Info'!$B$40) - 1, 0)</f>
        <v>-1</v>
      </c>
      <c r="V1806" s="100">
        <f>IF(ISNUMBER('General Info'!$B$40), (SamplingData[[#This Row],[Running (cumulative) sum]] * ('General Info'!$B$40 -'General Info'!$B$41 + 1)) + 'General Info'!$B$41 - 1, 0)</f>
        <v>69081.933205845955</v>
      </c>
      <c r="W1806" s="100" t="str">
        <f>IF(ISERROR(MATCH(SamplingData[[#This Row],[Batch by Type (p)]],SelectedPrecincts[Batch Name], 0)), "", INDEX(SelectedPrecincts[Draw], MATCH(SamplingData[[#This Row],[Batch by Type (p)]],SelectedPrecincts[Batch Name], 0)))</f>
        <v/>
      </c>
      <c r="X1806" s="102">
        <f>IF(COUNTIF(SelectedPrecincts[Batch Name],SamplingData[[#This Row],[Batch by Type (p)]]) &lt;&gt; 0, COUNTIF(SelectedPrecincts[Batch Name],SamplingData[[#This Row],[Batch by Type (p)]]), 0)</f>
        <v>0</v>
      </c>
    </row>
    <row r="1807" spans="1:24" ht="15" customHeight="1">
      <c r="A1807" s="18" t="s">
        <v>1983</v>
      </c>
      <c r="B1807" s="18">
        <v>13</v>
      </c>
      <c r="C1807" s="18">
        <v>10</v>
      </c>
      <c r="D1807" s="16">
        <v>3</v>
      </c>
      <c r="E1807" s="16">
        <v>4</v>
      </c>
      <c r="F1807" s="37">
        <v>0</v>
      </c>
      <c r="G1807" s="37">
        <v>0</v>
      </c>
      <c r="H1807" s="17">
        <v>0</v>
      </c>
      <c r="I1807" s="17">
        <v>0</v>
      </c>
      <c r="J1807" s="99">
        <f>SUM(SamplingData[[#This Row],[Losing Candidate]:[Under Votes]])</f>
        <v>30</v>
      </c>
      <c r="K1807"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1807" s="100">
        <f>IF(AND(SamplingData[[#This Row],[Total]]&lt;&gt; 0, NOT(ISBLANK(SamplingData[[#This Row],[Candidate 3]]))),(SamplingData[[#This Row],[Total]]+SamplingData[[#This Row],[Winning Candidate]]-SamplingData[[#This Row],[Candidate 3]])/(SamplingData[[#Totals],[Winning Candidate]]-SamplingData[[#Totals],[Candidate 3]]), 0)</f>
        <v>1.1936639029583509E-3</v>
      </c>
      <c r="M1807" s="100">
        <f>IF(AND(SamplingData[[#This Row],[Total]]&lt;&gt; 0, NOT(ISBLANK(SamplingData[[#This Row],[Candidate 4]]))),(SamplingData[[#This Row],[Total]]+SamplingData[[#This Row],[Winning Candidate]]-SamplingData[[#This Row],[Candidate 4]])/(SamplingData[[#Totals],[Winning Candidate]]-SamplingData[[#Totals],[Candidate 4]]), 0)</f>
        <v>1.0523546435148646E-3</v>
      </c>
      <c r="N1807" s="100">
        <f>IF(AND(SamplingData[[#This Row],[Total]]&lt;&gt; 0, NOT(ISBLANK(SamplingData[[#This Row],[Candidate 5]]))),(SamplingData[[#This Row],[Total]]+SamplingData[[#This Row],[Winning Candidate]]-SamplingData[[#This Row],[Candidate 5]])/(SamplingData[[#Totals],[Winning Candidate]]-SamplingData[[#Totals],[Candidate 5]]), 0)</f>
        <v>9.7299927025054731E-4</v>
      </c>
      <c r="O1807" s="100">
        <f>IF(AND(SamplingData[[#This Row],[Total]]&lt;&gt; 0, NOT(ISBLANK(SamplingData[[#This Row],[Candidate 6]]))),(SamplingData[[#This Row],[Total]]+SamplingData[[#This Row],[Winning Candidate]]-SamplingData[[#This Row],[Candidate 6]])/(SamplingData[[#Totals],[Winning Candidate]]-SamplingData[[#Totals],[Candidate 6]]), 0)</f>
        <v>9.7271533485725399E-4</v>
      </c>
      <c r="P1807" s="100">
        <f>MAX(SamplingData[[#This Row],[Error Bound (up) - Max. possible relative overstatement - Losing Candidate]:[Error Bound (up) - Max. possible relative overstatement - Candidate 6]])</f>
        <v>1.6536011758941694E-3</v>
      </c>
      <c r="Q1807" s="100">
        <f>IF(SamplingData[[#This Row],[Max Error Bound (up)]] = 0,0,SamplingData[[#This Row],[Max Error Bound (up)]]/SamplingData[[#Totals],[Max Error Bound (up)]])</f>
        <v>2.6170960351803746E-4</v>
      </c>
      <c r="R1807" s="101">
        <f>SUM($Q$5:Q1807)</f>
        <v>0.69109104166197755</v>
      </c>
      <c r="S1807" s="100" t="str">
        <f t="array" ref="S1807">IF(SamplingData[[#This Row],[up/U Selection Probability]] = 0, "Zero", TEXT(SamplingData[[#This Row],[Lower Range]], REPT("0",LEN('General Info'!$B$40))) &amp; " - " &amp; TEXT(SamplingData[[#This Row],[Upper Range]], REPT("0",LEN('General Info'!$B$40))))</f>
        <v>69083 - 69108</v>
      </c>
      <c r="T1807" s="100">
        <f>SamplingData[[#This Row],[Upper Range]]-SamplingData[[#This Row],[Span]]</f>
        <v>69082.933467555544</v>
      </c>
      <c r="U1807" s="100">
        <f>IF(ISNUMBER('General Info'!$B$40), ((SamplingData[[#This Row],[up/U Selection Probability]]) * 'General Info'!$B$40) - 1, 0)</f>
        <v>25.170698642200229</v>
      </c>
      <c r="V1807" s="100">
        <f>IF(ISNUMBER('General Info'!$B$40), (SamplingData[[#This Row],[Running (cumulative) sum]] * ('General Info'!$B$40 -'General Info'!$B$41 + 1)) + 'General Info'!$B$41 - 1, 0)</f>
        <v>69108.104166197751</v>
      </c>
      <c r="W1807" s="100" t="str">
        <f>IF(ISERROR(MATCH(SamplingData[[#This Row],[Batch by Type (p)]],SelectedPrecincts[Batch Name], 0)), "", INDEX(SelectedPrecincts[Draw], MATCH(SamplingData[[#This Row],[Batch by Type (p)]],SelectedPrecincts[Batch Name], 0)))</f>
        <v/>
      </c>
      <c r="X1807" s="102">
        <f>IF(COUNTIF(SelectedPrecincts[Batch Name],SamplingData[[#This Row],[Batch by Type (p)]]) &lt;&gt; 0, COUNTIF(SelectedPrecincts[Batch Name],SamplingData[[#This Row],[Batch by Type (p)]]), 0)</f>
        <v>0</v>
      </c>
    </row>
    <row r="1808" spans="1:24" ht="15" customHeight="1">
      <c r="A1808" s="18" t="s">
        <v>1984</v>
      </c>
      <c r="B1808" s="18">
        <v>14</v>
      </c>
      <c r="C1808" s="18">
        <v>6</v>
      </c>
      <c r="D1808" s="18">
        <v>5</v>
      </c>
      <c r="E1808" s="18">
        <v>0</v>
      </c>
      <c r="F1808" s="18">
        <v>0</v>
      </c>
      <c r="G1808" s="18">
        <v>0</v>
      </c>
      <c r="H1808" s="18">
        <v>0</v>
      </c>
      <c r="I1808" s="18">
        <v>0</v>
      </c>
      <c r="J1808" s="99">
        <f>SUM(SamplingData[[#This Row],[Losing Candidate]:[Under Votes]])</f>
        <v>25</v>
      </c>
      <c r="K1808"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808" s="100">
        <f>IF(AND(SamplingData[[#This Row],[Total]]&lt;&gt; 0, NOT(ISBLANK(SamplingData[[#This Row],[Candidate 3]]))),(SamplingData[[#This Row],[Total]]+SamplingData[[#This Row],[Winning Candidate]]-SamplingData[[#This Row],[Candidate 3]])/(SamplingData[[#Totals],[Winning Candidate]]-SamplingData[[#Totals],[Candidate 3]]), 0)</f>
        <v>8.3879085072748971E-4</v>
      </c>
      <c r="M1808" s="100">
        <f>IF(AND(SamplingData[[#This Row],[Total]]&lt;&gt; 0, NOT(ISBLANK(SamplingData[[#This Row],[Candidate 4]]))),(SamplingData[[#This Row],[Total]]+SamplingData[[#This Row],[Winning Candidate]]-SamplingData[[#This Row],[Candidate 4]])/(SamplingData[[#Totals],[Winning Candidate]]-SamplingData[[#Totals],[Candidate 4]]), 0)</f>
        <v>9.0619427636002225E-4</v>
      </c>
      <c r="N1808" s="100">
        <f>IF(AND(SamplingData[[#This Row],[Total]]&lt;&gt; 0, NOT(ISBLANK(SamplingData[[#This Row],[Candidate 5]]))),(SamplingData[[#This Row],[Total]]+SamplingData[[#This Row],[Winning Candidate]]-SamplingData[[#This Row],[Candidate 5]])/(SamplingData[[#Totals],[Winning Candidate]]-SamplingData[[#Totals],[Candidate 5]]), 0)</f>
        <v>7.5407443444417419E-4</v>
      </c>
      <c r="O1808" s="100">
        <f>IF(AND(SamplingData[[#This Row],[Total]]&lt;&gt; 0, NOT(ISBLANK(SamplingData[[#This Row],[Candidate 6]]))),(SamplingData[[#This Row],[Total]]+SamplingData[[#This Row],[Winning Candidate]]-SamplingData[[#This Row],[Candidate 6]])/(SamplingData[[#Totals],[Winning Candidate]]-SamplingData[[#Totals],[Candidate 6]]), 0)</f>
        <v>7.5385438451437182E-4</v>
      </c>
      <c r="P1808" s="100">
        <f>MAX(SamplingData[[#This Row],[Error Bound (up) - Max. possible relative overstatement - Losing Candidate]:[Error Bound (up) - Max. possible relative overstatement - Candidate 6]])</f>
        <v>1.041156295933366E-3</v>
      </c>
      <c r="Q1808" s="100">
        <f>IF(SamplingData[[#This Row],[Max Error Bound (up)]] = 0,0,SamplingData[[#This Row],[Max Error Bound (up)]]/SamplingData[[#Totals],[Max Error Bound (up)]])</f>
        <v>1.6478012073357914E-4</v>
      </c>
      <c r="R1808" s="101">
        <f>SUM($Q$5:Q1808)</f>
        <v>0.69125582178271117</v>
      </c>
      <c r="S1808" s="100" t="str">
        <f t="array" ref="S1808">IF(SamplingData[[#This Row],[up/U Selection Probability]] = 0, "Zero", TEXT(SamplingData[[#This Row],[Lower Range]], REPT("0",LEN('General Info'!$B$40))) &amp; " - " &amp; TEXT(SamplingData[[#This Row],[Upper Range]], REPT("0",LEN('General Info'!$B$40))))</f>
        <v>69109 - 69125</v>
      </c>
      <c r="T1808" s="100">
        <f>SamplingData[[#This Row],[Upper Range]]-SamplingData[[#This Row],[Span]]</f>
        <v>69109.104330977876</v>
      </c>
      <c r="U1808" s="100">
        <f>IF(ISNUMBER('General Info'!$B$40), ((SamplingData[[#This Row],[up/U Selection Probability]]) * 'General Info'!$B$40) - 1, 0)</f>
        <v>15.477847293237179</v>
      </c>
      <c r="V1808" s="100">
        <f>IF(ISNUMBER('General Info'!$B$40), (SamplingData[[#This Row],[Running (cumulative) sum]] * ('General Info'!$B$40 -'General Info'!$B$41 + 1)) + 'General Info'!$B$41 - 1, 0)</f>
        <v>69124.582178271114</v>
      </c>
      <c r="W1808" s="100" t="str">
        <f>IF(ISERROR(MATCH(SamplingData[[#This Row],[Batch by Type (p)]],SelectedPrecincts[Batch Name], 0)), "", INDEX(SelectedPrecincts[Draw], MATCH(SamplingData[[#This Row],[Batch by Type (p)]],SelectedPrecincts[Batch Name], 0)))</f>
        <v/>
      </c>
      <c r="X1808" s="102">
        <f>IF(COUNTIF(SelectedPrecincts[Batch Name],SamplingData[[#This Row],[Batch by Type (p)]]) &lt;&gt; 0, COUNTIF(SelectedPrecincts[Batch Name],SamplingData[[#This Row],[Batch by Type (p)]]), 0)</f>
        <v>0</v>
      </c>
    </row>
    <row r="1809" spans="1:24" ht="15" customHeight="1">
      <c r="A1809" s="18" t="s">
        <v>1985</v>
      </c>
      <c r="B1809" s="18">
        <v>22</v>
      </c>
      <c r="C1809" s="18">
        <v>29</v>
      </c>
      <c r="D1809" s="16">
        <v>6</v>
      </c>
      <c r="E1809" s="16">
        <v>1</v>
      </c>
      <c r="F1809" s="37">
        <v>0</v>
      </c>
      <c r="G1809" s="37">
        <v>0</v>
      </c>
      <c r="H1809" s="17">
        <v>0</v>
      </c>
      <c r="I1809" s="17">
        <v>0</v>
      </c>
      <c r="J1809" s="99">
        <f>SUM(SamplingData[[#This Row],[Losing Candidate]:[Under Votes]])</f>
        <v>58</v>
      </c>
      <c r="K1809"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1809" s="100">
        <f>IF(AND(SamplingData[[#This Row],[Total]]&lt;&gt; 0, NOT(ISBLANK(SamplingData[[#This Row],[Candidate 3]]))),(SamplingData[[#This Row],[Total]]+SamplingData[[#This Row],[Winning Candidate]]-SamplingData[[#This Row],[Candidate 3]])/(SamplingData[[#Totals],[Winning Candidate]]-SamplingData[[#Totals],[Candidate 3]]), 0)</f>
        <v>2.6131561118817952E-3</v>
      </c>
      <c r="M1809" s="100">
        <f>IF(AND(SamplingData[[#This Row],[Total]]&lt;&gt; 0, NOT(ISBLANK(SamplingData[[#This Row],[Candidate 4]]))),(SamplingData[[#This Row],[Total]]+SamplingData[[#This Row],[Winning Candidate]]-SamplingData[[#This Row],[Candidate 4]])/(SamplingData[[#Totals],[Winning Candidate]]-SamplingData[[#Totals],[Candidate 4]]), 0)</f>
        <v>2.5139583150632873E-3</v>
      </c>
      <c r="N1809" s="100">
        <f>IF(AND(SamplingData[[#This Row],[Total]]&lt;&gt; 0, NOT(ISBLANK(SamplingData[[#This Row],[Candidate 5]]))),(SamplingData[[#This Row],[Total]]+SamplingData[[#This Row],[Winning Candidate]]-SamplingData[[#This Row],[Candidate 5]])/(SamplingData[[#Totals],[Winning Candidate]]-SamplingData[[#Totals],[Candidate 5]]), 0)</f>
        <v>2.1162734127949403E-3</v>
      </c>
      <c r="O1809" s="100">
        <f>IF(AND(SamplingData[[#This Row],[Total]]&lt;&gt; 0, NOT(ISBLANK(SamplingData[[#This Row],[Candidate 6]]))),(SamplingData[[#This Row],[Total]]+SamplingData[[#This Row],[Winning Candidate]]-SamplingData[[#This Row],[Candidate 6]])/(SamplingData[[#Totals],[Winning Candidate]]-SamplingData[[#Totals],[Candidate 6]]), 0)</f>
        <v>2.1156558533145277E-3</v>
      </c>
      <c r="P1809" s="100">
        <f>MAX(SamplingData[[#This Row],[Error Bound (up) - Max. possible relative overstatement - Losing Candidate]:[Error Bound (up) - Max. possible relative overstatement - Candidate 6]])</f>
        <v>3.9808917197452229E-3</v>
      </c>
      <c r="Q1809" s="100">
        <f>IF(SamplingData[[#This Row],[Max Error Bound (up)]] = 0,0,SamplingData[[#This Row],[Max Error Bound (up)]]/SamplingData[[#Totals],[Max Error Bound (up)]])</f>
        <v>6.3004163809897906E-4</v>
      </c>
      <c r="R1809" s="101">
        <f>SUM($Q$5:Q1809)</f>
        <v>0.69188586342081015</v>
      </c>
      <c r="S1809" s="100" t="str">
        <f t="array" ref="S1809">IF(SamplingData[[#This Row],[up/U Selection Probability]] = 0, "Zero", TEXT(SamplingData[[#This Row],[Lower Range]], REPT("0",LEN('General Info'!$B$40))) &amp; " - " &amp; TEXT(SamplingData[[#This Row],[Upper Range]], REPT("0",LEN('General Info'!$B$40))))</f>
        <v>69126 - 69188</v>
      </c>
      <c r="T1809" s="100">
        <f>SamplingData[[#This Row],[Upper Range]]-SamplingData[[#This Row],[Span]]</f>
        <v>69125.582808312756</v>
      </c>
      <c r="U1809" s="100">
        <f>IF(ISNUMBER('General Info'!$B$40), ((SamplingData[[#This Row],[up/U Selection Probability]]) * 'General Info'!$B$40) - 1, 0)</f>
        <v>62.003533768259807</v>
      </c>
      <c r="V1809" s="100">
        <f>IF(ISNUMBER('General Info'!$B$40), (SamplingData[[#This Row],[Running (cumulative) sum]] * ('General Info'!$B$40 -'General Info'!$B$41 + 1)) + 'General Info'!$B$41 - 1, 0)</f>
        <v>69187.58634208102</v>
      </c>
      <c r="W1809" s="100" t="str">
        <f>IF(ISERROR(MATCH(SamplingData[[#This Row],[Batch by Type (p)]],SelectedPrecincts[Batch Name], 0)), "", INDEX(SelectedPrecincts[Draw], MATCH(SamplingData[[#This Row],[Batch by Type (p)]],SelectedPrecincts[Batch Name], 0)))</f>
        <v/>
      </c>
      <c r="X1809" s="102">
        <f>IF(COUNTIF(SelectedPrecincts[Batch Name],SamplingData[[#This Row],[Batch by Type (p)]]) &lt;&gt; 0, COUNTIF(SelectedPrecincts[Batch Name],SamplingData[[#This Row],[Batch by Type (p)]]), 0)</f>
        <v>0</v>
      </c>
    </row>
    <row r="1810" spans="1:24" ht="15" customHeight="1">
      <c r="A1810" s="18" t="s">
        <v>1986</v>
      </c>
      <c r="B1810" s="18">
        <v>11</v>
      </c>
      <c r="C1810" s="18">
        <v>12</v>
      </c>
      <c r="D1810" s="18">
        <v>7</v>
      </c>
      <c r="E1810" s="18">
        <v>2</v>
      </c>
      <c r="F1810" s="18">
        <v>0</v>
      </c>
      <c r="G1810" s="18">
        <v>0</v>
      </c>
      <c r="H1810" s="18">
        <v>0</v>
      </c>
      <c r="I1810" s="18">
        <v>1</v>
      </c>
      <c r="J1810" s="99">
        <f>SUM(SamplingData[[#This Row],[Losing Candidate]:[Under Votes]])</f>
        <v>33</v>
      </c>
      <c r="K1810"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1810" s="100">
        <f>IF(AND(SamplingData[[#This Row],[Total]]&lt;&gt; 0, NOT(ISBLANK(SamplingData[[#This Row],[Candidate 3]]))),(SamplingData[[#This Row],[Total]]+SamplingData[[#This Row],[Winning Candidate]]-SamplingData[[#This Row],[Candidate 3]])/(SamplingData[[#Totals],[Winning Candidate]]-SamplingData[[#Totals],[Candidate 3]]), 0)</f>
        <v>1.2259250895247926E-3</v>
      </c>
      <c r="M1810" s="100">
        <f>IF(AND(SamplingData[[#This Row],[Total]]&lt;&gt; 0, NOT(ISBLANK(SamplingData[[#This Row],[Candidate 4]]))),(SamplingData[[#This Row],[Total]]+SamplingData[[#This Row],[Winning Candidate]]-SamplingData[[#This Row],[Candidate 4]])/(SamplingData[[#Totals],[Winning Candidate]]-SamplingData[[#Totals],[Candidate 4]]), 0)</f>
        <v>1.2569791575316436E-3</v>
      </c>
      <c r="N1810" s="100">
        <f>IF(AND(SamplingData[[#This Row],[Total]]&lt;&gt; 0, NOT(ISBLANK(SamplingData[[#This Row],[Candidate 5]]))),(SamplingData[[#This Row],[Total]]+SamplingData[[#This Row],[Winning Candidate]]-SamplingData[[#This Row],[Candidate 5]])/(SamplingData[[#Totals],[Winning Candidate]]-SamplingData[[#Totals],[Candidate 5]]), 0)</f>
        <v>1.0946241790318657E-3</v>
      </c>
      <c r="O1810" s="100">
        <f>IF(AND(SamplingData[[#This Row],[Total]]&lt;&gt; 0, NOT(ISBLANK(SamplingData[[#This Row],[Candidate 6]]))),(SamplingData[[#This Row],[Total]]+SamplingData[[#This Row],[Winning Candidate]]-SamplingData[[#This Row],[Candidate 6]])/(SamplingData[[#Totals],[Winning Candidate]]-SamplingData[[#Totals],[Candidate 6]]), 0)</f>
        <v>1.0943047517144107E-3</v>
      </c>
      <c r="P1810" s="100">
        <f>MAX(SamplingData[[#This Row],[Error Bound (up) - Max. possible relative overstatement - Losing Candidate]:[Error Bound (up) - Max. possible relative overstatement - Candidate 6]])</f>
        <v>2.0823125918667321E-3</v>
      </c>
      <c r="Q1810" s="100">
        <f>IF(SamplingData[[#This Row],[Max Error Bound (up)]] = 0,0,SamplingData[[#This Row],[Max Error Bound (up)]]/SamplingData[[#Totals],[Max Error Bound (up)]])</f>
        <v>3.2956024146715829E-4</v>
      </c>
      <c r="R1810" s="101">
        <f>SUM($Q$5:Q1810)</f>
        <v>0.69221542366227728</v>
      </c>
      <c r="S1810" s="100" t="str">
        <f t="array" ref="S1810">IF(SamplingData[[#This Row],[up/U Selection Probability]] = 0, "Zero", TEXT(SamplingData[[#This Row],[Lower Range]], REPT("0",LEN('General Info'!$B$40))) &amp; " - " &amp; TEXT(SamplingData[[#This Row],[Upper Range]], REPT("0",LEN('General Info'!$B$40))))</f>
        <v>69189 - 69221</v>
      </c>
      <c r="T1810" s="100">
        <f>SamplingData[[#This Row],[Upper Range]]-SamplingData[[#This Row],[Span]]</f>
        <v>69188.586671641257</v>
      </c>
      <c r="U1810" s="100">
        <f>IF(ISNUMBER('General Info'!$B$40), ((SamplingData[[#This Row],[up/U Selection Probability]]) * 'General Info'!$B$40) - 1, 0)</f>
        <v>31.955694586474358</v>
      </c>
      <c r="V1810" s="100">
        <f>IF(ISNUMBER('General Info'!$B$40), (SamplingData[[#This Row],[Running (cumulative) sum]] * ('General Info'!$B$40 -'General Info'!$B$41 + 1)) + 'General Info'!$B$41 - 1, 0)</f>
        <v>69220.542366227732</v>
      </c>
      <c r="W1810" s="100" t="str">
        <f>IF(ISERROR(MATCH(SamplingData[[#This Row],[Batch by Type (p)]],SelectedPrecincts[Batch Name], 0)), "", INDEX(SelectedPrecincts[Draw], MATCH(SamplingData[[#This Row],[Batch by Type (p)]],SelectedPrecincts[Batch Name], 0)))</f>
        <v/>
      </c>
      <c r="X1810" s="102">
        <f>IF(COUNTIF(SelectedPrecincts[Batch Name],SamplingData[[#This Row],[Batch by Type (p)]]) &lt;&gt; 0, COUNTIF(SelectedPrecincts[Batch Name],SamplingData[[#This Row],[Batch by Type (p)]]), 0)</f>
        <v>0</v>
      </c>
    </row>
    <row r="1811" spans="1:24" ht="15" customHeight="1">
      <c r="A1811" s="18" t="s">
        <v>1987</v>
      </c>
      <c r="B1811" s="18">
        <v>18</v>
      </c>
      <c r="C1811" s="18">
        <v>34</v>
      </c>
      <c r="D1811" s="16">
        <v>6</v>
      </c>
      <c r="E1811" s="16">
        <v>4</v>
      </c>
      <c r="F1811" s="37">
        <v>0</v>
      </c>
      <c r="G1811" s="37">
        <v>0</v>
      </c>
      <c r="H1811" s="17">
        <v>0</v>
      </c>
      <c r="I1811" s="17">
        <v>0</v>
      </c>
      <c r="J1811" s="99">
        <f>SUM(SamplingData[[#This Row],[Losing Candidate]:[Under Votes]])</f>
        <v>62</v>
      </c>
      <c r="K1811" s="100">
        <f>IF(AND(SamplingData[[#This Row],[Total]]&lt;&gt; 0, NOT(ISBLANK(SamplingData[[#This Row],[Losing Candidate]]))),(SamplingData[[#This Row],[Total]]+SamplingData[[#This Row],[Winning Candidate]]-SamplingData[[#This Row],[Losing Candidate]])/(SamplingData[[#Totals],[Winning Candidate]]-SamplingData[[#Totals],[Losing Candidate]]), 0)</f>
        <v>4.7770700636942673E-3</v>
      </c>
      <c r="L1811" s="100">
        <f>IF(AND(SamplingData[[#This Row],[Total]]&lt;&gt; 0, NOT(ISBLANK(SamplingData[[#This Row],[Candidate 3]]))),(SamplingData[[#This Row],[Total]]+SamplingData[[#This Row],[Winning Candidate]]-SamplingData[[#This Row],[Candidate 3]])/(SamplingData[[#Totals],[Winning Candidate]]-SamplingData[[#Totals],[Candidate 3]]), 0)</f>
        <v>2.9035067909797723E-3</v>
      </c>
      <c r="M1811" s="100">
        <f>IF(AND(SamplingData[[#This Row],[Total]]&lt;&gt; 0, NOT(ISBLANK(SamplingData[[#This Row],[Candidate 4]]))),(SamplingData[[#This Row],[Total]]+SamplingData[[#This Row],[Winning Candidate]]-SamplingData[[#This Row],[Candidate 4]])/(SamplingData[[#Totals],[Winning Candidate]]-SamplingData[[#Totals],[Candidate 4]]), 0)</f>
        <v>2.6893507556490981E-3</v>
      </c>
      <c r="N1811" s="100">
        <f>IF(AND(SamplingData[[#This Row],[Total]]&lt;&gt; 0, NOT(ISBLANK(SamplingData[[#This Row],[Candidate 5]]))),(SamplingData[[#This Row],[Total]]+SamplingData[[#This Row],[Winning Candidate]]-SamplingData[[#This Row],[Candidate 5]])/(SamplingData[[#Totals],[Winning Candidate]]-SamplingData[[#Totals],[Candidate 5]]), 0)</f>
        <v>2.3351982486013137E-3</v>
      </c>
      <c r="O1811" s="100">
        <f>IF(AND(SamplingData[[#This Row],[Total]]&lt;&gt; 0, NOT(ISBLANK(SamplingData[[#This Row],[Candidate 6]]))),(SamplingData[[#This Row],[Total]]+SamplingData[[#This Row],[Winning Candidate]]-SamplingData[[#This Row],[Candidate 6]])/(SamplingData[[#Totals],[Winning Candidate]]-SamplingData[[#Totals],[Candidate 6]]), 0)</f>
        <v>2.3345168036574097E-3</v>
      </c>
      <c r="P1811" s="100">
        <f>MAX(SamplingData[[#This Row],[Error Bound (up) - Max. possible relative overstatement - Losing Candidate]:[Error Bound (up) - Max. possible relative overstatement - Candidate 6]])</f>
        <v>4.7770700636942673E-3</v>
      </c>
      <c r="Q1811" s="100">
        <f>IF(SamplingData[[#This Row],[Max Error Bound (up)]] = 0,0,SamplingData[[#This Row],[Max Error Bound (up)]]/SamplingData[[#Totals],[Max Error Bound (up)]])</f>
        <v>7.5604996571877487E-4</v>
      </c>
      <c r="R1811" s="101">
        <f>SUM($Q$5:Q1811)</f>
        <v>0.69297147362799605</v>
      </c>
      <c r="S1811" s="100" t="str">
        <f t="array" ref="S1811">IF(SamplingData[[#This Row],[up/U Selection Probability]] = 0, "Zero", TEXT(SamplingData[[#This Row],[Lower Range]], REPT("0",LEN('General Info'!$B$40))) &amp; " - " &amp; TEXT(SamplingData[[#This Row],[Upper Range]], REPT("0",LEN('General Info'!$B$40))))</f>
        <v>69222 - 69296</v>
      </c>
      <c r="T1811" s="100">
        <f>SamplingData[[#This Row],[Upper Range]]-SamplingData[[#This Row],[Span]]</f>
        <v>69221.543122277697</v>
      </c>
      <c r="U1811" s="100">
        <f>IF(ISNUMBER('General Info'!$B$40), ((SamplingData[[#This Row],[up/U Selection Probability]]) * 'General Info'!$B$40) - 1, 0)</f>
        <v>74.604240521911763</v>
      </c>
      <c r="V1811" s="100">
        <f>IF(ISNUMBER('General Info'!$B$40), (SamplingData[[#This Row],[Running (cumulative) sum]] * ('General Info'!$B$40 -'General Info'!$B$41 + 1)) + 'General Info'!$B$41 - 1, 0)</f>
        <v>69296.147362799602</v>
      </c>
      <c r="W1811" s="100" t="str">
        <f>IF(ISERROR(MATCH(SamplingData[[#This Row],[Batch by Type (p)]],SelectedPrecincts[Batch Name], 0)), "", INDEX(SelectedPrecincts[Draw], MATCH(SamplingData[[#This Row],[Batch by Type (p)]],SelectedPrecincts[Batch Name], 0)))</f>
        <v/>
      </c>
      <c r="X1811" s="102">
        <f>IF(COUNTIF(SelectedPrecincts[Batch Name],SamplingData[[#This Row],[Batch by Type (p)]]) &lt;&gt; 0, COUNTIF(SelectedPrecincts[Batch Name],SamplingData[[#This Row],[Batch by Type (p)]]), 0)</f>
        <v>0</v>
      </c>
    </row>
    <row r="1812" spans="1:24" ht="15" customHeight="1">
      <c r="A1812" s="18" t="s">
        <v>1988</v>
      </c>
      <c r="B1812" s="18">
        <v>10</v>
      </c>
      <c r="C1812" s="18">
        <v>7</v>
      </c>
      <c r="D1812" s="18">
        <v>2</v>
      </c>
      <c r="E1812" s="18">
        <v>3</v>
      </c>
      <c r="F1812" s="18">
        <v>0</v>
      </c>
      <c r="G1812" s="18">
        <v>0</v>
      </c>
      <c r="H1812" s="18">
        <v>0</v>
      </c>
      <c r="I1812" s="18">
        <v>1</v>
      </c>
      <c r="J1812" s="99">
        <f>SUM(SamplingData[[#This Row],[Losing Candidate]:[Under Votes]])</f>
        <v>23</v>
      </c>
      <c r="K181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812" s="100">
        <f>IF(AND(SamplingData[[#This Row],[Total]]&lt;&gt; 0, NOT(ISBLANK(SamplingData[[#This Row],[Candidate 3]]))),(SamplingData[[#This Row],[Total]]+SamplingData[[#This Row],[Winning Candidate]]-SamplingData[[#This Row],[Candidate 3]])/(SamplingData[[#Totals],[Winning Candidate]]-SamplingData[[#Totals],[Candidate 3]]), 0)</f>
        <v>9.0331322386037359E-4</v>
      </c>
      <c r="M1812" s="100">
        <f>IF(AND(SamplingData[[#This Row],[Total]]&lt;&gt; 0, NOT(ISBLANK(SamplingData[[#This Row],[Candidate 4]]))),(SamplingData[[#This Row],[Total]]+SamplingData[[#This Row],[Winning Candidate]]-SamplingData[[#This Row],[Candidate 4]])/(SamplingData[[#Totals],[Winning Candidate]]-SamplingData[[#Totals],[Candidate 4]]), 0)</f>
        <v>7.8926598263614838E-4</v>
      </c>
      <c r="N1812" s="100">
        <f>IF(AND(SamplingData[[#This Row],[Total]]&lt;&gt; 0, NOT(ISBLANK(SamplingData[[#This Row],[Candidate 5]]))),(SamplingData[[#This Row],[Total]]+SamplingData[[#This Row],[Winning Candidate]]-SamplingData[[#This Row],[Candidate 5]])/(SamplingData[[#Totals],[Winning Candidate]]-SamplingData[[#Totals],[Candidate 5]]), 0)</f>
        <v>7.2974945268791051E-4</v>
      </c>
      <c r="O1812" s="100">
        <f>IF(AND(SamplingData[[#This Row],[Total]]&lt;&gt; 0, NOT(ISBLANK(SamplingData[[#This Row],[Candidate 6]]))),(SamplingData[[#This Row],[Total]]+SamplingData[[#This Row],[Winning Candidate]]-SamplingData[[#This Row],[Candidate 6]])/(SamplingData[[#Totals],[Winning Candidate]]-SamplingData[[#Totals],[Candidate 6]]), 0)</f>
        <v>7.2953650114294054E-4</v>
      </c>
      <c r="P1812" s="100">
        <f>MAX(SamplingData[[#This Row],[Error Bound (up) - Max. possible relative overstatement - Losing Candidate]:[Error Bound (up) - Max. possible relative overstatement - Candidate 6]])</f>
        <v>1.224889759921607E-3</v>
      </c>
      <c r="Q1812" s="100">
        <f>IF(SamplingData[[#This Row],[Max Error Bound (up)]] = 0,0,SamplingData[[#This Row],[Max Error Bound (up)]]/SamplingData[[#Totals],[Max Error Bound (up)]])</f>
        <v>1.9385896556891664E-4</v>
      </c>
      <c r="R1812" s="101">
        <f>SUM($Q$5:Q1812)</f>
        <v>0.69316533259356494</v>
      </c>
      <c r="S1812" s="100" t="str">
        <f t="array" ref="S1812">IF(SamplingData[[#This Row],[up/U Selection Probability]] = 0, "Zero", TEXT(SamplingData[[#This Row],[Lower Range]], REPT("0",LEN('General Info'!$B$40))) &amp; " - " &amp; TEXT(SamplingData[[#This Row],[Upper Range]], REPT("0",LEN('General Info'!$B$40))))</f>
        <v>69297 - 69316</v>
      </c>
      <c r="T1812" s="100">
        <f>SamplingData[[#This Row],[Upper Range]]-SamplingData[[#This Row],[Span]]</f>
        <v>69297.147556658572</v>
      </c>
      <c r="U1812" s="100">
        <f>IF(ISNUMBER('General Info'!$B$40), ((SamplingData[[#This Row],[up/U Selection Probability]]) * 'General Info'!$B$40) - 1, 0)</f>
        <v>18.385702697926096</v>
      </c>
      <c r="V1812" s="100">
        <f>IF(ISNUMBER('General Info'!$B$40), (SamplingData[[#This Row],[Running (cumulative) sum]] * ('General Info'!$B$40 -'General Info'!$B$41 + 1)) + 'General Info'!$B$41 - 1, 0)</f>
        <v>69315.533259356496</v>
      </c>
      <c r="W1812" s="100" t="str">
        <f>IF(ISERROR(MATCH(SamplingData[[#This Row],[Batch by Type (p)]],SelectedPrecincts[Batch Name], 0)), "", INDEX(SelectedPrecincts[Draw], MATCH(SamplingData[[#This Row],[Batch by Type (p)]],SelectedPrecincts[Batch Name], 0)))</f>
        <v/>
      </c>
      <c r="X1812" s="102">
        <f>IF(COUNTIF(SelectedPrecincts[Batch Name],SamplingData[[#This Row],[Batch by Type (p)]]) &lt;&gt; 0, COUNTIF(SelectedPrecincts[Batch Name],SamplingData[[#This Row],[Batch by Type (p)]]), 0)</f>
        <v>0</v>
      </c>
    </row>
    <row r="1813" spans="1:24" ht="15" customHeight="1">
      <c r="A1813" s="18" t="s">
        <v>1989</v>
      </c>
      <c r="B1813" s="18">
        <v>15</v>
      </c>
      <c r="C1813" s="18">
        <v>23</v>
      </c>
      <c r="D1813" s="16">
        <v>9</v>
      </c>
      <c r="E1813" s="16">
        <v>2</v>
      </c>
      <c r="F1813" s="37">
        <v>1</v>
      </c>
      <c r="G1813" s="37">
        <v>0</v>
      </c>
      <c r="H1813" s="17">
        <v>0</v>
      </c>
      <c r="I1813" s="17">
        <v>0</v>
      </c>
      <c r="J1813" s="99">
        <f>SUM(SamplingData[[#This Row],[Losing Candidate]:[Under Votes]])</f>
        <v>50</v>
      </c>
      <c r="K1813" s="100">
        <f>IF(AND(SamplingData[[#This Row],[Total]]&lt;&gt; 0, NOT(ISBLANK(SamplingData[[#This Row],[Losing Candidate]]))),(SamplingData[[#This Row],[Total]]+SamplingData[[#This Row],[Winning Candidate]]-SamplingData[[#This Row],[Losing Candidate]])/(SamplingData[[#Totals],[Winning Candidate]]-SamplingData[[#Totals],[Losing Candidate]]), 0)</f>
        <v>3.5521803037726605E-3</v>
      </c>
      <c r="L1813" s="100">
        <f>IF(AND(SamplingData[[#This Row],[Total]]&lt;&gt; 0, NOT(ISBLANK(SamplingData[[#This Row],[Candidate 3]]))),(SamplingData[[#This Row],[Total]]+SamplingData[[#This Row],[Winning Candidate]]-SamplingData[[#This Row],[Candidate 3]])/(SamplingData[[#Totals],[Winning Candidate]]-SamplingData[[#Totals],[Candidate 3]]), 0)</f>
        <v>2.0647159402522827E-3</v>
      </c>
      <c r="M1813" s="100">
        <f>IF(AND(SamplingData[[#This Row],[Total]]&lt;&gt; 0, NOT(ISBLANK(SamplingData[[#This Row],[Candidate 4]]))),(SamplingData[[#This Row],[Total]]+SamplingData[[#This Row],[Winning Candidate]]-SamplingData[[#This Row],[Candidate 4]])/(SamplingData[[#Totals],[Winning Candidate]]-SamplingData[[#Totals],[Candidate 4]]), 0)</f>
        <v>2.0754772135987607E-3</v>
      </c>
      <c r="N1813" s="100">
        <f>IF(AND(SamplingData[[#This Row],[Total]]&lt;&gt; 0, NOT(ISBLANK(SamplingData[[#This Row],[Candidate 5]]))),(SamplingData[[#This Row],[Total]]+SamplingData[[#This Row],[Winning Candidate]]-SamplingData[[#This Row],[Candidate 5]])/(SamplingData[[#Totals],[Winning Candidate]]-SamplingData[[#Totals],[Candidate 5]]), 0)</f>
        <v>1.7513986864509852E-3</v>
      </c>
      <c r="O1813" s="100">
        <f>IF(AND(SamplingData[[#This Row],[Total]]&lt;&gt; 0, NOT(ISBLANK(SamplingData[[#This Row],[Candidate 6]]))),(SamplingData[[#This Row],[Total]]+SamplingData[[#This Row],[Winning Candidate]]-SamplingData[[#This Row],[Candidate 6]])/(SamplingData[[#Totals],[Winning Candidate]]-SamplingData[[#Totals],[Candidate 6]]), 0)</f>
        <v>1.7752054861144887E-3</v>
      </c>
      <c r="P1813" s="100">
        <f>MAX(SamplingData[[#This Row],[Error Bound (up) - Max. possible relative overstatement - Losing Candidate]:[Error Bound (up) - Max. possible relative overstatement - Candidate 6]])</f>
        <v>3.5521803037726605E-3</v>
      </c>
      <c r="Q1813" s="100">
        <f>IF(SamplingData[[#This Row],[Max Error Bound (up)]] = 0,0,SamplingData[[#This Row],[Max Error Bound (up)]]/SamplingData[[#Totals],[Max Error Bound (up)]])</f>
        <v>5.6219100014985829E-4</v>
      </c>
      <c r="R1813" s="101">
        <f>SUM($Q$5:Q1813)</f>
        <v>0.69372752359371481</v>
      </c>
      <c r="S1813" s="100" t="str">
        <f t="array" ref="S1813">IF(SamplingData[[#This Row],[up/U Selection Probability]] = 0, "Zero", TEXT(SamplingData[[#This Row],[Lower Range]], REPT("0",LEN('General Info'!$B$40))) &amp; " - " &amp; TEXT(SamplingData[[#This Row],[Upper Range]], REPT("0",LEN('General Info'!$B$40))))</f>
        <v>69317 - 69372</v>
      </c>
      <c r="T1813" s="100">
        <f>SamplingData[[#This Row],[Upper Range]]-SamplingData[[#This Row],[Span]]</f>
        <v>69316.533821547506</v>
      </c>
      <c r="U1813" s="100">
        <f>IF(ISNUMBER('General Info'!$B$40), ((SamplingData[[#This Row],[up/U Selection Probability]]) * 'General Info'!$B$40) - 1, 0)</f>
        <v>55.218537823985677</v>
      </c>
      <c r="V1813" s="100">
        <f>IF(ISNUMBER('General Info'!$B$40), (SamplingData[[#This Row],[Running (cumulative) sum]] * ('General Info'!$B$40 -'General Info'!$B$41 + 1)) + 'General Info'!$B$41 - 1, 0)</f>
        <v>69371.752359371487</v>
      </c>
      <c r="W1813" s="100" t="str">
        <f>IF(ISERROR(MATCH(SamplingData[[#This Row],[Batch by Type (p)]],SelectedPrecincts[Batch Name], 0)), "", INDEX(SelectedPrecincts[Draw], MATCH(SamplingData[[#This Row],[Batch by Type (p)]],SelectedPrecincts[Batch Name], 0)))</f>
        <v/>
      </c>
      <c r="X1813" s="102">
        <f>IF(COUNTIF(SelectedPrecincts[Batch Name],SamplingData[[#This Row],[Batch by Type (p)]]) &lt;&gt; 0, COUNTIF(SelectedPrecincts[Batch Name],SamplingData[[#This Row],[Batch by Type (p)]]), 0)</f>
        <v>0</v>
      </c>
    </row>
    <row r="1814" spans="1:24" ht="15" customHeight="1">
      <c r="A1814" s="18" t="s">
        <v>1990</v>
      </c>
      <c r="B1814" s="18">
        <v>4</v>
      </c>
      <c r="C1814" s="18">
        <v>13</v>
      </c>
      <c r="D1814" s="18">
        <v>1</v>
      </c>
      <c r="E1814" s="18">
        <v>0</v>
      </c>
      <c r="F1814" s="18">
        <v>0</v>
      </c>
      <c r="G1814" s="18">
        <v>0</v>
      </c>
      <c r="H1814" s="18">
        <v>0</v>
      </c>
      <c r="I1814" s="18">
        <v>0</v>
      </c>
      <c r="J1814" s="99">
        <f>SUM(SamplingData[[#This Row],[Losing Candidate]:[Under Votes]])</f>
        <v>18</v>
      </c>
      <c r="K1814"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1814" s="100">
        <f>IF(AND(SamplingData[[#This Row],[Total]]&lt;&gt; 0, NOT(ISBLANK(SamplingData[[#This Row],[Candidate 3]]))),(SamplingData[[#This Row],[Total]]+SamplingData[[#This Row],[Winning Candidate]]-SamplingData[[#This Row],[Candidate 3]])/(SamplingData[[#Totals],[Winning Candidate]]-SamplingData[[#Totals],[Candidate 3]]), 0)</f>
        <v>9.6783559699325746E-4</v>
      </c>
      <c r="M1814" s="100">
        <f>IF(AND(SamplingData[[#This Row],[Total]]&lt;&gt; 0, NOT(ISBLANK(SamplingData[[#This Row],[Candidate 4]]))),(SamplingData[[#This Row],[Total]]+SamplingData[[#This Row],[Winning Candidate]]-SamplingData[[#This Row],[Candidate 4]])/(SamplingData[[#Totals],[Winning Candidate]]-SamplingData[[#Totals],[Candidate 4]]), 0)</f>
        <v>9.0619427636002225E-4</v>
      </c>
      <c r="N1814" s="100">
        <f>IF(AND(SamplingData[[#This Row],[Total]]&lt;&gt; 0, NOT(ISBLANK(SamplingData[[#This Row],[Candidate 5]]))),(SamplingData[[#This Row],[Total]]+SamplingData[[#This Row],[Winning Candidate]]-SamplingData[[#This Row],[Candidate 5]])/(SamplingData[[#Totals],[Winning Candidate]]-SamplingData[[#Totals],[Candidate 5]]), 0)</f>
        <v>7.5407443444417419E-4</v>
      </c>
      <c r="O1814" s="100">
        <f>IF(AND(SamplingData[[#This Row],[Total]]&lt;&gt; 0, NOT(ISBLANK(SamplingData[[#This Row],[Candidate 6]]))),(SamplingData[[#This Row],[Total]]+SamplingData[[#This Row],[Winning Candidate]]-SamplingData[[#This Row],[Candidate 6]])/(SamplingData[[#Totals],[Winning Candidate]]-SamplingData[[#Totals],[Candidate 6]]), 0)</f>
        <v>7.5385438451437182E-4</v>
      </c>
      <c r="P1814" s="100">
        <f>MAX(SamplingData[[#This Row],[Error Bound (up) - Max. possible relative overstatement - Losing Candidate]:[Error Bound (up) - Max. possible relative overstatement - Candidate 6]])</f>
        <v>1.6536011758941694E-3</v>
      </c>
      <c r="Q1814" s="100">
        <f>IF(SamplingData[[#This Row],[Max Error Bound (up)]] = 0,0,SamplingData[[#This Row],[Max Error Bound (up)]]/SamplingData[[#Totals],[Max Error Bound (up)]])</f>
        <v>2.6170960351803746E-4</v>
      </c>
      <c r="R1814" s="101">
        <f>SUM($Q$5:Q1814)</f>
        <v>0.69398923319723282</v>
      </c>
      <c r="S1814" s="100" t="str">
        <f t="array" ref="S1814">IF(SamplingData[[#This Row],[up/U Selection Probability]] = 0, "Zero", TEXT(SamplingData[[#This Row],[Lower Range]], REPT("0",LEN('General Info'!$B$40))) &amp; " - " &amp; TEXT(SamplingData[[#This Row],[Upper Range]], REPT("0",LEN('General Info'!$B$40))))</f>
        <v>69373 - 69398</v>
      </c>
      <c r="T1814" s="100">
        <f>SamplingData[[#This Row],[Upper Range]]-SamplingData[[#This Row],[Span]]</f>
        <v>69372.752621081076</v>
      </c>
      <c r="U1814" s="100">
        <f>IF(ISNUMBER('General Info'!$B$40), ((SamplingData[[#This Row],[up/U Selection Probability]]) * 'General Info'!$B$40) - 1, 0)</f>
        <v>25.170698642200229</v>
      </c>
      <c r="V1814" s="100">
        <f>IF(ISNUMBER('General Info'!$B$40), (SamplingData[[#This Row],[Running (cumulative) sum]] * ('General Info'!$B$40 -'General Info'!$B$41 + 1)) + 'General Info'!$B$41 - 1, 0)</f>
        <v>69397.923319723282</v>
      </c>
      <c r="W1814" s="100" t="str">
        <f>IF(ISERROR(MATCH(SamplingData[[#This Row],[Batch by Type (p)]],SelectedPrecincts[Batch Name], 0)), "", INDEX(SelectedPrecincts[Draw], MATCH(SamplingData[[#This Row],[Batch by Type (p)]],SelectedPrecincts[Batch Name], 0)))</f>
        <v/>
      </c>
      <c r="X1814" s="102">
        <f>IF(COUNTIF(SelectedPrecincts[Batch Name],SamplingData[[#This Row],[Batch by Type (p)]]) &lt;&gt; 0, COUNTIF(SelectedPrecincts[Batch Name],SamplingData[[#This Row],[Batch by Type (p)]]), 0)</f>
        <v>0</v>
      </c>
    </row>
    <row r="1815" spans="1:24" ht="15" customHeight="1">
      <c r="A1815" s="18" t="s">
        <v>1991</v>
      </c>
      <c r="B1815" s="18">
        <v>17</v>
      </c>
      <c r="C1815" s="18">
        <v>13</v>
      </c>
      <c r="D1815" s="16">
        <v>0</v>
      </c>
      <c r="E1815" s="16">
        <v>1</v>
      </c>
      <c r="F1815" s="37">
        <v>1</v>
      </c>
      <c r="G1815" s="37">
        <v>0</v>
      </c>
      <c r="H1815" s="17">
        <v>0</v>
      </c>
      <c r="I1815" s="17">
        <v>0</v>
      </c>
      <c r="J1815" s="99">
        <f>SUM(SamplingData[[#This Row],[Losing Candidate]:[Under Votes]])</f>
        <v>32</v>
      </c>
      <c r="K1815"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815" s="100">
        <f>IF(AND(SamplingData[[#This Row],[Total]]&lt;&gt; 0, NOT(ISBLANK(SamplingData[[#This Row],[Candidate 3]]))),(SamplingData[[#This Row],[Total]]+SamplingData[[#This Row],[Winning Candidate]]-SamplingData[[#This Row],[Candidate 3]])/(SamplingData[[#Totals],[Winning Candidate]]-SamplingData[[#Totals],[Candidate 3]]), 0)</f>
        <v>1.4517533954898861E-3</v>
      </c>
      <c r="M1815" s="100">
        <f>IF(AND(SamplingData[[#This Row],[Total]]&lt;&gt; 0, NOT(ISBLANK(SamplingData[[#This Row],[Candidate 4]]))),(SamplingData[[#This Row],[Total]]+SamplingData[[#This Row],[Winning Candidate]]-SamplingData[[#This Row],[Candidate 4]])/(SamplingData[[#Totals],[Winning Candidate]]-SamplingData[[#Totals],[Candidate 4]]), 0)</f>
        <v>1.2862112309626121E-3</v>
      </c>
      <c r="N1815" s="100">
        <f>IF(AND(SamplingData[[#This Row],[Total]]&lt;&gt; 0, NOT(ISBLANK(SamplingData[[#This Row],[Candidate 5]]))),(SamplingData[[#This Row],[Total]]+SamplingData[[#This Row],[Winning Candidate]]-SamplingData[[#This Row],[Candidate 5]])/(SamplingData[[#Totals],[Winning Candidate]]-SamplingData[[#Totals],[Candidate 5]]), 0)</f>
        <v>1.0702991972756021E-3</v>
      </c>
      <c r="O1815" s="100">
        <f>IF(AND(SamplingData[[#This Row],[Total]]&lt;&gt; 0, NOT(ISBLANK(SamplingData[[#This Row],[Candidate 6]]))),(SamplingData[[#This Row],[Total]]+SamplingData[[#This Row],[Winning Candidate]]-SamplingData[[#This Row],[Candidate 6]])/(SamplingData[[#Totals],[Winning Candidate]]-SamplingData[[#Totals],[Candidate 6]]), 0)</f>
        <v>1.0943047517144107E-3</v>
      </c>
      <c r="P1815" s="100">
        <f>MAX(SamplingData[[#This Row],[Error Bound (up) - Max. possible relative overstatement - Losing Candidate]:[Error Bound (up) - Max. possible relative overstatement - Candidate 6]])</f>
        <v>1.7148456638902498E-3</v>
      </c>
      <c r="Q1815" s="100">
        <f>IF(SamplingData[[#This Row],[Max Error Bound (up)]] = 0,0,SamplingData[[#This Row],[Max Error Bound (up)]]/SamplingData[[#Totals],[Max Error Bound (up)]])</f>
        <v>2.714025517964833E-4</v>
      </c>
      <c r="R1815" s="101">
        <f>SUM($Q$5:Q1815)</f>
        <v>0.6942606357490293</v>
      </c>
      <c r="S1815" s="100" t="str">
        <f t="array" ref="S1815">IF(SamplingData[[#This Row],[up/U Selection Probability]] = 0, "Zero", TEXT(SamplingData[[#This Row],[Lower Range]], REPT("0",LEN('General Info'!$B$40))) &amp; " - " &amp; TEXT(SamplingData[[#This Row],[Upper Range]], REPT("0",LEN('General Info'!$B$40))))</f>
        <v>69399 - 69425</v>
      </c>
      <c r="T1815" s="100">
        <f>SamplingData[[#This Row],[Upper Range]]-SamplingData[[#This Row],[Span]]</f>
        <v>69398.923591125829</v>
      </c>
      <c r="U1815" s="100">
        <f>IF(ISNUMBER('General Info'!$B$40), ((SamplingData[[#This Row],[up/U Selection Probability]]) * 'General Info'!$B$40) - 1, 0)</f>
        <v>26.139983777096536</v>
      </c>
      <c r="V1815" s="100">
        <f>IF(ISNUMBER('General Info'!$B$40), (SamplingData[[#This Row],[Running (cumulative) sum]] * ('General Info'!$B$40 -'General Info'!$B$41 + 1)) + 'General Info'!$B$41 - 1, 0)</f>
        <v>69425.063574902932</v>
      </c>
      <c r="W1815" s="100" t="str">
        <f>IF(ISERROR(MATCH(SamplingData[[#This Row],[Batch by Type (p)]],SelectedPrecincts[Batch Name], 0)), "", INDEX(SelectedPrecincts[Draw], MATCH(SamplingData[[#This Row],[Batch by Type (p)]],SelectedPrecincts[Batch Name], 0)))</f>
        <v/>
      </c>
      <c r="X1815" s="102">
        <f>IF(COUNTIF(SelectedPrecincts[Batch Name],SamplingData[[#This Row],[Batch by Type (p)]]) &lt;&gt; 0, COUNTIF(SelectedPrecincts[Batch Name],SamplingData[[#This Row],[Batch by Type (p)]]), 0)</f>
        <v>0</v>
      </c>
    </row>
    <row r="1816" spans="1:24" ht="15" customHeight="1">
      <c r="A1816" s="18" t="s">
        <v>1992</v>
      </c>
      <c r="B1816" s="18">
        <v>5</v>
      </c>
      <c r="C1816" s="18">
        <v>8</v>
      </c>
      <c r="D1816" s="18">
        <v>3</v>
      </c>
      <c r="E1816" s="18">
        <v>1</v>
      </c>
      <c r="F1816" s="18">
        <v>0</v>
      </c>
      <c r="G1816" s="18">
        <v>0</v>
      </c>
      <c r="H1816" s="18">
        <v>0</v>
      </c>
      <c r="I1816" s="18">
        <v>0</v>
      </c>
      <c r="J1816" s="99">
        <f>SUM(SamplingData[[#This Row],[Losing Candidate]:[Under Votes]])</f>
        <v>17</v>
      </c>
      <c r="K181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816" s="100">
        <f>IF(AND(SamplingData[[#This Row],[Total]]&lt;&gt; 0, NOT(ISBLANK(SamplingData[[#This Row],[Candidate 3]]))),(SamplingData[[#This Row],[Total]]+SamplingData[[#This Row],[Winning Candidate]]-SamplingData[[#This Row],[Candidate 3]])/(SamplingData[[#Totals],[Winning Candidate]]-SamplingData[[#Totals],[Candidate 3]]), 0)</f>
        <v>7.0974610446172207E-4</v>
      </c>
      <c r="M1816" s="100">
        <f>IF(AND(SamplingData[[#This Row],[Total]]&lt;&gt; 0, NOT(ISBLANK(SamplingData[[#This Row],[Candidate 4]]))),(SamplingData[[#This Row],[Total]]+SamplingData[[#This Row],[Winning Candidate]]-SamplingData[[#This Row],[Candidate 4]])/(SamplingData[[#Totals],[Winning Candidate]]-SamplingData[[#Totals],[Candidate 4]]), 0)</f>
        <v>7.0156976234324298E-4</v>
      </c>
      <c r="N1816" s="100">
        <f>IF(AND(SamplingData[[#This Row],[Total]]&lt;&gt; 0, NOT(ISBLANK(SamplingData[[#This Row],[Candidate 5]]))),(SamplingData[[#This Row],[Total]]+SamplingData[[#This Row],[Winning Candidate]]-SamplingData[[#This Row],[Candidate 5]])/(SamplingData[[#Totals],[Winning Candidate]]-SamplingData[[#Totals],[Candidate 5]]), 0)</f>
        <v>6.0812454390659211E-4</v>
      </c>
      <c r="O1816" s="100">
        <f>IF(AND(SamplingData[[#This Row],[Total]]&lt;&gt; 0, NOT(ISBLANK(SamplingData[[#This Row],[Candidate 6]]))),(SamplingData[[#This Row],[Total]]+SamplingData[[#This Row],[Winning Candidate]]-SamplingData[[#This Row],[Candidate 6]])/(SamplingData[[#Totals],[Winning Candidate]]-SamplingData[[#Totals],[Candidate 6]]), 0)</f>
        <v>6.0794708428578371E-4</v>
      </c>
      <c r="P1816" s="100">
        <f>MAX(SamplingData[[#This Row],[Error Bound (up) - Max. possible relative overstatement - Losing Candidate]:[Error Bound (up) - Max. possible relative overstatement - Candidate 6]])</f>
        <v>1.224889759921607E-3</v>
      </c>
      <c r="Q1816" s="100">
        <f>IF(SamplingData[[#This Row],[Max Error Bound (up)]] = 0,0,SamplingData[[#This Row],[Max Error Bound (up)]]/SamplingData[[#Totals],[Max Error Bound (up)]])</f>
        <v>1.9385896556891664E-4</v>
      </c>
      <c r="R1816" s="101">
        <f>SUM($Q$5:Q1816)</f>
        <v>0.69445449471459819</v>
      </c>
      <c r="S1816" s="100" t="str">
        <f t="array" ref="S1816">IF(SamplingData[[#This Row],[up/U Selection Probability]] = 0, "Zero", TEXT(SamplingData[[#This Row],[Lower Range]], REPT("0",LEN('General Info'!$B$40))) &amp; " - " &amp; TEXT(SamplingData[[#This Row],[Upper Range]], REPT("0",LEN('General Info'!$B$40))))</f>
        <v>69426 - 69444</v>
      </c>
      <c r="T1816" s="100">
        <f>SamplingData[[#This Row],[Upper Range]]-SamplingData[[#This Row],[Span]]</f>
        <v>69426.063768761902</v>
      </c>
      <c r="U1816" s="100">
        <f>IF(ISNUMBER('General Info'!$B$40), ((SamplingData[[#This Row],[up/U Selection Probability]]) * 'General Info'!$B$40) - 1, 0)</f>
        <v>18.385702697926096</v>
      </c>
      <c r="V1816" s="100">
        <f>IF(ISNUMBER('General Info'!$B$40), (SamplingData[[#This Row],[Running (cumulative) sum]] * ('General Info'!$B$40 -'General Info'!$B$41 + 1)) + 'General Info'!$B$41 - 1, 0)</f>
        <v>69444.449471459826</v>
      </c>
      <c r="W1816" s="100" t="str">
        <f>IF(ISERROR(MATCH(SamplingData[[#This Row],[Batch by Type (p)]],SelectedPrecincts[Batch Name], 0)), "", INDEX(SelectedPrecincts[Draw], MATCH(SamplingData[[#This Row],[Batch by Type (p)]],SelectedPrecincts[Batch Name], 0)))</f>
        <v/>
      </c>
      <c r="X1816" s="102">
        <f>IF(COUNTIF(SelectedPrecincts[Batch Name],SamplingData[[#This Row],[Batch by Type (p)]]) &lt;&gt; 0, COUNTIF(SelectedPrecincts[Batch Name],SamplingData[[#This Row],[Batch by Type (p)]]), 0)</f>
        <v>0</v>
      </c>
    </row>
    <row r="1817" spans="1:24" ht="15" customHeight="1">
      <c r="A1817" s="18" t="s">
        <v>1993</v>
      </c>
      <c r="B1817" s="18">
        <v>21</v>
      </c>
      <c r="C1817" s="18">
        <v>27</v>
      </c>
      <c r="D1817" s="16">
        <v>8</v>
      </c>
      <c r="E1817" s="16">
        <v>5</v>
      </c>
      <c r="F1817" s="37">
        <v>0</v>
      </c>
      <c r="G1817" s="37">
        <v>0</v>
      </c>
      <c r="H1817" s="17">
        <v>0</v>
      </c>
      <c r="I1817" s="17">
        <v>0</v>
      </c>
      <c r="J1817" s="99">
        <f>SUM(SamplingData[[#This Row],[Losing Candidate]:[Under Votes]])</f>
        <v>61</v>
      </c>
      <c r="K1817" s="100">
        <f>IF(AND(SamplingData[[#This Row],[Total]]&lt;&gt; 0, NOT(ISBLANK(SamplingData[[#This Row],[Losing Candidate]]))),(SamplingData[[#This Row],[Total]]+SamplingData[[#This Row],[Winning Candidate]]-SamplingData[[#This Row],[Losing Candidate]])/(SamplingData[[#Totals],[Winning Candidate]]-SamplingData[[#Totals],[Losing Candidate]]), 0)</f>
        <v>4.1033806957373837E-3</v>
      </c>
      <c r="L1817" s="100">
        <f>IF(AND(SamplingData[[#This Row],[Total]]&lt;&gt; 0, NOT(ISBLANK(SamplingData[[#This Row],[Candidate 3]]))),(SamplingData[[#This Row],[Total]]+SamplingData[[#This Row],[Winning Candidate]]-SamplingData[[#This Row],[Candidate 3]])/(SamplingData[[#Totals],[Winning Candidate]]-SamplingData[[#Totals],[Candidate 3]]), 0)</f>
        <v>2.5808949253153532E-3</v>
      </c>
      <c r="M1817" s="100">
        <f>IF(AND(SamplingData[[#This Row],[Total]]&lt;&gt; 0, NOT(ISBLANK(SamplingData[[#This Row],[Candidate 4]]))),(SamplingData[[#This Row],[Total]]+SamplingData[[#This Row],[Winning Candidate]]-SamplingData[[#This Row],[Candidate 4]])/(SamplingData[[#Totals],[Winning Candidate]]-SamplingData[[#Totals],[Candidate 4]]), 0)</f>
        <v>2.4262620947703819E-3</v>
      </c>
      <c r="N1817" s="100">
        <f>IF(AND(SamplingData[[#This Row],[Total]]&lt;&gt; 0, NOT(ISBLANK(SamplingData[[#This Row],[Candidate 5]]))),(SamplingData[[#This Row],[Total]]+SamplingData[[#This Row],[Winning Candidate]]-SamplingData[[#This Row],[Candidate 5]])/(SamplingData[[#Totals],[Winning Candidate]]-SamplingData[[#Totals],[Candidate 5]]), 0)</f>
        <v>2.1405983945512043E-3</v>
      </c>
      <c r="O1817" s="100">
        <f>IF(AND(SamplingData[[#This Row],[Total]]&lt;&gt; 0, NOT(ISBLANK(SamplingData[[#This Row],[Candidate 6]]))),(SamplingData[[#This Row],[Total]]+SamplingData[[#This Row],[Winning Candidate]]-SamplingData[[#This Row],[Candidate 6]])/(SamplingData[[#Totals],[Winning Candidate]]-SamplingData[[#Totals],[Candidate 6]]), 0)</f>
        <v>2.1399737366859586E-3</v>
      </c>
      <c r="P1817" s="100">
        <f>MAX(SamplingData[[#This Row],[Error Bound (up) - Max. possible relative overstatement - Losing Candidate]:[Error Bound (up) - Max. possible relative overstatement - Candidate 6]])</f>
        <v>4.1033806957373837E-3</v>
      </c>
      <c r="Q1817" s="100">
        <f>IF(SamplingData[[#This Row],[Max Error Bound (up)]] = 0,0,SamplingData[[#This Row],[Max Error Bound (up)]]/SamplingData[[#Totals],[Max Error Bound (up)]])</f>
        <v>6.4942753465587074E-4</v>
      </c>
      <c r="R1817" s="101">
        <f>SUM($Q$5:Q1817)</f>
        <v>0.6951039222492541</v>
      </c>
      <c r="S1817" s="100" t="str">
        <f t="array" ref="S1817">IF(SamplingData[[#This Row],[up/U Selection Probability]] = 0, "Zero", TEXT(SamplingData[[#This Row],[Lower Range]], REPT("0",LEN('General Info'!$B$40))) &amp; " - " &amp; TEXT(SamplingData[[#This Row],[Upper Range]], REPT("0",LEN('General Info'!$B$40))))</f>
        <v>69445 - 69509</v>
      </c>
      <c r="T1817" s="100">
        <f>SamplingData[[#This Row],[Upper Range]]-SamplingData[[#This Row],[Span]]</f>
        <v>69445.450120887355</v>
      </c>
      <c r="U1817" s="100">
        <f>IF(ISNUMBER('General Info'!$B$40), ((SamplingData[[#This Row],[up/U Selection Probability]]) * 'General Info'!$B$40) - 1, 0)</f>
        <v>63.94210403805242</v>
      </c>
      <c r="V1817" s="100">
        <f>IF(ISNUMBER('General Info'!$B$40), (SamplingData[[#This Row],[Running (cumulative) sum]] * ('General Info'!$B$40 -'General Info'!$B$41 + 1)) + 'General Info'!$B$41 - 1, 0)</f>
        <v>69509.39222492541</v>
      </c>
      <c r="W1817" s="100" t="str">
        <f>IF(ISERROR(MATCH(SamplingData[[#This Row],[Batch by Type (p)]],SelectedPrecincts[Batch Name], 0)), "", INDEX(SelectedPrecincts[Draw], MATCH(SamplingData[[#This Row],[Batch by Type (p)]],SelectedPrecincts[Batch Name], 0)))</f>
        <v/>
      </c>
      <c r="X1817" s="102">
        <f>IF(COUNTIF(SelectedPrecincts[Batch Name],SamplingData[[#This Row],[Batch by Type (p)]]) &lt;&gt; 0, COUNTIF(SelectedPrecincts[Batch Name],SamplingData[[#This Row],[Batch by Type (p)]]), 0)</f>
        <v>0</v>
      </c>
    </row>
    <row r="1818" spans="1:24" ht="15" customHeight="1">
      <c r="A1818" s="18" t="s">
        <v>1994</v>
      </c>
      <c r="B1818" s="18">
        <v>11</v>
      </c>
      <c r="C1818" s="18">
        <v>24</v>
      </c>
      <c r="D1818" s="18">
        <v>5</v>
      </c>
      <c r="E1818" s="18">
        <v>4</v>
      </c>
      <c r="F1818" s="18">
        <v>0</v>
      </c>
      <c r="G1818" s="18">
        <v>0</v>
      </c>
      <c r="H1818" s="18">
        <v>0</v>
      </c>
      <c r="I1818" s="18">
        <v>0</v>
      </c>
      <c r="J1818" s="99">
        <f>SUM(SamplingData[[#This Row],[Losing Candidate]:[Under Votes]])</f>
        <v>44</v>
      </c>
      <c r="K1818" s="100">
        <f>IF(AND(SamplingData[[#This Row],[Total]]&lt;&gt; 0, NOT(ISBLANK(SamplingData[[#This Row],[Losing Candidate]]))),(SamplingData[[#This Row],[Total]]+SamplingData[[#This Row],[Winning Candidate]]-SamplingData[[#This Row],[Losing Candidate]])/(SamplingData[[#Totals],[Winning Candidate]]-SamplingData[[#Totals],[Losing Candidate]]), 0)</f>
        <v>3.4909358157765801E-3</v>
      </c>
      <c r="L1818" s="100">
        <f>IF(AND(SamplingData[[#This Row],[Total]]&lt;&gt; 0, NOT(ISBLANK(SamplingData[[#This Row],[Candidate 3]]))),(SamplingData[[#This Row],[Total]]+SamplingData[[#This Row],[Winning Candidate]]-SamplingData[[#This Row],[Candidate 3]])/(SamplingData[[#Totals],[Winning Candidate]]-SamplingData[[#Totals],[Candidate 3]]), 0)</f>
        <v>2.0324547536858407E-3</v>
      </c>
      <c r="M1818" s="100">
        <f>IF(AND(SamplingData[[#This Row],[Total]]&lt;&gt; 0, NOT(ISBLANK(SamplingData[[#This Row],[Candidate 4]]))),(SamplingData[[#This Row],[Total]]+SamplingData[[#This Row],[Winning Candidate]]-SamplingData[[#This Row],[Candidate 4]])/(SamplingData[[#Totals],[Winning Candidate]]-SamplingData[[#Totals],[Candidate 4]]), 0)</f>
        <v>1.8708526995819814E-3</v>
      </c>
      <c r="N1818" s="100">
        <f>IF(AND(SamplingData[[#This Row],[Total]]&lt;&gt; 0, NOT(ISBLANK(SamplingData[[#This Row],[Candidate 5]]))),(SamplingData[[#This Row],[Total]]+SamplingData[[#This Row],[Winning Candidate]]-SamplingData[[#This Row],[Candidate 5]])/(SamplingData[[#Totals],[Winning Candidate]]-SamplingData[[#Totals],[Candidate 5]]), 0)</f>
        <v>1.6540987594259305E-3</v>
      </c>
      <c r="O1818" s="100">
        <f>IF(AND(SamplingData[[#This Row],[Total]]&lt;&gt; 0, NOT(ISBLANK(SamplingData[[#This Row],[Candidate 6]]))),(SamplingData[[#This Row],[Total]]+SamplingData[[#This Row],[Winning Candidate]]-SamplingData[[#This Row],[Candidate 6]])/(SamplingData[[#Totals],[Winning Candidate]]-SamplingData[[#Totals],[Candidate 6]]), 0)</f>
        <v>1.6536160692573318E-3</v>
      </c>
      <c r="P1818" s="100">
        <f>MAX(SamplingData[[#This Row],[Error Bound (up) - Max. possible relative overstatement - Losing Candidate]:[Error Bound (up) - Max. possible relative overstatement - Candidate 6]])</f>
        <v>3.4909358157765801E-3</v>
      </c>
      <c r="Q1818" s="100">
        <f>IF(SamplingData[[#This Row],[Max Error Bound (up)]] = 0,0,SamplingData[[#This Row],[Max Error Bound (up)]]/SamplingData[[#Totals],[Max Error Bound (up)]])</f>
        <v>5.5249805187141245E-4</v>
      </c>
      <c r="R1818" s="101">
        <f>SUM($Q$5:Q1818)</f>
        <v>0.69565642030112551</v>
      </c>
      <c r="S1818" s="100" t="str">
        <f t="array" ref="S1818">IF(SamplingData[[#This Row],[up/U Selection Probability]] = 0, "Zero", TEXT(SamplingData[[#This Row],[Lower Range]], REPT("0",LEN('General Info'!$B$40))) &amp; " - " &amp; TEXT(SamplingData[[#This Row],[Upper Range]], REPT("0",LEN('General Info'!$B$40))))</f>
        <v>69510 - 69565</v>
      </c>
      <c r="T1818" s="100">
        <f>SamplingData[[#This Row],[Upper Range]]-SamplingData[[#This Row],[Span]]</f>
        <v>69510.392777423462</v>
      </c>
      <c r="U1818" s="100">
        <f>IF(ISNUMBER('General Info'!$B$40), ((SamplingData[[#This Row],[up/U Selection Probability]]) * 'General Info'!$B$40) - 1, 0)</f>
        <v>54.249252689089374</v>
      </c>
      <c r="V1818" s="100">
        <f>IF(ISNUMBER('General Info'!$B$40), (SamplingData[[#This Row],[Running (cumulative) sum]] * ('General Info'!$B$40 -'General Info'!$B$41 + 1)) + 'General Info'!$B$41 - 1, 0)</f>
        <v>69564.642030112547</v>
      </c>
      <c r="W1818" s="100" t="str">
        <f>IF(ISERROR(MATCH(SamplingData[[#This Row],[Batch by Type (p)]],SelectedPrecincts[Batch Name], 0)), "", INDEX(SelectedPrecincts[Draw], MATCH(SamplingData[[#This Row],[Batch by Type (p)]],SelectedPrecincts[Batch Name], 0)))</f>
        <v/>
      </c>
      <c r="X1818" s="102">
        <f>IF(COUNTIF(SelectedPrecincts[Batch Name],SamplingData[[#This Row],[Batch by Type (p)]]) &lt;&gt; 0, COUNTIF(SelectedPrecincts[Batch Name],SamplingData[[#This Row],[Batch by Type (p)]]), 0)</f>
        <v>0</v>
      </c>
    </row>
    <row r="1819" spans="1:24" ht="15" customHeight="1">
      <c r="A1819" s="18" t="s">
        <v>1995</v>
      </c>
      <c r="B1819" s="18">
        <v>16</v>
      </c>
      <c r="C1819" s="18">
        <v>34</v>
      </c>
      <c r="D1819" s="16">
        <v>11</v>
      </c>
      <c r="E1819" s="16">
        <v>11</v>
      </c>
      <c r="F1819" s="37">
        <v>0</v>
      </c>
      <c r="G1819" s="37">
        <v>1</v>
      </c>
      <c r="H1819" s="17">
        <v>0</v>
      </c>
      <c r="I1819" s="17">
        <v>2</v>
      </c>
      <c r="J1819" s="99">
        <f>SUM(SamplingData[[#This Row],[Losing Candidate]:[Under Votes]])</f>
        <v>75</v>
      </c>
      <c r="K1819" s="100">
        <f>IF(AND(SamplingData[[#This Row],[Total]]&lt;&gt; 0, NOT(ISBLANK(SamplingData[[#This Row],[Losing Candidate]]))),(SamplingData[[#This Row],[Total]]+SamplingData[[#This Row],[Winning Candidate]]-SamplingData[[#This Row],[Losing Candidate]])/(SamplingData[[#Totals],[Winning Candidate]]-SamplingData[[#Totals],[Losing Candidate]]), 0)</f>
        <v>5.6957373836354725E-3</v>
      </c>
      <c r="L1819" s="100">
        <f>IF(AND(SamplingData[[#This Row],[Total]]&lt;&gt; 0, NOT(ISBLANK(SamplingData[[#This Row],[Candidate 3]]))),(SamplingData[[#This Row],[Total]]+SamplingData[[#This Row],[Winning Candidate]]-SamplingData[[#This Row],[Candidate 3]])/(SamplingData[[#Totals],[Winning Candidate]]-SamplingData[[#Totals],[Candidate 3]]), 0)</f>
        <v>3.1615962835113073E-3</v>
      </c>
      <c r="M1819" s="100">
        <f>IF(AND(SamplingData[[#This Row],[Total]]&lt;&gt; 0, NOT(ISBLANK(SamplingData[[#This Row],[Candidate 4]]))),(SamplingData[[#This Row],[Total]]+SamplingData[[#This Row],[Winning Candidate]]-SamplingData[[#This Row],[Candidate 4]])/(SamplingData[[#Totals],[Winning Candidate]]-SamplingData[[#Totals],[Candidate 4]]), 0)</f>
        <v>2.8647431962349089E-3</v>
      </c>
      <c r="N1819" s="100">
        <f>IF(AND(SamplingData[[#This Row],[Total]]&lt;&gt; 0, NOT(ISBLANK(SamplingData[[#This Row],[Candidate 5]]))),(SamplingData[[#This Row],[Total]]+SamplingData[[#This Row],[Winning Candidate]]-SamplingData[[#This Row],[Candidate 5]])/(SamplingData[[#Totals],[Winning Candidate]]-SamplingData[[#Totals],[Candidate 5]]), 0)</f>
        <v>2.6514230114327414E-3</v>
      </c>
      <c r="O1819" s="100">
        <f>IF(AND(SamplingData[[#This Row],[Total]]&lt;&gt; 0, NOT(ISBLANK(SamplingData[[#This Row],[Candidate 6]]))),(SamplingData[[#This Row],[Total]]+SamplingData[[#This Row],[Winning Candidate]]-SamplingData[[#This Row],[Candidate 6]])/(SamplingData[[#Totals],[Winning Candidate]]-SamplingData[[#Totals],[Candidate 6]]), 0)</f>
        <v>2.626331404114586E-3</v>
      </c>
      <c r="P1819" s="100">
        <f>MAX(SamplingData[[#This Row],[Error Bound (up) - Max. possible relative overstatement - Losing Candidate]:[Error Bound (up) - Max. possible relative overstatement - Candidate 6]])</f>
        <v>5.6957373836354725E-3</v>
      </c>
      <c r="Q1819" s="100">
        <f>IF(SamplingData[[#This Row],[Max Error Bound (up)]] = 0,0,SamplingData[[#This Row],[Max Error Bound (up)]]/SamplingData[[#Totals],[Max Error Bound (up)]])</f>
        <v>9.0144418989546225E-4</v>
      </c>
      <c r="R1819" s="101">
        <f>SUM($Q$5:Q1819)</f>
        <v>0.69655786449102097</v>
      </c>
      <c r="S1819" s="100" t="str">
        <f t="array" ref="S1819">IF(SamplingData[[#This Row],[up/U Selection Probability]] = 0, "Zero", TEXT(SamplingData[[#This Row],[Lower Range]], REPT("0",LEN('General Info'!$B$40))) &amp; " - " &amp; TEXT(SamplingData[[#This Row],[Upper Range]], REPT("0",LEN('General Info'!$B$40))))</f>
        <v>69566 - 69655</v>
      </c>
      <c r="T1819" s="100">
        <f>SamplingData[[#This Row],[Upper Range]]-SamplingData[[#This Row],[Span]]</f>
        <v>69565.642931556751</v>
      </c>
      <c r="U1819" s="100">
        <f>IF(ISNUMBER('General Info'!$B$40), ((SamplingData[[#This Row],[up/U Selection Probability]]) * 'General Info'!$B$40) - 1, 0)</f>
        <v>89.143517545356332</v>
      </c>
      <c r="V1819" s="100">
        <f>IF(ISNUMBER('General Info'!$B$40), (SamplingData[[#This Row],[Running (cumulative) sum]] * ('General Info'!$B$40 -'General Info'!$B$41 + 1)) + 'General Info'!$B$41 - 1, 0)</f>
        <v>69654.786449102103</v>
      </c>
      <c r="W1819" s="100" t="str">
        <f>IF(ISERROR(MATCH(SamplingData[[#This Row],[Batch by Type (p)]],SelectedPrecincts[Batch Name], 0)), "", INDEX(SelectedPrecincts[Draw], MATCH(SamplingData[[#This Row],[Batch by Type (p)]],SelectedPrecincts[Batch Name], 0)))</f>
        <v/>
      </c>
      <c r="X1819" s="102">
        <f>IF(COUNTIF(SelectedPrecincts[Batch Name],SamplingData[[#This Row],[Batch by Type (p)]]) &lt;&gt; 0, COUNTIF(SelectedPrecincts[Batch Name],SamplingData[[#This Row],[Batch by Type (p)]]), 0)</f>
        <v>0</v>
      </c>
    </row>
    <row r="1820" spans="1:24" ht="15" customHeight="1">
      <c r="A1820" s="18" t="s">
        <v>1996</v>
      </c>
      <c r="B1820" s="18">
        <v>7</v>
      </c>
      <c r="C1820" s="18">
        <v>14</v>
      </c>
      <c r="D1820" s="18">
        <v>2</v>
      </c>
      <c r="E1820" s="18">
        <v>1</v>
      </c>
      <c r="F1820" s="18">
        <v>0</v>
      </c>
      <c r="G1820" s="18">
        <v>0</v>
      </c>
      <c r="H1820" s="18">
        <v>0</v>
      </c>
      <c r="I1820" s="18">
        <v>0</v>
      </c>
      <c r="J1820" s="99">
        <f>SUM(SamplingData[[#This Row],[Losing Candidate]:[Under Votes]])</f>
        <v>24</v>
      </c>
      <c r="K1820" s="100">
        <f>IF(AND(SamplingData[[#This Row],[Total]]&lt;&gt; 0, NOT(ISBLANK(SamplingData[[#This Row],[Losing Candidate]]))),(SamplingData[[#This Row],[Total]]+SamplingData[[#This Row],[Winning Candidate]]-SamplingData[[#This Row],[Losing Candidate]])/(SamplingData[[#Totals],[Winning Candidate]]-SamplingData[[#Totals],[Losing Candidate]]), 0)</f>
        <v>1.8985791278784908E-3</v>
      </c>
      <c r="L1820" s="100">
        <f>IF(AND(SamplingData[[#This Row],[Total]]&lt;&gt; 0, NOT(ISBLANK(SamplingData[[#This Row],[Candidate 3]]))),(SamplingData[[#This Row],[Total]]+SamplingData[[#This Row],[Winning Candidate]]-SamplingData[[#This Row],[Candidate 3]])/(SamplingData[[#Totals],[Winning Candidate]]-SamplingData[[#Totals],[Candidate 3]]), 0)</f>
        <v>1.1614027163919089E-3</v>
      </c>
      <c r="M1820" s="100">
        <f>IF(AND(SamplingData[[#This Row],[Total]]&lt;&gt; 0, NOT(ISBLANK(SamplingData[[#This Row],[Candidate 4]]))),(SamplingData[[#This Row],[Total]]+SamplingData[[#This Row],[Winning Candidate]]-SamplingData[[#This Row],[Candidate 4]])/(SamplingData[[#Totals],[Winning Candidate]]-SamplingData[[#Totals],[Candidate 4]]), 0)</f>
        <v>1.081586716945833E-3</v>
      </c>
      <c r="N1820" s="100">
        <f>IF(AND(SamplingData[[#This Row],[Total]]&lt;&gt; 0, NOT(ISBLANK(SamplingData[[#This Row],[Candidate 5]]))),(SamplingData[[#This Row],[Total]]+SamplingData[[#This Row],[Winning Candidate]]-SamplingData[[#This Row],[Candidate 5]])/(SamplingData[[#Totals],[Winning Candidate]]-SamplingData[[#Totals],[Candidate 5]]), 0)</f>
        <v>9.2434930673801995E-4</v>
      </c>
      <c r="O1820" s="100">
        <f>IF(AND(SamplingData[[#This Row],[Total]]&lt;&gt; 0, NOT(ISBLANK(SamplingData[[#This Row],[Candidate 6]]))),(SamplingData[[#This Row],[Total]]+SamplingData[[#This Row],[Winning Candidate]]-SamplingData[[#This Row],[Candidate 6]])/(SamplingData[[#Totals],[Winning Candidate]]-SamplingData[[#Totals],[Candidate 6]]), 0)</f>
        <v>9.2407956811439132E-4</v>
      </c>
      <c r="P1820" s="100">
        <f>MAX(SamplingData[[#This Row],[Error Bound (up) - Max. possible relative overstatement - Losing Candidate]:[Error Bound (up) - Max. possible relative overstatement - Candidate 6]])</f>
        <v>1.8985791278784908E-3</v>
      </c>
      <c r="Q1820" s="100">
        <f>IF(SamplingData[[#This Row],[Max Error Bound (up)]] = 0,0,SamplingData[[#This Row],[Max Error Bound (up)]]/SamplingData[[#Totals],[Max Error Bound (up)]])</f>
        <v>3.0048139663182077E-4</v>
      </c>
      <c r="R1820" s="101">
        <f>SUM($Q$5:Q1820)</f>
        <v>0.69685834588765283</v>
      </c>
      <c r="S1820" s="100" t="str">
        <f t="array" ref="S1820">IF(SamplingData[[#This Row],[up/U Selection Probability]] = 0, "Zero", TEXT(SamplingData[[#This Row],[Lower Range]], REPT("0",LEN('General Info'!$B$40))) &amp; " - " &amp; TEXT(SamplingData[[#This Row],[Upper Range]], REPT("0",LEN('General Info'!$B$40))))</f>
        <v>69656 - 69685</v>
      </c>
      <c r="T1820" s="100">
        <f>SamplingData[[#This Row],[Upper Range]]-SamplingData[[#This Row],[Span]]</f>
        <v>69655.786749583494</v>
      </c>
      <c r="U1820" s="100">
        <f>IF(ISNUMBER('General Info'!$B$40), ((SamplingData[[#This Row],[up/U Selection Probability]]) * 'General Info'!$B$40) - 1, 0)</f>
        <v>29.047839181785445</v>
      </c>
      <c r="V1820" s="100">
        <f>IF(ISNUMBER('General Info'!$B$40), (SamplingData[[#This Row],[Running (cumulative) sum]] * ('General Info'!$B$40 -'General Info'!$B$41 + 1)) + 'General Info'!$B$41 - 1, 0)</f>
        <v>69684.834588765283</v>
      </c>
      <c r="W1820" s="100" t="str">
        <f>IF(ISERROR(MATCH(SamplingData[[#This Row],[Batch by Type (p)]],SelectedPrecincts[Batch Name], 0)), "", INDEX(SelectedPrecincts[Draw], MATCH(SamplingData[[#This Row],[Batch by Type (p)]],SelectedPrecincts[Batch Name], 0)))</f>
        <v/>
      </c>
      <c r="X1820" s="102">
        <f>IF(COUNTIF(SelectedPrecincts[Batch Name],SamplingData[[#This Row],[Batch by Type (p)]]) &lt;&gt; 0, COUNTIF(SelectedPrecincts[Batch Name],SamplingData[[#This Row],[Batch by Type (p)]]), 0)</f>
        <v>0</v>
      </c>
    </row>
    <row r="1821" spans="1:24" ht="15" customHeight="1">
      <c r="A1821" s="18" t="s">
        <v>1997</v>
      </c>
      <c r="B1821" s="18">
        <v>39</v>
      </c>
      <c r="C1821" s="18">
        <v>146</v>
      </c>
      <c r="D1821" s="16">
        <v>18</v>
      </c>
      <c r="E1821" s="16">
        <v>16</v>
      </c>
      <c r="F1821" s="37">
        <v>2</v>
      </c>
      <c r="G1821" s="37">
        <v>1</v>
      </c>
      <c r="H1821" s="17">
        <v>0</v>
      </c>
      <c r="I1821" s="17">
        <v>3</v>
      </c>
      <c r="J1821" s="99">
        <f>SUM(SamplingData[[#This Row],[Losing Candidate]:[Under Votes]])</f>
        <v>225</v>
      </c>
      <c r="K1821" s="100">
        <f>IF(AND(SamplingData[[#This Row],[Total]]&lt;&gt; 0, NOT(ISBLANK(SamplingData[[#This Row],[Losing Candidate]]))),(SamplingData[[#This Row],[Total]]+SamplingData[[#This Row],[Winning Candidate]]-SamplingData[[#This Row],[Losing Candidate]])/(SamplingData[[#Totals],[Winning Candidate]]-SamplingData[[#Totals],[Losing Candidate]]), 0)</f>
        <v>2.0333170014698677E-2</v>
      </c>
      <c r="L1821" s="100">
        <f>IF(AND(SamplingData[[#This Row],[Total]]&lt;&gt; 0, NOT(ISBLANK(SamplingData[[#This Row],[Candidate 3]]))),(SamplingData[[#This Row],[Total]]+SamplingData[[#This Row],[Winning Candidate]]-SamplingData[[#This Row],[Candidate 3]])/(SamplingData[[#Totals],[Winning Candidate]]-SamplingData[[#Totals],[Candidate 3]]), 0)</f>
        <v>1.1388198857953995E-2</v>
      </c>
      <c r="M1821" s="100">
        <f>IF(AND(SamplingData[[#This Row],[Total]]&lt;&gt; 0, NOT(ISBLANK(SamplingData[[#This Row],[Candidate 4]]))),(SamplingData[[#This Row],[Total]]+SamplingData[[#This Row],[Winning Candidate]]-SamplingData[[#This Row],[Candidate 4]])/(SamplingData[[#Totals],[Winning Candidate]]-SamplingData[[#Totals],[Candidate 4]]), 0)</f>
        <v>1.0377386067993802E-2</v>
      </c>
      <c r="N1821" s="100">
        <f>IF(AND(SamplingData[[#This Row],[Total]]&lt;&gt; 0, NOT(ISBLANK(SamplingData[[#This Row],[Candidate 5]]))),(SamplingData[[#This Row],[Total]]+SamplingData[[#This Row],[Winning Candidate]]-SamplingData[[#This Row],[Candidate 5]])/(SamplingData[[#Totals],[Winning Candidate]]-SamplingData[[#Totals],[Candidate 5]]), 0)</f>
        <v>8.9759182680612982E-3</v>
      </c>
      <c r="O1821" s="100">
        <f>IF(AND(SamplingData[[#This Row],[Total]]&lt;&gt; 0, NOT(ISBLANK(SamplingData[[#This Row],[Candidate 6]]))),(SamplingData[[#This Row],[Total]]+SamplingData[[#This Row],[Winning Candidate]]-SamplingData[[#This Row],[Candidate 6]])/(SamplingData[[#Totals],[Winning Candidate]]-SamplingData[[#Totals],[Candidate 6]]), 0)</f>
        <v>8.9976168474296004E-3</v>
      </c>
      <c r="P1821" s="100">
        <f>MAX(SamplingData[[#This Row],[Error Bound (up) - Max. possible relative overstatement - Losing Candidate]:[Error Bound (up) - Max. possible relative overstatement - Candidate 6]])</f>
        <v>2.0333170014698677E-2</v>
      </c>
      <c r="Q1821" s="100">
        <f>IF(SamplingData[[#This Row],[Max Error Bound (up)]] = 0,0,SamplingData[[#This Row],[Max Error Bound (up)]]/SamplingData[[#Totals],[Max Error Bound (up)]])</f>
        <v>3.2180588284440163E-3</v>
      </c>
      <c r="R1821" s="101">
        <f>SUM($Q$5:Q1821)</f>
        <v>0.70007640471609689</v>
      </c>
      <c r="S1821" s="100" t="str">
        <f t="array" ref="S1821">IF(SamplingData[[#This Row],[up/U Selection Probability]] = 0, "Zero", TEXT(SamplingData[[#This Row],[Lower Range]], REPT("0",LEN('General Info'!$B$40))) &amp; " - " &amp; TEXT(SamplingData[[#This Row],[Upper Range]], REPT("0",LEN('General Info'!$B$40))))</f>
        <v>69686 - 70007</v>
      </c>
      <c r="T1821" s="100">
        <f>SamplingData[[#This Row],[Upper Range]]-SamplingData[[#This Row],[Span]]</f>
        <v>69685.837806824115</v>
      </c>
      <c r="U1821" s="100">
        <f>IF(ISNUMBER('General Info'!$B$40), ((SamplingData[[#This Row],[up/U Selection Probability]]) * 'General Info'!$B$40) - 1, 0)</f>
        <v>320.8026647855732</v>
      </c>
      <c r="V1821" s="100">
        <f>IF(ISNUMBER('General Info'!$B$40), (SamplingData[[#This Row],[Running (cumulative) sum]] * ('General Info'!$B$40 -'General Info'!$B$41 + 1)) + 'General Info'!$B$41 - 1, 0)</f>
        <v>70006.640471609688</v>
      </c>
      <c r="W1821" s="100" t="str">
        <f>IF(ISERROR(MATCH(SamplingData[[#This Row],[Batch by Type (p)]],SelectedPrecincts[Batch Name], 0)), "", INDEX(SelectedPrecincts[Draw], MATCH(SamplingData[[#This Row],[Batch by Type (p)]],SelectedPrecincts[Batch Name], 0)))</f>
        <v/>
      </c>
      <c r="X1821" s="102">
        <f>IF(COUNTIF(SelectedPrecincts[Batch Name],SamplingData[[#This Row],[Batch by Type (p)]]) &lt;&gt; 0, COUNTIF(SelectedPrecincts[Batch Name],SamplingData[[#This Row],[Batch by Type (p)]]), 0)</f>
        <v>0</v>
      </c>
    </row>
    <row r="1822" spans="1:24" ht="15" customHeight="1">
      <c r="A1822" s="18" t="s">
        <v>1998</v>
      </c>
      <c r="B1822" s="18">
        <v>14</v>
      </c>
      <c r="C1822" s="18">
        <v>50</v>
      </c>
      <c r="D1822" s="18">
        <v>7</v>
      </c>
      <c r="E1822" s="18">
        <v>5</v>
      </c>
      <c r="F1822" s="18">
        <v>0</v>
      </c>
      <c r="G1822" s="18">
        <v>1</v>
      </c>
      <c r="H1822" s="18">
        <v>0</v>
      </c>
      <c r="I1822" s="18">
        <v>6</v>
      </c>
      <c r="J1822" s="99">
        <f>SUM(SamplingData[[#This Row],[Losing Candidate]:[Under Votes]])</f>
        <v>83</v>
      </c>
      <c r="K1822" s="100">
        <f>IF(AND(SamplingData[[#This Row],[Total]]&lt;&gt; 0, NOT(ISBLANK(SamplingData[[#This Row],[Losing Candidate]]))),(SamplingData[[#This Row],[Total]]+SamplingData[[#This Row],[Winning Candidate]]-SamplingData[[#This Row],[Losing Candidate]])/(SamplingData[[#Totals],[Winning Candidate]]-SamplingData[[#Totals],[Losing Candidate]]), 0)</f>
        <v>7.2880940715335622E-3</v>
      </c>
      <c r="L1822" s="100">
        <f>IF(AND(SamplingData[[#This Row],[Total]]&lt;&gt; 0, NOT(ISBLANK(SamplingData[[#This Row],[Candidate 3]]))),(SamplingData[[#This Row],[Total]]+SamplingData[[#This Row],[Winning Candidate]]-SamplingData[[#This Row],[Candidate 3]])/(SamplingData[[#Totals],[Winning Candidate]]-SamplingData[[#Totals],[Candidate 3]]), 0)</f>
        <v>4.0649095073716814E-3</v>
      </c>
      <c r="M1822" s="100">
        <f>IF(AND(SamplingData[[#This Row],[Total]]&lt;&gt; 0, NOT(ISBLANK(SamplingData[[#This Row],[Candidate 4]]))),(SamplingData[[#This Row],[Total]]+SamplingData[[#This Row],[Winning Candidate]]-SamplingData[[#This Row],[Candidate 4]])/(SamplingData[[#Totals],[Winning Candidate]]-SamplingData[[#Totals],[Candidate 4]]), 0)</f>
        <v>3.7417053991639629E-3</v>
      </c>
      <c r="N1822" s="100">
        <f>IF(AND(SamplingData[[#This Row],[Total]]&lt;&gt; 0, NOT(ISBLANK(SamplingData[[#This Row],[Candidate 5]]))),(SamplingData[[#This Row],[Total]]+SamplingData[[#This Row],[Winning Candidate]]-SamplingData[[#This Row],[Candidate 5]])/(SamplingData[[#Totals],[Winning Candidate]]-SamplingData[[#Totals],[Candidate 5]]), 0)</f>
        <v>3.2352225735830698E-3</v>
      </c>
      <c r="O1822" s="100">
        <f>IF(AND(SamplingData[[#This Row],[Total]]&lt;&gt; 0, NOT(ISBLANK(SamplingData[[#This Row],[Candidate 6]]))),(SamplingData[[#This Row],[Total]]+SamplingData[[#This Row],[Winning Candidate]]-SamplingData[[#This Row],[Candidate 6]])/(SamplingData[[#Totals],[Winning Candidate]]-SamplingData[[#Totals],[Candidate 6]]), 0)</f>
        <v>3.2099606050289384E-3</v>
      </c>
      <c r="P1822" s="100">
        <f>MAX(SamplingData[[#This Row],[Error Bound (up) - Max. possible relative overstatement - Losing Candidate]:[Error Bound (up) - Max. possible relative overstatement - Candidate 6]])</f>
        <v>7.2880940715335622E-3</v>
      </c>
      <c r="Q1822" s="100">
        <f>IF(SamplingData[[#This Row],[Max Error Bound (up)]] = 0,0,SamplingData[[#This Row],[Max Error Bound (up)]]/SamplingData[[#Totals],[Max Error Bound (up)]])</f>
        <v>1.153460845135054E-3</v>
      </c>
      <c r="R1822" s="101">
        <f>SUM($Q$5:Q1822)</f>
        <v>0.7012298655612319</v>
      </c>
      <c r="S1822" s="100" t="str">
        <f t="array" ref="S1822">IF(SamplingData[[#This Row],[up/U Selection Probability]] = 0, "Zero", TEXT(SamplingData[[#This Row],[Lower Range]], REPT("0",LEN('General Info'!$B$40))) &amp; " - " &amp; TEXT(SamplingData[[#This Row],[Upper Range]], REPT("0",LEN('General Info'!$B$40))))</f>
        <v>70008 - 70122</v>
      </c>
      <c r="T1822" s="100">
        <f>SamplingData[[#This Row],[Upper Range]]-SamplingData[[#This Row],[Span]]</f>
        <v>70007.641625070522</v>
      </c>
      <c r="U1822" s="100">
        <f>IF(ISNUMBER('General Info'!$B$40), ((SamplingData[[#This Row],[up/U Selection Probability]]) * 'General Info'!$B$40) - 1, 0)</f>
        <v>114.34493105266026</v>
      </c>
      <c r="V1822" s="100">
        <f>IF(ISNUMBER('General Info'!$B$40), (SamplingData[[#This Row],[Running (cumulative) sum]] * ('General Info'!$B$40 -'General Info'!$B$41 + 1)) + 'General Info'!$B$41 - 1, 0)</f>
        <v>70121.986556123185</v>
      </c>
      <c r="W1822" s="100" t="str">
        <f>IF(ISERROR(MATCH(SamplingData[[#This Row],[Batch by Type (p)]],SelectedPrecincts[Batch Name], 0)), "", INDEX(SelectedPrecincts[Draw], MATCH(SamplingData[[#This Row],[Batch by Type (p)]],SelectedPrecincts[Batch Name], 0)))</f>
        <v/>
      </c>
      <c r="X1822" s="102">
        <f>IF(COUNTIF(SelectedPrecincts[Batch Name],SamplingData[[#This Row],[Batch by Type (p)]]) &lt;&gt; 0, COUNTIF(SelectedPrecincts[Batch Name],SamplingData[[#This Row],[Batch by Type (p)]]), 0)</f>
        <v>0</v>
      </c>
    </row>
    <row r="1823" spans="1:24" ht="15" customHeight="1">
      <c r="A1823" s="18" t="s">
        <v>1999</v>
      </c>
      <c r="B1823" s="18">
        <v>40</v>
      </c>
      <c r="C1823" s="18">
        <v>158</v>
      </c>
      <c r="D1823" s="16">
        <v>26</v>
      </c>
      <c r="E1823" s="16">
        <v>18</v>
      </c>
      <c r="F1823" s="37">
        <v>0</v>
      </c>
      <c r="G1823" s="37">
        <v>1</v>
      </c>
      <c r="H1823" s="17">
        <v>0</v>
      </c>
      <c r="I1823" s="17">
        <v>1</v>
      </c>
      <c r="J1823" s="99">
        <f>SUM(SamplingData[[#This Row],[Losing Candidate]:[Under Votes]])</f>
        <v>244</v>
      </c>
      <c r="K1823" s="100">
        <f>IF(AND(SamplingData[[#This Row],[Total]]&lt;&gt; 0, NOT(ISBLANK(SamplingData[[#This Row],[Losing Candidate]]))),(SamplingData[[#This Row],[Total]]+SamplingData[[#This Row],[Winning Candidate]]-SamplingData[[#This Row],[Losing Candidate]])/(SamplingData[[#Totals],[Winning Candidate]]-SamplingData[[#Totals],[Losing Candidate]]), 0)</f>
        <v>2.2170504654581088E-2</v>
      </c>
      <c r="L1823" s="100">
        <f>IF(AND(SamplingData[[#This Row],[Total]]&lt;&gt; 0, NOT(ISBLANK(SamplingData[[#This Row],[Candidate 3]]))),(SamplingData[[#This Row],[Total]]+SamplingData[[#This Row],[Winning Candidate]]-SamplingData[[#This Row],[Candidate 3]])/(SamplingData[[#Totals],[Winning Candidate]]-SamplingData[[#Totals],[Candidate 3]]), 0)</f>
        <v>1.2130206148982159E-2</v>
      </c>
      <c r="M1823" s="100">
        <f>IF(AND(SamplingData[[#This Row],[Total]]&lt;&gt; 0, NOT(ISBLANK(SamplingData[[#This Row],[Candidate 4]]))),(SamplingData[[#This Row],[Total]]+SamplingData[[#This Row],[Winning Candidate]]-SamplingData[[#This Row],[Candidate 4]])/(SamplingData[[#Totals],[Winning Candidate]]-SamplingData[[#Totals],[Candidate 4]]), 0)</f>
        <v>1.1225116197491888E-2</v>
      </c>
      <c r="N1823" s="100">
        <f>IF(AND(SamplingData[[#This Row],[Total]]&lt;&gt; 0, NOT(ISBLANK(SamplingData[[#This Row],[Candidate 5]]))),(SamplingData[[#This Row],[Total]]+SamplingData[[#This Row],[Winning Candidate]]-SamplingData[[#This Row],[Candidate 5]])/(SamplingData[[#Totals],[Winning Candidate]]-SamplingData[[#Totals],[Candidate 5]]), 0)</f>
        <v>9.778642666018E-3</v>
      </c>
      <c r="O1823" s="100">
        <f>IF(AND(SamplingData[[#This Row],[Total]]&lt;&gt; 0, NOT(ISBLANK(SamplingData[[#This Row],[Candidate 6]]))),(SamplingData[[#This Row],[Total]]+SamplingData[[#This Row],[Winning Candidate]]-SamplingData[[#This Row],[Candidate 6]])/(SamplingData[[#Totals],[Winning Candidate]]-SamplingData[[#Totals],[Candidate 6]]), 0)</f>
        <v>9.7514712319439721E-3</v>
      </c>
      <c r="P1823" s="100">
        <f>MAX(SamplingData[[#This Row],[Error Bound (up) - Max. possible relative overstatement - Losing Candidate]:[Error Bound (up) - Max. possible relative overstatement - Candidate 6]])</f>
        <v>2.2170504654581088E-2</v>
      </c>
      <c r="Q1823" s="100">
        <f>IF(SamplingData[[#This Row],[Max Error Bound (up)]] = 0,0,SamplingData[[#This Row],[Max Error Bound (up)]]/SamplingData[[#Totals],[Max Error Bound (up)]])</f>
        <v>3.5088472767973913E-3</v>
      </c>
      <c r="R1823" s="101">
        <f>SUM($Q$5:Q1823)</f>
        <v>0.70473871283802925</v>
      </c>
      <c r="S1823" s="100" t="str">
        <f t="array" ref="S1823">IF(SamplingData[[#This Row],[up/U Selection Probability]] = 0, "Zero", TEXT(SamplingData[[#This Row],[Lower Range]], REPT("0",LEN('General Info'!$B$40))) &amp; " - " &amp; TEXT(SamplingData[[#This Row],[Upper Range]], REPT("0",LEN('General Info'!$B$40))))</f>
        <v>70123 - 70473</v>
      </c>
      <c r="T1823" s="100">
        <f>SamplingData[[#This Row],[Upper Range]]-SamplingData[[#This Row],[Span]]</f>
        <v>70122.990064970465</v>
      </c>
      <c r="U1823" s="100">
        <f>IF(ISNUMBER('General Info'!$B$40), ((SamplingData[[#This Row],[up/U Selection Probability]]) * 'General Info'!$B$40) - 1, 0)</f>
        <v>349.88121883246231</v>
      </c>
      <c r="V1823" s="100">
        <f>IF(ISNUMBER('General Info'!$B$40), (SamplingData[[#This Row],[Running (cumulative) sum]] * ('General Info'!$B$40 -'General Info'!$B$41 + 1)) + 'General Info'!$B$41 - 1, 0)</f>
        <v>70472.871283802931</v>
      </c>
      <c r="W1823" s="100" t="str">
        <f>IF(ISERROR(MATCH(SamplingData[[#This Row],[Batch by Type (p)]],SelectedPrecincts[Batch Name], 0)), "", INDEX(SelectedPrecincts[Draw], MATCH(SamplingData[[#This Row],[Batch by Type (p)]],SelectedPrecincts[Batch Name], 0)))</f>
        <v/>
      </c>
      <c r="X1823" s="102">
        <f>IF(COUNTIF(SelectedPrecincts[Batch Name],SamplingData[[#This Row],[Batch by Type (p)]]) &lt;&gt; 0, COUNTIF(SelectedPrecincts[Batch Name],SamplingData[[#This Row],[Batch by Type (p)]]), 0)</f>
        <v>0</v>
      </c>
    </row>
    <row r="1824" spans="1:24" ht="15" customHeight="1">
      <c r="A1824" s="18" t="s">
        <v>2000</v>
      </c>
      <c r="B1824" s="18">
        <v>22</v>
      </c>
      <c r="C1824" s="18">
        <v>48</v>
      </c>
      <c r="D1824" s="18">
        <v>4</v>
      </c>
      <c r="E1824" s="18">
        <v>3</v>
      </c>
      <c r="F1824" s="18">
        <v>0</v>
      </c>
      <c r="G1824" s="18">
        <v>0</v>
      </c>
      <c r="H1824" s="18">
        <v>0</v>
      </c>
      <c r="I1824" s="18">
        <v>2</v>
      </c>
      <c r="J1824" s="99">
        <f>SUM(SamplingData[[#This Row],[Losing Candidate]:[Under Votes]])</f>
        <v>79</v>
      </c>
      <c r="K1824" s="100">
        <f>IF(AND(SamplingData[[#This Row],[Total]]&lt;&gt; 0, NOT(ISBLANK(SamplingData[[#This Row],[Losing Candidate]]))),(SamplingData[[#This Row],[Total]]+SamplingData[[#This Row],[Winning Candidate]]-SamplingData[[#This Row],[Losing Candidate]])/(SamplingData[[#Totals],[Winning Candidate]]-SamplingData[[#Totals],[Losing Candidate]]), 0)</f>
        <v>6.4306712395884374E-3</v>
      </c>
      <c r="L1824" s="100">
        <f>IF(AND(SamplingData[[#This Row],[Total]]&lt;&gt; 0, NOT(ISBLANK(SamplingData[[#This Row],[Candidate 3]]))),(SamplingData[[#This Row],[Total]]+SamplingData[[#This Row],[Winning Candidate]]-SamplingData[[#This Row],[Candidate 3]])/(SamplingData[[#Totals],[Winning Candidate]]-SamplingData[[#Totals],[Candidate 3]]), 0)</f>
        <v>3.9681259476723558E-3</v>
      </c>
      <c r="M1824" s="100">
        <f>IF(AND(SamplingData[[#This Row],[Total]]&lt;&gt; 0, NOT(ISBLANK(SamplingData[[#This Row],[Candidate 4]]))),(SamplingData[[#This Row],[Total]]+SamplingData[[#This Row],[Winning Candidate]]-SamplingData[[#This Row],[Candidate 4]])/(SamplingData[[#Totals],[Winning Candidate]]-SamplingData[[#Totals],[Candidate 4]]), 0)</f>
        <v>3.624777105440089E-3</v>
      </c>
      <c r="N1824" s="100">
        <f>IF(AND(SamplingData[[#This Row],[Total]]&lt;&gt; 0, NOT(ISBLANK(SamplingData[[#This Row],[Candidate 5]]))),(SamplingData[[#This Row],[Total]]+SamplingData[[#This Row],[Winning Candidate]]-SamplingData[[#This Row],[Candidate 5]])/(SamplingData[[#Totals],[Winning Candidate]]-SamplingData[[#Totals],[Candidate 5]]), 0)</f>
        <v>3.0892726830454879E-3</v>
      </c>
      <c r="O1824" s="100">
        <f>IF(AND(SamplingData[[#This Row],[Total]]&lt;&gt; 0, NOT(ISBLANK(SamplingData[[#This Row],[Candidate 6]]))),(SamplingData[[#This Row],[Total]]+SamplingData[[#This Row],[Winning Candidate]]-SamplingData[[#This Row],[Candidate 6]])/(SamplingData[[#Totals],[Winning Candidate]]-SamplingData[[#Totals],[Candidate 6]]), 0)</f>
        <v>3.0883711881717815E-3</v>
      </c>
      <c r="P1824" s="100">
        <f>MAX(SamplingData[[#This Row],[Error Bound (up) - Max. possible relative overstatement - Losing Candidate]:[Error Bound (up) - Max. possible relative overstatement - Candidate 6]])</f>
        <v>6.4306712395884374E-3</v>
      </c>
      <c r="Q1824" s="100">
        <f>IF(SamplingData[[#This Row],[Max Error Bound (up)]] = 0,0,SamplingData[[#This Row],[Max Error Bound (up)]]/SamplingData[[#Totals],[Max Error Bound (up)]])</f>
        <v>1.0177595692368124E-3</v>
      </c>
      <c r="R1824" s="101">
        <f>SUM($Q$5:Q1824)</f>
        <v>0.70575647240726602</v>
      </c>
      <c r="S1824" s="100" t="str">
        <f t="array" ref="S1824">IF(SamplingData[[#This Row],[up/U Selection Probability]] = 0, "Zero", TEXT(SamplingData[[#This Row],[Lower Range]], REPT("0",LEN('General Info'!$B$40))) &amp; " - " &amp; TEXT(SamplingData[[#This Row],[Upper Range]], REPT("0",LEN('General Info'!$B$40))))</f>
        <v>70474 - 70575</v>
      </c>
      <c r="T1824" s="100">
        <f>SamplingData[[#This Row],[Upper Range]]-SamplingData[[#This Row],[Span]]</f>
        <v>70473.872301562486</v>
      </c>
      <c r="U1824" s="100">
        <f>IF(ISNUMBER('General Info'!$B$40), ((SamplingData[[#This Row],[up/U Selection Probability]]) * 'General Info'!$B$40) - 1, 0)</f>
        <v>100.77493916411201</v>
      </c>
      <c r="V1824" s="100">
        <f>IF(ISNUMBER('General Info'!$B$40), (SamplingData[[#This Row],[Running (cumulative) sum]] * ('General Info'!$B$40 -'General Info'!$B$41 + 1)) + 'General Info'!$B$41 - 1, 0)</f>
        <v>70574.647240726597</v>
      </c>
      <c r="W1824" s="100" t="str">
        <f>IF(ISERROR(MATCH(SamplingData[[#This Row],[Batch by Type (p)]],SelectedPrecincts[Batch Name], 0)), "", INDEX(SelectedPrecincts[Draw], MATCH(SamplingData[[#This Row],[Batch by Type (p)]],SelectedPrecincts[Batch Name], 0)))</f>
        <v/>
      </c>
      <c r="X1824" s="102">
        <f>IF(COUNTIF(SelectedPrecincts[Batch Name],SamplingData[[#This Row],[Batch by Type (p)]]) &lt;&gt; 0, COUNTIF(SelectedPrecincts[Batch Name],SamplingData[[#This Row],[Batch by Type (p)]]), 0)</f>
        <v>0</v>
      </c>
    </row>
    <row r="1825" spans="1:24" ht="15" customHeight="1">
      <c r="A1825" s="18" t="s">
        <v>2001</v>
      </c>
      <c r="B1825" s="18">
        <v>3</v>
      </c>
      <c r="C1825" s="18">
        <v>8</v>
      </c>
      <c r="D1825" s="16">
        <v>1</v>
      </c>
      <c r="E1825" s="16">
        <v>1</v>
      </c>
      <c r="F1825" s="37">
        <v>0</v>
      </c>
      <c r="G1825" s="37">
        <v>0</v>
      </c>
      <c r="H1825" s="17">
        <v>0</v>
      </c>
      <c r="I1825" s="17">
        <v>0</v>
      </c>
      <c r="J1825" s="99">
        <f>SUM(SamplingData[[#This Row],[Losing Candidate]:[Under Votes]])</f>
        <v>13</v>
      </c>
      <c r="K1825"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1825" s="100">
        <f>IF(AND(SamplingData[[#This Row],[Total]]&lt;&gt; 0, NOT(ISBLANK(SamplingData[[#This Row],[Candidate 3]]))),(SamplingData[[#This Row],[Total]]+SamplingData[[#This Row],[Winning Candidate]]-SamplingData[[#This Row],[Candidate 3]])/(SamplingData[[#Totals],[Winning Candidate]]-SamplingData[[#Totals],[Candidate 3]]), 0)</f>
        <v>6.4522373132883831E-4</v>
      </c>
      <c r="M1825" s="100">
        <f>IF(AND(SamplingData[[#This Row],[Total]]&lt;&gt; 0, NOT(ISBLANK(SamplingData[[#This Row],[Candidate 4]]))),(SamplingData[[#This Row],[Total]]+SamplingData[[#This Row],[Winning Candidate]]-SamplingData[[#This Row],[Candidate 4]])/(SamplingData[[#Totals],[Winning Candidate]]-SamplingData[[#Totals],[Candidate 4]]), 0)</f>
        <v>5.8464146861936922E-4</v>
      </c>
      <c r="N1825" s="100">
        <f>IF(AND(SamplingData[[#This Row],[Total]]&lt;&gt; 0, NOT(ISBLANK(SamplingData[[#This Row],[Candidate 5]]))),(SamplingData[[#This Row],[Total]]+SamplingData[[#This Row],[Winning Candidate]]-SamplingData[[#This Row],[Candidate 5]])/(SamplingData[[#Totals],[Winning Candidate]]-SamplingData[[#Totals],[Candidate 5]]), 0)</f>
        <v>5.1082461688153739E-4</v>
      </c>
      <c r="O1825" s="100">
        <f>IF(AND(SamplingData[[#This Row],[Total]]&lt;&gt; 0, NOT(ISBLANK(SamplingData[[#This Row],[Candidate 6]]))),(SamplingData[[#This Row],[Total]]+SamplingData[[#This Row],[Winning Candidate]]-SamplingData[[#This Row],[Candidate 6]])/(SamplingData[[#Totals],[Winning Candidate]]-SamplingData[[#Totals],[Candidate 6]]), 0)</f>
        <v>5.1067555080005838E-4</v>
      </c>
      <c r="P1825" s="100">
        <f>MAX(SamplingData[[#This Row],[Error Bound (up) - Max. possible relative overstatement - Losing Candidate]:[Error Bound (up) - Max. possible relative overstatement - Candidate 6]])</f>
        <v>1.1024007839294464E-3</v>
      </c>
      <c r="Q1825" s="100">
        <f>IF(SamplingData[[#This Row],[Max Error Bound (up)]] = 0,0,SamplingData[[#This Row],[Max Error Bound (up)]]/SamplingData[[#Totals],[Max Error Bound (up)]])</f>
        <v>1.7447306901202498E-4</v>
      </c>
      <c r="R1825" s="101">
        <f>SUM($Q$5:Q1825)</f>
        <v>0.70593094547627799</v>
      </c>
      <c r="S1825" s="100" t="str">
        <f t="array" ref="S1825">IF(SamplingData[[#This Row],[up/U Selection Probability]] = 0, "Zero", TEXT(SamplingData[[#This Row],[Lower Range]], REPT("0",LEN('General Info'!$B$40))) &amp; " - " &amp; TEXT(SamplingData[[#This Row],[Upper Range]], REPT("0",LEN('General Info'!$B$40))))</f>
        <v>70576 - 70592</v>
      </c>
      <c r="T1825" s="100">
        <f>SamplingData[[#This Row],[Upper Range]]-SamplingData[[#This Row],[Span]]</f>
        <v>70575.647415199666</v>
      </c>
      <c r="U1825" s="100">
        <f>IF(ISNUMBER('General Info'!$B$40), ((SamplingData[[#This Row],[up/U Selection Probability]]) * 'General Info'!$B$40) - 1, 0)</f>
        <v>16.447132428133486</v>
      </c>
      <c r="V1825" s="100">
        <f>IF(ISNUMBER('General Info'!$B$40), (SamplingData[[#This Row],[Running (cumulative) sum]] * ('General Info'!$B$40 -'General Info'!$B$41 + 1)) + 'General Info'!$B$41 - 1, 0)</f>
        <v>70592.094547627799</v>
      </c>
      <c r="W1825" s="100" t="str">
        <f>IF(ISERROR(MATCH(SamplingData[[#This Row],[Batch by Type (p)]],SelectedPrecincts[Batch Name], 0)), "", INDEX(SelectedPrecincts[Draw], MATCH(SamplingData[[#This Row],[Batch by Type (p)]],SelectedPrecincts[Batch Name], 0)))</f>
        <v/>
      </c>
      <c r="X1825" s="102">
        <f>IF(COUNTIF(SelectedPrecincts[Batch Name],SamplingData[[#This Row],[Batch by Type (p)]]) &lt;&gt; 0, COUNTIF(SelectedPrecincts[Batch Name],SamplingData[[#This Row],[Batch by Type (p)]]), 0)</f>
        <v>0</v>
      </c>
    </row>
    <row r="1826" spans="1:24" ht="15" customHeight="1">
      <c r="A1826" s="18" t="s">
        <v>2002</v>
      </c>
      <c r="B1826" s="18">
        <v>0</v>
      </c>
      <c r="C1826" s="18">
        <v>3</v>
      </c>
      <c r="D1826" s="18">
        <v>0</v>
      </c>
      <c r="E1826" s="18">
        <v>0</v>
      </c>
      <c r="F1826" s="18">
        <v>0</v>
      </c>
      <c r="G1826" s="18">
        <v>0</v>
      </c>
      <c r="H1826" s="18">
        <v>0</v>
      </c>
      <c r="I1826" s="18">
        <v>0</v>
      </c>
      <c r="J1826" s="99">
        <f>SUM(SamplingData[[#This Row],[Losing Candidate]:[Under Votes]])</f>
        <v>3</v>
      </c>
      <c r="K1826"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826" s="100">
        <f>IF(AND(SamplingData[[#This Row],[Total]]&lt;&gt; 0, NOT(ISBLANK(SamplingData[[#This Row],[Candidate 3]]))),(SamplingData[[#This Row],[Total]]+SamplingData[[#This Row],[Winning Candidate]]-SamplingData[[#This Row],[Candidate 3]])/(SamplingData[[#Totals],[Winning Candidate]]-SamplingData[[#Totals],[Candidate 3]]), 0)</f>
        <v>1.9356711939865149E-4</v>
      </c>
      <c r="M1826" s="100">
        <f>IF(AND(SamplingData[[#This Row],[Total]]&lt;&gt; 0, NOT(ISBLANK(SamplingData[[#This Row],[Candidate 4]]))),(SamplingData[[#This Row],[Total]]+SamplingData[[#This Row],[Winning Candidate]]-SamplingData[[#This Row],[Candidate 4]])/(SamplingData[[#Totals],[Winning Candidate]]-SamplingData[[#Totals],[Candidate 4]]), 0)</f>
        <v>1.7539244058581075E-4</v>
      </c>
      <c r="N1826" s="100">
        <f>IF(AND(SamplingData[[#This Row],[Total]]&lt;&gt; 0, NOT(ISBLANK(SamplingData[[#This Row],[Candidate 5]]))),(SamplingData[[#This Row],[Total]]+SamplingData[[#This Row],[Winning Candidate]]-SamplingData[[#This Row],[Candidate 5]])/(SamplingData[[#Totals],[Winning Candidate]]-SamplingData[[#Totals],[Candidate 5]]), 0)</f>
        <v>1.4594989053758211E-4</v>
      </c>
      <c r="O1826" s="100">
        <f>IF(AND(SamplingData[[#This Row],[Total]]&lt;&gt; 0, NOT(ISBLANK(SamplingData[[#This Row],[Candidate 6]]))),(SamplingData[[#This Row],[Total]]+SamplingData[[#This Row],[Winning Candidate]]-SamplingData[[#This Row],[Candidate 6]])/(SamplingData[[#Totals],[Winning Candidate]]-SamplingData[[#Totals],[Candidate 6]]), 0)</f>
        <v>1.4590730022858811E-4</v>
      </c>
      <c r="P1826" s="100">
        <f>MAX(SamplingData[[#This Row],[Error Bound (up) - Max. possible relative overstatement - Losing Candidate]:[Error Bound (up) - Max. possible relative overstatement - Candidate 6]])</f>
        <v>3.6746692797648211E-4</v>
      </c>
      <c r="Q1826" s="100">
        <f>IF(SamplingData[[#This Row],[Max Error Bound (up)]] = 0,0,SamplingData[[#This Row],[Max Error Bound (up)]]/SamplingData[[#Totals],[Max Error Bound (up)]])</f>
        <v>5.8157689670674986E-5</v>
      </c>
      <c r="R1826" s="101">
        <f>SUM($Q$5:Q1826)</f>
        <v>0.70598910316594865</v>
      </c>
      <c r="S1826" s="100" t="str">
        <f t="array" ref="S1826">IF(SamplingData[[#This Row],[up/U Selection Probability]] = 0, "Zero", TEXT(SamplingData[[#This Row],[Lower Range]], REPT("0",LEN('General Info'!$B$40))) &amp; " - " &amp; TEXT(SamplingData[[#This Row],[Upper Range]], REPT("0",LEN('General Info'!$B$40))))</f>
        <v>70593 - 70598</v>
      </c>
      <c r="T1826" s="100">
        <f>SamplingData[[#This Row],[Upper Range]]-SamplingData[[#This Row],[Span]]</f>
        <v>70593.094605785489</v>
      </c>
      <c r="U1826" s="100">
        <f>IF(ISNUMBER('General Info'!$B$40), ((SamplingData[[#This Row],[up/U Selection Probability]]) * 'General Info'!$B$40) - 1, 0)</f>
        <v>4.815710809377828</v>
      </c>
      <c r="V1826" s="100">
        <f>IF(ISNUMBER('General Info'!$B$40), (SamplingData[[#This Row],[Running (cumulative) sum]] * ('General Info'!$B$40 -'General Info'!$B$41 + 1)) + 'General Info'!$B$41 - 1, 0)</f>
        <v>70597.910316594862</v>
      </c>
      <c r="W1826" s="100" t="str">
        <f>IF(ISERROR(MATCH(SamplingData[[#This Row],[Batch by Type (p)]],SelectedPrecincts[Batch Name], 0)), "", INDEX(SelectedPrecincts[Draw], MATCH(SamplingData[[#This Row],[Batch by Type (p)]],SelectedPrecincts[Batch Name], 0)))</f>
        <v/>
      </c>
      <c r="X1826" s="102">
        <f>IF(COUNTIF(SelectedPrecincts[Batch Name],SamplingData[[#This Row],[Batch by Type (p)]]) &lt;&gt; 0, COUNTIF(SelectedPrecincts[Batch Name],SamplingData[[#This Row],[Batch by Type (p)]]), 0)</f>
        <v>0</v>
      </c>
    </row>
    <row r="1827" spans="1:24" ht="15" customHeight="1">
      <c r="A1827" s="18" t="s">
        <v>2003</v>
      </c>
      <c r="B1827" s="18">
        <v>25</v>
      </c>
      <c r="C1827" s="18">
        <v>84</v>
      </c>
      <c r="D1827" s="16">
        <v>16</v>
      </c>
      <c r="E1827" s="16">
        <v>6</v>
      </c>
      <c r="F1827" s="37">
        <v>4</v>
      </c>
      <c r="G1827" s="37">
        <v>2</v>
      </c>
      <c r="H1827" s="17">
        <v>0</v>
      </c>
      <c r="I1827" s="17">
        <v>0</v>
      </c>
      <c r="J1827" s="99">
        <f>SUM(SamplingData[[#This Row],[Losing Candidate]:[Under Votes]])</f>
        <v>137</v>
      </c>
      <c r="K1827" s="100">
        <f>IF(AND(SamplingData[[#This Row],[Total]]&lt;&gt; 0, NOT(ISBLANK(SamplingData[[#This Row],[Losing Candidate]]))),(SamplingData[[#This Row],[Total]]+SamplingData[[#This Row],[Winning Candidate]]-SamplingData[[#This Row],[Losing Candidate]])/(SamplingData[[#Totals],[Winning Candidate]]-SamplingData[[#Totals],[Losing Candidate]]), 0)</f>
        <v>1.2003919647231749E-2</v>
      </c>
      <c r="L1827" s="100">
        <f>IF(AND(SamplingData[[#This Row],[Total]]&lt;&gt; 0, NOT(ISBLANK(SamplingData[[#This Row],[Candidate 3]]))),(SamplingData[[#This Row],[Total]]+SamplingData[[#This Row],[Winning Candidate]]-SamplingData[[#This Row],[Candidate 3]])/(SamplingData[[#Totals],[Winning Candidate]]-SamplingData[[#Totals],[Candidate 3]]), 0)</f>
        <v>6.6135432461205922E-3</v>
      </c>
      <c r="M1827" s="100">
        <f>IF(AND(SamplingData[[#This Row],[Total]]&lt;&gt; 0, NOT(ISBLANK(SamplingData[[#This Row],[Candidate 4]]))),(SamplingData[[#This Row],[Total]]+SamplingData[[#This Row],[Winning Candidate]]-SamplingData[[#This Row],[Candidate 4]])/(SamplingData[[#Totals],[Winning Candidate]]-SamplingData[[#Totals],[Candidate 4]]), 0)</f>
        <v>6.2848957876582186E-3</v>
      </c>
      <c r="N1827" s="100">
        <f>IF(AND(SamplingData[[#This Row],[Total]]&lt;&gt; 0, NOT(ISBLANK(SamplingData[[#This Row],[Candidate 5]]))),(SamplingData[[#This Row],[Total]]+SamplingData[[#This Row],[Winning Candidate]]-SamplingData[[#This Row],[Candidate 5]])/(SamplingData[[#Totals],[Winning Candidate]]-SamplingData[[#Totals],[Candidate 5]]), 0)</f>
        <v>5.2785210411092189E-3</v>
      </c>
      <c r="O1827" s="100">
        <f>IF(AND(SamplingData[[#This Row],[Total]]&lt;&gt; 0, NOT(ISBLANK(SamplingData[[#This Row],[Candidate 6]]))),(SamplingData[[#This Row],[Total]]+SamplingData[[#This Row],[Winning Candidate]]-SamplingData[[#This Row],[Candidate 6]])/(SamplingData[[#Totals],[Winning Candidate]]-SamplingData[[#Totals],[Candidate 6]]), 0)</f>
        <v>5.3256164583434656E-3</v>
      </c>
      <c r="P1827" s="100">
        <f>MAX(SamplingData[[#This Row],[Error Bound (up) - Max. possible relative overstatement - Losing Candidate]:[Error Bound (up) - Max. possible relative overstatement - Candidate 6]])</f>
        <v>1.2003919647231749E-2</v>
      </c>
      <c r="Q1827" s="100">
        <f>IF(SamplingData[[#This Row],[Max Error Bound (up)]] = 0,0,SamplingData[[#This Row],[Max Error Bound (up)]]/SamplingData[[#Totals],[Max Error Bound (up)]])</f>
        <v>1.8998178625753829E-3</v>
      </c>
      <c r="R1827" s="101">
        <f>SUM($Q$5:Q1827)</f>
        <v>0.70788892102852408</v>
      </c>
      <c r="S1827" s="100" t="str">
        <f t="array" ref="S1827">IF(SamplingData[[#This Row],[up/U Selection Probability]] = 0, "Zero", TEXT(SamplingData[[#This Row],[Lower Range]], REPT("0",LEN('General Info'!$B$40))) &amp; " - " &amp; TEXT(SamplingData[[#This Row],[Upper Range]], REPT("0",LEN('General Info'!$B$40))))</f>
        <v>70599 - 70788</v>
      </c>
      <c r="T1827" s="100">
        <f>SamplingData[[#This Row],[Upper Range]]-SamplingData[[#This Row],[Span]]</f>
        <v>70598.912216412733</v>
      </c>
      <c r="U1827" s="100">
        <f>IF(ISNUMBER('General Info'!$B$40), ((SamplingData[[#This Row],[up/U Selection Probability]]) * 'General Info'!$B$40) - 1, 0)</f>
        <v>188.97988643967571</v>
      </c>
      <c r="V1827" s="100">
        <f>IF(ISNUMBER('General Info'!$B$40), (SamplingData[[#This Row],[Running (cumulative) sum]] * ('General Info'!$B$40 -'General Info'!$B$41 + 1)) + 'General Info'!$B$41 - 1, 0)</f>
        <v>70787.892102852406</v>
      </c>
      <c r="W1827" s="100" t="str">
        <f>IF(ISERROR(MATCH(SamplingData[[#This Row],[Batch by Type (p)]],SelectedPrecincts[Batch Name], 0)), "", INDEX(SelectedPrecincts[Draw], MATCH(SamplingData[[#This Row],[Batch by Type (p)]],SelectedPrecincts[Batch Name], 0)))</f>
        <v/>
      </c>
      <c r="X1827" s="102">
        <f>IF(COUNTIF(SelectedPrecincts[Batch Name],SamplingData[[#This Row],[Batch by Type (p)]]) &lt;&gt; 0, COUNTIF(SelectedPrecincts[Batch Name],SamplingData[[#This Row],[Batch by Type (p)]]), 0)</f>
        <v>0</v>
      </c>
    </row>
    <row r="1828" spans="1:24" ht="15" customHeight="1">
      <c r="A1828" s="18" t="s">
        <v>2004</v>
      </c>
      <c r="B1828" s="18">
        <v>18</v>
      </c>
      <c r="C1828" s="18">
        <v>55</v>
      </c>
      <c r="D1828" s="18">
        <v>4</v>
      </c>
      <c r="E1828" s="18">
        <v>4</v>
      </c>
      <c r="F1828" s="18">
        <v>1</v>
      </c>
      <c r="G1828" s="18">
        <v>1</v>
      </c>
      <c r="H1828" s="18">
        <v>0</v>
      </c>
      <c r="I1828" s="18">
        <v>8</v>
      </c>
      <c r="J1828" s="99">
        <f>SUM(SamplingData[[#This Row],[Losing Candidate]:[Under Votes]])</f>
        <v>91</v>
      </c>
      <c r="K1828" s="100">
        <f>IF(AND(SamplingData[[#This Row],[Total]]&lt;&gt; 0, NOT(ISBLANK(SamplingData[[#This Row],[Losing Candidate]]))),(SamplingData[[#This Row],[Total]]+SamplingData[[#This Row],[Winning Candidate]]-SamplingData[[#This Row],[Losing Candidate]])/(SamplingData[[#Totals],[Winning Candidate]]-SamplingData[[#Totals],[Losing Candidate]]), 0)</f>
        <v>7.839294463498285E-3</v>
      </c>
      <c r="L1828" s="100">
        <f>IF(AND(SamplingData[[#This Row],[Total]]&lt;&gt; 0, NOT(ISBLANK(SamplingData[[#This Row],[Candidate 3]]))),(SamplingData[[#This Row],[Total]]+SamplingData[[#This Row],[Winning Candidate]]-SamplingData[[#This Row],[Candidate 3]])/(SamplingData[[#Totals],[Winning Candidate]]-SamplingData[[#Totals],[Candidate 3]]), 0)</f>
        <v>4.5810884924347515E-3</v>
      </c>
      <c r="M1828" s="100">
        <f>IF(AND(SamplingData[[#This Row],[Total]]&lt;&gt; 0, NOT(ISBLANK(SamplingData[[#This Row],[Candidate 4]]))),(SamplingData[[#This Row],[Total]]+SamplingData[[#This Row],[Winning Candidate]]-SamplingData[[#This Row],[Candidate 4]])/(SamplingData[[#Totals],[Winning Candidate]]-SamplingData[[#Totals],[Candidate 4]]), 0)</f>
        <v>4.1509544271975214E-3</v>
      </c>
      <c r="N1828" s="100">
        <f>IF(AND(SamplingData[[#This Row],[Total]]&lt;&gt; 0, NOT(ISBLANK(SamplingData[[#This Row],[Candidate 5]]))),(SamplingData[[#This Row],[Total]]+SamplingData[[#This Row],[Winning Candidate]]-SamplingData[[#This Row],[Candidate 5]])/(SamplingData[[#Totals],[Winning Candidate]]-SamplingData[[#Totals],[Candidate 5]]), 0)</f>
        <v>3.5271223546582339E-3</v>
      </c>
      <c r="O1828" s="100">
        <f>IF(AND(SamplingData[[#This Row],[Total]]&lt;&gt; 0, NOT(ISBLANK(SamplingData[[#This Row],[Candidate 6]]))),(SamplingData[[#This Row],[Total]]+SamplingData[[#This Row],[Winning Candidate]]-SamplingData[[#This Row],[Candidate 6]])/(SamplingData[[#Totals],[Winning Candidate]]-SamplingData[[#Totals],[Candidate 6]]), 0)</f>
        <v>3.526093088857546E-3</v>
      </c>
      <c r="P1828" s="100">
        <f>MAX(SamplingData[[#This Row],[Error Bound (up) - Max. possible relative overstatement - Losing Candidate]:[Error Bound (up) - Max. possible relative overstatement - Candidate 6]])</f>
        <v>7.839294463498285E-3</v>
      </c>
      <c r="Q1828" s="100">
        <f>IF(SamplingData[[#This Row],[Max Error Bound (up)]] = 0,0,SamplingData[[#This Row],[Max Error Bound (up)]]/SamplingData[[#Totals],[Max Error Bound (up)]])</f>
        <v>1.2406973796410664E-3</v>
      </c>
      <c r="R1828" s="101">
        <f>SUM($Q$5:Q1828)</f>
        <v>0.70912961840816513</v>
      </c>
      <c r="S1828" s="100" t="str">
        <f t="array" ref="S1828">IF(SamplingData[[#This Row],[up/U Selection Probability]] = 0, "Zero", TEXT(SamplingData[[#This Row],[Lower Range]], REPT("0",LEN('General Info'!$B$40))) &amp; " - " &amp; TEXT(SamplingData[[#This Row],[Upper Range]], REPT("0",LEN('General Info'!$B$40))))</f>
        <v>70789 - 70912</v>
      </c>
      <c r="T1828" s="100">
        <f>SamplingData[[#This Row],[Upper Range]]-SamplingData[[#This Row],[Span]]</f>
        <v>70788.893343549789</v>
      </c>
      <c r="U1828" s="100">
        <f>IF(ISNUMBER('General Info'!$B$40), ((SamplingData[[#This Row],[up/U Selection Probability]]) * 'General Info'!$B$40) - 1, 0)</f>
        <v>123.06849726672701</v>
      </c>
      <c r="V1828" s="100">
        <f>IF(ISNUMBER('General Info'!$B$40), (SamplingData[[#This Row],[Running (cumulative) sum]] * ('General Info'!$B$40 -'General Info'!$B$41 + 1)) + 'General Info'!$B$41 - 1, 0)</f>
        <v>70911.961840816512</v>
      </c>
      <c r="W1828" s="100" t="str">
        <f>IF(ISERROR(MATCH(SamplingData[[#This Row],[Batch by Type (p)]],SelectedPrecincts[Batch Name], 0)), "", INDEX(SelectedPrecincts[Draw], MATCH(SamplingData[[#This Row],[Batch by Type (p)]],SelectedPrecincts[Batch Name], 0)))</f>
        <v/>
      </c>
      <c r="X1828" s="102">
        <f>IF(COUNTIF(SelectedPrecincts[Batch Name],SamplingData[[#This Row],[Batch by Type (p)]]) &lt;&gt; 0, COUNTIF(SelectedPrecincts[Batch Name],SamplingData[[#This Row],[Batch by Type (p)]]), 0)</f>
        <v>0</v>
      </c>
    </row>
    <row r="1829" spans="1:24" ht="15" customHeight="1">
      <c r="A1829" s="18" t="s">
        <v>2005</v>
      </c>
      <c r="B1829" s="18">
        <v>36</v>
      </c>
      <c r="C1829" s="18">
        <v>112</v>
      </c>
      <c r="D1829" s="16">
        <v>21</v>
      </c>
      <c r="E1829" s="16">
        <v>13</v>
      </c>
      <c r="F1829" s="37">
        <v>0</v>
      </c>
      <c r="G1829" s="37">
        <v>1</v>
      </c>
      <c r="H1829" s="17">
        <v>0</v>
      </c>
      <c r="I1829" s="17">
        <v>0</v>
      </c>
      <c r="J1829" s="99">
        <f>SUM(SamplingData[[#This Row],[Losing Candidate]:[Under Votes]])</f>
        <v>183</v>
      </c>
      <c r="K1829" s="100">
        <f>IF(AND(SamplingData[[#This Row],[Total]]&lt;&gt; 0, NOT(ISBLANK(SamplingData[[#This Row],[Losing Candidate]]))),(SamplingData[[#This Row],[Total]]+SamplingData[[#This Row],[Winning Candidate]]-SamplingData[[#This Row],[Losing Candidate]])/(SamplingData[[#Totals],[Winning Candidate]]-SamplingData[[#Totals],[Losing Candidate]]), 0)</f>
        <v>1.5862322390984812E-2</v>
      </c>
      <c r="L1829" s="100">
        <f>IF(AND(SamplingData[[#This Row],[Total]]&lt;&gt; 0, NOT(ISBLANK(SamplingData[[#This Row],[Candidate 3]]))),(SamplingData[[#This Row],[Total]]+SamplingData[[#This Row],[Winning Candidate]]-SamplingData[[#This Row],[Candidate 3]])/(SamplingData[[#Totals],[Winning Candidate]]-SamplingData[[#Totals],[Candidate 3]]), 0)</f>
        <v>8.8395651192050839E-3</v>
      </c>
      <c r="M1829" s="100">
        <f>IF(AND(SamplingData[[#This Row],[Total]]&lt;&gt; 0, NOT(ISBLANK(SamplingData[[#This Row],[Candidate 4]]))),(SamplingData[[#This Row],[Total]]+SamplingData[[#This Row],[Winning Candidate]]-SamplingData[[#This Row],[Candidate 4]])/(SamplingData[[#Totals],[Winning Candidate]]-SamplingData[[#Totals],[Candidate 4]]), 0)</f>
        <v>8.2434447075331058E-3</v>
      </c>
      <c r="N1829" s="100">
        <f>IF(AND(SamplingData[[#This Row],[Total]]&lt;&gt; 0, NOT(ISBLANK(SamplingData[[#This Row],[Candidate 5]]))),(SamplingData[[#This Row],[Total]]+SamplingData[[#This Row],[Winning Candidate]]-SamplingData[[#This Row],[Candidate 5]])/(SamplingData[[#Totals],[Winning Candidate]]-SamplingData[[#Totals],[Candidate 5]]), 0)</f>
        <v>7.1758696180977861E-3</v>
      </c>
      <c r="O1829" s="100">
        <f>IF(AND(SamplingData[[#This Row],[Total]]&lt;&gt; 0, NOT(ISBLANK(SamplingData[[#This Row],[Candidate 6]]))),(SamplingData[[#This Row],[Total]]+SamplingData[[#This Row],[Winning Candidate]]-SamplingData[[#This Row],[Candidate 6]])/(SamplingData[[#Totals],[Winning Candidate]]-SamplingData[[#Totals],[Candidate 6]]), 0)</f>
        <v>7.1494577112008167E-3</v>
      </c>
      <c r="P1829" s="100">
        <f>MAX(SamplingData[[#This Row],[Error Bound (up) - Max. possible relative overstatement - Losing Candidate]:[Error Bound (up) - Max. possible relative overstatement - Candidate 6]])</f>
        <v>1.5862322390984812E-2</v>
      </c>
      <c r="Q1829" s="100">
        <f>IF(SamplingData[[#This Row],[Max Error Bound (up)]] = 0,0,SamplingData[[#This Row],[Max Error Bound (up)]]/SamplingData[[#Totals],[Max Error Bound (up)]])</f>
        <v>2.5104736041174705E-3</v>
      </c>
      <c r="R1829" s="101">
        <f>SUM($Q$5:Q1829)</f>
        <v>0.71164009201228262</v>
      </c>
      <c r="S1829" s="100" t="str">
        <f t="array" ref="S1829">IF(SamplingData[[#This Row],[up/U Selection Probability]] = 0, "Zero", TEXT(SamplingData[[#This Row],[Lower Range]], REPT("0",LEN('General Info'!$B$40))) &amp; " - " &amp; TEXT(SamplingData[[#This Row],[Upper Range]], REPT("0",LEN('General Info'!$B$40))))</f>
        <v>70913 - 71163</v>
      </c>
      <c r="T1829" s="100">
        <f>SamplingData[[#This Row],[Upper Range]]-SamplingData[[#This Row],[Span]]</f>
        <v>70912.964351290124</v>
      </c>
      <c r="U1829" s="100">
        <f>IF(ISNUMBER('General Info'!$B$40), ((SamplingData[[#This Row],[up/U Selection Probability]]) * 'General Info'!$B$40) - 1, 0)</f>
        <v>250.04484993814293</v>
      </c>
      <c r="V1829" s="100">
        <f>IF(ISNUMBER('General Info'!$B$40), (SamplingData[[#This Row],[Running (cumulative) sum]] * ('General Info'!$B$40 -'General Info'!$B$41 + 1)) + 'General Info'!$B$41 - 1, 0)</f>
        <v>71163.009201228269</v>
      </c>
      <c r="W1829" s="100" t="str">
        <f>IF(ISERROR(MATCH(SamplingData[[#This Row],[Batch by Type (p)]],SelectedPrecincts[Batch Name], 0)), "", INDEX(SelectedPrecincts[Draw], MATCH(SamplingData[[#This Row],[Batch by Type (p)]],SelectedPrecincts[Batch Name], 0)))</f>
        <v/>
      </c>
      <c r="X1829" s="102">
        <f>IF(COUNTIF(SelectedPrecincts[Batch Name],SamplingData[[#This Row],[Batch by Type (p)]]) &lt;&gt; 0, COUNTIF(SelectedPrecincts[Batch Name],SamplingData[[#This Row],[Batch by Type (p)]]), 0)</f>
        <v>0</v>
      </c>
    </row>
    <row r="1830" spans="1:24" ht="15" customHeight="1">
      <c r="A1830" s="18" t="s">
        <v>2006</v>
      </c>
      <c r="B1830" s="18">
        <v>24</v>
      </c>
      <c r="C1830" s="18">
        <v>23</v>
      </c>
      <c r="D1830" s="18">
        <v>7</v>
      </c>
      <c r="E1830" s="18">
        <v>1</v>
      </c>
      <c r="F1830" s="18">
        <v>0</v>
      </c>
      <c r="G1830" s="18">
        <v>0</v>
      </c>
      <c r="H1830" s="18">
        <v>0</v>
      </c>
      <c r="I1830" s="18">
        <v>0</v>
      </c>
      <c r="J1830" s="99">
        <f>SUM(SamplingData[[#This Row],[Losing Candidate]:[Under Votes]])</f>
        <v>55</v>
      </c>
      <c r="K1830"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1830" s="100">
        <f>IF(AND(SamplingData[[#This Row],[Total]]&lt;&gt; 0, NOT(ISBLANK(SamplingData[[#This Row],[Candidate 3]]))),(SamplingData[[#This Row],[Total]]+SamplingData[[#This Row],[Winning Candidate]]-SamplingData[[#This Row],[Candidate 3]])/(SamplingData[[#Totals],[Winning Candidate]]-SamplingData[[#Totals],[Candidate 3]]), 0)</f>
        <v>2.2905442462173757E-3</v>
      </c>
      <c r="M1830" s="100">
        <f>IF(AND(SamplingData[[#This Row],[Total]]&lt;&gt; 0, NOT(ISBLANK(SamplingData[[#This Row],[Candidate 4]]))),(SamplingData[[#This Row],[Total]]+SamplingData[[#This Row],[Winning Candidate]]-SamplingData[[#This Row],[Candidate 4]])/(SamplingData[[#Totals],[Winning Candidate]]-SamplingData[[#Totals],[Candidate 4]]), 0)</f>
        <v>2.2508696541845715E-3</v>
      </c>
      <c r="N1830" s="100">
        <f>IF(AND(SamplingData[[#This Row],[Total]]&lt;&gt; 0, NOT(ISBLANK(SamplingData[[#This Row],[Candidate 5]]))),(SamplingData[[#This Row],[Total]]+SamplingData[[#This Row],[Winning Candidate]]-SamplingData[[#This Row],[Candidate 5]])/(SamplingData[[#Totals],[Winning Candidate]]-SamplingData[[#Totals],[Candidate 5]]), 0)</f>
        <v>1.8973485769885673E-3</v>
      </c>
      <c r="O1830" s="100">
        <f>IF(AND(SamplingData[[#This Row],[Total]]&lt;&gt; 0, NOT(ISBLANK(SamplingData[[#This Row],[Candidate 6]]))),(SamplingData[[#This Row],[Total]]+SamplingData[[#This Row],[Winning Candidate]]-SamplingData[[#This Row],[Candidate 6]])/(SamplingData[[#Totals],[Winning Candidate]]-SamplingData[[#Totals],[Candidate 6]]), 0)</f>
        <v>1.8967949029716454E-3</v>
      </c>
      <c r="P1830" s="100">
        <f>MAX(SamplingData[[#This Row],[Error Bound (up) - Max. possible relative overstatement - Losing Candidate]:[Error Bound (up) - Max. possible relative overstatement - Candidate 6]])</f>
        <v>3.3072023517883389E-3</v>
      </c>
      <c r="Q1830" s="100">
        <f>IF(SamplingData[[#This Row],[Max Error Bound (up)]] = 0,0,SamplingData[[#This Row],[Max Error Bound (up)]]/SamplingData[[#Totals],[Max Error Bound (up)]])</f>
        <v>5.2341920703607493E-4</v>
      </c>
      <c r="R1830" s="101">
        <f>SUM($Q$5:Q1830)</f>
        <v>0.71216351121931865</v>
      </c>
      <c r="S1830" s="100" t="str">
        <f t="array" ref="S1830">IF(SamplingData[[#This Row],[up/U Selection Probability]] = 0, "Zero", TEXT(SamplingData[[#This Row],[Lower Range]], REPT("0",LEN('General Info'!$B$40))) &amp; " - " &amp; TEXT(SamplingData[[#This Row],[Upper Range]], REPT("0",LEN('General Info'!$B$40))))</f>
        <v>71164 - 71215</v>
      </c>
      <c r="T1830" s="100">
        <f>SamplingData[[#This Row],[Upper Range]]-SamplingData[[#This Row],[Span]]</f>
        <v>71164.009724647462</v>
      </c>
      <c r="U1830" s="100">
        <f>IF(ISNUMBER('General Info'!$B$40), ((SamplingData[[#This Row],[up/U Selection Probability]]) * 'General Info'!$B$40) - 1, 0)</f>
        <v>51.341397284400458</v>
      </c>
      <c r="V1830" s="100">
        <f>IF(ISNUMBER('General Info'!$B$40), (SamplingData[[#This Row],[Running (cumulative) sum]] * ('General Info'!$B$40 -'General Info'!$B$41 + 1)) + 'General Info'!$B$41 - 1, 0)</f>
        <v>71215.351121931861</v>
      </c>
      <c r="W1830" s="100" t="str">
        <f>IF(ISERROR(MATCH(SamplingData[[#This Row],[Batch by Type (p)]],SelectedPrecincts[Batch Name], 0)), "", INDEX(SelectedPrecincts[Draw], MATCH(SamplingData[[#This Row],[Batch by Type (p)]],SelectedPrecincts[Batch Name], 0)))</f>
        <v/>
      </c>
      <c r="X1830" s="102">
        <f>IF(COUNTIF(SelectedPrecincts[Batch Name],SamplingData[[#This Row],[Batch by Type (p)]]) &lt;&gt; 0, COUNTIF(SelectedPrecincts[Batch Name],SamplingData[[#This Row],[Batch by Type (p)]]), 0)</f>
        <v>0</v>
      </c>
    </row>
    <row r="1831" spans="1:24" ht="15" customHeight="1">
      <c r="A1831" s="18" t="s">
        <v>2007</v>
      </c>
      <c r="B1831" s="18">
        <v>39</v>
      </c>
      <c r="C1831" s="18">
        <v>79</v>
      </c>
      <c r="D1831" s="16">
        <v>16</v>
      </c>
      <c r="E1831" s="16">
        <v>9</v>
      </c>
      <c r="F1831" s="37">
        <v>0</v>
      </c>
      <c r="G1831" s="37">
        <v>0</v>
      </c>
      <c r="H1831" s="17">
        <v>0</v>
      </c>
      <c r="I1831" s="17">
        <v>2</v>
      </c>
      <c r="J1831" s="99">
        <f>SUM(SamplingData[[#This Row],[Losing Candidate]:[Under Votes]])</f>
        <v>145</v>
      </c>
      <c r="K1831" s="100">
        <f>IF(AND(SamplingData[[#This Row],[Total]]&lt;&gt; 0, NOT(ISBLANK(SamplingData[[#This Row],[Losing Candidate]]))),(SamplingData[[#This Row],[Total]]+SamplingData[[#This Row],[Winning Candidate]]-SamplingData[[#This Row],[Losing Candidate]])/(SamplingData[[#Totals],[Winning Candidate]]-SamplingData[[#Totals],[Losing Candidate]]), 0)</f>
        <v>1.1330230279274866E-2</v>
      </c>
      <c r="L1831" s="100">
        <f>IF(AND(SamplingData[[#This Row],[Total]]&lt;&gt; 0, NOT(ISBLANK(SamplingData[[#This Row],[Candidate 3]]))),(SamplingData[[#This Row],[Total]]+SamplingData[[#This Row],[Winning Candidate]]-SamplingData[[#This Row],[Candidate 3]])/(SamplingData[[#Totals],[Winning Candidate]]-SamplingData[[#Totals],[Candidate 3]]), 0)</f>
        <v>6.7103268058199177E-3</v>
      </c>
      <c r="M1831" s="100">
        <f>IF(AND(SamplingData[[#This Row],[Total]]&lt;&gt; 0, NOT(ISBLANK(SamplingData[[#This Row],[Candidate 4]]))),(SamplingData[[#This Row],[Total]]+SamplingData[[#This Row],[Winning Candidate]]-SamplingData[[#This Row],[Candidate 4]])/(SamplingData[[#Totals],[Winning Candidate]]-SamplingData[[#Totals],[Candidate 4]]), 0)</f>
        <v>6.2848957876582186E-3</v>
      </c>
      <c r="N1831" s="100">
        <f>IF(AND(SamplingData[[#This Row],[Total]]&lt;&gt; 0, NOT(ISBLANK(SamplingData[[#This Row],[Candidate 5]]))),(SamplingData[[#This Row],[Total]]+SamplingData[[#This Row],[Winning Candidate]]-SamplingData[[#This Row],[Candidate 5]])/(SamplingData[[#Totals],[Winning Candidate]]-SamplingData[[#Totals],[Candidate 5]]), 0)</f>
        <v>5.4487959134030652E-3</v>
      </c>
      <c r="O1831" s="100">
        <f>IF(AND(SamplingData[[#This Row],[Total]]&lt;&gt; 0, NOT(ISBLANK(SamplingData[[#This Row],[Candidate 6]]))),(SamplingData[[#This Row],[Total]]+SamplingData[[#This Row],[Winning Candidate]]-SamplingData[[#This Row],[Candidate 6]])/(SamplingData[[#Totals],[Winning Candidate]]-SamplingData[[#Totals],[Candidate 6]]), 0)</f>
        <v>5.4472058752006221E-3</v>
      </c>
      <c r="P1831" s="100">
        <f>MAX(SamplingData[[#This Row],[Error Bound (up) - Max. possible relative overstatement - Losing Candidate]:[Error Bound (up) - Max. possible relative overstatement - Candidate 6]])</f>
        <v>1.1330230279274866E-2</v>
      </c>
      <c r="Q1831" s="100">
        <f>IF(SamplingData[[#This Row],[Max Error Bound (up)]] = 0,0,SamplingData[[#This Row],[Max Error Bound (up)]]/SamplingData[[#Totals],[Max Error Bound (up)]])</f>
        <v>1.793195431512479E-3</v>
      </c>
      <c r="R1831" s="101">
        <f>SUM($Q$5:Q1831)</f>
        <v>0.71395670665083111</v>
      </c>
      <c r="S1831" s="100" t="str">
        <f t="array" ref="S1831">IF(SamplingData[[#This Row],[up/U Selection Probability]] = 0, "Zero", TEXT(SamplingData[[#This Row],[Lower Range]], REPT("0",LEN('General Info'!$B$40))) &amp; " - " &amp; TEXT(SamplingData[[#This Row],[Upper Range]], REPT("0",LEN('General Info'!$B$40))))</f>
        <v>71216 - 71395</v>
      </c>
      <c r="T1831" s="100">
        <f>SamplingData[[#This Row],[Upper Range]]-SamplingData[[#This Row],[Span]]</f>
        <v>71216.352915127281</v>
      </c>
      <c r="U1831" s="100">
        <f>IF(ISNUMBER('General Info'!$B$40), ((SamplingData[[#This Row],[up/U Selection Probability]]) * 'General Info'!$B$40) - 1, 0)</f>
        <v>178.3177499558164</v>
      </c>
      <c r="V1831" s="100">
        <f>IF(ISNUMBER('General Info'!$B$40), (SamplingData[[#This Row],[Running (cumulative) sum]] * ('General Info'!$B$40 -'General Info'!$B$41 + 1)) + 'General Info'!$B$41 - 1, 0)</f>
        <v>71394.670665083104</v>
      </c>
      <c r="W1831" s="100" t="str">
        <f>IF(ISERROR(MATCH(SamplingData[[#This Row],[Batch by Type (p)]],SelectedPrecincts[Batch Name], 0)), "", INDEX(SelectedPrecincts[Draw], MATCH(SamplingData[[#This Row],[Batch by Type (p)]],SelectedPrecincts[Batch Name], 0)))</f>
        <v/>
      </c>
      <c r="X1831" s="102">
        <f>IF(COUNTIF(SelectedPrecincts[Batch Name],SamplingData[[#This Row],[Batch by Type (p)]]) &lt;&gt; 0, COUNTIF(SelectedPrecincts[Batch Name],SamplingData[[#This Row],[Batch by Type (p)]]), 0)</f>
        <v>0</v>
      </c>
    </row>
    <row r="1832" spans="1:24" ht="15" customHeight="1">
      <c r="A1832" s="18" t="s">
        <v>2008</v>
      </c>
      <c r="B1832" s="18">
        <v>30</v>
      </c>
      <c r="C1832" s="18">
        <v>36</v>
      </c>
      <c r="D1832" s="18">
        <v>7</v>
      </c>
      <c r="E1832" s="18">
        <v>3</v>
      </c>
      <c r="F1832" s="18">
        <v>1</v>
      </c>
      <c r="G1832" s="18">
        <v>0</v>
      </c>
      <c r="H1832" s="18">
        <v>0</v>
      </c>
      <c r="I1832" s="18">
        <v>2</v>
      </c>
      <c r="J1832" s="99">
        <f>SUM(SamplingData[[#This Row],[Losing Candidate]:[Under Votes]])</f>
        <v>79</v>
      </c>
      <c r="K1832" s="100">
        <f>IF(AND(SamplingData[[#This Row],[Total]]&lt;&gt; 0, NOT(ISBLANK(SamplingData[[#This Row],[Losing Candidate]]))),(SamplingData[[#This Row],[Total]]+SamplingData[[#This Row],[Winning Candidate]]-SamplingData[[#This Row],[Losing Candidate]])/(SamplingData[[#Totals],[Winning Candidate]]-SamplingData[[#Totals],[Losing Candidate]]), 0)</f>
        <v>5.2057814796668302E-3</v>
      </c>
      <c r="L1832" s="100">
        <f>IF(AND(SamplingData[[#This Row],[Total]]&lt;&gt; 0, NOT(ISBLANK(SamplingData[[#This Row],[Candidate 3]]))),(SamplingData[[#This Row],[Total]]+SamplingData[[#This Row],[Winning Candidate]]-SamplingData[[#This Row],[Candidate 3]])/(SamplingData[[#Totals],[Winning Candidate]]-SamplingData[[#Totals],[Candidate 3]]), 0)</f>
        <v>3.4842081491757268E-3</v>
      </c>
      <c r="M1832" s="100">
        <f>IF(AND(SamplingData[[#This Row],[Total]]&lt;&gt; 0, NOT(ISBLANK(SamplingData[[#This Row],[Candidate 4]]))),(SamplingData[[#This Row],[Total]]+SamplingData[[#This Row],[Winning Candidate]]-SamplingData[[#This Row],[Candidate 4]])/(SamplingData[[#Totals],[Winning Candidate]]-SamplingData[[#Totals],[Candidate 4]]), 0)</f>
        <v>3.2739922242684674E-3</v>
      </c>
      <c r="N1832" s="100">
        <f>IF(AND(SamplingData[[#This Row],[Total]]&lt;&gt; 0, NOT(ISBLANK(SamplingData[[#This Row],[Candidate 5]]))),(SamplingData[[#This Row],[Total]]+SamplingData[[#This Row],[Winning Candidate]]-SamplingData[[#This Row],[Candidate 5]])/(SamplingData[[#Totals],[Winning Candidate]]-SamplingData[[#Totals],[Candidate 5]]), 0)</f>
        <v>2.7730479202140597E-3</v>
      </c>
      <c r="O1832" s="100">
        <f>IF(AND(SamplingData[[#This Row],[Total]]&lt;&gt; 0, NOT(ISBLANK(SamplingData[[#This Row],[Candidate 6]]))),(SamplingData[[#This Row],[Total]]+SamplingData[[#This Row],[Winning Candidate]]-SamplingData[[#This Row],[Candidate 6]])/(SamplingData[[#Totals],[Winning Candidate]]-SamplingData[[#Totals],[Candidate 6]]), 0)</f>
        <v>2.7965565877146052E-3</v>
      </c>
      <c r="P1832" s="100">
        <f>MAX(SamplingData[[#This Row],[Error Bound (up) - Max. possible relative overstatement - Losing Candidate]:[Error Bound (up) - Max. possible relative overstatement - Candidate 6]])</f>
        <v>5.2057814796668302E-3</v>
      </c>
      <c r="Q1832" s="100">
        <f>IF(SamplingData[[#This Row],[Max Error Bound (up)]] = 0,0,SamplingData[[#This Row],[Max Error Bound (up)]]/SamplingData[[#Totals],[Max Error Bound (up)]])</f>
        <v>8.2390060366789575E-4</v>
      </c>
      <c r="R1832" s="101">
        <f>SUM($Q$5:Q1832)</f>
        <v>0.71478060725449899</v>
      </c>
      <c r="S1832" s="100" t="str">
        <f t="array" ref="S1832">IF(SamplingData[[#This Row],[up/U Selection Probability]] = 0, "Zero", TEXT(SamplingData[[#This Row],[Lower Range]], REPT("0",LEN('General Info'!$B$40))) &amp; " - " &amp; TEXT(SamplingData[[#This Row],[Upper Range]], REPT("0",LEN('General Info'!$B$40))))</f>
        <v>71396 - 71477</v>
      </c>
      <c r="T1832" s="100">
        <f>SamplingData[[#This Row],[Upper Range]]-SamplingData[[#This Row],[Span]]</f>
        <v>71395.671488983717</v>
      </c>
      <c r="U1832" s="100">
        <f>IF(ISNUMBER('General Info'!$B$40), ((SamplingData[[#This Row],[up/U Selection Probability]]) * 'General Info'!$B$40) - 1, 0)</f>
        <v>81.389236466185906</v>
      </c>
      <c r="V1832" s="100">
        <f>IF(ISNUMBER('General Info'!$B$40), (SamplingData[[#This Row],[Running (cumulative) sum]] * ('General Info'!$B$40 -'General Info'!$B$41 + 1)) + 'General Info'!$B$41 - 1, 0)</f>
        <v>71477.060725449905</v>
      </c>
      <c r="W1832" s="100" t="str">
        <f>IF(ISERROR(MATCH(SamplingData[[#This Row],[Batch by Type (p)]],SelectedPrecincts[Batch Name], 0)), "", INDEX(SelectedPrecincts[Draw], MATCH(SamplingData[[#This Row],[Batch by Type (p)]],SelectedPrecincts[Batch Name], 0)))</f>
        <v/>
      </c>
      <c r="X1832" s="102">
        <f>IF(COUNTIF(SelectedPrecincts[Batch Name],SamplingData[[#This Row],[Batch by Type (p)]]) &lt;&gt; 0, COUNTIF(SelectedPrecincts[Batch Name],SamplingData[[#This Row],[Batch by Type (p)]]), 0)</f>
        <v>0</v>
      </c>
    </row>
    <row r="1833" spans="1:24" ht="15" customHeight="1">
      <c r="A1833" s="18" t="s">
        <v>2009</v>
      </c>
      <c r="B1833" s="18">
        <v>41</v>
      </c>
      <c r="C1833" s="18">
        <v>100</v>
      </c>
      <c r="D1833" s="16">
        <v>13</v>
      </c>
      <c r="E1833" s="16">
        <v>9</v>
      </c>
      <c r="F1833" s="37">
        <v>0</v>
      </c>
      <c r="G1833" s="37">
        <v>1</v>
      </c>
      <c r="H1833" s="17">
        <v>0</v>
      </c>
      <c r="I1833" s="17">
        <v>3</v>
      </c>
      <c r="J1833" s="99">
        <f>SUM(SamplingData[[#This Row],[Losing Candidate]:[Under Votes]])</f>
        <v>167</v>
      </c>
      <c r="K1833" s="100">
        <f>IF(AND(SamplingData[[#This Row],[Total]]&lt;&gt; 0, NOT(ISBLANK(SamplingData[[#This Row],[Losing Candidate]]))),(SamplingData[[#This Row],[Total]]+SamplingData[[#This Row],[Winning Candidate]]-SamplingData[[#This Row],[Losing Candidate]])/(SamplingData[[#Totals],[Winning Candidate]]-SamplingData[[#Totals],[Losing Candidate]]), 0)</f>
        <v>1.384125428711416E-2</v>
      </c>
      <c r="L1833" s="100">
        <f>IF(AND(SamplingData[[#This Row],[Total]]&lt;&gt; 0, NOT(ISBLANK(SamplingData[[#This Row],[Candidate 3]]))),(SamplingData[[#This Row],[Total]]+SamplingData[[#This Row],[Winning Candidate]]-SamplingData[[#This Row],[Candidate 3]])/(SamplingData[[#Totals],[Winning Candidate]]-SamplingData[[#Totals],[Candidate 3]]), 0)</f>
        <v>8.1943413878762458E-3</v>
      </c>
      <c r="M1833" s="100">
        <f>IF(AND(SamplingData[[#This Row],[Total]]&lt;&gt; 0, NOT(ISBLANK(SamplingData[[#This Row],[Candidate 4]]))),(SamplingData[[#This Row],[Total]]+SamplingData[[#This Row],[Winning Candidate]]-SamplingData[[#This Row],[Candidate 4]])/(SamplingData[[#Totals],[Winning Candidate]]-SamplingData[[#Totals],[Candidate 4]]), 0)</f>
        <v>7.5418749451898626E-3</v>
      </c>
      <c r="N1833" s="100">
        <f>IF(AND(SamplingData[[#This Row],[Total]]&lt;&gt; 0, NOT(ISBLANK(SamplingData[[#This Row],[Candidate 5]]))),(SamplingData[[#This Row],[Total]]+SamplingData[[#This Row],[Winning Candidate]]-SamplingData[[#This Row],[Candidate 5]])/(SamplingData[[#Totals],[Winning Candidate]]-SamplingData[[#Totals],[Candidate 5]]), 0)</f>
        <v>6.4947701289224035E-3</v>
      </c>
      <c r="O1833" s="100">
        <f>IF(AND(SamplingData[[#This Row],[Total]]&lt;&gt; 0, NOT(ISBLANK(SamplingData[[#This Row],[Candidate 6]]))),(SamplingData[[#This Row],[Total]]+SamplingData[[#This Row],[Winning Candidate]]-SamplingData[[#This Row],[Candidate 6]])/(SamplingData[[#Totals],[Winning Candidate]]-SamplingData[[#Totals],[Candidate 6]]), 0)</f>
        <v>6.4685569768007396E-3</v>
      </c>
      <c r="P1833" s="100">
        <f>MAX(SamplingData[[#This Row],[Error Bound (up) - Max. possible relative overstatement - Losing Candidate]:[Error Bound (up) - Max. possible relative overstatement - Candidate 6]])</f>
        <v>1.384125428711416E-2</v>
      </c>
      <c r="Q1833" s="100">
        <f>IF(SamplingData[[#This Row],[Max Error Bound (up)]] = 0,0,SamplingData[[#This Row],[Max Error Bound (up)]]/SamplingData[[#Totals],[Max Error Bound (up)]])</f>
        <v>2.1906063109287579E-3</v>
      </c>
      <c r="R1833" s="101">
        <f>SUM($Q$5:Q1833)</f>
        <v>0.7169712135654277</v>
      </c>
      <c r="S1833" s="100" t="str">
        <f t="array" ref="S1833">IF(SamplingData[[#This Row],[up/U Selection Probability]] = 0, "Zero", TEXT(SamplingData[[#This Row],[Lower Range]], REPT("0",LEN('General Info'!$B$40))) &amp; " - " &amp; TEXT(SamplingData[[#This Row],[Upper Range]], REPT("0",LEN('General Info'!$B$40))))</f>
        <v>71478 - 71696</v>
      </c>
      <c r="T1833" s="100">
        <f>SamplingData[[#This Row],[Upper Range]]-SamplingData[[#This Row],[Span]]</f>
        <v>71478.062916056209</v>
      </c>
      <c r="U1833" s="100">
        <f>IF(ISNUMBER('General Info'!$B$40), ((SamplingData[[#This Row],[up/U Selection Probability]]) * 'General Info'!$B$40) - 1, 0)</f>
        <v>218.05844048656485</v>
      </c>
      <c r="V1833" s="100">
        <f>IF(ISNUMBER('General Info'!$B$40), (SamplingData[[#This Row],[Running (cumulative) sum]] * ('General Info'!$B$40 -'General Info'!$B$41 + 1)) + 'General Info'!$B$41 - 1, 0)</f>
        <v>71696.121356542775</v>
      </c>
      <c r="W1833" s="100" t="str">
        <f>IF(ISERROR(MATCH(SamplingData[[#This Row],[Batch by Type (p)]],SelectedPrecincts[Batch Name], 0)), "", INDEX(SelectedPrecincts[Draw], MATCH(SamplingData[[#This Row],[Batch by Type (p)]],SelectedPrecincts[Batch Name], 0)))</f>
        <v/>
      </c>
      <c r="X1833" s="102">
        <f>IF(COUNTIF(SelectedPrecincts[Batch Name],SamplingData[[#This Row],[Batch by Type (p)]]) &lt;&gt; 0, COUNTIF(SelectedPrecincts[Batch Name],SamplingData[[#This Row],[Batch by Type (p)]]), 0)</f>
        <v>0</v>
      </c>
    </row>
    <row r="1834" spans="1:24" ht="15" customHeight="1">
      <c r="A1834" s="18" t="s">
        <v>2010</v>
      </c>
      <c r="B1834" s="18">
        <v>27</v>
      </c>
      <c r="C1834" s="18">
        <v>44</v>
      </c>
      <c r="D1834" s="18">
        <v>7</v>
      </c>
      <c r="E1834" s="18">
        <v>3</v>
      </c>
      <c r="F1834" s="18">
        <v>0</v>
      </c>
      <c r="G1834" s="18">
        <v>0</v>
      </c>
      <c r="H1834" s="18">
        <v>0</v>
      </c>
      <c r="I1834" s="18">
        <v>1</v>
      </c>
      <c r="J1834" s="99">
        <f>SUM(SamplingData[[#This Row],[Losing Candidate]:[Under Votes]])</f>
        <v>82</v>
      </c>
      <c r="K1834" s="100">
        <f>IF(AND(SamplingData[[#This Row],[Total]]&lt;&gt; 0, NOT(ISBLANK(SamplingData[[#This Row],[Losing Candidate]]))),(SamplingData[[#This Row],[Total]]+SamplingData[[#This Row],[Winning Candidate]]-SamplingData[[#This Row],[Losing Candidate]])/(SamplingData[[#Totals],[Winning Candidate]]-SamplingData[[#Totals],[Losing Candidate]]), 0)</f>
        <v>6.063204311611955E-3</v>
      </c>
      <c r="L1834" s="100">
        <f>IF(AND(SamplingData[[#This Row],[Total]]&lt;&gt; 0, NOT(ISBLANK(SamplingData[[#This Row],[Candidate 3]]))),(SamplingData[[#This Row],[Total]]+SamplingData[[#This Row],[Winning Candidate]]-SamplingData[[#This Row],[Candidate 3]])/(SamplingData[[#Totals],[Winning Candidate]]-SamplingData[[#Totals],[Candidate 3]]), 0)</f>
        <v>3.8390812014065879E-3</v>
      </c>
      <c r="M1834" s="100">
        <f>IF(AND(SamplingData[[#This Row],[Total]]&lt;&gt; 0, NOT(ISBLANK(SamplingData[[#This Row],[Candidate 4]]))),(SamplingData[[#This Row],[Total]]+SamplingData[[#This Row],[Winning Candidate]]-SamplingData[[#This Row],[Candidate 4]])/(SamplingData[[#Totals],[Winning Candidate]]-SamplingData[[#Totals],[Candidate 4]]), 0)</f>
        <v>3.5955450320091205E-3</v>
      </c>
      <c r="N1834" s="100">
        <f>IF(AND(SamplingData[[#This Row],[Total]]&lt;&gt; 0, NOT(ISBLANK(SamplingData[[#This Row],[Candidate 5]]))),(SamplingData[[#This Row],[Total]]+SamplingData[[#This Row],[Winning Candidate]]-SamplingData[[#This Row],[Candidate 5]])/(SamplingData[[#Totals],[Winning Candidate]]-SamplingData[[#Totals],[Candidate 5]]), 0)</f>
        <v>3.0649477012892239E-3</v>
      </c>
      <c r="O1834" s="100">
        <f>IF(AND(SamplingData[[#This Row],[Total]]&lt;&gt; 0, NOT(ISBLANK(SamplingData[[#This Row],[Candidate 6]]))),(SamplingData[[#This Row],[Total]]+SamplingData[[#This Row],[Winning Candidate]]-SamplingData[[#This Row],[Candidate 6]])/(SamplingData[[#Totals],[Winning Candidate]]-SamplingData[[#Totals],[Candidate 6]]), 0)</f>
        <v>3.0640533048003501E-3</v>
      </c>
      <c r="P1834" s="100">
        <f>MAX(SamplingData[[#This Row],[Error Bound (up) - Max. possible relative overstatement - Losing Candidate]:[Error Bound (up) - Max. possible relative overstatement - Candidate 6]])</f>
        <v>6.063204311611955E-3</v>
      </c>
      <c r="Q1834" s="100">
        <f>IF(SamplingData[[#This Row],[Max Error Bound (up)]] = 0,0,SamplingData[[#This Row],[Max Error Bound (up)]]/SamplingData[[#Totals],[Max Error Bound (up)]])</f>
        <v>9.5960187956613729E-4</v>
      </c>
      <c r="R1834" s="101">
        <f>SUM($Q$5:Q1834)</f>
        <v>0.71793081544499382</v>
      </c>
      <c r="S1834" s="100" t="str">
        <f t="array" ref="S1834">IF(SamplingData[[#This Row],[up/U Selection Probability]] = 0, "Zero", TEXT(SamplingData[[#This Row],[Lower Range]], REPT("0",LEN('General Info'!$B$40))) &amp; " - " &amp; TEXT(SamplingData[[#This Row],[Upper Range]], REPT("0",LEN('General Info'!$B$40))))</f>
        <v>71697 - 71792</v>
      </c>
      <c r="T1834" s="100">
        <f>SamplingData[[#This Row],[Upper Range]]-SamplingData[[#This Row],[Span]]</f>
        <v>71697.12231614464</v>
      </c>
      <c r="U1834" s="100">
        <f>IF(ISNUMBER('General Info'!$B$40), ((SamplingData[[#This Row],[up/U Selection Probability]]) * 'General Info'!$B$40) - 1, 0)</f>
        <v>94.959228354734165</v>
      </c>
      <c r="V1834" s="100">
        <f>IF(ISNUMBER('General Info'!$B$40), (SamplingData[[#This Row],[Running (cumulative) sum]] * ('General Info'!$B$40 -'General Info'!$B$41 + 1)) + 'General Info'!$B$41 - 1, 0)</f>
        <v>71792.081544499379</v>
      </c>
      <c r="W1834" s="100" t="str">
        <f>IF(ISERROR(MATCH(SamplingData[[#This Row],[Batch by Type (p)]],SelectedPrecincts[Batch Name], 0)), "", INDEX(SelectedPrecincts[Draw], MATCH(SamplingData[[#This Row],[Batch by Type (p)]],SelectedPrecincts[Batch Name], 0)))</f>
        <v/>
      </c>
      <c r="X1834" s="102">
        <f>IF(COUNTIF(SelectedPrecincts[Batch Name],SamplingData[[#This Row],[Batch by Type (p)]]) &lt;&gt; 0, COUNTIF(SelectedPrecincts[Batch Name],SamplingData[[#This Row],[Batch by Type (p)]]), 0)</f>
        <v>0</v>
      </c>
    </row>
    <row r="1835" spans="1:24" ht="15" customHeight="1">
      <c r="A1835" s="18" t="s">
        <v>2011</v>
      </c>
      <c r="B1835" s="18">
        <v>40</v>
      </c>
      <c r="C1835" s="18">
        <v>96</v>
      </c>
      <c r="D1835" s="16">
        <v>16</v>
      </c>
      <c r="E1835" s="16">
        <v>13</v>
      </c>
      <c r="F1835" s="37">
        <v>2</v>
      </c>
      <c r="G1835" s="37">
        <v>1</v>
      </c>
      <c r="H1835" s="17">
        <v>0</v>
      </c>
      <c r="I1835" s="17">
        <v>2</v>
      </c>
      <c r="J1835" s="99">
        <f>SUM(SamplingData[[#This Row],[Losing Candidate]:[Under Votes]])</f>
        <v>170</v>
      </c>
      <c r="K1835" s="100">
        <f>IF(AND(SamplingData[[#This Row],[Total]]&lt;&gt; 0, NOT(ISBLANK(SamplingData[[#This Row],[Losing Candidate]]))),(SamplingData[[#This Row],[Total]]+SamplingData[[#This Row],[Winning Candidate]]-SamplingData[[#This Row],[Losing Candidate]])/(SamplingData[[#Totals],[Winning Candidate]]-SamplingData[[#Totals],[Losing Candidate]]), 0)</f>
        <v>1.384125428711416E-2</v>
      </c>
      <c r="L1835" s="100">
        <f>IF(AND(SamplingData[[#This Row],[Total]]&lt;&gt; 0, NOT(ISBLANK(SamplingData[[#This Row],[Candidate 3]]))),(SamplingData[[#This Row],[Total]]+SamplingData[[#This Row],[Winning Candidate]]-SamplingData[[#This Row],[Candidate 3]])/(SamplingData[[#Totals],[Winning Candidate]]-SamplingData[[#Totals],[Candidate 3]]), 0)</f>
        <v>8.0652966416104779E-3</v>
      </c>
      <c r="M1835" s="100">
        <f>IF(AND(SamplingData[[#This Row],[Total]]&lt;&gt; 0, NOT(ISBLANK(SamplingData[[#This Row],[Candidate 4]]))),(SamplingData[[#This Row],[Total]]+SamplingData[[#This Row],[Winning Candidate]]-SamplingData[[#This Row],[Candidate 4]])/(SamplingData[[#Totals],[Winning Candidate]]-SamplingData[[#Totals],[Candidate 4]]), 0)</f>
        <v>7.3957145780350203E-3</v>
      </c>
      <c r="N1835" s="100">
        <f>IF(AND(SamplingData[[#This Row],[Total]]&lt;&gt; 0, NOT(ISBLANK(SamplingData[[#This Row],[Candidate 5]]))),(SamplingData[[#This Row],[Total]]+SamplingData[[#This Row],[Winning Candidate]]-SamplingData[[#This Row],[Candidate 5]])/(SamplingData[[#Totals],[Winning Candidate]]-SamplingData[[#Totals],[Candidate 5]]), 0)</f>
        <v>6.4217951836536124E-3</v>
      </c>
      <c r="O1835" s="100">
        <f>IF(AND(SamplingData[[#This Row],[Total]]&lt;&gt; 0, NOT(ISBLANK(SamplingData[[#This Row],[Candidate 6]]))),(SamplingData[[#This Row],[Total]]+SamplingData[[#This Row],[Winning Candidate]]-SamplingData[[#This Row],[Candidate 6]])/(SamplingData[[#Totals],[Winning Candidate]]-SamplingData[[#Totals],[Candidate 6]]), 0)</f>
        <v>6.4442390934293077E-3</v>
      </c>
      <c r="P1835" s="100">
        <f>MAX(SamplingData[[#This Row],[Error Bound (up) - Max. possible relative overstatement - Losing Candidate]:[Error Bound (up) - Max. possible relative overstatement - Candidate 6]])</f>
        <v>1.384125428711416E-2</v>
      </c>
      <c r="Q1835" s="100">
        <f>IF(SamplingData[[#This Row],[Max Error Bound (up)]] = 0,0,SamplingData[[#This Row],[Max Error Bound (up)]]/SamplingData[[#Totals],[Max Error Bound (up)]])</f>
        <v>2.1906063109287579E-3</v>
      </c>
      <c r="R1835" s="101">
        <f>SUM($Q$5:Q1835)</f>
        <v>0.72012142175592253</v>
      </c>
      <c r="S1835" s="100" t="str">
        <f t="array" ref="S1835">IF(SamplingData[[#This Row],[up/U Selection Probability]] = 0, "Zero", TEXT(SamplingData[[#This Row],[Lower Range]], REPT("0",LEN('General Info'!$B$40))) &amp; " - " &amp; TEXT(SamplingData[[#This Row],[Upper Range]], REPT("0",LEN('General Info'!$B$40))))</f>
        <v>71793 - 72011</v>
      </c>
      <c r="T1835" s="100">
        <f>SamplingData[[#This Row],[Upper Range]]-SamplingData[[#This Row],[Span]]</f>
        <v>71793.083735105683</v>
      </c>
      <c r="U1835" s="100">
        <f>IF(ISNUMBER('General Info'!$B$40), ((SamplingData[[#This Row],[up/U Selection Probability]]) * 'General Info'!$B$40) - 1, 0)</f>
        <v>218.05844048656485</v>
      </c>
      <c r="V1835" s="100">
        <f>IF(ISNUMBER('General Info'!$B$40), (SamplingData[[#This Row],[Running (cumulative) sum]] * ('General Info'!$B$40 -'General Info'!$B$41 + 1)) + 'General Info'!$B$41 - 1, 0)</f>
        <v>72011.142175592249</v>
      </c>
      <c r="W1835" s="100" t="str">
        <f>IF(ISERROR(MATCH(SamplingData[[#This Row],[Batch by Type (p)]],SelectedPrecincts[Batch Name], 0)), "", INDEX(SelectedPrecincts[Draw], MATCH(SamplingData[[#This Row],[Batch by Type (p)]],SelectedPrecincts[Batch Name], 0)))</f>
        <v/>
      </c>
      <c r="X1835" s="102">
        <f>IF(COUNTIF(SelectedPrecincts[Batch Name],SamplingData[[#This Row],[Batch by Type (p)]]) &lt;&gt; 0, COUNTIF(SelectedPrecincts[Batch Name],SamplingData[[#This Row],[Batch by Type (p)]]), 0)</f>
        <v>0</v>
      </c>
    </row>
    <row r="1836" spans="1:24" ht="15" customHeight="1">
      <c r="A1836" s="18" t="s">
        <v>2012</v>
      </c>
      <c r="B1836" s="18">
        <v>25</v>
      </c>
      <c r="C1836" s="18">
        <v>29</v>
      </c>
      <c r="D1836" s="18">
        <v>7</v>
      </c>
      <c r="E1836" s="18">
        <v>3</v>
      </c>
      <c r="F1836" s="18">
        <v>0</v>
      </c>
      <c r="G1836" s="18">
        <v>0</v>
      </c>
      <c r="H1836" s="18">
        <v>0</v>
      </c>
      <c r="I1836" s="18">
        <v>3</v>
      </c>
      <c r="J1836" s="99">
        <f>SUM(SamplingData[[#This Row],[Losing Candidate]:[Under Votes]])</f>
        <v>67</v>
      </c>
      <c r="K1836" s="100">
        <f>IF(AND(SamplingData[[#This Row],[Total]]&lt;&gt; 0, NOT(ISBLANK(SamplingData[[#This Row],[Losing Candidate]]))),(SamplingData[[#This Row],[Total]]+SamplingData[[#This Row],[Winning Candidate]]-SamplingData[[#This Row],[Losing Candidate]])/(SamplingData[[#Totals],[Winning Candidate]]-SamplingData[[#Totals],[Losing Candidate]]), 0)</f>
        <v>4.3483586477217053E-3</v>
      </c>
      <c r="L1836" s="100">
        <f>IF(AND(SamplingData[[#This Row],[Total]]&lt;&gt; 0, NOT(ISBLANK(SamplingData[[#This Row],[Candidate 3]]))),(SamplingData[[#This Row],[Total]]+SamplingData[[#This Row],[Winning Candidate]]-SamplingData[[#This Row],[Candidate 3]])/(SamplingData[[#Totals],[Winning Candidate]]-SamplingData[[#Totals],[Candidate 3]]), 0)</f>
        <v>2.8712456044133303E-3</v>
      </c>
      <c r="M1836" s="100">
        <f>IF(AND(SamplingData[[#This Row],[Total]]&lt;&gt; 0, NOT(ISBLANK(SamplingData[[#This Row],[Candidate 4]]))),(SamplingData[[#This Row],[Total]]+SamplingData[[#This Row],[Winning Candidate]]-SamplingData[[#This Row],[Candidate 4]])/(SamplingData[[#Totals],[Winning Candidate]]-SamplingData[[#Totals],[Candidate 4]]), 0)</f>
        <v>2.7185828290800665E-3</v>
      </c>
      <c r="N1836" s="100">
        <f>IF(AND(SamplingData[[#This Row],[Total]]&lt;&gt; 0, NOT(ISBLANK(SamplingData[[#This Row],[Candidate 5]]))),(SamplingData[[#This Row],[Total]]+SamplingData[[#This Row],[Winning Candidate]]-SamplingData[[#This Row],[Candidate 5]])/(SamplingData[[#Totals],[Winning Candidate]]-SamplingData[[#Totals],[Candidate 5]]), 0)</f>
        <v>2.3351982486013137E-3</v>
      </c>
      <c r="O1836" s="100">
        <f>IF(AND(SamplingData[[#This Row],[Total]]&lt;&gt; 0, NOT(ISBLANK(SamplingData[[#This Row],[Candidate 6]]))),(SamplingData[[#This Row],[Total]]+SamplingData[[#This Row],[Winning Candidate]]-SamplingData[[#This Row],[Candidate 6]])/(SamplingData[[#Totals],[Winning Candidate]]-SamplingData[[#Totals],[Candidate 6]]), 0)</f>
        <v>2.3345168036574097E-3</v>
      </c>
      <c r="P1836" s="100">
        <f>MAX(SamplingData[[#This Row],[Error Bound (up) - Max. possible relative overstatement - Losing Candidate]:[Error Bound (up) - Max. possible relative overstatement - Candidate 6]])</f>
        <v>4.3483586477217053E-3</v>
      </c>
      <c r="Q1836" s="100">
        <f>IF(SamplingData[[#This Row],[Max Error Bound (up)]] = 0,0,SamplingData[[#This Row],[Max Error Bound (up)]]/SamplingData[[#Totals],[Max Error Bound (up)]])</f>
        <v>6.881993277696541E-4</v>
      </c>
      <c r="R1836" s="101">
        <f>SUM($Q$5:Q1836)</f>
        <v>0.72080962108369218</v>
      </c>
      <c r="S1836" s="100" t="str">
        <f t="array" ref="S1836">IF(SamplingData[[#This Row],[up/U Selection Probability]] = 0, "Zero", TEXT(SamplingData[[#This Row],[Lower Range]], REPT("0",LEN('General Info'!$B$40))) &amp; " - " &amp; TEXT(SamplingData[[#This Row],[Upper Range]], REPT("0",LEN('General Info'!$B$40))))</f>
        <v>72012 - 72080</v>
      </c>
      <c r="T1836" s="100">
        <f>SamplingData[[#This Row],[Upper Range]]-SamplingData[[#This Row],[Span]]</f>
        <v>72012.142863791581</v>
      </c>
      <c r="U1836" s="100">
        <f>IF(ISNUMBER('General Info'!$B$40), ((SamplingData[[#This Row],[up/U Selection Probability]]) * 'General Info'!$B$40) - 1, 0)</f>
        <v>67.819244577637633</v>
      </c>
      <c r="V1836" s="100">
        <f>IF(ISNUMBER('General Info'!$B$40), (SamplingData[[#This Row],[Running (cumulative) sum]] * ('General Info'!$B$40 -'General Info'!$B$41 + 1)) + 'General Info'!$B$41 - 1, 0)</f>
        <v>72079.962108369218</v>
      </c>
      <c r="W1836" s="100" t="str">
        <f>IF(ISERROR(MATCH(SamplingData[[#This Row],[Batch by Type (p)]],SelectedPrecincts[Batch Name], 0)), "", INDEX(SelectedPrecincts[Draw], MATCH(SamplingData[[#This Row],[Batch by Type (p)]],SelectedPrecincts[Batch Name], 0)))</f>
        <v/>
      </c>
      <c r="X1836" s="102">
        <f>IF(COUNTIF(SelectedPrecincts[Batch Name],SamplingData[[#This Row],[Batch by Type (p)]]) &lt;&gt; 0, COUNTIF(SelectedPrecincts[Batch Name],SamplingData[[#This Row],[Batch by Type (p)]]), 0)</f>
        <v>0</v>
      </c>
    </row>
    <row r="1837" spans="1:24" ht="15" customHeight="1">
      <c r="A1837" s="18" t="s">
        <v>2013</v>
      </c>
      <c r="B1837" s="18">
        <v>38</v>
      </c>
      <c r="C1837" s="18">
        <v>72</v>
      </c>
      <c r="D1837" s="16">
        <v>20</v>
      </c>
      <c r="E1837" s="16">
        <v>6</v>
      </c>
      <c r="F1837" s="37">
        <v>1</v>
      </c>
      <c r="G1837" s="37">
        <v>0</v>
      </c>
      <c r="H1837" s="17">
        <v>0</v>
      </c>
      <c r="I1837" s="17">
        <v>3</v>
      </c>
      <c r="J1837" s="99">
        <f>SUM(SamplingData[[#This Row],[Losing Candidate]:[Under Votes]])</f>
        <v>140</v>
      </c>
      <c r="K1837" s="100">
        <f>IF(AND(SamplingData[[#This Row],[Total]]&lt;&gt; 0, NOT(ISBLANK(SamplingData[[#This Row],[Losing Candidate]]))),(SamplingData[[#This Row],[Total]]+SamplingData[[#This Row],[Winning Candidate]]-SamplingData[[#This Row],[Losing Candidate]])/(SamplingData[[#Totals],[Winning Candidate]]-SamplingData[[#Totals],[Losing Candidate]]), 0)</f>
        <v>1.0656540911317982E-2</v>
      </c>
      <c r="L1837" s="100">
        <f>IF(AND(SamplingData[[#This Row],[Total]]&lt;&gt; 0, NOT(ISBLANK(SamplingData[[#This Row],[Candidate 3]]))),(SamplingData[[#This Row],[Total]]+SamplingData[[#This Row],[Winning Candidate]]-SamplingData[[#This Row],[Candidate 3]])/(SamplingData[[#Totals],[Winning Candidate]]-SamplingData[[#Totals],[Candidate 3]]), 0)</f>
        <v>6.1941478207568476E-3</v>
      </c>
      <c r="M1837" s="100">
        <f>IF(AND(SamplingData[[#This Row],[Total]]&lt;&gt; 0, NOT(ISBLANK(SamplingData[[#This Row],[Candidate 4]]))),(SamplingData[[#This Row],[Total]]+SamplingData[[#This Row],[Winning Candidate]]-SamplingData[[#This Row],[Candidate 4]])/(SamplingData[[#Totals],[Winning Candidate]]-SamplingData[[#Totals],[Candidate 4]]), 0)</f>
        <v>6.0218071267795024E-3</v>
      </c>
      <c r="N1837" s="100">
        <f>IF(AND(SamplingData[[#This Row],[Total]]&lt;&gt; 0, NOT(ISBLANK(SamplingData[[#This Row],[Candidate 5]]))),(SamplingData[[#This Row],[Total]]+SamplingData[[#This Row],[Winning Candidate]]-SamplingData[[#This Row],[Candidate 5]])/(SamplingData[[#Totals],[Winning Candidate]]-SamplingData[[#Totals],[Candidate 5]]), 0)</f>
        <v>5.1325711505716375E-3</v>
      </c>
      <c r="O1837" s="100">
        <f>IF(AND(SamplingData[[#This Row],[Total]]&lt;&gt; 0, NOT(ISBLANK(SamplingData[[#This Row],[Candidate 6]]))),(SamplingData[[#This Row],[Total]]+SamplingData[[#This Row],[Winning Candidate]]-SamplingData[[#This Row],[Candidate 6]])/(SamplingData[[#Totals],[Winning Candidate]]-SamplingData[[#Totals],[Candidate 6]]), 0)</f>
        <v>5.1553912747434464E-3</v>
      </c>
      <c r="P1837" s="100">
        <f>MAX(SamplingData[[#This Row],[Error Bound (up) - Max. possible relative overstatement - Losing Candidate]:[Error Bound (up) - Max. possible relative overstatement - Candidate 6]])</f>
        <v>1.0656540911317982E-2</v>
      </c>
      <c r="Q1837" s="100">
        <f>IF(SamplingData[[#This Row],[Max Error Bound (up)]] = 0,0,SamplingData[[#This Row],[Max Error Bound (up)]]/SamplingData[[#Totals],[Max Error Bound (up)]])</f>
        <v>1.6865730004495749E-3</v>
      </c>
      <c r="R1837" s="101">
        <f>SUM($Q$5:Q1837)</f>
        <v>0.72249619408414179</v>
      </c>
      <c r="S1837" s="100" t="str">
        <f t="array" ref="S1837">IF(SamplingData[[#This Row],[up/U Selection Probability]] = 0, "Zero", TEXT(SamplingData[[#This Row],[Lower Range]], REPT("0",LEN('General Info'!$B$40))) &amp; " - " &amp; TEXT(SamplingData[[#This Row],[Upper Range]], REPT("0",LEN('General Info'!$B$40))))</f>
        <v>72081 - 72249</v>
      </c>
      <c r="T1837" s="100">
        <f>SamplingData[[#This Row],[Upper Range]]-SamplingData[[#This Row],[Span]]</f>
        <v>72080.963794942218</v>
      </c>
      <c r="U1837" s="100">
        <f>IF(ISNUMBER('General Info'!$B$40), ((SamplingData[[#This Row],[up/U Selection Probability]]) * 'General Info'!$B$40) - 1, 0)</f>
        <v>167.65561347195703</v>
      </c>
      <c r="V1837" s="100">
        <f>IF(ISNUMBER('General Info'!$B$40), (SamplingData[[#This Row],[Running (cumulative) sum]] * ('General Info'!$B$40 -'General Info'!$B$41 + 1)) + 'General Info'!$B$41 - 1, 0)</f>
        <v>72248.619408414175</v>
      </c>
      <c r="W1837" s="100">
        <f>IF(ISERROR(MATCH(SamplingData[[#This Row],[Batch by Type (p)]],SelectedPrecincts[Batch Name], 0)), "", INDEX(SelectedPrecincts[Draw], MATCH(SamplingData[[#This Row],[Batch by Type (p)]],SelectedPrecincts[Batch Name], 0)))</f>
        <v>4</v>
      </c>
      <c r="X1837" s="102">
        <f>IF(COUNTIF(SelectedPrecincts[Batch Name],SamplingData[[#This Row],[Batch by Type (p)]]) &lt;&gt; 0, COUNTIF(SelectedPrecincts[Batch Name],SamplingData[[#This Row],[Batch by Type (p)]]), 0)</f>
        <v>1</v>
      </c>
    </row>
    <row r="1838" spans="1:24" ht="15" customHeight="1">
      <c r="A1838" s="18" t="s">
        <v>2014</v>
      </c>
      <c r="B1838" s="18">
        <v>17</v>
      </c>
      <c r="C1838" s="18">
        <v>40</v>
      </c>
      <c r="D1838" s="18">
        <v>14</v>
      </c>
      <c r="E1838" s="18">
        <v>2</v>
      </c>
      <c r="F1838" s="18">
        <v>0</v>
      </c>
      <c r="G1838" s="18">
        <v>1</v>
      </c>
      <c r="H1838" s="18">
        <v>0</v>
      </c>
      <c r="I1838" s="18">
        <v>2</v>
      </c>
      <c r="J1838" s="99">
        <f>SUM(SamplingData[[#This Row],[Losing Candidate]:[Under Votes]])</f>
        <v>76</v>
      </c>
      <c r="K1838" s="100">
        <f>IF(AND(SamplingData[[#This Row],[Total]]&lt;&gt; 0, NOT(ISBLANK(SamplingData[[#This Row],[Losing Candidate]]))),(SamplingData[[#This Row],[Total]]+SamplingData[[#This Row],[Winning Candidate]]-SamplingData[[#This Row],[Losing Candidate]])/(SamplingData[[#Totals],[Winning Candidate]]-SamplingData[[#Totals],[Losing Candidate]]), 0)</f>
        <v>6.063204311611955E-3</v>
      </c>
      <c r="L1838" s="100">
        <f>IF(AND(SamplingData[[#This Row],[Total]]&lt;&gt; 0, NOT(ISBLANK(SamplingData[[#This Row],[Candidate 3]]))),(SamplingData[[#This Row],[Total]]+SamplingData[[#This Row],[Winning Candidate]]-SamplingData[[#This Row],[Candidate 3]])/(SamplingData[[#Totals],[Winning Candidate]]-SamplingData[[#Totals],[Candidate 3]]), 0)</f>
        <v>3.2906410297770753E-3</v>
      </c>
      <c r="M1838" s="100">
        <f>IF(AND(SamplingData[[#This Row],[Total]]&lt;&gt; 0, NOT(ISBLANK(SamplingData[[#This Row],[Candidate 4]]))),(SamplingData[[#This Row],[Total]]+SamplingData[[#This Row],[Winning Candidate]]-SamplingData[[#This Row],[Candidate 4]])/(SamplingData[[#Totals],[Winning Candidate]]-SamplingData[[#Totals],[Candidate 4]]), 0)</f>
        <v>3.3324563711304043E-3</v>
      </c>
      <c r="N1838" s="100">
        <f>IF(AND(SamplingData[[#This Row],[Total]]&lt;&gt; 0, NOT(ISBLANK(SamplingData[[#This Row],[Candidate 5]]))),(SamplingData[[#This Row],[Total]]+SamplingData[[#This Row],[Winning Candidate]]-SamplingData[[#This Row],[Candidate 5]])/(SamplingData[[#Totals],[Winning Candidate]]-SamplingData[[#Totals],[Candidate 5]]), 0)</f>
        <v>2.8216978837265873E-3</v>
      </c>
      <c r="O1838" s="100">
        <f>IF(AND(SamplingData[[#This Row],[Total]]&lt;&gt; 0, NOT(ISBLANK(SamplingData[[#This Row],[Candidate 6]]))),(SamplingData[[#This Row],[Total]]+SamplingData[[#This Row],[Winning Candidate]]-SamplingData[[#This Row],[Candidate 6]])/(SamplingData[[#Totals],[Winning Candidate]]-SamplingData[[#Totals],[Candidate 6]]), 0)</f>
        <v>2.7965565877146052E-3</v>
      </c>
      <c r="P1838" s="100">
        <f>MAX(SamplingData[[#This Row],[Error Bound (up) - Max. possible relative overstatement - Losing Candidate]:[Error Bound (up) - Max. possible relative overstatement - Candidate 6]])</f>
        <v>6.063204311611955E-3</v>
      </c>
      <c r="Q1838" s="100">
        <f>IF(SamplingData[[#This Row],[Max Error Bound (up)]] = 0,0,SamplingData[[#This Row],[Max Error Bound (up)]]/SamplingData[[#Totals],[Max Error Bound (up)]])</f>
        <v>9.5960187956613729E-4</v>
      </c>
      <c r="R1838" s="101">
        <f>SUM($Q$5:Q1838)</f>
        <v>0.7234557959637079</v>
      </c>
      <c r="S1838" s="100" t="str">
        <f t="array" ref="S1838">IF(SamplingData[[#This Row],[up/U Selection Probability]] = 0, "Zero", TEXT(SamplingData[[#This Row],[Lower Range]], REPT("0",LEN('General Info'!$B$40))) &amp; " - " &amp; TEXT(SamplingData[[#This Row],[Upper Range]], REPT("0",LEN('General Info'!$B$40))))</f>
        <v>72250 - 72345</v>
      </c>
      <c r="T1838" s="100">
        <f>SamplingData[[#This Row],[Upper Range]]-SamplingData[[#This Row],[Span]]</f>
        <v>72249.620368016054</v>
      </c>
      <c r="U1838" s="100">
        <f>IF(ISNUMBER('General Info'!$B$40), ((SamplingData[[#This Row],[up/U Selection Probability]]) * 'General Info'!$B$40) - 1, 0)</f>
        <v>94.959228354734165</v>
      </c>
      <c r="V1838" s="100">
        <f>IF(ISNUMBER('General Info'!$B$40), (SamplingData[[#This Row],[Running (cumulative) sum]] * ('General Info'!$B$40 -'General Info'!$B$41 + 1)) + 'General Info'!$B$41 - 1, 0)</f>
        <v>72344.579596370793</v>
      </c>
      <c r="W1838" s="100" t="str">
        <f>IF(ISERROR(MATCH(SamplingData[[#This Row],[Batch by Type (p)]],SelectedPrecincts[Batch Name], 0)), "", INDEX(SelectedPrecincts[Draw], MATCH(SamplingData[[#This Row],[Batch by Type (p)]],SelectedPrecincts[Batch Name], 0)))</f>
        <v/>
      </c>
      <c r="X1838" s="102">
        <f>IF(COUNTIF(SelectedPrecincts[Batch Name],SamplingData[[#This Row],[Batch by Type (p)]]) &lt;&gt; 0, COUNTIF(SelectedPrecincts[Batch Name],SamplingData[[#This Row],[Batch by Type (p)]]), 0)</f>
        <v>0</v>
      </c>
    </row>
    <row r="1839" spans="1:24" ht="15" customHeight="1">
      <c r="A1839" s="18" t="s">
        <v>2015</v>
      </c>
      <c r="B1839" s="18">
        <v>20</v>
      </c>
      <c r="C1839" s="18">
        <v>118</v>
      </c>
      <c r="D1839" s="16">
        <v>20</v>
      </c>
      <c r="E1839" s="16">
        <v>13</v>
      </c>
      <c r="F1839" s="37">
        <v>0</v>
      </c>
      <c r="G1839" s="37">
        <v>0</v>
      </c>
      <c r="H1839" s="17">
        <v>0</v>
      </c>
      <c r="I1839" s="17">
        <v>5</v>
      </c>
      <c r="J1839" s="99">
        <f>SUM(SamplingData[[#This Row],[Losing Candidate]:[Under Votes]])</f>
        <v>176</v>
      </c>
      <c r="K1839" s="100">
        <f>IF(AND(SamplingData[[#This Row],[Total]]&lt;&gt; 0, NOT(ISBLANK(SamplingData[[#This Row],[Losing Candidate]]))),(SamplingData[[#This Row],[Total]]+SamplingData[[#This Row],[Winning Candidate]]-SamplingData[[#This Row],[Losing Candidate]])/(SamplingData[[#Totals],[Winning Candidate]]-SamplingData[[#Totals],[Losing Candidate]]), 0)</f>
        <v>1.6780989710926016E-2</v>
      </c>
      <c r="L1839" s="100">
        <f>IF(AND(SamplingData[[#This Row],[Total]]&lt;&gt; 0, NOT(ISBLANK(SamplingData[[#This Row],[Candidate 3]]))),(SamplingData[[#This Row],[Total]]+SamplingData[[#This Row],[Winning Candidate]]-SamplingData[[#This Row],[Candidate 3]])/(SamplingData[[#Totals],[Winning Candidate]]-SamplingData[[#Totals],[Candidate 3]]), 0)</f>
        <v>8.8395651192050839E-3</v>
      </c>
      <c r="M1839" s="100">
        <f>IF(AND(SamplingData[[#This Row],[Total]]&lt;&gt; 0, NOT(ISBLANK(SamplingData[[#This Row],[Candidate 4]]))),(SamplingData[[#This Row],[Total]]+SamplingData[[#This Row],[Winning Candidate]]-SamplingData[[#This Row],[Candidate 4]])/(SamplingData[[#Totals],[Winning Candidate]]-SamplingData[[#Totals],[Candidate 4]]), 0)</f>
        <v>8.2142126341021374E-3</v>
      </c>
      <c r="N1839" s="100">
        <f>IF(AND(SamplingData[[#This Row],[Total]]&lt;&gt; 0, NOT(ISBLANK(SamplingData[[#This Row],[Candidate 5]]))),(SamplingData[[#This Row],[Total]]+SamplingData[[#This Row],[Winning Candidate]]-SamplingData[[#This Row],[Candidate 5]])/(SamplingData[[#Totals],[Winning Candidate]]-SamplingData[[#Totals],[Candidate 5]]), 0)</f>
        <v>7.151544636341523E-3</v>
      </c>
      <c r="O1839" s="100">
        <f>IF(AND(SamplingData[[#This Row],[Total]]&lt;&gt; 0, NOT(ISBLANK(SamplingData[[#This Row],[Candidate 6]]))),(SamplingData[[#This Row],[Total]]+SamplingData[[#This Row],[Winning Candidate]]-SamplingData[[#This Row],[Candidate 6]])/(SamplingData[[#Totals],[Winning Candidate]]-SamplingData[[#Totals],[Candidate 6]]), 0)</f>
        <v>7.1494577112008167E-3</v>
      </c>
      <c r="P1839" s="100">
        <f>MAX(SamplingData[[#This Row],[Error Bound (up) - Max. possible relative overstatement - Losing Candidate]:[Error Bound (up) - Max. possible relative overstatement - Candidate 6]])</f>
        <v>1.6780989710926016E-2</v>
      </c>
      <c r="Q1839" s="100">
        <f>IF(SamplingData[[#This Row],[Max Error Bound (up)]] = 0,0,SamplingData[[#This Row],[Max Error Bound (up)]]/SamplingData[[#Totals],[Max Error Bound (up)]])</f>
        <v>2.6558678282941578E-3</v>
      </c>
      <c r="R1839" s="101">
        <f>SUM($Q$5:Q1839)</f>
        <v>0.72611166379200209</v>
      </c>
      <c r="S1839" s="100" t="str">
        <f t="array" ref="S1839">IF(SamplingData[[#This Row],[up/U Selection Probability]] = 0, "Zero", TEXT(SamplingData[[#This Row],[Lower Range]], REPT("0",LEN('General Info'!$B$40))) &amp; " - " &amp; TEXT(SamplingData[[#This Row],[Upper Range]], REPT("0",LEN('General Info'!$B$40))))</f>
        <v>72346 - 72610</v>
      </c>
      <c r="T1839" s="100">
        <f>SamplingData[[#This Row],[Upper Range]]-SamplingData[[#This Row],[Span]]</f>
        <v>72345.582252238615</v>
      </c>
      <c r="U1839" s="100">
        <f>IF(ISNUMBER('General Info'!$B$40), ((SamplingData[[#This Row],[up/U Selection Probability]]) * 'General Info'!$B$40) - 1, 0)</f>
        <v>264.58412696158746</v>
      </c>
      <c r="V1839" s="100">
        <f>IF(ISNUMBER('General Info'!$B$40), (SamplingData[[#This Row],[Running (cumulative) sum]] * ('General Info'!$B$40 -'General Info'!$B$41 + 1)) + 'General Info'!$B$41 - 1, 0)</f>
        <v>72610.166379200207</v>
      </c>
      <c r="W1839" s="100" t="str">
        <f>IF(ISERROR(MATCH(SamplingData[[#This Row],[Batch by Type (p)]],SelectedPrecincts[Batch Name], 0)), "", INDEX(SelectedPrecincts[Draw], MATCH(SamplingData[[#This Row],[Batch by Type (p)]],SelectedPrecincts[Batch Name], 0)))</f>
        <v/>
      </c>
      <c r="X1839" s="102">
        <f>IF(COUNTIF(SelectedPrecincts[Batch Name],SamplingData[[#This Row],[Batch by Type (p)]]) &lt;&gt; 0, COUNTIF(SelectedPrecincts[Batch Name],SamplingData[[#This Row],[Batch by Type (p)]]), 0)</f>
        <v>0</v>
      </c>
    </row>
    <row r="1840" spans="1:24" ht="15" customHeight="1">
      <c r="A1840" s="18" t="s">
        <v>2016</v>
      </c>
      <c r="B1840" s="18">
        <v>8</v>
      </c>
      <c r="C1840" s="18">
        <v>24</v>
      </c>
      <c r="D1840" s="18">
        <v>4</v>
      </c>
      <c r="E1840" s="18">
        <v>1</v>
      </c>
      <c r="F1840" s="18">
        <v>0</v>
      </c>
      <c r="G1840" s="18">
        <v>0</v>
      </c>
      <c r="H1840" s="18">
        <v>0</v>
      </c>
      <c r="I1840" s="18">
        <v>1</v>
      </c>
      <c r="J1840" s="99">
        <f>SUM(SamplingData[[#This Row],[Losing Candidate]:[Under Votes]])</f>
        <v>38</v>
      </c>
      <c r="K1840"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1840" s="100">
        <f>IF(AND(SamplingData[[#This Row],[Total]]&lt;&gt; 0, NOT(ISBLANK(SamplingData[[#This Row],[Candidate 3]]))),(SamplingData[[#This Row],[Total]]+SamplingData[[#This Row],[Winning Candidate]]-SamplingData[[#This Row],[Candidate 3]])/(SamplingData[[#Totals],[Winning Candidate]]-SamplingData[[#Totals],[Candidate 3]]), 0)</f>
        <v>1.8711488208536309E-3</v>
      </c>
      <c r="M1840" s="100">
        <f>IF(AND(SamplingData[[#This Row],[Total]]&lt;&gt; 0, NOT(ISBLANK(SamplingData[[#This Row],[Candidate 4]]))),(SamplingData[[#This Row],[Total]]+SamplingData[[#This Row],[Winning Candidate]]-SamplingData[[#This Row],[Candidate 4]])/(SamplingData[[#Totals],[Winning Candidate]]-SamplingData[[#Totals],[Candidate 4]]), 0)</f>
        <v>1.783156479289076E-3</v>
      </c>
      <c r="N1840" s="100">
        <f>IF(AND(SamplingData[[#This Row],[Total]]&lt;&gt; 0, NOT(ISBLANK(SamplingData[[#This Row],[Candidate 5]]))),(SamplingData[[#This Row],[Total]]+SamplingData[[#This Row],[Winning Candidate]]-SamplingData[[#This Row],[Candidate 5]])/(SamplingData[[#Totals],[Winning Candidate]]-SamplingData[[#Totals],[Candidate 5]]), 0)</f>
        <v>1.5081488688883484E-3</v>
      </c>
      <c r="O1840" s="100">
        <f>IF(AND(SamplingData[[#This Row],[Total]]&lt;&gt; 0, NOT(ISBLANK(SamplingData[[#This Row],[Candidate 6]]))),(SamplingData[[#This Row],[Total]]+SamplingData[[#This Row],[Winning Candidate]]-SamplingData[[#This Row],[Candidate 6]])/(SamplingData[[#Totals],[Winning Candidate]]-SamplingData[[#Totals],[Candidate 6]]), 0)</f>
        <v>1.5077087690287436E-3</v>
      </c>
      <c r="P1840" s="100">
        <f>MAX(SamplingData[[#This Row],[Error Bound (up) - Max. possible relative overstatement - Losing Candidate]:[Error Bound (up) - Max. possible relative overstatement - Candidate 6]])</f>
        <v>3.3072023517883389E-3</v>
      </c>
      <c r="Q1840" s="100">
        <f>IF(SamplingData[[#This Row],[Max Error Bound (up)]] = 0,0,SamplingData[[#This Row],[Max Error Bound (up)]]/SamplingData[[#Totals],[Max Error Bound (up)]])</f>
        <v>5.2341920703607493E-4</v>
      </c>
      <c r="R1840" s="101">
        <f>SUM($Q$5:Q1840)</f>
        <v>0.72663508299903812</v>
      </c>
      <c r="S1840" s="100" t="str">
        <f t="array" ref="S1840">IF(SamplingData[[#This Row],[up/U Selection Probability]] = 0, "Zero", TEXT(SamplingData[[#This Row],[Lower Range]], REPT("0",LEN('General Info'!$B$40))) &amp; " - " &amp; TEXT(SamplingData[[#This Row],[Upper Range]], REPT("0",LEN('General Info'!$B$40))))</f>
        <v>72611 - 72663</v>
      </c>
      <c r="T1840" s="100">
        <f>SamplingData[[#This Row],[Upper Range]]-SamplingData[[#This Row],[Span]]</f>
        <v>72611.166902619414</v>
      </c>
      <c r="U1840" s="100">
        <f>IF(ISNUMBER('General Info'!$B$40), ((SamplingData[[#This Row],[up/U Selection Probability]]) * 'General Info'!$B$40) - 1, 0)</f>
        <v>51.341397284400458</v>
      </c>
      <c r="V1840" s="100">
        <f>IF(ISNUMBER('General Info'!$B$40), (SamplingData[[#This Row],[Running (cumulative) sum]] * ('General Info'!$B$40 -'General Info'!$B$41 + 1)) + 'General Info'!$B$41 - 1, 0)</f>
        <v>72662.508299903813</v>
      </c>
      <c r="W1840" s="100" t="str">
        <f>IF(ISERROR(MATCH(SamplingData[[#This Row],[Batch by Type (p)]],SelectedPrecincts[Batch Name], 0)), "", INDEX(SelectedPrecincts[Draw], MATCH(SamplingData[[#This Row],[Batch by Type (p)]],SelectedPrecincts[Batch Name], 0)))</f>
        <v/>
      </c>
      <c r="X1840" s="102">
        <f>IF(COUNTIF(SelectedPrecincts[Batch Name],SamplingData[[#This Row],[Batch by Type (p)]]) &lt;&gt; 0, COUNTIF(SelectedPrecincts[Batch Name],SamplingData[[#This Row],[Batch by Type (p)]]), 0)</f>
        <v>0</v>
      </c>
    </row>
    <row r="1841" spans="1:24" ht="15" customHeight="1">
      <c r="A1841" s="18" t="s">
        <v>2017</v>
      </c>
      <c r="B1841" s="18">
        <v>1</v>
      </c>
      <c r="C1841" s="18">
        <v>5</v>
      </c>
      <c r="D1841" s="16">
        <v>0</v>
      </c>
      <c r="E1841" s="16">
        <v>4</v>
      </c>
      <c r="F1841" s="37">
        <v>0</v>
      </c>
      <c r="G1841" s="37">
        <v>1</v>
      </c>
      <c r="H1841" s="17">
        <v>0</v>
      </c>
      <c r="I1841" s="17">
        <v>1</v>
      </c>
      <c r="J1841" s="99">
        <f>SUM(SamplingData[[#This Row],[Losing Candidate]:[Under Votes]])</f>
        <v>12</v>
      </c>
      <c r="K1841"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841" s="100">
        <f>IF(AND(SamplingData[[#This Row],[Total]]&lt;&gt; 0, NOT(ISBLANK(SamplingData[[#This Row],[Candidate 3]]))),(SamplingData[[#This Row],[Total]]+SamplingData[[#This Row],[Winning Candidate]]-SamplingData[[#This Row],[Candidate 3]])/(SamplingData[[#Totals],[Winning Candidate]]-SamplingData[[#Totals],[Candidate 3]]), 0)</f>
        <v>5.4844017162951255E-4</v>
      </c>
      <c r="M1841" s="100">
        <f>IF(AND(SamplingData[[#This Row],[Total]]&lt;&gt; 0, NOT(ISBLANK(SamplingData[[#This Row],[Candidate 4]]))),(SamplingData[[#This Row],[Total]]+SamplingData[[#This Row],[Winning Candidate]]-SamplingData[[#This Row],[Candidate 4]])/(SamplingData[[#Totals],[Winning Candidate]]-SamplingData[[#Totals],[Candidate 4]]), 0)</f>
        <v>3.8001695460258996E-4</v>
      </c>
      <c r="N1841" s="100">
        <f>IF(AND(SamplingData[[#This Row],[Total]]&lt;&gt; 0, NOT(ISBLANK(SamplingData[[#This Row],[Candidate 5]]))),(SamplingData[[#This Row],[Total]]+SamplingData[[#This Row],[Winning Candidate]]-SamplingData[[#This Row],[Candidate 5]])/(SamplingData[[#Totals],[Winning Candidate]]-SamplingData[[#Totals],[Candidate 5]]), 0)</f>
        <v>4.1352468985648261E-4</v>
      </c>
      <c r="O1841" s="100">
        <f>IF(AND(SamplingData[[#This Row],[Total]]&lt;&gt; 0, NOT(ISBLANK(SamplingData[[#This Row],[Candidate 6]]))),(SamplingData[[#This Row],[Total]]+SamplingData[[#This Row],[Winning Candidate]]-SamplingData[[#This Row],[Candidate 6]])/(SamplingData[[#Totals],[Winning Candidate]]-SamplingData[[#Totals],[Candidate 6]]), 0)</f>
        <v>3.8908613394290161E-4</v>
      </c>
      <c r="P1841" s="100">
        <f>MAX(SamplingData[[#This Row],[Error Bound (up) - Max. possible relative overstatement - Losing Candidate]:[Error Bound (up) - Max. possible relative overstatement - Candidate 6]])</f>
        <v>9.7991180793728563E-4</v>
      </c>
      <c r="Q1841" s="100">
        <f>IF(SamplingData[[#This Row],[Max Error Bound (up)]] = 0,0,SamplingData[[#This Row],[Max Error Bound (up)]]/SamplingData[[#Totals],[Max Error Bound (up)]])</f>
        <v>1.550871724551333E-4</v>
      </c>
      <c r="R1841" s="101">
        <f>SUM($Q$5:Q1841)</f>
        <v>0.72679017017149328</v>
      </c>
      <c r="S1841" s="100" t="str">
        <f t="array" ref="S1841">IF(SamplingData[[#This Row],[up/U Selection Probability]] = 0, "Zero", TEXT(SamplingData[[#This Row],[Lower Range]], REPT("0",LEN('General Info'!$B$40))) &amp; " - " &amp; TEXT(SamplingData[[#This Row],[Upper Range]], REPT("0",LEN('General Info'!$B$40))))</f>
        <v>72664 - 72678</v>
      </c>
      <c r="T1841" s="100">
        <f>SamplingData[[#This Row],[Upper Range]]-SamplingData[[#This Row],[Span]]</f>
        <v>72663.508454990981</v>
      </c>
      <c r="U1841" s="100">
        <f>IF(ISNUMBER('General Info'!$B$40), ((SamplingData[[#This Row],[up/U Selection Probability]]) * 'General Info'!$B$40) - 1, 0)</f>
        <v>14.508562158340876</v>
      </c>
      <c r="V1841" s="100">
        <f>IF(ISNUMBER('General Info'!$B$40), (SamplingData[[#This Row],[Running (cumulative) sum]] * ('General Info'!$B$40 -'General Info'!$B$41 + 1)) + 'General Info'!$B$41 - 1, 0)</f>
        <v>72678.017017149323</v>
      </c>
      <c r="W1841" s="100" t="str">
        <f>IF(ISERROR(MATCH(SamplingData[[#This Row],[Batch by Type (p)]],SelectedPrecincts[Batch Name], 0)), "", INDEX(SelectedPrecincts[Draw], MATCH(SamplingData[[#This Row],[Batch by Type (p)]],SelectedPrecincts[Batch Name], 0)))</f>
        <v/>
      </c>
      <c r="X1841" s="102">
        <f>IF(COUNTIF(SelectedPrecincts[Batch Name],SamplingData[[#This Row],[Batch by Type (p)]]) &lt;&gt; 0, COUNTIF(SelectedPrecincts[Batch Name],SamplingData[[#This Row],[Batch by Type (p)]]), 0)</f>
        <v>0</v>
      </c>
    </row>
    <row r="1842" spans="1:24" ht="15" customHeight="1">
      <c r="A1842" s="18" t="s">
        <v>2018</v>
      </c>
      <c r="B1842" s="18">
        <v>1</v>
      </c>
      <c r="C1842" s="18">
        <v>2</v>
      </c>
      <c r="D1842" s="18">
        <v>0</v>
      </c>
      <c r="E1842" s="18">
        <v>0</v>
      </c>
      <c r="F1842" s="18">
        <v>0</v>
      </c>
      <c r="G1842" s="18">
        <v>0</v>
      </c>
      <c r="H1842" s="18">
        <v>0</v>
      </c>
      <c r="I1842" s="18">
        <v>0</v>
      </c>
      <c r="J1842" s="99">
        <f>SUM(SamplingData[[#This Row],[Losing Candidate]:[Under Votes]])</f>
        <v>3</v>
      </c>
      <c r="K1842"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842" s="100">
        <f>IF(AND(SamplingData[[#This Row],[Total]]&lt;&gt; 0, NOT(ISBLANK(SamplingData[[#This Row],[Candidate 3]]))),(SamplingData[[#This Row],[Total]]+SamplingData[[#This Row],[Winning Candidate]]-SamplingData[[#This Row],[Candidate 3]])/(SamplingData[[#Totals],[Winning Candidate]]-SamplingData[[#Totals],[Candidate 3]]), 0)</f>
        <v>1.6130593283220958E-4</v>
      </c>
      <c r="M1842" s="100">
        <f>IF(AND(SamplingData[[#This Row],[Total]]&lt;&gt; 0, NOT(ISBLANK(SamplingData[[#This Row],[Candidate 4]]))),(SamplingData[[#This Row],[Total]]+SamplingData[[#This Row],[Winning Candidate]]-SamplingData[[#This Row],[Candidate 4]])/(SamplingData[[#Totals],[Winning Candidate]]-SamplingData[[#Totals],[Candidate 4]]), 0)</f>
        <v>1.4616036715484231E-4</v>
      </c>
      <c r="N1842" s="100">
        <f>IF(AND(SamplingData[[#This Row],[Total]]&lt;&gt; 0, NOT(ISBLANK(SamplingData[[#This Row],[Candidate 5]]))),(SamplingData[[#This Row],[Total]]+SamplingData[[#This Row],[Winning Candidate]]-SamplingData[[#This Row],[Candidate 5]])/(SamplingData[[#Totals],[Winning Candidate]]-SamplingData[[#Totals],[Candidate 5]]), 0)</f>
        <v>1.2162490878131841E-4</v>
      </c>
      <c r="O1842" s="100">
        <f>IF(AND(SamplingData[[#This Row],[Total]]&lt;&gt; 0, NOT(ISBLANK(SamplingData[[#This Row],[Candidate 6]]))),(SamplingData[[#This Row],[Total]]+SamplingData[[#This Row],[Winning Candidate]]-SamplingData[[#This Row],[Candidate 6]])/(SamplingData[[#Totals],[Winning Candidate]]-SamplingData[[#Totals],[Candidate 6]]), 0)</f>
        <v>1.2158941685715675E-4</v>
      </c>
      <c r="P1842" s="100">
        <f>MAX(SamplingData[[#This Row],[Error Bound (up) - Max. possible relative overstatement - Losing Candidate]:[Error Bound (up) - Max. possible relative overstatement - Candidate 6]])</f>
        <v>2.4497795198432141E-4</v>
      </c>
      <c r="Q1842" s="100">
        <f>IF(SamplingData[[#This Row],[Max Error Bound (up)]] = 0,0,SamplingData[[#This Row],[Max Error Bound (up)]]/SamplingData[[#Totals],[Max Error Bound (up)]])</f>
        <v>3.8771793113783326E-5</v>
      </c>
      <c r="R1842" s="101">
        <f>SUM($Q$5:Q1842)</f>
        <v>0.72682894196460701</v>
      </c>
      <c r="S1842" s="100" t="str">
        <f t="array" ref="S1842">IF(SamplingData[[#This Row],[up/U Selection Probability]] = 0, "Zero", TEXT(SamplingData[[#This Row],[Lower Range]], REPT("0",LEN('General Info'!$B$40))) &amp; " - " &amp; TEXT(SamplingData[[#This Row],[Upper Range]], REPT("0",LEN('General Info'!$B$40))))</f>
        <v>72679 - 72682</v>
      </c>
      <c r="T1842" s="100">
        <f>SamplingData[[#This Row],[Upper Range]]-SamplingData[[#This Row],[Span]]</f>
        <v>72679.017055921126</v>
      </c>
      <c r="U1842" s="100">
        <f>IF(ISNUMBER('General Info'!$B$40), ((SamplingData[[#This Row],[up/U Selection Probability]]) * 'General Info'!$B$40) - 1, 0)</f>
        <v>2.877140539585219</v>
      </c>
      <c r="V1842" s="100">
        <f>IF(ISNUMBER('General Info'!$B$40), (SamplingData[[#This Row],[Running (cumulative) sum]] * ('General Info'!$B$40 -'General Info'!$B$41 + 1)) + 'General Info'!$B$41 - 1, 0)</f>
        <v>72681.894196460707</v>
      </c>
      <c r="W1842" s="100" t="str">
        <f>IF(ISERROR(MATCH(SamplingData[[#This Row],[Batch by Type (p)]],SelectedPrecincts[Batch Name], 0)), "", INDEX(SelectedPrecincts[Draw], MATCH(SamplingData[[#This Row],[Batch by Type (p)]],SelectedPrecincts[Batch Name], 0)))</f>
        <v/>
      </c>
      <c r="X1842" s="102">
        <f>IF(COUNTIF(SelectedPrecincts[Batch Name],SamplingData[[#This Row],[Batch by Type (p)]]) &lt;&gt; 0, COUNTIF(SelectedPrecincts[Batch Name],SamplingData[[#This Row],[Batch by Type (p)]]), 0)</f>
        <v>0</v>
      </c>
    </row>
    <row r="1843" spans="1:24" ht="15" customHeight="1">
      <c r="A1843" s="18" t="s">
        <v>2019</v>
      </c>
      <c r="B1843" s="18">
        <v>22</v>
      </c>
      <c r="C1843" s="18">
        <v>66</v>
      </c>
      <c r="D1843" s="16">
        <v>12</v>
      </c>
      <c r="E1843" s="16">
        <v>5</v>
      </c>
      <c r="F1843" s="37">
        <v>0</v>
      </c>
      <c r="G1843" s="37">
        <v>0</v>
      </c>
      <c r="H1843" s="17">
        <v>1</v>
      </c>
      <c r="I1843" s="17">
        <v>3</v>
      </c>
      <c r="J1843" s="99">
        <f>SUM(SamplingData[[#This Row],[Losing Candidate]:[Under Votes]])</f>
        <v>109</v>
      </c>
      <c r="K1843" s="100">
        <f>IF(AND(SamplingData[[#This Row],[Total]]&lt;&gt; 0, NOT(ISBLANK(SamplingData[[#This Row],[Losing Candidate]]))),(SamplingData[[#This Row],[Total]]+SamplingData[[#This Row],[Winning Candidate]]-SamplingData[[#This Row],[Losing Candidate]])/(SamplingData[[#Totals],[Winning Candidate]]-SamplingData[[#Totals],[Losing Candidate]]), 0)</f>
        <v>9.3704066634002943E-3</v>
      </c>
      <c r="L1843" s="100">
        <f>IF(AND(SamplingData[[#This Row],[Total]]&lt;&gt; 0, NOT(ISBLANK(SamplingData[[#This Row],[Candidate 3]]))),(SamplingData[[#This Row],[Total]]+SamplingData[[#This Row],[Winning Candidate]]-SamplingData[[#This Row],[Candidate 3]])/(SamplingData[[#Totals],[Winning Candidate]]-SamplingData[[#Totals],[Candidate 3]]), 0)</f>
        <v>5.258573410330032E-3</v>
      </c>
      <c r="M1843" s="100">
        <f>IF(AND(SamplingData[[#This Row],[Total]]&lt;&gt; 0, NOT(ISBLANK(SamplingData[[#This Row],[Candidate 4]]))),(SamplingData[[#This Row],[Total]]+SamplingData[[#This Row],[Winning Candidate]]-SamplingData[[#This Row],[Candidate 4]])/(SamplingData[[#Totals],[Winning Candidate]]-SamplingData[[#Totals],[Candidate 4]]), 0)</f>
        <v>4.9694524832646376E-3</v>
      </c>
      <c r="N1843" s="100">
        <f>IF(AND(SamplingData[[#This Row],[Total]]&lt;&gt; 0, NOT(ISBLANK(SamplingData[[#This Row],[Candidate 5]]))),(SamplingData[[#This Row],[Total]]+SamplingData[[#This Row],[Winning Candidate]]-SamplingData[[#This Row],[Candidate 5]])/(SamplingData[[#Totals],[Winning Candidate]]-SamplingData[[#Totals],[Candidate 5]]), 0)</f>
        <v>4.2568718073461445E-3</v>
      </c>
      <c r="O1843" s="100">
        <f>IF(AND(SamplingData[[#This Row],[Total]]&lt;&gt; 0, NOT(ISBLANK(SamplingData[[#This Row],[Candidate 6]]))),(SamplingData[[#This Row],[Total]]+SamplingData[[#This Row],[Winning Candidate]]-SamplingData[[#This Row],[Candidate 6]])/(SamplingData[[#Totals],[Winning Candidate]]-SamplingData[[#Totals],[Candidate 6]]), 0)</f>
        <v>4.2556295900004863E-3</v>
      </c>
      <c r="P1843" s="100">
        <f>MAX(SamplingData[[#This Row],[Error Bound (up) - Max. possible relative overstatement - Losing Candidate]:[Error Bound (up) - Max. possible relative overstatement - Candidate 6]])</f>
        <v>9.3704066634002943E-3</v>
      </c>
      <c r="Q1843" s="100">
        <f>IF(SamplingData[[#This Row],[Max Error Bound (up)]] = 0,0,SamplingData[[#This Row],[Max Error Bound (up)]]/SamplingData[[#Totals],[Max Error Bound (up)]])</f>
        <v>1.4830210866022123E-3</v>
      </c>
      <c r="R1843" s="101">
        <f>SUM($Q$5:Q1843)</f>
        <v>0.72831196305120927</v>
      </c>
      <c r="S1843" s="100" t="str">
        <f t="array" ref="S1843">IF(SamplingData[[#This Row],[up/U Selection Probability]] = 0, "Zero", TEXT(SamplingData[[#This Row],[Lower Range]], REPT("0",LEN('General Info'!$B$40))) &amp; " - " &amp; TEXT(SamplingData[[#This Row],[Upper Range]], REPT("0",LEN('General Info'!$B$40))))</f>
        <v>72683 - 72830</v>
      </c>
      <c r="T1843" s="100">
        <f>SamplingData[[#This Row],[Upper Range]]-SamplingData[[#This Row],[Span]]</f>
        <v>72682.895679481793</v>
      </c>
      <c r="U1843" s="100">
        <f>IF(ISNUMBER('General Info'!$B$40), ((SamplingData[[#This Row],[up/U Selection Probability]]) * 'General Info'!$B$40) - 1, 0)</f>
        <v>147.30062563913464</v>
      </c>
      <c r="V1843" s="100">
        <f>IF(ISNUMBER('General Info'!$B$40), (SamplingData[[#This Row],[Running (cumulative) sum]] * ('General Info'!$B$40 -'General Info'!$B$41 + 1)) + 'General Info'!$B$41 - 1, 0)</f>
        <v>72830.196305120931</v>
      </c>
      <c r="W1843" s="100" t="str">
        <f>IF(ISERROR(MATCH(SamplingData[[#This Row],[Batch by Type (p)]],SelectedPrecincts[Batch Name], 0)), "", INDEX(SelectedPrecincts[Draw], MATCH(SamplingData[[#This Row],[Batch by Type (p)]],SelectedPrecincts[Batch Name], 0)))</f>
        <v/>
      </c>
      <c r="X1843" s="102">
        <f>IF(COUNTIF(SelectedPrecincts[Batch Name],SamplingData[[#This Row],[Batch by Type (p)]]) &lt;&gt; 0, COUNTIF(SelectedPrecincts[Batch Name],SamplingData[[#This Row],[Batch by Type (p)]]), 0)</f>
        <v>0</v>
      </c>
    </row>
    <row r="1844" spans="1:24" ht="15" customHeight="1">
      <c r="A1844" s="18" t="s">
        <v>2020</v>
      </c>
      <c r="B1844" s="18">
        <v>21</v>
      </c>
      <c r="C1844" s="18">
        <v>17</v>
      </c>
      <c r="D1844" s="18">
        <v>6</v>
      </c>
      <c r="E1844" s="18">
        <v>3</v>
      </c>
      <c r="F1844" s="18">
        <v>0</v>
      </c>
      <c r="G1844" s="18">
        <v>0</v>
      </c>
      <c r="H1844" s="18">
        <v>0</v>
      </c>
      <c r="I1844" s="18">
        <v>1</v>
      </c>
      <c r="J1844" s="99">
        <f>SUM(SamplingData[[#This Row],[Losing Candidate]:[Under Votes]])</f>
        <v>48</v>
      </c>
      <c r="K1844" s="100">
        <f>IF(AND(SamplingData[[#This Row],[Total]]&lt;&gt; 0, NOT(ISBLANK(SamplingData[[#This Row],[Losing Candidate]]))),(SamplingData[[#This Row],[Total]]+SamplingData[[#This Row],[Winning Candidate]]-SamplingData[[#This Row],[Losing Candidate]])/(SamplingData[[#Totals],[Winning Candidate]]-SamplingData[[#Totals],[Losing Candidate]]), 0)</f>
        <v>2.6947574718275357E-3</v>
      </c>
      <c r="L1844" s="100">
        <f>IF(AND(SamplingData[[#This Row],[Total]]&lt;&gt; 0, NOT(ISBLANK(SamplingData[[#This Row],[Candidate 3]]))),(SamplingData[[#This Row],[Total]]+SamplingData[[#This Row],[Winning Candidate]]-SamplingData[[#This Row],[Candidate 3]])/(SamplingData[[#Totals],[Winning Candidate]]-SamplingData[[#Totals],[Candidate 3]]), 0)</f>
        <v>1.9034100074200729E-3</v>
      </c>
      <c r="M1844" s="100">
        <f>IF(AND(SamplingData[[#This Row],[Total]]&lt;&gt; 0, NOT(ISBLANK(SamplingData[[#This Row],[Candidate 4]]))),(SamplingData[[#This Row],[Total]]+SamplingData[[#This Row],[Winning Candidate]]-SamplingData[[#This Row],[Candidate 4]])/(SamplingData[[#Totals],[Winning Candidate]]-SamplingData[[#Totals],[Candidate 4]]), 0)</f>
        <v>1.8123885527200445E-3</v>
      </c>
      <c r="N1844" s="100">
        <f>IF(AND(SamplingData[[#This Row],[Total]]&lt;&gt; 0, NOT(ISBLANK(SamplingData[[#This Row],[Candidate 5]]))),(SamplingData[[#This Row],[Total]]+SamplingData[[#This Row],[Winning Candidate]]-SamplingData[[#This Row],[Candidate 5]])/(SamplingData[[#Totals],[Winning Candidate]]-SamplingData[[#Totals],[Candidate 5]]), 0)</f>
        <v>1.5811238141571393E-3</v>
      </c>
      <c r="O1844" s="100">
        <f>IF(AND(SamplingData[[#This Row],[Total]]&lt;&gt; 0, NOT(ISBLANK(SamplingData[[#This Row],[Candidate 6]]))),(SamplingData[[#This Row],[Total]]+SamplingData[[#This Row],[Winning Candidate]]-SamplingData[[#This Row],[Candidate 6]])/(SamplingData[[#Totals],[Winning Candidate]]-SamplingData[[#Totals],[Candidate 6]]), 0)</f>
        <v>1.5806624191430378E-3</v>
      </c>
      <c r="P1844" s="100">
        <f>MAX(SamplingData[[#This Row],[Error Bound (up) - Max. possible relative overstatement - Losing Candidate]:[Error Bound (up) - Max. possible relative overstatement - Candidate 6]])</f>
        <v>2.6947574718275357E-3</v>
      </c>
      <c r="Q1844" s="100">
        <f>IF(SamplingData[[#This Row],[Max Error Bound (up)]] = 0,0,SamplingData[[#This Row],[Max Error Bound (up)]]/SamplingData[[#Totals],[Max Error Bound (up)]])</f>
        <v>4.2648972425161664E-4</v>
      </c>
      <c r="R1844" s="101">
        <f>SUM($Q$5:Q1844)</f>
        <v>0.7287384527754609</v>
      </c>
      <c r="S1844" s="100" t="str">
        <f t="array" ref="S1844">IF(SamplingData[[#This Row],[up/U Selection Probability]] = 0, "Zero", TEXT(SamplingData[[#This Row],[Lower Range]], REPT("0",LEN('General Info'!$B$40))) &amp; " - " &amp; TEXT(SamplingData[[#This Row],[Upper Range]], REPT("0",LEN('General Info'!$B$40))))</f>
        <v>72831 - 72873</v>
      </c>
      <c r="T1844" s="100">
        <f>SamplingData[[#This Row],[Upper Range]]-SamplingData[[#This Row],[Span]]</f>
        <v>72831.196731610646</v>
      </c>
      <c r="U1844" s="100">
        <f>IF(ISNUMBER('General Info'!$B$40), ((SamplingData[[#This Row],[up/U Selection Probability]]) * 'General Info'!$B$40) - 1, 0)</f>
        <v>41.648545935437411</v>
      </c>
      <c r="V1844" s="100">
        <f>IF(ISNUMBER('General Info'!$B$40), (SamplingData[[#This Row],[Running (cumulative) sum]] * ('General Info'!$B$40 -'General Info'!$B$41 + 1)) + 'General Info'!$B$41 - 1, 0)</f>
        <v>72872.84527754609</v>
      </c>
      <c r="W1844" s="100" t="str">
        <f>IF(ISERROR(MATCH(SamplingData[[#This Row],[Batch by Type (p)]],SelectedPrecincts[Batch Name], 0)), "", INDEX(SelectedPrecincts[Draw], MATCH(SamplingData[[#This Row],[Batch by Type (p)]],SelectedPrecincts[Batch Name], 0)))</f>
        <v/>
      </c>
      <c r="X1844" s="102">
        <f>IF(COUNTIF(SelectedPrecincts[Batch Name],SamplingData[[#This Row],[Batch by Type (p)]]) &lt;&gt; 0, COUNTIF(SelectedPrecincts[Batch Name],SamplingData[[#This Row],[Batch by Type (p)]]), 0)</f>
        <v>0</v>
      </c>
    </row>
    <row r="1845" spans="1:24" ht="15" customHeight="1">
      <c r="A1845" s="18" t="s">
        <v>2021</v>
      </c>
      <c r="B1845" s="18">
        <v>10</v>
      </c>
      <c r="C1845" s="18">
        <v>46</v>
      </c>
      <c r="D1845" s="16">
        <v>6</v>
      </c>
      <c r="E1845" s="16">
        <v>6</v>
      </c>
      <c r="F1845" s="37">
        <v>0</v>
      </c>
      <c r="G1845" s="37">
        <v>1</v>
      </c>
      <c r="H1845" s="17">
        <v>1</v>
      </c>
      <c r="I1845" s="17">
        <v>0</v>
      </c>
      <c r="J1845" s="99">
        <f>SUM(SamplingData[[#This Row],[Losing Candidate]:[Under Votes]])</f>
        <v>70</v>
      </c>
      <c r="K1845" s="100">
        <f>IF(AND(SamplingData[[#This Row],[Total]]&lt;&gt; 0, NOT(ISBLANK(SamplingData[[#This Row],[Losing Candidate]]))),(SamplingData[[#This Row],[Total]]+SamplingData[[#This Row],[Winning Candidate]]-SamplingData[[#This Row],[Losing Candidate]])/(SamplingData[[#Totals],[Winning Candidate]]-SamplingData[[#Totals],[Losing Candidate]]), 0)</f>
        <v>6.4919157275845178E-3</v>
      </c>
      <c r="L1845" s="100">
        <f>IF(AND(SamplingData[[#This Row],[Total]]&lt;&gt; 0, NOT(ISBLANK(SamplingData[[#This Row],[Candidate 3]]))),(SamplingData[[#This Row],[Total]]+SamplingData[[#This Row],[Winning Candidate]]-SamplingData[[#This Row],[Candidate 3]])/(SamplingData[[#Totals],[Winning Candidate]]-SamplingData[[#Totals],[Candidate 3]]), 0)</f>
        <v>3.5487305223086104E-3</v>
      </c>
      <c r="M1845" s="100">
        <f>IF(AND(SamplingData[[#This Row],[Total]]&lt;&gt; 0, NOT(ISBLANK(SamplingData[[#This Row],[Candidate 4]]))),(SamplingData[[#This Row],[Total]]+SamplingData[[#This Row],[Winning Candidate]]-SamplingData[[#This Row],[Candidate 4]])/(SamplingData[[#Totals],[Winning Candidate]]-SamplingData[[#Totals],[Candidate 4]]), 0)</f>
        <v>3.2155280774065305E-3</v>
      </c>
      <c r="N1845" s="100">
        <f>IF(AND(SamplingData[[#This Row],[Total]]&lt;&gt; 0, NOT(ISBLANK(SamplingData[[#This Row],[Candidate 5]]))),(SamplingData[[#This Row],[Total]]+SamplingData[[#This Row],[Winning Candidate]]-SamplingData[[#This Row],[Candidate 5]])/(SamplingData[[#Totals],[Winning Candidate]]-SamplingData[[#Totals],[Candidate 5]]), 0)</f>
        <v>2.8216978837265873E-3</v>
      </c>
      <c r="O1845" s="100">
        <f>IF(AND(SamplingData[[#This Row],[Total]]&lt;&gt; 0, NOT(ISBLANK(SamplingData[[#This Row],[Candidate 6]]))),(SamplingData[[#This Row],[Total]]+SamplingData[[#This Row],[Winning Candidate]]-SamplingData[[#This Row],[Candidate 6]])/(SamplingData[[#Totals],[Winning Candidate]]-SamplingData[[#Totals],[Candidate 6]]), 0)</f>
        <v>2.7965565877146052E-3</v>
      </c>
      <c r="P1845" s="100">
        <f>MAX(SamplingData[[#This Row],[Error Bound (up) - Max. possible relative overstatement - Losing Candidate]:[Error Bound (up) - Max. possible relative overstatement - Candidate 6]])</f>
        <v>6.4919157275845178E-3</v>
      </c>
      <c r="Q1845" s="100">
        <f>IF(SamplingData[[#This Row],[Max Error Bound (up)]] = 0,0,SamplingData[[#This Row],[Max Error Bound (up)]]/SamplingData[[#Totals],[Max Error Bound (up)]])</f>
        <v>1.0274525175152582E-3</v>
      </c>
      <c r="R1845" s="101">
        <f>SUM($Q$5:Q1845)</f>
        <v>0.72976590529297614</v>
      </c>
      <c r="S1845" s="100" t="str">
        <f t="array" ref="S1845">IF(SamplingData[[#This Row],[up/U Selection Probability]] = 0, "Zero", TEXT(SamplingData[[#This Row],[Lower Range]], REPT("0",LEN('General Info'!$B$40))) &amp; " - " &amp; TEXT(SamplingData[[#This Row],[Upper Range]], REPT("0",LEN('General Info'!$B$40))))</f>
        <v>72874 - 72976</v>
      </c>
      <c r="T1845" s="100">
        <f>SamplingData[[#This Row],[Upper Range]]-SamplingData[[#This Row],[Span]]</f>
        <v>72873.846304998602</v>
      </c>
      <c r="U1845" s="100">
        <f>IF(ISNUMBER('General Info'!$B$40), ((SamplingData[[#This Row],[up/U Selection Probability]]) * 'General Info'!$B$40) - 1, 0)</f>
        <v>101.74422429900831</v>
      </c>
      <c r="V1845" s="100">
        <f>IF(ISNUMBER('General Info'!$B$40), (SamplingData[[#This Row],[Running (cumulative) sum]] * ('General Info'!$B$40 -'General Info'!$B$41 + 1)) + 'General Info'!$B$41 - 1, 0)</f>
        <v>72975.590529297609</v>
      </c>
      <c r="W1845" s="100" t="str">
        <f>IF(ISERROR(MATCH(SamplingData[[#This Row],[Batch by Type (p)]],SelectedPrecincts[Batch Name], 0)), "", INDEX(SelectedPrecincts[Draw], MATCH(SamplingData[[#This Row],[Batch by Type (p)]],SelectedPrecincts[Batch Name], 0)))</f>
        <v/>
      </c>
      <c r="X1845" s="102">
        <f>IF(COUNTIF(SelectedPrecincts[Batch Name],SamplingData[[#This Row],[Batch by Type (p)]]) &lt;&gt; 0, COUNTIF(SelectedPrecincts[Batch Name],SamplingData[[#This Row],[Batch by Type (p)]]), 0)</f>
        <v>0</v>
      </c>
    </row>
    <row r="1846" spans="1:24" ht="15" customHeight="1">
      <c r="A1846" s="18" t="s">
        <v>2022</v>
      </c>
      <c r="B1846" s="18">
        <v>1</v>
      </c>
      <c r="C1846" s="18">
        <v>6</v>
      </c>
      <c r="D1846" s="18">
        <v>4</v>
      </c>
      <c r="E1846" s="18">
        <v>0</v>
      </c>
      <c r="F1846" s="18">
        <v>0</v>
      </c>
      <c r="G1846" s="18">
        <v>0</v>
      </c>
      <c r="H1846" s="18">
        <v>0</v>
      </c>
      <c r="I1846" s="18">
        <v>1</v>
      </c>
      <c r="J1846" s="99">
        <f>SUM(SamplingData[[#This Row],[Losing Candidate]:[Under Votes]])</f>
        <v>12</v>
      </c>
      <c r="K1846"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846" s="100">
        <f>IF(AND(SamplingData[[#This Row],[Total]]&lt;&gt; 0, NOT(ISBLANK(SamplingData[[#This Row],[Candidate 3]]))),(SamplingData[[#This Row],[Total]]+SamplingData[[#This Row],[Winning Candidate]]-SamplingData[[#This Row],[Candidate 3]])/(SamplingData[[#Totals],[Winning Candidate]]-SamplingData[[#Totals],[Candidate 3]]), 0)</f>
        <v>4.5165661193018679E-4</v>
      </c>
      <c r="M1846" s="100">
        <f>IF(AND(SamplingData[[#This Row],[Total]]&lt;&gt; 0, NOT(ISBLANK(SamplingData[[#This Row],[Candidate 4]]))),(SamplingData[[#This Row],[Total]]+SamplingData[[#This Row],[Winning Candidate]]-SamplingData[[#This Row],[Candidate 4]])/(SamplingData[[#Totals],[Winning Candidate]]-SamplingData[[#Totals],[Candidate 4]]), 0)</f>
        <v>5.2617732175743229E-4</v>
      </c>
      <c r="N1846" s="100">
        <f>IF(AND(SamplingData[[#This Row],[Total]]&lt;&gt; 0, NOT(ISBLANK(SamplingData[[#This Row],[Candidate 5]]))),(SamplingData[[#This Row],[Total]]+SamplingData[[#This Row],[Winning Candidate]]-SamplingData[[#This Row],[Candidate 5]])/(SamplingData[[#Totals],[Winning Candidate]]-SamplingData[[#Totals],[Candidate 5]]), 0)</f>
        <v>4.3784967161274629E-4</v>
      </c>
      <c r="O1846" s="100">
        <f>IF(AND(SamplingData[[#This Row],[Total]]&lt;&gt; 0, NOT(ISBLANK(SamplingData[[#This Row],[Candidate 6]]))),(SamplingData[[#This Row],[Total]]+SamplingData[[#This Row],[Winning Candidate]]-SamplingData[[#This Row],[Candidate 6]])/(SamplingData[[#Totals],[Winning Candidate]]-SamplingData[[#Totals],[Candidate 6]]), 0)</f>
        <v>4.3772190068576433E-4</v>
      </c>
      <c r="P1846" s="100">
        <f>MAX(SamplingData[[#This Row],[Error Bound (up) - Max. possible relative overstatement - Losing Candidate]:[Error Bound (up) - Max. possible relative overstatement - Candidate 6]])</f>
        <v>1.041156295933366E-3</v>
      </c>
      <c r="Q1846" s="100">
        <f>IF(SamplingData[[#This Row],[Max Error Bound (up)]] = 0,0,SamplingData[[#This Row],[Max Error Bound (up)]]/SamplingData[[#Totals],[Max Error Bound (up)]])</f>
        <v>1.6478012073357914E-4</v>
      </c>
      <c r="R1846" s="101">
        <f>SUM($Q$5:Q1846)</f>
        <v>0.72993068541370976</v>
      </c>
      <c r="S1846" s="100" t="str">
        <f t="array" ref="S1846">IF(SamplingData[[#This Row],[up/U Selection Probability]] = 0, "Zero", TEXT(SamplingData[[#This Row],[Lower Range]], REPT("0",LEN('General Info'!$B$40))) &amp; " - " &amp; TEXT(SamplingData[[#This Row],[Upper Range]], REPT("0",LEN('General Info'!$B$40))))</f>
        <v>72977 - 72992</v>
      </c>
      <c r="T1846" s="100">
        <f>SamplingData[[#This Row],[Upper Range]]-SamplingData[[#This Row],[Span]]</f>
        <v>72976.590694077735</v>
      </c>
      <c r="U1846" s="100">
        <f>IF(ISNUMBER('General Info'!$B$40), ((SamplingData[[#This Row],[up/U Selection Probability]]) * 'General Info'!$B$40) - 1, 0)</f>
        <v>15.477847293237179</v>
      </c>
      <c r="V1846" s="100">
        <f>IF(ISNUMBER('General Info'!$B$40), (SamplingData[[#This Row],[Running (cumulative) sum]] * ('General Info'!$B$40 -'General Info'!$B$41 + 1)) + 'General Info'!$B$41 - 1, 0)</f>
        <v>72992.068541370973</v>
      </c>
      <c r="W1846" s="100" t="str">
        <f>IF(ISERROR(MATCH(SamplingData[[#This Row],[Batch by Type (p)]],SelectedPrecincts[Batch Name], 0)), "", INDEX(SelectedPrecincts[Draw], MATCH(SamplingData[[#This Row],[Batch by Type (p)]],SelectedPrecincts[Batch Name], 0)))</f>
        <v/>
      </c>
      <c r="X1846" s="102">
        <f>IF(COUNTIF(SelectedPrecincts[Batch Name],SamplingData[[#This Row],[Batch by Type (p)]]) &lt;&gt; 0, COUNTIF(SelectedPrecincts[Batch Name],SamplingData[[#This Row],[Batch by Type (p)]]), 0)</f>
        <v>0</v>
      </c>
    </row>
    <row r="1847" spans="1:24" ht="15" customHeight="1">
      <c r="A1847" s="18" t="s">
        <v>2023</v>
      </c>
      <c r="B1847" s="18">
        <v>28</v>
      </c>
      <c r="C1847" s="18">
        <v>86</v>
      </c>
      <c r="D1847" s="16">
        <v>10</v>
      </c>
      <c r="E1847" s="16">
        <v>7</v>
      </c>
      <c r="F1847" s="37">
        <v>0</v>
      </c>
      <c r="G1847" s="37">
        <v>0</v>
      </c>
      <c r="H1847" s="17">
        <v>0</v>
      </c>
      <c r="I1847" s="17">
        <v>3</v>
      </c>
      <c r="J1847" s="99">
        <f>SUM(SamplingData[[#This Row],[Losing Candidate]:[Under Votes]])</f>
        <v>134</v>
      </c>
      <c r="K1847" s="100">
        <f>IF(AND(SamplingData[[#This Row],[Total]]&lt;&gt; 0, NOT(ISBLANK(SamplingData[[#This Row],[Losing Candidate]]))),(SamplingData[[#This Row],[Total]]+SamplingData[[#This Row],[Winning Candidate]]-SamplingData[[#This Row],[Losing Candidate]])/(SamplingData[[#Totals],[Winning Candidate]]-SamplingData[[#Totals],[Losing Candidate]]), 0)</f>
        <v>1.1758941695247428E-2</v>
      </c>
      <c r="L1847" s="100">
        <f>IF(AND(SamplingData[[#This Row],[Total]]&lt;&gt; 0, NOT(ISBLANK(SamplingData[[#This Row],[Candidate 3]]))),(SamplingData[[#This Row],[Total]]+SamplingData[[#This Row],[Winning Candidate]]-SamplingData[[#This Row],[Candidate 3]])/(SamplingData[[#Totals],[Winning Candidate]]-SamplingData[[#Totals],[Candidate 3]]), 0)</f>
        <v>6.7748491789528017E-3</v>
      </c>
      <c r="M1847" s="100">
        <f>IF(AND(SamplingData[[#This Row],[Total]]&lt;&gt; 0, NOT(ISBLANK(SamplingData[[#This Row],[Candidate 4]]))),(SamplingData[[#This Row],[Total]]+SamplingData[[#This Row],[Winning Candidate]]-SamplingData[[#This Row],[Candidate 4]])/(SamplingData[[#Totals],[Winning Candidate]]-SamplingData[[#Totals],[Candidate 4]]), 0)</f>
        <v>6.2264316407962816E-3</v>
      </c>
      <c r="N1847" s="100">
        <f>IF(AND(SamplingData[[#This Row],[Total]]&lt;&gt; 0, NOT(ISBLANK(SamplingData[[#This Row],[Candidate 5]]))),(SamplingData[[#This Row],[Total]]+SamplingData[[#This Row],[Winning Candidate]]-SamplingData[[#This Row],[Candidate 5]])/(SamplingData[[#Totals],[Winning Candidate]]-SamplingData[[#Totals],[Candidate 5]]), 0)</f>
        <v>5.35149598637801E-3</v>
      </c>
      <c r="O1847" s="100">
        <f>IF(AND(SamplingData[[#This Row],[Total]]&lt;&gt; 0, NOT(ISBLANK(SamplingData[[#This Row],[Candidate 6]]))),(SamplingData[[#This Row],[Total]]+SamplingData[[#This Row],[Winning Candidate]]-SamplingData[[#This Row],[Candidate 6]])/(SamplingData[[#Totals],[Winning Candidate]]-SamplingData[[#Totals],[Candidate 6]]), 0)</f>
        <v>5.3499343417148975E-3</v>
      </c>
      <c r="P1847" s="100">
        <f>MAX(SamplingData[[#This Row],[Error Bound (up) - Max. possible relative overstatement - Losing Candidate]:[Error Bound (up) - Max. possible relative overstatement - Candidate 6]])</f>
        <v>1.1758941695247428E-2</v>
      </c>
      <c r="Q1847" s="100">
        <f>IF(SamplingData[[#This Row],[Max Error Bound (up)]] = 0,0,SamplingData[[#This Row],[Max Error Bound (up)]]/SamplingData[[#Totals],[Max Error Bound (up)]])</f>
        <v>1.8610460694615995E-3</v>
      </c>
      <c r="R1847" s="101">
        <f>SUM($Q$5:Q1847)</f>
        <v>0.73179173148317134</v>
      </c>
      <c r="S1847" s="100" t="str">
        <f t="array" ref="S1847">IF(SamplingData[[#This Row],[up/U Selection Probability]] = 0, "Zero", TEXT(SamplingData[[#This Row],[Lower Range]], REPT("0",LEN('General Info'!$B$40))) &amp; " - " &amp; TEXT(SamplingData[[#This Row],[Upper Range]], REPT("0",LEN('General Info'!$B$40))))</f>
        <v>72993 - 73178</v>
      </c>
      <c r="T1847" s="100">
        <f>SamplingData[[#This Row],[Upper Range]]-SamplingData[[#This Row],[Span]]</f>
        <v>72993.070402417041</v>
      </c>
      <c r="U1847" s="100">
        <f>IF(ISNUMBER('General Info'!$B$40), ((SamplingData[[#This Row],[up/U Selection Probability]]) * 'General Info'!$B$40) - 1, 0)</f>
        <v>185.1027459000905</v>
      </c>
      <c r="V1847" s="100">
        <f>IF(ISNUMBER('General Info'!$B$40), (SamplingData[[#This Row],[Running (cumulative) sum]] * ('General Info'!$B$40 -'General Info'!$B$41 + 1)) + 'General Info'!$B$41 - 1, 0)</f>
        <v>73178.173148317132</v>
      </c>
      <c r="W1847" s="100" t="str">
        <f>IF(ISERROR(MATCH(SamplingData[[#This Row],[Batch by Type (p)]],SelectedPrecincts[Batch Name], 0)), "", INDEX(SelectedPrecincts[Draw], MATCH(SamplingData[[#This Row],[Batch by Type (p)]],SelectedPrecincts[Batch Name], 0)))</f>
        <v/>
      </c>
      <c r="X1847" s="102">
        <f>IF(COUNTIF(SelectedPrecincts[Batch Name],SamplingData[[#This Row],[Batch by Type (p)]]) &lt;&gt; 0, COUNTIF(SelectedPrecincts[Batch Name],SamplingData[[#This Row],[Batch by Type (p)]]), 0)</f>
        <v>0</v>
      </c>
    </row>
    <row r="1848" spans="1:24" ht="15" customHeight="1">
      <c r="A1848" s="18" t="s">
        <v>2024</v>
      </c>
      <c r="B1848" s="18">
        <v>24</v>
      </c>
      <c r="C1848" s="18">
        <v>37</v>
      </c>
      <c r="D1848" s="18">
        <v>8</v>
      </c>
      <c r="E1848" s="18">
        <v>2</v>
      </c>
      <c r="F1848" s="18">
        <v>0</v>
      </c>
      <c r="G1848" s="18">
        <v>0</v>
      </c>
      <c r="H1848" s="18">
        <v>0</v>
      </c>
      <c r="I1848" s="18">
        <v>0</v>
      </c>
      <c r="J1848" s="99">
        <f>SUM(SamplingData[[#This Row],[Losing Candidate]:[Under Votes]])</f>
        <v>71</v>
      </c>
      <c r="K1848" s="100">
        <f>IF(AND(SamplingData[[#This Row],[Total]]&lt;&gt; 0, NOT(ISBLANK(SamplingData[[#This Row],[Losing Candidate]]))),(SamplingData[[#This Row],[Total]]+SamplingData[[#This Row],[Winning Candidate]]-SamplingData[[#This Row],[Losing Candidate]])/(SamplingData[[#Totals],[Winning Candidate]]-SamplingData[[#Totals],[Losing Candidate]]), 0)</f>
        <v>5.1445369916707498E-3</v>
      </c>
      <c r="L1848" s="100">
        <f>IF(AND(SamplingData[[#This Row],[Total]]&lt;&gt; 0, NOT(ISBLANK(SamplingData[[#This Row],[Candidate 3]]))),(SamplingData[[#This Row],[Total]]+SamplingData[[#This Row],[Winning Candidate]]-SamplingData[[#This Row],[Candidate 3]])/(SamplingData[[#Totals],[Winning Candidate]]-SamplingData[[#Totals],[Candidate 3]]), 0)</f>
        <v>3.2261186566441913E-3</v>
      </c>
      <c r="M1848" s="100">
        <f>IF(AND(SamplingData[[#This Row],[Total]]&lt;&gt; 0, NOT(ISBLANK(SamplingData[[#This Row],[Candidate 4]]))),(SamplingData[[#This Row],[Total]]+SamplingData[[#This Row],[Winning Candidate]]-SamplingData[[#This Row],[Candidate 4]])/(SamplingData[[#Totals],[Winning Candidate]]-SamplingData[[#Totals],[Candidate 4]]), 0)</f>
        <v>3.0985997836826566E-3</v>
      </c>
      <c r="N1848" s="100">
        <f>IF(AND(SamplingData[[#This Row],[Total]]&lt;&gt; 0, NOT(ISBLANK(SamplingData[[#This Row],[Candidate 5]]))),(SamplingData[[#This Row],[Total]]+SamplingData[[#This Row],[Winning Candidate]]-SamplingData[[#This Row],[Candidate 5]])/(SamplingData[[#Totals],[Winning Candidate]]-SamplingData[[#Totals],[Candidate 5]]), 0)</f>
        <v>2.6270980296764779E-3</v>
      </c>
      <c r="O1848" s="100">
        <f>IF(AND(SamplingData[[#This Row],[Total]]&lt;&gt; 0, NOT(ISBLANK(SamplingData[[#This Row],[Candidate 6]]))),(SamplingData[[#This Row],[Total]]+SamplingData[[#This Row],[Winning Candidate]]-SamplingData[[#This Row],[Candidate 6]])/(SamplingData[[#Totals],[Winning Candidate]]-SamplingData[[#Totals],[Candidate 6]]), 0)</f>
        <v>2.626331404114586E-3</v>
      </c>
      <c r="P1848" s="100">
        <f>MAX(SamplingData[[#This Row],[Error Bound (up) - Max. possible relative overstatement - Losing Candidate]:[Error Bound (up) - Max. possible relative overstatement - Candidate 6]])</f>
        <v>5.1445369916707498E-3</v>
      </c>
      <c r="Q1848" s="100">
        <f>IF(SamplingData[[#This Row],[Max Error Bound (up)]] = 0,0,SamplingData[[#This Row],[Max Error Bound (up)]]/SamplingData[[#Totals],[Max Error Bound (up)]])</f>
        <v>8.1420765538944991E-4</v>
      </c>
      <c r="R1848" s="101">
        <f>SUM($Q$5:Q1848)</f>
        <v>0.73260593913856076</v>
      </c>
      <c r="S1848" s="100" t="str">
        <f t="array" ref="S1848">IF(SamplingData[[#This Row],[up/U Selection Probability]] = 0, "Zero", TEXT(SamplingData[[#This Row],[Lower Range]], REPT("0",LEN('General Info'!$B$40))) &amp; " - " &amp; TEXT(SamplingData[[#This Row],[Upper Range]], REPT("0",LEN('General Info'!$B$40))))</f>
        <v>73179 - 73260</v>
      </c>
      <c r="T1848" s="100">
        <f>SamplingData[[#This Row],[Upper Range]]-SamplingData[[#This Row],[Span]]</f>
        <v>73179.173962524786</v>
      </c>
      <c r="U1848" s="100">
        <f>IF(ISNUMBER('General Info'!$B$40), ((SamplingData[[#This Row],[up/U Selection Probability]]) * 'General Info'!$B$40) - 1, 0)</f>
        <v>80.419951331289596</v>
      </c>
      <c r="V1848" s="100">
        <f>IF(ISNUMBER('General Info'!$B$40), (SamplingData[[#This Row],[Running (cumulative) sum]] * ('General Info'!$B$40 -'General Info'!$B$41 + 1)) + 'General Info'!$B$41 - 1, 0)</f>
        <v>73259.593913856079</v>
      </c>
      <c r="W1848" s="100" t="str">
        <f>IF(ISERROR(MATCH(SamplingData[[#This Row],[Batch by Type (p)]],SelectedPrecincts[Batch Name], 0)), "", INDEX(SelectedPrecincts[Draw], MATCH(SamplingData[[#This Row],[Batch by Type (p)]],SelectedPrecincts[Batch Name], 0)))</f>
        <v/>
      </c>
      <c r="X1848" s="102">
        <f>IF(COUNTIF(SelectedPrecincts[Batch Name],SamplingData[[#This Row],[Batch by Type (p)]]) &lt;&gt; 0, COUNTIF(SelectedPrecincts[Batch Name],SamplingData[[#This Row],[Batch by Type (p)]]), 0)</f>
        <v>0</v>
      </c>
    </row>
    <row r="1849" spans="1:24" ht="15" customHeight="1">
      <c r="A1849" s="18" t="s">
        <v>2025</v>
      </c>
      <c r="B1849" s="18">
        <v>42</v>
      </c>
      <c r="C1849" s="18">
        <v>72</v>
      </c>
      <c r="D1849" s="16">
        <v>10</v>
      </c>
      <c r="E1849" s="16">
        <v>28</v>
      </c>
      <c r="F1849" s="37">
        <v>2</v>
      </c>
      <c r="G1849" s="37">
        <v>1</v>
      </c>
      <c r="H1849" s="17">
        <v>1</v>
      </c>
      <c r="I1849" s="17">
        <v>3</v>
      </c>
      <c r="J1849" s="99">
        <f>SUM(SamplingData[[#This Row],[Losing Candidate]:[Under Votes]])</f>
        <v>159</v>
      </c>
      <c r="K1849" s="100">
        <f>IF(AND(SamplingData[[#This Row],[Total]]&lt;&gt; 0, NOT(ISBLANK(SamplingData[[#This Row],[Losing Candidate]]))),(SamplingData[[#This Row],[Total]]+SamplingData[[#This Row],[Winning Candidate]]-SamplingData[[#This Row],[Losing Candidate]])/(SamplingData[[#Totals],[Winning Candidate]]-SamplingData[[#Totals],[Losing Candidate]]), 0)</f>
        <v>1.1575208231259187E-2</v>
      </c>
      <c r="L1849" s="100">
        <f>IF(AND(SamplingData[[#This Row],[Total]]&lt;&gt; 0, NOT(ISBLANK(SamplingData[[#This Row],[Candidate 3]]))),(SamplingData[[#This Row],[Total]]+SamplingData[[#This Row],[Winning Candidate]]-SamplingData[[#This Row],[Candidate 3]])/(SamplingData[[#Totals],[Winning Candidate]]-SamplingData[[#Totals],[Candidate 3]]), 0)</f>
        <v>7.1297222311836632E-3</v>
      </c>
      <c r="M1849" s="100">
        <f>IF(AND(SamplingData[[#This Row],[Total]]&lt;&gt; 0, NOT(ISBLANK(SamplingData[[#This Row],[Candidate 4]]))),(SamplingData[[#This Row],[Total]]+SamplingData[[#This Row],[Winning Candidate]]-SamplingData[[#This Row],[Candidate 4]])/(SamplingData[[#Totals],[Winning Candidate]]-SamplingData[[#Totals],[Candidate 4]]), 0)</f>
        <v>5.934110906486597E-3</v>
      </c>
      <c r="N1849" s="100">
        <f>IF(AND(SamplingData[[#This Row],[Total]]&lt;&gt; 0, NOT(ISBLANK(SamplingData[[#This Row],[Candidate 5]]))),(SamplingData[[#This Row],[Total]]+SamplingData[[#This Row],[Winning Candidate]]-SamplingData[[#This Row],[Candidate 5]])/(SamplingData[[#Totals],[Winning Candidate]]-SamplingData[[#Totals],[Candidate 5]]), 0)</f>
        <v>5.5704208221843835E-3</v>
      </c>
      <c r="O1849" s="100">
        <f>IF(AND(SamplingData[[#This Row],[Total]]&lt;&gt; 0, NOT(ISBLANK(SamplingData[[#This Row],[Candidate 6]]))),(SamplingData[[#This Row],[Total]]+SamplingData[[#This Row],[Winning Candidate]]-SamplingData[[#This Row],[Candidate 6]])/(SamplingData[[#Totals],[Winning Candidate]]-SamplingData[[#Totals],[Candidate 6]]), 0)</f>
        <v>5.5931131754292105E-3</v>
      </c>
      <c r="P1849" s="100">
        <f>MAX(SamplingData[[#This Row],[Error Bound (up) - Max. possible relative overstatement - Losing Candidate]:[Error Bound (up) - Max. possible relative overstatement - Candidate 6]])</f>
        <v>1.1575208231259187E-2</v>
      </c>
      <c r="Q1849" s="100">
        <f>IF(SamplingData[[#This Row],[Max Error Bound (up)]] = 0,0,SamplingData[[#This Row],[Max Error Bound (up)]]/SamplingData[[#Totals],[Max Error Bound (up)]])</f>
        <v>1.8319672246262624E-3</v>
      </c>
      <c r="R1849" s="101">
        <f>SUM($Q$5:Q1849)</f>
        <v>0.73443790636318707</v>
      </c>
      <c r="S1849" s="100" t="str">
        <f t="array" ref="S1849">IF(SamplingData[[#This Row],[up/U Selection Probability]] = 0, "Zero", TEXT(SamplingData[[#This Row],[Lower Range]], REPT("0",LEN('General Info'!$B$40))) &amp; " - " &amp; TEXT(SamplingData[[#This Row],[Upper Range]], REPT("0",LEN('General Info'!$B$40))))</f>
        <v>73261 - 73443</v>
      </c>
      <c r="T1849" s="100">
        <f>SamplingData[[#This Row],[Upper Range]]-SamplingData[[#This Row],[Span]]</f>
        <v>73260.595745823302</v>
      </c>
      <c r="U1849" s="100">
        <f>IF(ISNUMBER('General Info'!$B$40), ((SamplingData[[#This Row],[up/U Selection Probability]]) * 'General Info'!$B$40) - 1, 0)</f>
        <v>182.19489049540161</v>
      </c>
      <c r="V1849" s="100">
        <f>IF(ISNUMBER('General Info'!$B$40), (SamplingData[[#This Row],[Running (cumulative) sum]] * ('General Info'!$B$40 -'General Info'!$B$41 + 1)) + 'General Info'!$B$41 - 1, 0)</f>
        <v>73442.790636318707</v>
      </c>
      <c r="W1849" s="100" t="str">
        <f>IF(ISERROR(MATCH(SamplingData[[#This Row],[Batch by Type (p)]],SelectedPrecincts[Batch Name], 0)), "", INDEX(SelectedPrecincts[Draw], MATCH(SamplingData[[#This Row],[Batch by Type (p)]],SelectedPrecincts[Batch Name], 0)))</f>
        <v/>
      </c>
      <c r="X1849" s="102">
        <f>IF(COUNTIF(SelectedPrecincts[Batch Name],SamplingData[[#This Row],[Batch by Type (p)]]) &lt;&gt; 0, COUNTIF(SelectedPrecincts[Batch Name],SamplingData[[#This Row],[Batch by Type (p)]]), 0)</f>
        <v>0</v>
      </c>
    </row>
    <row r="1850" spans="1:24" ht="15" customHeight="1">
      <c r="A1850" s="18" t="s">
        <v>2026</v>
      </c>
      <c r="B1850" s="18">
        <v>15</v>
      </c>
      <c r="C1850" s="18">
        <v>19</v>
      </c>
      <c r="D1850" s="18">
        <v>3</v>
      </c>
      <c r="E1850" s="18">
        <v>5</v>
      </c>
      <c r="F1850" s="18">
        <v>0</v>
      </c>
      <c r="G1850" s="18">
        <v>0</v>
      </c>
      <c r="H1850" s="18">
        <v>0</v>
      </c>
      <c r="I1850" s="18">
        <v>1</v>
      </c>
      <c r="J1850" s="99">
        <f>SUM(SamplingData[[#This Row],[Losing Candidate]:[Under Votes]])</f>
        <v>43</v>
      </c>
      <c r="K1850" s="100">
        <f>IF(AND(SamplingData[[#This Row],[Total]]&lt;&gt; 0, NOT(ISBLANK(SamplingData[[#This Row],[Losing Candidate]]))),(SamplingData[[#This Row],[Total]]+SamplingData[[#This Row],[Winning Candidate]]-SamplingData[[#This Row],[Losing Candidate]])/(SamplingData[[#Totals],[Winning Candidate]]-SamplingData[[#Totals],[Losing Candidate]]), 0)</f>
        <v>2.8784909358157765E-3</v>
      </c>
      <c r="L1850" s="100">
        <f>IF(AND(SamplingData[[#This Row],[Total]]&lt;&gt; 0, NOT(ISBLANK(SamplingData[[#This Row],[Candidate 3]]))),(SamplingData[[#This Row],[Total]]+SamplingData[[#This Row],[Winning Candidate]]-SamplingData[[#This Row],[Candidate 3]])/(SamplingData[[#Totals],[Winning Candidate]]-SamplingData[[#Totals],[Candidate 3]]), 0)</f>
        <v>1.9034100074200729E-3</v>
      </c>
      <c r="M1850" s="100">
        <f>IF(AND(SamplingData[[#This Row],[Total]]&lt;&gt; 0, NOT(ISBLANK(SamplingData[[#This Row],[Candidate 4]]))),(SamplingData[[#This Row],[Total]]+SamplingData[[#This Row],[Winning Candidate]]-SamplingData[[#This Row],[Candidate 4]])/(SamplingData[[#Totals],[Winning Candidate]]-SamplingData[[#Totals],[Candidate 4]]), 0)</f>
        <v>1.6662281855652022E-3</v>
      </c>
      <c r="N1850" s="100">
        <f>IF(AND(SamplingData[[#This Row],[Total]]&lt;&gt; 0, NOT(ISBLANK(SamplingData[[#This Row],[Candidate 5]]))),(SamplingData[[#This Row],[Total]]+SamplingData[[#This Row],[Winning Candidate]]-SamplingData[[#This Row],[Candidate 5]])/(SamplingData[[#Totals],[Winning Candidate]]-SamplingData[[#Totals],[Candidate 5]]), 0)</f>
        <v>1.5081488688883484E-3</v>
      </c>
      <c r="O1850" s="100">
        <f>IF(AND(SamplingData[[#This Row],[Total]]&lt;&gt; 0, NOT(ISBLANK(SamplingData[[#This Row],[Candidate 6]]))),(SamplingData[[#This Row],[Total]]+SamplingData[[#This Row],[Winning Candidate]]-SamplingData[[#This Row],[Candidate 6]])/(SamplingData[[#Totals],[Winning Candidate]]-SamplingData[[#Totals],[Candidate 6]]), 0)</f>
        <v>1.5077087690287436E-3</v>
      </c>
      <c r="P1850" s="100">
        <f>MAX(SamplingData[[#This Row],[Error Bound (up) - Max. possible relative overstatement - Losing Candidate]:[Error Bound (up) - Max. possible relative overstatement - Candidate 6]])</f>
        <v>2.8784909358157765E-3</v>
      </c>
      <c r="Q1850" s="100">
        <f>IF(SamplingData[[#This Row],[Max Error Bound (up)]] = 0,0,SamplingData[[#This Row],[Max Error Bound (up)]]/SamplingData[[#Totals],[Max Error Bound (up)]])</f>
        <v>4.5556856908695405E-4</v>
      </c>
      <c r="R1850" s="101">
        <f>SUM($Q$5:Q1850)</f>
        <v>0.73489347493227397</v>
      </c>
      <c r="S1850" s="100" t="str">
        <f t="array" ref="S1850">IF(SamplingData[[#This Row],[up/U Selection Probability]] = 0, "Zero", TEXT(SamplingData[[#This Row],[Lower Range]], REPT("0",LEN('General Info'!$B$40))) &amp; " - " &amp; TEXT(SamplingData[[#This Row],[Upper Range]], REPT("0",LEN('General Info'!$B$40))))</f>
        <v>73444 - 73488</v>
      </c>
      <c r="T1850" s="100">
        <f>SamplingData[[#This Row],[Upper Range]]-SamplingData[[#This Row],[Span]]</f>
        <v>73443.791091887266</v>
      </c>
      <c r="U1850" s="100">
        <f>IF(ISNUMBER('General Info'!$B$40), ((SamplingData[[#This Row],[up/U Selection Probability]]) * 'General Info'!$B$40) - 1, 0)</f>
        <v>44.556401340126321</v>
      </c>
      <c r="V1850" s="100">
        <f>IF(ISNUMBER('General Info'!$B$40), (SamplingData[[#This Row],[Running (cumulative) sum]] * ('General Info'!$B$40 -'General Info'!$B$41 + 1)) + 'General Info'!$B$41 - 1, 0)</f>
        <v>73488.347493227397</v>
      </c>
      <c r="W1850" s="100" t="str">
        <f>IF(ISERROR(MATCH(SamplingData[[#This Row],[Batch by Type (p)]],SelectedPrecincts[Batch Name], 0)), "", INDEX(SelectedPrecincts[Draw], MATCH(SamplingData[[#This Row],[Batch by Type (p)]],SelectedPrecincts[Batch Name], 0)))</f>
        <v/>
      </c>
      <c r="X1850" s="102">
        <f>IF(COUNTIF(SelectedPrecincts[Batch Name],SamplingData[[#This Row],[Batch by Type (p)]]) &lt;&gt; 0, COUNTIF(SelectedPrecincts[Batch Name],SamplingData[[#This Row],[Batch by Type (p)]]), 0)</f>
        <v>0</v>
      </c>
    </row>
    <row r="1851" spans="1:24" ht="15" customHeight="1">
      <c r="A1851" s="18" t="s">
        <v>2027</v>
      </c>
      <c r="B1851" s="18">
        <v>24</v>
      </c>
      <c r="C1851" s="18">
        <v>63</v>
      </c>
      <c r="D1851" s="16">
        <v>16</v>
      </c>
      <c r="E1851" s="16">
        <v>10</v>
      </c>
      <c r="F1851" s="37">
        <v>1</v>
      </c>
      <c r="G1851" s="37">
        <v>0</v>
      </c>
      <c r="H1851" s="17">
        <v>0</v>
      </c>
      <c r="I1851" s="17">
        <v>3</v>
      </c>
      <c r="J1851" s="99">
        <f>SUM(SamplingData[[#This Row],[Losing Candidate]:[Under Votes]])</f>
        <v>117</v>
      </c>
      <c r="K1851" s="100">
        <f>IF(AND(SamplingData[[#This Row],[Total]]&lt;&gt; 0, NOT(ISBLANK(SamplingData[[#This Row],[Losing Candidate]]))),(SamplingData[[#This Row],[Total]]+SamplingData[[#This Row],[Winning Candidate]]-SamplingData[[#This Row],[Losing Candidate]])/(SamplingData[[#Totals],[Winning Candidate]]-SamplingData[[#Totals],[Losing Candidate]]), 0)</f>
        <v>9.5541401273885346E-3</v>
      </c>
      <c r="L1851" s="100">
        <f>IF(AND(SamplingData[[#This Row],[Total]]&lt;&gt; 0, NOT(ISBLANK(SamplingData[[#This Row],[Candidate 3]]))),(SamplingData[[#This Row],[Total]]+SamplingData[[#This Row],[Winning Candidate]]-SamplingData[[#This Row],[Candidate 3]])/(SamplingData[[#Totals],[Winning Candidate]]-SamplingData[[#Totals],[Candidate 3]]), 0)</f>
        <v>5.2908345968964736E-3</v>
      </c>
      <c r="M1851" s="100">
        <f>IF(AND(SamplingData[[#This Row],[Total]]&lt;&gt; 0, NOT(ISBLANK(SamplingData[[#This Row],[Candidate 4]]))),(SamplingData[[#This Row],[Total]]+SamplingData[[#This Row],[Winning Candidate]]-SamplingData[[#This Row],[Candidate 4]])/(SamplingData[[#Totals],[Winning Candidate]]-SamplingData[[#Totals],[Candidate 4]]), 0)</f>
        <v>4.9694524832646376E-3</v>
      </c>
      <c r="N1851" s="100">
        <f>IF(AND(SamplingData[[#This Row],[Total]]&lt;&gt; 0, NOT(ISBLANK(SamplingData[[#This Row],[Candidate 5]]))),(SamplingData[[#This Row],[Total]]+SamplingData[[#This Row],[Winning Candidate]]-SamplingData[[#This Row],[Candidate 5]])/(SamplingData[[#Totals],[Winning Candidate]]-SamplingData[[#Totals],[Candidate 5]]), 0)</f>
        <v>4.3541717343711988E-3</v>
      </c>
      <c r="O1851" s="100">
        <f>IF(AND(SamplingData[[#This Row],[Total]]&lt;&gt; 0, NOT(ISBLANK(SamplingData[[#This Row],[Candidate 6]]))),(SamplingData[[#This Row],[Total]]+SamplingData[[#This Row],[Winning Candidate]]-SamplingData[[#This Row],[Candidate 6]])/(SamplingData[[#Totals],[Winning Candidate]]-SamplingData[[#Totals],[Candidate 6]]), 0)</f>
        <v>4.3772190068576428E-3</v>
      </c>
      <c r="P1851" s="100">
        <f>MAX(SamplingData[[#This Row],[Error Bound (up) - Max. possible relative overstatement - Losing Candidate]:[Error Bound (up) - Max. possible relative overstatement - Candidate 6]])</f>
        <v>9.5541401273885346E-3</v>
      </c>
      <c r="Q1851" s="100">
        <f>IF(SamplingData[[#This Row],[Max Error Bound (up)]] = 0,0,SamplingData[[#This Row],[Max Error Bound (up)]]/SamplingData[[#Totals],[Max Error Bound (up)]])</f>
        <v>1.5120999314375497E-3</v>
      </c>
      <c r="R1851" s="101">
        <f>SUM($Q$5:Q1851)</f>
        <v>0.7364055748637115</v>
      </c>
      <c r="S1851" s="100" t="str">
        <f t="array" ref="S1851">IF(SamplingData[[#This Row],[up/U Selection Probability]] = 0, "Zero", TEXT(SamplingData[[#This Row],[Lower Range]], REPT("0",LEN('General Info'!$B$40))) &amp; " - " &amp; TEXT(SamplingData[[#This Row],[Upper Range]], REPT("0",LEN('General Info'!$B$40))))</f>
        <v>73489 - 73640</v>
      </c>
      <c r="T1851" s="100">
        <f>SamplingData[[#This Row],[Upper Range]]-SamplingData[[#This Row],[Span]]</f>
        <v>73489.349005327327</v>
      </c>
      <c r="U1851" s="100">
        <f>IF(ISNUMBER('General Info'!$B$40), ((SamplingData[[#This Row],[up/U Selection Probability]]) * 'General Info'!$B$40) - 1, 0)</f>
        <v>150.20848104382353</v>
      </c>
      <c r="V1851" s="100">
        <f>IF(ISNUMBER('General Info'!$B$40), (SamplingData[[#This Row],[Running (cumulative) sum]] * ('General Info'!$B$40 -'General Info'!$B$41 + 1)) + 'General Info'!$B$41 - 1, 0)</f>
        <v>73639.557486371152</v>
      </c>
      <c r="W1851" s="100" t="str">
        <f>IF(ISERROR(MATCH(SamplingData[[#This Row],[Batch by Type (p)]],SelectedPrecincts[Batch Name], 0)), "", INDEX(SelectedPrecincts[Draw], MATCH(SamplingData[[#This Row],[Batch by Type (p)]],SelectedPrecincts[Batch Name], 0)))</f>
        <v/>
      </c>
      <c r="X1851" s="102">
        <f>IF(COUNTIF(SelectedPrecincts[Batch Name],SamplingData[[#This Row],[Batch by Type (p)]]) &lt;&gt; 0, COUNTIF(SelectedPrecincts[Batch Name],SamplingData[[#This Row],[Batch by Type (p)]]), 0)</f>
        <v>0</v>
      </c>
    </row>
    <row r="1852" spans="1:24" ht="15" customHeight="1">
      <c r="A1852" s="18" t="s">
        <v>2028</v>
      </c>
      <c r="B1852" s="18">
        <v>11</v>
      </c>
      <c r="C1852" s="18">
        <v>21</v>
      </c>
      <c r="D1852" s="18">
        <v>3</v>
      </c>
      <c r="E1852" s="18">
        <v>0</v>
      </c>
      <c r="F1852" s="18">
        <v>0</v>
      </c>
      <c r="G1852" s="18">
        <v>0</v>
      </c>
      <c r="H1852" s="18">
        <v>0</v>
      </c>
      <c r="I1852" s="18">
        <v>4</v>
      </c>
      <c r="J1852" s="99">
        <f>SUM(SamplingData[[#This Row],[Losing Candidate]:[Under Votes]])</f>
        <v>39</v>
      </c>
      <c r="K1852"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1852" s="100">
        <f>IF(AND(SamplingData[[#This Row],[Total]]&lt;&gt; 0, NOT(ISBLANK(SamplingData[[#This Row],[Candidate 3]]))),(SamplingData[[#This Row],[Total]]+SamplingData[[#This Row],[Winning Candidate]]-SamplingData[[#This Row],[Candidate 3]])/(SamplingData[[#Totals],[Winning Candidate]]-SamplingData[[#Totals],[Candidate 3]]), 0)</f>
        <v>1.8388876342871892E-3</v>
      </c>
      <c r="M1852" s="100">
        <f>IF(AND(SamplingData[[#This Row],[Total]]&lt;&gt; 0, NOT(ISBLANK(SamplingData[[#This Row],[Candidate 4]]))),(SamplingData[[#This Row],[Total]]+SamplingData[[#This Row],[Winning Candidate]]-SamplingData[[#This Row],[Candidate 4]])/(SamplingData[[#Totals],[Winning Candidate]]-SamplingData[[#Totals],[Candidate 4]]), 0)</f>
        <v>1.7539244058581076E-3</v>
      </c>
      <c r="N1852" s="100">
        <f>IF(AND(SamplingData[[#This Row],[Total]]&lt;&gt; 0, NOT(ISBLANK(SamplingData[[#This Row],[Candidate 5]]))),(SamplingData[[#This Row],[Total]]+SamplingData[[#This Row],[Winning Candidate]]-SamplingData[[#This Row],[Candidate 5]])/(SamplingData[[#Totals],[Winning Candidate]]-SamplingData[[#Totals],[Candidate 5]]), 0)</f>
        <v>1.459498905375821E-3</v>
      </c>
      <c r="O1852" s="100">
        <f>IF(AND(SamplingData[[#This Row],[Total]]&lt;&gt; 0, NOT(ISBLANK(SamplingData[[#This Row],[Candidate 6]]))),(SamplingData[[#This Row],[Total]]+SamplingData[[#This Row],[Winning Candidate]]-SamplingData[[#This Row],[Candidate 6]])/(SamplingData[[#Totals],[Winning Candidate]]-SamplingData[[#Totals],[Candidate 6]]), 0)</f>
        <v>1.4590730022858811E-3</v>
      </c>
      <c r="P1852" s="100">
        <f>MAX(SamplingData[[#This Row],[Error Bound (up) - Max. possible relative overstatement - Losing Candidate]:[Error Bound (up) - Max. possible relative overstatement - Candidate 6]])</f>
        <v>3.0009799118079373E-3</v>
      </c>
      <c r="Q1852" s="100">
        <f>IF(SamplingData[[#This Row],[Max Error Bound (up)]] = 0,0,SamplingData[[#This Row],[Max Error Bound (up)]]/SamplingData[[#Totals],[Max Error Bound (up)]])</f>
        <v>4.7495446564384573E-4</v>
      </c>
      <c r="R1852" s="101">
        <f>SUM($Q$5:Q1852)</f>
        <v>0.73688052932935533</v>
      </c>
      <c r="S1852" s="100" t="str">
        <f t="array" ref="S1852">IF(SamplingData[[#This Row],[up/U Selection Probability]] = 0, "Zero", TEXT(SamplingData[[#This Row],[Lower Range]], REPT("0",LEN('General Info'!$B$40))) &amp; " - " &amp; TEXT(SamplingData[[#This Row],[Upper Range]], REPT("0",LEN('General Info'!$B$40))))</f>
        <v>73641 - 73687</v>
      </c>
      <c r="T1852" s="100">
        <f>SamplingData[[#This Row],[Upper Range]]-SamplingData[[#This Row],[Span]]</f>
        <v>73640.557961325612</v>
      </c>
      <c r="U1852" s="100">
        <f>IF(ISNUMBER('General Info'!$B$40), ((SamplingData[[#This Row],[up/U Selection Probability]]) * 'General Info'!$B$40) - 1, 0)</f>
        <v>46.494971609918927</v>
      </c>
      <c r="V1852" s="100">
        <f>IF(ISNUMBER('General Info'!$B$40), (SamplingData[[#This Row],[Running (cumulative) sum]] * ('General Info'!$B$40 -'General Info'!$B$41 + 1)) + 'General Info'!$B$41 - 1, 0)</f>
        <v>73687.052932935534</v>
      </c>
      <c r="W1852" s="100" t="str">
        <f>IF(ISERROR(MATCH(SamplingData[[#This Row],[Batch by Type (p)]],SelectedPrecincts[Batch Name], 0)), "", INDEX(SelectedPrecincts[Draw], MATCH(SamplingData[[#This Row],[Batch by Type (p)]],SelectedPrecincts[Batch Name], 0)))</f>
        <v/>
      </c>
      <c r="X1852" s="102">
        <f>IF(COUNTIF(SelectedPrecincts[Batch Name],SamplingData[[#This Row],[Batch by Type (p)]]) &lt;&gt; 0, COUNTIF(SelectedPrecincts[Batch Name],SamplingData[[#This Row],[Batch by Type (p)]]), 0)</f>
        <v>0</v>
      </c>
    </row>
    <row r="1853" spans="1:24" ht="15" customHeight="1">
      <c r="A1853" s="18" t="s">
        <v>2029</v>
      </c>
      <c r="B1853" s="18">
        <v>30</v>
      </c>
      <c r="C1853" s="18">
        <v>67</v>
      </c>
      <c r="D1853" s="16">
        <v>15</v>
      </c>
      <c r="E1853" s="16">
        <v>14</v>
      </c>
      <c r="F1853" s="37">
        <v>1</v>
      </c>
      <c r="G1853" s="37">
        <v>0</v>
      </c>
      <c r="H1853" s="17">
        <v>1</v>
      </c>
      <c r="I1853" s="17">
        <v>2</v>
      </c>
      <c r="J1853" s="99">
        <f>SUM(SamplingData[[#This Row],[Losing Candidate]:[Under Votes]])</f>
        <v>130</v>
      </c>
      <c r="K1853" s="100">
        <f>IF(AND(SamplingData[[#This Row],[Total]]&lt;&gt; 0, NOT(ISBLANK(SamplingData[[#This Row],[Losing Candidate]]))),(SamplingData[[#This Row],[Total]]+SamplingData[[#This Row],[Winning Candidate]]-SamplingData[[#This Row],[Losing Candidate]])/(SamplingData[[#Totals],[Winning Candidate]]-SamplingData[[#Totals],[Losing Candidate]]), 0)</f>
        <v>1.0227829495345418E-2</v>
      </c>
      <c r="L1853" s="100">
        <f>IF(AND(SamplingData[[#This Row],[Total]]&lt;&gt; 0, NOT(ISBLANK(SamplingData[[#This Row],[Candidate 3]]))),(SamplingData[[#This Row],[Total]]+SamplingData[[#This Row],[Winning Candidate]]-SamplingData[[#This Row],[Candidate 3]])/(SamplingData[[#Totals],[Winning Candidate]]-SamplingData[[#Totals],[Candidate 3]]), 0)</f>
        <v>5.8715359550924285E-3</v>
      </c>
      <c r="M1853" s="100">
        <f>IF(AND(SamplingData[[#This Row],[Total]]&lt;&gt; 0, NOT(ISBLANK(SamplingData[[#This Row],[Candidate 4]]))),(SamplingData[[#This Row],[Total]]+SamplingData[[#This Row],[Winning Candidate]]-SamplingData[[#This Row],[Candidate 4]])/(SamplingData[[#Totals],[Winning Candidate]]-SamplingData[[#Totals],[Candidate 4]]), 0)</f>
        <v>5.3494694378672276E-3</v>
      </c>
      <c r="N1853" s="100">
        <f>IF(AND(SamplingData[[#This Row],[Total]]&lt;&gt; 0, NOT(ISBLANK(SamplingData[[#This Row],[Candidate 5]]))),(SamplingData[[#This Row],[Total]]+SamplingData[[#This Row],[Winning Candidate]]-SamplingData[[#This Row],[Candidate 5]])/(SamplingData[[#Totals],[Winning Candidate]]-SamplingData[[#Totals],[Candidate 5]]), 0)</f>
        <v>4.7676964242276817E-3</v>
      </c>
      <c r="O1853" s="100">
        <f>IF(AND(SamplingData[[#This Row],[Total]]&lt;&gt; 0, NOT(ISBLANK(SamplingData[[#This Row],[Candidate 6]]))),(SamplingData[[#This Row],[Total]]+SamplingData[[#This Row],[Winning Candidate]]-SamplingData[[#This Row],[Candidate 6]])/(SamplingData[[#Totals],[Winning Candidate]]-SamplingData[[#Totals],[Candidate 6]]), 0)</f>
        <v>4.790623024171976E-3</v>
      </c>
      <c r="P1853" s="100">
        <f>MAX(SamplingData[[#This Row],[Error Bound (up) - Max. possible relative overstatement - Losing Candidate]:[Error Bound (up) - Max. possible relative overstatement - Candidate 6]])</f>
        <v>1.0227829495345418E-2</v>
      </c>
      <c r="Q1853" s="100">
        <f>IF(SamplingData[[#This Row],[Max Error Bound (up)]] = 0,0,SamplingData[[#This Row],[Max Error Bound (up)]]/SamplingData[[#Totals],[Max Error Bound (up)]])</f>
        <v>1.6187223625004539E-3</v>
      </c>
      <c r="R1853" s="101">
        <f>SUM($Q$5:Q1853)</f>
        <v>0.73849925169185582</v>
      </c>
      <c r="S1853" s="100" t="str">
        <f t="array" ref="S1853">IF(SamplingData[[#This Row],[up/U Selection Probability]] = 0, "Zero", TEXT(SamplingData[[#This Row],[Lower Range]], REPT("0",LEN('General Info'!$B$40))) &amp; " - " &amp; TEXT(SamplingData[[#This Row],[Upper Range]], REPT("0",LEN('General Info'!$B$40))))</f>
        <v>73688 - 73849</v>
      </c>
      <c r="T1853" s="100">
        <f>SamplingData[[#This Row],[Upper Range]]-SamplingData[[#This Row],[Span]]</f>
        <v>73688.054551657886</v>
      </c>
      <c r="U1853" s="100">
        <f>IF(ISNUMBER('General Info'!$B$40), ((SamplingData[[#This Row],[up/U Selection Probability]]) * 'General Info'!$B$40) - 1, 0)</f>
        <v>160.8706175276829</v>
      </c>
      <c r="V1853" s="100">
        <f>IF(ISNUMBER('General Info'!$B$40), (SamplingData[[#This Row],[Running (cumulative) sum]] * ('General Info'!$B$40 -'General Info'!$B$41 + 1)) + 'General Info'!$B$41 - 1, 0)</f>
        <v>73848.925169185575</v>
      </c>
      <c r="W1853" s="100" t="str">
        <f>IF(ISERROR(MATCH(SamplingData[[#This Row],[Batch by Type (p)]],SelectedPrecincts[Batch Name], 0)), "", INDEX(SelectedPrecincts[Draw], MATCH(SamplingData[[#This Row],[Batch by Type (p)]],SelectedPrecincts[Batch Name], 0)))</f>
        <v/>
      </c>
      <c r="X1853" s="102">
        <f>IF(COUNTIF(SelectedPrecincts[Batch Name],SamplingData[[#This Row],[Batch by Type (p)]]) &lt;&gt; 0, COUNTIF(SelectedPrecincts[Batch Name],SamplingData[[#This Row],[Batch by Type (p)]]), 0)</f>
        <v>0</v>
      </c>
    </row>
    <row r="1854" spans="1:24" ht="15" customHeight="1">
      <c r="A1854" s="18" t="s">
        <v>2030</v>
      </c>
      <c r="B1854" s="18">
        <v>10</v>
      </c>
      <c r="C1854" s="18">
        <v>18</v>
      </c>
      <c r="D1854" s="18">
        <v>7</v>
      </c>
      <c r="E1854" s="18">
        <v>2</v>
      </c>
      <c r="F1854" s="18">
        <v>0</v>
      </c>
      <c r="G1854" s="18">
        <v>0</v>
      </c>
      <c r="H1854" s="18">
        <v>0</v>
      </c>
      <c r="I1854" s="18">
        <v>3</v>
      </c>
      <c r="J1854" s="99">
        <f>SUM(SamplingData[[#This Row],[Losing Candidate]:[Under Votes]])</f>
        <v>40</v>
      </c>
      <c r="K1854" s="100">
        <f>IF(AND(SamplingData[[#This Row],[Total]]&lt;&gt; 0, NOT(ISBLANK(SamplingData[[#This Row],[Losing Candidate]]))),(SamplingData[[#This Row],[Total]]+SamplingData[[#This Row],[Winning Candidate]]-SamplingData[[#This Row],[Losing Candidate]])/(SamplingData[[#Totals],[Winning Candidate]]-SamplingData[[#Totals],[Losing Candidate]]), 0)</f>
        <v>2.9397354238118569E-3</v>
      </c>
      <c r="L1854" s="100">
        <f>IF(AND(SamplingData[[#This Row],[Total]]&lt;&gt; 0, NOT(ISBLANK(SamplingData[[#This Row],[Candidate 3]]))),(SamplingData[[#This Row],[Total]]+SamplingData[[#This Row],[Winning Candidate]]-SamplingData[[#This Row],[Candidate 3]])/(SamplingData[[#Totals],[Winning Candidate]]-SamplingData[[#Totals],[Candidate 3]]), 0)</f>
        <v>1.6453205148885377E-3</v>
      </c>
      <c r="M1854" s="100">
        <f>IF(AND(SamplingData[[#This Row],[Total]]&lt;&gt; 0, NOT(ISBLANK(SamplingData[[#This Row],[Candidate 4]]))),(SamplingData[[#This Row],[Total]]+SamplingData[[#This Row],[Winning Candidate]]-SamplingData[[#This Row],[Candidate 4]])/(SamplingData[[#Totals],[Winning Candidate]]-SamplingData[[#Totals],[Candidate 4]]), 0)</f>
        <v>1.6369961121342337E-3</v>
      </c>
      <c r="N1854" s="100">
        <f>IF(AND(SamplingData[[#This Row],[Total]]&lt;&gt; 0, NOT(ISBLANK(SamplingData[[#This Row],[Candidate 5]]))),(SamplingData[[#This Row],[Total]]+SamplingData[[#This Row],[Winning Candidate]]-SamplingData[[#This Row],[Candidate 5]])/(SamplingData[[#Totals],[Winning Candidate]]-SamplingData[[#Totals],[Candidate 5]]), 0)</f>
        <v>1.4108489418632937E-3</v>
      </c>
      <c r="O1854" s="100">
        <f>IF(AND(SamplingData[[#This Row],[Total]]&lt;&gt; 0, NOT(ISBLANK(SamplingData[[#This Row],[Candidate 6]]))),(SamplingData[[#This Row],[Total]]+SamplingData[[#This Row],[Winning Candidate]]-SamplingData[[#This Row],[Candidate 6]])/(SamplingData[[#Totals],[Winning Candidate]]-SamplingData[[#Totals],[Candidate 6]]), 0)</f>
        <v>1.4104372355430183E-3</v>
      </c>
      <c r="P1854" s="100">
        <f>MAX(SamplingData[[#This Row],[Error Bound (up) - Max. possible relative overstatement - Losing Candidate]:[Error Bound (up) - Max. possible relative overstatement - Candidate 6]])</f>
        <v>2.9397354238118569E-3</v>
      </c>
      <c r="Q1854" s="100">
        <f>IF(SamplingData[[#This Row],[Max Error Bound (up)]] = 0,0,SamplingData[[#This Row],[Max Error Bound (up)]]/SamplingData[[#Totals],[Max Error Bound (up)]])</f>
        <v>4.6526151736539989E-4</v>
      </c>
      <c r="R1854" s="101">
        <f>SUM($Q$5:Q1854)</f>
        <v>0.73896451320922119</v>
      </c>
      <c r="S1854" s="100" t="str">
        <f t="array" ref="S1854">IF(SamplingData[[#This Row],[up/U Selection Probability]] = 0, "Zero", TEXT(SamplingData[[#This Row],[Lower Range]], REPT("0",LEN('General Info'!$B$40))) &amp; " - " &amp; TEXT(SamplingData[[#This Row],[Upper Range]], REPT("0",LEN('General Info'!$B$40))))</f>
        <v>73850 - 73895</v>
      </c>
      <c r="T1854" s="100">
        <f>SamplingData[[#This Row],[Upper Range]]-SamplingData[[#This Row],[Span]]</f>
        <v>73849.925634447092</v>
      </c>
      <c r="U1854" s="100">
        <f>IF(ISNUMBER('General Info'!$B$40), ((SamplingData[[#This Row],[up/U Selection Probability]]) * 'General Info'!$B$40) - 1, 0)</f>
        <v>45.525686475022624</v>
      </c>
      <c r="V1854" s="100">
        <f>IF(ISNUMBER('General Info'!$B$40), (SamplingData[[#This Row],[Running (cumulative) sum]] * ('General Info'!$B$40 -'General Info'!$B$41 + 1)) + 'General Info'!$B$41 - 1, 0)</f>
        <v>73895.451320922119</v>
      </c>
      <c r="W1854" s="100" t="str">
        <f>IF(ISERROR(MATCH(SamplingData[[#This Row],[Batch by Type (p)]],SelectedPrecincts[Batch Name], 0)), "", INDEX(SelectedPrecincts[Draw], MATCH(SamplingData[[#This Row],[Batch by Type (p)]],SelectedPrecincts[Batch Name], 0)))</f>
        <v/>
      </c>
      <c r="X1854" s="102">
        <f>IF(COUNTIF(SelectedPrecincts[Batch Name],SamplingData[[#This Row],[Batch by Type (p)]]) &lt;&gt; 0, COUNTIF(SelectedPrecincts[Batch Name],SamplingData[[#This Row],[Batch by Type (p)]]), 0)</f>
        <v>0</v>
      </c>
    </row>
    <row r="1855" spans="1:24" ht="15" customHeight="1">
      <c r="A1855" s="18" t="s">
        <v>2031</v>
      </c>
      <c r="B1855" s="18">
        <v>45</v>
      </c>
      <c r="C1855" s="18">
        <v>91</v>
      </c>
      <c r="D1855" s="16">
        <v>15</v>
      </c>
      <c r="E1855" s="16">
        <v>13</v>
      </c>
      <c r="F1855" s="37">
        <v>1</v>
      </c>
      <c r="G1855" s="37">
        <v>1</v>
      </c>
      <c r="H1855" s="17">
        <v>0</v>
      </c>
      <c r="I1855" s="17">
        <v>0</v>
      </c>
      <c r="J1855" s="99">
        <f>SUM(SamplingData[[#This Row],[Losing Candidate]:[Under Votes]])</f>
        <v>166</v>
      </c>
      <c r="K1855" s="100">
        <f>IF(AND(SamplingData[[#This Row],[Total]]&lt;&gt; 0, NOT(ISBLANK(SamplingData[[#This Row],[Losing Candidate]]))),(SamplingData[[#This Row],[Total]]+SamplingData[[#This Row],[Winning Candidate]]-SamplingData[[#This Row],[Losing Candidate]])/(SamplingData[[#Totals],[Winning Candidate]]-SamplingData[[#Totals],[Losing Candidate]]), 0)</f>
        <v>1.2983831455169036E-2</v>
      </c>
      <c r="L1855" s="100">
        <f>IF(AND(SamplingData[[#This Row],[Total]]&lt;&gt; 0, NOT(ISBLANK(SamplingData[[#This Row],[Candidate 3]]))),(SamplingData[[#This Row],[Total]]+SamplingData[[#This Row],[Winning Candidate]]-SamplingData[[#This Row],[Candidate 3]])/(SamplingData[[#Totals],[Winning Candidate]]-SamplingData[[#Totals],[Candidate 3]]), 0)</f>
        <v>7.8072071490789428E-3</v>
      </c>
      <c r="M1855" s="100">
        <f>IF(AND(SamplingData[[#This Row],[Total]]&lt;&gt; 0, NOT(ISBLANK(SamplingData[[#This Row],[Candidate 4]]))),(SamplingData[[#This Row],[Total]]+SamplingData[[#This Row],[Winning Candidate]]-SamplingData[[#This Row],[Candidate 4]])/(SamplingData[[#Totals],[Winning Candidate]]-SamplingData[[#Totals],[Candidate 4]]), 0)</f>
        <v>7.1326259171563041E-3</v>
      </c>
      <c r="N1855" s="100">
        <f>IF(AND(SamplingData[[#This Row],[Total]]&lt;&gt; 0, NOT(ISBLANK(SamplingData[[#This Row],[Candidate 5]]))),(SamplingData[[#This Row],[Total]]+SamplingData[[#This Row],[Winning Candidate]]-SamplingData[[#This Row],[Candidate 5]])/(SamplingData[[#Totals],[Winning Candidate]]-SamplingData[[#Totals],[Candidate 5]]), 0)</f>
        <v>6.227195329603503E-3</v>
      </c>
      <c r="O1855" s="100">
        <f>IF(AND(SamplingData[[#This Row],[Total]]&lt;&gt; 0, NOT(ISBLANK(SamplingData[[#This Row],[Candidate 6]]))),(SamplingData[[#This Row],[Total]]+SamplingData[[#This Row],[Winning Candidate]]-SamplingData[[#This Row],[Candidate 6]])/(SamplingData[[#Totals],[Winning Candidate]]-SamplingData[[#Totals],[Candidate 6]]), 0)</f>
        <v>6.2253781430864257E-3</v>
      </c>
      <c r="P1855" s="100">
        <f>MAX(SamplingData[[#This Row],[Error Bound (up) - Max. possible relative overstatement - Losing Candidate]:[Error Bound (up) - Max. possible relative overstatement - Candidate 6]])</f>
        <v>1.2983831455169036E-2</v>
      </c>
      <c r="Q1855" s="100">
        <f>IF(SamplingData[[#This Row],[Max Error Bound (up)]] = 0,0,SamplingData[[#This Row],[Max Error Bound (up)]]/SamplingData[[#Totals],[Max Error Bound (up)]])</f>
        <v>2.0549050350305163E-3</v>
      </c>
      <c r="R1855" s="101">
        <f>SUM($Q$5:Q1855)</f>
        <v>0.74101941824425166</v>
      </c>
      <c r="S1855" s="100" t="str">
        <f t="array" ref="S1855">IF(SamplingData[[#This Row],[up/U Selection Probability]] = 0, "Zero", TEXT(SamplingData[[#This Row],[Lower Range]], REPT("0",LEN('General Info'!$B$40))) &amp; " - " &amp; TEXT(SamplingData[[#This Row],[Upper Range]], REPT("0",LEN('General Info'!$B$40))))</f>
        <v>73896 - 74101</v>
      </c>
      <c r="T1855" s="100">
        <f>SamplingData[[#This Row],[Upper Range]]-SamplingData[[#This Row],[Span]]</f>
        <v>73896.453375827157</v>
      </c>
      <c r="U1855" s="100">
        <f>IF(ISNUMBER('General Info'!$B$40), ((SamplingData[[#This Row],[up/U Selection Probability]]) * 'General Info'!$B$40) - 1, 0)</f>
        <v>204.48844859801662</v>
      </c>
      <c r="V1855" s="100">
        <f>IF(ISNUMBER('General Info'!$B$40), (SamplingData[[#This Row],[Running (cumulative) sum]] * ('General Info'!$B$40 -'General Info'!$B$41 + 1)) + 'General Info'!$B$41 - 1, 0)</f>
        <v>74100.941824425172</v>
      </c>
      <c r="W1855" s="100">
        <f>IF(ISERROR(MATCH(SamplingData[[#This Row],[Batch by Type (p)]],SelectedPrecincts[Batch Name], 0)), "", INDEX(SelectedPrecincts[Draw], MATCH(SamplingData[[#This Row],[Batch by Type (p)]],SelectedPrecincts[Batch Name], 0)))</f>
        <v>8</v>
      </c>
      <c r="X1855" s="102">
        <f>IF(COUNTIF(SelectedPrecincts[Batch Name],SamplingData[[#This Row],[Batch by Type (p)]]) &lt;&gt; 0, COUNTIF(SelectedPrecincts[Batch Name],SamplingData[[#This Row],[Batch by Type (p)]]), 0)</f>
        <v>1</v>
      </c>
    </row>
    <row r="1856" spans="1:24" ht="15" customHeight="1">
      <c r="A1856" s="18" t="s">
        <v>2032</v>
      </c>
      <c r="B1856" s="18">
        <v>22</v>
      </c>
      <c r="C1856" s="18">
        <v>23</v>
      </c>
      <c r="D1856" s="18">
        <v>11</v>
      </c>
      <c r="E1856" s="18">
        <v>3</v>
      </c>
      <c r="F1856" s="18">
        <v>0</v>
      </c>
      <c r="G1856" s="18">
        <v>0</v>
      </c>
      <c r="H1856" s="18">
        <v>0</v>
      </c>
      <c r="I1856" s="18">
        <v>1</v>
      </c>
      <c r="J1856" s="99">
        <f>SUM(SamplingData[[#This Row],[Losing Candidate]:[Under Votes]])</f>
        <v>60</v>
      </c>
      <c r="K1856"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856" s="100">
        <f>IF(AND(SamplingData[[#This Row],[Total]]&lt;&gt; 0, NOT(ISBLANK(SamplingData[[#This Row],[Candidate 3]]))),(SamplingData[[#This Row],[Total]]+SamplingData[[#This Row],[Winning Candidate]]-SamplingData[[#This Row],[Candidate 3]])/(SamplingData[[#Totals],[Winning Candidate]]-SamplingData[[#Totals],[Candidate 3]]), 0)</f>
        <v>2.3228054327838177E-3</v>
      </c>
      <c r="M1856" s="100">
        <f>IF(AND(SamplingData[[#This Row],[Total]]&lt;&gt; 0, NOT(ISBLANK(SamplingData[[#This Row],[Candidate 4]]))),(SamplingData[[#This Row],[Total]]+SamplingData[[#This Row],[Winning Candidate]]-SamplingData[[#This Row],[Candidate 4]])/(SamplingData[[#Totals],[Winning Candidate]]-SamplingData[[#Totals],[Candidate 4]]), 0)</f>
        <v>2.3385658744774769E-3</v>
      </c>
      <c r="N1856" s="100">
        <f>IF(AND(SamplingData[[#This Row],[Total]]&lt;&gt; 0, NOT(ISBLANK(SamplingData[[#This Row],[Candidate 5]]))),(SamplingData[[#This Row],[Total]]+SamplingData[[#This Row],[Winning Candidate]]-SamplingData[[#This Row],[Candidate 5]])/(SamplingData[[#Totals],[Winning Candidate]]-SamplingData[[#Totals],[Candidate 5]]), 0)</f>
        <v>2.0189734857698855E-3</v>
      </c>
      <c r="O1856" s="100">
        <f>IF(AND(SamplingData[[#This Row],[Total]]&lt;&gt; 0, NOT(ISBLANK(SamplingData[[#This Row],[Candidate 6]]))),(SamplingData[[#This Row],[Total]]+SamplingData[[#This Row],[Winning Candidate]]-SamplingData[[#This Row],[Candidate 6]])/(SamplingData[[#Totals],[Winning Candidate]]-SamplingData[[#Totals],[Candidate 6]]), 0)</f>
        <v>2.0183843198288021E-3</v>
      </c>
      <c r="P1856" s="100">
        <f>MAX(SamplingData[[#This Row],[Error Bound (up) - Max. possible relative overstatement - Losing Candidate]:[Error Bound (up) - Max. possible relative overstatement - Candidate 6]])</f>
        <v>3.7359137677609017E-3</v>
      </c>
      <c r="Q1856" s="100">
        <f>IF(SamplingData[[#This Row],[Max Error Bound (up)]] = 0,0,SamplingData[[#This Row],[Max Error Bound (up)]]/SamplingData[[#Totals],[Max Error Bound (up)]])</f>
        <v>5.9126984498519581E-4</v>
      </c>
      <c r="R1856" s="101">
        <f>SUM($Q$5:Q1856)</f>
        <v>0.7416106880892368</v>
      </c>
      <c r="S1856" s="100" t="str">
        <f t="array" ref="S1856">IF(SamplingData[[#This Row],[up/U Selection Probability]] = 0, "Zero", TEXT(SamplingData[[#This Row],[Lower Range]], REPT("0",LEN('General Info'!$B$40))) &amp; " - " &amp; TEXT(SamplingData[[#This Row],[Upper Range]], REPT("0",LEN('General Info'!$B$40))))</f>
        <v>74102 - 74160</v>
      </c>
      <c r="T1856" s="100">
        <f>SamplingData[[#This Row],[Upper Range]]-SamplingData[[#This Row],[Span]]</f>
        <v>74101.942415695012</v>
      </c>
      <c r="U1856" s="100">
        <f>IF(ISNUMBER('General Info'!$B$40), ((SamplingData[[#This Row],[up/U Selection Probability]]) * 'General Info'!$B$40) - 1, 0)</f>
        <v>58.126393228674594</v>
      </c>
      <c r="V1856" s="100">
        <f>IF(ISNUMBER('General Info'!$B$40), (SamplingData[[#This Row],[Running (cumulative) sum]] * ('General Info'!$B$40 -'General Info'!$B$41 + 1)) + 'General Info'!$B$41 - 1, 0)</f>
        <v>74160.068808923679</v>
      </c>
      <c r="W1856" s="100" t="str">
        <f>IF(ISERROR(MATCH(SamplingData[[#This Row],[Batch by Type (p)]],SelectedPrecincts[Batch Name], 0)), "", INDEX(SelectedPrecincts[Draw], MATCH(SamplingData[[#This Row],[Batch by Type (p)]],SelectedPrecincts[Batch Name], 0)))</f>
        <v/>
      </c>
      <c r="X1856" s="102">
        <f>IF(COUNTIF(SelectedPrecincts[Batch Name],SamplingData[[#This Row],[Batch by Type (p)]]) &lt;&gt; 0, COUNTIF(SelectedPrecincts[Batch Name],SamplingData[[#This Row],[Batch by Type (p)]]), 0)</f>
        <v>0</v>
      </c>
    </row>
    <row r="1857" spans="1:24" ht="15" customHeight="1">
      <c r="A1857" s="18" t="s">
        <v>2033</v>
      </c>
      <c r="B1857" s="18">
        <v>28</v>
      </c>
      <c r="C1857" s="18">
        <v>91</v>
      </c>
      <c r="D1857" s="16">
        <v>20</v>
      </c>
      <c r="E1857" s="16">
        <v>16</v>
      </c>
      <c r="F1857" s="37">
        <v>1</v>
      </c>
      <c r="G1857" s="37">
        <v>1</v>
      </c>
      <c r="H1857" s="17">
        <v>0</v>
      </c>
      <c r="I1857" s="17">
        <v>2</v>
      </c>
      <c r="J1857" s="99">
        <f>SUM(SamplingData[[#This Row],[Losing Candidate]:[Under Votes]])</f>
        <v>159</v>
      </c>
      <c r="K1857" s="100">
        <f>IF(AND(SamplingData[[#This Row],[Total]]&lt;&gt; 0, NOT(ISBLANK(SamplingData[[#This Row],[Losing Candidate]]))),(SamplingData[[#This Row],[Total]]+SamplingData[[#This Row],[Winning Candidate]]-SamplingData[[#This Row],[Losing Candidate]])/(SamplingData[[#Totals],[Winning Candidate]]-SamplingData[[#Totals],[Losing Candidate]]), 0)</f>
        <v>1.3596276335129838E-2</v>
      </c>
      <c r="L1857" s="100">
        <f>IF(AND(SamplingData[[#This Row],[Total]]&lt;&gt; 0, NOT(ISBLANK(SamplingData[[#This Row],[Candidate 3]]))),(SamplingData[[#This Row],[Total]]+SamplingData[[#This Row],[Winning Candidate]]-SamplingData[[#This Row],[Candidate 3]])/(SamplingData[[#Totals],[Winning Candidate]]-SamplingData[[#Totals],[Candidate 3]]), 0)</f>
        <v>7.4200729102816398E-3</v>
      </c>
      <c r="M1857" s="100">
        <f>IF(AND(SamplingData[[#This Row],[Total]]&lt;&gt; 0, NOT(ISBLANK(SamplingData[[#This Row],[Candidate 4]]))),(SamplingData[[#This Row],[Total]]+SamplingData[[#This Row],[Winning Candidate]]-SamplingData[[#This Row],[Candidate 4]])/(SamplingData[[#Totals],[Winning Candidate]]-SamplingData[[#Totals],[Candidate 4]]), 0)</f>
        <v>6.8403051828466194E-3</v>
      </c>
      <c r="N1857" s="100">
        <f>IF(AND(SamplingData[[#This Row],[Total]]&lt;&gt; 0, NOT(ISBLANK(SamplingData[[#This Row],[Candidate 5]]))),(SamplingData[[#This Row],[Total]]+SamplingData[[#This Row],[Winning Candidate]]-SamplingData[[#This Row],[Candidate 5]])/(SamplingData[[#Totals],[Winning Candidate]]-SamplingData[[#Totals],[Candidate 5]]), 0)</f>
        <v>6.0569204573096566E-3</v>
      </c>
      <c r="O1857" s="100">
        <f>IF(AND(SamplingData[[#This Row],[Total]]&lt;&gt; 0, NOT(ISBLANK(SamplingData[[#This Row],[Candidate 6]]))),(SamplingData[[#This Row],[Total]]+SamplingData[[#This Row],[Winning Candidate]]-SamplingData[[#This Row],[Candidate 6]])/(SamplingData[[#Totals],[Winning Candidate]]-SamplingData[[#Totals],[Candidate 6]]), 0)</f>
        <v>6.0551529594864064E-3</v>
      </c>
      <c r="P1857" s="100">
        <f>MAX(SamplingData[[#This Row],[Error Bound (up) - Max. possible relative overstatement - Losing Candidate]:[Error Bound (up) - Max. possible relative overstatement - Candidate 6]])</f>
        <v>1.3596276335129838E-2</v>
      </c>
      <c r="Q1857" s="100">
        <f>IF(SamplingData[[#This Row],[Max Error Bound (up)]] = 0,0,SamplingData[[#This Row],[Max Error Bound (up)]]/SamplingData[[#Totals],[Max Error Bound (up)]])</f>
        <v>2.1518345178149745E-3</v>
      </c>
      <c r="R1857" s="101">
        <f>SUM($Q$5:Q1857)</f>
        <v>0.74376252260705178</v>
      </c>
      <c r="S1857" s="100" t="str">
        <f t="array" ref="S1857">IF(SamplingData[[#This Row],[up/U Selection Probability]] = 0, "Zero", TEXT(SamplingData[[#This Row],[Lower Range]], REPT("0",LEN('General Info'!$B$40))) &amp; " - " &amp; TEXT(SamplingData[[#This Row],[Upper Range]], REPT("0",LEN('General Info'!$B$40))))</f>
        <v>74161 - 74375</v>
      </c>
      <c r="T1857" s="100">
        <f>SamplingData[[#This Row],[Upper Range]]-SamplingData[[#This Row],[Span]]</f>
        <v>74161.070960758196</v>
      </c>
      <c r="U1857" s="100">
        <f>IF(ISNUMBER('General Info'!$B$40), ((SamplingData[[#This Row],[up/U Selection Probability]]) * 'General Info'!$B$40) - 1, 0)</f>
        <v>214.18129994697964</v>
      </c>
      <c r="V1857" s="100">
        <f>IF(ISNUMBER('General Info'!$B$40), (SamplingData[[#This Row],[Running (cumulative) sum]] * ('General Info'!$B$40 -'General Info'!$B$41 + 1)) + 'General Info'!$B$41 - 1, 0)</f>
        <v>74375.25226070518</v>
      </c>
      <c r="W1857" s="100" t="str">
        <f>IF(ISERROR(MATCH(SamplingData[[#This Row],[Batch by Type (p)]],SelectedPrecincts[Batch Name], 0)), "", INDEX(SelectedPrecincts[Draw], MATCH(SamplingData[[#This Row],[Batch by Type (p)]],SelectedPrecincts[Batch Name], 0)))</f>
        <v/>
      </c>
      <c r="X1857" s="102">
        <f>IF(COUNTIF(SelectedPrecincts[Batch Name],SamplingData[[#This Row],[Batch by Type (p)]]) &lt;&gt; 0, COUNTIF(SelectedPrecincts[Batch Name],SamplingData[[#This Row],[Batch by Type (p)]]), 0)</f>
        <v>0</v>
      </c>
    </row>
    <row r="1858" spans="1:24" ht="15" customHeight="1">
      <c r="A1858" s="18" t="s">
        <v>2034</v>
      </c>
      <c r="B1858" s="18">
        <v>23</v>
      </c>
      <c r="C1858" s="18">
        <v>44</v>
      </c>
      <c r="D1858" s="18">
        <v>11</v>
      </c>
      <c r="E1858" s="18">
        <v>8</v>
      </c>
      <c r="F1858" s="18">
        <v>0</v>
      </c>
      <c r="G1858" s="18">
        <v>0</v>
      </c>
      <c r="H1858" s="18">
        <v>0</v>
      </c>
      <c r="I1858" s="18">
        <v>0</v>
      </c>
      <c r="J1858" s="99">
        <f>SUM(SamplingData[[#This Row],[Losing Candidate]:[Under Votes]])</f>
        <v>86</v>
      </c>
      <c r="K1858" s="100">
        <f>IF(AND(SamplingData[[#This Row],[Total]]&lt;&gt; 0, NOT(ISBLANK(SamplingData[[#This Row],[Losing Candidate]]))),(SamplingData[[#This Row],[Total]]+SamplingData[[#This Row],[Winning Candidate]]-SamplingData[[#This Row],[Losing Candidate]])/(SamplingData[[#Totals],[Winning Candidate]]-SamplingData[[#Totals],[Losing Candidate]]), 0)</f>
        <v>6.5531602155805974E-3</v>
      </c>
      <c r="L1858" s="100">
        <f>IF(AND(SamplingData[[#This Row],[Total]]&lt;&gt; 0, NOT(ISBLANK(SamplingData[[#This Row],[Candidate 3]]))),(SamplingData[[#This Row],[Total]]+SamplingData[[#This Row],[Winning Candidate]]-SamplingData[[#This Row],[Candidate 3]])/(SamplingData[[#Totals],[Winning Candidate]]-SamplingData[[#Totals],[Candidate 3]]), 0)</f>
        <v>3.8390812014065879E-3</v>
      </c>
      <c r="M1858" s="100">
        <f>IF(AND(SamplingData[[#This Row],[Total]]&lt;&gt; 0, NOT(ISBLANK(SamplingData[[#This Row],[Candidate 4]]))),(SamplingData[[#This Row],[Total]]+SamplingData[[#This Row],[Winning Candidate]]-SamplingData[[#This Row],[Candidate 4]])/(SamplingData[[#Totals],[Winning Candidate]]-SamplingData[[#Totals],[Candidate 4]]), 0)</f>
        <v>3.5663129585781521E-3</v>
      </c>
      <c r="N1858" s="100">
        <f>IF(AND(SamplingData[[#This Row],[Total]]&lt;&gt; 0, NOT(ISBLANK(SamplingData[[#This Row],[Candidate 5]]))),(SamplingData[[#This Row],[Total]]+SamplingData[[#This Row],[Winning Candidate]]-SamplingData[[#This Row],[Candidate 5]])/(SamplingData[[#Totals],[Winning Candidate]]-SamplingData[[#Totals],[Candidate 5]]), 0)</f>
        <v>3.1622476283142786E-3</v>
      </c>
      <c r="O1858" s="100">
        <f>IF(AND(SamplingData[[#This Row],[Total]]&lt;&gt; 0, NOT(ISBLANK(SamplingData[[#This Row],[Candidate 6]]))),(SamplingData[[#This Row],[Total]]+SamplingData[[#This Row],[Winning Candidate]]-SamplingData[[#This Row],[Candidate 6]])/(SamplingData[[#Totals],[Winning Candidate]]-SamplingData[[#Totals],[Candidate 6]]), 0)</f>
        <v>3.1613248382860756E-3</v>
      </c>
      <c r="P1858" s="100">
        <f>MAX(SamplingData[[#This Row],[Error Bound (up) - Max. possible relative overstatement - Losing Candidate]:[Error Bound (up) - Max. possible relative overstatement - Candidate 6]])</f>
        <v>6.5531602155805974E-3</v>
      </c>
      <c r="Q1858" s="100">
        <f>IF(SamplingData[[#This Row],[Max Error Bound (up)]] = 0,0,SamplingData[[#This Row],[Max Error Bound (up)]]/SamplingData[[#Totals],[Max Error Bound (up)]])</f>
        <v>1.0371454657937039E-3</v>
      </c>
      <c r="R1858" s="101">
        <f>SUM($Q$5:Q1858)</f>
        <v>0.74479966807284548</v>
      </c>
      <c r="S1858" s="100" t="str">
        <f t="array" ref="S1858">IF(SamplingData[[#This Row],[up/U Selection Probability]] = 0, "Zero", TEXT(SamplingData[[#This Row],[Lower Range]], REPT("0",LEN('General Info'!$B$40))) &amp; " - " &amp; TEXT(SamplingData[[#This Row],[Upper Range]], REPT("0",LEN('General Info'!$B$40))))</f>
        <v>74376 - 74479</v>
      </c>
      <c r="T1858" s="100">
        <f>SamplingData[[#This Row],[Upper Range]]-SamplingData[[#This Row],[Span]]</f>
        <v>74376.25329785065</v>
      </c>
      <c r="U1858" s="100">
        <f>IF(ISNUMBER('General Info'!$B$40), ((SamplingData[[#This Row],[up/U Selection Probability]]) * 'General Info'!$B$40) - 1, 0)</f>
        <v>102.71350943390459</v>
      </c>
      <c r="V1858" s="100">
        <f>IF(ISNUMBER('General Info'!$B$40), (SamplingData[[#This Row],[Running (cumulative) sum]] * ('General Info'!$B$40 -'General Info'!$B$41 + 1)) + 'General Info'!$B$41 - 1, 0)</f>
        <v>74478.966807284552</v>
      </c>
      <c r="W1858" s="100" t="str">
        <f>IF(ISERROR(MATCH(SamplingData[[#This Row],[Batch by Type (p)]],SelectedPrecincts[Batch Name], 0)), "", INDEX(SelectedPrecincts[Draw], MATCH(SamplingData[[#This Row],[Batch by Type (p)]],SelectedPrecincts[Batch Name], 0)))</f>
        <v/>
      </c>
      <c r="X1858" s="102">
        <f>IF(COUNTIF(SelectedPrecincts[Batch Name],SamplingData[[#This Row],[Batch by Type (p)]]) &lt;&gt; 0, COUNTIF(SelectedPrecincts[Batch Name],SamplingData[[#This Row],[Batch by Type (p)]]), 0)</f>
        <v>0</v>
      </c>
    </row>
    <row r="1859" spans="1:24" ht="15" customHeight="1">
      <c r="A1859" s="18" t="s">
        <v>2035</v>
      </c>
      <c r="B1859" s="18">
        <v>34</v>
      </c>
      <c r="C1859" s="18">
        <v>74</v>
      </c>
      <c r="D1859" s="16">
        <v>11</v>
      </c>
      <c r="E1859" s="16">
        <v>14</v>
      </c>
      <c r="F1859" s="37">
        <v>1</v>
      </c>
      <c r="G1859" s="37">
        <v>0</v>
      </c>
      <c r="H1859" s="17">
        <v>2</v>
      </c>
      <c r="I1859" s="17">
        <v>1</v>
      </c>
      <c r="J1859" s="99">
        <f>SUM(SamplingData[[#This Row],[Losing Candidate]:[Under Votes]])</f>
        <v>137</v>
      </c>
      <c r="K1859" s="100">
        <f>IF(AND(SamplingData[[#This Row],[Total]]&lt;&gt; 0, NOT(ISBLANK(SamplingData[[#This Row],[Losing Candidate]]))),(SamplingData[[#This Row],[Total]]+SamplingData[[#This Row],[Winning Candidate]]-SamplingData[[#This Row],[Losing Candidate]])/(SamplingData[[#Totals],[Winning Candidate]]-SamplingData[[#Totals],[Losing Candidate]]), 0)</f>
        <v>1.0840274375306222E-2</v>
      </c>
      <c r="L1859" s="100">
        <f>IF(AND(SamplingData[[#This Row],[Total]]&lt;&gt; 0, NOT(ISBLANK(SamplingData[[#This Row],[Candidate 3]]))),(SamplingData[[#This Row],[Total]]+SamplingData[[#This Row],[Winning Candidate]]-SamplingData[[#This Row],[Candidate 3]])/(SamplingData[[#Totals],[Winning Candidate]]-SamplingData[[#Totals],[Candidate 3]]), 0)</f>
        <v>6.4522373132883826E-3</v>
      </c>
      <c r="M1859" s="100">
        <f>IF(AND(SamplingData[[#This Row],[Total]]&lt;&gt; 0, NOT(ISBLANK(SamplingData[[#This Row],[Candidate 4]]))),(SamplingData[[#This Row],[Total]]+SamplingData[[#This Row],[Winning Candidate]]-SamplingData[[#This Row],[Candidate 4]])/(SamplingData[[#Totals],[Winning Candidate]]-SamplingData[[#Totals],[Candidate 4]]), 0)</f>
        <v>5.7587184659007862E-3</v>
      </c>
      <c r="N1859" s="100">
        <f>IF(AND(SamplingData[[#This Row],[Total]]&lt;&gt; 0, NOT(ISBLANK(SamplingData[[#This Row],[Candidate 5]]))),(SamplingData[[#This Row],[Total]]+SamplingData[[#This Row],[Winning Candidate]]-SamplingData[[#This Row],[Candidate 5]])/(SamplingData[[#Totals],[Winning Candidate]]-SamplingData[[#Totals],[Candidate 5]]), 0)</f>
        <v>5.1082461688153735E-3</v>
      </c>
      <c r="O1859" s="100">
        <f>IF(AND(SamplingData[[#This Row],[Total]]&lt;&gt; 0, NOT(ISBLANK(SamplingData[[#This Row],[Candidate 6]]))),(SamplingData[[#This Row],[Total]]+SamplingData[[#This Row],[Winning Candidate]]-SamplingData[[#This Row],[Candidate 6]])/(SamplingData[[#Totals],[Winning Candidate]]-SamplingData[[#Totals],[Candidate 6]]), 0)</f>
        <v>5.1310733913720154E-3</v>
      </c>
      <c r="P1859" s="100">
        <f>MAX(SamplingData[[#This Row],[Error Bound (up) - Max. possible relative overstatement - Losing Candidate]:[Error Bound (up) - Max. possible relative overstatement - Candidate 6]])</f>
        <v>1.0840274375306222E-2</v>
      </c>
      <c r="Q1859" s="100">
        <f>IF(SamplingData[[#This Row],[Max Error Bound (up)]] = 0,0,SamplingData[[#This Row],[Max Error Bound (up)]]/SamplingData[[#Totals],[Max Error Bound (up)]])</f>
        <v>1.7156518452849123E-3</v>
      </c>
      <c r="R1859" s="101">
        <f>SUM($Q$5:Q1859)</f>
        <v>0.74651531991813036</v>
      </c>
      <c r="S1859" s="100" t="str">
        <f t="array" ref="S1859">IF(SamplingData[[#This Row],[up/U Selection Probability]] = 0, "Zero", TEXT(SamplingData[[#This Row],[Lower Range]], REPT("0",LEN('General Info'!$B$40))) &amp; " - " &amp; TEXT(SamplingData[[#This Row],[Upper Range]], REPT("0",LEN('General Info'!$B$40))))</f>
        <v>74480 - 74651</v>
      </c>
      <c r="T1859" s="100">
        <f>SamplingData[[#This Row],[Upper Range]]-SamplingData[[#This Row],[Span]]</f>
        <v>74479.968522936397</v>
      </c>
      <c r="U1859" s="100">
        <f>IF(ISNUMBER('General Info'!$B$40), ((SamplingData[[#This Row],[up/U Selection Probability]]) * 'General Info'!$B$40) - 1, 0)</f>
        <v>170.56346887664594</v>
      </c>
      <c r="V1859" s="100">
        <f>IF(ISNUMBER('General Info'!$B$40), (SamplingData[[#This Row],[Running (cumulative) sum]] * ('General Info'!$B$40 -'General Info'!$B$41 + 1)) + 'General Info'!$B$41 - 1, 0)</f>
        <v>74650.531991813041</v>
      </c>
      <c r="W1859" s="100" t="str">
        <f>IF(ISERROR(MATCH(SamplingData[[#This Row],[Batch by Type (p)]],SelectedPrecincts[Batch Name], 0)), "", INDEX(SelectedPrecincts[Draw], MATCH(SamplingData[[#This Row],[Batch by Type (p)]],SelectedPrecincts[Batch Name], 0)))</f>
        <v/>
      </c>
      <c r="X1859" s="102">
        <f>IF(COUNTIF(SelectedPrecincts[Batch Name],SamplingData[[#This Row],[Batch by Type (p)]]) &lt;&gt; 0, COUNTIF(SelectedPrecincts[Batch Name],SamplingData[[#This Row],[Batch by Type (p)]]), 0)</f>
        <v>0</v>
      </c>
    </row>
    <row r="1860" spans="1:24" ht="15" customHeight="1">
      <c r="A1860" s="18" t="s">
        <v>2036</v>
      </c>
      <c r="B1860" s="18">
        <v>37</v>
      </c>
      <c r="C1860" s="18">
        <v>36</v>
      </c>
      <c r="D1860" s="18">
        <v>8</v>
      </c>
      <c r="E1860" s="18">
        <v>4</v>
      </c>
      <c r="F1860" s="18">
        <v>0</v>
      </c>
      <c r="G1860" s="18">
        <v>0</v>
      </c>
      <c r="H1860" s="18">
        <v>0</v>
      </c>
      <c r="I1860" s="18">
        <v>2</v>
      </c>
      <c r="J1860" s="99">
        <f>SUM(SamplingData[[#This Row],[Losing Candidate]:[Under Votes]])</f>
        <v>87</v>
      </c>
      <c r="K1860"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1860" s="100">
        <f>IF(AND(SamplingData[[#This Row],[Total]]&lt;&gt; 0, NOT(ISBLANK(SamplingData[[#This Row],[Candidate 3]]))),(SamplingData[[#This Row],[Total]]+SamplingData[[#This Row],[Winning Candidate]]-SamplingData[[#This Row],[Candidate 3]])/(SamplingData[[#Totals],[Winning Candidate]]-SamplingData[[#Totals],[Candidate 3]]), 0)</f>
        <v>3.7100364551408199E-3</v>
      </c>
      <c r="M1860" s="100">
        <f>IF(AND(SamplingData[[#This Row],[Total]]&lt;&gt; 0, NOT(ISBLANK(SamplingData[[#This Row],[Candidate 4]]))),(SamplingData[[#This Row],[Total]]+SamplingData[[#This Row],[Winning Candidate]]-SamplingData[[#This Row],[Candidate 4]])/(SamplingData[[#Totals],[Winning Candidate]]-SamplingData[[#Totals],[Candidate 4]]), 0)</f>
        <v>3.4786167382852467E-3</v>
      </c>
      <c r="N1860" s="100">
        <f>IF(AND(SamplingData[[#This Row],[Total]]&lt;&gt; 0, NOT(ISBLANK(SamplingData[[#This Row],[Candidate 5]]))),(SamplingData[[#This Row],[Total]]+SamplingData[[#This Row],[Winning Candidate]]-SamplingData[[#This Row],[Candidate 5]])/(SamplingData[[#Totals],[Winning Candidate]]-SamplingData[[#Totals],[Candidate 5]]), 0)</f>
        <v>2.9919727560204332E-3</v>
      </c>
      <c r="O1860" s="100">
        <f>IF(AND(SamplingData[[#This Row],[Total]]&lt;&gt; 0, NOT(ISBLANK(SamplingData[[#This Row],[Candidate 6]]))),(SamplingData[[#This Row],[Total]]+SamplingData[[#This Row],[Winning Candidate]]-SamplingData[[#This Row],[Candidate 6]])/(SamplingData[[#Totals],[Winning Candidate]]-SamplingData[[#Totals],[Candidate 6]]), 0)</f>
        <v>2.9910996546860563E-3</v>
      </c>
      <c r="P1860" s="100">
        <f>MAX(SamplingData[[#This Row],[Error Bound (up) - Max. possible relative overstatement - Losing Candidate]:[Error Bound (up) - Max. possible relative overstatement - Candidate 6]])</f>
        <v>5.2670259676629106E-3</v>
      </c>
      <c r="Q1860" s="100">
        <f>IF(SamplingData[[#This Row],[Max Error Bound (up)]] = 0,0,SamplingData[[#This Row],[Max Error Bound (up)]]/SamplingData[[#Totals],[Max Error Bound (up)]])</f>
        <v>8.3359355194634159E-4</v>
      </c>
      <c r="R1860" s="101">
        <f>SUM($Q$5:Q1860)</f>
        <v>0.7473489134700767</v>
      </c>
      <c r="S1860" s="100" t="str">
        <f t="array" ref="S1860">IF(SamplingData[[#This Row],[up/U Selection Probability]] = 0, "Zero", TEXT(SamplingData[[#This Row],[Lower Range]], REPT("0",LEN('General Info'!$B$40))) &amp; " - " &amp; TEXT(SamplingData[[#This Row],[Upper Range]], REPT("0",LEN('General Info'!$B$40))))</f>
        <v>74652 - 74734</v>
      </c>
      <c r="T1860" s="100">
        <f>SamplingData[[#This Row],[Upper Range]]-SamplingData[[#This Row],[Span]]</f>
        <v>74651.532825406583</v>
      </c>
      <c r="U1860" s="100">
        <f>IF(ISNUMBER('General Info'!$B$40), ((SamplingData[[#This Row],[up/U Selection Probability]]) * 'General Info'!$B$40) - 1, 0)</f>
        <v>82.358521601082217</v>
      </c>
      <c r="V1860" s="100">
        <f>IF(ISNUMBER('General Info'!$B$40), (SamplingData[[#This Row],[Running (cumulative) sum]] * ('General Info'!$B$40 -'General Info'!$B$41 + 1)) + 'General Info'!$B$41 - 1, 0)</f>
        <v>74733.891347007666</v>
      </c>
      <c r="W1860" s="100" t="str">
        <f>IF(ISERROR(MATCH(SamplingData[[#This Row],[Batch by Type (p)]],SelectedPrecincts[Batch Name], 0)), "", INDEX(SelectedPrecincts[Draw], MATCH(SamplingData[[#This Row],[Batch by Type (p)]],SelectedPrecincts[Batch Name], 0)))</f>
        <v/>
      </c>
      <c r="X1860" s="102">
        <f>IF(COUNTIF(SelectedPrecincts[Batch Name],SamplingData[[#This Row],[Batch by Type (p)]]) &lt;&gt; 0, COUNTIF(SelectedPrecincts[Batch Name],SamplingData[[#This Row],[Batch by Type (p)]]), 0)</f>
        <v>0</v>
      </c>
    </row>
    <row r="1861" spans="1:24" ht="15" customHeight="1">
      <c r="A1861" s="18" t="s">
        <v>2037</v>
      </c>
      <c r="B1861" s="18">
        <v>40</v>
      </c>
      <c r="C1861" s="18">
        <v>65</v>
      </c>
      <c r="D1861" s="16">
        <v>17</v>
      </c>
      <c r="E1861" s="16">
        <v>11</v>
      </c>
      <c r="F1861" s="37">
        <v>0</v>
      </c>
      <c r="G1861" s="37">
        <v>1</v>
      </c>
      <c r="H1861" s="17">
        <v>0</v>
      </c>
      <c r="I1861" s="17">
        <v>0</v>
      </c>
      <c r="J1861" s="99">
        <f>SUM(SamplingData[[#This Row],[Losing Candidate]:[Under Votes]])</f>
        <v>134</v>
      </c>
      <c r="K1861" s="100">
        <f>IF(AND(SamplingData[[#This Row],[Total]]&lt;&gt; 0, NOT(ISBLANK(SamplingData[[#This Row],[Losing Candidate]]))),(SamplingData[[#This Row],[Total]]+SamplingData[[#This Row],[Winning Candidate]]-SamplingData[[#This Row],[Losing Candidate]])/(SamplingData[[#Totals],[Winning Candidate]]-SamplingData[[#Totals],[Losing Candidate]]), 0)</f>
        <v>9.7378735913767767E-3</v>
      </c>
      <c r="L1861" s="100">
        <f>IF(AND(SamplingData[[#This Row],[Total]]&lt;&gt; 0, NOT(ISBLANK(SamplingData[[#This Row],[Candidate 3]]))),(SamplingData[[#This Row],[Total]]+SamplingData[[#This Row],[Winning Candidate]]-SamplingData[[#This Row],[Candidate 3]])/(SamplingData[[#Totals],[Winning Candidate]]-SamplingData[[#Totals],[Candidate 3]]), 0)</f>
        <v>5.8715359550924285E-3</v>
      </c>
      <c r="M1861" s="100">
        <f>IF(AND(SamplingData[[#This Row],[Total]]&lt;&gt; 0, NOT(ISBLANK(SamplingData[[#This Row],[Candidate 4]]))),(SamplingData[[#This Row],[Total]]+SamplingData[[#This Row],[Winning Candidate]]-SamplingData[[#This Row],[Candidate 4]])/(SamplingData[[#Totals],[Winning Candidate]]-SamplingData[[#Totals],[Candidate 4]]), 0)</f>
        <v>5.49562980502207E-3</v>
      </c>
      <c r="N1861" s="100">
        <f>IF(AND(SamplingData[[#This Row],[Total]]&lt;&gt; 0, NOT(ISBLANK(SamplingData[[#This Row],[Candidate 5]]))),(SamplingData[[#This Row],[Total]]+SamplingData[[#This Row],[Winning Candidate]]-SamplingData[[#This Row],[Candidate 5]])/(SamplingData[[#Totals],[Winning Candidate]]-SamplingData[[#Totals],[Candidate 5]]), 0)</f>
        <v>4.8406713694964729E-3</v>
      </c>
      <c r="O1861" s="100">
        <f>IF(AND(SamplingData[[#This Row],[Total]]&lt;&gt; 0, NOT(ISBLANK(SamplingData[[#This Row],[Candidate 6]]))),(SamplingData[[#This Row],[Total]]+SamplingData[[#This Row],[Winning Candidate]]-SamplingData[[#This Row],[Candidate 6]])/(SamplingData[[#Totals],[Winning Candidate]]-SamplingData[[#Totals],[Candidate 6]]), 0)</f>
        <v>4.8149409075434078E-3</v>
      </c>
      <c r="P1861" s="100">
        <f>MAX(SamplingData[[#This Row],[Error Bound (up) - Max. possible relative overstatement - Losing Candidate]:[Error Bound (up) - Max. possible relative overstatement - Candidate 6]])</f>
        <v>9.7378735913767767E-3</v>
      </c>
      <c r="Q1861" s="100">
        <f>IF(SamplingData[[#This Row],[Max Error Bound (up)]] = 0,0,SamplingData[[#This Row],[Max Error Bound (up)]]/SamplingData[[#Totals],[Max Error Bound (up)]])</f>
        <v>1.5411787762728874E-3</v>
      </c>
      <c r="R1861" s="101">
        <f>SUM($Q$5:Q1861)</f>
        <v>0.74889009224634961</v>
      </c>
      <c r="S1861" s="100" t="str">
        <f t="array" ref="S1861">IF(SamplingData[[#This Row],[up/U Selection Probability]] = 0, "Zero", TEXT(SamplingData[[#This Row],[Lower Range]], REPT("0",LEN('General Info'!$B$40))) &amp; " - " &amp; TEXT(SamplingData[[#This Row],[Upper Range]], REPT("0",LEN('General Info'!$B$40))))</f>
        <v>74735 - 74888</v>
      </c>
      <c r="T1861" s="100">
        <f>SamplingData[[#This Row],[Upper Range]]-SamplingData[[#This Row],[Span]]</f>
        <v>74734.892888186456</v>
      </c>
      <c r="U1861" s="100">
        <f>IF(ISNUMBER('General Info'!$B$40), ((SamplingData[[#This Row],[up/U Selection Probability]]) * 'General Info'!$B$40) - 1, 0)</f>
        <v>153.11633644851247</v>
      </c>
      <c r="V1861" s="100">
        <f>IF(ISNUMBER('General Info'!$B$40), (SamplingData[[#This Row],[Running (cumulative) sum]] * ('General Info'!$B$40 -'General Info'!$B$41 + 1)) + 'General Info'!$B$41 - 1, 0)</f>
        <v>74888.009224634967</v>
      </c>
      <c r="W1861" s="100" t="str">
        <f>IF(ISERROR(MATCH(SamplingData[[#This Row],[Batch by Type (p)]],SelectedPrecincts[Batch Name], 0)), "", INDEX(SelectedPrecincts[Draw], MATCH(SamplingData[[#This Row],[Batch by Type (p)]],SelectedPrecincts[Batch Name], 0)))</f>
        <v/>
      </c>
      <c r="X1861" s="102">
        <f>IF(COUNTIF(SelectedPrecincts[Batch Name],SamplingData[[#This Row],[Batch by Type (p)]]) &lt;&gt; 0, COUNTIF(SelectedPrecincts[Batch Name],SamplingData[[#This Row],[Batch by Type (p)]]), 0)</f>
        <v>0</v>
      </c>
    </row>
    <row r="1862" spans="1:24" ht="15" customHeight="1">
      <c r="A1862" s="18" t="s">
        <v>2038</v>
      </c>
      <c r="B1862" s="18">
        <v>25</v>
      </c>
      <c r="C1862" s="18">
        <v>32</v>
      </c>
      <c r="D1862" s="18">
        <v>9</v>
      </c>
      <c r="E1862" s="18">
        <v>1</v>
      </c>
      <c r="F1862" s="18">
        <v>1</v>
      </c>
      <c r="G1862" s="18">
        <v>0</v>
      </c>
      <c r="H1862" s="18">
        <v>0</v>
      </c>
      <c r="I1862" s="18">
        <v>0</v>
      </c>
      <c r="J1862" s="99">
        <f>SUM(SamplingData[[#This Row],[Losing Candidate]:[Under Votes]])</f>
        <v>68</v>
      </c>
      <c r="K1862" s="100">
        <f>IF(AND(SamplingData[[#This Row],[Total]]&lt;&gt; 0, NOT(ISBLANK(SamplingData[[#This Row],[Losing Candidate]]))),(SamplingData[[#This Row],[Total]]+SamplingData[[#This Row],[Winning Candidate]]-SamplingData[[#This Row],[Losing Candidate]])/(SamplingData[[#Totals],[Winning Candidate]]-SamplingData[[#Totals],[Losing Candidate]]), 0)</f>
        <v>4.5933365997060261E-3</v>
      </c>
      <c r="L1862" s="100">
        <f>IF(AND(SamplingData[[#This Row],[Total]]&lt;&gt; 0, NOT(ISBLANK(SamplingData[[#This Row],[Candidate 3]]))),(SamplingData[[#This Row],[Total]]+SamplingData[[#This Row],[Winning Candidate]]-SamplingData[[#This Row],[Candidate 3]])/(SamplingData[[#Totals],[Winning Candidate]]-SamplingData[[#Totals],[Candidate 3]]), 0)</f>
        <v>2.9357679775462143E-3</v>
      </c>
      <c r="M1862" s="100">
        <f>IF(AND(SamplingData[[#This Row],[Total]]&lt;&gt; 0, NOT(ISBLANK(SamplingData[[#This Row],[Candidate 4]]))),(SamplingData[[#This Row],[Total]]+SamplingData[[#This Row],[Winning Candidate]]-SamplingData[[#This Row],[Candidate 4]])/(SamplingData[[#Totals],[Winning Candidate]]-SamplingData[[#Totals],[Candidate 4]]), 0)</f>
        <v>2.8939752696658773E-3</v>
      </c>
      <c r="N1862" s="100">
        <f>IF(AND(SamplingData[[#This Row],[Total]]&lt;&gt; 0, NOT(ISBLANK(SamplingData[[#This Row],[Candidate 5]]))),(SamplingData[[#This Row],[Total]]+SamplingData[[#This Row],[Winning Candidate]]-SamplingData[[#This Row],[Candidate 5]])/(SamplingData[[#Totals],[Winning Candidate]]-SamplingData[[#Totals],[Candidate 5]]), 0)</f>
        <v>2.4081731938701044E-3</v>
      </c>
      <c r="O1862" s="100">
        <f>IF(AND(SamplingData[[#This Row],[Total]]&lt;&gt; 0, NOT(ISBLANK(SamplingData[[#This Row],[Candidate 6]]))),(SamplingData[[#This Row],[Total]]+SamplingData[[#This Row],[Winning Candidate]]-SamplingData[[#This Row],[Candidate 6]])/(SamplingData[[#Totals],[Winning Candidate]]-SamplingData[[#Totals],[Candidate 6]]), 0)</f>
        <v>2.4317883371431349E-3</v>
      </c>
      <c r="P1862" s="100">
        <f>MAX(SamplingData[[#This Row],[Error Bound (up) - Max. possible relative overstatement - Losing Candidate]:[Error Bound (up) - Max. possible relative overstatement - Candidate 6]])</f>
        <v>4.5933365997060261E-3</v>
      </c>
      <c r="Q1862" s="100">
        <f>IF(SamplingData[[#This Row],[Max Error Bound (up)]] = 0,0,SamplingData[[#This Row],[Max Error Bound (up)]]/SamplingData[[#Totals],[Max Error Bound (up)]])</f>
        <v>7.2697112088343735E-4</v>
      </c>
      <c r="R1862" s="101">
        <f>SUM($Q$5:Q1862)</f>
        <v>0.74961706336723311</v>
      </c>
      <c r="S1862" s="100" t="str">
        <f t="array" ref="S1862">IF(SamplingData[[#This Row],[up/U Selection Probability]] = 0, "Zero", TEXT(SamplingData[[#This Row],[Lower Range]], REPT("0",LEN('General Info'!$B$40))) &amp; " - " &amp; TEXT(SamplingData[[#This Row],[Upper Range]], REPT("0",LEN('General Info'!$B$40))))</f>
        <v>74889 - 74961</v>
      </c>
      <c r="T1862" s="100">
        <f>SamplingData[[#This Row],[Upper Range]]-SamplingData[[#This Row],[Span]]</f>
        <v>74889.009951606087</v>
      </c>
      <c r="U1862" s="100">
        <f>IF(ISNUMBER('General Info'!$B$40), ((SamplingData[[#This Row],[up/U Selection Probability]]) * 'General Info'!$B$40) - 1, 0)</f>
        <v>71.696385117222846</v>
      </c>
      <c r="V1862" s="100">
        <f>IF(ISNUMBER('General Info'!$B$40), (SamplingData[[#This Row],[Running (cumulative) sum]] * ('General Info'!$B$40 -'General Info'!$B$41 + 1)) + 'General Info'!$B$41 - 1, 0)</f>
        <v>74960.706336723306</v>
      </c>
      <c r="W1862" s="100" t="str">
        <f>IF(ISERROR(MATCH(SamplingData[[#This Row],[Batch by Type (p)]],SelectedPrecincts[Batch Name], 0)), "", INDEX(SelectedPrecincts[Draw], MATCH(SamplingData[[#This Row],[Batch by Type (p)]],SelectedPrecincts[Batch Name], 0)))</f>
        <v/>
      </c>
      <c r="X1862" s="102">
        <f>IF(COUNTIF(SelectedPrecincts[Batch Name],SamplingData[[#This Row],[Batch by Type (p)]]) &lt;&gt; 0, COUNTIF(SelectedPrecincts[Batch Name],SamplingData[[#This Row],[Batch by Type (p)]]), 0)</f>
        <v>0</v>
      </c>
    </row>
    <row r="1863" spans="1:24" ht="15" customHeight="1">
      <c r="A1863" s="18" t="s">
        <v>2039</v>
      </c>
      <c r="B1863" s="18">
        <v>29</v>
      </c>
      <c r="C1863" s="18">
        <v>50</v>
      </c>
      <c r="D1863" s="16">
        <v>13</v>
      </c>
      <c r="E1863" s="16">
        <v>21</v>
      </c>
      <c r="F1863" s="37">
        <v>1</v>
      </c>
      <c r="G1863" s="37">
        <v>0</v>
      </c>
      <c r="H1863" s="17">
        <v>0</v>
      </c>
      <c r="I1863" s="17">
        <v>1</v>
      </c>
      <c r="J1863" s="99">
        <f>SUM(SamplingData[[#This Row],[Losing Candidate]:[Under Votes]])</f>
        <v>115</v>
      </c>
      <c r="K1863" s="100">
        <f>IF(AND(SamplingData[[#This Row],[Total]]&lt;&gt; 0, NOT(ISBLANK(SamplingData[[#This Row],[Losing Candidate]]))),(SamplingData[[#This Row],[Total]]+SamplingData[[#This Row],[Winning Candidate]]-SamplingData[[#This Row],[Losing Candidate]])/(SamplingData[[#Totals],[Winning Candidate]]-SamplingData[[#Totals],[Losing Candidate]]), 0)</f>
        <v>8.3292503674669283E-3</v>
      </c>
      <c r="L1863" s="100">
        <f>IF(AND(SamplingData[[#This Row],[Total]]&lt;&gt; 0, NOT(ISBLANK(SamplingData[[#This Row],[Candidate 3]]))),(SamplingData[[#This Row],[Total]]+SamplingData[[#This Row],[Winning Candidate]]-SamplingData[[#This Row],[Candidate 3]])/(SamplingData[[#Totals],[Winning Candidate]]-SamplingData[[#Totals],[Candidate 3]]), 0)</f>
        <v>4.9037003580991705E-3</v>
      </c>
      <c r="M1863" s="100">
        <f>IF(AND(SamplingData[[#This Row],[Total]]&lt;&gt; 0, NOT(ISBLANK(SamplingData[[#This Row],[Candidate 4]]))),(SamplingData[[#This Row],[Total]]+SamplingData[[#This Row],[Winning Candidate]]-SamplingData[[#This Row],[Candidate 4]])/(SamplingData[[#Totals],[Winning Candidate]]-SamplingData[[#Totals],[Candidate 4]]), 0)</f>
        <v>4.2094185740594583E-3</v>
      </c>
      <c r="N1863" s="100">
        <f>IF(AND(SamplingData[[#This Row],[Total]]&lt;&gt; 0, NOT(ISBLANK(SamplingData[[#This Row],[Candidate 5]]))),(SamplingData[[#This Row],[Total]]+SamplingData[[#This Row],[Winning Candidate]]-SamplingData[[#This Row],[Candidate 5]])/(SamplingData[[#Totals],[Winning Candidate]]-SamplingData[[#Totals],[Candidate 5]]), 0)</f>
        <v>3.989297008027244E-3</v>
      </c>
      <c r="O1863" s="100">
        <f>IF(AND(SamplingData[[#This Row],[Total]]&lt;&gt; 0, NOT(ISBLANK(SamplingData[[#This Row],[Candidate 6]]))),(SamplingData[[#This Row],[Total]]+SamplingData[[#This Row],[Winning Candidate]]-SamplingData[[#This Row],[Candidate 6]])/(SamplingData[[#Totals],[Winning Candidate]]-SamplingData[[#Totals],[Candidate 6]]), 0)</f>
        <v>4.0124507562861724E-3</v>
      </c>
      <c r="P1863" s="100">
        <f>MAX(SamplingData[[#This Row],[Error Bound (up) - Max. possible relative overstatement - Losing Candidate]:[Error Bound (up) - Max. possible relative overstatement - Candidate 6]])</f>
        <v>8.3292503674669283E-3</v>
      </c>
      <c r="Q1863" s="100">
        <f>IF(SamplingData[[#This Row],[Max Error Bound (up)]] = 0,0,SamplingData[[#This Row],[Max Error Bound (up)]]/SamplingData[[#Totals],[Max Error Bound (up)]])</f>
        <v>1.3182409658686332E-3</v>
      </c>
      <c r="R1863" s="101">
        <f>SUM($Q$5:Q1863)</f>
        <v>0.75093530433310174</v>
      </c>
      <c r="S1863" s="100" t="str">
        <f t="array" ref="S1863">IF(SamplingData[[#This Row],[up/U Selection Probability]] = 0, "Zero", TEXT(SamplingData[[#This Row],[Lower Range]], REPT("0",LEN('General Info'!$B$40))) &amp; " - " &amp; TEXT(SamplingData[[#This Row],[Upper Range]], REPT("0",LEN('General Info'!$B$40))))</f>
        <v>74962 - 75093</v>
      </c>
      <c r="T1863" s="100">
        <f>SamplingData[[#This Row],[Upper Range]]-SamplingData[[#This Row],[Span]]</f>
        <v>74961.707654964266</v>
      </c>
      <c r="U1863" s="100">
        <f>IF(ISNUMBER('General Info'!$B$40), ((SamplingData[[#This Row],[up/U Selection Probability]]) * 'General Info'!$B$40) - 1, 0)</f>
        <v>130.82277834589743</v>
      </c>
      <c r="V1863" s="100">
        <f>IF(ISNUMBER('General Info'!$B$40), (SamplingData[[#This Row],[Running (cumulative) sum]] * ('General Info'!$B$40 -'General Info'!$B$41 + 1)) + 'General Info'!$B$41 - 1, 0)</f>
        <v>75092.530433310167</v>
      </c>
      <c r="W1863" s="100" t="str">
        <f>IF(ISERROR(MATCH(SamplingData[[#This Row],[Batch by Type (p)]],SelectedPrecincts[Batch Name], 0)), "", INDEX(SelectedPrecincts[Draw], MATCH(SamplingData[[#This Row],[Batch by Type (p)]],SelectedPrecincts[Batch Name], 0)))</f>
        <v/>
      </c>
      <c r="X1863" s="102">
        <f>IF(COUNTIF(SelectedPrecincts[Batch Name],SamplingData[[#This Row],[Batch by Type (p)]]) &lt;&gt; 0, COUNTIF(SelectedPrecincts[Batch Name],SamplingData[[#This Row],[Batch by Type (p)]]), 0)</f>
        <v>0</v>
      </c>
    </row>
    <row r="1864" spans="1:24" ht="15" customHeight="1">
      <c r="A1864" s="18" t="s">
        <v>2040</v>
      </c>
      <c r="B1864" s="18">
        <v>38</v>
      </c>
      <c r="C1864" s="18">
        <v>25</v>
      </c>
      <c r="D1864" s="18">
        <v>10</v>
      </c>
      <c r="E1864" s="18">
        <v>2</v>
      </c>
      <c r="F1864" s="18">
        <v>0</v>
      </c>
      <c r="G1864" s="18">
        <v>0</v>
      </c>
      <c r="H1864" s="18">
        <v>0</v>
      </c>
      <c r="I1864" s="18">
        <v>0</v>
      </c>
      <c r="J1864" s="99">
        <f>SUM(SamplingData[[#This Row],[Losing Candidate]:[Under Votes]])</f>
        <v>75</v>
      </c>
      <c r="K1864" s="100">
        <f>IF(AND(SamplingData[[#This Row],[Total]]&lt;&gt; 0, NOT(ISBLANK(SamplingData[[#This Row],[Losing Candidate]]))),(SamplingData[[#This Row],[Total]]+SamplingData[[#This Row],[Winning Candidate]]-SamplingData[[#This Row],[Losing Candidate]])/(SamplingData[[#Totals],[Winning Candidate]]-SamplingData[[#Totals],[Losing Candidate]]), 0)</f>
        <v>3.7971582557569817E-3</v>
      </c>
      <c r="L1864" s="100">
        <f>IF(AND(SamplingData[[#This Row],[Total]]&lt;&gt; 0, NOT(ISBLANK(SamplingData[[#This Row],[Candidate 3]]))),(SamplingData[[#This Row],[Total]]+SamplingData[[#This Row],[Winning Candidate]]-SamplingData[[#This Row],[Candidate 3]])/(SamplingData[[#Totals],[Winning Candidate]]-SamplingData[[#Totals],[Candidate 3]]), 0)</f>
        <v>2.9035067909797723E-3</v>
      </c>
      <c r="M1864" s="100">
        <f>IF(AND(SamplingData[[#This Row],[Total]]&lt;&gt; 0, NOT(ISBLANK(SamplingData[[#This Row],[Candidate 4]]))),(SamplingData[[#This Row],[Total]]+SamplingData[[#This Row],[Winning Candidate]]-SamplingData[[#This Row],[Candidate 4]])/(SamplingData[[#Totals],[Winning Candidate]]-SamplingData[[#Totals],[Candidate 4]]), 0)</f>
        <v>2.8647431962349089E-3</v>
      </c>
      <c r="N1864" s="100">
        <f>IF(AND(SamplingData[[#This Row],[Total]]&lt;&gt; 0, NOT(ISBLANK(SamplingData[[#This Row],[Candidate 5]]))),(SamplingData[[#This Row],[Total]]+SamplingData[[#This Row],[Winning Candidate]]-SamplingData[[#This Row],[Candidate 5]])/(SamplingData[[#Totals],[Winning Candidate]]-SamplingData[[#Totals],[Candidate 5]]), 0)</f>
        <v>2.4324981756263684E-3</v>
      </c>
      <c r="O1864" s="100">
        <f>IF(AND(SamplingData[[#This Row],[Total]]&lt;&gt; 0, NOT(ISBLANK(SamplingData[[#This Row],[Candidate 6]]))),(SamplingData[[#This Row],[Total]]+SamplingData[[#This Row],[Winning Candidate]]-SamplingData[[#This Row],[Candidate 6]])/(SamplingData[[#Totals],[Winning Candidate]]-SamplingData[[#Totals],[Candidate 6]]), 0)</f>
        <v>2.4317883371431349E-3</v>
      </c>
      <c r="P1864" s="100">
        <f>MAX(SamplingData[[#This Row],[Error Bound (up) - Max. possible relative overstatement - Losing Candidate]:[Error Bound (up) - Max. possible relative overstatement - Candidate 6]])</f>
        <v>3.7971582557569817E-3</v>
      </c>
      <c r="Q1864" s="100">
        <f>IF(SamplingData[[#This Row],[Max Error Bound (up)]] = 0,0,SamplingData[[#This Row],[Max Error Bound (up)]]/SamplingData[[#Totals],[Max Error Bound (up)]])</f>
        <v>6.0096279326364154E-4</v>
      </c>
      <c r="R1864" s="101">
        <f>SUM($Q$5:Q1864)</f>
        <v>0.75153626712636534</v>
      </c>
      <c r="S1864" s="100" t="str">
        <f t="array" ref="S1864">IF(SamplingData[[#This Row],[up/U Selection Probability]] = 0, "Zero", TEXT(SamplingData[[#This Row],[Lower Range]], REPT("0",LEN('General Info'!$B$40))) &amp; " - " &amp; TEXT(SamplingData[[#This Row],[Upper Range]], REPT("0",LEN('General Info'!$B$40))))</f>
        <v>75094 - 75153</v>
      </c>
      <c r="T1864" s="100">
        <f>SamplingData[[#This Row],[Upper Range]]-SamplingData[[#This Row],[Span]]</f>
        <v>75093.53103427295</v>
      </c>
      <c r="U1864" s="100">
        <f>IF(ISNUMBER('General Info'!$B$40), ((SamplingData[[#This Row],[up/U Selection Probability]]) * 'General Info'!$B$40) - 1, 0)</f>
        <v>59.09567836357089</v>
      </c>
      <c r="V1864" s="100">
        <f>IF(ISNUMBER('General Info'!$B$40), (SamplingData[[#This Row],[Running (cumulative) sum]] * ('General Info'!$B$40 -'General Info'!$B$41 + 1)) + 'General Info'!$B$41 - 1, 0)</f>
        <v>75152.626712636527</v>
      </c>
      <c r="W1864" s="100" t="str">
        <f>IF(ISERROR(MATCH(SamplingData[[#This Row],[Batch by Type (p)]],SelectedPrecincts[Batch Name], 0)), "", INDEX(SelectedPrecincts[Draw], MATCH(SamplingData[[#This Row],[Batch by Type (p)]],SelectedPrecincts[Batch Name], 0)))</f>
        <v/>
      </c>
      <c r="X1864" s="102">
        <f>IF(COUNTIF(SelectedPrecincts[Batch Name],SamplingData[[#This Row],[Batch by Type (p)]]) &lt;&gt; 0, COUNTIF(SelectedPrecincts[Batch Name],SamplingData[[#This Row],[Batch by Type (p)]]), 0)</f>
        <v>0</v>
      </c>
    </row>
    <row r="1865" spans="1:24" ht="15" customHeight="1">
      <c r="A1865" s="18" t="s">
        <v>2041</v>
      </c>
      <c r="B1865" s="18">
        <v>46</v>
      </c>
      <c r="C1865" s="18">
        <v>60</v>
      </c>
      <c r="D1865" s="16">
        <v>13</v>
      </c>
      <c r="E1865" s="16">
        <v>13</v>
      </c>
      <c r="F1865" s="37">
        <v>0</v>
      </c>
      <c r="G1865" s="37">
        <v>1</v>
      </c>
      <c r="H1865" s="17">
        <v>0</v>
      </c>
      <c r="I1865" s="17">
        <v>1</v>
      </c>
      <c r="J1865" s="99">
        <f>SUM(SamplingData[[#This Row],[Losing Candidate]:[Under Votes]])</f>
        <v>134</v>
      </c>
      <c r="K1865" s="100">
        <f>IF(AND(SamplingData[[#This Row],[Total]]&lt;&gt; 0, NOT(ISBLANK(SamplingData[[#This Row],[Losing Candidate]]))),(SamplingData[[#This Row],[Total]]+SamplingData[[#This Row],[Winning Candidate]]-SamplingData[[#This Row],[Losing Candidate]])/(SamplingData[[#Totals],[Winning Candidate]]-SamplingData[[#Totals],[Losing Candidate]]), 0)</f>
        <v>9.0641842234198914E-3</v>
      </c>
      <c r="L1865" s="100">
        <f>IF(AND(SamplingData[[#This Row],[Total]]&lt;&gt; 0, NOT(ISBLANK(SamplingData[[#This Row],[Candidate 3]]))),(SamplingData[[#This Row],[Total]]+SamplingData[[#This Row],[Winning Candidate]]-SamplingData[[#This Row],[Candidate 3]])/(SamplingData[[#Totals],[Winning Candidate]]-SamplingData[[#Totals],[Candidate 3]]), 0)</f>
        <v>5.8392747685259861E-3</v>
      </c>
      <c r="M1865" s="100">
        <f>IF(AND(SamplingData[[#This Row],[Total]]&lt;&gt; 0, NOT(ISBLANK(SamplingData[[#This Row],[Candidate 4]]))),(SamplingData[[#This Row],[Total]]+SamplingData[[#This Row],[Winning Candidate]]-SamplingData[[#This Row],[Candidate 4]])/(SamplingData[[#Totals],[Winning Candidate]]-SamplingData[[#Totals],[Candidate 4]]), 0)</f>
        <v>5.2910052910052907E-3</v>
      </c>
      <c r="N1865" s="100">
        <f>IF(AND(SamplingData[[#This Row],[Total]]&lt;&gt; 0, NOT(ISBLANK(SamplingData[[#This Row],[Candidate 5]]))),(SamplingData[[#This Row],[Total]]+SamplingData[[#This Row],[Winning Candidate]]-SamplingData[[#This Row],[Candidate 5]])/(SamplingData[[#Totals],[Winning Candidate]]-SamplingData[[#Totals],[Candidate 5]]), 0)</f>
        <v>4.7190464607151546E-3</v>
      </c>
      <c r="O1865" s="100">
        <f>IF(AND(SamplingData[[#This Row],[Total]]&lt;&gt; 0, NOT(ISBLANK(SamplingData[[#This Row],[Candidate 6]]))),(SamplingData[[#This Row],[Total]]+SamplingData[[#This Row],[Winning Candidate]]-SamplingData[[#This Row],[Candidate 6]])/(SamplingData[[#Totals],[Winning Candidate]]-SamplingData[[#Totals],[Candidate 6]]), 0)</f>
        <v>4.6933514906862504E-3</v>
      </c>
      <c r="P1865" s="100">
        <f>MAX(SamplingData[[#This Row],[Error Bound (up) - Max. possible relative overstatement - Losing Candidate]:[Error Bound (up) - Max. possible relative overstatement - Candidate 6]])</f>
        <v>9.0641842234198914E-3</v>
      </c>
      <c r="Q1865" s="100">
        <f>IF(SamplingData[[#This Row],[Max Error Bound (up)]] = 0,0,SamplingData[[#This Row],[Max Error Bound (up)]]/SamplingData[[#Totals],[Max Error Bound (up)]])</f>
        <v>1.434556345209983E-3</v>
      </c>
      <c r="R1865" s="101">
        <f>SUM($Q$5:Q1865)</f>
        <v>0.75297082347157529</v>
      </c>
      <c r="S1865" s="100" t="str">
        <f t="array" ref="S1865">IF(SamplingData[[#This Row],[up/U Selection Probability]] = 0, "Zero", TEXT(SamplingData[[#This Row],[Lower Range]], REPT("0",LEN('General Info'!$B$40))) &amp; " - " &amp; TEXT(SamplingData[[#This Row],[Upper Range]], REPT("0",LEN('General Info'!$B$40))))</f>
        <v>75154 - 75296</v>
      </c>
      <c r="T1865" s="100">
        <f>SamplingData[[#This Row],[Upper Range]]-SamplingData[[#This Row],[Span]]</f>
        <v>75153.628147192881</v>
      </c>
      <c r="U1865" s="100">
        <f>IF(ISNUMBER('General Info'!$B$40), ((SamplingData[[#This Row],[up/U Selection Probability]]) * 'General Info'!$B$40) - 1, 0)</f>
        <v>142.4541999646531</v>
      </c>
      <c r="V1865" s="100">
        <f>IF(ISNUMBER('General Info'!$B$40), (SamplingData[[#This Row],[Running (cumulative) sum]] * ('General Info'!$B$40 -'General Info'!$B$41 + 1)) + 'General Info'!$B$41 - 1, 0)</f>
        <v>75296.082347157528</v>
      </c>
      <c r="W1865" s="100" t="str">
        <f>IF(ISERROR(MATCH(SamplingData[[#This Row],[Batch by Type (p)]],SelectedPrecincts[Batch Name], 0)), "", INDEX(SelectedPrecincts[Draw], MATCH(SamplingData[[#This Row],[Batch by Type (p)]],SelectedPrecincts[Batch Name], 0)))</f>
        <v/>
      </c>
      <c r="X1865" s="102">
        <f>IF(COUNTIF(SelectedPrecincts[Batch Name],SamplingData[[#This Row],[Batch by Type (p)]]) &lt;&gt; 0, COUNTIF(SelectedPrecincts[Batch Name],SamplingData[[#This Row],[Batch by Type (p)]]), 0)</f>
        <v>0</v>
      </c>
    </row>
    <row r="1866" spans="1:24" ht="15" customHeight="1">
      <c r="A1866" s="18" t="s">
        <v>2042</v>
      </c>
      <c r="B1866" s="18">
        <v>33</v>
      </c>
      <c r="C1866" s="18">
        <v>38</v>
      </c>
      <c r="D1866" s="18">
        <v>9</v>
      </c>
      <c r="E1866" s="18">
        <v>1</v>
      </c>
      <c r="F1866" s="18">
        <v>0</v>
      </c>
      <c r="G1866" s="18">
        <v>0</v>
      </c>
      <c r="H1866" s="18">
        <v>0</v>
      </c>
      <c r="I1866" s="18">
        <v>0</v>
      </c>
      <c r="J1866" s="99">
        <f>SUM(SamplingData[[#This Row],[Losing Candidate]:[Under Votes]])</f>
        <v>81</v>
      </c>
      <c r="K1866"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1866" s="100">
        <f>IF(AND(SamplingData[[#This Row],[Total]]&lt;&gt; 0, NOT(ISBLANK(SamplingData[[#This Row],[Candidate 3]]))),(SamplingData[[#This Row],[Total]]+SamplingData[[#This Row],[Winning Candidate]]-SamplingData[[#This Row],[Candidate 3]])/(SamplingData[[#Totals],[Winning Candidate]]-SamplingData[[#Totals],[Candidate 3]]), 0)</f>
        <v>3.5487305223086104E-3</v>
      </c>
      <c r="M1866" s="100">
        <f>IF(AND(SamplingData[[#This Row],[Total]]&lt;&gt; 0, NOT(ISBLANK(SamplingData[[#This Row],[Candidate 4]]))),(SamplingData[[#This Row],[Total]]+SamplingData[[#This Row],[Winning Candidate]]-SamplingData[[#This Row],[Candidate 4]])/(SamplingData[[#Totals],[Winning Candidate]]-SamplingData[[#Totals],[Candidate 4]]), 0)</f>
        <v>3.4493846648542782E-3</v>
      </c>
      <c r="N1866" s="100">
        <f>IF(AND(SamplingData[[#This Row],[Total]]&lt;&gt; 0, NOT(ISBLANK(SamplingData[[#This Row],[Candidate 5]]))),(SamplingData[[#This Row],[Total]]+SamplingData[[#This Row],[Winning Candidate]]-SamplingData[[#This Row],[Candidate 5]])/(SamplingData[[#Totals],[Winning Candidate]]-SamplingData[[#Totals],[Candidate 5]]), 0)</f>
        <v>2.8946728289953785E-3</v>
      </c>
      <c r="O1866" s="100">
        <f>IF(AND(SamplingData[[#This Row],[Total]]&lt;&gt; 0, NOT(ISBLANK(SamplingData[[#This Row],[Candidate 6]]))),(SamplingData[[#This Row],[Total]]+SamplingData[[#This Row],[Winning Candidate]]-SamplingData[[#This Row],[Candidate 6]])/(SamplingData[[#Totals],[Winning Candidate]]-SamplingData[[#Totals],[Candidate 6]]), 0)</f>
        <v>2.8938281212003308E-3</v>
      </c>
      <c r="P1866" s="100">
        <f>MAX(SamplingData[[#This Row],[Error Bound (up) - Max. possible relative overstatement - Losing Candidate]:[Error Bound (up) - Max. possible relative overstatement - Candidate 6]])</f>
        <v>5.2670259676629106E-3</v>
      </c>
      <c r="Q1866" s="100">
        <f>IF(SamplingData[[#This Row],[Max Error Bound (up)]] = 0,0,SamplingData[[#This Row],[Max Error Bound (up)]]/SamplingData[[#Totals],[Max Error Bound (up)]])</f>
        <v>8.3359355194634159E-4</v>
      </c>
      <c r="R1866" s="101">
        <f>SUM($Q$5:Q1866)</f>
        <v>0.75380441702352163</v>
      </c>
      <c r="S1866" s="100" t="str">
        <f t="array" ref="S1866">IF(SamplingData[[#This Row],[up/U Selection Probability]] = 0, "Zero", TEXT(SamplingData[[#This Row],[Lower Range]], REPT("0",LEN('General Info'!$B$40))) &amp; " - " &amp; TEXT(SamplingData[[#This Row],[Upper Range]], REPT("0",LEN('General Info'!$B$40))))</f>
        <v>75297 - 75379</v>
      </c>
      <c r="T1866" s="100">
        <f>SamplingData[[#This Row],[Upper Range]]-SamplingData[[#This Row],[Span]]</f>
        <v>75297.083180751084</v>
      </c>
      <c r="U1866" s="100">
        <f>IF(ISNUMBER('General Info'!$B$40), ((SamplingData[[#This Row],[up/U Selection Probability]]) * 'General Info'!$B$40) - 1, 0)</f>
        <v>82.358521601082217</v>
      </c>
      <c r="V1866" s="100">
        <f>IF(ISNUMBER('General Info'!$B$40), (SamplingData[[#This Row],[Running (cumulative) sum]] * ('General Info'!$B$40 -'General Info'!$B$41 + 1)) + 'General Info'!$B$41 - 1, 0)</f>
        <v>75379.441702352167</v>
      </c>
      <c r="W1866" s="100" t="str">
        <f>IF(ISERROR(MATCH(SamplingData[[#This Row],[Batch by Type (p)]],SelectedPrecincts[Batch Name], 0)), "", INDEX(SelectedPrecincts[Draw], MATCH(SamplingData[[#This Row],[Batch by Type (p)]],SelectedPrecincts[Batch Name], 0)))</f>
        <v/>
      </c>
      <c r="X1866" s="102">
        <f>IF(COUNTIF(SelectedPrecincts[Batch Name],SamplingData[[#This Row],[Batch by Type (p)]]) &lt;&gt; 0, COUNTIF(SelectedPrecincts[Batch Name],SamplingData[[#This Row],[Batch by Type (p)]]), 0)</f>
        <v>0</v>
      </c>
    </row>
    <row r="1867" spans="1:24" ht="15" customHeight="1">
      <c r="A1867" s="18" t="s">
        <v>2043</v>
      </c>
      <c r="B1867" s="18">
        <v>41</v>
      </c>
      <c r="C1867" s="18">
        <v>67</v>
      </c>
      <c r="D1867" s="16">
        <v>15</v>
      </c>
      <c r="E1867" s="16">
        <v>9</v>
      </c>
      <c r="F1867" s="37">
        <v>0</v>
      </c>
      <c r="G1867" s="37">
        <v>0</v>
      </c>
      <c r="H1867" s="17">
        <v>1</v>
      </c>
      <c r="I1867" s="17">
        <v>1</v>
      </c>
      <c r="J1867" s="99">
        <f>SUM(SamplingData[[#This Row],[Losing Candidate]:[Under Votes]])</f>
        <v>134</v>
      </c>
      <c r="K1867"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9.7991180793728563E-3</v>
      </c>
      <c r="L1867" s="100">
        <f>IF(AND(SamplingData[[#This Row],[Total]]&lt;&gt; 0, NOT(ISBLANK(SamplingData[[#This Row],[Candidate 3]]))),(SamplingData[[#This Row],[Total]]+SamplingData[[#This Row],[Winning Candidate]]-SamplingData[[#This Row],[Candidate 3]])/(SamplingData[[#Totals],[Winning Candidate]]-SamplingData[[#Totals],[Candidate 3]]), 0)</f>
        <v>6.0005807013581956E-3</v>
      </c>
      <c r="M1867" s="100">
        <f>IF(AND(SamplingData[[#This Row],[Total]]&lt;&gt; 0, NOT(ISBLANK(SamplingData[[#This Row],[Candidate 4]]))),(SamplingData[[#This Row],[Total]]+SamplingData[[#This Row],[Winning Candidate]]-SamplingData[[#This Row],[Candidate 4]])/(SamplingData[[#Totals],[Winning Candidate]]-SamplingData[[#Totals],[Candidate 4]]), 0)</f>
        <v>5.6125580987459438E-3</v>
      </c>
      <c r="N1867" s="100">
        <f>IF(AND(SamplingData[[#This Row],[Total]]&lt;&gt; 0, NOT(ISBLANK(SamplingData[[#This Row],[Candidate 5]]))),(SamplingData[[#This Row],[Total]]+SamplingData[[#This Row],[Winning Candidate]]-SamplingData[[#This Row],[Candidate 5]])/(SamplingData[[#Totals],[Winning Candidate]]-SamplingData[[#Totals],[Candidate 5]]), 0)</f>
        <v>4.889321333009E-3</v>
      </c>
      <c r="O1867" s="100">
        <f>IF(AND(SamplingData[[#This Row],[Total]]&lt;&gt; 0, NOT(ISBLANK(SamplingData[[#This Row],[Candidate 6]]))),(SamplingData[[#This Row],[Total]]+SamplingData[[#This Row],[Winning Candidate]]-SamplingData[[#This Row],[Candidate 6]])/(SamplingData[[#Totals],[Winning Candidate]]-SamplingData[[#Totals],[Candidate 6]]), 0)</f>
        <v>4.8878945576577015E-3</v>
      </c>
      <c r="P1867" s="100">
        <f>MAX(SamplingData[[#This Row],[Error Bound (up) - Max. possible relative overstatement - Losing Candidate]:[Error Bound (up) - Max. possible relative overstatement - Candidate 6]])</f>
        <v>9.7991180793728563E-3</v>
      </c>
      <c r="Q1867" s="100">
        <f>IF(SamplingData[[#This Row],[Max Error Bound (up)]] = 0,0,SamplingData[[#This Row],[Max Error Bound (up)]]/SamplingData[[#Totals],[Max Error Bound (up)]])</f>
        <v>1.5508717245513331E-3</v>
      </c>
      <c r="R1867" s="101">
        <f>SUM($Q$5:Q1867)</f>
        <v>0.75535528874807301</v>
      </c>
      <c r="S1867" s="100" t="str">
        <f t="array" ref="S1867">IF(SamplingData[[#This Row],[up/U Selection Probability]] = 0, "Zero", TEXT(SamplingData[[#This Row],[Lower Range]], REPT("0",LEN('General Info'!$B$40))) &amp; " - " &amp; TEXT(SamplingData[[#This Row],[Upper Range]], REPT("0",LEN('General Info'!$B$40))))</f>
        <v>75380 - 75535</v>
      </c>
      <c r="T1867" s="100">
        <f>SamplingData[[#This Row],[Upper Range]]-SamplingData[[#This Row],[Span]]</f>
        <v>75380.443253223901</v>
      </c>
      <c r="U1867" s="100">
        <f>IF(ISNUMBER('General Info'!$B$40), ((SamplingData[[#This Row],[up/U Selection Probability]]) * 'General Info'!$B$40) - 1, 0)</f>
        <v>154.08562158340877</v>
      </c>
      <c r="V1867" s="100">
        <f>IF(ISNUMBER('General Info'!$B$40), (SamplingData[[#This Row],[Running (cumulative) sum]] * ('General Info'!$B$40 -'General Info'!$B$41 + 1)) + 'General Info'!$B$41 - 1, 0)</f>
        <v>75534.528874807307</v>
      </c>
      <c r="W1867" s="100" t="str">
        <f>IF(ISERROR(MATCH(SamplingData[[#This Row],[Batch by Type (p)]],SelectedPrecincts[Batch Name], 0)), "", INDEX(SelectedPrecincts[Draw], MATCH(SamplingData[[#This Row],[Batch by Type (p)]],SelectedPrecincts[Batch Name], 0)))</f>
        <v/>
      </c>
      <c r="X1867" s="102">
        <f>IF(COUNTIF(SelectedPrecincts[Batch Name],SamplingData[[#This Row],[Batch by Type (p)]]) &lt;&gt; 0, COUNTIF(SelectedPrecincts[Batch Name],SamplingData[[#This Row],[Batch by Type (p)]]), 0)</f>
        <v>0</v>
      </c>
    </row>
    <row r="1868" spans="1:24" ht="15" customHeight="1">
      <c r="A1868" s="18" t="s">
        <v>2044</v>
      </c>
      <c r="B1868" s="18">
        <v>33</v>
      </c>
      <c r="C1868" s="18">
        <v>35</v>
      </c>
      <c r="D1868" s="18">
        <v>12</v>
      </c>
      <c r="E1868" s="18">
        <v>6</v>
      </c>
      <c r="F1868" s="18">
        <v>1</v>
      </c>
      <c r="G1868" s="18">
        <v>1</v>
      </c>
      <c r="H1868" s="18">
        <v>0</v>
      </c>
      <c r="I1868" s="18">
        <v>0</v>
      </c>
      <c r="J1868" s="99">
        <f>SUM(SamplingData[[#This Row],[Losing Candidate]:[Under Votes]])</f>
        <v>88</v>
      </c>
      <c r="K1868" s="100">
        <f>IF(AND(SamplingData[[#This Row],[Total]]&lt;&gt; 0, NOT(ISBLANK(SamplingData[[#This Row],[Losing Candidate]]))),(SamplingData[[#This Row],[Total]]+SamplingData[[#This Row],[Winning Candidate]]-SamplingData[[#This Row],[Losing Candidate]])/(SamplingData[[#Totals],[Winning Candidate]]-SamplingData[[#Totals],[Losing Candidate]]), 0)</f>
        <v>5.5120039196472313E-3</v>
      </c>
      <c r="L1868" s="100">
        <f>IF(AND(SamplingData[[#This Row],[Total]]&lt;&gt; 0, NOT(ISBLANK(SamplingData[[#This Row],[Candidate 3]]))),(SamplingData[[#This Row],[Total]]+SamplingData[[#This Row],[Winning Candidate]]-SamplingData[[#This Row],[Candidate 3]])/(SamplingData[[#Totals],[Winning Candidate]]-SamplingData[[#Totals],[Candidate 3]]), 0)</f>
        <v>3.5809917088750524E-3</v>
      </c>
      <c r="M1868" s="100">
        <f>IF(AND(SamplingData[[#This Row],[Total]]&lt;&gt; 0, NOT(ISBLANK(SamplingData[[#This Row],[Candidate 4]]))),(SamplingData[[#This Row],[Total]]+SamplingData[[#This Row],[Winning Candidate]]-SamplingData[[#This Row],[Candidate 4]])/(SamplingData[[#Totals],[Winning Candidate]]-SamplingData[[#Totals],[Candidate 4]]), 0)</f>
        <v>3.4201525914233097E-3</v>
      </c>
      <c r="N1868" s="100">
        <f>IF(AND(SamplingData[[#This Row],[Total]]&lt;&gt; 0, NOT(ISBLANK(SamplingData[[#This Row],[Candidate 5]]))),(SamplingData[[#This Row],[Total]]+SamplingData[[#This Row],[Winning Candidate]]-SamplingData[[#This Row],[Candidate 5]])/(SamplingData[[#Totals],[Winning Candidate]]-SamplingData[[#Totals],[Candidate 5]]), 0)</f>
        <v>2.9676477742641692E-3</v>
      </c>
      <c r="O1868" s="100">
        <f>IF(AND(SamplingData[[#This Row],[Total]]&lt;&gt; 0, NOT(ISBLANK(SamplingData[[#This Row],[Candidate 6]]))),(SamplingData[[#This Row],[Total]]+SamplingData[[#This Row],[Winning Candidate]]-SamplingData[[#This Row],[Candidate 6]])/(SamplingData[[#Totals],[Winning Candidate]]-SamplingData[[#Totals],[Candidate 6]]), 0)</f>
        <v>2.9667817713146249E-3</v>
      </c>
      <c r="P1868" s="100">
        <f>MAX(SamplingData[[#This Row],[Error Bound (up) - Max. possible relative overstatement - Losing Candidate]:[Error Bound (up) - Max. possible relative overstatement - Candidate 6]])</f>
        <v>5.5120039196472313E-3</v>
      </c>
      <c r="Q1868" s="100">
        <f>IF(SamplingData[[#This Row],[Max Error Bound (up)]] = 0,0,SamplingData[[#This Row],[Max Error Bound (up)]]/SamplingData[[#Totals],[Max Error Bound (up)]])</f>
        <v>8.7236534506012473E-4</v>
      </c>
      <c r="R1868" s="101">
        <f>SUM($Q$5:Q1868)</f>
        <v>0.75622765409313308</v>
      </c>
      <c r="S1868" s="100" t="str">
        <f t="array" ref="S1868">IF(SamplingData[[#This Row],[up/U Selection Probability]] = 0, "Zero", TEXT(SamplingData[[#This Row],[Lower Range]], REPT("0",LEN('General Info'!$B$40))) &amp; " - " &amp; TEXT(SamplingData[[#This Row],[Upper Range]], REPT("0",LEN('General Info'!$B$40))))</f>
        <v>75536 - 75622</v>
      </c>
      <c r="T1868" s="100">
        <f>SamplingData[[#This Row],[Upper Range]]-SamplingData[[#This Row],[Span]]</f>
        <v>75535.529747172637</v>
      </c>
      <c r="U1868" s="100">
        <f>IF(ISNUMBER('General Info'!$B$40), ((SamplingData[[#This Row],[up/U Selection Probability]]) * 'General Info'!$B$40) - 1, 0)</f>
        <v>86.235662140667415</v>
      </c>
      <c r="V1868" s="100">
        <f>IF(ISNUMBER('General Info'!$B$40), (SamplingData[[#This Row],[Running (cumulative) sum]] * ('General Info'!$B$40 -'General Info'!$B$41 + 1)) + 'General Info'!$B$41 - 1, 0)</f>
        <v>75621.765409313302</v>
      </c>
      <c r="W1868" s="100" t="str">
        <f>IF(ISERROR(MATCH(SamplingData[[#This Row],[Batch by Type (p)]],SelectedPrecincts[Batch Name], 0)), "", INDEX(SelectedPrecincts[Draw], MATCH(SamplingData[[#This Row],[Batch by Type (p)]],SelectedPrecincts[Batch Name], 0)))</f>
        <v/>
      </c>
      <c r="X1868" s="102">
        <f>IF(COUNTIF(SelectedPrecincts[Batch Name],SamplingData[[#This Row],[Batch by Type (p)]]) &lt;&gt; 0, COUNTIF(SelectedPrecincts[Batch Name],SamplingData[[#This Row],[Batch by Type (p)]]), 0)</f>
        <v>0</v>
      </c>
    </row>
    <row r="1869" spans="1:24" ht="15" customHeight="1">
      <c r="A1869" s="18" t="s">
        <v>2045</v>
      </c>
      <c r="B1869" s="18">
        <v>49</v>
      </c>
      <c r="C1869" s="18">
        <v>66</v>
      </c>
      <c r="D1869" s="16">
        <v>6</v>
      </c>
      <c r="E1869" s="16">
        <v>10</v>
      </c>
      <c r="F1869" s="37">
        <v>0</v>
      </c>
      <c r="G1869" s="37">
        <v>0</v>
      </c>
      <c r="H1869" s="17">
        <v>0</v>
      </c>
      <c r="I1869" s="17">
        <v>1</v>
      </c>
      <c r="J1869" s="99">
        <f>SUM(SamplingData[[#This Row],[Losing Candidate]:[Under Votes]])</f>
        <v>132</v>
      </c>
      <c r="K1869" s="100">
        <f>IF(AND(SamplingData[[#This Row],[Total]]&lt;&gt; 0, NOT(ISBLANK(SamplingData[[#This Row],[Losing Candidate]]))),(SamplingData[[#This Row],[Total]]+SamplingData[[#This Row],[Winning Candidate]]-SamplingData[[#This Row],[Losing Candidate]])/(SamplingData[[#Totals],[Winning Candidate]]-SamplingData[[#Totals],[Losing Candidate]]), 0)</f>
        <v>9.1254287114159727E-3</v>
      </c>
      <c r="L1869" s="100">
        <f>IF(AND(SamplingData[[#This Row],[Total]]&lt;&gt; 0, NOT(ISBLANK(SamplingData[[#This Row],[Candidate 3]]))),(SamplingData[[#This Row],[Total]]+SamplingData[[#This Row],[Winning Candidate]]-SamplingData[[#This Row],[Candidate 3]])/(SamplingData[[#Totals],[Winning Candidate]]-SamplingData[[#Totals],[Candidate 3]]), 0)</f>
        <v>6.1941478207568476E-3</v>
      </c>
      <c r="M1869" s="100">
        <f>IF(AND(SamplingData[[#This Row],[Total]]&lt;&gt; 0, NOT(ISBLANK(SamplingData[[#This Row],[Candidate 4]]))),(SamplingData[[#This Row],[Total]]+SamplingData[[#This Row],[Winning Candidate]]-SamplingData[[#This Row],[Candidate 4]])/(SamplingData[[#Totals],[Winning Candidate]]-SamplingData[[#Totals],[Candidate 4]]), 0)</f>
        <v>5.49562980502207E-3</v>
      </c>
      <c r="N1869" s="100">
        <f>IF(AND(SamplingData[[#This Row],[Total]]&lt;&gt; 0, NOT(ISBLANK(SamplingData[[#This Row],[Candidate 5]]))),(SamplingData[[#This Row],[Total]]+SamplingData[[#This Row],[Winning Candidate]]-SamplingData[[#This Row],[Candidate 5]])/(SamplingData[[#Totals],[Winning Candidate]]-SamplingData[[#Totals],[Candidate 5]]), 0)</f>
        <v>4.8163463877402089E-3</v>
      </c>
      <c r="O1869" s="100">
        <f>IF(AND(SamplingData[[#This Row],[Total]]&lt;&gt; 0, NOT(ISBLANK(SamplingData[[#This Row],[Candidate 6]]))),(SamplingData[[#This Row],[Total]]+SamplingData[[#This Row],[Winning Candidate]]-SamplingData[[#This Row],[Candidate 6]])/(SamplingData[[#Totals],[Winning Candidate]]-SamplingData[[#Totals],[Candidate 6]]), 0)</f>
        <v>4.8149409075434078E-3</v>
      </c>
      <c r="P1869" s="100">
        <f>MAX(SamplingData[[#This Row],[Error Bound (up) - Max. possible relative overstatement - Losing Candidate]:[Error Bound (up) - Max. possible relative overstatement - Candidate 6]])</f>
        <v>9.1254287114159727E-3</v>
      </c>
      <c r="Q1869" s="100">
        <f>IF(SamplingData[[#This Row],[Max Error Bound (up)]] = 0,0,SamplingData[[#This Row],[Max Error Bound (up)]]/SamplingData[[#Totals],[Max Error Bound (up)]])</f>
        <v>1.444249293488429E-3</v>
      </c>
      <c r="R1869" s="101">
        <f>SUM($Q$5:Q1869)</f>
        <v>0.75767190338662149</v>
      </c>
      <c r="S1869" s="100" t="str">
        <f t="array" ref="S1869">IF(SamplingData[[#This Row],[up/U Selection Probability]] = 0, "Zero", TEXT(SamplingData[[#This Row],[Lower Range]], REPT("0",LEN('General Info'!$B$40))) &amp; " - " &amp; TEXT(SamplingData[[#This Row],[Upper Range]], REPT("0",LEN('General Info'!$B$40))))</f>
        <v>75623 - 75766</v>
      </c>
      <c r="T1869" s="100">
        <f>SamplingData[[#This Row],[Upper Range]]-SamplingData[[#This Row],[Span]]</f>
        <v>75622.7668535626</v>
      </c>
      <c r="U1869" s="100">
        <f>IF(ISNUMBER('General Info'!$B$40), ((SamplingData[[#This Row],[up/U Selection Probability]]) * 'General Info'!$B$40) - 1, 0)</f>
        <v>143.4234850995494</v>
      </c>
      <c r="V1869" s="100">
        <f>IF(ISNUMBER('General Info'!$B$40), (SamplingData[[#This Row],[Running (cumulative) sum]] * ('General Info'!$B$40 -'General Info'!$B$41 + 1)) + 'General Info'!$B$41 - 1, 0)</f>
        <v>75766.190338662156</v>
      </c>
      <c r="W1869" s="100" t="str">
        <f>IF(ISERROR(MATCH(SamplingData[[#This Row],[Batch by Type (p)]],SelectedPrecincts[Batch Name], 0)), "", INDEX(SelectedPrecincts[Draw], MATCH(SamplingData[[#This Row],[Batch by Type (p)]],SelectedPrecincts[Batch Name], 0)))</f>
        <v/>
      </c>
      <c r="X1869" s="102">
        <f>IF(COUNTIF(SelectedPrecincts[Batch Name],SamplingData[[#This Row],[Batch by Type (p)]]) &lt;&gt; 0, COUNTIF(SelectedPrecincts[Batch Name],SamplingData[[#This Row],[Batch by Type (p)]]), 0)</f>
        <v>0</v>
      </c>
    </row>
    <row r="1870" spans="1:24" ht="15" customHeight="1">
      <c r="A1870" s="18" t="s">
        <v>2046</v>
      </c>
      <c r="B1870" s="18">
        <v>25</v>
      </c>
      <c r="C1870" s="18">
        <v>45</v>
      </c>
      <c r="D1870" s="18">
        <v>11</v>
      </c>
      <c r="E1870" s="18">
        <v>5</v>
      </c>
      <c r="F1870" s="18">
        <v>0</v>
      </c>
      <c r="G1870" s="18">
        <v>0</v>
      </c>
      <c r="H1870" s="18">
        <v>0</v>
      </c>
      <c r="I1870" s="18">
        <v>1</v>
      </c>
      <c r="J1870" s="99">
        <f>SUM(SamplingData[[#This Row],[Losing Candidate]:[Under Votes]])</f>
        <v>87</v>
      </c>
      <c r="K1870" s="100">
        <f>IF(AND(SamplingData[[#This Row],[Total]]&lt;&gt; 0, NOT(ISBLANK(SamplingData[[#This Row],[Losing Candidate]]))),(SamplingData[[#This Row],[Total]]+SamplingData[[#This Row],[Winning Candidate]]-SamplingData[[#This Row],[Losing Candidate]])/(SamplingData[[#Totals],[Winning Candidate]]-SamplingData[[#Totals],[Losing Candidate]]), 0)</f>
        <v>6.5531602155805974E-3</v>
      </c>
      <c r="L1870" s="100">
        <f>IF(AND(SamplingData[[#This Row],[Total]]&lt;&gt; 0, NOT(ISBLANK(SamplingData[[#This Row],[Candidate 3]]))),(SamplingData[[#This Row],[Total]]+SamplingData[[#This Row],[Winning Candidate]]-SamplingData[[#This Row],[Candidate 3]])/(SamplingData[[#Totals],[Winning Candidate]]-SamplingData[[#Totals],[Candidate 3]]), 0)</f>
        <v>3.9036035745394714E-3</v>
      </c>
      <c r="M1870" s="100">
        <f>IF(AND(SamplingData[[#This Row],[Total]]&lt;&gt; 0, NOT(ISBLANK(SamplingData[[#This Row],[Candidate 4]]))),(SamplingData[[#This Row],[Total]]+SamplingData[[#This Row],[Winning Candidate]]-SamplingData[[#This Row],[Candidate 4]])/(SamplingData[[#Totals],[Winning Candidate]]-SamplingData[[#Totals],[Candidate 4]]), 0)</f>
        <v>3.7124733257329944E-3</v>
      </c>
      <c r="N1870" s="100">
        <f>IF(AND(SamplingData[[#This Row],[Total]]&lt;&gt; 0, NOT(ISBLANK(SamplingData[[#This Row],[Candidate 5]]))),(SamplingData[[#This Row],[Total]]+SamplingData[[#This Row],[Winning Candidate]]-SamplingData[[#This Row],[Candidate 5]])/(SamplingData[[#Totals],[Winning Candidate]]-SamplingData[[#Totals],[Candidate 5]]), 0)</f>
        <v>3.2108975918268062E-3</v>
      </c>
      <c r="O1870" s="100">
        <f>IF(AND(SamplingData[[#This Row],[Total]]&lt;&gt; 0, NOT(ISBLANK(SamplingData[[#This Row],[Candidate 6]]))),(SamplingData[[#This Row],[Total]]+SamplingData[[#This Row],[Winning Candidate]]-SamplingData[[#This Row],[Candidate 6]])/(SamplingData[[#Totals],[Winning Candidate]]-SamplingData[[#Totals],[Candidate 6]]), 0)</f>
        <v>3.2099606050289384E-3</v>
      </c>
      <c r="P1870" s="100">
        <f>MAX(SamplingData[[#This Row],[Error Bound (up) - Max. possible relative overstatement - Losing Candidate]:[Error Bound (up) - Max. possible relative overstatement - Candidate 6]])</f>
        <v>6.5531602155805974E-3</v>
      </c>
      <c r="Q1870" s="100">
        <f>IF(SamplingData[[#This Row],[Max Error Bound (up)]] = 0,0,SamplingData[[#This Row],[Max Error Bound (up)]]/SamplingData[[#Totals],[Max Error Bound (up)]])</f>
        <v>1.0371454657937039E-3</v>
      </c>
      <c r="R1870" s="101">
        <f>SUM($Q$5:Q1870)</f>
        <v>0.75870904885241519</v>
      </c>
      <c r="S1870" s="100" t="str">
        <f t="array" ref="S1870">IF(SamplingData[[#This Row],[up/U Selection Probability]] = 0, "Zero", TEXT(SamplingData[[#This Row],[Lower Range]], REPT("0",LEN('General Info'!$B$40))) &amp; " - " &amp; TEXT(SamplingData[[#This Row],[Upper Range]], REPT("0",LEN('General Info'!$B$40))))</f>
        <v>75767 - 75870</v>
      </c>
      <c r="T1870" s="100">
        <f>SamplingData[[#This Row],[Upper Range]]-SamplingData[[#This Row],[Span]]</f>
        <v>75767.191375807612</v>
      </c>
      <c r="U1870" s="100">
        <f>IF(ISNUMBER('General Info'!$B$40), ((SamplingData[[#This Row],[up/U Selection Probability]]) * 'General Info'!$B$40) - 1, 0)</f>
        <v>102.71350943390459</v>
      </c>
      <c r="V1870" s="100">
        <f>IF(ISNUMBER('General Info'!$B$40), (SamplingData[[#This Row],[Running (cumulative) sum]] * ('General Info'!$B$40 -'General Info'!$B$41 + 1)) + 'General Info'!$B$41 - 1, 0)</f>
        <v>75869.904885241514</v>
      </c>
      <c r="W1870" s="100" t="str">
        <f>IF(ISERROR(MATCH(SamplingData[[#This Row],[Batch by Type (p)]],SelectedPrecincts[Batch Name], 0)), "", INDEX(SelectedPrecincts[Draw], MATCH(SamplingData[[#This Row],[Batch by Type (p)]],SelectedPrecincts[Batch Name], 0)))</f>
        <v/>
      </c>
      <c r="X1870" s="102">
        <f>IF(COUNTIF(SelectedPrecincts[Batch Name],SamplingData[[#This Row],[Batch by Type (p)]]) &lt;&gt; 0, COUNTIF(SelectedPrecincts[Batch Name],SamplingData[[#This Row],[Batch by Type (p)]]), 0)</f>
        <v>0</v>
      </c>
    </row>
    <row r="1871" spans="1:24" ht="15" customHeight="1">
      <c r="A1871" s="18" t="s">
        <v>2047</v>
      </c>
      <c r="B1871" s="18">
        <v>42</v>
      </c>
      <c r="C1871" s="18">
        <v>89</v>
      </c>
      <c r="D1871" s="16">
        <v>23</v>
      </c>
      <c r="E1871" s="16">
        <v>5</v>
      </c>
      <c r="F1871" s="37">
        <v>1</v>
      </c>
      <c r="G1871" s="37">
        <v>1</v>
      </c>
      <c r="H1871" s="17">
        <v>0</v>
      </c>
      <c r="I1871" s="17">
        <v>2</v>
      </c>
      <c r="J1871" s="99">
        <f>SUM(SamplingData[[#This Row],[Losing Candidate]:[Under Votes]])</f>
        <v>163</v>
      </c>
      <c r="K1871" s="100">
        <f>IF(AND(SamplingData[[#This Row],[Total]]&lt;&gt; 0, NOT(ISBLANK(SamplingData[[#This Row],[Losing Candidate]]))),(SamplingData[[#This Row],[Total]]+SamplingData[[#This Row],[Winning Candidate]]-SamplingData[[#This Row],[Losing Candidate]])/(SamplingData[[#Totals],[Winning Candidate]]-SamplingData[[#Totals],[Losing Candidate]]), 0)</f>
        <v>1.2861342479176875E-2</v>
      </c>
      <c r="L1871" s="100">
        <f>IF(AND(SamplingData[[#This Row],[Total]]&lt;&gt; 0, NOT(ISBLANK(SamplingData[[#This Row],[Candidate 3]]))),(SamplingData[[#This Row],[Total]]+SamplingData[[#This Row],[Winning Candidate]]-SamplingData[[#This Row],[Candidate 3]])/(SamplingData[[#Totals],[Winning Candidate]]-SamplingData[[#Totals],[Candidate 3]]), 0)</f>
        <v>7.3878117237151982E-3</v>
      </c>
      <c r="M1871" s="100">
        <f>IF(AND(SamplingData[[#This Row],[Total]]&lt;&gt; 0, NOT(ISBLANK(SamplingData[[#This Row],[Candidate 4]]))),(SamplingData[[#This Row],[Total]]+SamplingData[[#This Row],[Winning Candidate]]-SamplingData[[#This Row],[Candidate 4]])/(SamplingData[[#Totals],[Winning Candidate]]-SamplingData[[#Totals],[Candidate 4]]), 0)</f>
        <v>7.2203221374492095E-3</v>
      </c>
      <c r="N1871" s="100">
        <f>IF(AND(SamplingData[[#This Row],[Total]]&lt;&gt; 0, NOT(ISBLANK(SamplingData[[#This Row],[Candidate 5]]))),(SamplingData[[#This Row],[Total]]+SamplingData[[#This Row],[Winning Candidate]]-SamplingData[[#This Row],[Candidate 5]])/(SamplingData[[#Totals],[Winning Candidate]]-SamplingData[[#Totals],[Candidate 5]]), 0)</f>
        <v>6.1055704208221847E-3</v>
      </c>
      <c r="O1871" s="100">
        <f>IF(AND(SamplingData[[#This Row],[Total]]&lt;&gt; 0, NOT(ISBLANK(SamplingData[[#This Row],[Candidate 6]]))),(SamplingData[[#This Row],[Total]]+SamplingData[[#This Row],[Winning Candidate]]-SamplingData[[#This Row],[Candidate 6]])/(SamplingData[[#Totals],[Winning Candidate]]-SamplingData[[#Totals],[Candidate 6]]), 0)</f>
        <v>6.1037887262292692E-3</v>
      </c>
      <c r="P1871" s="100">
        <f>MAX(SamplingData[[#This Row],[Error Bound (up) - Max. possible relative overstatement - Losing Candidate]:[Error Bound (up) - Max. possible relative overstatement - Candidate 6]])</f>
        <v>1.2861342479176875E-2</v>
      </c>
      <c r="Q1871" s="100">
        <f>IF(SamplingData[[#This Row],[Max Error Bound (up)]] = 0,0,SamplingData[[#This Row],[Max Error Bound (up)]]/SamplingData[[#Totals],[Max Error Bound (up)]])</f>
        <v>2.0355191384736249E-3</v>
      </c>
      <c r="R1871" s="101">
        <f>SUM($Q$5:Q1871)</f>
        <v>0.76074456799088885</v>
      </c>
      <c r="S1871" s="100" t="str">
        <f t="array" ref="S1871">IF(SamplingData[[#This Row],[up/U Selection Probability]] = 0, "Zero", TEXT(SamplingData[[#This Row],[Lower Range]], REPT("0",LEN('General Info'!$B$40))) &amp; " - " &amp; TEXT(SamplingData[[#This Row],[Upper Range]], REPT("0",LEN('General Info'!$B$40))))</f>
        <v>75871 - 76073</v>
      </c>
      <c r="T1871" s="100">
        <f>SamplingData[[#This Row],[Upper Range]]-SamplingData[[#This Row],[Span]]</f>
        <v>75870.906920760666</v>
      </c>
      <c r="U1871" s="100">
        <f>IF(ISNUMBER('General Info'!$B$40), ((SamplingData[[#This Row],[up/U Selection Probability]]) * 'General Info'!$B$40) - 1, 0)</f>
        <v>202.54987832822403</v>
      </c>
      <c r="V1871" s="100">
        <f>IF(ISNUMBER('General Info'!$B$40), (SamplingData[[#This Row],[Running (cumulative) sum]] * ('General Info'!$B$40 -'General Info'!$B$41 + 1)) + 'General Info'!$B$41 - 1, 0)</f>
        <v>76073.45679908889</v>
      </c>
      <c r="W1871" s="100" t="str">
        <f>IF(ISERROR(MATCH(SamplingData[[#This Row],[Batch by Type (p)]],SelectedPrecincts[Batch Name], 0)), "", INDEX(SelectedPrecincts[Draw], MATCH(SamplingData[[#This Row],[Batch by Type (p)]],SelectedPrecincts[Batch Name], 0)))</f>
        <v/>
      </c>
      <c r="X1871" s="102">
        <f>IF(COUNTIF(SelectedPrecincts[Batch Name],SamplingData[[#This Row],[Batch by Type (p)]]) &lt;&gt; 0, COUNTIF(SelectedPrecincts[Batch Name],SamplingData[[#This Row],[Batch by Type (p)]]), 0)</f>
        <v>0</v>
      </c>
    </row>
    <row r="1872" spans="1:24" ht="15" customHeight="1">
      <c r="A1872" s="18" t="s">
        <v>2048</v>
      </c>
      <c r="B1872" s="18">
        <v>28</v>
      </c>
      <c r="C1872" s="18">
        <v>31</v>
      </c>
      <c r="D1872" s="18">
        <v>7</v>
      </c>
      <c r="E1872" s="18">
        <v>2</v>
      </c>
      <c r="F1872" s="18">
        <v>0</v>
      </c>
      <c r="G1872" s="18">
        <v>1</v>
      </c>
      <c r="H1872" s="18">
        <v>0</v>
      </c>
      <c r="I1872" s="18">
        <v>2</v>
      </c>
      <c r="J1872" s="99">
        <f>SUM(SamplingData[[#This Row],[Losing Candidate]:[Under Votes]])</f>
        <v>71</v>
      </c>
      <c r="K1872" s="100">
        <f>IF(AND(SamplingData[[#This Row],[Total]]&lt;&gt; 0, NOT(ISBLANK(SamplingData[[#This Row],[Losing Candidate]]))),(SamplingData[[#This Row],[Total]]+SamplingData[[#This Row],[Winning Candidate]]-SamplingData[[#This Row],[Losing Candidate]])/(SamplingData[[#Totals],[Winning Candidate]]-SamplingData[[#Totals],[Losing Candidate]]), 0)</f>
        <v>4.5320921117099457E-3</v>
      </c>
      <c r="L1872" s="100">
        <f>IF(AND(SamplingData[[#This Row],[Total]]&lt;&gt; 0, NOT(ISBLANK(SamplingData[[#This Row],[Candidate 3]]))),(SamplingData[[#This Row],[Total]]+SamplingData[[#This Row],[Winning Candidate]]-SamplingData[[#This Row],[Candidate 3]])/(SamplingData[[#Totals],[Winning Candidate]]-SamplingData[[#Totals],[Candidate 3]]), 0)</f>
        <v>3.0648127238119818E-3</v>
      </c>
      <c r="M1872" s="100">
        <f>IF(AND(SamplingData[[#This Row],[Total]]&lt;&gt; 0, NOT(ISBLANK(SamplingData[[#This Row],[Candidate 4]]))),(SamplingData[[#This Row],[Total]]+SamplingData[[#This Row],[Winning Candidate]]-SamplingData[[#This Row],[Candidate 4]])/(SamplingData[[#Totals],[Winning Candidate]]-SamplingData[[#Totals],[Candidate 4]]), 0)</f>
        <v>2.9232073430968458E-3</v>
      </c>
      <c r="N1872" s="100">
        <f>IF(AND(SamplingData[[#This Row],[Total]]&lt;&gt; 0, NOT(ISBLANK(SamplingData[[#This Row],[Candidate 5]]))),(SamplingData[[#This Row],[Total]]+SamplingData[[#This Row],[Winning Candidate]]-SamplingData[[#This Row],[Candidate 5]])/(SamplingData[[#Totals],[Winning Candidate]]-SamplingData[[#Totals],[Candidate 5]]), 0)</f>
        <v>2.4811481391388956E-3</v>
      </c>
      <c r="O1872" s="100">
        <f>IF(AND(SamplingData[[#This Row],[Total]]&lt;&gt; 0, NOT(ISBLANK(SamplingData[[#This Row],[Candidate 6]]))),(SamplingData[[#This Row],[Total]]+SamplingData[[#This Row],[Winning Candidate]]-SamplingData[[#This Row],[Candidate 6]])/(SamplingData[[#Totals],[Winning Candidate]]-SamplingData[[#Totals],[Candidate 6]]), 0)</f>
        <v>2.4561062205145662E-3</v>
      </c>
      <c r="P1872" s="100">
        <f>MAX(SamplingData[[#This Row],[Error Bound (up) - Max. possible relative overstatement - Losing Candidate]:[Error Bound (up) - Max. possible relative overstatement - Candidate 6]])</f>
        <v>4.5320921117099457E-3</v>
      </c>
      <c r="Q1872" s="100">
        <f>IF(SamplingData[[#This Row],[Max Error Bound (up)]] = 0,0,SamplingData[[#This Row],[Max Error Bound (up)]]/SamplingData[[#Totals],[Max Error Bound (up)]])</f>
        <v>7.1727817260499151E-4</v>
      </c>
      <c r="R1872" s="101">
        <f>SUM($Q$5:Q1872)</f>
        <v>0.76146184616349388</v>
      </c>
      <c r="S1872" s="100" t="str">
        <f t="array" ref="S1872">IF(SamplingData[[#This Row],[up/U Selection Probability]] = 0, "Zero", TEXT(SamplingData[[#This Row],[Lower Range]], REPT("0",LEN('General Info'!$B$40))) &amp; " - " &amp; TEXT(SamplingData[[#This Row],[Upper Range]], REPT("0",LEN('General Info'!$B$40))))</f>
        <v>76074 - 76145</v>
      </c>
      <c r="T1872" s="100">
        <f>SamplingData[[#This Row],[Upper Range]]-SamplingData[[#This Row],[Span]]</f>
        <v>76074.457516367067</v>
      </c>
      <c r="U1872" s="100">
        <f>IF(ISNUMBER('General Info'!$B$40), ((SamplingData[[#This Row],[up/U Selection Probability]]) * 'General Info'!$B$40) - 1, 0)</f>
        <v>70.72709998232655</v>
      </c>
      <c r="V1872" s="100">
        <f>IF(ISNUMBER('General Info'!$B$40), (SamplingData[[#This Row],[Running (cumulative) sum]] * ('General Info'!$B$40 -'General Info'!$B$41 + 1)) + 'General Info'!$B$41 - 1, 0)</f>
        <v>76145.18461634939</v>
      </c>
      <c r="W1872" s="100" t="str">
        <f>IF(ISERROR(MATCH(SamplingData[[#This Row],[Batch by Type (p)]],SelectedPrecincts[Batch Name], 0)), "", INDEX(SelectedPrecincts[Draw], MATCH(SamplingData[[#This Row],[Batch by Type (p)]],SelectedPrecincts[Batch Name], 0)))</f>
        <v/>
      </c>
      <c r="X1872" s="102">
        <f>IF(COUNTIF(SelectedPrecincts[Batch Name],SamplingData[[#This Row],[Batch by Type (p)]]) &lt;&gt; 0, COUNTIF(SelectedPrecincts[Batch Name],SamplingData[[#This Row],[Batch by Type (p)]]), 0)</f>
        <v>0</v>
      </c>
    </row>
    <row r="1873" spans="1:24" ht="15" customHeight="1">
      <c r="A1873" s="18" t="s">
        <v>2049</v>
      </c>
      <c r="B1873" s="18">
        <v>42</v>
      </c>
      <c r="C1873" s="18">
        <v>66</v>
      </c>
      <c r="D1873" s="16">
        <v>18</v>
      </c>
      <c r="E1873" s="16">
        <v>9</v>
      </c>
      <c r="F1873" s="37">
        <v>0</v>
      </c>
      <c r="G1873" s="37">
        <v>1</v>
      </c>
      <c r="H1873" s="17">
        <v>0</v>
      </c>
      <c r="I1873" s="17">
        <v>2</v>
      </c>
      <c r="J1873" s="99">
        <f>SUM(SamplingData[[#This Row],[Losing Candidate]:[Under Votes]])</f>
        <v>138</v>
      </c>
      <c r="K1873" s="100">
        <f>IF(AND(SamplingData[[#This Row],[Total]]&lt;&gt; 0, NOT(ISBLANK(SamplingData[[#This Row],[Losing Candidate]]))),(SamplingData[[#This Row],[Total]]+SamplingData[[#This Row],[Winning Candidate]]-SamplingData[[#This Row],[Losing Candidate]])/(SamplingData[[#Totals],[Winning Candidate]]-SamplingData[[#Totals],[Losing Candidate]]), 0)</f>
        <v>9.9216070553650171E-3</v>
      </c>
      <c r="L1873" s="100">
        <f>IF(AND(SamplingData[[#This Row],[Total]]&lt;&gt; 0, NOT(ISBLANK(SamplingData[[#This Row],[Candidate 3]]))),(SamplingData[[#This Row],[Total]]+SamplingData[[#This Row],[Winning Candidate]]-SamplingData[[#This Row],[Candidate 3]])/(SamplingData[[#Totals],[Winning Candidate]]-SamplingData[[#Totals],[Candidate 3]]), 0)</f>
        <v>6.0005807013581956E-3</v>
      </c>
      <c r="M1873" s="100">
        <f>IF(AND(SamplingData[[#This Row],[Total]]&lt;&gt; 0, NOT(ISBLANK(SamplingData[[#This Row],[Candidate 4]]))),(SamplingData[[#This Row],[Total]]+SamplingData[[#This Row],[Winning Candidate]]-SamplingData[[#This Row],[Candidate 4]])/(SamplingData[[#Totals],[Winning Candidate]]-SamplingData[[#Totals],[Candidate 4]]), 0)</f>
        <v>5.7002543190388492E-3</v>
      </c>
      <c r="N1873" s="100">
        <f>IF(AND(SamplingData[[#This Row],[Total]]&lt;&gt; 0, NOT(ISBLANK(SamplingData[[#This Row],[Candidate 5]]))),(SamplingData[[#This Row],[Total]]+SamplingData[[#This Row],[Winning Candidate]]-SamplingData[[#This Row],[Candidate 5]])/(SamplingData[[#Totals],[Winning Candidate]]-SamplingData[[#Totals],[Candidate 5]]), 0)</f>
        <v>4.9622962782777912E-3</v>
      </c>
      <c r="O1873" s="100">
        <f>IF(AND(SamplingData[[#This Row],[Total]]&lt;&gt; 0, NOT(ISBLANK(SamplingData[[#This Row],[Candidate 6]]))),(SamplingData[[#This Row],[Total]]+SamplingData[[#This Row],[Winning Candidate]]-SamplingData[[#This Row],[Candidate 6]])/(SamplingData[[#Totals],[Winning Candidate]]-SamplingData[[#Totals],[Candidate 6]]), 0)</f>
        <v>4.9365303244005643E-3</v>
      </c>
      <c r="P1873" s="100">
        <f>MAX(SamplingData[[#This Row],[Error Bound (up) - Max. possible relative overstatement - Losing Candidate]:[Error Bound (up) - Max. possible relative overstatement - Candidate 6]])</f>
        <v>9.9216070553650171E-3</v>
      </c>
      <c r="Q1873" s="100">
        <f>IF(SamplingData[[#This Row],[Max Error Bound (up)]] = 0,0,SamplingData[[#This Row],[Max Error Bound (up)]]/SamplingData[[#Totals],[Max Error Bound (up)]])</f>
        <v>1.5702576211082248E-3</v>
      </c>
      <c r="R1873" s="101">
        <f>SUM($Q$5:Q1873)</f>
        <v>0.76303210378460207</v>
      </c>
      <c r="S1873" s="100" t="str">
        <f t="array" ref="S1873">IF(SamplingData[[#This Row],[up/U Selection Probability]] = 0, "Zero", TEXT(SamplingData[[#This Row],[Lower Range]], REPT("0",LEN('General Info'!$B$40))) &amp; " - " &amp; TEXT(SamplingData[[#This Row],[Upper Range]], REPT("0",LEN('General Info'!$B$40))))</f>
        <v>76146 - 76302</v>
      </c>
      <c r="T1873" s="100">
        <f>SamplingData[[#This Row],[Upper Range]]-SamplingData[[#This Row],[Span]]</f>
        <v>76146.18618660701</v>
      </c>
      <c r="U1873" s="100">
        <f>IF(ISNUMBER('General Info'!$B$40), ((SamplingData[[#This Row],[up/U Selection Probability]]) * 'General Info'!$B$40) - 1, 0)</f>
        <v>156.02419185320136</v>
      </c>
      <c r="V1873" s="100">
        <f>IF(ISNUMBER('General Info'!$B$40), (SamplingData[[#This Row],[Running (cumulative) sum]] * ('General Info'!$B$40 -'General Info'!$B$41 + 1)) + 'General Info'!$B$41 - 1, 0)</f>
        <v>76302.210378460208</v>
      </c>
      <c r="W1873" s="100" t="str">
        <f>IF(ISERROR(MATCH(SamplingData[[#This Row],[Batch by Type (p)]],SelectedPrecincts[Batch Name], 0)), "", INDEX(SelectedPrecincts[Draw], MATCH(SamplingData[[#This Row],[Batch by Type (p)]],SelectedPrecincts[Batch Name], 0)))</f>
        <v/>
      </c>
      <c r="X1873" s="102">
        <f>IF(COUNTIF(SelectedPrecincts[Batch Name],SamplingData[[#This Row],[Batch by Type (p)]]) &lt;&gt; 0, COUNTIF(SelectedPrecincts[Batch Name],SamplingData[[#This Row],[Batch by Type (p)]]), 0)</f>
        <v>0</v>
      </c>
    </row>
    <row r="1874" spans="1:24" ht="15" customHeight="1">
      <c r="A1874" s="18" t="s">
        <v>2050</v>
      </c>
      <c r="B1874" s="18">
        <v>22</v>
      </c>
      <c r="C1874" s="18">
        <v>25</v>
      </c>
      <c r="D1874" s="18">
        <v>8</v>
      </c>
      <c r="E1874" s="18">
        <v>1</v>
      </c>
      <c r="F1874" s="18">
        <v>1</v>
      </c>
      <c r="G1874" s="18">
        <v>1</v>
      </c>
      <c r="H1874" s="18">
        <v>1</v>
      </c>
      <c r="I1874" s="18">
        <v>2</v>
      </c>
      <c r="J1874" s="99">
        <f>SUM(SamplingData[[#This Row],[Losing Candidate]:[Under Votes]])</f>
        <v>61</v>
      </c>
      <c r="K1874" s="100">
        <f>IF(AND(SamplingData[[#This Row],[Total]]&lt;&gt; 0, NOT(ISBLANK(SamplingData[[#This Row],[Losing Candidate]]))),(SamplingData[[#This Row],[Total]]+SamplingData[[#This Row],[Winning Candidate]]-SamplingData[[#This Row],[Losing Candidate]])/(SamplingData[[#Totals],[Winning Candidate]]-SamplingData[[#Totals],[Losing Candidate]]), 0)</f>
        <v>3.9196472317491425E-3</v>
      </c>
      <c r="L1874" s="100">
        <f>IF(AND(SamplingData[[#This Row],[Total]]&lt;&gt; 0, NOT(ISBLANK(SamplingData[[#This Row],[Candidate 3]]))),(SamplingData[[#This Row],[Total]]+SamplingData[[#This Row],[Winning Candidate]]-SamplingData[[#This Row],[Candidate 3]])/(SamplingData[[#Totals],[Winning Candidate]]-SamplingData[[#Totals],[Candidate 3]]), 0)</f>
        <v>2.5163725521824692E-3</v>
      </c>
      <c r="M1874" s="100">
        <f>IF(AND(SamplingData[[#This Row],[Total]]&lt;&gt; 0, NOT(ISBLANK(SamplingData[[#This Row],[Candidate 4]]))),(SamplingData[[#This Row],[Total]]+SamplingData[[#This Row],[Winning Candidate]]-SamplingData[[#This Row],[Candidate 4]])/(SamplingData[[#Totals],[Winning Candidate]]-SamplingData[[#Totals],[Candidate 4]]), 0)</f>
        <v>2.4847262416323188E-3</v>
      </c>
      <c r="N1874" s="100">
        <f>IF(AND(SamplingData[[#This Row],[Total]]&lt;&gt; 0, NOT(ISBLANK(SamplingData[[#This Row],[Candidate 5]]))),(SamplingData[[#This Row],[Total]]+SamplingData[[#This Row],[Winning Candidate]]-SamplingData[[#This Row],[Candidate 5]])/(SamplingData[[#Totals],[Winning Candidate]]-SamplingData[[#Totals],[Candidate 5]]), 0)</f>
        <v>2.0676234492824131E-3</v>
      </c>
      <c r="O1874" s="100">
        <f>IF(AND(SamplingData[[#This Row],[Total]]&lt;&gt; 0, NOT(ISBLANK(SamplingData[[#This Row],[Candidate 6]]))),(SamplingData[[#This Row],[Total]]+SamplingData[[#This Row],[Winning Candidate]]-SamplingData[[#This Row],[Candidate 6]])/(SamplingData[[#Totals],[Winning Candidate]]-SamplingData[[#Totals],[Candidate 6]]), 0)</f>
        <v>2.0670200865716649E-3</v>
      </c>
      <c r="P1874" s="100">
        <f>MAX(SamplingData[[#This Row],[Error Bound (up) - Max. possible relative overstatement - Losing Candidate]:[Error Bound (up) - Max. possible relative overstatement - Candidate 6]])</f>
        <v>3.9196472317491425E-3</v>
      </c>
      <c r="Q1874" s="100">
        <f>IF(SamplingData[[#This Row],[Max Error Bound (up)]] = 0,0,SamplingData[[#This Row],[Max Error Bound (up)]]/SamplingData[[#Totals],[Max Error Bound (up)]])</f>
        <v>6.2034868982053322E-4</v>
      </c>
      <c r="R1874" s="101">
        <f>SUM($Q$5:Q1874)</f>
        <v>0.76365245247442259</v>
      </c>
      <c r="S1874" s="100" t="str">
        <f t="array" ref="S1874">IF(SamplingData[[#This Row],[up/U Selection Probability]] = 0, "Zero", TEXT(SamplingData[[#This Row],[Lower Range]], REPT("0",LEN('General Info'!$B$40))) &amp; " - " &amp; TEXT(SamplingData[[#This Row],[Upper Range]], REPT("0",LEN('General Info'!$B$40))))</f>
        <v>76303 - 76364</v>
      </c>
      <c r="T1874" s="100">
        <f>SamplingData[[#This Row],[Upper Range]]-SamplingData[[#This Row],[Span]]</f>
        <v>76303.210998808892</v>
      </c>
      <c r="U1874" s="100">
        <f>IF(ISNUMBER('General Info'!$B$40), ((SamplingData[[#This Row],[up/U Selection Probability]]) * 'General Info'!$B$40) - 1, 0)</f>
        <v>61.034248633363504</v>
      </c>
      <c r="V1874" s="100">
        <f>IF(ISNUMBER('General Info'!$B$40), (SamplingData[[#This Row],[Running (cumulative) sum]] * ('General Info'!$B$40 -'General Info'!$B$41 + 1)) + 'General Info'!$B$41 - 1, 0)</f>
        <v>76364.245247442261</v>
      </c>
      <c r="W1874" s="100" t="str">
        <f>IF(ISERROR(MATCH(SamplingData[[#This Row],[Batch by Type (p)]],SelectedPrecincts[Batch Name], 0)), "", INDEX(SelectedPrecincts[Draw], MATCH(SamplingData[[#This Row],[Batch by Type (p)]],SelectedPrecincts[Batch Name], 0)))</f>
        <v/>
      </c>
      <c r="X1874" s="102">
        <f>IF(COUNTIF(SelectedPrecincts[Batch Name],SamplingData[[#This Row],[Batch by Type (p)]]) &lt;&gt; 0, COUNTIF(SelectedPrecincts[Batch Name],SamplingData[[#This Row],[Batch by Type (p)]]), 0)</f>
        <v>0</v>
      </c>
    </row>
    <row r="1875" spans="1:24" ht="15" customHeight="1">
      <c r="A1875" s="18" t="s">
        <v>2051</v>
      </c>
      <c r="B1875" s="18">
        <v>4</v>
      </c>
      <c r="C1875" s="18">
        <v>2</v>
      </c>
      <c r="D1875" s="16">
        <v>3</v>
      </c>
      <c r="E1875" s="16">
        <v>6</v>
      </c>
      <c r="F1875" s="37">
        <v>0</v>
      </c>
      <c r="G1875" s="37">
        <v>0</v>
      </c>
      <c r="H1875" s="17">
        <v>0</v>
      </c>
      <c r="I1875" s="17">
        <v>0</v>
      </c>
      <c r="J1875" s="99">
        <f>SUM(SamplingData[[#This Row],[Losing Candidate]:[Under Votes]])</f>
        <v>15</v>
      </c>
      <c r="K1875" s="100">
        <f>IF(AND(SamplingData[[#This Row],[Total]]&lt;&gt; 0, NOT(ISBLANK(SamplingData[[#This Row],[Losing Candidate]]))),(SamplingData[[#This Row],[Total]]+SamplingData[[#This Row],[Winning Candidate]]-SamplingData[[#This Row],[Losing Candidate]])/(SamplingData[[#Totals],[Winning Candidate]]-SamplingData[[#Totals],[Losing Candidate]]), 0)</f>
        <v>7.9617834394904463E-4</v>
      </c>
      <c r="L1875" s="100">
        <f>IF(AND(SamplingData[[#This Row],[Total]]&lt;&gt; 0, NOT(ISBLANK(SamplingData[[#This Row],[Candidate 3]]))),(SamplingData[[#This Row],[Total]]+SamplingData[[#This Row],[Winning Candidate]]-SamplingData[[#This Row],[Candidate 3]])/(SamplingData[[#Totals],[Winning Candidate]]-SamplingData[[#Totals],[Candidate 3]]), 0)</f>
        <v>4.5165661193018679E-4</v>
      </c>
      <c r="M1875" s="100">
        <f>IF(AND(SamplingData[[#This Row],[Total]]&lt;&gt; 0, NOT(ISBLANK(SamplingData[[#This Row],[Candidate 4]]))),(SamplingData[[#This Row],[Total]]+SamplingData[[#This Row],[Winning Candidate]]-SamplingData[[#This Row],[Candidate 4]])/(SamplingData[[#Totals],[Winning Candidate]]-SamplingData[[#Totals],[Candidate 4]]), 0)</f>
        <v>3.2155280774065302E-4</v>
      </c>
      <c r="N1875" s="100">
        <f>IF(AND(SamplingData[[#This Row],[Total]]&lt;&gt; 0, NOT(ISBLANK(SamplingData[[#This Row],[Candidate 5]]))),(SamplingData[[#This Row],[Total]]+SamplingData[[#This Row],[Winning Candidate]]-SamplingData[[#This Row],[Candidate 5]])/(SamplingData[[#Totals],[Winning Candidate]]-SamplingData[[#Totals],[Candidate 5]]), 0)</f>
        <v>4.1352468985648261E-4</v>
      </c>
      <c r="O1875" s="100">
        <f>IF(AND(SamplingData[[#This Row],[Total]]&lt;&gt; 0, NOT(ISBLANK(SamplingData[[#This Row],[Candidate 6]]))),(SamplingData[[#This Row],[Total]]+SamplingData[[#This Row],[Winning Candidate]]-SamplingData[[#This Row],[Candidate 6]])/(SamplingData[[#Totals],[Winning Candidate]]-SamplingData[[#Totals],[Candidate 6]]), 0)</f>
        <v>4.1340401731433294E-4</v>
      </c>
      <c r="P1875" s="100">
        <f>MAX(SamplingData[[#This Row],[Error Bound (up) - Max. possible relative overstatement - Losing Candidate]:[Error Bound (up) - Max. possible relative overstatement - Candidate 6]])</f>
        <v>7.9617834394904463E-4</v>
      </c>
      <c r="Q1875" s="100">
        <f>IF(SamplingData[[#This Row],[Max Error Bound (up)]] = 0,0,SamplingData[[#This Row],[Max Error Bound (up)]]/SamplingData[[#Totals],[Max Error Bound (up)]])</f>
        <v>1.2600832761979581E-4</v>
      </c>
      <c r="R1875" s="101">
        <f>SUM($Q$5:Q1875)</f>
        <v>0.76377846080204237</v>
      </c>
      <c r="S1875" s="100" t="str">
        <f t="array" ref="S1875">IF(SamplingData[[#This Row],[up/U Selection Probability]] = 0, "Zero", TEXT(SamplingData[[#This Row],[Lower Range]], REPT("0",LEN('General Info'!$B$40))) &amp; " - " &amp; TEXT(SamplingData[[#This Row],[Upper Range]], REPT("0",LEN('General Info'!$B$40))))</f>
        <v>76365 - 76377</v>
      </c>
      <c r="T1875" s="100">
        <f>SamplingData[[#This Row],[Upper Range]]-SamplingData[[#This Row],[Span]]</f>
        <v>76365.245373450583</v>
      </c>
      <c r="U1875" s="100">
        <f>IF(ISNUMBER('General Info'!$B$40), ((SamplingData[[#This Row],[up/U Selection Probability]]) * 'General Info'!$B$40) - 1, 0)</f>
        <v>11.600706753651961</v>
      </c>
      <c r="V1875" s="100">
        <f>IF(ISNUMBER('General Info'!$B$40), (SamplingData[[#This Row],[Running (cumulative) sum]] * ('General Info'!$B$40 -'General Info'!$B$41 + 1)) + 'General Info'!$B$41 - 1, 0)</f>
        <v>76376.846080204239</v>
      </c>
      <c r="W1875" s="100" t="str">
        <f>IF(ISERROR(MATCH(SamplingData[[#This Row],[Batch by Type (p)]],SelectedPrecincts[Batch Name], 0)), "", INDEX(SelectedPrecincts[Draw], MATCH(SamplingData[[#This Row],[Batch by Type (p)]],SelectedPrecincts[Batch Name], 0)))</f>
        <v/>
      </c>
      <c r="X1875" s="102">
        <f>IF(COUNTIF(SelectedPrecincts[Batch Name],SamplingData[[#This Row],[Batch by Type (p)]]) &lt;&gt; 0, COUNTIF(SelectedPrecincts[Batch Name],SamplingData[[#This Row],[Batch by Type (p)]]), 0)</f>
        <v>0</v>
      </c>
    </row>
    <row r="1876" spans="1:24" ht="15" customHeight="1">
      <c r="A1876" s="18" t="s">
        <v>2052</v>
      </c>
      <c r="B1876" s="18">
        <v>2</v>
      </c>
      <c r="C1876" s="18">
        <v>2</v>
      </c>
      <c r="D1876" s="18">
        <v>1</v>
      </c>
      <c r="E1876" s="18">
        <v>4</v>
      </c>
      <c r="F1876" s="18">
        <v>0</v>
      </c>
      <c r="G1876" s="18">
        <v>0</v>
      </c>
      <c r="H1876" s="18">
        <v>0</v>
      </c>
      <c r="I1876" s="18">
        <v>0</v>
      </c>
      <c r="J1876" s="99">
        <f>SUM(SamplingData[[#This Row],[Losing Candidate]:[Under Votes]])</f>
        <v>9</v>
      </c>
      <c r="K1876"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876" s="100">
        <f>IF(AND(SamplingData[[#This Row],[Total]]&lt;&gt; 0, NOT(ISBLANK(SamplingData[[#This Row],[Candidate 3]]))),(SamplingData[[#This Row],[Total]]+SamplingData[[#This Row],[Winning Candidate]]-SamplingData[[#This Row],[Candidate 3]])/(SamplingData[[#Totals],[Winning Candidate]]-SamplingData[[#Totals],[Candidate 3]]), 0)</f>
        <v>3.2261186566441915E-4</v>
      </c>
      <c r="M1876" s="100">
        <f>IF(AND(SamplingData[[#This Row],[Total]]&lt;&gt; 0, NOT(ISBLANK(SamplingData[[#This Row],[Candidate 4]]))),(SamplingData[[#This Row],[Total]]+SamplingData[[#This Row],[Winning Candidate]]-SamplingData[[#This Row],[Candidate 4]])/(SamplingData[[#Totals],[Winning Candidate]]-SamplingData[[#Totals],[Candidate 4]]), 0)</f>
        <v>2.0462451401677921E-4</v>
      </c>
      <c r="N1876" s="100">
        <f>IF(AND(SamplingData[[#This Row],[Total]]&lt;&gt; 0, NOT(ISBLANK(SamplingData[[#This Row],[Candidate 5]]))),(SamplingData[[#This Row],[Total]]+SamplingData[[#This Row],[Winning Candidate]]-SamplingData[[#This Row],[Candidate 5]])/(SamplingData[[#Totals],[Winning Candidate]]-SamplingData[[#Totals],[Candidate 5]]), 0)</f>
        <v>2.6757479931890053E-4</v>
      </c>
      <c r="O1876" s="100">
        <f>IF(AND(SamplingData[[#This Row],[Total]]&lt;&gt; 0, NOT(ISBLANK(SamplingData[[#This Row],[Candidate 6]]))),(SamplingData[[#This Row],[Total]]+SamplingData[[#This Row],[Winning Candidate]]-SamplingData[[#This Row],[Candidate 6]])/(SamplingData[[#Totals],[Winning Candidate]]-SamplingData[[#Totals],[Candidate 6]]), 0)</f>
        <v>2.6749671708574483E-4</v>
      </c>
      <c r="P1876" s="100">
        <f>MAX(SamplingData[[#This Row],[Error Bound (up) - Max. possible relative overstatement - Losing Candidate]:[Error Bound (up) - Max. possible relative overstatement - Candidate 6]])</f>
        <v>5.5120039196472322E-4</v>
      </c>
      <c r="Q1876" s="100">
        <f>IF(SamplingData[[#This Row],[Max Error Bound (up)]] = 0,0,SamplingData[[#This Row],[Max Error Bound (up)]]/SamplingData[[#Totals],[Max Error Bound (up)]])</f>
        <v>8.7236534506012492E-5</v>
      </c>
      <c r="R1876" s="101">
        <f>SUM($Q$5:Q1876)</f>
        <v>0.76386569733654841</v>
      </c>
      <c r="S1876" s="100" t="str">
        <f t="array" ref="S1876">IF(SamplingData[[#This Row],[up/U Selection Probability]] = 0, "Zero", TEXT(SamplingData[[#This Row],[Lower Range]], REPT("0",LEN('General Info'!$B$40))) &amp; " - " &amp; TEXT(SamplingData[[#This Row],[Upper Range]], REPT("0",LEN('General Info'!$B$40))))</f>
        <v>76378 - 76386</v>
      </c>
      <c r="T1876" s="100">
        <f>SamplingData[[#This Row],[Upper Range]]-SamplingData[[#This Row],[Span]]</f>
        <v>76377.846167440774</v>
      </c>
      <c r="U1876" s="100">
        <f>IF(ISNUMBER('General Info'!$B$40), ((SamplingData[[#This Row],[up/U Selection Probability]]) * 'General Info'!$B$40) - 1, 0)</f>
        <v>7.7235662140667429</v>
      </c>
      <c r="V1876" s="100">
        <f>IF(ISNUMBER('General Info'!$B$40), (SamplingData[[#This Row],[Running (cumulative) sum]] * ('General Info'!$B$40 -'General Info'!$B$41 + 1)) + 'General Info'!$B$41 - 1, 0)</f>
        <v>76385.569733654847</v>
      </c>
      <c r="W1876" s="100" t="str">
        <f>IF(ISERROR(MATCH(SamplingData[[#This Row],[Batch by Type (p)]],SelectedPrecincts[Batch Name], 0)), "", INDEX(SelectedPrecincts[Draw], MATCH(SamplingData[[#This Row],[Batch by Type (p)]],SelectedPrecincts[Batch Name], 0)))</f>
        <v/>
      </c>
      <c r="X1876" s="102">
        <f>IF(COUNTIF(SelectedPrecincts[Batch Name],SamplingData[[#This Row],[Batch by Type (p)]]) &lt;&gt; 0, COUNTIF(SelectedPrecincts[Batch Name],SamplingData[[#This Row],[Batch by Type (p)]]), 0)</f>
        <v>0</v>
      </c>
    </row>
    <row r="1877" spans="1:24" ht="15" customHeight="1">
      <c r="A1877" s="18" t="s">
        <v>2053</v>
      </c>
      <c r="B1877" s="18">
        <v>7</v>
      </c>
      <c r="C1877" s="18">
        <v>51</v>
      </c>
      <c r="D1877" s="16">
        <v>4</v>
      </c>
      <c r="E1877" s="16">
        <v>6</v>
      </c>
      <c r="F1877" s="37">
        <v>0</v>
      </c>
      <c r="G1877" s="37">
        <v>0</v>
      </c>
      <c r="H1877" s="17">
        <v>0</v>
      </c>
      <c r="I1877" s="17">
        <v>0</v>
      </c>
      <c r="J1877" s="99">
        <f>SUM(SamplingData[[#This Row],[Losing Candidate]:[Under Votes]])</f>
        <v>68</v>
      </c>
      <c r="K1877" s="100">
        <f>IF(AND(SamplingData[[#This Row],[Total]]&lt;&gt; 0, NOT(ISBLANK(SamplingData[[#This Row],[Losing Candidate]]))),(SamplingData[[#This Row],[Total]]+SamplingData[[#This Row],[Winning Candidate]]-SamplingData[[#This Row],[Losing Candidate]])/(SamplingData[[#Totals],[Winning Candidate]]-SamplingData[[#Totals],[Losing Candidate]]), 0)</f>
        <v>6.8593826555609994E-3</v>
      </c>
      <c r="L1877" s="100">
        <f>IF(AND(SamplingData[[#This Row],[Total]]&lt;&gt; 0, NOT(ISBLANK(SamplingData[[#This Row],[Candidate 3]]))),(SamplingData[[#This Row],[Total]]+SamplingData[[#This Row],[Winning Candidate]]-SamplingData[[#This Row],[Candidate 3]])/(SamplingData[[#Totals],[Winning Candidate]]-SamplingData[[#Totals],[Candidate 3]]), 0)</f>
        <v>3.7100364551408199E-3</v>
      </c>
      <c r="M1877" s="100">
        <f>IF(AND(SamplingData[[#This Row],[Total]]&lt;&gt; 0, NOT(ISBLANK(SamplingData[[#This Row],[Candidate 4]]))),(SamplingData[[#This Row],[Total]]+SamplingData[[#This Row],[Winning Candidate]]-SamplingData[[#This Row],[Candidate 4]])/(SamplingData[[#Totals],[Winning Candidate]]-SamplingData[[#Totals],[Candidate 4]]), 0)</f>
        <v>3.3032242976994359E-3</v>
      </c>
      <c r="N1877" s="100">
        <f>IF(AND(SamplingData[[#This Row],[Total]]&lt;&gt; 0, NOT(ISBLANK(SamplingData[[#This Row],[Candidate 5]]))),(SamplingData[[#This Row],[Total]]+SamplingData[[#This Row],[Winning Candidate]]-SamplingData[[#This Row],[Candidate 5]])/(SamplingData[[#Totals],[Winning Candidate]]-SamplingData[[#Totals],[Candidate 5]]), 0)</f>
        <v>2.8946728289953785E-3</v>
      </c>
      <c r="O1877" s="100">
        <f>IF(AND(SamplingData[[#This Row],[Total]]&lt;&gt; 0, NOT(ISBLANK(SamplingData[[#This Row],[Candidate 6]]))),(SamplingData[[#This Row],[Total]]+SamplingData[[#This Row],[Winning Candidate]]-SamplingData[[#This Row],[Candidate 6]])/(SamplingData[[#Totals],[Winning Candidate]]-SamplingData[[#Totals],[Candidate 6]]), 0)</f>
        <v>2.8938281212003308E-3</v>
      </c>
      <c r="P1877" s="100">
        <f>MAX(SamplingData[[#This Row],[Error Bound (up) - Max. possible relative overstatement - Losing Candidate]:[Error Bound (up) - Max. possible relative overstatement - Candidate 6]])</f>
        <v>6.8593826555609994E-3</v>
      </c>
      <c r="Q1877" s="100">
        <f>IF(SamplingData[[#This Row],[Max Error Bound (up)]] = 0,0,SamplingData[[#This Row],[Max Error Bound (up)]]/SamplingData[[#Totals],[Max Error Bound (up)]])</f>
        <v>1.0856102071859332E-3</v>
      </c>
      <c r="R1877" s="101">
        <f>SUM($Q$5:Q1877)</f>
        <v>0.7649513075437343</v>
      </c>
      <c r="S1877" s="100" t="str">
        <f t="array" ref="S1877">IF(SamplingData[[#This Row],[up/U Selection Probability]] = 0, "Zero", TEXT(SamplingData[[#This Row],[Lower Range]], REPT("0",LEN('General Info'!$B$40))) &amp; " - " &amp; TEXT(SamplingData[[#This Row],[Upper Range]], REPT("0",LEN('General Info'!$B$40))))</f>
        <v>76387 - 76494</v>
      </c>
      <c r="T1877" s="100">
        <f>SamplingData[[#This Row],[Upper Range]]-SamplingData[[#This Row],[Span]]</f>
        <v>76386.570819265049</v>
      </c>
      <c r="U1877" s="100">
        <f>IF(ISNUMBER('General Info'!$B$40), ((SamplingData[[#This Row],[up/U Selection Probability]]) * 'General Info'!$B$40) - 1, 0)</f>
        <v>107.55993510838614</v>
      </c>
      <c r="V1877" s="100">
        <f>IF(ISNUMBER('General Info'!$B$40), (SamplingData[[#This Row],[Running (cumulative) sum]] * ('General Info'!$B$40 -'General Info'!$B$41 + 1)) + 'General Info'!$B$41 - 1, 0)</f>
        <v>76494.130754373429</v>
      </c>
      <c r="W1877" s="100" t="str">
        <f>IF(ISERROR(MATCH(SamplingData[[#This Row],[Batch by Type (p)]],SelectedPrecincts[Batch Name], 0)), "", INDEX(SelectedPrecincts[Draw], MATCH(SamplingData[[#This Row],[Batch by Type (p)]],SelectedPrecincts[Batch Name], 0)))</f>
        <v/>
      </c>
      <c r="X1877" s="102">
        <f>IF(COUNTIF(SelectedPrecincts[Batch Name],SamplingData[[#This Row],[Batch by Type (p)]]) &lt;&gt; 0, COUNTIF(SelectedPrecincts[Batch Name],SamplingData[[#This Row],[Batch by Type (p)]]), 0)</f>
        <v>0</v>
      </c>
    </row>
    <row r="1878" spans="1:24" ht="15" customHeight="1">
      <c r="A1878" s="18" t="s">
        <v>2054</v>
      </c>
      <c r="B1878" s="18">
        <v>1</v>
      </c>
      <c r="C1878" s="18">
        <v>24</v>
      </c>
      <c r="D1878" s="18">
        <v>10</v>
      </c>
      <c r="E1878" s="18">
        <v>2</v>
      </c>
      <c r="F1878" s="18">
        <v>1</v>
      </c>
      <c r="G1878" s="18">
        <v>0</v>
      </c>
      <c r="H1878" s="18">
        <v>0</v>
      </c>
      <c r="I1878" s="18">
        <v>0</v>
      </c>
      <c r="J1878" s="99">
        <f>SUM(SamplingData[[#This Row],[Losing Candidate]:[Under Votes]])</f>
        <v>38</v>
      </c>
      <c r="K1878"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878" s="100">
        <f>IF(AND(SamplingData[[#This Row],[Total]]&lt;&gt; 0, NOT(ISBLANK(SamplingData[[#This Row],[Candidate 3]]))),(SamplingData[[#This Row],[Total]]+SamplingData[[#This Row],[Winning Candidate]]-SamplingData[[#This Row],[Candidate 3]])/(SamplingData[[#Totals],[Winning Candidate]]-SamplingData[[#Totals],[Candidate 3]]), 0)</f>
        <v>1.6775817014549794E-3</v>
      </c>
      <c r="M1878" s="100">
        <f>IF(AND(SamplingData[[#This Row],[Total]]&lt;&gt; 0, NOT(ISBLANK(SamplingData[[#This Row],[Candidate 4]]))),(SamplingData[[#This Row],[Total]]+SamplingData[[#This Row],[Winning Candidate]]-SamplingData[[#This Row],[Candidate 4]])/(SamplingData[[#Totals],[Winning Candidate]]-SamplingData[[#Totals],[Candidate 4]]), 0)</f>
        <v>1.7539244058581076E-3</v>
      </c>
      <c r="N1878" s="100">
        <f>IF(AND(SamplingData[[#This Row],[Total]]&lt;&gt; 0, NOT(ISBLANK(SamplingData[[#This Row],[Candidate 5]]))),(SamplingData[[#This Row],[Total]]+SamplingData[[#This Row],[Winning Candidate]]-SamplingData[[#This Row],[Candidate 5]])/(SamplingData[[#Totals],[Winning Candidate]]-SamplingData[[#Totals],[Candidate 5]]), 0)</f>
        <v>1.4838238871320846E-3</v>
      </c>
      <c r="O1878" s="100">
        <f>IF(AND(SamplingData[[#This Row],[Total]]&lt;&gt; 0, NOT(ISBLANK(SamplingData[[#This Row],[Candidate 6]]))),(SamplingData[[#This Row],[Total]]+SamplingData[[#This Row],[Winning Candidate]]-SamplingData[[#This Row],[Candidate 6]])/(SamplingData[[#Totals],[Winning Candidate]]-SamplingData[[#Totals],[Candidate 6]]), 0)</f>
        <v>1.5077087690287436E-3</v>
      </c>
      <c r="P1878" s="100">
        <f>MAX(SamplingData[[#This Row],[Error Bound (up) - Max. possible relative overstatement - Losing Candidate]:[Error Bound (up) - Max. possible relative overstatement - Candidate 6]])</f>
        <v>3.7359137677609017E-3</v>
      </c>
      <c r="Q1878" s="100">
        <f>IF(SamplingData[[#This Row],[Max Error Bound (up)]] = 0,0,SamplingData[[#This Row],[Max Error Bound (up)]]/SamplingData[[#Totals],[Max Error Bound (up)]])</f>
        <v>5.9126984498519581E-4</v>
      </c>
      <c r="R1878" s="101">
        <f>SUM($Q$5:Q1878)</f>
        <v>0.76554257738871945</v>
      </c>
      <c r="S1878" s="100" t="str">
        <f t="array" ref="S1878">IF(SamplingData[[#This Row],[up/U Selection Probability]] = 0, "Zero", TEXT(SamplingData[[#This Row],[Lower Range]], REPT("0",LEN('General Info'!$B$40))) &amp; " - " &amp; TEXT(SamplingData[[#This Row],[Upper Range]], REPT("0",LEN('General Info'!$B$40))))</f>
        <v>76495 - 76553</v>
      </c>
      <c r="T1878" s="100">
        <f>SamplingData[[#This Row],[Upper Range]]-SamplingData[[#This Row],[Span]]</f>
        <v>76495.131345643284</v>
      </c>
      <c r="U1878" s="100">
        <f>IF(ISNUMBER('General Info'!$B$40), ((SamplingData[[#This Row],[up/U Selection Probability]]) * 'General Info'!$B$40) - 1, 0)</f>
        <v>58.126393228674594</v>
      </c>
      <c r="V1878" s="100">
        <f>IF(ISNUMBER('General Info'!$B$40), (SamplingData[[#This Row],[Running (cumulative) sum]] * ('General Info'!$B$40 -'General Info'!$B$41 + 1)) + 'General Info'!$B$41 - 1, 0)</f>
        <v>76553.257738871951</v>
      </c>
      <c r="W1878" s="100" t="str">
        <f>IF(ISERROR(MATCH(SamplingData[[#This Row],[Batch by Type (p)]],SelectedPrecincts[Batch Name], 0)), "", INDEX(SelectedPrecincts[Draw], MATCH(SamplingData[[#This Row],[Batch by Type (p)]],SelectedPrecincts[Batch Name], 0)))</f>
        <v/>
      </c>
      <c r="X1878" s="102">
        <f>IF(COUNTIF(SelectedPrecincts[Batch Name],SamplingData[[#This Row],[Batch by Type (p)]]) &lt;&gt; 0, COUNTIF(SelectedPrecincts[Batch Name],SamplingData[[#This Row],[Batch by Type (p)]]), 0)</f>
        <v>0</v>
      </c>
    </row>
    <row r="1879" spans="1:24" ht="15" customHeight="1">
      <c r="A1879" s="18" t="s">
        <v>2055</v>
      </c>
      <c r="B1879" s="18">
        <v>12</v>
      </c>
      <c r="C1879" s="18">
        <v>25</v>
      </c>
      <c r="D1879" s="16">
        <v>5</v>
      </c>
      <c r="E1879" s="16">
        <v>4</v>
      </c>
      <c r="F1879" s="37">
        <v>1</v>
      </c>
      <c r="G1879" s="37">
        <v>0</v>
      </c>
      <c r="H1879" s="17">
        <v>0</v>
      </c>
      <c r="I1879" s="17">
        <v>0</v>
      </c>
      <c r="J1879" s="99">
        <f>SUM(SamplingData[[#This Row],[Losing Candidate]:[Under Votes]])</f>
        <v>47</v>
      </c>
      <c r="K1879" s="100">
        <f>IF(AND(SamplingData[[#This Row],[Total]]&lt;&gt; 0, NOT(ISBLANK(SamplingData[[#This Row],[Losing Candidate]]))),(SamplingData[[#This Row],[Total]]+SamplingData[[#This Row],[Winning Candidate]]-SamplingData[[#This Row],[Losing Candidate]])/(SamplingData[[#Totals],[Winning Candidate]]-SamplingData[[#Totals],[Losing Candidate]]), 0)</f>
        <v>3.6746692797648213E-3</v>
      </c>
      <c r="L1879" s="100">
        <f>IF(AND(SamplingData[[#This Row],[Total]]&lt;&gt; 0, NOT(ISBLANK(SamplingData[[#This Row],[Candidate 3]]))),(SamplingData[[#This Row],[Total]]+SamplingData[[#This Row],[Winning Candidate]]-SamplingData[[#This Row],[Candidate 3]])/(SamplingData[[#Totals],[Winning Candidate]]-SamplingData[[#Totals],[Candidate 3]]), 0)</f>
        <v>2.1614994999516082E-3</v>
      </c>
      <c r="M1879" s="100">
        <f>IF(AND(SamplingData[[#This Row],[Total]]&lt;&gt; 0, NOT(ISBLANK(SamplingData[[#This Row],[Candidate 4]]))),(SamplingData[[#This Row],[Total]]+SamplingData[[#This Row],[Winning Candidate]]-SamplingData[[#This Row],[Candidate 4]])/(SamplingData[[#Totals],[Winning Candidate]]-SamplingData[[#Totals],[Candidate 4]]), 0)</f>
        <v>1.9877809933058553E-3</v>
      </c>
      <c r="N1879" s="100">
        <f>IF(AND(SamplingData[[#This Row],[Total]]&lt;&gt; 0, NOT(ISBLANK(SamplingData[[#This Row],[Candidate 5]]))),(SamplingData[[#This Row],[Total]]+SamplingData[[#This Row],[Winning Candidate]]-SamplingData[[#This Row],[Candidate 5]])/(SamplingData[[#Totals],[Winning Candidate]]-SamplingData[[#Totals],[Candidate 5]]), 0)</f>
        <v>1.7270737046947214E-3</v>
      </c>
      <c r="O1879" s="100">
        <f>IF(AND(SamplingData[[#This Row],[Total]]&lt;&gt; 0, NOT(ISBLANK(SamplingData[[#This Row],[Candidate 6]]))),(SamplingData[[#This Row],[Total]]+SamplingData[[#This Row],[Winning Candidate]]-SamplingData[[#This Row],[Candidate 6]])/(SamplingData[[#Totals],[Winning Candidate]]-SamplingData[[#Totals],[Candidate 6]]), 0)</f>
        <v>1.7508876027430573E-3</v>
      </c>
      <c r="P1879" s="100">
        <f>MAX(SamplingData[[#This Row],[Error Bound (up) - Max. possible relative overstatement - Losing Candidate]:[Error Bound (up) - Max. possible relative overstatement - Candidate 6]])</f>
        <v>3.6746692797648213E-3</v>
      </c>
      <c r="Q1879" s="100">
        <f>IF(SamplingData[[#This Row],[Max Error Bound (up)]] = 0,0,SamplingData[[#This Row],[Max Error Bound (up)]]/SamplingData[[#Totals],[Max Error Bound (up)]])</f>
        <v>5.8157689670674997E-4</v>
      </c>
      <c r="R1879" s="101">
        <f>SUM($Q$5:Q1879)</f>
        <v>0.76612415428542624</v>
      </c>
      <c r="S1879" s="100" t="str">
        <f t="array" ref="S1879">IF(SamplingData[[#This Row],[up/U Selection Probability]] = 0, "Zero", TEXT(SamplingData[[#This Row],[Lower Range]], REPT("0",LEN('General Info'!$B$40))) &amp; " - " &amp; TEXT(SamplingData[[#This Row],[Upper Range]], REPT("0",LEN('General Info'!$B$40))))</f>
        <v>76554 - 76611</v>
      </c>
      <c r="T1879" s="100">
        <f>SamplingData[[#This Row],[Upper Range]]-SamplingData[[#This Row],[Span]]</f>
        <v>76554.258320448847</v>
      </c>
      <c r="U1879" s="100">
        <f>IF(ISNUMBER('General Info'!$B$40), ((SamplingData[[#This Row],[up/U Selection Probability]]) * 'General Info'!$B$40) - 1, 0)</f>
        <v>57.157108093778291</v>
      </c>
      <c r="V1879" s="100">
        <f>IF(ISNUMBER('General Info'!$B$40), (SamplingData[[#This Row],[Running (cumulative) sum]] * ('General Info'!$B$40 -'General Info'!$B$41 + 1)) + 'General Info'!$B$41 - 1, 0)</f>
        <v>76611.415428542619</v>
      </c>
      <c r="W1879" s="100" t="str">
        <f>IF(ISERROR(MATCH(SamplingData[[#This Row],[Batch by Type (p)]],SelectedPrecincts[Batch Name], 0)), "", INDEX(SelectedPrecincts[Draw], MATCH(SamplingData[[#This Row],[Batch by Type (p)]],SelectedPrecincts[Batch Name], 0)))</f>
        <v/>
      </c>
      <c r="X1879" s="102">
        <f>IF(COUNTIF(SelectedPrecincts[Batch Name],SamplingData[[#This Row],[Batch by Type (p)]]) &lt;&gt; 0, COUNTIF(SelectedPrecincts[Batch Name],SamplingData[[#This Row],[Batch by Type (p)]]), 0)</f>
        <v>0</v>
      </c>
    </row>
    <row r="1880" spans="1:24" ht="15" customHeight="1">
      <c r="A1880" s="18" t="s">
        <v>2056</v>
      </c>
      <c r="B1880" s="18">
        <v>3</v>
      </c>
      <c r="C1880" s="18">
        <v>9</v>
      </c>
      <c r="D1880" s="18">
        <v>0</v>
      </c>
      <c r="E1880" s="18">
        <v>2</v>
      </c>
      <c r="F1880" s="18">
        <v>0</v>
      </c>
      <c r="G1880" s="18">
        <v>0</v>
      </c>
      <c r="H1880" s="18">
        <v>0</v>
      </c>
      <c r="I1880" s="18">
        <v>0</v>
      </c>
      <c r="J1880" s="99">
        <f>SUM(SamplingData[[#This Row],[Losing Candidate]:[Under Votes]])</f>
        <v>14</v>
      </c>
      <c r="K1880"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880" s="100">
        <f>IF(AND(SamplingData[[#This Row],[Total]]&lt;&gt; 0, NOT(ISBLANK(SamplingData[[#This Row],[Candidate 3]]))),(SamplingData[[#This Row],[Total]]+SamplingData[[#This Row],[Winning Candidate]]-SamplingData[[#This Row],[Candidate 3]])/(SamplingData[[#Totals],[Winning Candidate]]-SamplingData[[#Totals],[Candidate 3]]), 0)</f>
        <v>7.4200729102816406E-4</v>
      </c>
      <c r="M1880" s="100">
        <f>IF(AND(SamplingData[[#This Row],[Total]]&lt;&gt; 0, NOT(ISBLANK(SamplingData[[#This Row],[Candidate 4]]))),(SamplingData[[#This Row],[Total]]+SamplingData[[#This Row],[Winning Candidate]]-SamplingData[[#This Row],[Candidate 4]])/(SamplingData[[#Totals],[Winning Candidate]]-SamplingData[[#Totals],[Candidate 4]]), 0)</f>
        <v>6.1387354205033758E-4</v>
      </c>
      <c r="N1880" s="100">
        <f>IF(AND(SamplingData[[#This Row],[Total]]&lt;&gt; 0, NOT(ISBLANK(SamplingData[[#This Row],[Candidate 5]]))),(SamplingData[[#This Row],[Total]]+SamplingData[[#This Row],[Winning Candidate]]-SamplingData[[#This Row],[Candidate 5]])/(SamplingData[[#Totals],[Winning Candidate]]-SamplingData[[#Totals],[Candidate 5]]), 0)</f>
        <v>5.5947458039406475E-4</v>
      </c>
      <c r="O1880" s="100">
        <f>IF(AND(SamplingData[[#This Row],[Total]]&lt;&gt; 0, NOT(ISBLANK(SamplingData[[#This Row],[Candidate 6]]))),(SamplingData[[#This Row],[Total]]+SamplingData[[#This Row],[Winning Candidate]]-SamplingData[[#This Row],[Candidate 6]])/(SamplingData[[#Totals],[Winning Candidate]]-SamplingData[[#Totals],[Candidate 6]]), 0)</f>
        <v>5.5931131754292105E-4</v>
      </c>
      <c r="P1880" s="100">
        <f>MAX(SamplingData[[#This Row],[Error Bound (up) - Max. possible relative overstatement - Losing Candidate]:[Error Bound (up) - Max. possible relative overstatement - Candidate 6]])</f>
        <v>1.224889759921607E-3</v>
      </c>
      <c r="Q1880" s="100">
        <f>IF(SamplingData[[#This Row],[Max Error Bound (up)]] = 0,0,SamplingData[[#This Row],[Max Error Bound (up)]]/SamplingData[[#Totals],[Max Error Bound (up)]])</f>
        <v>1.9385896556891664E-4</v>
      </c>
      <c r="R1880" s="101">
        <f>SUM($Q$5:Q1880)</f>
        <v>0.76631801325099513</v>
      </c>
      <c r="S1880" s="100" t="str">
        <f t="array" ref="S1880">IF(SamplingData[[#This Row],[up/U Selection Probability]] = 0, "Zero", TEXT(SamplingData[[#This Row],[Lower Range]], REPT("0",LEN('General Info'!$B$40))) &amp; " - " &amp; TEXT(SamplingData[[#This Row],[Upper Range]], REPT("0",LEN('General Info'!$B$40))))</f>
        <v>76612 - 76631</v>
      </c>
      <c r="T1880" s="100">
        <f>SamplingData[[#This Row],[Upper Range]]-SamplingData[[#This Row],[Span]]</f>
        <v>76612.41562240159</v>
      </c>
      <c r="U1880" s="100">
        <f>IF(ISNUMBER('General Info'!$B$40), ((SamplingData[[#This Row],[up/U Selection Probability]]) * 'General Info'!$B$40) - 1, 0)</f>
        <v>18.385702697926096</v>
      </c>
      <c r="V1880" s="100">
        <f>IF(ISNUMBER('General Info'!$B$40), (SamplingData[[#This Row],[Running (cumulative) sum]] * ('General Info'!$B$40 -'General Info'!$B$41 + 1)) + 'General Info'!$B$41 - 1, 0)</f>
        <v>76630.801325099514</v>
      </c>
      <c r="W1880" s="100" t="str">
        <f>IF(ISERROR(MATCH(SamplingData[[#This Row],[Batch by Type (p)]],SelectedPrecincts[Batch Name], 0)), "", INDEX(SelectedPrecincts[Draw], MATCH(SamplingData[[#This Row],[Batch by Type (p)]],SelectedPrecincts[Batch Name], 0)))</f>
        <v/>
      </c>
      <c r="X1880" s="102">
        <f>IF(COUNTIF(SelectedPrecincts[Batch Name],SamplingData[[#This Row],[Batch by Type (p)]]) &lt;&gt; 0, COUNTIF(SelectedPrecincts[Batch Name],SamplingData[[#This Row],[Batch by Type (p)]]), 0)</f>
        <v>0</v>
      </c>
    </row>
    <row r="1881" spans="1:24" ht="15" customHeight="1">
      <c r="A1881" s="18" t="s">
        <v>2057</v>
      </c>
      <c r="B1881" s="18">
        <v>4</v>
      </c>
      <c r="C1881" s="18">
        <v>20</v>
      </c>
      <c r="D1881" s="16">
        <v>4</v>
      </c>
      <c r="E1881" s="16">
        <v>5</v>
      </c>
      <c r="F1881" s="37">
        <v>0</v>
      </c>
      <c r="G1881" s="37">
        <v>0</v>
      </c>
      <c r="H1881" s="17">
        <v>0</v>
      </c>
      <c r="I1881" s="17">
        <v>0</v>
      </c>
      <c r="J1881" s="99">
        <f>SUM(SamplingData[[#This Row],[Losing Candidate]:[Under Votes]])</f>
        <v>33</v>
      </c>
      <c r="K1881"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1881" s="100">
        <f>IF(AND(SamplingData[[#This Row],[Total]]&lt;&gt; 0, NOT(ISBLANK(SamplingData[[#This Row],[Candidate 3]]))),(SamplingData[[#This Row],[Total]]+SamplingData[[#This Row],[Winning Candidate]]-SamplingData[[#This Row],[Candidate 3]])/(SamplingData[[#Totals],[Winning Candidate]]-SamplingData[[#Totals],[Candidate 3]]), 0)</f>
        <v>1.5807981417556537E-3</v>
      </c>
      <c r="M1881" s="100">
        <f>IF(AND(SamplingData[[#This Row],[Total]]&lt;&gt; 0, NOT(ISBLANK(SamplingData[[#This Row],[Candidate 4]]))),(SamplingData[[#This Row],[Total]]+SamplingData[[#This Row],[Winning Candidate]]-SamplingData[[#This Row],[Candidate 4]])/(SamplingData[[#Totals],[Winning Candidate]]-SamplingData[[#Totals],[Candidate 4]]), 0)</f>
        <v>1.403139524686486E-3</v>
      </c>
      <c r="N1881" s="100">
        <f>IF(AND(SamplingData[[#This Row],[Total]]&lt;&gt; 0, NOT(ISBLANK(SamplingData[[#This Row],[Candidate 5]]))),(SamplingData[[#This Row],[Total]]+SamplingData[[#This Row],[Winning Candidate]]-SamplingData[[#This Row],[Candidate 5]])/(SamplingData[[#Totals],[Winning Candidate]]-SamplingData[[#Totals],[Candidate 5]]), 0)</f>
        <v>1.2892240330819751E-3</v>
      </c>
      <c r="O1881" s="100">
        <f>IF(AND(SamplingData[[#This Row],[Total]]&lt;&gt; 0, NOT(ISBLANK(SamplingData[[#This Row],[Candidate 6]]))),(SamplingData[[#This Row],[Total]]+SamplingData[[#This Row],[Winning Candidate]]-SamplingData[[#This Row],[Candidate 6]])/(SamplingData[[#Totals],[Winning Candidate]]-SamplingData[[#Totals],[Candidate 6]]), 0)</f>
        <v>1.2888478186858616E-3</v>
      </c>
      <c r="P1881" s="100">
        <f>MAX(SamplingData[[#This Row],[Error Bound (up) - Max. possible relative overstatement - Losing Candidate]:[Error Bound (up) - Max. possible relative overstatement - Candidate 6]])</f>
        <v>3.0009799118079373E-3</v>
      </c>
      <c r="Q1881" s="100">
        <f>IF(SamplingData[[#This Row],[Max Error Bound (up)]] = 0,0,SamplingData[[#This Row],[Max Error Bound (up)]]/SamplingData[[#Totals],[Max Error Bound (up)]])</f>
        <v>4.7495446564384573E-4</v>
      </c>
      <c r="R1881" s="101">
        <f>SUM($Q$5:Q1881)</f>
        <v>0.76679296771663896</v>
      </c>
      <c r="S1881" s="100" t="str">
        <f t="array" ref="S1881">IF(SamplingData[[#This Row],[up/U Selection Probability]] = 0, "Zero", TEXT(SamplingData[[#This Row],[Lower Range]], REPT("0",LEN('General Info'!$B$40))) &amp; " - " &amp; TEXT(SamplingData[[#This Row],[Upper Range]], REPT("0",LEN('General Info'!$B$40))))</f>
        <v>76632 - 76678</v>
      </c>
      <c r="T1881" s="100">
        <f>SamplingData[[#This Row],[Upper Range]]-SamplingData[[#This Row],[Span]]</f>
        <v>76631.801800053974</v>
      </c>
      <c r="U1881" s="100">
        <f>IF(ISNUMBER('General Info'!$B$40), ((SamplingData[[#This Row],[up/U Selection Probability]]) * 'General Info'!$B$40) - 1, 0)</f>
        <v>46.494971609918927</v>
      </c>
      <c r="V1881" s="100">
        <f>IF(ISNUMBER('General Info'!$B$40), (SamplingData[[#This Row],[Running (cumulative) sum]] * ('General Info'!$B$40 -'General Info'!$B$41 + 1)) + 'General Info'!$B$41 - 1, 0)</f>
        <v>76678.296771663896</v>
      </c>
      <c r="W1881" s="100" t="str">
        <f>IF(ISERROR(MATCH(SamplingData[[#This Row],[Batch by Type (p)]],SelectedPrecincts[Batch Name], 0)), "", INDEX(SelectedPrecincts[Draw], MATCH(SamplingData[[#This Row],[Batch by Type (p)]],SelectedPrecincts[Batch Name], 0)))</f>
        <v/>
      </c>
      <c r="X1881" s="102">
        <f>IF(COUNTIF(SelectedPrecincts[Batch Name],SamplingData[[#This Row],[Batch by Type (p)]]) &lt;&gt; 0, COUNTIF(SelectedPrecincts[Batch Name],SamplingData[[#This Row],[Batch by Type (p)]]), 0)</f>
        <v>0</v>
      </c>
    </row>
    <row r="1882" spans="1:24" ht="15" customHeight="1">
      <c r="A1882" s="18" t="s">
        <v>2058</v>
      </c>
      <c r="B1882" s="18">
        <v>3</v>
      </c>
      <c r="C1882" s="18">
        <v>11</v>
      </c>
      <c r="D1882" s="18">
        <v>1</v>
      </c>
      <c r="E1882" s="18">
        <v>2</v>
      </c>
      <c r="F1882" s="18">
        <v>1</v>
      </c>
      <c r="G1882" s="18">
        <v>0</v>
      </c>
      <c r="H1882" s="18">
        <v>0</v>
      </c>
      <c r="I1882" s="18">
        <v>0</v>
      </c>
      <c r="J1882" s="99">
        <f>SUM(SamplingData[[#This Row],[Losing Candidate]:[Under Votes]])</f>
        <v>18</v>
      </c>
      <c r="K1882"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882" s="100">
        <f>IF(AND(SamplingData[[#This Row],[Total]]&lt;&gt; 0, NOT(ISBLANK(SamplingData[[#This Row],[Candidate 3]]))),(SamplingData[[#This Row],[Total]]+SamplingData[[#This Row],[Winning Candidate]]-SamplingData[[#This Row],[Candidate 3]])/(SamplingData[[#Totals],[Winning Candidate]]-SamplingData[[#Totals],[Candidate 3]]), 0)</f>
        <v>9.0331322386037359E-4</v>
      </c>
      <c r="M1882" s="100">
        <f>IF(AND(SamplingData[[#This Row],[Total]]&lt;&gt; 0, NOT(ISBLANK(SamplingData[[#This Row],[Candidate 4]]))),(SamplingData[[#This Row],[Total]]+SamplingData[[#This Row],[Winning Candidate]]-SamplingData[[#This Row],[Candidate 4]])/(SamplingData[[#Totals],[Winning Candidate]]-SamplingData[[#Totals],[Candidate 4]]), 0)</f>
        <v>7.8926598263614838E-4</v>
      </c>
      <c r="N1882" s="100">
        <f>IF(AND(SamplingData[[#This Row],[Total]]&lt;&gt; 0, NOT(ISBLANK(SamplingData[[#This Row],[Candidate 5]]))),(SamplingData[[#This Row],[Total]]+SamplingData[[#This Row],[Winning Candidate]]-SamplingData[[#This Row],[Candidate 5]])/(SamplingData[[#Totals],[Winning Candidate]]-SamplingData[[#Totals],[Candidate 5]]), 0)</f>
        <v>6.8109948917538315E-4</v>
      </c>
      <c r="O1882" s="100">
        <f>IF(AND(SamplingData[[#This Row],[Total]]&lt;&gt; 0, NOT(ISBLANK(SamplingData[[#This Row],[Candidate 6]]))),(SamplingData[[#This Row],[Total]]+SamplingData[[#This Row],[Winning Candidate]]-SamplingData[[#This Row],[Candidate 6]])/(SamplingData[[#Totals],[Winning Candidate]]-SamplingData[[#Totals],[Candidate 6]]), 0)</f>
        <v>7.0521861777150916E-4</v>
      </c>
      <c r="P1882" s="100">
        <f>MAX(SamplingData[[#This Row],[Error Bound (up) - Max. possible relative overstatement - Losing Candidate]:[Error Bound (up) - Max. possible relative overstatement - Candidate 6]])</f>
        <v>1.5923566878980893E-3</v>
      </c>
      <c r="Q1882" s="100">
        <f>IF(SamplingData[[#This Row],[Max Error Bound (up)]] = 0,0,SamplingData[[#This Row],[Max Error Bound (up)]]/SamplingData[[#Totals],[Max Error Bound (up)]])</f>
        <v>2.5201665523959162E-4</v>
      </c>
      <c r="R1882" s="101">
        <f>SUM($Q$5:Q1882)</f>
        <v>0.76704498437187851</v>
      </c>
      <c r="S1882" s="100" t="str">
        <f t="array" ref="S1882">IF(SamplingData[[#This Row],[up/U Selection Probability]] = 0, "Zero", TEXT(SamplingData[[#This Row],[Lower Range]], REPT("0",LEN('General Info'!$B$40))) &amp; " - " &amp; TEXT(SamplingData[[#This Row],[Upper Range]], REPT("0",LEN('General Info'!$B$40))))</f>
        <v>76679 - 76703</v>
      </c>
      <c r="T1882" s="100">
        <f>SamplingData[[#This Row],[Upper Range]]-SamplingData[[#This Row],[Span]]</f>
        <v>76679.297023680556</v>
      </c>
      <c r="U1882" s="100">
        <f>IF(ISNUMBER('General Info'!$B$40), ((SamplingData[[#This Row],[up/U Selection Probability]]) * 'General Info'!$B$40) - 1, 0)</f>
        <v>24.201413507303922</v>
      </c>
      <c r="V1882" s="100">
        <f>IF(ISNUMBER('General Info'!$B$40), (SamplingData[[#This Row],[Running (cumulative) sum]] * ('General Info'!$B$40 -'General Info'!$B$41 + 1)) + 'General Info'!$B$41 - 1, 0)</f>
        <v>76703.498437187853</v>
      </c>
      <c r="W1882" s="100" t="str">
        <f>IF(ISERROR(MATCH(SamplingData[[#This Row],[Batch by Type (p)]],SelectedPrecincts[Batch Name], 0)), "", INDEX(SelectedPrecincts[Draw], MATCH(SamplingData[[#This Row],[Batch by Type (p)]],SelectedPrecincts[Batch Name], 0)))</f>
        <v/>
      </c>
      <c r="X1882" s="102">
        <f>IF(COUNTIF(SelectedPrecincts[Batch Name],SamplingData[[#This Row],[Batch by Type (p)]]) &lt;&gt; 0, COUNTIF(SelectedPrecincts[Batch Name],SamplingData[[#This Row],[Batch by Type (p)]]), 0)</f>
        <v>0</v>
      </c>
    </row>
    <row r="1883" spans="1:24" ht="15" customHeight="1">
      <c r="A1883" s="18" t="s">
        <v>2059</v>
      </c>
      <c r="B1883" s="18">
        <v>8</v>
      </c>
      <c r="C1883" s="18">
        <v>28</v>
      </c>
      <c r="D1883" s="16">
        <v>4</v>
      </c>
      <c r="E1883" s="16">
        <v>1</v>
      </c>
      <c r="F1883" s="37">
        <v>0</v>
      </c>
      <c r="G1883" s="37">
        <v>0</v>
      </c>
      <c r="H1883" s="17">
        <v>0</v>
      </c>
      <c r="I1883" s="17">
        <v>0</v>
      </c>
      <c r="J1883" s="99">
        <f>SUM(SamplingData[[#This Row],[Losing Candidate]:[Under Votes]])</f>
        <v>41</v>
      </c>
      <c r="K1883" s="100">
        <f>IF(AND(SamplingData[[#This Row],[Total]]&lt;&gt; 0, NOT(ISBLANK(SamplingData[[#This Row],[Losing Candidate]]))),(SamplingData[[#This Row],[Total]]+SamplingData[[#This Row],[Winning Candidate]]-SamplingData[[#This Row],[Losing Candidate]])/(SamplingData[[#Totals],[Winning Candidate]]-SamplingData[[#Totals],[Losing Candidate]]), 0)</f>
        <v>3.7359137677609017E-3</v>
      </c>
      <c r="L1883" s="100">
        <f>IF(AND(SamplingData[[#This Row],[Total]]&lt;&gt; 0, NOT(ISBLANK(SamplingData[[#This Row],[Candidate 3]]))),(SamplingData[[#This Row],[Total]]+SamplingData[[#This Row],[Winning Candidate]]-SamplingData[[#This Row],[Candidate 3]])/(SamplingData[[#Totals],[Winning Candidate]]-SamplingData[[#Totals],[Candidate 3]]), 0)</f>
        <v>2.0969771268187242E-3</v>
      </c>
      <c r="M1883" s="100">
        <f>IF(AND(SamplingData[[#This Row],[Total]]&lt;&gt; 0, NOT(ISBLANK(SamplingData[[#This Row],[Candidate 4]]))),(SamplingData[[#This Row],[Total]]+SamplingData[[#This Row],[Winning Candidate]]-SamplingData[[#This Row],[Candidate 4]])/(SamplingData[[#Totals],[Winning Candidate]]-SamplingData[[#Totals],[Candidate 4]]), 0)</f>
        <v>1.9877809933058553E-3</v>
      </c>
      <c r="N1883" s="100">
        <f>IF(AND(SamplingData[[#This Row],[Total]]&lt;&gt; 0, NOT(ISBLANK(SamplingData[[#This Row],[Candidate 5]]))),(SamplingData[[#This Row],[Total]]+SamplingData[[#This Row],[Winning Candidate]]-SamplingData[[#This Row],[Candidate 5]])/(SamplingData[[#Totals],[Winning Candidate]]-SamplingData[[#Totals],[Candidate 5]]), 0)</f>
        <v>1.678423741182194E-3</v>
      </c>
      <c r="O1883" s="100">
        <f>IF(AND(SamplingData[[#This Row],[Total]]&lt;&gt; 0, NOT(ISBLANK(SamplingData[[#This Row],[Candidate 6]]))),(SamplingData[[#This Row],[Total]]+SamplingData[[#This Row],[Winning Candidate]]-SamplingData[[#This Row],[Candidate 6]])/(SamplingData[[#Totals],[Winning Candidate]]-SamplingData[[#Totals],[Candidate 6]]), 0)</f>
        <v>1.6779339526287631E-3</v>
      </c>
      <c r="P1883" s="100">
        <f>MAX(SamplingData[[#This Row],[Error Bound (up) - Max. possible relative overstatement - Losing Candidate]:[Error Bound (up) - Max. possible relative overstatement - Candidate 6]])</f>
        <v>3.7359137677609017E-3</v>
      </c>
      <c r="Q1883" s="100">
        <f>IF(SamplingData[[#This Row],[Max Error Bound (up)]] = 0,0,SamplingData[[#This Row],[Max Error Bound (up)]]/SamplingData[[#Totals],[Max Error Bound (up)]])</f>
        <v>5.9126984498519581E-4</v>
      </c>
      <c r="R1883" s="101">
        <f>SUM($Q$5:Q1883)</f>
        <v>0.76763625421686366</v>
      </c>
      <c r="S1883" s="100" t="str">
        <f t="array" ref="S1883">IF(SamplingData[[#This Row],[up/U Selection Probability]] = 0, "Zero", TEXT(SamplingData[[#This Row],[Lower Range]], REPT("0",LEN('General Info'!$B$40))) &amp; " - " &amp; TEXT(SamplingData[[#This Row],[Upper Range]], REPT("0",LEN('General Info'!$B$40))))</f>
        <v>76704 - 76763</v>
      </c>
      <c r="T1883" s="100">
        <f>SamplingData[[#This Row],[Upper Range]]-SamplingData[[#This Row],[Span]]</f>
        <v>76704.499028457692</v>
      </c>
      <c r="U1883" s="100">
        <f>IF(ISNUMBER('General Info'!$B$40), ((SamplingData[[#This Row],[up/U Selection Probability]]) * 'General Info'!$B$40) - 1, 0)</f>
        <v>58.126393228674594</v>
      </c>
      <c r="V1883" s="100">
        <f>IF(ISNUMBER('General Info'!$B$40), (SamplingData[[#This Row],[Running (cumulative) sum]] * ('General Info'!$B$40 -'General Info'!$B$41 + 1)) + 'General Info'!$B$41 - 1, 0)</f>
        <v>76762.62542168636</v>
      </c>
      <c r="W1883" s="100" t="str">
        <f>IF(ISERROR(MATCH(SamplingData[[#This Row],[Batch by Type (p)]],SelectedPrecincts[Batch Name], 0)), "", INDEX(SelectedPrecincts[Draw], MATCH(SamplingData[[#This Row],[Batch by Type (p)]],SelectedPrecincts[Batch Name], 0)))</f>
        <v/>
      </c>
      <c r="X1883" s="102">
        <f>IF(COUNTIF(SelectedPrecincts[Batch Name],SamplingData[[#This Row],[Batch by Type (p)]]) &lt;&gt; 0, COUNTIF(SelectedPrecincts[Batch Name],SamplingData[[#This Row],[Batch by Type (p)]]), 0)</f>
        <v>0</v>
      </c>
    </row>
    <row r="1884" spans="1:24" ht="15" customHeight="1">
      <c r="A1884" s="18" t="s">
        <v>2060</v>
      </c>
      <c r="B1884" s="18">
        <v>1</v>
      </c>
      <c r="C1884" s="18">
        <v>14</v>
      </c>
      <c r="D1884" s="18">
        <v>3</v>
      </c>
      <c r="E1884" s="18">
        <v>1</v>
      </c>
      <c r="F1884" s="18">
        <v>0</v>
      </c>
      <c r="G1884" s="18">
        <v>0</v>
      </c>
      <c r="H1884" s="18">
        <v>0</v>
      </c>
      <c r="I1884" s="18">
        <v>0</v>
      </c>
      <c r="J1884" s="99">
        <f>SUM(SamplingData[[#This Row],[Losing Candidate]:[Under Votes]])</f>
        <v>19</v>
      </c>
      <c r="K1884"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884" s="100">
        <f>IF(AND(SamplingData[[#This Row],[Total]]&lt;&gt; 0, NOT(ISBLANK(SamplingData[[#This Row],[Candidate 3]]))),(SamplingData[[#This Row],[Total]]+SamplingData[[#This Row],[Winning Candidate]]-SamplingData[[#This Row],[Candidate 3]])/(SamplingData[[#Totals],[Winning Candidate]]-SamplingData[[#Totals],[Candidate 3]]), 0)</f>
        <v>9.6783559699325746E-4</v>
      </c>
      <c r="M1884" s="100">
        <f>IF(AND(SamplingData[[#This Row],[Total]]&lt;&gt; 0, NOT(ISBLANK(SamplingData[[#This Row],[Candidate 4]]))),(SamplingData[[#This Row],[Total]]+SamplingData[[#This Row],[Winning Candidate]]-SamplingData[[#This Row],[Candidate 4]])/(SamplingData[[#Totals],[Winning Candidate]]-SamplingData[[#Totals],[Candidate 4]]), 0)</f>
        <v>9.3542634979099071E-4</v>
      </c>
      <c r="N1884" s="100">
        <f>IF(AND(SamplingData[[#This Row],[Total]]&lt;&gt; 0, NOT(ISBLANK(SamplingData[[#This Row],[Candidate 5]]))),(SamplingData[[#This Row],[Total]]+SamplingData[[#This Row],[Winning Candidate]]-SamplingData[[#This Row],[Candidate 5]])/(SamplingData[[#Totals],[Winning Candidate]]-SamplingData[[#Totals],[Candidate 5]]), 0)</f>
        <v>8.0272439795670155E-4</v>
      </c>
      <c r="O1884" s="100">
        <f>IF(AND(SamplingData[[#This Row],[Total]]&lt;&gt; 0, NOT(ISBLANK(SamplingData[[#This Row],[Candidate 6]]))),(SamplingData[[#This Row],[Total]]+SamplingData[[#This Row],[Winning Candidate]]-SamplingData[[#This Row],[Candidate 6]])/(SamplingData[[#Totals],[Winning Candidate]]-SamplingData[[#Totals],[Candidate 6]]), 0)</f>
        <v>8.024901512572346E-4</v>
      </c>
      <c r="P1884" s="100">
        <f>MAX(SamplingData[[#This Row],[Error Bound (up) - Max. possible relative overstatement - Losing Candidate]:[Error Bound (up) - Max. possible relative overstatement - Candidate 6]])</f>
        <v>1.9598236158745713E-3</v>
      </c>
      <c r="Q1884" s="100">
        <f>IF(SamplingData[[#This Row],[Max Error Bound (up)]] = 0,0,SamplingData[[#This Row],[Max Error Bound (up)]]/SamplingData[[#Totals],[Max Error Bound (up)]])</f>
        <v>3.1017434491026661E-4</v>
      </c>
      <c r="R1884" s="101">
        <f>SUM($Q$5:Q1884)</f>
        <v>0.76794642856177397</v>
      </c>
      <c r="S1884" s="100" t="str">
        <f t="array" ref="S1884">IF(SamplingData[[#This Row],[up/U Selection Probability]] = 0, "Zero", TEXT(SamplingData[[#This Row],[Lower Range]], REPT("0",LEN('General Info'!$B$40))) &amp; " - " &amp; TEXT(SamplingData[[#This Row],[Upper Range]], REPT("0",LEN('General Info'!$B$40))))</f>
        <v>76764 - 76794</v>
      </c>
      <c r="T1884" s="100">
        <f>SamplingData[[#This Row],[Upper Range]]-SamplingData[[#This Row],[Span]]</f>
        <v>76763.625731860709</v>
      </c>
      <c r="U1884" s="100">
        <f>IF(ISNUMBER('General Info'!$B$40), ((SamplingData[[#This Row],[up/U Selection Probability]]) * 'General Info'!$B$40) - 1, 0)</f>
        <v>30.017124316681752</v>
      </c>
      <c r="V1884" s="100">
        <f>IF(ISNUMBER('General Info'!$B$40), (SamplingData[[#This Row],[Running (cumulative) sum]] * ('General Info'!$B$40 -'General Info'!$B$41 + 1)) + 'General Info'!$B$41 - 1, 0)</f>
        <v>76793.642856177394</v>
      </c>
      <c r="W1884" s="100" t="str">
        <f>IF(ISERROR(MATCH(SamplingData[[#This Row],[Batch by Type (p)]],SelectedPrecincts[Batch Name], 0)), "", INDEX(SelectedPrecincts[Draw], MATCH(SamplingData[[#This Row],[Batch by Type (p)]],SelectedPrecincts[Batch Name], 0)))</f>
        <v/>
      </c>
      <c r="X1884" s="102">
        <f>IF(COUNTIF(SelectedPrecincts[Batch Name],SamplingData[[#This Row],[Batch by Type (p)]]) &lt;&gt; 0, COUNTIF(SelectedPrecincts[Batch Name],SamplingData[[#This Row],[Batch by Type (p)]]), 0)</f>
        <v>0</v>
      </c>
    </row>
    <row r="1885" spans="1:24" ht="15" customHeight="1">
      <c r="A1885" s="18" t="s">
        <v>2061</v>
      </c>
      <c r="B1885" s="18">
        <v>1</v>
      </c>
      <c r="C1885" s="18">
        <v>2</v>
      </c>
      <c r="D1885" s="16">
        <v>0</v>
      </c>
      <c r="E1885" s="16">
        <v>2</v>
      </c>
      <c r="F1885" s="37">
        <v>0</v>
      </c>
      <c r="G1885" s="37">
        <v>0</v>
      </c>
      <c r="H1885" s="17">
        <v>0</v>
      </c>
      <c r="I1885" s="17">
        <v>0</v>
      </c>
      <c r="J1885" s="99">
        <f>SUM(SamplingData[[#This Row],[Losing Candidate]:[Under Votes]])</f>
        <v>5</v>
      </c>
      <c r="K1885"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885" s="100">
        <f>IF(AND(SamplingData[[#This Row],[Total]]&lt;&gt; 0, NOT(ISBLANK(SamplingData[[#This Row],[Candidate 3]]))),(SamplingData[[#This Row],[Total]]+SamplingData[[#This Row],[Winning Candidate]]-SamplingData[[#This Row],[Candidate 3]])/(SamplingData[[#Totals],[Winning Candidate]]-SamplingData[[#Totals],[Candidate 3]]), 0)</f>
        <v>2.258283059650934E-4</v>
      </c>
      <c r="M1885" s="100">
        <f>IF(AND(SamplingData[[#This Row],[Total]]&lt;&gt; 0, NOT(ISBLANK(SamplingData[[#This Row],[Candidate 4]]))),(SamplingData[[#This Row],[Total]]+SamplingData[[#This Row],[Winning Candidate]]-SamplingData[[#This Row],[Candidate 4]])/(SamplingData[[#Totals],[Winning Candidate]]-SamplingData[[#Totals],[Candidate 4]]), 0)</f>
        <v>1.4616036715484231E-4</v>
      </c>
      <c r="N1885" s="100">
        <f>IF(AND(SamplingData[[#This Row],[Total]]&lt;&gt; 0, NOT(ISBLANK(SamplingData[[#This Row],[Candidate 5]]))),(SamplingData[[#This Row],[Total]]+SamplingData[[#This Row],[Winning Candidate]]-SamplingData[[#This Row],[Candidate 5]])/(SamplingData[[#Totals],[Winning Candidate]]-SamplingData[[#Totals],[Candidate 5]]), 0)</f>
        <v>1.7027487229384579E-4</v>
      </c>
      <c r="O1885" s="100">
        <f>IF(AND(SamplingData[[#This Row],[Total]]&lt;&gt; 0, NOT(ISBLANK(SamplingData[[#This Row],[Candidate 6]]))),(SamplingData[[#This Row],[Total]]+SamplingData[[#This Row],[Winning Candidate]]-SamplingData[[#This Row],[Candidate 6]])/(SamplingData[[#Totals],[Winning Candidate]]-SamplingData[[#Totals],[Candidate 6]]), 0)</f>
        <v>1.7022518360001944E-4</v>
      </c>
      <c r="P1885" s="100">
        <f>MAX(SamplingData[[#This Row],[Error Bound (up) - Max. possible relative overstatement - Losing Candidate]:[Error Bound (up) - Max. possible relative overstatement - Candidate 6]])</f>
        <v>3.6746692797648211E-4</v>
      </c>
      <c r="Q1885" s="100">
        <f>IF(SamplingData[[#This Row],[Max Error Bound (up)]] = 0,0,SamplingData[[#This Row],[Max Error Bound (up)]]/SamplingData[[#Totals],[Max Error Bound (up)]])</f>
        <v>5.8157689670674986E-5</v>
      </c>
      <c r="R1885" s="101">
        <f>SUM($Q$5:Q1885)</f>
        <v>0.76800458625144463</v>
      </c>
      <c r="S1885" s="100" t="str">
        <f t="array" ref="S1885">IF(SamplingData[[#This Row],[up/U Selection Probability]] = 0, "Zero", TEXT(SamplingData[[#This Row],[Lower Range]], REPT("0",LEN('General Info'!$B$40))) &amp; " - " &amp; TEXT(SamplingData[[#This Row],[Upper Range]], REPT("0",LEN('General Info'!$B$40))))</f>
        <v>76795 - 76799</v>
      </c>
      <c r="T1885" s="100">
        <f>SamplingData[[#This Row],[Upper Range]]-SamplingData[[#This Row],[Span]]</f>
        <v>76794.642914335083</v>
      </c>
      <c r="U1885" s="100">
        <f>IF(ISNUMBER('General Info'!$B$40), ((SamplingData[[#This Row],[up/U Selection Probability]]) * 'General Info'!$B$40) - 1, 0)</f>
        <v>4.815710809377828</v>
      </c>
      <c r="V1885" s="100">
        <f>IF(ISNUMBER('General Info'!$B$40), (SamplingData[[#This Row],[Running (cumulative) sum]] * ('General Info'!$B$40 -'General Info'!$B$41 + 1)) + 'General Info'!$B$41 - 1, 0)</f>
        <v>76799.458625144456</v>
      </c>
      <c r="W1885" s="100" t="str">
        <f>IF(ISERROR(MATCH(SamplingData[[#This Row],[Batch by Type (p)]],SelectedPrecincts[Batch Name], 0)), "", INDEX(SelectedPrecincts[Draw], MATCH(SamplingData[[#This Row],[Batch by Type (p)]],SelectedPrecincts[Batch Name], 0)))</f>
        <v/>
      </c>
      <c r="X1885" s="102">
        <f>IF(COUNTIF(SelectedPrecincts[Batch Name],SamplingData[[#This Row],[Batch by Type (p)]]) &lt;&gt; 0, COUNTIF(SelectedPrecincts[Batch Name],SamplingData[[#This Row],[Batch by Type (p)]]), 0)</f>
        <v>0</v>
      </c>
    </row>
    <row r="1886" spans="1:24" ht="15" customHeight="1">
      <c r="A1886" s="18" t="s">
        <v>2062</v>
      </c>
      <c r="B1886" s="18">
        <v>3</v>
      </c>
      <c r="C1886" s="18">
        <v>0</v>
      </c>
      <c r="D1886" s="18">
        <v>1</v>
      </c>
      <c r="E1886" s="18">
        <v>0</v>
      </c>
      <c r="F1886" s="18">
        <v>0</v>
      </c>
      <c r="G1886" s="18">
        <v>0</v>
      </c>
      <c r="H1886" s="18">
        <v>0</v>
      </c>
      <c r="I1886" s="18">
        <v>0</v>
      </c>
      <c r="J1886" s="99">
        <f>SUM(SamplingData[[#This Row],[Losing Candidate]:[Under Votes]])</f>
        <v>4</v>
      </c>
      <c r="K1886"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1886" s="100">
        <f>IF(AND(SamplingData[[#This Row],[Total]]&lt;&gt; 0, NOT(ISBLANK(SamplingData[[#This Row],[Candidate 3]]))),(SamplingData[[#This Row],[Total]]+SamplingData[[#This Row],[Winning Candidate]]-SamplingData[[#This Row],[Candidate 3]])/(SamplingData[[#Totals],[Winning Candidate]]-SamplingData[[#Totals],[Candidate 3]]), 0)</f>
        <v>9.6783559699325743E-5</v>
      </c>
      <c r="M1886" s="100">
        <f>IF(AND(SamplingData[[#This Row],[Total]]&lt;&gt; 0, NOT(ISBLANK(SamplingData[[#This Row],[Candidate 4]]))),(SamplingData[[#This Row],[Total]]+SamplingData[[#This Row],[Winning Candidate]]-SamplingData[[#This Row],[Candidate 4]])/(SamplingData[[#Totals],[Winning Candidate]]-SamplingData[[#Totals],[Candidate 4]]), 0)</f>
        <v>1.1692829372387384E-4</v>
      </c>
      <c r="N1886" s="100">
        <f>IF(AND(SamplingData[[#This Row],[Total]]&lt;&gt; 0, NOT(ISBLANK(SamplingData[[#This Row],[Candidate 5]]))),(SamplingData[[#This Row],[Total]]+SamplingData[[#This Row],[Winning Candidate]]-SamplingData[[#This Row],[Candidate 5]])/(SamplingData[[#Totals],[Winning Candidate]]-SamplingData[[#Totals],[Candidate 5]]), 0)</f>
        <v>9.7299927025054734E-5</v>
      </c>
      <c r="O1886" s="100">
        <f>IF(AND(SamplingData[[#This Row],[Total]]&lt;&gt; 0, NOT(ISBLANK(SamplingData[[#This Row],[Candidate 6]]))),(SamplingData[[#This Row],[Total]]+SamplingData[[#This Row],[Winning Candidate]]-SamplingData[[#This Row],[Candidate 6]])/(SamplingData[[#Totals],[Winning Candidate]]-SamplingData[[#Totals],[Candidate 6]]), 0)</f>
        <v>9.7271533485725401E-5</v>
      </c>
      <c r="P1886" s="100">
        <f>MAX(SamplingData[[#This Row],[Error Bound (up) - Max. possible relative overstatement - Losing Candidate]:[Error Bound (up) - Max. possible relative overstatement - Candidate 6]])</f>
        <v>1.1692829372387384E-4</v>
      </c>
      <c r="Q1886" s="100">
        <f>IF(SamplingData[[#This Row],[Max Error Bound (up)]] = 0,0,SamplingData[[#This Row],[Max Error Bound (up)]]/SamplingData[[#Totals],[Max Error Bound (up)]])</f>
        <v>1.85058270619385E-5</v>
      </c>
      <c r="R1886" s="101">
        <f>SUM($Q$5:Q1886)</f>
        <v>0.76802309207850661</v>
      </c>
      <c r="S1886" s="100" t="str">
        <f t="array" ref="S1886">IF(SamplingData[[#This Row],[up/U Selection Probability]] = 0, "Zero", TEXT(SamplingData[[#This Row],[Lower Range]], REPT("0",LEN('General Info'!$B$40))) &amp; " - " &amp; TEXT(SamplingData[[#This Row],[Upper Range]], REPT("0",LEN('General Info'!$B$40))))</f>
        <v>76800 - 76801</v>
      </c>
      <c r="T1886" s="100">
        <f>SamplingData[[#This Row],[Upper Range]]-SamplingData[[#This Row],[Span]]</f>
        <v>76800.458643650287</v>
      </c>
      <c r="U1886" s="100">
        <f>IF(ISNUMBER('General Info'!$B$40), ((SamplingData[[#This Row],[up/U Selection Probability]]) * 'General Info'!$B$40) - 1, 0)</f>
        <v>0.85056420036678815</v>
      </c>
      <c r="V1886" s="100">
        <f>IF(ISNUMBER('General Info'!$B$40), (SamplingData[[#This Row],[Running (cumulative) sum]] * ('General Info'!$B$40 -'General Info'!$B$41 + 1)) + 'General Info'!$B$41 - 1, 0)</f>
        <v>76801.30920785066</v>
      </c>
      <c r="W1886" s="100" t="str">
        <f>IF(ISERROR(MATCH(SamplingData[[#This Row],[Batch by Type (p)]],SelectedPrecincts[Batch Name], 0)), "", INDEX(SelectedPrecincts[Draw], MATCH(SamplingData[[#This Row],[Batch by Type (p)]],SelectedPrecincts[Batch Name], 0)))</f>
        <v/>
      </c>
      <c r="X1886" s="102">
        <f>IF(COUNTIF(SelectedPrecincts[Batch Name],SamplingData[[#This Row],[Batch by Type (p)]]) &lt;&gt; 0, COUNTIF(SelectedPrecincts[Batch Name],SamplingData[[#This Row],[Batch by Type (p)]]), 0)</f>
        <v>0</v>
      </c>
    </row>
    <row r="1887" spans="1:24" ht="15" customHeight="1">
      <c r="A1887" s="18" t="s">
        <v>2063</v>
      </c>
      <c r="B1887" s="18">
        <v>0</v>
      </c>
      <c r="C1887" s="18">
        <v>2</v>
      </c>
      <c r="D1887" s="16">
        <v>0</v>
      </c>
      <c r="E1887" s="16">
        <v>0</v>
      </c>
      <c r="F1887" s="37">
        <v>0</v>
      </c>
      <c r="G1887" s="37">
        <v>0</v>
      </c>
      <c r="H1887" s="17">
        <v>0</v>
      </c>
      <c r="I1887" s="17">
        <v>0</v>
      </c>
      <c r="J1887" s="99">
        <f>SUM(SamplingData[[#This Row],[Losing Candidate]:[Under Votes]])</f>
        <v>2</v>
      </c>
      <c r="K1887"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1887" s="100">
        <f>IF(AND(SamplingData[[#This Row],[Total]]&lt;&gt; 0, NOT(ISBLANK(SamplingData[[#This Row],[Candidate 3]]))),(SamplingData[[#This Row],[Total]]+SamplingData[[#This Row],[Winning Candidate]]-SamplingData[[#This Row],[Candidate 3]])/(SamplingData[[#Totals],[Winning Candidate]]-SamplingData[[#Totals],[Candidate 3]]), 0)</f>
        <v>1.2904474626576767E-4</v>
      </c>
      <c r="M1887" s="100">
        <f>IF(AND(SamplingData[[#This Row],[Total]]&lt;&gt; 0, NOT(ISBLANK(SamplingData[[#This Row],[Candidate 4]]))),(SamplingData[[#This Row],[Total]]+SamplingData[[#This Row],[Winning Candidate]]-SamplingData[[#This Row],[Candidate 4]])/(SamplingData[[#Totals],[Winning Candidate]]-SamplingData[[#Totals],[Candidate 4]]), 0)</f>
        <v>1.1692829372387384E-4</v>
      </c>
      <c r="N1887" s="100">
        <f>IF(AND(SamplingData[[#This Row],[Total]]&lt;&gt; 0, NOT(ISBLANK(SamplingData[[#This Row],[Candidate 5]]))),(SamplingData[[#This Row],[Total]]+SamplingData[[#This Row],[Winning Candidate]]-SamplingData[[#This Row],[Candidate 5]])/(SamplingData[[#Totals],[Winning Candidate]]-SamplingData[[#Totals],[Candidate 5]]), 0)</f>
        <v>9.7299927025054734E-5</v>
      </c>
      <c r="O1887" s="100">
        <f>IF(AND(SamplingData[[#This Row],[Total]]&lt;&gt; 0, NOT(ISBLANK(SamplingData[[#This Row],[Candidate 6]]))),(SamplingData[[#This Row],[Total]]+SamplingData[[#This Row],[Winning Candidate]]-SamplingData[[#This Row],[Candidate 6]])/(SamplingData[[#Totals],[Winning Candidate]]-SamplingData[[#Totals],[Candidate 6]]), 0)</f>
        <v>9.7271533485725401E-5</v>
      </c>
      <c r="P1887" s="100">
        <f>MAX(SamplingData[[#This Row],[Error Bound (up) - Max. possible relative overstatement - Losing Candidate]:[Error Bound (up) - Max. possible relative overstatement - Candidate 6]])</f>
        <v>2.4497795198432141E-4</v>
      </c>
      <c r="Q1887" s="100">
        <f>IF(SamplingData[[#This Row],[Max Error Bound (up)]] = 0,0,SamplingData[[#This Row],[Max Error Bound (up)]]/SamplingData[[#Totals],[Max Error Bound (up)]])</f>
        <v>3.8771793113783326E-5</v>
      </c>
      <c r="R1887" s="101">
        <f>SUM($Q$5:Q1887)</f>
        <v>0.76806186387162034</v>
      </c>
      <c r="S1887" s="100" t="str">
        <f t="array" ref="S1887">IF(SamplingData[[#This Row],[up/U Selection Probability]] = 0, "Zero", TEXT(SamplingData[[#This Row],[Lower Range]], REPT("0",LEN('General Info'!$B$40))) &amp; " - " &amp; TEXT(SamplingData[[#This Row],[Upper Range]], REPT("0",LEN('General Info'!$B$40))))</f>
        <v>76802 - 76805</v>
      </c>
      <c r="T1887" s="100">
        <f>SamplingData[[#This Row],[Upper Range]]-SamplingData[[#This Row],[Span]]</f>
        <v>76802.309246622448</v>
      </c>
      <c r="U1887" s="100">
        <f>IF(ISNUMBER('General Info'!$B$40), ((SamplingData[[#This Row],[up/U Selection Probability]]) * 'General Info'!$B$40) - 1, 0)</f>
        <v>2.877140539585219</v>
      </c>
      <c r="V1887" s="100">
        <f>IF(ISNUMBER('General Info'!$B$40), (SamplingData[[#This Row],[Running (cumulative) sum]] * ('General Info'!$B$40 -'General Info'!$B$41 + 1)) + 'General Info'!$B$41 - 1, 0)</f>
        <v>76805.18638716203</v>
      </c>
      <c r="W1887" s="100" t="str">
        <f>IF(ISERROR(MATCH(SamplingData[[#This Row],[Batch by Type (p)]],SelectedPrecincts[Batch Name], 0)), "", INDEX(SelectedPrecincts[Draw], MATCH(SamplingData[[#This Row],[Batch by Type (p)]],SelectedPrecincts[Batch Name], 0)))</f>
        <v/>
      </c>
      <c r="X1887" s="102">
        <f>IF(COUNTIF(SelectedPrecincts[Batch Name],SamplingData[[#This Row],[Batch by Type (p)]]) &lt;&gt; 0, COUNTIF(SelectedPrecincts[Batch Name],SamplingData[[#This Row],[Batch by Type (p)]]), 0)</f>
        <v>0</v>
      </c>
    </row>
    <row r="1888" spans="1:24" ht="15" customHeight="1">
      <c r="A1888" s="18" t="s">
        <v>2064</v>
      </c>
      <c r="B1888" s="18">
        <v>1</v>
      </c>
      <c r="C1888" s="18">
        <v>1</v>
      </c>
      <c r="D1888" s="18">
        <v>0</v>
      </c>
      <c r="E1888" s="18">
        <v>0</v>
      </c>
      <c r="F1888" s="18">
        <v>0</v>
      </c>
      <c r="G1888" s="18">
        <v>0</v>
      </c>
      <c r="H1888" s="18">
        <v>0</v>
      </c>
      <c r="I1888" s="18">
        <v>0</v>
      </c>
      <c r="J1888" s="99">
        <f>SUM(SamplingData[[#This Row],[Losing Candidate]:[Under Votes]])</f>
        <v>2</v>
      </c>
      <c r="K188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888" s="100">
        <f>IF(AND(SamplingData[[#This Row],[Total]]&lt;&gt; 0, NOT(ISBLANK(SamplingData[[#This Row],[Candidate 3]]))),(SamplingData[[#This Row],[Total]]+SamplingData[[#This Row],[Winning Candidate]]-SamplingData[[#This Row],[Candidate 3]])/(SamplingData[[#Totals],[Winning Candidate]]-SamplingData[[#Totals],[Candidate 3]]), 0)</f>
        <v>9.6783559699325743E-5</v>
      </c>
      <c r="M1888" s="100">
        <f>IF(AND(SamplingData[[#This Row],[Total]]&lt;&gt; 0, NOT(ISBLANK(SamplingData[[#This Row],[Candidate 4]]))),(SamplingData[[#This Row],[Total]]+SamplingData[[#This Row],[Winning Candidate]]-SamplingData[[#This Row],[Candidate 4]])/(SamplingData[[#Totals],[Winning Candidate]]-SamplingData[[#Totals],[Candidate 4]]), 0)</f>
        <v>8.7696220292905373E-5</v>
      </c>
      <c r="N1888" s="100">
        <f>IF(AND(SamplingData[[#This Row],[Total]]&lt;&gt; 0, NOT(ISBLANK(SamplingData[[#This Row],[Candidate 5]]))),(SamplingData[[#This Row],[Total]]+SamplingData[[#This Row],[Winning Candidate]]-SamplingData[[#This Row],[Candidate 5]])/(SamplingData[[#Totals],[Winning Candidate]]-SamplingData[[#Totals],[Candidate 5]]), 0)</f>
        <v>7.2974945268791054E-5</v>
      </c>
      <c r="O1888" s="100">
        <f>IF(AND(SamplingData[[#This Row],[Total]]&lt;&gt; 0, NOT(ISBLANK(SamplingData[[#This Row],[Candidate 6]]))),(SamplingData[[#This Row],[Total]]+SamplingData[[#This Row],[Winning Candidate]]-SamplingData[[#This Row],[Candidate 6]])/(SamplingData[[#Totals],[Winning Candidate]]-SamplingData[[#Totals],[Candidate 6]]), 0)</f>
        <v>7.2953650114294054E-5</v>
      </c>
      <c r="P1888" s="100">
        <f>MAX(SamplingData[[#This Row],[Error Bound (up) - Max. possible relative overstatement - Losing Candidate]:[Error Bound (up) - Max. possible relative overstatement - Candidate 6]])</f>
        <v>1.224889759921607E-4</v>
      </c>
      <c r="Q1888" s="100">
        <f>IF(SamplingData[[#This Row],[Max Error Bound (up)]] = 0,0,SamplingData[[#This Row],[Max Error Bound (up)]]/SamplingData[[#Totals],[Max Error Bound (up)]])</f>
        <v>1.9385896556891663E-5</v>
      </c>
      <c r="R1888" s="101">
        <f>SUM($Q$5:Q1888)</f>
        <v>0.76808124976817727</v>
      </c>
      <c r="S1888" s="100" t="str">
        <f t="array" ref="S1888">IF(SamplingData[[#This Row],[up/U Selection Probability]] = 0, "Zero", TEXT(SamplingData[[#This Row],[Lower Range]], REPT("0",LEN('General Info'!$B$40))) &amp; " - " &amp; TEXT(SamplingData[[#This Row],[Upper Range]], REPT("0",LEN('General Info'!$B$40))))</f>
        <v>76806 - 76807</v>
      </c>
      <c r="T1888" s="100">
        <f>SamplingData[[#This Row],[Upper Range]]-SamplingData[[#This Row],[Span]]</f>
        <v>76806.186406547931</v>
      </c>
      <c r="U1888" s="100">
        <f>IF(ISNUMBER('General Info'!$B$40), ((SamplingData[[#This Row],[up/U Selection Probability]]) * 'General Info'!$B$40) - 1, 0)</f>
        <v>0.93857026979260949</v>
      </c>
      <c r="V1888" s="100">
        <f>IF(ISNUMBER('General Info'!$B$40), (SamplingData[[#This Row],[Running (cumulative) sum]] * ('General Info'!$B$40 -'General Info'!$B$41 + 1)) + 'General Info'!$B$41 - 1, 0)</f>
        <v>76807.124976817722</v>
      </c>
      <c r="W1888" s="100" t="str">
        <f>IF(ISERROR(MATCH(SamplingData[[#This Row],[Batch by Type (p)]],SelectedPrecincts[Batch Name], 0)), "", INDEX(SelectedPrecincts[Draw], MATCH(SamplingData[[#This Row],[Batch by Type (p)]],SelectedPrecincts[Batch Name], 0)))</f>
        <v/>
      </c>
      <c r="X1888" s="102">
        <f>IF(COUNTIF(SelectedPrecincts[Batch Name],SamplingData[[#This Row],[Batch by Type (p)]]) &lt;&gt; 0, COUNTIF(SelectedPrecincts[Batch Name],SamplingData[[#This Row],[Batch by Type (p)]]), 0)</f>
        <v>0</v>
      </c>
    </row>
    <row r="1889" spans="1:24" ht="15" customHeight="1">
      <c r="A1889" s="18" t="s">
        <v>2065</v>
      </c>
      <c r="B1889" s="18">
        <v>2</v>
      </c>
      <c r="C1889" s="18">
        <v>1</v>
      </c>
      <c r="D1889" s="16">
        <v>0</v>
      </c>
      <c r="E1889" s="16">
        <v>0</v>
      </c>
      <c r="F1889" s="37">
        <v>1</v>
      </c>
      <c r="G1889" s="37">
        <v>0</v>
      </c>
      <c r="H1889" s="17">
        <v>0</v>
      </c>
      <c r="I1889" s="17">
        <v>0</v>
      </c>
      <c r="J1889" s="99">
        <f>SUM(SamplingData[[#This Row],[Losing Candidate]:[Under Votes]])</f>
        <v>4</v>
      </c>
      <c r="K1889"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1889" s="100">
        <f>IF(AND(SamplingData[[#This Row],[Total]]&lt;&gt; 0, NOT(ISBLANK(SamplingData[[#This Row],[Candidate 3]]))),(SamplingData[[#This Row],[Total]]+SamplingData[[#This Row],[Winning Candidate]]-SamplingData[[#This Row],[Candidate 3]])/(SamplingData[[#Totals],[Winning Candidate]]-SamplingData[[#Totals],[Candidate 3]]), 0)</f>
        <v>1.6130593283220958E-4</v>
      </c>
      <c r="M1889" s="100">
        <f>IF(AND(SamplingData[[#This Row],[Total]]&lt;&gt; 0, NOT(ISBLANK(SamplingData[[#This Row],[Candidate 4]]))),(SamplingData[[#This Row],[Total]]+SamplingData[[#This Row],[Winning Candidate]]-SamplingData[[#This Row],[Candidate 4]])/(SamplingData[[#Totals],[Winning Candidate]]-SamplingData[[#Totals],[Candidate 4]]), 0)</f>
        <v>1.4616036715484231E-4</v>
      </c>
      <c r="N1889" s="100">
        <f>IF(AND(SamplingData[[#This Row],[Total]]&lt;&gt; 0, NOT(ISBLANK(SamplingData[[#This Row],[Candidate 5]]))),(SamplingData[[#This Row],[Total]]+SamplingData[[#This Row],[Winning Candidate]]-SamplingData[[#This Row],[Candidate 5]])/(SamplingData[[#Totals],[Winning Candidate]]-SamplingData[[#Totals],[Candidate 5]]), 0)</f>
        <v>9.7299927025054734E-5</v>
      </c>
      <c r="O1889" s="100">
        <f>IF(AND(SamplingData[[#This Row],[Total]]&lt;&gt; 0, NOT(ISBLANK(SamplingData[[#This Row],[Candidate 6]]))),(SamplingData[[#This Row],[Total]]+SamplingData[[#This Row],[Winning Candidate]]-SamplingData[[#This Row],[Candidate 6]])/(SamplingData[[#Totals],[Winning Candidate]]-SamplingData[[#Totals],[Candidate 6]]), 0)</f>
        <v>1.2158941685715675E-4</v>
      </c>
      <c r="P1889" s="100">
        <f>MAX(SamplingData[[#This Row],[Error Bound (up) - Max. possible relative overstatement - Losing Candidate]:[Error Bound (up) - Max. possible relative overstatement - Candidate 6]])</f>
        <v>1.8373346398824106E-4</v>
      </c>
      <c r="Q1889" s="100">
        <f>IF(SamplingData[[#This Row],[Max Error Bound (up)]] = 0,0,SamplingData[[#This Row],[Max Error Bound (up)]]/SamplingData[[#Totals],[Max Error Bound (up)]])</f>
        <v>2.9078844835337493E-5</v>
      </c>
      <c r="R1889" s="101">
        <f>SUM($Q$5:Q1889)</f>
        <v>0.76811032861301265</v>
      </c>
      <c r="S1889" s="100" t="str">
        <f t="array" ref="S1889">IF(SamplingData[[#This Row],[up/U Selection Probability]] = 0, "Zero", TEXT(SamplingData[[#This Row],[Lower Range]], REPT("0",LEN('General Info'!$B$40))) &amp; " - " &amp; TEXT(SamplingData[[#This Row],[Upper Range]], REPT("0",LEN('General Info'!$B$40))))</f>
        <v>76808 - 76810</v>
      </c>
      <c r="T1889" s="100">
        <f>SamplingData[[#This Row],[Upper Range]]-SamplingData[[#This Row],[Span]]</f>
        <v>76808.125005896582</v>
      </c>
      <c r="U1889" s="100">
        <f>IF(ISNUMBER('General Info'!$B$40), ((SamplingData[[#This Row],[up/U Selection Probability]]) * 'General Info'!$B$40) - 1, 0)</f>
        <v>1.907855404688914</v>
      </c>
      <c r="V1889" s="100">
        <f>IF(ISNUMBER('General Info'!$B$40), (SamplingData[[#This Row],[Running (cumulative) sum]] * ('General Info'!$B$40 -'General Info'!$B$41 + 1)) + 'General Info'!$B$41 - 1, 0)</f>
        <v>76810.032861301268</v>
      </c>
      <c r="W1889" s="100" t="str">
        <f>IF(ISERROR(MATCH(SamplingData[[#This Row],[Batch by Type (p)]],SelectedPrecincts[Batch Name], 0)), "", INDEX(SelectedPrecincts[Draw], MATCH(SamplingData[[#This Row],[Batch by Type (p)]],SelectedPrecincts[Batch Name], 0)))</f>
        <v/>
      </c>
      <c r="X1889" s="102">
        <f>IF(COUNTIF(SelectedPrecincts[Batch Name],SamplingData[[#This Row],[Batch by Type (p)]]) &lt;&gt; 0, COUNTIF(SelectedPrecincts[Batch Name],SamplingData[[#This Row],[Batch by Type (p)]]), 0)</f>
        <v>0</v>
      </c>
    </row>
    <row r="1890" spans="1:24" ht="15" customHeight="1">
      <c r="A1890" s="18" t="s">
        <v>2066</v>
      </c>
      <c r="B1890" s="18">
        <v>2</v>
      </c>
      <c r="C1890" s="18">
        <v>3</v>
      </c>
      <c r="D1890" s="18">
        <v>0</v>
      </c>
      <c r="E1890" s="18">
        <v>0</v>
      </c>
      <c r="F1890" s="18">
        <v>0</v>
      </c>
      <c r="G1890" s="18">
        <v>0</v>
      </c>
      <c r="H1890" s="18">
        <v>0</v>
      </c>
      <c r="I1890" s="18">
        <v>0</v>
      </c>
      <c r="J1890" s="99">
        <f>SUM(SamplingData[[#This Row],[Losing Candidate]:[Under Votes]])</f>
        <v>5</v>
      </c>
      <c r="K1890"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890" s="100">
        <f>IF(AND(SamplingData[[#This Row],[Total]]&lt;&gt; 0, NOT(ISBLANK(SamplingData[[#This Row],[Candidate 3]]))),(SamplingData[[#This Row],[Total]]+SamplingData[[#This Row],[Winning Candidate]]-SamplingData[[#This Row],[Candidate 3]])/(SamplingData[[#Totals],[Winning Candidate]]-SamplingData[[#Totals],[Candidate 3]]), 0)</f>
        <v>2.5808949253153533E-4</v>
      </c>
      <c r="M1890" s="100">
        <f>IF(AND(SamplingData[[#This Row],[Total]]&lt;&gt; 0, NOT(ISBLANK(SamplingData[[#This Row],[Candidate 4]]))),(SamplingData[[#This Row],[Total]]+SamplingData[[#This Row],[Winning Candidate]]-SamplingData[[#This Row],[Candidate 4]])/(SamplingData[[#Totals],[Winning Candidate]]-SamplingData[[#Totals],[Candidate 4]]), 0)</f>
        <v>2.3385658744774768E-4</v>
      </c>
      <c r="N1890" s="100">
        <f>IF(AND(SamplingData[[#This Row],[Total]]&lt;&gt; 0, NOT(ISBLANK(SamplingData[[#This Row],[Candidate 5]]))),(SamplingData[[#This Row],[Total]]+SamplingData[[#This Row],[Winning Candidate]]-SamplingData[[#This Row],[Candidate 5]])/(SamplingData[[#Totals],[Winning Candidate]]-SamplingData[[#Totals],[Candidate 5]]), 0)</f>
        <v>1.9459985405010947E-4</v>
      </c>
      <c r="O1890" s="100">
        <f>IF(AND(SamplingData[[#This Row],[Total]]&lt;&gt; 0, NOT(ISBLANK(SamplingData[[#This Row],[Candidate 6]]))),(SamplingData[[#This Row],[Total]]+SamplingData[[#This Row],[Winning Candidate]]-SamplingData[[#This Row],[Candidate 6]])/(SamplingData[[#Totals],[Winning Candidate]]-SamplingData[[#Totals],[Candidate 6]]), 0)</f>
        <v>1.945430669714508E-4</v>
      </c>
      <c r="P1890" s="100">
        <f>MAX(SamplingData[[#This Row],[Error Bound (up) - Max. possible relative overstatement - Losing Candidate]:[Error Bound (up) - Max. possible relative overstatement - Candidate 6]])</f>
        <v>3.6746692797648211E-4</v>
      </c>
      <c r="Q1890" s="100">
        <f>IF(SamplingData[[#This Row],[Max Error Bound (up)]] = 0,0,SamplingData[[#This Row],[Max Error Bound (up)]]/SamplingData[[#Totals],[Max Error Bound (up)]])</f>
        <v>5.8157689670674986E-5</v>
      </c>
      <c r="R1890" s="101">
        <f>SUM($Q$5:Q1890)</f>
        <v>0.76816848630268331</v>
      </c>
      <c r="S1890" s="100" t="str">
        <f t="array" ref="S1890">IF(SamplingData[[#This Row],[up/U Selection Probability]] = 0, "Zero", TEXT(SamplingData[[#This Row],[Lower Range]], REPT("0",LEN('General Info'!$B$40))) &amp; " - " &amp; TEXT(SamplingData[[#This Row],[Upper Range]], REPT("0",LEN('General Info'!$B$40))))</f>
        <v>76811 - 76816</v>
      </c>
      <c r="T1890" s="100">
        <f>SamplingData[[#This Row],[Upper Range]]-SamplingData[[#This Row],[Span]]</f>
        <v>76811.032919458958</v>
      </c>
      <c r="U1890" s="100">
        <f>IF(ISNUMBER('General Info'!$B$40), ((SamplingData[[#This Row],[up/U Selection Probability]]) * 'General Info'!$B$40) - 1, 0)</f>
        <v>4.815710809377828</v>
      </c>
      <c r="V1890" s="100">
        <f>IF(ISNUMBER('General Info'!$B$40), (SamplingData[[#This Row],[Running (cumulative) sum]] * ('General Info'!$B$40 -'General Info'!$B$41 + 1)) + 'General Info'!$B$41 - 1, 0)</f>
        <v>76815.84863026833</v>
      </c>
      <c r="W1890" s="100" t="str">
        <f>IF(ISERROR(MATCH(SamplingData[[#This Row],[Batch by Type (p)]],SelectedPrecincts[Batch Name], 0)), "", INDEX(SelectedPrecincts[Draw], MATCH(SamplingData[[#This Row],[Batch by Type (p)]],SelectedPrecincts[Batch Name], 0)))</f>
        <v/>
      </c>
      <c r="X1890" s="102">
        <f>IF(COUNTIF(SelectedPrecincts[Batch Name],SamplingData[[#This Row],[Batch by Type (p)]]) &lt;&gt; 0, COUNTIF(SelectedPrecincts[Batch Name],SamplingData[[#This Row],[Batch by Type (p)]]), 0)</f>
        <v>0</v>
      </c>
    </row>
    <row r="1891" spans="1:24" ht="15" customHeight="1">
      <c r="A1891" s="18" t="s">
        <v>2067</v>
      </c>
      <c r="B1891" s="18">
        <v>2</v>
      </c>
      <c r="C1891" s="18">
        <v>8</v>
      </c>
      <c r="D1891" s="16">
        <v>4</v>
      </c>
      <c r="E1891" s="16">
        <v>1</v>
      </c>
      <c r="F1891" s="37">
        <v>0</v>
      </c>
      <c r="G1891" s="37">
        <v>0</v>
      </c>
      <c r="H1891" s="17">
        <v>0</v>
      </c>
      <c r="I1891" s="17">
        <v>0</v>
      </c>
      <c r="J1891" s="99">
        <f>SUM(SamplingData[[#This Row],[Losing Candidate]:[Under Votes]])</f>
        <v>15</v>
      </c>
      <c r="K1891"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891" s="100">
        <f>IF(AND(SamplingData[[#This Row],[Total]]&lt;&gt; 0, NOT(ISBLANK(SamplingData[[#This Row],[Candidate 3]]))),(SamplingData[[#This Row],[Total]]+SamplingData[[#This Row],[Winning Candidate]]-SamplingData[[#This Row],[Candidate 3]])/(SamplingData[[#Totals],[Winning Candidate]]-SamplingData[[#Totals],[Candidate 3]]), 0)</f>
        <v>6.1296254476239632E-4</v>
      </c>
      <c r="M1891" s="100">
        <f>IF(AND(SamplingData[[#This Row],[Total]]&lt;&gt; 0, NOT(ISBLANK(SamplingData[[#This Row],[Candidate 4]]))),(SamplingData[[#This Row],[Total]]+SamplingData[[#This Row],[Winning Candidate]]-SamplingData[[#This Row],[Candidate 4]])/(SamplingData[[#Totals],[Winning Candidate]]-SamplingData[[#Totals],[Candidate 4]]), 0)</f>
        <v>6.4310561548130605E-4</v>
      </c>
      <c r="N1891" s="100">
        <f>IF(AND(SamplingData[[#This Row],[Total]]&lt;&gt; 0, NOT(ISBLANK(SamplingData[[#This Row],[Candidate 5]]))),(SamplingData[[#This Row],[Total]]+SamplingData[[#This Row],[Winning Candidate]]-SamplingData[[#This Row],[Candidate 5]])/(SamplingData[[#Totals],[Winning Candidate]]-SamplingData[[#Totals],[Candidate 5]]), 0)</f>
        <v>5.5947458039406475E-4</v>
      </c>
      <c r="O1891" s="100">
        <f>IF(AND(SamplingData[[#This Row],[Total]]&lt;&gt; 0, NOT(ISBLANK(SamplingData[[#This Row],[Candidate 6]]))),(SamplingData[[#This Row],[Total]]+SamplingData[[#This Row],[Winning Candidate]]-SamplingData[[#This Row],[Candidate 6]])/(SamplingData[[#Totals],[Winning Candidate]]-SamplingData[[#Totals],[Candidate 6]]), 0)</f>
        <v>5.5931131754292105E-4</v>
      </c>
      <c r="P1891" s="100">
        <f>MAX(SamplingData[[#This Row],[Error Bound (up) - Max. possible relative overstatement - Losing Candidate]:[Error Bound (up) - Max. possible relative overstatement - Candidate 6]])</f>
        <v>1.2861342479176874E-3</v>
      </c>
      <c r="Q1891" s="100">
        <f>IF(SamplingData[[#This Row],[Max Error Bound (up)]] = 0,0,SamplingData[[#This Row],[Max Error Bound (up)]]/SamplingData[[#Totals],[Max Error Bound (up)]])</f>
        <v>2.0355191384736248E-4</v>
      </c>
      <c r="R1891" s="101">
        <f>SUM($Q$5:Q1891)</f>
        <v>0.76837203821653066</v>
      </c>
      <c r="S1891" s="100" t="str">
        <f t="array" ref="S1891">IF(SamplingData[[#This Row],[up/U Selection Probability]] = 0, "Zero", TEXT(SamplingData[[#This Row],[Lower Range]], REPT("0",LEN('General Info'!$B$40))) &amp; " - " &amp; TEXT(SamplingData[[#This Row],[Upper Range]], REPT("0",LEN('General Info'!$B$40))))</f>
        <v>76817 - 76836</v>
      </c>
      <c r="T1891" s="100">
        <f>SamplingData[[#This Row],[Upper Range]]-SamplingData[[#This Row],[Span]]</f>
        <v>76816.848833820244</v>
      </c>
      <c r="U1891" s="100">
        <f>IF(ISNUMBER('General Info'!$B$40), ((SamplingData[[#This Row],[up/U Selection Probability]]) * 'General Info'!$B$40) - 1, 0)</f>
        <v>19.354987832822399</v>
      </c>
      <c r="V1891" s="100">
        <f>IF(ISNUMBER('General Info'!$B$40), (SamplingData[[#This Row],[Running (cumulative) sum]] * ('General Info'!$B$40 -'General Info'!$B$41 + 1)) + 'General Info'!$B$41 - 1, 0)</f>
        <v>76836.203821653064</v>
      </c>
      <c r="W1891" s="100" t="str">
        <f>IF(ISERROR(MATCH(SamplingData[[#This Row],[Batch by Type (p)]],SelectedPrecincts[Batch Name], 0)), "", INDEX(SelectedPrecincts[Draw], MATCH(SamplingData[[#This Row],[Batch by Type (p)]],SelectedPrecincts[Batch Name], 0)))</f>
        <v/>
      </c>
      <c r="X1891" s="102">
        <f>IF(COUNTIF(SelectedPrecincts[Batch Name],SamplingData[[#This Row],[Batch by Type (p)]]) &lt;&gt; 0, COUNTIF(SelectedPrecincts[Batch Name],SamplingData[[#This Row],[Batch by Type (p)]]), 0)</f>
        <v>0</v>
      </c>
    </row>
    <row r="1892" spans="1:24" ht="15" customHeight="1">
      <c r="A1892" s="18" t="s">
        <v>2068</v>
      </c>
      <c r="B1892" s="18">
        <v>4</v>
      </c>
      <c r="C1892" s="18">
        <v>2</v>
      </c>
      <c r="D1892" s="18">
        <v>1</v>
      </c>
      <c r="E1892" s="18">
        <v>0</v>
      </c>
      <c r="F1892" s="18">
        <v>0</v>
      </c>
      <c r="G1892" s="18">
        <v>0</v>
      </c>
      <c r="H1892" s="18">
        <v>0</v>
      </c>
      <c r="I1892" s="18">
        <v>0</v>
      </c>
      <c r="J1892" s="99">
        <f>SUM(SamplingData[[#This Row],[Losing Candidate]:[Under Votes]])</f>
        <v>7</v>
      </c>
      <c r="K1892"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1892" s="100">
        <f>IF(AND(SamplingData[[#This Row],[Total]]&lt;&gt; 0, NOT(ISBLANK(SamplingData[[#This Row],[Candidate 3]]))),(SamplingData[[#This Row],[Total]]+SamplingData[[#This Row],[Winning Candidate]]-SamplingData[[#This Row],[Candidate 3]])/(SamplingData[[#Totals],[Winning Candidate]]-SamplingData[[#Totals],[Candidate 3]]), 0)</f>
        <v>2.5808949253153533E-4</v>
      </c>
      <c r="M1892" s="100">
        <f>IF(AND(SamplingData[[#This Row],[Total]]&lt;&gt; 0, NOT(ISBLANK(SamplingData[[#This Row],[Candidate 4]]))),(SamplingData[[#This Row],[Total]]+SamplingData[[#This Row],[Winning Candidate]]-SamplingData[[#This Row],[Candidate 4]])/(SamplingData[[#Totals],[Winning Candidate]]-SamplingData[[#Totals],[Candidate 4]]), 0)</f>
        <v>2.6308866087871614E-4</v>
      </c>
      <c r="N1892" s="100">
        <f>IF(AND(SamplingData[[#This Row],[Total]]&lt;&gt; 0, NOT(ISBLANK(SamplingData[[#This Row],[Candidate 5]]))),(SamplingData[[#This Row],[Total]]+SamplingData[[#This Row],[Winning Candidate]]-SamplingData[[#This Row],[Candidate 5]])/(SamplingData[[#Totals],[Winning Candidate]]-SamplingData[[#Totals],[Candidate 5]]), 0)</f>
        <v>2.1892483580637315E-4</v>
      </c>
      <c r="O1892" s="100">
        <f>IF(AND(SamplingData[[#This Row],[Total]]&lt;&gt; 0, NOT(ISBLANK(SamplingData[[#This Row],[Candidate 6]]))),(SamplingData[[#This Row],[Total]]+SamplingData[[#This Row],[Winning Candidate]]-SamplingData[[#This Row],[Candidate 6]])/(SamplingData[[#Totals],[Winning Candidate]]-SamplingData[[#Totals],[Candidate 6]]), 0)</f>
        <v>2.1886095034288216E-4</v>
      </c>
      <c r="P1892" s="100">
        <f>MAX(SamplingData[[#This Row],[Error Bound (up) - Max. possible relative overstatement - Losing Candidate]:[Error Bound (up) - Max. possible relative overstatement - Candidate 6]])</f>
        <v>3.0622243998040176E-4</v>
      </c>
      <c r="Q1892" s="100">
        <f>IF(SamplingData[[#This Row],[Max Error Bound (up)]] = 0,0,SamplingData[[#This Row],[Max Error Bound (up)]]/SamplingData[[#Totals],[Max Error Bound (up)]])</f>
        <v>4.8464741392229159E-5</v>
      </c>
      <c r="R1892" s="101">
        <f>SUM($Q$5:Q1892)</f>
        <v>0.76842050295792286</v>
      </c>
      <c r="S1892" s="100" t="str">
        <f t="array" ref="S1892">IF(SamplingData[[#This Row],[up/U Selection Probability]] = 0, "Zero", TEXT(SamplingData[[#This Row],[Lower Range]], REPT("0",LEN('General Info'!$B$40))) &amp; " - " &amp; TEXT(SamplingData[[#This Row],[Upper Range]], REPT("0",LEN('General Info'!$B$40))))</f>
        <v>76837 - 76841</v>
      </c>
      <c r="T1892" s="100">
        <f>SamplingData[[#This Row],[Upper Range]]-SamplingData[[#This Row],[Span]]</f>
        <v>76837.20387011781</v>
      </c>
      <c r="U1892" s="100">
        <f>IF(ISNUMBER('General Info'!$B$40), ((SamplingData[[#This Row],[up/U Selection Probability]]) * 'General Info'!$B$40) - 1, 0)</f>
        <v>3.8464256744815239</v>
      </c>
      <c r="V1892" s="100">
        <f>IF(ISNUMBER('General Info'!$B$40), (SamplingData[[#This Row],[Running (cumulative) sum]] * ('General Info'!$B$40 -'General Info'!$B$41 + 1)) + 'General Info'!$B$41 - 1, 0)</f>
        <v>76841.050295792287</v>
      </c>
      <c r="W1892" s="100" t="str">
        <f>IF(ISERROR(MATCH(SamplingData[[#This Row],[Batch by Type (p)]],SelectedPrecincts[Batch Name], 0)), "", INDEX(SelectedPrecincts[Draw], MATCH(SamplingData[[#This Row],[Batch by Type (p)]],SelectedPrecincts[Batch Name], 0)))</f>
        <v/>
      </c>
      <c r="X1892" s="102">
        <f>IF(COUNTIF(SelectedPrecincts[Batch Name],SamplingData[[#This Row],[Batch by Type (p)]]) &lt;&gt; 0, COUNTIF(SelectedPrecincts[Batch Name],SamplingData[[#This Row],[Batch by Type (p)]]), 0)</f>
        <v>0</v>
      </c>
    </row>
    <row r="1893" spans="1:24" ht="15" customHeight="1">
      <c r="A1893" s="18" t="s">
        <v>2069</v>
      </c>
      <c r="B1893" s="18">
        <v>8</v>
      </c>
      <c r="C1893" s="18">
        <v>18</v>
      </c>
      <c r="D1893" s="16">
        <v>7</v>
      </c>
      <c r="E1893" s="16">
        <v>3</v>
      </c>
      <c r="F1893" s="37">
        <v>0</v>
      </c>
      <c r="G1893" s="37">
        <v>0</v>
      </c>
      <c r="H1893" s="17">
        <v>0</v>
      </c>
      <c r="I1893" s="17">
        <v>1</v>
      </c>
      <c r="J1893" s="99">
        <f>SUM(SamplingData[[#This Row],[Losing Candidate]:[Under Votes]])</f>
        <v>37</v>
      </c>
      <c r="K1893" s="100">
        <f>IF(AND(SamplingData[[#This Row],[Total]]&lt;&gt; 0, NOT(ISBLANK(SamplingData[[#This Row],[Losing Candidate]]))),(SamplingData[[#This Row],[Total]]+SamplingData[[#This Row],[Winning Candidate]]-SamplingData[[#This Row],[Losing Candidate]])/(SamplingData[[#Totals],[Winning Candidate]]-SamplingData[[#Totals],[Losing Candidate]]), 0)</f>
        <v>2.8784909358157765E-3</v>
      </c>
      <c r="L1893" s="100">
        <f>IF(AND(SamplingData[[#This Row],[Total]]&lt;&gt; 0, NOT(ISBLANK(SamplingData[[#This Row],[Candidate 3]]))),(SamplingData[[#This Row],[Total]]+SamplingData[[#This Row],[Winning Candidate]]-SamplingData[[#This Row],[Candidate 3]])/(SamplingData[[#Totals],[Winning Candidate]]-SamplingData[[#Totals],[Candidate 3]]), 0)</f>
        <v>1.5485369551892119E-3</v>
      </c>
      <c r="M1893" s="100">
        <f>IF(AND(SamplingData[[#This Row],[Total]]&lt;&gt; 0, NOT(ISBLANK(SamplingData[[#This Row],[Candidate 4]]))),(SamplingData[[#This Row],[Total]]+SamplingData[[#This Row],[Winning Candidate]]-SamplingData[[#This Row],[Candidate 4]])/(SamplingData[[#Totals],[Winning Candidate]]-SamplingData[[#Totals],[Candidate 4]]), 0)</f>
        <v>1.5200678184103598E-3</v>
      </c>
      <c r="N1893" s="100">
        <f>IF(AND(SamplingData[[#This Row],[Total]]&lt;&gt; 0, NOT(ISBLANK(SamplingData[[#This Row],[Candidate 5]]))),(SamplingData[[#This Row],[Total]]+SamplingData[[#This Row],[Winning Candidate]]-SamplingData[[#This Row],[Candidate 5]])/(SamplingData[[#Totals],[Winning Candidate]]-SamplingData[[#Totals],[Candidate 5]]), 0)</f>
        <v>1.3378739965945025E-3</v>
      </c>
      <c r="O1893" s="100">
        <f>IF(AND(SamplingData[[#This Row],[Total]]&lt;&gt; 0, NOT(ISBLANK(SamplingData[[#This Row],[Candidate 6]]))),(SamplingData[[#This Row],[Total]]+SamplingData[[#This Row],[Winning Candidate]]-SamplingData[[#This Row],[Candidate 6]])/(SamplingData[[#Totals],[Winning Candidate]]-SamplingData[[#Totals],[Candidate 6]]), 0)</f>
        <v>1.3374835854287244E-3</v>
      </c>
      <c r="P1893" s="100">
        <f>MAX(SamplingData[[#This Row],[Error Bound (up) - Max. possible relative overstatement - Losing Candidate]:[Error Bound (up) - Max. possible relative overstatement - Candidate 6]])</f>
        <v>2.8784909358157765E-3</v>
      </c>
      <c r="Q1893" s="100">
        <f>IF(SamplingData[[#This Row],[Max Error Bound (up)]] = 0,0,SamplingData[[#This Row],[Max Error Bound (up)]]/SamplingData[[#Totals],[Max Error Bound (up)]])</f>
        <v>4.5556856908695405E-4</v>
      </c>
      <c r="R1893" s="101">
        <f>SUM($Q$5:Q1893)</f>
        <v>0.76887607152700976</v>
      </c>
      <c r="S1893" s="100" t="str">
        <f t="array" ref="S1893">IF(SamplingData[[#This Row],[up/U Selection Probability]] = 0, "Zero", TEXT(SamplingData[[#This Row],[Lower Range]], REPT("0",LEN('General Info'!$B$40))) &amp; " - " &amp; TEXT(SamplingData[[#This Row],[Upper Range]], REPT("0",LEN('General Info'!$B$40))))</f>
        <v>76842 - 76887</v>
      </c>
      <c r="T1893" s="100">
        <f>SamplingData[[#This Row],[Upper Range]]-SamplingData[[#This Row],[Span]]</f>
        <v>76842.050751360846</v>
      </c>
      <c r="U1893" s="100">
        <f>IF(ISNUMBER('General Info'!$B$40), ((SamplingData[[#This Row],[up/U Selection Probability]]) * 'General Info'!$B$40) - 1, 0)</f>
        <v>44.556401340126321</v>
      </c>
      <c r="V1893" s="100">
        <f>IF(ISNUMBER('General Info'!$B$40), (SamplingData[[#This Row],[Running (cumulative) sum]] * ('General Info'!$B$40 -'General Info'!$B$41 + 1)) + 'General Info'!$B$41 - 1, 0)</f>
        <v>76886.607152700977</v>
      </c>
      <c r="W1893" s="100" t="str">
        <f>IF(ISERROR(MATCH(SamplingData[[#This Row],[Batch by Type (p)]],SelectedPrecincts[Batch Name], 0)), "", INDEX(SelectedPrecincts[Draw], MATCH(SamplingData[[#This Row],[Batch by Type (p)]],SelectedPrecincts[Batch Name], 0)))</f>
        <v/>
      </c>
      <c r="X1893" s="102">
        <f>IF(COUNTIF(SelectedPrecincts[Batch Name],SamplingData[[#This Row],[Batch by Type (p)]]) &lt;&gt; 0, COUNTIF(SelectedPrecincts[Batch Name],SamplingData[[#This Row],[Batch by Type (p)]]), 0)</f>
        <v>0</v>
      </c>
    </row>
    <row r="1894" spans="1:24" ht="15" customHeight="1">
      <c r="A1894" s="18" t="s">
        <v>2070</v>
      </c>
      <c r="B1894" s="18">
        <v>0</v>
      </c>
      <c r="C1894" s="18">
        <v>3</v>
      </c>
      <c r="D1894" s="18">
        <v>2</v>
      </c>
      <c r="E1894" s="18">
        <v>0</v>
      </c>
      <c r="F1894" s="18">
        <v>0</v>
      </c>
      <c r="G1894" s="18">
        <v>0</v>
      </c>
      <c r="H1894" s="18">
        <v>0</v>
      </c>
      <c r="I1894" s="18">
        <v>0</v>
      </c>
      <c r="J1894" s="99">
        <f>SUM(SamplingData[[#This Row],[Losing Candidate]:[Under Votes]])</f>
        <v>5</v>
      </c>
      <c r="K1894"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894" s="100">
        <f>IF(AND(SamplingData[[#This Row],[Total]]&lt;&gt; 0, NOT(ISBLANK(SamplingData[[#This Row],[Candidate 3]]))),(SamplingData[[#This Row],[Total]]+SamplingData[[#This Row],[Winning Candidate]]-SamplingData[[#This Row],[Candidate 3]])/(SamplingData[[#Totals],[Winning Candidate]]-SamplingData[[#Totals],[Candidate 3]]), 0)</f>
        <v>1.9356711939865149E-4</v>
      </c>
      <c r="M1894" s="100">
        <f>IF(AND(SamplingData[[#This Row],[Total]]&lt;&gt; 0, NOT(ISBLANK(SamplingData[[#This Row],[Candidate 4]]))),(SamplingData[[#This Row],[Total]]+SamplingData[[#This Row],[Winning Candidate]]-SamplingData[[#This Row],[Candidate 4]])/(SamplingData[[#Totals],[Winning Candidate]]-SamplingData[[#Totals],[Candidate 4]]), 0)</f>
        <v>2.3385658744774768E-4</v>
      </c>
      <c r="N1894" s="100">
        <f>IF(AND(SamplingData[[#This Row],[Total]]&lt;&gt; 0, NOT(ISBLANK(SamplingData[[#This Row],[Candidate 5]]))),(SamplingData[[#This Row],[Total]]+SamplingData[[#This Row],[Winning Candidate]]-SamplingData[[#This Row],[Candidate 5]])/(SamplingData[[#Totals],[Winning Candidate]]-SamplingData[[#Totals],[Candidate 5]]), 0)</f>
        <v>1.9459985405010947E-4</v>
      </c>
      <c r="O1894" s="100">
        <f>IF(AND(SamplingData[[#This Row],[Total]]&lt;&gt; 0, NOT(ISBLANK(SamplingData[[#This Row],[Candidate 6]]))),(SamplingData[[#This Row],[Total]]+SamplingData[[#This Row],[Winning Candidate]]-SamplingData[[#This Row],[Candidate 6]])/(SamplingData[[#Totals],[Winning Candidate]]-SamplingData[[#Totals],[Candidate 6]]), 0)</f>
        <v>1.945430669714508E-4</v>
      </c>
      <c r="P1894" s="100">
        <f>MAX(SamplingData[[#This Row],[Error Bound (up) - Max. possible relative overstatement - Losing Candidate]:[Error Bound (up) - Max. possible relative overstatement - Candidate 6]])</f>
        <v>4.8995590396864281E-4</v>
      </c>
      <c r="Q1894" s="100">
        <f>IF(SamplingData[[#This Row],[Max Error Bound (up)]] = 0,0,SamplingData[[#This Row],[Max Error Bound (up)]]/SamplingData[[#Totals],[Max Error Bound (up)]])</f>
        <v>7.7543586227566652E-5</v>
      </c>
      <c r="R1894" s="101">
        <f>SUM($Q$5:Q1894)</f>
        <v>0.76895361511323734</v>
      </c>
      <c r="S1894" s="100" t="str">
        <f t="array" ref="S1894">IF(SamplingData[[#This Row],[up/U Selection Probability]] = 0, "Zero", TEXT(SamplingData[[#This Row],[Lower Range]], REPT("0",LEN('General Info'!$B$40))) &amp; " - " &amp; TEXT(SamplingData[[#This Row],[Upper Range]], REPT("0",LEN('General Info'!$B$40))))</f>
        <v>76888 - 76894</v>
      </c>
      <c r="T1894" s="100">
        <f>SamplingData[[#This Row],[Upper Range]]-SamplingData[[#This Row],[Span]]</f>
        <v>76887.607230244568</v>
      </c>
      <c r="U1894" s="100">
        <f>IF(ISNUMBER('General Info'!$B$40), ((SamplingData[[#This Row],[up/U Selection Probability]]) * 'General Info'!$B$40) - 1, 0)</f>
        <v>6.754281079170438</v>
      </c>
      <c r="V1894" s="100">
        <f>IF(ISNUMBER('General Info'!$B$40), (SamplingData[[#This Row],[Running (cumulative) sum]] * ('General Info'!$B$40 -'General Info'!$B$41 + 1)) + 'General Info'!$B$41 - 1, 0)</f>
        <v>76894.361511323732</v>
      </c>
      <c r="W1894" s="100" t="str">
        <f>IF(ISERROR(MATCH(SamplingData[[#This Row],[Batch by Type (p)]],SelectedPrecincts[Batch Name], 0)), "", INDEX(SelectedPrecincts[Draw], MATCH(SamplingData[[#This Row],[Batch by Type (p)]],SelectedPrecincts[Batch Name], 0)))</f>
        <v/>
      </c>
      <c r="X1894" s="102">
        <f>IF(COUNTIF(SelectedPrecincts[Batch Name],SamplingData[[#This Row],[Batch by Type (p)]]) &lt;&gt; 0, COUNTIF(SelectedPrecincts[Batch Name],SamplingData[[#This Row],[Batch by Type (p)]]), 0)</f>
        <v>0</v>
      </c>
    </row>
    <row r="1895" spans="1:24" ht="15" customHeight="1">
      <c r="A1895" s="18" t="s">
        <v>2071</v>
      </c>
      <c r="B1895" s="18">
        <v>6</v>
      </c>
      <c r="C1895" s="18">
        <v>20</v>
      </c>
      <c r="D1895" s="16">
        <v>5</v>
      </c>
      <c r="E1895" s="16">
        <v>3</v>
      </c>
      <c r="F1895" s="37">
        <v>1</v>
      </c>
      <c r="G1895" s="37">
        <v>0</v>
      </c>
      <c r="H1895" s="17">
        <v>0</v>
      </c>
      <c r="I1895" s="17">
        <v>1</v>
      </c>
      <c r="J1895" s="99">
        <f>SUM(SamplingData[[#This Row],[Losing Candidate]:[Under Votes]])</f>
        <v>36</v>
      </c>
      <c r="K1895" s="100">
        <f>IF(AND(SamplingData[[#This Row],[Total]]&lt;&gt; 0, NOT(ISBLANK(SamplingData[[#This Row],[Losing Candidate]]))),(SamplingData[[#This Row],[Total]]+SamplingData[[#This Row],[Winning Candidate]]-SamplingData[[#This Row],[Losing Candidate]])/(SamplingData[[#Totals],[Winning Candidate]]-SamplingData[[#Totals],[Losing Candidate]]), 0)</f>
        <v>3.0622243998040177E-3</v>
      </c>
      <c r="L1895" s="100">
        <f>IF(AND(SamplingData[[#This Row],[Total]]&lt;&gt; 0, NOT(ISBLANK(SamplingData[[#This Row],[Candidate 3]]))),(SamplingData[[#This Row],[Total]]+SamplingData[[#This Row],[Winning Candidate]]-SamplingData[[#This Row],[Candidate 3]])/(SamplingData[[#Totals],[Winning Candidate]]-SamplingData[[#Totals],[Candidate 3]]), 0)</f>
        <v>1.6453205148885377E-3</v>
      </c>
      <c r="M1895" s="100">
        <f>IF(AND(SamplingData[[#This Row],[Total]]&lt;&gt; 0, NOT(ISBLANK(SamplingData[[#This Row],[Candidate 4]]))),(SamplingData[[#This Row],[Total]]+SamplingData[[#This Row],[Winning Candidate]]-SamplingData[[#This Row],[Candidate 4]])/(SamplingData[[#Totals],[Winning Candidate]]-SamplingData[[#Totals],[Candidate 4]]), 0)</f>
        <v>1.5492998918413283E-3</v>
      </c>
      <c r="N1895" s="100">
        <f>IF(AND(SamplingData[[#This Row],[Total]]&lt;&gt; 0, NOT(ISBLANK(SamplingData[[#This Row],[Candidate 5]]))),(SamplingData[[#This Row],[Total]]+SamplingData[[#This Row],[Winning Candidate]]-SamplingData[[#This Row],[Candidate 5]])/(SamplingData[[#Totals],[Winning Candidate]]-SamplingData[[#Totals],[Candidate 5]]), 0)</f>
        <v>1.3378739965945025E-3</v>
      </c>
      <c r="O1895" s="100">
        <f>IF(AND(SamplingData[[#This Row],[Total]]&lt;&gt; 0, NOT(ISBLANK(SamplingData[[#This Row],[Candidate 6]]))),(SamplingData[[#This Row],[Total]]+SamplingData[[#This Row],[Winning Candidate]]-SamplingData[[#This Row],[Candidate 6]])/(SamplingData[[#Totals],[Winning Candidate]]-SamplingData[[#Totals],[Candidate 6]]), 0)</f>
        <v>1.3618014688001555E-3</v>
      </c>
      <c r="P1895" s="100">
        <f>MAX(SamplingData[[#This Row],[Error Bound (up) - Max. possible relative overstatement - Losing Candidate]:[Error Bound (up) - Max. possible relative overstatement - Candidate 6]])</f>
        <v>3.0622243998040177E-3</v>
      </c>
      <c r="Q1895" s="100">
        <f>IF(SamplingData[[#This Row],[Max Error Bound (up)]] = 0,0,SamplingData[[#This Row],[Max Error Bound (up)]]/SamplingData[[#Totals],[Max Error Bound (up)]])</f>
        <v>4.8464741392229157E-4</v>
      </c>
      <c r="R1895" s="101">
        <f>SUM($Q$5:Q1895)</f>
        <v>0.76943826252715963</v>
      </c>
      <c r="S1895" s="100" t="str">
        <f t="array" ref="S1895">IF(SamplingData[[#This Row],[up/U Selection Probability]] = 0, "Zero", TEXT(SamplingData[[#This Row],[Lower Range]], REPT("0",LEN('General Info'!$B$40))) &amp; " - " &amp; TEXT(SamplingData[[#This Row],[Upper Range]], REPT("0",LEN('General Info'!$B$40))))</f>
        <v>76895 - 76943</v>
      </c>
      <c r="T1895" s="100">
        <f>SamplingData[[#This Row],[Upper Range]]-SamplingData[[#This Row],[Span]]</f>
        <v>76895.36199597115</v>
      </c>
      <c r="U1895" s="100">
        <f>IF(ISNUMBER('General Info'!$B$40), ((SamplingData[[#This Row],[up/U Selection Probability]]) * 'General Info'!$B$40) - 1, 0)</f>
        <v>47.464256744815238</v>
      </c>
      <c r="V1895" s="100">
        <f>IF(ISNUMBER('General Info'!$B$40), (SamplingData[[#This Row],[Running (cumulative) sum]] * ('General Info'!$B$40 -'General Info'!$B$41 + 1)) + 'General Info'!$B$41 - 1, 0)</f>
        <v>76942.826252715968</v>
      </c>
      <c r="W1895" s="100" t="str">
        <f>IF(ISERROR(MATCH(SamplingData[[#This Row],[Batch by Type (p)]],SelectedPrecincts[Batch Name], 0)), "", INDEX(SelectedPrecincts[Draw], MATCH(SamplingData[[#This Row],[Batch by Type (p)]],SelectedPrecincts[Batch Name], 0)))</f>
        <v/>
      </c>
      <c r="X1895" s="102">
        <f>IF(COUNTIF(SelectedPrecincts[Batch Name],SamplingData[[#This Row],[Batch by Type (p)]]) &lt;&gt; 0, COUNTIF(SelectedPrecincts[Batch Name],SamplingData[[#This Row],[Batch by Type (p)]]), 0)</f>
        <v>0</v>
      </c>
    </row>
    <row r="1896" spans="1:24" ht="15" customHeight="1">
      <c r="A1896" s="18" t="s">
        <v>2072</v>
      </c>
      <c r="B1896" s="18">
        <v>3</v>
      </c>
      <c r="C1896" s="18">
        <v>6</v>
      </c>
      <c r="D1896" s="18">
        <v>0</v>
      </c>
      <c r="E1896" s="18">
        <v>3</v>
      </c>
      <c r="F1896" s="18">
        <v>0</v>
      </c>
      <c r="G1896" s="18">
        <v>0</v>
      </c>
      <c r="H1896" s="18">
        <v>0</v>
      </c>
      <c r="I1896" s="18">
        <v>0</v>
      </c>
      <c r="J1896" s="99">
        <f>SUM(SamplingData[[#This Row],[Losing Candidate]:[Under Votes]])</f>
        <v>12</v>
      </c>
      <c r="K1896"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896" s="100">
        <f>IF(AND(SamplingData[[#This Row],[Total]]&lt;&gt; 0, NOT(ISBLANK(SamplingData[[#This Row],[Candidate 3]]))),(SamplingData[[#This Row],[Total]]+SamplingData[[#This Row],[Winning Candidate]]-SamplingData[[#This Row],[Candidate 3]])/(SamplingData[[#Totals],[Winning Candidate]]-SamplingData[[#Totals],[Candidate 3]]), 0)</f>
        <v>5.8070135819595443E-4</v>
      </c>
      <c r="M1896" s="100">
        <f>IF(AND(SamplingData[[#This Row],[Total]]&lt;&gt; 0, NOT(ISBLANK(SamplingData[[#This Row],[Candidate 4]]))),(SamplingData[[#This Row],[Total]]+SamplingData[[#This Row],[Winning Candidate]]-SamplingData[[#This Row],[Candidate 4]])/(SamplingData[[#Totals],[Winning Candidate]]-SamplingData[[#Totals],[Candidate 4]]), 0)</f>
        <v>4.3848110146452689E-4</v>
      </c>
      <c r="N1896" s="100">
        <f>IF(AND(SamplingData[[#This Row],[Total]]&lt;&gt; 0, NOT(ISBLANK(SamplingData[[#This Row],[Candidate 5]]))),(SamplingData[[#This Row],[Total]]+SamplingData[[#This Row],[Winning Candidate]]-SamplingData[[#This Row],[Candidate 5]])/(SamplingData[[#Totals],[Winning Candidate]]-SamplingData[[#Totals],[Candidate 5]]), 0)</f>
        <v>4.3784967161274629E-4</v>
      </c>
      <c r="O1896" s="100">
        <f>IF(AND(SamplingData[[#This Row],[Total]]&lt;&gt; 0, NOT(ISBLANK(SamplingData[[#This Row],[Candidate 6]]))),(SamplingData[[#This Row],[Total]]+SamplingData[[#This Row],[Winning Candidate]]-SamplingData[[#This Row],[Candidate 6]])/(SamplingData[[#Totals],[Winning Candidate]]-SamplingData[[#Totals],[Candidate 6]]), 0)</f>
        <v>4.3772190068576433E-4</v>
      </c>
      <c r="P1896" s="100">
        <f>MAX(SamplingData[[#This Row],[Error Bound (up) - Max. possible relative overstatement - Losing Candidate]:[Error Bound (up) - Max. possible relative overstatement - Candidate 6]])</f>
        <v>9.1866731994120533E-4</v>
      </c>
      <c r="Q1896" s="100">
        <f>IF(SamplingData[[#This Row],[Max Error Bound (up)]] = 0,0,SamplingData[[#This Row],[Max Error Bound (up)]]/SamplingData[[#Totals],[Max Error Bound (up)]])</f>
        <v>1.4539422417668749E-4</v>
      </c>
      <c r="R1896" s="101">
        <f>SUM($Q$5:Q1896)</f>
        <v>0.76958365675133633</v>
      </c>
      <c r="S1896" s="100" t="str">
        <f t="array" ref="S1896">IF(SamplingData[[#This Row],[up/U Selection Probability]] = 0, "Zero", TEXT(SamplingData[[#This Row],[Lower Range]], REPT("0",LEN('General Info'!$B$40))) &amp; " - " &amp; TEXT(SamplingData[[#This Row],[Upper Range]], REPT("0",LEN('General Info'!$B$40))))</f>
        <v>76944 - 76957</v>
      </c>
      <c r="T1896" s="100">
        <f>SamplingData[[#This Row],[Upper Range]]-SamplingData[[#This Row],[Span]]</f>
        <v>76943.826398110192</v>
      </c>
      <c r="U1896" s="100">
        <f>IF(ISNUMBER('General Info'!$B$40), ((SamplingData[[#This Row],[up/U Selection Probability]]) * 'General Info'!$B$40) - 1, 0)</f>
        <v>13.539277023444573</v>
      </c>
      <c r="V1896" s="100">
        <f>IF(ISNUMBER('General Info'!$B$40), (SamplingData[[#This Row],[Running (cumulative) sum]] * ('General Info'!$B$40 -'General Info'!$B$41 + 1)) + 'General Info'!$B$41 - 1, 0)</f>
        <v>76957.365675133638</v>
      </c>
      <c r="W1896" s="100" t="str">
        <f>IF(ISERROR(MATCH(SamplingData[[#This Row],[Batch by Type (p)]],SelectedPrecincts[Batch Name], 0)), "", INDEX(SelectedPrecincts[Draw], MATCH(SamplingData[[#This Row],[Batch by Type (p)]],SelectedPrecincts[Batch Name], 0)))</f>
        <v/>
      </c>
      <c r="X1896" s="102">
        <f>IF(COUNTIF(SelectedPrecincts[Batch Name],SamplingData[[#This Row],[Batch by Type (p)]]) &lt;&gt; 0, COUNTIF(SelectedPrecincts[Batch Name],SamplingData[[#This Row],[Batch by Type (p)]]), 0)</f>
        <v>0</v>
      </c>
    </row>
    <row r="1897" spans="1:24" ht="15" customHeight="1">
      <c r="A1897" s="18" t="s">
        <v>2073</v>
      </c>
      <c r="B1897" s="18">
        <v>5</v>
      </c>
      <c r="C1897" s="18">
        <v>14</v>
      </c>
      <c r="D1897" s="16">
        <v>0</v>
      </c>
      <c r="E1897" s="16">
        <v>2</v>
      </c>
      <c r="F1897" s="37">
        <v>0</v>
      </c>
      <c r="G1897" s="37">
        <v>0</v>
      </c>
      <c r="H1897" s="17">
        <v>0</v>
      </c>
      <c r="I1897" s="17">
        <v>0</v>
      </c>
      <c r="J1897" s="99">
        <f>SUM(SamplingData[[#This Row],[Losing Candidate]:[Under Votes]])</f>
        <v>21</v>
      </c>
      <c r="K1897"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1897" s="100">
        <f>IF(AND(SamplingData[[#This Row],[Total]]&lt;&gt; 0, NOT(ISBLANK(SamplingData[[#This Row],[Candidate 3]]))),(SamplingData[[#This Row],[Total]]+SamplingData[[#This Row],[Winning Candidate]]-SamplingData[[#This Row],[Candidate 3]])/(SamplingData[[#Totals],[Winning Candidate]]-SamplingData[[#Totals],[Candidate 3]]), 0)</f>
        <v>1.1291415298254669E-3</v>
      </c>
      <c r="M1897" s="100">
        <f>IF(AND(SamplingData[[#This Row],[Total]]&lt;&gt; 0, NOT(ISBLANK(SamplingData[[#This Row],[Candidate 4]]))),(SamplingData[[#This Row],[Total]]+SamplingData[[#This Row],[Winning Candidate]]-SamplingData[[#This Row],[Candidate 4]])/(SamplingData[[#Totals],[Winning Candidate]]-SamplingData[[#Totals],[Candidate 4]]), 0)</f>
        <v>9.6465842322195918E-4</v>
      </c>
      <c r="N1897" s="100">
        <f>IF(AND(SamplingData[[#This Row],[Total]]&lt;&gt; 0, NOT(ISBLANK(SamplingData[[#This Row],[Candidate 5]]))),(SamplingData[[#This Row],[Total]]+SamplingData[[#This Row],[Winning Candidate]]-SamplingData[[#This Row],[Candidate 5]])/(SamplingData[[#Totals],[Winning Candidate]]-SamplingData[[#Totals],[Candidate 5]]), 0)</f>
        <v>8.5137436146922891E-4</v>
      </c>
      <c r="O1897" s="100">
        <f>IF(AND(SamplingData[[#This Row],[Total]]&lt;&gt; 0, NOT(ISBLANK(SamplingData[[#This Row],[Candidate 6]]))),(SamplingData[[#This Row],[Total]]+SamplingData[[#This Row],[Winning Candidate]]-SamplingData[[#This Row],[Candidate 6]])/(SamplingData[[#Totals],[Winning Candidate]]-SamplingData[[#Totals],[Candidate 6]]), 0)</f>
        <v>8.5112591800009726E-4</v>
      </c>
      <c r="P1897" s="100">
        <f>MAX(SamplingData[[#This Row],[Error Bound (up) - Max. possible relative overstatement - Losing Candidate]:[Error Bound (up) - Max. possible relative overstatement - Candidate 6]])</f>
        <v>1.8373346398824107E-3</v>
      </c>
      <c r="Q1897" s="100">
        <f>IF(SamplingData[[#This Row],[Max Error Bound (up)]] = 0,0,SamplingData[[#This Row],[Max Error Bound (up)]]/SamplingData[[#Totals],[Max Error Bound (up)]])</f>
        <v>2.9078844835337498E-4</v>
      </c>
      <c r="R1897" s="101">
        <f>SUM($Q$5:Q1897)</f>
        <v>0.76987444519968973</v>
      </c>
      <c r="S1897" s="100" t="str">
        <f t="array" ref="S1897">IF(SamplingData[[#This Row],[up/U Selection Probability]] = 0, "Zero", TEXT(SamplingData[[#This Row],[Lower Range]], REPT("0",LEN('General Info'!$B$40))) &amp; " - " &amp; TEXT(SamplingData[[#This Row],[Upper Range]], REPT("0",LEN('General Info'!$B$40))))</f>
        <v>76958 - 76986</v>
      </c>
      <c r="T1897" s="100">
        <f>SamplingData[[#This Row],[Upper Range]]-SamplingData[[#This Row],[Span]]</f>
        <v>76958.365965922087</v>
      </c>
      <c r="U1897" s="100">
        <f>IF(ISNUMBER('General Info'!$B$40), ((SamplingData[[#This Row],[up/U Selection Probability]]) * 'General Info'!$B$40) - 1, 0)</f>
        <v>28.078554046889145</v>
      </c>
      <c r="V1897" s="100">
        <f>IF(ISNUMBER('General Info'!$B$40), (SamplingData[[#This Row],[Running (cumulative) sum]] * ('General Info'!$B$40 -'General Info'!$B$41 + 1)) + 'General Info'!$B$41 - 1, 0)</f>
        <v>76986.44451996898</v>
      </c>
      <c r="W1897" s="100" t="str">
        <f>IF(ISERROR(MATCH(SamplingData[[#This Row],[Batch by Type (p)]],SelectedPrecincts[Batch Name], 0)), "", INDEX(SelectedPrecincts[Draw], MATCH(SamplingData[[#This Row],[Batch by Type (p)]],SelectedPrecincts[Batch Name], 0)))</f>
        <v/>
      </c>
      <c r="X1897" s="102">
        <f>IF(COUNTIF(SelectedPrecincts[Batch Name],SamplingData[[#This Row],[Batch by Type (p)]]) &lt;&gt; 0, COUNTIF(SelectedPrecincts[Batch Name],SamplingData[[#This Row],[Batch by Type (p)]]), 0)</f>
        <v>0</v>
      </c>
    </row>
    <row r="1898" spans="1:24" ht="15" customHeight="1">
      <c r="A1898" s="18" t="s">
        <v>2074</v>
      </c>
      <c r="B1898" s="18">
        <v>2</v>
      </c>
      <c r="C1898" s="18">
        <v>4</v>
      </c>
      <c r="D1898" s="18">
        <v>1</v>
      </c>
      <c r="E1898" s="18">
        <v>1</v>
      </c>
      <c r="F1898" s="18">
        <v>1</v>
      </c>
      <c r="G1898" s="18">
        <v>0</v>
      </c>
      <c r="H1898" s="18">
        <v>0</v>
      </c>
      <c r="I1898" s="18">
        <v>1</v>
      </c>
      <c r="J1898" s="99">
        <f>SUM(SamplingData[[#This Row],[Losing Candidate]:[Under Votes]])</f>
        <v>10</v>
      </c>
      <c r="K1898"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1898" s="100">
        <f>IF(AND(SamplingData[[#This Row],[Total]]&lt;&gt; 0, NOT(ISBLANK(SamplingData[[#This Row],[Candidate 3]]))),(SamplingData[[#This Row],[Total]]+SamplingData[[#This Row],[Winning Candidate]]-SamplingData[[#This Row],[Candidate 3]])/(SamplingData[[#Totals],[Winning Candidate]]-SamplingData[[#Totals],[Candidate 3]]), 0)</f>
        <v>4.1939542536374486E-4</v>
      </c>
      <c r="M1898" s="100">
        <f>IF(AND(SamplingData[[#This Row],[Total]]&lt;&gt; 0, NOT(ISBLANK(SamplingData[[#This Row],[Candidate 4]]))),(SamplingData[[#This Row],[Total]]+SamplingData[[#This Row],[Winning Candidate]]-SamplingData[[#This Row],[Candidate 4]])/(SamplingData[[#Totals],[Winning Candidate]]-SamplingData[[#Totals],[Candidate 4]]), 0)</f>
        <v>3.8001695460258996E-4</v>
      </c>
      <c r="N1898" s="100">
        <f>IF(AND(SamplingData[[#This Row],[Total]]&lt;&gt; 0, NOT(ISBLANK(SamplingData[[#This Row],[Candidate 5]]))),(SamplingData[[#This Row],[Total]]+SamplingData[[#This Row],[Winning Candidate]]-SamplingData[[#This Row],[Candidate 5]])/(SamplingData[[#Totals],[Winning Candidate]]-SamplingData[[#Totals],[Candidate 5]]), 0)</f>
        <v>3.1622476283142789E-4</v>
      </c>
      <c r="O1898" s="100">
        <f>IF(AND(SamplingData[[#This Row],[Total]]&lt;&gt; 0, NOT(ISBLANK(SamplingData[[#This Row],[Candidate 6]]))),(SamplingData[[#This Row],[Total]]+SamplingData[[#This Row],[Winning Candidate]]-SamplingData[[#This Row],[Candidate 6]])/(SamplingData[[#Totals],[Winning Candidate]]-SamplingData[[#Totals],[Candidate 6]]), 0)</f>
        <v>3.4045036720003888E-4</v>
      </c>
      <c r="P1898" s="100">
        <f>MAX(SamplingData[[#This Row],[Error Bound (up) - Max. possible relative overstatement - Losing Candidate]:[Error Bound (up) - Max. possible relative overstatement - Candidate 6]])</f>
        <v>7.3493385595296422E-4</v>
      </c>
      <c r="Q1898" s="100">
        <f>IF(SamplingData[[#This Row],[Max Error Bound (up)]] = 0,0,SamplingData[[#This Row],[Max Error Bound (up)]]/SamplingData[[#Totals],[Max Error Bound (up)]])</f>
        <v>1.1631537934134997E-4</v>
      </c>
      <c r="R1898" s="101">
        <f>SUM($Q$5:Q1898)</f>
        <v>0.76999076057903104</v>
      </c>
      <c r="S1898" s="100" t="str">
        <f t="array" ref="S1898">IF(SamplingData[[#This Row],[up/U Selection Probability]] = 0, "Zero", TEXT(SamplingData[[#This Row],[Lower Range]], REPT("0",LEN('General Info'!$B$40))) &amp; " - " &amp; TEXT(SamplingData[[#This Row],[Upper Range]], REPT("0",LEN('General Info'!$B$40))))</f>
        <v>76987 - 76998</v>
      </c>
      <c r="T1898" s="100">
        <f>SamplingData[[#This Row],[Upper Range]]-SamplingData[[#This Row],[Span]]</f>
        <v>76987.444636284345</v>
      </c>
      <c r="U1898" s="100">
        <f>IF(ISNUMBER('General Info'!$B$40), ((SamplingData[[#This Row],[up/U Selection Probability]]) * 'General Info'!$B$40) - 1, 0)</f>
        <v>10.631421618755656</v>
      </c>
      <c r="V1898" s="100">
        <f>IF(ISNUMBER('General Info'!$B$40), (SamplingData[[#This Row],[Running (cumulative) sum]] * ('General Info'!$B$40 -'General Info'!$B$41 + 1)) + 'General Info'!$B$41 - 1, 0)</f>
        <v>76998.076057903105</v>
      </c>
      <c r="W1898" s="100" t="str">
        <f>IF(ISERROR(MATCH(SamplingData[[#This Row],[Batch by Type (p)]],SelectedPrecincts[Batch Name], 0)), "", INDEX(SelectedPrecincts[Draw], MATCH(SamplingData[[#This Row],[Batch by Type (p)]],SelectedPrecincts[Batch Name], 0)))</f>
        <v/>
      </c>
      <c r="X1898" s="102">
        <f>IF(COUNTIF(SelectedPrecincts[Batch Name],SamplingData[[#This Row],[Batch by Type (p)]]) &lt;&gt; 0, COUNTIF(SelectedPrecincts[Batch Name],SamplingData[[#This Row],[Batch by Type (p)]]), 0)</f>
        <v>0</v>
      </c>
    </row>
    <row r="1899" spans="1:24" ht="15" customHeight="1">
      <c r="A1899" s="18" t="s">
        <v>2075</v>
      </c>
      <c r="B1899" s="18">
        <v>11</v>
      </c>
      <c r="C1899" s="18">
        <v>35</v>
      </c>
      <c r="D1899" s="16">
        <v>4</v>
      </c>
      <c r="E1899" s="16">
        <v>3</v>
      </c>
      <c r="F1899" s="37">
        <v>0</v>
      </c>
      <c r="G1899" s="37">
        <v>0</v>
      </c>
      <c r="H1899" s="17">
        <v>0</v>
      </c>
      <c r="I1899" s="17">
        <v>0</v>
      </c>
      <c r="J1899" s="99">
        <f>SUM(SamplingData[[#This Row],[Losing Candidate]:[Under Votes]])</f>
        <v>53</v>
      </c>
      <c r="K1899" s="100">
        <f>IF(AND(SamplingData[[#This Row],[Total]]&lt;&gt; 0, NOT(ISBLANK(SamplingData[[#This Row],[Losing Candidate]]))),(SamplingData[[#This Row],[Total]]+SamplingData[[#This Row],[Winning Candidate]]-SamplingData[[#This Row],[Losing Candidate]])/(SamplingData[[#Totals],[Winning Candidate]]-SamplingData[[#Totals],[Losing Candidate]]), 0)</f>
        <v>4.7158255756981869E-3</v>
      </c>
      <c r="L1899" s="100">
        <f>IF(AND(SamplingData[[#This Row],[Total]]&lt;&gt; 0, NOT(ISBLANK(SamplingData[[#This Row],[Candidate 3]]))),(SamplingData[[#This Row],[Total]]+SamplingData[[#This Row],[Winning Candidate]]-SamplingData[[#This Row],[Candidate 3]])/(SamplingData[[#Totals],[Winning Candidate]]-SamplingData[[#Totals],[Candidate 3]]), 0)</f>
        <v>2.7099396715811208E-3</v>
      </c>
      <c r="M1899" s="100">
        <f>IF(AND(SamplingData[[#This Row],[Total]]&lt;&gt; 0, NOT(ISBLANK(SamplingData[[#This Row],[Candidate 4]]))),(SamplingData[[#This Row],[Total]]+SamplingData[[#This Row],[Winning Candidate]]-SamplingData[[#This Row],[Candidate 4]])/(SamplingData[[#Totals],[Winning Candidate]]-SamplingData[[#Totals],[Candidate 4]]), 0)</f>
        <v>2.4847262416323188E-3</v>
      </c>
      <c r="N1899" s="100">
        <f>IF(AND(SamplingData[[#This Row],[Total]]&lt;&gt; 0, NOT(ISBLANK(SamplingData[[#This Row],[Candidate 5]]))),(SamplingData[[#This Row],[Total]]+SamplingData[[#This Row],[Winning Candidate]]-SamplingData[[#This Row],[Candidate 5]])/(SamplingData[[#Totals],[Winning Candidate]]-SamplingData[[#Totals],[Candidate 5]]), 0)</f>
        <v>2.1405983945512043E-3</v>
      </c>
      <c r="O1899" s="100">
        <f>IF(AND(SamplingData[[#This Row],[Total]]&lt;&gt; 0, NOT(ISBLANK(SamplingData[[#This Row],[Candidate 6]]))),(SamplingData[[#This Row],[Total]]+SamplingData[[#This Row],[Winning Candidate]]-SamplingData[[#This Row],[Candidate 6]])/(SamplingData[[#Totals],[Winning Candidate]]-SamplingData[[#Totals],[Candidate 6]]), 0)</f>
        <v>2.1399737366859586E-3</v>
      </c>
      <c r="P1899" s="100">
        <f>MAX(SamplingData[[#This Row],[Error Bound (up) - Max. possible relative overstatement - Losing Candidate]:[Error Bound (up) - Max. possible relative overstatement - Candidate 6]])</f>
        <v>4.7158255756981869E-3</v>
      </c>
      <c r="Q1899" s="100">
        <f>IF(SamplingData[[#This Row],[Max Error Bound (up)]] = 0,0,SamplingData[[#This Row],[Max Error Bound (up)]]/SamplingData[[#Totals],[Max Error Bound (up)]])</f>
        <v>7.4635701744032903E-4</v>
      </c>
      <c r="R1899" s="101">
        <f>SUM($Q$5:Q1899)</f>
        <v>0.77073711759647134</v>
      </c>
      <c r="S1899" s="100" t="str">
        <f t="array" ref="S1899">IF(SamplingData[[#This Row],[up/U Selection Probability]] = 0, "Zero", TEXT(SamplingData[[#This Row],[Lower Range]], REPT("0",LEN('General Info'!$B$40))) &amp; " - " &amp; TEXT(SamplingData[[#This Row],[Upper Range]], REPT("0",LEN('General Info'!$B$40))))</f>
        <v>76999 - 77073</v>
      </c>
      <c r="T1899" s="100">
        <f>SamplingData[[#This Row],[Upper Range]]-SamplingData[[#This Row],[Span]]</f>
        <v>76999.076804260127</v>
      </c>
      <c r="U1899" s="100">
        <f>IF(ISNUMBER('General Info'!$B$40), ((SamplingData[[#This Row],[up/U Selection Probability]]) * 'General Info'!$B$40) - 1, 0)</f>
        <v>73.634955387015466</v>
      </c>
      <c r="V1899" s="100">
        <f>IF(ISNUMBER('General Info'!$B$40), (SamplingData[[#This Row],[Running (cumulative) sum]] * ('General Info'!$B$40 -'General Info'!$B$41 + 1)) + 'General Info'!$B$41 - 1, 0)</f>
        <v>77072.711759647136</v>
      </c>
      <c r="W1899" s="100" t="str">
        <f>IF(ISERROR(MATCH(SamplingData[[#This Row],[Batch by Type (p)]],SelectedPrecincts[Batch Name], 0)), "", INDEX(SelectedPrecincts[Draw], MATCH(SamplingData[[#This Row],[Batch by Type (p)]],SelectedPrecincts[Batch Name], 0)))</f>
        <v/>
      </c>
      <c r="X1899" s="102">
        <f>IF(COUNTIF(SelectedPrecincts[Batch Name],SamplingData[[#This Row],[Batch by Type (p)]]) &lt;&gt; 0, COUNTIF(SelectedPrecincts[Batch Name],SamplingData[[#This Row],[Batch by Type (p)]]), 0)</f>
        <v>0</v>
      </c>
    </row>
    <row r="1900" spans="1:24" ht="15" customHeight="1">
      <c r="A1900" s="18" t="s">
        <v>2076</v>
      </c>
      <c r="B1900" s="18">
        <v>1</v>
      </c>
      <c r="C1900" s="18">
        <v>7</v>
      </c>
      <c r="D1900" s="18">
        <v>5</v>
      </c>
      <c r="E1900" s="18">
        <v>0</v>
      </c>
      <c r="F1900" s="18">
        <v>0</v>
      </c>
      <c r="G1900" s="18">
        <v>0</v>
      </c>
      <c r="H1900" s="18">
        <v>0</v>
      </c>
      <c r="I1900" s="18">
        <v>0</v>
      </c>
      <c r="J1900" s="99">
        <f>SUM(SamplingData[[#This Row],[Losing Candidate]:[Under Votes]])</f>
        <v>13</v>
      </c>
      <c r="K1900"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900" s="100">
        <f>IF(AND(SamplingData[[#This Row],[Total]]&lt;&gt; 0, NOT(ISBLANK(SamplingData[[#This Row],[Candidate 3]]))),(SamplingData[[#This Row],[Total]]+SamplingData[[#This Row],[Winning Candidate]]-SamplingData[[#This Row],[Candidate 3]])/(SamplingData[[#Totals],[Winning Candidate]]-SamplingData[[#Totals],[Candidate 3]]), 0)</f>
        <v>4.8391779849662873E-4</v>
      </c>
      <c r="M1900" s="100">
        <f>IF(AND(SamplingData[[#This Row],[Total]]&lt;&gt; 0, NOT(ISBLANK(SamplingData[[#This Row],[Candidate 4]]))),(SamplingData[[#This Row],[Total]]+SamplingData[[#This Row],[Winning Candidate]]-SamplingData[[#This Row],[Candidate 4]])/(SamplingData[[#Totals],[Winning Candidate]]-SamplingData[[#Totals],[Candidate 4]]), 0)</f>
        <v>5.8464146861936922E-4</v>
      </c>
      <c r="N1900" s="100">
        <f>IF(AND(SamplingData[[#This Row],[Total]]&lt;&gt; 0, NOT(ISBLANK(SamplingData[[#This Row],[Candidate 5]]))),(SamplingData[[#This Row],[Total]]+SamplingData[[#This Row],[Winning Candidate]]-SamplingData[[#This Row],[Candidate 5]])/(SamplingData[[#Totals],[Winning Candidate]]-SamplingData[[#Totals],[Candidate 5]]), 0)</f>
        <v>4.8649963512527365E-4</v>
      </c>
      <c r="O1900" s="100">
        <f>IF(AND(SamplingData[[#This Row],[Total]]&lt;&gt; 0, NOT(ISBLANK(SamplingData[[#This Row],[Candidate 6]]))),(SamplingData[[#This Row],[Total]]+SamplingData[[#This Row],[Winning Candidate]]-SamplingData[[#This Row],[Candidate 6]])/(SamplingData[[#Totals],[Winning Candidate]]-SamplingData[[#Totals],[Candidate 6]]), 0)</f>
        <v>4.8635766742862699E-4</v>
      </c>
      <c r="P1900" s="100">
        <f>MAX(SamplingData[[#This Row],[Error Bound (up) - Max. possible relative overstatement - Losing Candidate]:[Error Bound (up) - Max. possible relative overstatement - Candidate 6]])</f>
        <v>1.1636452719255266E-3</v>
      </c>
      <c r="Q1900" s="100">
        <f>IF(SamplingData[[#This Row],[Max Error Bound (up)]] = 0,0,SamplingData[[#This Row],[Max Error Bound (up)]]/SamplingData[[#Totals],[Max Error Bound (up)]])</f>
        <v>1.841660172904708E-4</v>
      </c>
      <c r="R1900" s="101">
        <f>SUM($Q$5:Q1900)</f>
        <v>0.77092128361376178</v>
      </c>
      <c r="S1900" s="100" t="str">
        <f t="array" ref="S1900">IF(SamplingData[[#This Row],[up/U Selection Probability]] = 0, "Zero", TEXT(SamplingData[[#This Row],[Lower Range]], REPT("0",LEN('General Info'!$B$40))) &amp; " - " &amp; TEXT(SamplingData[[#This Row],[Upper Range]], REPT("0",LEN('General Info'!$B$40))))</f>
        <v>77074 - 77091</v>
      </c>
      <c r="T1900" s="100">
        <f>SamplingData[[#This Row],[Upper Range]]-SamplingData[[#This Row],[Span]]</f>
        <v>77073.711943813149</v>
      </c>
      <c r="U1900" s="100">
        <f>IF(ISNUMBER('General Info'!$B$40), ((SamplingData[[#This Row],[up/U Selection Probability]]) * 'General Info'!$B$40) - 1, 0)</f>
        <v>17.416417563029789</v>
      </c>
      <c r="V1900" s="100">
        <f>IF(ISNUMBER('General Info'!$B$40), (SamplingData[[#This Row],[Running (cumulative) sum]] * ('General Info'!$B$40 -'General Info'!$B$41 + 1)) + 'General Info'!$B$41 - 1, 0)</f>
        <v>77091.128361376177</v>
      </c>
      <c r="W1900" s="100" t="str">
        <f>IF(ISERROR(MATCH(SamplingData[[#This Row],[Batch by Type (p)]],SelectedPrecincts[Batch Name], 0)), "", INDEX(SelectedPrecincts[Draw], MATCH(SamplingData[[#This Row],[Batch by Type (p)]],SelectedPrecincts[Batch Name], 0)))</f>
        <v/>
      </c>
      <c r="X1900" s="102">
        <f>IF(COUNTIF(SelectedPrecincts[Batch Name],SamplingData[[#This Row],[Batch by Type (p)]]) &lt;&gt; 0, COUNTIF(SelectedPrecincts[Batch Name],SamplingData[[#This Row],[Batch by Type (p)]]), 0)</f>
        <v>0</v>
      </c>
    </row>
    <row r="1901" spans="1:24" ht="15" customHeight="1">
      <c r="A1901" s="18" t="s">
        <v>2077</v>
      </c>
      <c r="B1901" s="18">
        <v>10</v>
      </c>
      <c r="C1901" s="18">
        <v>11</v>
      </c>
      <c r="D1901" s="16">
        <v>0</v>
      </c>
      <c r="E1901" s="16">
        <v>0</v>
      </c>
      <c r="F1901" s="37">
        <v>0</v>
      </c>
      <c r="G1901" s="37">
        <v>0</v>
      </c>
      <c r="H1901" s="17">
        <v>0</v>
      </c>
      <c r="I1901" s="17">
        <v>1</v>
      </c>
      <c r="J1901" s="99">
        <f>SUM(SamplingData[[#This Row],[Losing Candidate]:[Under Votes]])</f>
        <v>22</v>
      </c>
      <c r="K1901" s="100">
        <f>IF(AND(SamplingData[[#This Row],[Total]]&lt;&gt; 0, NOT(ISBLANK(SamplingData[[#This Row],[Losing Candidate]]))),(SamplingData[[#This Row],[Total]]+SamplingData[[#This Row],[Winning Candidate]]-SamplingData[[#This Row],[Losing Candidate]])/(SamplingData[[#Totals],[Winning Candidate]]-SamplingData[[#Totals],[Losing Candidate]]), 0)</f>
        <v>1.408623223909848E-3</v>
      </c>
      <c r="L1901" s="100">
        <f>IF(AND(SamplingData[[#This Row],[Total]]&lt;&gt; 0, NOT(ISBLANK(SamplingData[[#This Row],[Candidate 3]]))),(SamplingData[[#This Row],[Total]]+SamplingData[[#This Row],[Winning Candidate]]-SamplingData[[#This Row],[Candidate 3]])/(SamplingData[[#Totals],[Winning Candidate]]-SamplingData[[#Totals],[Candidate 3]]), 0)</f>
        <v>1.0646191566925831E-3</v>
      </c>
      <c r="M1901" s="100">
        <f>IF(AND(SamplingData[[#This Row],[Total]]&lt;&gt; 0, NOT(ISBLANK(SamplingData[[#This Row],[Candidate 4]]))),(SamplingData[[#This Row],[Total]]+SamplingData[[#This Row],[Winning Candidate]]-SamplingData[[#This Row],[Candidate 4]])/(SamplingData[[#Totals],[Winning Candidate]]-SamplingData[[#Totals],[Candidate 4]]), 0)</f>
        <v>9.6465842322195918E-4</v>
      </c>
      <c r="N1901" s="100">
        <f>IF(AND(SamplingData[[#This Row],[Total]]&lt;&gt; 0, NOT(ISBLANK(SamplingData[[#This Row],[Candidate 5]]))),(SamplingData[[#This Row],[Total]]+SamplingData[[#This Row],[Winning Candidate]]-SamplingData[[#This Row],[Candidate 5]])/(SamplingData[[#Totals],[Winning Candidate]]-SamplingData[[#Totals],[Candidate 5]]), 0)</f>
        <v>8.0272439795670155E-4</v>
      </c>
      <c r="O1901" s="100">
        <f>IF(AND(SamplingData[[#This Row],[Total]]&lt;&gt; 0, NOT(ISBLANK(SamplingData[[#This Row],[Candidate 6]]))),(SamplingData[[#This Row],[Total]]+SamplingData[[#This Row],[Winning Candidate]]-SamplingData[[#This Row],[Candidate 6]])/(SamplingData[[#Totals],[Winning Candidate]]-SamplingData[[#Totals],[Candidate 6]]), 0)</f>
        <v>8.024901512572346E-4</v>
      </c>
      <c r="P1901" s="100">
        <f>MAX(SamplingData[[#This Row],[Error Bound (up) - Max. possible relative overstatement - Losing Candidate]:[Error Bound (up) - Max. possible relative overstatement - Candidate 6]])</f>
        <v>1.408623223909848E-3</v>
      </c>
      <c r="Q1901" s="100">
        <f>IF(SamplingData[[#This Row],[Max Error Bound (up)]] = 0,0,SamplingData[[#This Row],[Max Error Bound (up)]]/SamplingData[[#Totals],[Max Error Bound (up)]])</f>
        <v>2.229378104042541E-4</v>
      </c>
      <c r="R1901" s="101">
        <f>SUM($Q$5:Q1901)</f>
        <v>0.77114422142416605</v>
      </c>
      <c r="S1901" s="100" t="str">
        <f t="array" ref="S1901">IF(SamplingData[[#This Row],[up/U Selection Probability]] = 0, "Zero", TEXT(SamplingData[[#This Row],[Lower Range]], REPT("0",LEN('General Info'!$B$40))) &amp; " - " &amp; TEXT(SamplingData[[#This Row],[Upper Range]], REPT("0",LEN('General Info'!$B$40))))</f>
        <v>77092 - 77113</v>
      </c>
      <c r="T1901" s="100">
        <f>SamplingData[[#This Row],[Upper Range]]-SamplingData[[#This Row],[Span]]</f>
        <v>77092.128584313992</v>
      </c>
      <c r="U1901" s="100">
        <f>IF(ISNUMBER('General Info'!$B$40), ((SamplingData[[#This Row],[up/U Selection Probability]]) * 'General Info'!$B$40) - 1, 0)</f>
        <v>21.293558102615005</v>
      </c>
      <c r="V1901" s="100">
        <f>IF(ISNUMBER('General Info'!$B$40), (SamplingData[[#This Row],[Running (cumulative) sum]] * ('General Info'!$B$40 -'General Info'!$B$41 + 1)) + 'General Info'!$B$41 - 1, 0)</f>
        <v>77113.422142416603</v>
      </c>
      <c r="W1901" s="100" t="str">
        <f>IF(ISERROR(MATCH(SamplingData[[#This Row],[Batch by Type (p)]],SelectedPrecincts[Batch Name], 0)), "", INDEX(SelectedPrecincts[Draw], MATCH(SamplingData[[#This Row],[Batch by Type (p)]],SelectedPrecincts[Batch Name], 0)))</f>
        <v/>
      </c>
      <c r="X1901" s="102">
        <f>IF(COUNTIF(SelectedPrecincts[Batch Name],SamplingData[[#This Row],[Batch by Type (p)]]) &lt;&gt; 0, COUNTIF(SelectedPrecincts[Batch Name],SamplingData[[#This Row],[Batch by Type (p)]]), 0)</f>
        <v>0</v>
      </c>
    </row>
    <row r="1902" spans="1:24" ht="15" customHeight="1">
      <c r="A1902" s="18" t="s">
        <v>2078</v>
      </c>
      <c r="B1902" s="18">
        <v>3</v>
      </c>
      <c r="C1902" s="18">
        <v>2</v>
      </c>
      <c r="D1902" s="18">
        <v>3</v>
      </c>
      <c r="E1902" s="18">
        <v>0</v>
      </c>
      <c r="F1902" s="18">
        <v>0</v>
      </c>
      <c r="G1902" s="18">
        <v>0</v>
      </c>
      <c r="H1902" s="18">
        <v>0</v>
      </c>
      <c r="I1902" s="18">
        <v>1</v>
      </c>
      <c r="J1902" s="99">
        <f>SUM(SamplingData[[#This Row],[Losing Candidate]:[Under Votes]])</f>
        <v>9</v>
      </c>
      <c r="K1902"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4.8995590396864281E-4</v>
      </c>
      <c r="L1902" s="100">
        <f>IF(AND(SamplingData[[#This Row],[Total]]&lt;&gt; 0, NOT(ISBLANK(SamplingData[[#This Row],[Candidate 3]]))),(SamplingData[[#This Row],[Total]]+SamplingData[[#This Row],[Winning Candidate]]-SamplingData[[#This Row],[Candidate 3]])/(SamplingData[[#Totals],[Winning Candidate]]-SamplingData[[#Totals],[Candidate 3]]), 0)</f>
        <v>2.5808949253153533E-4</v>
      </c>
      <c r="M1902" s="100">
        <f>IF(AND(SamplingData[[#This Row],[Total]]&lt;&gt; 0, NOT(ISBLANK(SamplingData[[#This Row],[Candidate 4]]))),(SamplingData[[#This Row],[Total]]+SamplingData[[#This Row],[Winning Candidate]]-SamplingData[[#This Row],[Candidate 4]])/(SamplingData[[#Totals],[Winning Candidate]]-SamplingData[[#Totals],[Candidate 4]]), 0)</f>
        <v>3.2155280774065302E-4</v>
      </c>
      <c r="N1902" s="100">
        <f>IF(AND(SamplingData[[#This Row],[Total]]&lt;&gt; 0, NOT(ISBLANK(SamplingData[[#This Row],[Candidate 5]]))),(SamplingData[[#This Row],[Total]]+SamplingData[[#This Row],[Winning Candidate]]-SamplingData[[#This Row],[Candidate 5]])/(SamplingData[[#Totals],[Winning Candidate]]-SamplingData[[#Totals],[Candidate 5]]), 0)</f>
        <v>2.6757479931890053E-4</v>
      </c>
      <c r="O1902" s="100">
        <f>IF(AND(SamplingData[[#This Row],[Total]]&lt;&gt; 0, NOT(ISBLANK(SamplingData[[#This Row],[Candidate 6]]))),(SamplingData[[#This Row],[Total]]+SamplingData[[#This Row],[Winning Candidate]]-SamplingData[[#This Row],[Candidate 6]])/(SamplingData[[#Totals],[Winning Candidate]]-SamplingData[[#Totals],[Candidate 6]]), 0)</f>
        <v>2.6749671708574483E-4</v>
      </c>
      <c r="P1902" s="100">
        <f>MAX(SamplingData[[#This Row],[Error Bound (up) - Max. possible relative overstatement - Losing Candidate]:[Error Bound (up) - Max. possible relative overstatement - Candidate 6]])</f>
        <v>4.8995590396864281E-4</v>
      </c>
      <c r="Q1902" s="100">
        <f>IF(SamplingData[[#This Row],[Max Error Bound (up)]] = 0,0,SamplingData[[#This Row],[Max Error Bound (up)]]/SamplingData[[#Totals],[Max Error Bound (up)]])</f>
        <v>7.7543586227566652E-5</v>
      </c>
      <c r="R1902" s="101">
        <f>SUM($Q$5:Q1902)</f>
        <v>0.77122176501039363</v>
      </c>
      <c r="S1902" s="100" t="str">
        <f t="array" ref="S1902">IF(SamplingData[[#This Row],[up/U Selection Probability]] = 0, "Zero", TEXT(SamplingData[[#This Row],[Lower Range]], REPT("0",LEN('General Info'!$B$40))) &amp; " - " &amp; TEXT(SamplingData[[#This Row],[Upper Range]], REPT("0",LEN('General Info'!$B$40))))</f>
        <v>77114 - 77121</v>
      </c>
      <c r="T1902" s="100">
        <f>SamplingData[[#This Row],[Upper Range]]-SamplingData[[#This Row],[Span]]</f>
        <v>77114.422219960194</v>
      </c>
      <c r="U1902" s="100">
        <f>IF(ISNUMBER('General Info'!$B$40), ((SamplingData[[#This Row],[up/U Selection Probability]]) * 'General Info'!$B$40) - 1, 0)</f>
        <v>6.754281079170438</v>
      </c>
      <c r="V1902" s="100">
        <f>IF(ISNUMBER('General Info'!$B$40), (SamplingData[[#This Row],[Running (cumulative) sum]] * ('General Info'!$B$40 -'General Info'!$B$41 + 1)) + 'General Info'!$B$41 - 1, 0)</f>
        <v>77121.176501039357</v>
      </c>
      <c r="W1902" s="100" t="str">
        <f>IF(ISERROR(MATCH(SamplingData[[#This Row],[Batch by Type (p)]],SelectedPrecincts[Batch Name], 0)), "", INDEX(SelectedPrecincts[Draw], MATCH(SamplingData[[#This Row],[Batch by Type (p)]],SelectedPrecincts[Batch Name], 0)))</f>
        <v/>
      </c>
      <c r="X1902" s="102">
        <f>IF(COUNTIF(SelectedPrecincts[Batch Name],SamplingData[[#This Row],[Batch by Type (p)]]) &lt;&gt; 0, COUNTIF(SelectedPrecincts[Batch Name],SamplingData[[#This Row],[Batch by Type (p)]]), 0)</f>
        <v>0</v>
      </c>
    </row>
    <row r="1903" spans="1:24" ht="15" customHeight="1">
      <c r="A1903" s="18" t="s">
        <v>2079</v>
      </c>
      <c r="B1903" s="18">
        <v>13</v>
      </c>
      <c r="C1903" s="18">
        <v>35</v>
      </c>
      <c r="D1903" s="16">
        <v>3</v>
      </c>
      <c r="E1903" s="16">
        <v>4</v>
      </c>
      <c r="F1903" s="37">
        <v>0</v>
      </c>
      <c r="G1903" s="37">
        <v>0</v>
      </c>
      <c r="H1903" s="17">
        <v>0</v>
      </c>
      <c r="I1903" s="17">
        <v>1</v>
      </c>
      <c r="J1903" s="99">
        <f>SUM(SamplingData[[#This Row],[Losing Candidate]:[Under Votes]])</f>
        <v>56</v>
      </c>
      <c r="K1903" s="100">
        <f>IF(AND(SamplingData[[#This Row],[Total]]&lt;&gt; 0, NOT(ISBLANK(SamplingData[[#This Row],[Losing Candidate]]))),(SamplingData[[#This Row],[Total]]+SamplingData[[#This Row],[Winning Candidate]]-SamplingData[[#This Row],[Losing Candidate]])/(SamplingData[[#Totals],[Winning Candidate]]-SamplingData[[#Totals],[Losing Candidate]]), 0)</f>
        <v>4.7770700636942673E-3</v>
      </c>
      <c r="L1903" s="100">
        <f>IF(AND(SamplingData[[#This Row],[Total]]&lt;&gt; 0, NOT(ISBLANK(SamplingData[[#This Row],[Candidate 3]]))),(SamplingData[[#This Row],[Total]]+SamplingData[[#This Row],[Winning Candidate]]-SamplingData[[#This Row],[Candidate 3]])/(SamplingData[[#Totals],[Winning Candidate]]-SamplingData[[#Totals],[Candidate 3]]), 0)</f>
        <v>2.8389844178468883E-3</v>
      </c>
      <c r="M1903" s="100">
        <f>IF(AND(SamplingData[[#This Row],[Total]]&lt;&gt; 0, NOT(ISBLANK(SamplingData[[#This Row],[Candidate 4]]))),(SamplingData[[#This Row],[Total]]+SamplingData[[#This Row],[Winning Candidate]]-SamplingData[[#This Row],[Candidate 4]])/(SamplingData[[#Totals],[Winning Candidate]]-SamplingData[[#Totals],[Candidate 4]]), 0)</f>
        <v>2.5431903884942557E-3</v>
      </c>
      <c r="N1903" s="100">
        <f>IF(AND(SamplingData[[#This Row],[Total]]&lt;&gt; 0, NOT(ISBLANK(SamplingData[[#This Row],[Candidate 5]]))),(SamplingData[[#This Row],[Total]]+SamplingData[[#This Row],[Winning Candidate]]-SamplingData[[#This Row],[Candidate 5]])/(SamplingData[[#Totals],[Winning Candidate]]-SamplingData[[#Totals],[Candidate 5]]), 0)</f>
        <v>2.213573339819995E-3</v>
      </c>
      <c r="O1903" s="100">
        <f>IF(AND(SamplingData[[#This Row],[Total]]&lt;&gt; 0, NOT(ISBLANK(SamplingData[[#This Row],[Candidate 6]]))),(SamplingData[[#This Row],[Total]]+SamplingData[[#This Row],[Winning Candidate]]-SamplingData[[#This Row],[Candidate 6]])/(SamplingData[[#Totals],[Winning Candidate]]-SamplingData[[#Totals],[Candidate 6]]), 0)</f>
        <v>2.2129273868002528E-3</v>
      </c>
      <c r="P1903" s="100">
        <f>MAX(SamplingData[[#This Row],[Error Bound (up) - Max. possible relative overstatement - Losing Candidate]:[Error Bound (up) - Max. possible relative overstatement - Candidate 6]])</f>
        <v>4.7770700636942673E-3</v>
      </c>
      <c r="Q1903" s="100">
        <f>IF(SamplingData[[#This Row],[Max Error Bound (up)]] = 0,0,SamplingData[[#This Row],[Max Error Bound (up)]]/SamplingData[[#Totals],[Max Error Bound (up)]])</f>
        <v>7.5604996571877487E-4</v>
      </c>
      <c r="R1903" s="101">
        <f>SUM($Q$5:Q1903)</f>
        <v>0.7719778149761124</v>
      </c>
      <c r="S1903" s="100" t="str">
        <f t="array" ref="S1903">IF(SamplingData[[#This Row],[up/U Selection Probability]] = 0, "Zero", TEXT(SamplingData[[#This Row],[Lower Range]], REPT("0",LEN('General Info'!$B$40))) &amp; " - " &amp; TEXT(SamplingData[[#This Row],[Upper Range]], REPT("0",LEN('General Info'!$B$40))))</f>
        <v>77122 - 77197</v>
      </c>
      <c r="T1903" s="100">
        <f>SamplingData[[#This Row],[Upper Range]]-SamplingData[[#This Row],[Span]]</f>
        <v>77122.177257089337</v>
      </c>
      <c r="U1903" s="100">
        <f>IF(ISNUMBER('General Info'!$B$40), ((SamplingData[[#This Row],[up/U Selection Probability]]) * 'General Info'!$B$40) - 1, 0)</f>
        <v>74.604240521911763</v>
      </c>
      <c r="V1903" s="100">
        <f>IF(ISNUMBER('General Info'!$B$40), (SamplingData[[#This Row],[Running (cumulative) sum]] * ('General Info'!$B$40 -'General Info'!$B$41 + 1)) + 'General Info'!$B$41 - 1, 0)</f>
        <v>77196.781497611242</v>
      </c>
      <c r="W1903" s="100" t="str">
        <f>IF(ISERROR(MATCH(SamplingData[[#This Row],[Batch by Type (p)]],SelectedPrecincts[Batch Name], 0)), "", INDEX(SelectedPrecincts[Draw], MATCH(SamplingData[[#This Row],[Batch by Type (p)]],SelectedPrecincts[Batch Name], 0)))</f>
        <v/>
      </c>
      <c r="X1903" s="102">
        <f>IF(COUNTIF(SelectedPrecincts[Batch Name],SamplingData[[#This Row],[Batch by Type (p)]]) &lt;&gt; 0, COUNTIF(SelectedPrecincts[Batch Name],SamplingData[[#This Row],[Batch by Type (p)]]), 0)</f>
        <v>0</v>
      </c>
    </row>
    <row r="1904" spans="1:24" ht="15" customHeight="1">
      <c r="A1904" s="18" t="s">
        <v>2080</v>
      </c>
      <c r="B1904" s="18">
        <v>6</v>
      </c>
      <c r="C1904" s="18">
        <v>20</v>
      </c>
      <c r="D1904" s="18">
        <v>1</v>
      </c>
      <c r="E1904" s="18">
        <v>3</v>
      </c>
      <c r="F1904" s="18">
        <v>0</v>
      </c>
      <c r="G1904" s="18">
        <v>0</v>
      </c>
      <c r="H1904" s="18">
        <v>0</v>
      </c>
      <c r="I1904" s="18">
        <v>0</v>
      </c>
      <c r="J1904" s="99">
        <f>SUM(SamplingData[[#This Row],[Losing Candidate]:[Under Votes]])</f>
        <v>30</v>
      </c>
      <c r="K1904" s="100">
        <f>IF(AND(SamplingData[[#This Row],[Total]]&lt;&gt; 0, NOT(ISBLANK(SamplingData[[#This Row],[Losing Candidate]]))),(SamplingData[[#This Row],[Total]]+SamplingData[[#This Row],[Winning Candidate]]-SamplingData[[#This Row],[Losing Candidate]])/(SamplingData[[#Totals],[Winning Candidate]]-SamplingData[[#Totals],[Losing Candidate]]), 0)</f>
        <v>2.6947574718275357E-3</v>
      </c>
      <c r="L1904" s="100">
        <f>IF(AND(SamplingData[[#This Row],[Total]]&lt;&gt; 0, NOT(ISBLANK(SamplingData[[#This Row],[Candidate 3]]))),(SamplingData[[#This Row],[Total]]+SamplingData[[#This Row],[Winning Candidate]]-SamplingData[[#This Row],[Candidate 3]])/(SamplingData[[#Totals],[Winning Candidate]]-SamplingData[[#Totals],[Candidate 3]]), 0)</f>
        <v>1.5807981417556537E-3</v>
      </c>
      <c r="M1904" s="100">
        <f>IF(AND(SamplingData[[#This Row],[Total]]&lt;&gt; 0, NOT(ISBLANK(SamplingData[[#This Row],[Candidate 4]]))),(SamplingData[[#This Row],[Total]]+SamplingData[[#This Row],[Winning Candidate]]-SamplingData[[#This Row],[Candidate 4]])/(SamplingData[[#Totals],[Winning Candidate]]-SamplingData[[#Totals],[Candidate 4]]), 0)</f>
        <v>1.3739074512555175E-3</v>
      </c>
      <c r="N1904" s="100">
        <f>IF(AND(SamplingData[[#This Row],[Total]]&lt;&gt; 0, NOT(ISBLANK(SamplingData[[#This Row],[Candidate 5]]))),(SamplingData[[#This Row],[Total]]+SamplingData[[#This Row],[Winning Candidate]]-SamplingData[[#This Row],[Candidate 5]])/(SamplingData[[#Totals],[Winning Candidate]]-SamplingData[[#Totals],[Candidate 5]]), 0)</f>
        <v>1.2162490878131842E-3</v>
      </c>
      <c r="O1904" s="100">
        <f>IF(AND(SamplingData[[#This Row],[Total]]&lt;&gt; 0, NOT(ISBLANK(SamplingData[[#This Row],[Candidate 6]]))),(SamplingData[[#This Row],[Total]]+SamplingData[[#This Row],[Winning Candidate]]-SamplingData[[#This Row],[Candidate 6]])/(SamplingData[[#Totals],[Winning Candidate]]-SamplingData[[#Totals],[Candidate 6]]), 0)</f>
        <v>1.2158941685715674E-3</v>
      </c>
      <c r="P1904" s="100">
        <f>MAX(SamplingData[[#This Row],[Error Bound (up) - Max. possible relative overstatement - Losing Candidate]:[Error Bound (up) - Max. possible relative overstatement - Candidate 6]])</f>
        <v>2.6947574718275357E-3</v>
      </c>
      <c r="Q1904" s="100">
        <f>IF(SamplingData[[#This Row],[Max Error Bound (up)]] = 0,0,SamplingData[[#This Row],[Max Error Bound (up)]]/SamplingData[[#Totals],[Max Error Bound (up)]])</f>
        <v>4.2648972425161664E-4</v>
      </c>
      <c r="R1904" s="101">
        <f>SUM($Q$5:Q1904)</f>
        <v>0.77240430470036403</v>
      </c>
      <c r="S1904" s="100" t="str">
        <f t="array" ref="S1904">IF(SamplingData[[#This Row],[up/U Selection Probability]] = 0, "Zero", TEXT(SamplingData[[#This Row],[Lower Range]], REPT("0",LEN('General Info'!$B$40))) &amp; " - " &amp; TEXT(SamplingData[[#This Row],[Upper Range]], REPT("0",LEN('General Info'!$B$40))))</f>
        <v>77198 - 77239</v>
      </c>
      <c r="T1904" s="100">
        <f>SamplingData[[#This Row],[Upper Range]]-SamplingData[[#This Row],[Span]]</f>
        <v>77197.781924100957</v>
      </c>
      <c r="U1904" s="100">
        <f>IF(ISNUMBER('General Info'!$B$40), ((SamplingData[[#This Row],[up/U Selection Probability]]) * 'General Info'!$B$40) - 1, 0)</f>
        <v>41.648545935437411</v>
      </c>
      <c r="V1904" s="100">
        <f>IF(ISNUMBER('General Info'!$B$40), (SamplingData[[#This Row],[Running (cumulative) sum]] * ('General Info'!$B$40 -'General Info'!$B$41 + 1)) + 'General Info'!$B$41 - 1, 0)</f>
        <v>77239.430470036401</v>
      </c>
      <c r="W1904" s="100" t="str">
        <f>IF(ISERROR(MATCH(SamplingData[[#This Row],[Batch by Type (p)]],SelectedPrecincts[Batch Name], 0)), "", INDEX(SelectedPrecincts[Draw], MATCH(SamplingData[[#This Row],[Batch by Type (p)]],SelectedPrecincts[Batch Name], 0)))</f>
        <v/>
      </c>
      <c r="X1904" s="102">
        <f>IF(COUNTIF(SelectedPrecincts[Batch Name],SamplingData[[#This Row],[Batch by Type (p)]]) &lt;&gt; 0, COUNTIF(SelectedPrecincts[Batch Name],SamplingData[[#This Row],[Batch by Type (p)]]), 0)</f>
        <v>0</v>
      </c>
    </row>
    <row r="1905" spans="1:24" ht="15" customHeight="1">
      <c r="A1905" s="18" t="s">
        <v>2081</v>
      </c>
      <c r="B1905" s="18">
        <v>5</v>
      </c>
      <c r="C1905" s="18">
        <v>36</v>
      </c>
      <c r="D1905" s="16">
        <v>3</v>
      </c>
      <c r="E1905" s="16">
        <v>5</v>
      </c>
      <c r="F1905" s="37">
        <v>0</v>
      </c>
      <c r="G1905" s="37">
        <v>0</v>
      </c>
      <c r="H1905" s="17">
        <v>0</v>
      </c>
      <c r="I1905" s="17">
        <v>0</v>
      </c>
      <c r="J1905" s="99">
        <f>SUM(SamplingData[[#This Row],[Losing Candidate]:[Under Votes]])</f>
        <v>49</v>
      </c>
      <c r="K1905" s="100">
        <f>IF(AND(SamplingData[[#This Row],[Total]]&lt;&gt; 0, NOT(ISBLANK(SamplingData[[#This Row],[Losing Candidate]]))),(SamplingData[[#This Row],[Total]]+SamplingData[[#This Row],[Winning Candidate]]-SamplingData[[#This Row],[Losing Candidate]])/(SamplingData[[#Totals],[Winning Candidate]]-SamplingData[[#Totals],[Losing Candidate]]), 0)</f>
        <v>4.8995590396864281E-3</v>
      </c>
      <c r="L1905" s="100">
        <f>IF(AND(SamplingData[[#This Row],[Total]]&lt;&gt; 0, NOT(ISBLANK(SamplingData[[#This Row],[Candidate 3]]))),(SamplingData[[#This Row],[Total]]+SamplingData[[#This Row],[Winning Candidate]]-SamplingData[[#This Row],[Candidate 3]])/(SamplingData[[#Totals],[Winning Candidate]]-SamplingData[[#Totals],[Candidate 3]]), 0)</f>
        <v>2.6454172984482368E-3</v>
      </c>
      <c r="M1905" s="100">
        <f>IF(AND(SamplingData[[#This Row],[Total]]&lt;&gt; 0, NOT(ISBLANK(SamplingData[[#This Row],[Candidate 4]]))),(SamplingData[[#This Row],[Total]]+SamplingData[[#This Row],[Winning Candidate]]-SamplingData[[#This Row],[Candidate 4]])/(SamplingData[[#Totals],[Winning Candidate]]-SamplingData[[#Totals],[Candidate 4]]), 0)</f>
        <v>2.3385658744774769E-3</v>
      </c>
      <c r="N1905" s="100">
        <f>IF(AND(SamplingData[[#This Row],[Total]]&lt;&gt; 0, NOT(ISBLANK(SamplingData[[#This Row],[Candidate 5]]))),(SamplingData[[#This Row],[Total]]+SamplingData[[#This Row],[Winning Candidate]]-SamplingData[[#This Row],[Candidate 5]])/(SamplingData[[#Totals],[Winning Candidate]]-SamplingData[[#Totals],[Candidate 5]]), 0)</f>
        <v>2.0676234492824131E-3</v>
      </c>
      <c r="O1905" s="100">
        <f>IF(AND(SamplingData[[#This Row],[Total]]&lt;&gt; 0, NOT(ISBLANK(SamplingData[[#This Row],[Candidate 6]]))),(SamplingData[[#This Row],[Total]]+SamplingData[[#This Row],[Winning Candidate]]-SamplingData[[#This Row],[Candidate 6]])/(SamplingData[[#Totals],[Winning Candidate]]-SamplingData[[#Totals],[Candidate 6]]), 0)</f>
        <v>2.0670200865716649E-3</v>
      </c>
      <c r="P1905" s="100">
        <f>MAX(SamplingData[[#This Row],[Error Bound (up) - Max. possible relative overstatement - Losing Candidate]:[Error Bound (up) - Max. possible relative overstatement - Candidate 6]])</f>
        <v>4.8995590396864281E-3</v>
      </c>
      <c r="Q1905" s="100">
        <f>IF(SamplingData[[#This Row],[Max Error Bound (up)]] = 0,0,SamplingData[[#This Row],[Max Error Bound (up)]]/SamplingData[[#Totals],[Max Error Bound (up)]])</f>
        <v>7.7543586227566655E-4</v>
      </c>
      <c r="R1905" s="101">
        <f>SUM($Q$5:Q1905)</f>
        <v>0.77317974056263972</v>
      </c>
      <c r="S1905" s="100" t="str">
        <f t="array" ref="S1905">IF(SamplingData[[#This Row],[up/U Selection Probability]] = 0, "Zero", TEXT(SamplingData[[#This Row],[Lower Range]], REPT("0",LEN('General Info'!$B$40))) &amp; " - " &amp; TEXT(SamplingData[[#This Row],[Upper Range]], REPT("0",LEN('General Info'!$B$40))))</f>
        <v>77240 - 77317</v>
      </c>
      <c r="T1905" s="100">
        <f>SamplingData[[#This Row],[Upper Range]]-SamplingData[[#This Row],[Span]]</f>
        <v>77240.431245472268</v>
      </c>
      <c r="U1905" s="100">
        <f>IF(ISNUMBER('General Info'!$B$40), ((SamplingData[[#This Row],[up/U Selection Probability]]) * 'General Info'!$B$40) - 1, 0)</f>
        <v>76.542810791704383</v>
      </c>
      <c r="V1905" s="100">
        <f>IF(ISNUMBER('General Info'!$B$40), (SamplingData[[#This Row],[Running (cumulative) sum]] * ('General Info'!$B$40 -'General Info'!$B$41 + 1)) + 'General Info'!$B$41 - 1, 0)</f>
        <v>77316.974056263978</v>
      </c>
      <c r="W1905" s="100" t="str">
        <f>IF(ISERROR(MATCH(SamplingData[[#This Row],[Batch by Type (p)]],SelectedPrecincts[Batch Name], 0)), "", INDEX(SelectedPrecincts[Draw], MATCH(SamplingData[[#This Row],[Batch by Type (p)]],SelectedPrecincts[Batch Name], 0)))</f>
        <v/>
      </c>
      <c r="X1905" s="102">
        <f>IF(COUNTIF(SelectedPrecincts[Batch Name],SamplingData[[#This Row],[Batch by Type (p)]]) &lt;&gt; 0, COUNTIF(SelectedPrecincts[Batch Name],SamplingData[[#This Row],[Batch by Type (p)]]), 0)</f>
        <v>0</v>
      </c>
    </row>
    <row r="1906" spans="1:24" ht="15" customHeight="1">
      <c r="A1906" s="18" t="s">
        <v>2082</v>
      </c>
      <c r="B1906" s="18">
        <v>5</v>
      </c>
      <c r="C1906" s="18">
        <v>13</v>
      </c>
      <c r="D1906" s="18">
        <v>1</v>
      </c>
      <c r="E1906" s="18">
        <v>2</v>
      </c>
      <c r="F1906" s="18">
        <v>0</v>
      </c>
      <c r="G1906" s="18">
        <v>0</v>
      </c>
      <c r="H1906" s="18">
        <v>0</v>
      </c>
      <c r="I1906" s="18">
        <v>0</v>
      </c>
      <c r="J1906" s="99">
        <f>SUM(SamplingData[[#This Row],[Losing Candidate]:[Under Votes]])</f>
        <v>21</v>
      </c>
      <c r="K1906" s="100">
        <f>IF(AND(SamplingData[[#This Row],[Total]]&lt;&gt; 0, NOT(ISBLANK(SamplingData[[#This Row],[Losing Candidate]]))),(SamplingData[[#This Row],[Total]]+SamplingData[[#This Row],[Winning Candidate]]-SamplingData[[#This Row],[Losing Candidate]])/(SamplingData[[#Totals],[Winning Candidate]]-SamplingData[[#Totals],[Losing Candidate]]), 0)</f>
        <v>1.7760901518863303E-3</v>
      </c>
      <c r="L1906" s="100">
        <f>IF(AND(SamplingData[[#This Row],[Total]]&lt;&gt; 0, NOT(ISBLANK(SamplingData[[#This Row],[Candidate 3]]))),(SamplingData[[#This Row],[Total]]+SamplingData[[#This Row],[Winning Candidate]]-SamplingData[[#This Row],[Candidate 3]])/(SamplingData[[#Totals],[Winning Candidate]]-SamplingData[[#Totals],[Candidate 3]]), 0)</f>
        <v>1.0646191566925831E-3</v>
      </c>
      <c r="M1906" s="100">
        <f>IF(AND(SamplingData[[#This Row],[Total]]&lt;&gt; 0, NOT(ISBLANK(SamplingData[[#This Row],[Candidate 4]]))),(SamplingData[[#This Row],[Total]]+SamplingData[[#This Row],[Winning Candidate]]-SamplingData[[#This Row],[Candidate 4]])/(SamplingData[[#Totals],[Winning Candidate]]-SamplingData[[#Totals],[Candidate 4]]), 0)</f>
        <v>9.3542634979099071E-4</v>
      </c>
      <c r="N1906" s="100">
        <f>IF(AND(SamplingData[[#This Row],[Total]]&lt;&gt; 0, NOT(ISBLANK(SamplingData[[#This Row],[Candidate 5]]))),(SamplingData[[#This Row],[Total]]+SamplingData[[#This Row],[Winning Candidate]]-SamplingData[[#This Row],[Candidate 5]])/(SamplingData[[#Totals],[Winning Candidate]]-SamplingData[[#Totals],[Candidate 5]]), 0)</f>
        <v>8.2704937971296523E-4</v>
      </c>
      <c r="O1906" s="100">
        <f>IF(AND(SamplingData[[#This Row],[Total]]&lt;&gt; 0, NOT(ISBLANK(SamplingData[[#This Row],[Candidate 6]]))),(SamplingData[[#This Row],[Total]]+SamplingData[[#This Row],[Winning Candidate]]-SamplingData[[#This Row],[Candidate 6]])/(SamplingData[[#Totals],[Winning Candidate]]-SamplingData[[#Totals],[Candidate 6]]), 0)</f>
        <v>8.2680803462866588E-4</v>
      </c>
      <c r="P1906" s="100">
        <f>MAX(SamplingData[[#This Row],[Error Bound (up) - Max. possible relative overstatement - Losing Candidate]:[Error Bound (up) - Max. possible relative overstatement - Candidate 6]])</f>
        <v>1.7760901518863303E-3</v>
      </c>
      <c r="Q1906" s="100">
        <f>IF(SamplingData[[#This Row],[Max Error Bound (up)]] = 0,0,SamplingData[[#This Row],[Max Error Bound (up)]]/SamplingData[[#Totals],[Max Error Bound (up)]])</f>
        <v>2.8109550007492914E-4</v>
      </c>
      <c r="R1906" s="101">
        <f>SUM($Q$5:Q1906)</f>
        <v>0.77346083606271465</v>
      </c>
      <c r="S1906" s="100" t="str">
        <f t="array" ref="S1906">IF(SamplingData[[#This Row],[up/U Selection Probability]] = 0, "Zero", TEXT(SamplingData[[#This Row],[Lower Range]], REPT("0",LEN('General Info'!$B$40))) &amp; " - " &amp; TEXT(SamplingData[[#This Row],[Upper Range]], REPT("0",LEN('General Info'!$B$40))))</f>
        <v>77318 - 77345</v>
      </c>
      <c r="T1906" s="100">
        <f>SamplingData[[#This Row],[Upper Range]]-SamplingData[[#This Row],[Span]]</f>
        <v>77317.974337359468</v>
      </c>
      <c r="U1906" s="100">
        <f>IF(ISNUMBER('General Info'!$B$40), ((SamplingData[[#This Row],[up/U Selection Probability]]) * 'General Info'!$B$40) - 1, 0)</f>
        <v>27.109268911992839</v>
      </c>
      <c r="V1906" s="100">
        <f>IF(ISNUMBER('General Info'!$B$40), (SamplingData[[#This Row],[Running (cumulative) sum]] * ('General Info'!$B$40 -'General Info'!$B$41 + 1)) + 'General Info'!$B$41 - 1, 0)</f>
        <v>77345.083606271466</v>
      </c>
      <c r="W1906" s="100" t="str">
        <f>IF(ISERROR(MATCH(SamplingData[[#This Row],[Batch by Type (p)]],SelectedPrecincts[Batch Name], 0)), "", INDEX(SelectedPrecincts[Draw], MATCH(SamplingData[[#This Row],[Batch by Type (p)]],SelectedPrecincts[Batch Name], 0)))</f>
        <v/>
      </c>
      <c r="X1906" s="102">
        <f>IF(COUNTIF(SelectedPrecincts[Batch Name],SamplingData[[#This Row],[Batch by Type (p)]]) &lt;&gt; 0, COUNTIF(SelectedPrecincts[Batch Name],SamplingData[[#This Row],[Batch by Type (p)]]), 0)</f>
        <v>0</v>
      </c>
    </row>
    <row r="1907" spans="1:24" ht="15" customHeight="1">
      <c r="A1907" s="18" t="s">
        <v>2083</v>
      </c>
      <c r="B1907" s="18">
        <v>15</v>
      </c>
      <c r="C1907" s="18">
        <v>35</v>
      </c>
      <c r="D1907" s="16">
        <v>10</v>
      </c>
      <c r="E1907" s="16">
        <v>4</v>
      </c>
      <c r="F1907" s="37">
        <v>1</v>
      </c>
      <c r="G1907" s="37">
        <v>0</v>
      </c>
      <c r="H1907" s="17">
        <v>0</v>
      </c>
      <c r="I1907" s="17">
        <v>0</v>
      </c>
      <c r="J1907" s="99">
        <f>SUM(SamplingData[[#This Row],[Losing Candidate]:[Under Votes]])</f>
        <v>65</v>
      </c>
      <c r="K1907" s="100">
        <f>IF(AND(SamplingData[[#This Row],[Total]]&lt;&gt; 0, NOT(ISBLANK(SamplingData[[#This Row],[Losing Candidate]]))),(SamplingData[[#This Row],[Total]]+SamplingData[[#This Row],[Winning Candidate]]-SamplingData[[#This Row],[Losing Candidate]])/(SamplingData[[#Totals],[Winning Candidate]]-SamplingData[[#Totals],[Losing Candidate]]), 0)</f>
        <v>5.2057814796668302E-3</v>
      </c>
      <c r="L1907" s="100">
        <f>IF(AND(SamplingData[[#This Row],[Total]]&lt;&gt; 0, NOT(ISBLANK(SamplingData[[#This Row],[Candidate 3]]))),(SamplingData[[#This Row],[Total]]+SamplingData[[#This Row],[Winning Candidate]]-SamplingData[[#This Row],[Candidate 3]])/(SamplingData[[#Totals],[Winning Candidate]]-SamplingData[[#Totals],[Candidate 3]]), 0)</f>
        <v>2.9035067909797723E-3</v>
      </c>
      <c r="M1907" s="100">
        <f>IF(AND(SamplingData[[#This Row],[Total]]&lt;&gt; 0, NOT(ISBLANK(SamplingData[[#This Row],[Candidate 4]]))),(SamplingData[[#This Row],[Total]]+SamplingData[[#This Row],[Winning Candidate]]-SamplingData[[#This Row],[Candidate 4]])/(SamplingData[[#Totals],[Winning Candidate]]-SamplingData[[#Totals],[Candidate 4]]), 0)</f>
        <v>2.8062790493729719E-3</v>
      </c>
      <c r="N1907" s="100">
        <f>IF(AND(SamplingData[[#This Row],[Total]]&lt;&gt; 0, NOT(ISBLANK(SamplingData[[#This Row],[Candidate 5]]))),(SamplingData[[#This Row],[Total]]+SamplingData[[#This Row],[Winning Candidate]]-SamplingData[[#This Row],[Candidate 5]])/(SamplingData[[#Totals],[Winning Candidate]]-SamplingData[[#Totals],[Candidate 5]]), 0)</f>
        <v>2.4081731938701044E-3</v>
      </c>
      <c r="O1907" s="100">
        <f>IF(AND(SamplingData[[#This Row],[Total]]&lt;&gt; 0, NOT(ISBLANK(SamplingData[[#This Row],[Candidate 6]]))),(SamplingData[[#This Row],[Total]]+SamplingData[[#This Row],[Winning Candidate]]-SamplingData[[#This Row],[Candidate 6]])/(SamplingData[[#Totals],[Winning Candidate]]-SamplingData[[#Totals],[Candidate 6]]), 0)</f>
        <v>2.4317883371431349E-3</v>
      </c>
      <c r="P1907" s="100">
        <f>MAX(SamplingData[[#This Row],[Error Bound (up) - Max. possible relative overstatement - Losing Candidate]:[Error Bound (up) - Max. possible relative overstatement - Candidate 6]])</f>
        <v>5.2057814796668302E-3</v>
      </c>
      <c r="Q1907" s="100">
        <f>IF(SamplingData[[#This Row],[Max Error Bound (up)]] = 0,0,SamplingData[[#This Row],[Max Error Bound (up)]]/SamplingData[[#Totals],[Max Error Bound (up)]])</f>
        <v>8.2390060366789575E-4</v>
      </c>
      <c r="R1907" s="101">
        <f>SUM($Q$5:Q1907)</f>
        <v>0.77428473666638253</v>
      </c>
      <c r="S1907" s="100" t="str">
        <f t="array" ref="S1907">IF(SamplingData[[#This Row],[up/U Selection Probability]] = 0, "Zero", TEXT(SamplingData[[#This Row],[Lower Range]], REPT("0",LEN('General Info'!$B$40))) &amp; " - " &amp; TEXT(SamplingData[[#This Row],[Upper Range]], REPT("0",LEN('General Info'!$B$40))))</f>
        <v>77346 - 77427</v>
      </c>
      <c r="T1907" s="100">
        <f>SamplingData[[#This Row],[Upper Range]]-SamplingData[[#This Row],[Span]]</f>
        <v>77346.084430172064</v>
      </c>
      <c r="U1907" s="100">
        <f>IF(ISNUMBER('General Info'!$B$40), ((SamplingData[[#This Row],[up/U Selection Probability]]) * 'General Info'!$B$40) - 1, 0)</f>
        <v>81.389236466185906</v>
      </c>
      <c r="V1907" s="100">
        <f>IF(ISNUMBER('General Info'!$B$40), (SamplingData[[#This Row],[Running (cumulative) sum]] * ('General Info'!$B$40 -'General Info'!$B$41 + 1)) + 'General Info'!$B$41 - 1, 0)</f>
        <v>77427.473666638252</v>
      </c>
      <c r="W1907" s="100" t="str">
        <f>IF(ISERROR(MATCH(SamplingData[[#This Row],[Batch by Type (p)]],SelectedPrecincts[Batch Name], 0)), "", INDEX(SelectedPrecincts[Draw], MATCH(SamplingData[[#This Row],[Batch by Type (p)]],SelectedPrecincts[Batch Name], 0)))</f>
        <v/>
      </c>
      <c r="X1907" s="102">
        <f>IF(COUNTIF(SelectedPrecincts[Batch Name],SamplingData[[#This Row],[Batch by Type (p)]]) &lt;&gt; 0, COUNTIF(SelectedPrecincts[Batch Name],SamplingData[[#This Row],[Batch by Type (p)]]), 0)</f>
        <v>0</v>
      </c>
    </row>
    <row r="1908" spans="1:24" ht="15" customHeight="1">
      <c r="A1908" s="18" t="s">
        <v>2084</v>
      </c>
      <c r="B1908" s="18">
        <v>3</v>
      </c>
      <c r="C1908" s="18">
        <v>14</v>
      </c>
      <c r="D1908" s="18">
        <v>2</v>
      </c>
      <c r="E1908" s="18">
        <v>3</v>
      </c>
      <c r="F1908" s="18">
        <v>0</v>
      </c>
      <c r="G1908" s="18">
        <v>0</v>
      </c>
      <c r="H1908" s="18">
        <v>0</v>
      </c>
      <c r="I1908" s="18">
        <v>0</v>
      </c>
      <c r="J1908" s="99">
        <f>SUM(SamplingData[[#This Row],[Losing Candidate]:[Under Votes]])</f>
        <v>22</v>
      </c>
      <c r="K1908" s="100">
        <f>IF(AND(SamplingData[[#This Row],[Total]]&lt;&gt; 0, NOT(ISBLANK(SamplingData[[#This Row],[Losing Candidate]]))),(SamplingData[[#This Row],[Total]]+SamplingData[[#This Row],[Winning Candidate]]-SamplingData[[#This Row],[Losing Candidate]])/(SamplingData[[#Totals],[Winning Candidate]]-SamplingData[[#Totals],[Losing Candidate]]), 0)</f>
        <v>2.0210681038706517E-3</v>
      </c>
      <c r="L1908" s="100">
        <f>IF(AND(SamplingData[[#This Row],[Total]]&lt;&gt; 0, NOT(ISBLANK(SamplingData[[#This Row],[Candidate 3]]))),(SamplingData[[#This Row],[Total]]+SamplingData[[#This Row],[Winning Candidate]]-SamplingData[[#This Row],[Candidate 3]])/(SamplingData[[#Totals],[Winning Candidate]]-SamplingData[[#Totals],[Candidate 3]]), 0)</f>
        <v>1.0968803432590251E-3</v>
      </c>
      <c r="M1908" s="100">
        <f>IF(AND(SamplingData[[#This Row],[Total]]&lt;&gt; 0, NOT(ISBLANK(SamplingData[[#This Row],[Candidate 4]]))),(SamplingData[[#This Row],[Total]]+SamplingData[[#This Row],[Winning Candidate]]-SamplingData[[#This Row],[Candidate 4]])/(SamplingData[[#Totals],[Winning Candidate]]-SamplingData[[#Totals],[Candidate 4]]), 0)</f>
        <v>9.6465842322195918E-4</v>
      </c>
      <c r="N1908" s="100">
        <f>IF(AND(SamplingData[[#This Row],[Total]]&lt;&gt; 0, NOT(ISBLANK(SamplingData[[#This Row],[Candidate 5]]))),(SamplingData[[#This Row],[Total]]+SamplingData[[#This Row],[Winning Candidate]]-SamplingData[[#This Row],[Candidate 5]])/(SamplingData[[#Totals],[Winning Candidate]]-SamplingData[[#Totals],[Candidate 5]]), 0)</f>
        <v>8.7569934322549259E-4</v>
      </c>
      <c r="O1908" s="100">
        <f>IF(AND(SamplingData[[#This Row],[Total]]&lt;&gt; 0, NOT(ISBLANK(SamplingData[[#This Row],[Candidate 6]]))),(SamplingData[[#This Row],[Total]]+SamplingData[[#This Row],[Winning Candidate]]-SamplingData[[#This Row],[Candidate 6]])/(SamplingData[[#Totals],[Winning Candidate]]-SamplingData[[#Totals],[Candidate 6]]), 0)</f>
        <v>8.7544380137152865E-4</v>
      </c>
      <c r="P1908" s="100">
        <f>MAX(SamplingData[[#This Row],[Error Bound (up) - Max. possible relative overstatement - Losing Candidate]:[Error Bound (up) - Max. possible relative overstatement - Candidate 6]])</f>
        <v>2.0210681038706517E-3</v>
      </c>
      <c r="Q1908" s="100">
        <f>IF(SamplingData[[#This Row],[Max Error Bound (up)]] = 0,0,SamplingData[[#This Row],[Max Error Bound (up)]]/SamplingData[[#Totals],[Max Error Bound (up)]])</f>
        <v>3.1986729318871245E-4</v>
      </c>
      <c r="R1908" s="101">
        <f>SUM($Q$5:Q1908)</f>
        <v>0.7746046039595712</v>
      </c>
      <c r="S1908" s="100" t="str">
        <f t="array" ref="S1908">IF(SamplingData[[#This Row],[up/U Selection Probability]] = 0, "Zero", TEXT(SamplingData[[#This Row],[Lower Range]], REPT("0",LEN('General Info'!$B$40))) &amp; " - " &amp; TEXT(SamplingData[[#This Row],[Upper Range]], REPT("0",LEN('General Info'!$B$40))))</f>
        <v>77428 - 77459</v>
      </c>
      <c r="T1908" s="100">
        <f>SamplingData[[#This Row],[Upper Range]]-SamplingData[[#This Row],[Span]]</f>
        <v>77428.473986505545</v>
      </c>
      <c r="U1908" s="100">
        <f>IF(ISNUMBER('General Info'!$B$40), ((SamplingData[[#This Row],[up/U Selection Probability]]) * 'General Info'!$B$40) - 1, 0)</f>
        <v>30.986409451578055</v>
      </c>
      <c r="V1908" s="100">
        <f>IF(ISNUMBER('General Info'!$B$40), (SamplingData[[#This Row],[Running (cumulative) sum]] * ('General Info'!$B$40 -'General Info'!$B$41 + 1)) + 'General Info'!$B$41 - 1, 0)</f>
        <v>77459.460395957125</v>
      </c>
      <c r="W1908" s="100" t="str">
        <f>IF(ISERROR(MATCH(SamplingData[[#This Row],[Batch by Type (p)]],SelectedPrecincts[Batch Name], 0)), "", INDEX(SelectedPrecincts[Draw], MATCH(SamplingData[[#This Row],[Batch by Type (p)]],SelectedPrecincts[Batch Name], 0)))</f>
        <v/>
      </c>
      <c r="X1908" s="102">
        <f>IF(COUNTIF(SelectedPrecincts[Batch Name],SamplingData[[#This Row],[Batch by Type (p)]]) &lt;&gt; 0, COUNTIF(SelectedPrecincts[Batch Name],SamplingData[[#This Row],[Batch by Type (p)]]), 0)</f>
        <v>0</v>
      </c>
    </row>
    <row r="1909" spans="1:24" ht="15" customHeight="1">
      <c r="A1909" s="18" t="s">
        <v>2085</v>
      </c>
      <c r="B1909" s="18">
        <v>13</v>
      </c>
      <c r="C1909" s="18">
        <v>40</v>
      </c>
      <c r="D1909" s="16">
        <v>3</v>
      </c>
      <c r="E1909" s="16">
        <v>2</v>
      </c>
      <c r="F1909" s="37">
        <v>0</v>
      </c>
      <c r="G1909" s="37">
        <v>0</v>
      </c>
      <c r="H1909" s="17">
        <v>0</v>
      </c>
      <c r="I1909" s="17">
        <v>0</v>
      </c>
      <c r="J1909" s="99">
        <f>SUM(SamplingData[[#This Row],[Losing Candidate]:[Under Votes]])</f>
        <v>58</v>
      </c>
      <c r="K1909" s="100">
        <f>IF(AND(SamplingData[[#This Row],[Total]]&lt;&gt; 0, NOT(ISBLANK(SamplingData[[#This Row],[Losing Candidate]]))),(SamplingData[[#This Row],[Total]]+SamplingData[[#This Row],[Winning Candidate]]-SamplingData[[#This Row],[Losing Candidate]])/(SamplingData[[#Totals],[Winning Candidate]]-SamplingData[[#Totals],[Losing Candidate]]), 0)</f>
        <v>5.2057814796668302E-3</v>
      </c>
      <c r="L1909" s="100">
        <f>IF(AND(SamplingData[[#This Row],[Total]]&lt;&gt; 0, NOT(ISBLANK(SamplingData[[#This Row],[Candidate 3]]))),(SamplingData[[#This Row],[Total]]+SamplingData[[#This Row],[Winning Candidate]]-SamplingData[[#This Row],[Candidate 3]])/(SamplingData[[#Totals],[Winning Candidate]]-SamplingData[[#Totals],[Candidate 3]]), 0)</f>
        <v>3.0648127238119818E-3</v>
      </c>
      <c r="M1909" s="100">
        <f>IF(AND(SamplingData[[#This Row],[Total]]&lt;&gt; 0, NOT(ISBLANK(SamplingData[[#This Row],[Candidate 4]]))),(SamplingData[[#This Row],[Total]]+SamplingData[[#This Row],[Winning Candidate]]-SamplingData[[#This Row],[Candidate 4]])/(SamplingData[[#Totals],[Winning Candidate]]-SamplingData[[#Totals],[Candidate 4]]), 0)</f>
        <v>2.8062790493729719E-3</v>
      </c>
      <c r="N1909" s="100">
        <f>IF(AND(SamplingData[[#This Row],[Total]]&lt;&gt; 0, NOT(ISBLANK(SamplingData[[#This Row],[Candidate 5]]))),(SamplingData[[#This Row],[Total]]+SamplingData[[#This Row],[Winning Candidate]]-SamplingData[[#This Row],[Candidate 5]])/(SamplingData[[#Totals],[Winning Candidate]]-SamplingData[[#Totals],[Candidate 5]]), 0)</f>
        <v>2.3838482121138409E-3</v>
      </c>
      <c r="O1909" s="100">
        <f>IF(AND(SamplingData[[#This Row],[Total]]&lt;&gt; 0, NOT(ISBLANK(SamplingData[[#This Row],[Candidate 6]]))),(SamplingData[[#This Row],[Total]]+SamplingData[[#This Row],[Winning Candidate]]-SamplingData[[#This Row],[Candidate 6]])/(SamplingData[[#Totals],[Winning Candidate]]-SamplingData[[#Totals],[Candidate 6]]), 0)</f>
        <v>2.3831525704002725E-3</v>
      </c>
      <c r="P1909" s="100">
        <f>MAX(SamplingData[[#This Row],[Error Bound (up) - Max. possible relative overstatement - Losing Candidate]:[Error Bound (up) - Max. possible relative overstatement - Candidate 6]])</f>
        <v>5.2057814796668302E-3</v>
      </c>
      <c r="Q1909" s="100">
        <f>IF(SamplingData[[#This Row],[Max Error Bound (up)]] = 0,0,SamplingData[[#This Row],[Max Error Bound (up)]]/SamplingData[[#Totals],[Max Error Bound (up)]])</f>
        <v>8.2390060366789575E-4</v>
      </c>
      <c r="R1909" s="101">
        <f>SUM($Q$5:Q1909)</f>
        <v>0.77542850456323908</v>
      </c>
      <c r="S1909" s="100" t="str">
        <f t="array" ref="S1909">IF(SamplingData[[#This Row],[up/U Selection Probability]] = 0, "Zero", TEXT(SamplingData[[#This Row],[Lower Range]], REPT("0",LEN('General Info'!$B$40))) &amp; " - " &amp; TEXT(SamplingData[[#This Row],[Upper Range]], REPT("0",LEN('General Info'!$B$40))))</f>
        <v>77460 - 77542</v>
      </c>
      <c r="T1909" s="100">
        <f>SamplingData[[#This Row],[Upper Range]]-SamplingData[[#This Row],[Span]]</f>
        <v>77460.461219857723</v>
      </c>
      <c r="U1909" s="100">
        <f>IF(ISNUMBER('General Info'!$B$40), ((SamplingData[[#This Row],[up/U Selection Probability]]) * 'General Info'!$B$40) - 1, 0)</f>
        <v>81.389236466185906</v>
      </c>
      <c r="V1909" s="100">
        <f>IF(ISNUMBER('General Info'!$B$40), (SamplingData[[#This Row],[Running (cumulative) sum]] * ('General Info'!$B$40 -'General Info'!$B$41 + 1)) + 'General Info'!$B$41 - 1, 0)</f>
        <v>77541.850456323911</v>
      </c>
      <c r="W1909" s="100" t="str">
        <f>IF(ISERROR(MATCH(SamplingData[[#This Row],[Batch by Type (p)]],SelectedPrecincts[Batch Name], 0)), "", INDEX(SelectedPrecincts[Draw], MATCH(SamplingData[[#This Row],[Batch by Type (p)]],SelectedPrecincts[Batch Name], 0)))</f>
        <v/>
      </c>
      <c r="X1909" s="102">
        <f>IF(COUNTIF(SelectedPrecincts[Batch Name],SamplingData[[#This Row],[Batch by Type (p)]]) &lt;&gt; 0, COUNTIF(SelectedPrecincts[Batch Name],SamplingData[[#This Row],[Batch by Type (p)]]), 0)</f>
        <v>0</v>
      </c>
    </row>
    <row r="1910" spans="1:24" ht="15" customHeight="1">
      <c r="A1910" s="18" t="s">
        <v>2086</v>
      </c>
      <c r="B1910" s="18">
        <v>5</v>
      </c>
      <c r="C1910" s="18">
        <v>9</v>
      </c>
      <c r="D1910" s="18">
        <v>1</v>
      </c>
      <c r="E1910" s="18">
        <v>2</v>
      </c>
      <c r="F1910" s="18">
        <v>0</v>
      </c>
      <c r="G1910" s="18">
        <v>0</v>
      </c>
      <c r="H1910" s="18">
        <v>0</v>
      </c>
      <c r="I1910" s="18">
        <v>0</v>
      </c>
      <c r="J1910" s="99">
        <f>SUM(SamplingData[[#This Row],[Losing Candidate]:[Under Votes]])</f>
        <v>17</v>
      </c>
      <c r="K1910" s="100">
        <f>IF(AND(SamplingData[[#This Row],[Total]]&lt;&gt; 0, NOT(ISBLANK(SamplingData[[#This Row],[Losing Candidate]]))),(SamplingData[[#This Row],[Total]]+SamplingData[[#This Row],[Winning Candidate]]-SamplingData[[#This Row],[Losing Candidate]])/(SamplingData[[#Totals],[Winning Candidate]]-SamplingData[[#Totals],[Losing Candidate]]), 0)</f>
        <v>1.2861342479176874E-3</v>
      </c>
      <c r="L1910" s="100">
        <f>IF(AND(SamplingData[[#This Row],[Total]]&lt;&gt; 0, NOT(ISBLANK(SamplingData[[#This Row],[Candidate 3]]))),(SamplingData[[#This Row],[Total]]+SamplingData[[#This Row],[Winning Candidate]]-SamplingData[[#This Row],[Candidate 3]])/(SamplingData[[#Totals],[Winning Candidate]]-SamplingData[[#Totals],[Candidate 3]]), 0)</f>
        <v>8.0652966416104783E-4</v>
      </c>
      <c r="M1910" s="100">
        <f>IF(AND(SamplingData[[#This Row],[Total]]&lt;&gt; 0, NOT(ISBLANK(SamplingData[[#This Row],[Candidate 4]]))),(SamplingData[[#This Row],[Total]]+SamplingData[[#This Row],[Winning Candidate]]-SamplingData[[#This Row],[Candidate 4]])/(SamplingData[[#Totals],[Winning Candidate]]-SamplingData[[#Totals],[Candidate 4]]), 0)</f>
        <v>7.0156976234324298E-4</v>
      </c>
      <c r="N1910" s="100">
        <f>IF(AND(SamplingData[[#This Row],[Total]]&lt;&gt; 0, NOT(ISBLANK(SamplingData[[#This Row],[Candidate 5]]))),(SamplingData[[#This Row],[Total]]+SamplingData[[#This Row],[Winning Candidate]]-SamplingData[[#This Row],[Candidate 5]])/(SamplingData[[#Totals],[Winning Candidate]]-SamplingData[[#Totals],[Candidate 5]]), 0)</f>
        <v>6.3244952566285579E-4</v>
      </c>
      <c r="O1910" s="100">
        <f>IF(AND(SamplingData[[#This Row],[Total]]&lt;&gt; 0, NOT(ISBLANK(SamplingData[[#This Row],[Candidate 6]]))),(SamplingData[[#This Row],[Total]]+SamplingData[[#This Row],[Winning Candidate]]-SamplingData[[#This Row],[Candidate 6]])/(SamplingData[[#Totals],[Winning Candidate]]-SamplingData[[#Totals],[Candidate 6]]), 0)</f>
        <v>6.322649676572151E-4</v>
      </c>
      <c r="P1910" s="100">
        <f>MAX(SamplingData[[#This Row],[Error Bound (up) - Max. possible relative overstatement - Losing Candidate]:[Error Bound (up) - Max. possible relative overstatement - Candidate 6]])</f>
        <v>1.2861342479176874E-3</v>
      </c>
      <c r="Q1910" s="100">
        <f>IF(SamplingData[[#This Row],[Max Error Bound (up)]] = 0,0,SamplingData[[#This Row],[Max Error Bound (up)]]/SamplingData[[#Totals],[Max Error Bound (up)]])</f>
        <v>2.0355191384736248E-4</v>
      </c>
      <c r="R1910" s="101">
        <f>SUM($Q$5:Q1910)</f>
        <v>0.77563205647708644</v>
      </c>
      <c r="S1910" s="100" t="str">
        <f t="array" ref="S1910">IF(SamplingData[[#This Row],[up/U Selection Probability]] = 0, "Zero", TEXT(SamplingData[[#This Row],[Lower Range]], REPT("0",LEN('General Info'!$B$40))) &amp; " - " &amp; TEXT(SamplingData[[#This Row],[Upper Range]], REPT("0",LEN('General Info'!$B$40))))</f>
        <v>77543 - 77562</v>
      </c>
      <c r="T1910" s="100">
        <f>SamplingData[[#This Row],[Upper Range]]-SamplingData[[#This Row],[Span]]</f>
        <v>77542.850659875825</v>
      </c>
      <c r="U1910" s="100">
        <f>IF(ISNUMBER('General Info'!$B$40), ((SamplingData[[#This Row],[up/U Selection Probability]]) * 'General Info'!$B$40) - 1, 0)</f>
        <v>19.354987832822399</v>
      </c>
      <c r="V1910" s="100">
        <f>IF(ISNUMBER('General Info'!$B$40), (SamplingData[[#This Row],[Running (cumulative) sum]] * ('General Info'!$B$40 -'General Info'!$B$41 + 1)) + 'General Info'!$B$41 - 1, 0)</f>
        <v>77562.205647708644</v>
      </c>
      <c r="W1910" s="100" t="str">
        <f>IF(ISERROR(MATCH(SamplingData[[#This Row],[Batch by Type (p)]],SelectedPrecincts[Batch Name], 0)), "", INDEX(SelectedPrecincts[Draw], MATCH(SamplingData[[#This Row],[Batch by Type (p)]],SelectedPrecincts[Batch Name], 0)))</f>
        <v/>
      </c>
      <c r="X1910" s="102">
        <f>IF(COUNTIF(SelectedPrecincts[Batch Name],SamplingData[[#This Row],[Batch by Type (p)]]) &lt;&gt; 0, COUNTIF(SelectedPrecincts[Batch Name],SamplingData[[#This Row],[Batch by Type (p)]]), 0)</f>
        <v>0</v>
      </c>
    </row>
    <row r="1911" spans="1:24" ht="15" customHeight="1">
      <c r="A1911" s="18" t="s">
        <v>2087</v>
      </c>
      <c r="B1911" s="18">
        <v>11</v>
      </c>
      <c r="C1911" s="18">
        <v>60</v>
      </c>
      <c r="D1911" s="16">
        <v>4</v>
      </c>
      <c r="E1911" s="16">
        <v>5</v>
      </c>
      <c r="F1911" s="37">
        <v>1</v>
      </c>
      <c r="G1911" s="37">
        <v>0</v>
      </c>
      <c r="H1911" s="17">
        <v>0</v>
      </c>
      <c r="I1911" s="17">
        <v>1</v>
      </c>
      <c r="J1911" s="99">
        <f>SUM(SamplingData[[#This Row],[Losing Candidate]:[Under Votes]])</f>
        <v>82</v>
      </c>
      <c r="K1911" s="100">
        <f>IF(AND(SamplingData[[#This Row],[Total]]&lt;&gt; 0, NOT(ISBLANK(SamplingData[[#This Row],[Losing Candidate]]))),(SamplingData[[#This Row],[Total]]+SamplingData[[#This Row],[Winning Candidate]]-SamplingData[[#This Row],[Losing Candidate]])/(SamplingData[[#Totals],[Winning Candidate]]-SamplingData[[#Totals],[Losing Candidate]]), 0)</f>
        <v>8.0230279274865254E-3</v>
      </c>
      <c r="L1911" s="100">
        <f>IF(AND(SamplingData[[#This Row],[Total]]&lt;&gt; 0, NOT(ISBLANK(SamplingData[[#This Row],[Candidate 3]]))),(SamplingData[[#This Row],[Total]]+SamplingData[[#This Row],[Winning Candidate]]-SamplingData[[#This Row],[Candidate 3]])/(SamplingData[[#Totals],[Winning Candidate]]-SamplingData[[#Totals],[Candidate 3]]), 0)</f>
        <v>4.4520437461689844E-3</v>
      </c>
      <c r="M1911" s="100">
        <f>IF(AND(SamplingData[[#This Row],[Total]]&lt;&gt; 0, NOT(ISBLANK(SamplingData[[#This Row],[Candidate 4]]))),(SamplingData[[#This Row],[Total]]+SamplingData[[#This Row],[Winning Candidate]]-SamplingData[[#This Row],[Candidate 4]])/(SamplingData[[#Totals],[Winning Candidate]]-SamplingData[[#Totals],[Candidate 4]]), 0)</f>
        <v>4.0047940600426791E-3</v>
      </c>
      <c r="N1911" s="100">
        <f>IF(AND(SamplingData[[#This Row],[Total]]&lt;&gt; 0, NOT(ISBLANK(SamplingData[[#This Row],[Candidate 5]]))),(SamplingData[[#This Row],[Total]]+SamplingData[[#This Row],[Winning Candidate]]-SamplingData[[#This Row],[Candidate 5]])/(SamplingData[[#Totals],[Winning Candidate]]-SamplingData[[#Totals],[Candidate 5]]), 0)</f>
        <v>3.4298224276331792E-3</v>
      </c>
      <c r="O1911" s="100">
        <f>IF(AND(SamplingData[[#This Row],[Total]]&lt;&gt; 0, NOT(ISBLANK(SamplingData[[#This Row],[Candidate 6]]))),(SamplingData[[#This Row],[Total]]+SamplingData[[#This Row],[Winning Candidate]]-SamplingData[[#This Row],[Candidate 6]])/(SamplingData[[#Totals],[Winning Candidate]]-SamplingData[[#Totals],[Candidate 6]]), 0)</f>
        <v>3.4531394387432518E-3</v>
      </c>
      <c r="P1911" s="100">
        <f>MAX(SamplingData[[#This Row],[Error Bound (up) - Max. possible relative overstatement - Losing Candidate]:[Error Bound (up) - Max. possible relative overstatement - Candidate 6]])</f>
        <v>8.0230279274865254E-3</v>
      </c>
      <c r="Q1911" s="100">
        <f>IF(SamplingData[[#This Row],[Max Error Bound (up)]] = 0,0,SamplingData[[#This Row],[Max Error Bound (up)]]/SamplingData[[#Totals],[Max Error Bound (up)]])</f>
        <v>1.2697762244764038E-3</v>
      </c>
      <c r="R1911" s="101">
        <f>SUM($Q$5:Q1911)</f>
        <v>0.77690183270156288</v>
      </c>
      <c r="S1911" s="100" t="str">
        <f t="array" ref="S1911">IF(SamplingData[[#This Row],[up/U Selection Probability]] = 0, "Zero", TEXT(SamplingData[[#This Row],[Lower Range]], REPT("0",LEN('General Info'!$B$40))) &amp; " - " &amp; TEXT(SamplingData[[#This Row],[Upper Range]], REPT("0",LEN('General Info'!$B$40))))</f>
        <v>77563 - 77689</v>
      </c>
      <c r="T1911" s="100">
        <f>SamplingData[[#This Row],[Upper Range]]-SamplingData[[#This Row],[Span]]</f>
        <v>77563.206917484873</v>
      </c>
      <c r="U1911" s="100">
        <f>IF(ISNUMBER('General Info'!$B$40), ((SamplingData[[#This Row],[up/U Selection Probability]]) * 'General Info'!$B$40) - 1, 0)</f>
        <v>125.97635267141591</v>
      </c>
      <c r="V1911" s="100">
        <f>IF(ISNUMBER('General Info'!$B$40), (SamplingData[[#This Row],[Running (cumulative) sum]] * ('General Info'!$B$40 -'General Info'!$B$41 + 1)) + 'General Info'!$B$41 - 1, 0)</f>
        <v>77689.183270156282</v>
      </c>
      <c r="W1911" s="100" t="str">
        <f>IF(ISERROR(MATCH(SamplingData[[#This Row],[Batch by Type (p)]],SelectedPrecincts[Batch Name], 0)), "", INDEX(SelectedPrecincts[Draw], MATCH(SamplingData[[#This Row],[Batch by Type (p)]],SelectedPrecincts[Batch Name], 0)))</f>
        <v/>
      </c>
      <c r="X1911" s="102">
        <f>IF(COUNTIF(SelectedPrecincts[Batch Name],SamplingData[[#This Row],[Batch by Type (p)]]) &lt;&gt; 0, COUNTIF(SelectedPrecincts[Batch Name],SamplingData[[#This Row],[Batch by Type (p)]]), 0)</f>
        <v>0</v>
      </c>
    </row>
    <row r="1912" spans="1:24" ht="15" customHeight="1">
      <c r="A1912" s="18" t="s">
        <v>2088</v>
      </c>
      <c r="B1912" s="18">
        <v>3</v>
      </c>
      <c r="C1912" s="18">
        <v>17</v>
      </c>
      <c r="D1912" s="18">
        <v>2</v>
      </c>
      <c r="E1912" s="18">
        <v>1</v>
      </c>
      <c r="F1912" s="18">
        <v>0</v>
      </c>
      <c r="G1912" s="18">
        <v>0</v>
      </c>
      <c r="H1912" s="18">
        <v>0</v>
      </c>
      <c r="I1912" s="18">
        <v>0</v>
      </c>
      <c r="J1912" s="99">
        <f>SUM(SamplingData[[#This Row],[Losing Candidate]:[Under Votes]])</f>
        <v>23</v>
      </c>
      <c r="K1912" s="100">
        <f>IF(AND(SamplingData[[#This Row],[Total]]&lt;&gt; 0, NOT(ISBLANK(SamplingData[[#This Row],[Losing Candidate]]))),(SamplingData[[#This Row],[Total]]+SamplingData[[#This Row],[Winning Candidate]]-SamplingData[[#This Row],[Losing Candidate]])/(SamplingData[[#Totals],[Winning Candidate]]-SamplingData[[#Totals],[Losing Candidate]]), 0)</f>
        <v>2.2660460558549728E-3</v>
      </c>
      <c r="L1912" s="100">
        <f>IF(AND(SamplingData[[#This Row],[Total]]&lt;&gt; 0, NOT(ISBLANK(SamplingData[[#This Row],[Candidate 3]]))),(SamplingData[[#This Row],[Total]]+SamplingData[[#This Row],[Winning Candidate]]-SamplingData[[#This Row],[Candidate 3]])/(SamplingData[[#Totals],[Winning Candidate]]-SamplingData[[#Totals],[Candidate 3]]), 0)</f>
        <v>1.2259250895247926E-3</v>
      </c>
      <c r="M1912" s="100">
        <f>IF(AND(SamplingData[[#This Row],[Total]]&lt;&gt; 0, NOT(ISBLANK(SamplingData[[#This Row],[Candidate 4]]))),(SamplingData[[#This Row],[Total]]+SamplingData[[#This Row],[Winning Candidate]]-SamplingData[[#This Row],[Candidate 4]])/(SamplingData[[#Totals],[Winning Candidate]]-SamplingData[[#Totals],[Candidate 4]]), 0)</f>
        <v>1.14005086380777E-3</v>
      </c>
      <c r="N1912" s="100">
        <f>IF(AND(SamplingData[[#This Row],[Total]]&lt;&gt; 0, NOT(ISBLANK(SamplingData[[#This Row],[Candidate 5]]))),(SamplingData[[#This Row],[Total]]+SamplingData[[#This Row],[Winning Candidate]]-SamplingData[[#This Row],[Candidate 5]])/(SamplingData[[#Totals],[Winning Candidate]]-SamplingData[[#Totals],[Candidate 5]]), 0)</f>
        <v>9.7299927025054731E-4</v>
      </c>
      <c r="O1912" s="100">
        <f>IF(AND(SamplingData[[#This Row],[Total]]&lt;&gt; 0, NOT(ISBLANK(SamplingData[[#This Row],[Candidate 6]]))),(SamplingData[[#This Row],[Total]]+SamplingData[[#This Row],[Winning Candidate]]-SamplingData[[#This Row],[Candidate 6]])/(SamplingData[[#Totals],[Winning Candidate]]-SamplingData[[#Totals],[Candidate 6]]), 0)</f>
        <v>9.7271533485725399E-4</v>
      </c>
      <c r="P1912" s="100">
        <f>MAX(SamplingData[[#This Row],[Error Bound (up) - Max. possible relative overstatement - Losing Candidate]:[Error Bound (up) - Max. possible relative overstatement - Candidate 6]])</f>
        <v>2.2660460558549728E-3</v>
      </c>
      <c r="Q1912" s="100">
        <f>IF(SamplingData[[#This Row],[Max Error Bound (up)]] = 0,0,SamplingData[[#This Row],[Max Error Bound (up)]]/SamplingData[[#Totals],[Max Error Bound (up)]])</f>
        <v>3.5863908630249576E-4</v>
      </c>
      <c r="R1912" s="101">
        <f>SUM($Q$5:Q1912)</f>
        <v>0.77726047178786539</v>
      </c>
      <c r="S1912" s="100" t="str">
        <f t="array" ref="S1912">IF(SamplingData[[#This Row],[up/U Selection Probability]] = 0, "Zero", TEXT(SamplingData[[#This Row],[Lower Range]], REPT("0",LEN('General Info'!$B$40))) &amp; " - " &amp; TEXT(SamplingData[[#This Row],[Upper Range]], REPT("0",LEN('General Info'!$B$40))))</f>
        <v>77690 - 77725</v>
      </c>
      <c r="T1912" s="100">
        <f>SamplingData[[#This Row],[Upper Range]]-SamplingData[[#This Row],[Span]]</f>
        <v>77690.183628795377</v>
      </c>
      <c r="U1912" s="100">
        <f>IF(ISNUMBER('General Info'!$B$40), ((SamplingData[[#This Row],[up/U Selection Probability]]) * 'General Info'!$B$40) - 1, 0)</f>
        <v>34.863549991163275</v>
      </c>
      <c r="V1912" s="100">
        <f>IF(ISNUMBER('General Info'!$B$40), (SamplingData[[#This Row],[Running (cumulative) sum]] * ('General Info'!$B$40 -'General Info'!$B$41 + 1)) + 'General Info'!$B$41 - 1, 0)</f>
        <v>77725.047178786539</v>
      </c>
      <c r="W1912" s="100" t="str">
        <f>IF(ISERROR(MATCH(SamplingData[[#This Row],[Batch by Type (p)]],SelectedPrecincts[Batch Name], 0)), "", INDEX(SelectedPrecincts[Draw], MATCH(SamplingData[[#This Row],[Batch by Type (p)]],SelectedPrecincts[Batch Name], 0)))</f>
        <v/>
      </c>
      <c r="X1912" s="102">
        <f>IF(COUNTIF(SelectedPrecincts[Batch Name],SamplingData[[#This Row],[Batch by Type (p)]]) &lt;&gt; 0, COUNTIF(SelectedPrecincts[Batch Name],SamplingData[[#This Row],[Batch by Type (p)]]), 0)</f>
        <v>0</v>
      </c>
    </row>
    <row r="1913" spans="1:24" ht="15" customHeight="1">
      <c r="A1913" s="18" t="s">
        <v>2089</v>
      </c>
      <c r="B1913" s="18">
        <v>5</v>
      </c>
      <c r="C1913" s="18">
        <v>64</v>
      </c>
      <c r="D1913" s="16">
        <v>7</v>
      </c>
      <c r="E1913" s="16">
        <v>2</v>
      </c>
      <c r="F1913" s="37">
        <v>0</v>
      </c>
      <c r="G1913" s="37">
        <v>0</v>
      </c>
      <c r="H1913" s="17">
        <v>0</v>
      </c>
      <c r="I1913" s="17">
        <v>1</v>
      </c>
      <c r="J1913" s="99">
        <f>SUM(SamplingData[[#This Row],[Losing Candidate]:[Under Votes]])</f>
        <v>79</v>
      </c>
      <c r="K1913" s="100">
        <f>IF(AND(SamplingData[[#This Row],[Total]]&lt;&gt; 0, NOT(ISBLANK(SamplingData[[#This Row],[Losing Candidate]]))),(SamplingData[[#This Row],[Total]]+SamplingData[[#This Row],[Winning Candidate]]-SamplingData[[#This Row],[Losing Candidate]])/(SamplingData[[#Totals],[Winning Candidate]]-SamplingData[[#Totals],[Losing Candidate]]), 0)</f>
        <v>8.4517393434590891E-3</v>
      </c>
      <c r="L1913" s="100">
        <f>IF(AND(SamplingData[[#This Row],[Total]]&lt;&gt; 0, NOT(ISBLANK(SamplingData[[#This Row],[Candidate 3]]))),(SamplingData[[#This Row],[Total]]+SamplingData[[#This Row],[Winning Candidate]]-SamplingData[[#This Row],[Candidate 3]])/(SamplingData[[#Totals],[Winning Candidate]]-SamplingData[[#Totals],[Candidate 3]]), 0)</f>
        <v>4.3875213730361004E-3</v>
      </c>
      <c r="M1913" s="100">
        <f>IF(AND(SamplingData[[#This Row],[Total]]&lt;&gt; 0, NOT(ISBLANK(SamplingData[[#This Row],[Candidate 4]]))),(SamplingData[[#This Row],[Total]]+SamplingData[[#This Row],[Winning Candidate]]-SamplingData[[#This Row],[Candidate 4]])/(SamplingData[[#Totals],[Winning Candidate]]-SamplingData[[#Totals],[Candidate 4]]), 0)</f>
        <v>4.1217223537665529E-3</v>
      </c>
      <c r="N1913" s="100">
        <f>IF(AND(SamplingData[[#This Row],[Total]]&lt;&gt; 0, NOT(ISBLANK(SamplingData[[#This Row],[Candidate 5]]))),(SamplingData[[#This Row],[Total]]+SamplingData[[#This Row],[Winning Candidate]]-SamplingData[[#This Row],[Candidate 5]])/(SamplingData[[#Totals],[Winning Candidate]]-SamplingData[[#Totals],[Candidate 5]]), 0)</f>
        <v>3.4784723911457068E-3</v>
      </c>
      <c r="O1913" s="100">
        <f>IF(AND(SamplingData[[#This Row],[Total]]&lt;&gt; 0, NOT(ISBLANK(SamplingData[[#This Row],[Candidate 6]]))),(SamplingData[[#This Row],[Total]]+SamplingData[[#This Row],[Winning Candidate]]-SamplingData[[#This Row],[Candidate 6]])/(SamplingData[[#Totals],[Winning Candidate]]-SamplingData[[#Totals],[Candidate 6]]), 0)</f>
        <v>3.4774573221146832E-3</v>
      </c>
      <c r="P1913" s="100">
        <f>MAX(SamplingData[[#This Row],[Error Bound (up) - Max. possible relative overstatement - Losing Candidate]:[Error Bound (up) - Max. possible relative overstatement - Candidate 6]])</f>
        <v>8.4517393434590891E-3</v>
      </c>
      <c r="Q1913" s="100">
        <f>IF(SamplingData[[#This Row],[Max Error Bound (up)]] = 0,0,SamplingData[[#This Row],[Max Error Bound (up)]]/SamplingData[[#Totals],[Max Error Bound (up)]])</f>
        <v>1.3376268624255248E-3</v>
      </c>
      <c r="R1913" s="101">
        <f>SUM($Q$5:Q1913)</f>
        <v>0.77859809865029095</v>
      </c>
      <c r="S1913" s="100" t="str">
        <f t="array" ref="S1913">IF(SamplingData[[#This Row],[up/U Selection Probability]] = 0, "Zero", TEXT(SamplingData[[#This Row],[Lower Range]], REPT("0",LEN('General Info'!$B$40))) &amp; " - " &amp; TEXT(SamplingData[[#This Row],[Upper Range]], REPT("0",LEN('General Info'!$B$40))))</f>
        <v>77726 - 77859</v>
      </c>
      <c r="T1913" s="100">
        <f>SamplingData[[#This Row],[Upper Range]]-SamplingData[[#This Row],[Span]]</f>
        <v>77726.048516413401</v>
      </c>
      <c r="U1913" s="100">
        <f>IF(ISNUMBER('General Info'!$B$40), ((SamplingData[[#This Row],[up/U Selection Probability]]) * 'General Info'!$B$40) - 1, 0)</f>
        <v>132.76134861569005</v>
      </c>
      <c r="V1913" s="100">
        <f>IF(ISNUMBER('General Info'!$B$40), (SamplingData[[#This Row],[Running (cumulative) sum]] * ('General Info'!$B$40 -'General Info'!$B$41 + 1)) + 'General Info'!$B$41 - 1, 0)</f>
        <v>77858.809865029092</v>
      </c>
      <c r="W1913" s="100" t="str">
        <f>IF(ISERROR(MATCH(SamplingData[[#This Row],[Batch by Type (p)]],SelectedPrecincts[Batch Name], 0)), "", INDEX(SelectedPrecincts[Draw], MATCH(SamplingData[[#This Row],[Batch by Type (p)]],SelectedPrecincts[Batch Name], 0)))</f>
        <v/>
      </c>
      <c r="X1913" s="102">
        <f>IF(COUNTIF(SelectedPrecincts[Batch Name],SamplingData[[#This Row],[Batch by Type (p)]]) &lt;&gt; 0, COUNTIF(SelectedPrecincts[Batch Name],SamplingData[[#This Row],[Batch by Type (p)]]), 0)</f>
        <v>0</v>
      </c>
    </row>
    <row r="1914" spans="1:24" ht="15" customHeight="1">
      <c r="A1914" s="18" t="s">
        <v>2090</v>
      </c>
      <c r="B1914" s="18">
        <v>4</v>
      </c>
      <c r="C1914" s="18">
        <v>25</v>
      </c>
      <c r="D1914" s="18">
        <v>2</v>
      </c>
      <c r="E1914" s="18">
        <v>1</v>
      </c>
      <c r="F1914" s="18">
        <v>0</v>
      </c>
      <c r="G1914" s="18">
        <v>0</v>
      </c>
      <c r="H1914" s="18">
        <v>0</v>
      </c>
      <c r="I1914" s="18">
        <v>1</v>
      </c>
      <c r="J1914" s="99">
        <f>SUM(SamplingData[[#This Row],[Losing Candidate]:[Under Votes]])</f>
        <v>33</v>
      </c>
      <c r="K1914"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1914" s="100">
        <f>IF(AND(SamplingData[[#This Row],[Total]]&lt;&gt; 0, NOT(ISBLANK(SamplingData[[#This Row],[Candidate 3]]))),(SamplingData[[#This Row],[Total]]+SamplingData[[#This Row],[Winning Candidate]]-SamplingData[[#This Row],[Candidate 3]])/(SamplingData[[#Totals],[Winning Candidate]]-SamplingData[[#Totals],[Candidate 3]]), 0)</f>
        <v>1.8066264477207472E-3</v>
      </c>
      <c r="M1914" s="100">
        <f>IF(AND(SamplingData[[#This Row],[Total]]&lt;&gt; 0, NOT(ISBLANK(SamplingData[[#This Row],[Candidate 4]]))),(SamplingData[[#This Row],[Total]]+SamplingData[[#This Row],[Winning Candidate]]-SamplingData[[#This Row],[Candidate 4]])/(SamplingData[[#Totals],[Winning Candidate]]-SamplingData[[#Totals],[Candidate 4]]), 0)</f>
        <v>1.6662281855652022E-3</v>
      </c>
      <c r="N1914" s="100">
        <f>IF(AND(SamplingData[[#This Row],[Total]]&lt;&gt; 0, NOT(ISBLANK(SamplingData[[#This Row],[Candidate 5]]))),(SamplingData[[#This Row],[Total]]+SamplingData[[#This Row],[Winning Candidate]]-SamplingData[[#This Row],[Candidate 5]])/(SamplingData[[#Totals],[Winning Candidate]]-SamplingData[[#Totals],[Candidate 5]]), 0)</f>
        <v>1.4108489418632937E-3</v>
      </c>
      <c r="O1914" s="100">
        <f>IF(AND(SamplingData[[#This Row],[Total]]&lt;&gt; 0, NOT(ISBLANK(SamplingData[[#This Row],[Candidate 6]]))),(SamplingData[[#This Row],[Total]]+SamplingData[[#This Row],[Winning Candidate]]-SamplingData[[#This Row],[Candidate 6]])/(SamplingData[[#Totals],[Winning Candidate]]-SamplingData[[#Totals],[Candidate 6]]), 0)</f>
        <v>1.4104372355430183E-3</v>
      </c>
      <c r="P1914" s="100">
        <f>MAX(SamplingData[[#This Row],[Error Bound (up) - Max. possible relative overstatement - Losing Candidate]:[Error Bound (up) - Max. possible relative overstatement - Candidate 6]])</f>
        <v>3.3072023517883389E-3</v>
      </c>
      <c r="Q1914" s="100">
        <f>IF(SamplingData[[#This Row],[Max Error Bound (up)]] = 0,0,SamplingData[[#This Row],[Max Error Bound (up)]]/SamplingData[[#Totals],[Max Error Bound (up)]])</f>
        <v>5.2341920703607493E-4</v>
      </c>
      <c r="R1914" s="101">
        <f>SUM($Q$5:Q1914)</f>
        <v>0.77912151785732697</v>
      </c>
      <c r="S1914" s="100" t="str">
        <f t="array" ref="S1914">IF(SamplingData[[#This Row],[up/U Selection Probability]] = 0, "Zero", TEXT(SamplingData[[#This Row],[Lower Range]], REPT("0",LEN('General Info'!$B$40))) &amp; " - " &amp; TEXT(SamplingData[[#This Row],[Upper Range]], REPT("0",LEN('General Info'!$B$40))))</f>
        <v>77860 - 77911</v>
      </c>
      <c r="T1914" s="100">
        <f>SamplingData[[#This Row],[Upper Range]]-SamplingData[[#This Row],[Span]]</f>
        <v>77859.810388448299</v>
      </c>
      <c r="U1914" s="100">
        <f>IF(ISNUMBER('General Info'!$B$40), ((SamplingData[[#This Row],[up/U Selection Probability]]) * 'General Info'!$B$40) - 1, 0)</f>
        <v>51.341397284400458</v>
      </c>
      <c r="V1914" s="100">
        <f>IF(ISNUMBER('General Info'!$B$40), (SamplingData[[#This Row],[Running (cumulative) sum]] * ('General Info'!$B$40 -'General Info'!$B$41 + 1)) + 'General Info'!$B$41 - 1, 0)</f>
        <v>77911.151785732698</v>
      </c>
      <c r="W1914" s="100" t="str">
        <f>IF(ISERROR(MATCH(SamplingData[[#This Row],[Batch by Type (p)]],SelectedPrecincts[Batch Name], 0)), "", INDEX(SelectedPrecincts[Draw], MATCH(SamplingData[[#This Row],[Batch by Type (p)]],SelectedPrecincts[Batch Name], 0)))</f>
        <v/>
      </c>
      <c r="X1914" s="102">
        <f>IF(COUNTIF(SelectedPrecincts[Batch Name],SamplingData[[#This Row],[Batch by Type (p)]]) &lt;&gt; 0, COUNTIF(SelectedPrecincts[Batch Name],SamplingData[[#This Row],[Batch by Type (p)]]), 0)</f>
        <v>0</v>
      </c>
    </row>
    <row r="1915" spans="1:24" ht="15" customHeight="1">
      <c r="A1915" s="18" t="s">
        <v>2091</v>
      </c>
      <c r="B1915" s="18">
        <v>12</v>
      </c>
      <c r="C1915" s="18">
        <v>60</v>
      </c>
      <c r="D1915" s="16">
        <v>6</v>
      </c>
      <c r="E1915" s="16">
        <v>8</v>
      </c>
      <c r="F1915" s="37">
        <v>0</v>
      </c>
      <c r="G1915" s="37">
        <v>0</v>
      </c>
      <c r="H1915" s="17">
        <v>0</v>
      </c>
      <c r="I1915" s="17">
        <v>3</v>
      </c>
      <c r="J1915" s="99">
        <f>SUM(SamplingData[[#This Row],[Losing Candidate]:[Under Votes]])</f>
        <v>89</v>
      </c>
      <c r="K1915" s="100">
        <f>IF(AND(SamplingData[[#This Row],[Total]]&lt;&gt; 0, NOT(ISBLANK(SamplingData[[#This Row],[Losing Candidate]]))),(SamplingData[[#This Row],[Total]]+SamplingData[[#This Row],[Winning Candidate]]-SamplingData[[#This Row],[Losing Candidate]])/(SamplingData[[#Totals],[Winning Candidate]]-SamplingData[[#Totals],[Losing Candidate]]), 0)</f>
        <v>8.3904948554630078E-3</v>
      </c>
      <c r="L1915" s="100">
        <f>IF(AND(SamplingData[[#This Row],[Total]]&lt;&gt; 0, NOT(ISBLANK(SamplingData[[#This Row],[Candidate 3]]))),(SamplingData[[#This Row],[Total]]+SamplingData[[#This Row],[Winning Candidate]]-SamplingData[[#This Row],[Candidate 3]])/(SamplingData[[#Totals],[Winning Candidate]]-SamplingData[[#Totals],[Candidate 3]]), 0)</f>
        <v>4.6133496790011939E-3</v>
      </c>
      <c r="M1915" s="100">
        <f>IF(AND(SamplingData[[#This Row],[Total]]&lt;&gt; 0, NOT(ISBLANK(SamplingData[[#This Row],[Candidate 4]]))),(SamplingData[[#This Row],[Total]]+SamplingData[[#This Row],[Winning Candidate]]-SamplingData[[#This Row],[Candidate 4]])/(SamplingData[[#Totals],[Winning Candidate]]-SamplingData[[#Totals],[Candidate 4]]), 0)</f>
        <v>4.1217223537665529E-3</v>
      </c>
      <c r="N1915" s="100">
        <f>IF(AND(SamplingData[[#This Row],[Total]]&lt;&gt; 0, NOT(ISBLANK(SamplingData[[#This Row],[Candidate 5]]))),(SamplingData[[#This Row],[Total]]+SamplingData[[#This Row],[Winning Candidate]]-SamplingData[[#This Row],[Candidate 5]])/(SamplingData[[#Totals],[Winning Candidate]]-SamplingData[[#Totals],[Candidate 5]]), 0)</f>
        <v>3.6244222816832886E-3</v>
      </c>
      <c r="O1915" s="100">
        <f>IF(AND(SamplingData[[#This Row],[Total]]&lt;&gt; 0, NOT(ISBLANK(SamplingData[[#This Row],[Candidate 6]]))),(SamplingData[[#This Row],[Total]]+SamplingData[[#This Row],[Winning Candidate]]-SamplingData[[#This Row],[Candidate 6]])/(SamplingData[[#Totals],[Winning Candidate]]-SamplingData[[#Totals],[Candidate 6]]), 0)</f>
        <v>3.6233646223432711E-3</v>
      </c>
      <c r="P1915" s="100">
        <f>MAX(SamplingData[[#This Row],[Error Bound (up) - Max. possible relative overstatement - Losing Candidate]:[Error Bound (up) - Max. possible relative overstatement - Candidate 6]])</f>
        <v>8.3904948554630078E-3</v>
      </c>
      <c r="Q1915" s="100">
        <f>IF(SamplingData[[#This Row],[Max Error Bound (up)]] = 0,0,SamplingData[[#This Row],[Max Error Bound (up)]]/SamplingData[[#Totals],[Max Error Bound (up)]])</f>
        <v>1.3279339141470789E-3</v>
      </c>
      <c r="R1915" s="101">
        <f>SUM($Q$5:Q1915)</f>
        <v>0.78044945177147407</v>
      </c>
      <c r="S1915" s="100" t="str">
        <f t="array" ref="S1915">IF(SamplingData[[#This Row],[up/U Selection Probability]] = 0, "Zero", TEXT(SamplingData[[#This Row],[Lower Range]], REPT("0",LEN('General Info'!$B$40))) &amp; " - " &amp; TEXT(SamplingData[[#This Row],[Upper Range]], REPT("0",LEN('General Info'!$B$40))))</f>
        <v>77912 - 78044</v>
      </c>
      <c r="T1915" s="100">
        <f>SamplingData[[#This Row],[Upper Range]]-SamplingData[[#This Row],[Span]]</f>
        <v>77912.153113666616</v>
      </c>
      <c r="U1915" s="100">
        <f>IF(ISNUMBER('General Info'!$B$40), ((SamplingData[[#This Row],[up/U Selection Probability]]) * 'General Info'!$B$40) - 1, 0)</f>
        <v>131.79206348079373</v>
      </c>
      <c r="V1915" s="100">
        <f>IF(ISNUMBER('General Info'!$B$40), (SamplingData[[#This Row],[Running (cumulative) sum]] * ('General Info'!$B$40 -'General Info'!$B$41 + 1)) + 'General Info'!$B$41 - 1, 0)</f>
        <v>78043.945177147412</v>
      </c>
      <c r="W1915" s="100" t="str">
        <f>IF(ISERROR(MATCH(SamplingData[[#This Row],[Batch by Type (p)]],SelectedPrecincts[Batch Name], 0)), "", INDEX(SelectedPrecincts[Draw], MATCH(SamplingData[[#This Row],[Batch by Type (p)]],SelectedPrecincts[Batch Name], 0)))</f>
        <v/>
      </c>
      <c r="X1915" s="102">
        <f>IF(COUNTIF(SelectedPrecincts[Batch Name],SamplingData[[#This Row],[Batch by Type (p)]]) &lt;&gt; 0, COUNTIF(SelectedPrecincts[Batch Name],SamplingData[[#This Row],[Batch by Type (p)]]), 0)</f>
        <v>0</v>
      </c>
    </row>
    <row r="1916" spans="1:24" ht="15" customHeight="1">
      <c r="A1916" s="18" t="s">
        <v>2092</v>
      </c>
      <c r="B1916" s="18">
        <v>2</v>
      </c>
      <c r="C1916" s="18">
        <v>34</v>
      </c>
      <c r="D1916" s="18">
        <v>2</v>
      </c>
      <c r="E1916" s="18">
        <v>0</v>
      </c>
      <c r="F1916" s="18">
        <v>4</v>
      </c>
      <c r="G1916" s="18">
        <v>0</v>
      </c>
      <c r="H1916" s="18">
        <v>0</v>
      </c>
      <c r="I1916" s="18">
        <v>1</v>
      </c>
      <c r="J1916" s="99">
        <f>SUM(SamplingData[[#This Row],[Losing Candidate]:[Under Votes]])</f>
        <v>43</v>
      </c>
      <c r="K1916" s="100">
        <f>IF(AND(SamplingData[[#This Row],[Total]]&lt;&gt; 0, NOT(ISBLANK(SamplingData[[#This Row],[Losing Candidate]]))),(SamplingData[[#This Row],[Total]]+SamplingData[[#This Row],[Winning Candidate]]-SamplingData[[#This Row],[Losing Candidate]])/(SamplingData[[#Totals],[Winning Candidate]]-SamplingData[[#Totals],[Losing Candidate]]), 0)</f>
        <v>4.5933365997060261E-3</v>
      </c>
      <c r="L1916" s="100">
        <f>IF(AND(SamplingData[[#This Row],[Total]]&lt;&gt; 0, NOT(ISBLANK(SamplingData[[#This Row],[Candidate 3]]))),(SamplingData[[#This Row],[Total]]+SamplingData[[#This Row],[Winning Candidate]]-SamplingData[[#This Row],[Candidate 3]])/(SamplingData[[#Totals],[Winning Candidate]]-SamplingData[[#Totals],[Candidate 3]]), 0)</f>
        <v>2.4195889924831437E-3</v>
      </c>
      <c r="M1916" s="100">
        <f>IF(AND(SamplingData[[#This Row],[Total]]&lt;&gt; 0, NOT(ISBLANK(SamplingData[[#This Row],[Candidate 4]]))),(SamplingData[[#This Row],[Total]]+SamplingData[[#This Row],[Winning Candidate]]-SamplingData[[#This Row],[Candidate 4]])/(SamplingData[[#Totals],[Winning Candidate]]-SamplingData[[#Totals],[Candidate 4]]), 0)</f>
        <v>2.2508696541845715E-3</v>
      </c>
      <c r="N1916" s="100">
        <f>IF(AND(SamplingData[[#This Row],[Total]]&lt;&gt; 0, NOT(ISBLANK(SamplingData[[#This Row],[Candidate 5]]))),(SamplingData[[#This Row],[Total]]+SamplingData[[#This Row],[Winning Candidate]]-SamplingData[[#This Row],[Candidate 5]])/(SamplingData[[#Totals],[Winning Candidate]]-SamplingData[[#Totals],[Candidate 5]]), 0)</f>
        <v>1.7757236682072487E-3</v>
      </c>
      <c r="O1916" s="100">
        <f>IF(AND(SamplingData[[#This Row],[Total]]&lt;&gt; 0, NOT(ISBLANK(SamplingData[[#This Row],[Candidate 6]]))),(SamplingData[[#This Row],[Total]]+SamplingData[[#This Row],[Winning Candidate]]-SamplingData[[#This Row],[Candidate 6]])/(SamplingData[[#Totals],[Winning Candidate]]-SamplingData[[#Totals],[Candidate 6]]), 0)</f>
        <v>1.872477019600214E-3</v>
      </c>
      <c r="P1916" s="100">
        <f>MAX(SamplingData[[#This Row],[Error Bound (up) - Max. possible relative overstatement - Losing Candidate]:[Error Bound (up) - Max. possible relative overstatement - Candidate 6]])</f>
        <v>4.5933365997060261E-3</v>
      </c>
      <c r="Q1916" s="100">
        <f>IF(SamplingData[[#This Row],[Max Error Bound (up)]] = 0,0,SamplingData[[#This Row],[Max Error Bound (up)]]/SamplingData[[#Totals],[Max Error Bound (up)]])</f>
        <v>7.2697112088343735E-4</v>
      </c>
      <c r="R1916" s="101">
        <f>SUM($Q$5:Q1916)</f>
        <v>0.78117642289235756</v>
      </c>
      <c r="S1916" s="100" t="str">
        <f t="array" ref="S1916">IF(SamplingData[[#This Row],[up/U Selection Probability]] = 0, "Zero", TEXT(SamplingData[[#This Row],[Lower Range]], REPT("0",LEN('General Info'!$B$40))) &amp; " - " &amp; TEXT(SamplingData[[#This Row],[Upper Range]], REPT("0",LEN('General Info'!$B$40))))</f>
        <v>78045 - 78117</v>
      </c>
      <c r="T1916" s="100">
        <f>SamplingData[[#This Row],[Upper Range]]-SamplingData[[#This Row],[Span]]</f>
        <v>78044.945904118533</v>
      </c>
      <c r="U1916" s="100">
        <f>IF(ISNUMBER('General Info'!$B$40), ((SamplingData[[#This Row],[up/U Selection Probability]]) * 'General Info'!$B$40) - 1, 0)</f>
        <v>71.696385117222846</v>
      </c>
      <c r="V1916" s="100">
        <f>IF(ISNUMBER('General Info'!$B$40), (SamplingData[[#This Row],[Running (cumulative) sum]] * ('General Info'!$B$40 -'General Info'!$B$41 + 1)) + 'General Info'!$B$41 - 1, 0)</f>
        <v>78116.642289235751</v>
      </c>
      <c r="W1916" s="100" t="str">
        <f>IF(ISERROR(MATCH(SamplingData[[#This Row],[Batch by Type (p)]],SelectedPrecincts[Batch Name], 0)), "", INDEX(SelectedPrecincts[Draw], MATCH(SamplingData[[#This Row],[Batch by Type (p)]],SelectedPrecincts[Batch Name], 0)))</f>
        <v/>
      </c>
      <c r="X1916" s="102">
        <f>IF(COUNTIF(SelectedPrecincts[Batch Name],SamplingData[[#This Row],[Batch by Type (p)]]) &lt;&gt; 0, COUNTIF(SelectedPrecincts[Batch Name],SamplingData[[#This Row],[Batch by Type (p)]]), 0)</f>
        <v>0</v>
      </c>
    </row>
    <row r="1917" spans="1:24" ht="15" customHeight="1">
      <c r="A1917" s="18" t="s">
        <v>2093</v>
      </c>
      <c r="B1917" s="18">
        <v>20</v>
      </c>
      <c r="C1917" s="18">
        <v>61</v>
      </c>
      <c r="D1917" s="16">
        <v>7</v>
      </c>
      <c r="E1917" s="16">
        <v>8</v>
      </c>
      <c r="F1917" s="37">
        <v>2</v>
      </c>
      <c r="G1917" s="37">
        <v>0</v>
      </c>
      <c r="H1917" s="17">
        <v>0</v>
      </c>
      <c r="I1917" s="17">
        <v>1</v>
      </c>
      <c r="J1917" s="99">
        <f>SUM(SamplingData[[#This Row],[Losing Candidate]:[Under Votes]])</f>
        <v>99</v>
      </c>
      <c r="K1917" s="100">
        <f>IF(AND(SamplingData[[#This Row],[Total]]&lt;&gt; 0, NOT(ISBLANK(SamplingData[[#This Row],[Losing Candidate]]))),(SamplingData[[#This Row],[Total]]+SamplingData[[#This Row],[Winning Candidate]]-SamplingData[[#This Row],[Losing Candidate]])/(SamplingData[[#Totals],[Winning Candidate]]-SamplingData[[#Totals],[Losing Candidate]]), 0)</f>
        <v>8.5742283194512499E-3</v>
      </c>
      <c r="L1917" s="100">
        <f>IF(AND(SamplingData[[#This Row],[Total]]&lt;&gt; 0, NOT(ISBLANK(SamplingData[[#This Row],[Candidate 3]]))),(SamplingData[[#This Row],[Total]]+SamplingData[[#This Row],[Winning Candidate]]-SamplingData[[#This Row],[Candidate 3]])/(SamplingData[[#Totals],[Winning Candidate]]-SamplingData[[#Totals],[Candidate 3]]), 0)</f>
        <v>4.935961544665613E-3</v>
      </c>
      <c r="M1917" s="100">
        <f>IF(AND(SamplingData[[#This Row],[Total]]&lt;&gt; 0, NOT(ISBLANK(SamplingData[[#This Row],[Candidate 4]]))),(SamplingData[[#This Row],[Total]]+SamplingData[[#This Row],[Winning Candidate]]-SamplingData[[#This Row],[Candidate 4]])/(SamplingData[[#Totals],[Winning Candidate]]-SamplingData[[#Totals],[Candidate 4]]), 0)</f>
        <v>4.443275161507206E-3</v>
      </c>
      <c r="N1917" s="100">
        <f>IF(AND(SamplingData[[#This Row],[Total]]&lt;&gt; 0, NOT(ISBLANK(SamplingData[[#This Row],[Candidate 5]]))),(SamplingData[[#This Row],[Total]]+SamplingData[[#This Row],[Winning Candidate]]-SamplingData[[#This Row],[Candidate 5]])/(SamplingData[[#Totals],[Winning Candidate]]-SamplingData[[#Totals],[Candidate 5]]), 0)</f>
        <v>3.8433471174896621E-3</v>
      </c>
      <c r="O1917" s="100">
        <f>IF(AND(SamplingData[[#This Row],[Total]]&lt;&gt; 0, NOT(ISBLANK(SamplingData[[#This Row],[Candidate 6]]))),(SamplingData[[#This Row],[Total]]+SamplingData[[#This Row],[Winning Candidate]]-SamplingData[[#This Row],[Candidate 6]])/(SamplingData[[#Totals],[Winning Candidate]]-SamplingData[[#Totals],[Candidate 6]]), 0)</f>
        <v>3.8908613394290159E-3</v>
      </c>
      <c r="P1917" s="100">
        <f>MAX(SamplingData[[#This Row],[Error Bound (up) - Max. possible relative overstatement - Losing Candidate]:[Error Bound (up) - Max. possible relative overstatement - Candidate 6]])</f>
        <v>8.5742283194512499E-3</v>
      </c>
      <c r="Q1917" s="100">
        <f>IF(SamplingData[[#This Row],[Max Error Bound (up)]] = 0,0,SamplingData[[#This Row],[Max Error Bound (up)]]/SamplingData[[#Totals],[Max Error Bound (up)]])</f>
        <v>1.3570127589824165E-3</v>
      </c>
      <c r="R1917" s="101">
        <f>SUM($Q$5:Q1917)</f>
        <v>0.78253343565133993</v>
      </c>
      <c r="S1917" s="100" t="str">
        <f t="array" ref="S1917">IF(SamplingData[[#This Row],[up/U Selection Probability]] = 0, "Zero", TEXT(SamplingData[[#This Row],[Lower Range]], REPT("0",LEN('General Info'!$B$40))) &amp; " - " &amp; TEXT(SamplingData[[#This Row],[Upper Range]], REPT("0",LEN('General Info'!$B$40))))</f>
        <v>78118 - 78252</v>
      </c>
      <c r="T1917" s="100">
        <f>SamplingData[[#This Row],[Upper Range]]-SamplingData[[#This Row],[Span]]</f>
        <v>78117.643646248514</v>
      </c>
      <c r="U1917" s="100">
        <f>IF(ISNUMBER('General Info'!$B$40), ((SamplingData[[#This Row],[up/U Selection Probability]]) * 'General Info'!$B$40) - 1, 0)</f>
        <v>134.69991888548267</v>
      </c>
      <c r="V1917" s="100">
        <f>IF(ISNUMBER('General Info'!$B$40), (SamplingData[[#This Row],[Running (cumulative) sum]] * ('General Info'!$B$40 -'General Info'!$B$41 + 1)) + 'General Info'!$B$41 - 1, 0)</f>
        <v>78252.343565133997</v>
      </c>
      <c r="W1917" s="100" t="str">
        <f>IF(ISERROR(MATCH(SamplingData[[#This Row],[Batch by Type (p)]],SelectedPrecincts[Batch Name], 0)), "", INDEX(SelectedPrecincts[Draw], MATCH(SamplingData[[#This Row],[Batch by Type (p)]],SelectedPrecincts[Batch Name], 0)))</f>
        <v/>
      </c>
      <c r="X1917" s="102">
        <f>IF(COUNTIF(SelectedPrecincts[Batch Name],SamplingData[[#This Row],[Batch by Type (p)]]) &lt;&gt; 0, COUNTIF(SelectedPrecincts[Batch Name],SamplingData[[#This Row],[Batch by Type (p)]]), 0)</f>
        <v>0</v>
      </c>
    </row>
    <row r="1918" spans="1:24" ht="15" customHeight="1">
      <c r="A1918" s="18" t="s">
        <v>2094</v>
      </c>
      <c r="B1918" s="18">
        <v>7</v>
      </c>
      <c r="C1918" s="18">
        <v>33</v>
      </c>
      <c r="D1918" s="18">
        <v>7</v>
      </c>
      <c r="E1918" s="18">
        <v>1</v>
      </c>
      <c r="F1918" s="18">
        <v>0</v>
      </c>
      <c r="G1918" s="18">
        <v>0</v>
      </c>
      <c r="H1918" s="18">
        <v>0</v>
      </c>
      <c r="I1918" s="18">
        <v>0</v>
      </c>
      <c r="J1918" s="99">
        <f>SUM(SamplingData[[#This Row],[Losing Candidate]:[Under Votes]])</f>
        <v>48</v>
      </c>
      <c r="K1918" s="100">
        <f>IF(AND(SamplingData[[#This Row],[Total]]&lt;&gt; 0, NOT(ISBLANK(SamplingData[[#This Row],[Losing Candidate]]))),(SamplingData[[#This Row],[Total]]+SamplingData[[#This Row],[Winning Candidate]]-SamplingData[[#This Row],[Losing Candidate]])/(SamplingData[[#Totals],[Winning Candidate]]-SamplingData[[#Totals],[Losing Candidate]]), 0)</f>
        <v>4.5320921117099457E-3</v>
      </c>
      <c r="L1918" s="100">
        <f>IF(AND(SamplingData[[#This Row],[Total]]&lt;&gt; 0, NOT(ISBLANK(SamplingData[[#This Row],[Candidate 3]]))),(SamplingData[[#This Row],[Total]]+SamplingData[[#This Row],[Winning Candidate]]-SamplingData[[#This Row],[Candidate 3]])/(SamplingData[[#Totals],[Winning Candidate]]-SamplingData[[#Totals],[Candidate 3]]), 0)</f>
        <v>2.3873278059167017E-3</v>
      </c>
      <c r="M1918" s="100">
        <f>IF(AND(SamplingData[[#This Row],[Total]]&lt;&gt; 0, NOT(ISBLANK(SamplingData[[#This Row],[Candidate 4]]))),(SamplingData[[#This Row],[Total]]+SamplingData[[#This Row],[Winning Candidate]]-SamplingData[[#This Row],[Candidate 4]])/(SamplingData[[#Totals],[Winning Candidate]]-SamplingData[[#Totals],[Candidate 4]]), 0)</f>
        <v>2.3385658744774769E-3</v>
      </c>
      <c r="N1918" s="100">
        <f>IF(AND(SamplingData[[#This Row],[Total]]&lt;&gt; 0, NOT(ISBLANK(SamplingData[[#This Row],[Candidate 5]]))),(SamplingData[[#This Row],[Total]]+SamplingData[[#This Row],[Winning Candidate]]-SamplingData[[#This Row],[Candidate 5]])/(SamplingData[[#Totals],[Winning Candidate]]-SamplingData[[#Totals],[Candidate 5]]), 0)</f>
        <v>1.9703235222573584E-3</v>
      </c>
      <c r="O1918" s="100">
        <f>IF(AND(SamplingData[[#This Row],[Total]]&lt;&gt; 0, NOT(ISBLANK(SamplingData[[#This Row],[Candidate 6]]))),(SamplingData[[#This Row],[Total]]+SamplingData[[#This Row],[Winning Candidate]]-SamplingData[[#This Row],[Candidate 6]])/(SamplingData[[#Totals],[Winning Candidate]]-SamplingData[[#Totals],[Candidate 6]]), 0)</f>
        <v>1.9697485530859394E-3</v>
      </c>
      <c r="P1918" s="100">
        <f>MAX(SamplingData[[#This Row],[Error Bound (up) - Max. possible relative overstatement - Losing Candidate]:[Error Bound (up) - Max. possible relative overstatement - Candidate 6]])</f>
        <v>4.5320921117099457E-3</v>
      </c>
      <c r="Q1918" s="100">
        <f>IF(SamplingData[[#This Row],[Max Error Bound (up)]] = 0,0,SamplingData[[#This Row],[Max Error Bound (up)]]/SamplingData[[#Totals],[Max Error Bound (up)]])</f>
        <v>7.1727817260499151E-4</v>
      </c>
      <c r="R1918" s="101">
        <f>SUM($Q$5:Q1918)</f>
        <v>0.78325071382394496</v>
      </c>
      <c r="S1918" s="100" t="str">
        <f t="array" ref="S1918">IF(SamplingData[[#This Row],[up/U Selection Probability]] = 0, "Zero", TEXT(SamplingData[[#This Row],[Lower Range]], REPT("0",LEN('General Info'!$B$40))) &amp; " - " &amp; TEXT(SamplingData[[#This Row],[Upper Range]], REPT("0",LEN('General Info'!$B$40))))</f>
        <v>78253 - 78324</v>
      </c>
      <c r="T1918" s="100">
        <f>SamplingData[[#This Row],[Upper Range]]-SamplingData[[#This Row],[Span]]</f>
        <v>78253.344282412174</v>
      </c>
      <c r="U1918" s="100">
        <f>IF(ISNUMBER('General Info'!$B$40), ((SamplingData[[#This Row],[up/U Selection Probability]]) * 'General Info'!$B$40) - 1, 0)</f>
        <v>70.72709998232655</v>
      </c>
      <c r="V1918" s="100">
        <f>IF(ISNUMBER('General Info'!$B$40), (SamplingData[[#This Row],[Running (cumulative) sum]] * ('General Info'!$B$40 -'General Info'!$B$41 + 1)) + 'General Info'!$B$41 - 1, 0)</f>
        <v>78324.071382394497</v>
      </c>
      <c r="W1918" s="100" t="str">
        <f>IF(ISERROR(MATCH(SamplingData[[#This Row],[Batch by Type (p)]],SelectedPrecincts[Batch Name], 0)), "", INDEX(SelectedPrecincts[Draw], MATCH(SamplingData[[#This Row],[Batch by Type (p)]],SelectedPrecincts[Batch Name], 0)))</f>
        <v/>
      </c>
      <c r="X1918" s="102">
        <f>IF(COUNTIF(SelectedPrecincts[Batch Name],SamplingData[[#This Row],[Batch by Type (p)]]) &lt;&gt; 0, COUNTIF(SelectedPrecincts[Batch Name],SamplingData[[#This Row],[Batch by Type (p)]]), 0)</f>
        <v>0</v>
      </c>
    </row>
    <row r="1919" spans="1:24" ht="15" customHeight="1">
      <c r="A1919" s="18" t="s">
        <v>2095</v>
      </c>
      <c r="B1919" s="18">
        <v>5</v>
      </c>
      <c r="C1919" s="18">
        <v>50</v>
      </c>
      <c r="D1919" s="16">
        <v>5</v>
      </c>
      <c r="E1919" s="16">
        <v>4</v>
      </c>
      <c r="F1919" s="37">
        <v>1</v>
      </c>
      <c r="G1919" s="37">
        <v>0</v>
      </c>
      <c r="H1919" s="17">
        <v>0</v>
      </c>
      <c r="I1919" s="17">
        <v>1</v>
      </c>
      <c r="J1919" s="99">
        <f>SUM(SamplingData[[#This Row],[Losing Candidate]:[Under Votes]])</f>
        <v>66</v>
      </c>
      <c r="K1919" s="100">
        <f>IF(AND(SamplingData[[#This Row],[Total]]&lt;&gt; 0, NOT(ISBLANK(SamplingData[[#This Row],[Losing Candidate]]))),(SamplingData[[#This Row],[Total]]+SamplingData[[#This Row],[Winning Candidate]]-SamplingData[[#This Row],[Losing Candidate]])/(SamplingData[[#Totals],[Winning Candidate]]-SamplingData[[#Totals],[Losing Candidate]]), 0)</f>
        <v>6.798138167564919E-3</v>
      </c>
      <c r="L1919" s="100">
        <f>IF(AND(SamplingData[[#This Row],[Total]]&lt;&gt; 0, NOT(ISBLANK(SamplingData[[#This Row],[Candidate 3]]))),(SamplingData[[#This Row],[Total]]+SamplingData[[#This Row],[Winning Candidate]]-SamplingData[[#This Row],[Candidate 3]])/(SamplingData[[#Totals],[Winning Candidate]]-SamplingData[[#Totals],[Candidate 3]]), 0)</f>
        <v>3.5809917088750524E-3</v>
      </c>
      <c r="M1919" s="100">
        <f>IF(AND(SamplingData[[#This Row],[Total]]&lt;&gt; 0, NOT(ISBLANK(SamplingData[[#This Row],[Candidate 4]]))),(SamplingData[[#This Row],[Total]]+SamplingData[[#This Row],[Winning Candidate]]-SamplingData[[#This Row],[Candidate 4]])/(SamplingData[[#Totals],[Winning Candidate]]-SamplingData[[#Totals],[Candidate 4]]), 0)</f>
        <v>3.2739922242684674E-3</v>
      </c>
      <c r="N1919" s="100">
        <f>IF(AND(SamplingData[[#This Row],[Total]]&lt;&gt; 0, NOT(ISBLANK(SamplingData[[#This Row],[Candidate 5]]))),(SamplingData[[#This Row],[Total]]+SamplingData[[#This Row],[Winning Candidate]]-SamplingData[[#This Row],[Candidate 5]])/(SamplingData[[#Totals],[Winning Candidate]]-SamplingData[[#Totals],[Candidate 5]]), 0)</f>
        <v>2.7973729019703233E-3</v>
      </c>
      <c r="O1919" s="100">
        <f>IF(AND(SamplingData[[#This Row],[Total]]&lt;&gt; 0, NOT(ISBLANK(SamplingData[[#This Row],[Candidate 6]]))),(SamplingData[[#This Row],[Total]]+SamplingData[[#This Row],[Winning Candidate]]-SamplingData[[#This Row],[Candidate 6]])/(SamplingData[[#Totals],[Winning Candidate]]-SamplingData[[#Totals],[Candidate 6]]), 0)</f>
        <v>2.8208744710860366E-3</v>
      </c>
      <c r="P1919" s="100">
        <f>MAX(SamplingData[[#This Row],[Error Bound (up) - Max. possible relative overstatement - Losing Candidate]:[Error Bound (up) - Max. possible relative overstatement - Candidate 6]])</f>
        <v>6.798138167564919E-3</v>
      </c>
      <c r="Q1919" s="100">
        <f>IF(SamplingData[[#This Row],[Max Error Bound (up)]] = 0,0,SamplingData[[#This Row],[Max Error Bound (up)]]/SamplingData[[#Totals],[Max Error Bound (up)]])</f>
        <v>1.0759172589074873E-3</v>
      </c>
      <c r="R1919" s="101">
        <f>SUM($Q$5:Q1919)</f>
        <v>0.78432663108285239</v>
      </c>
      <c r="S1919" s="100" t="str">
        <f t="array" ref="S1919">IF(SamplingData[[#This Row],[up/U Selection Probability]] = 0, "Zero", TEXT(SamplingData[[#This Row],[Lower Range]], REPT("0",LEN('General Info'!$B$40))) &amp; " - " &amp; TEXT(SamplingData[[#This Row],[Upper Range]], REPT("0",LEN('General Info'!$B$40))))</f>
        <v>78325 - 78432</v>
      </c>
      <c r="T1919" s="100">
        <f>SamplingData[[#This Row],[Upper Range]]-SamplingData[[#This Row],[Span]]</f>
        <v>78325.072458311755</v>
      </c>
      <c r="U1919" s="100">
        <f>IF(ISNUMBER('General Info'!$B$40), ((SamplingData[[#This Row],[up/U Selection Probability]]) * 'General Info'!$B$40) - 1, 0)</f>
        <v>106.59064997348982</v>
      </c>
      <c r="V1919" s="100">
        <f>IF(ISNUMBER('General Info'!$B$40), (SamplingData[[#This Row],[Running (cumulative) sum]] * ('General Info'!$B$40 -'General Info'!$B$41 + 1)) + 'General Info'!$B$41 - 1, 0)</f>
        <v>78431.66310828524</v>
      </c>
      <c r="W1919" s="100" t="str">
        <f>IF(ISERROR(MATCH(SamplingData[[#This Row],[Batch by Type (p)]],SelectedPrecincts[Batch Name], 0)), "", INDEX(SelectedPrecincts[Draw], MATCH(SamplingData[[#This Row],[Batch by Type (p)]],SelectedPrecincts[Batch Name], 0)))</f>
        <v/>
      </c>
      <c r="X1919" s="102">
        <f>IF(COUNTIF(SelectedPrecincts[Batch Name],SamplingData[[#This Row],[Batch by Type (p)]]) &lt;&gt; 0, COUNTIF(SelectedPrecincts[Batch Name],SamplingData[[#This Row],[Batch by Type (p)]]), 0)</f>
        <v>0</v>
      </c>
    </row>
    <row r="1920" spans="1:24" ht="15" customHeight="1">
      <c r="A1920" s="18" t="s">
        <v>2096</v>
      </c>
      <c r="B1920" s="18">
        <v>7</v>
      </c>
      <c r="C1920" s="18">
        <v>34</v>
      </c>
      <c r="D1920" s="18">
        <v>5</v>
      </c>
      <c r="E1920" s="18">
        <v>2</v>
      </c>
      <c r="F1920" s="18">
        <v>0</v>
      </c>
      <c r="G1920" s="18">
        <v>0</v>
      </c>
      <c r="H1920" s="18">
        <v>0</v>
      </c>
      <c r="I1920" s="18">
        <v>0</v>
      </c>
      <c r="J1920" s="99">
        <f>SUM(SamplingData[[#This Row],[Losing Candidate]:[Under Votes]])</f>
        <v>48</v>
      </c>
      <c r="K1920" s="100">
        <f>IF(AND(SamplingData[[#This Row],[Total]]&lt;&gt; 0, NOT(ISBLANK(SamplingData[[#This Row],[Losing Candidate]]))),(SamplingData[[#This Row],[Total]]+SamplingData[[#This Row],[Winning Candidate]]-SamplingData[[#This Row],[Losing Candidate]])/(SamplingData[[#Totals],[Winning Candidate]]-SamplingData[[#Totals],[Losing Candidate]]), 0)</f>
        <v>4.5933365997060261E-3</v>
      </c>
      <c r="L1920" s="100">
        <f>IF(AND(SamplingData[[#This Row],[Total]]&lt;&gt; 0, NOT(ISBLANK(SamplingData[[#This Row],[Candidate 3]]))),(SamplingData[[#This Row],[Total]]+SamplingData[[#This Row],[Winning Candidate]]-SamplingData[[#This Row],[Candidate 3]])/(SamplingData[[#Totals],[Winning Candidate]]-SamplingData[[#Totals],[Candidate 3]]), 0)</f>
        <v>2.4841113656160273E-3</v>
      </c>
      <c r="M1920" s="100">
        <f>IF(AND(SamplingData[[#This Row],[Total]]&lt;&gt; 0, NOT(ISBLANK(SamplingData[[#This Row],[Candidate 4]]))),(SamplingData[[#This Row],[Total]]+SamplingData[[#This Row],[Winning Candidate]]-SamplingData[[#This Row],[Candidate 4]])/(SamplingData[[#Totals],[Winning Candidate]]-SamplingData[[#Totals],[Candidate 4]]), 0)</f>
        <v>2.3385658744774769E-3</v>
      </c>
      <c r="N1920" s="100">
        <f>IF(AND(SamplingData[[#This Row],[Total]]&lt;&gt; 0, NOT(ISBLANK(SamplingData[[#This Row],[Candidate 5]]))),(SamplingData[[#This Row],[Total]]+SamplingData[[#This Row],[Winning Candidate]]-SamplingData[[#This Row],[Candidate 5]])/(SamplingData[[#Totals],[Winning Candidate]]-SamplingData[[#Totals],[Candidate 5]]), 0)</f>
        <v>1.994648504013622E-3</v>
      </c>
      <c r="O1920" s="100">
        <f>IF(AND(SamplingData[[#This Row],[Total]]&lt;&gt; 0, NOT(ISBLANK(SamplingData[[#This Row],[Candidate 6]]))),(SamplingData[[#This Row],[Total]]+SamplingData[[#This Row],[Winning Candidate]]-SamplingData[[#This Row],[Candidate 6]])/(SamplingData[[#Totals],[Winning Candidate]]-SamplingData[[#Totals],[Candidate 6]]), 0)</f>
        <v>1.9940664364573707E-3</v>
      </c>
      <c r="P1920" s="100">
        <f>MAX(SamplingData[[#This Row],[Error Bound (up) - Max. possible relative overstatement - Losing Candidate]:[Error Bound (up) - Max. possible relative overstatement - Candidate 6]])</f>
        <v>4.5933365997060261E-3</v>
      </c>
      <c r="Q1920" s="100">
        <f>IF(SamplingData[[#This Row],[Max Error Bound (up)]] = 0,0,SamplingData[[#This Row],[Max Error Bound (up)]]/SamplingData[[#Totals],[Max Error Bound (up)]])</f>
        <v>7.2697112088343735E-4</v>
      </c>
      <c r="R1920" s="101">
        <f>SUM($Q$5:Q1920)</f>
        <v>0.78505360220373588</v>
      </c>
      <c r="S1920" s="100" t="str">
        <f t="array" ref="S1920">IF(SamplingData[[#This Row],[up/U Selection Probability]] = 0, "Zero", TEXT(SamplingData[[#This Row],[Lower Range]], REPT("0",LEN('General Info'!$B$40))) &amp; " - " &amp; TEXT(SamplingData[[#This Row],[Upper Range]], REPT("0",LEN('General Info'!$B$40))))</f>
        <v>78433 - 78504</v>
      </c>
      <c r="T1920" s="100">
        <f>SamplingData[[#This Row],[Upper Range]]-SamplingData[[#This Row],[Span]]</f>
        <v>78432.663835256375</v>
      </c>
      <c r="U1920" s="100">
        <f>IF(ISNUMBER('General Info'!$B$40), ((SamplingData[[#This Row],[up/U Selection Probability]]) * 'General Info'!$B$40) - 1, 0)</f>
        <v>71.696385117222846</v>
      </c>
      <c r="V1920" s="100">
        <f>IF(ISNUMBER('General Info'!$B$40), (SamplingData[[#This Row],[Running (cumulative) sum]] * ('General Info'!$B$40 -'General Info'!$B$41 + 1)) + 'General Info'!$B$41 - 1, 0)</f>
        <v>78504.360220373594</v>
      </c>
      <c r="W1920" s="100" t="str">
        <f>IF(ISERROR(MATCH(SamplingData[[#This Row],[Batch by Type (p)]],SelectedPrecincts[Batch Name], 0)), "", INDEX(SelectedPrecincts[Draw], MATCH(SamplingData[[#This Row],[Batch by Type (p)]],SelectedPrecincts[Batch Name], 0)))</f>
        <v/>
      </c>
      <c r="X1920" s="102">
        <f>IF(COUNTIF(SelectedPrecincts[Batch Name],SamplingData[[#This Row],[Batch by Type (p)]]) &lt;&gt; 0, COUNTIF(SelectedPrecincts[Batch Name],SamplingData[[#This Row],[Batch by Type (p)]]), 0)</f>
        <v>0</v>
      </c>
    </row>
    <row r="1921" spans="1:24" ht="15" customHeight="1">
      <c r="A1921" s="18" t="s">
        <v>2097</v>
      </c>
      <c r="B1921" s="18">
        <v>10</v>
      </c>
      <c r="C1921" s="18">
        <v>57</v>
      </c>
      <c r="D1921" s="16">
        <v>8</v>
      </c>
      <c r="E1921" s="16">
        <v>5</v>
      </c>
      <c r="F1921" s="37">
        <v>0</v>
      </c>
      <c r="G1921" s="37">
        <v>0</v>
      </c>
      <c r="H1921" s="17">
        <v>0</v>
      </c>
      <c r="I1921" s="17">
        <v>1</v>
      </c>
      <c r="J1921" s="99">
        <f>SUM(SamplingData[[#This Row],[Losing Candidate]:[Under Votes]])</f>
        <v>81</v>
      </c>
      <c r="K1921" s="100">
        <f>IF(AND(SamplingData[[#This Row],[Total]]&lt;&gt; 0, NOT(ISBLANK(SamplingData[[#This Row],[Losing Candidate]]))),(SamplingData[[#This Row],[Total]]+SamplingData[[#This Row],[Winning Candidate]]-SamplingData[[#This Row],[Losing Candidate]])/(SamplingData[[#Totals],[Winning Candidate]]-SamplingData[[#Totals],[Losing Candidate]]), 0)</f>
        <v>7.839294463498285E-3</v>
      </c>
      <c r="L1921" s="100">
        <f>IF(AND(SamplingData[[#This Row],[Total]]&lt;&gt; 0, NOT(ISBLANK(SamplingData[[#This Row],[Candidate 3]]))),(SamplingData[[#This Row],[Total]]+SamplingData[[#This Row],[Winning Candidate]]-SamplingData[[#This Row],[Candidate 3]])/(SamplingData[[#Totals],[Winning Candidate]]-SamplingData[[#Totals],[Candidate 3]]), 0)</f>
        <v>4.1939542536374485E-3</v>
      </c>
      <c r="M1921" s="100">
        <f>IF(AND(SamplingData[[#This Row],[Total]]&lt;&gt; 0, NOT(ISBLANK(SamplingData[[#This Row],[Candidate 4]]))),(SamplingData[[#This Row],[Total]]+SamplingData[[#This Row],[Winning Candidate]]-SamplingData[[#This Row],[Candidate 4]])/(SamplingData[[#Totals],[Winning Candidate]]-SamplingData[[#Totals],[Candidate 4]]), 0)</f>
        <v>3.8878657663188052E-3</v>
      </c>
      <c r="N1921" s="100">
        <f>IF(AND(SamplingData[[#This Row],[Total]]&lt;&gt; 0, NOT(ISBLANK(SamplingData[[#This Row],[Candidate 5]]))),(SamplingData[[#This Row],[Total]]+SamplingData[[#This Row],[Winning Candidate]]-SamplingData[[#This Row],[Candidate 5]])/(SamplingData[[#Totals],[Winning Candidate]]-SamplingData[[#Totals],[Candidate 5]]), 0)</f>
        <v>3.3568474823643881E-3</v>
      </c>
      <c r="O1921" s="100">
        <f>IF(AND(SamplingData[[#This Row],[Total]]&lt;&gt; 0, NOT(ISBLANK(SamplingData[[#This Row],[Candidate 6]]))),(SamplingData[[#This Row],[Total]]+SamplingData[[#This Row],[Winning Candidate]]-SamplingData[[#This Row],[Candidate 6]])/(SamplingData[[#Totals],[Winning Candidate]]-SamplingData[[#Totals],[Candidate 6]]), 0)</f>
        <v>3.3558679052575263E-3</v>
      </c>
      <c r="P1921" s="100">
        <f>MAX(SamplingData[[#This Row],[Error Bound (up) - Max. possible relative overstatement - Losing Candidate]:[Error Bound (up) - Max. possible relative overstatement - Candidate 6]])</f>
        <v>7.839294463498285E-3</v>
      </c>
      <c r="Q1921" s="100">
        <f>IF(SamplingData[[#This Row],[Max Error Bound (up)]] = 0,0,SamplingData[[#This Row],[Max Error Bound (up)]]/SamplingData[[#Totals],[Max Error Bound (up)]])</f>
        <v>1.2406973796410664E-3</v>
      </c>
      <c r="R1921" s="101">
        <f>SUM($Q$5:Q1921)</f>
        <v>0.78629429958337693</v>
      </c>
      <c r="S1921" s="100" t="str">
        <f t="array" ref="S1921">IF(SamplingData[[#This Row],[up/U Selection Probability]] = 0, "Zero", TEXT(SamplingData[[#This Row],[Lower Range]], REPT("0",LEN('General Info'!$B$40))) &amp; " - " &amp; TEXT(SamplingData[[#This Row],[Upper Range]], REPT("0",LEN('General Info'!$B$40))))</f>
        <v>78505 - 78628</v>
      </c>
      <c r="T1921" s="100">
        <f>SamplingData[[#This Row],[Upper Range]]-SamplingData[[#This Row],[Span]]</f>
        <v>78505.361461070977</v>
      </c>
      <c r="U1921" s="100">
        <f>IF(ISNUMBER('General Info'!$B$40), ((SamplingData[[#This Row],[up/U Selection Probability]]) * 'General Info'!$B$40) - 1, 0)</f>
        <v>123.06849726672701</v>
      </c>
      <c r="V1921" s="100">
        <f>IF(ISNUMBER('General Info'!$B$40), (SamplingData[[#This Row],[Running (cumulative) sum]] * ('General Info'!$B$40 -'General Info'!$B$41 + 1)) + 'General Info'!$B$41 - 1, 0)</f>
        <v>78628.4299583377</v>
      </c>
      <c r="W1921" s="100" t="str">
        <f>IF(ISERROR(MATCH(SamplingData[[#This Row],[Batch by Type (p)]],SelectedPrecincts[Batch Name], 0)), "", INDEX(SelectedPrecincts[Draw], MATCH(SamplingData[[#This Row],[Batch by Type (p)]],SelectedPrecincts[Batch Name], 0)))</f>
        <v/>
      </c>
      <c r="X1921" s="102">
        <f>IF(COUNTIF(SelectedPrecincts[Batch Name],SamplingData[[#This Row],[Batch by Type (p)]]) &lt;&gt; 0, COUNTIF(SelectedPrecincts[Batch Name],SamplingData[[#This Row],[Batch by Type (p)]]), 0)</f>
        <v>0</v>
      </c>
    </row>
    <row r="1922" spans="1:24" ht="15" customHeight="1">
      <c r="A1922" s="18" t="s">
        <v>2098</v>
      </c>
      <c r="B1922" s="18">
        <v>5</v>
      </c>
      <c r="C1922" s="18">
        <v>21</v>
      </c>
      <c r="D1922" s="18">
        <v>2</v>
      </c>
      <c r="E1922" s="18">
        <v>3</v>
      </c>
      <c r="F1922" s="18">
        <v>0</v>
      </c>
      <c r="G1922" s="18">
        <v>0</v>
      </c>
      <c r="H1922" s="18">
        <v>0</v>
      </c>
      <c r="I1922" s="18">
        <v>2</v>
      </c>
      <c r="J1922" s="99">
        <f>SUM(SamplingData[[#This Row],[Losing Candidate]:[Under Votes]])</f>
        <v>33</v>
      </c>
      <c r="K1922"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1922" s="100">
        <f>IF(AND(SamplingData[[#This Row],[Total]]&lt;&gt; 0, NOT(ISBLANK(SamplingData[[#This Row],[Candidate 3]]))),(SamplingData[[#This Row],[Total]]+SamplingData[[#This Row],[Winning Candidate]]-SamplingData[[#This Row],[Candidate 3]])/(SamplingData[[#Totals],[Winning Candidate]]-SamplingData[[#Totals],[Candidate 3]]), 0)</f>
        <v>1.6775817014549794E-3</v>
      </c>
      <c r="M1922" s="100">
        <f>IF(AND(SamplingData[[#This Row],[Total]]&lt;&gt; 0, NOT(ISBLANK(SamplingData[[#This Row],[Candidate 4]]))),(SamplingData[[#This Row],[Total]]+SamplingData[[#This Row],[Winning Candidate]]-SamplingData[[#This Row],[Candidate 4]])/(SamplingData[[#Totals],[Winning Candidate]]-SamplingData[[#Totals],[Candidate 4]]), 0)</f>
        <v>1.4908357449793914E-3</v>
      </c>
      <c r="N1922" s="100">
        <f>IF(AND(SamplingData[[#This Row],[Total]]&lt;&gt; 0, NOT(ISBLANK(SamplingData[[#This Row],[Candidate 5]]))),(SamplingData[[#This Row],[Total]]+SamplingData[[#This Row],[Winning Candidate]]-SamplingData[[#This Row],[Candidate 5]])/(SamplingData[[#Totals],[Winning Candidate]]-SamplingData[[#Totals],[Candidate 5]]), 0)</f>
        <v>1.3135490148382389E-3</v>
      </c>
      <c r="O1922" s="100">
        <f>IF(AND(SamplingData[[#This Row],[Total]]&lt;&gt; 0, NOT(ISBLANK(SamplingData[[#This Row],[Candidate 6]]))),(SamplingData[[#This Row],[Total]]+SamplingData[[#This Row],[Winning Candidate]]-SamplingData[[#This Row],[Candidate 6]])/(SamplingData[[#Totals],[Winning Candidate]]-SamplingData[[#Totals],[Candidate 6]]), 0)</f>
        <v>1.313165702057293E-3</v>
      </c>
      <c r="P1922" s="100">
        <f>MAX(SamplingData[[#This Row],[Error Bound (up) - Max. possible relative overstatement - Losing Candidate]:[Error Bound (up) - Max. possible relative overstatement - Candidate 6]])</f>
        <v>3.0009799118079373E-3</v>
      </c>
      <c r="Q1922" s="100">
        <f>IF(SamplingData[[#This Row],[Max Error Bound (up)]] = 0,0,SamplingData[[#This Row],[Max Error Bound (up)]]/SamplingData[[#Totals],[Max Error Bound (up)]])</f>
        <v>4.7495446564384573E-4</v>
      </c>
      <c r="R1922" s="101">
        <f>SUM($Q$5:Q1922)</f>
        <v>0.78676925404902076</v>
      </c>
      <c r="S1922" s="100" t="str">
        <f t="array" ref="S1922">IF(SamplingData[[#This Row],[up/U Selection Probability]] = 0, "Zero", TEXT(SamplingData[[#This Row],[Lower Range]], REPT("0",LEN('General Info'!$B$40))) &amp; " - " &amp; TEXT(SamplingData[[#This Row],[Upper Range]], REPT("0",LEN('General Info'!$B$40))))</f>
        <v>78629 - 78676</v>
      </c>
      <c r="T1922" s="100">
        <f>SamplingData[[#This Row],[Upper Range]]-SamplingData[[#This Row],[Span]]</f>
        <v>78629.43043329216</v>
      </c>
      <c r="U1922" s="100">
        <f>IF(ISNUMBER('General Info'!$B$40), ((SamplingData[[#This Row],[up/U Selection Probability]]) * 'General Info'!$B$40) - 1, 0)</f>
        <v>46.494971609918927</v>
      </c>
      <c r="V1922" s="100">
        <f>IF(ISNUMBER('General Info'!$B$40), (SamplingData[[#This Row],[Running (cumulative) sum]] * ('General Info'!$B$40 -'General Info'!$B$41 + 1)) + 'General Info'!$B$41 - 1, 0)</f>
        <v>78675.925404902082</v>
      </c>
      <c r="W1922" s="100" t="str">
        <f>IF(ISERROR(MATCH(SamplingData[[#This Row],[Batch by Type (p)]],SelectedPrecincts[Batch Name], 0)), "", INDEX(SelectedPrecincts[Draw], MATCH(SamplingData[[#This Row],[Batch by Type (p)]],SelectedPrecincts[Batch Name], 0)))</f>
        <v/>
      </c>
      <c r="X1922" s="102">
        <f>IF(COUNTIF(SelectedPrecincts[Batch Name],SamplingData[[#This Row],[Batch by Type (p)]]) &lt;&gt; 0, COUNTIF(SelectedPrecincts[Batch Name],SamplingData[[#This Row],[Batch by Type (p)]]), 0)</f>
        <v>0</v>
      </c>
    </row>
    <row r="1923" spans="1:24" ht="15" customHeight="1">
      <c r="A1923" s="18" t="s">
        <v>2099</v>
      </c>
      <c r="B1923" s="18">
        <v>26</v>
      </c>
      <c r="C1923" s="18">
        <v>98</v>
      </c>
      <c r="D1923" s="16">
        <v>13</v>
      </c>
      <c r="E1923" s="16">
        <v>4</v>
      </c>
      <c r="F1923" s="37">
        <v>1</v>
      </c>
      <c r="G1923" s="37">
        <v>1</v>
      </c>
      <c r="H1923" s="17">
        <v>0</v>
      </c>
      <c r="I1923" s="17">
        <v>1</v>
      </c>
      <c r="J1923" s="99">
        <f>SUM(SamplingData[[#This Row],[Losing Candidate]:[Under Votes]])</f>
        <v>144</v>
      </c>
      <c r="K1923" s="100">
        <f>IF(AND(SamplingData[[#This Row],[Total]]&lt;&gt; 0, NOT(ISBLANK(SamplingData[[#This Row],[Losing Candidate]]))),(SamplingData[[#This Row],[Total]]+SamplingData[[#This Row],[Winning Candidate]]-SamplingData[[#This Row],[Losing Candidate]])/(SamplingData[[#Totals],[Winning Candidate]]-SamplingData[[#Totals],[Losing Candidate]]), 0)</f>
        <v>1.3228809407153356E-2</v>
      </c>
      <c r="L1923" s="100">
        <f>IF(AND(SamplingData[[#This Row],[Total]]&lt;&gt; 0, NOT(ISBLANK(SamplingData[[#This Row],[Candidate 3]]))),(SamplingData[[#This Row],[Total]]+SamplingData[[#This Row],[Winning Candidate]]-SamplingData[[#This Row],[Candidate 3]])/(SamplingData[[#Totals],[Winning Candidate]]-SamplingData[[#Totals],[Candidate 3]]), 0)</f>
        <v>7.3878117237151982E-3</v>
      </c>
      <c r="M1923" s="100">
        <f>IF(AND(SamplingData[[#This Row],[Total]]&lt;&gt; 0, NOT(ISBLANK(SamplingData[[#This Row],[Candidate 4]]))),(SamplingData[[#This Row],[Total]]+SamplingData[[#This Row],[Winning Candidate]]-SamplingData[[#This Row],[Candidate 4]])/(SamplingData[[#Totals],[Winning Candidate]]-SamplingData[[#Totals],[Candidate 4]]), 0)</f>
        <v>6.9572334765704933E-3</v>
      </c>
      <c r="N1923" s="100">
        <f>IF(AND(SamplingData[[#This Row],[Total]]&lt;&gt; 0, NOT(ISBLANK(SamplingData[[#This Row],[Candidate 5]]))),(SamplingData[[#This Row],[Total]]+SamplingData[[#This Row],[Winning Candidate]]-SamplingData[[#This Row],[Candidate 5]])/(SamplingData[[#Totals],[Winning Candidate]]-SamplingData[[#Totals],[Candidate 5]]), 0)</f>
        <v>5.8623206032595472E-3</v>
      </c>
      <c r="O1923" s="100">
        <f>IF(AND(SamplingData[[#This Row],[Total]]&lt;&gt; 0, NOT(ISBLANK(SamplingData[[#This Row],[Candidate 6]]))),(SamplingData[[#This Row],[Total]]+SamplingData[[#This Row],[Winning Candidate]]-SamplingData[[#This Row],[Candidate 6]])/(SamplingData[[#Totals],[Winning Candidate]]-SamplingData[[#Totals],[Candidate 6]]), 0)</f>
        <v>5.8606098925149553E-3</v>
      </c>
      <c r="P1923" s="100">
        <f>MAX(SamplingData[[#This Row],[Error Bound (up) - Max. possible relative overstatement - Losing Candidate]:[Error Bound (up) - Max. possible relative overstatement - Candidate 6]])</f>
        <v>1.3228809407153356E-2</v>
      </c>
      <c r="Q1923" s="100">
        <f>IF(SamplingData[[#This Row],[Max Error Bound (up)]] = 0,0,SamplingData[[#This Row],[Max Error Bound (up)]]/SamplingData[[#Totals],[Max Error Bound (up)]])</f>
        <v>2.0936768281442997E-3</v>
      </c>
      <c r="R1923" s="101">
        <f>SUM($Q$5:Q1923)</f>
        <v>0.78886293087716508</v>
      </c>
      <c r="S1923" s="100" t="str">
        <f t="array" ref="S1923">IF(SamplingData[[#This Row],[up/U Selection Probability]] = 0, "Zero", TEXT(SamplingData[[#This Row],[Lower Range]], REPT("0",LEN('General Info'!$B$40))) &amp; " - " &amp; TEXT(SamplingData[[#This Row],[Upper Range]], REPT("0",LEN('General Info'!$B$40))))</f>
        <v>78677 - 78885</v>
      </c>
      <c r="T1923" s="100">
        <f>SamplingData[[#This Row],[Upper Range]]-SamplingData[[#This Row],[Span]]</f>
        <v>78676.927498578909</v>
      </c>
      <c r="U1923" s="100">
        <f>IF(ISNUMBER('General Info'!$B$40), ((SamplingData[[#This Row],[up/U Selection Probability]]) * 'General Info'!$B$40) - 1, 0)</f>
        <v>208.36558913760183</v>
      </c>
      <c r="V1923" s="100">
        <f>IF(ISNUMBER('General Info'!$B$40), (SamplingData[[#This Row],[Running (cumulative) sum]] * ('General Info'!$B$40 -'General Info'!$B$41 + 1)) + 'General Info'!$B$41 - 1, 0)</f>
        <v>78885.293087716505</v>
      </c>
      <c r="W1923" s="100" t="str">
        <f>IF(ISERROR(MATCH(SamplingData[[#This Row],[Batch by Type (p)]],SelectedPrecincts[Batch Name], 0)), "", INDEX(SelectedPrecincts[Draw], MATCH(SamplingData[[#This Row],[Batch by Type (p)]],SelectedPrecincts[Batch Name], 0)))</f>
        <v/>
      </c>
      <c r="X1923" s="102">
        <f>IF(COUNTIF(SelectedPrecincts[Batch Name],SamplingData[[#This Row],[Batch by Type (p)]]) &lt;&gt; 0, COUNTIF(SelectedPrecincts[Batch Name],SamplingData[[#This Row],[Batch by Type (p)]]), 0)</f>
        <v>0</v>
      </c>
    </row>
    <row r="1924" spans="1:24" ht="15" customHeight="1">
      <c r="A1924" s="18" t="s">
        <v>2100</v>
      </c>
      <c r="B1924" s="18">
        <v>15</v>
      </c>
      <c r="C1924" s="18">
        <v>26</v>
      </c>
      <c r="D1924" s="18">
        <v>12</v>
      </c>
      <c r="E1924" s="18">
        <v>5</v>
      </c>
      <c r="F1924" s="18">
        <v>0</v>
      </c>
      <c r="G1924" s="18">
        <v>0</v>
      </c>
      <c r="H1924" s="18">
        <v>0</v>
      </c>
      <c r="I1924" s="18">
        <v>0</v>
      </c>
      <c r="J1924" s="99">
        <f>SUM(SamplingData[[#This Row],[Losing Candidate]:[Under Votes]])</f>
        <v>58</v>
      </c>
      <c r="K1924" s="100">
        <f>IF(AND(SamplingData[[#This Row],[Total]]&lt;&gt; 0, NOT(ISBLANK(SamplingData[[#This Row],[Losing Candidate]]))),(SamplingData[[#This Row],[Total]]+SamplingData[[#This Row],[Winning Candidate]]-SamplingData[[#This Row],[Losing Candidate]])/(SamplingData[[#Totals],[Winning Candidate]]-SamplingData[[#Totals],[Losing Candidate]]), 0)</f>
        <v>4.2258696717295445E-3</v>
      </c>
      <c r="L1924" s="100">
        <f>IF(AND(SamplingData[[#This Row],[Total]]&lt;&gt; 0, NOT(ISBLANK(SamplingData[[#This Row],[Candidate 3]]))),(SamplingData[[#This Row],[Total]]+SamplingData[[#This Row],[Winning Candidate]]-SamplingData[[#This Row],[Candidate 3]])/(SamplingData[[#Totals],[Winning Candidate]]-SamplingData[[#Totals],[Candidate 3]]), 0)</f>
        <v>2.3228054327838177E-3</v>
      </c>
      <c r="M1924" s="100">
        <f>IF(AND(SamplingData[[#This Row],[Total]]&lt;&gt; 0, NOT(ISBLANK(SamplingData[[#This Row],[Candidate 4]]))),(SamplingData[[#This Row],[Total]]+SamplingData[[#This Row],[Winning Candidate]]-SamplingData[[#This Row],[Candidate 4]])/(SamplingData[[#Totals],[Winning Candidate]]-SamplingData[[#Totals],[Candidate 4]]), 0)</f>
        <v>2.3093338010465084E-3</v>
      </c>
      <c r="N1924" s="100">
        <f>IF(AND(SamplingData[[#This Row],[Total]]&lt;&gt; 0, NOT(ISBLANK(SamplingData[[#This Row],[Candidate 5]]))),(SamplingData[[#This Row],[Total]]+SamplingData[[#This Row],[Winning Candidate]]-SamplingData[[#This Row],[Candidate 5]])/(SamplingData[[#Totals],[Winning Candidate]]-SamplingData[[#Totals],[Candidate 5]]), 0)</f>
        <v>2.0432984675261496E-3</v>
      </c>
      <c r="O1924" s="100">
        <f>IF(AND(SamplingData[[#This Row],[Total]]&lt;&gt; 0, NOT(ISBLANK(SamplingData[[#This Row],[Candidate 6]]))),(SamplingData[[#This Row],[Total]]+SamplingData[[#This Row],[Winning Candidate]]-SamplingData[[#This Row],[Candidate 6]])/(SamplingData[[#Totals],[Winning Candidate]]-SamplingData[[#Totals],[Candidate 6]]), 0)</f>
        <v>2.0427022032002335E-3</v>
      </c>
      <c r="P1924" s="100">
        <f>MAX(SamplingData[[#This Row],[Error Bound (up) - Max. possible relative overstatement - Losing Candidate]:[Error Bound (up) - Max. possible relative overstatement - Candidate 6]])</f>
        <v>4.2258696717295445E-3</v>
      </c>
      <c r="Q1924" s="100">
        <f>IF(SamplingData[[#This Row],[Max Error Bound (up)]] = 0,0,SamplingData[[#This Row],[Max Error Bound (up)]]/SamplingData[[#Totals],[Max Error Bound (up)]])</f>
        <v>6.6881343121276242E-4</v>
      </c>
      <c r="R1924" s="101">
        <f>SUM($Q$5:Q1924)</f>
        <v>0.7895317443083778</v>
      </c>
      <c r="S1924" s="100" t="str">
        <f t="array" ref="S1924">IF(SamplingData[[#This Row],[up/U Selection Probability]] = 0, "Zero", TEXT(SamplingData[[#This Row],[Lower Range]], REPT("0",LEN('General Info'!$B$40))) &amp; " - " &amp; TEXT(SamplingData[[#This Row],[Upper Range]], REPT("0",LEN('General Info'!$B$40))))</f>
        <v>78886 - 78952</v>
      </c>
      <c r="T1924" s="100">
        <f>SamplingData[[#This Row],[Upper Range]]-SamplingData[[#This Row],[Span]]</f>
        <v>78886.293756529936</v>
      </c>
      <c r="U1924" s="100">
        <f>IF(ISNUMBER('General Info'!$B$40), ((SamplingData[[#This Row],[up/U Selection Probability]]) * 'General Info'!$B$40) - 1, 0)</f>
        <v>65.880674307845027</v>
      </c>
      <c r="V1924" s="100">
        <f>IF(ISNUMBER('General Info'!$B$40), (SamplingData[[#This Row],[Running (cumulative) sum]] * ('General Info'!$B$40 -'General Info'!$B$41 + 1)) + 'General Info'!$B$41 - 1, 0)</f>
        <v>78952.174430837782</v>
      </c>
      <c r="W1924" s="100" t="str">
        <f>IF(ISERROR(MATCH(SamplingData[[#This Row],[Batch by Type (p)]],SelectedPrecincts[Batch Name], 0)), "", INDEX(SelectedPrecincts[Draw], MATCH(SamplingData[[#This Row],[Batch by Type (p)]],SelectedPrecincts[Batch Name], 0)))</f>
        <v/>
      </c>
      <c r="X1924" s="102">
        <f>IF(COUNTIF(SelectedPrecincts[Batch Name],SamplingData[[#This Row],[Batch by Type (p)]]) &lt;&gt; 0, COUNTIF(SelectedPrecincts[Batch Name],SamplingData[[#This Row],[Batch by Type (p)]]), 0)</f>
        <v>0</v>
      </c>
    </row>
    <row r="1925" spans="1:24" ht="15" customHeight="1">
      <c r="A1925" s="18" t="s">
        <v>2101</v>
      </c>
      <c r="B1925" s="18">
        <v>22</v>
      </c>
      <c r="C1925" s="18">
        <v>79</v>
      </c>
      <c r="D1925" s="16">
        <v>11</v>
      </c>
      <c r="E1925" s="16">
        <v>11</v>
      </c>
      <c r="F1925" s="37">
        <v>0</v>
      </c>
      <c r="G1925" s="37">
        <v>0</v>
      </c>
      <c r="H1925" s="17">
        <v>0</v>
      </c>
      <c r="I1925" s="17">
        <v>1</v>
      </c>
      <c r="J1925" s="99">
        <f>SUM(SamplingData[[#This Row],[Losing Candidate]:[Under Votes]])</f>
        <v>124</v>
      </c>
      <c r="K1925" s="100">
        <f>IF(AND(SamplingData[[#This Row],[Total]]&lt;&gt; 0, NOT(ISBLANK(SamplingData[[#This Row],[Losing Candidate]]))),(SamplingData[[#This Row],[Total]]+SamplingData[[#This Row],[Winning Candidate]]-SamplingData[[#This Row],[Losing Candidate]])/(SamplingData[[#Totals],[Winning Candidate]]-SamplingData[[#Totals],[Losing Candidate]]), 0)</f>
        <v>1.1085252327290544E-2</v>
      </c>
      <c r="L1925" s="100">
        <f>IF(AND(SamplingData[[#This Row],[Total]]&lt;&gt; 0, NOT(ISBLANK(SamplingData[[#This Row],[Candidate 3]]))),(SamplingData[[#This Row],[Total]]+SamplingData[[#This Row],[Winning Candidate]]-SamplingData[[#This Row],[Candidate 3]])/(SamplingData[[#Totals],[Winning Candidate]]-SamplingData[[#Totals],[Candidate 3]]), 0)</f>
        <v>6.1941478207568476E-3</v>
      </c>
      <c r="M1925" s="100">
        <f>IF(AND(SamplingData[[#This Row],[Total]]&lt;&gt; 0, NOT(ISBLANK(SamplingData[[#This Row],[Candidate 4]]))),(SamplingData[[#This Row],[Total]]+SamplingData[[#This Row],[Winning Candidate]]-SamplingData[[#This Row],[Candidate 4]])/(SamplingData[[#Totals],[Winning Candidate]]-SamplingData[[#Totals],[Candidate 4]]), 0)</f>
        <v>5.6125580987459438E-3</v>
      </c>
      <c r="N1925" s="100">
        <f>IF(AND(SamplingData[[#This Row],[Total]]&lt;&gt; 0, NOT(ISBLANK(SamplingData[[#This Row],[Candidate 5]]))),(SamplingData[[#This Row],[Total]]+SamplingData[[#This Row],[Winning Candidate]]-SamplingData[[#This Row],[Candidate 5]])/(SamplingData[[#Totals],[Winning Candidate]]-SamplingData[[#Totals],[Candidate 5]]), 0)</f>
        <v>4.937971296521528E-3</v>
      </c>
      <c r="O1925" s="100">
        <f>IF(AND(SamplingData[[#This Row],[Total]]&lt;&gt; 0, NOT(ISBLANK(SamplingData[[#This Row],[Candidate 6]]))),(SamplingData[[#This Row],[Total]]+SamplingData[[#This Row],[Winning Candidate]]-SamplingData[[#This Row],[Candidate 6]])/(SamplingData[[#Totals],[Winning Candidate]]-SamplingData[[#Totals],[Candidate 6]]), 0)</f>
        <v>4.9365303244005643E-3</v>
      </c>
      <c r="P1925" s="100">
        <f>MAX(SamplingData[[#This Row],[Error Bound (up) - Max. possible relative overstatement - Losing Candidate]:[Error Bound (up) - Max. possible relative overstatement - Candidate 6]])</f>
        <v>1.1085252327290544E-2</v>
      </c>
      <c r="Q1925" s="100">
        <f>IF(SamplingData[[#This Row],[Max Error Bound (up)]] = 0,0,SamplingData[[#This Row],[Max Error Bound (up)]]/SamplingData[[#Totals],[Max Error Bound (up)]])</f>
        <v>1.7544236383986956E-3</v>
      </c>
      <c r="R1925" s="101">
        <f>SUM($Q$5:Q1925)</f>
        <v>0.79128616794677653</v>
      </c>
      <c r="S1925" s="100" t="str">
        <f t="array" ref="S1925">IF(SamplingData[[#This Row],[up/U Selection Probability]] = 0, "Zero", TEXT(SamplingData[[#This Row],[Lower Range]], REPT("0",LEN('General Info'!$B$40))) &amp; " - " &amp; TEXT(SamplingData[[#This Row],[Upper Range]], REPT("0",LEN('General Info'!$B$40))))</f>
        <v>78953 - 79128</v>
      </c>
      <c r="T1925" s="100">
        <f>SamplingData[[#This Row],[Upper Range]]-SamplingData[[#This Row],[Span]]</f>
        <v>78953.176185261429</v>
      </c>
      <c r="U1925" s="100">
        <f>IF(ISNUMBER('General Info'!$B$40), ((SamplingData[[#This Row],[up/U Selection Probability]]) * 'General Info'!$B$40) - 1, 0)</f>
        <v>174.44060941623115</v>
      </c>
      <c r="V1925" s="100">
        <f>IF(ISNUMBER('General Info'!$B$40), (SamplingData[[#This Row],[Running (cumulative) sum]] * ('General Info'!$B$40 -'General Info'!$B$41 + 1)) + 'General Info'!$B$41 - 1, 0)</f>
        <v>79127.616794677655</v>
      </c>
      <c r="W1925" s="100" t="str">
        <f>IF(ISERROR(MATCH(SamplingData[[#This Row],[Batch by Type (p)]],SelectedPrecincts[Batch Name], 0)), "", INDEX(SelectedPrecincts[Draw], MATCH(SamplingData[[#This Row],[Batch by Type (p)]],SelectedPrecincts[Batch Name], 0)))</f>
        <v/>
      </c>
      <c r="X1925" s="102">
        <f>IF(COUNTIF(SelectedPrecincts[Batch Name],SamplingData[[#This Row],[Batch by Type (p)]]) &lt;&gt; 0, COUNTIF(SelectedPrecincts[Batch Name],SamplingData[[#This Row],[Batch by Type (p)]]), 0)</f>
        <v>0</v>
      </c>
    </row>
    <row r="1926" spans="1:24" ht="15" customHeight="1">
      <c r="A1926" s="18" t="s">
        <v>2102</v>
      </c>
      <c r="B1926" s="18">
        <v>20</v>
      </c>
      <c r="C1926" s="18">
        <v>29</v>
      </c>
      <c r="D1926" s="18">
        <v>7</v>
      </c>
      <c r="E1926" s="18">
        <v>8</v>
      </c>
      <c r="F1926" s="18">
        <v>0</v>
      </c>
      <c r="G1926" s="18">
        <v>0</v>
      </c>
      <c r="H1926" s="18">
        <v>0</v>
      </c>
      <c r="I1926" s="18">
        <v>0</v>
      </c>
      <c r="J1926" s="99">
        <f>SUM(SamplingData[[#This Row],[Losing Candidate]:[Under Votes]])</f>
        <v>64</v>
      </c>
      <c r="K1926" s="100">
        <f>IF(AND(SamplingData[[#This Row],[Total]]&lt;&gt; 0, NOT(ISBLANK(SamplingData[[#This Row],[Losing Candidate]]))),(SamplingData[[#This Row],[Total]]+SamplingData[[#This Row],[Winning Candidate]]-SamplingData[[#This Row],[Losing Candidate]])/(SamplingData[[#Totals],[Winning Candidate]]-SamplingData[[#Totals],[Losing Candidate]]), 0)</f>
        <v>4.4708476237138662E-3</v>
      </c>
      <c r="L1926" s="100">
        <f>IF(AND(SamplingData[[#This Row],[Total]]&lt;&gt; 0, NOT(ISBLANK(SamplingData[[#This Row],[Candidate 3]]))),(SamplingData[[#This Row],[Total]]+SamplingData[[#This Row],[Winning Candidate]]-SamplingData[[#This Row],[Candidate 3]])/(SamplingData[[#Totals],[Winning Candidate]]-SamplingData[[#Totals],[Candidate 3]]), 0)</f>
        <v>2.7744620447140047E-3</v>
      </c>
      <c r="M1926" s="100">
        <f>IF(AND(SamplingData[[#This Row],[Total]]&lt;&gt; 0, NOT(ISBLANK(SamplingData[[#This Row],[Candidate 4]]))),(SamplingData[[#This Row],[Total]]+SamplingData[[#This Row],[Winning Candidate]]-SamplingData[[#This Row],[Candidate 4]])/(SamplingData[[#Totals],[Winning Candidate]]-SamplingData[[#Totals],[Candidate 4]]), 0)</f>
        <v>2.4847262416323188E-3</v>
      </c>
      <c r="N1926" s="100">
        <f>IF(AND(SamplingData[[#This Row],[Total]]&lt;&gt; 0, NOT(ISBLANK(SamplingData[[#This Row],[Candidate 5]]))),(SamplingData[[#This Row],[Total]]+SamplingData[[#This Row],[Winning Candidate]]-SamplingData[[#This Row],[Candidate 5]])/(SamplingData[[#Totals],[Winning Candidate]]-SamplingData[[#Totals],[Candidate 5]]), 0)</f>
        <v>2.2622233033325226E-3</v>
      </c>
      <c r="O1926" s="100">
        <f>IF(AND(SamplingData[[#This Row],[Total]]&lt;&gt; 0, NOT(ISBLANK(SamplingData[[#This Row],[Candidate 6]]))),(SamplingData[[#This Row],[Total]]+SamplingData[[#This Row],[Winning Candidate]]-SamplingData[[#This Row],[Candidate 6]])/(SamplingData[[#Totals],[Winning Candidate]]-SamplingData[[#Totals],[Candidate 6]]), 0)</f>
        <v>2.2615631535431156E-3</v>
      </c>
      <c r="P1926" s="100">
        <f>MAX(SamplingData[[#This Row],[Error Bound (up) - Max. possible relative overstatement - Losing Candidate]:[Error Bound (up) - Max. possible relative overstatement - Candidate 6]])</f>
        <v>4.4708476237138662E-3</v>
      </c>
      <c r="Q1926" s="100">
        <f>IF(SamplingData[[#This Row],[Max Error Bound (up)]] = 0,0,SamplingData[[#This Row],[Max Error Bound (up)]]/SamplingData[[#Totals],[Max Error Bound (up)]])</f>
        <v>7.0758522432654578E-4</v>
      </c>
      <c r="R1926" s="101">
        <f>SUM($Q$5:Q1926)</f>
        <v>0.7919937531711031</v>
      </c>
      <c r="S1926" s="100" t="str">
        <f t="array" ref="S1926">IF(SamplingData[[#This Row],[up/U Selection Probability]] = 0, "Zero", TEXT(SamplingData[[#This Row],[Lower Range]], REPT("0",LEN('General Info'!$B$40))) &amp; " - " &amp; TEXT(SamplingData[[#This Row],[Upper Range]], REPT("0",LEN('General Info'!$B$40))))</f>
        <v>79129 - 79198</v>
      </c>
      <c r="T1926" s="100">
        <f>SamplingData[[#This Row],[Upper Range]]-SamplingData[[#This Row],[Span]]</f>
        <v>79128.617502262889</v>
      </c>
      <c r="U1926" s="100">
        <f>IF(ISNUMBER('General Info'!$B$40), ((SamplingData[[#This Row],[up/U Selection Probability]]) * 'General Info'!$B$40) - 1, 0)</f>
        <v>69.757814847430254</v>
      </c>
      <c r="V1926" s="100">
        <f>IF(ISNUMBER('General Info'!$B$40), (SamplingData[[#This Row],[Running (cumulative) sum]] * ('General Info'!$B$40 -'General Info'!$B$41 + 1)) + 'General Info'!$B$41 - 1, 0)</f>
        <v>79198.375317110316</v>
      </c>
      <c r="W1926" s="100" t="str">
        <f>IF(ISERROR(MATCH(SamplingData[[#This Row],[Batch by Type (p)]],SelectedPrecincts[Batch Name], 0)), "", INDEX(SelectedPrecincts[Draw], MATCH(SamplingData[[#This Row],[Batch by Type (p)]],SelectedPrecincts[Batch Name], 0)))</f>
        <v/>
      </c>
      <c r="X1926" s="102">
        <f>IF(COUNTIF(SelectedPrecincts[Batch Name],SamplingData[[#This Row],[Batch by Type (p)]]) &lt;&gt; 0, COUNTIF(SelectedPrecincts[Batch Name],SamplingData[[#This Row],[Batch by Type (p)]]), 0)</f>
        <v>0</v>
      </c>
    </row>
    <row r="1927" spans="1:24" ht="15" customHeight="1">
      <c r="A1927" s="18" t="s">
        <v>2103</v>
      </c>
      <c r="B1927" s="18">
        <v>17</v>
      </c>
      <c r="C1927" s="18">
        <v>64</v>
      </c>
      <c r="D1927" s="16">
        <v>10</v>
      </c>
      <c r="E1927" s="16">
        <v>9</v>
      </c>
      <c r="F1927" s="37">
        <v>0</v>
      </c>
      <c r="G1927" s="37">
        <v>2</v>
      </c>
      <c r="H1927" s="17">
        <v>0</v>
      </c>
      <c r="I1927" s="17">
        <v>3</v>
      </c>
      <c r="J1927" s="99">
        <f>SUM(SamplingData[[#This Row],[Losing Candidate]:[Under Votes]])</f>
        <v>105</v>
      </c>
      <c r="K1927" s="100">
        <f>IF(AND(SamplingData[[#This Row],[Total]]&lt;&gt; 0, NOT(ISBLANK(SamplingData[[#This Row],[Losing Candidate]]))),(SamplingData[[#This Row],[Total]]+SamplingData[[#This Row],[Winning Candidate]]-SamplingData[[#This Row],[Losing Candidate]])/(SamplingData[[#Totals],[Winning Candidate]]-SamplingData[[#Totals],[Losing Candidate]]), 0)</f>
        <v>9.309162175404213E-3</v>
      </c>
      <c r="L1927" s="100">
        <f>IF(AND(SamplingData[[#This Row],[Total]]&lt;&gt; 0, NOT(ISBLANK(SamplingData[[#This Row],[Candidate 3]]))),(SamplingData[[#This Row],[Total]]+SamplingData[[#This Row],[Winning Candidate]]-SamplingData[[#This Row],[Candidate 3]])/(SamplingData[[#Totals],[Winning Candidate]]-SamplingData[[#Totals],[Candidate 3]]), 0)</f>
        <v>5.129528664064264E-3</v>
      </c>
      <c r="M1927" s="100">
        <f>IF(AND(SamplingData[[#This Row],[Total]]&lt;&gt; 0, NOT(ISBLANK(SamplingData[[#This Row],[Candidate 4]]))),(SamplingData[[#This Row],[Total]]+SamplingData[[#This Row],[Winning Candidate]]-SamplingData[[#This Row],[Candidate 4]])/(SamplingData[[#Totals],[Winning Candidate]]-SamplingData[[#Totals],[Candidate 4]]), 0)</f>
        <v>4.6771317489549538E-3</v>
      </c>
      <c r="N1927" s="100">
        <f>IF(AND(SamplingData[[#This Row],[Total]]&lt;&gt; 0, NOT(ISBLANK(SamplingData[[#This Row],[Candidate 5]]))),(SamplingData[[#This Row],[Total]]+SamplingData[[#This Row],[Winning Candidate]]-SamplingData[[#This Row],[Candidate 5]])/(SamplingData[[#Totals],[Winning Candidate]]-SamplingData[[#Totals],[Candidate 5]]), 0)</f>
        <v>4.1109219168085622E-3</v>
      </c>
      <c r="O1927" s="100">
        <f>IF(AND(SamplingData[[#This Row],[Total]]&lt;&gt; 0, NOT(ISBLANK(SamplingData[[#This Row],[Candidate 6]]))),(SamplingData[[#This Row],[Total]]+SamplingData[[#This Row],[Winning Candidate]]-SamplingData[[#This Row],[Candidate 6]])/(SamplingData[[#Totals],[Winning Candidate]]-SamplingData[[#Totals],[Candidate 6]]), 0)</f>
        <v>4.0610865230290352E-3</v>
      </c>
      <c r="P1927" s="100">
        <f>MAX(SamplingData[[#This Row],[Error Bound (up) - Max. possible relative overstatement - Losing Candidate]:[Error Bound (up) - Max. possible relative overstatement - Candidate 6]])</f>
        <v>9.309162175404213E-3</v>
      </c>
      <c r="Q1927" s="100">
        <f>IF(SamplingData[[#This Row],[Max Error Bound (up)]] = 0,0,SamplingData[[#This Row],[Max Error Bound (up)]]/SamplingData[[#Totals],[Max Error Bound (up)]])</f>
        <v>1.4733281383237664E-3</v>
      </c>
      <c r="R1927" s="101">
        <f>SUM($Q$5:Q1927)</f>
        <v>0.79346708130942689</v>
      </c>
      <c r="S1927" s="100" t="str">
        <f t="array" ref="S1927">IF(SamplingData[[#This Row],[up/U Selection Probability]] = 0, "Zero", TEXT(SamplingData[[#This Row],[Lower Range]], REPT("0",LEN('General Info'!$B$40))) &amp; " - " &amp; TEXT(SamplingData[[#This Row],[Upper Range]], REPT("0",LEN('General Info'!$B$40))))</f>
        <v>79199 - 79346</v>
      </c>
      <c r="T1927" s="100">
        <f>SamplingData[[#This Row],[Upper Range]]-SamplingData[[#This Row],[Span]]</f>
        <v>79199.376790438444</v>
      </c>
      <c r="U1927" s="100">
        <f>IF(ISNUMBER('General Info'!$B$40), ((SamplingData[[#This Row],[up/U Selection Probability]]) * 'General Info'!$B$40) - 1, 0)</f>
        <v>146.33134050423831</v>
      </c>
      <c r="V1927" s="100">
        <f>IF(ISNUMBER('General Info'!$B$40), (SamplingData[[#This Row],[Running (cumulative) sum]] * ('General Info'!$B$40 -'General Info'!$B$41 + 1)) + 'General Info'!$B$41 - 1, 0)</f>
        <v>79345.708130942687</v>
      </c>
      <c r="W1927" s="100">
        <f>IF(ISERROR(MATCH(SamplingData[[#This Row],[Batch by Type (p)]],SelectedPrecincts[Batch Name], 0)), "", INDEX(SelectedPrecincts[Draw], MATCH(SamplingData[[#This Row],[Batch by Type (p)]],SelectedPrecincts[Batch Name], 0)))</f>
        <v>12</v>
      </c>
      <c r="X1927" s="102">
        <f>IF(COUNTIF(SelectedPrecincts[Batch Name],SamplingData[[#This Row],[Batch by Type (p)]]) &lt;&gt; 0, COUNTIF(SelectedPrecincts[Batch Name],SamplingData[[#This Row],[Batch by Type (p)]]), 0)</f>
        <v>1</v>
      </c>
    </row>
    <row r="1928" spans="1:24" ht="15" customHeight="1">
      <c r="A1928" s="18" t="s">
        <v>2104</v>
      </c>
      <c r="B1928" s="18">
        <v>6</v>
      </c>
      <c r="C1928" s="18">
        <v>17</v>
      </c>
      <c r="D1928" s="18">
        <v>3</v>
      </c>
      <c r="E1928" s="18">
        <v>3</v>
      </c>
      <c r="F1928" s="18">
        <v>1</v>
      </c>
      <c r="G1928" s="18">
        <v>0</v>
      </c>
      <c r="H1928" s="18">
        <v>0</v>
      </c>
      <c r="I1928" s="18">
        <v>0</v>
      </c>
      <c r="J1928" s="99">
        <f>SUM(SamplingData[[#This Row],[Losing Candidate]:[Under Votes]])</f>
        <v>30</v>
      </c>
      <c r="K1928" s="100">
        <f>IF(AND(SamplingData[[#This Row],[Total]]&lt;&gt; 0, NOT(ISBLANK(SamplingData[[#This Row],[Losing Candidate]]))),(SamplingData[[#This Row],[Total]]+SamplingData[[#This Row],[Winning Candidate]]-SamplingData[[#This Row],[Losing Candidate]])/(SamplingData[[#Totals],[Winning Candidate]]-SamplingData[[#Totals],[Losing Candidate]]), 0)</f>
        <v>2.5110240078392945E-3</v>
      </c>
      <c r="L1928" s="100">
        <f>IF(AND(SamplingData[[#This Row],[Total]]&lt;&gt; 0, NOT(ISBLANK(SamplingData[[#This Row],[Candidate 3]]))),(SamplingData[[#This Row],[Total]]+SamplingData[[#This Row],[Winning Candidate]]-SamplingData[[#This Row],[Candidate 3]])/(SamplingData[[#Totals],[Winning Candidate]]-SamplingData[[#Totals],[Candidate 3]]), 0)</f>
        <v>1.4194922089234441E-3</v>
      </c>
      <c r="M1928" s="100">
        <f>IF(AND(SamplingData[[#This Row],[Total]]&lt;&gt; 0, NOT(ISBLANK(SamplingData[[#This Row],[Candidate 4]]))),(SamplingData[[#This Row],[Total]]+SamplingData[[#This Row],[Winning Candidate]]-SamplingData[[#This Row],[Candidate 4]])/(SamplingData[[#Totals],[Winning Candidate]]-SamplingData[[#Totals],[Candidate 4]]), 0)</f>
        <v>1.2862112309626121E-3</v>
      </c>
      <c r="N1928" s="100">
        <f>IF(AND(SamplingData[[#This Row],[Total]]&lt;&gt; 0, NOT(ISBLANK(SamplingData[[#This Row],[Candidate 5]]))),(SamplingData[[#This Row],[Total]]+SamplingData[[#This Row],[Winning Candidate]]-SamplingData[[#This Row],[Candidate 5]])/(SamplingData[[#Totals],[Winning Candidate]]-SamplingData[[#Totals],[Candidate 5]]), 0)</f>
        <v>1.1189491607881295E-3</v>
      </c>
      <c r="O1928" s="100">
        <f>IF(AND(SamplingData[[#This Row],[Total]]&lt;&gt; 0, NOT(ISBLANK(SamplingData[[#This Row],[Candidate 6]]))),(SamplingData[[#This Row],[Total]]+SamplingData[[#This Row],[Winning Candidate]]-SamplingData[[#This Row],[Candidate 6]])/(SamplingData[[#Totals],[Winning Candidate]]-SamplingData[[#Totals],[Candidate 6]]), 0)</f>
        <v>1.1429405184572735E-3</v>
      </c>
      <c r="P1928" s="100">
        <f>MAX(SamplingData[[#This Row],[Error Bound (up) - Max. possible relative overstatement - Losing Candidate]:[Error Bound (up) - Max. possible relative overstatement - Candidate 6]])</f>
        <v>2.5110240078392945E-3</v>
      </c>
      <c r="Q1928" s="100">
        <f>IF(SamplingData[[#This Row],[Max Error Bound (up)]] = 0,0,SamplingData[[#This Row],[Max Error Bound (up)]]/SamplingData[[#Totals],[Max Error Bound (up)]])</f>
        <v>3.9741087941627912E-4</v>
      </c>
      <c r="R1928" s="101">
        <f>SUM($Q$5:Q1928)</f>
        <v>0.79386449218884314</v>
      </c>
      <c r="S1928" s="100" t="str">
        <f t="array" ref="S1928">IF(SamplingData[[#This Row],[up/U Selection Probability]] = 0, "Zero", TEXT(SamplingData[[#This Row],[Lower Range]], REPT("0",LEN('General Info'!$B$40))) &amp; " - " &amp; TEXT(SamplingData[[#This Row],[Upper Range]], REPT("0",LEN('General Info'!$B$40))))</f>
        <v>79347 - 79385</v>
      </c>
      <c r="T1928" s="100">
        <f>SamplingData[[#This Row],[Upper Range]]-SamplingData[[#This Row],[Span]]</f>
        <v>79346.708528353571</v>
      </c>
      <c r="U1928" s="100">
        <f>IF(ISNUMBER('General Info'!$B$40), ((SamplingData[[#This Row],[up/U Selection Probability]]) * 'General Info'!$B$40) - 1, 0)</f>
        <v>38.740690530748495</v>
      </c>
      <c r="V1928" s="100">
        <f>IF(ISNUMBER('General Info'!$B$40), (SamplingData[[#This Row],[Running (cumulative) sum]] * ('General Info'!$B$40 -'General Info'!$B$41 + 1)) + 'General Info'!$B$41 - 1, 0)</f>
        <v>79385.449218884314</v>
      </c>
      <c r="W1928" s="100" t="str">
        <f>IF(ISERROR(MATCH(SamplingData[[#This Row],[Batch by Type (p)]],SelectedPrecincts[Batch Name], 0)), "", INDEX(SelectedPrecincts[Draw], MATCH(SamplingData[[#This Row],[Batch by Type (p)]],SelectedPrecincts[Batch Name], 0)))</f>
        <v/>
      </c>
      <c r="X1928" s="102">
        <f>IF(COUNTIF(SelectedPrecincts[Batch Name],SamplingData[[#This Row],[Batch by Type (p)]]) &lt;&gt; 0, COUNTIF(SelectedPrecincts[Batch Name],SamplingData[[#This Row],[Batch by Type (p)]]), 0)</f>
        <v>0</v>
      </c>
    </row>
    <row r="1929" spans="1:24" ht="15" customHeight="1">
      <c r="A1929" s="18" t="s">
        <v>2105</v>
      </c>
      <c r="B1929" s="18">
        <v>14</v>
      </c>
      <c r="C1929" s="18">
        <v>44</v>
      </c>
      <c r="D1929" s="16">
        <v>11</v>
      </c>
      <c r="E1929" s="16">
        <v>10</v>
      </c>
      <c r="F1929" s="37">
        <v>0</v>
      </c>
      <c r="G1929" s="37">
        <v>0</v>
      </c>
      <c r="H1929" s="17">
        <v>0</v>
      </c>
      <c r="I1929" s="17">
        <v>1</v>
      </c>
      <c r="J1929" s="99">
        <f>SUM(SamplingData[[#This Row],[Losing Candidate]:[Under Votes]])</f>
        <v>80</v>
      </c>
      <c r="K1929" s="100">
        <f>IF(AND(SamplingData[[#This Row],[Total]]&lt;&gt; 0, NOT(ISBLANK(SamplingData[[#This Row],[Losing Candidate]]))),(SamplingData[[#This Row],[Total]]+SamplingData[[#This Row],[Winning Candidate]]-SamplingData[[#This Row],[Losing Candidate]])/(SamplingData[[#Totals],[Winning Candidate]]-SamplingData[[#Totals],[Losing Candidate]]), 0)</f>
        <v>6.7368936795688386E-3</v>
      </c>
      <c r="L1929" s="100">
        <f>IF(AND(SamplingData[[#This Row],[Total]]&lt;&gt; 0, NOT(ISBLANK(SamplingData[[#This Row],[Candidate 3]]))),(SamplingData[[#This Row],[Total]]+SamplingData[[#This Row],[Winning Candidate]]-SamplingData[[#This Row],[Candidate 3]])/(SamplingData[[#Totals],[Winning Candidate]]-SamplingData[[#Totals],[Candidate 3]]), 0)</f>
        <v>3.6455140820079363E-3</v>
      </c>
      <c r="M1929" s="100">
        <f>IF(AND(SamplingData[[#This Row],[Total]]&lt;&gt; 0, NOT(ISBLANK(SamplingData[[#This Row],[Candidate 4]]))),(SamplingData[[#This Row],[Total]]+SamplingData[[#This Row],[Winning Candidate]]-SamplingData[[#This Row],[Candidate 4]])/(SamplingData[[#Totals],[Winning Candidate]]-SamplingData[[#Totals],[Candidate 4]]), 0)</f>
        <v>3.3324563711304043E-3</v>
      </c>
      <c r="N1929" s="100">
        <f>IF(AND(SamplingData[[#This Row],[Total]]&lt;&gt; 0, NOT(ISBLANK(SamplingData[[#This Row],[Candidate 5]]))),(SamplingData[[#This Row],[Total]]+SamplingData[[#This Row],[Winning Candidate]]-SamplingData[[#This Row],[Candidate 5]])/(SamplingData[[#Totals],[Winning Candidate]]-SamplingData[[#Totals],[Candidate 5]]), 0)</f>
        <v>3.0162977377766968E-3</v>
      </c>
      <c r="O1929" s="100">
        <f>IF(AND(SamplingData[[#This Row],[Total]]&lt;&gt; 0, NOT(ISBLANK(SamplingData[[#This Row],[Candidate 6]]))),(SamplingData[[#This Row],[Total]]+SamplingData[[#This Row],[Winning Candidate]]-SamplingData[[#This Row],[Candidate 6]])/(SamplingData[[#Totals],[Winning Candidate]]-SamplingData[[#Totals],[Candidate 6]]), 0)</f>
        <v>3.0154175380574873E-3</v>
      </c>
      <c r="P1929" s="100">
        <f>MAX(SamplingData[[#This Row],[Error Bound (up) - Max. possible relative overstatement - Losing Candidate]:[Error Bound (up) - Max. possible relative overstatement - Candidate 6]])</f>
        <v>6.7368936795688386E-3</v>
      </c>
      <c r="Q1929" s="100">
        <f>IF(SamplingData[[#This Row],[Max Error Bound (up)]] = 0,0,SamplingData[[#This Row],[Max Error Bound (up)]]/SamplingData[[#Totals],[Max Error Bound (up)]])</f>
        <v>1.0662243106290415E-3</v>
      </c>
      <c r="R1929" s="101">
        <f>SUM($Q$5:Q1929)</f>
        <v>0.79493071649947222</v>
      </c>
      <c r="S1929" s="100" t="str">
        <f t="array" ref="S1929">IF(SamplingData[[#This Row],[up/U Selection Probability]] = 0, "Zero", TEXT(SamplingData[[#This Row],[Lower Range]], REPT("0",LEN('General Info'!$B$40))) &amp; " - " &amp; TEXT(SamplingData[[#This Row],[Upper Range]], REPT("0",LEN('General Info'!$B$40))))</f>
        <v>79386 - 79492</v>
      </c>
      <c r="T1929" s="100">
        <f>SamplingData[[#This Row],[Upper Range]]-SamplingData[[#This Row],[Span]]</f>
        <v>79386.450285108629</v>
      </c>
      <c r="U1929" s="100">
        <f>IF(ISNUMBER('General Info'!$B$40), ((SamplingData[[#This Row],[up/U Selection Probability]]) * 'General Info'!$B$40) - 1, 0)</f>
        <v>105.62136483859352</v>
      </c>
      <c r="V1929" s="100">
        <f>IF(ISNUMBER('General Info'!$B$40), (SamplingData[[#This Row],[Running (cumulative) sum]] * ('General Info'!$B$40 -'General Info'!$B$41 + 1)) + 'General Info'!$B$41 - 1, 0)</f>
        <v>79492.071649947218</v>
      </c>
      <c r="W1929" s="100" t="str">
        <f>IF(ISERROR(MATCH(SamplingData[[#This Row],[Batch by Type (p)]],SelectedPrecincts[Batch Name], 0)), "", INDEX(SelectedPrecincts[Draw], MATCH(SamplingData[[#This Row],[Batch by Type (p)]],SelectedPrecincts[Batch Name], 0)))</f>
        <v/>
      </c>
      <c r="X1929" s="102">
        <f>IF(COUNTIF(SelectedPrecincts[Batch Name],SamplingData[[#This Row],[Batch by Type (p)]]) &lt;&gt; 0, COUNTIF(SelectedPrecincts[Batch Name],SamplingData[[#This Row],[Batch by Type (p)]]), 0)</f>
        <v>0</v>
      </c>
    </row>
    <row r="1930" spans="1:24" ht="15" customHeight="1">
      <c r="A1930" s="18" t="s">
        <v>2106</v>
      </c>
      <c r="B1930" s="18">
        <v>5</v>
      </c>
      <c r="C1930" s="18">
        <v>13</v>
      </c>
      <c r="D1930" s="18">
        <v>5</v>
      </c>
      <c r="E1930" s="18">
        <v>0</v>
      </c>
      <c r="F1930" s="18">
        <v>1</v>
      </c>
      <c r="G1930" s="18">
        <v>0</v>
      </c>
      <c r="H1930" s="18">
        <v>0</v>
      </c>
      <c r="I1930" s="18">
        <v>0</v>
      </c>
      <c r="J1930" s="99">
        <f>SUM(SamplingData[[#This Row],[Losing Candidate]:[Under Votes]])</f>
        <v>24</v>
      </c>
      <c r="K1930"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1930" s="100">
        <f>IF(AND(SamplingData[[#This Row],[Total]]&lt;&gt; 0, NOT(ISBLANK(SamplingData[[#This Row],[Candidate 3]]))),(SamplingData[[#This Row],[Total]]+SamplingData[[#This Row],[Winning Candidate]]-SamplingData[[#This Row],[Candidate 3]])/(SamplingData[[#Totals],[Winning Candidate]]-SamplingData[[#Totals],[Candidate 3]]), 0)</f>
        <v>1.0323579701261413E-3</v>
      </c>
      <c r="M1930" s="100">
        <f>IF(AND(SamplingData[[#This Row],[Total]]&lt;&gt; 0, NOT(ISBLANK(SamplingData[[#This Row],[Candidate 4]]))),(SamplingData[[#This Row],[Total]]+SamplingData[[#This Row],[Winning Candidate]]-SamplingData[[#This Row],[Candidate 4]])/(SamplingData[[#Totals],[Winning Candidate]]-SamplingData[[#Totals],[Candidate 4]]), 0)</f>
        <v>1.081586716945833E-3</v>
      </c>
      <c r="N1930" s="100">
        <f>IF(AND(SamplingData[[#This Row],[Total]]&lt;&gt; 0, NOT(ISBLANK(SamplingData[[#This Row],[Candidate 5]]))),(SamplingData[[#This Row],[Total]]+SamplingData[[#This Row],[Winning Candidate]]-SamplingData[[#This Row],[Candidate 5]])/(SamplingData[[#Totals],[Winning Candidate]]-SamplingData[[#Totals],[Candidate 5]]), 0)</f>
        <v>8.7569934322549259E-4</v>
      </c>
      <c r="O1930" s="100">
        <f>IF(AND(SamplingData[[#This Row],[Total]]&lt;&gt; 0, NOT(ISBLANK(SamplingData[[#This Row],[Candidate 6]]))),(SamplingData[[#This Row],[Total]]+SamplingData[[#This Row],[Winning Candidate]]-SamplingData[[#This Row],[Candidate 6]])/(SamplingData[[#Totals],[Winning Candidate]]-SamplingData[[#Totals],[Candidate 6]]), 0)</f>
        <v>8.9976168474295993E-4</v>
      </c>
      <c r="P1930" s="100">
        <f>MAX(SamplingData[[#This Row],[Error Bound (up) - Max. possible relative overstatement - Losing Candidate]:[Error Bound (up) - Max. possible relative overstatement - Candidate 6]])</f>
        <v>1.9598236158745713E-3</v>
      </c>
      <c r="Q1930" s="100">
        <f>IF(SamplingData[[#This Row],[Max Error Bound (up)]] = 0,0,SamplingData[[#This Row],[Max Error Bound (up)]]/SamplingData[[#Totals],[Max Error Bound (up)]])</f>
        <v>3.1017434491026661E-4</v>
      </c>
      <c r="R1930" s="101">
        <f>SUM($Q$5:Q1930)</f>
        <v>0.79524089084438254</v>
      </c>
      <c r="S1930" s="100" t="str">
        <f t="array" ref="S1930">IF(SamplingData[[#This Row],[up/U Selection Probability]] = 0, "Zero", TEXT(SamplingData[[#This Row],[Lower Range]], REPT("0",LEN('General Info'!$B$40))) &amp; " - " &amp; TEXT(SamplingData[[#This Row],[Upper Range]], REPT("0",LEN('General Info'!$B$40))))</f>
        <v>79493 - 79523</v>
      </c>
      <c r="T1930" s="100">
        <f>SamplingData[[#This Row],[Upper Range]]-SamplingData[[#This Row],[Span]]</f>
        <v>79493.071960121568</v>
      </c>
      <c r="U1930" s="100">
        <f>IF(ISNUMBER('General Info'!$B$40), ((SamplingData[[#This Row],[up/U Selection Probability]]) * 'General Info'!$B$40) - 1, 0)</f>
        <v>30.017124316681752</v>
      </c>
      <c r="V1930" s="100">
        <f>IF(ISNUMBER('General Info'!$B$40), (SamplingData[[#This Row],[Running (cumulative) sum]] * ('General Info'!$B$40 -'General Info'!$B$41 + 1)) + 'General Info'!$B$41 - 1, 0)</f>
        <v>79523.089084438252</v>
      </c>
      <c r="W1930" s="100" t="str">
        <f>IF(ISERROR(MATCH(SamplingData[[#This Row],[Batch by Type (p)]],SelectedPrecincts[Batch Name], 0)), "", INDEX(SelectedPrecincts[Draw], MATCH(SamplingData[[#This Row],[Batch by Type (p)]],SelectedPrecincts[Batch Name], 0)))</f>
        <v/>
      </c>
      <c r="X1930" s="102">
        <f>IF(COUNTIF(SelectedPrecincts[Batch Name],SamplingData[[#This Row],[Batch by Type (p)]]) &lt;&gt; 0, COUNTIF(SelectedPrecincts[Batch Name],SamplingData[[#This Row],[Batch by Type (p)]]), 0)</f>
        <v>0</v>
      </c>
    </row>
    <row r="1931" spans="1:24" ht="15" customHeight="1">
      <c r="A1931" s="18" t="s">
        <v>2107</v>
      </c>
      <c r="B1931" s="18">
        <v>25</v>
      </c>
      <c r="C1931" s="18">
        <v>94</v>
      </c>
      <c r="D1931" s="16">
        <v>19</v>
      </c>
      <c r="E1931" s="16">
        <v>10</v>
      </c>
      <c r="F1931" s="37">
        <v>1</v>
      </c>
      <c r="G1931" s="37">
        <v>0</v>
      </c>
      <c r="H1931" s="17">
        <v>0</v>
      </c>
      <c r="I1931" s="17">
        <v>2</v>
      </c>
      <c r="J1931" s="99">
        <f>SUM(SamplingData[[#This Row],[Losing Candidate]:[Under Votes]])</f>
        <v>151</v>
      </c>
      <c r="K1931" s="100">
        <f>IF(AND(SamplingData[[#This Row],[Total]]&lt;&gt; 0, NOT(ISBLANK(SamplingData[[#This Row],[Losing Candidate]]))),(SamplingData[[#This Row],[Total]]+SamplingData[[#This Row],[Winning Candidate]]-SamplingData[[#This Row],[Losing Candidate]])/(SamplingData[[#Totals],[Winning Candidate]]-SamplingData[[#Totals],[Losing Candidate]]), 0)</f>
        <v>1.3473787359137677E-2</v>
      </c>
      <c r="L1931" s="100">
        <f>IF(AND(SamplingData[[#This Row],[Total]]&lt;&gt; 0, NOT(ISBLANK(SamplingData[[#This Row],[Candidate 3]]))),(SamplingData[[#This Row],[Total]]+SamplingData[[#This Row],[Winning Candidate]]-SamplingData[[#This Row],[Candidate 3]])/(SamplingData[[#Totals],[Winning Candidate]]-SamplingData[[#Totals],[Candidate 3]]), 0)</f>
        <v>7.2910281640158727E-3</v>
      </c>
      <c r="M1931" s="100">
        <f>IF(AND(SamplingData[[#This Row],[Total]]&lt;&gt; 0, NOT(ISBLANK(SamplingData[[#This Row],[Candidate 4]]))),(SamplingData[[#This Row],[Total]]+SamplingData[[#This Row],[Winning Candidate]]-SamplingData[[#This Row],[Candidate 4]])/(SamplingData[[#Totals],[Winning Candidate]]-SamplingData[[#Totals],[Candidate 4]]), 0)</f>
        <v>6.8695372562775879E-3</v>
      </c>
      <c r="N1931" s="100">
        <f>IF(AND(SamplingData[[#This Row],[Total]]&lt;&gt; 0, NOT(ISBLANK(SamplingData[[#This Row],[Candidate 5]]))),(SamplingData[[#This Row],[Total]]+SamplingData[[#This Row],[Winning Candidate]]-SamplingData[[#This Row],[Candidate 5]])/(SamplingData[[#Totals],[Winning Candidate]]-SamplingData[[#Totals],[Candidate 5]]), 0)</f>
        <v>5.9352955485283384E-3</v>
      </c>
      <c r="O1931" s="100">
        <f>IF(AND(SamplingData[[#This Row],[Total]]&lt;&gt; 0, NOT(ISBLANK(SamplingData[[#This Row],[Candidate 6]]))),(SamplingData[[#This Row],[Total]]+SamplingData[[#This Row],[Winning Candidate]]-SamplingData[[#This Row],[Candidate 6]])/(SamplingData[[#Totals],[Winning Candidate]]-SamplingData[[#Totals],[Candidate 6]]), 0)</f>
        <v>5.9578814260006809E-3</v>
      </c>
      <c r="P1931" s="100">
        <f>MAX(SamplingData[[#This Row],[Error Bound (up) - Max. possible relative overstatement - Losing Candidate]:[Error Bound (up) - Max. possible relative overstatement - Candidate 6]])</f>
        <v>1.3473787359137677E-2</v>
      </c>
      <c r="Q1931" s="100">
        <f>IF(SamplingData[[#This Row],[Max Error Bound (up)]] = 0,0,SamplingData[[#This Row],[Max Error Bound (up)]]/SamplingData[[#Totals],[Max Error Bound (up)]])</f>
        <v>2.1324486212580831E-3</v>
      </c>
      <c r="R1931" s="101">
        <f>SUM($Q$5:Q1931)</f>
        <v>0.7973733394656406</v>
      </c>
      <c r="S1931" s="100" t="str">
        <f t="array" ref="S1931">IF(SamplingData[[#This Row],[up/U Selection Probability]] = 0, "Zero", TEXT(SamplingData[[#This Row],[Lower Range]], REPT("0",LEN('General Info'!$B$40))) &amp; " - " &amp; TEXT(SamplingData[[#This Row],[Upper Range]], REPT("0",LEN('General Info'!$B$40))))</f>
        <v>79524 - 79736</v>
      </c>
      <c r="T1931" s="100">
        <f>SamplingData[[#This Row],[Upper Range]]-SamplingData[[#This Row],[Span]]</f>
        <v>79524.091216886867</v>
      </c>
      <c r="U1931" s="100">
        <f>IF(ISNUMBER('General Info'!$B$40), ((SamplingData[[#This Row],[up/U Selection Probability]]) * 'General Info'!$B$40) - 1, 0)</f>
        <v>212.24272967718704</v>
      </c>
      <c r="V1931" s="100">
        <f>IF(ISNUMBER('General Info'!$B$40), (SamplingData[[#This Row],[Running (cumulative) sum]] * ('General Info'!$B$40 -'General Info'!$B$41 + 1)) + 'General Info'!$B$41 - 1, 0)</f>
        <v>79736.33394656406</v>
      </c>
      <c r="W1931" s="100" t="str">
        <f>IF(ISERROR(MATCH(SamplingData[[#This Row],[Batch by Type (p)]],SelectedPrecincts[Batch Name], 0)), "", INDEX(SelectedPrecincts[Draw], MATCH(SamplingData[[#This Row],[Batch by Type (p)]],SelectedPrecincts[Batch Name], 0)))</f>
        <v/>
      </c>
      <c r="X1931" s="102">
        <f>IF(COUNTIF(SelectedPrecincts[Batch Name],SamplingData[[#This Row],[Batch by Type (p)]]) &lt;&gt; 0, COUNTIF(SelectedPrecincts[Batch Name],SamplingData[[#This Row],[Batch by Type (p)]]), 0)</f>
        <v>0</v>
      </c>
    </row>
    <row r="1932" spans="1:24" ht="15" customHeight="1">
      <c r="A1932" s="18" t="s">
        <v>2108</v>
      </c>
      <c r="B1932" s="18">
        <v>12</v>
      </c>
      <c r="C1932" s="18">
        <v>27</v>
      </c>
      <c r="D1932" s="18">
        <v>5</v>
      </c>
      <c r="E1932" s="18">
        <v>4</v>
      </c>
      <c r="F1932" s="18">
        <v>0</v>
      </c>
      <c r="G1932" s="18">
        <v>0</v>
      </c>
      <c r="H1932" s="18">
        <v>0</v>
      </c>
      <c r="I1932" s="18">
        <v>0</v>
      </c>
      <c r="J1932" s="99">
        <f>SUM(SamplingData[[#This Row],[Losing Candidate]:[Under Votes]])</f>
        <v>48</v>
      </c>
      <c r="K1932" s="100">
        <f>IF(AND(SamplingData[[#This Row],[Total]]&lt;&gt; 0, NOT(ISBLANK(SamplingData[[#This Row],[Losing Candidate]]))),(SamplingData[[#This Row],[Total]]+SamplingData[[#This Row],[Winning Candidate]]-SamplingData[[#This Row],[Losing Candidate]])/(SamplingData[[#Totals],[Winning Candidate]]-SamplingData[[#Totals],[Losing Candidate]]), 0)</f>
        <v>3.8584027437530621E-3</v>
      </c>
      <c r="L1932" s="100">
        <f>IF(AND(SamplingData[[#This Row],[Total]]&lt;&gt; 0, NOT(ISBLANK(SamplingData[[#This Row],[Candidate 3]]))),(SamplingData[[#This Row],[Total]]+SamplingData[[#This Row],[Winning Candidate]]-SamplingData[[#This Row],[Candidate 3]])/(SamplingData[[#Totals],[Winning Candidate]]-SamplingData[[#Totals],[Candidate 3]]), 0)</f>
        <v>2.2582830596509338E-3</v>
      </c>
      <c r="M1932" s="100">
        <f>IF(AND(SamplingData[[#This Row],[Total]]&lt;&gt; 0, NOT(ISBLANK(SamplingData[[#This Row],[Candidate 4]]))),(SamplingData[[#This Row],[Total]]+SamplingData[[#This Row],[Winning Candidate]]-SamplingData[[#This Row],[Candidate 4]])/(SamplingData[[#Totals],[Winning Candidate]]-SamplingData[[#Totals],[Candidate 4]]), 0)</f>
        <v>2.0754772135987607E-3</v>
      </c>
      <c r="N1932" s="100">
        <f>IF(AND(SamplingData[[#This Row],[Total]]&lt;&gt; 0, NOT(ISBLANK(SamplingData[[#This Row],[Candidate 5]]))),(SamplingData[[#This Row],[Total]]+SamplingData[[#This Row],[Winning Candidate]]-SamplingData[[#This Row],[Candidate 5]])/(SamplingData[[#Totals],[Winning Candidate]]-SamplingData[[#Totals],[Candidate 5]]), 0)</f>
        <v>1.8243736317197761E-3</v>
      </c>
      <c r="O1932" s="100">
        <f>IF(AND(SamplingData[[#This Row],[Total]]&lt;&gt; 0, NOT(ISBLANK(SamplingData[[#This Row],[Candidate 6]]))),(SamplingData[[#This Row],[Total]]+SamplingData[[#This Row],[Winning Candidate]]-SamplingData[[#This Row],[Candidate 6]])/(SamplingData[[#Totals],[Winning Candidate]]-SamplingData[[#Totals],[Candidate 6]]), 0)</f>
        <v>1.8238412528573513E-3</v>
      </c>
      <c r="P1932" s="100">
        <f>MAX(SamplingData[[#This Row],[Error Bound (up) - Max. possible relative overstatement - Losing Candidate]:[Error Bound (up) - Max. possible relative overstatement - Candidate 6]])</f>
        <v>3.8584027437530621E-3</v>
      </c>
      <c r="Q1932" s="100">
        <f>IF(SamplingData[[#This Row],[Max Error Bound (up)]] = 0,0,SamplingData[[#This Row],[Max Error Bound (up)]]/SamplingData[[#Totals],[Max Error Bound (up)]])</f>
        <v>6.1065574154208738E-4</v>
      </c>
      <c r="R1932" s="101">
        <f>SUM($Q$5:Q1932)</f>
        <v>0.79798399520718266</v>
      </c>
      <c r="S1932" s="100" t="str">
        <f t="array" ref="S1932">IF(SamplingData[[#This Row],[up/U Selection Probability]] = 0, "Zero", TEXT(SamplingData[[#This Row],[Lower Range]], REPT("0",LEN('General Info'!$B$40))) &amp; " - " &amp; TEXT(SamplingData[[#This Row],[Upper Range]], REPT("0",LEN('General Info'!$B$40))))</f>
        <v>79737 - 79797</v>
      </c>
      <c r="T1932" s="100">
        <f>SamplingData[[#This Row],[Upper Range]]-SamplingData[[#This Row],[Span]]</f>
        <v>79737.334557219787</v>
      </c>
      <c r="U1932" s="100">
        <f>IF(ISNUMBER('General Info'!$B$40), ((SamplingData[[#This Row],[up/U Selection Probability]]) * 'General Info'!$B$40) - 1, 0)</f>
        <v>60.064963498467193</v>
      </c>
      <c r="V1932" s="100">
        <f>IF(ISNUMBER('General Info'!$B$40), (SamplingData[[#This Row],[Running (cumulative) sum]] * ('General Info'!$B$40 -'General Info'!$B$41 + 1)) + 'General Info'!$B$41 - 1, 0)</f>
        <v>79797.39952071826</v>
      </c>
      <c r="W1932" s="100" t="str">
        <f>IF(ISERROR(MATCH(SamplingData[[#This Row],[Batch by Type (p)]],SelectedPrecincts[Batch Name], 0)), "", INDEX(SelectedPrecincts[Draw], MATCH(SamplingData[[#This Row],[Batch by Type (p)]],SelectedPrecincts[Batch Name], 0)))</f>
        <v/>
      </c>
      <c r="X1932" s="102">
        <f>IF(COUNTIF(SelectedPrecincts[Batch Name],SamplingData[[#This Row],[Batch by Type (p)]]) &lt;&gt; 0, COUNTIF(SelectedPrecincts[Batch Name],SamplingData[[#This Row],[Batch by Type (p)]]), 0)</f>
        <v>0</v>
      </c>
    </row>
    <row r="1933" spans="1:24" ht="15" customHeight="1">
      <c r="A1933" s="18" t="s">
        <v>2109</v>
      </c>
      <c r="B1933" s="18">
        <v>28</v>
      </c>
      <c r="C1933" s="18">
        <v>89</v>
      </c>
      <c r="D1933" s="16">
        <v>22</v>
      </c>
      <c r="E1933" s="16">
        <v>7</v>
      </c>
      <c r="F1933" s="37">
        <v>0</v>
      </c>
      <c r="G1933" s="37">
        <v>0</v>
      </c>
      <c r="H1933" s="17">
        <v>0</v>
      </c>
      <c r="I1933" s="17">
        <v>3</v>
      </c>
      <c r="J1933" s="99">
        <f>SUM(SamplingData[[#This Row],[Losing Candidate]:[Under Votes]])</f>
        <v>149</v>
      </c>
      <c r="K1933" s="100">
        <f>IF(AND(SamplingData[[#This Row],[Total]]&lt;&gt; 0, NOT(ISBLANK(SamplingData[[#This Row],[Losing Candidate]]))),(SamplingData[[#This Row],[Total]]+SamplingData[[#This Row],[Winning Candidate]]-SamplingData[[#This Row],[Losing Candidate]])/(SamplingData[[#Totals],[Winning Candidate]]-SamplingData[[#Totals],[Losing Candidate]]), 0)</f>
        <v>1.2861342479176875E-2</v>
      </c>
      <c r="L1933" s="100">
        <f>IF(AND(SamplingData[[#This Row],[Total]]&lt;&gt; 0, NOT(ISBLANK(SamplingData[[#This Row],[Candidate 3]]))),(SamplingData[[#This Row],[Total]]+SamplingData[[#This Row],[Winning Candidate]]-SamplingData[[#This Row],[Candidate 3]])/(SamplingData[[#Totals],[Winning Candidate]]-SamplingData[[#Totals],[Candidate 3]]), 0)</f>
        <v>6.9684162983514536E-3</v>
      </c>
      <c r="M1933" s="100">
        <f>IF(AND(SamplingData[[#This Row],[Total]]&lt;&gt; 0, NOT(ISBLANK(SamplingData[[#This Row],[Candidate 4]]))),(SamplingData[[#This Row],[Total]]+SamplingData[[#This Row],[Winning Candidate]]-SamplingData[[#This Row],[Candidate 4]])/(SamplingData[[#Totals],[Winning Candidate]]-SamplingData[[#Totals],[Candidate 4]]), 0)</f>
        <v>6.752608962553714E-3</v>
      </c>
      <c r="N1933" s="100">
        <f>IF(AND(SamplingData[[#This Row],[Total]]&lt;&gt; 0, NOT(ISBLANK(SamplingData[[#This Row],[Candidate 5]]))),(SamplingData[[#This Row],[Total]]+SamplingData[[#This Row],[Winning Candidate]]-SamplingData[[#This Row],[Candidate 5]])/(SamplingData[[#Totals],[Winning Candidate]]-SamplingData[[#Totals],[Candidate 5]]), 0)</f>
        <v>5.7893456579907569E-3</v>
      </c>
      <c r="O1933" s="100">
        <f>IF(AND(SamplingData[[#This Row],[Total]]&lt;&gt; 0, NOT(ISBLANK(SamplingData[[#This Row],[Candidate 6]]))),(SamplingData[[#This Row],[Total]]+SamplingData[[#This Row],[Winning Candidate]]-SamplingData[[#This Row],[Candidate 6]])/(SamplingData[[#Totals],[Winning Candidate]]-SamplingData[[#Totals],[Candidate 6]]), 0)</f>
        <v>5.7876562424006616E-3</v>
      </c>
      <c r="P1933" s="100">
        <f>MAX(SamplingData[[#This Row],[Error Bound (up) - Max. possible relative overstatement - Losing Candidate]:[Error Bound (up) - Max. possible relative overstatement - Candidate 6]])</f>
        <v>1.2861342479176875E-2</v>
      </c>
      <c r="Q1933" s="100">
        <f>IF(SamplingData[[#This Row],[Max Error Bound (up)]] = 0,0,SamplingData[[#This Row],[Max Error Bound (up)]]/SamplingData[[#Totals],[Max Error Bound (up)]])</f>
        <v>2.0355191384736249E-3</v>
      </c>
      <c r="R1933" s="101">
        <f>SUM($Q$5:Q1933)</f>
        <v>0.80001951434565632</v>
      </c>
      <c r="S1933" s="100" t="str">
        <f t="array" ref="S1933">IF(SamplingData[[#This Row],[up/U Selection Probability]] = 0, "Zero", TEXT(SamplingData[[#This Row],[Lower Range]], REPT("0",LEN('General Info'!$B$40))) &amp; " - " &amp; TEXT(SamplingData[[#This Row],[Upper Range]], REPT("0",LEN('General Info'!$B$40))))</f>
        <v>79798 - 80001</v>
      </c>
      <c r="T1933" s="100">
        <f>SamplingData[[#This Row],[Upper Range]]-SamplingData[[#This Row],[Span]]</f>
        <v>79798.401556237412</v>
      </c>
      <c r="U1933" s="100">
        <f>IF(ISNUMBER('General Info'!$B$40), ((SamplingData[[#This Row],[up/U Selection Probability]]) * 'General Info'!$B$40) - 1, 0)</f>
        <v>202.54987832822403</v>
      </c>
      <c r="V1933" s="100">
        <f>IF(ISNUMBER('General Info'!$B$40), (SamplingData[[#This Row],[Running (cumulative) sum]] * ('General Info'!$B$40 -'General Info'!$B$41 + 1)) + 'General Info'!$B$41 - 1, 0)</f>
        <v>80000.951434565635</v>
      </c>
      <c r="W1933" s="100" t="str">
        <f>IF(ISERROR(MATCH(SamplingData[[#This Row],[Batch by Type (p)]],SelectedPrecincts[Batch Name], 0)), "", INDEX(SelectedPrecincts[Draw], MATCH(SamplingData[[#This Row],[Batch by Type (p)]],SelectedPrecincts[Batch Name], 0)))</f>
        <v/>
      </c>
      <c r="X1933" s="102">
        <f>IF(COUNTIF(SelectedPrecincts[Batch Name],SamplingData[[#This Row],[Batch by Type (p)]]) &lt;&gt; 0, COUNTIF(SelectedPrecincts[Batch Name],SamplingData[[#This Row],[Batch by Type (p)]]), 0)</f>
        <v>0</v>
      </c>
    </row>
    <row r="1934" spans="1:24" ht="15" customHeight="1">
      <c r="A1934" s="18" t="s">
        <v>2110</v>
      </c>
      <c r="B1934" s="18">
        <v>20</v>
      </c>
      <c r="C1934" s="18">
        <v>36</v>
      </c>
      <c r="D1934" s="18">
        <v>5</v>
      </c>
      <c r="E1934" s="18">
        <v>4</v>
      </c>
      <c r="F1934" s="18">
        <v>0</v>
      </c>
      <c r="G1934" s="18">
        <v>0</v>
      </c>
      <c r="H1934" s="18">
        <v>0</v>
      </c>
      <c r="I1934" s="18">
        <v>1</v>
      </c>
      <c r="J1934" s="99">
        <f>SUM(SamplingData[[#This Row],[Losing Candidate]:[Under Votes]])</f>
        <v>66</v>
      </c>
      <c r="K1934"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1934" s="100">
        <f>IF(AND(SamplingData[[#This Row],[Total]]&lt;&gt; 0, NOT(ISBLANK(SamplingData[[#This Row],[Candidate 3]]))),(SamplingData[[#This Row],[Total]]+SamplingData[[#This Row],[Winning Candidate]]-SamplingData[[#This Row],[Candidate 3]])/(SamplingData[[#Totals],[Winning Candidate]]-SamplingData[[#Totals],[Candidate 3]]), 0)</f>
        <v>3.1293350969448658E-3</v>
      </c>
      <c r="M1934" s="100">
        <f>IF(AND(SamplingData[[#This Row],[Total]]&lt;&gt; 0, NOT(ISBLANK(SamplingData[[#This Row],[Candidate 4]]))),(SamplingData[[#This Row],[Total]]+SamplingData[[#This Row],[Winning Candidate]]-SamplingData[[#This Row],[Candidate 4]])/(SamplingData[[#Totals],[Winning Candidate]]-SamplingData[[#Totals],[Candidate 4]]), 0)</f>
        <v>2.8647431962349089E-3</v>
      </c>
      <c r="N1934" s="100">
        <f>IF(AND(SamplingData[[#This Row],[Total]]&lt;&gt; 0, NOT(ISBLANK(SamplingData[[#This Row],[Candidate 5]]))),(SamplingData[[#This Row],[Total]]+SamplingData[[#This Row],[Winning Candidate]]-SamplingData[[#This Row],[Candidate 5]])/(SamplingData[[#Totals],[Winning Candidate]]-SamplingData[[#Totals],[Candidate 5]]), 0)</f>
        <v>2.4811481391388956E-3</v>
      </c>
      <c r="O1934" s="100">
        <f>IF(AND(SamplingData[[#This Row],[Total]]&lt;&gt; 0, NOT(ISBLANK(SamplingData[[#This Row],[Candidate 6]]))),(SamplingData[[#This Row],[Total]]+SamplingData[[#This Row],[Winning Candidate]]-SamplingData[[#This Row],[Candidate 6]])/(SamplingData[[#Totals],[Winning Candidate]]-SamplingData[[#Totals],[Candidate 6]]), 0)</f>
        <v>2.4804241038859976E-3</v>
      </c>
      <c r="P1934" s="100">
        <f>MAX(SamplingData[[#This Row],[Error Bound (up) - Max. possible relative overstatement - Losing Candidate]:[Error Bound (up) - Max. possible relative overstatement - Candidate 6]])</f>
        <v>5.0220480156785889E-3</v>
      </c>
      <c r="Q1934" s="100">
        <f>IF(SamplingData[[#This Row],[Max Error Bound (up)]] = 0,0,SamplingData[[#This Row],[Max Error Bound (up)]]/SamplingData[[#Totals],[Max Error Bound (up)]])</f>
        <v>7.9482175883255823E-4</v>
      </c>
      <c r="R1934" s="101">
        <f>SUM($Q$5:Q1934)</f>
        <v>0.80081433610448893</v>
      </c>
      <c r="S1934" s="100" t="str">
        <f t="array" ref="S1934">IF(SamplingData[[#This Row],[up/U Selection Probability]] = 0, "Zero", TEXT(SamplingData[[#This Row],[Lower Range]], REPT("0",LEN('General Info'!$B$40))) &amp; " - " &amp; TEXT(SamplingData[[#This Row],[Upper Range]], REPT("0",LEN('General Info'!$B$40))))</f>
        <v>80002 - 80080</v>
      </c>
      <c r="T1934" s="100">
        <f>SamplingData[[#This Row],[Upper Range]]-SamplingData[[#This Row],[Span]]</f>
        <v>80001.952229387389</v>
      </c>
      <c r="U1934" s="100">
        <f>IF(ISNUMBER('General Info'!$B$40), ((SamplingData[[#This Row],[up/U Selection Probability]]) * 'General Info'!$B$40) - 1, 0)</f>
        <v>78.48138106149699</v>
      </c>
      <c r="V1934" s="100">
        <f>IF(ISNUMBER('General Info'!$B$40), (SamplingData[[#This Row],[Running (cumulative) sum]] * ('General Info'!$B$40 -'General Info'!$B$41 + 1)) + 'General Info'!$B$41 - 1, 0)</f>
        <v>80080.43361044889</v>
      </c>
      <c r="W1934" s="100" t="str">
        <f>IF(ISERROR(MATCH(SamplingData[[#This Row],[Batch by Type (p)]],SelectedPrecincts[Batch Name], 0)), "", INDEX(SelectedPrecincts[Draw], MATCH(SamplingData[[#This Row],[Batch by Type (p)]],SelectedPrecincts[Batch Name], 0)))</f>
        <v/>
      </c>
      <c r="X1934" s="102">
        <f>IF(COUNTIF(SelectedPrecincts[Batch Name],SamplingData[[#This Row],[Batch by Type (p)]]) &lt;&gt; 0, COUNTIF(SelectedPrecincts[Batch Name],SamplingData[[#This Row],[Batch by Type (p)]]), 0)</f>
        <v>0</v>
      </c>
    </row>
    <row r="1935" spans="1:24" ht="15" customHeight="1">
      <c r="A1935" s="18" t="s">
        <v>2111</v>
      </c>
      <c r="B1935" s="18">
        <v>10</v>
      </c>
      <c r="C1935" s="18">
        <v>66</v>
      </c>
      <c r="D1935" s="16">
        <v>6</v>
      </c>
      <c r="E1935" s="16">
        <v>7</v>
      </c>
      <c r="F1935" s="37">
        <v>0</v>
      </c>
      <c r="G1935" s="37">
        <v>0</v>
      </c>
      <c r="H1935" s="17">
        <v>0</v>
      </c>
      <c r="I1935" s="17">
        <v>2</v>
      </c>
      <c r="J1935" s="99">
        <f>SUM(SamplingData[[#This Row],[Losing Candidate]:[Under Votes]])</f>
        <v>91</v>
      </c>
      <c r="K1935" s="100">
        <f>IF(AND(SamplingData[[#This Row],[Total]]&lt;&gt; 0, NOT(ISBLANK(SamplingData[[#This Row],[Losing Candidate]]))),(SamplingData[[#This Row],[Total]]+SamplingData[[#This Row],[Winning Candidate]]-SamplingData[[#This Row],[Losing Candidate]])/(SamplingData[[#Totals],[Winning Candidate]]-SamplingData[[#Totals],[Losing Candidate]]), 0)</f>
        <v>9.0029397354238119E-3</v>
      </c>
      <c r="L1935" s="100">
        <f>IF(AND(SamplingData[[#This Row],[Total]]&lt;&gt; 0, NOT(ISBLANK(SamplingData[[#This Row],[Candidate 3]]))),(SamplingData[[#This Row],[Total]]+SamplingData[[#This Row],[Winning Candidate]]-SamplingData[[#This Row],[Candidate 3]])/(SamplingData[[#Totals],[Winning Candidate]]-SamplingData[[#Totals],[Candidate 3]]), 0)</f>
        <v>4.871439171532729E-3</v>
      </c>
      <c r="M1935" s="100">
        <f>IF(AND(SamplingData[[#This Row],[Total]]&lt;&gt; 0, NOT(ISBLANK(SamplingData[[#This Row],[Candidate 4]]))),(SamplingData[[#This Row],[Total]]+SamplingData[[#This Row],[Winning Candidate]]-SamplingData[[#This Row],[Candidate 4]])/(SamplingData[[#Totals],[Winning Candidate]]-SamplingData[[#Totals],[Candidate 4]]), 0)</f>
        <v>4.3848110146452691E-3</v>
      </c>
      <c r="N1935" s="100">
        <f>IF(AND(SamplingData[[#This Row],[Total]]&lt;&gt; 0, NOT(ISBLANK(SamplingData[[#This Row],[Candidate 5]]))),(SamplingData[[#This Row],[Total]]+SamplingData[[#This Row],[Winning Candidate]]-SamplingData[[#This Row],[Candidate 5]])/(SamplingData[[#Totals],[Winning Candidate]]-SamplingData[[#Totals],[Candidate 5]]), 0)</f>
        <v>3.8190221357333981E-3</v>
      </c>
      <c r="O1935" s="100">
        <f>IF(AND(SamplingData[[#This Row],[Total]]&lt;&gt; 0, NOT(ISBLANK(SamplingData[[#This Row],[Candidate 6]]))),(SamplingData[[#This Row],[Total]]+SamplingData[[#This Row],[Winning Candidate]]-SamplingData[[#This Row],[Candidate 6]])/(SamplingData[[#Totals],[Winning Candidate]]-SamplingData[[#Totals],[Candidate 6]]), 0)</f>
        <v>3.8179076893147222E-3</v>
      </c>
      <c r="P1935" s="100">
        <f>MAX(SamplingData[[#This Row],[Error Bound (up) - Max. possible relative overstatement - Losing Candidate]:[Error Bound (up) - Max. possible relative overstatement - Candidate 6]])</f>
        <v>9.0029397354238119E-3</v>
      </c>
      <c r="Q1935" s="100">
        <f>IF(SamplingData[[#This Row],[Max Error Bound (up)]] = 0,0,SamplingData[[#This Row],[Max Error Bound (up)]]/SamplingData[[#Totals],[Max Error Bound (up)]])</f>
        <v>1.4248633969315373E-3</v>
      </c>
      <c r="R1935" s="101">
        <f>SUM($Q$5:Q1935)</f>
        <v>0.80223919950142042</v>
      </c>
      <c r="S1935" s="100" t="str">
        <f t="array" ref="S1935">IF(SamplingData[[#This Row],[up/U Selection Probability]] = 0, "Zero", TEXT(SamplingData[[#This Row],[Lower Range]], REPT("0",LEN('General Info'!$B$40))) &amp; " - " &amp; TEXT(SamplingData[[#This Row],[Upper Range]], REPT("0",LEN('General Info'!$B$40))))</f>
        <v>80081 - 80223</v>
      </c>
      <c r="T1935" s="100">
        <f>SamplingData[[#This Row],[Upper Range]]-SamplingData[[#This Row],[Span]]</f>
        <v>80081.435035312286</v>
      </c>
      <c r="U1935" s="100">
        <f>IF(ISNUMBER('General Info'!$B$40), ((SamplingData[[#This Row],[up/U Selection Probability]]) * 'General Info'!$B$40) - 1, 0)</f>
        <v>141.4849148297568</v>
      </c>
      <c r="V1935" s="100">
        <f>IF(ISNUMBER('General Info'!$B$40), (SamplingData[[#This Row],[Running (cumulative) sum]] * ('General Info'!$B$40 -'General Info'!$B$41 + 1)) + 'General Info'!$B$41 - 1, 0)</f>
        <v>80222.919950142037</v>
      </c>
      <c r="W1935" s="100" t="str">
        <f>IF(ISERROR(MATCH(SamplingData[[#This Row],[Batch by Type (p)]],SelectedPrecincts[Batch Name], 0)), "", INDEX(SelectedPrecincts[Draw], MATCH(SamplingData[[#This Row],[Batch by Type (p)]],SelectedPrecincts[Batch Name], 0)))</f>
        <v/>
      </c>
      <c r="X1935" s="102">
        <f>IF(COUNTIF(SelectedPrecincts[Batch Name],SamplingData[[#This Row],[Batch by Type (p)]]) &lt;&gt; 0, COUNTIF(SelectedPrecincts[Batch Name],SamplingData[[#This Row],[Batch by Type (p)]]), 0)</f>
        <v>0</v>
      </c>
    </row>
    <row r="1936" spans="1:24" ht="15" customHeight="1">
      <c r="A1936" s="18" t="s">
        <v>2112</v>
      </c>
      <c r="B1936" s="18">
        <v>11</v>
      </c>
      <c r="C1936" s="18">
        <v>32</v>
      </c>
      <c r="D1936" s="18">
        <v>3</v>
      </c>
      <c r="E1936" s="18">
        <v>3</v>
      </c>
      <c r="F1936" s="18">
        <v>0</v>
      </c>
      <c r="G1936" s="18">
        <v>0</v>
      </c>
      <c r="H1936" s="18">
        <v>0</v>
      </c>
      <c r="I1936" s="18">
        <v>0</v>
      </c>
      <c r="J1936" s="99">
        <f>SUM(SamplingData[[#This Row],[Losing Candidate]:[Under Votes]])</f>
        <v>49</v>
      </c>
      <c r="K1936" s="100">
        <f>IF(AND(SamplingData[[#This Row],[Total]]&lt;&gt; 0, NOT(ISBLANK(SamplingData[[#This Row],[Losing Candidate]]))),(SamplingData[[#This Row],[Total]]+SamplingData[[#This Row],[Winning Candidate]]-SamplingData[[#This Row],[Losing Candidate]])/(SamplingData[[#Totals],[Winning Candidate]]-SamplingData[[#Totals],[Losing Candidate]]), 0)</f>
        <v>4.2871141597256249E-3</v>
      </c>
      <c r="L1936" s="100">
        <f>IF(AND(SamplingData[[#This Row],[Total]]&lt;&gt; 0, NOT(ISBLANK(SamplingData[[#This Row],[Candidate 3]]))),(SamplingData[[#This Row],[Total]]+SamplingData[[#This Row],[Winning Candidate]]-SamplingData[[#This Row],[Candidate 3]])/(SamplingData[[#Totals],[Winning Candidate]]-SamplingData[[#Totals],[Candidate 3]]), 0)</f>
        <v>2.5163725521824692E-3</v>
      </c>
      <c r="M1936" s="100">
        <f>IF(AND(SamplingData[[#This Row],[Total]]&lt;&gt; 0, NOT(ISBLANK(SamplingData[[#This Row],[Candidate 4]]))),(SamplingData[[#This Row],[Total]]+SamplingData[[#This Row],[Winning Candidate]]-SamplingData[[#This Row],[Candidate 4]])/(SamplingData[[#Totals],[Winning Candidate]]-SamplingData[[#Totals],[Candidate 4]]), 0)</f>
        <v>2.28010172761554E-3</v>
      </c>
      <c r="N1936" s="100">
        <f>IF(AND(SamplingData[[#This Row],[Total]]&lt;&gt; 0, NOT(ISBLANK(SamplingData[[#This Row],[Candidate 5]]))),(SamplingData[[#This Row],[Total]]+SamplingData[[#This Row],[Winning Candidate]]-SamplingData[[#This Row],[Candidate 5]])/(SamplingData[[#Totals],[Winning Candidate]]-SamplingData[[#Totals],[Candidate 5]]), 0)</f>
        <v>1.9703235222573584E-3</v>
      </c>
      <c r="O1936" s="100">
        <f>IF(AND(SamplingData[[#This Row],[Total]]&lt;&gt; 0, NOT(ISBLANK(SamplingData[[#This Row],[Candidate 6]]))),(SamplingData[[#This Row],[Total]]+SamplingData[[#This Row],[Winning Candidate]]-SamplingData[[#This Row],[Candidate 6]])/(SamplingData[[#Totals],[Winning Candidate]]-SamplingData[[#Totals],[Candidate 6]]), 0)</f>
        <v>1.9697485530859394E-3</v>
      </c>
      <c r="P1936" s="100">
        <f>MAX(SamplingData[[#This Row],[Error Bound (up) - Max. possible relative overstatement - Losing Candidate]:[Error Bound (up) - Max. possible relative overstatement - Candidate 6]])</f>
        <v>4.2871141597256249E-3</v>
      </c>
      <c r="Q1936" s="100">
        <f>IF(SamplingData[[#This Row],[Max Error Bound (up)]] = 0,0,SamplingData[[#This Row],[Max Error Bound (up)]]/SamplingData[[#Totals],[Max Error Bound (up)]])</f>
        <v>6.7850637949120826E-4</v>
      </c>
      <c r="R1936" s="101">
        <f>SUM($Q$5:Q1936)</f>
        <v>0.8029177058809116</v>
      </c>
      <c r="S1936" s="100" t="str">
        <f t="array" ref="S1936">IF(SamplingData[[#This Row],[up/U Selection Probability]] = 0, "Zero", TEXT(SamplingData[[#This Row],[Lower Range]], REPT("0",LEN('General Info'!$B$40))) &amp; " - " &amp; TEXT(SamplingData[[#This Row],[Upper Range]], REPT("0",LEN('General Info'!$B$40))))</f>
        <v>80224 - 80291</v>
      </c>
      <c r="T1936" s="100">
        <f>SamplingData[[#This Row],[Upper Range]]-SamplingData[[#This Row],[Span]]</f>
        <v>80223.920628648426</v>
      </c>
      <c r="U1936" s="100">
        <f>IF(ISNUMBER('General Info'!$B$40), ((SamplingData[[#This Row],[up/U Selection Probability]]) * 'General Info'!$B$40) - 1, 0)</f>
        <v>66.849959442741337</v>
      </c>
      <c r="V1936" s="100">
        <f>IF(ISNUMBER('General Info'!$B$40), (SamplingData[[#This Row],[Running (cumulative) sum]] * ('General Info'!$B$40 -'General Info'!$B$41 + 1)) + 'General Info'!$B$41 - 1, 0)</f>
        <v>80290.770588091167</v>
      </c>
      <c r="W1936" s="100" t="str">
        <f>IF(ISERROR(MATCH(SamplingData[[#This Row],[Batch by Type (p)]],SelectedPrecincts[Batch Name], 0)), "", INDEX(SelectedPrecincts[Draw], MATCH(SamplingData[[#This Row],[Batch by Type (p)]],SelectedPrecincts[Batch Name], 0)))</f>
        <v/>
      </c>
      <c r="X1936" s="102">
        <f>IF(COUNTIF(SelectedPrecincts[Batch Name],SamplingData[[#This Row],[Batch by Type (p)]]) &lt;&gt; 0, COUNTIF(SelectedPrecincts[Batch Name],SamplingData[[#This Row],[Batch by Type (p)]]), 0)</f>
        <v>0</v>
      </c>
    </row>
    <row r="1937" spans="1:24" ht="15" customHeight="1">
      <c r="A1937" s="18" t="s">
        <v>2113</v>
      </c>
      <c r="B1937" s="18">
        <v>17</v>
      </c>
      <c r="C1937" s="18">
        <v>72</v>
      </c>
      <c r="D1937" s="16">
        <v>22</v>
      </c>
      <c r="E1937" s="16">
        <v>5</v>
      </c>
      <c r="F1937" s="37">
        <v>1</v>
      </c>
      <c r="G1937" s="37">
        <v>0</v>
      </c>
      <c r="H1937" s="17">
        <v>1</v>
      </c>
      <c r="I1937" s="17">
        <v>2</v>
      </c>
      <c r="J1937" s="99">
        <f>SUM(SamplingData[[#This Row],[Losing Candidate]:[Under Votes]])</f>
        <v>120</v>
      </c>
      <c r="K1937" s="100">
        <f>IF(AND(SamplingData[[#This Row],[Total]]&lt;&gt; 0, NOT(ISBLANK(SamplingData[[#This Row],[Losing Candidate]]))),(SamplingData[[#This Row],[Total]]+SamplingData[[#This Row],[Winning Candidate]]-SamplingData[[#This Row],[Losing Candidate]])/(SamplingData[[#Totals],[Winning Candidate]]-SamplingData[[#Totals],[Losing Candidate]]), 0)</f>
        <v>1.0717785399314061E-2</v>
      </c>
      <c r="L1937" s="100">
        <f>IF(AND(SamplingData[[#This Row],[Total]]&lt;&gt; 0, NOT(ISBLANK(SamplingData[[#This Row],[Candidate 3]]))),(SamplingData[[#This Row],[Total]]+SamplingData[[#This Row],[Winning Candidate]]-SamplingData[[#This Row],[Candidate 3]])/(SamplingData[[#Totals],[Winning Candidate]]-SamplingData[[#Totals],[Candidate 3]]), 0)</f>
        <v>5.4844017162951255E-3</v>
      </c>
      <c r="M1937" s="100">
        <f>IF(AND(SamplingData[[#This Row],[Total]]&lt;&gt; 0, NOT(ISBLANK(SamplingData[[#This Row],[Candidate 4]]))),(SamplingData[[#This Row],[Total]]+SamplingData[[#This Row],[Winning Candidate]]-SamplingData[[#This Row],[Candidate 4]])/(SamplingData[[#Totals],[Winning Candidate]]-SamplingData[[#Totals],[Candidate 4]]), 0)</f>
        <v>5.4663977315911015E-3</v>
      </c>
      <c r="N1937" s="100">
        <f>IF(AND(SamplingData[[#This Row],[Total]]&lt;&gt; 0, NOT(ISBLANK(SamplingData[[#This Row],[Candidate 5]]))),(SamplingData[[#This Row],[Total]]+SamplingData[[#This Row],[Winning Candidate]]-SamplingData[[#This Row],[Candidate 5]])/(SamplingData[[#Totals],[Winning Candidate]]-SamplingData[[#Totals],[Candidate 5]]), 0)</f>
        <v>4.6460715154463634E-3</v>
      </c>
      <c r="O1937" s="100">
        <f>IF(AND(SamplingData[[#This Row],[Total]]&lt;&gt; 0, NOT(ISBLANK(SamplingData[[#This Row],[Candidate 6]]))),(SamplingData[[#This Row],[Total]]+SamplingData[[#This Row],[Winning Candidate]]-SamplingData[[#This Row],[Candidate 6]])/(SamplingData[[#Totals],[Winning Candidate]]-SamplingData[[#Totals],[Candidate 6]]), 0)</f>
        <v>4.6690336073148195E-3</v>
      </c>
      <c r="P1937" s="100">
        <f>MAX(SamplingData[[#This Row],[Error Bound (up) - Max. possible relative overstatement - Losing Candidate]:[Error Bound (up) - Max. possible relative overstatement - Candidate 6]])</f>
        <v>1.0717785399314061E-2</v>
      </c>
      <c r="Q1937" s="100">
        <f>IF(SamplingData[[#This Row],[Max Error Bound (up)]] = 0,0,SamplingData[[#This Row],[Max Error Bound (up)]]/SamplingData[[#Totals],[Max Error Bound (up)]])</f>
        <v>1.6962659487280206E-3</v>
      </c>
      <c r="R1937" s="101">
        <f>SUM($Q$5:Q1937)</f>
        <v>0.80461397182963967</v>
      </c>
      <c r="S1937" s="100" t="str">
        <f t="array" ref="S1937">IF(SamplingData[[#This Row],[up/U Selection Probability]] = 0, "Zero", TEXT(SamplingData[[#This Row],[Lower Range]], REPT("0",LEN('General Info'!$B$40))) &amp; " - " &amp; TEXT(SamplingData[[#This Row],[Upper Range]], REPT("0",LEN('General Info'!$B$40))))</f>
        <v>80292 - 80460</v>
      </c>
      <c r="T1937" s="100">
        <f>SamplingData[[#This Row],[Upper Range]]-SamplingData[[#This Row],[Span]]</f>
        <v>80291.77228435711</v>
      </c>
      <c r="U1937" s="100">
        <f>IF(ISNUMBER('General Info'!$B$40), ((SamplingData[[#This Row],[up/U Selection Probability]]) * 'General Info'!$B$40) - 1, 0)</f>
        <v>168.62489860685332</v>
      </c>
      <c r="V1937" s="100">
        <f>IF(ISNUMBER('General Info'!$B$40), (SamplingData[[#This Row],[Running (cumulative) sum]] * ('General Info'!$B$40 -'General Info'!$B$41 + 1)) + 'General Info'!$B$41 - 1, 0)</f>
        <v>80460.397182963963</v>
      </c>
      <c r="W1937" s="100" t="str">
        <f>IF(ISERROR(MATCH(SamplingData[[#This Row],[Batch by Type (p)]],SelectedPrecincts[Batch Name], 0)), "", INDEX(SelectedPrecincts[Draw], MATCH(SamplingData[[#This Row],[Batch by Type (p)]],SelectedPrecincts[Batch Name], 0)))</f>
        <v/>
      </c>
      <c r="X1937" s="102">
        <f>IF(COUNTIF(SelectedPrecincts[Batch Name],SamplingData[[#This Row],[Batch by Type (p)]]) &lt;&gt; 0, COUNTIF(SelectedPrecincts[Batch Name],SamplingData[[#This Row],[Batch by Type (p)]]), 0)</f>
        <v>0</v>
      </c>
    </row>
    <row r="1938" spans="1:24" ht="15" customHeight="1">
      <c r="A1938" s="18" t="s">
        <v>2114</v>
      </c>
      <c r="B1938" s="18">
        <v>7</v>
      </c>
      <c r="C1938" s="18">
        <v>18</v>
      </c>
      <c r="D1938" s="18">
        <v>2</v>
      </c>
      <c r="E1938" s="18">
        <v>4</v>
      </c>
      <c r="F1938" s="18">
        <v>1</v>
      </c>
      <c r="G1938" s="18">
        <v>0</v>
      </c>
      <c r="H1938" s="18">
        <v>0</v>
      </c>
      <c r="I1938" s="18">
        <v>0</v>
      </c>
      <c r="J1938" s="99">
        <f>SUM(SamplingData[[#This Row],[Losing Candidate]:[Under Votes]])</f>
        <v>32</v>
      </c>
      <c r="K1938" s="100">
        <f>IF(AND(SamplingData[[#This Row],[Total]]&lt;&gt; 0, NOT(ISBLANK(SamplingData[[#This Row],[Losing Candidate]]))),(SamplingData[[#This Row],[Total]]+SamplingData[[#This Row],[Winning Candidate]]-SamplingData[[#This Row],[Losing Candidate]])/(SamplingData[[#Totals],[Winning Candidate]]-SamplingData[[#Totals],[Losing Candidate]]), 0)</f>
        <v>2.6335129838314553E-3</v>
      </c>
      <c r="L1938" s="100">
        <f>IF(AND(SamplingData[[#This Row],[Total]]&lt;&gt; 0, NOT(ISBLANK(SamplingData[[#This Row],[Candidate 3]]))),(SamplingData[[#This Row],[Total]]+SamplingData[[#This Row],[Winning Candidate]]-SamplingData[[#This Row],[Candidate 3]])/(SamplingData[[#Totals],[Winning Candidate]]-SamplingData[[#Totals],[Candidate 3]]), 0)</f>
        <v>1.5485369551892119E-3</v>
      </c>
      <c r="M1938" s="100">
        <f>IF(AND(SamplingData[[#This Row],[Total]]&lt;&gt; 0, NOT(ISBLANK(SamplingData[[#This Row],[Candidate 4]]))),(SamplingData[[#This Row],[Total]]+SamplingData[[#This Row],[Winning Candidate]]-SamplingData[[#This Row],[Candidate 4]])/(SamplingData[[#Totals],[Winning Candidate]]-SamplingData[[#Totals],[Candidate 4]]), 0)</f>
        <v>1.344675377824549E-3</v>
      </c>
      <c r="N1938" s="100">
        <f>IF(AND(SamplingData[[#This Row],[Total]]&lt;&gt; 0, NOT(ISBLANK(SamplingData[[#This Row],[Candidate 5]]))),(SamplingData[[#This Row],[Total]]+SamplingData[[#This Row],[Winning Candidate]]-SamplingData[[#This Row],[Candidate 5]])/(SamplingData[[#Totals],[Winning Candidate]]-SamplingData[[#Totals],[Candidate 5]]), 0)</f>
        <v>1.1919241060569204E-3</v>
      </c>
      <c r="O1938" s="100">
        <f>IF(AND(SamplingData[[#This Row],[Total]]&lt;&gt; 0, NOT(ISBLANK(SamplingData[[#This Row],[Candidate 6]]))),(SamplingData[[#This Row],[Total]]+SamplingData[[#This Row],[Winning Candidate]]-SamplingData[[#This Row],[Candidate 6]])/(SamplingData[[#Totals],[Winning Candidate]]-SamplingData[[#Totals],[Candidate 6]]), 0)</f>
        <v>1.2158941685715674E-3</v>
      </c>
      <c r="P1938" s="100">
        <f>MAX(SamplingData[[#This Row],[Error Bound (up) - Max. possible relative overstatement - Losing Candidate]:[Error Bound (up) - Max. possible relative overstatement - Candidate 6]])</f>
        <v>2.6335129838314553E-3</v>
      </c>
      <c r="Q1938" s="100">
        <f>IF(SamplingData[[#This Row],[Max Error Bound (up)]] = 0,0,SamplingData[[#This Row],[Max Error Bound (up)]]/SamplingData[[#Totals],[Max Error Bound (up)]])</f>
        <v>4.167967759731708E-4</v>
      </c>
      <c r="R1938" s="101">
        <f>SUM($Q$5:Q1938)</f>
        <v>0.80503076860561285</v>
      </c>
      <c r="S1938" s="100" t="str">
        <f t="array" ref="S1938">IF(SamplingData[[#This Row],[up/U Selection Probability]] = 0, "Zero", TEXT(SamplingData[[#This Row],[Lower Range]], REPT("0",LEN('General Info'!$B$40))) &amp; " - " &amp; TEXT(SamplingData[[#This Row],[Upper Range]], REPT("0",LEN('General Info'!$B$40))))</f>
        <v>80461 - 80502</v>
      </c>
      <c r="T1938" s="100">
        <f>SamplingData[[#This Row],[Upper Range]]-SamplingData[[#This Row],[Span]]</f>
        <v>80461.397599760749</v>
      </c>
      <c r="U1938" s="100">
        <f>IF(ISNUMBER('General Info'!$B$40), ((SamplingData[[#This Row],[up/U Selection Probability]]) * 'General Info'!$B$40) - 1, 0)</f>
        <v>40.679260800541108</v>
      </c>
      <c r="V1938" s="100">
        <f>IF(ISNUMBER('General Info'!$B$40), (SamplingData[[#This Row],[Running (cumulative) sum]] * ('General Info'!$B$40 -'General Info'!$B$41 + 1)) + 'General Info'!$B$41 - 1, 0)</f>
        <v>80502.076860561283</v>
      </c>
      <c r="W1938" s="100" t="str">
        <f>IF(ISERROR(MATCH(SamplingData[[#This Row],[Batch by Type (p)]],SelectedPrecincts[Batch Name], 0)), "", INDEX(SelectedPrecincts[Draw], MATCH(SamplingData[[#This Row],[Batch by Type (p)]],SelectedPrecincts[Batch Name], 0)))</f>
        <v/>
      </c>
      <c r="X1938" s="102">
        <f>IF(COUNTIF(SelectedPrecincts[Batch Name],SamplingData[[#This Row],[Batch by Type (p)]]) &lt;&gt; 0, COUNTIF(SelectedPrecincts[Batch Name],SamplingData[[#This Row],[Batch by Type (p)]]), 0)</f>
        <v>0</v>
      </c>
    </row>
    <row r="1939" spans="1:24" ht="15" customHeight="1">
      <c r="A1939" s="18" t="s">
        <v>2115</v>
      </c>
      <c r="B1939" s="18">
        <v>16</v>
      </c>
      <c r="C1939" s="18">
        <v>63</v>
      </c>
      <c r="D1939" s="16">
        <v>11</v>
      </c>
      <c r="E1939" s="16">
        <v>7</v>
      </c>
      <c r="F1939" s="37">
        <v>0</v>
      </c>
      <c r="G1939" s="37">
        <v>1</v>
      </c>
      <c r="H1939" s="17">
        <v>0</v>
      </c>
      <c r="I1939" s="17">
        <v>3</v>
      </c>
      <c r="J1939" s="99">
        <f>SUM(SamplingData[[#This Row],[Losing Candidate]:[Under Votes]])</f>
        <v>101</v>
      </c>
      <c r="K1939" s="100">
        <f>IF(AND(SamplingData[[#This Row],[Total]]&lt;&gt; 0, NOT(ISBLANK(SamplingData[[#This Row],[Losing Candidate]]))),(SamplingData[[#This Row],[Total]]+SamplingData[[#This Row],[Winning Candidate]]-SamplingData[[#This Row],[Losing Candidate]])/(SamplingData[[#Totals],[Winning Candidate]]-SamplingData[[#Totals],[Losing Candidate]]), 0)</f>
        <v>9.0641842234198914E-3</v>
      </c>
      <c r="L1939" s="100">
        <f>IF(AND(SamplingData[[#This Row],[Total]]&lt;&gt; 0, NOT(ISBLANK(SamplingData[[#This Row],[Candidate 3]]))),(SamplingData[[#This Row],[Total]]+SamplingData[[#This Row],[Winning Candidate]]-SamplingData[[#This Row],[Candidate 3]])/(SamplingData[[#Totals],[Winning Candidate]]-SamplingData[[#Totals],[Candidate 3]]), 0)</f>
        <v>4.935961544665613E-3</v>
      </c>
      <c r="M1939" s="100">
        <f>IF(AND(SamplingData[[#This Row],[Total]]&lt;&gt; 0, NOT(ISBLANK(SamplingData[[#This Row],[Candidate 4]]))),(SamplingData[[#This Row],[Total]]+SamplingData[[#This Row],[Winning Candidate]]-SamplingData[[#This Row],[Candidate 4]])/(SamplingData[[#Totals],[Winning Candidate]]-SamplingData[[#Totals],[Candidate 4]]), 0)</f>
        <v>4.5894355286620484E-3</v>
      </c>
      <c r="N1939" s="100">
        <f>IF(AND(SamplingData[[#This Row],[Total]]&lt;&gt; 0, NOT(ISBLANK(SamplingData[[#This Row],[Candidate 5]]))),(SamplingData[[#This Row],[Total]]+SamplingData[[#This Row],[Winning Candidate]]-SamplingData[[#This Row],[Candidate 5]])/(SamplingData[[#Totals],[Winning Candidate]]-SamplingData[[#Totals],[Candidate 5]]), 0)</f>
        <v>3.989297008027244E-3</v>
      </c>
      <c r="O1939" s="100">
        <f>IF(AND(SamplingData[[#This Row],[Total]]&lt;&gt; 0, NOT(ISBLANK(SamplingData[[#This Row],[Candidate 6]]))),(SamplingData[[#This Row],[Total]]+SamplingData[[#This Row],[Winning Candidate]]-SamplingData[[#This Row],[Candidate 6]])/(SamplingData[[#Totals],[Winning Candidate]]-SamplingData[[#Totals],[Candidate 6]]), 0)</f>
        <v>3.9638149895433105E-3</v>
      </c>
      <c r="P1939" s="100">
        <f>MAX(SamplingData[[#This Row],[Error Bound (up) - Max. possible relative overstatement - Losing Candidate]:[Error Bound (up) - Max. possible relative overstatement - Candidate 6]])</f>
        <v>9.0641842234198914E-3</v>
      </c>
      <c r="Q1939" s="100">
        <f>IF(SamplingData[[#This Row],[Max Error Bound (up)]] = 0,0,SamplingData[[#This Row],[Max Error Bound (up)]]/SamplingData[[#Totals],[Max Error Bound (up)]])</f>
        <v>1.434556345209983E-3</v>
      </c>
      <c r="R1939" s="101">
        <f>SUM($Q$5:Q1939)</f>
        <v>0.80646532495082279</v>
      </c>
      <c r="S1939" s="100" t="str">
        <f t="array" ref="S1939">IF(SamplingData[[#This Row],[up/U Selection Probability]] = 0, "Zero", TEXT(SamplingData[[#This Row],[Lower Range]], REPT("0",LEN('General Info'!$B$40))) &amp; " - " &amp; TEXT(SamplingData[[#This Row],[Upper Range]], REPT("0",LEN('General Info'!$B$40))))</f>
        <v>80503 - 80646</v>
      </c>
      <c r="T1939" s="100">
        <f>SamplingData[[#This Row],[Upper Range]]-SamplingData[[#This Row],[Span]]</f>
        <v>80503.078295117637</v>
      </c>
      <c r="U1939" s="100">
        <f>IF(ISNUMBER('General Info'!$B$40), ((SamplingData[[#This Row],[up/U Selection Probability]]) * 'General Info'!$B$40) - 1, 0)</f>
        <v>142.4541999646531</v>
      </c>
      <c r="V1939" s="100">
        <f>IF(ISNUMBER('General Info'!$B$40), (SamplingData[[#This Row],[Running (cumulative) sum]] * ('General Info'!$B$40 -'General Info'!$B$41 + 1)) + 'General Info'!$B$41 - 1, 0)</f>
        <v>80645.532495082283</v>
      </c>
      <c r="W1939" s="100">
        <f>IF(ISERROR(MATCH(SamplingData[[#This Row],[Batch by Type (p)]],SelectedPrecincts[Batch Name], 0)), "", INDEX(SelectedPrecincts[Draw], MATCH(SamplingData[[#This Row],[Batch by Type (p)]],SelectedPrecincts[Batch Name], 0)))</f>
        <v>1</v>
      </c>
      <c r="X1939" s="102">
        <f>IF(COUNTIF(SelectedPrecincts[Batch Name],SamplingData[[#This Row],[Batch by Type (p)]]) &lt;&gt; 0, COUNTIF(SelectedPrecincts[Batch Name],SamplingData[[#This Row],[Batch by Type (p)]]), 0)</f>
        <v>1</v>
      </c>
    </row>
    <row r="1940" spans="1:24" ht="15" customHeight="1">
      <c r="A1940" s="18" t="s">
        <v>2116</v>
      </c>
      <c r="B1940" s="18">
        <v>13</v>
      </c>
      <c r="C1940" s="18">
        <v>43</v>
      </c>
      <c r="D1940" s="18">
        <v>4</v>
      </c>
      <c r="E1940" s="18">
        <v>6</v>
      </c>
      <c r="F1940" s="18">
        <v>0</v>
      </c>
      <c r="G1940" s="18">
        <v>0</v>
      </c>
      <c r="H1940" s="18">
        <v>0</v>
      </c>
      <c r="I1940" s="18">
        <v>0</v>
      </c>
      <c r="J1940" s="99">
        <f>SUM(SamplingData[[#This Row],[Losing Candidate]:[Under Votes]])</f>
        <v>66</v>
      </c>
      <c r="K1940" s="100">
        <f>IF(AND(SamplingData[[#This Row],[Total]]&lt;&gt; 0, NOT(ISBLANK(SamplingData[[#This Row],[Losing Candidate]]))),(SamplingData[[#This Row],[Total]]+SamplingData[[#This Row],[Winning Candidate]]-SamplingData[[#This Row],[Losing Candidate]])/(SamplingData[[#Totals],[Winning Candidate]]-SamplingData[[#Totals],[Losing Candidate]]), 0)</f>
        <v>5.8794708476237138E-3</v>
      </c>
      <c r="L1940" s="100">
        <f>IF(AND(SamplingData[[#This Row],[Total]]&lt;&gt; 0, NOT(ISBLANK(SamplingData[[#This Row],[Candidate 3]]))),(SamplingData[[#This Row],[Total]]+SamplingData[[#This Row],[Winning Candidate]]-SamplingData[[#This Row],[Candidate 3]])/(SamplingData[[#Totals],[Winning Candidate]]-SamplingData[[#Totals],[Candidate 3]]), 0)</f>
        <v>3.3874245894764008E-3</v>
      </c>
      <c r="M1940" s="100">
        <f>IF(AND(SamplingData[[#This Row],[Total]]&lt;&gt; 0, NOT(ISBLANK(SamplingData[[#This Row],[Candidate 4]]))),(SamplingData[[#This Row],[Total]]+SamplingData[[#This Row],[Winning Candidate]]-SamplingData[[#This Row],[Candidate 4]])/(SamplingData[[#Totals],[Winning Candidate]]-SamplingData[[#Totals],[Candidate 4]]), 0)</f>
        <v>3.0109035633897512E-3</v>
      </c>
      <c r="N1940" s="100">
        <f>IF(AND(SamplingData[[#This Row],[Total]]&lt;&gt; 0, NOT(ISBLANK(SamplingData[[#This Row],[Candidate 5]]))),(SamplingData[[#This Row],[Total]]+SamplingData[[#This Row],[Winning Candidate]]-SamplingData[[#This Row],[Candidate 5]])/(SamplingData[[#Totals],[Winning Candidate]]-SamplingData[[#Totals],[Candidate 5]]), 0)</f>
        <v>2.6514230114327414E-3</v>
      </c>
      <c r="O1940" s="100">
        <f>IF(AND(SamplingData[[#This Row],[Total]]&lt;&gt; 0, NOT(ISBLANK(SamplingData[[#This Row],[Candidate 6]]))),(SamplingData[[#This Row],[Total]]+SamplingData[[#This Row],[Winning Candidate]]-SamplingData[[#This Row],[Candidate 6]])/(SamplingData[[#Totals],[Winning Candidate]]-SamplingData[[#Totals],[Candidate 6]]), 0)</f>
        <v>2.6506492874860173E-3</v>
      </c>
      <c r="P1940" s="100">
        <f>MAX(SamplingData[[#This Row],[Error Bound (up) - Max. possible relative overstatement - Losing Candidate]:[Error Bound (up) - Max. possible relative overstatement - Candidate 6]])</f>
        <v>5.8794708476237138E-3</v>
      </c>
      <c r="Q1940" s="100">
        <f>IF(SamplingData[[#This Row],[Max Error Bound (up)]] = 0,0,SamplingData[[#This Row],[Max Error Bound (up)]]/SamplingData[[#Totals],[Max Error Bound (up)]])</f>
        <v>9.3052303473079977E-4</v>
      </c>
      <c r="R1940" s="101">
        <f>SUM($Q$5:Q1940)</f>
        <v>0.80739584798555364</v>
      </c>
      <c r="S1940" s="100" t="str">
        <f t="array" ref="S1940">IF(SamplingData[[#This Row],[up/U Selection Probability]] = 0, "Zero", TEXT(SamplingData[[#This Row],[Lower Range]], REPT("0",LEN('General Info'!$B$40))) &amp; " - " &amp; TEXT(SamplingData[[#This Row],[Upper Range]], REPT("0",LEN('General Info'!$B$40))))</f>
        <v>80647 - 80739</v>
      </c>
      <c r="T1940" s="100">
        <f>SamplingData[[#This Row],[Upper Range]]-SamplingData[[#This Row],[Span]]</f>
        <v>80646.533425605332</v>
      </c>
      <c r="U1940" s="100">
        <f>IF(ISNUMBER('General Info'!$B$40), ((SamplingData[[#This Row],[up/U Selection Probability]]) * 'General Info'!$B$40) - 1, 0)</f>
        <v>92.051372950045248</v>
      </c>
      <c r="V1940" s="100">
        <f>IF(ISNUMBER('General Info'!$B$40), (SamplingData[[#This Row],[Running (cumulative) sum]] * ('General Info'!$B$40 -'General Info'!$B$41 + 1)) + 'General Info'!$B$41 - 1, 0)</f>
        <v>80738.58479855537</v>
      </c>
      <c r="W1940" s="100" t="str">
        <f>IF(ISERROR(MATCH(SamplingData[[#This Row],[Batch by Type (p)]],SelectedPrecincts[Batch Name], 0)), "", INDEX(SelectedPrecincts[Draw], MATCH(SamplingData[[#This Row],[Batch by Type (p)]],SelectedPrecincts[Batch Name], 0)))</f>
        <v/>
      </c>
      <c r="X1940" s="102">
        <f>IF(COUNTIF(SelectedPrecincts[Batch Name],SamplingData[[#This Row],[Batch by Type (p)]]) &lt;&gt; 0, COUNTIF(SelectedPrecincts[Batch Name],SamplingData[[#This Row],[Batch by Type (p)]]), 0)</f>
        <v>0</v>
      </c>
    </row>
    <row r="1941" spans="1:24" ht="15" customHeight="1">
      <c r="A1941" s="18" t="s">
        <v>2117</v>
      </c>
      <c r="B1941" s="18">
        <v>31</v>
      </c>
      <c r="C1941" s="18">
        <v>76</v>
      </c>
      <c r="D1941" s="16">
        <v>8</v>
      </c>
      <c r="E1941" s="16">
        <v>8</v>
      </c>
      <c r="F1941" s="37">
        <v>0</v>
      </c>
      <c r="G1941" s="37">
        <v>0</v>
      </c>
      <c r="H1941" s="17">
        <v>0</v>
      </c>
      <c r="I1941" s="17">
        <v>3</v>
      </c>
      <c r="J1941" s="99">
        <f>SUM(SamplingData[[#This Row],[Losing Candidate]:[Under Votes]])</f>
        <v>126</v>
      </c>
      <c r="K1941" s="100">
        <f>IF(AND(SamplingData[[#This Row],[Total]]&lt;&gt; 0, NOT(ISBLANK(SamplingData[[#This Row],[Losing Candidate]]))),(SamplingData[[#This Row],[Total]]+SamplingData[[#This Row],[Winning Candidate]]-SamplingData[[#This Row],[Losing Candidate]])/(SamplingData[[#Totals],[Winning Candidate]]-SamplingData[[#Totals],[Losing Candidate]]), 0)</f>
        <v>1.047280744732974E-2</v>
      </c>
      <c r="L1941" s="100">
        <f>IF(AND(SamplingData[[#This Row],[Total]]&lt;&gt; 0, NOT(ISBLANK(SamplingData[[#This Row],[Candidate 3]]))),(SamplingData[[#This Row],[Total]]+SamplingData[[#This Row],[Winning Candidate]]-SamplingData[[#This Row],[Candidate 3]])/(SamplingData[[#Totals],[Winning Candidate]]-SamplingData[[#Totals],[Candidate 3]]), 0)</f>
        <v>6.2586701938897316E-3</v>
      </c>
      <c r="M1941" s="100">
        <f>IF(AND(SamplingData[[#This Row],[Total]]&lt;&gt; 0, NOT(ISBLANK(SamplingData[[#This Row],[Candidate 4]]))),(SamplingData[[#This Row],[Total]]+SamplingData[[#This Row],[Winning Candidate]]-SamplingData[[#This Row],[Candidate 4]])/(SamplingData[[#Totals],[Winning Candidate]]-SamplingData[[#Totals],[Candidate 4]]), 0)</f>
        <v>5.6710222456078808E-3</v>
      </c>
      <c r="N1941" s="100">
        <f>IF(AND(SamplingData[[#This Row],[Total]]&lt;&gt; 0, NOT(ISBLANK(SamplingData[[#This Row],[Candidate 5]]))),(SamplingData[[#This Row],[Total]]+SamplingData[[#This Row],[Winning Candidate]]-SamplingData[[#This Row],[Candidate 5]])/(SamplingData[[#Totals],[Winning Candidate]]-SamplingData[[#Totals],[Candidate 5]]), 0)</f>
        <v>4.913646314765264E-3</v>
      </c>
      <c r="O1941" s="100">
        <f>IF(AND(SamplingData[[#This Row],[Total]]&lt;&gt; 0, NOT(ISBLANK(SamplingData[[#This Row],[Candidate 6]]))),(SamplingData[[#This Row],[Total]]+SamplingData[[#This Row],[Winning Candidate]]-SamplingData[[#This Row],[Candidate 6]])/(SamplingData[[#Totals],[Winning Candidate]]-SamplingData[[#Totals],[Candidate 6]]), 0)</f>
        <v>4.9122124410291325E-3</v>
      </c>
      <c r="P1941" s="100">
        <f>MAX(SamplingData[[#This Row],[Error Bound (up) - Max. possible relative overstatement - Losing Candidate]:[Error Bound (up) - Max. possible relative overstatement - Candidate 6]])</f>
        <v>1.047280744732974E-2</v>
      </c>
      <c r="Q1941" s="100">
        <f>IF(SamplingData[[#This Row],[Max Error Bound (up)]] = 0,0,SamplingData[[#This Row],[Max Error Bound (up)]]/SamplingData[[#Totals],[Max Error Bound (up)]])</f>
        <v>1.6574941556142372E-3</v>
      </c>
      <c r="R1941" s="101">
        <f>SUM($Q$5:Q1941)</f>
        <v>0.80905334214116786</v>
      </c>
      <c r="S1941" s="100" t="str">
        <f t="array" ref="S1941">IF(SamplingData[[#This Row],[up/U Selection Probability]] = 0, "Zero", TEXT(SamplingData[[#This Row],[Lower Range]], REPT("0",LEN('General Info'!$B$40))) &amp; " - " &amp; TEXT(SamplingData[[#This Row],[Upper Range]], REPT("0",LEN('General Info'!$B$40))))</f>
        <v>80740 - 80904</v>
      </c>
      <c r="T1941" s="100">
        <f>SamplingData[[#This Row],[Upper Range]]-SamplingData[[#This Row],[Span]]</f>
        <v>80739.58645604951</v>
      </c>
      <c r="U1941" s="100">
        <f>IF(ISNUMBER('General Info'!$B$40), ((SamplingData[[#This Row],[up/U Selection Probability]]) * 'General Info'!$B$40) - 1, 0)</f>
        <v>164.74775806726811</v>
      </c>
      <c r="V1941" s="100">
        <f>IF(ISNUMBER('General Info'!$B$40), (SamplingData[[#This Row],[Running (cumulative) sum]] * ('General Info'!$B$40 -'General Info'!$B$41 + 1)) + 'General Info'!$B$41 - 1, 0)</f>
        <v>80904.334214116781</v>
      </c>
      <c r="W1941" s="100" t="str">
        <f>IF(ISERROR(MATCH(SamplingData[[#This Row],[Batch by Type (p)]],SelectedPrecincts[Batch Name], 0)), "", INDEX(SelectedPrecincts[Draw], MATCH(SamplingData[[#This Row],[Batch by Type (p)]],SelectedPrecincts[Batch Name], 0)))</f>
        <v/>
      </c>
      <c r="X1941" s="102">
        <f>IF(COUNTIF(SelectedPrecincts[Batch Name],SamplingData[[#This Row],[Batch by Type (p)]]) &lt;&gt; 0, COUNTIF(SelectedPrecincts[Batch Name],SamplingData[[#This Row],[Batch by Type (p)]]), 0)</f>
        <v>0</v>
      </c>
    </row>
    <row r="1942" spans="1:24" ht="15" customHeight="1">
      <c r="A1942" s="18" t="s">
        <v>2118</v>
      </c>
      <c r="B1942" s="18">
        <v>15</v>
      </c>
      <c r="C1942" s="18">
        <v>25</v>
      </c>
      <c r="D1942" s="18">
        <v>1</v>
      </c>
      <c r="E1942" s="18">
        <v>3</v>
      </c>
      <c r="F1942" s="18">
        <v>0</v>
      </c>
      <c r="G1942" s="18">
        <v>0</v>
      </c>
      <c r="H1942" s="18">
        <v>0</v>
      </c>
      <c r="I1942" s="18">
        <v>0</v>
      </c>
      <c r="J1942" s="99">
        <f>SUM(SamplingData[[#This Row],[Losing Candidate]:[Under Votes]])</f>
        <v>44</v>
      </c>
      <c r="K1942"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1942" s="100">
        <f>IF(AND(SamplingData[[#This Row],[Total]]&lt;&gt; 0, NOT(ISBLANK(SamplingData[[#This Row],[Candidate 3]]))),(SamplingData[[#This Row],[Total]]+SamplingData[[#This Row],[Winning Candidate]]-SamplingData[[#This Row],[Candidate 3]])/(SamplingData[[#Totals],[Winning Candidate]]-SamplingData[[#Totals],[Candidate 3]]), 0)</f>
        <v>2.1937606865180502E-3</v>
      </c>
      <c r="M1942" s="100">
        <f>IF(AND(SamplingData[[#This Row],[Total]]&lt;&gt; 0, NOT(ISBLANK(SamplingData[[#This Row],[Candidate 4]]))),(SamplingData[[#This Row],[Total]]+SamplingData[[#This Row],[Winning Candidate]]-SamplingData[[#This Row],[Candidate 4]])/(SamplingData[[#Totals],[Winning Candidate]]-SamplingData[[#Totals],[Candidate 4]]), 0)</f>
        <v>1.9293168464439184E-3</v>
      </c>
      <c r="N1942" s="100">
        <f>IF(AND(SamplingData[[#This Row],[Total]]&lt;&gt; 0, NOT(ISBLANK(SamplingData[[#This Row],[Candidate 5]]))),(SamplingData[[#This Row],[Total]]+SamplingData[[#This Row],[Winning Candidate]]-SamplingData[[#This Row],[Candidate 5]])/(SamplingData[[#Totals],[Winning Candidate]]-SamplingData[[#Totals],[Candidate 5]]), 0)</f>
        <v>1.678423741182194E-3</v>
      </c>
      <c r="O1942" s="100">
        <f>IF(AND(SamplingData[[#This Row],[Total]]&lt;&gt; 0, NOT(ISBLANK(SamplingData[[#This Row],[Candidate 6]]))),(SamplingData[[#This Row],[Total]]+SamplingData[[#This Row],[Winning Candidate]]-SamplingData[[#This Row],[Candidate 6]])/(SamplingData[[#Totals],[Winning Candidate]]-SamplingData[[#Totals],[Candidate 6]]), 0)</f>
        <v>1.6779339526287631E-3</v>
      </c>
      <c r="P1942" s="100">
        <f>MAX(SamplingData[[#This Row],[Error Bound (up) - Max. possible relative overstatement - Losing Candidate]:[Error Bound (up) - Max. possible relative overstatement - Candidate 6]])</f>
        <v>3.3072023517883389E-3</v>
      </c>
      <c r="Q1942" s="100">
        <f>IF(SamplingData[[#This Row],[Max Error Bound (up)]] = 0,0,SamplingData[[#This Row],[Max Error Bound (up)]]/SamplingData[[#Totals],[Max Error Bound (up)]])</f>
        <v>5.2341920703607493E-4</v>
      </c>
      <c r="R1942" s="101">
        <f>SUM($Q$5:Q1942)</f>
        <v>0.80957676134820389</v>
      </c>
      <c r="S1942" s="100" t="str">
        <f t="array" ref="S1942">IF(SamplingData[[#This Row],[up/U Selection Probability]] = 0, "Zero", TEXT(SamplingData[[#This Row],[Lower Range]], REPT("0",LEN('General Info'!$B$40))) &amp; " - " &amp; TEXT(SamplingData[[#This Row],[Upper Range]], REPT("0",LEN('General Info'!$B$40))))</f>
        <v>80905 - 80957</v>
      </c>
      <c r="T1942" s="100">
        <f>SamplingData[[#This Row],[Upper Range]]-SamplingData[[#This Row],[Span]]</f>
        <v>80905.334737535988</v>
      </c>
      <c r="U1942" s="100">
        <f>IF(ISNUMBER('General Info'!$B$40), ((SamplingData[[#This Row],[up/U Selection Probability]]) * 'General Info'!$B$40) - 1, 0)</f>
        <v>51.341397284400458</v>
      </c>
      <c r="V1942" s="100">
        <f>IF(ISNUMBER('General Info'!$B$40), (SamplingData[[#This Row],[Running (cumulative) sum]] * ('General Info'!$B$40 -'General Info'!$B$41 + 1)) + 'General Info'!$B$41 - 1, 0)</f>
        <v>80956.676134820387</v>
      </c>
      <c r="W1942" s="100" t="str">
        <f>IF(ISERROR(MATCH(SamplingData[[#This Row],[Batch by Type (p)]],SelectedPrecincts[Batch Name], 0)), "", INDEX(SelectedPrecincts[Draw], MATCH(SamplingData[[#This Row],[Batch by Type (p)]],SelectedPrecincts[Batch Name], 0)))</f>
        <v/>
      </c>
      <c r="X1942" s="102">
        <f>IF(COUNTIF(SelectedPrecincts[Batch Name],SamplingData[[#This Row],[Batch by Type (p)]]) &lt;&gt; 0, COUNTIF(SelectedPrecincts[Batch Name],SamplingData[[#This Row],[Batch by Type (p)]]), 0)</f>
        <v>0</v>
      </c>
    </row>
    <row r="1943" spans="1:24" ht="15" customHeight="1">
      <c r="A1943" s="18" t="s">
        <v>2119</v>
      </c>
      <c r="B1943" s="18">
        <v>18</v>
      </c>
      <c r="C1943" s="18">
        <v>56</v>
      </c>
      <c r="D1943" s="16">
        <v>5</v>
      </c>
      <c r="E1943" s="16">
        <v>4</v>
      </c>
      <c r="F1943" s="37">
        <v>2</v>
      </c>
      <c r="G1943" s="37">
        <v>0</v>
      </c>
      <c r="H1943" s="17">
        <v>0</v>
      </c>
      <c r="I1943" s="17">
        <v>2</v>
      </c>
      <c r="J1943" s="99">
        <f>SUM(SamplingData[[#This Row],[Losing Candidate]:[Under Votes]])</f>
        <v>87</v>
      </c>
      <c r="K1943" s="100">
        <f>IF(AND(SamplingData[[#This Row],[Total]]&lt;&gt; 0, NOT(ISBLANK(SamplingData[[#This Row],[Losing Candidate]]))),(SamplingData[[#This Row],[Total]]+SamplingData[[#This Row],[Winning Candidate]]-SamplingData[[#This Row],[Losing Candidate]])/(SamplingData[[#Totals],[Winning Candidate]]-SamplingData[[#Totals],[Losing Candidate]]), 0)</f>
        <v>7.6555609995100438E-3</v>
      </c>
      <c r="L1943" s="100">
        <f>IF(AND(SamplingData[[#This Row],[Total]]&lt;&gt; 0, NOT(ISBLANK(SamplingData[[#This Row],[Candidate 3]]))),(SamplingData[[#This Row],[Total]]+SamplingData[[#This Row],[Winning Candidate]]-SamplingData[[#This Row],[Candidate 3]])/(SamplingData[[#Totals],[Winning Candidate]]-SamplingData[[#Totals],[Candidate 3]]), 0)</f>
        <v>4.4520437461689844E-3</v>
      </c>
      <c r="M1943" s="100">
        <f>IF(AND(SamplingData[[#This Row],[Total]]&lt;&gt; 0, NOT(ISBLANK(SamplingData[[#This Row],[Candidate 4]]))),(SamplingData[[#This Row],[Total]]+SamplingData[[#This Row],[Winning Candidate]]-SamplingData[[#This Row],[Candidate 4]])/(SamplingData[[#Totals],[Winning Candidate]]-SamplingData[[#Totals],[Candidate 4]]), 0)</f>
        <v>4.063258206904616E-3</v>
      </c>
      <c r="N1943" s="100">
        <f>IF(AND(SamplingData[[#This Row],[Total]]&lt;&gt; 0, NOT(ISBLANK(SamplingData[[#This Row],[Candidate 5]]))),(SamplingData[[#This Row],[Total]]+SamplingData[[#This Row],[Winning Candidate]]-SamplingData[[#This Row],[Candidate 5]])/(SamplingData[[#Totals],[Winning Candidate]]-SamplingData[[#Totals],[Candidate 5]]), 0)</f>
        <v>3.4298224276331792E-3</v>
      </c>
      <c r="O1943" s="100">
        <f>IF(AND(SamplingData[[#This Row],[Total]]&lt;&gt; 0, NOT(ISBLANK(SamplingData[[#This Row],[Candidate 6]]))),(SamplingData[[#This Row],[Total]]+SamplingData[[#This Row],[Winning Candidate]]-SamplingData[[#This Row],[Candidate 6]])/(SamplingData[[#Totals],[Winning Candidate]]-SamplingData[[#Totals],[Candidate 6]]), 0)</f>
        <v>3.4774573221146832E-3</v>
      </c>
      <c r="P1943" s="100">
        <f>MAX(SamplingData[[#This Row],[Error Bound (up) - Max. possible relative overstatement - Losing Candidate]:[Error Bound (up) - Max. possible relative overstatement - Candidate 6]])</f>
        <v>7.6555609995100438E-3</v>
      </c>
      <c r="Q1943" s="100">
        <f>IF(SamplingData[[#This Row],[Max Error Bound (up)]] = 0,0,SamplingData[[#This Row],[Max Error Bound (up)]]/SamplingData[[#Totals],[Max Error Bound (up)]])</f>
        <v>1.2116185348057288E-3</v>
      </c>
      <c r="R1943" s="101">
        <f>SUM($Q$5:Q1943)</f>
        <v>0.81078837988300967</v>
      </c>
      <c r="S1943" s="100" t="str">
        <f t="array" ref="S1943">IF(SamplingData[[#This Row],[up/U Selection Probability]] = 0, "Zero", TEXT(SamplingData[[#This Row],[Lower Range]], REPT("0",LEN('General Info'!$B$40))) &amp; " - " &amp; TEXT(SamplingData[[#This Row],[Upper Range]], REPT("0",LEN('General Info'!$B$40))))</f>
        <v>80958 - 81078</v>
      </c>
      <c r="T1943" s="100">
        <f>SamplingData[[#This Row],[Upper Range]]-SamplingData[[#This Row],[Span]]</f>
        <v>80957.677346438926</v>
      </c>
      <c r="U1943" s="100">
        <f>IF(ISNUMBER('General Info'!$B$40), ((SamplingData[[#This Row],[up/U Selection Probability]]) * 'General Info'!$B$40) - 1, 0)</f>
        <v>120.16064186203808</v>
      </c>
      <c r="V1943" s="100">
        <f>IF(ISNUMBER('General Info'!$B$40), (SamplingData[[#This Row],[Running (cumulative) sum]] * ('General Info'!$B$40 -'General Info'!$B$41 + 1)) + 'General Info'!$B$41 - 1, 0)</f>
        <v>81077.837988300962</v>
      </c>
      <c r="W1943" s="100" t="str">
        <f>IF(ISERROR(MATCH(SamplingData[[#This Row],[Batch by Type (p)]],SelectedPrecincts[Batch Name], 0)), "", INDEX(SelectedPrecincts[Draw], MATCH(SamplingData[[#This Row],[Batch by Type (p)]],SelectedPrecincts[Batch Name], 0)))</f>
        <v/>
      </c>
      <c r="X1943" s="102">
        <f>IF(COUNTIF(SelectedPrecincts[Batch Name],SamplingData[[#This Row],[Batch by Type (p)]]) &lt;&gt; 0, COUNTIF(SelectedPrecincts[Batch Name],SamplingData[[#This Row],[Batch by Type (p)]]), 0)</f>
        <v>0</v>
      </c>
    </row>
    <row r="1944" spans="1:24" ht="15" customHeight="1">
      <c r="A1944" s="18" t="s">
        <v>2120</v>
      </c>
      <c r="B1944" s="18">
        <v>8</v>
      </c>
      <c r="C1944" s="18">
        <v>15</v>
      </c>
      <c r="D1944" s="18">
        <v>7</v>
      </c>
      <c r="E1944" s="18">
        <v>0</v>
      </c>
      <c r="F1944" s="18">
        <v>0</v>
      </c>
      <c r="G1944" s="18">
        <v>0</v>
      </c>
      <c r="H1944" s="18">
        <v>0</v>
      </c>
      <c r="I1944" s="18">
        <v>1</v>
      </c>
      <c r="J1944" s="99">
        <f>SUM(SamplingData[[#This Row],[Losing Candidate]:[Under Votes]])</f>
        <v>31</v>
      </c>
      <c r="K1944"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1944" s="100">
        <f>IF(AND(SamplingData[[#This Row],[Total]]&lt;&gt; 0, NOT(ISBLANK(SamplingData[[#This Row],[Candidate 3]]))),(SamplingData[[#This Row],[Total]]+SamplingData[[#This Row],[Winning Candidate]]-SamplingData[[#This Row],[Candidate 3]])/(SamplingData[[#Totals],[Winning Candidate]]-SamplingData[[#Totals],[Candidate 3]]), 0)</f>
        <v>1.2581862760912346E-3</v>
      </c>
      <c r="M1944" s="100">
        <f>IF(AND(SamplingData[[#This Row],[Total]]&lt;&gt; 0, NOT(ISBLANK(SamplingData[[#This Row],[Candidate 4]]))),(SamplingData[[#This Row],[Total]]+SamplingData[[#This Row],[Winning Candidate]]-SamplingData[[#This Row],[Candidate 4]])/(SamplingData[[#Totals],[Winning Candidate]]-SamplingData[[#Totals],[Candidate 4]]), 0)</f>
        <v>1.344675377824549E-3</v>
      </c>
      <c r="N1944" s="100">
        <f>IF(AND(SamplingData[[#This Row],[Total]]&lt;&gt; 0, NOT(ISBLANK(SamplingData[[#This Row],[Candidate 5]]))),(SamplingData[[#This Row],[Total]]+SamplingData[[#This Row],[Winning Candidate]]-SamplingData[[#This Row],[Candidate 5]])/(SamplingData[[#Totals],[Winning Candidate]]-SamplingData[[#Totals],[Candidate 5]]), 0)</f>
        <v>1.1189491607881295E-3</v>
      </c>
      <c r="O1944" s="100">
        <f>IF(AND(SamplingData[[#This Row],[Total]]&lt;&gt; 0, NOT(ISBLANK(SamplingData[[#This Row],[Candidate 6]]))),(SamplingData[[#This Row],[Total]]+SamplingData[[#This Row],[Winning Candidate]]-SamplingData[[#This Row],[Candidate 6]])/(SamplingData[[#Totals],[Winning Candidate]]-SamplingData[[#Totals],[Candidate 6]]), 0)</f>
        <v>1.1186226350858421E-3</v>
      </c>
      <c r="P1944" s="100">
        <f>MAX(SamplingData[[#This Row],[Error Bound (up) - Max. possible relative overstatement - Losing Candidate]:[Error Bound (up) - Max. possible relative overstatement - Candidate 6]])</f>
        <v>2.3272905438510533E-3</v>
      </c>
      <c r="Q1944" s="100">
        <f>IF(SamplingData[[#This Row],[Max Error Bound (up)]] = 0,0,SamplingData[[#This Row],[Max Error Bound (up)]]/SamplingData[[#Totals],[Max Error Bound (up)]])</f>
        <v>3.683320345809416E-4</v>
      </c>
      <c r="R1944" s="101">
        <f>SUM($Q$5:Q1944)</f>
        <v>0.81115671191759064</v>
      </c>
      <c r="S1944" s="100" t="str">
        <f t="array" ref="S1944">IF(SamplingData[[#This Row],[up/U Selection Probability]] = 0, "Zero", TEXT(SamplingData[[#This Row],[Lower Range]], REPT("0",LEN('General Info'!$B$40))) &amp; " - " &amp; TEXT(SamplingData[[#This Row],[Upper Range]], REPT("0",LEN('General Info'!$B$40))))</f>
        <v>81079 - 81115</v>
      </c>
      <c r="T1944" s="100">
        <f>SamplingData[[#This Row],[Upper Range]]-SamplingData[[#This Row],[Span]]</f>
        <v>81078.838356633001</v>
      </c>
      <c r="U1944" s="100">
        <f>IF(ISNUMBER('General Info'!$B$40), ((SamplingData[[#This Row],[up/U Selection Probability]]) * 'General Info'!$B$40) - 1, 0)</f>
        <v>35.832835126059578</v>
      </c>
      <c r="V1944" s="100">
        <f>IF(ISNUMBER('General Info'!$B$40), (SamplingData[[#This Row],[Running (cumulative) sum]] * ('General Info'!$B$40 -'General Info'!$B$41 + 1)) + 'General Info'!$B$41 - 1, 0)</f>
        <v>81114.671191759058</v>
      </c>
      <c r="W1944" s="100" t="str">
        <f>IF(ISERROR(MATCH(SamplingData[[#This Row],[Batch by Type (p)]],SelectedPrecincts[Batch Name], 0)), "", INDEX(SelectedPrecincts[Draw], MATCH(SamplingData[[#This Row],[Batch by Type (p)]],SelectedPrecincts[Batch Name], 0)))</f>
        <v/>
      </c>
      <c r="X1944" s="102">
        <f>IF(COUNTIF(SelectedPrecincts[Batch Name],SamplingData[[#This Row],[Batch by Type (p)]]) &lt;&gt; 0, COUNTIF(SelectedPrecincts[Batch Name],SamplingData[[#This Row],[Batch by Type (p)]]), 0)</f>
        <v>0</v>
      </c>
    </row>
    <row r="1945" spans="1:24" ht="15" customHeight="1">
      <c r="A1945" s="18" t="s">
        <v>2121</v>
      </c>
      <c r="B1945" s="18">
        <v>7</v>
      </c>
      <c r="C1945" s="18">
        <v>23</v>
      </c>
      <c r="D1945" s="16">
        <v>12</v>
      </c>
      <c r="E1945" s="16">
        <v>7</v>
      </c>
      <c r="F1945" s="37">
        <v>0</v>
      </c>
      <c r="G1945" s="37">
        <v>0</v>
      </c>
      <c r="H1945" s="17">
        <v>0</v>
      </c>
      <c r="I1945" s="17">
        <v>2</v>
      </c>
      <c r="J1945" s="99">
        <f>SUM(SamplingData[[#This Row],[Losing Candidate]:[Under Votes]])</f>
        <v>51</v>
      </c>
      <c r="K1945" s="100">
        <f>IF(AND(SamplingData[[#This Row],[Total]]&lt;&gt; 0, NOT(ISBLANK(SamplingData[[#This Row],[Losing Candidate]]))),(SamplingData[[#This Row],[Total]]+SamplingData[[#This Row],[Winning Candidate]]-SamplingData[[#This Row],[Losing Candidate]])/(SamplingData[[#Totals],[Winning Candidate]]-SamplingData[[#Totals],[Losing Candidate]]), 0)</f>
        <v>4.1033806957373837E-3</v>
      </c>
      <c r="L1945" s="100">
        <f>IF(AND(SamplingData[[#This Row],[Total]]&lt;&gt; 0, NOT(ISBLANK(SamplingData[[#This Row],[Candidate 3]]))),(SamplingData[[#This Row],[Total]]+SamplingData[[#This Row],[Winning Candidate]]-SamplingData[[#This Row],[Candidate 3]])/(SamplingData[[#Totals],[Winning Candidate]]-SamplingData[[#Totals],[Candidate 3]]), 0)</f>
        <v>2.0001935671193987E-3</v>
      </c>
      <c r="M1945" s="100">
        <f>IF(AND(SamplingData[[#This Row],[Total]]&lt;&gt; 0, NOT(ISBLANK(SamplingData[[#This Row],[Candidate 4]]))),(SamplingData[[#This Row],[Total]]+SamplingData[[#This Row],[Winning Candidate]]-SamplingData[[#This Row],[Candidate 4]])/(SamplingData[[#Totals],[Winning Candidate]]-SamplingData[[#Totals],[Candidate 4]]), 0)</f>
        <v>1.9585489198748868E-3</v>
      </c>
      <c r="N1945" s="100">
        <f>IF(AND(SamplingData[[#This Row],[Total]]&lt;&gt; 0, NOT(ISBLANK(SamplingData[[#This Row],[Candidate 5]]))),(SamplingData[[#This Row],[Total]]+SamplingData[[#This Row],[Winning Candidate]]-SamplingData[[#This Row],[Candidate 5]])/(SamplingData[[#Totals],[Winning Candidate]]-SamplingData[[#Totals],[Candidate 5]]), 0)</f>
        <v>1.8000486499635125E-3</v>
      </c>
      <c r="O1945" s="100">
        <f>IF(AND(SamplingData[[#This Row],[Total]]&lt;&gt; 0, NOT(ISBLANK(SamplingData[[#This Row],[Candidate 6]]))),(SamplingData[[#This Row],[Total]]+SamplingData[[#This Row],[Winning Candidate]]-SamplingData[[#This Row],[Candidate 6]])/(SamplingData[[#Totals],[Winning Candidate]]-SamplingData[[#Totals],[Candidate 6]]), 0)</f>
        <v>1.7995233694859199E-3</v>
      </c>
      <c r="P1945" s="100">
        <f>MAX(SamplingData[[#This Row],[Error Bound (up) - Max. possible relative overstatement - Losing Candidate]:[Error Bound (up) - Max. possible relative overstatement - Candidate 6]])</f>
        <v>4.1033806957373837E-3</v>
      </c>
      <c r="Q1945" s="100">
        <f>IF(SamplingData[[#This Row],[Max Error Bound (up)]] = 0,0,SamplingData[[#This Row],[Max Error Bound (up)]]/SamplingData[[#Totals],[Max Error Bound (up)]])</f>
        <v>6.4942753465587074E-4</v>
      </c>
      <c r="R1945" s="101">
        <f>SUM($Q$5:Q1945)</f>
        <v>0.81180613945224656</v>
      </c>
      <c r="S1945" s="100" t="str">
        <f t="array" ref="S1945">IF(SamplingData[[#This Row],[up/U Selection Probability]] = 0, "Zero", TEXT(SamplingData[[#This Row],[Lower Range]], REPT("0",LEN('General Info'!$B$40))) &amp; " - " &amp; TEXT(SamplingData[[#This Row],[Upper Range]], REPT("0",LEN('General Info'!$B$40))))</f>
        <v>81116 - 81180</v>
      </c>
      <c r="T1945" s="100">
        <f>SamplingData[[#This Row],[Upper Range]]-SamplingData[[#This Row],[Span]]</f>
        <v>81115.671841186602</v>
      </c>
      <c r="U1945" s="100">
        <f>IF(ISNUMBER('General Info'!$B$40), ((SamplingData[[#This Row],[up/U Selection Probability]]) * 'General Info'!$B$40) - 1, 0)</f>
        <v>63.94210403805242</v>
      </c>
      <c r="V1945" s="100">
        <f>IF(ISNUMBER('General Info'!$B$40), (SamplingData[[#This Row],[Running (cumulative) sum]] * ('General Info'!$B$40 -'General Info'!$B$41 + 1)) + 'General Info'!$B$41 - 1, 0)</f>
        <v>81179.613945224657</v>
      </c>
      <c r="W1945" s="100" t="str">
        <f>IF(ISERROR(MATCH(SamplingData[[#This Row],[Batch by Type (p)]],SelectedPrecincts[Batch Name], 0)), "", INDEX(SelectedPrecincts[Draw], MATCH(SamplingData[[#This Row],[Batch by Type (p)]],SelectedPrecincts[Batch Name], 0)))</f>
        <v/>
      </c>
      <c r="X1945" s="102">
        <f>IF(COUNTIF(SelectedPrecincts[Batch Name],SamplingData[[#This Row],[Batch by Type (p)]]) &lt;&gt; 0, COUNTIF(SelectedPrecincts[Batch Name],SamplingData[[#This Row],[Batch by Type (p)]]), 0)</f>
        <v>0</v>
      </c>
    </row>
    <row r="1946" spans="1:24" ht="15" customHeight="1">
      <c r="A1946" s="18" t="s">
        <v>2122</v>
      </c>
      <c r="B1946" s="18">
        <v>7</v>
      </c>
      <c r="C1946" s="18">
        <v>12</v>
      </c>
      <c r="D1946" s="18">
        <v>2</v>
      </c>
      <c r="E1946" s="18">
        <v>1</v>
      </c>
      <c r="F1946" s="18">
        <v>0</v>
      </c>
      <c r="G1946" s="18">
        <v>0</v>
      </c>
      <c r="H1946" s="18">
        <v>0</v>
      </c>
      <c r="I1946" s="18">
        <v>0</v>
      </c>
      <c r="J1946" s="99">
        <f>SUM(SamplingData[[#This Row],[Losing Candidate]:[Under Votes]])</f>
        <v>22</v>
      </c>
      <c r="K1946" s="100">
        <f>IF(AND(SamplingData[[#This Row],[Total]]&lt;&gt; 0, NOT(ISBLANK(SamplingData[[#This Row],[Losing Candidate]]))),(SamplingData[[#This Row],[Total]]+SamplingData[[#This Row],[Winning Candidate]]-SamplingData[[#This Row],[Losing Candidate]])/(SamplingData[[#Totals],[Winning Candidate]]-SamplingData[[#Totals],[Losing Candidate]]), 0)</f>
        <v>1.6536011758941694E-3</v>
      </c>
      <c r="L1946" s="100">
        <f>IF(AND(SamplingData[[#This Row],[Total]]&lt;&gt; 0, NOT(ISBLANK(SamplingData[[#This Row],[Candidate 3]]))),(SamplingData[[#This Row],[Total]]+SamplingData[[#This Row],[Winning Candidate]]-SamplingData[[#This Row],[Candidate 3]])/(SamplingData[[#Totals],[Winning Candidate]]-SamplingData[[#Totals],[Candidate 3]]), 0)</f>
        <v>1.0323579701261413E-3</v>
      </c>
      <c r="M1946" s="100">
        <f>IF(AND(SamplingData[[#This Row],[Total]]&lt;&gt; 0, NOT(ISBLANK(SamplingData[[#This Row],[Candidate 4]]))),(SamplingData[[#This Row],[Total]]+SamplingData[[#This Row],[Winning Candidate]]-SamplingData[[#This Row],[Candidate 4]])/(SamplingData[[#Totals],[Winning Candidate]]-SamplingData[[#Totals],[Candidate 4]]), 0)</f>
        <v>9.6465842322195918E-4</v>
      </c>
      <c r="N1946" s="100">
        <f>IF(AND(SamplingData[[#This Row],[Total]]&lt;&gt; 0, NOT(ISBLANK(SamplingData[[#This Row],[Candidate 5]]))),(SamplingData[[#This Row],[Total]]+SamplingData[[#This Row],[Winning Candidate]]-SamplingData[[#This Row],[Candidate 5]])/(SamplingData[[#Totals],[Winning Candidate]]-SamplingData[[#Totals],[Candidate 5]]), 0)</f>
        <v>8.2704937971296523E-4</v>
      </c>
      <c r="O1946" s="100">
        <f>IF(AND(SamplingData[[#This Row],[Total]]&lt;&gt; 0, NOT(ISBLANK(SamplingData[[#This Row],[Candidate 6]]))),(SamplingData[[#This Row],[Total]]+SamplingData[[#This Row],[Winning Candidate]]-SamplingData[[#This Row],[Candidate 6]])/(SamplingData[[#Totals],[Winning Candidate]]-SamplingData[[#Totals],[Candidate 6]]), 0)</f>
        <v>8.2680803462866588E-4</v>
      </c>
      <c r="P1946" s="100">
        <f>MAX(SamplingData[[#This Row],[Error Bound (up) - Max. possible relative overstatement - Losing Candidate]:[Error Bound (up) - Max. possible relative overstatement - Candidate 6]])</f>
        <v>1.6536011758941694E-3</v>
      </c>
      <c r="Q1946" s="100">
        <f>IF(SamplingData[[#This Row],[Max Error Bound (up)]] = 0,0,SamplingData[[#This Row],[Max Error Bound (up)]]/SamplingData[[#Totals],[Max Error Bound (up)]])</f>
        <v>2.6170960351803746E-4</v>
      </c>
      <c r="R1946" s="101">
        <f>SUM($Q$5:Q1946)</f>
        <v>0.81206784905576457</v>
      </c>
      <c r="S1946" s="100" t="str">
        <f t="array" ref="S1946">IF(SamplingData[[#This Row],[up/U Selection Probability]] = 0, "Zero", TEXT(SamplingData[[#This Row],[Lower Range]], REPT("0",LEN('General Info'!$B$40))) &amp; " - " &amp; TEXT(SamplingData[[#This Row],[Upper Range]], REPT("0",LEN('General Info'!$B$40))))</f>
        <v>81181 - 81206</v>
      </c>
      <c r="T1946" s="100">
        <f>SamplingData[[#This Row],[Upper Range]]-SamplingData[[#This Row],[Span]]</f>
        <v>81180.614206934246</v>
      </c>
      <c r="U1946" s="100">
        <f>IF(ISNUMBER('General Info'!$B$40), ((SamplingData[[#This Row],[up/U Selection Probability]]) * 'General Info'!$B$40) - 1, 0)</f>
        <v>25.170698642200229</v>
      </c>
      <c r="V1946" s="100">
        <f>IF(ISNUMBER('General Info'!$B$40), (SamplingData[[#This Row],[Running (cumulative) sum]] * ('General Info'!$B$40 -'General Info'!$B$41 + 1)) + 'General Info'!$B$41 - 1, 0)</f>
        <v>81205.784905576453</v>
      </c>
      <c r="W1946" s="100" t="str">
        <f>IF(ISERROR(MATCH(SamplingData[[#This Row],[Batch by Type (p)]],SelectedPrecincts[Batch Name], 0)), "", INDEX(SelectedPrecincts[Draw], MATCH(SamplingData[[#This Row],[Batch by Type (p)]],SelectedPrecincts[Batch Name], 0)))</f>
        <v/>
      </c>
      <c r="X1946" s="102">
        <f>IF(COUNTIF(SelectedPrecincts[Batch Name],SamplingData[[#This Row],[Batch by Type (p)]]) &lt;&gt; 0, COUNTIF(SelectedPrecincts[Batch Name],SamplingData[[#This Row],[Batch by Type (p)]]), 0)</f>
        <v>0</v>
      </c>
    </row>
    <row r="1947" spans="1:24" ht="15" customHeight="1">
      <c r="A1947" s="18" t="s">
        <v>2123</v>
      </c>
      <c r="B1947" s="18">
        <v>26</v>
      </c>
      <c r="C1947" s="18">
        <v>56</v>
      </c>
      <c r="D1947" s="16">
        <v>10</v>
      </c>
      <c r="E1947" s="16">
        <v>7</v>
      </c>
      <c r="F1947" s="37">
        <v>2</v>
      </c>
      <c r="G1947" s="37">
        <v>1</v>
      </c>
      <c r="H1947" s="17">
        <v>0</v>
      </c>
      <c r="I1947" s="17">
        <v>2</v>
      </c>
      <c r="J1947" s="99">
        <f>SUM(SamplingData[[#This Row],[Losing Candidate]:[Under Votes]])</f>
        <v>104</v>
      </c>
      <c r="K1947" s="100">
        <f>IF(AND(SamplingData[[#This Row],[Total]]&lt;&gt; 0, NOT(ISBLANK(SamplingData[[#This Row],[Losing Candidate]]))),(SamplingData[[#This Row],[Total]]+SamplingData[[#This Row],[Winning Candidate]]-SamplingData[[#This Row],[Losing Candidate]])/(SamplingData[[#Totals],[Winning Candidate]]-SamplingData[[#Totals],[Losing Candidate]]), 0)</f>
        <v>8.2067613914747675E-3</v>
      </c>
      <c r="L1947" s="100">
        <f>IF(AND(SamplingData[[#This Row],[Total]]&lt;&gt; 0, NOT(ISBLANK(SamplingData[[#This Row],[Candidate 3]]))),(SamplingData[[#This Row],[Total]]+SamplingData[[#This Row],[Winning Candidate]]-SamplingData[[#This Row],[Candidate 3]])/(SamplingData[[#Totals],[Winning Candidate]]-SamplingData[[#Totals],[Candidate 3]]), 0)</f>
        <v>4.8391779849662874E-3</v>
      </c>
      <c r="M1947" s="100">
        <f>IF(AND(SamplingData[[#This Row],[Total]]&lt;&gt; 0, NOT(ISBLANK(SamplingData[[#This Row],[Candidate 4]]))),(SamplingData[[#This Row],[Total]]+SamplingData[[#This Row],[Winning Candidate]]-SamplingData[[#This Row],[Candidate 4]])/(SamplingData[[#Totals],[Winning Candidate]]-SamplingData[[#Totals],[Candidate 4]]), 0)</f>
        <v>4.4725072349381745E-3</v>
      </c>
      <c r="N1947" s="100">
        <f>IF(AND(SamplingData[[#This Row],[Total]]&lt;&gt; 0, NOT(ISBLANK(SamplingData[[#This Row],[Candidate 5]]))),(SamplingData[[#This Row],[Total]]+SamplingData[[#This Row],[Winning Candidate]]-SamplingData[[#This Row],[Candidate 5]])/(SamplingData[[#Totals],[Winning Candidate]]-SamplingData[[#Totals],[Candidate 5]]), 0)</f>
        <v>3.8433471174896621E-3</v>
      </c>
      <c r="O1947" s="100">
        <f>IF(AND(SamplingData[[#This Row],[Total]]&lt;&gt; 0, NOT(ISBLANK(SamplingData[[#This Row],[Candidate 6]]))),(SamplingData[[#This Row],[Total]]+SamplingData[[#This Row],[Winning Candidate]]-SamplingData[[#This Row],[Candidate 6]])/(SamplingData[[#Totals],[Winning Candidate]]-SamplingData[[#Totals],[Candidate 6]]), 0)</f>
        <v>3.8665434560575846E-3</v>
      </c>
      <c r="P1947" s="100">
        <f>MAX(SamplingData[[#This Row],[Error Bound (up) - Max. possible relative overstatement - Losing Candidate]:[Error Bound (up) - Max. possible relative overstatement - Candidate 6]])</f>
        <v>8.2067613914747675E-3</v>
      </c>
      <c r="Q1947" s="100">
        <f>IF(SamplingData[[#This Row],[Max Error Bound (up)]] = 0,0,SamplingData[[#This Row],[Max Error Bound (up)]]/SamplingData[[#Totals],[Max Error Bound (up)]])</f>
        <v>1.2988550693117415E-3</v>
      </c>
      <c r="R1947" s="101">
        <f>SUM($Q$5:Q1947)</f>
        <v>0.81336670412507628</v>
      </c>
      <c r="S1947" s="100" t="str">
        <f t="array" ref="S1947">IF(SamplingData[[#This Row],[up/U Selection Probability]] = 0, "Zero", TEXT(SamplingData[[#This Row],[Lower Range]], REPT("0",LEN('General Info'!$B$40))) &amp; " - " &amp; TEXT(SamplingData[[#This Row],[Upper Range]], REPT("0",LEN('General Info'!$B$40))))</f>
        <v>81207 - 81336</v>
      </c>
      <c r="T1947" s="100">
        <f>SamplingData[[#This Row],[Upper Range]]-SamplingData[[#This Row],[Span]]</f>
        <v>81206.786204431512</v>
      </c>
      <c r="U1947" s="100">
        <f>IF(ISNUMBER('General Info'!$B$40), ((SamplingData[[#This Row],[up/U Selection Probability]]) * 'General Info'!$B$40) - 1, 0)</f>
        <v>128.88420807610484</v>
      </c>
      <c r="V1947" s="100">
        <f>IF(ISNUMBER('General Info'!$B$40), (SamplingData[[#This Row],[Running (cumulative) sum]] * ('General Info'!$B$40 -'General Info'!$B$41 + 1)) + 'General Info'!$B$41 - 1, 0)</f>
        <v>81335.670412507621</v>
      </c>
      <c r="W1947" s="100" t="str">
        <f>IF(ISERROR(MATCH(SamplingData[[#This Row],[Batch by Type (p)]],SelectedPrecincts[Batch Name], 0)), "", INDEX(SelectedPrecincts[Draw], MATCH(SamplingData[[#This Row],[Batch by Type (p)]],SelectedPrecincts[Batch Name], 0)))</f>
        <v/>
      </c>
      <c r="X1947" s="102">
        <f>IF(COUNTIF(SelectedPrecincts[Batch Name],SamplingData[[#This Row],[Batch by Type (p)]]) &lt;&gt; 0, COUNTIF(SelectedPrecincts[Batch Name],SamplingData[[#This Row],[Batch by Type (p)]]), 0)</f>
        <v>0</v>
      </c>
    </row>
    <row r="1948" spans="1:24" ht="15" customHeight="1">
      <c r="A1948" s="18" t="s">
        <v>2124</v>
      </c>
      <c r="B1948" s="18">
        <v>18</v>
      </c>
      <c r="C1948" s="18">
        <v>25</v>
      </c>
      <c r="D1948" s="18">
        <v>4</v>
      </c>
      <c r="E1948" s="18">
        <v>1</v>
      </c>
      <c r="F1948" s="18">
        <v>0</v>
      </c>
      <c r="G1948" s="18">
        <v>0</v>
      </c>
      <c r="H1948" s="18">
        <v>0</v>
      </c>
      <c r="I1948" s="18">
        <v>1</v>
      </c>
      <c r="J1948" s="99">
        <f>SUM(SamplingData[[#This Row],[Losing Candidate]:[Under Votes]])</f>
        <v>49</v>
      </c>
      <c r="K1948"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1948" s="100">
        <f>IF(AND(SamplingData[[#This Row],[Total]]&lt;&gt; 0, NOT(ISBLANK(SamplingData[[#This Row],[Candidate 3]]))),(SamplingData[[#This Row],[Total]]+SamplingData[[#This Row],[Winning Candidate]]-SamplingData[[#This Row],[Candidate 3]])/(SamplingData[[#Totals],[Winning Candidate]]-SamplingData[[#Totals],[Candidate 3]]), 0)</f>
        <v>2.2582830596509338E-3</v>
      </c>
      <c r="M1948" s="100">
        <f>IF(AND(SamplingData[[#This Row],[Total]]&lt;&gt; 0, NOT(ISBLANK(SamplingData[[#This Row],[Candidate 4]]))),(SamplingData[[#This Row],[Total]]+SamplingData[[#This Row],[Winning Candidate]]-SamplingData[[#This Row],[Candidate 4]])/(SamplingData[[#Totals],[Winning Candidate]]-SamplingData[[#Totals],[Candidate 4]]), 0)</f>
        <v>2.1339413604606976E-3</v>
      </c>
      <c r="N1948" s="100">
        <f>IF(AND(SamplingData[[#This Row],[Total]]&lt;&gt; 0, NOT(ISBLANK(SamplingData[[#This Row],[Candidate 5]]))),(SamplingData[[#This Row],[Total]]+SamplingData[[#This Row],[Winning Candidate]]-SamplingData[[#This Row],[Candidate 5]])/(SamplingData[[#Totals],[Winning Candidate]]-SamplingData[[#Totals],[Candidate 5]]), 0)</f>
        <v>1.8000486499635125E-3</v>
      </c>
      <c r="O1948" s="100">
        <f>IF(AND(SamplingData[[#This Row],[Total]]&lt;&gt; 0, NOT(ISBLANK(SamplingData[[#This Row],[Candidate 6]]))),(SamplingData[[#This Row],[Total]]+SamplingData[[#This Row],[Winning Candidate]]-SamplingData[[#This Row],[Candidate 6]])/(SamplingData[[#Totals],[Winning Candidate]]-SamplingData[[#Totals],[Candidate 6]]), 0)</f>
        <v>1.7995233694859199E-3</v>
      </c>
      <c r="P1948" s="100">
        <f>MAX(SamplingData[[#This Row],[Error Bound (up) - Max. possible relative overstatement - Losing Candidate]:[Error Bound (up) - Max. possible relative overstatement - Candidate 6]])</f>
        <v>3.4296913277804997E-3</v>
      </c>
      <c r="Q1948" s="100">
        <f>IF(SamplingData[[#This Row],[Max Error Bound (up)]] = 0,0,SamplingData[[#This Row],[Max Error Bound (up)]]/SamplingData[[#Totals],[Max Error Bound (up)]])</f>
        <v>5.4280510359296661E-4</v>
      </c>
      <c r="R1948" s="101">
        <f>SUM($Q$5:Q1948)</f>
        <v>0.81390950922866923</v>
      </c>
      <c r="S1948" s="100" t="str">
        <f t="array" ref="S1948">IF(SamplingData[[#This Row],[up/U Selection Probability]] = 0, "Zero", TEXT(SamplingData[[#This Row],[Lower Range]], REPT("0",LEN('General Info'!$B$40))) &amp; " - " &amp; TEXT(SamplingData[[#This Row],[Upper Range]], REPT("0",LEN('General Info'!$B$40))))</f>
        <v>81337 - 81390</v>
      </c>
      <c r="T1948" s="100">
        <f>SamplingData[[#This Row],[Upper Range]]-SamplingData[[#This Row],[Span]]</f>
        <v>81336.670955312729</v>
      </c>
      <c r="U1948" s="100">
        <f>IF(ISNUMBER('General Info'!$B$40), ((SamplingData[[#This Row],[up/U Selection Probability]]) * 'General Info'!$B$40) - 1, 0)</f>
        <v>53.279967554193071</v>
      </c>
      <c r="V1948" s="100">
        <f>IF(ISNUMBER('General Info'!$B$40), (SamplingData[[#This Row],[Running (cumulative) sum]] * ('General Info'!$B$40 -'General Info'!$B$41 + 1)) + 'General Info'!$B$41 - 1, 0)</f>
        <v>81389.950922866919</v>
      </c>
      <c r="W1948" s="100" t="str">
        <f>IF(ISERROR(MATCH(SamplingData[[#This Row],[Batch by Type (p)]],SelectedPrecincts[Batch Name], 0)), "", INDEX(SelectedPrecincts[Draw], MATCH(SamplingData[[#This Row],[Batch by Type (p)]],SelectedPrecincts[Batch Name], 0)))</f>
        <v/>
      </c>
      <c r="X1948" s="102">
        <f>IF(COUNTIF(SelectedPrecincts[Batch Name],SamplingData[[#This Row],[Batch by Type (p)]]) &lt;&gt; 0, COUNTIF(SelectedPrecincts[Batch Name],SamplingData[[#This Row],[Batch by Type (p)]]), 0)</f>
        <v>0</v>
      </c>
    </row>
    <row r="1949" spans="1:24" ht="15" customHeight="1">
      <c r="A1949" s="18" t="s">
        <v>2125</v>
      </c>
      <c r="B1949" s="18">
        <v>34</v>
      </c>
      <c r="C1949" s="18">
        <v>82</v>
      </c>
      <c r="D1949" s="16">
        <v>13</v>
      </c>
      <c r="E1949" s="16">
        <v>11</v>
      </c>
      <c r="F1949" s="37">
        <v>1</v>
      </c>
      <c r="G1949" s="37">
        <v>0</v>
      </c>
      <c r="H1949" s="17">
        <v>0</v>
      </c>
      <c r="I1949" s="17">
        <v>4</v>
      </c>
      <c r="J1949" s="99">
        <f>SUM(SamplingData[[#This Row],[Losing Candidate]:[Under Votes]])</f>
        <v>145</v>
      </c>
      <c r="K1949" s="100">
        <f>IF(AND(SamplingData[[#This Row],[Total]]&lt;&gt; 0, NOT(ISBLANK(SamplingData[[#This Row],[Losing Candidate]]))),(SamplingData[[#This Row],[Total]]+SamplingData[[#This Row],[Winning Candidate]]-SamplingData[[#This Row],[Losing Candidate]])/(SamplingData[[#Totals],[Winning Candidate]]-SamplingData[[#Totals],[Losing Candidate]]), 0)</f>
        <v>1.1820186183243509E-2</v>
      </c>
      <c r="L1949" s="100">
        <f>IF(AND(SamplingData[[#This Row],[Total]]&lt;&gt; 0, NOT(ISBLANK(SamplingData[[#This Row],[Candidate 3]]))),(SamplingData[[#This Row],[Total]]+SamplingData[[#This Row],[Winning Candidate]]-SamplingData[[#This Row],[Candidate 3]])/(SamplingData[[#Totals],[Winning Candidate]]-SamplingData[[#Totals],[Candidate 3]]), 0)</f>
        <v>6.9038939252185696E-3</v>
      </c>
      <c r="M1949" s="100">
        <f>IF(AND(SamplingData[[#This Row],[Total]]&lt;&gt; 0, NOT(ISBLANK(SamplingData[[#This Row],[Candidate 4]]))),(SamplingData[[#This Row],[Total]]+SamplingData[[#This Row],[Winning Candidate]]-SamplingData[[#This Row],[Candidate 4]])/(SamplingData[[#Totals],[Winning Candidate]]-SamplingData[[#Totals],[Candidate 4]]), 0)</f>
        <v>6.314127861089187E-3</v>
      </c>
      <c r="N1949" s="100">
        <f>IF(AND(SamplingData[[#This Row],[Total]]&lt;&gt; 0, NOT(ISBLANK(SamplingData[[#This Row],[Candidate 5]]))),(SamplingData[[#This Row],[Total]]+SamplingData[[#This Row],[Winning Candidate]]-SamplingData[[#This Row],[Candidate 5]])/(SamplingData[[#Totals],[Winning Candidate]]-SamplingData[[#Totals],[Candidate 5]]), 0)</f>
        <v>5.4974458769155923E-3</v>
      </c>
      <c r="O1949" s="100">
        <f>IF(AND(SamplingData[[#This Row],[Total]]&lt;&gt; 0, NOT(ISBLANK(SamplingData[[#This Row],[Candidate 6]]))),(SamplingData[[#This Row],[Total]]+SamplingData[[#This Row],[Winning Candidate]]-SamplingData[[#This Row],[Candidate 6]])/(SamplingData[[#Totals],[Winning Candidate]]-SamplingData[[#Totals],[Candidate 6]]), 0)</f>
        <v>5.5201595253149167E-3</v>
      </c>
      <c r="P1949" s="100">
        <f>MAX(SamplingData[[#This Row],[Error Bound (up) - Max. possible relative overstatement - Losing Candidate]:[Error Bound (up) - Max. possible relative overstatement - Candidate 6]])</f>
        <v>1.1820186183243509E-2</v>
      </c>
      <c r="Q1949" s="100">
        <f>IF(SamplingData[[#This Row],[Max Error Bound (up)]] = 0,0,SamplingData[[#This Row],[Max Error Bound (up)]]/SamplingData[[#Totals],[Max Error Bound (up)]])</f>
        <v>1.8707390177400457E-3</v>
      </c>
      <c r="R1949" s="101">
        <f>SUM($Q$5:Q1949)</f>
        <v>0.81578024824640927</v>
      </c>
      <c r="S1949" s="100" t="str">
        <f t="array" ref="S1949">IF(SamplingData[[#This Row],[up/U Selection Probability]] = 0, "Zero", TEXT(SamplingData[[#This Row],[Lower Range]], REPT("0",LEN('General Info'!$B$40))) &amp; " - " &amp; TEXT(SamplingData[[#This Row],[Upper Range]], REPT("0",LEN('General Info'!$B$40))))</f>
        <v>81391 - 81577</v>
      </c>
      <c r="T1949" s="100">
        <f>SamplingData[[#This Row],[Upper Range]]-SamplingData[[#This Row],[Span]]</f>
        <v>81390.952793605946</v>
      </c>
      <c r="U1949" s="100">
        <f>IF(ISNUMBER('General Info'!$B$40), ((SamplingData[[#This Row],[up/U Selection Probability]]) * 'General Info'!$B$40) - 1, 0)</f>
        <v>186.07203103498682</v>
      </c>
      <c r="V1949" s="100">
        <f>IF(ISNUMBER('General Info'!$B$40), (SamplingData[[#This Row],[Running (cumulative) sum]] * ('General Info'!$B$40 -'General Info'!$B$41 + 1)) + 'General Info'!$B$41 - 1, 0)</f>
        <v>81577.024824640932</v>
      </c>
      <c r="W1949" s="100" t="str">
        <f>IF(ISERROR(MATCH(SamplingData[[#This Row],[Batch by Type (p)]],SelectedPrecincts[Batch Name], 0)), "", INDEX(SelectedPrecincts[Draw], MATCH(SamplingData[[#This Row],[Batch by Type (p)]],SelectedPrecincts[Batch Name], 0)))</f>
        <v/>
      </c>
      <c r="X1949" s="102">
        <f>IF(COUNTIF(SelectedPrecincts[Batch Name],SamplingData[[#This Row],[Batch by Type (p)]]) &lt;&gt; 0, COUNTIF(SelectedPrecincts[Batch Name],SamplingData[[#This Row],[Batch by Type (p)]]), 0)</f>
        <v>0</v>
      </c>
    </row>
    <row r="1950" spans="1:24" ht="15" customHeight="1">
      <c r="A1950" s="18" t="s">
        <v>2126</v>
      </c>
      <c r="B1950" s="18">
        <v>10</v>
      </c>
      <c r="C1950" s="18">
        <v>38</v>
      </c>
      <c r="D1950" s="18">
        <v>4</v>
      </c>
      <c r="E1950" s="18">
        <v>0</v>
      </c>
      <c r="F1950" s="18">
        <v>1</v>
      </c>
      <c r="G1950" s="18">
        <v>0</v>
      </c>
      <c r="H1950" s="18">
        <v>0</v>
      </c>
      <c r="I1950" s="18">
        <v>0</v>
      </c>
      <c r="J1950" s="99">
        <f>SUM(SamplingData[[#This Row],[Losing Candidate]:[Under Votes]])</f>
        <v>53</v>
      </c>
      <c r="K1950"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1950" s="100">
        <f>IF(AND(SamplingData[[#This Row],[Total]]&lt;&gt; 0, NOT(ISBLANK(SamplingData[[#This Row],[Candidate 3]]))),(SamplingData[[#This Row],[Total]]+SamplingData[[#This Row],[Winning Candidate]]-SamplingData[[#This Row],[Candidate 3]])/(SamplingData[[#Totals],[Winning Candidate]]-SamplingData[[#Totals],[Candidate 3]]), 0)</f>
        <v>2.8067232312804463E-3</v>
      </c>
      <c r="M1950" s="100">
        <f>IF(AND(SamplingData[[#This Row],[Total]]&lt;&gt; 0, NOT(ISBLANK(SamplingData[[#This Row],[Candidate 4]]))),(SamplingData[[#This Row],[Total]]+SamplingData[[#This Row],[Winning Candidate]]-SamplingData[[#This Row],[Candidate 4]])/(SamplingData[[#Totals],[Winning Candidate]]-SamplingData[[#Totals],[Candidate 4]]), 0)</f>
        <v>2.6601186822181296E-3</v>
      </c>
      <c r="N1950" s="100">
        <f>IF(AND(SamplingData[[#This Row],[Total]]&lt;&gt; 0, NOT(ISBLANK(SamplingData[[#This Row],[Candidate 5]]))),(SamplingData[[#This Row],[Total]]+SamplingData[[#This Row],[Winning Candidate]]-SamplingData[[#This Row],[Candidate 5]])/(SamplingData[[#Totals],[Winning Candidate]]-SamplingData[[#Totals],[Candidate 5]]), 0)</f>
        <v>2.1892483580637314E-3</v>
      </c>
      <c r="O1950" s="100">
        <f>IF(AND(SamplingData[[#This Row],[Total]]&lt;&gt; 0, NOT(ISBLANK(SamplingData[[#This Row],[Candidate 6]]))),(SamplingData[[#This Row],[Total]]+SamplingData[[#This Row],[Winning Candidate]]-SamplingData[[#This Row],[Candidate 6]])/(SamplingData[[#Totals],[Winning Candidate]]-SamplingData[[#Totals],[Candidate 6]]), 0)</f>
        <v>2.2129273868002528E-3</v>
      </c>
      <c r="P1950" s="100">
        <f>MAX(SamplingData[[#This Row],[Error Bound (up) - Max. possible relative overstatement - Losing Candidate]:[Error Bound (up) - Max. possible relative overstatement - Candidate 6]])</f>
        <v>4.9608035276825085E-3</v>
      </c>
      <c r="Q1950" s="100">
        <f>IF(SamplingData[[#This Row],[Max Error Bound (up)]] = 0,0,SamplingData[[#This Row],[Max Error Bound (up)]]/SamplingData[[#Totals],[Max Error Bound (up)]])</f>
        <v>7.8512881055411239E-4</v>
      </c>
      <c r="R1950" s="101">
        <f>SUM($Q$5:Q1950)</f>
        <v>0.81656537705696342</v>
      </c>
      <c r="S1950" s="100" t="str">
        <f t="array" ref="S1950">IF(SamplingData[[#This Row],[up/U Selection Probability]] = 0, "Zero", TEXT(SamplingData[[#This Row],[Lower Range]], REPT("0",LEN('General Info'!$B$40))) &amp; " - " &amp; TEXT(SamplingData[[#This Row],[Upper Range]], REPT("0",LEN('General Info'!$B$40))))</f>
        <v>81578 - 81656</v>
      </c>
      <c r="T1950" s="100">
        <f>SamplingData[[#This Row],[Upper Range]]-SamplingData[[#This Row],[Span]]</f>
        <v>81578.025609769742</v>
      </c>
      <c r="U1950" s="100">
        <f>IF(ISNUMBER('General Info'!$B$40), ((SamplingData[[#This Row],[up/U Selection Probability]]) * 'General Info'!$B$40) - 1, 0)</f>
        <v>77.512095926600679</v>
      </c>
      <c r="V1950" s="100">
        <f>IF(ISNUMBER('General Info'!$B$40), (SamplingData[[#This Row],[Running (cumulative) sum]] * ('General Info'!$B$40 -'General Info'!$B$41 + 1)) + 'General Info'!$B$41 - 1, 0)</f>
        <v>81655.537705696348</v>
      </c>
      <c r="W1950" s="100" t="str">
        <f>IF(ISERROR(MATCH(SamplingData[[#This Row],[Batch by Type (p)]],SelectedPrecincts[Batch Name], 0)), "", INDEX(SelectedPrecincts[Draw], MATCH(SamplingData[[#This Row],[Batch by Type (p)]],SelectedPrecincts[Batch Name], 0)))</f>
        <v/>
      </c>
      <c r="X1950" s="102">
        <f>IF(COUNTIF(SelectedPrecincts[Batch Name],SamplingData[[#This Row],[Batch by Type (p)]]) &lt;&gt; 0, COUNTIF(SelectedPrecincts[Batch Name],SamplingData[[#This Row],[Batch by Type (p)]]), 0)</f>
        <v>0</v>
      </c>
    </row>
    <row r="1951" spans="1:24" ht="15" customHeight="1">
      <c r="A1951" s="18" t="s">
        <v>2127</v>
      </c>
      <c r="B1951" s="18">
        <v>44</v>
      </c>
      <c r="C1951" s="18">
        <v>61</v>
      </c>
      <c r="D1951" s="16">
        <v>13</v>
      </c>
      <c r="E1951" s="16">
        <v>15</v>
      </c>
      <c r="F1951" s="37">
        <v>1</v>
      </c>
      <c r="G1951" s="37">
        <v>0</v>
      </c>
      <c r="H1951" s="17">
        <v>1</v>
      </c>
      <c r="I1951" s="17">
        <v>2</v>
      </c>
      <c r="J1951" s="99">
        <f>SUM(SamplingData[[#This Row],[Losing Candidate]:[Under Votes]])</f>
        <v>137</v>
      </c>
      <c r="K1951" s="100">
        <f>IF(AND(SamplingData[[#This Row],[Total]]&lt;&gt; 0, NOT(ISBLANK(SamplingData[[#This Row],[Losing Candidate]]))),(SamplingData[[#This Row],[Total]]+SamplingData[[#This Row],[Winning Candidate]]-SamplingData[[#This Row],[Losing Candidate]])/(SamplingData[[#Totals],[Winning Candidate]]-SamplingData[[#Totals],[Losing Candidate]]), 0)</f>
        <v>9.4316511513963738E-3</v>
      </c>
      <c r="L1951" s="100">
        <f>IF(AND(SamplingData[[#This Row],[Total]]&lt;&gt; 0, NOT(ISBLANK(SamplingData[[#This Row],[Candidate 3]]))),(SamplingData[[#This Row],[Total]]+SamplingData[[#This Row],[Winning Candidate]]-SamplingData[[#This Row],[Candidate 3]])/(SamplingData[[#Totals],[Winning Candidate]]-SamplingData[[#Totals],[Candidate 3]]), 0)</f>
        <v>5.9683195147917541E-3</v>
      </c>
      <c r="M1951" s="100">
        <f>IF(AND(SamplingData[[#This Row],[Total]]&lt;&gt; 0, NOT(ISBLANK(SamplingData[[#This Row],[Candidate 4]]))),(SamplingData[[#This Row],[Total]]+SamplingData[[#This Row],[Winning Candidate]]-SamplingData[[#This Row],[Candidate 4]])/(SamplingData[[#Totals],[Winning Candidate]]-SamplingData[[#Totals],[Candidate 4]]), 0)</f>
        <v>5.3494694378672276E-3</v>
      </c>
      <c r="N1951" s="100">
        <f>IF(AND(SamplingData[[#This Row],[Total]]&lt;&gt; 0, NOT(ISBLANK(SamplingData[[#This Row],[Candidate 5]]))),(SamplingData[[#This Row],[Total]]+SamplingData[[#This Row],[Winning Candidate]]-SamplingData[[#This Row],[Candidate 5]])/(SamplingData[[#Totals],[Winning Candidate]]-SamplingData[[#Totals],[Candidate 5]]), 0)</f>
        <v>4.7920214059839457E-3</v>
      </c>
      <c r="O1951" s="100">
        <f>IF(AND(SamplingData[[#This Row],[Total]]&lt;&gt; 0, NOT(ISBLANK(SamplingData[[#This Row],[Candidate 6]]))),(SamplingData[[#This Row],[Total]]+SamplingData[[#This Row],[Winning Candidate]]-SamplingData[[#This Row],[Candidate 6]])/(SamplingData[[#Totals],[Winning Candidate]]-SamplingData[[#Totals],[Candidate 6]]), 0)</f>
        <v>4.8149409075434078E-3</v>
      </c>
      <c r="P1951" s="100">
        <f>MAX(SamplingData[[#This Row],[Error Bound (up) - Max. possible relative overstatement - Losing Candidate]:[Error Bound (up) - Max. possible relative overstatement - Candidate 6]])</f>
        <v>9.4316511513963738E-3</v>
      </c>
      <c r="Q1951" s="100">
        <f>IF(SamplingData[[#This Row],[Max Error Bound (up)]] = 0,0,SamplingData[[#This Row],[Max Error Bound (up)]]/SamplingData[[#Totals],[Max Error Bound (up)]])</f>
        <v>1.4927140348806581E-3</v>
      </c>
      <c r="R1951" s="101">
        <f>SUM($Q$5:Q1951)</f>
        <v>0.81805809109184402</v>
      </c>
      <c r="S1951" s="100" t="str">
        <f t="array" ref="S1951">IF(SamplingData[[#This Row],[up/U Selection Probability]] = 0, "Zero", TEXT(SamplingData[[#This Row],[Lower Range]], REPT("0",LEN('General Info'!$B$40))) &amp; " - " &amp; TEXT(SamplingData[[#This Row],[Upper Range]], REPT("0",LEN('General Info'!$B$40))))</f>
        <v>81657 - 81805</v>
      </c>
      <c r="T1951" s="100">
        <f>SamplingData[[#This Row],[Upper Range]]-SamplingData[[#This Row],[Span]]</f>
        <v>81656.539198410363</v>
      </c>
      <c r="U1951" s="100">
        <f>IF(ISNUMBER('General Info'!$B$40), ((SamplingData[[#This Row],[up/U Selection Probability]]) * 'General Info'!$B$40) - 1, 0)</f>
        <v>148.26991077403093</v>
      </c>
      <c r="V1951" s="100">
        <f>IF(ISNUMBER('General Info'!$B$40), (SamplingData[[#This Row],[Running (cumulative) sum]] * ('General Info'!$B$40 -'General Info'!$B$41 + 1)) + 'General Info'!$B$41 - 1, 0)</f>
        <v>81804.809109184396</v>
      </c>
      <c r="W1951" s="100" t="str">
        <f>IF(ISERROR(MATCH(SamplingData[[#This Row],[Batch by Type (p)]],SelectedPrecincts[Batch Name], 0)), "", INDEX(SelectedPrecincts[Draw], MATCH(SamplingData[[#This Row],[Batch by Type (p)]],SelectedPrecincts[Batch Name], 0)))</f>
        <v/>
      </c>
      <c r="X1951" s="102">
        <f>IF(COUNTIF(SelectedPrecincts[Batch Name],SamplingData[[#This Row],[Batch by Type (p)]]) &lt;&gt; 0, COUNTIF(SelectedPrecincts[Batch Name],SamplingData[[#This Row],[Batch by Type (p)]]), 0)</f>
        <v>0</v>
      </c>
    </row>
    <row r="1952" spans="1:24" ht="15" customHeight="1">
      <c r="A1952" s="18" t="s">
        <v>2128</v>
      </c>
      <c r="B1952" s="18">
        <v>19</v>
      </c>
      <c r="C1952" s="18">
        <v>32</v>
      </c>
      <c r="D1952" s="18">
        <v>7</v>
      </c>
      <c r="E1952" s="18">
        <v>4</v>
      </c>
      <c r="F1952" s="18">
        <v>0</v>
      </c>
      <c r="G1952" s="18">
        <v>0</v>
      </c>
      <c r="H1952" s="18">
        <v>0</v>
      </c>
      <c r="I1952" s="18">
        <v>1</v>
      </c>
      <c r="J1952" s="99">
        <f>SUM(SamplingData[[#This Row],[Losing Candidate]:[Under Votes]])</f>
        <v>63</v>
      </c>
      <c r="K1952" s="100">
        <f>IF(AND(SamplingData[[#This Row],[Total]]&lt;&gt; 0, NOT(ISBLANK(SamplingData[[#This Row],[Losing Candidate]]))),(SamplingData[[#This Row],[Total]]+SamplingData[[#This Row],[Winning Candidate]]-SamplingData[[#This Row],[Losing Candidate]])/(SamplingData[[#Totals],[Winning Candidate]]-SamplingData[[#Totals],[Losing Candidate]]), 0)</f>
        <v>4.6545810877021065E-3</v>
      </c>
      <c r="L1952" s="100">
        <f>IF(AND(SamplingData[[#This Row],[Total]]&lt;&gt; 0, NOT(ISBLANK(SamplingData[[#This Row],[Candidate 3]]))),(SamplingData[[#This Row],[Total]]+SamplingData[[#This Row],[Winning Candidate]]-SamplingData[[#This Row],[Candidate 3]])/(SamplingData[[#Totals],[Winning Candidate]]-SamplingData[[#Totals],[Candidate 3]]), 0)</f>
        <v>2.8389844178468883E-3</v>
      </c>
      <c r="M1952" s="100">
        <f>IF(AND(SamplingData[[#This Row],[Total]]&lt;&gt; 0, NOT(ISBLANK(SamplingData[[#This Row],[Candidate 4]]))),(SamplingData[[#This Row],[Total]]+SamplingData[[#This Row],[Winning Candidate]]-SamplingData[[#This Row],[Candidate 4]])/(SamplingData[[#Totals],[Winning Candidate]]-SamplingData[[#Totals],[Candidate 4]]), 0)</f>
        <v>2.6601186822181296E-3</v>
      </c>
      <c r="N1952" s="100">
        <f>IF(AND(SamplingData[[#This Row],[Total]]&lt;&gt; 0, NOT(ISBLANK(SamplingData[[#This Row],[Candidate 5]]))),(SamplingData[[#This Row],[Total]]+SamplingData[[#This Row],[Winning Candidate]]-SamplingData[[#This Row],[Candidate 5]])/(SamplingData[[#Totals],[Winning Candidate]]-SamplingData[[#Totals],[Candidate 5]]), 0)</f>
        <v>2.3108732668450497E-3</v>
      </c>
      <c r="O1952" s="100">
        <f>IF(AND(SamplingData[[#This Row],[Total]]&lt;&gt; 0, NOT(ISBLANK(SamplingData[[#This Row],[Candidate 6]]))),(SamplingData[[#This Row],[Total]]+SamplingData[[#This Row],[Winning Candidate]]-SamplingData[[#This Row],[Candidate 6]])/(SamplingData[[#Totals],[Winning Candidate]]-SamplingData[[#Totals],[Candidate 6]]), 0)</f>
        <v>2.3101989202859784E-3</v>
      </c>
      <c r="P1952" s="100">
        <f>MAX(SamplingData[[#This Row],[Error Bound (up) - Max. possible relative overstatement - Losing Candidate]:[Error Bound (up) - Max. possible relative overstatement - Candidate 6]])</f>
        <v>4.6545810877021065E-3</v>
      </c>
      <c r="Q1952" s="100">
        <f>IF(SamplingData[[#This Row],[Max Error Bound (up)]] = 0,0,SamplingData[[#This Row],[Max Error Bound (up)]]/SamplingData[[#Totals],[Max Error Bound (up)]])</f>
        <v>7.3666406916188319E-4</v>
      </c>
      <c r="R1952" s="101">
        <f>SUM($Q$5:Q1952)</f>
        <v>0.81879475516100586</v>
      </c>
      <c r="S1952" s="100" t="str">
        <f t="array" ref="S1952">IF(SamplingData[[#This Row],[up/U Selection Probability]] = 0, "Zero", TEXT(SamplingData[[#This Row],[Lower Range]], REPT("0",LEN('General Info'!$B$40))) &amp; " - " &amp; TEXT(SamplingData[[#This Row],[Upper Range]], REPT("0",LEN('General Info'!$B$40))))</f>
        <v>81806 - 81878</v>
      </c>
      <c r="T1952" s="100">
        <f>SamplingData[[#This Row],[Upper Range]]-SamplingData[[#This Row],[Span]]</f>
        <v>81805.809845848475</v>
      </c>
      <c r="U1952" s="100">
        <f>IF(ISNUMBER('General Info'!$B$40), ((SamplingData[[#This Row],[up/U Selection Probability]]) * 'General Info'!$B$40) - 1, 0)</f>
        <v>72.665670252119156</v>
      </c>
      <c r="V1952" s="100">
        <f>IF(ISNUMBER('General Info'!$B$40), (SamplingData[[#This Row],[Running (cumulative) sum]] * ('General Info'!$B$40 -'General Info'!$B$41 + 1)) + 'General Info'!$B$41 - 1, 0)</f>
        <v>81878.475516100589</v>
      </c>
      <c r="W1952" s="100" t="str">
        <f>IF(ISERROR(MATCH(SamplingData[[#This Row],[Batch by Type (p)]],SelectedPrecincts[Batch Name], 0)), "", INDEX(SelectedPrecincts[Draw], MATCH(SamplingData[[#This Row],[Batch by Type (p)]],SelectedPrecincts[Batch Name], 0)))</f>
        <v/>
      </c>
      <c r="X1952" s="102">
        <f>IF(COUNTIF(SelectedPrecincts[Batch Name],SamplingData[[#This Row],[Batch by Type (p)]]) &lt;&gt; 0, COUNTIF(SelectedPrecincts[Batch Name],SamplingData[[#This Row],[Batch by Type (p)]]), 0)</f>
        <v>0</v>
      </c>
    </row>
    <row r="1953" spans="1:24" ht="15" customHeight="1">
      <c r="A1953" s="18" t="s">
        <v>2129</v>
      </c>
      <c r="B1953" s="18">
        <v>22</v>
      </c>
      <c r="C1953" s="18">
        <v>54</v>
      </c>
      <c r="D1953" s="16">
        <v>22</v>
      </c>
      <c r="E1953" s="16">
        <v>7</v>
      </c>
      <c r="F1953" s="37">
        <v>1</v>
      </c>
      <c r="G1953" s="37">
        <v>0</v>
      </c>
      <c r="H1953" s="17">
        <v>0</v>
      </c>
      <c r="I1953" s="17">
        <v>2</v>
      </c>
      <c r="J1953" s="99">
        <f>SUM(SamplingData[[#This Row],[Losing Candidate]:[Under Votes]])</f>
        <v>108</v>
      </c>
      <c r="K1953" s="100">
        <f>IF(AND(SamplingData[[#This Row],[Total]]&lt;&gt; 0, NOT(ISBLANK(SamplingData[[#This Row],[Losing Candidate]]))),(SamplingData[[#This Row],[Total]]+SamplingData[[#This Row],[Winning Candidate]]-SamplingData[[#This Row],[Losing Candidate]])/(SamplingData[[#Totals],[Winning Candidate]]-SamplingData[[#Totals],[Losing Candidate]]), 0)</f>
        <v>8.5742283194512499E-3</v>
      </c>
      <c r="L1953" s="100">
        <f>IF(AND(SamplingData[[#This Row],[Total]]&lt;&gt; 0, NOT(ISBLANK(SamplingData[[#This Row],[Candidate 3]]))),(SamplingData[[#This Row],[Total]]+SamplingData[[#This Row],[Winning Candidate]]-SamplingData[[#This Row],[Candidate 3]])/(SamplingData[[#Totals],[Winning Candidate]]-SamplingData[[#Totals],[Candidate 3]]), 0)</f>
        <v>4.5165661193018675E-3</v>
      </c>
      <c r="M1953" s="100">
        <f>IF(AND(SamplingData[[#This Row],[Total]]&lt;&gt; 0, NOT(ISBLANK(SamplingData[[#This Row],[Candidate 4]]))),(SamplingData[[#This Row],[Total]]+SamplingData[[#This Row],[Winning Candidate]]-SamplingData[[#This Row],[Candidate 4]])/(SamplingData[[#Totals],[Winning Candidate]]-SamplingData[[#Totals],[Candidate 4]]), 0)</f>
        <v>4.5309713818001114E-3</v>
      </c>
      <c r="N1953" s="100">
        <f>IF(AND(SamplingData[[#This Row],[Total]]&lt;&gt; 0, NOT(ISBLANK(SamplingData[[#This Row],[Candidate 5]]))),(SamplingData[[#This Row],[Total]]+SamplingData[[#This Row],[Winning Candidate]]-SamplingData[[#This Row],[Candidate 5]])/(SamplingData[[#Totals],[Winning Candidate]]-SamplingData[[#Totals],[Candidate 5]]), 0)</f>
        <v>3.9163220627584528E-3</v>
      </c>
      <c r="O1953" s="100">
        <f>IF(AND(SamplingData[[#This Row],[Total]]&lt;&gt; 0, NOT(ISBLANK(SamplingData[[#This Row],[Candidate 6]]))),(SamplingData[[#This Row],[Total]]+SamplingData[[#This Row],[Winning Candidate]]-SamplingData[[#This Row],[Candidate 6]])/(SamplingData[[#Totals],[Winning Candidate]]-SamplingData[[#Totals],[Candidate 6]]), 0)</f>
        <v>3.9394971061718787E-3</v>
      </c>
      <c r="P1953" s="100">
        <f>MAX(SamplingData[[#This Row],[Error Bound (up) - Max. possible relative overstatement - Losing Candidate]:[Error Bound (up) - Max. possible relative overstatement - Candidate 6]])</f>
        <v>8.5742283194512499E-3</v>
      </c>
      <c r="Q1953" s="100">
        <f>IF(SamplingData[[#This Row],[Max Error Bound (up)]] = 0,0,SamplingData[[#This Row],[Max Error Bound (up)]]/SamplingData[[#Totals],[Max Error Bound (up)]])</f>
        <v>1.3570127589824165E-3</v>
      </c>
      <c r="R1953" s="101">
        <f>SUM($Q$5:Q1953)</f>
        <v>0.82015176791998823</v>
      </c>
      <c r="S1953" s="100" t="str">
        <f t="array" ref="S1953">IF(SamplingData[[#This Row],[up/U Selection Probability]] = 0, "Zero", TEXT(SamplingData[[#This Row],[Lower Range]], REPT("0",LEN('General Info'!$B$40))) &amp; " - " &amp; TEXT(SamplingData[[#This Row],[Upper Range]], REPT("0",LEN('General Info'!$B$40))))</f>
        <v>81879 - 82014</v>
      </c>
      <c r="T1953" s="100">
        <f>SamplingData[[#This Row],[Upper Range]]-SamplingData[[#This Row],[Span]]</f>
        <v>81879.476873113337</v>
      </c>
      <c r="U1953" s="100">
        <f>IF(ISNUMBER('General Info'!$B$40), ((SamplingData[[#This Row],[up/U Selection Probability]]) * 'General Info'!$B$40) - 1, 0)</f>
        <v>134.69991888548267</v>
      </c>
      <c r="V1953" s="100">
        <f>IF(ISNUMBER('General Info'!$B$40), (SamplingData[[#This Row],[Running (cumulative) sum]] * ('General Info'!$B$40 -'General Info'!$B$41 + 1)) + 'General Info'!$B$41 - 1, 0)</f>
        <v>82014.17679199882</v>
      </c>
      <c r="W1953" s="100" t="str">
        <f>IF(ISERROR(MATCH(SamplingData[[#This Row],[Batch by Type (p)]],SelectedPrecincts[Batch Name], 0)), "", INDEX(SelectedPrecincts[Draw], MATCH(SamplingData[[#This Row],[Batch by Type (p)]],SelectedPrecincts[Batch Name], 0)))</f>
        <v/>
      </c>
      <c r="X1953" s="102">
        <f>IF(COUNTIF(SelectedPrecincts[Batch Name],SamplingData[[#This Row],[Batch by Type (p)]]) &lt;&gt; 0, COUNTIF(SelectedPrecincts[Batch Name],SamplingData[[#This Row],[Batch by Type (p)]]), 0)</f>
        <v>0</v>
      </c>
    </row>
    <row r="1954" spans="1:24" ht="15" customHeight="1">
      <c r="A1954" s="18" t="s">
        <v>2130</v>
      </c>
      <c r="B1954" s="18">
        <v>25</v>
      </c>
      <c r="C1954" s="18">
        <v>17</v>
      </c>
      <c r="D1954" s="18">
        <v>7</v>
      </c>
      <c r="E1954" s="18">
        <v>1</v>
      </c>
      <c r="F1954" s="18">
        <v>0</v>
      </c>
      <c r="G1954" s="18">
        <v>0</v>
      </c>
      <c r="H1954" s="18">
        <v>0</v>
      </c>
      <c r="I1954" s="18">
        <v>4</v>
      </c>
      <c r="J1954" s="99">
        <f>SUM(SamplingData[[#This Row],[Losing Candidate]:[Under Votes]])</f>
        <v>54</v>
      </c>
      <c r="K1954" s="100">
        <f>IF(AND(SamplingData[[#This Row],[Total]]&lt;&gt; 0, NOT(ISBLANK(SamplingData[[#This Row],[Losing Candidate]]))),(SamplingData[[#This Row],[Total]]+SamplingData[[#This Row],[Winning Candidate]]-SamplingData[[#This Row],[Losing Candidate]])/(SamplingData[[#Totals],[Winning Candidate]]-SamplingData[[#Totals],[Losing Candidate]]), 0)</f>
        <v>2.8172464478196961E-3</v>
      </c>
      <c r="L1954" s="100">
        <f>IF(AND(SamplingData[[#This Row],[Total]]&lt;&gt; 0, NOT(ISBLANK(SamplingData[[#This Row],[Candidate 3]]))),(SamplingData[[#This Row],[Total]]+SamplingData[[#This Row],[Winning Candidate]]-SamplingData[[#This Row],[Candidate 3]])/(SamplingData[[#Totals],[Winning Candidate]]-SamplingData[[#Totals],[Candidate 3]]), 0)</f>
        <v>2.0647159402522827E-3</v>
      </c>
      <c r="M1954" s="100">
        <f>IF(AND(SamplingData[[#This Row],[Total]]&lt;&gt; 0, NOT(ISBLANK(SamplingData[[#This Row],[Candidate 4]]))),(SamplingData[[#This Row],[Total]]+SamplingData[[#This Row],[Winning Candidate]]-SamplingData[[#This Row],[Candidate 4]])/(SamplingData[[#Totals],[Winning Candidate]]-SamplingData[[#Totals],[Candidate 4]]), 0)</f>
        <v>2.0462451401677922E-3</v>
      </c>
      <c r="N1954" s="100">
        <f>IF(AND(SamplingData[[#This Row],[Total]]&lt;&gt; 0, NOT(ISBLANK(SamplingData[[#This Row],[Candidate 5]]))),(SamplingData[[#This Row],[Total]]+SamplingData[[#This Row],[Winning Candidate]]-SamplingData[[#This Row],[Candidate 5]])/(SamplingData[[#Totals],[Winning Candidate]]-SamplingData[[#Totals],[Candidate 5]]), 0)</f>
        <v>1.7270737046947214E-3</v>
      </c>
      <c r="O1954" s="100">
        <f>IF(AND(SamplingData[[#This Row],[Total]]&lt;&gt; 0, NOT(ISBLANK(SamplingData[[#This Row],[Candidate 6]]))),(SamplingData[[#This Row],[Total]]+SamplingData[[#This Row],[Winning Candidate]]-SamplingData[[#This Row],[Candidate 6]])/(SamplingData[[#Totals],[Winning Candidate]]-SamplingData[[#Totals],[Candidate 6]]), 0)</f>
        <v>1.7265697193716259E-3</v>
      </c>
      <c r="P1954" s="100">
        <f>MAX(SamplingData[[#This Row],[Error Bound (up) - Max. possible relative overstatement - Losing Candidate]:[Error Bound (up) - Max. possible relative overstatement - Candidate 6]])</f>
        <v>2.8172464478196961E-3</v>
      </c>
      <c r="Q1954" s="100">
        <f>IF(SamplingData[[#This Row],[Max Error Bound (up)]] = 0,0,SamplingData[[#This Row],[Max Error Bound (up)]]/SamplingData[[#Totals],[Max Error Bound (up)]])</f>
        <v>4.4587562080850821E-4</v>
      </c>
      <c r="R1954" s="101">
        <f>SUM($Q$5:Q1954)</f>
        <v>0.82059764354079678</v>
      </c>
      <c r="S1954" s="100" t="str">
        <f t="array" ref="S1954">IF(SamplingData[[#This Row],[up/U Selection Probability]] = 0, "Zero", TEXT(SamplingData[[#This Row],[Lower Range]], REPT("0",LEN('General Info'!$B$40))) &amp; " - " &amp; TEXT(SamplingData[[#This Row],[Upper Range]], REPT("0",LEN('General Info'!$B$40))))</f>
        <v>82015 - 82059</v>
      </c>
      <c r="T1954" s="100">
        <f>SamplingData[[#This Row],[Upper Range]]-SamplingData[[#This Row],[Span]]</f>
        <v>82015.17723787445</v>
      </c>
      <c r="U1954" s="100">
        <f>IF(ISNUMBER('General Info'!$B$40), ((SamplingData[[#This Row],[up/U Selection Probability]]) * 'General Info'!$B$40) - 1, 0)</f>
        <v>43.587116205230011</v>
      </c>
      <c r="V1954" s="100">
        <f>IF(ISNUMBER('General Info'!$B$40), (SamplingData[[#This Row],[Running (cumulative) sum]] * ('General Info'!$B$40 -'General Info'!$B$41 + 1)) + 'General Info'!$B$41 - 1, 0)</f>
        <v>82058.764354079685</v>
      </c>
      <c r="W1954" s="100" t="str">
        <f>IF(ISERROR(MATCH(SamplingData[[#This Row],[Batch by Type (p)]],SelectedPrecincts[Batch Name], 0)), "", INDEX(SelectedPrecincts[Draw], MATCH(SamplingData[[#This Row],[Batch by Type (p)]],SelectedPrecincts[Batch Name], 0)))</f>
        <v/>
      </c>
      <c r="X1954" s="102">
        <f>IF(COUNTIF(SelectedPrecincts[Batch Name],SamplingData[[#This Row],[Batch by Type (p)]]) &lt;&gt; 0, COUNTIF(SelectedPrecincts[Batch Name],SamplingData[[#This Row],[Batch by Type (p)]]), 0)</f>
        <v>0</v>
      </c>
    </row>
    <row r="1955" spans="1:24" ht="15" customHeight="1">
      <c r="A1955" s="18" t="s">
        <v>2131</v>
      </c>
      <c r="B1955" s="18">
        <v>11</v>
      </c>
      <c r="C1955" s="18">
        <v>7</v>
      </c>
      <c r="D1955" s="16">
        <v>3</v>
      </c>
      <c r="E1955" s="16">
        <v>1</v>
      </c>
      <c r="F1955" s="37">
        <v>0</v>
      </c>
      <c r="G1955" s="37">
        <v>0</v>
      </c>
      <c r="H1955" s="17">
        <v>0</v>
      </c>
      <c r="I1955" s="17">
        <v>1</v>
      </c>
      <c r="J1955" s="99">
        <f>SUM(SamplingData[[#This Row],[Losing Candidate]:[Under Votes]])</f>
        <v>23</v>
      </c>
      <c r="K1955"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955" s="100">
        <f>IF(AND(SamplingData[[#This Row],[Total]]&lt;&gt; 0, NOT(ISBLANK(SamplingData[[#This Row],[Candidate 3]]))),(SamplingData[[#This Row],[Total]]+SamplingData[[#This Row],[Winning Candidate]]-SamplingData[[#This Row],[Candidate 3]])/(SamplingData[[#Totals],[Winning Candidate]]-SamplingData[[#Totals],[Candidate 3]]), 0)</f>
        <v>8.710520372939317E-4</v>
      </c>
      <c r="M1955" s="100">
        <f>IF(AND(SamplingData[[#This Row],[Total]]&lt;&gt; 0, NOT(ISBLANK(SamplingData[[#This Row],[Candidate 4]]))),(SamplingData[[#This Row],[Total]]+SamplingData[[#This Row],[Winning Candidate]]-SamplingData[[#This Row],[Candidate 4]])/(SamplingData[[#Totals],[Winning Candidate]]-SamplingData[[#Totals],[Candidate 4]]), 0)</f>
        <v>8.4773012949808531E-4</v>
      </c>
      <c r="N1955" s="100">
        <f>IF(AND(SamplingData[[#This Row],[Total]]&lt;&gt; 0, NOT(ISBLANK(SamplingData[[#This Row],[Candidate 5]]))),(SamplingData[[#This Row],[Total]]+SamplingData[[#This Row],[Winning Candidate]]-SamplingData[[#This Row],[Candidate 5]])/(SamplingData[[#Totals],[Winning Candidate]]-SamplingData[[#Totals],[Candidate 5]]), 0)</f>
        <v>7.2974945268791051E-4</v>
      </c>
      <c r="O1955" s="100">
        <f>IF(AND(SamplingData[[#This Row],[Total]]&lt;&gt; 0, NOT(ISBLANK(SamplingData[[#This Row],[Candidate 6]]))),(SamplingData[[#This Row],[Total]]+SamplingData[[#This Row],[Winning Candidate]]-SamplingData[[#This Row],[Candidate 6]])/(SamplingData[[#Totals],[Winning Candidate]]-SamplingData[[#Totals],[Candidate 6]]), 0)</f>
        <v>7.2953650114294054E-4</v>
      </c>
      <c r="P1955" s="100">
        <f>MAX(SamplingData[[#This Row],[Error Bound (up) - Max. possible relative overstatement - Losing Candidate]:[Error Bound (up) - Max. possible relative overstatement - Candidate 6]])</f>
        <v>1.1636452719255266E-3</v>
      </c>
      <c r="Q1955" s="100">
        <f>IF(SamplingData[[#This Row],[Max Error Bound (up)]] = 0,0,SamplingData[[#This Row],[Max Error Bound (up)]]/SamplingData[[#Totals],[Max Error Bound (up)]])</f>
        <v>1.841660172904708E-4</v>
      </c>
      <c r="R1955" s="101">
        <f>SUM($Q$5:Q1955)</f>
        <v>0.82078180955808722</v>
      </c>
      <c r="S1955" s="100" t="str">
        <f t="array" ref="S1955">IF(SamplingData[[#This Row],[up/U Selection Probability]] = 0, "Zero", TEXT(SamplingData[[#This Row],[Lower Range]], REPT("0",LEN('General Info'!$B$40))) &amp; " - " &amp; TEXT(SamplingData[[#This Row],[Upper Range]], REPT("0",LEN('General Info'!$B$40))))</f>
        <v>82060 - 82077</v>
      </c>
      <c r="T1955" s="100">
        <f>SamplingData[[#This Row],[Upper Range]]-SamplingData[[#This Row],[Span]]</f>
        <v>82059.764538245698</v>
      </c>
      <c r="U1955" s="100">
        <f>IF(ISNUMBER('General Info'!$B$40), ((SamplingData[[#This Row],[up/U Selection Probability]]) * 'General Info'!$B$40) - 1, 0)</f>
        <v>17.416417563029789</v>
      </c>
      <c r="V1955" s="100">
        <f>IF(ISNUMBER('General Info'!$B$40), (SamplingData[[#This Row],[Running (cumulative) sum]] * ('General Info'!$B$40 -'General Info'!$B$41 + 1)) + 'General Info'!$B$41 - 1, 0)</f>
        <v>82077.180955808726</v>
      </c>
      <c r="W1955" s="100" t="str">
        <f>IF(ISERROR(MATCH(SamplingData[[#This Row],[Batch by Type (p)]],SelectedPrecincts[Batch Name], 0)), "", INDEX(SelectedPrecincts[Draw], MATCH(SamplingData[[#This Row],[Batch by Type (p)]],SelectedPrecincts[Batch Name], 0)))</f>
        <v/>
      </c>
      <c r="X1955" s="102">
        <f>IF(COUNTIF(SelectedPrecincts[Batch Name],SamplingData[[#This Row],[Batch by Type (p)]]) &lt;&gt; 0, COUNTIF(SelectedPrecincts[Batch Name],SamplingData[[#This Row],[Batch by Type (p)]]), 0)</f>
        <v>0</v>
      </c>
    </row>
    <row r="1956" spans="1:24" ht="15" customHeight="1">
      <c r="A1956" s="18" t="s">
        <v>2132</v>
      </c>
      <c r="B1956" s="18">
        <v>3</v>
      </c>
      <c r="C1956" s="18">
        <v>4</v>
      </c>
      <c r="D1956" s="18">
        <v>5</v>
      </c>
      <c r="E1956" s="18">
        <v>2</v>
      </c>
      <c r="F1956" s="18">
        <v>0</v>
      </c>
      <c r="G1956" s="18">
        <v>0</v>
      </c>
      <c r="H1956" s="18">
        <v>0</v>
      </c>
      <c r="I1956" s="18">
        <v>0</v>
      </c>
      <c r="J1956" s="99">
        <f>SUM(SamplingData[[#This Row],[Losing Candidate]:[Under Votes]])</f>
        <v>14</v>
      </c>
      <c r="K1956"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956" s="100">
        <f>IF(AND(SamplingData[[#This Row],[Total]]&lt;&gt; 0, NOT(ISBLANK(SamplingData[[#This Row],[Candidate 3]]))),(SamplingData[[#This Row],[Total]]+SamplingData[[#This Row],[Winning Candidate]]-SamplingData[[#This Row],[Candidate 3]])/(SamplingData[[#Totals],[Winning Candidate]]-SamplingData[[#Totals],[Candidate 3]]), 0)</f>
        <v>4.1939542536374486E-4</v>
      </c>
      <c r="M1956" s="100">
        <f>IF(AND(SamplingData[[#This Row],[Total]]&lt;&gt; 0, NOT(ISBLANK(SamplingData[[#This Row],[Candidate 4]]))),(SamplingData[[#This Row],[Total]]+SamplingData[[#This Row],[Winning Candidate]]-SamplingData[[#This Row],[Candidate 4]])/(SamplingData[[#Totals],[Winning Candidate]]-SamplingData[[#Totals],[Candidate 4]]), 0)</f>
        <v>4.6771317489549536E-4</v>
      </c>
      <c r="N1956" s="100">
        <f>IF(AND(SamplingData[[#This Row],[Total]]&lt;&gt; 0, NOT(ISBLANK(SamplingData[[#This Row],[Candidate 5]]))),(SamplingData[[#This Row],[Total]]+SamplingData[[#This Row],[Winning Candidate]]-SamplingData[[#This Row],[Candidate 5]])/(SamplingData[[#Totals],[Winning Candidate]]-SamplingData[[#Totals],[Candidate 5]]), 0)</f>
        <v>4.3784967161274629E-4</v>
      </c>
      <c r="O1956" s="100">
        <f>IF(AND(SamplingData[[#This Row],[Total]]&lt;&gt; 0, NOT(ISBLANK(SamplingData[[#This Row],[Candidate 6]]))),(SamplingData[[#This Row],[Total]]+SamplingData[[#This Row],[Winning Candidate]]-SamplingData[[#This Row],[Candidate 6]])/(SamplingData[[#Totals],[Winning Candidate]]-SamplingData[[#Totals],[Candidate 6]]), 0)</f>
        <v>4.3772190068576433E-4</v>
      </c>
      <c r="P1956" s="100">
        <f>MAX(SamplingData[[#This Row],[Error Bound (up) - Max. possible relative overstatement - Losing Candidate]:[Error Bound (up) - Max. possible relative overstatement - Candidate 6]])</f>
        <v>9.1866731994120533E-4</v>
      </c>
      <c r="Q1956" s="100">
        <f>IF(SamplingData[[#This Row],[Max Error Bound (up)]] = 0,0,SamplingData[[#This Row],[Max Error Bound (up)]]/SamplingData[[#Totals],[Max Error Bound (up)]])</f>
        <v>1.4539422417668749E-4</v>
      </c>
      <c r="R1956" s="101">
        <f>SUM($Q$5:Q1956)</f>
        <v>0.82092720378226391</v>
      </c>
      <c r="S1956" s="100" t="str">
        <f t="array" ref="S1956">IF(SamplingData[[#This Row],[up/U Selection Probability]] = 0, "Zero", TEXT(SamplingData[[#This Row],[Lower Range]], REPT("0",LEN('General Info'!$B$40))) &amp; " - " &amp; TEXT(SamplingData[[#This Row],[Upper Range]], REPT("0",LEN('General Info'!$B$40))))</f>
        <v>82078 - 82092</v>
      </c>
      <c r="T1956" s="100">
        <f>SamplingData[[#This Row],[Upper Range]]-SamplingData[[#This Row],[Span]]</f>
        <v>82078.18110120295</v>
      </c>
      <c r="U1956" s="100">
        <f>IF(ISNUMBER('General Info'!$B$40), ((SamplingData[[#This Row],[up/U Selection Probability]]) * 'General Info'!$B$40) - 1, 0)</f>
        <v>13.539277023444573</v>
      </c>
      <c r="V1956" s="100">
        <f>IF(ISNUMBER('General Info'!$B$40), (SamplingData[[#This Row],[Running (cumulative) sum]] * ('General Info'!$B$40 -'General Info'!$B$41 + 1)) + 'General Info'!$B$41 - 1, 0)</f>
        <v>82091.720378226397</v>
      </c>
      <c r="W1956" s="100" t="str">
        <f>IF(ISERROR(MATCH(SamplingData[[#This Row],[Batch by Type (p)]],SelectedPrecincts[Batch Name], 0)), "", INDEX(SelectedPrecincts[Draw], MATCH(SamplingData[[#This Row],[Batch by Type (p)]],SelectedPrecincts[Batch Name], 0)))</f>
        <v/>
      </c>
      <c r="X1956" s="102">
        <f>IF(COUNTIF(SelectedPrecincts[Batch Name],SamplingData[[#This Row],[Batch by Type (p)]]) &lt;&gt; 0, COUNTIF(SelectedPrecincts[Batch Name],SamplingData[[#This Row],[Batch by Type (p)]]), 0)</f>
        <v>0</v>
      </c>
    </row>
    <row r="1957" spans="1:24" ht="15" customHeight="1">
      <c r="A1957" s="18" t="s">
        <v>2133</v>
      </c>
      <c r="B1957" s="18">
        <v>6</v>
      </c>
      <c r="C1957" s="18">
        <v>13</v>
      </c>
      <c r="D1957" s="16">
        <v>7</v>
      </c>
      <c r="E1957" s="16">
        <v>4</v>
      </c>
      <c r="F1957" s="37">
        <v>1</v>
      </c>
      <c r="G1957" s="37">
        <v>0</v>
      </c>
      <c r="H1957" s="17">
        <v>0</v>
      </c>
      <c r="I1957" s="17">
        <v>0</v>
      </c>
      <c r="J1957" s="99">
        <f>SUM(SamplingData[[#This Row],[Losing Candidate]:[Under Votes]])</f>
        <v>31</v>
      </c>
      <c r="K1957"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1957" s="100">
        <f>IF(AND(SamplingData[[#This Row],[Total]]&lt;&gt; 0, NOT(ISBLANK(SamplingData[[#This Row],[Candidate 3]]))),(SamplingData[[#This Row],[Total]]+SamplingData[[#This Row],[Winning Candidate]]-SamplingData[[#This Row],[Candidate 3]])/(SamplingData[[#Totals],[Winning Candidate]]-SamplingData[[#Totals],[Candidate 3]]), 0)</f>
        <v>1.1936639029583509E-3</v>
      </c>
      <c r="M1957" s="100">
        <f>IF(AND(SamplingData[[#This Row],[Total]]&lt;&gt; 0, NOT(ISBLANK(SamplingData[[#This Row],[Candidate 4]]))),(SamplingData[[#This Row],[Total]]+SamplingData[[#This Row],[Winning Candidate]]-SamplingData[[#This Row],[Candidate 4]])/(SamplingData[[#Totals],[Winning Candidate]]-SamplingData[[#Totals],[Candidate 4]]), 0)</f>
        <v>1.1692829372387384E-3</v>
      </c>
      <c r="N1957" s="100">
        <f>IF(AND(SamplingData[[#This Row],[Total]]&lt;&gt; 0, NOT(ISBLANK(SamplingData[[#This Row],[Candidate 5]]))),(SamplingData[[#This Row],[Total]]+SamplingData[[#This Row],[Winning Candidate]]-SamplingData[[#This Row],[Candidate 5]])/(SamplingData[[#Totals],[Winning Candidate]]-SamplingData[[#Totals],[Candidate 5]]), 0)</f>
        <v>1.0459742155193383E-3</v>
      </c>
      <c r="O1957" s="100">
        <f>IF(AND(SamplingData[[#This Row],[Total]]&lt;&gt; 0, NOT(ISBLANK(SamplingData[[#This Row],[Candidate 6]]))),(SamplingData[[#This Row],[Total]]+SamplingData[[#This Row],[Winning Candidate]]-SamplingData[[#This Row],[Candidate 6]])/(SamplingData[[#Totals],[Winning Candidate]]-SamplingData[[#Totals],[Candidate 6]]), 0)</f>
        <v>1.0699868683429793E-3</v>
      </c>
      <c r="P1957" s="100">
        <f>MAX(SamplingData[[#This Row],[Error Bound (up) - Max. possible relative overstatement - Losing Candidate]:[Error Bound (up) - Max. possible relative overstatement - Candidate 6]])</f>
        <v>2.3272905438510533E-3</v>
      </c>
      <c r="Q1957" s="100">
        <f>IF(SamplingData[[#This Row],[Max Error Bound (up)]] = 0,0,SamplingData[[#This Row],[Max Error Bound (up)]]/SamplingData[[#Totals],[Max Error Bound (up)]])</f>
        <v>3.683320345809416E-4</v>
      </c>
      <c r="R1957" s="101">
        <f>SUM($Q$5:Q1957)</f>
        <v>0.82129553581684489</v>
      </c>
      <c r="S1957" s="100" t="str">
        <f t="array" ref="S1957">IF(SamplingData[[#This Row],[up/U Selection Probability]] = 0, "Zero", TEXT(SamplingData[[#This Row],[Lower Range]], REPT("0",LEN('General Info'!$B$40))) &amp; " - " &amp; TEXT(SamplingData[[#This Row],[Upper Range]], REPT("0",LEN('General Info'!$B$40))))</f>
        <v>82093 - 82129</v>
      </c>
      <c r="T1957" s="100">
        <f>SamplingData[[#This Row],[Upper Range]]-SamplingData[[#This Row],[Span]]</f>
        <v>82092.720746558436</v>
      </c>
      <c r="U1957" s="100">
        <f>IF(ISNUMBER('General Info'!$B$40), ((SamplingData[[#This Row],[up/U Selection Probability]]) * 'General Info'!$B$40) - 1, 0)</f>
        <v>35.832835126059578</v>
      </c>
      <c r="V1957" s="100">
        <f>IF(ISNUMBER('General Info'!$B$40), (SamplingData[[#This Row],[Running (cumulative) sum]] * ('General Info'!$B$40 -'General Info'!$B$41 + 1)) + 'General Info'!$B$41 - 1, 0)</f>
        <v>82128.553581684493</v>
      </c>
      <c r="W1957" s="100" t="str">
        <f>IF(ISERROR(MATCH(SamplingData[[#This Row],[Batch by Type (p)]],SelectedPrecincts[Batch Name], 0)), "", INDEX(SelectedPrecincts[Draw], MATCH(SamplingData[[#This Row],[Batch by Type (p)]],SelectedPrecincts[Batch Name], 0)))</f>
        <v/>
      </c>
      <c r="X1957" s="102">
        <f>IF(COUNTIF(SelectedPrecincts[Batch Name],SamplingData[[#This Row],[Batch by Type (p)]]) &lt;&gt; 0, COUNTIF(SelectedPrecincts[Batch Name],SamplingData[[#This Row],[Batch by Type (p)]]), 0)</f>
        <v>0</v>
      </c>
    </row>
    <row r="1958" spans="1:24" ht="15" customHeight="1">
      <c r="A1958" s="18" t="s">
        <v>2134</v>
      </c>
      <c r="B1958" s="18">
        <v>7</v>
      </c>
      <c r="C1958" s="18">
        <v>8</v>
      </c>
      <c r="D1958" s="18">
        <v>2</v>
      </c>
      <c r="E1958" s="18">
        <v>1</v>
      </c>
      <c r="F1958" s="18">
        <v>0</v>
      </c>
      <c r="G1958" s="18">
        <v>0</v>
      </c>
      <c r="H1958" s="18">
        <v>0</v>
      </c>
      <c r="I1958" s="18">
        <v>0</v>
      </c>
      <c r="J1958" s="99">
        <f>SUM(SamplingData[[#This Row],[Losing Candidate]:[Under Votes]])</f>
        <v>18</v>
      </c>
      <c r="K1958"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1958" s="100">
        <f>IF(AND(SamplingData[[#This Row],[Total]]&lt;&gt; 0, NOT(ISBLANK(SamplingData[[#This Row],[Candidate 3]]))),(SamplingData[[#This Row],[Total]]+SamplingData[[#This Row],[Winning Candidate]]-SamplingData[[#This Row],[Candidate 3]])/(SamplingData[[#Totals],[Winning Candidate]]-SamplingData[[#Totals],[Candidate 3]]), 0)</f>
        <v>7.7426847759460595E-4</v>
      </c>
      <c r="M1958" s="100">
        <f>IF(AND(SamplingData[[#This Row],[Total]]&lt;&gt; 0, NOT(ISBLANK(SamplingData[[#This Row],[Candidate 4]]))),(SamplingData[[#This Row],[Total]]+SamplingData[[#This Row],[Winning Candidate]]-SamplingData[[#This Row],[Candidate 4]])/(SamplingData[[#Totals],[Winning Candidate]]-SamplingData[[#Totals],[Candidate 4]]), 0)</f>
        <v>7.3080183577421145E-4</v>
      </c>
      <c r="N1958" s="100">
        <f>IF(AND(SamplingData[[#This Row],[Total]]&lt;&gt; 0, NOT(ISBLANK(SamplingData[[#This Row],[Candidate 5]]))),(SamplingData[[#This Row],[Total]]+SamplingData[[#This Row],[Winning Candidate]]-SamplingData[[#This Row],[Candidate 5]])/(SamplingData[[#Totals],[Winning Candidate]]-SamplingData[[#Totals],[Candidate 5]]), 0)</f>
        <v>6.3244952566285579E-4</v>
      </c>
      <c r="O1958" s="100">
        <f>IF(AND(SamplingData[[#This Row],[Total]]&lt;&gt; 0, NOT(ISBLANK(SamplingData[[#This Row],[Candidate 6]]))),(SamplingData[[#This Row],[Total]]+SamplingData[[#This Row],[Winning Candidate]]-SamplingData[[#This Row],[Candidate 6]])/(SamplingData[[#Totals],[Winning Candidate]]-SamplingData[[#Totals],[Candidate 6]]), 0)</f>
        <v>6.322649676572151E-4</v>
      </c>
      <c r="P1958" s="100">
        <f>MAX(SamplingData[[#This Row],[Error Bound (up) - Max. possible relative overstatement - Losing Candidate]:[Error Bound (up) - Max. possible relative overstatement - Candidate 6]])</f>
        <v>1.1636452719255266E-3</v>
      </c>
      <c r="Q1958" s="100">
        <f>IF(SamplingData[[#This Row],[Max Error Bound (up)]] = 0,0,SamplingData[[#This Row],[Max Error Bound (up)]]/SamplingData[[#Totals],[Max Error Bound (up)]])</f>
        <v>1.841660172904708E-4</v>
      </c>
      <c r="R1958" s="101">
        <f>SUM($Q$5:Q1958)</f>
        <v>0.82147970183413532</v>
      </c>
      <c r="S1958" s="100" t="str">
        <f t="array" ref="S1958">IF(SamplingData[[#This Row],[up/U Selection Probability]] = 0, "Zero", TEXT(SamplingData[[#This Row],[Lower Range]], REPT("0",LEN('General Info'!$B$40))) &amp; " - " &amp; TEXT(SamplingData[[#This Row],[Upper Range]], REPT("0",LEN('General Info'!$B$40))))</f>
        <v>82130 - 82147</v>
      </c>
      <c r="T1958" s="100">
        <f>SamplingData[[#This Row],[Upper Range]]-SamplingData[[#This Row],[Span]]</f>
        <v>82129.553765850505</v>
      </c>
      <c r="U1958" s="100">
        <f>IF(ISNUMBER('General Info'!$B$40), ((SamplingData[[#This Row],[up/U Selection Probability]]) * 'General Info'!$B$40) - 1, 0)</f>
        <v>17.416417563029789</v>
      </c>
      <c r="V1958" s="100">
        <f>IF(ISNUMBER('General Info'!$B$40), (SamplingData[[#This Row],[Running (cumulative) sum]] * ('General Info'!$B$40 -'General Info'!$B$41 + 1)) + 'General Info'!$B$41 - 1, 0)</f>
        <v>82146.970183413534</v>
      </c>
      <c r="W1958" s="100" t="str">
        <f>IF(ISERROR(MATCH(SamplingData[[#This Row],[Batch by Type (p)]],SelectedPrecincts[Batch Name], 0)), "", INDEX(SelectedPrecincts[Draw], MATCH(SamplingData[[#This Row],[Batch by Type (p)]],SelectedPrecincts[Batch Name], 0)))</f>
        <v/>
      </c>
      <c r="X1958" s="102">
        <f>IF(COUNTIF(SelectedPrecincts[Batch Name],SamplingData[[#This Row],[Batch by Type (p)]]) &lt;&gt; 0, COUNTIF(SelectedPrecincts[Batch Name],SamplingData[[#This Row],[Batch by Type (p)]]), 0)</f>
        <v>0</v>
      </c>
    </row>
    <row r="1959" spans="1:24" ht="15" customHeight="1">
      <c r="A1959" s="18" t="s">
        <v>2135</v>
      </c>
      <c r="B1959" s="18">
        <v>22</v>
      </c>
      <c r="C1959" s="18">
        <v>36</v>
      </c>
      <c r="D1959" s="16">
        <v>11</v>
      </c>
      <c r="E1959" s="16">
        <v>13</v>
      </c>
      <c r="F1959" s="37">
        <v>0</v>
      </c>
      <c r="G1959" s="37">
        <v>1</v>
      </c>
      <c r="H1959" s="17">
        <v>0</v>
      </c>
      <c r="I1959" s="17">
        <v>0</v>
      </c>
      <c r="J1959" s="99">
        <f>SUM(SamplingData[[#This Row],[Losing Candidate]:[Under Votes]])</f>
        <v>83</v>
      </c>
      <c r="K1959" s="100">
        <f>IF(AND(SamplingData[[#This Row],[Total]]&lt;&gt; 0, NOT(ISBLANK(SamplingData[[#This Row],[Losing Candidate]]))),(SamplingData[[#This Row],[Total]]+SamplingData[[#This Row],[Winning Candidate]]-SamplingData[[#This Row],[Losing Candidate]])/(SamplingData[[#Totals],[Winning Candidate]]-SamplingData[[#Totals],[Losing Candidate]]), 0)</f>
        <v>5.9407153356197942E-3</v>
      </c>
      <c r="L1959" s="100">
        <f>IF(AND(SamplingData[[#This Row],[Total]]&lt;&gt; 0, NOT(ISBLANK(SamplingData[[#This Row],[Candidate 3]]))),(SamplingData[[#This Row],[Total]]+SamplingData[[#This Row],[Winning Candidate]]-SamplingData[[#This Row],[Candidate 3]])/(SamplingData[[#Totals],[Winning Candidate]]-SamplingData[[#Totals],[Candidate 3]]), 0)</f>
        <v>3.4842081491757268E-3</v>
      </c>
      <c r="M1959" s="100">
        <f>IF(AND(SamplingData[[#This Row],[Total]]&lt;&gt; 0, NOT(ISBLANK(SamplingData[[#This Row],[Candidate 4]]))),(SamplingData[[#This Row],[Total]]+SamplingData[[#This Row],[Winning Candidate]]-SamplingData[[#This Row],[Candidate 4]])/(SamplingData[[#Totals],[Winning Candidate]]-SamplingData[[#Totals],[Candidate 4]]), 0)</f>
        <v>3.0985997836826566E-3</v>
      </c>
      <c r="N1959" s="100">
        <f>IF(AND(SamplingData[[#This Row],[Total]]&lt;&gt; 0, NOT(ISBLANK(SamplingData[[#This Row],[Candidate 5]]))),(SamplingData[[#This Row],[Total]]+SamplingData[[#This Row],[Winning Candidate]]-SamplingData[[#This Row],[Candidate 5]])/(SamplingData[[#Totals],[Winning Candidate]]-SamplingData[[#Totals],[Candidate 5]]), 0)</f>
        <v>2.8946728289953785E-3</v>
      </c>
      <c r="O1959" s="100">
        <f>IF(AND(SamplingData[[#This Row],[Total]]&lt;&gt; 0, NOT(ISBLANK(SamplingData[[#This Row],[Candidate 6]]))),(SamplingData[[#This Row],[Total]]+SamplingData[[#This Row],[Winning Candidate]]-SamplingData[[#This Row],[Candidate 6]])/(SamplingData[[#Totals],[Winning Candidate]]-SamplingData[[#Totals],[Candidate 6]]), 0)</f>
        <v>2.8695102378288994E-3</v>
      </c>
      <c r="P1959" s="100">
        <f>MAX(SamplingData[[#This Row],[Error Bound (up) - Max. possible relative overstatement - Losing Candidate]:[Error Bound (up) - Max. possible relative overstatement - Candidate 6]])</f>
        <v>5.9407153356197942E-3</v>
      </c>
      <c r="Q1959" s="100">
        <f>IF(SamplingData[[#This Row],[Max Error Bound (up)]] = 0,0,SamplingData[[#This Row],[Max Error Bound (up)]]/SamplingData[[#Totals],[Max Error Bound (up)]])</f>
        <v>9.4021598300924561E-4</v>
      </c>
      <c r="R1959" s="101">
        <f>SUM($Q$5:Q1959)</f>
        <v>0.82241991781714452</v>
      </c>
      <c r="S1959" s="100" t="str">
        <f t="array" ref="S1959">IF(SamplingData[[#This Row],[up/U Selection Probability]] = 0, "Zero", TEXT(SamplingData[[#This Row],[Lower Range]], REPT("0",LEN('General Info'!$B$40))) &amp; " - " &amp; TEXT(SamplingData[[#This Row],[Upper Range]], REPT("0",LEN('General Info'!$B$40))))</f>
        <v>82148 - 82241</v>
      </c>
      <c r="T1959" s="100">
        <f>SamplingData[[#This Row],[Upper Range]]-SamplingData[[#This Row],[Span]]</f>
        <v>82147.971123629497</v>
      </c>
      <c r="U1959" s="100">
        <f>IF(ISNUMBER('General Info'!$B$40), ((SamplingData[[#This Row],[up/U Selection Probability]]) * 'General Info'!$B$40) - 1, 0)</f>
        <v>93.020658084941559</v>
      </c>
      <c r="V1959" s="100">
        <f>IF(ISNUMBER('General Info'!$B$40), (SamplingData[[#This Row],[Running (cumulative) sum]] * ('General Info'!$B$40 -'General Info'!$B$41 + 1)) + 'General Info'!$B$41 - 1, 0)</f>
        <v>82240.991781714445</v>
      </c>
      <c r="W1959" s="100" t="str">
        <f>IF(ISERROR(MATCH(SamplingData[[#This Row],[Batch by Type (p)]],SelectedPrecincts[Batch Name], 0)), "", INDEX(SelectedPrecincts[Draw], MATCH(SamplingData[[#This Row],[Batch by Type (p)]],SelectedPrecincts[Batch Name], 0)))</f>
        <v/>
      </c>
      <c r="X1959" s="102">
        <f>IF(COUNTIF(SelectedPrecincts[Batch Name],SamplingData[[#This Row],[Batch by Type (p)]]) &lt;&gt; 0, COUNTIF(SelectedPrecincts[Batch Name],SamplingData[[#This Row],[Batch by Type (p)]]), 0)</f>
        <v>0</v>
      </c>
    </row>
    <row r="1960" spans="1:24" ht="15" customHeight="1">
      <c r="A1960" s="18" t="s">
        <v>2136</v>
      </c>
      <c r="B1960" s="18">
        <v>12</v>
      </c>
      <c r="C1960" s="18">
        <v>14</v>
      </c>
      <c r="D1960" s="18">
        <v>2</v>
      </c>
      <c r="E1960" s="18">
        <v>0</v>
      </c>
      <c r="F1960" s="18">
        <v>0</v>
      </c>
      <c r="G1960" s="18">
        <v>0</v>
      </c>
      <c r="H1960" s="18">
        <v>0</v>
      </c>
      <c r="I1960" s="18">
        <v>0</v>
      </c>
      <c r="J1960" s="99">
        <f>SUM(SamplingData[[#This Row],[Losing Candidate]:[Under Votes]])</f>
        <v>28</v>
      </c>
      <c r="K1960"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1960" s="100">
        <f>IF(AND(SamplingData[[#This Row],[Total]]&lt;&gt; 0, NOT(ISBLANK(SamplingData[[#This Row],[Candidate 3]]))),(SamplingData[[#This Row],[Total]]+SamplingData[[#This Row],[Winning Candidate]]-SamplingData[[#This Row],[Candidate 3]])/(SamplingData[[#Totals],[Winning Candidate]]-SamplingData[[#Totals],[Candidate 3]]), 0)</f>
        <v>1.2904474626576766E-3</v>
      </c>
      <c r="M1960" s="100">
        <f>IF(AND(SamplingData[[#This Row],[Total]]&lt;&gt; 0, NOT(ISBLANK(SamplingData[[#This Row],[Candidate 4]]))),(SamplingData[[#This Row],[Total]]+SamplingData[[#This Row],[Winning Candidate]]-SamplingData[[#This Row],[Candidate 4]])/(SamplingData[[#Totals],[Winning Candidate]]-SamplingData[[#Totals],[Candidate 4]]), 0)</f>
        <v>1.2277470841006752E-3</v>
      </c>
      <c r="N1960" s="100">
        <f>IF(AND(SamplingData[[#This Row],[Total]]&lt;&gt; 0, NOT(ISBLANK(SamplingData[[#This Row],[Candidate 5]]))),(SamplingData[[#This Row],[Total]]+SamplingData[[#This Row],[Winning Candidate]]-SamplingData[[#This Row],[Candidate 5]])/(SamplingData[[#Totals],[Winning Candidate]]-SamplingData[[#Totals],[Candidate 5]]), 0)</f>
        <v>1.0216492337630748E-3</v>
      </c>
      <c r="O1960" s="100">
        <f>IF(AND(SamplingData[[#This Row],[Total]]&lt;&gt; 0, NOT(ISBLANK(SamplingData[[#This Row],[Candidate 6]]))),(SamplingData[[#This Row],[Total]]+SamplingData[[#This Row],[Winning Candidate]]-SamplingData[[#This Row],[Candidate 6]])/(SamplingData[[#Totals],[Winning Candidate]]-SamplingData[[#Totals],[Candidate 6]]), 0)</f>
        <v>1.0213511016001168E-3</v>
      </c>
      <c r="P1960" s="100">
        <f>MAX(SamplingData[[#This Row],[Error Bound (up) - Max. possible relative overstatement - Losing Candidate]:[Error Bound (up) - Max. possible relative overstatement - Candidate 6]])</f>
        <v>1.8373346398824107E-3</v>
      </c>
      <c r="Q1960" s="100">
        <f>IF(SamplingData[[#This Row],[Max Error Bound (up)]] = 0,0,SamplingData[[#This Row],[Max Error Bound (up)]]/SamplingData[[#Totals],[Max Error Bound (up)]])</f>
        <v>2.9078844835337498E-4</v>
      </c>
      <c r="R1960" s="101">
        <f>SUM($Q$5:Q1960)</f>
        <v>0.82271070626549792</v>
      </c>
      <c r="S1960" s="100" t="str">
        <f t="array" ref="S1960">IF(SamplingData[[#This Row],[up/U Selection Probability]] = 0, "Zero", TEXT(SamplingData[[#This Row],[Lower Range]], REPT("0",LEN('General Info'!$B$40))) &amp; " - " &amp; TEXT(SamplingData[[#This Row],[Upper Range]], REPT("0",LEN('General Info'!$B$40))))</f>
        <v>82242 - 82270</v>
      </c>
      <c r="T1960" s="100">
        <f>SamplingData[[#This Row],[Upper Range]]-SamplingData[[#This Row],[Span]]</f>
        <v>82241.992072502893</v>
      </c>
      <c r="U1960" s="100">
        <f>IF(ISNUMBER('General Info'!$B$40), ((SamplingData[[#This Row],[up/U Selection Probability]]) * 'General Info'!$B$40) - 1, 0)</f>
        <v>28.078554046889145</v>
      </c>
      <c r="V1960" s="100">
        <f>IF(ISNUMBER('General Info'!$B$40), (SamplingData[[#This Row],[Running (cumulative) sum]] * ('General Info'!$B$40 -'General Info'!$B$41 + 1)) + 'General Info'!$B$41 - 1, 0)</f>
        <v>82270.070626549787</v>
      </c>
      <c r="W1960" s="100" t="str">
        <f>IF(ISERROR(MATCH(SamplingData[[#This Row],[Batch by Type (p)]],SelectedPrecincts[Batch Name], 0)), "", INDEX(SelectedPrecincts[Draw], MATCH(SamplingData[[#This Row],[Batch by Type (p)]],SelectedPrecincts[Batch Name], 0)))</f>
        <v/>
      </c>
      <c r="X1960" s="102">
        <f>IF(COUNTIF(SelectedPrecincts[Batch Name],SamplingData[[#This Row],[Batch by Type (p)]]) &lt;&gt; 0, COUNTIF(SelectedPrecincts[Batch Name],SamplingData[[#This Row],[Batch by Type (p)]]), 0)</f>
        <v>0</v>
      </c>
    </row>
    <row r="1961" spans="1:24" ht="15" customHeight="1">
      <c r="A1961" s="18" t="s">
        <v>2137</v>
      </c>
      <c r="B1961" s="18">
        <v>12</v>
      </c>
      <c r="C1961" s="18">
        <v>15</v>
      </c>
      <c r="D1961" s="16">
        <v>4</v>
      </c>
      <c r="E1961" s="16">
        <v>4</v>
      </c>
      <c r="F1961" s="37">
        <v>0</v>
      </c>
      <c r="G1961" s="37">
        <v>0</v>
      </c>
      <c r="H1961" s="17">
        <v>0</v>
      </c>
      <c r="I1961" s="17">
        <v>2</v>
      </c>
      <c r="J1961" s="99">
        <f>SUM(SamplingData[[#This Row],[Losing Candidate]:[Under Votes]])</f>
        <v>37</v>
      </c>
      <c r="K1961"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2.4497795198432141E-3</v>
      </c>
      <c r="L1961" s="100">
        <f>IF(AND(SamplingData[[#This Row],[Total]]&lt;&gt; 0, NOT(ISBLANK(SamplingData[[#This Row],[Candidate 3]]))),(SamplingData[[#This Row],[Total]]+SamplingData[[#This Row],[Winning Candidate]]-SamplingData[[#This Row],[Candidate 3]])/(SamplingData[[#Totals],[Winning Candidate]]-SamplingData[[#Totals],[Candidate 3]]), 0)</f>
        <v>1.5485369551892119E-3</v>
      </c>
      <c r="M1961" s="100">
        <f>IF(AND(SamplingData[[#This Row],[Total]]&lt;&gt; 0, NOT(ISBLANK(SamplingData[[#This Row],[Candidate 4]]))),(SamplingData[[#This Row],[Total]]+SamplingData[[#This Row],[Winning Candidate]]-SamplingData[[#This Row],[Candidate 4]])/(SamplingData[[#Totals],[Winning Candidate]]-SamplingData[[#Totals],[Candidate 4]]), 0)</f>
        <v>1.403139524686486E-3</v>
      </c>
      <c r="N1961" s="100">
        <f>IF(AND(SamplingData[[#This Row],[Total]]&lt;&gt; 0, NOT(ISBLANK(SamplingData[[#This Row],[Candidate 5]]))),(SamplingData[[#This Row],[Total]]+SamplingData[[#This Row],[Winning Candidate]]-SamplingData[[#This Row],[Candidate 5]])/(SamplingData[[#Totals],[Winning Candidate]]-SamplingData[[#Totals],[Candidate 5]]), 0)</f>
        <v>1.2648990513257116E-3</v>
      </c>
      <c r="O1961" s="100">
        <f>IF(AND(SamplingData[[#This Row],[Total]]&lt;&gt; 0, NOT(ISBLANK(SamplingData[[#This Row],[Candidate 6]]))),(SamplingData[[#This Row],[Total]]+SamplingData[[#This Row],[Winning Candidate]]-SamplingData[[#This Row],[Candidate 6]])/(SamplingData[[#Totals],[Winning Candidate]]-SamplingData[[#Totals],[Candidate 6]]), 0)</f>
        <v>1.2645299353144302E-3</v>
      </c>
      <c r="P1961" s="100">
        <f>MAX(SamplingData[[#This Row],[Error Bound (up) - Max. possible relative overstatement - Losing Candidate]:[Error Bound (up) - Max. possible relative overstatement - Candidate 6]])</f>
        <v>2.4497795198432141E-3</v>
      </c>
      <c r="Q1961" s="100">
        <f>IF(SamplingData[[#This Row],[Max Error Bound (up)]] = 0,0,SamplingData[[#This Row],[Max Error Bound (up)]]/SamplingData[[#Totals],[Max Error Bound (up)]])</f>
        <v>3.8771793113783328E-4</v>
      </c>
      <c r="R1961" s="101">
        <f>SUM($Q$5:Q1961)</f>
        <v>0.8230984241966357</v>
      </c>
      <c r="S1961" s="100" t="str">
        <f t="array" ref="S1961">IF(SamplingData[[#This Row],[up/U Selection Probability]] = 0, "Zero", TEXT(SamplingData[[#This Row],[Lower Range]], REPT("0",LEN('General Info'!$B$40))) &amp; " - " &amp; TEXT(SamplingData[[#This Row],[Upper Range]], REPT("0",LEN('General Info'!$B$40))))</f>
        <v>82271 - 82309</v>
      </c>
      <c r="T1961" s="100">
        <f>SamplingData[[#This Row],[Upper Range]]-SamplingData[[#This Row],[Span]]</f>
        <v>82271.071014267727</v>
      </c>
      <c r="U1961" s="100">
        <f>IF(ISNUMBER('General Info'!$B$40), ((SamplingData[[#This Row],[up/U Selection Probability]]) * 'General Info'!$B$40) - 1, 0)</f>
        <v>37.771405395852192</v>
      </c>
      <c r="V1961" s="100">
        <f>IF(ISNUMBER('General Info'!$B$40), (SamplingData[[#This Row],[Running (cumulative) sum]] * ('General Info'!$B$40 -'General Info'!$B$41 + 1)) + 'General Info'!$B$41 - 1, 0)</f>
        <v>82308.842419663575</v>
      </c>
      <c r="W1961" s="100" t="str">
        <f>IF(ISERROR(MATCH(SamplingData[[#This Row],[Batch by Type (p)]],SelectedPrecincts[Batch Name], 0)), "", INDEX(SelectedPrecincts[Draw], MATCH(SamplingData[[#This Row],[Batch by Type (p)]],SelectedPrecincts[Batch Name], 0)))</f>
        <v/>
      </c>
      <c r="X1961" s="102">
        <f>IF(COUNTIF(SelectedPrecincts[Batch Name],SamplingData[[#This Row],[Batch by Type (p)]]) &lt;&gt; 0, COUNTIF(SelectedPrecincts[Batch Name],SamplingData[[#This Row],[Batch by Type (p)]]), 0)</f>
        <v>0</v>
      </c>
    </row>
    <row r="1962" spans="1:24" ht="15" customHeight="1">
      <c r="A1962" s="18" t="s">
        <v>2138</v>
      </c>
      <c r="B1962" s="18">
        <v>10</v>
      </c>
      <c r="C1962" s="18">
        <v>6</v>
      </c>
      <c r="D1962" s="18">
        <v>3</v>
      </c>
      <c r="E1962" s="18">
        <v>1</v>
      </c>
      <c r="F1962" s="18">
        <v>0</v>
      </c>
      <c r="G1962" s="18">
        <v>0</v>
      </c>
      <c r="H1962" s="18">
        <v>0</v>
      </c>
      <c r="I1962" s="18">
        <v>0</v>
      </c>
      <c r="J1962" s="99">
        <f>SUM(SamplingData[[#This Row],[Losing Candidate]:[Under Votes]])</f>
        <v>20</v>
      </c>
      <c r="K1962"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9.7991180793728563E-4</v>
      </c>
      <c r="L1962" s="100">
        <f>IF(AND(SamplingData[[#This Row],[Total]]&lt;&gt; 0, NOT(ISBLANK(SamplingData[[#This Row],[Candidate 3]]))),(SamplingData[[#This Row],[Total]]+SamplingData[[#This Row],[Winning Candidate]]-SamplingData[[#This Row],[Candidate 3]])/(SamplingData[[#Totals],[Winning Candidate]]-SamplingData[[#Totals],[Candidate 3]]), 0)</f>
        <v>7.4200729102816406E-4</v>
      </c>
      <c r="M1962" s="100">
        <f>IF(AND(SamplingData[[#This Row],[Total]]&lt;&gt; 0, NOT(ISBLANK(SamplingData[[#This Row],[Candidate 4]]))),(SamplingData[[#This Row],[Total]]+SamplingData[[#This Row],[Winning Candidate]]-SamplingData[[#This Row],[Candidate 4]])/(SamplingData[[#Totals],[Winning Candidate]]-SamplingData[[#Totals],[Candidate 4]]), 0)</f>
        <v>7.3080183577421145E-4</v>
      </c>
      <c r="N1962" s="100">
        <f>IF(AND(SamplingData[[#This Row],[Total]]&lt;&gt; 0, NOT(ISBLANK(SamplingData[[#This Row],[Candidate 5]]))),(SamplingData[[#This Row],[Total]]+SamplingData[[#This Row],[Winning Candidate]]-SamplingData[[#This Row],[Candidate 5]])/(SamplingData[[#Totals],[Winning Candidate]]-SamplingData[[#Totals],[Candidate 5]]), 0)</f>
        <v>6.3244952566285579E-4</v>
      </c>
      <c r="O1962" s="100">
        <f>IF(AND(SamplingData[[#This Row],[Total]]&lt;&gt; 0, NOT(ISBLANK(SamplingData[[#This Row],[Candidate 6]]))),(SamplingData[[#This Row],[Total]]+SamplingData[[#This Row],[Winning Candidate]]-SamplingData[[#This Row],[Candidate 6]])/(SamplingData[[#Totals],[Winning Candidate]]-SamplingData[[#Totals],[Candidate 6]]), 0)</f>
        <v>6.322649676572151E-4</v>
      </c>
      <c r="P1962" s="100">
        <f>MAX(SamplingData[[#This Row],[Error Bound (up) - Max. possible relative overstatement - Losing Candidate]:[Error Bound (up) - Max. possible relative overstatement - Candidate 6]])</f>
        <v>9.7991180793728563E-4</v>
      </c>
      <c r="Q1962" s="100">
        <f>IF(SamplingData[[#This Row],[Max Error Bound (up)]] = 0,0,SamplingData[[#This Row],[Max Error Bound (up)]]/SamplingData[[#Totals],[Max Error Bound (up)]])</f>
        <v>1.550871724551333E-4</v>
      </c>
      <c r="R1962" s="101">
        <f>SUM($Q$5:Q1962)</f>
        <v>0.82325351136909086</v>
      </c>
      <c r="S1962" s="100" t="str">
        <f t="array" ref="S1962">IF(SamplingData[[#This Row],[up/U Selection Probability]] = 0, "Zero", TEXT(SamplingData[[#This Row],[Lower Range]], REPT("0",LEN('General Info'!$B$40))) &amp; " - " &amp; TEXT(SamplingData[[#This Row],[Upper Range]], REPT("0",LEN('General Info'!$B$40))))</f>
        <v>82310 - 82324</v>
      </c>
      <c r="T1962" s="100">
        <f>SamplingData[[#This Row],[Upper Range]]-SamplingData[[#This Row],[Span]]</f>
        <v>82309.842574750743</v>
      </c>
      <c r="U1962" s="100">
        <f>IF(ISNUMBER('General Info'!$B$40), ((SamplingData[[#This Row],[up/U Selection Probability]]) * 'General Info'!$B$40) - 1, 0)</f>
        <v>14.508562158340876</v>
      </c>
      <c r="V1962" s="100">
        <f>IF(ISNUMBER('General Info'!$B$40), (SamplingData[[#This Row],[Running (cumulative) sum]] * ('General Info'!$B$40 -'General Info'!$B$41 + 1)) + 'General Info'!$B$41 - 1, 0)</f>
        <v>82324.351136909085</v>
      </c>
      <c r="W1962" s="100" t="str">
        <f>IF(ISERROR(MATCH(SamplingData[[#This Row],[Batch by Type (p)]],SelectedPrecincts[Batch Name], 0)), "", INDEX(SelectedPrecincts[Draw], MATCH(SamplingData[[#This Row],[Batch by Type (p)]],SelectedPrecincts[Batch Name], 0)))</f>
        <v/>
      </c>
      <c r="X1962" s="102">
        <f>IF(COUNTIF(SelectedPrecincts[Batch Name],SamplingData[[#This Row],[Batch by Type (p)]]) &lt;&gt; 0, COUNTIF(SelectedPrecincts[Batch Name],SamplingData[[#This Row],[Batch by Type (p)]]), 0)</f>
        <v>0</v>
      </c>
    </row>
    <row r="1963" spans="1:24" ht="15" customHeight="1">
      <c r="A1963" s="18" t="s">
        <v>2139</v>
      </c>
      <c r="B1963" s="18">
        <v>9</v>
      </c>
      <c r="C1963" s="18">
        <v>27</v>
      </c>
      <c r="D1963" s="16">
        <v>1</v>
      </c>
      <c r="E1963" s="16">
        <v>13</v>
      </c>
      <c r="F1963" s="37">
        <v>1</v>
      </c>
      <c r="G1963" s="37">
        <v>1</v>
      </c>
      <c r="H1963" s="17">
        <v>0</v>
      </c>
      <c r="I1963" s="17">
        <v>0</v>
      </c>
      <c r="J1963" s="99">
        <f>SUM(SamplingData[[#This Row],[Losing Candidate]:[Under Votes]])</f>
        <v>52</v>
      </c>
      <c r="K1963" s="100">
        <f>IF(AND(SamplingData[[#This Row],[Total]]&lt;&gt; 0, NOT(ISBLANK(SamplingData[[#This Row],[Losing Candidate]]))),(SamplingData[[#This Row],[Total]]+SamplingData[[#This Row],[Winning Candidate]]-SamplingData[[#This Row],[Losing Candidate]])/(SamplingData[[#Totals],[Winning Candidate]]-SamplingData[[#Totals],[Losing Candidate]]), 0)</f>
        <v>4.2871141597256249E-3</v>
      </c>
      <c r="L1963" s="100">
        <f>IF(AND(SamplingData[[#This Row],[Total]]&lt;&gt; 0, NOT(ISBLANK(SamplingData[[#This Row],[Candidate 3]]))),(SamplingData[[#This Row],[Total]]+SamplingData[[#This Row],[Winning Candidate]]-SamplingData[[#This Row],[Candidate 3]])/(SamplingData[[#Totals],[Winning Candidate]]-SamplingData[[#Totals],[Candidate 3]]), 0)</f>
        <v>2.5163725521824692E-3</v>
      </c>
      <c r="M1963" s="100">
        <f>IF(AND(SamplingData[[#This Row],[Total]]&lt;&gt; 0, NOT(ISBLANK(SamplingData[[#This Row],[Candidate 4]]))),(SamplingData[[#This Row],[Total]]+SamplingData[[#This Row],[Winning Candidate]]-SamplingData[[#This Row],[Candidate 4]])/(SamplingData[[#Totals],[Winning Candidate]]-SamplingData[[#Totals],[Candidate 4]]), 0)</f>
        <v>1.9293168464439184E-3</v>
      </c>
      <c r="N1963" s="100">
        <f>IF(AND(SamplingData[[#This Row],[Total]]&lt;&gt; 0, NOT(ISBLANK(SamplingData[[#This Row],[Candidate 5]]))),(SamplingData[[#This Row],[Total]]+SamplingData[[#This Row],[Winning Candidate]]-SamplingData[[#This Row],[Candidate 5]])/(SamplingData[[#Totals],[Winning Candidate]]-SamplingData[[#Totals],[Candidate 5]]), 0)</f>
        <v>1.8973485769885673E-3</v>
      </c>
      <c r="O1963" s="100">
        <f>IF(AND(SamplingData[[#This Row],[Total]]&lt;&gt; 0, NOT(ISBLANK(SamplingData[[#This Row],[Candidate 6]]))),(SamplingData[[#This Row],[Total]]+SamplingData[[#This Row],[Winning Candidate]]-SamplingData[[#This Row],[Candidate 6]])/(SamplingData[[#Totals],[Winning Candidate]]-SamplingData[[#Totals],[Candidate 6]]), 0)</f>
        <v>1.8967949029716454E-3</v>
      </c>
      <c r="P1963" s="100">
        <f>MAX(SamplingData[[#This Row],[Error Bound (up) - Max. possible relative overstatement - Losing Candidate]:[Error Bound (up) - Max. possible relative overstatement - Candidate 6]])</f>
        <v>4.2871141597256249E-3</v>
      </c>
      <c r="Q1963" s="100">
        <f>IF(SamplingData[[#This Row],[Max Error Bound (up)]] = 0,0,SamplingData[[#This Row],[Max Error Bound (up)]]/SamplingData[[#Totals],[Max Error Bound (up)]])</f>
        <v>6.7850637949120826E-4</v>
      </c>
      <c r="R1963" s="101">
        <f>SUM($Q$5:Q1963)</f>
        <v>0.82393201774858205</v>
      </c>
      <c r="S1963" s="100" t="str">
        <f t="array" ref="S1963">IF(SamplingData[[#This Row],[up/U Selection Probability]] = 0, "Zero", TEXT(SamplingData[[#This Row],[Lower Range]], REPT("0",LEN('General Info'!$B$40))) &amp; " - " &amp; TEXT(SamplingData[[#This Row],[Upper Range]], REPT("0",LEN('General Info'!$B$40))))</f>
        <v>82325 - 82392</v>
      </c>
      <c r="T1963" s="100">
        <f>SamplingData[[#This Row],[Upper Range]]-SamplingData[[#This Row],[Span]]</f>
        <v>82325.351815415459</v>
      </c>
      <c r="U1963" s="100">
        <f>IF(ISNUMBER('General Info'!$B$40), ((SamplingData[[#This Row],[up/U Selection Probability]]) * 'General Info'!$B$40) - 1, 0)</f>
        <v>66.849959442741337</v>
      </c>
      <c r="V1963" s="100">
        <f>IF(ISNUMBER('General Info'!$B$40), (SamplingData[[#This Row],[Running (cumulative) sum]] * ('General Info'!$B$40 -'General Info'!$B$41 + 1)) + 'General Info'!$B$41 - 1, 0)</f>
        <v>82392.2017748582</v>
      </c>
      <c r="W1963" s="100" t="str">
        <f>IF(ISERROR(MATCH(SamplingData[[#This Row],[Batch by Type (p)]],SelectedPrecincts[Batch Name], 0)), "", INDEX(SelectedPrecincts[Draw], MATCH(SamplingData[[#This Row],[Batch by Type (p)]],SelectedPrecincts[Batch Name], 0)))</f>
        <v/>
      </c>
      <c r="X1963" s="102">
        <f>IF(COUNTIF(SelectedPrecincts[Batch Name],SamplingData[[#This Row],[Batch by Type (p)]]) &lt;&gt; 0, COUNTIF(SelectedPrecincts[Batch Name],SamplingData[[#This Row],[Batch by Type (p)]]), 0)</f>
        <v>0</v>
      </c>
    </row>
    <row r="1964" spans="1:24" ht="15" customHeight="1">
      <c r="A1964" s="18" t="s">
        <v>2140</v>
      </c>
      <c r="B1964" s="18">
        <v>10</v>
      </c>
      <c r="C1964" s="18">
        <v>12</v>
      </c>
      <c r="D1964" s="18">
        <v>2</v>
      </c>
      <c r="E1964" s="18">
        <v>0</v>
      </c>
      <c r="F1964" s="18">
        <v>0</v>
      </c>
      <c r="G1964" s="18">
        <v>0</v>
      </c>
      <c r="H1964" s="18">
        <v>0</v>
      </c>
      <c r="I1964" s="18">
        <v>2</v>
      </c>
      <c r="J1964" s="99">
        <f>SUM(SamplingData[[#This Row],[Losing Candidate]:[Under Votes]])</f>
        <v>26</v>
      </c>
      <c r="K1964"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964" s="100">
        <f>IF(AND(SamplingData[[#This Row],[Total]]&lt;&gt; 0, NOT(ISBLANK(SamplingData[[#This Row],[Candidate 3]]))),(SamplingData[[#This Row],[Total]]+SamplingData[[#This Row],[Winning Candidate]]-SamplingData[[#This Row],[Candidate 3]])/(SamplingData[[#Totals],[Winning Candidate]]-SamplingData[[#Totals],[Candidate 3]]), 0)</f>
        <v>1.1614027163919089E-3</v>
      </c>
      <c r="M1964" s="100">
        <f>IF(AND(SamplingData[[#This Row],[Total]]&lt;&gt; 0, NOT(ISBLANK(SamplingData[[#This Row],[Candidate 4]]))),(SamplingData[[#This Row],[Total]]+SamplingData[[#This Row],[Winning Candidate]]-SamplingData[[#This Row],[Candidate 4]])/(SamplingData[[#Totals],[Winning Candidate]]-SamplingData[[#Totals],[Candidate 4]]), 0)</f>
        <v>1.1108187903768015E-3</v>
      </c>
      <c r="N1964" s="100">
        <f>IF(AND(SamplingData[[#This Row],[Total]]&lt;&gt; 0, NOT(ISBLANK(SamplingData[[#This Row],[Candidate 5]]))),(SamplingData[[#This Row],[Total]]+SamplingData[[#This Row],[Winning Candidate]]-SamplingData[[#This Row],[Candidate 5]])/(SamplingData[[#Totals],[Winning Candidate]]-SamplingData[[#Totals],[Candidate 5]]), 0)</f>
        <v>9.2434930673801995E-4</v>
      </c>
      <c r="O1964" s="100">
        <f>IF(AND(SamplingData[[#This Row],[Total]]&lt;&gt; 0, NOT(ISBLANK(SamplingData[[#This Row],[Candidate 6]]))),(SamplingData[[#This Row],[Total]]+SamplingData[[#This Row],[Winning Candidate]]-SamplingData[[#This Row],[Candidate 6]])/(SamplingData[[#Totals],[Winning Candidate]]-SamplingData[[#Totals],[Candidate 6]]), 0)</f>
        <v>9.2407956811439132E-4</v>
      </c>
      <c r="P1964" s="100">
        <f>MAX(SamplingData[[#This Row],[Error Bound (up) - Max. possible relative overstatement - Losing Candidate]:[Error Bound (up) - Max. possible relative overstatement - Candidate 6]])</f>
        <v>1.7148456638902498E-3</v>
      </c>
      <c r="Q1964" s="100">
        <f>IF(SamplingData[[#This Row],[Max Error Bound (up)]] = 0,0,SamplingData[[#This Row],[Max Error Bound (up)]]/SamplingData[[#Totals],[Max Error Bound (up)]])</f>
        <v>2.714025517964833E-4</v>
      </c>
      <c r="R1964" s="101">
        <f>SUM($Q$5:Q1964)</f>
        <v>0.82420342030037852</v>
      </c>
      <c r="S1964" s="100" t="str">
        <f t="array" ref="S1964">IF(SamplingData[[#This Row],[up/U Selection Probability]] = 0, "Zero", TEXT(SamplingData[[#This Row],[Lower Range]], REPT("0",LEN('General Info'!$B$40))) &amp; " - " &amp; TEXT(SamplingData[[#This Row],[Upper Range]], REPT("0",LEN('General Info'!$B$40))))</f>
        <v>82393 - 82419</v>
      </c>
      <c r="T1964" s="100">
        <f>SamplingData[[#This Row],[Upper Range]]-SamplingData[[#This Row],[Span]]</f>
        <v>82393.202046260747</v>
      </c>
      <c r="U1964" s="100">
        <f>IF(ISNUMBER('General Info'!$B$40), ((SamplingData[[#This Row],[up/U Selection Probability]]) * 'General Info'!$B$40) - 1, 0)</f>
        <v>26.139983777096536</v>
      </c>
      <c r="V1964" s="100">
        <f>IF(ISNUMBER('General Info'!$B$40), (SamplingData[[#This Row],[Running (cumulative) sum]] * ('General Info'!$B$40 -'General Info'!$B$41 + 1)) + 'General Info'!$B$41 - 1, 0)</f>
        <v>82419.342030037849</v>
      </c>
      <c r="W1964" s="100" t="str">
        <f>IF(ISERROR(MATCH(SamplingData[[#This Row],[Batch by Type (p)]],SelectedPrecincts[Batch Name], 0)), "", INDEX(SelectedPrecincts[Draw], MATCH(SamplingData[[#This Row],[Batch by Type (p)]],SelectedPrecincts[Batch Name], 0)))</f>
        <v/>
      </c>
      <c r="X1964" s="102">
        <f>IF(COUNTIF(SelectedPrecincts[Batch Name],SamplingData[[#This Row],[Batch by Type (p)]]) &lt;&gt; 0, COUNTIF(SelectedPrecincts[Batch Name],SamplingData[[#This Row],[Batch by Type (p)]]), 0)</f>
        <v>0</v>
      </c>
    </row>
    <row r="1965" spans="1:24" ht="15" customHeight="1">
      <c r="A1965" s="18" t="s">
        <v>2141</v>
      </c>
      <c r="B1965" s="18">
        <v>18</v>
      </c>
      <c r="C1965" s="18">
        <v>29</v>
      </c>
      <c r="D1965" s="16">
        <v>12</v>
      </c>
      <c r="E1965" s="16">
        <v>9</v>
      </c>
      <c r="F1965" s="37">
        <v>0</v>
      </c>
      <c r="G1965" s="37">
        <v>0</v>
      </c>
      <c r="H1965" s="17">
        <v>0</v>
      </c>
      <c r="I1965" s="17">
        <v>3</v>
      </c>
      <c r="J1965" s="99">
        <f>SUM(SamplingData[[#This Row],[Losing Candidate]:[Under Votes]])</f>
        <v>71</v>
      </c>
      <c r="K1965"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1965" s="100">
        <f>IF(AND(SamplingData[[#This Row],[Total]]&lt;&gt; 0, NOT(ISBLANK(SamplingData[[#This Row],[Candidate 3]]))),(SamplingData[[#This Row],[Total]]+SamplingData[[#This Row],[Winning Candidate]]-SamplingData[[#This Row],[Candidate 3]])/(SamplingData[[#Totals],[Winning Candidate]]-SamplingData[[#Totals],[Candidate 3]]), 0)</f>
        <v>2.8389844178468883E-3</v>
      </c>
      <c r="M1965" s="100">
        <f>IF(AND(SamplingData[[#This Row],[Total]]&lt;&gt; 0, NOT(ISBLANK(SamplingData[[#This Row],[Candidate 4]]))),(SamplingData[[#This Row],[Total]]+SamplingData[[#This Row],[Winning Candidate]]-SamplingData[[#This Row],[Candidate 4]])/(SamplingData[[#Totals],[Winning Candidate]]-SamplingData[[#Totals],[Candidate 4]]), 0)</f>
        <v>2.6601186822181296E-3</v>
      </c>
      <c r="N1965" s="100">
        <f>IF(AND(SamplingData[[#This Row],[Total]]&lt;&gt; 0, NOT(ISBLANK(SamplingData[[#This Row],[Candidate 5]]))),(SamplingData[[#This Row],[Total]]+SamplingData[[#This Row],[Winning Candidate]]-SamplingData[[#This Row],[Candidate 5]])/(SamplingData[[#Totals],[Winning Candidate]]-SamplingData[[#Totals],[Candidate 5]]), 0)</f>
        <v>2.4324981756263684E-3</v>
      </c>
      <c r="O1965" s="100">
        <f>IF(AND(SamplingData[[#This Row],[Total]]&lt;&gt; 0, NOT(ISBLANK(SamplingData[[#This Row],[Candidate 6]]))),(SamplingData[[#This Row],[Total]]+SamplingData[[#This Row],[Winning Candidate]]-SamplingData[[#This Row],[Candidate 6]])/(SamplingData[[#Totals],[Winning Candidate]]-SamplingData[[#Totals],[Candidate 6]]), 0)</f>
        <v>2.4317883371431349E-3</v>
      </c>
      <c r="P1965" s="100">
        <f>MAX(SamplingData[[#This Row],[Error Bound (up) - Max. possible relative overstatement - Losing Candidate]:[Error Bound (up) - Max. possible relative overstatement - Candidate 6]])</f>
        <v>5.0220480156785889E-3</v>
      </c>
      <c r="Q1965" s="100">
        <f>IF(SamplingData[[#This Row],[Max Error Bound (up)]] = 0,0,SamplingData[[#This Row],[Max Error Bound (up)]]/SamplingData[[#Totals],[Max Error Bound (up)]])</f>
        <v>7.9482175883255823E-4</v>
      </c>
      <c r="R1965" s="101">
        <f>SUM($Q$5:Q1965)</f>
        <v>0.82499824205921113</v>
      </c>
      <c r="S1965" s="100" t="str">
        <f t="array" ref="S1965">IF(SamplingData[[#This Row],[up/U Selection Probability]] = 0, "Zero", TEXT(SamplingData[[#This Row],[Lower Range]], REPT("0",LEN('General Info'!$B$40))) &amp; " - " &amp; TEXT(SamplingData[[#This Row],[Upper Range]], REPT("0",LEN('General Info'!$B$40))))</f>
        <v>82420 - 82499</v>
      </c>
      <c r="T1965" s="100">
        <f>SamplingData[[#This Row],[Upper Range]]-SamplingData[[#This Row],[Span]]</f>
        <v>82420.342824859617</v>
      </c>
      <c r="U1965" s="100">
        <f>IF(ISNUMBER('General Info'!$B$40), ((SamplingData[[#This Row],[up/U Selection Probability]]) * 'General Info'!$B$40) - 1, 0)</f>
        <v>78.48138106149699</v>
      </c>
      <c r="V1965" s="100">
        <f>IF(ISNUMBER('General Info'!$B$40), (SamplingData[[#This Row],[Running (cumulative) sum]] * ('General Info'!$B$40 -'General Info'!$B$41 + 1)) + 'General Info'!$B$41 - 1, 0)</f>
        <v>82498.824205921119</v>
      </c>
      <c r="W1965" s="100" t="str">
        <f>IF(ISERROR(MATCH(SamplingData[[#This Row],[Batch by Type (p)]],SelectedPrecincts[Batch Name], 0)), "", INDEX(SelectedPrecincts[Draw], MATCH(SamplingData[[#This Row],[Batch by Type (p)]],SelectedPrecincts[Batch Name], 0)))</f>
        <v/>
      </c>
      <c r="X1965" s="102">
        <f>IF(COUNTIF(SelectedPrecincts[Batch Name],SamplingData[[#This Row],[Batch by Type (p)]]) &lt;&gt; 0, COUNTIF(SelectedPrecincts[Batch Name],SamplingData[[#This Row],[Batch by Type (p)]]), 0)</f>
        <v>0</v>
      </c>
    </row>
    <row r="1966" spans="1:24" ht="15" customHeight="1">
      <c r="A1966" s="18" t="s">
        <v>2142</v>
      </c>
      <c r="B1966" s="18">
        <v>8</v>
      </c>
      <c r="C1966" s="18">
        <v>12</v>
      </c>
      <c r="D1966" s="18">
        <v>4</v>
      </c>
      <c r="E1966" s="18">
        <v>3</v>
      </c>
      <c r="F1966" s="18">
        <v>1</v>
      </c>
      <c r="G1966" s="18">
        <v>0</v>
      </c>
      <c r="H1966" s="18">
        <v>0</v>
      </c>
      <c r="I1966" s="18">
        <v>1</v>
      </c>
      <c r="J1966" s="99">
        <f>SUM(SamplingData[[#This Row],[Losing Candidate]:[Under Votes]])</f>
        <v>29</v>
      </c>
      <c r="K1966" s="100">
        <f>IF(AND(SamplingData[[#This Row],[Total]]&lt;&gt; 0, NOT(ISBLANK(SamplingData[[#This Row],[Losing Candidate]]))),(SamplingData[[#This Row],[Total]]+SamplingData[[#This Row],[Winning Candidate]]-SamplingData[[#This Row],[Losing Candidate]])/(SamplingData[[#Totals],[Winning Candidate]]-SamplingData[[#Totals],[Losing Candidate]]), 0)</f>
        <v>2.0210681038706517E-3</v>
      </c>
      <c r="L1966" s="100">
        <f>IF(AND(SamplingData[[#This Row],[Total]]&lt;&gt; 0, NOT(ISBLANK(SamplingData[[#This Row],[Candidate 3]]))),(SamplingData[[#This Row],[Total]]+SamplingData[[#This Row],[Winning Candidate]]-SamplingData[[#This Row],[Candidate 3]])/(SamplingData[[#Totals],[Winning Candidate]]-SamplingData[[#Totals],[Candidate 3]]), 0)</f>
        <v>1.1936639029583509E-3</v>
      </c>
      <c r="M1966" s="100">
        <f>IF(AND(SamplingData[[#This Row],[Total]]&lt;&gt; 0, NOT(ISBLANK(SamplingData[[#This Row],[Candidate 4]]))),(SamplingData[[#This Row],[Total]]+SamplingData[[#This Row],[Winning Candidate]]-SamplingData[[#This Row],[Candidate 4]])/(SamplingData[[#Totals],[Winning Candidate]]-SamplingData[[#Totals],[Candidate 4]]), 0)</f>
        <v>1.1108187903768015E-3</v>
      </c>
      <c r="N1966" s="100">
        <f>IF(AND(SamplingData[[#This Row],[Total]]&lt;&gt; 0, NOT(ISBLANK(SamplingData[[#This Row],[Candidate 5]]))),(SamplingData[[#This Row],[Total]]+SamplingData[[#This Row],[Winning Candidate]]-SamplingData[[#This Row],[Candidate 5]])/(SamplingData[[#Totals],[Winning Candidate]]-SamplingData[[#Totals],[Candidate 5]]), 0)</f>
        <v>9.7299927025054731E-4</v>
      </c>
      <c r="O1966" s="100">
        <f>IF(AND(SamplingData[[#This Row],[Total]]&lt;&gt; 0, NOT(ISBLANK(SamplingData[[#This Row],[Candidate 6]]))),(SamplingData[[#This Row],[Total]]+SamplingData[[#This Row],[Winning Candidate]]-SamplingData[[#This Row],[Candidate 6]])/(SamplingData[[#Totals],[Winning Candidate]]-SamplingData[[#Totals],[Candidate 6]]), 0)</f>
        <v>9.9703321822868537E-4</v>
      </c>
      <c r="P1966" s="100">
        <f>MAX(SamplingData[[#This Row],[Error Bound (up) - Max. possible relative overstatement - Losing Candidate]:[Error Bound (up) - Max. possible relative overstatement - Candidate 6]])</f>
        <v>2.0210681038706517E-3</v>
      </c>
      <c r="Q1966" s="100">
        <f>IF(SamplingData[[#This Row],[Max Error Bound (up)]] = 0,0,SamplingData[[#This Row],[Max Error Bound (up)]]/SamplingData[[#Totals],[Max Error Bound (up)]])</f>
        <v>3.1986729318871245E-4</v>
      </c>
      <c r="R1966" s="101">
        <f>SUM($Q$5:Q1966)</f>
        <v>0.8253181093523998</v>
      </c>
      <c r="S1966" s="100" t="str">
        <f t="array" ref="S1966">IF(SamplingData[[#This Row],[up/U Selection Probability]] = 0, "Zero", TEXT(SamplingData[[#This Row],[Lower Range]], REPT("0",LEN('General Info'!$B$40))) &amp; " - " &amp; TEXT(SamplingData[[#This Row],[Upper Range]], REPT("0",LEN('General Info'!$B$40))))</f>
        <v>82500 - 82531</v>
      </c>
      <c r="T1966" s="100">
        <f>SamplingData[[#This Row],[Upper Range]]-SamplingData[[#This Row],[Span]]</f>
        <v>82499.824525788397</v>
      </c>
      <c r="U1966" s="100">
        <f>IF(ISNUMBER('General Info'!$B$40), ((SamplingData[[#This Row],[up/U Selection Probability]]) * 'General Info'!$B$40) - 1, 0)</f>
        <v>30.986409451578055</v>
      </c>
      <c r="V1966" s="100">
        <f>IF(ISNUMBER('General Info'!$B$40), (SamplingData[[#This Row],[Running (cumulative) sum]] * ('General Info'!$B$40 -'General Info'!$B$41 + 1)) + 'General Info'!$B$41 - 1, 0)</f>
        <v>82530.810935239977</v>
      </c>
      <c r="W1966" s="100" t="str">
        <f>IF(ISERROR(MATCH(SamplingData[[#This Row],[Batch by Type (p)]],SelectedPrecincts[Batch Name], 0)), "", INDEX(SelectedPrecincts[Draw], MATCH(SamplingData[[#This Row],[Batch by Type (p)]],SelectedPrecincts[Batch Name], 0)))</f>
        <v/>
      </c>
      <c r="X1966" s="102">
        <f>IF(COUNTIF(SelectedPrecincts[Batch Name],SamplingData[[#This Row],[Batch by Type (p)]]) &lt;&gt; 0, COUNTIF(SelectedPrecincts[Batch Name],SamplingData[[#This Row],[Batch by Type (p)]]), 0)</f>
        <v>0</v>
      </c>
    </row>
    <row r="1967" spans="1:24" ht="15" customHeight="1">
      <c r="A1967" s="18" t="s">
        <v>2143</v>
      </c>
      <c r="B1967" s="18">
        <v>22</v>
      </c>
      <c r="C1967" s="18">
        <v>32</v>
      </c>
      <c r="D1967" s="16">
        <v>1</v>
      </c>
      <c r="E1967" s="16">
        <v>3</v>
      </c>
      <c r="F1967" s="37">
        <v>0</v>
      </c>
      <c r="G1967" s="37">
        <v>0</v>
      </c>
      <c r="H1967" s="17">
        <v>0</v>
      </c>
      <c r="I1967" s="17">
        <v>1</v>
      </c>
      <c r="J1967" s="99">
        <f>SUM(SamplingData[[#This Row],[Losing Candidate]:[Under Votes]])</f>
        <v>59</v>
      </c>
      <c r="K1967" s="100">
        <f>IF(AND(SamplingData[[#This Row],[Total]]&lt;&gt; 0, NOT(ISBLANK(SamplingData[[#This Row],[Losing Candidate]]))),(SamplingData[[#This Row],[Total]]+SamplingData[[#This Row],[Winning Candidate]]-SamplingData[[#This Row],[Losing Candidate]])/(SamplingData[[#Totals],[Winning Candidate]]-SamplingData[[#Totals],[Losing Candidate]]), 0)</f>
        <v>4.2258696717295445E-3</v>
      </c>
      <c r="L1967" s="100">
        <f>IF(AND(SamplingData[[#This Row],[Total]]&lt;&gt; 0, NOT(ISBLANK(SamplingData[[#This Row],[Candidate 3]]))),(SamplingData[[#This Row],[Total]]+SamplingData[[#This Row],[Winning Candidate]]-SamplingData[[#This Row],[Candidate 3]])/(SamplingData[[#Totals],[Winning Candidate]]-SamplingData[[#Totals],[Candidate 3]]), 0)</f>
        <v>2.9035067909797723E-3</v>
      </c>
      <c r="M1967" s="100">
        <f>IF(AND(SamplingData[[#This Row],[Total]]&lt;&gt; 0, NOT(ISBLANK(SamplingData[[#This Row],[Candidate 4]]))),(SamplingData[[#This Row],[Total]]+SamplingData[[#This Row],[Winning Candidate]]-SamplingData[[#This Row],[Candidate 4]])/(SamplingData[[#Totals],[Winning Candidate]]-SamplingData[[#Totals],[Candidate 4]]), 0)</f>
        <v>2.5724224619252242E-3</v>
      </c>
      <c r="N1967" s="100">
        <f>IF(AND(SamplingData[[#This Row],[Total]]&lt;&gt; 0, NOT(ISBLANK(SamplingData[[#This Row],[Candidate 5]]))),(SamplingData[[#This Row],[Total]]+SamplingData[[#This Row],[Winning Candidate]]-SamplingData[[#This Row],[Candidate 5]])/(SamplingData[[#Totals],[Winning Candidate]]-SamplingData[[#Totals],[Candidate 5]]), 0)</f>
        <v>2.213573339819995E-3</v>
      </c>
      <c r="O1967" s="100">
        <f>IF(AND(SamplingData[[#This Row],[Total]]&lt;&gt; 0, NOT(ISBLANK(SamplingData[[#This Row],[Candidate 6]]))),(SamplingData[[#This Row],[Total]]+SamplingData[[#This Row],[Winning Candidate]]-SamplingData[[#This Row],[Candidate 6]])/(SamplingData[[#Totals],[Winning Candidate]]-SamplingData[[#Totals],[Candidate 6]]), 0)</f>
        <v>2.2129273868002528E-3</v>
      </c>
      <c r="P1967" s="100">
        <f>MAX(SamplingData[[#This Row],[Error Bound (up) - Max. possible relative overstatement - Losing Candidate]:[Error Bound (up) - Max. possible relative overstatement - Candidate 6]])</f>
        <v>4.2258696717295445E-3</v>
      </c>
      <c r="Q1967" s="100">
        <f>IF(SamplingData[[#This Row],[Max Error Bound (up)]] = 0,0,SamplingData[[#This Row],[Max Error Bound (up)]]/SamplingData[[#Totals],[Max Error Bound (up)]])</f>
        <v>6.6881343121276242E-4</v>
      </c>
      <c r="R1967" s="101">
        <f>SUM($Q$5:Q1967)</f>
        <v>0.82598692278361252</v>
      </c>
      <c r="S1967" s="100" t="str">
        <f t="array" ref="S1967">IF(SamplingData[[#This Row],[up/U Selection Probability]] = 0, "Zero", TEXT(SamplingData[[#This Row],[Lower Range]], REPT("0",LEN('General Info'!$B$40))) &amp; " - " &amp; TEXT(SamplingData[[#This Row],[Upper Range]], REPT("0",LEN('General Info'!$B$40))))</f>
        <v>82532 - 82598</v>
      </c>
      <c r="T1967" s="100">
        <f>SamplingData[[#This Row],[Upper Range]]-SamplingData[[#This Row],[Span]]</f>
        <v>82531.811604053408</v>
      </c>
      <c r="U1967" s="100">
        <f>IF(ISNUMBER('General Info'!$B$40), ((SamplingData[[#This Row],[up/U Selection Probability]]) * 'General Info'!$B$40) - 1, 0)</f>
        <v>65.880674307845027</v>
      </c>
      <c r="V1967" s="100">
        <f>IF(ISNUMBER('General Info'!$B$40), (SamplingData[[#This Row],[Running (cumulative) sum]] * ('General Info'!$B$40 -'General Info'!$B$41 + 1)) + 'General Info'!$B$41 - 1, 0)</f>
        <v>82597.692278361254</v>
      </c>
      <c r="W1967" s="100" t="str">
        <f>IF(ISERROR(MATCH(SamplingData[[#This Row],[Batch by Type (p)]],SelectedPrecincts[Batch Name], 0)), "", INDEX(SelectedPrecincts[Draw], MATCH(SamplingData[[#This Row],[Batch by Type (p)]],SelectedPrecincts[Batch Name], 0)))</f>
        <v/>
      </c>
      <c r="X1967" s="102">
        <f>IF(COUNTIF(SelectedPrecincts[Batch Name],SamplingData[[#This Row],[Batch by Type (p)]]) &lt;&gt; 0, COUNTIF(SelectedPrecincts[Batch Name],SamplingData[[#This Row],[Batch by Type (p)]]), 0)</f>
        <v>0</v>
      </c>
    </row>
    <row r="1968" spans="1:24" ht="15" customHeight="1">
      <c r="A1968" s="18" t="s">
        <v>2144</v>
      </c>
      <c r="B1968" s="18">
        <v>10</v>
      </c>
      <c r="C1968" s="18">
        <v>4</v>
      </c>
      <c r="D1968" s="18">
        <v>1</v>
      </c>
      <c r="E1968" s="18">
        <v>0</v>
      </c>
      <c r="F1968" s="18">
        <v>0</v>
      </c>
      <c r="G1968" s="18">
        <v>0</v>
      </c>
      <c r="H1968" s="18">
        <v>0</v>
      </c>
      <c r="I1968" s="18">
        <v>1</v>
      </c>
      <c r="J1968" s="99">
        <f>SUM(SamplingData[[#This Row],[Losing Candidate]:[Under Votes]])</f>
        <v>16</v>
      </c>
      <c r="K196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1968" s="100">
        <f>IF(AND(SamplingData[[#This Row],[Total]]&lt;&gt; 0, NOT(ISBLANK(SamplingData[[#This Row],[Candidate 3]]))),(SamplingData[[#This Row],[Total]]+SamplingData[[#This Row],[Winning Candidate]]-SamplingData[[#This Row],[Candidate 3]])/(SamplingData[[#Totals],[Winning Candidate]]-SamplingData[[#Totals],[Candidate 3]]), 0)</f>
        <v>6.1296254476239632E-4</v>
      </c>
      <c r="M1968" s="100">
        <f>IF(AND(SamplingData[[#This Row],[Total]]&lt;&gt; 0, NOT(ISBLANK(SamplingData[[#This Row],[Candidate 4]]))),(SamplingData[[#This Row],[Total]]+SamplingData[[#This Row],[Winning Candidate]]-SamplingData[[#This Row],[Candidate 4]])/(SamplingData[[#Totals],[Winning Candidate]]-SamplingData[[#Totals],[Candidate 4]]), 0)</f>
        <v>5.8464146861936922E-4</v>
      </c>
      <c r="N1968" s="100">
        <f>IF(AND(SamplingData[[#This Row],[Total]]&lt;&gt; 0, NOT(ISBLANK(SamplingData[[#This Row],[Candidate 5]]))),(SamplingData[[#This Row],[Total]]+SamplingData[[#This Row],[Winning Candidate]]-SamplingData[[#This Row],[Candidate 5]])/(SamplingData[[#Totals],[Winning Candidate]]-SamplingData[[#Totals],[Candidate 5]]), 0)</f>
        <v>4.8649963512527365E-4</v>
      </c>
      <c r="O1968" s="100">
        <f>IF(AND(SamplingData[[#This Row],[Total]]&lt;&gt; 0, NOT(ISBLANK(SamplingData[[#This Row],[Candidate 6]]))),(SamplingData[[#This Row],[Total]]+SamplingData[[#This Row],[Winning Candidate]]-SamplingData[[#This Row],[Candidate 6]])/(SamplingData[[#Totals],[Winning Candidate]]-SamplingData[[#Totals],[Candidate 6]]), 0)</f>
        <v>4.8635766742862699E-4</v>
      </c>
      <c r="P1968" s="100">
        <f>MAX(SamplingData[[#This Row],[Error Bound (up) - Max. possible relative overstatement - Losing Candidate]:[Error Bound (up) - Max. possible relative overstatement - Candidate 6]])</f>
        <v>6.1296254476239632E-4</v>
      </c>
      <c r="Q1968" s="100">
        <f>IF(SamplingData[[#This Row],[Max Error Bound (up)]] = 0,0,SamplingData[[#This Row],[Max Error Bound (up)]]/SamplingData[[#Totals],[Max Error Bound (up)]])</f>
        <v>9.7011411759809243E-5</v>
      </c>
      <c r="R1968" s="101">
        <f>SUM($Q$5:Q1968)</f>
        <v>0.82608393419537229</v>
      </c>
      <c r="S1968" s="100" t="str">
        <f t="array" ref="S1968">IF(SamplingData[[#This Row],[up/U Selection Probability]] = 0, "Zero", TEXT(SamplingData[[#This Row],[Lower Range]], REPT("0",LEN('General Info'!$B$40))) &amp; " - " &amp; TEXT(SamplingData[[#This Row],[Upper Range]], REPT("0",LEN('General Info'!$B$40))))</f>
        <v>82599 - 82607</v>
      </c>
      <c r="T1968" s="100">
        <f>SamplingData[[#This Row],[Upper Range]]-SamplingData[[#This Row],[Span]]</f>
        <v>82598.692375372659</v>
      </c>
      <c r="U1968" s="100">
        <f>IF(ISNUMBER('General Info'!$B$40), ((SamplingData[[#This Row],[up/U Selection Probability]]) * 'General Info'!$B$40) - 1, 0)</f>
        <v>8.701044164569165</v>
      </c>
      <c r="V1968" s="100">
        <f>IF(ISNUMBER('General Info'!$B$40), (SamplingData[[#This Row],[Running (cumulative) sum]] * ('General Info'!$B$40 -'General Info'!$B$41 + 1)) + 'General Info'!$B$41 - 1, 0)</f>
        <v>82607.393419537228</v>
      </c>
      <c r="W1968" s="100" t="str">
        <f>IF(ISERROR(MATCH(SamplingData[[#This Row],[Batch by Type (p)]],SelectedPrecincts[Batch Name], 0)), "", INDEX(SelectedPrecincts[Draw], MATCH(SamplingData[[#This Row],[Batch by Type (p)]],SelectedPrecincts[Batch Name], 0)))</f>
        <v/>
      </c>
      <c r="X1968" s="102">
        <f>IF(COUNTIF(SelectedPrecincts[Batch Name],SamplingData[[#This Row],[Batch by Type (p)]]) &lt;&gt; 0, COUNTIF(SelectedPrecincts[Batch Name],SamplingData[[#This Row],[Batch by Type (p)]]), 0)</f>
        <v>0</v>
      </c>
    </row>
    <row r="1969" spans="1:24" ht="15" customHeight="1">
      <c r="A1969" s="18" t="s">
        <v>2145</v>
      </c>
      <c r="B1969" s="18">
        <v>11</v>
      </c>
      <c r="C1969" s="18">
        <v>31</v>
      </c>
      <c r="D1969" s="16">
        <v>13</v>
      </c>
      <c r="E1969" s="16">
        <v>4</v>
      </c>
      <c r="F1969" s="37">
        <v>0</v>
      </c>
      <c r="G1969" s="37">
        <v>1</v>
      </c>
      <c r="H1969" s="17">
        <v>0</v>
      </c>
      <c r="I1969" s="17">
        <v>1</v>
      </c>
      <c r="J1969" s="99">
        <f>SUM(SamplingData[[#This Row],[Losing Candidate]:[Under Votes]])</f>
        <v>61</v>
      </c>
      <c r="K1969"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1969" s="100">
        <f>IF(AND(SamplingData[[#This Row],[Total]]&lt;&gt; 0, NOT(ISBLANK(SamplingData[[#This Row],[Candidate 3]]))),(SamplingData[[#This Row],[Total]]+SamplingData[[#This Row],[Winning Candidate]]-SamplingData[[#This Row],[Candidate 3]])/(SamplingData[[#Totals],[Winning Candidate]]-SamplingData[[#Totals],[Candidate 3]]), 0)</f>
        <v>2.5486337387489112E-3</v>
      </c>
      <c r="M1969" s="100">
        <f>IF(AND(SamplingData[[#This Row],[Total]]&lt;&gt; 0, NOT(ISBLANK(SamplingData[[#This Row],[Candidate 4]]))),(SamplingData[[#This Row],[Total]]+SamplingData[[#This Row],[Winning Candidate]]-SamplingData[[#This Row],[Candidate 4]])/(SamplingData[[#Totals],[Winning Candidate]]-SamplingData[[#Totals],[Candidate 4]]), 0)</f>
        <v>2.5724224619252242E-3</v>
      </c>
      <c r="N1969" s="100">
        <f>IF(AND(SamplingData[[#This Row],[Total]]&lt;&gt; 0, NOT(ISBLANK(SamplingData[[#This Row],[Candidate 5]]))),(SamplingData[[#This Row],[Total]]+SamplingData[[#This Row],[Winning Candidate]]-SamplingData[[#This Row],[Candidate 5]])/(SamplingData[[#Totals],[Winning Candidate]]-SamplingData[[#Totals],[Candidate 5]]), 0)</f>
        <v>2.237898321576259E-3</v>
      </c>
      <c r="O1969" s="100">
        <f>IF(AND(SamplingData[[#This Row],[Total]]&lt;&gt; 0, NOT(ISBLANK(SamplingData[[#This Row],[Candidate 6]]))),(SamplingData[[#This Row],[Total]]+SamplingData[[#This Row],[Winning Candidate]]-SamplingData[[#This Row],[Candidate 6]])/(SamplingData[[#Totals],[Winning Candidate]]-SamplingData[[#Totals],[Candidate 6]]), 0)</f>
        <v>2.2129273868002528E-3</v>
      </c>
      <c r="P1969" s="100">
        <f>MAX(SamplingData[[#This Row],[Error Bound (up) - Max. possible relative overstatement - Losing Candidate]:[Error Bound (up) - Max. possible relative overstatement - Candidate 6]])</f>
        <v>4.9608035276825085E-3</v>
      </c>
      <c r="Q1969" s="100">
        <f>IF(SamplingData[[#This Row],[Max Error Bound (up)]] = 0,0,SamplingData[[#This Row],[Max Error Bound (up)]]/SamplingData[[#Totals],[Max Error Bound (up)]])</f>
        <v>7.8512881055411239E-4</v>
      </c>
      <c r="R1969" s="101">
        <f>SUM($Q$5:Q1969)</f>
        <v>0.82686906300592644</v>
      </c>
      <c r="S1969" s="100" t="str">
        <f t="array" ref="S1969">IF(SamplingData[[#This Row],[up/U Selection Probability]] = 0, "Zero", TEXT(SamplingData[[#This Row],[Lower Range]], REPT("0",LEN('General Info'!$B$40))) &amp; " - " &amp; TEXT(SamplingData[[#This Row],[Upper Range]], REPT("0",LEN('General Info'!$B$40))))</f>
        <v>82608 - 82686</v>
      </c>
      <c r="T1969" s="100">
        <f>SamplingData[[#This Row],[Upper Range]]-SamplingData[[#This Row],[Span]]</f>
        <v>82608.394204666038</v>
      </c>
      <c r="U1969" s="100">
        <f>IF(ISNUMBER('General Info'!$B$40), ((SamplingData[[#This Row],[up/U Selection Probability]]) * 'General Info'!$B$40) - 1, 0)</f>
        <v>77.512095926600679</v>
      </c>
      <c r="V1969" s="100">
        <f>IF(ISNUMBER('General Info'!$B$40), (SamplingData[[#This Row],[Running (cumulative) sum]] * ('General Info'!$B$40 -'General Info'!$B$41 + 1)) + 'General Info'!$B$41 - 1, 0)</f>
        <v>82685.906300592644</v>
      </c>
      <c r="W1969" s="100" t="str">
        <f>IF(ISERROR(MATCH(SamplingData[[#This Row],[Batch by Type (p)]],SelectedPrecincts[Batch Name], 0)), "", INDEX(SelectedPrecincts[Draw], MATCH(SamplingData[[#This Row],[Batch by Type (p)]],SelectedPrecincts[Batch Name], 0)))</f>
        <v/>
      </c>
      <c r="X1969" s="102">
        <f>IF(COUNTIF(SelectedPrecincts[Batch Name],SamplingData[[#This Row],[Batch by Type (p)]]) &lt;&gt; 0, COUNTIF(SelectedPrecincts[Batch Name],SamplingData[[#This Row],[Batch by Type (p)]]), 0)</f>
        <v>0</v>
      </c>
    </row>
    <row r="1970" spans="1:24" ht="15" customHeight="1">
      <c r="A1970" s="18" t="s">
        <v>2146</v>
      </c>
      <c r="B1970" s="18">
        <v>13</v>
      </c>
      <c r="C1970" s="18">
        <v>10</v>
      </c>
      <c r="D1970" s="18">
        <v>1</v>
      </c>
      <c r="E1970" s="18">
        <v>1</v>
      </c>
      <c r="F1970" s="18">
        <v>0</v>
      </c>
      <c r="G1970" s="18">
        <v>0</v>
      </c>
      <c r="H1970" s="18">
        <v>0</v>
      </c>
      <c r="I1970" s="18">
        <v>0</v>
      </c>
      <c r="J1970" s="99">
        <f>SUM(SamplingData[[#This Row],[Losing Candidate]:[Under Votes]])</f>
        <v>25</v>
      </c>
      <c r="K1970"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1970" s="100">
        <f>IF(AND(SamplingData[[#This Row],[Total]]&lt;&gt; 0, NOT(ISBLANK(SamplingData[[#This Row],[Candidate 3]]))),(SamplingData[[#This Row],[Total]]+SamplingData[[#This Row],[Winning Candidate]]-SamplingData[[#This Row],[Candidate 3]])/(SamplingData[[#Totals],[Winning Candidate]]-SamplingData[[#Totals],[Candidate 3]]), 0)</f>
        <v>1.0968803432590251E-3</v>
      </c>
      <c r="M1970" s="100">
        <f>IF(AND(SamplingData[[#This Row],[Total]]&lt;&gt; 0, NOT(ISBLANK(SamplingData[[#This Row],[Candidate 4]]))),(SamplingData[[#This Row],[Total]]+SamplingData[[#This Row],[Winning Candidate]]-SamplingData[[#This Row],[Candidate 4]])/(SamplingData[[#Totals],[Winning Candidate]]-SamplingData[[#Totals],[Candidate 4]]), 0)</f>
        <v>9.9389049665292765E-4</v>
      </c>
      <c r="N1970" s="100">
        <f>IF(AND(SamplingData[[#This Row],[Total]]&lt;&gt; 0, NOT(ISBLANK(SamplingData[[#This Row],[Candidate 5]]))),(SamplingData[[#This Row],[Total]]+SamplingData[[#This Row],[Winning Candidate]]-SamplingData[[#This Row],[Candidate 5]])/(SamplingData[[#Totals],[Winning Candidate]]-SamplingData[[#Totals],[Candidate 5]]), 0)</f>
        <v>8.5137436146922891E-4</v>
      </c>
      <c r="O1970" s="100">
        <f>IF(AND(SamplingData[[#This Row],[Total]]&lt;&gt; 0, NOT(ISBLANK(SamplingData[[#This Row],[Candidate 6]]))),(SamplingData[[#This Row],[Total]]+SamplingData[[#This Row],[Winning Candidate]]-SamplingData[[#This Row],[Candidate 6]])/(SamplingData[[#Totals],[Winning Candidate]]-SamplingData[[#Totals],[Candidate 6]]), 0)</f>
        <v>8.5112591800009726E-4</v>
      </c>
      <c r="P1970" s="100">
        <f>MAX(SamplingData[[#This Row],[Error Bound (up) - Max. possible relative overstatement - Losing Candidate]:[Error Bound (up) - Max. possible relative overstatement - Candidate 6]])</f>
        <v>1.3473787359137678E-3</v>
      </c>
      <c r="Q1970" s="100">
        <f>IF(SamplingData[[#This Row],[Max Error Bound (up)]] = 0,0,SamplingData[[#This Row],[Max Error Bound (up)]]/SamplingData[[#Totals],[Max Error Bound (up)]])</f>
        <v>2.1324486212580832E-4</v>
      </c>
      <c r="R1970" s="101">
        <f>SUM($Q$5:Q1970)</f>
        <v>0.82708230786805226</v>
      </c>
      <c r="S1970" s="100" t="str">
        <f t="array" ref="S1970">IF(SamplingData[[#This Row],[up/U Selection Probability]] = 0, "Zero", TEXT(SamplingData[[#This Row],[Lower Range]], REPT("0",LEN('General Info'!$B$40))) &amp; " - " &amp; TEXT(SamplingData[[#This Row],[Upper Range]], REPT("0",LEN('General Info'!$B$40))))</f>
        <v>82687 - 82707</v>
      </c>
      <c r="T1970" s="100">
        <f>SamplingData[[#This Row],[Upper Range]]-SamplingData[[#This Row],[Span]]</f>
        <v>82686.906513837515</v>
      </c>
      <c r="U1970" s="100">
        <f>IF(ISNUMBER('General Info'!$B$40), ((SamplingData[[#This Row],[up/U Selection Probability]]) * 'General Info'!$B$40) - 1, 0)</f>
        <v>20.324272967718706</v>
      </c>
      <c r="V1970" s="100">
        <f>IF(ISNUMBER('General Info'!$B$40), (SamplingData[[#This Row],[Running (cumulative) sum]] * ('General Info'!$B$40 -'General Info'!$B$41 + 1)) + 'General Info'!$B$41 - 1, 0)</f>
        <v>82707.23078680523</v>
      </c>
      <c r="W1970" s="100" t="str">
        <f>IF(ISERROR(MATCH(SamplingData[[#This Row],[Batch by Type (p)]],SelectedPrecincts[Batch Name], 0)), "", INDEX(SelectedPrecincts[Draw], MATCH(SamplingData[[#This Row],[Batch by Type (p)]],SelectedPrecincts[Batch Name], 0)))</f>
        <v/>
      </c>
      <c r="X1970" s="102">
        <f>IF(COUNTIF(SelectedPrecincts[Batch Name],SamplingData[[#This Row],[Batch by Type (p)]]) &lt;&gt; 0, COUNTIF(SelectedPrecincts[Batch Name],SamplingData[[#This Row],[Batch by Type (p)]]), 0)</f>
        <v>0</v>
      </c>
    </row>
    <row r="1971" spans="1:24" ht="15" customHeight="1">
      <c r="A1971" s="18" t="s">
        <v>2147</v>
      </c>
      <c r="B1971" s="18">
        <v>23</v>
      </c>
      <c r="C1971" s="18">
        <v>40</v>
      </c>
      <c r="D1971" s="16">
        <v>5</v>
      </c>
      <c r="E1971" s="16">
        <v>18</v>
      </c>
      <c r="F1971" s="37">
        <v>0</v>
      </c>
      <c r="G1971" s="37">
        <v>0</v>
      </c>
      <c r="H1971" s="17">
        <v>0</v>
      </c>
      <c r="I1971" s="17">
        <v>2</v>
      </c>
      <c r="J1971" s="99">
        <f>SUM(SamplingData[[#This Row],[Losing Candidate]:[Under Votes]])</f>
        <v>88</v>
      </c>
      <c r="K1971" s="100">
        <f>IF(AND(SamplingData[[#This Row],[Total]]&lt;&gt; 0, NOT(ISBLANK(SamplingData[[#This Row],[Losing Candidate]]))),(SamplingData[[#This Row],[Total]]+SamplingData[[#This Row],[Winning Candidate]]-SamplingData[[#This Row],[Losing Candidate]])/(SamplingData[[#Totals],[Winning Candidate]]-SamplingData[[#Totals],[Losing Candidate]]), 0)</f>
        <v>6.4306712395884374E-3</v>
      </c>
      <c r="L1971" s="100">
        <f>IF(AND(SamplingData[[#This Row],[Total]]&lt;&gt; 0, NOT(ISBLANK(SamplingData[[#This Row],[Candidate 3]]))),(SamplingData[[#This Row],[Total]]+SamplingData[[#This Row],[Winning Candidate]]-SamplingData[[#This Row],[Candidate 3]])/(SamplingData[[#Totals],[Winning Candidate]]-SamplingData[[#Totals],[Candidate 3]]), 0)</f>
        <v>3.9681259476723558E-3</v>
      </c>
      <c r="M1971" s="100">
        <f>IF(AND(SamplingData[[#This Row],[Total]]&lt;&gt; 0, NOT(ISBLANK(SamplingData[[#This Row],[Candidate 4]]))),(SamplingData[[#This Row],[Total]]+SamplingData[[#This Row],[Winning Candidate]]-SamplingData[[#This Row],[Candidate 4]])/(SamplingData[[#Totals],[Winning Candidate]]-SamplingData[[#Totals],[Candidate 4]]), 0)</f>
        <v>3.2155280774065305E-3</v>
      </c>
      <c r="N1971" s="100">
        <f>IF(AND(SamplingData[[#This Row],[Total]]&lt;&gt; 0, NOT(ISBLANK(SamplingData[[#This Row],[Candidate 5]]))),(SamplingData[[#This Row],[Total]]+SamplingData[[#This Row],[Winning Candidate]]-SamplingData[[#This Row],[Candidate 5]])/(SamplingData[[#Totals],[Winning Candidate]]-SamplingData[[#Totals],[Candidate 5]]), 0)</f>
        <v>3.1135976648017515E-3</v>
      </c>
      <c r="O1971" s="100">
        <f>IF(AND(SamplingData[[#This Row],[Total]]&lt;&gt; 0, NOT(ISBLANK(SamplingData[[#This Row],[Candidate 6]]))),(SamplingData[[#This Row],[Total]]+SamplingData[[#This Row],[Winning Candidate]]-SamplingData[[#This Row],[Candidate 6]])/(SamplingData[[#Totals],[Winning Candidate]]-SamplingData[[#Totals],[Candidate 6]]), 0)</f>
        <v>3.1126890715432128E-3</v>
      </c>
      <c r="P1971" s="100">
        <f>MAX(SamplingData[[#This Row],[Error Bound (up) - Max. possible relative overstatement - Losing Candidate]:[Error Bound (up) - Max. possible relative overstatement - Candidate 6]])</f>
        <v>6.4306712395884374E-3</v>
      </c>
      <c r="Q1971" s="100">
        <f>IF(SamplingData[[#This Row],[Max Error Bound (up)]] = 0,0,SamplingData[[#This Row],[Max Error Bound (up)]]/SamplingData[[#Totals],[Max Error Bound (up)]])</f>
        <v>1.0177595692368124E-3</v>
      </c>
      <c r="R1971" s="101">
        <f>SUM($Q$5:Q1971)</f>
        <v>0.82810006743728903</v>
      </c>
      <c r="S1971" s="100" t="str">
        <f t="array" ref="S1971">IF(SamplingData[[#This Row],[up/U Selection Probability]] = 0, "Zero", TEXT(SamplingData[[#This Row],[Lower Range]], REPT("0",LEN('General Info'!$B$40))) &amp; " - " &amp; TEXT(SamplingData[[#This Row],[Upper Range]], REPT("0",LEN('General Info'!$B$40))))</f>
        <v>82708 - 82809</v>
      </c>
      <c r="T1971" s="100">
        <f>SamplingData[[#This Row],[Upper Range]]-SamplingData[[#This Row],[Span]]</f>
        <v>82708.231804564784</v>
      </c>
      <c r="U1971" s="100">
        <f>IF(ISNUMBER('General Info'!$B$40), ((SamplingData[[#This Row],[up/U Selection Probability]]) * 'General Info'!$B$40) - 1, 0)</f>
        <v>100.77493916411201</v>
      </c>
      <c r="V1971" s="100">
        <f>IF(ISNUMBER('General Info'!$B$40), (SamplingData[[#This Row],[Running (cumulative) sum]] * ('General Info'!$B$40 -'General Info'!$B$41 + 1)) + 'General Info'!$B$41 - 1, 0)</f>
        <v>82809.006743728896</v>
      </c>
      <c r="W1971" s="100" t="str">
        <f>IF(ISERROR(MATCH(SamplingData[[#This Row],[Batch by Type (p)]],SelectedPrecincts[Batch Name], 0)), "", INDEX(SelectedPrecincts[Draw], MATCH(SamplingData[[#This Row],[Batch by Type (p)]],SelectedPrecincts[Batch Name], 0)))</f>
        <v/>
      </c>
      <c r="X1971" s="102">
        <f>IF(COUNTIF(SelectedPrecincts[Batch Name],SamplingData[[#This Row],[Batch by Type (p)]]) &lt;&gt; 0, COUNTIF(SelectedPrecincts[Batch Name],SamplingData[[#This Row],[Batch by Type (p)]]), 0)</f>
        <v>0</v>
      </c>
    </row>
    <row r="1972" spans="1:24" ht="15" customHeight="1">
      <c r="A1972" s="18" t="s">
        <v>2148</v>
      </c>
      <c r="B1972" s="18">
        <v>14</v>
      </c>
      <c r="C1972" s="18">
        <v>22</v>
      </c>
      <c r="D1972" s="18">
        <v>1</v>
      </c>
      <c r="E1972" s="18">
        <v>0</v>
      </c>
      <c r="F1972" s="18">
        <v>0</v>
      </c>
      <c r="G1972" s="18">
        <v>0</v>
      </c>
      <c r="H1972" s="18">
        <v>0</v>
      </c>
      <c r="I1972" s="18">
        <v>1</v>
      </c>
      <c r="J1972" s="99">
        <f>SUM(SamplingData[[#This Row],[Losing Candidate]:[Under Votes]])</f>
        <v>38</v>
      </c>
      <c r="K1972" s="100">
        <f>IF(AND(SamplingData[[#This Row],[Total]]&lt;&gt; 0, NOT(ISBLANK(SamplingData[[#This Row],[Losing Candidate]]))),(SamplingData[[#This Row],[Total]]+SamplingData[[#This Row],[Winning Candidate]]-SamplingData[[#This Row],[Losing Candidate]])/(SamplingData[[#Totals],[Winning Candidate]]-SamplingData[[#Totals],[Losing Candidate]]), 0)</f>
        <v>2.8172464478196961E-3</v>
      </c>
      <c r="L1972" s="100">
        <f>IF(AND(SamplingData[[#This Row],[Total]]&lt;&gt; 0, NOT(ISBLANK(SamplingData[[#This Row],[Candidate 3]]))),(SamplingData[[#This Row],[Total]]+SamplingData[[#This Row],[Winning Candidate]]-SamplingData[[#This Row],[Candidate 3]])/(SamplingData[[#Totals],[Winning Candidate]]-SamplingData[[#Totals],[Candidate 3]]), 0)</f>
        <v>1.9034100074200729E-3</v>
      </c>
      <c r="M1972" s="100">
        <f>IF(AND(SamplingData[[#This Row],[Total]]&lt;&gt; 0, NOT(ISBLANK(SamplingData[[#This Row],[Candidate 4]]))),(SamplingData[[#This Row],[Total]]+SamplingData[[#This Row],[Winning Candidate]]-SamplingData[[#This Row],[Candidate 4]])/(SamplingData[[#Totals],[Winning Candidate]]-SamplingData[[#Totals],[Candidate 4]]), 0)</f>
        <v>1.7539244058581076E-3</v>
      </c>
      <c r="N1972" s="100">
        <f>IF(AND(SamplingData[[#This Row],[Total]]&lt;&gt; 0, NOT(ISBLANK(SamplingData[[#This Row],[Candidate 5]]))),(SamplingData[[#This Row],[Total]]+SamplingData[[#This Row],[Winning Candidate]]-SamplingData[[#This Row],[Candidate 5]])/(SamplingData[[#Totals],[Winning Candidate]]-SamplingData[[#Totals],[Candidate 5]]), 0)</f>
        <v>1.459498905375821E-3</v>
      </c>
      <c r="O1972" s="100">
        <f>IF(AND(SamplingData[[#This Row],[Total]]&lt;&gt; 0, NOT(ISBLANK(SamplingData[[#This Row],[Candidate 6]]))),(SamplingData[[#This Row],[Total]]+SamplingData[[#This Row],[Winning Candidate]]-SamplingData[[#This Row],[Candidate 6]])/(SamplingData[[#Totals],[Winning Candidate]]-SamplingData[[#Totals],[Candidate 6]]), 0)</f>
        <v>1.4590730022858811E-3</v>
      </c>
      <c r="P1972" s="100">
        <f>MAX(SamplingData[[#This Row],[Error Bound (up) - Max. possible relative overstatement - Losing Candidate]:[Error Bound (up) - Max. possible relative overstatement - Candidate 6]])</f>
        <v>2.8172464478196961E-3</v>
      </c>
      <c r="Q1972" s="100">
        <f>IF(SamplingData[[#This Row],[Max Error Bound (up)]] = 0,0,SamplingData[[#This Row],[Max Error Bound (up)]]/SamplingData[[#Totals],[Max Error Bound (up)]])</f>
        <v>4.4587562080850821E-4</v>
      </c>
      <c r="R1972" s="101">
        <f>SUM($Q$5:Q1972)</f>
        <v>0.82854594305809759</v>
      </c>
      <c r="S1972" s="100" t="str">
        <f t="array" ref="S1972">IF(SamplingData[[#This Row],[up/U Selection Probability]] = 0, "Zero", TEXT(SamplingData[[#This Row],[Lower Range]], REPT("0",LEN('General Info'!$B$40))) &amp; " - " &amp; TEXT(SamplingData[[#This Row],[Upper Range]], REPT("0",LEN('General Info'!$B$40))))</f>
        <v>82810 - 82854</v>
      </c>
      <c r="T1972" s="100">
        <f>SamplingData[[#This Row],[Upper Range]]-SamplingData[[#This Row],[Span]]</f>
        <v>82810.007189604527</v>
      </c>
      <c r="U1972" s="100">
        <f>IF(ISNUMBER('General Info'!$B$40), ((SamplingData[[#This Row],[up/U Selection Probability]]) * 'General Info'!$B$40) - 1, 0)</f>
        <v>43.587116205230011</v>
      </c>
      <c r="V1972" s="100">
        <f>IF(ISNUMBER('General Info'!$B$40), (SamplingData[[#This Row],[Running (cumulative) sum]] * ('General Info'!$B$40 -'General Info'!$B$41 + 1)) + 'General Info'!$B$41 - 1, 0)</f>
        <v>82853.594305809762</v>
      </c>
      <c r="W1972" s="100" t="str">
        <f>IF(ISERROR(MATCH(SamplingData[[#This Row],[Batch by Type (p)]],SelectedPrecincts[Batch Name], 0)), "", INDEX(SelectedPrecincts[Draw], MATCH(SamplingData[[#This Row],[Batch by Type (p)]],SelectedPrecincts[Batch Name], 0)))</f>
        <v/>
      </c>
      <c r="X1972" s="102">
        <f>IF(COUNTIF(SelectedPrecincts[Batch Name],SamplingData[[#This Row],[Batch by Type (p)]]) &lt;&gt; 0, COUNTIF(SelectedPrecincts[Batch Name],SamplingData[[#This Row],[Batch by Type (p)]]), 0)</f>
        <v>0</v>
      </c>
    </row>
    <row r="1973" spans="1:24" ht="15" customHeight="1">
      <c r="A1973" s="18" t="s">
        <v>2149</v>
      </c>
      <c r="B1973" s="18">
        <v>17</v>
      </c>
      <c r="C1973" s="18">
        <v>14</v>
      </c>
      <c r="D1973" s="16">
        <v>3</v>
      </c>
      <c r="E1973" s="16">
        <v>5</v>
      </c>
      <c r="F1973" s="37">
        <v>0</v>
      </c>
      <c r="G1973" s="37">
        <v>0</v>
      </c>
      <c r="H1973" s="17">
        <v>0</v>
      </c>
      <c r="I1973" s="17">
        <v>2</v>
      </c>
      <c r="J1973" s="99">
        <f>SUM(SamplingData[[#This Row],[Losing Candidate]:[Under Votes]])</f>
        <v>41</v>
      </c>
      <c r="K1973" s="100">
        <f>IF(AND(SamplingData[[#This Row],[Total]]&lt;&gt; 0, NOT(ISBLANK(SamplingData[[#This Row],[Losing Candidate]]))),(SamplingData[[#This Row],[Total]]+SamplingData[[#This Row],[Winning Candidate]]-SamplingData[[#This Row],[Losing Candidate]])/(SamplingData[[#Totals],[Winning Candidate]]-SamplingData[[#Totals],[Losing Candidate]]), 0)</f>
        <v>2.3272905438510533E-3</v>
      </c>
      <c r="L1973" s="100">
        <f>IF(AND(SamplingData[[#This Row],[Total]]&lt;&gt; 0, NOT(ISBLANK(SamplingData[[#This Row],[Candidate 3]]))),(SamplingData[[#This Row],[Total]]+SamplingData[[#This Row],[Winning Candidate]]-SamplingData[[#This Row],[Candidate 3]])/(SamplingData[[#Totals],[Winning Candidate]]-SamplingData[[#Totals],[Candidate 3]]), 0)</f>
        <v>1.6775817014549794E-3</v>
      </c>
      <c r="M1973" s="100">
        <f>IF(AND(SamplingData[[#This Row],[Total]]&lt;&gt; 0, NOT(ISBLANK(SamplingData[[#This Row],[Candidate 4]]))),(SamplingData[[#This Row],[Total]]+SamplingData[[#This Row],[Winning Candidate]]-SamplingData[[#This Row],[Candidate 4]])/(SamplingData[[#Totals],[Winning Candidate]]-SamplingData[[#Totals],[Candidate 4]]), 0)</f>
        <v>1.4616036715484229E-3</v>
      </c>
      <c r="N1973" s="100">
        <f>IF(AND(SamplingData[[#This Row],[Total]]&lt;&gt; 0, NOT(ISBLANK(SamplingData[[#This Row],[Candidate 5]]))),(SamplingData[[#This Row],[Total]]+SamplingData[[#This Row],[Winning Candidate]]-SamplingData[[#This Row],[Candidate 5]])/(SamplingData[[#Totals],[Winning Candidate]]-SamplingData[[#Totals],[Candidate 5]]), 0)</f>
        <v>1.3378739965945025E-3</v>
      </c>
      <c r="O1973" s="100">
        <f>IF(AND(SamplingData[[#This Row],[Total]]&lt;&gt; 0, NOT(ISBLANK(SamplingData[[#This Row],[Candidate 6]]))),(SamplingData[[#This Row],[Total]]+SamplingData[[#This Row],[Winning Candidate]]-SamplingData[[#This Row],[Candidate 6]])/(SamplingData[[#Totals],[Winning Candidate]]-SamplingData[[#Totals],[Candidate 6]]), 0)</f>
        <v>1.3374835854287244E-3</v>
      </c>
      <c r="P1973" s="100">
        <f>MAX(SamplingData[[#This Row],[Error Bound (up) - Max. possible relative overstatement - Losing Candidate]:[Error Bound (up) - Max. possible relative overstatement - Candidate 6]])</f>
        <v>2.3272905438510533E-3</v>
      </c>
      <c r="Q1973" s="100">
        <f>IF(SamplingData[[#This Row],[Max Error Bound (up)]] = 0,0,SamplingData[[#This Row],[Max Error Bound (up)]]/SamplingData[[#Totals],[Max Error Bound (up)]])</f>
        <v>3.683320345809416E-4</v>
      </c>
      <c r="R1973" s="101">
        <f>SUM($Q$5:Q1973)</f>
        <v>0.82891427509267857</v>
      </c>
      <c r="S1973" s="100" t="str">
        <f t="array" ref="S1973">IF(SamplingData[[#This Row],[up/U Selection Probability]] = 0, "Zero", TEXT(SamplingData[[#This Row],[Lower Range]], REPT("0",LEN('General Info'!$B$40))) &amp; " - " &amp; TEXT(SamplingData[[#This Row],[Upper Range]], REPT("0",LEN('General Info'!$B$40))))</f>
        <v>82855 - 82890</v>
      </c>
      <c r="T1973" s="100">
        <f>SamplingData[[#This Row],[Upper Range]]-SamplingData[[#This Row],[Span]]</f>
        <v>82854.594674141801</v>
      </c>
      <c r="U1973" s="100">
        <f>IF(ISNUMBER('General Info'!$B$40), ((SamplingData[[#This Row],[up/U Selection Probability]]) * 'General Info'!$B$40) - 1, 0)</f>
        <v>35.832835126059578</v>
      </c>
      <c r="V1973" s="100">
        <f>IF(ISNUMBER('General Info'!$B$40), (SamplingData[[#This Row],[Running (cumulative) sum]] * ('General Info'!$B$40 -'General Info'!$B$41 + 1)) + 'General Info'!$B$41 - 1, 0)</f>
        <v>82890.427509267858</v>
      </c>
      <c r="W1973" s="100" t="str">
        <f>IF(ISERROR(MATCH(SamplingData[[#This Row],[Batch by Type (p)]],SelectedPrecincts[Batch Name], 0)), "", INDEX(SelectedPrecincts[Draw], MATCH(SamplingData[[#This Row],[Batch by Type (p)]],SelectedPrecincts[Batch Name], 0)))</f>
        <v/>
      </c>
      <c r="X1973" s="102">
        <f>IF(COUNTIF(SelectedPrecincts[Batch Name],SamplingData[[#This Row],[Batch by Type (p)]]) &lt;&gt; 0, COUNTIF(SelectedPrecincts[Batch Name],SamplingData[[#This Row],[Batch by Type (p)]]), 0)</f>
        <v>0</v>
      </c>
    </row>
    <row r="1974" spans="1:24" ht="15" customHeight="1">
      <c r="A1974" s="18" t="s">
        <v>2150</v>
      </c>
      <c r="B1974" s="18">
        <v>6</v>
      </c>
      <c r="C1974" s="18">
        <v>2</v>
      </c>
      <c r="D1974" s="18">
        <v>2</v>
      </c>
      <c r="E1974" s="18">
        <v>3</v>
      </c>
      <c r="F1974" s="18">
        <v>0</v>
      </c>
      <c r="G1974" s="18">
        <v>0</v>
      </c>
      <c r="H1974" s="18">
        <v>0</v>
      </c>
      <c r="I1974" s="18">
        <v>0</v>
      </c>
      <c r="J1974" s="99">
        <f>SUM(SamplingData[[#This Row],[Losing Candidate]:[Under Votes]])</f>
        <v>13</v>
      </c>
      <c r="K1974"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1974" s="100">
        <f>IF(AND(SamplingData[[#This Row],[Total]]&lt;&gt; 0, NOT(ISBLANK(SamplingData[[#This Row],[Candidate 3]]))),(SamplingData[[#This Row],[Total]]+SamplingData[[#This Row],[Winning Candidate]]-SamplingData[[#This Row],[Candidate 3]])/(SamplingData[[#Totals],[Winning Candidate]]-SamplingData[[#Totals],[Candidate 3]]), 0)</f>
        <v>4.1939542536374486E-4</v>
      </c>
      <c r="M1974" s="100">
        <f>IF(AND(SamplingData[[#This Row],[Total]]&lt;&gt; 0, NOT(ISBLANK(SamplingData[[#This Row],[Candidate 4]]))),(SamplingData[[#This Row],[Total]]+SamplingData[[#This Row],[Winning Candidate]]-SamplingData[[#This Row],[Candidate 4]])/(SamplingData[[#Totals],[Winning Candidate]]-SamplingData[[#Totals],[Candidate 4]]), 0)</f>
        <v>3.5078488117162149E-4</v>
      </c>
      <c r="N1974" s="100">
        <f>IF(AND(SamplingData[[#This Row],[Total]]&lt;&gt; 0, NOT(ISBLANK(SamplingData[[#This Row],[Candidate 5]]))),(SamplingData[[#This Row],[Total]]+SamplingData[[#This Row],[Winning Candidate]]-SamplingData[[#This Row],[Candidate 5]])/(SamplingData[[#Totals],[Winning Candidate]]-SamplingData[[#Totals],[Candidate 5]]), 0)</f>
        <v>3.6487472634395525E-4</v>
      </c>
      <c r="O1974" s="100">
        <f>IF(AND(SamplingData[[#This Row],[Total]]&lt;&gt; 0, NOT(ISBLANK(SamplingData[[#This Row],[Candidate 6]]))),(SamplingData[[#This Row],[Total]]+SamplingData[[#This Row],[Winning Candidate]]-SamplingData[[#This Row],[Candidate 6]])/(SamplingData[[#Totals],[Winning Candidate]]-SamplingData[[#Totals],[Candidate 6]]), 0)</f>
        <v>3.6476825057147027E-4</v>
      </c>
      <c r="P1974" s="100">
        <f>MAX(SamplingData[[#This Row],[Error Bound (up) - Max. possible relative overstatement - Losing Candidate]:[Error Bound (up) - Max. possible relative overstatement - Candidate 6]])</f>
        <v>5.5120039196472322E-4</v>
      </c>
      <c r="Q1974" s="100">
        <f>IF(SamplingData[[#This Row],[Max Error Bound (up)]] = 0,0,SamplingData[[#This Row],[Max Error Bound (up)]]/SamplingData[[#Totals],[Max Error Bound (up)]])</f>
        <v>8.7236534506012492E-5</v>
      </c>
      <c r="R1974" s="101">
        <f>SUM($Q$5:Q1974)</f>
        <v>0.82900151162718461</v>
      </c>
      <c r="S1974" s="100" t="str">
        <f t="array" ref="S1974">IF(SamplingData[[#This Row],[up/U Selection Probability]] = 0, "Zero", TEXT(SamplingData[[#This Row],[Lower Range]], REPT("0",LEN('General Info'!$B$40))) &amp; " - " &amp; TEXT(SamplingData[[#This Row],[Upper Range]], REPT("0",LEN('General Info'!$B$40))))</f>
        <v>82891 - 82899</v>
      </c>
      <c r="T1974" s="100">
        <f>SamplingData[[#This Row],[Upper Range]]-SamplingData[[#This Row],[Span]]</f>
        <v>82891.427596504393</v>
      </c>
      <c r="U1974" s="100">
        <f>IF(ISNUMBER('General Info'!$B$40), ((SamplingData[[#This Row],[up/U Selection Probability]]) * 'General Info'!$B$40) - 1, 0)</f>
        <v>7.7235662140667429</v>
      </c>
      <c r="V1974" s="100">
        <f>IF(ISNUMBER('General Info'!$B$40), (SamplingData[[#This Row],[Running (cumulative) sum]] * ('General Info'!$B$40 -'General Info'!$B$41 + 1)) + 'General Info'!$B$41 - 1, 0)</f>
        <v>82899.151162718466</v>
      </c>
      <c r="W1974" s="100" t="str">
        <f>IF(ISERROR(MATCH(SamplingData[[#This Row],[Batch by Type (p)]],SelectedPrecincts[Batch Name], 0)), "", INDEX(SelectedPrecincts[Draw], MATCH(SamplingData[[#This Row],[Batch by Type (p)]],SelectedPrecincts[Batch Name], 0)))</f>
        <v/>
      </c>
      <c r="X1974" s="102">
        <f>IF(COUNTIF(SelectedPrecincts[Batch Name],SamplingData[[#This Row],[Batch by Type (p)]]) &lt;&gt; 0, COUNTIF(SelectedPrecincts[Batch Name],SamplingData[[#This Row],[Batch by Type (p)]]), 0)</f>
        <v>0</v>
      </c>
    </row>
    <row r="1975" spans="1:24" ht="15" customHeight="1">
      <c r="A1975" s="18" t="s">
        <v>2151</v>
      </c>
      <c r="B1975" s="18">
        <v>15</v>
      </c>
      <c r="C1975" s="18">
        <v>18</v>
      </c>
      <c r="D1975" s="16">
        <v>1</v>
      </c>
      <c r="E1975" s="16">
        <v>3</v>
      </c>
      <c r="F1975" s="37">
        <v>0</v>
      </c>
      <c r="G1975" s="37">
        <v>0</v>
      </c>
      <c r="H1975" s="17">
        <v>0</v>
      </c>
      <c r="I1975" s="17">
        <v>1</v>
      </c>
      <c r="J1975" s="99">
        <f>SUM(SamplingData[[#This Row],[Losing Candidate]:[Under Votes]])</f>
        <v>38</v>
      </c>
      <c r="K1975" s="100">
        <f>IF(AND(SamplingData[[#This Row],[Total]]&lt;&gt; 0, NOT(ISBLANK(SamplingData[[#This Row],[Losing Candidate]]))),(SamplingData[[#This Row],[Total]]+SamplingData[[#This Row],[Winning Candidate]]-SamplingData[[#This Row],[Losing Candidate]])/(SamplingData[[#Totals],[Winning Candidate]]-SamplingData[[#Totals],[Losing Candidate]]), 0)</f>
        <v>2.5110240078392945E-3</v>
      </c>
      <c r="L1975" s="100">
        <f>IF(AND(SamplingData[[#This Row],[Total]]&lt;&gt; 0, NOT(ISBLANK(SamplingData[[#This Row],[Candidate 3]]))),(SamplingData[[#This Row],[Total]]+SamplingData[[#This Row],[Winning Candidate]]-SamplingData[[#This Row],[Candidate 3]])/(SamplingData[[#Totals],[Winning Candidate]]-SamplingData[[#Totals],[Candidate 3]]), 0)</f>
        <v>1.7743652611543052E-3</v>
      </c>
      <c r="M1975" s="100">
        <f>IF(AND(SamplingData[[#This Row],[Total]]&lt;&gt; 0, NOT(ISBLANK(SamplingData[[#This Row],[Candidate 4]]))),(SamplingData[[#This Row],[Total]]+SamplingData[[#This Row],[Winning Candidate]]-SamplingData[[#This Row],[Candidate 4]])/(SamplingData[[#Totals],[Winning Candidate]]-SamplingData[[#Totals],[Candidate 4]]), 0)</f>
        <v>1.5492998918413283E-3</v>
      </c>
      <c r="N1975" s="100">
        <f>IF(AND(SamplingData[[#This Row],[Total]]&lt;&gt; 0, NOT(ISBLANK(SamplingData[[#This Row],[Candidate 5]]))),(SamplingData[[#This Row],[Total]]+SamplingData[[#This Row],[Winning Candidate]]-SamplingData[[#This Row],[Candidate 5]])/(SamplingData[[#Totals],[Winning Candidate]]-SamplingData[[#Totals],[Candidate 5]]), 0)</f>
        <v>1.3621989783507663E-3</v>
      </c>
      <c r="O1975" s="100">
        <f>IF(AND(SamplingData[[#This Row],[Total]]&lt;&gt; 0, NOT(ISBLANK(SamplingData[[#This Row],[Candidate 6]]))),(SamplingData[[#This Row],[Total]]+SamplingData[[#This Row],[Winning Candidate]]-SamplingData[[#This Row],[Candidate 6]])/(SamplingData[[#Totals],[Winning Candidate]]-SamplingData[[#Totals],[Candidate 6]]), 0)</f>
        <v>1.3618014688001555E-3</v>
      </c>
      <c r="P1975" s="100">
        <f>MAX(SamplingData[[#This Row],[Error Bound (up) - Max. possible relative overstatement - Losing Candidate]:[Error Bound (up) - Max. possible relative overstatement - Candidate 6]])</f>
        <v>2.5110240078392945E-3</v>
      </c>
      <c r="Q1975" s="100">
        <f>IF(SamplingData[[#This Row],[Max Error Bound (up)]] = 0,0,SamplingData[[#This Row],[Max Error Bound (up)]]/SamplingData[[#Totals],[Max Error Bound (up)]])</f>
        <v>3.9741087941627912E-4</v>
      </c>
      <c r="R1975" s="101">
        <f>SUM($Q$5:Q1975)</f>
        <v>0.82939892250660086</v>
      </c>
      <c r="S1975" s="100" t="str">
        <f t="array" ref="S1975">IF(SamplingData[[#This Row],[up/U Selection Probability]] = 0, "Zero", TEXT(SamplingData[[#This Row],[Lower Range]], REPT("0",LEN('General Info'!$B$40))) &amp; " - " &amp; TEXT(SamplingData[[#This Row],[Upper Range]], REPT("0",LEN('General Info'!$B$40))))</f>
        <v>82900 - 82939</v>
      </c>
      <c r="T1975" s="100">
        <f>SamplingData[[#This Row],[Upper Range]]-SamplingData[[#This Row],[Span]]</f>
        <v>82900.151560129336</v>
      </c>
      <c r="U1975" s="100">
        <f>IF(ISNUMBER('General Info'!$B$40), ((SamplingData[[#This Row],[up/U Selection Probability]]) * 'General Info'!$B$40) - 1, 0)</f>
        <v>38.740690530748495</v>
      </c>
      <c r="V1975" s="100">
        <f>IF(ISNUMBER('General Info'!$B$40), (SamplingData[[#This Row],[Running (cumulative) sum]] * ('General Info'!$B$40 -'General Info'!$B$41 + 1)) + 'General Info'!$B$41 - 1, 0)</f>
        <v>82938.892250660079</v>
      </c>
      <c r="W1975" s="100" t="str">
        <f>IF(ISERROR(MATCH(SamplingData[[#This Row],[Batch by Type (p)]],SelectedPrecincts[Batch Name], 0)), "", INDEX(SelectedPrecincts[Draw], MATCH(SamplingData[[#This Row],[Batch by Type (p)]],SelectedPrecincts[Batch Name], 0)))</f>
        <v/>
      </c>
      <c r="X1975" s="102">
        <f>IF(COUNTIF(SelectedPrecincts[Batch Name],SamplingData[[#This Row],[Batch by Type (p)]]) &lt;&gt; 0, COUNTIF(SelectedPrecincts[Batch Name],SamplingData[[#This Row],[Batch by Type (p)]]), 0)</f>
        <v>0</v>
      </c>
    </row>
    <row r="1976" spans="1:24" ht="15" customHeight="1">
      <c r="A1976" s="18" t="s">
        <v>2152</v>
      </c>
      <c r="B1976" s="18">
        <v>3</v>
      </c>
      <c r="C1976" s="18">
        <v>8</v>
      </c>
      <c r="D1976" s="18">
        <v>1</v>
      </c>
      <c r="E1976" s="18">
        <v>0</v>
      </c>
      <c r="F1976" s="18">
        <v>0</v>
      </c>
      <c r="G1976" s="18">
        <v>0</v>
      </c>
      <c r="H1976" s="18">
        <v>0</v>
      </c>
      <c r="I1976" s="18">
        <v>0</v>
      </c>
      <c r="J1976" s="99">
        <f>SUM(SamplingData[[#This Row],[Losing Candidate]:[Under Votes]])</f>
        <v>12</v>
      </c>
      <c r="K1976"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1976" s="100">
        <f>IF(AND(SamplingData[[#This Row],[Total]]&lt;&gt; 0, NOT(ISBLANK(SamplingData[[#This Row],[Candidate 3]]))),(SamplingData[[#This Row],[Total]]+SamplingData[[#This Row],[Winning Candidate]]-SamplingData[[#This Row],[Candidate 3]])/(SamplingData[[#Totals],[Winning Candidate]]-SamplingData[[#Totals],[Candidate 3]]), 0)</f>
        <v>6.1296254476239632E-4</v>
      </c>
      <c r="M1976" s="100">
        <f>IF(AND(SamplingData[[#This Row],[Total]]&lt;&gt; 0, NOT(ISBLANK(SamplingData[[#This Row],[Candidate 4]]))),(SamplingData[[#This Row],[Total]]+SamplingData[[#This Row],[Winning Candidate]]-SamplingData[[#This Row],[Candidate 4]])/(SamplingData[[#Totals],[Winning Candidate]]-SamplingData[[#Totals],[Candidate 4]]), 0)</f>
        <v>5.8464146861936922E-4</v>
      </c>
      <c r="N1976" s="100">
        <f>IF(AND(SamplingData[[#This Row],[Total]]&lt;&gt; 0, NOT(ISBLANK(SamplingData[[#This Row],[Candidate 5]]))),(SamplingData[[#This Row],[Total]]+SamplingData[[#This Row],[Winning Candidate]]-SamplingData[[#This Row],[Candidate 5]])/(SamplingData[[#Totals],[Winning Candidate]]-SamplingData[[#Totals],[Candidate 5]]), 0)</f>
        <v>4.8649963512527365E-4</v>
      </c>
      <c r="O1976" s="100">
        <f>IF(AND(SamplingData[[#This Row],[Total]]&lt;&gt; 0, NOT(ISBLANK(SamplingData[[#This Row],[Candidate 6]]))),(SamplingData[[#This Row],[Total]]+SamplingData[[#This Row],[Winning Candidate]]-SamplingData[[#This Row],[Candidate 6]])/(SamplingData[[#Totals],[Winning Candidate]]-SamplingData[[#Totals],[Candidate 6]]), 0)</f>
        <v>4.8635766742862699E-4</v>
      </c>
      <c r="P1976" s="100">
        <f>MAX(SamplingData[[#This Row],[Error Bound (up) - Max. possible relative overstatement - Losing Candidate]:[Error Bound (up) - Max. possible relative overstatement - Candidate 6]])</f>
        <v>1.041156295933366E-3</v>
      </c>
      <c r="Q1976" s="100">
        <f>IF(SamplingData[[#This Row],[Max Error Bound (up)]] = 0,0,SamplingData[[#This Row],[Max Error Bound (up)]]/SamplingData[[#Totals],[Max Error Bound (up)]])</f>
        <v>1.6478012073357914E-4</v>
      </c>
      <c r="R1976" s="101">
        <f>SUM($Q$5:Q1976)</f>
        <v>0.82956370262733448</v>
      </c>
      <c r="S1976" s="100" t="str">
        <f t="array" ref="S1976">IF(SamplingData[[#This Row],[up/U Selection Probability]] = 0, "Zero", TEXT(SamplingData[[#This Row],[Lower Range]], REPT("0",LEN('General Info'!$B$40))) &amp; " - " &amp; TEXT(SamplingData[[#This Row],[Upper Range]], REPT("0",LEN('General Info'!$B$40))))</f>
        <v>82940 - 82955</v>
      </c>
      <c r="T1976" s="100">
        <f>SamplingData[[#This Row],[Upper Range]]-SamplingData[[#This Row],[Span]]</f>
        <v>82939.892415440205</v>
      </c>
      <c r="U1976" s="100">
        <f>IF(ISNUMBER('General Info'!$B$40), ((SamplingData[[#This Row],[up/U Selection Probability]]) * 'General Info'!$B$40) - 1, 0)</f>
        <v>15.477847293237179</v>
      </c>
      <c r="V1976" s="100">
        <f>IF(ISNUMBER('General Info'!$B$40), (SamplingData[[#This Row],[Running (cumulative) sum]] * ('General Info'!$B$40 -'General Info'!$B$41 + 1)) + 'General Info'!$B$41 - 1, 0)</f>
        <v>82955.370262733442</v>
      </c>
      <c r="W1976" s="100" t="str">
        <f>IF(ISERROR(MATCH(SamplingData[[#This Row],[Batch by Type (p)]],SelectedPrecincts[Batch Name], 0)), "", INDEX(SelectedPrecincts[Draw], MATCH(SamplingData[[#This Row],[Batch by Type (p)]],SelectedPrecincts[Batch Name], 0)))</f>
        <v/>
      </c>
      <c r="X1976" s="102">
        <f>IF(COUNTIF(SelectedPrecincts[Batch Name],SamplingData[[#This Row],[Batch by Type (p)]]) &lt;&gt; 0, COUNTIF(SelectedPrecincts[Batch Name],SamplingData[[#This Row],[Batch by Type (p)]]), 0)</f>
        <v>0</v>
      </c>
    </row>
    <row r="1977" spans="1:24" ht="15" customHeight="1">
      <c r="A1977" s="18" t="s">
        <v>2153</v>
      </c>
      <c r="B1977" s="18">
        <v>11</v>
      </c>
      <c r="C1977" s="18">
        <v>24</v>
      </c>
      <c r="D1977" s="16">
        <v>5</v>
      </c>
      <c r="E1977" s="16">
        <v>5</v>
      </c>
      <c r="F1977" s="37">
        <v>0</v>
      </c>
      <c r="G1977" s="37">
        <v>0</v>
      </c>
      <c r="H1977" s="17">
        <v>0</v>
      </c>
      <c r="I1977" s="17">
        <v>0</v>
      </c>
      <c r="J1977" s="99">
        <f>SUM(SamplingData[[#This Row],[Losing Candidate]:[Under Votes]])</f>
        <v>45</v>
      </c>
      <c r="K1977" s="100">
        <f>IF(AND(SamplingData[[#This Row],[Total]]&lt;&gt; 0, NOT(ISBLANK(SamplingData[[#This Row],[Losing Candidate]]))),(SamplingData[[#This Row],[Total]]+SamplingData[[#This Row],[Winning Candidate]]-SamplingData[[#This Row],[Losing Candidate]])/(SamplingData[[#Totals],[Winning Candidate]]-SamplingData[[#Totals],[Losing Candidate]]), 0)</f>
        <v>3.5521803037726605E-3</v>
      </c>
      <c r="L1977" s="100">
        <f>IF(AND(SamplingData[[#This Row],[Total]]&lt;&gt; 0, NOT(ISBLANK(SamplingData[[#This Row],[Candidate 3]]))),(SamplingData[[#This Row],[Total]]+SamplingData[[#This Row],[Winning Candidate]]-SamplingData[[#This Row],[Candidate 3]])/(SamplingData[[#Totals],[Winning Candidate]]-SamplingData[[#Totals],[Candidate 3]]), 0)</f>
        <v>2.0647159402522827E-3</v>
      </c>
      <c r="M1977" s="100">
        <f>IF(AND(SamplingData[[#This Row],[Total]]&lt;&gt; 0, NOT(ISBLANK(SamplingData[[#This Row],[Candidate 4]]))),(SamplingData[[#This Row],[Total]]+SamplingData[[#This Row],[Winning Candidate]]-SamplingData[[#This Row],[Candidate 4]])/(SamplingData[[#Totals],[Winning Candidate]]-SamplingData[[#Totals],[Candidate 4]]), 0)</f>
        <v>1.8708526995819814E-3</v>
      </c>
      <c r="N1977" s="100">
        <f>IF(AND(SamplingData[[#This Row],[Total]]&lt;&gt; 0, NOT(ISBLANK(SamplingData[[#This Row],[Candidate 5]]))),(SamplingData[[#This Row],[Total]]+SamplingData[[#This Row],[Winning Candidate]]-SamplingData[[#This Row],[Candidate 5]])/(SamplingData[[#Totals],[Winning Candidate]]-SamplingData[[#Totals],[Candidate 5]]), 0)</f>
        <v>1.678423741182194E-3</v>
      </c>
      <c r="O1977" s="100">
        <f>IF(AND(SamplingData[[#This Row],[Total]]&lt;&gt; 0, NOT(ISBLANK(SamplingData[[#This Row],[Candidate 6]]))),(SamplingData[[#This Row],[Total]]+SamplingData[[#This Row],[Winning Candidate]]-SamplingData[[#This Row],[Candidate 6]])/(SamplingData[[#Totals],[Winning Candidate]]-SamplingData[[#Totals],[Candidate 6]]), 0)</f>
        <v>1.6779339526287631E-3</v>
      </c>
      <c r="P1977" s="100">
        <f>MAX(SamplingData[[#This Row],[Error Bound (up) - Max. possible relative overstatement - Losing Candidate]:[Error Bound (up) - Max. possible relative overstatement - Candidate 6]])</f>
        <v>3.5521803037726605E-3</v>
      </c>
      <c r="Q1977" s="100">
        <f>IF(SamplingData[[#This Row],[Max Error Bound (up)]] = 0,0,SamplingData[[#This Row],[Max Error Bound (up)]]/SamplingData[[#Totals],[Max Error Bound (up)]])</f>
        <v>5.6219100014985829E-4</v>
      </c>
      <c r="R1977" s="101">
        <f>SUM($Q$5:Q1977)</f>
        <v>0.83012589362748435</v>
      </c>
      <c r="S1977" s="100" t="str">
        <f t="array" ref="S1977">IF(SamplingData[[#This Row],[up/U Selection Probability]] = 0, "Zero", TEXT(SamplingData[[#This Row],[Lower Range]], REPT("0",LEN('General Info'!$B$40))) &amp; " - " &amp; TEXT(SamplingData[[#This Row],[Upper Range]], REPT("0",LEN('General Info'!$B$40))))</f>
        <v>82956 - 83012</v>
      </c>
      <c r="T1977" s="100">
        <f>SamplingData[[#This Row],[Upper Range]]-SamplingData[[#This Row],[Span]]</f>
        <v>82956.370824924452</v>
      </c>
      <c r="U1977" s="100">
        <f>IF(ISNUMBER('General Info'!$B$40), ((SamplingData[[#This Row],[up/U Selection Probability]]) * 'General Info'!$B$40) - 1, 0)</f>
        <v>55.218537823985677</v>
      </c>
      <c r="V1977" s="100">
        <f>IF(ISNUMBER('General Info'!$B$40), (SamplingData[[#This Row],[Running (cumulative) sum]] * ('General Info'!$B$40 -'General Info'!$B$41 + 1)) + 'General Info'!$B$41 - 1, 0)</f>
        <v>83011.589362748433</v>
      </c>
      <c r="W1977" s="100" t="str">
        <f>IF(ISERROR(MATCH(SamplingData[[#This Row],[Batch by Type (p)]],SelectedPrecincts[Batch Name], 0)), "", INDEX(SelectedPrecincts[Draw], MATCH(SamplingData[[#This Row],[Batch by Type (p)]],SelectedPrecincts[Batch Name], 0)))</f>
        <v/>
      </c>
      <c r="X1977" s="102">
        <f>IF(COUNTIF(SelectedPrecincts[Batch Name],SamplingData[[#This Row],[Batch by Type (p)]]) &lt;&gt; 0, COUNTIF(SelectedPrecincts[Batch Name],SamplingData[[#This Row],[Batch by Type (p)]]), 0)</f>
        <v>0</v>
      </c>
    </row>
    <row r="1978" spans="1:24" ht="15" customHeight="1">
      <c r="A1978" s="18" t="s">
        <v>2154</v>
      </c>
      <c r="B1978" s="18">
        <v>13</v>
      </c>
      <c r="C1978" s="18">
        <v>9</v>
      </c>
      <c r="D1978" s="18">
        <v>1</v>
      </c>
      <c r="E1978" s="18">
        <v>1</v>
      </c>
      <c r="F1978" s="18">
        <v>0</v>
      </c>
      <c r="G1978" s="18">
        <v>0</v>
      </c>
      <c r="H1978" s="18">
        <v>0</v>
      </c>
      <c r="I1978" s="18">
        <v>0</v>
      </c>
      <c r="J1978" s="99">
        <f>SUM(SamplingData[[#This Row],[Losing Candidate]:[Under Votes]])</f>
        <v>24</v>
      </c>
      <c r="K197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1978" s="100">
        <f>IF(AND(SamplingData[[#This Row],[Total]]&lt;&gt; 0, NOT(ISBLANK(SamplingData[[#This Row],[Candidate 3]]))),(SamplingData[[#This Row],[Total]]+SamplingData[[#This Row],[Winning Candidate]]-SamplingData[[#This Row],[Candidate 3]])/(SamplingData[[#Totals],[Winning Candidate]]-SamplingData[[#Totals],[Candidate 3]]), 0)</f>
        <v>1.0323579701261413E-3</v>
      </c>
      <c r="M1978" s="100">
        <f>IF(AND(SamplingData[[#This Row],[Total]]&lt;&gt; 0, NOT(ISBLANK(SamplingData[[#This Row],[Candidate 4]]))),(SamplingData[[#This Row],[Total]]+SamplingData[[#This Row],[Winning Candidate]]-SamplingData[[#This Row],[Candidate 4]])/(SamplingData[[#Totals],[Winning Candidate]]-SamplingData[[#Totals],[Candidate 4]]), 0)</f>
        <v>9.3542634979099071E-4</v>
      </c>
      <c r="N1978" s="100">
        <f>IF(AND(SamplingData[[#This Row],[Total]]&lt;&gt; 0, NOT(ISBLANK(SamplingData[[#This Row],[Candidate 5]]))),(SamplingData[[#This Row],[Total]]+SamplingData[[#This Row],[Winning Candidate]]-SamplingData[[#This Row],[Candidate 5]])/(SamplingData[[#Totals],[Winning Candidate]]-SamplingData[[#Totals],[Candidate 5]]), 0)</f>
        <v>8.0272439795670155E-4</v>
      </c>
      <c r="O1978" s="100">
        <f>IF(AND(SamplingData[[#This Row],[Total]]&lt;&gt; 0, NOT(ISBLANK(SamplingData[[#This Row],[Candidate 6]]))),(SamplingData[[#This Row],[Total]]+SamplingData[[#This Row],[Winning Candidate]]-SamplingData[[#This Row],[Candidate 6]])/(SamplingData[[#Totals],[Winning Candidate]]-SamplingData[[#Totals],[Candidate 6]]), 0)</f>
        <v>8.024901512572346E-4</v>
      </c>
      <c r="P1978" s="100">
        <f>MAX(SamplingData[[#This Row],[Error Bound (up) - Max. possible relative overstatement - Losing Candidate]:[Error Bound (up) - Max. possible relative overstatement - Candidate 6]])</f>
        <v>1.224889759921607E-3</v>
      </c>
      <c r="Q1978" s="100">
        <f>IF(SamplingData[[#This Row],[Max Error Bound (up)]] = 0,0,SamplingData[[#This Row],[Max Error Bound (up)]]/SamplingData[[#Totals],[Max Error Bound (up)]])</f>
        <v>1.9385896556891664E-4</v>
      </c>
      <c r="R1978" s="101">
        <f>SUM($Q$5:Q1978)</f>
        <v>0.83031975259305324</v>
      </c>
      <c r="S1978" s="100" t="str">
        <f t="array" ref="S1978">IF(SamplingData[[#This Row],[up/U Selection Probability]] = 0, "Zero", TEXT(SamplingData[[#This Row],[Lower Range]], REPT("0",LEN('General Info'!$B$40))) &amp; " - " &amp; TEXT(SamplingData[[#This Row],[Upper Range]], REPT("0",LEN('General Info'!$B$40))))</f>
        <v>83013 - 83031</v>
      </c>
      <c r="T1978" s="100">
        <f>SamplingData[[#This Row],[Upper Range]]-SamplingData[[#This Row],[Span]]</f>
        <v>83012.589556607403</v>
      </c>
      <c r="U1978" s="100">
        <f>IF(ISNUMBER('General Info'!$B$40), ((SamplingData[[#This Row],[up/U Selection Probability]]) * 'General Info'!$B$40) - 1, 0)</f>
        <v>18.385702697926096</v>
      </c>
      <c r="V1978" s="100">
        <f>IF(ISNUMBER('General Info'!$B$40), (SamplingData[[#This Row],[Running (cumulative) sum]] * ('General Info'!$B$40 -'General Info'!$B$41 + 1)) + 'General Info'!$B$41 - 1, 0)</f>
        <v>83030.975259305327</v>
      </c>
      <c r="W1978" s="100" t="str">
        <f>IF(ISERROR(MATCH(SamplingData[[#This Row],[Batch by Type (p)]],SelectedPrecincts[Batch Name], 0)), "", INDEX(SelectedPrecincts[Draw], MATCH(SamplingData[[#This Row],[Batch by Type (p)]],SelectedPrecincts[Batch Name], 0)))</f>
        <v/>
      </c>
      <c r="X1978" s="102">
        <f>IF(COUNTIF(SelectedPrecincts[Batch Name],SamplingData[[#This Row],[Batch by Type (p)]]) &lt;&gt; 0, COUNTIF(SelectedPrecincts[Batch Name],SamplingData[[#This Row],[Batch by Type (p)]]), 0)</f>
        <v>0</v>
      </c>
    </row>
    <row r="1979" spans="1:24" ht="15" customHeight="1">
      <c r="A1979" s="18" t="s">
        <v>2155</v>
      </c>
      <c r="B1979" s="18">
        <v>27</v>
      </c>
      <c r="C1979" s="18">
        <v>63</v>
      </c>
      <c r="D1979" s="16">
        <v>13</v>
      </c>
      <c r="E1979" s="16">
        <v>2</v>
      </c>
      <c r="F1979" s="37">
        <v>0</v>
      </c>
      <c r="G1979" s="37">
        <v>0</v>
      </c>
      <c r="H1979" s="17">
        <v>0</v>
      </c>
      <c r="I1979" s="17">
        <v>1</v>
      </c>
      <c r="J1979" s="99">
        <f>SUM(SamplingData[[#This Row],[Losing Candidate]:[Under Votes]])</f>
        <v>106</v>
      </c>
      <c r="K1979" s="100">
        <f>IF(AND(SamplingData[[#This Row],[Total]]&lt;&gt; 0, NOT(ISBLANK(SamplingData[[#This Row],[Losing Candidate]]))),(SamplingData[[#This Row],[Total]]+SamplingData[[#This Row],[Winning Candidate]]-SamplingData[[#This Row],[Losing Candidate]])/(SamplingData[[#Totals],[Winning Candidate]]-SamplingData[[#Totals],[Losing Candidate]]), 0)</f>
        <v>8.6967172954434107E-3</v>
      </c>
      <c r="L1979" s="100">
        <f>IF(AND(SamplingData[[#This Row],[Total]]&lt;&gt; 0, NOT(ISBLANK(SamplingData[[#This Row],[Candidate 3]]))),(SamplingData[[#This Row],[Total]]+SamplingData[[#This Row],[Winning Candidate]]-SamplingData[[#This Row],[Candidate 3]])/(SamplingData[[#Totals],[Winning Candidate]]-SamplingData[[#Totals],[Candidate 3]]), 0)</f>
        <v>5.0327451043649385E-3</v>
      </c>
      <c r="M1979" s="100">
        <f>IF(AND(SamplingData[[#This Row],[Total]]&lt;&gt; 0, NOT(ISBLANK(SamplingData[[#This Row],[Candidate 4]]))),(SamplingData[[#This Row],[Total]]+SamplingData[[#This Row],[Winning Candidate]]-SamplingData[[#This Row],[Candidate 4]])/(SamplingData[[#Totals],[Winning Candidate]]-SamplingData[[#Totals],[Candidate 4]]), 0)</f>
        <v>4.8817562629717322E-3</v>
      </c>
      <c r="N1979" s="100">
        <f>IF(AND(SamplingData[[#This Row],[Total]]&lt;&gt; 0, NOT(ISBLANK(SamplingData[[#This Row],[Candidate 5]]))),(SamplingData[[#This Row],[Total]]+SamplingData[[#This Row],[Winning Candidate]]-SamplingData[[#This Row],[Candidate 5]])/(SamplingData[[#Totals],[Winning Candidate]]-SamplingData[[#Totals],[Candidate 5]]), 0)</f>
        <v>4.1109219168085622E-3</v>
      </c>
      <c r="O1979" s="100">
        <f>IF(AND(SamplingData[[#This Row],[Total]]&lt;&gt; 0, NOT(ISBLANK(SamplingData[[#This Row],[Candidate 6]]))),(SamplingData[[#This Row],[Total]]+SamplingData[[#This Row],[Winning Candidate]]-SamplingData[[#This Row],[Candidate 6]])/(SamplingData[[#Totals],[Winning Candidate]]-SamplingData[[#Totals],[Candidate 6]]), 0)</f>
        <v>4.109722289771898E-3</v>
      </c>
      <c r="P1979" s="100">
        <f>MAX(SamplingData[[#This Row],[Error Bound (up) - Max. possible relative overstatement - Losing Candidate]:[Error Bound (up) - Max. possible relative overstatement - Candidate 6]])</f>
        <v>8.6967172954434107E-3</v>
      </c>
      <c r="Q1979" s="100">
        <f>IF(SamplingData[[#This Row],[Max Error Bound (up)]] = 0,0,SamplingData[[#This Row],[Max Error Bound (up)]]/SamplingData[[#Totals],[Max Error Bound (up)]])</f>
        <v>1.3763986555393082E-3</v>
      </c>
      <c r="R1979" s="101">
        <f>SUM($Q$5:Q1979)</f>
        <v>0.83169615124859253</v>
      </c>
      <c r="S1979" s="100" t="str">
        <f t="array" ref="S1979">IF(SamplingData[[#This Row],[up/U Selection Probability]] = 0, "Zero", TEXT(SamplingData[[#This Row],[Lower Range]], REPT("0",LEN('General Info'!$B$40))) &amp; " - " &amp; TEXT(SamplingData[[#This Row],[Upper Range]], REPT("0",LEN('General Info'!$B$40))))</f>
        <v>83032 - 83169</v>
      </c>
      <c r="T1979" s="100">
        <f>SamplingData[[#This Row],[Upper Range]]-SamplingData[[#This Row],[Span]]</f>
        <v>83031.976635703977</v>
      </c>
      <c r="U1979" s="100">
        <f>IF(ISNUMBER('General Info'!$B$40), ((SamplingData[[#This Row],[up/U Selection Probability]]) * 'General Info'!$B$40) - 1, 0)</f>
        <v>136.63848915527527</v>
      </c>
      <c r="V1979" s="100">
        <f>IF(ISNUMBER('General Info'!$B$40), (SamplingData[[#This Row],[Running (cumulative) sum]] * ('General Info'!$B$40 -'General Info'!$B$41 + 1)) + 'General Info'!$B$41 - 1, 0)</f>
        <v>83168.61512485925</v>
      </c>
      <c r="W1979" s="100" t="str">
        <f>IF(ISERROR(MATCH(SamplingData[[#This Row],[Batch by Type (p)]],SelectedPrecincts[Batch Name], 0)), "", INDEX(SelectedPrecincts[Draw], MATCH(SamplingData[[#This Row],[Batch by Type (p)]],SelectedPrecincts[Batch Name], 0)))</f>
        <v/>
      </c>
      <c r="X1979" s="102">
        <f>IF(COUNTIF(SelectedPrecincts[Batch Name],SamplingData[[#This Row],[Batch by Type (p)]]) &lt;&gt; 0, COUNTIF(SelectedPrecincts[Batch Name],SamplingData[[#This Row],[Batch by Type (p)]]), 0)</f>
        <v>0</v>
      </c>
    </row>
    <row r="1980" spans="1:24" ht="15" customHeight="1">
      <c r="A1980" s="18" t="s">
        <v>2156</v>
      </c>
      <c r="B1980" s="18">
        <v>18</v>
      </c>
      <c r="C1980" s="18">
        <v>11</v>
      </c>
      <c r="D1980" s="18">
        <v>2</v>
      </c>
      <c r="E1980" s="18">
        <v>2</v>
      </c>
      <c r="F1980" s="18">
        <v>0</v>
      </c>
      <c r="G1980" s="18">
        <v>0</v>
      </c>
      <c r="H1980" s="18">
        <v>0</v>
      </c>
      <c r="I1980" s="18">
        <v>0</v>
      </c>
      <c r="J1980" s="99">
        <f>SUM(SamplingData[[#This Row],[Losing Candidate]:[Under Votes]])</f>
        <v>33</v>
      </c>
      <c r="K1980" s="100">
        <f>IF(AND(SamplingData[[#This Row],[Total]]&lt;&gt; 0, NOT(ISBLANK(SamplingData[[#This Row],[Losing Candidate]]))),(SamplingData[[#This Row],[Total]]+SamplingData[[#This Row],[Winning Candidate]]-SamplingData[[#This Row],[Losing Candidate]])/(SamplingData[[#Totals],[Winning Candidate]]-SamplingData[[#Totals],[Losing Candidate]]), 0)</f>
        <v>1.5923566878980893E-3</v>
      </c>
      <c r="L1980" s="100">
        <f>IF(AND(SamplingData[[#This Row],[Total]]&lt;&gt; 0, NOT(ISBLANK(SamplingData[[#This Row],[Candidate 3]]))),(SamplingData[[#This Row],[Total]]+SamplingData[[#This Row],[Winning Candidate]]-SamplingData[[#This Row],[Candidate 3]])/(SamplingData[[#Totals],[Winning Candidate]]-SamplingData[[#Totals],[Candidate 3]]), 0)</f>
        <v>1.3549698357905604E-3</v>
      </c>
      <c r="M1980" s="100">
        <f>IF(AND(SamplingData[[#This Row],[Total]]&lt;&gt; 0, NOT(ISBLANK(SamplingData[[#This Row],[Candidate 4]]))),(SamplingData[[#This Row],[Total]]+SamplingData[[#This Row],[Winning Candidate]]-SamplingData[[#This Row],[Candidate 4]])/(SamplingData[[#Totals],[Winning Candidate]]-SamplingData[[#Totals],[Candidate 4]]), 0)</f>
        <v>1.2277470841006752E-3</v>
      </c>
      <c r="N1980" s="100">
        <f>IF(AND(SamplingData[[#This Row],[Total]]&lt;&gt; 0, NOT(ISBLANK(SamplingData[[#This Row],[Candidate 5]]))),(SamplingData[[#This Row],[Total]]+SamplingData[[#This Row],[Winning Candidate]]-SamplingData[[#This Row],[Candidate 5]])/(SamplingData[[#Totals],[Winning Candidate]]-SamplingData[[#Totals],[Candidate 5]]), 0)</f>
        <v>1.0702991972756021E-3</v>
      </c>
      <c r="O1980" s="100">
        <f>IF(AND(SamplingData[[#This Row],[Total]]&lt;&gt; 0, NOT(ISBLANK(SamplingData[[#This Row],[Candidate 6]]))),(SamplingData[[#This Row],[Total]]+SamplingData[[#This Row],[Winning Candidate]]-SamplingData[[#This Row],[Candidate 6]])/(SamplingData[[#Totals],[Winning Candidate]]-SamplingData[[#Totals],[Candidate 6]]), 0)</f>
        <v>1.0699868683429793E-3</v>
      </c>
      <c r="P1980" s="100">
        <f>MAX(SamplingData[[#This Row],[Error Bound (up) - Max. possible relative overstatement - Losing Candidate]:[Error Bound (up) - Max. possible relative overstatement - Candidate 6]])</f>
        <v>1.5923566878980893E-3</v>
      </c>
      <c r="Q1980" s="100">
        <f>IF(SamplingData[[#This Row],[Max Error Bound (up)]] = 0,0,SamplingData[[#This Row],[Max Error Bound (up)]]/SamplingData[[#Totals],[Max Error Bound (up)]])</f>
        <v>2.5201665523959162E-4</v>
      </c>
      <c r="R1980" s="101">
        <f>SUM($Q$5:Q1980)</f>
        <v>0.83194816790383208</v>
      </c>
      <c r="S1980" s="100" t="str">
        <f t="array" ref="S1980">IF(SamplingData[[#This Row],[up/U Selection Probability]] = 0, "Zero", TEXT(SamplingData[[#This Row],[Lower Range]], REPT("0",LEN('General Info'!$B$40))) &amp; " - " &amp; TEXT(SamplingData[[#This Row],[Upper Range]], REPT("0",LEN('General Info'!$B$40))))</f>
        <v>83170 - 83194</v>
      </c>
      <c r="T1980" s="100">
        <f>SamplingData[[#This Row],[Upper Range]]-SamplingData[[#This Row],[Span]]</f>
        <v>83169.61537687591</v>
      </c>
      <c r="U1980" s="100">
        <f>IF(ISNUMBER('General Info'!$B$40), ((SamplingData[[#This Row],[up/U Selection Probability]]) * 'General Info'!$B$40) - 1, 0)</f>
        <v>24.201413507303922</v>
      </c>
      <c r="V1980" s="100">
        <f>IF(ISNUMBER('General Info'!$B$40), (SamplingData[[#This Row],[Running (cumulative) sum]] * ('General Info'!$B$40 -'General Info'!$B$41 + 1)) + 'General Info'!$B$41 - 1, 0)</f>
        <v>83193.816790383207</v>
      </c>
      <c r="W1980" s="100" t="str">
        <f>IF(ISERROR(MATCH(SamplingData[[#This Row],[Batch by Type (p)]],SelectedPrecincts[Batch Name], 0)), "", INDEX(SelectedPrecincts[Draw], MATCH(SamplingData[[#This Row],[Batch by Type (p)]],SelectedPrecincts[Batch Name], 0)))</f>
        <v/>
      </c>
      <c r="X1980" s="102">
        <f>IF(COUNTIF(SelectedPrecincts[Batch Name],SamplingData[[#This Row],[Batch by Type (p)]]) &lt;&gt; 0, COUNTIF(SelectedPrecincts[Batch Name],SamplingData[[#This Row],[Batch by Type (p)]]), 0)</f>
        <v>0</v>
      </c>
    </row>
    <row r="1981" spans="1:24" ht="15" customHeight="1">
      <c r="A1981" s="18" t="s">
        <v>2157</v>
      </c>
      <c r="B1981" s="18">
        <v>2</v>
      </c>
      <c r="C1981" s="18">
        <v>8</v>
      </c>
      <c r="D1981" s="16">
        <v>4</v>
      </c>
      <c r="E1981" s="16">
        <v>2</v>
      </c>
      <c r="F1981" s="37">
        <v>0</v>
      </c>
      <c r="G1981" s="37">
        <v>0</v>
      </c>
      <c r="H1981" s="17">
        <v>0</v>
      </c>
      <c r="I1981" s="17">
        <v>2</v>
      </c>
      <c r="J1981" s="99">
        <f>SUM(SamplingData[[#This Row],[Losing Candidate]:[Under Votes]])</f>
        <v>18</v>
      </c>
      <c r="K1981" s="100">
        <f>IF(AND(SamplingData[[#This Row],[Total]]&lt;&gt; 0, NOT(ISBLANK(SamplingData[[#This Row],[Losing Candidate]]))),(SamplingData[[#This Row],[Total]]+SamplingData[[#This Row],[Winning Candidate]]-SamplingData[[#This Row],[Losing Candidate]])/(SamplingData[[#Totals],[Winning Candidate]]-SamplingData[[#Totals],[Losing Candidate]]), 0)</f>
        <v>1.4698677119059284E-3</v>
      </c>
      <c r="L1981" s="100">
        <f>IF(AND(SamplingData[[#This Row],[Total]]&lt;&gt; 0, NOT(ISBLANK(SamplingData[[#This Row],[Candidate 3]]))),(SamplingData[[#This Row],[Total]]+SamplingData[[#This Row],[Winning Candidate]]-SamplingData[[#This Row],[Candidate 3]])/(SamplingData[[#Totals],[Winning Candidate]]-SamplingData[[#Totals],[Candidate 3]]), 0)</f>
        <v>7.0974610446172207E-4</v>
      </c>
      <c r="M1981" s="100">
        <f>IF(AND(SamplingData[[#This Row],[Total]]&lt;&gt; 0, NOT(ISBLANK(SamplingData[[#This Row],[Candidate 4]]))),(SamplingData[[#This Row],[Total]]+SamplingData[[#This Row],[Winning Candidate]]-SamplingData[[#This Row],[Candidate 4]])/(SamplingData[[#Totals],[Winning Candidate]]-SamplingData[[#Totals],[Candidate 4]]), 0)</f>
        <v>7.0156976234324298E-4</v>
      </c>
      <c r="N1981" s="100">
        <f>IF(AND(SamplingData[[#This Row],[Total]]&lt;&gt; 0, NOT(ISBLANK(SamplingData[[#This Row],[Candidate 5]]))),(SamplingData[[#This Row],[Total]]+SamplingData[[#This Row],[Winning Candidate]]-SamplingData[[#This Row],[Candidate 5]])/(SamplingData[[#Totals],[Winning Candidate]]-SamplingData[[#Totals],[Candidate 5]]), 0)</f>
        <v>6.3244952566285579E-4</v>
      </c>
      <c r="O1981" s="100">
        <f>IF(AND(SamplingData[[#This Row],[Total]]&lt;&gt; 0, NOT(ISBLANK(SamplingData[[#This Row],[Candidate 6]]))),(SamplingData[[#This Row],[Total]]+SamplingData[[#This Row],[Winning Candidate]]-SamplingData[[#This Row],[Candidate 6]])/(SamplingData[[#Totals],[Winning Candidate]]-SamplingData[[#Totals],[Candidate 6]]), 0)</f>
        <v>6.322649676572151E-4</v>
      </c>
      <c r="P1981" s="100">
        <f>MAX(SamplingData[[#This Row],[Error Bound (up) - Max. possible relative overstatement - Losing Candidate]:[Error Bound (up) - Max. possible relative overstatement - Candidate 6]])</f>
        <v>1.4698677119059284E-3</v>
      </c>
      <c r="Q1981" s="100">
        <f>IF(SamplingData[[#This Row],[Max Error Bound (up)]] = 0,0,SamplingData[[#This Row],[Max Error Bound (up)]]/SamplingData[[#Totals],[Max Error Bound (up)]])</f>
        <v>2.3263075868269994E-4</v>
      </c>
      <c r="R1981" s="101">
        <f>SUM($Q$5:Q1981)</f>
        <v>0.83218079866251482</v>
      </c>
      <c r="S1981" s="100" t="str">
        <f t="array" ref="S1981">IF(SamplingData[[#This Row],[up/U Selection Probability]] = 0, "Zero", TEXT(SamplingData[[#This Row],[Lower Range]], REPT("0",LEN('General Info'!$B$40))) &amp; " - " &amp; TEXT(SamplingData[[#This Row],[Upper Range]], REPT("0",LEN('General Info'!$B$40))))</f>
        <v>83195 - 83217</v>
      </c>
      <c r="T1981" s="100">
        <f>SamplingData[[#This Row],[Upper Range]]-SamplingData[[#This Row],[Span]]</f>
        <v>83194.81702301398</v>
      </c>
      <c r="U1981" s="100">
        <f>IF(ISNUMBER('General Info'!$B$40), ((SamplingData[[#This Row],[up/U Selection Probability]]) * 'General Info'!$B$40) - 1, 0)</f>
        <v>22.262843237511312</v>
      </c>
      <c r="V1981" s="100">
        <f>IF(ISNUMBER('General Info'!$B$40), (SamplingData[[#This Row],[Running (cumulative) sum]] * ('General Info'!$B$40 -'General Info'!$B$41 + 1)) + 'General Info'!$B$41 - 1, 0)</f>
        <v>83217.079866251486</v>
      </c>
      <c r="W1981" s="100" t="str">
        <f>IF(ISERROR(MATCH(SamplingData[[#This Row],[Batch by Type (p)]],SelectedPrecincts[Batch Name], 0)), "", INDEX(SelectedPrecincts[Draw], MATCH(SamplingData[[#This Row],[Batch by Type (p)]],SelectedPrecincts[Batch Name], 0)))</f>
        <v/>
      </c>
      <c r="X1981" s="102">
        <f>IF(COUNTIF(SelectedPrecincts[Batch Name],SamplingData[[#This Row],[Batch by Type (p)]]) &lt;&gt; 0, COUNTIF(SelectedPrecincts[Batch Name],SamplingData[[#This Row],[Batch by Type (p)]]), 0)</f>
        <v>0</v>
      </c>
    </row>
    <row r="1982" spans="1:24" ht="15" customHeight="1">
      <c r="A1982" s="18" t="s">
        <v>2158</v>
      </c>
      <c r="B1982" s="18">
        <v>0</v>
      </c>
      <c r="C1982" s="18">
        <v>3</v>
      </c>
      <c r="D1982" s="18">
        <v>0</v>
      </c>
      <c r="E1982" s="18">
        <v>0</v>
      </c>
      <c r="F1982" s="18">
        <v>0</v>
      </c>
      <c r="G1982" s="18">
        <v>0</v>
      </c>
      <c r="H1982" s="18">
        <v>0</v>
      </c>
      <c r="I1982" s="18">
        <v>0</v>
      </c>
      <c r="J1982" s="99">
        <f>SUM(SamplingData[[#This Row],[Losing Candidate]:[Under Votes]])</f>
        <v>3</v>
      </c>
      <c r="K1982" s="100">
        <f>IF(AND(SamplingData[[#This Row],[Total]]&lt;&gt; 0, NOT(ISBLANK(SamplingData[[#This Row],[Losing Candidate]]))),(SamplingData[[#This Row],[Total]]+SamplingData[[#This Row],[Winning Candidate]]-SamplingData[[#This Row],[Losing Candidate]])/(SamplingData[[#Totals],[Winning Candidate]]-SamplingData[[#Totals],[Losing Candidate]]), 0)</f>
        <v>3.6746692797648211E-4</v>
      </c>
      <c r="L1982" s="100">
        <f>IF(AND(SamplingData[[#This Row],[Total]]&lt;&gt; 0, NOT(ISBLANK(SamplingData[[#This Row],[Candidate 3]]))),(SamplingData[[#This Row],[Total]]+SamplingData[[#This Row],[Winning Candidate]]-SamplingData[[#This Row],[Candidate 3]])/(SamplingData[[#Totals],[Winning Candidate]]-SamplingData[[#Totals],[Candidate 3]]), 0)</f>
        <v>1.9356711939865149E-4</v>
      </c>
      <c r="M1982" s="100">
        <f>IF(AND(SamplingData[[#This Row],[Total]]&lt;&gt; 0, NOT(ISBLANK(SamplingData[[#This Row],[Candidate 4]]))),(SamplingData[[#This Row],[Total]]+SamplingData[[#This Row],[Winning Candidate]]-SamplingData[[#This Row],[Candidate 4]])/(SamplingData[[#Totals],[Winning Candidate]]-SamplingData[[#Totals],[Candidate 4]]), 0)</f>
        <v>1.7539244058581075E-4</v>
      </c>
      <c r="N1982" s="100">
        <f>IF(AND(SamplingData[[#This Row],[Total]]&lt;&gt; 0, NOT(ISBLANK(SamplingData[[#This Row],[Candidate 5]]))),(SamplingData[[#This Row],[Total]]+SamplingData[[#This Row],[Winning Candidate]]-SamplingData[[#This Row],[Candidate 5]])/(SamplingData[[#Totals],[Winning Candidate]]-SamplingData[[#Totals],[Candidate 5]]), 0)</f>
        <v>1.4594989053758211E-4</v>
      </c>
      <c r="O1982" s="100">
        <f>IF(AND(SamplingData[[#This Row],[Total]]&lt;&gt; 0, NOT(ISBLANK(SamplingData[[#This Row],[Candidate 6]]))),(SamplingData[[#This Row],[Total]]+SamplingData[[#This Row],[Winning Candidate]]-SamplingData[[#This Row],[Candidate 6]])/(SamplingData[[#Totals],[Winning Candidate]]-SamplingData[[#Totals],[Candidate 6]]), 0)</f>
        <v>1.4590730022858811E-4</v>
      </c>
      <c r="P1982" s="100">
        <f>MAX(SamplingData[[#This Row],[Error Bound (up) - Max. possible relative overstatement - Losing Candidate]:[Error Bound (up) - Max. possible relative overstatement - Candidate 6]])</f>
        <v>3.6746692797648211E-4</v>
      </c>
      <c r="Q1982" s="100">
        <f>IF(SamplingData[[#This Row],[Max Error Bound (up)]] = 0,0,SamplingData[[#This Row],[Max Error Bound (up)]]/SamplingData[[#Totals],[Max Error Bound (up)]])</f>
        <v>5.8157689670674986E-5</v>
      </c>
      <c r="R1982" s="101">
        <f>SUM($Q$5:Q1982)</f>
        <v>0.83223895635218548</v>
      </c>
      <c r="S1982" s="100" t="str">
        <f t="array" ref="S1982">IF(SamplingData[[#This Row],[up/U Selection Probability]] = 0, "Zero", TEXT(SamplingData[[#This Row],[Lower Range]], REPT("0",LEN('General Info'!$B$40))) &amp; " - " &amp; TEXT(SamplingData[[#This Row],[Upper Range]], REPT("0",LEN('General Info'!$B$40))))</f>
        <v>83218 - 83223</v>
      </c>
      <c r="T1982" s="100">
        <f>SamplingData[[#This Row],[Upper Range]]-SamplingData[[#This Row],[Span]]</f>
        <v>83218.079924409176</v>
      </c>
      <c r="U1982" s="100">
        <f>IF(ISNUMBER('General Info'!$B$40), ((SamplingData[[#This Row],[up/U Selection Probability]]) * 'General Info'!$B$40) - 1, 0)</f>
        <v>4.815710809377828</v>
      </c>
      <c r="V1982" s="100">
        <f>IF(ISNUMBER('General Info'!$B$40), (SamplingData[[#This Row],[Running (cumulative) sum]] * ('General Info'!$B$40 -'General Info'!$B$41 + 1)) + 'General Info'!$B$41 - 1, 0)</f>
        <v>83222.895635218549</v>
      </c>
      <c r="W1982" s="100" t="str">
        <f>IF(ISERROR(MATCH(SamplingData[[#This Row],[Batch by Type (p)]],SelectedPrecincts[Batch Name], 0)), "", INDEX(SelectedPrecincts[Draw], MATCH(SamplingData[[#This Row],[Batch by Type (p)]],SelectedPrecincts[Batch Name], 0)))</f>
        <v/>
      </c>
      <c r="X1982" s="102">
        <f>IF(COUNTIF(SelectedPrecincts[Batch Name],SamplingData[[#This Row],[Batch by Type (p)]]) &lt;&gt; 0, COUNTIF(SelectedPrecincts[Batch Name],SamplingData[[#This Row],[Batch by Type (p)]]), 0)</f>
        <v>0</v>
      </c>
    </row>
    <row r="1983" spans="1:24" ht="15" customHeight="1">
      <c r="A1983" s="18" t="s">
        <v>2159</v>
      </c>
      <c r="B1983" s="18">
        <v>3</v>
      </c>
      <c r="C1983" s="18">
        <v>16</v>
      </c>
      <c r="D1983" s="16">
        <v>1</v>
      </c>
      <c r="E1983" s="16">
        <v>5</v>
      </c>
      <c r="F1983" s="37">
        <v>1</v>
      </c>
      <c r="G1983" s="37">
        <v>0</v>
      </c>
      <c r="H1983" s="17">
        <v>0</v>
      </c>
      <c r="I1983" s="17">
        <v>0</v>
      </c>
      <c r="J1983" s="99">
        <f>SUM(SamplingData[[#This Row],[Losing Candidate]:[Under Votes]])</f>
        <v>26</v>
      </c>
      <c r="K1983"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1983" s="100">
        <f>IF(AND(SamplingData[[#This Row],[Total]]&lt;&gt; 0, NOT(ISBLANK(SamplingData[[#This Row],[Candidate 3]]))),(SamplingData[[#This Row],[Total]]+SamplingData[[#This Row],[Winning Candidate]]-SamplingData[[#This Row],[Candidate 3]])/(SamplingData[[#Totals],[Winning Candidate]]-SamplingData[[#Totals],[Candidate 3]]), 0)</f>
        <v>1.3227086492241184E-3</v>
      </c>
      <c r="M1983" s="100">
        <f>IF(AND(SamplingData[[#This Row],[Total]]&lt;&gt; 0, NOT(ISBLANK(SamplingData[[#This Row],[Candidate 4]]))),(SamplingData[[#This Row],[Total]]+SamplingData[[#This Row],[Winning Candidate]]-SamplingData[[#This Row],[Candidate 4]])/(SamplingData[[#Totals],[Winning Candidate]]-SamplingData[[#Totals],[Candidate 4]]), 0)</f>
        <v>1.081586716945833E-3</v>
      </c>
      <c r="N1983" s="100">
        <f>IF(AND(SamplingData[[#This Row],[Total]]&lt;&gt; 0, NOT(ISBLANK(SamplingData[[#This Row],[Candidate 5]]))),(SamplingData[[#This Row],[Total]]+SamplingData[[#This Row],[Winning Candidate]]-SamplingData[[#This Row],[Candidate 5]])/(SamplingData[[#Totals],[Winning Candidate]]-SamplingData[[#Totals],[Candidate 5]]), 0)</f>
        <v>9.9732425200681099E-4</v>
      </c>
      <c r="O1983" s="100">
        <f>IF(AND(SamplingData[[#This Row],[Total]]&lt;&gt; 0, NOT(ISBLANK(SamplingData[[#This Row],[Candidate 6]]))),(SamplingData[[#This Row],[Total]]+SamplingData[[#This Row],[Winning Candidate]]-SamplingData[[#This Row],[Candidate 6]])/(SamplingData[[#Totals],[Winning Candidate]]-SamplingData[[#Totals],[Candidate 6]]), 0)</f>
        <v>1.0213511016001168E-3</v>
      </c>
      <c r="P1983" s="100">
        <f>MAX(SamplingData[[#This Row],[Error Bound (up) - Max. possible relative overstatement - Losing Candidate]:[Error Bound (up) - Max. possible relative overstatement - Candidate 6]])</f>
        <v>2.3885350318471337E-3</v>
      </c>
      <c r="Q1983" s="100">
        <f>IF(SamplingData[[#This Row],[Max Error Bound (up)]] = 0,0,SamplingData[[#This Row],[Max Error Bound (up)]]/SamplingData[[#Totals],[Max Error Bound (up)]])</f>
        <v>3.7802498285938744E-4</v>
      </c>
      <c r="R1983" s="101">
        <f>SUM($Q$5:Q1983)</f>
        <v>0.83261698133504491</v>
      </c>
      <c r="S1983" s="100" t="str">
        <f t="array" ref="S1983">IF(SamplingData[[#This Row],[up/U Selection Probability]] = 0, "Zero", TEXT(SamplingData[[#This Row],[Lower Range]], REPT("0",LEN('General Info'!$B$40))) &amp; " - " &amp; TEXT(SamplingData[[#This Row],[Upper Range]], REPT("0",LEN('General Info'!$B$40))))</f>
        <v>83224 - 83261</v>
      </c>
      <c r="T1983" s="100">
        <f>SamplingData[[#This Row],[Upper Range]]-SamplingData[[#This Row],[Span]]</f>
        <v>83223.896013243546</v>
      </c>
      <c r="U1983" s="100">
        <f>IF(ISNUMBER('General Info'!$B$40), ((SamplingData[[#This Row],[up/U Selection Probability]]) * 'General Info'!$B$40) - 1, 0)</f>
        <v>36.802120260955881</v>
      </c>
      <c r="V1983" s="100">
        <f>IF(ISNUMBER('General Info'!$B$40), (SamplingData[[#This Row],[Running (cumulative) sum]] * ('General Info'!$B$40 -'General Info'!$B$41 + 1)) + 'General Info'!$B$41 - 1, 0)</f>
        <v>83260.698133504498</v>
      </c>
      <c r="W1983" s="100" t="str">
        <f>IF(ISERROR(MATCH(SamplingData[[#This Row],[Batch by Type (p)]],SelectedPrecincts[Batch Name], 0)), "", INDEX(SelectedPrecincts[Draw], MATCH(SamplingData[[#This Row],[Batch by Type (p)]],SelectedPrecincts[Batch Name], 0)))</f>
        <v/>
      </c>
      <c r="X1983" s="102">
        <f>IF(COUNTIF(SelectedPrecincts[Batch Name],SamplingData[[#This Row],[Batch by Type (p)]]) &lt;&gt; 0, COUNTIF(SelectedPrecincts[Batch Name],SamplingData[[#This Row],[Batch by Type (p)]]), 0)</f>
        <v>0</v>
      </c>
    </row>
    <row r="1984" spans="1:24" ht="15" customHeight="1">
      <c r="A1984" s="18" t="s">
        <v>2160</v>
      </c>
      <c r="B1984" s="18">
        <v>3</v>
      </c>
      <c r="C1984" s="18">
        <v>3</v>
      </c>
      <c r="D1984" s="18">
        <v>3</v>
      </c>
      <c r="E1984" s="18">
        <v>1</v>
      </c>
      <c r="F1984" s="18">
        <v>0</v>
      </c>
      <c r="G1984" s="18">
        <v>0</v>
      </c>
      <c r="H1984" s="18">
        <v>0</v>
      </c>
      <c r="I1984" s="18">
        <v>2</v>
      </c>
      <c r="J1984" s="99">
        <f>SUM(SamplingData[[#This Row],[Losing Candidate]:[Under Votes]])</f>
        <v>12</v>
      </c>
      <c r="K1984" s="100">
        <f>IF(AND(SamplingData[[#This Row],[Total]]&lt;&gt; 0, NOT(ISBLANK(SamplingData[[#This Row],[Losing Candidate]]))),(SamplingData[[#This Row],[Total]]+SamplingData[[#This Row],[Winning Candidate]]-SamplingData[[#This Row],[Losing Candidate]])/(SamplingData[[#Totals],[Winning Candidate]]-SamplingData[[#Totals],[Losing Candidate]]), 0)</f>
        <v>7.3493385595296422E-4</v>
      </c>
      <c r="L1984" s="100">
        <f>IF(AND(SamplingData[[#This Row],[Total]]&lt;&gt; 0, NOT(ISBLANK(SamplingData[[#This Row],[Candidate 3]]))),(SamplingData[[#This Row],[Total]]+SamplingData[[#This Row],[Winning Candidate]]-SamplingData[[#This Row],[Candidate 3]])/(SamplingData[[#Totals],[Winning Candidate]]-SamplingData[[#Totals],[Candidate 3]]), 0)</f>
        <v>3.8713423879730297E-4</v>
      </c>
      <c r="M1984" s="100">
        <f>IF(AND(SamplingData[[#This Row],[Total]]&lt;&gt; 0, NOT(ISBLANK(SamplingData[[#This Row],[Candidate 4]]))),(SamplingData[[#This Row],[Total]]+SamplingData[[#This Row],[Winning Candidate]]-SamplingData[[#This Row],[Candidate 4]])/(SamplingData[[#Totals],[Winning Candidate]]-SamplingData[[#Totals],[Candidate 4]]), 0)</f>
        <v>4.0924902803355842E-4</v>
      </c>
      <c r="N1984" s="100">
        <f>IF(AND(SamplingData[[#This Row],[Total]]&lt;&gt; 0, NOT(ISBLANK(SamplingData[[#This Row],[Candidate 5]]))),(SamplingData[[#This Row],[Total]]+SamplingData[[#This Row],[Winning Candidate]]-SamplingData[[#This Row],[Candidate 5]])/(SamplingData[[#Totals],[Winning Candidate]]-SamplingData[[#Totals],[Candidate 5]]), 0)</f>
        <v>3.6487472634395525E-4</v>
      </c>
      <c r="O1984" s="100">
        <f>IF(AND(SamplingData[[#This Row],[Total]]&lt;&gt; 0, NOT(ISBLANK(SamplingData[[#This Row],[Candidate 6]]))),(SamplingData[[#This Row],[Total]]+SamplingData[[#This Row],[Winning Candidate]]-SamplingData[[#This Row],[Candidate 6]])/(SamplingData[[#Totals],[Winning Candidate]]-SamplingData[[#Totals],[Candidate 6]]), 0)</f>
        <v>3.6476825057147027E-4</v>
      </c>
      <c r="P1984" s="100">
        <f>MAX(SamplingData[[#This Row],[Error Bound (up) - Max. possible relative overstatement - Losing Candidate]:[Error Bound (up) - Max. possible relative overstatement - Candidate 6]])</f>
        <v>7.3493385595296422E-4</v>
      </c>
      <c r="Q1984" s="100">
        <f>IF(SamplingData[[#This Row],[Max Error Bound (up)]] = 0,0,SamplingData[[#This Row],[Max Error Bound (up)]]/SamplingData[[#Totals],[Max Error Bound (up)]])</f>
        <v>1.1631537934134997E-4</v>
      </c>
      <c r="R1984" s="101">
        <f>SUM($Q$5:Q1984)</f>
        <v>0.83273329671438623</v>
      </c>
      <c r="S1984" s="100" t="str">
        <f t="array" ref="S1984">IF(SamplingData[[#This Row],[up/U Selection Probability]] = 0, "Zero", TEXT(SamplingData[[#This Row],[Lower Range]], REPT("0",LEN('General Info'!$B$40))) &amp; " - " &amp; TEXT(SamplingData[[#This Row],[Upper Range]], REPT("0",LEN('General Info'!$B$40))))</f>
        <v>83262 - 83272</v>
      </c>
      <c r="T1984" s="100">
        <f>SamplingData[[#This Row],[Upper Range]]-SamplingData[[#This Row],[Span]]</f>
        <v>83261.698249819863</v>
      </c>
      <c r="U1984" s="100">
        <f>IF(ISNUMBER('General Info'!$B$40), ((SamplingData[[#This Row],[up/U Selection Probability]]) * 'General Info'!$B$40) - 1, 0)</f>
        <v>10.631421618755656</v>
      </c>
      <c r="V1984" s="100">
        <f>IF(ISNUMBER('General Info'!$B$40), (SamplingData[[#This Row],[Running (cumulative) sum]] * ('General Info'!$B$40 -'General Info'!$B$41 + 1)) + 'General Info'!$B$41 - 1, 0)</f>
        <v>83272.329671438623</v>
      </c>
      <c r="W1984" s="100" t="str">
        <f>IF(ISERROR(MATCH(SamplingData[[#This Row],[Batch by Type (p)]],SelectedPrecincts[Batch Name], 0)), "", INDEX(SelectedPrecincts[Draw], MATCH(SamplingData[[#This Row],[Batch by Type (p)]],SelectedPrecincts[Batch Name], 0)))</f>
        <v/>
      </c>
      <c r="X1984" s="102">
        <f>IF(COUNTIF(SelectedPrecincts[Batch Name],SamplingData[[#This Row],[Batch by Type (p)]]) &lt;&gt; 0, COUNTIF(SelectedPrecincts[Batch Name],SamplingData[[#This Row],[Batch by Type (p)]]), 0)</f>
        <v>0</v>
      </c>
    </row>
    <row r="1985" spans="1:24" ht="15" customHeight="1">
      <c r="A1985" s="18" t="s">
        <v>2161</v>
      </c>
      <c r="B1985" s="18">
        <v>4</v>
      </c>
      <c r="C1985" s="18">
        <v>5</v>
      </c>
      <c r="D1985" s="16">
        <v>3</v>
      </c>
      <c r="E1985" s="16">
        <v>2</v>
      </c>
      <c r="F1985" s="37">
        <v>0</v>
      </c>
      <c r="G1985" s="37">
        <v>0</v>
      </c>
      <c r="H1985" s="17">
        <v>0</v>
      </c>
      <c r="I1985" s="17">
        <v>0</v>
      </c>
      <c r="J1985" s="99">
        <f>SUM(SamplingData[[#This Row],[Losing Candidate]:[Under Votes]])</f>
        <v>14</v>
      </c>
      <c r="K1985"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1985" s="100">
        <f>IF(AND(SamplingData[[#This Row],[Total]]&lt;&gt; 0, NOT(ISBLANK(SamplingData[[#This Row],[Candidate 3]]))),(SamplingData[[#This Row],[Total]]+SamplingData[[#This Row],[Winning Candidate]]-SamplingData[[#This Row],[Candidate 3]])/(SamplingData[[#Totals],[Winning Candidate]]-SamplingData[[#Totals],[Candidate 3]]), 0)</f>
        <v>5.1617898506307067E-4</v>
      </c>
      <c r="M1985" s="100">
        <f>IF(AND(SamplingData[[#This Row],[Total]]&lt;&gt; 0, NOT(ISBLANK(SamplingData[[#This Row],[Candidate 4]]))),(SamplingData[[#This Row],[Total]]+SamplingData[[#This Row],[Winning Candidate]]-SamplingData[[#This Row],[Candidate 4]])/(SamplingData[[#Totals],[Winning Candidate]]-SamplingData[[#Totals],[Candidate 4]]), 0)</f>
        <v>4.9694524832646382E-4</v>
      </c>
      <c r="N1985" s="100">
        <f>IF(AND(SamplingData[[#This Row],[Total]]&lt;&gt; 0, NOT(ISBLANK(SamplingData[[#This Row],[Candidate 5]]))),(SamplingData[[#This Row],[Total]]+SamplingData[[#This Row],[Winning Candidate]]-SamplingData[[#This Row],[Candidate 5]])/(SamplingData[[#Totals],[Winning Candidate]]-SamplingData[[#Totals],[Candidate 5]]), 0)</f>
        <v>4.6217465336900997E-4</v>
      </c>
      <c r="O1985" s="100">
        <f>IF(AND(SamplingData[[#This Row],[Total]]&lt;&gt; 0, NOT(ISBLANK(SamplingData[[#This Row],[Candidate 6]]))),(SamplingData[[#This Row],[Total]]+SamplingData[[#This Row],[Winning Candidate]]-SamplingData[[#This Row],[Candidate 6]])/(SamplingData[[#Totals],[Winning Candidate]]-SamplingData[[#Totals],[Candidate 6]]), 0)</f>
        <v>4.6203978405719566E-4</v>
      </c>
      <c r="P1985" s="100">
        <f>MAX(SamplingData[[#This Row],[Error Bound (up) - Max. possible relative overstatement - Losing Candidate]:[Error Bound (up) - Max. possible relative overstatement - Candidate 6]])</f>
        <v>9.1866731994120533E-4</v>
      </c>
      <c r="Q1985" s="100">
        <f>IF(SamplingData[[#This Row],[Max Error Bound (up)]] = 0,0,SamplingData[[#This Row],[Max Error Bound (up)]]/SamplingData[[#Totals],[Max Error Bound (up)]])</f>
        <v>1.4539422417668749E-4</v>
      </c>
      <c r="R1985" s="101">
        <f>SUM($Q$5:Q1985)</f>
        <v>0.83287869093856293</v>
      </c>
      <c r="S1985" s="100" t="str">
        <f t="array" ref="S1985">IF(SamplingData[[#This Row],[up/U Selection Probability]] = 0, "Zero", TEXT(SamplingData[[#This Row],[Lower Range]], REPT("0",LEN('General Info'!$B$40))) &amp; " - " &amp; TEXT(SamplingData[[#This Row],[Upper Range]], REPT("0",LEN('General Info'!$B$40))))</f>
        <v>83273 - 83287</v>
      </c>
      <c r="T1985" s="100">
        <f>SamplingData[[#This Row],[Upper Range]]-SamplingData[[#This Row],[Span]]</f>
        <v>83273.329816832847</v>
      </c>
      <c r="U1985" s="100">
        <f>IF(ISNUMBER('General Info'!$B$40), ((SamplingData[[#This Row],[up/U Selection Probability]]) * 'General Info'!$B$40) - 1, 0)</f>
        <v>13.539277023444573</v>
      </c>
      <c r="V1985" s="100">
        <f>IF(ISNUMBER('General Info'!$B$40), (SamplingData[[#This Row],[Running (cumulative) sum]] * ('General Info'!$B$40 -'General Info'!$B$41 + 1)) + 'General Info'!$B$41 - 1, 0)</f>
        <v>83286.869093856294</v>
      </c>
      <c r="W1985" s="100" t="str">
        <f>IF(ISERROR(MATCH(SamplingData[[#This Row],[Batch by Type (p)]],SelectedPrecincts[Batch Name], 0)), "", INDEX(SelectedPrecincts[Draw], MATCH(SamplingData[[#This Row],[Batch by Type (p)]],SelectedPrecincts[Batch Name], 0)))</f>
        <v/>
      </c>
      <c r="X1985" s="102">
        <f>IF(COUNTIF(SelectedPrecincts[Batch Name],SamplingData[[#This Row],[Batch by Type (p)]]) &lt;&gt; 0, COUNTIF(SelectedPrecincts[Batch Name],SamplingData[[#This Row],[Batch by Type (p)]]), 0)</f>
        <v>0</v>
      </c>
    </row>
    <row r="1986" spans="1:24" ht="15" customHeight="1">
      <c r="A1986" s="18" t="s">
        <v>2162</v>
      </c>
      <c r="B1986" s="18">
        <v>1</v>
      </c>
      <c r="C1986" s="18">
        <v>1</v>
      </c>
      <c r="D1986" s="18">
        <v>0</v>
      </c>
      <c r="E1986" s="18">
        <v>0</v>
      </c>
      <c r="F1986" s="18">
        <v>0</v>
      </c>
      <c r="G1986" s="18">
        <v>0</v>
      </c>
      <c r="H1986" s="18">
        <v>0</v>
      </c>
      <c r="I1986" s="18">
        <v>0</v>
      </c>
      <c r="J1986" s="99">
        <f>SUM(SamplingData[[#This Row],[Losing Candidate]:[Under Votes]])</f>
        <v>2</v>
      </c>
      <c r="K1986"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1986" s="100">
        <f>IF(AND(SamplingData[[#This Row],[Total]]&lt;&gt; 0, NOT(ISBLANK(SamplingData[[#This Row],[Candidate 3]]))),(SamplingData[[#This Row],[Total]]+SamplingData[[#This Row],[Winning Candidate]]-SamplingData[[#This Row],[Candidate 3]])/(SamplingData[[#Totals],[Winning Candidate]]-SamplingData[[#Totals],[Candidate 3]]), 0)</f>
        <v>9.6783559699325743E-5</v>
      </c>
      <c r="M1986" s="100">
        <f>IF(AND(SamplingData[[#This Row],[Total]]&lt;&gt; 0, NOT(ISBLANK(SamplingData[[#This Row],[Candidate 4]]))),(SamplingData[[#This Row],[Total]]+SamplingData[[#This Row],[Winning Candidate]]-SamplingData[[#This Row],[Candidate 4]])/(SamplingData[[#Totals],[Winning Candidate]]-SamplingData[[#Totals],[Candidate 4]]), 0)</f>
        <v>8.7696220292905373E-5</v>
      </c>
      <c r="N1986" s="100">
        <f>IF(AND(SamplingData[[#This Row],[Total]]&lt;&gt; 0, NOT(ISBLANK(SamplingData[[#This Row],[Candidate 5]]))),(SamplingData[[#This Row],[Total]]+SamplingData[[#This Row],[Winning Candidate]]-SamplingData[[#This Row],[Candidate 5]])/(SamplingData[[#Totals],[Winning Candidate]]-SamplingData[[#Totals],[Candidate 5]]), 0)</f>
        <v>7.2974945268791054E-5</v>
      </c>
      <c r="O1986" s="100">
        <f>IF(AND(SamplingData[[#This Row],[Total]]&lt;&gt; 0, NOT(ISBLANK(SamplingData[[#This Row],[Candidate 6]]))),(SamplingData[[#This Row],[Total]]+SamplingData[[#This Row],[Winning Candidate]]-SamplingData[[#This Row],[Candidate 6]])/(SamplingData[[#Totals],[Winning Candidate]]-SamplingData[[#Totals],[Candidate 6]]), 0)</f>
        <v>7.2953650114294054E-5</v>
      </c>
      <c r="P1986" s="100">
        <f>MAX(SamplingData[[#This Row],[Error Bound (up) - Max. possible relative overstatement - Losing Candidate]:[Error Bound (up) - Max. possible relative overstatement - Candidate 6]])</f>
        <v>1.224889759921607E-4</v>
      </c>
      <c r="Q1986" s="100">
        <f>IF(SamplingData[[#This Row],[Max Error Bound (up)]] = 0,0,SamplingData[[#This Row],[Max Error Bound (up)]]/SamplingData[[#Totals],[Max Error Bound (up)]])</f>
        <v>1.9385896556891663E-5</v>
      </c>
      <c r="R1986" s="101">
        <f>SUM($Q$5:Q1986)</f>
        <v>0.83289807683511985</v>
      </c>
      <c r="S1986" s="100" t="str">
        <f t="array" ref="S1986">IF(SamplingData[[#This Row],[up/U Selection Probability]] = 0, "Zero", TEXT(SamplingData[[#This Row],[Lower Range]], REPT("0",LEN('General Info'!$B$40))) &amp; " - " &amp; TEXT(SamplingData[[#This Row],[Upper Range]], REPT("0",LEN('General Info'!$B$40))))</f>
        <v>83288 - 83289</v>
      </c>
      <c r="T1986" s="100">
        <f>SamplingData[[#This Row],[Upper Range]]-SamplingData[[#This Row],[Span]]</f>
        <v>83287.869113242195</v>
      </c>
      <c r="U1986" s="100">
        <f>IF(ISNUMBER('General Info'!$B$40), ((SamplingData[[#This Row],[up/U Selection Probability]]) * 'General Info'!$B$40) - 1, 0)</f>
        <v>0.93857026979260949</v>
      </c>
      <c r="V1986" s="100">
        <f>IF(ISNUMBER('General Info'!$B$40), (SamplingData[[#This Row],[Running (cumulative) sum]] * ('General Info'!$B$40 -'General Info'!$B$41 + 1)) + 'General Info'!$B$41 - 1, 0)</f>
        <v>83288.807683511986</v>
      </c>
      <c r="W1986" s="100" t="str">
        <f>IF(ISERROR(MATCH(SamplingData[[#This Row],[Batch by Type (p)]],SelectedPrecincts[Batch Name], 0)), "", INDEX(SelectedPrecincts[Draw], MATCH(SamplingData[[#This Row],[Batch by Type (p)]],SelectedPrecincts[Batch Name], 0)))</f>
        <v/>
      </c>
      <c r="X1986" s="102">
        <f>IF(COUNTIF(SelectedPrecincts[Batch Name],SamplingData[[#This Row],[Batch by Type (p)]]) &lt;&gt; 0, COUNTIF(SelectedPrecincts[Batch Name],SamplingData[[#This Row],[Batch by Type (p)]]), 0)</f>
        <v>0</v>
      </c>
    </row>
    <row r="1987" spans="1:24" ht="15" customHeight="1">
      <c r="A1987" s="18" t="s">
        <v>2163</v>
      </c>
      <c r="B1987" s="18">
        <v>19</v>
      </c>
      <c r="C1987" s="18">
        <v>49</v>
      </c>
      <c r="D1987" s="16">
        <v>16</v>
      </c>
      <c r="E1987" s="16">
        <v>3</v>
      </c>
      <c r="F1987" s="37">
        <v>0</v>
      </c>
      <c r="G1987" s="37">
        <v>0</v>
      </c>
      <c r="H1987" s="17">
        <v>0</v>
      </c>
      <c r="I1987" s="17">
        <v>2</v>
      </c>
      <c r="J1987" s="99">
        <f>SUM(SamplingData[[#This Row],[Losing Candidate]:[Under Votes]])</f>
        <v>89</v>
      </c>
      <c r="K1987" s="100">
        <f>IF(AND(SamplingData[[#This Row],[Total]]&lt;&gt; 0, NOT(ISBLANK(SamplingData[[#This Row],[Losing Candidate]]))),(SamplingData[[#This Row],[Total]]+SamplingData[[#This Row],[Winning Candidate]]-SamplingData[[#This Row],[Losing Candidate]])/(SamplingData[[#Totals],[Winning Candidate]]-SamplingData[[#Totals],[Losing Candidate]]), 0)</f>
        <v>7.2880940715335622E-3</v>
      </c>
      <c r="L1987" s="100">
        <f>IF(AND(SamplingData[[#This Row],[Total]]&lt;&gt; 0, NOT(ISBLANK(SamplingData[[#This Row],[Candidate 3]]))),(SamplingData[[#This Row],[Total]]+SamplingData[[#This Row],[Winning Candidate]]-SamplingData[[#This Row],[Candidate 3]])/(SamplingData[[#Totals],[Winning Candidate]]-SamplingData[[#Totals],[Candidate 3]]), 0)</f>
        <v>3.9358647611059134E-3</v>
      </c>
      <c r="M1987" s="100">
        <f>IF(AND(SamplingData[[#This Row],[Total]]&lt;&gt; 0, NOT(ISBLANK(SamplingData[[#This Row],[Candidate 4]]))),(SamplingData[[#This Row],[Total]]+SamplingData[[#This Row],[Winning Candidate]]-SamplingData[[#This Row],[Candidate 4]])/(SamplingData[[#Totals],[Winning Candidate]]-SamplingData[[#Totals],[Candidate 4]]), 0)</f>
        <v>3.9463299131807421E-3</v>
      </c>
      <c r="N1987" s="100">
        <f>IF(AND(SamplingData[[#This Row],[Total]]&lt;&gt; 0, NOT(ISBLANK(SamplingData[[#This Row],[Candidate 5]]))),(SamplingData[[#This Row],[Total]]+SamplingData[[#This Row],[Winning Candidate]]-SamplingData[[#This Row],[Candidate 5]])/(SamplingData[[#Totals],[Winning Candidate]]-SamplingData[[#Totals],[Candidate 5]]), 0)</f>
        <v>3.3568474823643881E-3</v>
      </c>
      <c r="O1987" s="100">
        <f>IF(AND(SamplingData[[#This Row],[Total]]&lt;&gt; 0, NOT(ISBLANK(SamplingData[[#This Row],[Candidate 6]]))),(SamplingData[[#This Row],[Total]]+SamplingData[[#This Row],[Winning Candidate]]-SamplingData[[#This Row],[Candidate 6]])/(SamplingData[[#Totals],[Winning Candidate]]-SamplingData[[#Totals],[Candidate 6]]), 0)</f>
        <v>3.3558679052575263E-3</v>
      </c>
      <c r="P1987" s="100">
        <f>MAX(SamplingData[[#This Row],[Error Bound (up) - Max. possible relative overstatement - Losing Candidate]:[Error Bound (up) - Max. possible relative overstatement - Candidate 6]])</f>
        <v>7.2880940715335622E-3</v>
      </c>
      <c r="Q1987" s="100">
        <f>IF(SamplingData[[#This Row],[Max Error Bound (up)]] = 0,0,SamplingData[[#This Row],[Max Error Bound (up)]]/SamplingData[[#Totals],[Max Error Bound (up)]])</f>
        <v>1.153460845135054E-3</v>
      </c>
      <c r="R1987" s="101">
        <f>SUM($Q$5:Q1987)</f>
        <v>0.83405153768025486</v>
      </c>
      <c r="S1987" s="100" t="str">
        <f t="array" ref="S1987">IF(SamplingData[[#This Row],[up/U Selection Probability]] = 0, "Zero", TEXT(SamplingData[[#This Row],[Lower Range]], REPT("0",LEN('General Info'!$B$40))) &amp; " - " &amp; TEXT(SamplingData[[#This Row],[Upper Range]], REPT("0",LEN('General Info'!$B$40))))</f>
        <v>83290 - 83404</v>
      </c>
      <c r="T1987" s="100">
        <f>SamplingData[[#This Row],[Upper Range]]-SamplingData[[#This Row],[Span]]</f>
        <v>83289.808836972821</v>
      </c>
      <c r="U1987" s="100">
        <f>IF(ISNUMBER('General Info'!$B$40), ((SamplingData[[#This Row],[up/U Selection Probability]]) * 'General Info'!$B$40) - 1, 0)</f>
        <v>114.34493105266026</v>
      </c>
      <c r="V1987" s="100">
        <f>IF(ISNUMBER('General Info'!$B$40), (SamplingData[[#This Row],[Running (cumulative) sum]] * ('General Info'!$B$40 -'General Info'!$B$41 + 1)) + 'General Info'!$B$41 - 1, 0)</f>
        <v>83404.153768025484</v>
      </c>
      <c r="W1987" s="100" t="str">
        <f>IF(ISERROR(MATCH(SamplingData[[#This Row],[Batch by Type (p)]],SelectedPrecincts[Batch Name], 0)), "", INDEX(SelectedPrecincts[Draw], MATCH(SamplingData[[#This Row],[Batch by Type (p)]],SelectedPrecincts[Batch Name], 0)))</f>
        <v/>
      </c>
      <c r="X1987" s="102">
        <f>IF(COUNTIF(SelectedPrecincts[Batch Name],SamplingData[[#This Row],[Batch by Type (p)]]) &lt;&gt; 0, COUNTIF(SelectedPrecincts[Batch Name],SamplingData[[#This Row],[Batch by Type (p)]]), 0)</f>
        <v>0</v>
      </c>
    </row>
    <row r="1988" spans="1:24" ht="15" customHeight="1">
      <c r="A1988" s="18" t="s">
        <v>2164</v>
      </c>
      <c r="B1988" s="18">
        <v>5</v>
      </c>
      <c r="C1988" s="18">
        <v>13</v>
      </c>
      <c r="D1988" s="18">
        <v>2</v>
      </c>
      <c r="E1988" s="18">
        <v>5</v>
      </c>
      <c r="F1988" s="18">
        <v>0</v>
      </c>
      <c r="G1988" s="18">
        <v>0</v>
      </c>
      <c r="H1988" s="18">
        <v>0</v>
      </c>
      <c r="I1988" s="18">
        <v>1</v>
      </c>
      <c r="J1988" s="99">
        <f>SUM(SamplingData[[#This Row],[Losing Candidate]:[Under Votes]])</f>
        <v>26</v>
      </c>
      <c r="K1988"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1988" s="100">
        <f>IF(AND(SamplingData[[#This Row],[Total]]&lt;&gt; 0, NOT(ISBLANK(SamplingData[[#This Row],[Candidate 3]]))),(SamplingData[[#This Row],[Total]]+SamplingData[[#This Row],[Winning Candidate]]-SamplingData[[#This Row],[Candidate 3]])/(SamplingData[[#Totals],[Winning Candidate]]-SamplingData[[#Totals],[Candidate 3]]), 0)</f>
        <v>1.1936639029583509E-3</v>
      </c>
      <c r="M1988" s="100">
        <f>IF(AND(SamplingData[[#This Row],[Total]]&lt;&gt; 0, NOT(ISBLANK(SamplingData[[#This Row],[Candidate 4]]))),(SamplingData[[#This Row],[Total]]+SamplingData[[#This Row],[Winning Candidate]]-SamplingData[[#This Row],[Candidate 4]])/(SamplingData[[#Totals],[Winning Candidate]]-SamplingData[[#Totals],[Candidate 4]]), 0)</f>
        <v>9.9389049665292765E-4</v>
      </c>
      <c r="N1988" s="100">
        <f>IF(AND(SamplingData[[#This Row],[Total]]&lt;&gt; 0, NOT(ISBLANK(SamplingData[[#This Row],[Candidate 5]]))),(SamplingData[[#This Row],[Total]]+SamplingData[[#This Row],[Winning Candidate]]-SamplingData[[#This Row],[Candidate 5]])/(SamplingData[[#Totals],[Winning Candidate]]-SamplingData[[#Totals],[Candidate 5]]), 0)</f>
        <v>9.4867428849428363E-4</v>
      </c>
      <c r="O1988" s="100">
        <f>IF(AND(SamplingData[[#This Row],[Total]]&lt;&gt; 0, NOT(ISBLANK(SamplingData[[#This Row],[Candidate 6]]))),(SamplingData[[#This Row],[Total]]+SamplingData[[#This Row],[Winning Candidate]]-SamplingData[[#This Row],[Candidate 6]])/(SamplingData[[#Totals],[Winning Candidate]]-SamplingData[[#Totals],[Candidate 6]]), 0)</f>
        <v>9.4839745148582271E-4</v>
      </c>
      <c r="P1988" s="100">
        <f>MAX(SamplingData[[#This Row],[Error Bound (up) - Max. possible relative overstatement - Losing Candidate]:[Error Bound (up) - Max. possible relative overstatement - Candidate 6]])</f>
        <v>2.0823125918667321E-3</v>
      </c>
      <c r="Q1988" s="100">
        <f>IF(SamplingData[[#This Row],[Max Error Bound (up)]] = 0,0,SamplingData[[#This Row],[Max Error Bound (up)]]/SamplingData[[#Totals],[Max Error Bound (up)]])</f>
        <v>3.2956024146715829E-4</v>
      </c>
      <c r="R1988" s="101">
        <f>SUM($Q$5:Q1988)</f>
        <v>0.83438109792172199</v>
      </c>
      <c r="S1988" s="100" t="str">
        <f t="array" ref="S1988">IF(SamplingData[[#This Row],[up/U Selection Probability]] = 0, "Zero", TEXT(SamplingData[[#This Row],[Lower Range]], REPT("0",LEN('General Info'!$B$40))) &amp; " - " &amp; TEXT(SamplingData[[#This Row],[Upper Range]], REPT("0",LEN('General Info'!$B$40))))</f>
        <v>83405 - 83437</v>
      </c>
      <c r="T1988" s="100">
        <f>SamplingData[[#This Row],[Upper Range]]-SamplingData[[#This Row],[Span]]</f>
        <v>83405.154097585721</v>
      </c>
      <c r="U1988" s="100">
        <f>IF(ISNUMBER('General Info'!$B$40), ((SamplingData[[#This Row],[up/U Selection Probability]]) * 'General Info'!$B$40) - 1, 0)</f>
        <v>31.955694586474358</v>
      </c>
      <c r="V1988" s="100">
        <f>IF(ISNUMBER('General Info'!$B$40), (SamplingData[[#This Row],[Running (cumulative) sum]] * ('General Info'!$B$40 -'General Info'!$B$41 + 1)) + 'General Info'!$B$41 - 1, 0)</f>
        <v>83437.109792172196</v>
      </c>
      <c r="W1988" s="100" t="str">
        <f>IF(ISERROR(MATCH(SamplingData[[#This Row],[Batch by Type (p)]],SelectedPrecincts[Batch Name], 0)), "", INDEX(SelectedPrecincts[Draw], MATCH(SamplingData[[#This Row],[Batch by Type (p)]],SelectedPrecincts[Batch Name], 0)))</f>
        <v/>
      </c>
      <c r="X1988" s="102">
        <f>IF(COUNTIF(SelectedPrecincts[Batch Name],SamplingData[[#This Row],[Batch by Type (p)]]) &lt;&gt; 0, COUNTIF(SelectedPrecincts[Batch Name],SamplingData[[#This Row],[Batch by Type (p)]]), 0)</f>
        <v>0</v>
      </c>
    </row>
    <row r="1989" spans="1:24" ht="15" customHeight="1">
      <c r="A1989" s="18" t="s">
        <v>2165</v>
      </c>
      <c r="B1989" s="18">
        <v>56</v>
      </c>
      <c r="C1989" s="18">
        <v>77</v>
      </c>
      <c r="D1989" s="16">
        <v>25</v>
      </c>
      <c r="E1989" s="16">
        <v>10</v>
      </c>
      <c r="F1989" s="37">
        <v>2</v>
      </c>
      <c r="G1989" s="37">
        <v>0</v>
      </c>
      <c r="H1989" s="17">
        <v>0</v>
      </c>
      <c r="I1989" s="17">
        <v>3</v>
      </c>
      <c r="J1989" s="99">
        <f>SUM(SamplingData[[#This Row],[Losing Candidate]:[Under Votes]])</f>
        <v>173</v>
      </c>
      <c r="K1989" s="100">
        <f>IF(AND(SamplingData[[#This Row],[Total]]&lt;&gt; 0, NOT(ISBLANK(SamplingData[[#This Row],[Losing Candidate]]))),(SamplingData[[#This Row],[Total]]+SamplingData[[#This Row],[Winning Candidate]]-SamplingData[[#This Row],[Losing Candidate]])/(SamplingData[[#Totals],[Winning Candidate]]-SamplingData[[#Totals],[Losing Candidate]]), 0)</f>
        <v>1.1881430671239588E-2</v>
      </c>
      <c r="L1989" s="100">
        <f>IF(AND(SamplingData[[#This Row],[Total]]&lt;&gt; 0, NOT(ISBLANK(SamplingData[[#This Row],[Candidate 3]]))),(SamplingData[[#This Row],[Total]]+SamplingData[[#This Row],[Winning Candidate]]-SamplingData[[#This Row],[Candidate 3]])/(SamplingData[[#Totals],[Winning Candidate]]-SamplingData[[#Totals],[Candidate 3]]), 0)</f>
        <v>7.2587669774494303E-3</v>
      </c>
      <c r="M1989" s="100">
        <f>IF(AND(SamplingData[[#This Row],[Total]]&lt;&gt; 0, NOT(ISBLANK(SamplingData[[#This Row],[Candidate 4]]))),(SamplingData[[#This Row],[Total]]+SamplingData[[#This Row],[Winning Candidate]]-SamplingData[[#This Row],[Candidate 4]])/(SamplingData[[#Totals],[Winning Candidate]]-SamplingData[[#Totals],[Candidate 4]]), 0)</f>
        <v>7.0156976234324302E-3</v>
      </c>
      <c r="N1989" s="100">
        <f>IF(AND(SamplingData[[#This Row],[Total]]&lt;&gt; 0, NOT(ISBLANK(SamplingData[[#This Row],[Candidate 5]]))),(SamplingData[[#This Row],[Total]]+SamplingData[[#This Row],[Winning Candidate]]-SamplingData[[#This Row],[Candidate 5]])/(SamplingData[[#Totals],[Winning Candidate]]-SamplingData[[#Totals],[Candidate 5]]), 0)</f>
        <v>6.0325954755533935E-3</v>
      </c>
      <c r="O1989" s="100">
        <f>IF(AND(SamplingData[[#This Row],[Total]]&lt;&gt; 0, NOT(ISBLANK(SamplingData[[#This Row],[Candidate 6]]))),(SamplingData[[#This Row],[Total]]+SamplingData[[#This Row],[Winning Candidate]]-SamplingData[[#This Row],[Candidate 6]])/(SamplingData[[#Totals],[Winning Candidate]]-SamplingData[[#Totals],[Candidate 6]]), 0)</f>
        <v>6.0794708428578374E-3</v>
      </c>
      <c r="P1989" s="100">
        <f>MAX(SamplingData[[#This Row],[Error Bound (up) - Max. possible relative overstatement - Losing Candidate]:[Error Bound (up) - Max. possible relative overstatement - Candidate 6]])</f>
        <v>1.1881430671239588E-2</v>
      </c>
      <c r="Q1989" s="100">
        <f>IF(SamplingData[[#This Row],[Max Error Bound (up)]] = 0,0,SamplingData[[#This Row],[Max Error Bound (up)]]/SamplingData[[#Totals],[Max Error Bound (up)]])</f>
        <v>1.8804319660184912E-3</v>
      </c>
      <c r="R1989" s="101">
        <f>SUM($Q$5:Q1989)</f>
        <v>0.8362615298877405</v>
      </c>
      <c r="S1989" s="100" t="str">
        <f t="array" ref="S1989">IF(SamplingData[[#This Row],[up/U Selection Probability]] = 0, "Zero", TEXT(SamplingData[[#This Row],[Lower Range]], REPT("0",LEN('General Info'!$B$40))) &amp; " - " &amp; TEXT(SamplingData[[#This Row],[Upper Range]], REPT("0",LEN('General Info'!$B$40))))</f>
        <v>83438 - 83625</v>
      </c>
      <c r="T1989" s="100">
        <f>SamplingData[[#This Row],[Upper Range]]-SamplingData[[#This Row],[Span]]</f>
        <v>83438.111672604166</v>
      </c>
      <c r="U1989" s="100">
        <f>IF(ISNUMBER('General Info'!$B$40), ((SamplingData[[#This Row],[up/U Selection Probability]]) * 'General Info'!$B$40) - 1, 0)</f>
        <v>187.04131616988312</v>
      </c>
      <c r="V1989" s="100">
        <f>IF(ISNUMBER('General Info'!$B$40), (SamplingData[[#This Row],[Running (cumulative) sum]] * ('General Info'!$B$40 -'General Info'!$B$41 + 1)) + 'General Info'!$B$41 - 1, 0)</f>
        <v>83625.152988774047</v>
      </c>
      <c r="W1989" s="100" t="str">
        <f>IF(ISERROR(MATCH(SamplingData[[#This Row],[Batch by Type (p)]],SelectedPrecincts[Batch Name], 0)), "", INDEX(SelectedPrecincts[Draw], MATCH(SamplingData[[#This Row],[Batch by Type (p)]],SelectedPrecincts[Batch Name], 0)))</f>
        <v/>
      </c>
      <c r="X1989" s="102">
        <f>IF(COUNTIF(SelectedPrecincts[Batch Name],SamplingData[[#This Row],[Batch by Type (p)]]) &lt;&gt; 0, COUNTIF(SelectedPrecincts[Batch Name],SamplingData[[#This Row],[Batch by Type (p)]]), 0)</f>
        <v>0</v>
      </c>
    </row>
    <row r="1990" spans="1:24" ht="15" customHeight="1">
      <c r="A1990" s="18" t="s">
        <v>2166</v>
      </c>
      <c r="B1990" s="18">
        <v>31</v>
      </c>
      <c r="C1990" s="18">
        <v>40</v>
      </c>
      <c r="D1990" s="18">
        <v>19</v>
      </c>
      <c r="E1990" s="18">
        <v>1</v>
      </c>
      <c r="F1990" s="18">
        <v>0</v>
      </c>
      <c r="G1990" s="18">
        <v>0</v>
      </c>
      <c r="H1990" s="18">
        <v>0</v>
      </c>
      <c r="I1990" s="18">
        <v>1</v>
      </c>
      <c r="J1990" s="99">
        <f>SUM(SamplingData[[#This Row],[Losing Candidate]:[Under Votes]])</f>
        <v>92</v>
      </c>
      <c r="K1990" s="100">
        <f>IF(AND(SamplingData[[#This Row],[Total]]&lt;&gt; 0, NOT(ISBLANK(SamplingData[[#This Row],[Losing Candidate]]))),(SamplingData[[#This Row],[Total]]+SamplingData[[#This Row],[Winning Candidate]]-SamplingData[[#This Row],[Losing Candidate]])/(SamplingData[[#Totals],[Winning Candidate]]-SamplingData[[#Totals],[Losing Candidate]]), 0)</f>
        <v>6.1856932876041158E-3</v>
      </c>
      <c r="L1990" s="100">
        <f>IF(AND(SamplingData[[#This Row],[Total]]&lt;&gt; 0, NOT(ISBLANK(SamplingData[[#This Row],[Candidate 3]]))),(SamplingData[[#This Row],[Total]]+SamplingData[[#This Row],[Winning Candidate]]-SamplingData[[#This Row],[Candidate 3]])/(SamplingData[[#Totals],[Winning Candidate]]-SamplingData[[#Totals],[Candidate 3]]), 0)</f>
        <v>3.6455140820079363E-3</v>
      </c>
      <c r="M1990" s="100">
        <f>IF(AND(SamplingData[[#This Row],[Total]]&lt;&gt; 0, NOT(ISBLANK(SamplingData[[#This Row],[Candidate 4]]))),(SamplingData[[#This Row],[Total]]+SamplingData[[#This Row],[Winning Candidate]]-SamplingData[[#This Row],[Candidate 4]])/(SamplingData[[#Totals],[Winning Candidate]]-SamplingData[[#Totals],[Candidate 4]]), 0)</f>
        <v>3.8294016194568683E-3</v>
      </c>
      <c r="N1990" s="100">
        <f>IF(AND(SamplingData[[#This Row],[Total]]&lt;&gt; 0, NOT(ISBLANK(SamplingData[[#This Row],[Candidate 5]]))),(SamplingData[[#This Row],[Total]]+SamplingData[[#This Row],[Winning Candidate]]-SamplingData[[#This Row],[Candidate 5]])/(SamplingData[[#Totals],[Winning Candidate]]-SamplingData[[#Totals],[Candidate 5]]), 0)</f>
        <v>3.2108975918268062E-3</v>
      </c>
      <c r="O1990" s="100">
        <f>IF(AND(SamplingData[[#This Row],[Total]]&lt;&gt; 0, NOT(ISBLANK(SamplingData[[#This Row],[Candidate 6]]))),(SamplingData[[#This Row],[Total]]+SamplingData[[#This Row],[Winning Candidate]]-SamplingData[[#This Row],[Candidate 6]])/(SamplingData[[#Totals],[Winning Candidate]]-SamplingData[[#Totals],[Candidate 6]]), 0)</f>
        <v>3.2099606050289384E-3</v>
      </c>
      <c r="P1990" s="100">
        <f>MAX(SamplingData[[#This Row],[Error Bound (up) - Max. possible relative overstatement - Losing Candidate]:[Error Bound (up) - Max. possible relative overstatement - Candidate 6]])</f>
        <v>6.1856932876041158E-3</v>
      </c>
      <c r="Q1990" s="100">
        <f>IF(SamplingData[[#This Row],[Max Error Bound (up)]] = 0,0,SamplingData[[#This Row],[Max Error Bound (up)]]/SamplingData[[#Totals],[Max Error Bound (up)]])</f>
        <v>9.7898777612302908E-4</v>
      </c>
      <c r="R1990" s="101">
        <f>SUM($Q$5:Q1990)</f>
        <v>0.83724051766386354</v>
      </c>
      <c r="S1990" s="100" t="str">
        <f t="array" ref="S1990">IF(SamplingData[[#This Row],[up/U Selection Probability]] = 0, "Zero", TEXT(SamplingData[[#This Row],[Lower Range]], REPT("0",LEN('General Info'!$B$40))) &amp; " - " &amp; TEXT(SamplingData[[#This Row],[Upper Range]], REPT("0",LEN('General Info'!$B$40))))</f>
        <v>83626 - 83723</v>
      </c>
      <c r="T1990" s="100">
        <f>SamplingData[[#This Row],[Upper Range]]-SamplingData[[#This Row],[Span]]</f>
        <v>83626.153967761828</v>
      </c>
      <c r="U1990" s="100">
        <f>IF(ISNUMBER('General Info'!$B$40), ((SamplingData[[#This Row],[up/U Selection Probability]]) * 'General Info'!$B$40) - 1, 0)</f>
        <v>96.897798624526786</v>
      </c>
      <c r="V1990" s="100">
        <f>IF(ISNUMBER('General Info'!$B$40), (SamplingData[[#This Row],[Running (cumulative) sum]] * ('General Info'!$B$40 -'General Info'!$B$41 + 1)) + 'General Info'!$B$41 - 1, 0)</f>
        <v>83723.051766386357</v>
      </c>
      <c r="W1990" s="100" t="str">
        <f>IF(ISERROR(MATCH(SamplingData[[#This Row],[Batch by Type (p)]],SelectedPrecincts[Batch Name], 0)), "", INDEX(SelectedPrecincts[Draw], MATCH(SamplingData[[#This Row],[Batch by Type (p)]],SelectedPrecincts[Batch Name], 0)))</f>
        <v/>
      </c>
      <c r="X1990" s="102">
        <f>IF(COUNTIF(SelectedPrecincts[Batch Name],SamplingData[[#This Row],[Batch by Type (p)]]) &lt;&gt; 0, COUNTIF(SelectedPrecincts[Batch Name],SamplingData[[#This Row],[Batch by Type (p)]]), 0)</f>
        <v>0</v>
      </c>
    </row>
    <row r="1991" spans="1:24" ht="15" customHeight="1">
      <c r="A1991" s="18" t="s">
        <v>2167</v>
      </c>
      <c r="B1991" s="18">
        <v>10</v>
      </c>
      <c r="C1991" s="18">
        <v>9</v>
      </c>
      <c r="D1991" s="16">
        <v>3</v>
      </c>
      <c r="E1991" s="16">
        <v>6</v>
      </c>
      <c r="F1991" s="37">
        <v>0</v>
      </c>
      <c r="G1991" s="37">
        <v>1</v>
      </c>
      <c r="H1991" s="17">
        <v>0</v>
      </c>
      <c r="I1991" s="17">
        <v>0</v>
      </c>
      <c r="J1991" s="99">
        <f>SUM(SamplingData[[#This Row],[Losing Candidate]:[Under Votes]])</f>
        <v>29</v>
      </c>
      <c r="K1991"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1991" s="100">
        <f>IF(AND(SamplingData[[#This Row],[Total]]&lt;&gt; 0, NOT(ISBLANK(SamplingData[[#This Row],[Candidate 3]]))),(SamplingData[[#This Row],[Total]]+SamplingData[[#This Row],[Winning Candidate]]-SamplingData[[#This Row],[Candidate 3]])/(SamplingData[[#Totals],[Winning Candidate]]-SamplingData[[#Totals],[Candidate 3]]), 0)</f>
        <v>1.1291415298254669E-3</v>
      </c>
      <c r="M1991" s="100">
        <f>IF(AND(SamplingData[[#This Row],[Total]]&lt;&gt; 0, NOT(ISBLANK(SamplingData[[#This Row],[Candidate 4]]))),(SamplingData[[#This Row],[Total]]+SamplingData[[#This Row],[Winning Candidate]]-SamplingData[[#This Row],[Candidate 4]])/(SamplingData[[#Totals],[Winning Candidate]]-SamplingData[[#Totals],[Candidate 4]]), 0)</f>
        <v>9.3542634979099071E-4</v>
      </c>
      <c r="N1991" s="100">
        <f>IF(AND(SamplingData[[#This Row],[Total]]&lt;&gt; 0, NOT(ISBLANK(SamplingData[[#This Row],[Candidate 5]]))),(SamplingData[[#This Row],[Total]]+SamplingData[[#This Row],[Winning Candidate]]-SamplingData[[#This Row],[Candidate 5]])/(SamplingData[[#Totals],[Winning Candidate]]-SamplingData[[#Totals],[Candidate 5]]), 0)</f>
        <v>9.2434930673801995E-4</v>
      </c>
      <c r="O1991" s="100">
        <f>IF(AND(SamplingData[[#This Row],[Total]]&lt;&gt; 0, NOT(ISBLANK(SamplingData[[#This Row],[Candidate 6]]))),(SamplingData[[#This Row],[Total]]+SamplingData[[#This Row],[Winning Candidate]]-SamplingData[[#This Row],[Candidate 6]])/(SamplingData[[#Totals],[Winning Candidate]]-SamplingData[[#Totals],[Candidate 6]]), 0)</f>
        <v>8.9976168474295993E-4</v>
      </c>
      <c r="P1991" s="100">
        <f>MAX(SamplingData[[#This Row],[Error Bound (up) - Max. possible relative overstatement - Losing Candidate]:[Error Bound (up) - Max. possible relative overstatement - Candidate 6]])</f>
        <v>1.7148456638902498E-3</v>
      </c>
      <c r="Q1991" s="100">
        <f>IF(SamplingData[[#This Row],[Max Error Bound (up)]] = 0,0,SamplingData[[#This Row],[Max Error Bound (up)]]/SamplingData[[#Totals],[Max Error Bound (up)]])</f>
        <v>2.714025517964833E-4</v>
      </c>
      <c r="R1991" s="101">
        <f>SUM($Q$5:Q1991)</f>
        <v>0.83751192021566001</v>
      </c>
      <c r="S1991" s="100" t="str">
        <f t="array" ref="S1991">IF(SamplingData[[#This Row],[up/U Selection Probability]] = 0, "Zero", TEXT(SamplingData[[#This Row],[Lower Range]], REPT("0",LEN('General Info'!$B$40))) &amp; " - " &amp; TEXT(SamplingData[[#This Row],[Upper Range]], REPT("0",LEN('General Info'!$B$40))))</f>
        <v>83724 - 83750</v>
      </c>
      <c r="T1991" s="100">
        <f>SamplingData[[#This Row],[Upper Range]]-SamplingData[[#This Row],[Span]]</f>
        <v>83724.052037788904</v>
      </c>
      <c r="U1991" s="100">
        <f>IF(ISNUMBER('General Info'!$B$40), ((SamplingData[[#This Row],[up/U Selection Probability]]) * 'General Info'!$B$40) - 1, 0)</f>
        <v>26.139983777096536</v>
      </c>
      <c r="V1991" s="100">
        <f>IF(ISNUMBER('General Info'!$B$40), (SamplingData[[#This Row],[Running (cumulative) sum]] * ('General Info'!$B$40 -'General Info'!$B$41 + 1)) + 'General Info'!$B$41 - 1, 0)</f>
        <v>83750.192021566007</v>
      </c>
      <c r="W1991" s="100" t="str">
        <f>IF(ISERROR(MATCH(SamplingData[[#This Row],[Batch by Type (p)]],SelectedPrecincts[Batch Name], 0)), "", INDEX(SelectedPrecincts[Draw], MATCH(SamplingData[[#This Row],[Batch by Type (p)]],SelectedPrecincts[Batch Name], 0)))</f>
        <v/>
      </c>
      <c r="X1991" s="102">
        <f>IF(COUNTIF(SelectedPrecincts[Batch Name],SamplingData[[#This Row],[Batch by Type (p)]]) &lt;&gt; 0, COUNTIF(SelectedPrecincts[Batch Name],SamplingData[[#This Row],[Batch by Type (p)]]), 0)</f>
        <v>0</v>
      </c>
    </row>
    <row r="1992" spans="1:24" ht="15" customHeight="1">
      <c r="A1992" s="18" t="s">
        <v>2168</v>
      </c>
      <c r="B1992" s="18">
        <v>3</v>
      </c>
      <c r="C1992" s="18">
        <v>5</v>
      </c>
      <c r="D1992" s="18">
        <v>0</v>
      </c>
      <c r="E1992" s="18">
        <v>1</v>
      </c>
      <c r="F1992" s="18">
        <v>0</v>
      </c>
      <c r="G1992" s="18">
        <v>0</v>
      </c>
      <c r="H1992" s="18">
        <v>0</v>
      </c>
      <c r="I1992" s="18">
        <v>0</v>
      </c>
      <c r="J1992" s="99">
        <f>SUM(SamplingData[[#This Row],[Losing Candidate]:[Under Votes]])</f>
        <v>9</v>
      </c>
      <c r="K1992"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1992" s="100">
        <f>IF(AND(SamplingData[[#This Row],[Total]]&lt;&gt; 0, NOT(ISBLANK(SamplingData[[#This Row],[Candidate 3]]))),(SamplingData[[#This Row],[Total]]+SamplingData[[#This Row],[Winning Candidate]]-SamplingData[[#This Row],[Candidate 3]])/(SamplingData[[#Totals],[Winning Candidate]]-SamplingData[[#Totals],[Candidate 3]]), 0)</f>
        <v>4.5165661193018679E-4</v>
      </c>
      <c r="M1992" s="100">
        <f>IF(AND(SamplingData[[#This Row],[Total]]&lt;&gt; 0, NOT(ISBLANK(SamplingData[[#This Row],[Candidate 4]]))),(SamplingData[[#This Row],[Total]]+SamplingData[[#This Row],[Winning Candidate]]-SamplingData[[#This Row],[Candidate 4]])/(SamplingData[[#Totals],[Winning Candidate]]-SamplingData[[#Totals],[Candidate 4]]), 0)</f>
        <v>3.8001695460258996E-4</v>
      </c>
      <c r="N1992" s="100">
        <f>IF(AND(SamplingData[[#This Row],[Total]]&lt;&gt; 0, NOT(ISBLANK(SamplingData[[#This Row],[Candidate 5]]))),(SamplingData[[#This Row],[Total]]+SamplingData[[#This Row],[Winning Candidate]]-SamplingData[[#This Row],[Candidate 5]])/(SamplingData[[#Totals],[Winning Candidate]]-SamplingData[[#Totals],[Candidate 5]]), 0)</f>
        <v>3.4054974458769157E-4</v>
      </c>
      <c r="O1992" s="100">
        <f>IF(AND(SamplingData[[#This Row],[Total]]&lt;&gt; 0, NOT(ISBLANK(SamplingData[[#This Row],[Candidate 6]]))),(SamplingData[[#This Row],[Total]]+SamplingData[[#This Row],[Winning Candidate]]-SamplingData[[#This Row],[Candidate 6]])/(SamplingData[[#Totals],[Winning Candidate]]-SamplingData[[#Totals],[Candidate 6]]), 0)</f>
        <v>3.4045036720003888E-4</v>
      </c>
      <c r="P1992" s="100">
        <f>MAX(SamplingData[[#This Row],[Error Bound (up) - Max. possible relative overstatement - Losing Candidate]:[Error Bound (up) - Max. possible relative overstatement - Candidate 6]])</f>
        <v>6.7368936795688392E-4</v>
      </c>
      <c r="Q1992" s="100">
        <f>IF(SamplingData[[#This Row],[Max Error Bound (up)]] = 0,0,SamplingData[[#This Row],[Max Error Bound (up)]]/SamplingData[[#Totals],[Max Error Bound (up)]])</f>
        <v>1.0662243106290416E-4</v>
      </c>
      <c r="R1992" s="101">
        <f>SUM($Q$5:Q1992)</f>
        <v>0.83761854264672286</v>
      </c>
      <c r="S1992" s="100" t="str">
        <f t="array" ref="S1992">IF(SamplingData[[#This Row],[up/U Selection Probability]] = 0, "Zero", TEXT(SamplingData[[#This Row],[Lower Range]], REPT("0",LEN('General Info'!$B$40))) &amp; " - " &amp; TEXT(SamplingData[[#This Row],[Upper Range]], REPT("0",LEN('General Info'!$B$40))))</f>
        <v>83751 - 83761</v>
      </c>
      <c r="T1992" s="100">
        <f>SamplingData[[#This Row],[Upper Range]]-SamplingData[[#This Row],[Span]]</f>
        <v>83751.192128188428</v>
      </c>
      <c r="U1992" s="100">
        <f>IF(ISNUMBER('General Info'!$B$40), ((SamplingData[[#This Row],[up/U Selection Probability]]) * 'General Info'!$B$40) - 1, 0)</f>
        <v>9.6621364838593529</v>
      </c>
      <c r="V1992" s="100">
        <f>IF(ISNUMBER('General Info'!$B$40), (SamplingData[[#This Row],[Running (cumulative) sum]] * ('General Info'!$B$40 -'General Info'!$B$41 + 1)) + 'General Info'!$B$41 - 1, 0)</f>
        <v>83760.854264672293</v>
      </c>
      <c r="W1992" s="100" t="str">
        <f>IF(ISERROR(MATCH(SamplingData[[#This Row],[Batch by Type (p)]],SelectedPrecincts[Batch Name], 0)), "", INDEX(SelectedPrecincts[Draw], MATCH(SamplingData[[#This Row],[Batch by Type (p)]],SelectedPrecincts[Batch Name], 0)))</f>
        <v/>
      </c>
      <c r="X1992" s="102">
        <f>IF(COUNTIF(SelectedPrecincts[Batch Name],SamplingData[[#This Row],[Batch by Type (p)]]) &lt;&gt; 0, COUNTIF(SelectedPrecincts[Batch Name],SamplingData[[#This Row],[Batch by Type (p)]]), 0)</f>
        <v>0</v>
      </c>
    </row>
    <row r="1993" spans="1:24" ht="15" customHeight="1">
      <c r="A1993" s="18" t="s">
        <v>2169</v>
      </c>
      <c r="B1993" s="18">
        <v>44</v>
      </c>
      <c r="C1993" s="18">
        <v>90</v>
      </c>
      <c r="D1993" s="16">
        <v>34</v>
      </c>
      <c r="E1993" s="16">
        <v>14</v>
      </c>
      <c r="F1993" s="37">
        <v>0</v>
      </c>
      <c r="G1993" s="37">
        <v>0</v>
      </c>
      <c r="H1993" s="17">
        <v>0</v>
      </c>
      <c r="I1993" s="17">
        <v>2</v>
      </c>
      <c r="J1993" s="99">
        <f>SUM(SamplingData[[#This Row],[Losing Candidate]:[Under Votes]])</f>
        <v>184</v>
      </c>
      <c r="K1993" s="100">
        <f>IF(AND(SamplingData[[#This Row],[Total]]&lt;&gt; 0, NOT(ISBLANK(SamplingData[[#This Row],[Losing Candidate]]))),(SamplingData[[#This Row],[Total]]+SamplingData[[#This Row],[Winning Candidate]]-SamplingData[[#This Row],[Losing Candidate]])/(SamplingData[[#Totals],[Winning Candidate]]-SamplingData[[#Totals],[Losing Candidate]]), 0)</f>
        <v>1.4086232239098481E-2</v>
      </c>
      <c r="L1993" s="100">
        <f>IF(AND(SamplingData[[#This Row],[Total]]&lt;&gt; 0, NOT(ISBLANK(SamplingData[[#This Row],[Candidate 3]]))),(SamplingData[[#This Row],[Total]]+SamplingData[[#This Row],[Winning Candidate]]-SamplingData[[#This Row],[Candidate 3]])/(SamplingData[[#Totals],[Winning Candidate]]-SamplingData[[#Totals],[Candidate 3]]), 0)</f>
        <v>7.7426847759460597E-3</v>
      </c>
      <c r="M1993" s="100">
        <f>IF(AND(SamplingData[[#This Row],[Total]]&lt;&gt; 0, NOT(ISBLANK(SamplingData[[#This Row],[Candidate 4]]))),(SamplingData[[#This Row],[Total]]+SamplingData[[#This Row],[Winning Candidate]]-SamplingData[[#This Row],[Candidate 4]])/(SamplingData[[#Totals],[Winning Candidate]]-SamplingData[[#Totals],[Candidate 4]]), 0)</f>
        <v>7.6003390920517996E-3</v>
      </c>
      <c r="N1993" s="100">
        <f>IF(AND(SamplingData[[#This Row],[Total]]&lt;&gt; 0, NOT(ISBLANK(SamplingData[[#This Row],[Candidate 5]]))),(SamplingData[[#This Row],[Total]]+SamplingData[[#This Row],[Winning Candidate]]-SamplingData[[#This Row],[Candidate 5]])/(SamplingData[[#Totals],[Winning Candidate]]-SamplingData[[#Totals],[Candidate 5]]), 0)</f>
        <v>6.665045001216249E-3</v>
      </c>
      <c r="O1993" s="100">
        <f>IF(AND(SamplingData[[#This Row],[Total]]&lt;&gt; 0, NOT(ISBLANK(SamplingData[[#This Row],[Candidate 6]]))),(SamplingData[[#This Row],[Total]]+SamplingData[[#This Row],[Winning Candidate]]-SamplingData[[#This Row],[Candidate 6]])/(SamplingData[[#Totals],[Winning Candidate]]-SamplingData[[#Totals],[Candidate 6]]), 0)</f>
        <v>6.6631000437721898E-3</v>
      </c>
      <c r="P1993" s="100">
        <f>MAX(SamplingData[[#This Row],[Error Bound (up) - Max. possible relative overstatement - Losing Candidate]:[Error Bound (up) - Max. possible relative overstatement - Candidate 6]])</f>
        <v>1.4086232239098481E-2</v>
      </c>
      <c r="Q1993" s="100">
        <f>IF(SamplingData[[#This Row],[Max Error Bound (up)]] = 0,0,SamplingData[[#This Row],[Max Error Bound (up)]]/SamplingData[[#Totals],[Max Error Bound (up)]])</f>
        <v>2.2293781040425413E-3</v>
      </c>
      <c r="R1993" s="101">
        <f>SUM($Q$5:Q1993)</f>
        <v>0.83984792075076542</v>
      </c>
      <c r="S1993" s="100" t="str">
        <f t="array" ref="S1993">IF(SamplingData[[#This Row],[up/U Selection Probability]] = 0, "Zero", TEXT(SamplingData[[#This Row],[Lower Range]], REPT("0",LEN('General Info'!$B$40))) &amp; " - " &amp; TEXT(SamplingData[[#This Row],[Upper Range]], REPT("0",LEN('General Info'!$B$40))))</f>
        <v>83762 - 83984</v>
      </c>
      <c r="T1993" s="100">
        <f>SamplingData[[#This Row],[Upper Range]]-SamplingData[[#This Row],[Span]]</f>
        <v>83761.8564940504</v>
      </c>
      <c r="U1993" s="100">
        <f>IF(ISNUMBER('General Info'!$B$40), ((SamplingData[[#This Row],[up/U Selection Probability]]) * 'General Info'!$B$40) - 1, 0)</f>
        <v>221.93558102615009</v>
      </c>
      <c r="V1993" s="100">
        <f>IF(ISNUMBER('General Info'!$B$40), (SamplingData[[#This Row],[Running (cumulative) sum]] * ('General Info'!$B$40 -'General Info'!$B$41 + 1)) + 'General Info'!$B$41 - 1, 0)</f>
        <v>83983.792075076548</v>
      </c>
      <c r="W1993" s="100" t="str">
        <f>IF(ISERROR(MATCH(SamplingData[[#This Row],[Batch by Type (p)]],SelectedPrecincts[Batch Name], 0)), "", INDEX(SelectedPrecincts[Draw], MATCH(SamplingData[[#This Row],[Batch by Type (p)]],SelectedPrecincts[Batch Name], 0)))</f>
        <v/>
      </c>
      <c r="X1993" s="102">
        <f>IF(COUNTIF(SelectedPrecincts[Batch Name],SamplingData[[#This Row],[Batch by Type (p)]]) &lt;&gt; 0, COUNTIF(SelectedPrecincts[Batch Name],SamplingData[[#This Row],[Batch by Type (p)]]), 0)</f>
        <v>0</v>
      </c>
    </row>
    <row r="1994" spans="1:24" ht="15" customHeight="1">
      <c r="A1994" s="18" t="s">
        <v>2170</v>
      </c>
      <c r="B1994" s="18">
        <v>21</v>
      </c>
      <c r="C1994" s="18">
        <v>35</v>
      </c>
      <c r="D1994" s="18">
        <v>4</v>
      </c>
      <c r="E1994" s="18">
        <v>3</v>
      </c>
      <c r="F1994" s="18">
        <v>0</v>
      </c>
      <c r="G1994" s="18">
        <v>0</v>
      </c>
      <c r="H1994" s="18">
        <v>0</v>
      </c>
      <c r="I1994" s="18">
        <v>1</v>
      </c>
      <c r="J1994" s="99">
        <f>SUM(SamplingData[[#This Row],[Losing Candidate]:[Under Votes]])</f>
        <v>64</v>
      </c>
      <c r="K1994" s="100">
        <f>IF(AND(SamplingData[[#This Row],[Total]]&lt;&gt; 0, NOT(ISBLANK(SamplingData[[#This Row],[Losing Candidate]]))),(SamplingData[[#This Row],[Total]]+SamplingData[[#This Row],[Winning Candidate]]-SamplingData[[#This Row],[Losing Candidate]])/(SamplingData[[#Totals],[Winning Candidate]]-SamplingData[[#Totals],[Losing Candidate]]), 0)</f>
        <v>4.7770700636942673E-3</v>
      </c>
      <c r="L1994" s="100">
        <f>IF(AND(SamplingData[[#This Row],[Total]]&lt;&gt; 0, NOT(ISBLANK(SamplingData[[#This Row],[Candidate 3]]))),(SamplingData[[#This Row],[Total]]+SamplingData[[#This Row],[Winning Candidate]]-SamplingData[[#This Row],[Candidate 3]])/(SamplingData[[#Totals],[Winning Candidate]]-SamplingData[[#Totals],[Candidate 3]]), 0)</f>
        <v>3.0648127238119818E-3</v>
      </c>
      <c r="M1994" s="100">
        <f>IF(AND(SamplingData[[#This Row],[Total]]&lt;&gt; 0, NOT(ISBLANK(SamplingData[[#This Row],[Candidate 4]]))),(SamplingData[[#This Row],[Total]]+SamplingData[[#This Row],[Winning Candidate]]-SamplingData[[#This Row],[Candidate 4]])/(SamplingData[[#Totals],[Winning Candidate]]-SamplingData[[#Totals],[Candidate 4]]), 0)</f>
        <v>2.8062790493729719E-3</v>
      </c>
      <c r="N1994" s="100">
        <f>IF(AND(SamplingData[[#This Row],[Total]]&lt;&gt; 0, NOT(ISBLANK(SamplingData[[#This Row],[Candidate 5]]))),(SamplingData[[#This Row],[Total]]+SamplingData[[#This Row],[Winning Candidate]]-SamplingData[[#This Row],[Candidate 5]])/(SamplingData[[#Totals],[Winning Candidate]]-SamplingData[[#Totals],[Candidate 5]]), 0)</f>
        <v>2.4081731938701044E-3</v>
      </c>
      <c r="O1994" s="100">
        <f>IF(AND(SamplingData[[#This Row],[Total]]&lt;&gt; 0, NOT(ISBLANK(SamplingData[[#This Row],[Candidate 6]]))),(SamplingData[[#This Row],[Total]]+SamplingData[[#This Row],[Winning Candidate]]-SamplingData[[#This Row],[Candidate 6]])/(SamplingData[[#Totals],[Winning Candidate]]-SamplingData[[#Totals],[Candidate 6]]), 0)</f>
        <v>2.4074704537717039E-3</v>
      </c>
      <c r="P1994" s="100">
        <f>MAX(SamplingData[[#This Row],[Error Bound (up) - Max. possible relative overstatement - Losing Candidate]:[Error Bound (up) - Max. possible relative overstatement - Candidate 6]])</f>
        <v>4.7770700636942673E-3</v>
      </c>
      <c r="Q1994" s="100">
        <f>IF(SamplingData[[#This Row],[Max Error Bound (up)]] = 0,0,SamplingData[[#This Row],[Max Error Bound (up)]]/SamplingData[[#Totals],[Max Error Bound (up)]])</f>
        <v>7.5604996571877487E-4</v>
      </c>
      <c r="R1994" s="101">
        <f>SUM($Q$5:Q1994)</f>
        <v>0.84060397071648418</v>
      </c>
      <c r="S1994" s="100" t="str">
        <f t="array" ref="S1994">IF(SamplingData[[#This Row],[up/U Selection Probability]] = 0, "Zero", TEXT(SamplingData[[#This Row],[Lower Range]], REPT("0",LEN('General Info'!$B$40))) &amp; " - " &amp; TEXT(SamplingData[[#This Row],[Upper Range]], REPT("0",LEN('General Info'!$B$40))))</f>
        <v>83985 - 84059</v>
      </c>
      <c r="T1994" s="100">
        <f>SamplingData[[#This Row],[Upper Range]]-SamplingData[[#This Row],[Span]]</f>
        <v>83984.792831126513</v>
      </c>
      <c r="U1994" s="100">
        <f>IF(ISNUMBER('General Info'!$B$40), ((SamplingData[[#This Row],[up/U Selection Probability]]) * 'General Info'!$B$40) - 1, 0)</f>
        <v>74.604240521911763</v>
      </c>
      <c r="V1994" s="100">
        <f>IF(ISNUMBER('General Info'!$B$40), (SamplingData[[#This Row],[Running (cumulative) sum]] * ('General Info'!$B$40 -'General Info'!$B$41 + 1)) + 'General Info'!$B$41 - 1, 0)</f>
        <v>84059.397071648418</v>
      </c>
      <c r="W1994" s="100" t="str">
        <f>IF(ISERROR(MATCH(SamplingData[[#This Row],[Batch by Type (p)]],SelectedPrecincts[Batch Name], 0)), "", INDEX(SelectedPrecincts[Draw], MATCH(SamplingData[[#This Row],[Batch by Type (p)]],SelectedPrecincts[Batch Name], 0)))</f>
        <v/>
      </c>
      <c r="X1994" s="102">
        <f>IF(COUNTIF(SelectedPrecincts[Batch Name],SamplingData[[#This Row],[Batch by Type (p)]]) &lt;&gt; 0, COUNTIF(SelectedPrecincts[Batch Name],SamplingData[[#This Row],[Batch by Type (p)]]), 0)</f>
        <v>0</v>
      </c>
    </row>
    <row r="1995" spans="1:24" ht="15" customHeight="1">
      <c r="A1995" s="18" t="s">
        <v>2171</v>
      </c>
      <c r="B1995" s="18">
        <v>58</v>
      </c>
      <c r="C1995" s="18">
        <v>98</v>
      </c>
      <c r="D1995" s="16">
        <v>23</v>
      </c>
      <c r="E1995" s="16">
        <v>11</v>
      </c>
      <c r="F1995" s="37">
        <v>0</v>
      </c>
      <c r="G1995" s="37">
        <v>1</v>
      </c>
      <c r="H1995" s="17">
        <v>0</v>
      </c>
      <c r="I1995" s="17">
        <v>4</v>
      </c>
      <c r="J1995" s="99">
        <f>SUM(SamplingData[[#This Row],[Losing Candidate]:[Under Votes]])</f>
        <v>195</v>
      </c>
      <c r="K1995" s="100">
        <f>IF(AND(SamplingData[[#This Row],[Total]]&lt;&gt; 0, NOT(ISBLANK(SamplingData[[#This Row],[Losing Candidate]]))),(SamplingData[[#This Row],[Total]]+SamplingData[[#This Row],[Winning Candidate]]-SamplingData[[#This Row],[Losing Candidate]])/(SamplingData[[#Totals],[Winning Candidate]]-SamplingData[[#Totals],[Losing Candidate]]), 0)</f>
        <v>1.4392454679078882E-2</v>
      </c>
      <c r="L1995" s="100">
        <f>IF(AND(SamplingData[[#This Row],[Total]]&lt;&gt; 0, NOT(ISBLANK(SamplingData[[#This Row],[Candidate 3]]))),(SamplingData[[#This Row],[Total]]+SamplingData[[#This Row],[Winning Candidate]]-SamplingData[[#This Row],[Candidate 3]])/(SamplingData[[#Totals],[Winning Candidate]]-SamplingData[[#Totals],[Candidate 3]]), 0)</f>
        <v>8.710520372939316E-3</v>
      </c>
      <c r="M1995" s="100">
        <f>IF(AND(SamplingData[[#This Row],[Total]]&lt;&gt; 0, NOT(ISBLANK(SamplingData[[#This Row],[Candidate 4]]))),(SamplingData[[#This Row],[Total]]+SamplingData[[#This Row],[Winning Candidate]]-SamplingData[[#This Row],[Candidate 4]])/(SamplingData[[#Totals],[Winning Candidate]]-SamplingData[[#Totals],[Candidate 4]]), 0)</f>
        <v>8.2434447075331058E-3</v>
      </c>
      <c r="N1995" s="100">
        <f>IF(AND(SamplingData[[#This Row],[Total]]&lt;&gt; 0, NOT(ISBLANK(SamplingData[[#This Row],[Candidate 5]]))),(SamplingData[[#This Row],[Total]]+SamplingData[[#This Row],[Winning Candidate]]-SamplingData[[#This Row],[Candidate 5]])/(SamplingData[[#Totals],[Winning Candidate]]-SamplingData[[#Totals],[Candidate 5]]), 0)</f>
        <v>7.127219654585259E-3</v>
      </c>
      <c r="O1995" s="100">
        <f>IF(AND(SamplingData[[#This Row],[Total]]&lt;&gt; 0, NOT(ISBLANK(SamplingData[[#This Row],[Candidate 6]]))),(SamplingData[[#This Row],[Total]]+SamplingData[[#This Row],[Winning Candidate]]-SamplingData[[#This Row],[Candidate 6]])/(SamplingData[[#Totals],[Winning Candidate]]-SamplingData[[#Totals],[Candidate 6]]), 0)</f>
        <v>7.1008219444579548E-3</v>
      </c>
      <c r="P1995" s="100">
        <f>MAX(SamplingData[[#This Row],[Error Bound (up) - Max. possible relative overstatement - Losing Candidate]:[Error Bound (up) - Max. possible relative overstatement - Candidate 6]])</f>
        <v>1.4392454679078882E-2</v>
      </c>
      <c r="Q1995" s="100">
        <f>IF(SamplingData[[#This Row],[Max Error Bound (up)]] = 0,0,SamplingData[[#This Row],[Max Error Bound (up)]]/SamplingData[[#Totals],[Max Error Bound (up)]])</f>
        <v>2.2778428454347703E-3</v>
      </c>
      <c r="R1995" s="101">
        <f>SUM($Q$5:Q1995)</f>
        <v>0.84288181356191894</v>
      </c>
      <c r="S1995" s="100" t="str">
        <f t="array" ref="S1995">IF(SamplingData[[#This Row],[up/U Selection Probability]] = 0, "Zero", TEXT(SamplingData[[#This Row],[Lower Range]], REPT("0",LEN('General Info'!$B$40))) &amp; " - " &amp; TEXT(SamplingData[[#This Row],[Upper Range]], REPT("0",LEN('General Info'!$B$40))))</f>
        <v>84060 - 84287</v>
      </c>
      <c r="T1995" s="100">
        <f>SamplingData[[#This Row],[Upper Range]]-SamplingData[[#This Row],[Span]]</f>
        <v>84060.399349491272</v>
      </c>
      <c r="U1995" s="100">
        <f>IF(ISNUMBER('General Info'!$B$40), ((SamplingData[[#This Row],[up/U Selection Probability]]) * 'General Info'!$B$40) - 1, 0)</f>
        <v>226.7820067006316</v>
      </c>
      <c r="V1995" s="100">
        <f>IF(ISNUMBER('General Info'!$B$40), (SamplingData[[#This Row],[Running (cumulative) sum]] * ('General Info'!$B$40 -'General Info'!$B$41 + 1)) + 'General Info'!$B$41 - 1, 0)</f>
        <v>84287.181356191897</v>
      </c>
      <c r="W1995" s="100" t="str">
        <f>IF(ISERROR(MATCH(SamplingData[[#This Row],[Batch by Type (p)]],SelectedPrecincts[Batch Name], 0)), "", INDEX(SelectedPrecincts[Draw], MATCH(SamplingData[[#This Row],[Batch by Type (p)]],SelectedPrecincts[Batch Name], 0)))</f>
        <v/>
      </c>
      <c r="X1995" s="102">
        <f>IF(COUNTIF(SelectedPrecincts[Batch Name],SamplingData[[#This Row],[Batch by Type (p)]]) &lt;&gt; 0, COUNTIF(SelectedPrecincts[Batch Name],SamplingData[[#This Row],[Batch by Type (p)]]), 0)</f>
        <v>0</v>
      </c>
    </row>
    <row r="1996" spans="1:24" ht="15" customHeight="1">
      <c r="A1996" s="18" t="s">
        <v>2172</v>
      </c>
      <c r="B1996" s="18">
        <v>34</v>
      </c>
      <c r="C1996" s="18">
        <v>35</v>
      </c>
      <c r="D1996" s="18">
        <v>8</v>
      </c>
      <c r="E1996" s="18">
        <v>6</v>
      </c>
      <c r="F1996" s="18">
        <v>0</v>
      </c>
      <c r="G1996" s="18">
        <v>1</v>
      </c>
      <c r="H1996" s="18">
        <v>1</v>
      </c>
      <c r="I1996" s="18">
        <v>3</v>
      </c>
      <c r="J1996" s="99">
        <f>SUM(SamplingData[[#This Row],[Losing Candidate]:[Under Votes]])</f>
        <v>88</v>
      </c>
      <c r="K1996" s="100">
        <f>IF(AND(SamplingData[[#This Row],[Total]]&lt;&gt; 0, NOT(ISBLANK(SamplingData[[#This Row],[Losing Candidate]]))),(SamplingData[[#This Row],[Total]]+SamplingData[[#This Row],[Winning Candidate]]-SamplingData[[#This Row],[Losing Candidate]])/(SamplingData[[#Totals],[Winning Candidate]]-SamplingData[[#Totals],[Losing Candidate]]), 0)</f>
        <v>5.4507594316511518E-3</v>
      </c>
      <c r="L1996" s="100">
        <f>IF(AND(SamplingData[[#This Row],[Total]]&lt;&gt; 0, NOT(ISBLANK(SamplingData[[#This Row],[Candidate 3]]))),(SamplingData[[#This Row],[Total]]+SamplingData[[#This Row],[Winning Candidate]]-SamplingData[[#This Row],[Candidate 3]])/(SamplingData[[#Totals],[Winning Candidate]]-SamplingData[[#Totals],[Candidate 3]]), 0)</f>
        <v>3.7100364551408199E-3</v>
      </c>
      <c r="M1996" s="100">
        <f>IF(AND(SamplingData[[#This Row],[Total]]&lt;&gt; 0, NOT(ISBLANK(SamplingData[[#This Row],[Candidate 4]]))),(SamplingData[[#This Row],[Total]]+SamplingData[[#This Row],[Winning Candidate]]-SamplingData[[#This Row],[Candidate 4]])/(SamplingData[[#Totals],[Winning Candidate]]-SamplingData[[#Totals],[Candidate 4]]), 0)</f>
        <v>3.4201525914233097E-3</v>
      </c>
      <c r="N1996" s="100">
        <f>IF(AND(SamplingData[[#This Row],[Total]]&lt;&gt; 0, NOT(ISBLANK(SamplingData[[#This Row],[Candidate 5]]))),(SamplingData[[#This Row],[Total]]+SamplingData[[#This Row],[Winning Candidate]]-SamplingData[[#This Row],[Candidate 5]])/(SamplingData[[#Totals],[Winning Candidate]]-SamplingData[[#Totals],[Candidate 5]]), 0)</f>
        <v>2.9919727560204332E-3</v>
      </c>
      <c r="O1996" s="100">
        <f>IF(AND(SamplingData[[#This Row],[Total]]&lt;&gt; 0, NOT(ISBLANK(SamplingData[[#This Row],[Candidate 6]]))),(SamplingData[[#This Row],[Total]]+SamplingData[[#This Row],[Winning Candidate]]-SamplingData[[#This Row],[Candidate 6]])/(SamplingData[[#Totals],[Winning Candidate]]-SamplingData[[#Totals],[Candidate 6]]), 0)</f>
        <v>2.9667817713146249E-3</v>
      </c>
      <c r="P1996" s="100">
        <f>MAX(SamplingData[[#This Row],[Error Bound (up) - Max. possible relative overstatement - Losing Candidate]:[Error Bound (up) - Max. possible relative overstatement - Candidate 6]])</f>
        <v>5.4507594316511518E-3</v>
      </c>
      <c r="Q1996" s="100">
        <f>IF(SamplingData[[#This Row],[Max Error Bound (up)]] = 0,0,SamplingData[[#This Row],[Max Error Bound (up)]]/SamplingData[[#Totals],[Max Error Bound (up)]])</f>
        <v>8.6267239678167911E-4</v>
      </c>
      <c r="R1996" s="101">
        <f>SUM($Q$5:Q1996)</f>
        <v>0.84374448595870066</v>
      </c>
      <c r="S1996" s="100" t="str">
        <f t="array" ref="S1996">IF(SamplingData[[#This Row],[up/U Selection Probability]] = 0, "Zero", TEXT(SamplingData[[#This Row],[Lower Range]], REPT("0",LEN('General Info'!$B$40))) &amp; " - " &amp; TEXT(SamplingData[[#This Row],[Upper Range]], REPT("0",LEN('General Info'!$B$40))))</f>
        <v>84288 - 84373</v>
      </c>
      <c r="T1996" s="100">
        <f>SamplingData[[#This Row],[Upper Range]]-SamplingData[[#This Row],[Span]]</f>
        <v>84288.182218864298</v>
      </c>
      <c r="U1996" s="100">
        <f>IF(ISNUMBER('General Info'!$B$40), ((SamplingData[[#This Row],[up/U Selection Probability]]) * 'General Info'!$B$40) - 1, 0)</f>
        <v>85.266377005771133</v>
      </c>
      <c r="V1996" s="100">
        <f>IF(ISNUMBER('General Info'!$B$40), (SamplingData[[#This Row],[Running (cumulative) sum]] * ('General Info'!$B$40 -'General Info'!$B$41 + 1)) + 'General Info'!$B$41 - 1, 0)</f>
        <v>84373.448595870068</v>
      </c>
      <c r="W1996" s="100" t="str">
        <f>IF(ISERROR(MATCH(SamplingData[[#This Row],[Batch by Type (p)]],SelectedPrecincts[Batch Name], 0)), "", INDEX(SelectedPrecincts[Draw], MATCH(SamplingData[[#This Row],[Batch by Type (p)]],SelectedPrecincts[Batch Name], 0)))</f>
        <v/>
      </c>
      <c r="X1996" s="102">
        <f>IF(COUNTIF(SelectedPrecincts[Batch Name],SamplingData[[#This Row],[Batch by Type (p)]]) &lt;&gt; 0, COUNTIF(SelectedPrecincts[Batch Name],SamplingData[[#This Row],[Batch by Type (p)]]), 0)</f>
        <v>0</v>
      </c>
    </row>
    <row r="1997" spans="1:24" ht="15" customHeight="1">
      <c r="A1997" s="18" t="s">
        <v>2173</v>
      </c>
      <c r="B1997" s="18">
        <v>27</v>
      </c>
      <c r="C1997" s="18">
        <v>47</v>
      </c>
      <c r="D1997" s="16">
        <v>16</v>
      </c>
      <c r="E1997" s="16">
        <v>5</v>
      </c>
      <c r="F1997" s="37">
        <v>0</v>
      </c>
      <c r="G1997" s="37">
        <v>0</v>
      </c>
      <c r="H1997" s="17">
        <v>0</v>
      </c>
      <c r="I1997" s="17">
        <v>3</v>
      </c>
      <c r="J1997" s="99">
        <f>SUM(SamplingData[[#This Row],[Losing Candidate]:[Under Votes]])</f>
        <v>98</v>
      </c>
      <c r="K1997" s="100">
        <f>IF(AND(SamplingData[[#This Row],[Total]]&lt;&gt; 0, NOT(ISBLANK(SamplingData[[#This Row],[Losing Candidate]]))),(SamplingData[[#This Row],[Total]]+SamplingData[[#This Row],[Winning Candidate]]-SamplingData[[#This Row],[Losing Candidate]])/(SamplingData[[#Totals],[Winning Candidate]]-SamplingData[[#Totals],[Losing Candidate]]), 0)</f>
        <v>7.2268495835374818E-3</v>
      </c>
      <c r="L1997" s="100">
        <f>IF(AND(SamplingData[[#This Row],[Total]]&lt;&gt; 0, NOT(ISBLANK(SamplingData[[#This Row],[Candidate 3]]))),(SamplingData[[#This Row],[Total]]+SamplingData[[#This Row],[Winning Candidate]]-SamplingData[[#This Row],[Candidate 3]])/(SamplingData[[#Totals],[Winning Candidate]]-SamplingData[[#Totals],[Candidate 3]]), 0)</f>
        <v>4.1616930670710069E-3</v>
      </c>
      <c r="M1997" s="100">
        <f>IF(AND(SamplingData[[#This Row],[Total]]&lt;&gt; 0, NOT(ISBLANK(SamplingData[[#This Row],[Candidate 4]]))),(SamplingData[[#This Row],[Total]]+SamplingData[[#This Row],[Winning Candidate]]-SamplingData[[#This Row],[Candidate 4]])/(SamplingData[[#Totals],[Winning Candidate]]-SamplingData[[#Totals],[Candidate 4]]), 0)</f>
        <v>4.0924902803355845E-3</v>
      </c>
      <c r="N1997" s="100">
        <f>IF(AND(SamplingData[[#This Row],[Total]]&lt;&gt; 0, NOT(ISBLANK(SamplingData[[#This Row],[Candidate 5]]))),(SamplingData[[#This Row],[Total]]+SamplingData[[#This Row],[Winning Candidate]]-SamplingData[[#This Row],[Candidate 5]])/(SamplingData[[#Totals],[Winning Candidate]]-SamplingData[[#Totals],[Candidate 5]]), 0)</f>
        <v>3.5271223546582339E-3</v>
      </c>
      <c r="O1997" s="100">
        <f>IF(AND(SamplingData[[#This Row],[Total]]&lt;&gt; 0, NOT(ISBLANK(SamplingData[[#This Row],[Candidate 6]]))),(SamplingData[[#This Row],[Total]]+SamplingData[[#This Row],[Winning Candidate]]-SamplingData[[#This Row],[Candidate 6]])/(SamplingData[[#Totals],[Winning Candidate]]-SamplingData[[#Totals],[Candidate 6]]), 0)</f>
        <v>3.526093088857546E-3</v>
      </c>
      <c r="P1997" s="100">
        <f>MAX(SamplingData[[#This Row],[Error Bound (up) - Max. possible relative overstatement - Losing Candidate]:[Error Bound (up) - Max. possible relative overstatement - Candidate 6]])</f>
        <v>7.2268495835374818E-3</v>
      </c>
      <c r="Q1997" s="100">
        <f>IF(SamplingData[[#This Row],[Max Error Bound (up)]] = 0,0,SamplingData[[#This Row],[Max Error Bound (up)]]/SamplingData[[#Totals],[Max Error Bound (up)]])</f>
        <v>1.1437678968566083E-3</v>
      </c>
      <c r="R1997" s="101">
        <f>SUM($Q$5:Q1997)</f>
        <v>0.84488825385555733</v>
      </c>
      <c r="S1997" s="100" t="str">
        <f t="array" ref="S1997">IF(SamplingData[[#This Row],[up/U Selection Probability]] = 0, "Zero", TEXT(SamplingData[[#This Row],[Lower Range]], REPT("0",LEN('General Info'!$B$40))) &amp; " - " &amp; TEXT(SamplingData[[#This Row],[Upper Range]], REPT("0",LEN('General Info'!$B$40))))</f>
        <v>84374 - 84488</v>
      </c>
      <c r="T1997" s="100">
        <f>SamplingData[[#This Row],[Upper Range]]-SamplingData[[#This Row],[Span]]</f>
        <v>84374.449739637959</v>
      </c>
      <c r="U1997" s="100">
        <f>IF(ISNUMBER('General Info'!$B$40), ((SamplingData[[#This Row],[up/U Selection Probability]]) * 'General Info'!$B$40) - 1, 0)</f>
        <v>113.37564591776398</v>
      </c>
      <c r="V1997" s="100">
        <f>IF(ISNUMBER('General Info'!$B$40), (SamplingData[[#This Row],[Running (cumulative) sum]] * ('General Info'!$B$40 -'General Info'!$B$41 + 1)) + 'General Info'!$B$41 - 1, 0)</f>
        <v>84487.825385555727</v>
      </c>
      <c r="W1997" s="100" t="str">
        <f>IF(ISERROR(MATCH(SamplingData[[#This Row],[Batch by Type (p)]],SelectedPrecincts[Batch Name], 0)), "", INDEX(SelectedPrecincts[Draw], MATCH(SamplingData[[#This Row],[Batch by Type (p)]],SelectedPrecincts[Batch Name], 0)))</f>
        <v/>
      </c>
      <c r="X1997" s="102">
        <f>IF(COUNTIF(SelectedPrecincts[Batch Name],SamplingData[[#This Row],[Batch by Type (p)]]) &lt;&gt; 0, COUNTIF(SelectedPrecincts[Batch Name],SamplingData[[#This Row],[Batch by Type (p)]]), 0)</f>
        <v>0</v>
      </c>
    </row>
    <row r="1998" spans="1:24" ht="15" customHeight="1">
      <c r="A1998" s="18" t="s">
        <v>2174</v>
      </c>
      <c r="B1998" s="18">
        <v>32</v>
      </c>
      <c r="C1998" s="18">
        <v>32</v>
      </c>
      <c r="D1998" s="18">
        <v>8</v>
      </c>
      <c r="E1998" s="18">
        <v>2</v>
      </c>
      <c r="F1998" s="18">
        <v>0</v>
      </c>
      <c r="G1998" s="18">
        <v>0</v>
      </c>
      <c r="H1998" s="18">
        <v>0</v>
      </c>
      <c r="I1998" s="18">
        <v>0</v>
      </c>
      <c r="J1998" s="99">
        <f>SUM(SamplingData[[#This Row],[Losing Candidate]:[Under Votes]])</f>
        <v>74</v>
      </c>
      <c r="K1998" s="100">
        <f>IF(AND(SamplingData[[#This Row],[Total]]&lt;&gt; 0, NOT(ISBLANK(SamplingData[[#This Row],[Losing Candidate]]))),(SamplingData[[#This Row],[Total]]+SamplingData[[#This Row],[Winning Candidate]]-SamplingData[[#This Row],[Losing Candidate]])/(SamplingData[[#Totals],[Winning Candidate]]-SamplingData[[#Totals],[Losing Candidate]]), 0)</f>
        <v>4.5320921117099457E-3</v>
      </c>
      <c r="L1998" s="100">
        <f>IF(AND(SamplingData[[#This Row],[Total]]&lt;&gt; 0, NOT(ISBLANK(SamplingData[[#This Row],[Candidate 3]]))),(SamplingData[[#This Row],[Total]]+SamplingData[[#This Row],[Winning Candidate]]-SamplingData[[#This Row],[Candidate 3]])/(SamplingData[[#Totals],[Winning Candidate]]-SamplingData[[#Totals],[Candidate 3]]), 0)</f>
        <v>3.1615962835113073E-3</v>
      </c>
      <c r="M1998" s="100">
        <f>IF(AND(SamplingData[[#This Row],[Total]]&lt;&gt; 0, NOT(ISBLANK(SamplingData[[#This Row],[Candidate 4]]))),(SamplingData[[#This Row],[Total]]+SamplingData[[#This Row],[Winning Candidate]]-SamplingData[[#This Row],[Candidate 4]])/(SamplingData[[#Totals],[Winning Candidate]]-SamplingData[[#Totals],[Candidate 4]]), 0)</f>
        <v>3.0401356368207197E-3</v>
      </c>
      <c r="N1998" s="100">
        <f>IF(AND(SamplingData[[#This Row],[Total]]&lt;&gt; 0, NOT(ISBLANK(SamplingData[[#This Row],[Candidate 5]]))),(SamplingData[[#This Row],[Total]]+SamplingData[[#This Row],[Winning Candidate]]-SamplingData[[#This Row],[Candidate 5]])/(SamplingData[[#Totals],[Winning Candidate]]-SamplingData[[#Totals],[Candidate 5]]), 0)</f>
        <v>2.5784480661639503E-3</v>
      </c>
      <c r="O1998" s="100">
        <f>IF(AND(SamplingData[[#This Row],[Total]]&lt;&gt; 0, NOT(ISBLANK(SamplingData[[#This Row],[Candidate 6]]))),(SamplingData[[#This Row],[Total]]+SamplingData[[#This Row],[Winning Candidate]]-SamplingData[[#This Row],[Candidate 6]])/(SamplingData[[#Totals],[Winning Candidate]]-SamplingData[[#Totals],[Candidate 6]]), 0)</f>
        <v>2.5776956373717232E-3</v>
      </c>
      <c r="P1998" s="100">
        <f>MAX(SamplingData[[#This Row],[Error Bound (up) - Max. possible relative overstatement - Losing Candidate]:[Error Bound (up) - Max. possible relative overstatement - Candidate 6]])</f>
        <v>4.5320921117099457E-3</v>
      </c>
      <c r="Q1998" s="100">
        <f>IF(SamplingData[[#This Row],[Max Error Bound (up)]] = 0,0,SamplingData[[#This Row],[Max Error Bound (up)]]/SamplingData[[#Totals],[Max Error Bound (up)]])</f>
        <v>7.1727817260499151E-4</v>
      </c>
      <c r="R1998" s="101">
        <f>SUM($Q$5:Q1998)</f>
        <v>0.84560553202816235</v>
      </c>
      <c r="S1998" s="100" t="str">
        <f t="array" ref="S1998">IF(SamplingData[[#This Row],[up/U Selection Probability]] = 0, "Zero", TEXT(SamplingData[[#This Row],[Lower Range]], REPT("0",LEN('General Info'!$B$40))) &amp; " - " &amp; TEXT(SamplingData[[#This Row],[Upper Range]], REPT("0",LEN('General Info'!$B$40))))</f>
        <v>84489 - 84560</v>
      </c>
      <c r="T1998" s="100">
        <f>SamplingData[[#This Row],[Upper Range]]-SamplingData[[#This Row],[Span]]</f>
        <v>84488.826102833918</v>
      </c>
      <c r="U1998" s="100">
        <f>IF(ISNUMBER('General Info'!$B$40), ((SamplingData[[#This Row],[up/U Selection Probability]]) * 'General Info'!$B$40) - 1, 0)</f>
        <v>70.72709998232655</v>
      </c>
      <c r="V1998" s="100">
        <f>IF(ISNUMBER('General Info'!$B$40), (SamplingData[[#This Row],[Running (cumulative) sum]] * ('General Info'!$B$40 -'General Info'!$B$41 + 1)) + 'General Info'!$B$41 - 1, 0)</f>
        <v>84559.553202816242</v>
      </c>
      <c r="W1998" s="100" t="str">
        <f>IF(ISERROR(MATCH(SamplingData[[#This Row],[Batch by Type (p)]],SelectedPrecincts[Batch Name], 0)), "", INDEX(SelectedPrecincts[Draw], MATCH(SamplingData[[#This Row],[Batch by Type (p)]],SelectedPrecincts[Batch Name], 0)))</f>
        <v/>
      </c>
      <c r="X1998" s="102">
        <f>IF(COUNTIF(SelectedPrecincts[Batch Name],SamplingData[[#This Row],[Batch by Type (p)]]) &lt;&gt; 0, COUNTIF(SelectedPrecincts[Batch Name],SamplingData[[#This Row],[Batch by Type (p)]]), 0)</f>
        <v>0</v>
      </c>
    </row>
    <row r="1999" spans="1:24" ht="15" customHeight="1">
      <c r="A1999" s="18" t="s">
        <v>2175</v>
      </c>
      <c r="B1999" s="18">
        <v>38</v>
      </c>
      <c r="C1999" s="18">
        <v>79</v>
      </c>
      <c r="D1999" s="16">
        <v>13</v>
      </c>
      <c r="E1999" s="16">
        <v>20</v>
      </c>
      <c r="F1999" s="37">
        <v>0</v>
      </c>
      <c r="G1999" s="37">
        <v>0</v>
      </c>
      <c r="H1999" s="17">
        <v>1</v>
      </c>
      <c r="I1999" s="17">
        <v>2</v>
      </c>
      <c r="J1999" s="99">
        <f>SUM(SamplingData[[#This Row],[Losing Candidate]:[Under Votes]])</f>
        <v>153</v>
      </c>
      <c r="K1999" s="100">
        <f>IF(AND(SamplingData[[#This Row],[Total]]&lt;&gt; 0, NOT(ISBLANK(SamplingData[[#This Row],[Losing Candidate]]))),(SamplingData[[#This Row],[Total]]+SamplingData[[#This Row],[Winning Candidate]]-SamplingData[[#This Row],[Losing Candidate]])/(SamplingData[[#Totals],[Winning Candidate]]-SamplingData[[#Totals],[Losing Candidate]]), 0)</f>
        <v>1.1881430671239588E-2</v>
      </c>
      <c r="L1999" s="100">
        <f>IF(AND(SamplingData[[#This Row],[Total]]&lt;&gt; 0, NOT(ISBLANK(SamplingData[[#This Row],[Candidate 3]]))),(SamplingData[[#This Row],[Total]]+SamplingData[[#This Row],[Winning Candidate]]-SamplingData[[#This Row],[Candidate 3]])/(SamplingData[[#Totals],[Winning Candidate]]-SamplingData[[#Totals],[Candidate 3]]), 0)</f>
        <v>7.0651998580507792E-3</v>
      </c>
      <c r="M1999" s="100">
        <f>IF(AND(SamplingData[[#This Row],[Total]]&lt;&gt; 0, NOT(ISBLANK(SamplingData[[#This Row],[Candidate 4]]))),(SamplingData[[#This Row],[Total]]+SamplingData[[#This Row],[Winning Candidate]]-SamplingData[[#This Row],[Candidate 4]])/(SamplingData[[#Totals],[Winning Candidate]]-SamplingData[[#Totals],[Candidate 4]]), 0)</f>
        <v>6.1971995673653132E-3</v>
      </c>
      <c r="N1999" s="100">
        <f>IF(AND(SamplingData[[#This Row],[Total]]&lt;&gt; 0, NOT(ISBLANK(SamplingData[[#This Row],[Candidate 5]]))),(SamplingData[[#This Row],[Total]]+SamplingData[[#This Row],[Winning Candidate]]-SamplingData[[#This Row],[Candidate 5]])/(SamplingData[[#Totals],[Winning Candidate]]-SamplingData[[#Totals],[Candidate 5]]), 0)</f>
        <v>5.6433957674531746E-3</v>
      </c>
      <c r="O1999" s="100">
        <f>IF(AND(SamplingData[[#This Row],[Total]]&lt;&gt; 0, NOT(ISBLANK(SamplingData[[#This Row],[Candidate 6]]))),(SamplingData[[#This Row],[Total]]+SamplingData[[#This Row],[Winning Candidate]]-SamplingData[[#This Row],[Candidate 6]])/(SamplingData[[#Totals],[Winning Candidate]]-SamplingData[[#Totals],[Candidate 6]]), 0)</f>
        <v>5.6417489421720732E-3</v>
      </c>
      <c r="P1999" s="100">
        <f>MAX(SamplingData[[#This Row],[Error Bound (up) - Max. possible relative overstatement - Losing Candidate]:[Error Bound (up) - Max. possible relative overstatement - Candidate 6]])</f>
        <v>1.1881430671239588E-2</v>
      </c>
      <c r="Q1999" s="100">
        <f>IF(SamplingData[[#This Row],[Max Error Bound (up)]] = 0,0,SamplingData[[#This Row],[Max Error Bound (up)]]/SamplingData[[#Totals],[Max Error Bound (up)]])</f>
        <v>1.8804319660184912E-3</v>
      </c>
      <c r="R1999" s="101">
        <f>SUM($Q$5:Q1999)</f>
        <v>0.84748596399418086</v>
      </c>
      <c r="S1999" s="100" t="str">
        <f t="array" ref="S1999">IF(SamplingData[[#This Row],[up/U Selection Probability]] = 0, "Zero", TEXT(SamplingData[[#This Row],[Lower Range]], REPT("0",LEN('General Info'!$B$40))) &amp; " - " &amp; TEXT(SamplingData[[#This Row],[Upper Range]], REPT("0",LEN('General Info'!$B$40))))</f>
        <v>84561 - 84748</v>
      </c>
      <c r="T1999" s="100">
        <f>SamplingData[[#This Row],[Upper Range]]-SamplingData[[#This Row],[Span]]</f>
        <v>84560.555083248211</v>
      </c>
      <c r="U1999" s="100">
        <f>IF(ISNUMBER('General Info'!$B$40), ((SamplingData[[#This Row],[up/U Selection Probability]]) * 'General Info'!$B$40) - 1, 0)</f>
        <v>187.04131616988312</v>
      </c>
      <c r="V1999" s="100">
        <f>IF(ISNUMBER('General Info'!$B$40), (SamplingData[[#This Row],[Running (cumulative) sum]] * ('General Info'!$B$40 -'General Info'!$B$41 + 1)) + 'General Info'!$B$41 - 1, 0)</f>
        <v>84747.596399418093</v>
      </c>
      <c r="W1999" s="100" t="str">
        <f>IF(ISERROR(MATCH(SamplingData[[#This Row],[Batch by Type (p)]],SelectedPrecincts[Batch Name], 0)), "", INDEX(SelectedPrecincts[Draw], MATCH(SamplingData[[#This Row],[Batch by Type (p)]],SelectedPrecincts[Batch Name], 0)))</f>
        <v/>
      </c>
      <c r="X1999" s="102">
        <f>IF(COUNTIF(SelectedPrecincts[Batch Name],SamplingData[[#This Row],[Batch by Type (p)]]) &lt;&gt; 0, COUNTIF(SelectedPrecincts[Batch Name],SamplingData[[#This Row],[Batch by Type (p)]]), 0)</f>
        <v>0</v>
      </c>
    </row>
    <row r="2000" spans="1:24" ht="15" customHeight="1">
      <c r="A2000" s="18" t="s">
        <v>2176</v>
      </c>
      <c r="B2000" s="18">
        <v>17</v>
      </c>
      <c r="C2000" s="18">
        <v>42</v>
      </c>
      <c r="D2000" s="18">
        <v>6</v>
      </c>
      <c r="E2000" s="18">
        <v>4</v>
      </c>
      <c r="F2000" s="18">
        <v>0</v>
      </c>
      <c r="G2000" s="18">
        <v>1</v>
      </c>
      <c r="H2000" s="18">
        <v>0</v>
      </c>
      <c r="I2000" s="18">
        <v>2</v>
      </c>
      <c r="J2000" s="99">
        <f>SUM(SamplingData[[#This Row],[Losing Candidate]:[Under Votes]])</f>
        <v>72</v>
      </c>
      <c r="K2000" s="100">
        <f>IF(AND(SamplingData[[#This Row],[Total]]&lt;&gt; 0, NOT(ISBLANK(SamplingData[[#This Row],[Losing Candidate]]))),(SamplingData[[#This Row],[Total]]+SamplingData[[#This Row],[Winning Candidate]]-SamplingData[[#This Row],[Losing Candidate]])/(SamplingData[[#Totals],[Winning Candidate]]-SamplingData[[#Totals],[Losing Candidate]]), 0)</f>
        <v>5.9407153356197942E-3</v>
      </c>
      <c r="L2000" s="100">
        <f>IF(AND(SamplingData[[#This Row],[Total]]&lt;&gt; 0, NOT(ISBLANK(SamplingData[[#This Row],[Candidate 3]]))),(SamplingData[[#This Row],[Total]]+SamplingData[[#This Row],[Winning Candidate]]-SamplingData[[#This Row],[Candidate 3]])/(SamplingData[[#Totals],[Winning Candidate]]-SamplingData[[#Totals],[Candidate 3]]), 0)</f>
        <v>3.4842081491757268E-3</v>
      </c>
      <c r="M2000" s="100">
        <f>IF(AND(SamplingData[[#This Row],[Total]]&lt;&gt; 0, NOT(ISBLANK(SamplingData[[#This Row],[Candidate 4]]))),(SamplingData[[#This Row],[Total]]+SamplingData[[#This Row],[Winning Candidate]]-SamplingData[[#This Row],[Candidate 4]])/(SamplingData[[#Totals],[Winning Candidate]]-SamplingData[[#Totals],[Candidate 4]]), 0)</f>
        <v>3.2155280774065305E-3</v>
      </c>
      <c r="N2000" s="100">
        <f>IF(AND(SamplingData[[#This Row],[Total]]&lt;&gt; 0, NOT(ISBLANK(SamplingData[[#This Row],[Candidate 5]]))),(SamplingData[[#This Row],[Total]]+SamplingData[[#This Row],[Winning Candidate]]-SamplingData[[#This Row],[Candidate 5]])/(SamplingData[[#Totals],[Winning Candidate]]-SamplingData[[#Totals],[Candidate 5]]), 0)</f>
        <v>2.7730479202140597E-3</v>
      </c>
      <c r="O2000" s="100">
        <f>IF(AND(SamplingData[[#This Row],[Total]]&lt;&gt; 0, NOT(ISBLANK(SamplingData[[#This Row],[Candidate 6]]))),(SamplingData[[#This Row],[Total]]+SamplingData[[#This Row],[Winning Candidate]]-SamplingData[[#This Row],[Candidate 6]])/(SamplingData[[#Totals],[Winning Candidate]]-SamplingData[[#Totals],[Candidate 6]]), 0)</f>
        <v>2.7479208209717425E-3</v>
      </c>
      <c r="P2000" s="100">
        <f>MAX(SamplingData[[#This Row],[Error Bound (up) - Max. possible relative overstatement - Losing Candidate]:[Error Bound (up) - Max. possible relative overstatement - Candidate 6]])</f>
        <v>5.9407153356197942E-3</v>
      </c>
      <c r="Q2000" s="100">
        <f>IF(SamplingData[[#This Row],[Max Error Bound (up)]] = 0,0,SamplingData[[#This Row],[Max Error Bound (up)]]/SamplingData[[#Totals],[Max Error Bound (up)]])</f>
        <v>9.4021598300924561E-4</v>
      </c>
      <c r="R2000" s="101">
        <f>SUM($Q$5:Q2000)</f>
        <v>0.84842617997719005</v>
      </c>
      <c r="S2000" s="100" t="str">
        <f t="array" ref="S2000">IF(SamplingData[[#This Row],[up/U Selection Probability]] = 0, "Zero", TEXT(SamplingData[[#This Row],[Lower Range]], REPT("0",LEN('General Info'!$B$40))) &amp; " - " &amp; TEXT(SamplingData[[#This Row],[Upper Range]], REPT("0",LEN('General Info'!$B$40))))</f>
        <v>84749 - 84842</v>
      </c>
      <c r="T2000" s="100">
        <f>SamplingData[[#This Row],[Upper Range]]-SamplingData[[#This Row],[Span]]</f>
        <v>84748.597339634056</v>
      </c>
      <c r="U2000" s="100">
        <f>IF(ISNUMBER('General Info'!$B$40), ((SamplingData[[#This Row],[up/U Selection Probability]]) * 'General Info'!$B$40) - 1, 0)</f>
        <v>93.020658084941559</v>
      </c>
      <c r="V2000" s="100">
        <f>IF(ISNUMBER('General Info'!$B$40), (SamplingData[[#This Row],[Running (cumulative) sum]] * ('General Info'!$B$40 -'General Info'!$B$41 + 1)) + 'General Info'!$B$41 - 1, 0)</f>
        <v>84841.617997719004</v>
      </c>
      <c r="W2000" s="100" t="str">
        <f>IF(ISERROR(MATCH(SamplingData[[#This Row],[Batch by Type (p)]],SelectedPrecincts[Batch Name], 0)), "", INDEX(SelectedPrecincts[Draw], MATCH(SamplingData[[#This Row],[Batch by Type (p)]],SelectedPrecincts[Batch Name], 0)))</f>
        <v/>
      </c>
      <c r="X2000" s="102">
        <f>IF(COUNTIF(SelectedPrecincts[Batch Name],SamplingData[[#This Row],[Batch by Type (p)]]) &lt;&gt; 0, COUNTIF(SelectedPrecincts[Batch Name],SamplingData[[#This Row],[Batch by Type (p)]]), 0)</f>
        <v>0</v>
      </c>
    </row>
    <row r="2001" spans="1:24" ht="15" customHeight="1">
      <c r="A2001" s="18" t="s">
        <v>2177</v>
      </c>
      <c r="B2001" s="18">
        <v>13</v>
      </c>
      <c r="C2001" s="18">
        <v>27</v>
      </c>
      <c r="D2001" s="16">
        <v>8</v>
      </c>
      <c r="E2001" s="16">
        <v>5</v>
      </c>
      <c r="F2001" s="37">
        <v>0</v>
      </c>
      <c r="G2001" s="37">
        <v>0</v>
      </c>
      <c r="H2001" s="17">
        <v>0</v>
      </c>
      <c r="I2001" s="17">
        <v>1</v>
      </c>
      <c r="J2001" s="99">
        <f>SUM(SamplingData[[#This Row],[Losing Candidate]:[Under Votes]])</f>
        <v>54</v>
      </c>
      <c r="K2001" s="100">
        <f>IF(AND(SamplingData[[#This Row],[Total]]&lt;&gt; 0, NOT(ISBLANK(SamplingData[[#This Row],[Losing Candidate]]))),(SamplingData[[#This Row],[Total]]+SamplingData[[#This Row],[Winning Candidate]]-SamplingData[[#This Row],[Losing Candidate]])/(SamplingData[[#Totals],[Winning Candidate]]-SamplingData[[#Totals],[Losing Candidate]]), 0)</f>
        <v>4.1646251837334641E-3</v>
      </c>
      <c r="L2001" s="100">
        <f>IF(AND(SamplingData[[#This Row],[Total]]&lt;&gt; 0, NOT(ISBLANK(SamplingData[[#This Row],[Candidate 3]]))),(SamplingData[[#This Row],[Total]]+SamplingData[[#This Row],[Winning Candidate]]-SamplingData[[#This Row],[Candidate 3]])/(SamplingData[[#Totals],[Winning Candidate]]-SamplingData[[#Totals],[Candidate 3]]), 0)</f>
        <v>2.3550666193502597E-3</v>
      </c>
      <c r="M2001" s="100">
        <f>IF(AND(SamplingData[[#This Row],[Total]]&lt;&gt; 0, NOT(ISBLANK(SamplingData[[#This Row],[Candidate 4]]))),(SamplingData[[#This Row],[Total]]+SamplingData[[#This Row],[Winning Candidate]]-SamplingData[[#This Row],[Candidate 4]])/(SamplingData[[#Totals],[Winning Candidate]]-SamplingData[[#Totals],[Candidate 4]]), 0)</f>
        <v>2.221637580753603E-3</v>
      </c>
      <c r="N2001" s="100">
        <f>IF(AND(SamplingData[[#This Row],[Total]]&lt;&gt; 0, NOT(ISBLANK(SamplingData[[#This Row],[Candidate 5]]))),(SamplingData[[#This Row],[Total]]+SamplingData[[#This Row],[Winning Candidate]]-SamplingData[[#This Row],[Candidate 5]])/(SamplingData[[#Totals],[Winning Candidate]]-SamplingData[[#Totals],[Candidate 5]]), 0)</f>
        <v>1.9703235222573584E-3</v>
      </c>
      <c r="O2001" s="100">
        <f>IF(AND(SamplingData[[#This Row],[Total]]&lt;&gt; 0, NOT(ISBLANK(SamplingData[[#This Row],[Candidate 6]]))),(SamplingData[[#This Row],[Total]]+SamplingData[[#This Row],[Winning Candidate]]-SamplingData[[#This Row],[Candidate 6]])/(SamplingData[[#Totals],[Winning Candidate]]-SamplingData[[#Totals],[Candidate 6]]), 0)</f>
        <v>1.9697485530859394E-3</v>
      </c>
      <c r="P2001" s="100">
        <f>MAX(SamplingData[[#This Row],[Error Bound (up) - Max. possible relative overstatement - Losing Candidate]:[Error Bound (up) - Max. possible relative overstatement - Candidate 6]])</f>
        <v>4.1646251837334641E-3</v>
      </c>
      <c r="Q2001" s="100">
        <f>IF(SamplingData[[#This Row],[Max Error Bound (up)]] = 0,0,SamplingData[[#This Row],[Max Error Bound (up)]]/SamplingData[[#Totals],[Max Error Bound (up)]])</f>
        <v>6.5912048293431658E-4</v>
      </c>
      <c r="R2001" s="101">
        <f>SUM($Q$5:Q2001)</f>
        <v>0.84908530046012431</v>
      </c>
      <c r="S2001" s="100" t="str">
        <f t="array" ref="S2001">IF(SamplingData[[#This Row],[up/U Selection Probability]] = 0, "Zero", TEXT(SamplingData[[#This Row],[Lower Range]], REPT("0",LEN('General Info'!$B$40))) &amp; " - " &amp; TEXT(SamplingData[[#This Row],[Upper Range]], REPT("0",LEN('General Info'!$B$40))))</f>
        <v>84843 - 84908</v>
      </c>
      <c r="T2001" s="100">
        <f>SamplingData[[#This Row],[Upper Range]]-SamplingData[[#This Row],[Span]]</f>
        <v>84842.618656839477</v>
      </c>
      <c r="U2001" s="100">
        <f>IF(ISNUMBER('General Info'!$B$40), ((SamplingData[[#This Row],[up/U Selection Probability]]) * 'General Info'!$B$40) - 1, 0)</f>
        <v>64.911389172948716</v>
      </c>
      <c r="V2001" s="100">
        <f>IF(ISNUMBER('General Info'!$B$40), (SamplingData[[#This Row],[Running (cumulative) sum]] * ('General Info'!$B$40 -'General Info'!$B$41 + 1)) + 'General Info'!$B$41 - 1, 0)</f>
        <v>84907.530046012427</v>
      </c>
      <c r="W2001" s="100" t="str">
        <f>IF(ISERROR(MATCH(SamplingData[[#This Row],[Batch by Type (p)]],SelectedPrecincts[Batch Name], 0)), "", INDEX(SelectedPrecincts[Draw], MATCH(SamplingData[[#This Row],[Batch by Type (p)]],SelectedPrecincts[Batch Name], 0)))</f>
        <v/>
      </c>
      <c r="X2001" s="102">
        <f>IF(COUNTIF(SelectedPrecincts[Batch Name],SamplingData[[#This Row],[Batch by Type (p)]]) &lt;&gt; 0, COUNTIF(SelectedPrecincts[Batch Name],SamplingData[[#This Row],[Batch by Type (p)]]), 0)</f>
        <v>0</v>
      </c>
    </row>
    <row r="2002" spans="1:24" ht="15" customHeight="1">
      <c r="A2002" s="18" t="s">
        <v>2178</v>
      </c>
      <c r="B2002" s="18">
        <v>6</v>
      </c>
      <c r="C2002" s="18">
        <v>6</v>
      </c>
      <c r="D2002" s="18">
        <v>2</v>
      </c>
      <c r="E2002" s="18">
        <v>1</v>
      </c>
      <c r="F2002" s="18">
        <v>0</v>
      </c>
      <c r="G2002" s="18">
        <v>0</v>
      </c>
      <c r="H2002" s="18">
        <v>0</v>
      </c>
      <c r="I2002" s="18">
        <v>2</v>
      </c>
      <c r="J2002" s="99">
        <f>SUM(SamplingData[[#This Row],[Losing Candidate]:[Under Votes]])</f>
        <v>17</v>
      </c>
      <c r="K2002" s="100">
        <f>IF(AND(SamplingData[[#This Row],[Total]]&lt;&gt; 0, NOT(ISBLANK(SamplingData[[#This Row],[Losing Candidate]]))),(SamplingData[[#This Row],[Total]]+SamplingData[[#This Row],[Winning Candidate]]-SamplingData[[#This Row],[Losing Candidate]])/(SamplingData[[#Totals],[Winning Candidate]]-SamplingData[[#Totals],[Losing Candidate]]), 0)</f>
        <v>1.041156295933366E-3</v>
      </c>
      <c r="L2002" s="100">
        <f>IF(AND(SamplingData[[#This Row],[Total]]&lt;&gt; 0, NOT(ISBLANK(SamplingData[[#This Row],[Candidate 3]]))),(SamplingData[[#This Row],[Total]]+SamplingData[[#This Row],[Winning Candidate]]-SamplingData[[#This Row],[Candidate 3]])/(SamplingData[[#Totals],[Winning Candidate]]-SamplingData[[#Totals],[Candidate 3]]), 0)</f>
        <v>6.7748491789528019E-4</v>
      </c>
      <c r="M2002" s="100">
        <f>IF(AND(SamplingData[[#This Row],[Total]]&lt;&gt; 0, NOT(ISBLANK(SamplingData[[#This Row],[Candidate 4]]))),(SamplingData[[#This Row],[Total]]+SamplingData[[#This Row],[Winning Candidate]]-SamplingData[[#This Row],[Candidate 4]])/(SamplingData[[#Totals],[Winning Candidate]]-SamplingData[[#Totals],[Candidate 4]]), 0)</f>
        <v>6.4310561548130605E-4</v>
      </c>
      <c r="N2002" s="100">
        <f>IF(AND(SamplingData[[#This Row],[Total]]&lt;&gt; 0, NOT(ISBLANK(SamplingData[[#This Row],[Candidate 5]]))),(SamplingData[[#This Row],[Total]]+SamplingData[[#This Row],[Winning Candidate]]-SamplingData[[#This Row],[Candidate 5]])/(SamplingData[[#Totals],[Winning Candidate]]-SamplingData[[#Totals],[Candidate 5]]), 0)</f>
        <v>5.5947458039406475E-4</v>
      </c>
      <c r="O2002" s="100">
        <f>IF(AND(SamplingData[[#This Row],[Total]]&lt;&gt; 0, NOT(ISBLANK(SamplingData[[#This Row],[Candidate 6]]))),(SamplingData[[#This Row],[Total]]+SamplingData[[#This Row],[Winning Candidate]]-SamplingData[[#This Row],[Candidate 6]])/(SamplingData[[#Totals],[Winning Candidate]]-SamplingData[[#Totals],[Candidate 6]]), 0)</f>
        <v>5.5931131754292105E-4</v>
      </c>
      <c r="P2002" s="100">
        <f>MAX(SamplingData[[#This Row],[Error Bound (up) - Max. possible relative overstatement - Losing Candidate]:[Error Bound (up) - Max. possible relative overstatement - Candidate 6]])</f>
        <v>1.041156295933366E-3</v>
      </c>
      <c r="Q2002" s="100">
        <f>IF(SamplingData[[#This Row],[Max Error Bound (up)]] = 0,0,SamplingData[[#This Row],[Max Error Bound (up)]]/SamplingData[[#Totals],[Max Error Bound (up)]])</f>
        <v>1.6478012073357914E-4</v>
      </c>
      <c r="R2002" s="101">
        <f>SUM($Q$5:Q2002)</f>
        <v>0.84925008058085794</v>
      </c>
      <c r="S2002" s="100" t="str">
        <f t="array" ref="S2002">IF(SamplingData[[#This Row],[up/U Selection Probability]] = 0, "Zero", TEXT(SamplingData[[#This Row],[Lower Range]], REPT("0",LEN('General Info'!$B$40))) &amp; " - " &amp; TEXT(SamplingData[[#This Row],[Upper Range]], REPT("0",LEN('General Info'!$B$40))))</f>
        <v>84909 - 84924</v>
      </c>
      <c r="T2002" s="100">
        <f>SamplingData[[#This Row],[Upper Range]]-SamplingData[[#This Row],[Span]]</f>
        <v>84908.530210792553</v>
      </c>
      <c r="U2002" s="100">
        <f>IF(ISNUMBER('General Info'!$B$40), ((SamplingData[[#This Row],[up/U Selection Probability]]) * 'General Info'!$B$40) - 1, 0)</f>
        <v>15.477847293237179</v>
      </c>
      <c r="V2002" s="100">
        <f>IF(ISNUMBER('General Info'!$B$40), (SamplingData[[#This Row],[Running (cumulative) sum]] * ('General Info'!$B$40 -'General Info'!$B$41 + 1)) + 'General Info'!$B$41 - 1, 0)</f>
        <v>84924.00805808579</v>
      </c>
      <c r="W2002" s="100" t="str">
        <f>IF(ISERROR(MATCH(SamplingData[[#This Row],[Batch by Type (p)]],SelectedPrecincts[Batch Name], 0)), "", INDEX(SelectedPrecincts[Draw], MATCH(SamplingData[[#This Row],[Batch by Type (p)]],SelectedPrecincts[Batch Name], 0)))</f>
        <v/>
      </c>
      <c r="X2002" s="102">
        <f>IF(COUNTIF(SelectedPrecincts[Batch Name],SamplingData[[#This Row],[Batch by Type (p)]]) &lt;&gt; 0, COUNTIF(SelectedPrecincts[Batch Name],SamplingData[[#This Row],[Batch by Type (p)]]), 0)</f>
        <v>0</v>
      </c>
    </row>
    <row r="2003" spans="1:24" ht="15" customHeight="1">
      <c r="A2003" s="18" t="s">
        <v>2179</v>
      </c>
      <c r="B2003" s="18">
        <v>10</v>
      </c>
      <c r="C2003" s="18">
        <v>7</v>
      </c>
      <c r="D2003" s="16">
        <v>1</v>
      </c>
      <c r="E2003" s="16">
        <v>3</v>
      </c>
      <c r="F2003" s="37">
        <v>0</v>
      </c>
      <c r="G2003" s="37">
        <v>0</v>
      </c>
      <c r="H2003" s="17">
        <v>0</v>
      </c>
      <c r="I2003" s="17">
        <v>0</v>
      </c>
      <c r="J2003" s="99">
        <f>SUM(SamplingData[[#This Row],[Losing Candidate]:[Under Votes]])</f>
        <v>21</v>
      </c>
      <c r="K2003" s="100">
        <f>IF(AND(SamplingData[[#This Row],[Total]]&lt;&gt; 0, NOT(ISBLANK(SamplingData[[#This Row],[Losing Candidate]]))),(SamplingData[[#This Row],[Total]]+SamplingData[[#This Row],[Winning Candidate]]-SamplingData[[#This Row],[Losing Candidate]])/(SamplingData[[#Totals],[Winning Candidate]]-SamplingData[[#Totals],[Losing Candidate]]), 0)</f>
        <v>1.1024007839294464E-3</v>
      </c>
      <c r="L2003" s="100">
        <f>IF(AND(SamplingData[[#This Row],[Total]]&lt;&gt; 0, NOT(ISBLANK(SamplingData[[#This Row],[Candidate 3]]))),(SamplingData[[#This Row],[Total]]+SamplingData[[#This Row],[Winning Candidate]]-SamplingData[[#This Row],[Candidate 3]])/(SamplingData[[#Totals],[Winning Candidate]]-SamplingData[[#Totals],[Candidate 3]]), 0)</f>
        <v>8.710520372939317E-4</v>
      </c>
      <c r="M2003" s="100">
        <f>IF(AND(SamplingData[[#This Row],[Total]]&lt;&gt; 0, NOT(ISBLANK(SamplingData[[#This Row],[Candidate 4]]))),(SamplingData[[#This Row],[Total]]+SamplingData[[#This Row],[Winning Candidate]]-SamplingData[[#This Row],[Candidate 4]])/(SamplingData[[#Totals],[Winning Candidate]]-SamplingData[[#Totals],[Candidate 4]]), 0)</f>
        <v>7.3080183577421145E-4</v>
      </c>
      <c r="N2003" s="100">
        <f>IF(AND(SamplingData[[#This Row],[Total]]&lt;&gt; 0, NOT(ISBLANK(SamplingData[[#This Row],[Candidate 5]]))),(SamplingData[[#This Row],[Total]]+SamplingData[[#This Row],[Winning Candidate]]-SamplingData[[#This Row],[Candidate 5]])/(SamplingData[[#Totals],[Winning Candidate]]-SamplingData[[#Totals],[Candidate 5]]), 0)</f>
        <v>6.8109948917538315E-4</v>
      </c>
      <c r="O2003" s="100">
        <f>IF(AND(SamplingData[[#This Row],[Total]]&lt;&gt; 0, NOT(ISBLANK(SamplingData[[#This Row],[Candidate 6]]))),(SamplingData[[#This Row],[Total]]+SamplingData[[#This Row],[Winning Candidate]]-SamplingData[[#This Row],[Candidate 6]])/(SamplingData[[#Totals],[Winning Candidate]]-SamplingData[[#Totals],[Candidate 6]]), 0)</f>
        <v>6.8090073440007777E-4</v>
      </c>
      <c r="P2003" s="100">
        <f>MAX(SamplingData[[#This Row],[Error Bound (up) - Max. possible relative overstatement - Losing Candidate]:[Error Bound (up) - Max. possible relative overstatement - Candidate 6]])</f>
        <v>1.1024007839294464E-3</v>
      </c>
      <c r="Q2003" s="100">
        <f>IF(SamplingData[[#This Row],[Max Error Bound (up)]] = 0,0,SamplingData[[#This Row],[Max Error Bound (up)]]/SamplingData[[#Totals],[Max Error Bound (up)]])</f>
        <v>1.7447306901202498E-4</v>
      </c>
      <c r="R2003" s="101">
        <f>SUM($Q$5:Q2003)</f>
        <v>0.84942455364986991</v>
      </c>
      <c r="S2003" s="100" t="str">
        <f t="array" ref="S2003">IF(SamplingData[[#This Row],[up/U Selection Probability]] = 0, "Zero", TEXT(SamplingData[[#This Row],[Lower Range]], REPT("0",LEN('General Info'!$B$40))) &amp; " - " &amp; TEXT(SamplingData[[#This Row],[Upper Range]], REPT("0",LEN('General Info'!$B$40))))</f>
        <v>84925 - 84941</v>
      </c>
      <c r="T2003" s="100">
        <f>SamplingData[[#This Row],[Upper Range]]-SamplingData[[#This Row],[Span]]</f>
        <v>84925.008232558859</v>
      </c>
      <c r="U2003" s="100">
        <f>IF(ISNUMBER('General Info'!$B$40), ((SamplingData[[#This Row],[up/U Selection Probability]]) * 'General Info'!$B$40) - 1, 0)</f>
        <v>16.447132428133486</v>
      </c>
      <c r="V2003" s="100">
        <f>IF(ISNUMBER('General Info'!$B$40), (SamplingData[[#This Row],[Running (cumulative) sum]] * ('General Info'!$B$40 -'General Info'!$B$41 + 1)) + 'General Info'!$B$41 - 1, 0)</f>
        <v>84941.455364986992</v>
      </c>
      <c r="W2003" s="100" t="str">
        <f>IF(ISERROR(MATCH(SamplingData[[#This Row],[Batch by Type (p)]],SelectedPrecincts[Batch Name], 0)), "", INDEX(SelectedPrecincts[Draw], MATCH(SamplingData[[#This Row],[Batch by Type (p)]],SelectedPrecincts[Batch Name], 0)))</f>
        <v/>
      </c>
      <c r="X2003" s="102">
        <f>IF(COUNTIF(SelectedPrecincts[Batch Name],SamplingData[[#This Row],[Batch by Type (p)]]) &lt;&gt; 0, COUNTIF(SelectedPrecincts[Batch Name],SamplingData[[#This Row],[Batch by Type (p)]]), 0)</f>
        <v>0</v>
      </c>
    </row>
    <row r="2004" spans="1:24" ht="15" customHeight="1">
      <c r="A2004" s="18" t="s">
        <v>2180</v>
      </c>
      <c r="B2004" s="18">
        <v>3</v>
      </c>
      <c r="C2004" s="18">
        <v>3</v>
      </c>
      <c r="D2004" s="18">
        <v>2</v>
      </c>
      <c r="E2004" s="18">
        <v>0</v>
      </c>
      <c r="F2004" s="18">
        <v>1</v>
      </c>
      <c r="G2004" s="18">
        <v>0</v>
      </c>
      <c r="H2004" s="18">
        <v>0</v>
      </c>
      <c r="I2004" s="18">
        <v>0</v>
      </c>
      <c r="J2004" s="99">
        <f>SUM(SamplingData[[#This Row],[Losing Candidate]:[Under Votes]])</f>
        <v>9</v>
      </c>
      <c r="K2004"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2004" s="100">
        <f>IF(AND(SamplingData[[#This Row],[Total]]&lt;&gt; 0, NOT(ISBLANK(SamplingData[[#This Row],[Candidate 3]]))),(SamplingData[[#This Row],[Total]]+SamplingData[[#This Row],[Winning Candidate]]-SamplingData[[#This Row],[Candidate 3]])/(SamplingData[[#Totals],[Winning Candidate]]-SamplingData[[#Totals],[Candidate 3]]), 0)</f>
        <v>3.2261186566441915E-4</v>
      </c>
      <c r="M2004" s="100">
        <f>IF(AND(SamplingData[[#This Row],[Total]]&lt;&gt; 0, NOT(ISBLANK(SamplingData[[#This Row],[Candidate 4]]))),(SamplingData[[#This Row],[Total]]+SamplingData[[#This Row],[Winning Candidate]]-SamplingData[[#This Row],[Candidate 4]])/(SamplingData[[#Totals],[Winning Candidate]]-SamplingData[[#Totals],[Candidate 4]]), 0)</f>
        <v>3.5078488117162149E-4</v>
      </c>
      <c r="N2004" s="100">
        <f>IF(AND(SamplingData[[#This Row],[Total]]&lt;&gt; 0, NOT(ISBLANK(SamplingData[[#This Row],[Candidate 5]]))),(SamplingData[[#This Row],[Total]]+SamplingData[[#This Row],[Winning Candidate]]-SamplingData[[#This Row],[Candidate 5]])/(SamplingData[[#Totals],[Winning Candidate]]-SamplingData[[#Totals],[Candidate 5]]), 0)</f>
        <v>2.6757479931890053E-4</v>
      </c>
      <c r="O2004" s="100">
        <f>IF(AND(SamplingData[[#This Row],[Total]]&lt;&gt; 0, NOT(ISBLANK(SamplingData[[#This Row],[Candidate 6]]))),(SamplingData[[#This Row],[Total]]+SamplingData[[#This Row],[Winning Candidate]]-SamplingData[[#This Row],[Candidate 6]])/(SamplingData[[#Totals],[Winning Candidate]]-SamplingData[[#Totals],[Candidate 6]]), 0)</f>
        <v>2.9181460045717622E-4</v>
      </c>
      <c r="P2004" s="100">
        <f>MAX(SamplingData[[#This Row],[Error Bound (up) - Max. possible relative overstatement - Losing Candidate]:[Error Bound (up) - Max. possible relative overstatement - Candidate 6]])</f>
        <v>5.5120039196472322E-4</v>
      </c>
      <c r="Q2004" s="100">
        <f>IF(SamplingData[[#This Row],[Max Error Bound (up)]] = 0,0,SamplingData[[#This Row],[Max Error Bound (up)]]/SamplingData[[#Totals],[Max Error Bound (up)]])</f>
        <v>8.7236534506012492E-5</v>
      </c>
      <c r="R2004" s="101">
        <f>SUM($Q$5:Q2004)</f>
        <v>0.84951179018437595</v>
      </c>
      <c r="S2004" s="100" t="str">
        <f t="array" ref="S2004">IF(SamplingData[[#This Row],[up/U Selection Probability]] = 0, "Zero", TEXT(SamplingData[[#This Row],[Lower Range]], REPT("0",LEN('General Info'!$B$40))) &amp; " - " &amp; TEXT(SamplingData[[#This Row],[Upper Range]], REPT("0",LEN('General Info'!$B$40))))</f>
        <v>84942 - 84950</v>
      </c>
      <c r="T2004" s="100">
        <f>SamplingData[[#This Row],[Upper Range]]-SamplingData[[#This Row],[Span]]</f>
        <v>84942.455452223527</v>
      </c>
      <c r="U2004" s="100">
        <f>IF(ISNUMBER('General Info'!$B$40), ((SamplingData[[#This Row],[up/U Selection Probability]]) * 'General Info'!$B$40) - 1, 0)</f>
        <v>7.7235662140667429</v>
      </c>
      <c r="V2004" s="100">
        <f>IF(ISNUMBER('General Info'!$B$40), (SamplingData[[#This Row],[Running (cumulative) sum]] * ('General Info'!$B$40 -'General Info'!$B$41 + 1)) + 'General Info'!$B$41 - 1, 0)</f>
        <v>84950.1790184376</v>
      </c>
      <c r="W2004" s="100" t="str">
        <f>IF(ISERROR(MATCH(SamplingData[[#This Row],[Batch by Type (p)]],SelectedPrecincts[Batch Name], 0)), "", INDEX(SelectedPrecincts[Draw], MATCH(SamplingData[[#This Row],[Batch by Type (p)]],SelectedPrecincts[Batch Name], 0)))</f>
        <v/>
      </c>
      <c r="X2004" s="102">
        <f>IF(COUNTIF(SelectedPrecincts[Batch Name],SamplingData[[#This Row],[Batch by Type (p)]]) &lt;&gt; 0, COUNTIF(SelectedPrecincts[Batch Name],SamplingData[[#This Row],[Batch by Type (p)]]), 0)</f>
        <v>0</v>
      </c>
    </row>
    <row r="2005" spans="1:24" ht="15" customHeight="1">
      <c r="A2005" s="18" t="s">
        <v>2181</v>
      </c>
      <c r="B2005" s="18">
        <v>28</v>
      </c>
      <c r="C2005" s="18">
        <v>58</v>
      </c>
      <c r="D2005" s="16">
        <v>22</v>
      </c>
      <c r="E2005" s="16">
        <v>7</v>
      </c>
      <c r="F2005" s="37">
        <v>1</v>
      </c>
      <c r="G2005" s="37">
        <v>0</v>
      </c>
      <c r="H2005" s="17">
        <v>0</v>
      </c>
      <c r="I2005" s="17">
        <v>1</v>
      </c>
      <c r="J2005" s="99">
        <f>SUM(SamplingData[[#This Row],[Losing Candidate]:[Under Votes]])</f>
        <v>117</v>
      </c>
      <c r="K2005" s="100">
        <f>IF(AND(SamplingData[[#This Row],[Total]]&lt;&gt; 0, NOT(ISBLANK(SamplingData[[#This Row],[Losing Candidate]]))),(SamplingData[[#This Row],[Total]]+SamplingData[[#This Row],[Winning Candidate]]-SamplingData[[#This Row],[Losing Candidate]])/(SamplingData[[#Totals],[Winning Candidate]]-SamplingData[[#Totals],[Losing Candidate]]), 0)</f>
        <v>9.0029397354238119E-3</v>
      </c>
      <c r="L2005" s="100">
        <f>IF(AND(SamplingData[[#This Row],[Total]]&lt;&gt; 0, NOT(ISBLANK(SamplingData[[#This Row],[Candidate 3]]))),(SamplingData[[#This Row],[Total]]+SamplingData[[#This Row],[Winning Candidate]]-SamplingData[[#This Row],[Candidate 3]])/(SamplingData[[#Totals],[Winning Candidate]]-SamplingData[[#Totals],[Candidate 3]]), 0)</f>
        <v>4.935961544665613E-3</v>
      </c>
      <c r="M2005" s="100">
        <f>IF(AND(SamplingData[[#This Row],[Total]]&lt;&gt; 0, NOT(ISBLANK(SamplingData[[#This Row],[Candidate 4]]))),(SamplingData[[#This Row],[Total]]+SamplingData[[#This Row],[Winning Candidate]]-SamplingData[[#This Row],[Candidate 4]])/(SamplingData[[#Totals],[Winning Candidate]]-SamplingData[[#Totals],[Candidate 4]]), 0)</f>
        <v>4.9109883364027006E-3</v>
      </c>
      <c r="N2005" s="100">
        <f>IF(AND(SamplingData[[#This Row],[Total]]&lt;&gt; 0, NOT(ISBLANK(SamplingData[[#This Row],[Candidate 5]]))),(SamplingData[[#This Row],[Total]]+SamplingData[[#This Row],[Winning Candidate]]-SamplingData[[#This Row],[Candidate 5]])/(SamplingData[[#Totals],[Winning Candidate]]-SamplingData[[#Totals],[Candidate 5]]), 0)</f>
        <v>4.2325468255898805E-3</v>
      </c>
      <c r="O2005" s="100">
        <f>IF(AND(SamplingData[[#This Row],[Total]]&lt;&gt; 0, NOT(ISBLANK(SamplingData[[#This Row],[Candidate 6]]))),(SamplingData[[#This Row],[Total]]+SamplingData[[#This Row],[Winning Candidate]]-SamplingData[[#This Row],[Candidate 6]])/(SamplingData[[#Totals],[Winning Candidate]]-SamplingData[[#Totals],[Candidate 6]]), 0)</f>
        <v>4.2556295900004863E-3</v>
      </c>
      <c r="P2005" s="100">
        <f>MAX(SamplingData[[#This Row],[Error Bound (up) - Max. possible relative overstatement - Losing Candidate]:[Error Bound (up) - Max. possible relative overstatement - Candidate 6]])</f>
        <v>9.0029397354238119E-3</v>
      </c>
      <c r="Q2005" s="100">
        <f>IF(SamplingData[[#This Row],[Max Error Bound (up)]] = 0,0,SamplingData[[#This Row],[Max Error Bound (up)]]/SamplingData[[#Totals],[Max Error Bound (up)]])</f>
        <v>1.4248633969315373E-3</v>
      </c>
      <c r="R2005" s="101">
        <f>SUM($Q$5:Q2005)</f>
        <v>0.85093665358130743</v>
      </c>
      <c r="S2005" s="100" t="str">
        <f t="array" ref="S2005">IF(SamplingData[[#This Row],[up/U Selection Probability]] = 0, "Zero", TEXT(SamplingData[[#This Row],[Lower Range]], REPT("0",LEN('General Info'!$B$40))) &amp; " - " &amp; TEXT(SamplingData[[#This Row],[Upper Range]], REPT("0",LEN('General Info'!$B$40))))</f>
        <v>84951 - 85093</v>
      </c>
      <c r="T2005" s="100">
        <f>SamplingData[[#This Row],[Upper Range]]-SamplingData[[#This Row],[Span]]</f>
        <v>84951.180443300997</v>
      </c>
      <c r="U2005" s="100">
        <f>IF(ISNUMBER('General Info'!$B$40), ((SamplingData[[#This Row],[up/U Selection Probability]]) * 'General Info'!$B$40) - 1, 0)</f>
        <v>141.4849148297568</v>
      </c>
      <c r="V2005" s="100">
        <f>IF(ISNUMBER('General Info'!$B$40), (SamplingData[[#This Row],[Running (cumulative) sum]] * ('General Info'!$B$40 -'General Info'!$B$41 + 1)) + 'General Info'!$B$41 - 1, 0)</f>
        <v>85092.665358130747</v>
      </c>
      <c r="W2005" s="100" t="str">
        <f>IF(ISERROR(MATCH(SamplingData[[#This Row],[Batch by Type (p)]],SelectedPrecincts[Batch Name], 0)), "", INDEX(SelectedPrecincts[Draw], MATCH(SamplingData[[#This Row],[Batch by Type (p)]],SelectedPrecincts[Batch Name], 0)))</f>
        <v/>
      </c>
      <c r="X2005" s="102">
        <f>IF(COUNTIF(SelectedPrecincts[Batch Name],SamplingData[[#This Row],[Batch by Type (p)]]) &lt;&gt; 0, COUNTIF(SelectedPrecincts[Batch Name],SamplingData[[#This Row],[Batch by Type (p)]]), 0)</f>
        <v>0</v>
      </c>
    </row>
    <row r="2006" spans="1:24" ht="15" customHeight="1">
      <c r="A2006" s="18" t="s">
        <v>2182</v>
      </c>
      <c r="B2006" s="18">
        <v>23</v>
      </c>
      <c r="C2006" s="18">
        <v>57</v>
      </c>
      <c r="D2006" s="18">
        <v>9</v>
      </c>
      <c r="E2006" s="18">
        <v>6</v>
      </c>
      <c r="F2006" s="18">
        <v>0</v>
      </c>
      <c r="G2006" s="18">
        <v>0</v>
      </c>
      <c r="H2006" s="18">
        <v>0</v>
      </c>
      <c r="I2006" s="18">
        <v>0</v>
      </c>
      <c r="J2006" s="99">
        <f>SUM(SamplingData[[#This Row],[Losing Candidate]:[Under Votes]])</f>
        <v>95</v>
      </c>
      <c r="K2006" s="100">
        <f>IF(AND(SamplingData[[#This Row],[Total]]&lt;&gt; 0, NOT(ISBLANK(SamplingData[[#This Row],[Losing Candidate]]))),(SamplingData[[#This Row],[Total]]+SamplingData[[#This Row],[Winning Candidate]]-SamplingData[[#This Row],[Losing Candidate]])/(SamplingData[[#Totals],[Winning Candidate]]-SamplingData[[#Totals],[Losing Candidate]]), 0)</f>
        <v>7.9005389514943663E-3</v>
      </c>
      <c r="L2006" s="100">
        <f>IF(AND(SamplingData[[#This Row],[Total]]&lt;&gt; 0, NOT(ISBLANK(SamplingData[[#This Row],[Candidate 3]]))),(SamplingData[[#This Row],[Total]]+SamplingData[[#This Row],[Winning Candidate]]-SamplingData[[#This Row],[Candidate 3]])/(SamplingData[[#Totals],[Winning Candidate]]-SamplingData[[#Totals],[Candidate 3]]), 0)</f>
        <v>4.6133496790011939E-3</v>
      </c>
      <c r="M2006" s="100">
        <f>IF(AND(SamplingData[[#This Row],[Total]]&lt;&gt; 0, NOT(ISBLANK(SamplingData[[#This Row],[Candidate 4]]))),(SamplingData[[#This Row],[Total]]+SamplingData[[#This Row],[Winning Candidate]]-SamplingData[[#This Row],[Candidate 4]])/(SamplingData[[#Totals],[Winning Candidate]]-SamplingData[[#Totals],[Candidate 4]]), 0)</f>
        <v>4.2678827209213952E-3</v>
      </c>
      <c r="N2006" s="100">
        <f>IF(AND(SamplingData[[#This Row],[Total]]&lt;&gt; 0, NOT(ISBLANK(SamplingData[[#This Row],[Candidate 5]]))),(SamplingData[[#This Row],[Total]]+SamplingData[[#This Row],[Winning Candidate]]-SamplingData[[#This Row],[Candidate 5]])/(SamplingData[[#Totals],[Winning Candidate]]-SamplingData[[#Totals],[Candidate 5]]), 0)</f>
        <v>3.6973972269520798E-3</v>
      </c>
      <c r="O2006" s="100">
        <f>IF(AND(SamplingData[[#This Row],[Total]]&lt;&gt; 0, NOT(ISBLANK(SamplingData[[#This Row],[Candidate 6]]))),(SamplingData[[#This Row],[Total]]+SamplingData[[#This Row],[Winning Candidate]]-SamplingData[[#This Row],[Candidate 6]])/(SamplingData[[#Totals],[Winning Candidate]]-SamplingData[[#Totals],[Candidate 6]]), 0)</f>
        <v>3.6963182724575653E-3</v>
      </c>
      <c r="P2006" s="100">
        <f>MAX(SamplingData[[#This Row],[Error Bound (up) - Max. possible relative overstatement - Losing Candidate]:[Error Bound (up) - Max. possible relative overstatement - Candidate 6]])</f>
        <v>7.9005389514943663E-3</v>
      </c>
      <c r="Q2006" s="100">
        <f>IF(SamplingData[[#This Row],[Max Error Bound (up)]] = 0,0,SamplingData[[#This Row],[Max Error Bound (up)]]/SamplingData[[#Totals],[Max Error Bound (up)]])</f>
        <v>1.2503903279195124E-3</v>
      </c>
      <c r="R2006" s="101">
        <f>SUM($Q$5:Q2006)</f>
        <v>0.85218704390922695</v>
      </c>
      <c r="S2006" s="100" t="str">
        <f t="array" ref="S2006">IF(SamplingData[[#This Row],[up/U Selection Probability]] = 0, "Zero", TEXT(SamplingData[[#This Row],[Lower Range]], REPT("0",LEN('General Info'!$B$40))) &amp; " - " &amp; TEXT(SamplingData[[#This Row],[Upper Range]], REPT("0",LEN('General Info'!$B$40))))</f>
        <v>85094 - 85218</v>
      </c>
      <c r="T2006" s="100">
        <f>SamplingData[[#This Row],[Upper Range]]-SamplingData[[#This Row],[Span]]</f>
        <v>85093.666608521075</v>
      </c>
      <c r="U2006" s="100">
        <f>IF(ISNUMBER('General Info'!$B$40), ((SamplingData[[#This Row],[up/U Selection Probability]]) * 'General Info'!$B$40) - 1, 0)</f>
        <v>124.03778240162332</v>
      </c>
      <c r="V2006" s="100">
        <f>IF(ISNUMBER('General Info'!$B$40), (SamplingData[[#This Row],[Running (cumulative) sum]] * ('General Info'!$B$40 -'General Info'!$B$41 + 1)) + 'General Info'!$B$41 - 1, 0)</f>
        <v>85217.704390922692</v>
      </c>
      <c r="W2006" s="100" t="str">
        <f>IF(ISERROR(MATCH(SamplingData[[#This Row],[Batch by Type (p)]],SelectedPrecincts[Batch Name], 0)), "", INDEX(SelectedPrecincts[Draw], MATCH(SamplingData[[#This Row],[Batch by Type (p)]],SelectedPrecincts[Batch Name], 0)))</f>
        <v/>
      </c>
      <c r="X2006" s="102">
        <f>IF(COUNTIF(SelectedPrecincts[Batch Name],SamplingData[[#This Row],[Batch by Type (p)]]) &lt;&gt; 0, COUNTIF(SelectedPrecincts[Batch Name],SamplingData[[#This Row],[Batch by Type (p)]]), 0)</f>
        <v>0</v>
      </c>
    </row>
    <row r="2007" spans="1:24" ht="15" customHeight="1">
      <c r="A2007" s="18" t="s">
        <v>2183</v>
      </c>
      <c r="B2007" s="18">
        <v>44</v>
      </c>
      <c r="C2007" s="18">
        <v>99</v>
      </c>
      <c r="D2007" s="16">
        <v>27</v>
      </c>
      <c r="E2007" s="16">
        <v>26</v>
      </c>
      <c r="F2007" s="37">
        <v>2</v>
      </c>
      <c r="G2007" s="37">
        <v>1</v>
      </c>
      <c r="H2007" s="17">
        <v>0</v>
      </c>
      <c r="I2007" s="17">
        <v>3</v>
      </c>
      <c r="J2007" s="99">
        <f>SUM(SamplingData[[#This Row],[Losing Candidate]:[Under Votes]])</f>
        <v>202</v>
      </c>
      <c r="K2007" s="100">
        <f>IF(AND(SamplingData[[#This Row],[Total]]&lt;&gt; 0, NOT(ISBLANK(SamplingData[[#This Row],[Losing Candidate]]))),(SamplingData[[#This Row],[Total]]+SamplingData[[#This Row],[Winning Candidate]]-SamplingData[[#This Row],[Losing Candidate]])/(SamplingData[[#Totals],[Winning Candidate]]-SamplingData[[#Totals],[Losing Candidate]]), 0)</f>
        <v>1.573983341499265E-2</v>
      </c>
      <c r="L2007" s="100">
        <f>IF(AND(SamplingData[[#This Row],[Total]]&lt;&gt; 0, NOT(ISBLANK(SamplingData[[#This Row],[Candidate 3]]))),(SamplingData[[#This Row],[Total]]+SamplingData[[#This Row],[Winning Candidate]]-SamplingData[[#This Row],[Candidate 3]])/(SamplingData[[#Totals],[Winning Candidate]]-SamplingData[[#Totals],[Candidate 3]]), 0)</f>
        <v>8.8395651192050839E-3</v>
      </c>
      <c r="M2007" s="100">
        <f>IF(AND(SamplingData[[#This Row],[Total]]&lt;&gt; 0, NOT(ISBLANK(SamplingData[[#This Row],[Candidate 4]]))),(SamplingData[[#This Row],[Total]]+SamplingData[[#This Row],[Winning Candidate]]-SamplingData[[#This Row],[Candidate 4]])/(SamplingData[[#Totals],[Winning Candidate]]-SamplingData[[#Totals],[Candidate 4]]), 0)</f>
        <v>8.0388201935163266E-3</v>
      </c>
      <c r="N2007" s="100">
        <f>IF(AND(SamplingData[[#This Row],[Total]]&lt;&gt; 0, NOT(ISBLANK(SamplingData[[#This Row],[Candidate 5]]))),(SamplingData[[#This Row],[Total]]+SamplingData[[#This Row],[Winning Candidate]]-SamplingData[[#This Row],[Candidate 5]])/(SamplingData[[#Totals],[Winning Candidate]]-SamplingData[[#Totals],[Candidate 5]]), 0)</f>
        <v>7.2731695451228413E-3</v>
      </c>
      <c r="O2007" s="100">
        <f>IF(AND(SamplingData[[#This Row],[Total]]&lt;&gt; 0, NOT(ISBLANK(SamplingData[[#This Row],[Candidate 6]]))),(SamplingData[[#This Row],[Total]]+SamplingData[[#This Row],[Winning Candidate]]-SamplingData[[#This Row],[Candidate 6]])/(SamplingData[[#Totals],[Winning Candidate]]-SamplingData[[#Totals],[Candidate 6]]), 0)</f>
        <v>7.295365011429405E-3</v>
      </c>
      <c r="P2007" s="100">
        <f>MAX(SamplingData[[#This Row],[Error Bound (up) - Max. possible relative overstatement - Losing Candidate]:[Error Bound (up) - Max. possible relative overstatement - Candidate 6]])</f>
        <v>1.573983341499265E-2</v>
      </c>
      <c r="Q2007" s="100">
        <f>IF(SamplingData[[#This Row],[Max Error Bound (up)]] = 0,0,SamplingData[[#This Row],[Max Error Bound (up)]]/SamplingData[[#Totals],[Max Error Bound (up)]])</f>
        <v>2.4910877075605786E-3</v>
      </c>
      <c r="R2007" s="101">
        <f>SUM($Q$5:Q2007)</f>
        <v>0.85467813161678752</v>
      </c>
      <c r="S2007" s="100" t="str">
        <f t="array" ref="S2007">IF(SamplingData[[#This Row],[up/U Selection Probability]] = 0, "Zero", TEXT(SamplingData[[#This Row],[Lower Range]], REPT("0",LEN('General Info'!$B$40))) &amp; " - " &amp; TEXT(SamplingData[[#This Row],[Upper Range]], REPT("0",LEN('General Info'!$B$40))))</f>
        <v>85219 - 85467</v>
      </c>
      <c r="T2007" s="100">
        <f>SamplingData[[#This Row],[Upper Range]]-SamplingData[[#This Row],[Span]]</f>
        <v>85218.706882010403</v>
      </c>
      <c r="U2007" s="100">
        <f>IF(ISNUMBER('General Info'!$B$40), ((SamplingData[[#This Row],[up/U Selection Probability]]) * 'General Info'!$B$40) - 1, 0)</f>
        <v>248.10627966835031</v>
      </c>
      <c r="V2007" s="100">
        <f>IF(ISNUMBER('General Info'!$B$40), (SamplingData[[#This Row],[Running (cumulative) sum]] * ('General Info'!$B$40 -'General Info'!$B$41 + 1)) + 'General Info'!$B$41 - 1, 0)</f>
        <v>85466.813161678758</v>
      </c>
      <c r="W2007" s="100" t="str">
        <f>IF(ISERROR(MATCH(SamplingData[[#This Row],[Batch by Type (p)]],SelectedPrecincts[Batch Name], 0)), "", INDEX(SelectedPrecincts[Draw], MATCH(SamplingData[[#This Row],[Batch by Type (p)]],SelectedPrecincts[Batch Name], 0)))</f>
        <v/>
      </c>
      <c r="X2007" s="102">
        <f>IF(COUNTIF(SelectedPrecincts[Batch Name],SamplingData[[#This Row],[Batch by Type (p)]]) &lt;&gt; 0, COUNTIF(SelectedPrecincts[Batch Name],SamplingData[[#This Row],[Batch by Type (p)]]), 0)</f>
        <v>0</v>
      </c>
    </row>
    <row r="2008" spans="1:24" ht="15" customHeight="1">
      <c r="A2008" s="18" t="s">
        <v>2184</v>
      </c>
      <c r="B2008" s="18">
        <v>34</v>
      </c>
      <c r="C2008" s="18">
        <v>32</v>
      </c>
      <c r="D2008" s="18">
        <v>12</v>
      </c>
      <c r="E2008" s="18">
        <v>6</v>
      </c>
      <c r="F2008" s="18">
        <v>0</v>
      </c>
      <c r="G2008" s="18">
        <v>1</v>
      </c>
      <c r="H2008" s="18">
        <v>0</v>
      </c>
      <c r="I2008" s="18">
        <v>1</v>
      </c>
      <c r="J2008" s="99">
        <f>SUM(SamplingData[[#This Row],[Losing Candidate]:[Under Votes]])</f>
        <v>86</v>
      </c>
      <c r="K2008" s="100">
        <f>IF(AND(SamplingData[[#This Row],[Total]]&lt;&gt; 0, NOT(ISBLANK(SamplingData[[#This Row],[Losing Candidate]]))),(SamplingData[[#This Row],[Total]]+SamplingData[[#This Row],[Winning Candidate]]-SamplingData[[#This Row],[Losing Candidate]])/(SamplingData[[#Totals],[Winning Candidate]]-SamplingData[[#Totals],[Losing Candidate]]), 0)</f>
        <v>5.1445369916707498E-3</v>
      </c>
      <c r="L2008" s="100">
        <f>IF(AND(SamplingData[[#This Row],[Total]]&lt;&gt; 0, NOT(ISBLANK(SamplingData[[#This Row],[Candidate 3]]))),(SamplingData[[#This Row],[Total]]+SamplingData[[#This Row],[Winning Candidate]]-SamplingData[[#This Row],[Candidate 3]])/(SamplingData[[#Totals],[Winning Candidate]]-SamplingData[[#Totals],[Candidate 3]]), 0)</f>
        <v>3.4196857760428428E-3</v>
      </c>
      <c r="M2008" s="100">
        <f>IF(AND(SamplingData[[#This Row],[Total]]&lt;&gt; 0, NOT(ISBLANK(SamplingData[[#This Row],[Candidate 4]]))),(SamplingData[[#This Row],[Total]]+SamplingData[[#This Row],[Winning Candidate]]-SamplingData[[#This Row],[Candidate 4]])/(SamplingData[[#Totals],[Winning Candidate]]-SamplingData[[#Totals],[Candidate 4]]), 0)</f>
        <v>3.2739922242684674E-3</v>
      </c>
      <c r="N2008" s="100">
        <f>IF(AND(SamplingData[[#This Row],[Total]]&lt;&gt; 0, NOT(ISBLANK(SamplingData[[#This Row],[Candidate 5]]))),(SamplingData[[#This Row],[Total]]+SamplingData[[#This Row],[Winning Candidate]]-SamplingData[[#This Row],[Candidate 5]])/(SamplingData[[#Totals],[Winning Candidate]]-SamplingData[[#Totals],[Candidate 5]]), 0)</f>
        <v>2.8703478472391145E-3</v>
      </c>
      <c r="O2008" s="100">
        <f>IF(AND(SamplingData[[#This Row],[Total]]&lt;&gt; 0, NOT(ISBLANK(SamplingData[[#This Row],[Candidate 6]]))),(SamplingData[[#This Row],[Total]]+SamplingData[[#This Row],[Winning Candidate]]-SamplingData[[#This Row],[Candidate 6]])/(SamplingData[[#Totals],[Winning Candidate]]-SamplingData[[#Totals],[Candidate 6]]), 0)</f>
        <v>2.845192354457468E-3</v>
      </c>
      <c r="P2008" s="100">
        <f>MAX(SamplingData[[#This Row],[Error Bound (up) - Max. possible relative overstatement - Losing Candidate]:[Error Bound (up) - Max. possible relative overstatement - Candidate 6]])</f>
        <v>5.1445369916707498E-3</v>
      </c>
      <c r="Q2008" s="100">
        <f>IF(SamplingData[[#This Row],[Max Error Bound (up)]] = 0,0,SamplingData[[#This Row],[Max Error Bound (up)]]/SamplingData[[#Totals],[Max Error Bound (up)]])</f>
        <v>8.1420765538944991E-4</v>
      </c>
      <c r="R2008" s="101">
        <f>SUM($Q$5:Q2008)</f>
        <v>0.85549233927217694</v>
      </c>
      <c r="S2008" s="100" t="str">
        <f t="array" ref="S2008">IF(SamplingData[[#This Row],[up/U Selection Probability]] = 0, "Zero", TEXT(SamplingData[[#This Row],[Lower Range]], REPT("0",LEN('General Info'!$B$40))) &amp; " - " &amp; TEXT(SamplingData[[#This Row],[Upper Range]], REPT("0",LEN('General Info'!$B$40))))</f>
        <v>85468 - 85548</v>
      </c>
      <c r="T2008" s="100">
        <f>SamplingData[[#This Row],[Upper Range]]-SamplingData[[#This Row],[Span]]</f>
        <v>85467.813975886398</v>
      </c>
      <c r="U2008" s="100">
        <f>IF(ISNUMBER('General Info'!$B$40), ((SamplingData[[#This Row],[up/U Selection Probability]]) * 'General Info'!$B$40) - 1, 0)</f>
        <v>80.419951331289596</v>
      </c>
      <c r="V2008" s="100">
        <f>IF(ISNUMBER('General Info'!$B$40), (SamplingData[[#This Row],[Running (cumulative) sum]] * ('General Info'!$B$40 -'General Info'!$B$41 + 1)) + 'General Info'!$B$41 - 1, 0)</f>
        <v>85548.233927217691</v>
      </c>
      <c r="W2008" s="100" t="str">
        <f>IF(ISERROR(MATCH(SamplingData[[#This Row],[Batch by Type (p)]],SelectedPrecincts[Batch Name], 0)), "", INDEX(SelectedPrecincts[Draw], MATCH(SamplingData[[#This Row],[Batch by Type (p)]],SelectedPrecincts[Batch Name], 0)))</f>
        <v/>
      </c>
      <c r="X2008" s="102">
        <f>IF(COUNTIF(SelectedPrecincts[Batch Name],SamplingData[[#This Row],[Batch by Type (p)]]) &lt;&gt; 0, COUNTIF(SelectedPrecincts[Batch Name],SamplingData[[#This Row],[Batch by Type (p)]]), 0)</f>
        <v>0</v>
      </c>
    </row>
    <row r="2009" spans="1:24" ht="15" customHeight="1">
      <c r="A2009" s="18" t="s">
        <v>2185</v>
      </c>
      <c r="B2009" s="18">
        <v>44</v>
      </c>
      <c r="C2009" s="18">
        <v>58</v>
      </c>
      <c r="D2009" s="16">
        <v>16</v>
      </c>
      <c r="E2009" s="16">
        <v>19</v>
      </c>
      <c r="F2009" s="37">
        <v>1</v>
      </c>
      <c r="G2009" s="37">
        <v>1</v>
      </c>
      <c r="H2009" s="17">
        <v>1</v>
      </c>
      <c r="I2009" s="17">
        <v>4</v>
      </c>
      <c r="J2009" s="99">
        <f>SUM(SamplingData[[#This Row],[Losing Candidate]:[Under Votes]])</f>
        <v>144</v>
      </c>
      <c r="K2009" s="100">
        <f>IF(AND(SamplingData[[#This Row],[Total]]&lt;&gt; 0, NOT(ISBLANK(SamplingData[[#This Row],[Losing Candidate]]))),(SamplingData[[#This Row],[Total]]+SamplingData[[#This Row],[Winning Candidate]]-SamplingData[[#This Row],[Losing Candidate]])/(SamplingData[[#Totals],[Winning Candidate]]-SamplingData[[#Totals],[Losing Candidate]]), 0)</f>
        <v>9.6766291033806955E-3</v>
      </c>
      <c r="L2009" s="100">
        <f>IF(AND(SamplingData[[#This Row],[Total]]&lt;&gt; 0, NOT(ISBLANK(SamplingData[[#This Row],[Candidate 3]]))),(SamplingData[[#This Row],[Total]]+SamplingData[[#This Row],[Winning Candidate]]-SamplingData[[#This Row],[Candidate 3]])/(SamplingData[[#Totals],[Winning Candidate]]-SamplingData[[#Totals],[Candidate 3]]), 0)</f>
        <v>6.0005807013581956E-3</v>
      </c>
      <c r="M2009" s="100">
        <f>IF(AND(SamplingData[[#This Row],[Total]]&lt;&gt; 0, NOT(ISBLANK(SamplingData[[#This Row],[Candidate 4]]))),(SamplingData[[#This Row],[Total]]+SamplingData[[#This Row],[Winning Candidate]]-SamplingData[[#This Row],[Candidate 4]])/(SamplingData[[#Totals],[Winning Candidate]]-SamplingData[[#Totals],[Candidate 4]]), 0)</f>
        <v>5.3494694378672276E-3</v>
      </c>
      <c r="N2009" s="100">
        <f>IF(AND(SamplingData[[#This Row],[Total]]&lt;&gt; 0, NOT(ISBLANK(SamplingData[[#This Row],[Candidate 5]]))),(SamplingData[[#This Row],[Total]]+SamplingData[[#This Row],[Winning Candidate]]-SamplingData[[#This Row],[Candidate 5]])/(SamplingData[[#Totals],[Winning Candidate]]-SamplingData[[#Totals],[Candidate 5]]), 0)</f>
        <v>4.889321333009E-3</v>
      </c>
      <c r="O2009" s="100">
        <f>IF(AND(SamplingData[[#This Row],[Total]]&lt;&gt; 0, NOT(ISBLANK(SamplingData[[#This Row],[Candidate 6]]))),(SamplingData[[#This Row],[Total]]+SamplingData[[#This Row],[Winning Candidate]]-SamplingData[[#This Row],[Candidate 6]])/(SamplingData[[#Totals],[Winning Candidate]]-SamplingData[[#Totals],[Candidate 6]]), 0)</f>
        <v>4.8878945576577015E-3</v>
      </c>
      <c r="P2009" s="100">
        <f>MAX(SamplingData[[#This Row],[Error Bound (up) - Max. possible relative overstatement - Losing Candidate]:[Error Bound (up) - Max. possible relative overstatement - Candidate 6]])</f>
        <v>9.6766291033806955E-3</v>
      </c>
      <c r="Q2009" s="100">
        <f>IF(SamplingData[[#This Row],[Max Error Bound (up)]] = 0,0,SamplingData[[#This Row],[Max Error Bound (up)]]/SamplingData[[#Totals],[Max Error Bound (up)]])</f>
        <v>1.5314858279944414E-3</v>
      </c>
      <c r="R2009" s="101">
        <f>SUM($Q$5:Q2009)</f>
        <v>0.85702382510017139</v>
      </c>
      <c r="S2009" s="100" t="str">
        <f t="array" ref="S2009">IF(SamplingData[[#This Row],[up/U Selection Probability]] = 0, "Zero", TEXT(SamplingData[[#This Row],[Lower Range]], REPT("0",LEN('General Info'!$B$40))) &amp; " - " &amp; TEXT(SamplingData[[#This Row],[Upper Range]], REPT("0",LEN('General Info'!$B$40))))</f>
        <v>85549 - 85701</v>
      </c>
      <c r="T2009" s="100">
        <f>SamplingData[[#This Row],[Upper Range]]-SamplingData[[#This Row],[Span]]</f>
        <v>85549.235458703522</v>
      </c>
      <c r="U2009" s="100">
        <f>IF(ISNUMBER('General Info'!$B$40), ((SamplingData[[#This Row],[up/U Selection Probability]]) * 'General Info'!$B$40) - 1, 0)</f>
        <v>152.14705131361615</v>
      </c>
      <c r="V2009" s="100">
        <f>IF(ISNUMBER('General Info'!$B$40), (SamplingData[[#This Row],[Running (cumulative) sum]] * ('General Info'!$B$40 -'General Info'!$B$41 + 1)) + 'General Info'!$B$41 - 1, 0)</f>
        <v>85701.382510017138</v>
      </c>
      <c r="W2009" s="100" t="str">
        <f>IF(ISERROR(MATCH(SamplingData[[#This Row],[Batch by Type (p)]],SelectedPrecincts[Batch Name], 0)), "", INDEX(SelectedPrecincts[Draw], MATCH(SamplingData[[#This Row],[Batch by Type (p)]],SelectedPrecincts[Batch Name], 0)))</f>
        <v/>
      </c>
      <c r="X2009" s="102">
        <f>IF(COUNTIF(SelectedPrecincts[Batch Name],SamplingData[[#This Row],[Batch by Type (p)]]) &lt;&gt; 0, COUNTIF(SelectedPrecincts[Batch Name],SamplingData[[#This Row],[Batch by Type (p)]]), 0)</f>
        <v>0</v>
      </c>
    </row>
    <row r="2010" spans="1:24" ht="15" customHeight="1">
      <c r="A2010" s="18" t="s">
        <v>2186</v>
      </c>
      <c r="B2010" s="18">
        <v>28</v>
      </c>
      <c r="C2010" s="18">
        <v>33</v>
      </c>
      <c r="D2010" s="18">
        <v>8</v>
      </c>
      <c r="E2010" s="18">
        <v>5</v>
      </c>
      <c r="F2010" s="18">
        <v>0</v>
      </c>
      <c r="G2010" s="18">
        <v>0</v>
      </c>
      <c r="H2010" s="18">
        <v>0</v>
      </c>
      <c r="I2010" s="18">
        <v>2</v>
      </c>
      <c r="J2010" s="99">
        <f>SUM(SamplingData[[#This Row],[Losing Candidate]:[Under Votes]])</f>
        <v>76</v>
      </c>
      <c r="K2010"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2010" s="100">
        <f>IF(AND(SamplingData[[#This Row],[Total]]&lt;&gt; 0, NOT(ISBLANK(SamplingData[[#This Row],[Candidate 3]]))),(SamplingData[[#This Row],[Total]]+SamplingData[[#This Row],[Winning Candidate]]-SamplingData[[#This Row],[Candidate 3]])/(SamplingData[[#Totals],[Winning Candidate]]-SamplingData[[#Totals],[Candidate 3]]), 0)</f>
        <v>3.2583798432106333E-3</v>
      </c>
      <c r="M2010" s="100">
        <f>IF(AND(SamplingData[[#This Row],[Total]]&lt;&gt; 0, NOT(ISBLANK(SamplingData[[#This Row],[Candidate 4]]))),(SamplingData[[#This Row],[Total]]+SamplingData[[#This Row],[Winning Candidate]]-SamplingData[[#This Row],[Candidate 4]])/(SamplingData[[#Totals],[Winning Candidate]]-SamplingData[[#Totals],[Candidate 4]]), 0)</f>
        <v>3.0401356368207197E-3</v>
      </c>
      <c r="N2010" s="100">
        <f>IF(AND(SamplingData[[#This Row],[Total]]&lt;&gt; 0, NOT(ISBLANK(SamplingData[[#This Row],[Candidate 5]]))),(SamplingData[[#This Row],[Total]]+SamplingData[[#This Row],[Winning Candidate]]-SamplingData[[#This Row],[Candidate 5]])/(SamplingData[[#Totals],[Winning Candidate]]-SamplingData[[#Totals],[Candidate 5]]), 0)</f>
        <v>2.6514230114327414E-3</v>
      </c>
      <c r="O2010" s="100">
        <f>IF(AND(SamplingData[[#This Row],[Total]]&lt;&gt; 0, NOT(ISBLANK(SamplingData[[#This Row],[Candidate 6]]))),(SamplingData[[#This Row],[Total]]+SamplingData[[#This Row],[Winning Candidate]]-SamplingData[[#This Row],[Candidate 6]])/(SamplingData[[#Totals],[Winning Candidate]]-SamplingData[[#Totals],[Candidate 6]]), 0)</f>
        <v>2.6506492874860173E-3</v>
      </c>
      <c r="P2010" s="100">
        <f>MAX(SamplingData[[#This Row],[Error Bound (up) - Max. possible relative overstatement - Losing Candidate]:[Error Bound (up) - Max. possible relative overstatement - Candidate 6]])</f>
        <v>4.9608035276825085E-3</v>
      </c>
      <c r="Q2010" s="100">
        <f>IF(SamplingData[[#This Row],[Max Error Bound (up)]] = 0,0,SamplingData[[#This Row],[Max Error Bound (up)]]/SamplingData[[#Totals],[Max Error Bound (up)]])</f>
        <v>7.8512881055411239E-4</v>
      </c>
      <c r="R2010" s="101">
        <f>SUM($Q$5:Q2010)</f>
        <v>0.85780895391072554</v>
      </c>
      <c r="S2010" s="100" t="str">
        <f t="array" ref="S2010">IF(SamplingData[[#This Row],[up/U Selection Probability]] = 0, "Zero", TEXT(SamplingData[[#This Row],[Lower Range]], REPT("0",LEN('General Info'!$B$40))) &amp; " - " &amp; TEXT(SamplingData[[#This Row],[Upper Range]], REPT("0",LEN('General Info'!$B$40))))</f>
        <v>85702 - 85780</v>
      </c>
      <c r="T2010" s="100">
        <f>SamplingData[[#This Row],[Upper Range]]-SamplingData[[#This Row],[Span]]</f>
        <v>85702.383295145948</v>
      </c>
      <c r="U2010" s="100">
        <f>IF(ISNUMBER('General Info'!$B$40), ((SamplingData[[#This Row],[up/U Selection Probability]]) * 'General Info'!$B$40) - 1, 0)</f>
        <v>77.512095926600679</v>
      </c>
      <c r="V2010" s="100">
        <f>IF(ISNUMBER('General Info'!$B$40), (SamplingData[[#This Row],[Running (cumulative) sum]] * ('General Info'!$B$40 -'General Info'!$B$41 + 1)) + 'General Info'!$B$41 - 1, 0)</f>
        <v>85779.895391072554</v>
      </c>
      <c r="W2010" s="100" t="str">
        <f>IF(ISERROR(MATCH(SamplingData[[#This Row],[Batch by Type (p)]],SelectedPrecincts[Batch Name], 0)), "", INDEX(SelectedPrecincts[Draw], MATCH(SamplingData[[#This Row],[Batch by Type (p)]],SelectedPrecincts[Batch Name], 0)))</f>
        <v/>
      </c>
      <c r="X2010" s="102">
        <f>IF(COUNTIF(SelectedPrecincts[Batch Name],SamplingData[[#This Row],[Batch by Type (p)]]) &lt;&gt; 0, COUNTIF(SelectedPrecincts[Batch Name],SamplingData[[#This Row],[Batch by Type (p)]]), 0)</f>
        <v>0</v>
      </c>
    </row>
    <row r="2011" spans="1:24" ht="15" customHeight="1">
      <c r="A2011" s="18" t="s">
        <v>2187</v>
      </c>
      <c r="B2011" s="18">
        <v>45</v>
      </c>
      <c r="C2011" s="18">
        <v>83</v>
      </c>
      <c r="D2011" s="16">
        <v>20</v>
      </c>
      <c r="E2011" s="16">
        <v>13</v>
      </c>
      <c r="F2011" s="37">
        <v>1</v>
      </c>
      <c r="G2011" s="37">
        <v>0</v>
      </c>
      <c r="H2011" s="17">
        <v>0</v>
      </c>
      <c r="I2011" s="17">
        <v>1</v>
      </c>
      <c r="J2011" s="99">
        <f>SUM(SamplingData[[#This Row],[Losing Candidate]:[Under Votes]])</f>
        <v>163</v>
      </c>
      <c r="K2011" s="100">
        <f>IF(AND(SamplingData[[#This Row],[Total]]&lt;&gt; 0, NOT(ISBLANK(SamplingData[[#This Row],[Losing Candidate]]))),(SamplingData[[#This Row],[Total]]+SamplingData[[#This Row],[Winning Candidate]]-SamplingData[[#This Row],[Losing Candidate]])/(SamplingData[[#Totals],[Winning Candidate]]-SamplingData[[#Totals],[Losing Candidate]]), 0)</f>
        <v>1.231014208721215E-2</v>
      </c>
      <c r="L2011" s="100">
        <f>IF(AND(SamplingData[[#This Row],[Total]]&lt;&gt; 0, NOT(ISBLANK(SamplingData[[#This Row],[Candidate 3]]))),(SamplingData[[#This Row],[Total]]+SamplingData[[#This Row],[Winning Candidate]]-SamplingData[[#This Row],[Candidate 3]])/(SamplingData[[#Totals],[Winning Candidate]]-SamplingData[[#Totals],[Candidate 3]]), 0)</f>
        <v>7.2910281640158727E-3</v>
      </c>
      <c r="M2011" s="100">
        <f>IF(AND(SamplingData[[#This Row],[Total]]&lt;&gt; 0, NOT(ISBLANK(SamplingData[[#This Row],[Candidate 4]]))),(SamplingData[[#This Row],[Total]]+SamplingData[[#This Row],[Winning Candidate]]-SamplingData[[#This Row],[Candidate 4]])/(SamplingData[[#Totals],[Winning Candidate]]-SamplingData[[#Totals],[Candidate 4]]), 0)</f>
        <v>6.811073109415651E-3</v>
      </c>
      <c r="N2011" s="100">
        <f>IF(AND(SamplingData[[#This Row],[Total]]&lt;&gt; 0, NOT(ISBLANK(SamplingData[[#This Row],[Candidate 5]]))),(SamplingData[[#This Row],[Total]]+SamplingData[[#This Row],[Winning Candidate]]-SamplingData[[#This Row],[Candidate 5]])/(SamplingData[[#Totals],[Winning Candidate]]-SamplingData[[#Totals],[Candidate 5]]), 0)</f>
        <v>5.9596205302846024E-3</v>
      </c>
      <c r="O2011" s="100">
        <f>IF(AND(SamplingData[[#This Row],[Total]]&lt;&gt; 0, NOT(ISBLANK(SamplingData[[#This Row],[Candidate 6]]))),(SamplingData[[#This Row],[Total]]+SamplingData[[#This Row],[Winning Candidate]]-SamplingData[[#This Row],[Candidate 6]])/(SamplingData[[#Totals],[Winning Candidate]]-SamplingData[[#Totals],[Candidate 6]]), 0)</f>
        <v>5.9821993093721127E-3</v>
      </c>
      <c r="P2011" s="100">
        <f>MAX(SamplingData[[#This Row],[Error Bound (up) - Max. possible relative overstatement - Losing Candidate]:[Error Bound (up) - Max. possible relative overstatement - Candidate 6]])</f>
        <v>1.231014208721215E-2</v>
      </c>
      <c r="Q2011" s="100">
        <f>IF(SamplingData[[#This Row],[Max Error Bound (up)]] = 0,0,SamplingData[[#This Row],[Max Error Bound (up)]]/SamplingData[[#Totals],[Max Error Bound (up)]])</f>
        <v>1.948282603967612E-3</v>
      </c>
      <c r="R2011" s="101">
        <f>SUM($Q$5:Q2011)</f>
        <v>0.85975723651469316</v>
      </c>
      <c r="S2011" s="100" t="str">
        <f t="array" ref="S2011">IF(SamplingData[[#This Row],[up/U Selection Probability]] = 0, "Zero", TEXT(SamplingData[[#This Row],[Lower Range]], REPT("0",LEN('General Info'!$B$40))) &amp; " - " &amp; TEXT(SamplingData[[#This Row],[Upper Range]], REPT("0",LEN('General Info'!$B$40))))</f>
        <v>85781 - 85975</v>
      </c>
      <c r="T2011" s="100">
        <f>SamplingData[[#This Row],[Upper Range]]-SamplingData[[#This Row],[Span]]</f>
        <v>85780.897339355157</v>
      </c>
      <c r="U2011" s="100">
        <f>IF(ISNUMBER('General Info'!$B$40), ((SamplingData[[#This Row],[up/U Selection Probability]]) * 'General Info'!$B$40) - 1, 0)</f>
        <v>193.82631211415722</v>
      </c>
      <c r="V2011" s="100">
        <f>IF(ISNUMBER('General Info'!$B$40), (SamplingData[[#This Row],[Running (cumulative) sum]] * ('General Info'!$B$40 -'General Info'!$B$41 + 1)) + 'General Info'!$B$41 - 1, 0)</f>
        <v>85974.723651469321</v>
      </c>
      <c r="W2011" s="100" t="str">
        <f>IF(ISERROR(MATCH(SamplingData[[#This Row],[Batch by Type (p)]],SelectedPrecincts[Batch Name], 0)), "", INDEX(SelectedPrecincts[Draw], MATCH(SamplingData[[#This Row],[Batch by Type (p)]],SelectedPrecincts[Batch Name], 0)))</f>
        <v/>
      </c>
      <c r="X2011" s="102">
        <f>IF(COUNTIF(SelectedPrecincts[Batch Name],SamplingData[[#This Row],[Batch by Type (p)]]) &lt;&gt; 0, COUNTIF(SelectedPrecincts[Batch Name],SamplingData[[#This Row],[Batch by Type (p)]]), 0)</f>
        <v>0</v>
      </c>
    </row>
    <row r="2012" spans="1:24" ht="15" customHeight="1">
      <c r="A2012" s="18" t="s">
        <v>2188</v>
      </c>
      <c r="B2012" s="18">
        <v>23</v>
      </c>
      <c r="C2012" s="18">
        <v>40</v>
      </c>
      <c r="D2012" s="18">
        <v>10</v>
      </c>
      <c r="E2012" s="18">
        <v>3</v>
      </c>
      <c r="F2012" s="18">
        <v>0</v>
      </c>
      <c r="G2012" s="18">
        <v>1</v>
      </c>
      <c r="H2012" s="18">
        <v>0</v>
      </c>
      <c r="I2012" s="18">
        <v>1</v>
      </c>
      <c r="J2012" s="99">
        <f>SUM(SamplingData[[#This Row],[Losing Candidate]:[Under Votes]])</f>
        <v>78</v>
      </c>
      <c r="K2012" s="100">
        <f>IF(AND(SamplingData[[#This Row],[Total]]&lt;&gt; 0, NOT(ISBLANK(SamplingData[[#This Row],[Losing Candidate]]))),(SamplingData[[#This Row],[Total]]+SamplingData[[#This Row],[Winning Candidate]]-SamplingData[[#This Row],[Losing Candidate]])/(SamplingData[[#Totals],[Winning Candidate]]-SamplingData[[#Totals],[Losing Candidate]]), 0)</f>
        <v>5.8182263596276334E-3</v>
      </c>
      <c r="L2012" s="100">
        <f>IF(AND(SamplingData[[#This Row],[Total]]&lt;&gt; 0, NOT(ISBLANK(SamplingData[[#This Row],[Candidate 3]]))),(SamplingData[[#This Row],[Total]]+SamplingData[[#This Row],[Winning Candidate]]-SamplingData[[#This Row],[Candidate 3]])/(SamplingData[[#Totals],[Winning Candidate]]-SamplingData[[#Totals],[Candidate 3]]), 0)</f>
        <v>3.4842081491757268E-3</v>
      </c>
      <c r="M2012" s="100">
        <f>IF(AND(SamplingData[[#This Row],[Total]]&lt;&gt; 0, NOT(ISBLANK(SamplingData[[#This Row],[Candidate 4]]))),(SamplingData[[#This Row],[Total]]+SamplingData[[#This Row],[Winning Candidate]]-SamplingData[[#This Row],[Candidate 4]])/(SamplingData[[#Totals],[Winning Candidate]]-SamplingData[[#Totals],[Candidate 4]]), 0)</f>
        <v>3.3616884445613728E-3</v>
      </c>
      <c r="N2012" s="100">
        <f>IF(AND(SamplingData[[#This Row],[Total]]&lt;&gt; 0, NOT(ISBLANK(SamplingData[[#This Row],[Candidate 5]]))),(SamplingData[[#This Row],[Total]]+SamplingData[[#This Row],[Winning Candidate]]-SamplingData[[#This Row],[Candidate 5]])/(SamplingData[[#Totals],[Winning Candidate]]-SamplingData[[#Totals],[Candidate 5]]), 0)</f>
        <v>2.8703478472391145E-3</v>
      </c>
      <c r="O2012" s="100">
        <f>IF(AND(SamplingData[[#This Row],[Total]]&lt;&gt; 0, NOT(ISBLANK(SamplingData[[#This Row],[Candidate 6]]))),(SamplingData[[#This Row],[Total]]+SamplingData[[#This Row],[Winning Candidate]]-SamplingData[[#This Row],[Candidate 6]])/(SamplingData[[#Totals],[Winning Candidate]]-SamplingData[[#Totals],[Candidate 6]]), 0)</f>
        <v>2.845192354457468E-3</v>
      </c>
      <c r="P2012" s="100">
        <f>MAX(SamplingData[[#This Row],[Error Bound (up) - Max. possible relative overstatement - Losing Candidate]:[Error Bound (up) - Max. possible relative overstatement - Candidate 6]])</f>
        <v>5.8182263596276334E-3</v>
      </c>
      <c r="Q2012" s="100">
        <f>IF(SamplingData[[#This Row],[Max Error Bound (up)]] = 0,0,SamplingData[[#This Row],[Max Error Bound (up)]]/SamplingData[[#Totals],[Max Error Bound (up)]])</f>
        <v>9.2083008645235393E-4</v>
      </c>
      <c r="R2012" s="101">
        <f>SUM($Q$5:Q2012)</f>
        <v>0.86067806660114554</v>
      </c>
      <c r="S2012" s="100" t="str">
        <f t="array" ref="S2012">IF(SamplingData[[#This Row],[up/U Selection Probability]] = 0, "Zero", TEXT(SamplingData[[#This Row],[Lower Range]], REPT("0",LEN('General Info'!$B$40))) &amp; " - " &amp; TEXT(SamplingData[[#This Row],[Upper Range]], REPT("0",LEN('General Info'!$B$40))))</f>
        <v>85976 - 86067</v>
      </c>
      <c r="T2012" s="100">
        <f>SamplingData[[#This Row],[Upper Range]]-SamplingData[[#This Row],[Span]]</f>
        <v>85975.724572299412</v>
      </c>
      <c r="U2012" s="100">
        <f>IF(ISNUMBER('General Info'!$B$40), ((SamplingData[[#This Row],[up/U Selection Probability]]) * 'General Info'!$B$40) - 1, 0)</f>
        <v>91.082087815148938</v>
      </c>
      <c r="V2012" s="100">
        <f>IF(ISNUMBER('General Info'!$B$40), (SamplingData[[#This Row],[Running (cumulative) sum]] * ('General Info'!$B$40 -'General Info'!$B$41 + 1)) + 'General Info'!$B$41 - 1, 0)</f>
        <v>86066.806660114555</v>
      </c>
      <c r="W2012" s="100" t="str">
        <f>IF(ISERROR(MATCH(SamplingData[[#This Row],[Batch by Type (p)]],SelectedPrecincts[Batch Name], 0)), "", INDEX(SelectedPrecincts[Draw], MATCH(SamplingData[[#This Row],[Batch by Type (p)]],SelectedPrecincts[Batch Name], 0)))</f>
        <v/>
      </c>
      <c r="X2012" s="102">
        <f>IF(COUNTIF(SelectedPrecincts[Batch Name],SamplingData[[#This Row],[Batch by Type (p)]]) &lt;&gt; 0, COUNTIF(SelectedPrecincts[Batch Name],SamplingData[[#This Row],[Batch by Type (p)]]), 0)</f>
        <v>0</v>
      </c>
    </row>
    <row r="2013" spans="1:24" ht="15" customHeight="1">
      <c r="A2013" s="18" t="s">
        <v>2189</v>
      </c>
      <c r="B2013" s="18">
        <v>17</v>
      </c>
      <c r="C2013" s="18">
        <v>101</v>
      </c>
      <c r="D2013" s="16">
        <v>15</v>
      </c>
      <c r="E2013" s="16">
        <v>14</v>
      </c>
      <c r="F2013" s="37">
        <v>0</v>
      </c>
      <c r="G2013" s="37">
        <v>0</v>
      </c>
      <c r="H2013" s="17">
        <v>0</v>
      </c>
      <c r="I2013" s="17">
        <v>4</v>
      </c>
      <c r="J2013" s="99">
        <f>SUM(SamplingData[[#This Row],[Losing Candidate]:[Under Votes]])</f>
        <v>151</v>
      </c>
      <c r="K2013" s="100">
        <f>IF(AND(SamplingData[[#This Row],[Total]]&lt;&gt; 0, NOT(ISBLANK(SamplingData[[#This Row],[Losing Candidate]]))),(SamplingData[[#This Row],[Total]]+SamplingData[[#This Row],[Winning Candidate]]-SamplingData[[#This Row],[Losing Candidate]])/(SamplingData[[#Totals],[Winning Candidate]]-SamplingData[[#Totals],[Losing Candidate]]), 0)</f>
        <v>1.4392454679078882E-2</v>
      </c>
      <c r="L2013" s="100">
        <f>IF(AND(SamplingData[[#This Row],[Total]]&lt;&gt; 0, NOT(ISBLANK(SamplingData[[#This Row],[Candidate 3]]))),(SamplingData[[#This Row],[Total]]+SamplingData[[#This Row],[Winning Candidate]]-SamplingData[[#This Row],[Candidate 3]])/(SamplingData[[#Totals],[Winning Candidate]]-SamplingData[[#Totals],[Candidate 3]]), 0)</f>
        <v>7.6459012162467333E-3</v>
      </c>
      <c r="M2013" s="100">
        <f>IF(AND(SamplingData[[#This Row],[Total]]&lt;&gt; 0, NOT(ISBLANK(SamplingData[[#This Row],[Candidate 4]]))),(SamplingData[[#This Row],[Total]]+SamplingData[[#This Row],[Winning Candidate]]-SamplingData[[#This Row],[Candidate 4]])/(SamplingData[[#Totals],[Winning Candidate]]-SamplingData[[#Totals],[Candidate 4]]), 0)</f>
        <v>6.9572334765704933E-3</v>
      </c>
      <c r="N2013" s="100">
        <f>IF(AND(SamplingData[[#This Row],[Total]]&lt;&gt; 0, NOT(ISBLANK(SamplingData[[#This Row],[Candidate 5]]))),(SamplingData[[#This Row],[Total]]+SamplingData[[#This Row],[Winning Candidate]]-SamplingData[[#This Row],[Candidate 5]])/(SamplingData[[#Totals],[Winning Candidate]]-SamplingData[[#Totals],[Candidate 5]]), 0)</f>
        <v>6.1298954025784478E-3</v>
      </c>
      <c r="O2013" s="100">
        <f>IF(AND(SamplingData[[#This Row],[Total]]&lt;&gt; 0, NOT(ISBLANK(SamplingData[[#This Row],[Candidate 6]]))),(SamplingData[[#This Row],[Total]]+SamplingData[[#This Row],[Winning Candidate]]-SamplingData[[#This Row],[Candidate 6]])/(SamplingData[[#Totals],[Winning Candidate]]-SamplingData[[#Totals],[Candidate 6]]), 0)</f>
        <v>6.1281066096007001E-3</v>
      </c>
      <c r="P2013" s="100">
        <f>MAX(SamplingData[[#This Row],[Error Bound (up) - Max. possible relative overstatement - Losing Candidate]:[Error Bound (up) - Max. possible relative overstatement - Candidate 6]])</f>
        <v>1.4392454679078882E-2</v>
      </c>
      <c r="Q2013" s="100">
        <f>IF(SamplingData[[#This Row],[Max Error Bound (up)]] = 0,0,SamplingData[[#This Row],[Max Error Bound (up)]]/SamplingData[[#Totals],[Max Error Bound (up)]])</f>
        <v>2.2778428454347703E-3</v>
      </c>
      <c r="R2013" s="101">
        <f>SUM($Q$5:Q2013)</f>
        <v>0.86295590944658029</v>
      </c>
      <c r="S2013" s="100" t="str">
        <f t="array" ref="S2013">IF(SamplingData[[#This Row],[up/U Selection Probability]] = 0, "Zero", TEXT(SamplingData[[#This Row],[Lower Range]], REPT("0",LEN('General Info'!$B$40))) &amp; " - " &amp; TEXT(SamplingData[[#This Row],[Upper Range]], REPT("0",LEN('General Info'!$B$40))))</f>
        <v>86068 - 86295</v>
      </c>
      <c r="T2013" s="100">
        <f>SamplingData[[#This Row],[Upper Range]]-SamplingData[[#This Row],[Span]]</f>
        <v>86067.808937957408</v>
      </c>
      <c r="U2013" s="100">
        <f>IF(ISNUMBER('General Info'!$B$40), ((SamplingData[[#This Row],[up/U Selection Probability]]) * 'General Info'!$B$40) - 1, 0)</f>
        <v>226.7820067006316</v>
      </c>
      <c r="V2013" s="100">
        <f>IF(ISNUMBER('General Info'!$B$40), (SamplingData[[#This Row],[Running (cumulative) sum]] * ('General Info'!$B$40 -'General Info'!$B$41 + 1)) + 'General Info'!$B$41 - 1, 0)</f>
        <v>86294.590944658034</v>
      </c>
      <c r="W2013" s="100" t="str">
        <f>IF(ISERROR(MATCH(SamplingData[[#This Row],[Batch by Type (p)]],SelectedPrecincts[Batch Name], 0)), "", INDEX(SelectedPrecincts[Draw], MATCH(SamplingData[[#This Row],[Batch by Type (p)]],SelectedPrecincts[Batch Name], 0)))</f>
        <v/>
      </c>
      <c r="X2013" s="102">
        <f>IF(COUNTIF(SelectedPrecincts[Batch Name],SamplingData[[#This Row],[Batch by Type (p)]]) &lt;&gt; 0, COUNTIF(SelectedPrecincts[Batch Name],SamplingData[[#This Row],[Batch by Type (p)]]), 0)</f>
        <v>0</v>
      </c>
    </row>
    <row r="2014" spans="1:24" ht="15" customHeight="1">
      <c r="A2014" s="18" t="s">
        <v>2190</v>
      </c>
      <c r="B2014" s="18">
        <v>24</v>
      </c>
      <c r="C2014" s="18">
        <v>29</v>
      </c>
      <c r="D2014" s="18">
        <v>13</v>
      </c>
      <c r="E2014" s="18">
        <v>10</v>
      </c>
      <c r="F2014" s="18">
        <v>1</v>
      </c>
      <c r="G2014" s="18">
        <v>0</v>
      </c>
      <c r="H2014" s="18">
        <v>0</v>
      </c>
      <c r="I2014" s="18">
        <v>2</v>
      </c>
      <c r="J2014" s="99">
        <f>SUM(SamplingData[[#This Row],[Losing Candidate]:[Under Votes]])</f>
        <v>79</v>
      </c>
      <c r="K2014" s="100">
        <f>IF(AND(SamplingData[[#This Row],[Total]]&lt;&gt; 0, NOT(ISBLANK(SamplingData[[#This Row],[Losing Candidate]]))),(SamplingData[[#This Row],[Total]]+SamplingData[[#This Row],[Winning Candidate]]-SamplingData[[#This Row],[Losing Candidate]])/(SamplingData[[#Totals],[Winning Candidate]]-SamplingData[[#Totals],[Losing Candidate]]), 0)</f>
        <v>5.1445369916707498E-3</v>
      </c>
      <c r="L2014" s="100">
        <f>IF(AND(SamplingData[[#This Row],[Total]]&lt;&gt; 0, NOT(ISBLANK(SamplingData[[#This Row],[Candidate 3]]))),(SamplingData[[#This Row],[Total]]+SamplingData[[#This Row],[Winning Candidate]]-SamplingData[[#This Row],[Candidate 3]])/(SamplingData[[#Totals],[Winning Candidate]]-SamplingData[[#Totals],[Candidate 3]]), 0)</f>
        <v>3.0648127238119818E-3</v>
      </c>
      <c r="M2014" s="100">
        <f>IF(AND(SamplingData[[#This Row],[Total]]&lt;&gt; 0, NOT(ISBLANK(SamplingData[[#This Row],[Candidate 4]]))),(SamplingData[[#This Row],[Total]]+SamplingData[[#This Row],[Winning Candidate]]-SamplingData[[#This Row],[Candidate 4]])/(SamplingData[[#Totals],[Winning Candidate]]-SamplingData[[#Totals],[Candidate 4]]), 0)</f>
        <v>2.8647431962349089E-3</v>
      </c>
      <c r="N2014" s="100">
        <f>IF(AND(SamplingData[[#This Row],[Total]]&lt;&gt; 0, NOT(ISBLANK(SamplingData[[#This Row],[Candidate 5]]))),(SamplingData[[#This Row],[Total]]+SamplingData[[#This Row],[Winning Candidate]]-SamplingData[[#This Row],[Candidate 5]])/(SamplingData[[#Totals],[Winning Candidate]]-SamplingData[[#Totals],[Candidate 5]]), 0)</f>
        <v>2.6027730479202139E-3</v>
      </c>
      <c r="O2014" s="100">
        <f>IF(AND(SamplingData[[#This Row],[Total]]&lt;&gt; 0, NOT(ISBLANK(SamplingData[[#This Row],[Candidate 6]]))),(SamplingData[[#This Row],[Total]]+SamplingData[[#This Row],[Winning Candidate]]-SamplingData[[#This Row],[Candidate 6]])/(SamplingData[[#Totals],[Winning Candidate]]-SamplingData[[#Totals],[Candidate 6]]), 0)</f>
        <v>2.626331404114586E-3</v>
      </c>
      <c r="P2014" s="100">
        <f>MAX(SamplingData[[#This Row],[Error Bound (up) - Max. possible relative overstatement - Losing Candidate]:[Error Bound (up) - Max. possible relative overstatement - Candidate 6]])</f>
        <v>5.1445369916707498E-3</v>
      </c>
      <c r="Q2014" s="100">
        <f>IF(SamplingData[[#This Row],[Max Error Bound (up)]] = 0,0,SamplingData[[#This Row],[Max Error Bound (up)]]/SamplingData[[#Totals],[Max Error Bound (up)]])</f>
        <v>8.1420765538944991E-4</v>
      </c>
      <c r="R2014" s="101">
        <f>SUM($Q$5:Q2014)</f>
        <v>0.86377011710196971</v>
      </c>
      <c r="S2014" s="100" t="str">
        <f t="array" ref="S2014">IF(SamplingData[[#This Row],[up/U Selection Probability]] = 0, "Zero", TEXT(SamplingData[[#This Row],[Lower Range]], REPT("0",LEN('General Info'!$B$40))) &amp; " - " &amp; TEXT(SamplingData[[#This Row],[Upper Range]], REPT("0",LEN('General Info'!$B$40))))</f>
        <v>86296 - 86376</v>
      </c>
      <c r="T2014" s="100">
        <f>SamplingData[[#This Row],[Upper Range]]-SamplingData[[#This Row],[Span]]</f>
        <v>86295.591758865674</v>
      </c>
      <c r="U2014" s="100">
        <f>IF(ISNUMBER('General Info'!$B$40), ((SamplingData[[#This Row],[up/U Selection Probability]]) * 'General Info'!$B$40) - 1, 0)</f>
        <v>80.419951331289596</v>
      </c>
      <c r="V2014" s="100">
        <f>IF(ISNUMBER('General Info'!$B$40), (SamplingData[[#This Row],[Running (cumulative) sum]] * ('General Info'!$B$40 -'General Info'!$B$41 + 1)) + 'General Info'!$B$41 - 1, 0)</f>
        <v>86376.011710196966</v>
      </c>
      <c r="W2014" s="100" t="str">
        <f>IF(ISERROR(MATCH(SamplingData[[#This Row],[Batch by Type (p)]],SelectedPrecincts[Batch Name], 0)), "", INDEX(SelectedPrecincts[Draw], MATCH(SamplingData[[#This Row],[Batch by Type (p)]],SelectedPrecincts[Batch Name], 0)))</f>
        <v/>
      </c>
      <c r="X2014" s="102">
        <f>IF(COUNTIF(SelectedPrecincts[Batch Name],SamplingData[[#This Row],[Batch by Type (p)]]) &lt;&gt; 0, COUNTIF(SelectedPrecincts[Batch Name],SamplingData[[#This Row],[Batch by Type (p)]]), 0)</f>
        <v>0</v>
      </c>
    </row>
    <row r="2015" spans="1:24" ht="15" customHeight="1">
      <c r="A2015" s="18" t="s">
        <v>2191</v>
      </c>
      <c r="B2015" s="18">
        <v>20</v>
      </c>
      <c r="C2015" s="18">
        <v>52</v>
      </c>
      <c r="D2015" s="16">
        <v>5</v>
      </c>
      <c r="E2015" s="16">
        <v>10</v>
      </c>
      <c r="F2015" s="37">
        <v>0</v>
      </c>
      <c r="G2015" s="37">
        <v>0</v>
      </c>
      <c r="H2015" s="17">
        <v>0</v>
      </c>
      <c r="I2015" s="17">
        <v>2</v>
      </c>
      <c r="J2015" s="99">
        <f>SUM(SamplingData[[#This Row],[Losing Candidate]:[Under Votes]])</f>
        <v>89</v>
      </c>
      <c r="K2015" s="100">
        <f>IF(AND(SamplingData[[#This Row],[Total]]&lt;&gt; 0, NOT(ISBLANK(SamplingData[[#This Row],[Losing Candidate]]))),(SamplingData[[#This Row],[Total]]+SamplingData[[#This Row],[Winning Candidate]]-SamplingData[[#This Row],[Losing Candidate]])/(SamplingData[[#Totals],[Winning Candidate]]-SamplingData[[#Totals],[Losing Candidate]]), 0)</f>
        <v>7.410583047525723E-3</v>
      </c>
      <c r="L2015" s="100">
        <f>IF(AND(SamplingData[[#This Row],[Total]]&lt;&gt; 0, NOT(ISBLANK(SamplingData[[#This Row],[Candidate 3]]))),(SamplingData[[#This Row],[Total]]+SamplingData[[#This Row],[Winning Candidate]]-SamplingData[[#This Row],[Candidate 3]])/(SamplingData[[#Totals],[Winning Candidate]]-SamplingData[[#Totals],[Candidate 3]]), 0)</f>
        <v>4.3875213730361004E-3</v>
      </c>
      <c r="M2015" s="100">
        <f>IF(AND(SamplingData[[#This Row],[Total]]&lt;&gt; 0, NOT(ISBLANK(SamplingData[[#This Row],[Candidate 4]]))),(SamplingData[[#This Row],[Total]]+SamplingData[[#This Row],[Winning Candidate]]-SamplingData[[#This Row],[Candidate 4]])/(SamplingData[[#Totals],[Winning Candidate]]-SamplingData[[#Totals],[Candidate 4]]), 0)</f>
        <v>3.8294016194568683E-3</v>
      </c>
      <c r="N2015" s="100">
        <f>IF(AND(SamplingData[[#This Row],[Total]]&lt;&gt; 0, NOT(ISBLANK(SamplingData[[#This Row],[Candidate 5]]))),(SamplingData[[#This Row],[Total]]+SamplingData[[#This Row],[Winning Candidate]]-SamplingData[[#This Row],[Candidate 5]])/(SamplingData[[#Totals],[Winning Candidate]]-SamplingData[[#Totals],[Candidate 5]]), 0)</f>
        <v>3.4298224276331792E-3</v>
      </c>
      <c r="O2015" s="100">
        <f>IF(AND(SamplingData[[#This Row],[Total]]&lt;&gt; 0, NOT(ISBLANK(SamplingData[[#This Row],[Candidate 6]]))),(SamplingData[[#This Row],[Total]]+SamplingData[[#This Row],[Winning Candidate]]-SamplingData[[#This Row],[Candidate 6]])/(SamplingData[[#Totals],[Winning Candidate]]-SamplingData[[#Totals],[Candidate 6]]), 0)</f>
        <v>3.4288215553718204E-3</v>
      </c>
      <c r="P2015" s="100">
        <f>MAX(SamplingData[[#This Row],[Error Bound (up) - Max. possible relative overstatement - Losing Candidate]:[Error Bound (up) - Max. possible relative overstatement - Candidate 6]])</f>
        <v>7.410583047525723E-3</v>
      </c>
      <c r="Q2015" s="100">
        <f>IF(SamplingData[[#This Row],[Max Error Bound (up)]] = 0,0,SamplingData[[#This Row],[Max Error Bound (up)]]/SamplingData[[#Totals],[Max Error Bound (up)]])</f>
        <v>1.1728467416919457E-3</v>
      </c>
      <c r="R2015" s="101">
        <f>SUM($Q$5:Q2015)</f>
        <v>0.86494296384366165</v>
      </c>
      <c r="S2015" s="100" t="str">
        <f t="array" ref="S2015">IF(SamplingData[[#This Row],[up/U Selection Probability]] = 0, "Zero", TEXT(SamplingData[[#This Row],[Lower Range]], REPT("0",LEN('General Info'!$B$40))) &amp; " - " &amp; TEXT(SamplingData[[#This Row],[Upper Range]], REPT("0",LEN('General Info'!$B$40))))</f>
        <v>86377 - 86493</v>
      </c>
      <c r="T2015" s="100">
        <f>SamplingData[[#This Row],[Upper Range]]-SamplingData[[#This Row],[Span]]</f>
        <v>86377.012883043717</v>
      </c>
      <c r="U2015" s="100">
        <f>IF(ISNUMBER('General Info'!$B$40), ((SamplingData[[#This Row],[up/U Selection Probability]]) * 'General Info'!$B$40) - 1, 0)</f>
        <v>116.28350132245288</v>
      </c>
      <c r="V2015" s="100">
        <f>IF(ISNUMBER('General Info'!$B$40), (SamplingData[[#This Row],[Running (cumulative) sum]] * ('General Info'!$B$40 -'General Info'!$B$41 + 1)) + 'General Info'!$B$41 - 1, 0)</f>
        <v>86493.296384366171</v>
      </c>
      <c r="W2015" s="100" t="str">
        <f>IF(ISERROR(MATCH(SamplingData[[#This Row],[Batch by Type (p)]],SelectedPrecincts[Batch Name], 0)), "", INDEX(SelectedPrecincts[Draw], MATCH(SamplingData[[#This Row],[Batch by Type (p)]],SelectedPrecincts[Batch Name], 0)))</f>
        <v/>
      </c>
      <c r="X2015" s="102">
        <f>IF(COUNTIF(SelectedPrecincts[Batch Name],SamplingData[[#This Row],[Batch by Type (p)]]) &lt;&gt; 0, COUNTIF(SelectedPrecincts[Batch Name],SamplingData[[#This Row],[Batch by Type (p)]]), 0)</f>
        <v>0</v>
      </c>
    </row>
    <row r="2016" spans="1:24" ht="15" customHeight="1">
      <c r="A2016" s="18" t="s">
        <v>2192</v>
      </c>
      <c r="B2016" s="18">
        <v>21</v>
      </c>
      <c r="C2016" s="18">
        <v>26</v>
      </c>
      <c r="D2016" s="18">
        <v>7</v>
      </c>
      <c r="E2016" s="18">
        <v>1</v>
      </c>
      <c r="F2016" s="18">
        <v>0</v>
      </c>
      <c r="G2016" s="18">
        <v>1</v>
      </c>
      <c r="H2016" s="18">
        <v>0</v>
      </c>
      <c r="I2016" s="18">
        <v>3</v>
      </c>
      <c r="J2016" s="99">
        <f>SUM(SamplingData[[#This Row],[Losing Candidate]:[Under Votes]])</f>
        <v>59</v>
      </c>
      <c r="K2016" s="100">
        <f>IF(AND(SamplingData[[#This Row],[Total]]&lt;&gt; 0, NOT(ISBLANK(SamplingData[[#This Row],[Losing Candidate]]))),(SamplingData[[#This Row],[Total]]+SamplingData[[#This Row],[Winning Candidate]]-SamplingData[[#This Row],[Losing Candidate]])/(SamplingData[[#Totals],[Winning Candidate]]-SamplingData[[#Totals],[Losing Candidate]]), 0)</f>
        <v>3.9196472317491425E-3</v>
      </c>
      <c r="L2016" s="100">
        <f>IF(AND(SamplingData[[#This Row],[Total]]&lt;&gt; 0, NOT(ISBLANK(SamplingData[[#This Row],[Candidate 3]]))),(SamplingData[[#This Row],[Total]]+SamplingData[[#This Row],[Winning Candidate]]-SamplingData[[#This Row],[Candidate 3]])/(SamplingData[[#Totals],[Winning Candidate]]-SamplingData[[#Totals],[Candidate 3]]), 0)</f>
        <v>2.5163725521824692E-3</v>
      </c>
      <c r="M2016" s="100">
        <f>IF(AND(SamplingData[[#This Row],[Total]]&lt;&gt; 0, NOT(ISBLANK(SamplingData[[#This Row],[Candidate 4]]))),(SamplingData[[#This Row],[Total]]+SamplingData[[#This Row],[Winning Candidate]]-SamplingData[[#This Row],[Candidate 4]])/(SamplingData[[#Totals],[Winning Candidate]]-SamplingData[[#Totals],[Candidate 4]]), 0)</f>
        <v>2.4554941682013503E-3</v>
      </c>
      <c r="N2016" s="100">
        <f>IF(AND(SamplingData[[#This Row],[Total]]&lt;&gt; 0, NOT(ISBLANK(SamplingData[[#This Row],[Candidate 5]]))),(SamplingData[[#This Row],[Total]]+SamplingData[[#This Row],[Winning Candidate]]-SamplingData[[#This Row],[Candidate 5]])/(SamplingData[[#Totals],[Winning Candidate]]-SamplingData[[#Totals],[Candidate 5]]), 0)</f>
        <v>2.0676234492824131E-3</v>
      </c>
      <c r="O2016" s="100">
        <f>IF(AND(SamplingData[[#This Row],[Total]]&lt;&gt; 0, NOT(ISBLANK(SamplingData[[#This Row],[Candidate 6]]))),(SamplingData[[#This Row],[Total]]+SamplingData[[#This Row],[Winning Candidate]]-SamplingData[[#This Row],[Candidate 6]])/(SamplingData[[#Totals],[Winning Candidate]]-SamplingData[[#Totals],[Candidate 6]]), 0)</f>
        <v>2.0427022032002335E-3</v>
      </c>
      <c r="P2016" s="100">
        <f>MAX(SamplingData[[#This Row],[Error Bound (up) - Max. possible relative overstatement - Losing Candidate]:[Error Bound (up) - Max. possible relative overstatement - Candidate 6]])</f>
        <v>3.9196472317491425E-3</v>
      </c>
      <c r="Q2016" s="100">
        <f>IF(SamplingData[[#This Row],[Max Error Bound (up)]] = 0,0,SamplingData[[#This Row],[Max Error Bound (up)]]/SamplingData[[#Totals],[Max Error Bound (up)]])</f>
        <v>6.2034868982053322E-4</v>
      </c>
      <c r="R2016" s="101">
        <f>SUM($Q$5:Q2016)</f>
        <v>0.86556331253348218</v>
      </c>
      <c r="S2016" s="100" t="str">
        <f t="array" ref="S2016">IF(SamplingData[[#This Row],[up/U Selection Probability]] = 0, "Zero", TEXT(SamplingData[[#This Row],[Lower Range]], REPT("0",LEN('General Info'!$B$40))) &amp; " - " &amp; TEXT(SamplingData[[#This Row],[Upper Range]], REPT("0",LEN('General Info'!$B$40))))</f>
        <v>86494 - 86555</v>
      </c>
      <c r="T2016" s="100">
        <f>SamplingData[[#This Row],[Upper Range]]-SamplingData[[#This Row],[Span]]</f>
        <v>86494.297004714856</v>
      </c>
      <c r="U2016" s="100">
        <f>IF(ISNUMBER('General Info'!$B$40), ((SamplingData[[#This Row],[up/U Selection Probability]]) * 'General Info'!$B$40) - 1, 0)</f>
        <v>61.034248633363504</v>
      </c>
      <c r="V2016" s="100">
        <f>IF(ISNUMBER('General Info'!$B$40), (SamplingData[[#This Row],[Running (cumulative) sum]] * ('General Info'!$B$40 -'General Info'!$B$41 + 1)) + 'General Info'!$B$41 - 1, 0)</f>
        <v>86555.331253348224</v>
      </c>
      <c r="W2016" s="100" t="str">
        <f>IF(ISERROR(MATCH(SamplingData[[#This Row],[Batch by Type (p)]],SelectedPrecincts[Batch Name], 0)), "", INDEX(SelectedPrecincts[Draw], MATCH(SamplingData[[#This Row],[Batch by Type (p)]],SelectedPrecincts[Batch Name], 0)))</f>
        <v/>
      </c>
      <c r="X2016" s="102">
        <f>IF(COUNTIF(SelectedPrecincts[Batch Name],SamplingData[[#This Row],[Batch by Type (p)]]) &lt;&gt; 0, COUNTIF(SelectedPrecincts[Batch Name],SamplingData[[#This Row],[Batch by Type (p)]]), 0)</f>
        <v>0</v>
      </c>
    </row>
    <row r="2017" spans="1:24" ht="15" customHeight="1">
      <c r="A2017" s="18" t="s">
        <v>2193</v>
      </c>
      <c r="B2017" s="18">
        <v>53</v>
      </c>
      <c r="C2017" s="18">
        <v>90</v>
      </c>
      <c r="D2017" s="16">
        <v>17</v>
      </c>
      <c r="E2017" s="16">
        <v>13</v>
      </c>
      <c r="F2017" s="37">
        <v>0</v>
      </c>
      <c r="G2017" s="37">
        <v>0</v>
      </c>
      <c r="H2017" s="17">
        <v>0</v>
      </c>
      <c r="I2017" s="17">
        <v>3</v>
      </c>
      <c r="J2017" s="99">
        <f>SUM(SamplingData[[#This Row],[Losing Candidate]:[Under Votes]])</f>
        <v>176</v>
      </c>
      <c r="K2017" s="100">
        <f>IF(AND(SamplingData[[#This Row],[Total]]&lt;&gt; 0, NOT(ISBLANK(SamplingData[[#This Row],[Losing Candidate]]))),(SamplingData[[#This Row],[Total]]+SamplingData[[#This Row],[Winning Candidate]]-SamplingData[[#This Row],[Losing Candidate]])/(SamplingData[[#Totals],[Winning Candidate]]-SamplingData[[#Totals],[Losing Candidate]]), 0)</f>
        <v>1.3045075943165115E-2</v>
      </c>
      <c r="L2017" s="100">
        <f>IF(AND(SamplingData[[#This Row],[Total]]&lt;&gt; 0, NOT(ISBLANK(SamplingData[[#This Row],[Candidate 3]]))),(SamplingData[[#This Row],[Total]]+SamplingData[[#This Row],[Winning Candidate]]-SamplingData[[#This Row],[Candidate 3]])/(SamplingData[[#Totals],[Winning Candidate]]-SamplingData[[#Totals],[Candidate 3]]), 0)</f>
        <v>8.0330354550440363E-3</v>
      </c>
      <c r="M2017" s="100">
        <f>IF(AND(SamplingData[[#This Row],[Total]]&lt;&gt; 0, NOT(ISBLANK(SamplingData[[#This Row],[Candidate 4]]))),(SamplingData[[#This Row],[Total]]+SamplingData[[#This Row],[Winning Candidate]]-SamplingData[[#This Row],[Candidate 4]])/(SamplingData[[#Totals],[Winning Candidate]]-SamplingData[[#Totals],[Candidate 4]]), 0)</f>
        <v>7.3957145780350203E-3</v>
      </c>
      <c r="N2017" s="100">
        <f>IF(AND(SamplingData[[#This Row],[Total]]&lt;&gt; 0, NOT(ISBLANK(SamplingData[[#This Row],[Candidate 5]]))),(SamplingData[[#This Row],[Total]]+SamplingData[[#This Row],[Winning Candidate]]-SamplingData[[#This Row],[Candidate 5]])/(SamplingData[[#Totals],[Winning Candidate]]-SamplingData[[#Totals],[Candidate 5]]), 0)</f>
        <v>6.4704451471661395E-3</v>
      </c>
      <c r="O2017" s="100">
        <f>IF(AND(SamplingData[[#This Row],[Total]]&lt;&gt; 0, NOT(ISBLANK(SamplingData[[#This Row],[Candidate 6]]))),(SamplingData[[#This Row],[Total]]+SamplingData[[#This Row],[Winning Candidate]]-SamplingData[[#This Row],[Candidate 6]])/(SamplingData[[#Totals],[Winning Candidate]]-SamplingData[[#Totals],[Candidate 6]]), 0)</f>
        <v>6.4685569768007396E-3</v>
      </c>
      <c r="P2017" s="100">
        <f>MAX(SamplingData[[#This Row],[Error Bound (up) - Max. possible relative overstatement - Losing Candidate]:[Error Bound (up) - Max. possible relative overstatement - Candidate 6]])</f>
        <v>1.3045075943165115E-2</v>
      </c>
      <c r="Q2017" s="100">
        <f>IF(SamplingData[[#This Row],[Max Error Bound (up)]] = 0,0,SamplingData[[#This Row],[Max Error Bound (up)]]/SamplingData[[#Totals],[Max Error Bound (up)]])</f>
        <v>2.0645979833089621E-3</v>
      </c>
      <c r="R2017" s="101">
        <f>SUM($Q$5:Q2017)</f>
        <v>0.86762791051679111</v>
      </c>
      <c r="S2017" s="100" t="str">
        <f t="array" ref="S2017">IF(SamplingData[[#This Row],[up/U Selection Probability]] = 0, "Zero", TEXT(SamplingData[[#This Row],[Lower Range]], REPT("0",LEN('General Info'!$B$40))) &amp; " - " &amp; TEXT(SamplingData[[#This Row],[Upper Range]], REPT("0",LEN('General Info'!$B$40))))</f>
        <v>86556 - 86762</v>
      </c>
      <c r="T2017" s="100">
        <f>SamplingData[[#This Row],[Upper Range]]-SamplingData[[#This Row],[Span]]</f>
        <v>86556.333317946206</v>
      </c>
      <c r="U2017" s="100">
        <f>IF(ISNUMBER('General Info'!$B$40), ((SamplingData[[#This Row],[up/U Selection Probability]]) * 'General Info'!$B$40) - 1, 0)</f>
        <v>205.45773373291289</v>
      </c>
      <c r="V2017" s="100">
        <f>IF(ISNUMBER('General Info'!$B$40), (SamplingData[[#This Row],[Running (cumulative) sum]] * ('General Info'!$B$40 -'General Info'!$B$41 + 1)) + 'General Info'!$B$41 - 1, 0)</f>
        <v>86761.791051679116</v>
      </c>
      <c r="W2017" s="100" t="str">
        <f>IF(ISERROR(MATCH(SamplingData[[#This Row],[Batch by Type (p)]],SelectedPrecincts[Batch Name], 0)), "", INDEX(SelectedPrecincts[Draw], MATCH(SamplingData[[#This Row],[Batch by Type (p)]],SelectedPrecincts[Batch Name], 0)))</f>
        <v/>
      </c>
      <c r="X2017" s="102">
        <f>IF(COUNTIF(SelectedPrecincts[Batch Name],SamplingData[[#This Row],[Batch by Type (p)]]) &lt;&gt; 0, COUNTIF(SelectedPrecincts[Batch Name],SamplingData[[#This Row],[Batch by Type (p)]]), 0)</f>
        <v>0</v>
      </c>
    </row>
    <row r="2018" spans="1:24" ht="15" customHeight="1">
      <c r="A2018" s="18" t="s">
        <v>2194</v>
      </c>
      <c r="B2018" s="18">
        <v>32</v>
      </c>
      <c r="C2018" s="18">
        <v>45</v>
      </c>
      <c r="D2018" s="18">
        <v>15</v>
      </c>
      <c r="E2018" s="18">
        <v>3</v>
      </c>
      <c r="F2018" s="18">
        <v>1</v>
      </c>
      <c r="G2018" s="18">
        <v>0</v>
      </c>
      <c r="H2018" s="18">
        <v>0</v>
      </c>
      <c r="I2018" s="18">
        <v>1</v>
      </c>
      <c r="J2018" s="99">
        <f>SUM(SamplingData[[#This Row],[Losing Candidate]:[Under Votes]])</f>
        <v>97</v>
      </c>
      <c r="K2018" s="100">
        <f>IF(AND(SamplingData[[#This Row],[Total]]&lt;&gt; 0, NOT(ISBLANK(SamplingData[[#This Row],[Losing Candidate]]))),(SamplingData[[#This Row],[Total]]+SamplingData[[#This Row],[Winning Candidate]]-SamplingData[[#This Row],[Losing Candidate]])/(SamplingData[[#Totals],[Winning Candidate]]-SamplingData[[#Totals],[Losing Candidate]]), 0)</f>
        <v>6.7368936795688386E-3</v>
      </c>
      <c r="L2018" s="100">
        <f>IF(AND(SamplingData[[#This Row],[Total]]&lt;&gt; 0, NOT(ISBLANK(SamplingData[[#This Row],[Candidate 3]]))),(SamplingData[[#This Row],[Total]]+SamplingData[[#This Row],[Winning Candidate]]-SamplingData[[#This Row],[Candidate 3]])/(SamplingData[[#Totals],[Winning Candidate]]-SamplingData[[#Totals],[Candidate 3]]), 0)</f>
        <v>4.0971706939381229E-3</v>
      </c>
      <c r="M2018" s="100">
        <f>IF(AND(SamplingData[[#This Row],[Total]]&lt;&gt; 0, NOT(ISBLANK(SamplingData[[#This Row],[Candidate 4]]))),(SamplingData[[#This Row],[Total]]+SamplingData[[#This Row],[Winning Candidate]]-SamplingData[[#This Row],[Candidate 4]])/(SamplingData[[#Totals],[Winning Candidate]]-SamplingData[[#Totals],[Candidate 4]]), 0)</f>
        <v>4.063258206904616E-3</v>
      </c>
      <c r="N2018" s="100">
        <f>IF(AND(SamplingData[[#This Row],[Total]]&lt;&gt; 0, NOT(ISBLANK(SamplingData[[#This Row],[Candidate 5]]))),(SamplingData[[#This Row],[Total]]+SamplingData[[#This Row],[Winning Candidate]]-SamplingData[[#This Row],[Candidate 5]])/(SamplingData[[#Totals],[Winning Candidate]]-SamplingData[[#Totals],[Candidate 5]]), 0)</f>
        <v>3.4298224276331792E-3</v>
      </c>
      <c r="O2018" s="100">
        <f>IF(AND(SamplingData[[#This Row],[Total]]&lt;&gt; 0, NOT(ISBLANK(SamplingData[[#This Row],[Candidate 6]]))),(SamplingData[[#This Row],[Total]]+SamplingData[[#This Row],[Winning Candidate]]-SamplingData[[#This Row],[Candidate 6]])/(SamplingData[[#Totals],[Winning Candidate]]-SamplingData[[#Totals],[Candidate 6]]), 0)</f>
        <v>3.4531394387432518E-3</v>
      </c>
      <c r="P2018" s="100">
        <f>MAX(SamplingData[[#This Row],[Error Bound (up) - Max. possible relative overstatement - Losing Candidate]:[Error Bound (up) - Max. possible relative overstatement - Candidate 6]])</f>
        <v>6.7368936795688386E-3</v>
      </c>
      <c r="Q2018" s="100">
        <f>IF(SamplingData[[#This Row],[Max Error Bound (up)]] = 0,0,SamplingData[[#This Row],[Max Error Bound (up)]]/SamplingData[[#Totals],[Max Error Bound (up)]])</f>
        <v>1.0662243106290415E-3</v>
      </c>
      <c r="R2018" s="101">
        <f>SUM($Q$5:Q2018)</f>
        <v>0.86869413482742019</v>
      </c>
      <c r="S2018" s="100" t="str">
        <f t="array" ref="S2018">IF(SamplingData[[#This Row],[up/U Selection Probability]] = 0, "Zero", TEXT(SamplingData[[#This Row],[Lower Range]], REPT("0",LEN('General Info'!$B$40))) &amp; " - " &amp; TEXT(SamplingData[[#This Row],[Upper Range]], REPT("0",LEN('General Info'!$B$40))))</f>
        <v>86763 - 86868</v>
      </c>
      <c r="T2018" s="100">
        <f>SamplingData[[#This Row],[Upper Range]]-SamplingData[[#This Row],[Span]]</f>
        <v>86762.792117903431</v>
      </c>
      <c r="U2018" s="100">
        <f>IF(ISNUMBER('General Info'!$B$40), ((SamplingData[[#This Row],[up/U Selection Probability]]) * 'General Info'!$B$40) - 1, 0)</f>
        <v>105.62136483859352</v>
      </c>
      <c r="V2018" s="100">
        <f>IF(ISNUMBER('General Info'!$B$40), (SamplingData[[#This Row],[Running (cumulative) sum]] * ('General Info'!$B$40 -'General Info'!$B$41 + 1)) + 'General Info'!$B$41 - 1, 0)</f>
        <v>86868.41348274202</v>
      </c>
      <c r="W2018" s="100" t="str">
        <f>IF(ISERROR(MATCH(SamplingData[[#This Row],[Batch by Type (p)]],SelectedPrecincts[Batch Name], 0)), "", INDEX(SelectedPrecincts[Draw], MATCH(SamplingData[[#This Row],[Batch by Type (p)]],SelectedPrecincts[Batch Name], 0)))</f>
        <v/>
      </c>
      <c r="X2018" s="102">
        <f>IF(COUNTIF(SelectedPrecincts[Batch Name],SamplingData[[#This Row],[Batch by Type (p)]]) &lt;&gt; 0, COUNTIF(SelectedPrecincts[Batch Name],SamplingData[[#This Row],[Batch by Type (p)]]), 0)</f>
        <v>0</v>
      </c>
    </row>
    <row r="2019" spans="1:24" ht="15" customHeight="1">
      <c r="A2019" s="18" t="s">
        <v>2195</v>
      </c>
      <c r="B2019" s="18">
        <v>57</v>
      </c>
      <c r="C2019" s="18">
        <v>77</v>
      </c>
      <c r="D2019" s="16">
        <v>20</v>
      </c>
      <c r="E2019" s="16">
        <v>8</v>
      </c>
      <c r="F2019" s="37">
        <v>0</v>
      </c>
      <c r="G2019" s="37">
        <v>1</v>
      </c>
      <c r="H2019" s="17">
        <v>0</v>
      </c>
      <c r="I2019" s="17">
        <v>5</v>
      </c>
      <c r="J2019" s="99">
        <f>SUM(SamplingData[[#This Row],[Losing Candidate]:[Under Votes]])</f>
        <v>168</v>
      </c>
      <c r="K2019" s="100">
        <f>IF(AND(SamplingData[[#This Row],[Total]]&lt;&gt; 0, NOT(ISBLANK(SamplingData[[#This Row],[Losing Candidate]]))),(SamplingData[[#This Row],[Total]]+SamplingData[[#This Row],[Winning Candidate]]-SamplingData[[#This Row],[Losing Candidate]])/(SamplingData[[#Totals],[Winning Candidate]]-SamplingData[[#Totals],[Losing Candidate]]), 0)</f>
        <v>1.1513963743263106E-2</v>
      </c>
      <c r="L2019" s="100">
        <f>IF(AND(SamplingData[[#This Row],[Total]]&lt;&gt; 0, NOT(ISBLANK(SamplingData[[#This Row],[Candidate 3]]))),(SamplingData[[#This Row],[Total]]+SamplingData[[#This Row],[Winning Candidate]]-SamplingData[[#This Row],[Candidate 3]])/(SamplingData[[#Totals],[Winning Candidate]]-SamplingData[[#Totals],[Candidate 3]]), 0)</f>
        <v>7.2587669774494303E-3</v>
      </c>
      <c r="M2019" s="100">
        <f>IF(AND(SamplingData[[#This Row],[Total]]&lt;&gt; 0, NOT(ISBLANK(SamplingData[[#This Row],[Candidate 4]]))),(SamplingData[[#This Row],[Total]]+SamplingData[[#This Row],[Winning Candidate]]-SamplingData[[#This Row],[Candidate 4]])/(SamplingData[[#Totals],[Winning Candidate]]-SamplingData[[#Totals],[Candidate 4]]), 0)</f>
        <v>6.9280014031395248E-3</v>
      </c>
      <c r="N2019" s="100">
        <f>IF(AND(SamplingData[[#This Row],[Total]]&lt;&gt; 0, NOT(ISBLANK(SamplingData[[#This Row],[Candidate 5]]))),(SamplingData[[#This Row],[Total]]+SamplingData[[#This Row],[Winning Candidate]]-SamplingData[[#This Row],[Candidate 5]])/(SamplingData[[#Totals],[Winning Candidate]]-SamplingData[[#Totals],[Candidate 5]]), 0)</f>
        <v>5.9596205302846024E-3</v>
      </c>
      <c r="O2019" s="100">
        <f>IF(AND(SamplingData[[#This Row],[Total]]&lt;&gt; 0, NOT(ISBLANK(SamplingData[[#This Row],[Candidate 6]]))),(SamplingData[[#This Row],[Total]]+SamplingData[[#This Row],[Winning Candidate]]-SamplingData[[#This Row],[Candidate 6]])/(SamplingData[[#Totals],[Winning Candidate]]-SamplingData[[#Totals],[Candidate 6]]), 0)</f>
        <v>5.9335635426292499E-3</v>
      </c>
      <c r="P2019" s="100">
        <f>MAX(SamplingData[[#This Row],[Error Bound (up) - Max. possible relative overstatement - Losing Candidate]:[Error Bound (up) - Max. possible relative overstatement - Candidate 6]])</f>
        <v>1.1513963743263106E-2</v>
      </c>
      <c r="Q2019" s="100">
        <f>IF(SamplingData[[#This Row],[Max Error Bound (up)]] = 0,0,SamplingData[[#This Row],[Max Error Bound (up)]]/SamplingData[[#Totals],[Max Error Bound (up)]])</f>
        <v>1.8222742763478162E-3</v>
      </c>
      <c r="R2019" s="101">
        <f>SUM($Q$5:Q2019)</f>
        <v>0.87051640910376804</v>
      </c>
      <c r="S2019" s="100" t="str">
        <f t="array" ref="S2019">IF(SamplingData[[#This Row],[up/U Selection Probability]] = 0, "Zero", TEXT(SamplingData[[#This Row],[Lower Range]], REPT("0",LEN('General Info'!$B$40))) &amp; " - " &amp; TEXT(SamplingData[[#This Row],[Upper Range]], REPT("0",LEN('General Info'!$B$40))))</f>
        <v>86869 - 87051</v>
      </c>
      <c r="T2019" s="100">
        <f>SamplingData[[#This Row],[Upper Range]]-SamplingData[[#This Row],[Span]]</f>
        <v>86869.4153050163</v>
      </c>
      <c r="U2019" s="100">
        <f>IF(ISNUMBER('General Info'!$B$40), ((SamplingData[[#This Row],[up/U Selection Probability]]) * 'General Info'!$B$40) - 1, 0)</f>
        <v>181.22560536050528</v>
      </c>
      <c r="V2019" s="100">
        <f>IF(ISNUMBER('General Info'!$B$40), (SamplingData[[#This Row],[Running (cumulative) sum]] * ('General Info'!$B$40 -'General Info'!$B$41 + 1)) + 'General Info'!$B$41 - 1, 0)</f>
        <v>87050.640910376809</v>
      </c>
      <c r="W2019" s="100" t="str">
        <f>IF(ISERROR(MATCH(SamplingData[[#This Row],[Batch by Type (p)]],SelectedPrecincts[Batch Name], 0)), "", INDEX(SelectedPrecincts[Draw], MATCH(SamplingData[[#This Row],[Batch by Type (p)]],SelectedPrecincts[Batch Name], 0)))</f>
        <v/>
      </c>
      <c r="X2019" s="102">
        <f>IF(COUNTIF(SelectedPrecincts[Batch Name],SamplingData[[#This Row],[Batch by Type (p)]]) &lt;&gt; 0, COUNTIF(SelectedPrecincts[Batch Name],SamplingData[[#This Row],[Batch by Type (p)]]), 0)</f>
        <v>0</v>
      </c>
    </row>
    <row r="2020" spans="1:24" ht="15" customHeight="1">
      <c r="A2020" s="18" t="s">
        <v>2196</v>
      </c>
      <c r="B2020" s="18">
        <v>37</v>
      </c>
      <c r="C2020" s="18">
        <v>45</v>
      </c>
      <c r="D2020" s="18">
        <v>15</v>
      </c>
      <c r="E2020" s="18">
        <v>10</v>
      </c>
      <c r="F2020" s="18">
        <v>0</v>
      </c>
      <c r="G2020" s="18">
        <v>0</v>
      </c>
      <c r="H2020" s="18">
        <v>0</v>
      </c>
      <c r="I2020" s="18">
        <v>2</v>
      </c>
      <c r="J2020" s="99">
        <f>SUM(SamplingData[[#This Row],[Losing Candidate]:[Under Votes]])</f>
        <v>109</v>
      </c>
      <c r="K2020" s="100">
        <f>IF(AND(SamplingData[[#This Row],[Total]]&lt;&gt; 0, NOT(ISBLANK(SamplingData[[#This Row],[Losing Candidate]]))),(SamplingData[[#This Row],[Total]]+SamplingData[[#This Row],[Winning Candidate]]-SamplingData[[#This Row],[Losing Candidate]])/(SamplingData[[#Totals],[Winning Candidate]]-SamplingData[[#Totals],[Losing Candidate]]), 0)</f>
        <v>7.1656050955414014E-3</v>
      </c>
      <c r="L2020" s="100">
        <f>IF(AND(SamplingData[[#This Row],[Total]]&lt;&gt; 0, NOT(ISBLANK(SamplingData[[#This Row],[Candidate 3]]))),(SamplingData[[#This Row],[Total]]+SamplingData[[#This Row],[Winning Candidate]]-SamplingData[[#This Row],[Candidate 3]])/(SamplingData[[#Totals],[Winning Candidate]]-SamplingData[[#Totals],[Candidate 3]]), 0)</f>
        <v>4.4843049327354259E-3</v>
      </c>
      <c r="M2020" s="100">
        <f>IF(AND(SamplingData[[#This Row],[Total]]&lt;&gt; 0, NOT(ISBLANK(SamplingData[[#This Row],[Candidate 4]]))),(SamplingData[[#This Row],[Total]]+SamplingData[[#This Row],[Winning Candidate]]-SamplingData[[#This Row],[Candidate 4]])/(SamplingData[[#Totals],[Winning Candidate]]-SamplingData[[#Totals],[Candidate 4]]), 0)</f>
        <v>4.2094185740594583E-3</v>
      </c>
      <c r="N2020" s="100">
        <f>IF(AND(SamplingData[[#This Row],[Total]]&lt;&gt; 0, NOT(ISBLANK(SamplingData[[#This Row],[Candidate 5]]))),(SamplingData[[#This Row],[Total]]+SamplingData[[#This Row],[Winning Candidate]]-SamplingData[[#This Row],[Candidate 5]])/(SamplingData[[#Totals],[Winning Candidate]]-SamplingData[[#Totals],[Candidate 5]]), 0)</f>
        <v>3.7460471904646069E-3</v>
      </c>
      <c r="O2020" s="100">
        <f>IF(AND(SamplingData[[#This Row],[Total]]&lt;&gt; 0, NOT(ISBLANK(SamplingData[[#This Row],[Candidate 6]]))),(SamplingData[[#This Row],[Total]]+SamplingData[[#This Row],[Winning Candidate]]-SamplingData[[#This Row],[Candidate 6]])/(SamplingData[[#Totals],[Winning Candidate]]-SamplingData[[#Totals],[Candidate 6]]), 0)</f>
        <v>3.7449540392004281E-3</v>
      </c>
      <c r="P2020" s="100">
        <f>MAX(SamplingData[[#This Row],[Error Bound (up) - Max. possible relative overstatement - Losing Candidate]:[Error Bound (up) - Max. possible relative overstatement - Candidate 6]])</f>
        <v>7.1656050955414014E-3</v>
      </c>
      <c r="Q2020" s="100">
        <f>IF(SamplingData[[#This Row],[Max Error Bound (up)]] = 0,0,SamplingData[[#This Row],[Max Error Bound (up)]]/SamplingData[[#Totals],[Max Error Bound (up)]])</f>
        <v>1.1340749485781623E-3</v>
      </c>
      <c r="R2020" s="101">
        <f>SUM($Q$5:Q2020)</f>
        <v>0.87165048405234624</v>
      </c>
      <c r="S2020" s="100" t="str">
        <f t="array" ref="S2020">IF(SamplingData[[#This Row],[up/U Selection Probability]] = 0, "Zero", TEXT(SamplingData[[#This Row],[Lower Range]], REPT("0",LEN('General Info'!$B$40))) &amp; " - " &amp; TEXT(SamplingData[[#This Row],[Upper Range]], REPT("0",LEN('General Info'!$B$40))))</f>
        <v>87052 - 87164</v>
      </c>
      <c r="T2020" s="100">
        <f>SamplingData[[#This Row],[Upper Range]]-SamplingData[[#This Row],[Span]]</f>
        <v>87051.642044451757</v>
      </c>
      <c r="U2020" s="100">
        <f>IF(ISNUMBER('General Info'!$B$40), ((SamplingData[[#This Row],[up/U Selection Probability]]) * 'General Info'!$B$40) - 1, 0)</f>
        <v>112.40636078286765</v>
      </c>
      <c r="V2020" s="100">
        <f>IF(ISNUMBER('General Info'!$B$40), (SamplingData[[#This Row],[Running (cumulative) sum]] * ('General Info'!$B$40 -'General Info'!$B$41 + 1)) + 'General Info'!$B$41 - 1, 0)</f>
        <v>87164.048405234629</v>
      </c>
      <c r="W2020" s="100" t="str">
        <f>IF(ISERROR(MATCH(SamplingData[[#This Row],[Batch by Type (p)]],SelectedPrecincts[Batch Name], 0)), "", INDEX(SelectedPrecincts[Draw], MATCH(SamplingData[[#This Row],[Batch by Type (p)]],SelectedPrecincts[Batch Name], 0)))</f>
        <v/>
      </c>
      <c r="X2020" s="102">
        <f>IF(COUNTIF(SelectedPrecincts[Batch Name],SamplingData[[#This Row],[Batch by Type (p)]]) &lt;&gt; 0, COUNTIF(SelectedPrecincts[Batch Name],SamplingData[[#This Row],[Batch by Type (p)]]), 0)</f>
        <v>0</v>
      </c>
    </row>
    <row r="2021" spans="1:24" ht="15" customHeight="1">
      <c r="A2021" s="18" t="s">
        <v>2197</v>
      </c>
      <c r="B2021" s="18">
        <v>46</v>
      </c>
      <c r="C2021" s="18">
        <v>110</v>
      </c>
      <c r="D2021" s="16">
        <v>33</v>
      </c>
      <c r="E2021" s="16">
        <v>9</v>
      </c>
      <c r="F2021" s="37">
        <v>0</v>
      </c>
      <c r="G2021" s="37">
        <v>0</v>
      </c>
      <c r="H2021" s="17">
        <v>0</v>
      </c>
      <c r="I2021" s="17">
        <v>3</v>
      </c>
      <c r="J2021" s="99">
        <f>SUM(SamplingData[[#This Row],[Losing Candidate]:[Under Votes]])</f>
        <v>201</v>
      </c>
      <c r="K2021" s="100">
        <f>IF(AND(SamplingData[[#This Row],[Total]]&lt;&gt; 0, NOT(ISBLANK(SamplingData[[#This Row],[Losing Candidate]]))),(SamplingData[[#This Row],[Total]]+SamplingData[[#This Row],[Winning Candidate]]-SamplingData[[#This Row],[Losing Candidate]])/(SamplingData[[#Totals],[Winning Candidate]]-SamplingData[[#Totals],[Losing Candidate]]), 0)</f>
        <v>1.6229789318961293E-2</v>
      </c>
      <c r="L2021" s="100">
        <f>IF(AND(SamplingData[[#This Row],[Total]]&lt;&gt; 0, NOT(ISBLANK(SamplingData[[#This Row],[Candidate 3]]))),(SamplingData[[#This Row],[Total]]+SamplingData[[#This Row],[Winning Candidate]]-SamplingData[[#This Row],[Candidate 3]])/(SamplingData[[#Totals],[Winning Candidate]]-SamplingData[[#Totals],[Candidate 3]]), 0)</f>
        <v>8.9686098654708519E-3</v>
      </c>
      <c r="M2021" s="100">
        <f>IF(AND(SamplingData[[#This Row],[Total]]&lt;&gt; 0, NOT(ISBLANK(SamplingData[[#This Row],[Candidate 4]]))),(SamplingData[[#This Row],[Total]]+SamplingData[[#This Row],[Winning Candidate]]-SamplingData[[#This Row],[Candidate 4]])/(SamplingData[[#Totals],[Winning Candidate]]-SamplingData[[#Totals],[Candidate 4]]), 0)</f>
        <v>8.8280861761524752E-3</v>
      </c>
      <c r="N2021" s="100">
        <f>IF(AND(SamplingData[[#This Row],[Total]]&lt;&gt; 0, NOT(ISBLANK(SamplingData[[#This Row],[Candidate 5]]))),(SamplingData[[#This Row],[Total]]+SamplingData[[#This Row],[Winning Candidate]]-SamplingData[[#This Row],[Candidate 5]])/(SamplingData[[#Totals],[Winning Candidate]]-SamplingData[[#Totals],[Candidate 5]]), 0)</f>
        <v>7.565069326198005E-3</v>
      </c>
      <c r="O2021" s="100">
        <f>IF(AND(SamplingData[[#This Row],[Total]]&lt;&gt; 0, NOT(ISBLANK(SamplingData[[#This Row],[Candidate 6]]))),(SamplingData[[#This Row],[Total]]+SamplingData[[#This Row],[Winning Candidate]]-SamplingData[[#This Row],[Candidate 6]])/(SamplingData[[#Totals],[Winning Candidate]]-SamplingData[[#Totals],[Candidate 6]]), 0)</f>
        <v>7.5628617285151498E-3</v>
      </c>
      <c r="P2021" s="100">
        <f>MAX(SamplingData[[#This Row],[Error Bound (up) - Max. possible relative overstatement - Losing Candidate]:[Error Bound (up) - Max. possible relative overstatement - Candidate 6]])</f>
        <v>1.6229789318961293E-2</v>
      </c>
      <c r="Q2021" s="100">
        <f>IF(SamplingData[[#This Row],[Max Error Bound (up)]] = 0,0,SamplingData[[#This Row],[Max Error Bound (up)]]/SamplingData[[#Totals],[Max Error Bound (up)]])</f>
        <v>2.5686312937881453E-3</v>
      </c>
      <c r="R2021" s="101">
        <f>SUM($Q$5:Q2021)</f>
        <v>0.87421911534613439</v>
      </c>
      <c r="S2021" s="100" t="str">
        <f t="array" ref="S2021">IF(SamplingData[[#This Row],[up/U Selection Probability]] = 0, "Zero", TEXT(SamplingData[[#This Row],[Lower Range]], REPT("0",LEN('General Info'!$B$40))) &amp; " - " &amp; TEXT(SamplingData[[#This Row],[Upper Range]], REPT("0",LEN('General Info'!$B$40))))</f>
        <v>87165 - 87421</v>
      </c>
      <c r="T2021" s="100">
        <f>SamplingData[[#This Row],[Upper Range]]-SamplingData[[#This Row],[Span]]</f>
        <v>87165.050973865917</v>
      </c>
      <c r="U2021" s="100">
        <f>IF(ISNUMBER('General Info'!$B$40), ((SamplingData[[#This Row],[up/U Selection Probability]]) * 'General Info'!$B$40) - 1, 0)</f>
        <v>255.86056074752076</v>
      </c>
      <c r="V2021" s="100">
        <f>IF(ISNUMBER('General Info'!$B$40), (SamplingData[[#This Row],[Running (cumulative) sum]] * ('General Info'!$B$40 -'General Info'!$B$41 + 1)) + 'General Info'!$B$41 - 1, 0)</f>
        <v>87420.911534613435</v>
      </c>
      <c r="W2021" s="100" t="str">
        <f>IF(ISERROR(MATCH(SamplingData[[#This Row],[Batch by Type (p)]],SelectedPrecincts[Batch Name], 0)), "", INDEX(SelectedPrecincts[Draw], MATCH(SamplingData[[#This Row],[Batch by Type (p)]],SelectedPrecincts[Batch Name], 0)))</f>
        <v/>
      </c>
      <c r="X2021" s="102">
        <f>IF(COUNTIF(SelectedPrecincts[Batch Name],SamplingData[[#This Row],[Batch by Type (p)]]) &lt;&gt; 0, COUNTIF(SelectedPrecincts[Batch Name],SamplingData[[#This Row],[Batch by Type (p)]]), 0)</f>
        <v>0</v>
      </c>
    </row>
    <row r="2022" spans="1:24" ht="15" customHeight="1">
      <c r="A2022" s="18" t="s">
        <v>2198</v>
      </c>
      <c r="B2022" s="18">
        <v>24</v>
      </c>
      <c r="C2022" s="18">
        <v>48</v>
      </c>
      <c r="D2022" s="18">
        <v>11</v>
      </c>
      <c r="E2022" s="18">
        <v>3</v>
      </c>
      <c r="F2022" s="18">
        <v>0</v>
      </c>
      <c r="G2022" s="18">
        <v>0</v>
      </c>
      <c r="H2022" s="18">
        <v>0</v>
      </c>
      <c r="I2022" s="18">
        <v>2</v>
      </c>
      <c r="J2022" s="99">
        <f>SUM(SamplingData[[#This Row],[Losing Candidate]:[Under Votes]])</f>
        <v>88</v>
      </c>
      <c r="K2022" s="100">
        <f>IF(AND(SamplingData[[#This Row],[Total]]&lt;&gt; 0, NOT(ISBLANK(SamplingData[[#This Row],[Losing Candidate]]))),(SamplingData[[#This Row],[Total]]+SamplingData[[#This Row],[Winning Candidate]]-SamplingData[[#This Row],[Losing Candidate]])/(SamplingData[[#Totals],[Winning Candidate]]-SamplingData[[#Totals],[Losing Candidate]]), 0)</f>
        <v>6.8593826555609994E-3</v>
      </c>
      <c r="L2022" s="100">
        <f>IF(AND(SamplingData[[#This Row],[Total]]&lt;&gt; 0, NOT(ISBLANK(SamplingData[[#This Row],[Candidate 3]]))),(SamplingData[[#This Row],[Total]]+SamplingData[[#This Row],[Winning Candidate]]-SamplingData[[#This Row],[Candidate 3]])/(SamplingData[[#Totals],[Winning Candidate]]-SamplingData[[#Totals],[Candidate 3]]), 0)</f>
        <v>4.0326483208052389E-3</v>
      </c>
      <c r="M2022" s="100">
        <f>IF(AND(SamplingData[[#This Row],[Total]]&lt;&gt; 0, NOT(ISBLANK(SamplingData[[#This Row],[Candidate 4]]))),(SamplingData[[#This Row],[Total]]+SamplingData[[#This Row],[Winning Candidate]]-SamplingData[[#This Row],[Candidate 4]])/(SamplingData[[#Totals],[Winning Candidate]]-SamplingData[[#Totals],[Candidate 4]]), 0)</f>
        <v>3.8878657663188052E-3</v>
      </c>
      <c r="N2022" s="100">
        <f>IF(AND(SamplingData[[#This Row],[Total]]&lt;&gt; 0, NOT(ISBLANK(SamplingData[[#This Row],[Candidate 5]]))),(SamplingData[[#This Row],[Total]]+SamplingData[[#This Row],[Winning Candidate]]-SamplingData[[#This Row],[Candidate 5]])/(SamplingData[[#Totals],[Winning Candidate]]-SamplingData[[#Totals],[Candidate 5]]), 0)</f>
        <v>3.3081975188518609E-3</v>
      </c>
      <c r="O2022" s="100">
        <f>IF(AND(SamplingData[[#This Row],[Total]]&lt;&gt; 0, NOT(ISBLANK(SamplingData[[#This Row],[Candidate 6]]))),(SamplingData[[#This Row],[Total]]+SamplingData[[#This Row],[Winning Candidate]]-SamplingData[[#This Row],[Candidate 6]])/(SamplingData[[#Totals],[Winning Candidate]]-SamplingData[[#Totals],[Candidate 6]]), 0)</f>
        <v>3.3072321385146635E-3</v>
      </c>
      <c r="P2022" s="100">
        <f>MAX(SamplingData[[#This Row],[Error Bound (up) - Max. possible relative overstatement - Losing Candidate]:[Error Bound (up) - Max. possible relative overstatement - Candidate 6]])</f>
        <v>6.8593826555609994E-3</v>
      </c>
      <c r="Q2022" s="100">
        <f>IF(SamplingData[[#This Row],[Max Error Bound (up)]] = 0,0,SamplingData[[#This Row],[Max Error Bound (up)]]/SamplingData[[#Totals],[Max Error Bound (up)]])</f>
        <v>1.0856102071859332E-3</v>
      </c>
      <c r="R2022" s="101">
        <f>SUM($Q$5:Q2022)</f>
        <v>0.87530472555332028</v>
      </c>
      <c r="S2022" s="100" t="str">
        <f t="array" ref="S2022">IF(SamplingData[[#This Row],[up/U Selection Probability]] = 0, "Zero", TEXT(SamplingData[[#This Row],[Lower Range]], REPT("0",LEN('General Info'!$B$40))) &amp; " - " &amp; TEXT(SamplingData[[#This Row],[Upper Range]], REPT("0",LEN('General Info'!$B$40))))</f>
        <v>87422 - 87529</v>
      </c>
      <c r="T2022" s="100">
        <f>SamplingData[[#This Row],[Upper Range]]-SamplingData[[#This Row],[Span]]</f>
        <v>87421.912620223651</v>
      </c>
      <c r="U2022" s="100">
        <f>IF(ISNUMBER('General Info'!$B$40), ((SamplingData[[#This Row],[up/U Selection Probability]]) * 'General Info'!$B$40) - 1, 0)</f>
        <v>107.55993510838614</v>
      </c>
      <c r="V2022" s="100">
        <f>IF(ISNUMBER('General Info'!$B$40), (SamplingData[[#This Row],[Running (cumulative) sum]] * ('General Info'!$B$40 -'General Info'!$B$41 + 1)) + 'General Info'!$B$41 - 1, 0)</f>
        <v>87529.472555332031</v>
      </c>
      <c r="W2022" s="100" t="str">
        <f>IF(ISERROR(MATCH(SamplingData[[#This Row],[Batch by Type (p)]],SelectedPrecincts[Batch Name], 0)), "", INDEX(SelectedPrecincts[Draw], MATCH(SamplingData[[#This Row],[Batch by Type (p)]],SelectedPrecincts[Batch Name], 0)))</f>
        <v/>
      </c>
      <c r="X2022" s="102">
        <f>IF(COUNTIF(SelectedPrecincts[Batch Name],SamplingData[[#This Row],[Batch by Type (p)]]) &lt;&gt; 0, COUNTIF(SelectedPrecincts[Batch Name],SamplingData[[#This Row],[Batch by Type (p)]]), 0)</f>
        <v>0</v>
      </c>
    </row>
    <row r="2023" spans="1:24" ht="15" customHeight="1">
      <c r="A2023" s="18" t="s">
        <v>2199</v>
      </c>
      <c r="B2023" s="18">
        <v>64</v>
      </c>
      <c r="C2023" s="18">
        <v>122</v>
      </c>
      <c r="D2023" s="16">
        <v>32</v>
      </c>
      <c r="E2023" s="16">
        <v>20</v>
      </c>
      <c r="F2023" s="37">
        <v>2</v>
      </c>
      <c r="G2023" s="37">
        <v>0</v>
      </c>
      <c r="H2023" s="17">
        <v>1</v>
      </c>
      <c r="I2023" s="17">
        <v>7</v>
      </c>
      <c r="J2023" s="99">
        <f>SUM(SamplingData[[#This Row],[Losing Candidate]:[Under Votes]])</f>
        <v>248</v>
      </c>
      <c r="K2023" s="100">
        <f>IF(AND(SamplingData[[#This Row],[Total]]&lt;&gt; 0, NOT(ISBLANK(SamplingData[[#This Row],[Losing Candidate]]))),(SamplingData[[#This Row],[Total]]+SamplingData[[#This Row],[Winning Candidate]]-SamplingData[[#This Row],[Losing Candidate]])/(SamplingData[[#Totals],[Winning Candidate]]-SamplingData[[#Totals],[Losing Candidate]]), 0)</f>
        <v>1.8740813326800589E-2</v>
      </c>
      <c r="L2023" s="100">
        <f>IF(AND(SamplingData[[#This Row],[Total]]&lt;&gt; 0, NOT(ISBLANK(SamplingData[[#This Row],[Candidate 3]]))),(SamplingData[[#This Row],[Total]]+SamplingData[[#This Row],[Winning Candidate]]-SamplingData[[#This Row],[Candidate 3]])/(SamplingData[[#Totals],[Winning Candidate]]-SamplingData[[#Totals],[Candidate 3]]), 0)</f>
        <v>1.0904281059457366E-2</v>
      </c>
      <c r="M2023" s="100">
        <f>IF(AND(SamplingData[[#This Row],[Total]]&lt;&gt; 0, NOT(ISBLANK(SamplingData[[#This Row],[Candidate 4]]))),(SamplingData[[#This Row],[Total]]+SamplingData[[#This Row],[Winning Candidate]]-SamplingData[[#This Row],[Candidate 4]])/(SamplingData[[#Totals],[Winning Candidate]]-SamplingData[[#Totals],[Candidate 4]]), 0)</f>
        <v>1.023122570083896E-2</v>
      </c>
      <c r="N2023" s="100">
        <f>IF(AND(SamplingData[[#This Row],[Total]]&lt;&gt; 0, NOT(ISBLANK(SamplingData[[#This Row],[Candidate 5]]))),(SamplingData[[#This Row],[Total]]+SamplingData[[#This Row],[Winning Candidate]]-SamplingData[[#This Row],[Candidate 5]])/(SamplingData[[#Totals],[Winning Candidate]]-SamplingData[[#Totals],[Candidate 5]]), 0)</f>
        <v>8.951593286305036E-3</v>
      </c>
      <c r="O2023" s="100">
        <f>IF(AND(SamplingData[[#This Row],[Total]]&lt;&gt; 0, NOT(ISBLANK(SamplingData[[#This Row],[Candidate 6]]))),(SamplingData[[#This Row],[Total]]+SamplingData[[#This Row],[Winning Candidate]]-SamplingData[[#This Row],[Candidate 6]])/(SamplingData[[#Totals],[Winning Candidate]]-SamplingData[[#Totals],[Candidate 6]]), 0)</f>
        <v>8.9976168474296004E-3</v>
      </c>
      <c r="P2023" s="100">
        <f>MAX(SamplingData[[#This Row],[Error Bound (up) - Max. possible relative overstatement - Losing Candidate]:[Error Bound (up) - Max. possible relative overstatement - Candidate 6]])</f>
        <v>1.8740813326800589E-2</v>
      </c>
      <c r="Q2023" s="100">
        <f>IF(SamplingData[[#This Row],[Max Error Bound (up)]] = 0,0,SamplingData[[#This Row],[Max Error Bound (up)]]/SamplingData[[#Totals],[Max Error Bound (up)]])</f>
        <v>2.9660421732044247E-3</v>
      </c>
      <c r="R2023" s="101">
        <f>SUM($Q$5:Q2023)</f>
        <v>0.87827076772652468</v>
      </c>
      <c r="S2023" s="100" t="str">
        <f t="array" ref="S2023">IF(SamplingData[[#This Row],[up/U Selection Probability]] = 0, "Zero", TEXT(SamplingData[[#This Row],[Lower Range]], REPT("0",LEN('General Info'!$B$40))) &amp; " - " &amp; TEXT(SamplingData[[#This Row],[Upper Range]], REPT("0",LEN('General Info'!$B$40))))</f>
        <v>87530 - 87826</v>
      </c>
      <c r="T2023" s="100">
        <f>SamplingData[[#This Row],[Upper Range]]-SamplingData[[#This Row],[Span]]</f>
        <v>87530.475521374188</v>
      </c>
      <c r="U2023" s="100">
        <f>IF(ISNUMBER('General Info'!$B$40), ((SamplingData[[#This Row],[up/U Selection Probability]]) * 'General Info'!$B$40) - 1, 0)</f>
        <v>295.60125127826927</v>
      </c>
      <c r="V2023" s="100">
        <f>IF(ISNUMBER('General Info'!$B$40), (SamplingData[[#This Row],[Running (cumulative) sum]] * ('General Info'!$B$40 -'General Info'!$B$41 + 1)) + 'General Info'!$B$41 - 1, 0)</f>
        <v>87826.076772652465</v>
      </c>
      <c r="W2023" s="100" t="str">
        <f>IF(ISERROR(MATCH(SamplingData[[#This Row],[Batch by Type (p)]],SelectedPrecincts[Batch Name], 0)), "", INDEX(SelectedPrecincts[Draw], MATCH(SamplingData[[#This Row],[Batch by Type (p)]],SelectedPrecincts[Batch Name], 0)))</f>
        <v/>
      </c>
      <c r="X2023" s="102">
        <f>IF(COUNTIF(SelectedPrecincts[Batch Name],SamplingData[[#This Row],[Batch by Type (p)]]) &lt;&gt; 0, COUNTIF(SelectedPrecincts[Batch Name],SamplingData[[#This Row],[Batch by Type (p)]]), 0)</f>
        <v>0</v>
      </c>
    </row>
    <row r="2024" spans="1:24" ht="15" customHeight="1">
      <c r="A2024" s="18" t="s">
        <v>2200</v>
      </c>
      <c r="B2024" s="18">
        <v>29</v>
      </c>
      <c r="C2024" s="18">
        <v>28</v>
      </c>
      <c r="D2024" s="18">
        <v>6</v>
      </c>
      <c r="E2024" s="18">
        <v>5</v>
      </c>
      <c r="F2024" s="18">
        <v>0</v>
      </c>
      <c r="G2024" s="18">
        <v>0</v>
      </c>
      <c r="H2024" s="18">
        <v>0</v>
      </c>
      <c r="I2024" s="18">
        <v>0</v>
      </c>
      <c r="J2024" s="99">
        <f>SUM(SamplingData[[#This Row],[Losing Candidate]:[Under Votes]])</f>
        <v>68</v>
      </c>
      <c r="K2024" s="100">
        <f>IF(AND(SamplingData[[#This Row],[Total]]&lt;&gt; 0, NOT(ISBLANK(SamplingData[[#This Row],[Losing Candidate]]))),(SamplingData[[#This Row],[Total]]+SamplingData[[#This Row],[Winning Candidate]]-SamplingData[[#This Row],[Losing Candidate]])/(SamplingData[[#Totals],[Winning Candidate]]-SamplingData[[#Totals],[Losing Candidate]]), 0)</f>
        <v>4.1033806957373837E-3</v>
      </c>
      <c r="L2024" s="100">
        <f>IF(AND(SamplingData[[#This Row],[Total]]&lt;&gt; 0, NOT(ISBLANK(SamplingData[[#This Row],[Candidate 3]]))),(SamplingData[[#This Row],[Total]]+SamplingData[[#This Row],[Winning Candidate]]-SamplingData[[#This Row],[Candidate 3]])/(SamplingData[[#Totals],[Winning Candidate]]-SamplingData[[#Totals],[Candidate 3]]), 0)</f>
        <v>2.9035067909797723E-3</v>
      </c>
      <c r="M2024" s="100">
        <f>IF(AND(SamplingData[[#This Row],[Total]]&lt;&gt; 0, NOT(ISBLANK(SamplingData[[#This Row],[Candidate 4]]))),(SamplingData[[#This Row],[Total]]+SamplingData[[#This Row],[Winning Candidate]]-SamplingData[[#This Row],[Candidate 4]])/(SamplingData[[#Totals],[Winning Candidate]]-SamplingData[[#Totals],[Candidate 4]]), 0)</f>
        <v>2.6601186822181296E-3</v>
      </c>
      <c r="N2024" s="100">
        <f>IF(AND(SamplingData[[#This Row],[Total]]&lt;&gt; 0, NOT(ISBLANK(SamplingData[[#This Row],[Candidate 5]]))),(SamplingData[[#This Row],[Total]]+SamplingData[[#This Row],[Winning Candidate]]-SamplingData[[#This Row],[Candidate 5]])/(SamplingData[[#Totals],[Winning Candidate]]-SamplingData[[#Totals],[Candidate 5]]), 0)</f>
        <v>2.3351982486013137E-3</v>
      </c>
      <c r="O2024" s="100">
        <f>IF(AND(SamplingData[[#This Row],[Total]]&lt;&gt; 0, NOT(ISBLANK(SamplingData[[#This Row],[Candidate 6]]))),(SamplingData[[#This Row],[Total]]+SamplingData[[#This Row],[Winning Candidate]]-SamplingData[[#This Row],[Candidate 6]])/(SamplingData[[#Totals],[Winning Candidate]]-SamplingData[[#Totals],[Candidate 6]]), 0)</f>
        <v>2.3345168036574097E-3</v>
      </c>
      <c r="P2024" s="100">
        <f>MAX(SamplingData[[#This Row],[Error Bound (up) - Max. possible relative overstatement - Losing Candidate]:[Error Bound (up) - Max. possible relative overstatement - Candidate 6]])</f>
        <v>4.1033806957373837E-3</v>
      </c>
      <c r="Q2024" s="100">
        <f>IF(SamplingData[[#This Row],[Max Error Bound (up)]] = 0,0,SamplingData[[#This Row],[Max Error Bound (up)]]/SamplingData[[#Totals],[Max Error Bound (up)]])</f>
        <v>6.4942753465587074E-4</v>
      </c>
      <c r="R2024" s="101">
        <f>SUM($Q$5:Q2024)</f>
        <v>0.87892019526118059</v>
      </c>
      <c r="S2024" s="100" t="str">
        <f t="array" ref="S2024">IF(SamplingData[[#This Row],[up/U Selection Probability]] = 0, "Zero", TEXT(SamplingData[[#This Row],[Lower Range]], REPT("0",LEN('General Info'!$B$40))) &amp; " - " &amp; TEXT(SamplingData[[#This Row],[Upper Range]], REPT("0",LEN('General Info'!$B$40))))</f>
        <v>87827 - 87891</v>
      </c>
      <c r="T2024" s="100">
        <f>SamplingData[[#This Row],[Upper Range]]-SamplingData[[#This Row],[Span]]</f>
        <v>87827.077422080009</v>
      </c>
      <c r="U2024" s="100">
        <f>IF(ISNUMBER('General Info'!$B$40), ((SamplingData[[#This Row],[up/U Selection Probability]]) * 'General Info'!$B$40) - 1, 0)</f>
        <v>63.94210403805242</v>
      </c>
      <c r="V2024" s="100">
        <f>IF(ISNUMBER('General Info'!$B$40), (SamplingData[[#This Row],[Running (cumulative) sum]] * ('General Info'!$B$40 -'General Info'!$B$41 + 1)) + 'General Info'!$B$41 - 1, 0)</f>
        <v>87891.019526118063</v>
      </c>
      <c r="W2024" s="100" t="str">
        <f>IF(ISERROR(MATCH(SamplingData[[#This Row],[Batch by Type (p)]],SelectedPrecincts[Batch Name], 0)), "", INDEX(SelectedPrecincts[Draw], MATCH(SamplingData[[#This Row],[Batch by Type (p)]],SelectedPrecincts[Batch Name], 0)))</f>
        <v/>
      </c>
      <c r="X2024" s="102">
        <f>IF(COUNTIF(SelectedPrecincts[Batch Name],SamplingData[[#This Row],[Batch by Type (p)]]) &lt;&gt; 0, COUNTIF(SelectedPrecincts[Batch Name],SamplingData[[#This Row],[Batch by Type (p)]]), 0)</f>
        <v>0</v>
      </c>
    </row>
    <row r="2025" spans="1:24" ht="15" customHeight="1">
      <c r="A2025" s="18" t="s">
        <v>2201</v>
      </c>
      <c r="B2025" s="18">
        <v>23</v>
      </c>
      <c r="C2025" s="18">
        <v>56</v>
      </c>
      <c r="D2025" s="16">
        <v>12</v>
      </c>
      <c r="E2025" s="16">
        <v>8</v>
      </c>
      <c r="F2025" s="37">
        <v>0</v>
      </c>
      <c r="G2025" s="37">
        <v>0</v>
      </c>
      <c r="H2025" s="17">
        <v>0</v>
      </c>
      <c r="I2025" s="17">
        <v>3</v>
      </c>
      <c r="J2025" s="99">
        <f>SUM(SamplingData[[#This Row],[Losing Candidate]:[Under Votes]])</f>
        <v>102</v>
      </c>
      <c r="K2025" s="100">
        <f>IF(AND(SamplingData[[#This Row],[Total]]&lt;&gt; 0, NOT(ISBLANK(SamplingData[[#This Row],[Losing Candidate]]))),(SamplingData[[#This Row],[Total]]+SamplingData[[#This Row],[Winning Candidate]]-SamplingData[[#This Row],[Losing Candidate]])/(SamplingData[[#Totals],[Winning Candidate]]-SamplingData[[#Totals],[Losing Candidate]]), 0)</f>
        <v>8.268005879470847E-3</v>
      </c>
      <c r="L2025" s="100">
        <f>IF(AND(SamplingData[[#This Row],[Total]]&lt;&gt; 0, NOT(ISBLANK(SamplingData[[#This Row],[Candidate 3]]))),(SamplingData[[#This Row],[Total]]+SamplingData[[#This Row],[Winning Candidate]]-SamplingData[[#This Row],[Candidate 3]])/(SamplingData[[#Totals],[Winning Candidate]]-SamplingData[[#Totals],[Candidate 3]]), 0)</f>
        <v>4.7101332387005194E-3</v>
      </c>
      <c r="M2025" s="100">
        <f>IF(AND(SamplingData[[#This Row],[Total]]&lt;&gt; 0, NOT(ISBLANK(SamplingData[[#This Row],[Candidate 4]]))),(SamplingData[[#This Row],[Total]]+SamplingData[[#This Row],[Winning Candidate]]-SamplingData[[#This Row],[Candidate 4]])/(SamplingData[[#Totals],[Winning Candidate]]-SamplingData[[#Totals],[Candidate 4]]), 0)</f>
        <v>4.3848110146452691E-3</v>
      </c>
      <c r="N2025" s="100">
        <f>IF(AND(SamplingData[[#This Row],[Total]]&lt;&gt; 0, NOT(ISBLANK(SamplingData[[#This Row],[Candidate 5]]))),(SamplingData[[#This Row],[Total]]+SamplingData[[#This Row],[Winning Candidate]]-SamplingData[[#This Row],[Candidate 5]])/(SamplingData[[#Totals],[Winning Candidate]]-SamplingData[[#Totals],[Candidate 5]]), 0)</f>
        <v>3.8433471174896621E-3</v>
      </c>
      <c r="O2025" s="100">
        <f>IF(AND(SamplingData[[#This Row],[Total]]&lt;&gt; 0, NOT(ISBLANK(SamplingData[[#This Row],[Candidate 6]]))),(SamplingData[[#This Row],[Total]]+SamplingData[[#This Row],[Winning Candidate]]-SamplingData[[#This Row],[Candidate 6]])/(SamplingData[[#Totals],[Winning Candidate]]-SamplingData[[#Totals],[Candidate 6]]), 0)</f>
        <v>3.8422255726861536E-3</v>
      </c>
      <c r="P2025" s="100">
        <f>MAX(SamplingData[[#This Row],[Error Bound (up) - Max. possible relative overstatement - Losing Candidate]:[Error Bound (up) - Max. possible relative overstatement - Candidate 6]])</f>
        <v>8.268005879470847E-3</v>
      </c>
      <c r="Q2025" s="100">
        <f>IF(SamplingData[[#This Row],[Max Error Bound (up)]] = 0,0,SamplingData[[#This Row],[Max Error Bound (up)]]/SamplingData[[#Totals],[Max Error Bound (up)]])</f>
        <v>1.3085480175901872E-3</v>
      </c>
      <c r="R2025" s="101">
        <f>SUM($Q$5:Q2025)</f>
        <v>0.88022874327877076</v>
      </c>
      <c r="S2025" s="100" t="str">
        <f t="array" ref="S2025">IF(SamplingData[[#This Row],[up/U Selection Probability]] = 0, "Zero", TEXT(SamplingData[[#This Row],[Lower Range]], REPT("0",LEN('General Info'!$B$40))) &amp; " - " &amp; TEXT(SamplingData[[#This Row],[Upper Range]], REPT("0",LEN('General Info'!$B$40))))</f>
        <v>87892 - 88022</v>
      </c>
      <c r="T2025" s="100">
        <f>SamplingData[[#This Row],[Upper Range]]-SamplingData[[#This Row],[Span]]</f>
        <v>87892.020834666066</v>
      </c>
      <c r="U2025" s="100">
        <f>IF(ISNUMBER('General Info'!$B$40), ((SamplingData[[#This Row],[up/U Selection Probability]]) * 'General Info'!$B$40) - 1, 0)</f>
        <v>129.85349321100114</v>
      </c>
      <c r="V2025" s="100">
        <f>IF(ISNUMBER('General Info'!$B$40), (SamplingData[[#This Row],[Running (cumulative) sum]] * ('General Info'!$B$40 -'General Info'!$B$41 + 1)) + 'General Info'!$B$41 - 1, 0)</f>
        <v>88021.874327877071</v>
      </c>
      <c r="W2025" s="100" t="str">
        <f>IF(ISERROR(MATCH(SamplingData[[#This Row],[Batch by Type (p)]],SelectedPrecincts[Batch Name], 0)), "", INDEX(SelectedPrecincts[Draw], MATCH(SamplingData[[#This Row],[Batch by Type (p)]],SelectedPrecincts[Batch Name], 0)))</f>
        <v/>
      </c>
      <c r="X2025" s="102">
        <f>IF(COUNTIF(SelectedPrecincts[Batch Name],SamplingData[[#This Row],[Batch by Type (p)]]) &lt;&gt; 0, COUNTIF(SelectedPrecincts[Batch Name],SamplingData[[#This Row],[Batch by Type (p)]]), 0)</f>
        <v>0</v>
      </c>
    </row>
    <row r="2026" spans="1:24" ht="15" customHeight="1">
      <c r="A2026" s="18" t="s">
        <v>2202</v>
      </c>
      <c r="B2026" s="18">
        <v>36</v>
      </c>
      <c r="C2026" s="18">
        <v>62</v>
      </c>
      <c r="D2026" s="18">
        <v>16</v>
      </c>
      <c r="E2026" s="18">
        <v>3</v>
      </c>
      <c r="F2026" s="18">
        <v>0</v>
      </c>
      <c r="G2026" s="18">
        <v>1</v>
      </c>
      <c r="H2026" s="18">
        <v>0</v>
      </c>
      <c r="I2026" s="18">
        <v>5</v>
      </c>
      <c r="J2026" s="99">
        <f>SUM(SamplingData[[#This Row],[Losing Candidate]:[Under Votes]])</f>
        <v>123</v>
      </c>
      <c r="K2026" s="100">
        <f>IF(AND(SamplingData[[#This Row],[Total]]&lt;&gt; 0, NOT(ISBLANK(SamplingData[[#This Row],[Losing Candidate]]))),(SamplingData[[#This Row],[Total]]+SamplingData[[#This Row],[Winning Candidate]]-SamplingData[[#This Row],[Losing Candidate]])/(SamplingData[[#Totals],[Winning Candidate]]-SamplingData[[#Totals],[Losing Candidate]]), 0)</f>
        <v>9.1254287114159727E-3</v>
      </c>
      <c r="L2026" s="100">
        <f>IF(AND(SamplingData[[#This Row],[Total]]&lt;&gt; 0, NOT(ISBLANK(SamplingData[[#This Row],[Candidate 3]]))),(SamplingData[[#This Row],[Total]]+SamplingData[[#This Row],[Winning Candidate]]-SamplingData[[#This Row],[Candidate 3]])/(SamplingData[[#Totals],[Winning Candidate]]-SamplingData[[#Totals],[Candidate 3]]), 0)</f>
        <v>5.4521405297286831E-3</v>
      </c>
      <c r="M2026" s="100">
        <f>IF(AND(SamplingData[[#This Row],[Total]]&lt;&gt; 0, NOT(ISBLANK(SamplingData[[#This Row],[Candidate 4]]))),(SamplingData[[#This Row],[Total]]+SamplingData[[#This Row],[Winning Candidate]]-SamplingData[[#This Row],[Candidate 4]])/(SamplingData[[#Totals],[Winning Candidate]]-SamplingData[[#Totals],[Candidate 4]]), 0)</f>
        <v>5.3202373644362592E-3</v>
      </c>
      <c r="N2026" s="100">
        <f>IF(AND(SamplingData[[#This Row],[Total]]&lt;&gt; 0, NOT(ISBLANK(SamplingData[[#This Row],[Candidate 5]]))),(SamplingData[[#This Row],[Total]]+SamplingData[[#This Row],[Winning Candidate]]-SamplingData[[#This Row],[Candidate 5]])/(SamplingData[[#Totals],[Winning Candidate]]-SamplingData[[#Totals],[Candidate 5]]), 0)</f>
        <v>4.5001216249087811E-3</v>
      </c>
      <c r="O2026" s="100">
        <f>IF(AND(SamplingData[[#This Row],[Total]]&lt;&gt; 0, NOT(ISBLANK(SamplingData[[#This Row],[Candidate 6]]))),(SamplingData[[#This Row],[Total]]+SamplingData[[#This Row],[Winning Candidate]]-SamplingData[[#This Row],[Candidate 6]])/(SamplingData[[#Totals],[Winning Candidate]]-SamplingData[[#Totals],[Candidate 6]]), 0)</f>
        <v>4.4744905403433684E-3</v>
      </c>
      <c r="P2026" s="100">
        <f>MAX(SamplingData[[#This Row],[Error Bound (up) - Max. possible relative overstatement - Losing Candidate]:[Error Bound (up) - Max. possible relative overstatement - Candidate 6]])</f>
        <v>9.1254287114159727E-3</v>
      </c>
      <c r="Q2026" s="100">
        <f>IF(SamplingData[[#This Row],[Max Error Bound (up)]] = 0,0,SamplingData[[#This Row],[Max Error Bound (up)]]/SamplingData[[#Totals],[Max Error Bound (up)]])</f>
        <v>1.444249293488429E-3</v>
      </c>
      <c r="R2026" s="101">
        <f>SUM($Q$5:Q2026)</f>
        <v>0.88167299257225917</v>
      </c>
      <c r="S2026" s="100" t="str">
        <f t="array" ref="S2026">IF(SamplingData[[#This Row],[up/U Selection Probability]] = 0, "Zero", TEXT(SamplingData[[#This Row],[Lower Range]], REPT("0",LEN('General Info'!$B$40))) &amp; " - " &amp; TEXT(SamplingData[[#This Row],[Upper Range]], REPT("0",LEN('General Info'!$B$40))))</f>
        <v>88023 - 88166</v>
      </c>
      <c r="T2026" s="100">
        <f>SamplingData[[#This Row],[Upper Range]]-SamplingData[[#This Row],[Span]]</f>
        <v>88022.875772126368</v>
      </c>
      <c r="U2026" s="100">
        <f>IF(ISNUMBER('General Info'!$B$40), ((SamplingData[[#This Row],[up/U Selection Probability]]) * 'General Info'!$B$40) - 1, 0)</f>
        <v>143.4234850995494</v>
      </c>
      <c r="V2026" s="100">
        <f>IF(ISNUMBER('General Info'!$B$40), (SamplingData[[#This Row],[Running (cumulative) sum]] * ('General Info'!$B$40 -'General Info'!$B$41 + 1)) + 'General Info'!$B$41 - 1, 0)</f>
        <v>88166.299257225925</v>
      </c>
      <c r="W2026" s="100" t="str">
        <f>IF(ISERROR(MATCH(SamplingData[[#This Row],[Batch by Type (p)]],SelectedPrecincts[Batch Name], 0)), "", INDEX(SelectedPrecincts[Draw], MATCH(SamplingData[[#This Row],[Batch by Type (p)]],SelectedPrecincts[Batch Name], 0)))</f>
        <v/>
      </c>
      <c r="X2026" s="102">
        <f>IF(COUNTIF(SelectedPrecincts[Batch Name],SamplingData[[#This Row],[Batch by Type (p)]]) &lt;&gt; 0, COUNTIF(SelectedPrecincts[Batch Name],SamplingData[[#This Row],[Batch by Type (p)]]), 0)</f>
        <v>0</v>
      </c>
    </row>
    <row r="2027" spans="1:24" ht="15" customHeight="1">
      <c r="A2027" s="18" t="s">
        <v>2203</v>
      </c>
      <c r="B2027" s="18">
        <v>42</v>
      </c>
      <c r="C2027" s="18">
        <v>83</v>
      </c>
      <c r="D2027" s="16">
        <v>7</v>
      </c>
      <c r="E2027" s="16">
        <v>9</v>
      </c>
      <c r="F2027" s="37">
        <v>0</v>
      </c>
      <c r="G2027" s="37">
        <v>1</v>
      </c>
      <c r="H2027" s="17">
        <v>0</v>
      </c>
      <c r="I2027" s="17">
        <v>2</v>
      </c>
      <c r="J2027" s="99">
        <f>SUM(SamplingData[[#This Row],[Losing Candidate]:[Under Votes]])</f>
        <v>144</v>
      </c>
      <c r="K2027" s="100">
        <f>IF(AND(SamplingData[[#This Row],[Total]]&lt;&gt; 0, NOT(ISBLANK(SamplingData[[#This Row],[Losing Candidate]]))),(SamplingData[[#This Row],[Total]]+SamplingData[[#This Row],[Winning Candidate]]-SamplingData[[#This Row],[Losing Candidate]])/(SamplingData[[#Totals],[Winning Candidate]]-SamplingData[[#Totals],[Losing Candidate]]), 0)</f>
        <v>1.1330230279274866E-2</v>
      </c>
      <c r="L2027" s="100">
        <f>IF(AND(SamplingData[[#This Row],[Total]]&lt;&gt; 0, NOT(ISBLANK(SamplingData[[#This Row],[Candidate 3]]))),(SamplingData[[#This Row],[Total]]+SamplingData[[#This Row],[Winning Candidate]]-SamplingData[[#This Row],[Candidate 3]])/(SamplingData[[#Totals],[Winning Candidate]]-SamplingData[[#Totals],[Candidate 3]]), 0)</f>
        <v>7.0974610446172207E-3</v>
      </c>
      <c r="M2027" s="100">
        <f>IF(AND(SamplingData[[#This Row],[Total]]&lt;&gt; 0, NOT(ISBLANK(SamplingData[[#This Row],[Candidate 4]]))),(SamplingData[[#This Row],[Total]]+SamplingData[[#This Row],[Winning Candidate]]-SamplingData[[#This Row],[Candidate 4]])/(SamplingData[[#Totals],[Winning Candidate]]-SamplingData[[#Totals],[Candidate 4]]), 0)</f>
        <v>6.372592007951124E-3</v>
      </c>
      <c r="N2027" s="100">
        <f>IF(AND(SamplingData[[#This Row],[Total]]&lt;&gt; 0, NOT(ISBLANK(SamplingData[[#This Row],[Candidate 5]]))),(SamplingData[[#This Row],[Total]]+SamplingData[[#This Row],[Winning Candidate]]-SamplingData[[#This Row],[Candidate 5]])/(SamplingData[[#Totals],[Winning Candidate]]-SamplingData[[#Totals],[Candidate 5]]), 0)</f>
        <v>5.5217708586718563E-3</v>
      </c>
      <c r="O2027" s="100">
        <f>IF(AND(SamplingData[[#This Row],[Total]]&lt;&gt; 0, NOT(ISBLANK(SamplingData[[#This Row],[Candidate 6]]))),(SamplingData[[#This Row],[Total]]+SamplingData[[#This Row],[Winning Candidate]]-SamplingData[[#This Row],[Candidate 6]])/(SamplingData[[#Totals],[Winning Candidate]]-SamplingData[[#Totals],[Candidate 6]]), 0)</f>
        <v>5.4958416419434849E-3</v>
      </c>
      <c r="P2027" s="100">
        <f>MAX(SamplingData[[#This Row],[Error Bound (up) - Max. possible relative overstatement - Losing Candidate]:[Error Bound (up) - Max. possible relative overstatement - Candidate 6]])</f>
        <v>1.1330230279274866E-2</v>
      </c>
      <c r="Q2027" s="100">
        <f>IF(SamplingData[[#This Row],[Max Error Bound (up)]] = 0,0,SamplingData[[#This Row],[Max Error Bound (up)]]/SamplingData[[#Totals],[Max Error Bound (up)]])</f>
        <v>1.793195431512479E-3</v>
      </c>
      <c r="R2027" s="101">
        <f>SUM($Q$5:Q2027)</f>
        <v>0.88346618800377164</v>
      </c>
      <c r="S2027" s="100" t="str">
        <f t="array" ref="S2027">IF(SamplingData[[#This Row],[up/U Selection Probability]] = 0, "Zero", TEXT(SamplingData[[#This Row],[Lower Range]], REPT("0",LEN('General Info'!$B$40))) &amp; " - " &amp; TEXT(SamplingData[[#This Row],[Upper Range]], REPT("0",LEN('General Info'!$B$40))))</f>
        <v>88167 - 88346</v>
      </c>
      <c r="T2027" s="100">
        <f>SamplingData[[#This Row],[Upper Range]]-SamplingData[[#This Row],[Span]]</f>
        <v>88167.301050421345</v>
      </c>
      <c r="U2027" s="100">
        <f>IF(ISNUMBER('General Info'!$B$40), ((SamplingData[[#This Row],[up/U Selection Probability]]) * 'General Info'!$B$40) - 1, 0)</f>
        <v>178.3177499558164</v>
      </c>
      <c r="V2027" s="100">
        <f>IF(ISNUMBER('General Info'!$B$40), (SamplingData[[#This Row],[Running (cumulative) sum]] * ('General Info'!$B$40 -'General Info'!$B$41 + 1)) + 'General Info'!$B$41 - 1, 0)</f>
        <v>88345.618800377168</v>
      </c>
      <c r="W2027" s="100" t="str">
        <f>IF(ISERROR(MATCH(SamplingData[[#This Row],[Batch by Type (p)]],SelectedPrecincts[Batch Name], 0)), "", INDEX(SelectedPrecincts[Draw], MATCH(SamplingData[[#This Row],[Batch by Type (p)]],SelectedPrecincts[Batch Name], 0)))</f>
        <v/>
      </c>
      <c r="X2027" s="102">
        <f>IF(COUNTIF(SelectedPrecincts[Batch Name],SamplingData[[#This Row],[Batch by Type (p)]]) &lt;&gt; 0, COUNTIF(SelectedPrecincts[Batch Name],SamplingData[[#This Row],[Batch by Type (p)]]), 0)</f>
        <v>0</v>
      </c>
    </row>
    <row r="2028" spans="1:24" ht="15" customHeight="1">
      <c r="A2028" s="18" t="s">
        <v>2204</v>
      </c>
      <c r="B2028" s="18">
        <v>24</v>
      </c>
      <c r="C2028" s="18">
        <v>40</v>
      </c>
      <c r="D2028" s="18">
        <v>17</v>
      </c>
      <c r="E2028" s="18">
        <v>7</v>
      </c>
      <c r="F2028" s="18">
        <v>1</v>
      </c>
      <c r="G2028" s="18">
        <v>3</v>
      </c>
      <c r="H2028" s="18">
        <v>0</v>
      </c>
      <c r="I2028" s="18">
        <v>1</v>
      </c>
      <c r="J2028" s="99">
        <f>SUM(SamplingData[[#This Row],[Losing Candidate]:[Under Votes]])</f>
        <v>93</v>
      </c>
      <c r="K2028" s="100">
        <f>IF(AND(SamplingData[[#This Row],[Total]]&lt;&gt; 0, NOT(ISBLANK(SamplingData[[#This Row],[Losing Candidate]]))),(SamplingData[[#This Row],[Total]]+SamplingData[[#This Row],[Winning Candidate]]-SamplingData[[#This Row],[Losing Candidate]])/(SamplingData[[#Totals],[Winning Candidate]]-SamplingData[[#Totals],[Losing Candidate]]), 0)</f>
        <v>6.6756491915727582E-3</v>
      </c>
      <c r="L2028" s="100">
        <f>IF(AND(SamplingData[[#This Row],[Total]]&lt;&gt; 0, NOT(ISBLANK(SamplingData[[#This Row],[Candidate 3]]))),(SamplingData[[#This Row],[Total]]+SamplingData[[#This Row],[Winning Candidate]]-SamplingData[[#This Row],[Candidate 3]])/(SamplingData[[#Totals],[Winning Candidate]]-SamplingData[[#Totals],[Candidate 3]]), 0)</f>
        <v>3.7422976417072619E-3</v>
      </c>
      <c r="M2028" s="100">
        <f>IF(AND(SamplingData[[#This Row],[Total]]&lt;&gt; 0, NOT(ISBLANK(SamplingData[[#This Row],[Candidate 4]]))),(SamplingData[[#This Row],[Total]]+SamplingData[[#This Row],[Winning Candidate]]-SamplingData[[#This Row],[Candidate 4]])/(SamplingData[[#Totals],[Winning Candidate]]-SamplingData[[#Totals],[Candidate 4]]), 0)</f>
        <v>3.6832412523020259E-3</v>
      </c>
      <c r="N2028" s="100">
        <f>IF(AND(SamplingData[[#This Row],[Total]]&lt;&gt; 0, NOT(ISBLANK(SamplingData[[#This Row],[Candidate 5]]))),(SamplingData[[#This Row],[Total]]+SamplingData[[#This Row],[Winning Candidate]]-SamplingData[[#This Row],[Candidate 5]])/(SamplingData[[#Totals],[Winning Candidate]]-SamplingData[[#Totals],[Candidate 5]]), 0)</f>
        <v>3.2108975918268062E-3</v>
      </c>
      <c r="O2028" s="100">
        <f>IF(AND(SamplingData[[#This Row],[Total]]&lt;&gt; 0, NOT(ISBLANK(SamplingData[[#This Row],[Candidate 6]]))),(SamplingData[[#This Row],[Total]]+SamplingData[[#This Row],[Winning Candidate]]-SamplingData[[#This Row],[Candidate 6]])/(SamplingData[[#Totals],[Winning Candidate]]-SamplingData[[#Totals],[Candidate 6]]), 0)</f>
        <v>3.1613248382860756E-3</v>
      </c>
      <c r="P2028" s="100">
        <f>MAX(SamplingData[[#This Row],[Error Bound (up) - Max. possible relative overstatement - Losing Candidate]:[Error Bound (up) - Max. possible relative overstatement - Candidate 6]])</f>
        <v>6.6756491915727582E-3</v>
      </c>
      <c r="Q2028" s="100">
        <f>IF(SamplingData[[#This Row],[Max Error Bound (up)]] = 0,0,SamplingData[[#This Row],[Max Error Bound (up)]]/SamplingData[[#Totals],[Max Error Bound (up)]])</f>
        <v>1.0565313623505956E-3</v>
      </c>
      <c r="R2028" s="101">
        <f>SUM($Q$5:Q2028)</f>
        <v>0.88452271936612226</v>
      </c>
      <c r="S2028" s="100" t="str">
        <f t="array" ref="S2028">IF(SamplingData[[#This Row],[up/U Selection Probability]] = 0, "Zero", TEXT(SamplingData[[#This Row],[Lower Range]], REPT("0",LEN('General Info'!$B$40))) &amp; " - " &amp; TEXT(SamplingData[[#This Row],[Upper Range]], REPT("0",LEN('General Info'!$B$40))))</f>
        <v>88347 - 88451</v>
      </c>
      <c r="T2028" s="100">
        <f>SamplingData[[#This Row],[Upper Range]]-SamplingData[[#This Row],[Span]]</f>
        <v>88346.619856908539</v>
      </c>
      <c r="U2028" s="100">
        <f>IF(ISNUMBER('General Info'!$B$40), ((SamplingData[[#This Row],[up/U Selection Probability]]) * 'General Info'!$B$40) - 1, 0)</f>
        <v>104.65207970369721</v>
      </c>
      <c r="V2028" s="100">
        <f>IF(ISNUMBER('General Info'!$B$40), (SamplingData[[#This Row],[Running (cumulative) sum]] * ('General Info'!$B$40 -'General Info'!$B$41 + 1)) + 'General Info'!$B$41 - 1, 0)</f>
        <v>88451.271936612233</v>
      </c>
      <c r="W2028" s="100" t="str">
        <f>IF(ISERROR(MATCH(SamplingData[[#This Row],[Batch by Type (p)]],SelectedPrecincts[Batch Name], 0)), "", INDEX(SelectedPrecincts[Draw], MATCH(SamplingData[[#This Row],[Batch by Type (p)]],SelectedPrecincts[Batch Name], 0)))</f>
        <v/>
      </c>
      <c r="X2028" s="102">
        <f>IF(COUNTIF(SelectedPrecincts[Batch Name],SamplingData[[#This Row],[Batch by Type (p)]]) &lt;&gt; 0, COUNTIF(SelectedPrecincts[Batch Name],SamplingData[[#This Row],[Batch by Type (p)]]), 0)</f>
        <v>0</v>
      </c>
    </row>
    <row r="2029" spans="1:24" ht="15" customHeight="1">
      <c r="A2029" s="18" t="s">
        <v>2205</v>
      </c>
      <c r="B2029" s="18">
        <v>51</v>
      </c>
      <c r="C2029" s="18">
        <v>91</v>
      </c>
      <c r="D2029" s="16">
        <v>21</v>
      </c>
      <c r="E2029" s="16">
        <v>11</v>
      </c>
      <c r="F2029" s="37">
        <v>2</v>
      </c>
      <c r="G2029" s="37">
        <v>0</v>
      </c>
      <c r="H2029" s="17">
        <v>0</v>
      </c>
      <c r="I2029" s="17">
        <v>2</v>
      </c>
      <c r="J2029" s="99">
        <f>SUM(SamplingData[[#This Row],[Losing Candidate]:[Under Votes]])</f>
        <v>178</v>
      </c>
      <c r="K2029" s="100">
        <f>IF(AND(SamplingData[[#This Row],[Total]]&lt;&gt; 0, NOT(ISBLANK(SamplingData[[#This Row],[Losing Candidate]]))),(SamplingData[[#This Row],[Total]]+SamplingData[[#This Row],[Winning Candidate]]-SamplingData[[#This Row],[Losing Candidate]])/(SamplingData[[#Totals],[Winning Candidate]]-SamplingData[[#Totals],[Losing Candidate]]), 0)</f>
        <v>1.3351298383145516E-2</v>
      </c>
      <c r="L2029" s="100">
        <f>IF(AND(SamplingData[[#This Row],[Total]]&lt;&gt; 0, NOT(ISBLANK(SamplingData[[#This Row],[Candidate 3]]))),(SamplingData[[#This Row],[Total]]+SamplingData[[#This Row],[Winning Candidate]]-SamplingData[[#This Row],[Candidate 3]])/(SamplingData[[#Totals],[Winning Candidate]]-SamplingData[[#Totals],[Candidate 3]]), 0)</f>
        <v>8.0007742684775948E-3</v>
      </c>
      <c r="M2029" s="100">
        <f>IF(AND(SamplingData[[#This Row],[Total]]&lt;&gt; 0, NOT(ISBLANK(SamplingData[[#This Row],[Candidate 4]]))),(SamplingData[[#This Row],[Total]]+SamplingData[[#This Row],[Winning Candidate]]-SamplingData[[#This Row],[Candidate 4]])/(SamplingData[[#Totals],[Winning Candidate]]-SamplingData[[#Totals],[Candidate 4]]), 0)</f>
        <v>7.5418749451898626E-3</v>
      </c>
      <c r="N2029" s="100">
        <f>IF(AND(SamplingData[[#This Row],[Total]]&lt;&gt; 0, NOT(ISBLANK(SamplingData[[#This Row],[Candidate 5]]))),(SamplingData[[#This Row],[Total]]+SamplingData[[#This Row],[Winning Candidate]]-SamplingData[[#This Row],[Candidate 5]])/(SamplingData[[#Totals],[Winning Candidate]]-SamplingData[[#Totals],[Candidate 5]]), 0)</f>
        <v>6.4947701289224035E-3</v>
      </c>
      <c r="O2029" s="100">
        <f>IF(AND(SamplingData[[#This Row],[Total]]&lt;&gt; 0, NOT(ISBLANK(SamplingData[[#This Row],[Candidate 6]]))),(SamplingData[[#This Row],[Total]]+SamplingData[[#This Row],[Winning Candidate]]-SamplingData[[#This Row],[Candidate 6]])/(SamplingData[[#Totals],[Winning Candidate]]-SamplingData[[#Totals],[Candidate 6]]), 0)</f>
        <v>6.5415106269150333E-3</v>
      </c>
      <c r="P2029" s="100">
        <f>MAX(SamplingData[[#This Row],[Error Bound (up) - Max. possible relative overstatement - Losing Candidate]:[Error Bound (up) - Max. possible relative overstatement - Candidate 6]])</f>
        <v>1.3351298383145516E-2</v>
      </c>
      <c r="Q2029" s="100">
        <f>IF(SamplingData[[#This Row],[Max Error Bound (up)]] = 0,0,SamplingData[[#This Row],[Max Error Bound (up)]]/SamplingData[[#Totals],[Max Error Bound (up)]])</f>
        <v>2.1130627247011912E-3</v>
      </c>
      <c r="R2029" s="101">
        <f>SUM($Q$5:Q2029)</f>
        <v>0.8866357820908235</v>
      </c>
      <c r="S2029" s="100" t="str">
        <f t="array" ref="S2029">IF(SamplingData[[#This Row],[up/U Selection Probability]] = 0, "Zero", TEXT(SamplingData[[#This Row],[Lower Range]], REPT("0",LEN('General Info'!$B$40))) &amp; " - " &amp; TEXT(SamplingData[[#This Row],[Upper Range]], REPT("0",LEN('General Info'!$B$40))))</f>
        <v>88452 - 88663</v>
      </c>
      <c r="T2029" s="100">
        <f>SamplingData[[#This Row],[Upper Range]]-SamplingData[[#This Row],[Span]]</f>
        <v>88452.274049674961</v>
      </c>
      <c r="U2029" s="100">
        <f>IF(ISNUMBER('General Info'!$B$40), ((SamplingData[[#This Row],[up/U Selection Probability]]) * 'General Info'!$B$40) - 1, 0)</f>
        <v>210.30415940739442</v>
      </c>
      <c r="V2029" s="100">
        <f>IF(ISNUMBER('General Info'!$B$40), (SamplingData[[#This Row],[Running (cumulative) sum]] * ('General Info'!$B$40 -'General Info'!$B$41 + 1)) + 'General Info'!$B$41 - 1, 0)</f>
        <v>88662.578209082349</v>
      </c>
      <c r="W2029" s="100" t="str">
        <f>IF(ISERROR(MATCH(SamplingData[[#This Row],[Batch by Type (p)]],SelectedPrecincts[Batch Name], 0)), "", INDEX(SelectedPrecincts[Draw], MATCH(SamplingData[[#This Row],[Batch by Type (p)]],SelectedPrecincts[Batch Name], 0)))</f>
        <v/>
      </c>
      <c r="X2029" s="102">
        <f>IF(COUNTIF(SelectedPrecincts[Batch Name],SamplingData[[#This Row],[Batch by Type (p)]]) &lt;&gt; 0, COUNTIF(SelectedPrecincts[Batch Name],SamplingData[[#This Row],[Batch by Type (p)]]), 0)</f>
        <v>0</v>
      </c>
    </row>
    <row r="2030" spans="1:24" ht="15" customHeight="1">
      <c r="A2030" s="18" t="s">
        <v>2206</v>
      </c>
      <c r="B2030" s="18">
        <v>22</v>
      </c>
      <c r="C2030" s="18">
        <v>40</v>
      </c>
      <c r="D2030" s="18">
        <v>14</v>
      </c>
      <c r="E2030" s="18">
        <v>5</v>
      </c>
      <c r="F2030" s="18">
        <v>0</v>
      </c>
      <c r="G2030" s="18">
        <v>1</v>
      </c>
      <c r="H2030" s="18">
        <v>0</v>
      </c>
      <c r="I2030" s="18">
        <v>2</v>
      </c>
      <c r="J2030" s="99">
        <f>SUM(SamplingData[[#This Row],[Losing Candidate]:[Under Votes]])</f>
        <v>84</v>
      </c>
      <c r="K2030" s="100">
        <f>IF(AND(SamplingData[[#This Row],[Total]]&lt;&gt; 0, NOT(ISBLANK(SamplingData[[#This Row],[Losing Candidate]]))),(SamplingData[[#This Row],[Total]]+SamplingData[[#This Row],[Winning Candidate]]-SamplingData[[#This Row],[Losing Candidate]])/(SamplingData[[#Totals],[Winning Candidate]]-SamplingData[[#Totals],[Losing Candidate]]), 0)</f>
        <v>6.2469377756001962E-3</v>
      </c>
      <c r="L2030" s="100">
        <f>IF(AND(SamplingData[[#This Row],[Total]]&lt;&gt; 0, NOT(ISBLANK(SamplingData[[#This Row],[Candidate 3]]))),(SamplingData[[#This Row],[Total]]+SamplingData[[#This Row],[Winning Candidate]]-SamplingData[[#This Row],[Candidate 3]])/(SamplingData[[#Totals],[Winning Candidate]]-SamplingData[[#Totals],[Candidate 3]]), 0)</f>
        <v>3.5487305223086104E-3</v>
      </c>
      <c r="M2030" s="100">
        <f>IF(AND(SamplingData[[#This Row],[Total]]&lt;&gt; 0, NOT(ISBLANK(SamplingData[[#This Row],[Candidate 4]]))),(SamplingData[[#This Row],[Total]]+SamplingData[[#This Row],[Winning Candidate]]-SamplingData[[#This Row],[Candidate 4]])/(SamplingData[[#Totals],[Winning Candidate]]-SamplingData[[#Totals],[Candidate 4]]), 0)</f>
        <v>3.4786167382852467E-3</v>
      </c>
      <c r="N2030" s="100">
        <f>IF(AND(SamplingData[[#This Row],[Total]]&lt;&gt; 0, NOT(ISBLANK(SamplingData[[#This Row],[Candidate 5]]))),(SamplingData[[#This Row],[Total]]+SamplingData[[#This Row],[Winning Candidate]]-SamplingData[[#This Row],[Candidate 5]])/(SamplingData[[#Totals],[Winning Candidate]]-SamplingData[[#Totals],[Candidate 5]]), 0)</f>
        <v>3.0162977377766968E-3</v>
      </c>
      <c r="O2030" s="100">
        <f>IF(AND(SamplingData[[#This Row],[Total]]&lt;&gt; 0, NOT(ISBLANK(SamplingData[[#This Row],[Candidate 6]]))),(SamplingData[[#This Row],[Total]]+SamplingData[[#This Row],[Winning Candidate]]-SamplingData[[#This Row],[Candidate 6]])/(SamplingData[[#Totals],[Winning Candidate]]-SamplingData[[#Totals],[Candidate 6]]), 0)</f>
        <v>2.9910996546860563E-3</v>
      </c>
      <c r="P2030" s="100">
        <f>MAX(SamplingData[[#This Row],[Error Bound (up) - Max. possible relative overstatement - Losing Candidate]:[Error Bound (up) - Max. possible relative overstatement - Candidate 6]])</f>
        <v>6.2469377756001962E-3</v>
      </c>
      <c r="Q2030" s="100">
        <f>IF(SamplingData[[#This Row],[Max Error Bound (up)]] = 0,0,SamplingData[[#This Row],[Max Error Bound (up)]]/SamplingData[[#Totals],[Max Error Bound (up)]])</f>
        <v>9.8868072440147481E-4</v>
      </c>
      <c r="R2030" s="101">
        <f>SUM($Q$5:Q2030)</f>
        <v>0.887624462815225</v>
      </c>
      <c r="S2030" s="100" t="str">
        <f t="array" ref="S2030">IF(SamplingData[[#This Row],[up/U Selection Probability]] = 0, "Zero", TEXT(SamplingData[[#This Row],[Lower Range]], REPT("0",LEN('General Info'!$B$40))) &amp; " - " &amp; TEXT(SamplingData[[#This Row],[Upper Range]], REPT("0",LEN('General Info'!$B$40))))</f>
        <v>88664 - 88761</v>
      </c>
      <c r="T2030" s="100">
        <f>SamplingData[[#This Row],[Upper Range]]-SamplingData[[#This Row],[Span]]</f>
        <v>88663.579197763072</v>
      </c>
      <c r="U2030" s="100">
        <f>IF(ISNUMBER('General Info'!$B$40), ((SamplingData[[#This Row],[up/U Selection Probability]]) * 'General Info'!$B$40) - 1, 0)</f>
        <v>97.867083759423082</v>
      </c>
      <c r="V2030" s="100">
        <f>IF(ISNUMBER('General Info'!$B$40), (SamplingData[[#This Row],[Running (cumulative) sum]] * ('General Info'!$B$40 -'General Info'!$B$41 + 1)) + 'General Info'!$B$41 - 1, 0)</f>
        <v>88761.446281522498</v>
      </c>
      <c r="W2030" s="100" t="str">
        <f>IF(ISERROR(MATCH(SamplingData[[#This Row],[Batch by Type (p)]],SelectedPrecincts[Batch Name], 0)), "", INDEX(SelectedPrecincts[Draw], MATCH(SamplingData[[#This Row],[Batch by Type (p)]],SelectedPrecincts[Batch Name], 0)))</f>
        <v/>
      </c>
      <c r="X2030" s="102">
        <f>IF(COUNTIF(SelectedPrecincts[Batch Name],SamplingData[[#This Row],[Batch by Type (p)]]) &lt;&gt; 0, COUNTIF(SelectedPrecincts[Batch Name],SamplingData[[#This Row],[Batch by Type (p)]]), 0)</f>
        <v>0</v>
      </c>
    </row>
    <row r="2031" spans="1:24" ht="15" customHeight="1">
      <c r="A2031" s="18" t="s">
        <v>2207</v>
      </c>
      <c r="B2031" s="18">
        <v>31</v>
      </c>
      <c r="C2031" s="18">
        <v>40</v>
      </c>
      <c r="D2031" s="16">
        <v>11</v>
      </c>
      <c r="E2031" s="16">
        <v>7</v>
      </c>
      <c r="F2031" s="37">
        <v>0</v>
      </c>
      <c r="G2031" s="37">
        <v>1</v>
      </c>
      <c r="H2031" s="17">
        <v>0</v>
      </c>
      <c r="I2031" s="17">
        <v>0</v>
      </c>
      <c r="J2031" s="99">
        <f>SUM(SamplingData[[#This Row],[Losing Candidate]:[Under Votes]])</f>
        <v>90</v>
      </c>
      <c r="K2031" s="100">
        <f>IF(AND(SamplingData[[#This Row],[Total]]&lt;&gt; 0, NOT(ISBLANK(SamplingData[[#This Row],[Losing Candidate]]))),(SamplingData[[#This Row],[Total]]+SamplingData[[#This Row],[Winning Candidate]]-SamplingData[[#This Row],[Losing Candidate]])/(SamplingData[[#Totals],[Winning Candidate]]-SamplingData[[#Totals],[Losing Candidate]]), 0)</f>
        <v>6.063204311611955E-3</v>
      </c>
      <c r="L2031" s="100">
        <f>IF(AND(SamplingData[[#This Row],[Total]]&lt;&gt; 0, NOT(ISBLANK(SamplingData[[#This Row],[Candidate 3]]))),(SamplingData[[#This Row],[Total]]+SamplingData[[#This Row],[Winning Candidate]]-SamplingData[[#This Row],[Candidate 3]])/(SamplingData[[#Totals],[Winning Candidate]]-SamplingData[[#Totals],[Candidate 3]]), 0)</f>
        <v>3.8390812014065879E-3</v>
      </c>
      <c r="M2031" s="100">
        <f>IF(AND(SamplingData[[#This Row],[Total]]&lt;&gt; 0, NOT(ISBLANK(SamplingData[[#This Row],[Candidate 4]]))),(SamplingData[[#This Row],[Total]]+SamplingData[[#This Row],[Winning Candidate]]-SamplingData[[#This Row],[Candidate 4]])/(SamplingData[[#Totals],[Winning Candidate]]-SamplingData[[#Totals],[Candidate 4]]), 0)</f>
        <v>3.5955450320091205E-3</v>
      </c>
      <c r="N2031" s="100">
        <f>IF(AND(SamplingData[[#This Row],[Total]]&lt;&gt; 0, NOT(ISBLANK(SamplingData[[#This Row],[Candidate 5]]))),(SamplingData[[#This Row],[Total]]+SamplingData[[#This Row],[Winning Candidate]]-SamplingData[[#This Row],[Candidate 5]])/(SamplingData[[#Totals],[Winning Candidate]]-SamplingData[[#Totals],[Candidate 5]]), 0)</f>
        <v>3.1622476283142786E-3</v>
      </c>
      <c r="O2031" s="100">
        <f>IF(AND(SamplingData[[#This Row],[Total]]&lt;&gt; 0, NOT(ISBLANK(SamplingData[[#This Row],[Candidate 6]]))),(SamplingData[[#This Row],[Total]]+SamplingData[[#This Row],[Winning Candidate]]-SamplingData[[#This Row],[Candidate 6]])/(SamplingData[[#Totals],[Winning Candidate]]-SamplingData[[#Totals],[Candidate 6]]), 0)</f>
        <v>3.1370069549146442E-3</v>
      </c>
      <c r="P2031" s="100">
        <f>MAX(SamplingData[[#This Row],[Error Bound (up) - Max. possible relative overstatement - Losing Candidate]:[Error Bound (up) - Max. possible relative overstatement - Candidate 6]])</f>
        <v>6.063204311611955E-3</v>
      </c>
      <c r="Q2031" s="100">
        <f>IF(SamplingData[[#This Row],[Max Error Bound (up)]] = 0,0,SamplingData[[#This Row],[Max Error Bound (up)]]/SamplingData[[#Totals],[Max Error Bound (up)]])</f>
        <v>9.5960187956613729E-4</v>
      </c>
      <c r="R2031" s="101">
        <f>SUM($Q$5:Q2031)</f>
        <v>0.88858406469479112</v>
      </c>
      <c r="S2031" s="100" t="str">
        <f t="array" ref="S2031">IF(SamplingData[[#This Row],[up/U Selection Probability]] = 0, "Zero", TEXT(SamplingData[[#This Row],[Lower Range]], REPT("0",LEN('General Info'!$B$40))) &amp; " - " &amp; TEXT(SamplingData[[#This Row],[Upper Range]], REPT("0",LEN('General Info'!$B$40))))</f>
        <v>88762 - 88857</v>
      </c>
      <c r="T2031" s="100">
        <f>SamplingData[[#This Row],[Upper Range]]-SamplingData[[#This Row],[Span]]</f>
        <v>88762.447241124377</v>
      </c>
      <c r="U2031" s="100">
        <f>IF(ISNUMBER('General Info'!$B$40), ((SamplingData[[#This Row],[up/U Selection Probability]]) * 'General Info'!$B$40) - 1, 0)</f>
        <v>94.959228354734165</v>
      </c>
      <c r="V2031" s="100">
        <f>IF(ISNUMBER('General Info'!$B$40), (SamplingData[[#This Row],[Running (cumulative) sum]] * ('General Info'!$B$40 -'General Info'!$B$41 + 1)) + 'General Info'!$B$41 - 1, 0)</f>
        <v>88857.406469479116</v>
      </c>
      <c r="W2031" s="100" t="str">
        <f>IF(ISERROR(MATCH(SamplingData[[#This Row],[Batch by Type (p)]],SelectedPrecincts[Batch Name], 0)), "", INDEX(SelectedPrecincts[Draw], MATCH(SamplingData[[#This Row],[Batch by Type (p)]],SelectedPrecincts[Batch Name], 0)))</f>
        <v/>
      </c>
      <c r="X2031" s="102">
        <f>IF(COUNTIF(SelectedPrecincts[Batch Name],SamplingData[[#This Row],[Batch by Type (p)]]) &lt;&gt; 0, COUNTIF(SelectedPrecincts[Batch Name],SamplingData[[#This Row],[Batch by Type (p)]]), 0)</f>
        <v>0</v>
      </c>
    </row>
    <row r="2032" spans="1:24" ht="15" customHeight="1">
      <c r="A2032" s="18" t="s">
        <v>2208</v>
      </c>
      <c r="B2032" s="18">
        <v>22</v>
      </c>
      <c r="C2032" s="18">
        <v>25</v>
      </c>
      <c r="D2032" s="18">
        <v>12</v>
      </c>
      <c r="E2032" s="18">
        <v>3</v>
      </c>
      <c r="F2032" s="18">
        <v>0</v>
      </c>
      <c r="G2032" s="18">
        <v>0</v>
      </c>
      <c r="H2032" s="18">
        <v>0</v>
      </c>
      <c r="I2032" s="18">
        <v>1</v>
      </c>
      <c r="J2032" s="99">
        <f>SUM(SamplingData[[#This Row],[Losing Candidate]:[Under Votes]])</f>
        <v>63</v>
      </c>
      <c r="K2032" s="100">
        <f>IF(AND(SamplingData[[#This Row],[Total]]&lt;&gt; 0, NOT(ISBLANK(SamplingData[[#This Row],[Losing Candidate]]))),(SamplingData[[#This Row],[Total]]+SamplingData[[#This Row],[Winning Candidate]]-SamplingData[[#This Row],[Losing Candidate]])/(SamplingData[[#Totals],[Winning Candidate]]-SamplingData[[#Totals],[Losing Candidate]]), 0)</f>
        <v>4.0421362077413033E-3</v>
      </c>
      <c r="L2032" s="100">
        <f>IF(AND(SamplingData[[#This Row],[Total]]&lt;&gt; 0, NOT(ISBLANK(SamplingData[[#This Row],[Candidate 3]]))),(SamplingData[[#This Row],[Total]]+SamplingData[[#This Row],[Winning Candidate]]-SamplingData[[#This Row],[Candidate 3]])/(SamplingData[[#Totals],[Winning Candidate]]-SamplingData[[#Totals],[Candidate 3]]), 0)</f>
        <v>2.4518501790495853E-3</v>
      </c>
      <c r="M2032" s="100">
        <f>IF(AND(SamplingData[[#This Row],[Total]]&lt;&gt; 0, NOT(ISBLANK(SamplingData[[#This Row],[Candidate 4]]))),(SamplingData[[#This Row],[Total]]+SamplingData[[#This Row],[Winning Candidate]]-SamplingData[[#This Row],[Candidate 4]])/(SamplingData[[#Totals],[Winning Candidate]]-SamplingData[[#Totals],[Candidate 4]]), 0)</f>
        <v>2.4847262416323188E-3</v>
      </c>
      <c r="N2032" s="100">
        <f>IF(AND(SamplingData[[#This Row],[Total]]&lt;&gt; 0, NOT(ISBLANK(SamplingData[[#This Row],[Candidate 5]]))),(SamplingData[[#This Row],[Total]]+SamplingData[[#This Row],[Winning Candidate]]-SamplingData[[#This Row],[Candidate 5]])/(SamplingData[[#Totals],[Winning Candidate]]-SamplingData[[#Totals],[Candidate 5]]), 0)</f>
        <v>2.1405983945512043E-3</v>
      </c>
      <c r="O2032" s="100">
        <f>IF(AND(SamplingData[[#This Row],[Total]]&lt;&gt; 0, NOT(ISBLANK(SamplingData[[#This Row],[Candidate 6]]))),(SamplingData[[#This Row],[Total]]+SamplingData[[#This Row],[Winning Candidate]]-SamplingData[[#This Row],[Candidate 6]])/(SamplingData[[#Totals],[Winning Candidate]]-SamplingData[[#Totals],[Candidate 6]]), 0)</f>
        <v>2.1399737366859586E-3</v>
      </c>
      <c r="P2032" s="100">
        <f>MAX(SamplingData[[#This Row],[Error Bound (up) - Max. possible relative overstatement - Losing Candidate]:[Error Bound (up) - Max. possible relative overstatement - Candidate 6]])</f>
        <v>4.0421362077413033E-3</v>
      </c>
      <c r="Q2032" s="100">
        <f>IF(SamplingData[[#This Row],[Max Error Bound (up)]] = 0,0,SamplingData[[#This Row],[Max Error Bound (up)]]/SamplingData[[#Totals],[Max Error Bound (up)]])</f>
        <v>6.397345863774249E-4</v>
      </c>
      <c r="R2032" s="101">
        <f>SUM($Q$5:Q2032)</f>
        <v>0.88922379928116857</v>
      </c>
      <c r="S2032" s="100" t="str">
        <f t="array" ref="S2032">IF(SamplingData[[#This Row],[up/U Selection Probability]] = 0, "Zero", TEXT(SamplingData[[#This Row],[Lower Range]], REPT("0",LEN('General Info'!$B$40))) &amp; " - " &amp; TEXT(SamplingData[[#This Row],[Upper Range]], REPT("0",LEN('General Info'!$B$40))))</f>
        <v>88858 - 88921</v>
      </c>
      <c r="T2032" s="100">
        <f>SamplingData[[#This Row],[Upper Range]]-SamplingData[[#This Row],[Span]]</f>
        <v>88858.407109213702</v>
      </c>
      <c r="U2032" s="100">
        <f>IF(ISNUMBER('General Info'!$B$40), ((SamplingData[[#This Row],[up/U Selection Probability]]) * 'General Info'!$B$40) - 1, 0)</f>
        <v>62.97281890315611</v>
      </c>
      <c r="V2032" s="100">
        <f>IF(ISNUMBER('General Info'!$B$40), (SamplingData[[#This Row],[Running (cumulative) sum]] * ('General Info'!$B$40 -'General Info'!$B$41 + 1)) + 'General Info'!$B$41 - 1, 0)</f>
        <v>88921.379928116861</v>
      </c>
      <c r="W2032" s="100" t="str">
        <f>IF(ISERROR(MATCH(SamplingData[[#This Row],[Batch by Type (p)]],SelectedPrecincts[Batch Name], 0)), "", INDEX(SelectedPrecincts[Draw], MATCH(SamplingData[[#This Row],[Batch by Type (p)]],SelectedPrecincts[Batch Name], 0)))</f>
        <v/>
      </c>
      <c r="X2032" s="102">
        <f>IF(COUNTIF(SelectedPrecincts[Batch Name],SamplingData[[#This Row],[Batch by Type (p)]]) &lt;&gt; 0, COUNTIF(SelectedPrecincts[Batch Name],SamplingData[[#This Row],[Batch by Type (p)]]), 0)</f>
        <v>0</v>
      </c>
    </row>
    <row r="2033" spans="1:24" ht="15" customHeight="1">
      <c r="A2033" s="18" t="s">
        <v>2209</v>
      </c>
      <c r="B2033" s="18">
        <v>41</v>
      </c>
      <c r="C2033" s="18">
        <v>67</v>
      </c>
      <c r="D2033" s="16">
        <v>14</v>
      </c>
      <c r="E2033" s="16">
        <v>6</v>
      </c>
      <c r="F2033" s="37">
        <v>0</v>
      </c>
      <c r="G2033" s="37">
        <v>1</v>
      </c>
      <c r="H2033" s="17">
        <v>0</v>
      </c>
      <c r="I2033" s="17">
        <v>1</v>
      </c>
      <c r="J2033" s="99">
        <f>SUM(SamplingData[[#This Row],[Losing Candidate]:[Under Votes]])</f>
        <v>130</v>
      </c>
      <c r="K2033" s="100">
        <f>IF(AND(SamplingData[[#This Row],[Total]]&lt;&gt; 0, NOT(ISBLANK(SamplingData[[#This Row],[Losing Candidate]]))),(SamplingData[[#This Row],[Total]]+SamplingData[[#This Row],[Winning Candidate]]-SamplingData[[#This Row],[Losing Candidate]])/(SamplingData[[#Totals],[Winning Candidate]]-SamplingData[[#Totals],[Losing Candidate]]), 0)</f>
        <v>9.5541401273885346E-3</v>
      </c>
      <c r="L2033" s="100">
        <f>IF(AND(SamplingData[[#This Row],[Total]]&lt;&gt; 0, NOT(ISBLANK(SamplingData[[#This Row],[Candidate 3]]))),(SamplingData[[#This Row],[Total]]+SamplingData[[#This Row],[Winning Candidate]]-SamplingData[[#This Row],[Candidate 3]])/(SamplingData[[#Totals],[Winning Candidate]]-SamplingData[[#Totals],[Candidate 3]]), 0)</f>
        <v>5.9037971416588701E-3</v>
      </c>
      <c r="M2033" s="100">
        <f>IF(AND(SamplingData[[#This Row],[Total]]&lt;&gt; 0, NOT(ISBLANK(SamplingData[[#This Row],[Candidate 4]]))),(SamplingData[[#This Row],[Total]]+SamplingData[[#This Row],[Winning Candidate]]-SamplingData[[#This Row],[Candidate 4]])/(SamplingData[[#Totals],[Winning Candidate]]-SamplingData[[#Totals],[Candidate 4]]), 0)</f>
        <v>5.5833260253149754E-3</v>
      </c>
      <c r="N2033" s="100">
        <f>IF(AND(SamplingData[[#This Row],[Total]]&lt;&gt; 0, NOT(ISBLANK(SamplingData[[#This Row],[Candidate 5]]))),(SamplingData[[#This Row],[Total]]+SamplingData[[#This Row],[Winning Candidate]]-SamplingData[[#This Row],[Candidate 5]])/(SamplingData[[#Totals],[Winning Candidate]]-SamplingData[[#Totals],[Candidate 5]]), 0)</f>
        <v>4.7920214059839457E-3</v>
      </c>
      <c r="O2033" s="100">
        <f>IF(AND(SamplingData[[#This Row],[Total]]&lt;&gt; 0, NOT(ISBLANK(SamplingData[[#This Row],[Candidate 6]]))),(SamplingData[[#This Row],[Total]]+SamplingData[[#This Row],[Winning Candidate]]-SamplingData[[#This Row],[Candidate 6]])/(SamplingData[[#Totals],[Winning Candidate]]-SamplingData[[#Totals],[Candidate 6]]), 0)</f>
        <v>4.766305140800545E-3</v>
      </c>
      <c r="P2033" s="100">
        <f>MAX(SamplingData[[#This Row],[Error Bound (up) - Max. possible relative overstatement - Losing Candidate]:[Error Bound (up) - Max. possible relative overstatement - Candidate 6]])</f>
        <v>9.5541401273885346E-3</v>
      </c>
      <c r="Q2033" s="100">
        <f>IF(SamplingData[[#This Row],[Max Error Bound (up)]] = 0,0,SamplingData[[#This Row],[Max Error Bound (up)]]/SamplingData[[#Totals],[Max Error Bound (up)]])</f>
        <v>1.5120999314375497E-3</v>
      </c>
      <c r="R2033" s="101">
        <f>SUM($Q$5:Q2033)</f>
        <v>0.8907358992126061</v>
      </c>
      <c r="S2033" s="100" t="str">
        <f t="array" ref="S2033">IF(SamplingData[[#This Row],[up/U Selection Probability]] = 0, "Zero", TEXT(SamplingData[[#This Row],[Lower Range]], REPT("0",LEN('General Info'!$B$40))) &amp; " - " &amp; TEXT(SamplingData[[#This Row],[Upper Range]], REPT("0",LEN('General Info'!$B$40))))</f>
        <v>88922 - 89073</v>
      </c>
      <c r="T2033" s="100">
        <f>SamplingData[[#This Row],[Upper Range]]-SamplingData[[#This Row],[Span]]</f>
        <v>88922.381440216792</v>
      </c>
      <c r="U2033" s="100">
        <f>IF(ISNUMBER('General Info'!$B$40), ((SamplingData[[#This Row],[up/U Selection Probability]]) * 'General Info'!$B$40) - 1, 0)</f>
        <v>150.20848104382353</v>
      </c>
      <c r="V2033" s="100">
        <f>IF(ISNUMBER('General Info'!$B$40), (SamplingData[[#This Row],[Running (cumulative) sum]] * ('General Info'!$B$40 -'General Info'!$B$41 + 1)) + 'General Info'!$B$41 - 1, 0)</f>
        <v>89072.589921260616</v>
      </c>
      <c r="W2033" s="100" t="str">
        <f>IF(ISERROR(MATCH(SamplingData[[#This Row],[Batch by Type (p)]],SelectedPrecincts[Batch Name], 0)), "", INDEX(SelectedPrecincts[Draw], MATCH(SamplingData[[#This Row],[Batch by Type (p)]],SelectedPrecincts[Batch Name], 0)))</f>
        <v/>
      </c>
      <c r="X2033" s="102">
        <f>IF(COUNTIF(SelectedPrecincts[Batch Name],SamplingData[[#This Row],[Batch by Type (p)]]) &lt;&gt; 0, COUNTIF(SelectedPrecincts[Batch Name],SamplingData[[#This Row],[Batch by Type (p)]]), 0)</f>
        <v>0</v>
      </c>
    </row>
    <row r="2034" spans="1:24" ht="15" customHeight="1">
      <c r="A2034" s="18" t="s">
        <v>2210</v>
      </c>
      <c r="B2034" s="18">
        <v>37</v>
      </c>
      <c r="C2034" s="18">
        <v>46</v>
      </c>
      <c r="D2034" s="18">
        <v>9</v>
      </c>
      <c r="E2034" s="18">
        <v>5</v>
      </c>
      <c r="F2034" s="18">
        <v>0</v>
      </c>
      <c r="G2034" s="18">
        <v>1</v>
      </c>
      <c r="H2034" s="18">
        <v>0</v>
      </c>
      <c r="I2034" s="18">
        <v>2</v>
      </c>
      <c r="J2034" s="99">
        <f>SUM(SamplingData[[#This Row],[Losing Candidate]:[Under Votes]])</f>
        <v>100</v>
      </c>
      <c r="K2034" s="100">
        <f>IF(AND(SamplingData[[#This Row],[Total]]&lt;&gt; 0, NOT(ISBLANK(SamplingData[[#This Row],[Losing Candidate]]))),(SamplingData[[#This Row],[Total]]+SamplingData[[#This Row],[Winning Candidate]]-SamplingData[[#This Row],[Losing Candidate]])/(SamplingData[[#Totals],[Winning Candidate]]-SamplingData[[#Totals],[Losing Candidate]]), 0)</f>
        <v>6.6756491915727582E-3</v>
      </c>
      <c r="L2034" s="100">
        <f>IF(AND(SamplingData[[#This Row],[Total]]&lt;&gt; 0, NOT(ISBLANK(SamplingData[[#This Row],[Candidate 3]]))),(SamplingData[[#This Row],[Total]]+SamplingData[[#This Row],[Winning Candidate]]-SamplingData[[#This Row],[Candidate 3]])/(SamplingData[[#Totals],[Winning Candidate]]-SamplingData[[#Totals],[Candidate 3]]), 0)</f>
        <v>4.419782559602542E-3</v>
      </c>
      <c r="M2034" s="100">
        <f>IF(AND(SamplingData[[#This Row],[Total]]&lt;&gt; 0, NOT(ISBLANK(SamplingData[[#This Row],[Candidate 4]]))),(SamplingData[[#This Row],[Total]]+SamplingData[[#This Row],[Winning Candidate]]-SamplingData[[#This Row],[Candidate 4]])/(SamplingData[[#Totals],[Winning Candidate]]-SamplingData[[#Totals],[Candidate 4]]), 0)</f>
        <v>4.1217223537665529E-3</v>
      </c>
      <c r="N2034" s="100">
        <f>IF(AND(SamplingData[[#This Row],[Total]]&lt;&gt; 0, NOT(ISBLANK(SamplingData[[#This Row],[Candidate 5]]))),(SamplingData[[#This Row],[Total]]+SamplingData[[#This Row],[Winning Candidate]]-SamplingData[[#This Row],[Candidate 5]])/(SamplingData[[#Totals],[Winning Candidate]]-SamplingData[[#Totals],[Candidate 5]]), 0)</f>
        <v>3.5514473364144975E-3</v>
      </c>
      <c r="O2034" s="100">
        <f>IF(AND(SamplingData[[#This Row],[Total]]&lt;&gt; 0, NOT(ISBLANK(SamplingData[[#This Row],[Candidate 6]]))),(SamplingData[[#This Row],[Total]]+SamplingData[[#This Row],[Winning Candidate]]-SamplingData[[#This Row],[Candidate 6]])/(SamplingData[[#Totals],[Winning Candidate]]-SamplingData[[#Totals],[Candidate 6]]), 0)</f>
        <v>3.526093088857546E-3</v>
      </c>
      <c r="P2034" s="100">
        <f>MAX(SamplingData[[#This Row],[Error Bound (up) - Max. possible relative overstatement - Losing Candidate]:[Error Bound (up) - Max. possible relative overstatement - Candidate 6]])</f>
        <v>6.6756491915727582E-3</v>
      </c>
      <c r="Q2034" s="100">
        <f>IF(SamplingData[[#This Row],[Max Error Bound (up)]] = 0,0,SamplingData[[#This Row],[Max Error Bound (up)]]/SamplingData[[#Totals],[Max Error Bound (up)]])</f>
        <v>1.0565313623505956E-3</v>
      </c>
      <c r="R2034" s="101">
        <f>SUM($Q$5:Q2034)</f>
        <v>0.89179243057495672</v>
      </c>
      <c r="S2034" s="100" t="str">
        <f t="array" ref="S2034">IF(SamplingData[[#This Row],[up/U Selection Probability]] = 0, "Zero", TEXT(SamplingData[[#This Row],[Lower Range]], REPT("0",LEN('General Info'!$B$40))) &amp; " - " &amp; TEXT(SamplingData[[#This Row],[Upper Range]], REPT("0",LEN('General Info'!$B$40))))</f>
        <v>89074 - 89178</v>
      </c>
      <c r="T2034" s="100">
        <f>SamplingData[[#This Row],[Upper Range]]-SamplingData[[#This Row],[Span]]</f>
        <v>89073.590977791973</v>
      </c>
      <c r="U2034" s="100">
        <f>IF(ISNUMBER('General Info'!$B$40), ((SamplingData[[#This Row],[up/U Selection Probability]]) * 'General Info'!$B$40) - 1, 0)</f>
        <v>104.65207970369721</v>
      </c>
      <c r="V2034" s="100">
        <f>IF(ISNUMBER('General Info'!$B$40), (SamplingData[[#This Row],[Running (cumulative) sum]] * ('General Info'!$B$40 -'General Info'!$B$41 + 1)) + 'General Info'!$B$41 - 1, 0)</f>
        <v>89178.243057495667</v>
      </c>
      <c r="W2034" s="100" t="str">
        <f>IF(ISERROR(MATCH(SamplingData[[#This Row],[Batch by Type (p)]],SelectedPrecincts[Batch Name], 0)), "", INDEX(SelectedPrecincts[Draw], MATCH(SamplingData[[#This Row],[Batch by Type (p)]],SelectedPrecincts[Batch Name], 0)))</f>
        <v/>
      </c>
      <c r="X2034" s="102">
        <f>IF(COUNTIF(SelectedPrecincts[Batch Name],SamplingData[[#This Row],[Batch by Type (p)]]) &lt;&gt; 0, COUNTIF(SelectedPrecincts[Batch Name],SamplingData[[#This Row],[Batch by Type (p)]]), 0)</f>
        <v>0</v>
      </c>
    </row>
    <row r="2035" spans="1:24" ht="15" customHeight="1">
      <c r="A2035" s="18" t="s">
        <v>2211</v>
      </c>
      <c r="B2035" s="18">
        <v>32</v>
      </c>
      <c r="C2035" s="18">
        <v>65</v>
      </c>
      <c r="D2035" s="16">
        <v>21</v>
      </c>
      <c r="E2035" s="16">
        <v>5</v>
      </c>
      <c r="F2035" s="37">
        <v>0</v>
      </c>
      <c r="G2035" s="37">
        <v>0</v>
      </c>
      <c r="H2035" s="17">
        <v>0</v>
      </c>
      <c r="I2035" s="17">
        <v>2</v>
      </c>
      <c r="J2035" s="99">
        <f>SUM(SamplingData[[#This Row],[Losing Candidate]:[Under Votes]])</f>
        <v>125</v>
      </c>
      <c r="K2035" s="100">
        <f>IF(AND(SamplingData[[#This Row],[Total]]&lt;&gt; 0, NOT(ISBLANK(SamplingData[[#This Row],[Losing Candidate]]))),(SamplingData[[#This Row],[Total]]+SamplingData[[#This Row],[Winning Candidate]]-SamplingData[[#This Row],[Losing Candidate]])/(SamplingData[[#Totals],[Winning Candidate]]-SamplingData[[#Totals],[Losing Candidate]]), 0)</f>
        <v>9.6766291033806955E-3</v>
      </c>
      <c r="L2035" s="100">
        <f>IF(AND(SamplingData[[#This Row],[Total]]&lt;&gt; 0, NOT(ISBLANK(SamplingData[[#This Row],[Candidate 3]]))),(SamplingData[[#This Row],[Total]]+SamplingData[[#This Row],[Winning Candidate]]-SamplingData[[#This Row],[Candidate 3]])/(SamplingData[[#Totals],[Winning Candidate]]-SamplingData[[#Totals],[Candidate 3]]), 0)</f>
        <v>5.4521405297286831E-3</v>
      </c>
      <c r="M2035" s="100">
        <f>IF(AND(SamplingData[[#This Row],[Total]]&lt;&gt; 0, NOT(ISBLANK(SamplingData[[#This Row],[Candidate 4]]))),(SamplingData[[#This Row],[Total]]+SamplingData[[#This Row],[Winning Candidate]]-SamplingData[[#This Row],[Candidate 4]])/(SamplingData[[#Totals],[Winning Candidate]]-SamplingData[[#Totals],[Candidate 4]]), 0)</f>
        <v>5.4079335847291646E-3</v>
      </c>
      <c r="N2035" s="100">
        <f>IF(AND(SamplingData[[#This Row],[Total]]&lt;&gt; 0, NOT(ISBLANK(SamplingData[[#This Row],[Candidate 5]]))),(SamplingData[[#This Row],[Total]]+SamplingData[[#This Row],[Winning Candidate]]-SamplingData[[#This Row],[Candidate 5]])/(SamplingData[[#Totals],[Winning Candidate]]-SamplingData[[#Totals],[Candidate 5]]), 0)</f>
        <v>4.6217465336900994E-3</v>
      </c>
      <c r="O2035" s="100">
        <f>IF(AND(SamplingData[[#This Row],[Total]]&lt;&gt; 0, NOT(ISBLANK(SamplingData[[#This Row],[Candidate 6]]))),(SamplingData[[#This Row],[Total]]+SamplingData[[#This Row],[Winning Candidate]]-SamplingData[[#This Row],[Candidate 6]])/(SamplingData[[#Totals],[Winning Candidate]]-SamplingData[[#Totals],[Candidate 6]]), 0)</f>
        <v>4.6203978405719567E-3</v>
      </c>
      <c r="P2035" s="100">
        <f>MAX(SamplingData[[#This Row],[Error Bound (up) - Max. possible relative overstatement - Losing Candidate]:[Error Bound (up) - Max. possible relative overstatement - Candidate 6]])</f>
        <v>9.6766291033806955E-3</v>
      </c>
      <c r="Q2035" s="100">
        <f>IF(SamplingData[[#This Row],[Max Error Bound (up)]] = 0,0,SamplingData[[#This Row],[Max Error Bound (up)]]/SamplingData[[#Totals],[Max Error Bound (up)]])</f>
        <v>1.5314858279944414E-3</v>
      </c>
      <c r="R2035" s="101">
        <f>SUM($Q$5:Q2035)</f>
        <v>0.89332391640295117</v>
      </c>
      <c r="S2035" s="100" t="str">
        <f t="array" ref="S2035">IF(SamplingData[[#This Row],[up/U Selection Probability]] = 0, "Zero", TEXT(SamplingData[[#This Row],[Lower Range]], REPT("0",LEN('General Info'!$B$40))) &amp; " - " &amp; TEXT(SamplingData[[#This Row],[Upper Range]], REPT("0",LEN('General Info'!$B$40))))</f>
        <v>89179 - 89331</v>
      </c>
      <c r="T2035" s="100">
        <f>SamplingData[[#This Row],[Upper Range]]-SamplingData[[#This Row],[Span]]</f>
        <v>89179.244588981499</v>
      </c>
      <c r="U2035" s="100">
        <f>IF(ISNUMBER('General Info'!$B$40), ((SamplingData[[#This Row],[up/U Selection Probability]]) * 'General Info'!$B$40) - 1, 0)</f>
        <v>152.14705131361615</v>
      </c>
      <c r="V2035" s="100">
        <f>IF(ISNUMBER('General Info'!$B$40), (SamplingData[[#This Row],[Running (cumulative) sum]] * ('General Info'!$B$40 -'General Info'!$B$41 + 1)) + 'General Info'!$B$41 - 1, 0)</f>
        <v>89331.391640295114</v>
      </c>
      <c r="W2035" s="100" t="str">
        <f>IF(ISERROR(MATCH(SamplingData[[#This Row],[Batch by Type (p)]],SelectedPrecincts[Batch Name], 0)), "", INDEX(SelectedPrecincts[Draw], MATCH(SamplingData[[#This Row],[Batch by Type (p)]],SelectedPrecincts[Batch Name], 0)))</f>
        <v/>
      </c>
      <c r="X2035" s="102">
        <f>IF(COUNTIF(SelectedPrecincts[Batch Name],SamplingData[[#This Row],[Batch by Type (p)]]) &lt;&gt; 0, COUNTIF(SelectedPrecincts[Batch Name],SamplingData[[#This Row],[Batch by Type (p)]]), 0)</f>
        <v>0</v>
      </c>
    </row>
    <row r="2036" spans="1:24" ht="15" customHeight="1">
      <c r="A2036" s="18" t="s">
        <v>2212</v>
      </c>
      <c r="B2036" s="18">
        <v>18</v>
      </c>
      <c r="C2036" s="18">
        <v>66</v>
      </c>
      <c r="D2036" s="18">
        <v>7</v>
      </c>
      <c r="E2036" s="18">
        <v>3</v>
      </c>
      <c r="F2036" s="18">
        <v>0</v>
      </c>
      <c r="G2036" s="18">
        <v>0</v>
      </c>
      <c r="H2036" s="18">
        <v>0</v>
      </c>
      <c r="I2036" s="18">
        <v>0</v>
      </c>
      <c r="J2036" s="99">
        <f>SUM(SamplingData[[#This Row],[Losing Candidate]:[Under Votes]])</f>
        <v>94</v>
      </c>
      <c r="K2036" s="100">
        <f>IF(AND(SamplingData[[#This Row],[Total]]&lt;&gt; 0, NOT(ISBLANK(SamplingData[[#This Row],[Losing Candidate]]))),(SamplingData[[#This Row],[Total]]+SamplingData[[#This Row],[Winning Candidate]]-SamplingData[[#This Row],[Losing Candidate]])/(SamplingData[[#Totals],[Winning Candidate]]-SamplingData[[#Totals],[Losing Candidate]]), 0)</f>
        <v>8.6967172954434107E-3</v>
      </c>
      <c r="L2036" s="100">
        <f>IF(AND(SamplingData[[#This Row],[Total]]&lt;&gt; 0, NOT(ISBLANK(SamplingData[[#This Row],[Candidate 3]]))),(SamplingData[[#This Row],[Total]]+SamplingData[[#This Row],[Winning Candidate]]-SamplingData[[#This Row],[Candidate 3]])/(SamplingData[[#Totals],[Winning Candidate]]-SamplingData[[#Totals],[Candidate 3]]), 0)</f>
        <v>4.935961544665613E-3</v>
      </c>
      <c r="M2036" s="100">
        <f>IF(AND(SamplingData[[#This Row],[Total]]&lt;&gt; 0, NOT(ISBLANK(SamplingData[[#This Row],[Candidate 4]]))),(SamplingData[[#This Row],[Total]]+SamplingData[[#This Row],[Winning Candidate]]-SamplingData[[#This Row],[Candidate 4]])/(SamplingData[[#Totals],[Winning Candidate]]-SamplingData[[#Totals],[Candidate 4]]), 0)</f>
        <v>4.5894355286620484E-3</v>
      </c>
      <c r="N2036" s="100">
        <f>IF(AND(SamplingData[[#This Row],[Total]]&lt;&gt; 0, NOT(ISBLANK(SamplingData[[#This Row],[Candidate 5]]))),(SamplingData[[#This Row],[Total]]+SamplingData[[#This Row],[Winning Candidate]]-SamplingData[[#This Row],[Candidate 5]])/(SamplingData[[#Totals],[Winning Candidate]]-SamplingData[[#Totals],[Candidate 5]]), 0)</f>
        <v>3.8919970810021892E-3</v>
      </c>
      <c r="O2036" s="100">
        <f>IF(AND(SamplingData[[#This Row],[Total]]&lt;&gt; 0, NOT(ISBLANK(SamplingData[[#This Row],[Candidate 6]]))),(SamplingData[[#This Row],[Total]]+SamplingData[[#This Row],[Winning Candidate]]-SamplingData[[#This Row],[Candidate 6]])/(SamplingData[[#Totals],[Winning Candidate]]-SamplingData[[#Totals],[Candidate 6]]), 0)</f>
        <v>3.8908613394290159E-3</v>
      </c>
      <c r="P2036" s="100">
        <f>MAX(SamplingData[[#This Row],[Error Bound (up) - Max. possible relative overstatement - Losing Candidate]:[Error Bound (up) - Max. possible relative overstatement - Candidate 6]])</f>
        <v>8.6967172954434107E-3</v>
      </c>
      <c r="Q2036" s="100">
        <f>IF(SamplingData[[#This Row],[Max Error Bound (up)]] = 0,0,SamplingData[[#This Row],[Max Error Bound (up)]]/SamplingData[[#Totals],[Max Error Bound (up)]])</f>
        <v>1.3763986555393082E-3</v>
      </c>
      <c r="R2036" s="101">
        <f>SUM($Q$5:Q2036)</f>
        <v>0.89470031505849046</v>
      </c>
      <c r="S2036" s="100" t="str">
        <f t="array" ref="S2036">IF(SamplingData[[#This Row],[up/U Selection Probability]] = 0, "Zero", TEXT(SamplingData[[#This Row],[Lower Range]], REPT("0",LEN('General Info'!$B$40))) &amp; " - " &amp; TEXT(SamplingData[[#This Row],[Upper Range]], REPT("0",LEN('General Info'!$B$40))))</f>
        <v>89332 - 89469</v>
      </c>
      <c r="T2036" s="100">
        <f>SamplingData[[#This Row],[Upper Range]]-SamplingData[[#This Row],[Span]]</f>
        <v>89332.393016693779</v>
      </c>
      <c r="U2036" s="100">
        <f>IF(ISNUMBER('General Info'!$B$40), ((SamplingData[[#This Row],[up/U Selection Probability]]) * 'General Info'!$B$40) - 1, 0)</f>
        <v>136.63848915527527</v>
      </c>
      <c r="V2036" s="100">
        <f>IF(ISNUMBER('General Info'!$B$40), (SamplingData[[#This Row],[Running (cumulative) sum]] * ('General Info'!$B$40 -'General Info'!$B$41 + 1)) + 'General Info'!$B$41 - 1, 0)</f>
        <v>89469.031505849052</v>
      </c>
      <c r="W2036" s="100" t="str">
        <f>IF(ISERROR(MATCH(SamplingData[[#This Row],[Batch by Type (p)]],SelectedPrecincts[Batch Name], 0)), "", INDEX(SelectedPrecincts[Draw], MATCH(SamplingData[[#This Row],[Batch by Type (p)]],SelectedPrecincts[Batch Name], 0)))</f>
        <v/>
      </c>
      <c r="X2036" s="102">
        <f>IF(COUNTIF(SelectedPrecincts[Batch Name],SamplingData[[#This Row],[Batch by Type (p)]]) &lt;&gt; 0, COUNTIF(SelectedPrecincts[Batch Name],SamplingData[[#This Row],[Batch by Type (p)]]), 0)</f>
        <v>0</v>
      </c>
    </row>
    <row r="2037" spans="1:24" ht="15" customHeight="1">
      <c r="A2037" s="18" t="s">
        <v>2213</v>
      </c>
      <c r="B2037" s="18">
        <v>50</v>
      </c>
      <c r="C2037" s="18">
        <v>77</v>
      </c>
      <c r="D2037" s="16">
        <v>14</v>
      </c>
      <c r="E2037" s="16">
        <v>19</v>
      </c>
      <c r="F2037" s="37">
        <v>1</v>
      </c>
      <c r="G2037" s="37">
        <v>0</v>
      </c>
      <c r="H2037" s="17">
        <v>0</v>
      </c>
      <c r="I2037" s="17">
        <v>0</v>
      </c>
      <c r="J2037" s="99">
        <f>SUM(SamplingData[[#This Row],[Losing Candidate]:[Under Votes]])</f>
        <v>161</v>
      </c>
      <c r="K2037" s="100">
        <f>IF(AND(SamplingData[[#This Row],[Total]]&lt;&gt; 0, NOT(ISBLANK(SamplingData[[#This Row],[Losing Candidate]]))),(SamplingData[[#This Row],[Total]]+SamplingData[[#This Row],[Winning Candidate]]-SamplingData[[#This Row],[Losing Candidate]])/(SamplingData[[#Totals],[Winning Candidate]]-SamplingData[[#Totals],[Losing Candidate]]), 0)</f>
        <v>1.1513963743263106E-2</v>
      </c>
      <c r="L2037" s="100">
        <f>IF(AND(SamplingData[[#This Row],[Total]]&lt;&gt; 0, NOT(ISBLANK(SamplingData[[#This Row],[Candidate 3]]))),(SamplingData[[#This Row],[Total]]+SamplingData[[#This Row],[Winning Candidate]]-SamplingData[[#This Row],[Candidate 3]])/(SamplingData[[#Totals],[Winning Candidate]]-SamplingData[[#Totals],[Candidate 3]]), 0)</f>
        <v>7.2265057908829887E-3</v>
      </c>
      <c r="M2037" s="100">
        <f>IF(AND(SamplingData[[#This Row],[Total]]&lt;&gt; 0, NOT(ISBLANK(SamplingData[[#This Row],[Candidate 4]]))),(SamplingData[[#This Row],[Total]]+SamplingData[[#This Row],[Winning Candidate]]-SamplingData[[#This Row],[Candidate 4]])/(SamplingData[[#Totals],[Winning Candidate]]-SamplingData[[#Totals],[Candidate 4]]), 0)</f>
        <v>6.4018240813820924E-3</v>
      </c>
      <c r="N2037" s="100">
        <f>IF(AND(SamplingData[[#This Row],[Total]]&lt;&gt; 0, NOT(ISBLANK(SamplingData[[#This Row],[Candidate 5]]))),(SamplingData[[#This Row],[Total]]+SamplingData[[#This Row],[Winning Candidate]]-SamplingData[[#This Row],[Candidate 5]])/(SamplingData[[#Totals],[Winning Candidate]]-SamplingData[[#Totals],[Candidate 5]]), 0)</f>
        <v>5.7650206762344929E-3</v>
      </c>
      <c r="O2037" s="100">
        <f>IF(AND(SamplingData[[#This Row],[Total]]&lt;&gt; 0, NOT(ISBLANK(SamplingData[[#This Row],[Candidate 6]]))),(SamplingData[[#This Row],[Total]]+SamplingData[[#This Row],[Winning Candidate]]-SamplingData[[#This Row],[Candidate 6]])/(SamplingData[[#Totals],[Winning Candidate]]-SamplingData[[#Totals],[Candidate 6]]), 0)</f>
        <v>5.7876562424006616E-3</v>
      </c>
      <c r="P2037" s="100">
        <f>MAX(SamplingData[[#This Row],[Error Bound (up) - Max. possible relative overstatement - Losing Candidate]:[Error Bound (up) - Max. possible relative overstatement - Candidate 6]])</f>
        <v>1.1513963743263106E-2</v>
      </c>
      <c r="Q2037" s="100">
        <f>IF(SamplingData[[#This Row],[Max Error Bound (up)]] = 0,0,SamplingData[[#This Row],[Max Error Bound (up)]]/SamplingData[[#Totals],[Max Error Bound (up)]])</f>
        <v>1.8222742763478162E-3</v>
      </c>
      <c r="R2037" s="101">
        <f>SUM($Q$5:Q2037)</f>
        <v>0.8965225893348383</v>
      </c>
      <c r="S2037" s="100" t="str">
        <f t="array" ref="S2037">IF(SamplingData[[#This Row],[up/U Selection Probability]] = 0, "Zero", TEXT(SamplingData[[#This Row],[Lower Range]], REPT("0",LEN('General Info'!$B$40))) &amp; " - " &amp; TEXT(SamplingData[[#This Row],[Upper Range]], REPT("0",LEN('General Info'!$B$40))))</f>
        <v>89470 - 89651</v>
      </c>
      <c r="T2037" s="100">
        <f>SamplingData[[#This Row],[Upper Range]]-SamplingData[[#This Row],[Span]]</f>
        <v>89470.033328123318</v>
      </c>
      <c r="U2037" s="100">
        <f>IF(ISNUMBER('General Info'!$B$40), ((SamplingData[[#This Row],[up/U Selection Probability]]) * 'General Info'!$B$40) - 1, 0)</f>
        <v>181.22560536050528</v>
      </c>
      <c r="V2037" s="100">
        <f>IF(ISNUMBER('General Info'!$B$40), (SamplingData[[#This Row],[Running (cumulative) sum]] * ('General Info'!$B$40 -'General Info'!$B$41 + 1)) + 'General Info'!$B$41 - 1, 0)</f>
        <v>89651.258933483827</v>
      </c>
      <c r="W2037" s="100" t="str">
        <f>IF(ISERROR(MATCH(SamplingData[[#This Row],[Batch by Type (p)]],SelectedPrecincts[Batch Name], 0)), "", INDEX(SelectedPrecincts[Draw], MATCH(SamplingData[[#This Row],[Batch by Type (p)]],SelectedPrecincts[Batch Name], 0)))</f>
        <v/>
      </c>
      <c r="X2037" s="102">
        <f>IF(COUNTIF(SelectedPrecincts[Batch Name],SamplingData[[#This Row],[Batch by Type (p)]]) &lt;&gt; 0, COUNTIF(SelectedPrecincts[Batch Name],SamplingData[[#This Row],[Batch by Type (p)]]), 0)</f>
        <v>0</v>
      </c>
    </row>
    <row r="2038" spans="1:24" ht="15" customHeight="1">
      <c r="A2038" s="18" t="s">
        <v>2214</v>
      </c>
      <c r="B2038" s="18">
        <v>44</v>
      </c>
      <c r="C2038" s="18">
        <v>41</v>
      </c>
      <c r="D2038" s="18">
        <v>11</v>
      </c>
      <c r="E2038" s="18">
        <v>4</v>
      </c>
      <c r="F2038" s="18">
        <v>2</v>
      </c>
      <c r="G2038" s="18">
        <v>0</v>
      </c>
      <c r="H2038" s="18">
        <v>0</v>
      </c>
      <c r="I2038" s="18">
        <v>2</v>
      </c>
      <c r="J2038" s="99">
        <f>SUM(SamplingData[[#This Row],[Losing Candidate]:[Under Votes]])</f>
        <v>104</v>
      </c>
      <c r="K2038" s="100">
        <f>IF(AND(SamplingData[[#This Row],[Total]]&lt;&gt; 0, NOT(ISBLANK(SamplingData[[#This Row],[Losing Candidate]]))),(SamplingData[[#This Row],[Total]]+SamplingData[[#This Row],[Winning Candidate]]-SamplingData[[#This Row],[Losing Candidate]])/(SamplingData[[#Totals],[Winning Candidate]]-SamplingData[[#Totals],[Losing Candidate]]), 0)</f>
        <v>6.1856932876041158E-3</v>
      </c>
      <c r="L2038" s="100">
        <f>IF(AND(SamplingData[[#This Row],[Total]]&lt;&gt; 0, NOT(ISBLANK(SamplingData[[#This Row],[Candidate 3]]))),(SamplingData[[#This Row],[Total]]+SamplingData[[#This Row],[Winning Candidate]]-SamplingData[[#This Row],[Candidate 3]])/(SamplingData[[#Totals],[Winning Candidate]]-SamplingData[[#Totals],[Candidate 3]]), 0)</f>
        <v>4.3229989999032164E-3</v>
      </c>
      <c r="M2038" s="100">
        <f>IF(AND(SamplingData[[#This Row],[Total]]&lt;&gt; 0, NOT(ISBLANK(SamplingData[[#This Row],[Candidate 4]]))),(SamplingData[[#This Row],[Total]]+SamplingData[[#This Row],[Winning Candidate]]-SamplingData[[#This Row],[Candidate 4]])/(SamplingData[[#Totals],[Winning Candidate]]-SamplingData[[#Totals],[Candidate 4]]), 0)</f>
        <v>4.1217223537665529E-3</v>
      </c>
      <c r="N2038" s="100">
        <f>IF(AND(SamplingData[[#This Row],[Total]]&lt;&gt; 0, NOT(ISBLANK(SamplingData[[#This Row],[Candidate 5]]))),(SamplingData[[#This Row],[Total]]+SamplingData[[#This Row],[Winning Candidate]]-SamplingData[[#This Row],[Candidate 5]])/(SamplingData[[#Totals],[Winning Candidate]]-SamplingData[[#Totals],[Candidate 5]]), 0)</f>
        <v>3.4784723911457068E-3</v>
      </c>
      <c r="O2038" s="100">
        <f>IF(AND(SamplingData[[#This Row],[Total]]&lt;&gt; 0, NOT(ISBLANK(SamplingData[[#This Row],[Candidate 6]]))),(SamplingData[[#This Row],[Total]]+SamplingData[[#This Row],[Winning Candidate]]-SamplingData[[#This Row],[Candidate 6]])/(SamplingData[[#Totals],[Winning Candidate]]-SamplingData[[#Totals],[Candidate 6]]), 0)</f>
        <v>3.526093088857546E-3</v>
      </c>
      <c r="P2038" s="100">
        <f>MAX(SamplingData[[#This Row],[Error Bound (up) - Max. possible relative overstatement - Losing Candidate]:[Error Bound (up) - Max. possible relative overstatement - Candidate 6]])</f>
        <v>6.1856932876041158E-3</v>
      </c>
      <c r="Q2038" s="100">
        <f>IF(SamplingData[[#This Row],[Max Error Bound (up)]] = 0,0,SamplingData[[#This Row],[Max Error Bound (up)]]/SamplingData[[#Totals],[Max Error Bound (up)]])</f>
        <v>9.7898777612302908E-4</v>
      </c>
      <c r="R2038" s="101">
        <f>SUM($Q$5:Q2038)</f>
        <v>0.89750157711096135</v>
      </c>
      <c r="S2038" s="100" t="str">
        <f t="array" ref="S2038">IF(SamplingData[[#This Row],[up/U Selection Probability]] = 0, "Zero", TEXT(SamplingData[[#This Row],[Lower Range]], REPT("0",LEN('General Info'!$B$40))) &amp; " - " &amp; TEXT(SamplingData[[#This Row],[Upper Range]], REPT("0",LEN('General Info'!$B$40))))</f>
        <v>89652 - 89749</v>
      </c>
      <c r="T2038" s="100">
        <f>SamplingData[[#This Row],[Upper Range]]-SamplingData[[#This Row],[Span]]</f>
        <v>89652.259912471607</v>
      </c>
      <c r="U2038" s="100">
        <f>IF(ISNUMBER('General Info'!$B$40), ((SamplingData[[#This Row],[up/U Selection Probability]]) * 'General Info'!$B$40) - 1, 0)</f>
        <v>96.897798624526786</v>
      </c>
      <c r="V2038" s="100">
        <f>IF(ISNUMBER('General Info'!$B$40), (SamplingData[[#This Row],[Running (cumulative) sum]] * ('General Info'!$B$40 -'General Info'!$B$41 + 1)) + 'General Info'!$B$41 - 1, 0)</f>
        <v>89749.157711096137</v>
      </c>
      <c r="W2038" s="100" t="str">
        <f>IF(ISERROR(MATCH(SamplingData[[#This Row],[Batch by Type (p)]],SelectedPrecincts[Batch Name], 0)), "", INDEX(SelectedPrecincts[Draw], MATCH(SamplingData[[#This Row],[Batch by Type (p)]],SelectedPrecincts[Batch Name], 0)))</f>
        <v/>
      </c>
      <c r="X2038" s="102">
        <f>IF(COUNTIF(SelectedPrecincts[Batch Name],SamplingData[[#This Row],[Batch by Type (p)]]) &lt;&gt; 0, COUNTIF(SelectedPrecincts[Batch Name],SamplingData[[#This Row],[Batch by Type (p)]]), 0)</f>
        <v>0</v>
      </c>
    </row>
    <row r="2039" spans="1:24" ht="15" customHeight="1">
      <c r="A2039" s="18" t="s">
        <v>2215</v>
      </c>
      <c r="B2039" s="18">
        <v>29</v>
      </c>
      <c r="C2039" s="18">
        <v>32</v>
      </c>
      <c r="D2039" s="16">
        <v>18</v>
      </c>
      <c r="E2039" s="16">
        <v>11</v>
      </c>
      <c r="F2039" s="37">
        <v>0</v>
      </c>
      <c r="G2039" s="37">
        <v>0</v>
      </c>
      <c r="H2039" s="17">
        <v>0</v>
      </c>
      <c r="I2039" s="17">
        <v>0</v>
      </c>
      <c r="J2039" s="99">
        <f>SUM(SamplingData[[#This Row],[Losing Candidate]:[Under Votes]])</f>
        <v>90</v>
      </c>
      <c r="K2039" s="100">
        <f>IF(AND(SamplingData[[#This Row],[Total]]&lt;&gt; 0, NOT(ISBLANK(SamplingData[[#This Row],[Losing Candidate]]))),(SamplingData[[#This Row],[Total]]+SamplingData[[#This Row],[Winning Candidate]]-SamplingData[[#This Row],[Losing Candidate]])/(SamplingData[[#Totals],[Winning Candidate]]-SamplingData[[#Totals],[Losing Candidate]]), 0)</f>
        <v>5.6957373836354725E-3</v>
      </c>
      <c r="L2039" s="100">
        <f>IF(AND(SamplingData[[#This Row],[Total]]&lt;&gt; 0, NOT(ISBLANK(SamplingData[[#This Row],[Candidate 3]]))),(SamplingData[[#This Row],[Total]]+SamplingData[[#This Row],[Winning Candidate]]-SamplingData[[#This Row],[Candidate 3]])/(SamplingData[[#Totals],[Winning Candidate]]-SamplingData[[#Totals],[Candidate 3]]), 0)</f>
        <v>3.3551634029099589E-3</v>
      </c>
      <c r="M2039" s="100">
        <f>IF(AND(SamplingData[[#This Row],[Total]]&lt;&gt; 0, NOT(ISBLANK(SamplingData[[#This Row],[Candidate 4]]))),(SamplingData[[#This Row],[Total]]+SamplingData[[#This Row],[Winning Candidate]]-SamplingData[[#This Row],[Candidate 4]])/(SamplingData[[#Totals],[Winning Candidate]]-SamplingData[[#Totals],[Candidate 4]]), 0)</f>
        <v>3.2447601508374989E-3</v>
      </c>
      <c r="N2039" s="100">
        <f>IF(AND(SamplingData[[#This Row],[Total]]&lt;&gt; 0, NOT(ISBLANK(SamplingData[[#This Row],[Candidate 5]]))),(SamplingData[[#This Row],[Total]]+SamplingData[[#This Row],[Winning Candidate]]-SamplingData[[#This Row],[Candidate 5]])/(SamplingData[[#Totals],[Winning Candidate]]-SamplingData[[#Totals],[Candidate 5]]), 0)</f>
        <v>2.9676477742641692E-3</v>
      </c>
      <c r="O2039" s="100">
        <f>IF(AND(SamplingData[[#This Row],[Total]]&lt;&gt; 0, NOT(ISBLANK(SamplingData[[#This Row],[Candidate 6]]))),(SamplingData[[#This Row],[Total]]+SamplingData[[#This Row],[Winning Candidate]]-SamplingData[[#This Row],[Candidate 6]])/(SamplingData[[#Totals],[Winning Candidate]]-SamplingData[[#Totals],[Candidate 6]]), 0)</f>
        <v>2.9667817713146249E-3</v>
      </c>
      <c r="P2039" s="100">
        <f>MAX(SamplingData[[#This Row],[Error Bound (up) - Max. possible relative overstatement - Losing Candidate]:[Error Bound (up) - Max. possible relative overstatement - Candidate 6]])</f>
        <v>5.6957373836354725E-3</v>
      </c>
      <c r="Q2039" s="100">
        <f>IF(SamplingData[[#This Row],[Max Error Bound (up)]] = 0,0,SamplingData[[#This Row],[Max Error Bound (up)]]/SamplingData[[#Totals],[Max Error Bound (up)]])</f>
        <v>9.0144418989546225E-4</v>
      </c>
      <c r="R2039" s="101">
        <f>SUM($Q$5:Q2039)</f>
        <v>0.89840302130085681</v>
      </c>
      <c r="S2039" s="100" t="str">
        <f t="array" ref="S2039">IF(SamplingData[[#This Row],[up/U Selection Probability]] = 0, "Zero", TEXT(SamplingData[[#This Row],[Lower Range]], REPT("0",LEN('General Info'!$B$40))) &amp; " - " &amp; TEXT(SamplingData[[#This Row],[Upper Range]], REPT("0",LEN('General Info'!$B$40))))</f>
        <v>89750 - 89839</v>
      </c>
      <c r="T2039" s="100">
        <f>SamplingData[[#This Row],[Upper Range]]-SamplingData[[#This Row],[Span]]</f>
        <v>89750.158612540326</v>
      </c>
      <c r="U2039" s="100">
        <f>IF(ISNUMBER('General Info'!$B$40), ((SamplingData[[#This Row],[up/U Selection Probability]]) * 'General Info'!$B$40) - 1, 0)</f>
        <v>89.143517545356332</v>
      </c>
      <c r="V2039" s="100">
        <f>IF(ISNUMBER('General Info'!$B$40), (SamplingData[[#This Row],[Running (cumulative) sum]] * ('General Info'!$B$40 -'General Info'!$B$41 + 1)) + 'General Info'!$B$41 - 1, 0)</f>
        <v>89839.302130085678</v>
      </c>
      <c r="W2039" s="100" t="str">
        <f>IF(ISERROR(MATCH(SamplingData[[#This Row],[Batch by Type (p)]],SelectedPrecincts[Batch Name], 0)), "", INDEX(SelectedPrecincts[Draw], MATCH(SamplingData[[#This Row],[Batch by Type (p)]],SelectedPrecincts[Batch Name], 0)))</f>
        <v/>
      </c>
      <c r="X2039" s="102">
        <f>IF(COUNTIF(SelectedPrecincts[Batch Name],SamplingData[[#This Row],[Batch by Type (p)]]) &lt;&gt; 0, COUNTIF(SelectedPrecincts[Batch Name],SamplingData[[#This Row],[Batch by Type (p)]]), 0)</f>
        <v>0</v>
      </c>
    </row>
    <row r="2040" spans="1:24" ht="15" customHeight="1">
      <c r="A2040" s="18" t="s">
        <v>2216</v>
      </c>
      <c r="B2040" s="18">
        <v>22</v>
      </c>
      <c r="C2040" s="18">
        <v>14</v>
      </c>
      <c r="D2040" s="18">
        <v>2</v>
      </c>
      <c r="E2040" s="18">
        <v>5</v>
      </c>
      <c r="F2040" s="18">
        <v>0</v>
      </c>
      <c r="G2040" s="18">
        <v>0</v>
      </c>
      <c r="H2040" s="18">
        <v>0</v>
      </c>
      <c r="I2040" s="18">
        <v>2</v>
      </c>
      <c r="J2040" s="99">
        <f>SUM(SamplingData[[#This Row],[Losing Candidate]:[Under Votes]])</f>
        <v>45</v>
      </c>
      <c r="K2040" s="100">
        <f>IF(AND(SamplingData[[#This Row],[Total]]&lt;&gt; 0, NOT(ISBLANK(SamplingData[[#This Row],[Losing Candidate]]))),(SamplingData[[#This Row],[Total]]+SamplingData[[#This Row],[Winning Candidate]]-SamplingData[[#This Row],[Losing Candidate]])/(SamplingData[[#Totals],[Winning Candidate]]-SamplingData[[#Totals],[Losing Candidate]]), 0)</f>
        <v>2.2660460558549728E-3</v>
      </c>
      <c r="L2040" s="100">
        <f>IF(AND(SamplingData[[#This Row],[Total]]&lt;&gt; 0, NOT(ISBLANK(SamplingData[[#This Row],[Candidate 3]]))),(SamplingData[[#This Row],[Total]]+SamplingData[[#This Row],[Winning Candidate]]-SamplingData[[#This Row],[Candidate 3]])/(SamplingData[[#Totals],[Winning Candidate]]-SamplingData[[#Totals],[Candidate 3]]), 0)</f>
        <v>1.8388876342871892E-3</v>
      </c>
      <c r="M2040" s="100">
        <f>IF(AND(SamplingData[[#This Row],[Total]]&lt;&gt; 0, NOT(ISBLANK(SamplingData[[#This Row],[Candidate 4]]))),(SamplingData[[#This Row],[Total]]+SamplingData[[#This Row],[Winning Candidate]]-SamplingData[[#This Row],[Candidate 4]])/(SamplingData[[#Totals],[Winning Candidate]]-SamplingData[[#Totals],[Candidate 4]]), 0)</f>
        <v>1.5785319652722968E-3</v>
      </c>
      <c r="N2040" s="100">
        <f>IF(AND(SamplingData[[#This Row],[Total]]&lt;&gt; 0, NOT(ISBLANK(SamplingData[[#This Row],[Candidate 5]]))),(SamplingData[[#This Row],[Total]]+SamplingData[[#This Row],[Winning Candidate]]-SamplingData[[#This Row],[Candidate 5]])/(SamplingData[[#Totals],[Winning Candidate]]-SamplingData[[#Totals],[Candidate 5]]), 0)</f>
        <v>1.4351739236195572E-3</v>
      </c>
      <c r="O2040" s="100">
        <f>IF(AND(SamplingData[[#This Row],[Total]]&lt;&gt; 0, NOT(ISBLANK(SamplingData[[#This Row],[Candidate 6]]))),(SamplingData[[#This Row],[Total]]+SamplingData[[#This Row],[Winning Candidate]]-SamplingData[[#This Row],[Candidate 6]])/(SamplingData[[#Totals],[Winning Candidate]]-SamplingData[[#Totals],[Candidate 6]]), 0)</f>
        <v>1.4347551189144497E-3</v>
      </c>
      <c r="P2040" s="100">
        <f>MAX(SamplingData[[#This Row],[Error Bound (up) - Max. possible relative overstatement - Losing Candidate]:[Error Bound (up) - Max. possible relative overstatement - Candidate 6]])</f>
        <v>2.2660460558549728E-3</v>
      </c>
      <c r="Q2040" s="100">
        <f>IF(SamplingData[[#This Row],[Max Error Bound (up)]] = 0,0,SamplingData[[#This Row],[Max Error Bound (up)]]/SamplingData[[#Totals],[Max Error Bound (up)]])</f>
        <v>3.5863908630249576E-4</v>
      </c>
      <c r="R2040" s="101">
        <f>SUM($Q$5:Q2040)</f>
        <v>0.89876166038715932</v>
      </c>
      <c r="S2040" s="100" t="str">
        <f t="array" ref="S2040">IF(SamplingData[[#This Row],[up/U Selection Probability]] = 0, "Zero", TEXT(SamplingData[[#This Row],[Lower Range]], REPT("0",LEN('General Info'!$B$40))) &amp; " - " &amp; TEXT(SamplingData[[#This Row],[Upper Range]], REPT("0",LEN('General Info'!$B$40))))</f>
        <v>89840 - 89875</v>
      </c>
      <c r="T2040" s="100">
        <f>SamplingData[[#This Row],[Upper Range]]-SamplingData[[#This Row],[Span]]</f>
        <v>89840.302488724774</v>
      </c>
      <c r="U2040" s="100">
        <f>IF(ISNUMBER('General Info'!$B$40), ((SamplingData[[#This Row],[up/U Selection Probability]]) * 'General Info'!$B$40) - 1, 0)</f>
        <v>34.863549991163275</v>
      </c>
      <c r="V2040" s="100">
        <f>IF(ISNUMBER('General Info'!$B$40), (SamplingData[[#This Row],[Running (cumulative) sum]] * ('General Info'!$B$40 -'General Info'!$B$41 + 1)) + 'General Info'!$B$41 - 1, 0)</f>
        <v>89875.166038715935</v>
      </c>
      <c r="W2040" s="100" t="str">
        <f>IF(ISERROR(MATCH(SamplingData[[#This Row],[Batch by Type (p)]],SelectedPrecincts[Batch Name], 0)), "", INDEX(SelectedPrecincts[Draw], MATCH(SamplingData[[#This Row],[Batch by Type (p)]],SelectedPrecincts[Batch Name], 0)))</f>
        <v/>
      </c>
      <c r="X2040" s="102">
        <f>IF(COUNTIF(SelectedPrecincts[Batch Name],SamplingData[[#This Row],[Batch by Type (p)]]) &lt;&gt; 0, COUNTIF(SelectedPrecincts[Batch Name],SamplingData[[#This Row],[Batch by Type (p)]]), 0)</f>
        <v>0</v>
      </c>
    </row>
    <row r="2041" spans="1:24" ht="15" customHeight="1">
      <c r="A2041" s="18" t="s">
        <v>2217</v>
      </c>
      <c r="B2041" s="18">
        <v>50</v>
      </c>
      <c r="C2041" s="18">
        <v>52</v>
      </c>
      <c r="D2041" s="16">
        <v>28</v>
      </c>
      <c r="E2041" s="16">
        <v>12</v>
      </c>
      <c r="F2041" s="37">
        <v>0</v>
      </c>
      <c r="G2041" s="37">
        <v>0</v>
      </c>
      <c r="H2041" s="17">
        <v>0</v>
      </c>
      <c r="I2041" s="17">
        <v>3</v>
      </c>
      <c r="J2041" s="99">
        <f>SUM(SamplingData[[#This Row],[Losing Candidate]:[Under Votes]])</f>
        <v>145</v>
      </c>
      <c r="K2041" s="100">
        <f>IF(AND(SamplingData[[#This Row],[Total]]&lt;&gt; 0, NOT(ISBLANK(SamplingData[[#This Row],[Losing Candidate]]))),(SamplingData[[#This Row],[Total]]+SamplingData[[#This Row],[Winning Candidate]]-SamplingData[[#This Row],[Losing Candidate]])/(SamplingData[[#Totals],[Winning Candidate]]-SamplingData[[#Totals],[Losing Candidate]]), 0)</f>
        <v>9.0029397354238119E-3</v>
      </c>
      <c r="L2041" s="100">
        <f>IF(AND(SamplingData[[#This Row],[Total]]&lt;&gt; 0, NOT(ISBLANK(SamplingData[[#This Row],[Candidate 3]]))),(SamplingData[[#This Row],[Total]]+SamplingData[[#This Row],[Winning Candidate]]-SamplingData[[#This Row],[Candidate 3]])/(SamplingData[[#Totals],[Winning Candidate]]-SamplingData[[#Totals],[Candidate 3]]), 0)</f>
        <v>5.4521405297286831E-3</v>
      </c>
      <c r="M2041" s="100">
        <f>IF(AND(SamplingData[[#This Row],[Total]]&lt;&gt; 0, NOT(ISBLANK(SamplingData[[#This Row],[Candidate 4]]))),(SamplingData[[#This Row],[Total]]+SamplingData[[#This Row],[Winning Candidate]]-SamplingData[[#This Row],[Candidate 4]])/(SamplingData[[#Totals],[Winning Candidate]]-SamplingData[[#Totals],[Candidate 4]]), 0)</f>
        <v>5.4079335847291646E-3</v>
      </c>
      <c r="N2041" s="100">
        <f>IF(AND(SamplingData[[#This Row],[Total]]&lt;&gt; 0, NOT(ISBLANK(SamplingData[[#This Row],[Candidate 5]]))),(SamplingData[[#This Row],[Total]]+SamplingData[[#This Row],[Winning Candidate]]-SamplingData[[#This Row],[Candidate 5]])/(SamplingData[[#Totals],[Winning Candidate]]-SamplingData[[#Totals],[Candidate 5]]), 0)</f>
        <v>4.7920214059839457E-3</v>
      </c>
      <c r="O2041" s="100">
        <f>IF(AND(SamplingData[[#This Row],[Total]]&lt;&gt; 0, NOT(ISBLANK(SamplingData[[#This Row],[Candidate 6]]))),(SamplingData[[#This Row],[Total]]+SamplingData[[#This Row],[Winning Candidate]]-SamplingData[[#This Row],[Candidate 6]])/(SamplingData[[#Totals],[Winning Candidate]]-SamplingData[[#Totals],[Candidate 6]]), 0)</f>
        <v>4.790623024171976E-3</v>
      </c>
      <c r="P2041" s="100">
        <f>MAX(SamplingData[[#This Row],[Error Bound (up) - Max. possible relative overstatement - Losing Candidate]:[Error Bound (up) - Max. possible relative overstatement - Candidate 6]])</f>
        <v>9.0029397354238119E-3</v>
      </c>
      <c r="Q2041" s="100">
        <f>IF(SamplingData[[#This Row],[Max Error Bound (up)]] = 0,0,SamplingData[[#This Row],[Max Error Bound (up)]]/SamplingData[[#Totals],[Max Error Bound (up)]])</f>
        <v>1.4248633969315373E-3</v>
      </c>
      <c r="R2041" s="101">
        <f>SUM($Q$5:Q2041)</f>
        <v>0.90018652378409081</v>
      </c>
      <c r="S2041" s="100" t="str">
        <f t="array" ref="S2041">IF(SamplingData[[#This Row],[up/U Selection Probability]] = 0, "Zero", TEXT(SamplingData[[#This Row],[Lower Range]], REPT("0",LEN('General Info'!$B$40))) &amp; " - " &amp; TEXT(SamplingData[[#This Row],[Upper Range]], REPT("0",LEN('General Info'!$B$40))))</f>
        <v>89876 - 90018</v>
      </c>
      <c r="T2041" s="100">
        <f>SamplingData[[#This Row],[Upper Range]]-SamplingData[[#This Row],[Span]]</f>
        <v>89876.167463579332</v>
      </c>
      <c r="U2041" s="100">
        <f>IF(ISNUMBER('General Info'!$B$40), ((SamplingData[[#This Row],[up/U Selection Probability]]) * 'General Info'!$B$40) - 1, 0)</f>
        <v>141.4849148297568</v>
      </c>
      <c r="V2041" s="100">
        <f>IF(ISNUMBER('General Info'!$B$40), (SamplingData[[#This Row],[Running (cumulative) sum]] * ('General Info'!$B$40 -'General Info'!$B$41 + 1)) + 'General Info'!$B$41 - 1, 0)</f>
        <v>90017.652378409082</v>
      </c>
      <c r="W2041" s="100" t="str">
        <f>IF(ISERROR(MATCH(SamplingData[[#This Row],[Batch by Type (p)]],SelectedPrecincts[Batch Name], 0)), "", INDEX(SelectedPrecincts[Draw], MATCH(SamplingData[[#This Row],[Batch by Type (p)]],SelectedPrecincts[Batch Name], 0)))</f>
        <v/>
      </c>
      <c r="X2041" s="102">
        <f>IF(COUNTIF(SelectedPrecincts[Batch Name],SamplingData[[#This Row],[Batch by Type (p)]]) &lt;&gt; 0, COUNTIF(SelectedPrecincts[Batch Name],SamplingData[[#This Row],[Batch by Type (p)]]), 0)</f>
        <v>0</v>
      </c>
    </row>
    <row r="2042" spans="1:24" ht="15" customHeight="1">
      <c r="A2042" s="18" t="s">
        <v>2218</v>
      </c>
      <c r="B2042" s="18">
        <v>28</v>
      </c>
      <c r="C2042" s="18">
        <v>31</v>
      </c>
      <c r="D2042" s="18">
        <v>9</v>
      </c>
      <c r="E2042" s="18">
        <v>5</v>
      </c>
      <c r="F2042" s="18">
        <v>0</v>
      </c>
      <c r="G2042" s="18">
        <v>1</v>
      </c>
      <c r="H2042" s="18">
        <v>0</v>
      </c>
      <c r="I2042" s="18">
        <v>4</v>
      </c>
      <c r="J2042" s="99">
        <f>SUM(SamplingData[[#This Row],[Losing Candidate]:[Under Votes]])</f>
        <v>78</v>
      </c>
      <c r="K2042"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2042" s="100">
        <f>IF(AND(SamplingData[[#This Row],[Total]]&lt;&gt; 0, NOT(ISBLANK(SamplingData[[#This Row],[Candidate 3]]))),(SamplingData[[#This Row],[Total]]+SamplingData[[#This Row],[Winning Candidate]]-SamplingData[[#This Row],[Candidate 3]])/(SamplingData[[#Totals],[Winning Candidate]]-SamplingData[[#Totals],[Candidate 3]]), 0)</f>
        <v>3.2261186566441913E-3</v>
      </c>
      <c r="M2042" s="100">
        <f>IF(AND(SamplingData[[#This Row],[Total]]&lt;&gt; 0, NOT(ISBLANK(SamplingData[[#This Row],[Candidate 4]]))),(SamplingData[[#This Row],[Total]]+SamplingData[[#This Row],[Winning Candidate]]-SamplingData[[#This Row],[Candidate 4]])/(SamplingData[[#Totals],[Winning Candidate]]-SamplingData[[#Totals],[Candidate 4]]), 0)</f>
        <v>3.0401356368207197E-3</v>
      </c>
      <c r="N2042" s="100">
        <f>IF(AND(SamplingData[[#This Row],[Total]]&lt;&gt; 0, NOT(ISBLANK(SamplingData[[#This Row],[Candidate 5]]))),(SamplingData[[#This Row],[Total]]+SamplingData[[#This Row],[Winning Candidate]]-SamplingData[[#This Row],[Candidate 5]])/(SamplingData[[#Totals],[Winning Candidate]]-SamplingData[[#Totals],[Candidate 5]]), 0)</f>
        <v>2.6514230114327414E-3</v>
      </c>
      <c r="O2042" s="100">
        <f>IF(AND(SamplingData[[#This Row],[Total]]&lt;&gt; 0, NOT(ISBLANK(SamplingData[[#This Row],[Candidate 6]]))),(SamplingData[[#This Row],[Total]]+SamplingData[[#This Row],[Winning Candidate]]-SamplingData[[#This Row],[Candidate 6]])/(SamplingData[[#Totals],[Winning Candidate]]-SamplingData[[#Totals],[Candidate 6]]), 0)</f>
        <v>2.626331404114586E-3</v>
      </c>
      <c r="P2042" s="100">
        <f>MAX(SamplingData[[#This Row],[Error Bound (up) - Max. possible relative overstatement - Losing Candidate]:[Error Bound (up) - Max. possible relative overstatement - Candidate 6]])</f>
        <v>4.9608035276825085E-3</v>
      </c>
      <c r="Q2042" s="100">
        <f>IF(SamplingData[[#This Row],[Max Error Bound (up)]] = 0,0,SamplingData[[#This Row],[Max Error Bound (up)]]/SamplingData[[#Totals],[Max Error Bound (up)]])</f>
        <v>7.8512881055411239E-4</v>
      </c>
      <c r="R2042" s="101">
        <f>SUM($Q$5:Q2042)</f>
        <v>0.90097165259464496</v>
      </c>
      <c r="S2042" s="100" t="str">
        <f t="array" ref="S2042">IF(SamplingData[[#This Row],[up/U Selection Probability]] = 0, "Zero", TEXT(SamplingData[[#This Row],[Lower Range]], REPT("0",LEN('General Info'!$B$40))) &amp; " - " &amp; TEXT(SamplingData[[#This Row],[Upper Range]], REPT("0",LEN('General Info'!$B$40))))</f>
        <v>90019 - 90096</v>
      </c>
      <c r="T2042" s="100">
        <f>SamplingData[[#This Row],[Upper Range]]-SamplingData[[#This Row],[Span]]</f>
        <v>90018.653163537892</v>
      </c>
      <c r="U2042" s="100">
        <f>IF(ISNUMBER('General Info'!$B$40), ((SamplingData[[#This Row],[up/U Selection Probability]]) * 'General Info'!$B$40) - 1, 0)</f>
        <v>77.512095926600679</v>
      </c>
      <c r="V2042" s="100">
        <f>IF(ISNUMBER('General Info'!$B$40), (SamplingData[[#This Row],[Running (cumulative) sum]] * ('General Info'!$B$40 -'General Info'!$B$41 + 1)) + 'General Info'!$B$41 - 1, 0)</f>
        <v>90096.165259464498</v>
      </c>
      <c r="W2042" s="100" t="str">
        <f>IF(ISERROR(MATCH(SamplingData[[#This Row],[Batch by Type (p)]],SelectedPrecincts[Batch Name], 0)), "", INDEX(SelectedPrecincts[Draw], MATCH(SamplingData[[#This Row],[Batch by Type (p)]],SelectedPrecincts[Batch Name], 0)))</f>
        <v/>
      </c>
      <c r="X2042" s="102">
        <f>IF(COUNTIF(SelectedPrecincts[Batch Name],SamplingData[[#This Row],[Batch by Type (p)]]) &lt;&gt; 0, COUNTIF(SelectedPrecincts[Batch Name],SamplingData[[#This Row],[Batch by Type (p)]]), 0)</f>
        <v>0</v>
      </c>
    </row>
    <row r="2043" spans="1:24" ht="15" customHeight="1">
      <c r="A2043" s="18" t="s">
        <v>2219</v>
      </c>
      <c r="B2043" s="18">
        <v>28</v>
      </c>
      <c r="C2043" s="18">
        <v>47</v>
      </c>
      <c r="D2043" s="16">
        <v>17</v>
      </c>
      <c r="E2043" s="16">
        <v>12</v>
      </c>
      <c r="F2043" s="37">
        <v>1</v>
      </c>
      <c r="G2043" s="37">
        <v>2</v>
      </c>
      <c r="H2043" s="17">
        <v>0</v>
      </c>
      <c r="I2043" s="17">
        <v>3</v>
      </c>
      <c r="J2043" s="99">
        <f>SUM(SamplingData[[#This Row],[Losing Candidate]:[Under Votes]])</f>
        <v>110</v>
      </c>
      <c r="K2043" s="100">
        <f>IF(AND(SamplingData[[#This Row],[Total]]&lt;&gt; 0, NOT(ISBLANK(SamplingData[[#This Row],[Losing Candidate]]))),(SamplingData[[#This Row],[Total]]+SamplingData[[#This Row],[Winning Candidate]]-SamplingData[[#This Row],[Losing Candidate]])/(SamplingData[[#Totals],[Winning Candidate]]-SamplingData[[#Totals],[Losing Candidate]]), 0)</f>
        <v>7.9005389514943663E-3</v>
      </c>
      <c r="L2043" s="100">
        <f>IF(AND(SamplingData[[#This Row],[Total]]&lt;&gt; 0, NOT(ISBLANK(SamplingData[[#This Row],[Candidate 3]]))),(SamplingData[[#This Row],[Total]]+SamplingData[[#This Row],[Winning Candidate]]-SamplingData[[#This Row],[Candidate 3]])/(SamplingData[[#Totals],[Winning Candidate]]-SamplingData[[#Totals],[Candidate 3]]), 0)</f>
        <v>4.5165661193018675E-3</v>
      </c>
      <c r="M2043" s="100">
        <f>IF(AND(SamplingData[[#This Row],[Total]]&lt;&gt; 0, NOT(ISBLANK(SamplingData[[#This Row],[Candidate 4]]))),(SamplingData[[#This Row],[Total]]+SamplingData[[#This Row],[Winning Candidate]]-SamplingData[[#This Row],[Candidate 4]])/(SamplingData[[#Totals],[Winning Candidate]]-SamplingData[[#Totals],[Candidate 4]]), 0)</f>
        <v>4.2386506474904268E-3</v>
      </c>
      <c r="N2043" s="100">
        <f>IF(AND(SamplingData[[#This Row],[Total]]&lt;&gt; 0, NOT(ISBLANK(SamplingData[[#This Row],[Candidate 5]]))),(SamplingData[[#This Row],[Total]]+SamplingData[[#This Row],[Winning Candidate]]-SamplingData[[#This Row],[Candidate 5]])/(SamplingData[[#Totals],[Winning Candidate]]-SamplingData[[#Totals],[Candidate 5]]), 0)</f>
        <v>3.7946971539771345E-3</v>
      </c>
      <c r="O2043" s="100">
        <f>IF(AND(SamplingData[[#This Row],[Total]]&lt;&gt; 0, NOT(ISBLANK(SamplingData[[#This Row],[Candidate 6]]))),(SamplingData[[#This Row],[Total]]+SamplingData[[#This Row],[Winning Candidate]]-SamplingData[[#This Row],[Candidate 6]])/(SamplingData[[#Totals],[Winning Candidate]]-SamplingData[[#Totals],[Candidate 6]]), 0)</f>
        <v>3.7692719225718594E-3</v>
      </c>
      <c r="P2043" s="100">
        <f>MAX(SamplingData[[#This Row],[Error Bound (up) - Max. possible relative overstatement - Losing Candidate]:[Error Bound (up) - Max. possible relative overstatement - Candidate 6]])</f>
        <v>7.9005389514943663E-3</v>
      </c>
      <c r="Q2043" s="100">
        <f>IF(SamplingData[[#This Row],[Max Error Bound (up)]] = 0,0,SamplingData[[#This Row],[Max Error Bound (up)]]/SamplingData[[#Totals],[Max Error Bound (up)]])</f>
        <v>1.2503903279195124E-3</v>
      </c>
      <c r="R2043" s="101">
        <f>SUM($Q$5:Q2043)</f>
        <v>0.90222204292256447</v>
      </c>
      <c r="S2043" s="100" t="str">
        <f t="array" ref="S2043">IF(SamplingData[[#This Row],[up/U Selection Probability]] = 0, "Zero", TEXT(SamplingData[[#This Row],[Lower Range]], REPT("0",LEN('General Info'!$B$40))) &amp; " - " &amp; TEXT(SamplingData[[#This Row],[Upper Range]], REPT("0",LEN('General Info'!$B$40))))</f>
        <v>90097 - 90221</v>
      </c>
      <c r="T2043" s="100">
        <f>SamplingData[[#This Row],[Upper Range]]-SamplingData[[#This Row],[Span]]</f>
        <v>90097.166509854826</v>
      </c>
      <c r="U2043" s="100">
        <f>IF(ISNUMBER('General Info'!$B$40), ((SamplingData[[#This Row],[up/U Selection Probability]]) * 'General Info'!$B$40) - 1, 0)</f>
        <v>124.03778240162332</v>
      </c>
      <c r="V2043" s="100">
        <f>IF(ISNUMBER('General Info'!$B$40), (SamplingData[[#This Row],[Running (cumulative) sum]] * ('General Info'!$B$40 -'General Info'!$B$41 + 1)) + 'General Info'!$B$41 - 1, 0)</f>
        <v>90221.204292256443</v>
      </c>
      <c r="W2043" s="100" t="str">
        <f>IF(ISERROR(MATCH(SamplingData[[#This Row],[Batch by Type (p)]],SelectedPrecincts[Batch Name], 0)), "", INDEX(SelectedPrecincts[Draw], MATCH(SamplingData[[#This Row],[Batch by Type (p)]],SelectedPrecincts[Batch Name], 0)))</f>
        <v/>
      </c>
      <c r="X2043" s="102">
        <f>IF(COUNTIF(SelectedPrecincts[Batch Name],SamplingData[[#This Row],[Batch by Type (p)]]) &lt;&gt; 0, COUNTIF(SelectedPrecincts[Batch Name],SamplingData[[#This Row],[Batch by Type (p)]]), 0)</f>
        <v>0</v>
      </c>
    </row>
    <row r="2044" spans="1:24" ht="15" customHeight="1">
      <c r="A2044" s="18" t="s">
        <v>2220</v>
      </c>
      <c r="B2044" s="18">
        <v>13</v>
      </c>
      <c r="C2044" s="18">
        <v>16</v>
      </c>
      <c r="D2044" s="18">
        <v>5</v>
      </c>
      <c r="E2044" s="18">
        <v>1</v>
      </c>
      <c r="F2044" s="18">
        <v>0</v>
      </c>
      <c r="G2044" s="18">
        <v>1</v>
      </c>
      <c r="H2044" s="18">
        <v>0</v>
      </c>
      <c r="I2044" s="18">
        <v>0</v>
      </c>
      <c r="J2044" s="99">
        <f>SUM(SamplingData[[#This Row],[Losing Candidate]:[Under Votes]])</f>
        <v>36</v>
      </c>
      <c r="K2044" s="100">
        <f>IF(AND(SamplingData[[#This Row],[Total]]&lt;&gt; 0, NOT(ISBLANK(SamplingData[[#This Row],[Losing Candidate]]))),(SamplingData[[#This Row],[Total]]+SamplingData[[#This Row],[Winning Candidate]]-SamplingData[[#This Row],[Losing Candidate]])/(SamplingData[[#Totals],[Winning Candidate]]-SamplingData[[#Totals],[Losing Candidate]]), 0)</f>
        <v>2.3885350318471337E-3</v>
      </c>
      <c r="L2044" s="100">
        <f>IF(AND(SamplingData[[#This Row],[Total]]&lt;&gt; 0, NOT(ISBLANK(SamplingData[[#This Row],[Candidate 3]]))),(SamplingData[[#This Row],[Total]]+SamplingData[[#This Row],[Winning Candidate]]-SamplingData[[#This Row],[Candidate 3]])/(SamplingData[[#Totals],[Winning Candidate]]-SamplingData[[#Totals],[Candidate 3]]), 0)</f>
        <v>1.5162757686227699E-3</v>
      </c>
      <c r="M2044" s="100">
        <f>IF(AND(SamplingData[[#This Row],[Total]]&lt;&gt; 0, NOT(ISBLANK(SamplingData[[#This Row],[Candidate 4]]))),(SamplingData[[#This Row],[Total]]+SamplingData[[#This Row],[Winning Candidate]]-SamplingData[[#This Row],[Candidate 4]])/(SamplingData[[#Totals],[Winning Candidate]]-SamplingData[[#Totals],[Candidate 4]]), 0)</f>
        <v>1.4908357449793914E-3</v>
      </c>
      <c r="N2044" s="100">
        <f>IF(AND(SamplingData[[#This Row],[Total]]&lt;&gt; 0, NOT(ISBLANK(SamplingData[[#This Row],[Candidate 5]]))),(SamplingData[[#This Row],[Total]]+SamplingData[[#This Row],[Winning Candidate]]-SamplingData[[#This Row],[Candidate 5]])/(SamplingData[[#Totals],[Winning Candidate]]-SamplingData[[#Totals],[Candidate 5]]), 0)</f>
        <v>1.2648990513257116E-3</v>
      </c>
      <c r="O2044" s="100">
        <f>IF(AND(SamplingData[[#This Row],[Total]]&lt;&gt; 0, NOT(ISBLANK(SamplingData[[#This Row],[Candidate 6]]))),(SamplingData[[#This Row],[Total]]+SamplingData[[#This Row],[Winning Candidate]]-SamplingData[[#This Row],[Candidate 6]])/(SamplingData[[#Totals],[Winning Candidate]]-SamplingData[[#Totals],[Candidate 6]]), 0)</f>
        <v>1.2402120519429988E-3</v>
      </c>
      <c r="P2044" s="100">
        <f>MAX(SamplingData[[#This Row],[Error Bound (up) - Max. possible relative overstatement - Losing Candidate]:[Error Bound (up) - Max. possible relative overstatement - Candidate 6]])</f>
        <v>2.3885350318471337E-3</v>
      </c>
      <c r="Q2044" s="100">
        <f>IF(SamplingData[[#This Row],[Max Error Bound (up)]] = 0,0,SamplingData[[#This Row],[Max Error Bound (up)]]/SamplingData[[#Totals],[Max Error Bound (up)]])</f>
        <v>3.7802498285938744E-4</v>
      </c>
      <c r="R2044" s="101">
        <f>SUM($Q$5:Q2044)</f>
        <v>0.90260006790542391</v>
      </c>
      <c r="S2044" s="100" t="str">
        <f t="array" ref="S2044">IF(SamplingData[[#This Row],[up/U Selection Probability]] = 0, "Zero", TEXT(SamplingData[[#This Row],[Lower Range]], REPT("0",LEN('General Info'!$B$40))) &amp; " - " &amp; TEXT(SamplingData[[#This Row],[Upper Range]], REPT("0",LEN('General Info'!$B$40))))</f>
        <v>90222 - 90259</v>
      </c>
      <c r="T2044" s="100">
        <f>SamplingData[[#This Row],[Upper Range]]-SamplingData[[#This Row],[Span]]</f>
        <v>90222.20467028144</v>
      </c>
      <c r="U2044" s="100">
        <f>IF(ISNUMBER('General Info'!$B$40), ((SamplingData[[#This Row],[up/U Selection Probability]]) * 'General Info'!$B$40) - 1, 0)</f>
        <v>36.802120260955881</v>
      </c>
      <c r="V2044" s="100">
        <f>IF(ISNUMBER('General Info'!$B$40), (SamplingData[[#This Row],[Running (cumulative) sum]] * ('General Info'!$B$40 -'General Info'!$B$41 + 1)) + 'General Info'!$B$41 - 1, 0)</f>
        <v>90259.006790542393</v>
      </c>
      <c r="W2044" s="100" t="str">
        <f>IF(ISERROR(MATCH(SamplingData[[#This Row],[Batch by Type (p)]],SelectedPrecincts[Batch Name], 0)), "", INDEX(SelectedPrecincts[Draw], MATCH(SamplingData[[#This Row],[Batch by Type (p)]],SelectedPrecincts[Batch Name], 0)))</f>
        <v/>
      </c>
      <c r="X2044" s="102">
        <f>IF(COUNTIF(SelectedPrecincts[Batch Name],SamplingData[[#This Row],[Batch by Type (p)]]) &lt;&gt; 0, COUNTIF(SelectedPrecincts[Batch Name],SamplingData[[#This Row],[Batch by Type (p)]]), 0)</f>
        <v>0</v>
      </c>
    </row>
    <row r="2045" spans="1:24" ht="15" customHeight="1">
      <c r="A2045" s="18" t="s">
        <v>2221</v>
      </c>
      <c r="B2045" s="18">
        <v>34</v>
      </c>
      <c r="C2045" s="18">
        <v>65</v>
      </c>
      <c r="D2045" s="16">
        <v>19</v>
      </c>
      <c r="E2045" s="16">
        <v>13</v>
      </c>
      <c r="F2045" s="37">
        <v>0</v>
      </c>
      <c r="G2045" s="37">
        <v>0</v>
      </c>
      <c r="H2045" s="17">
        <v>0</v>
      </c>
      <c r="I2045" s="17">
        <v>0</v>
      </c>
      <c r="J2045" s="99">
        <f>SUM(SamplingData[[#This Row],[Losing Candidate]:[Under Votes]])</f>
        <v>131</v>
      </c>
      <c r="K2045" s="100">
        <f>IF(AND(SamplingData[[#This Row],[Total]]&lt;&gt; 0, NOT(ISBLANK(SamplingData[[#This Row],[Losing Candidate]]))),(SamplingData[[#This Row],[Total]]+SamplingData[[#This Row],[Winning Candidate]]-SamplingData[[#This Row],[Losing Candidate]])/(SamplingData[[#Totals],[Winning Candidate]]-SamplingData[[#Totals],[Losing Candidate]]), 0)</f>
        <v>9.9216070553650171E-3</v>
      </c>
      <c r="L2045" s="100">
        <f>IF(AND(SamplingData[[#This Row],[Total]]&lt;&gt; 0, NOT(ISBLANK(SamplingData[[#This Row],[Candidate 3]]))),(SamplingData[[#This Row],[Total]]+SamplingData[[#This Row],[Winning Candidate]]-SamplingData[[#This Row],[Candidate 3]])/(SamplingData[[#Totals],[Winning Candidate]]-SamplingData[[#Totals],[Candidate 3]]), 0)</f>
        <v>5.710230022260219E-3</v>
      </c>
      <c r="M2045" s="100">
        <f>IF(AND(SamplingData[[#This Row],[Total]]&lt;&gt; 0, NOT(ISBLANK(SamplingData[[#This Row],[Candidate 4]]))),(SamplingData[[#This Row],[Total]]+SamplingData[[#This Row],[Winning Candidate]]-SamplingData[[#This Row],[Candidate 4]])/(SamplingData[[#Totals],[Winning Candidate]]-SamplingData[[#Totals],[Candidate 4]]), 0)</f>
        <v>5.3494694378672276E-3</v>
      </c>
      <c r="N2045" s="100">
        <f>IF(AND(SamplingData[[#This Row],[Total]]&lt;&gt; 0, NOT(ISBLANK(SamplingData[[#This Row],[Candidate 5]]))),(SamplingData[[#This Row],[Total]]+SamplingData[[#This Row],[Winning Candidate]]-SamplingData[[#This Row],[Candidate 5]])/(SamplingData[[#Totals],[Winning Candidate]]-SamplingData[[#Totals],[Candidate 5]]), 0)</f>
        <v>4.7676964242276817E-3</v>
      </c>
      <c r="O2045" s="100">
        <f>IF(AND(SamplingData[[#This Row],[Total]]&lt;&gt; 0, NOT(ISBLANK(SamplingData[[#This Row],[Candidate 6]]))),(SamplingData[[#This Row],[Total]]+SamplingData[[#This Row],[Winning Candidate]]-SamplingData[[#This Row],[Candidate 6]])/(SamplingData[[#Totals],[Winning Candidate]]-SamplingData[[#Totals],[Candidate 6]]), 0)</f>
        <v>4.766305140800545E-3</v>
      </c>
      <c r="P2045" s="100">
        <f>MAX(SamplingData[[#This Row],[Error Bound (up) - Max. possible relative overstatement - Losing Candidate]:[Error Bound (up) - Max. possible relative overstatement - Candidate 6]])</f>
        <v>9.9216070553650171E-3</v>
      </c>
      <c r="Q2045" s="100">
        <f>IF(SamplingData[[#This Row],[Max Error Bound (up)]] = 0,0,SamplingData[[#This Row],[Max Error Bound (up)]]/SamplingData[[#Totals],[Max Error Bound (up)]])</f>
        <v>1.5702576211082248E-3</v>
      </c>
      <c r="R2045" s="101">
        <f>SUM($Q$5:Q2045)</f>
        <v>0.90417032552653209</v>
      </c>
      <c r="S2045" s="100" t="str">
        <f t="array" ref="S2045">IF(SamplingData[[#This Row],[up/U Selection Probability]] = 0, "Zero", TEXT(SamplingData[[#This Row],[Lower Range]], REPT("0",LEN('General Info'!$B$40))) &amp; " - " &amp; TEXT(SamplingData[[#This Row],[Upper Range]], REPT("0",LEN('General Info'!$B$40))))</f>
        <v>90260 - 90416</v>
      </c>
      <c r="T2045" s="100">
        <f>SamplingData[[#This Row],[Upper Range]]-SamplingData[[#This Row],[Span]]</f>
        <v>90260.008360800013</v>
      </c>
      <c r="U2045" s="100">
        <f>IF(ISNUMBER('General Info'!$B$40), ((SamplingData[[#This Row],[up/U Selection Probability]]) * 'General Info'!$B$40) - 1, 0)</f>
        <v>156.02419185320136</v>
      </c>
      <c r="V2045" s="100">
        <f>IF(ISNUMBER('General Info'!$B$40), (SamplingData[[#This Row],[Running (cumulative) sum]] * ('General Info'!$B$40 -'General Info'!$B$41 + 1)) + 'General Info'!$B$41 - 1, 0)</f>
        <v>90416.032552653211</v>
      </c>
      <c r="W2045" s="100" t="str">
        <f>IF(ISERROR(MATCH(SamplingData[[#This Row],[Batch by Type (p)]],SelectedPrecincts[Batch Name], 0)), "", INDEX(SelectedPrecincts[Draw], MATCH(SamplingData[[#This Row],[Batch by Type (p)]],SelectedPrecincts[Batch Name], 0)))</f>
        <v/>
      </c>
      <c r="X2045" s="102">
        <f>IF(COUNTIF(SelectedPrecincts[Batch Name],SamplingData[[#This Row],[Batch by Type (p)]]) &lt;&gt; 0, COUNTIF(SelectedPrecincts[Batch Name],SamplingData[[#This Row],[Batch by Type (p)]]), 0)</f>
        <v>0</v>
      </c>
    </row>
    <row r="2046" spans="1:24" ht="15" customHeight="1">
      <c r="A2046" s="18" t="s">
        <v>2222</v>
      </c>
      <c r="B2046" s="18">
        <v>21</v>
      </c>
      <c r="C2046" s="18">
        <v>22</v>
      </c>
      <c r="D2046" s="18">
        <v>4</v>
      </c>
      <c r="E2046" s="18">
        <v>4</v>
      </c>
      <c r="F2046" s="18">
        <v>0</v>
      </c>
      <c r="G2046" s="18">
        <v>1</v>
      </c>
      <c r="H2046" s="18">
        <v>0</v>
      </c>
      <c r="I2046" s="18">
        <v>5</v>
      </c>
      <c r="J2046" s="99">
        <f>SUM(SamplingData[[#This Row],[Losing Candidate]:[Under Votes]])</f>
        <v>57</v>
      </c>
      <c r="K2046" s="100">
        <f>IF(AND(SamplingData[[#This Row],[Total]]&lt;&gt; 0, NOT(ISBLANK(SamplingData[[#This Row],[Losing Candidate]]))),(SamplingData[[#This Row],[Total]]+SamplingData[[#This Row],[Winning Candidate]]-SamplingData[[#This Row],[Losing Candidate]])/(SamplingData[[#Totals],[Winning Candidate]]-SamplingData[[#Totals],[Losing Candidate]]), 0)</f>
        <v>3.5521803037726605E-3</v>
      </c>
      <c r="L2046" s="100">
        <f>IF(AND(SamplingData[[#This Row],[Total]]&lt;&gt; 0, NOT(ISBLANK(SamplingData[[#This Row],[Candidate 3]]))),(SamplingData[[#This Row],[Total]]+SamplingData[[#This Row],[Winning Candidate]]-SamplingData[[#This Row],[Candidate 3]])/(SamplingData[[#Totals],[Winning Candidate]]-SamplingData[[#Totals],[Candidate 3]]), 0)</f>
        <v>2.4195889924831437E-3</v>
      </c>
      <c r="M2046" s="100">
        <f>IF(AND(SamplingData[[#This Row],[Total]]&lt;&gt; 0, NOT(ISBLANK(SamplingData[[#This Row],[Candidate 4]]))),(SamplingData[[#This Row],[Total]]+SamplingData[[#This Row],[Winning Candidate]]-SamplingData[[#This Row],[Candidate 4]])/(SamplingData[[#Totals],[Winning Candidate]]-SamplingData[[#Totals],[Candidate 4]]), 0)</f>
        <v>2.1924055073226346E-3</v>
      </c>
      <c r="N2046" s="100">
        <f>IF(AND(SamplingData[[#This Row],[Total]]&lt;&gt; 0, NOT(ISBLANK(SamplingData[[#This Row],[Candidate 5]]))),(SamplingData[[#This Row],[Total]]+SamplingData[[#This Row],[Winning Candidate]]-SamplingData[[#This Row],[Candidate 5]])/(SamplingData[[#Totals],[Winning Candidate]]-SamplingData[[#Totals],[Candidate 5]]), 0)</f>
        <v>1.921673558744831E-3</v>
      </c>
      <c r="O2046" s="100">
        <f>IF(AND(SamplingData[[#This Row],[Total]]&lt;&gt; 0, NOT(ISBLANK(SamplingData[[#This Row],[Candidate 6]]))),(SamplingData[[#This Row],[Total]]+SamplingData[[#This Row],[Winning Candidate]]-SamplingData[[#This Row],[Candidate 6]])/(SamplingData[[#Totals],[Winning Candidate]]-SamplingData[[#Totals],[Candidate 6]]), 0)</f>
        <v>1.8967949029716454E-3</v>
      </c>
      <c r="P2046" s="100">
        <f>MAX(SamplingData[[#This Row],[Error Bound (up) - Max. possible relative overstatement - Losing Candidate]:[Error Bound (up) - Max. possible relative overstatement - Candidate 6]])</f>
        <v>3.5521803037726605E-3</v>
      </c>
      <c r="Q2046" s="100">
        <f>IF(SamplingData[[#This Row],[Max Error Bound (up)]] = 0,0,SamplingData[[#This Row],[Max Error Bound (up)]]/SamplingData[[#Totals],[Max Error Bound (up)]])</f>
        <v>5.6219100014985829E-4</v>
      </c>
      <c r="R2046" s="101">
        <f>SUM($Q$5:Q2046)</f>
        <v>0.90473251652668196</v>
      </c>
      <c r="S2046" s="100" t="str">
        <f t="array" ref="S2046">IF(SamplingData[[#This Row],[up/U Selection Probability]] = 0, "Zero", TEXT(SamplingData[[#This Row],[Lower Range]], REPT("0",LEN('General Info'!$B$40))) &amp; " - " &amp; TEXT(SamplingData[[#This Row],[Upper Range]], REPT("0",LEN('General Info'!$B$40))))</f>
        <v>90417 - 90472</v>
      </c>
      <c r="T2046" s="100">
        <f>SamplingData[[#This Row],[Upper Range]]-SamplingData[[#This Row],[Span]]</f>
        <v>90417.03311484422</v>
      </c>
      <c r="U2046" s="100">
        <f>IF(ISNUMBER('General Info'!$B$40), ((SamplingData[[#This Row],[up/U Selection Probability]]) * 'General Info'!$B$40) - 1, 0)</f>
        <v>55.218537823985677</v>
      </c>
      <c r="V2046" s="100">
        <f>IF(ISNUMBER('General Info'!$B$40), (SamplingData[[#This Row],[Running (cumulative) sum]] * ('General Info'!$B$40 -'General Info'!$B$41 + 1)) + 'General Info'!$B$41 - 1, 0)</f>
        <v>90472.251652668201</v>
      </c>
      <c r="W2046" s="100" t="str">
        <f>IF(ISERROR(MATCH(SamplingData[[#This Row],[Batch by Type (p)]],SelectedPrecincts[Batch Name], 0)), "", INDEX(SelectedPrecincts[Draw], MATCH(SamplingData[[#This Row],[Batch by Type (p)]],SelectedPrecincts[Batch Name], 0)))</f>
        <v/>
      </c>
      <c r="X2046" s="102">
        <f>IF(COUNTIF(SelectedPrecincts[Batch Name],SamplingData[[#This Row],[Batch by Type (p)]]) &lt;&gt; 0, COUNTIF(SelectedPrecincts[Batch Name],SamplingData[[#This Row],[Batch by Type (p)]]), 0)</f>
        <v>0</v>
      </c>
    </row>
    <row r="2047" spans="1:24" ht="15" customHeight="1">
      <c r="A2047" s="18" t="s">
        <v>2223</v>
      </c>
      <c r="B2047" s="18">
        <v>63</v>
      </c>
      <c r="C2047" s="18">
        <v>105</v>
      </c>
      <c r="D2047" s="16">
        <v>29</v>
      </c>
      <c r="E2047" s="16">
        <v>13</v>
      </c>
      <c r="F2047" s="37">
        <v>0</v>
      </c>
      <c r="G2047" s="37">
        <v>0</v>
      </c>
      <c r="H2047" s="17">
        <v>0</v>
      </c>
      <c r="I2047" s="17">
        <v>8</v>
      </c>
      <c r="J2047" s="99">
        <f>SUM(SamplingData[[#This Row],[Losing Candidate]:[Under Votes]])</f>
        <v>218</v>
      </c>
      <c r="K2047" s="100">
        <f>IF(AND(SamplingData[[#This Row],[Total]]&lt;&gt; 0, NOT(ISBLANK(SamplingData[[#This Row],[Losing Candidate]]))),(SamplingData[[#This Row],[Total]]+SamplingData[[#This Row],[Winning Candidate]]-SamplingData[[#This Row],[Losing Candidate]])/(SamplingData[[#Totals],[Winning Candidate]]-SamplingData[[#Totals],[Losing Candidate]]), 0)</f>
        <v>1.5923566878980892E-2</v>
      </c>
      <c r="L2047" s="100">
        <f>IF(AND(SamplingData[[#This Row],[Total]]&lt;&gt; 0, NOT(ISBLANK(SamplingData[[#This Row],[Candidate 3]]))),(SamplingData[[#This Row],[Total]]+SamplingData[[#This Row],[Winning Candidate]]-SamplingData[[#This Row],[Candidate 3]])/(SamplingData[[#Totals],[Winning Candidate]]-SamplingData[[#Totals],[Candidate 3]]), 0)</f>
        <v>9.484788850533922E-3</v>
      </c>
      <c r="M2047" s="100">
        <f>IF(AND(SamplingData[[#This Row],[Total]]&lt;&gt; 0, NOT(ISBLANK(SamplingData[[#This Row],[Candidate 4]]))),(SamplingData[[#This Row],[Total]]+SamplingData[[#This Row],[Winning Candidate]]-SamplingData[[#This Row],[Candidate 4]])/(SamplingData[[#Totals],[Winning Candidate]]-SamplingData[[#Totals],[Candidate 4]]), 0)</f>
        <v>9.0619427636002229E-3</v>
      </c>
      <c r="N2047" s="100">
        <f>IF(AND(SamplingData[[#This Row],[Total]]&lt;&gt; 0, NOT(ISBLANK(SamplingData[[#This Row],[Candidate 5]]))),(SamplingData[[#This Row],[Total]]+SamplingData[[#This Row],[Winning Candidate]]-SamplingData[[#This Row],[Candidate 5]])/(SamplingData[[#Totals],[Winning Candidate]]-SamplingData[[#Totals],[Candidate 5]]), 0)</f>
        <v>7.8569691072731696E-3</v>
      </c>
      <c r="O2047" s="100">
        <f>IF(AND(SamplingData[[#This Row],[Total]]&lt;&gt; 0, NOT(ISBLANK(SamplingData[[#This Row],[Candidate 6]]))),(SamplingData[[#This Row],[Total]]+SamplingData[[#This Row],[Winning Candidate]]-SamplingData[[#This Row],[Candidate 6]])/(SamplingData[[#Totals],[Winning Candidate]]-SamplingData[[#Totals],[Candidate 6]]), 0)</f>
        <v>7.8546763289723265E-3</v>
      </c>
      <c r="P2047" s="100">
        <f>MAX(SamplingData[[#This Row],[Error Bound (up) - Max. possible relative overstatement - Losing Candidate]:[Error Bound (up) - Max. possible relative overstatement - Candidate 6]])</f>
        <v>1.5923566878980892E-2</v>
      </c>
      <c r="Q2047" s="100">
        <f>IF(SamplingData[[#This Row],[Max Error Bound (up)]] = 0,0,SamplingData[[#This Row],[Max Error Bound (up)]]/SamplingData[[#Totals],[Max Error Bound (up)]])</f>
        <v>2.5201665523959162E-3</v>
      </c>
      <c r="R2047" s="101">
        <f>SUM($Q$5:Q2047)</f>
        <v>0.90725268307907792</v>
      </c>
      <c r="S2047" s="100" t="str">
        <f t="array" ref="S2047">IF(SamplingData[[#This Row],[up/U Selection Probability]] = 0, "Zero", TEXT(SamplingData[[#This Row],[Lower Range]], REPT("0",LEN('General Info'!$B$40))) &amp; " - " &amp; TEXT(SamplingData[[#This Row],[Upper Range]], REPT("0",LEN('General Info'!$B$40))))</f>
        <v>90473 - 90724</v>
      </c>
      <c r="T2047" s="100">
        <f>SamplingData[[#This Row],[Upper Range]]-SamplingData[[#This Row],[Span]]</f>
        <v>90473.254172834757</v>
      </c>
      <c r="U2047" s="100">
        <f>IF(ISNUMBER('General Info'!$B$40), ((SamplingData[[#This Row],[up/U Selection Probability]]) * 'General Info'!$B$40) - 1, 0)</f>
        <v>251.01413507303923</v>
      </c>
      <c r="V2047" s="100">
        <f>IF(ISNUMBER('General Info'!$B$40), (SamplingData[[#This Row],[Running (cumulative) sum]] * ('General Info'!$B$40 -'General Info'!$B$41 + 1)) + 'General Info'!$B$41 - 1, 0)</f>
        <v>90724.268307907798</v>
      </c>
      <c r="W2047" s="100" t="str">
        <f>IF(ISERROR(MATCH(SamplingData[[#This Row],[Batch by Type (p)]],SelectedPrecincts[Batch Name], 0)), "", INDEX(SelectedPrecincts[Draw], MATCH(SamplingData[[#This Row],[Batch by Type (p)]],SelectedPrecincts[Batch Name], 0)))</f>
        <v/>
      </c>
      <c r="X2047" s="102">
        <f>IF(COUNTIF(SelectedPrecincts[Batch Name],SamplingData[[#This Row],[Batch by Type (p)]]) &lt;&gt; 0, COUNTIF(SelectedPrecincts[Batch Name],SamplingData[[#This Row],[Batch by Type (p)]]), 0)</f>
        <v>0</v>
      </c>
    </row>
    <row r="2048" spans="1:24" ht="15" customHeight="1">
      <c r="A2048" s="18" t="s">
        <v>2224</v>
      </c>
      <c r="B2048" s="18">
        <v>23</v>
      </c>
      <c r="C2048" s="18">
        <v>40</v>
      </c>
      <c r="D2048" s="18">
        <v>8</v>
      </c>
      <c r="E2048" s="18">
        <v>2</v>
      </c>
      <c r="F2048" s="18">
        <v>1</v>
      </c>
      <c r="G2048" s="18">
        <v>0</v>
      </c>
      <c r="H2048" s="18">
        <v>0</v>
      </c>
      <c r="I2048" s="18">
        <v>1</v>
      </c>
      <c r="J2048" s="99">
        <f>SUM(SamplingData[[#This Row],[Losing Candidate]:[Under Votes]])</f>
        <v>75</v>
      </c>
      <c r="K2048" s="100">
        <f>IF(AND(SamplingData[[#This Row],[Total]]&lt;&gt; 0, NOT(ISBLANK(SamplingData[[#This Row],[Losing Candidate]]))),(SamplingData[[#This Row],[Total]]+SamplingData[[#This Row],[Winning Candidate]]-SamplingData[[#This Row],[Losing Candidate]])/(SamplingData[[#Totals],[Winning Candidate]]-SamplingData[[#Totals],[Losing Candidate]]), 0)</f>
        <v>5.6344928956393921E-3</v>
      </c>
      <c r="L2048" s="100">
        <f>IF(AND(SamplingData[[#This Row],[Total]]&lt;&gt; 0, NOT(ISBLANK(SamplingData[[#This Row],[Candidate 3]]))),(SamplingData[[#This Row],[Total]]+SamplingData[[#This Row],[Winning Candidate]]-SamplingData[[#This Row],[Candidate 3]])/(SamplingData[[#Totals],[Winning Candidate]]-SamplingData[[#Totals],[Candidate 3]]), 0)</f>
        <v>3.4519469626092848E-3</v>
      </c>
      <c r="M2048" s="100">
        <f>IF(AND(SamplingData[[#This Row],[Total]]&lt;&gt; 0, NOT(ISBLANK(SamplingData[[#This Row],[Candidate 4]]))),(SamplingData[[#This Row],[Total]]+SamplingData[[#This Row],[Winning Candidate]]-SamplingData[[#This Row],[Candidate 4]])/(SamplingData[[#Totals],[Winning Candidate]]-SamplingData[[#Totals],[Candidate 4]]), 0)</f>
        <v>3.3032242976994359E-3</v>
      </c>
      <c r="N2048" s="100">
        <f>IF(AND(SamplingData[[#This Row],[Total]]&lt;&gt; 0, NOT(ISBLANK(SamplingData[[#This Row],[Candidate 5]]))),(SamplingData[[#This Row],[Total]]+SamplingData[[#This Row],[Winning Candidate]]-SamplingData[[#This Row],[Candidate 5]])/(SamplingData[[#Totals],[Winning Candidate]]-SamplingData[[#Totals],[Candidate 5]]), 0)</f>
        <v>2.7730479202140597E-3</v>
      </c>
      <c r="O2048" s="100">
        <f>IF(AND(SamplingData[[#This Row],[Total]]&lt;&gt; 0, NOT(ISBLANK(SamplingData[[#This Row],[Candidate 6]]))),(SamplingData[[#This Row],[Total]]+SamplingData[[#This Row],[Winning Candidate]]-SamplingData[[#This Row],[Candidate 6]])/(SamplingData[[#Totals],[Winning Candidate]]-SamplingData[[#Totals],[Candidate 6]]), 0)</f>
        <v>2.7965565877146052E-3</v>
      </c>
      <c r="P2048" s="100">
        <f>MAX(SamplingData[[#This Row],[Error Bound (up) - Max. possible relative overstatement - Losing Candidate]:[Error Bound (up) - Max. possible relative overstatement - Candidate 6]])</f>
        <v>5.6344928956393921E-3</v>
      </c>
      <c r="Q2048" s="100">
        <f>IF(SamplingData[[#This Row],[Max Error Bound (up)]] = 0,0,SamplingData[[#This Row],[Max Error Bound (up)]]/SamplingData[[#Totals],[Max Error Bound (up)]])</f>
        <v>8.9175124161701641E-4</v>
      </c>
      <c r="R2048" s="101">
        <f>SUM($Q$5:Q2048)</f>
        <v>0.90814443432069492</v>
      </c>
      <c r="S2048" s="100" t="str">
        <f t="array" ref="S2048">IF(SamplingData[[#This Row],[up/U Selection Probability]] = 0, "Zero", TEXT(SamplingData[[#This Row],[Lower Range]], REPT("0",LEN('General Info'!$B$40))) &amp; " - " &amp; TEXT(SamplingData[[#This Row],[Upper Range]], REPT("0",LEN('General Info'!$B$40))))</f>
        <v>90725 - 90813</v>
      </c>
      <c r="T2048" s="100">
        <f>SamplingData[[#This Row],[Upper Range]]-SamplingData[[#This Row],[Span]]</f>
        <v>90725.269199659029</v>
      </c>
      <c r="U2048" s="100">
        <f>IF(ISNUMBER('General Info'!$B$40), ((SamplingData[[#This Row],[up/U Selection Probability]]) * 'General Info'!$B$40) - 1, 0)</f>
        <v>88.174232410460021</v>
      </c>
      <c r="V2048" s="100">
        <f>IF(ISNUMBER('General Info'!$B$40), (SamplingData[[#This Row],[Running (cumulative) sum]] * ('General Info'!$B$40 -'General Info'!$B$41 + 1)) + 'General Info'!$B$41 - 1, 0)</f>
        <v>90813.443432069485</v>
      </c>
      <c r="W2048" s="100" t="str">
        <f>IF(ISERROR(MATCH(SamplingData[[#This Row],[Batch by Type (p)]],SelectedPrecincts[Batch Name], 0)), "", INDEX(SelectedPrecincts[Draw], MATCH(SamplingData[[#This Row],[Batch by Type (p)]],SelectedPrecincts[Batch Name], 0)))</f>
        <v/>
      </c>
      <c r="X2048" s="102">
        <f>IF(COUNTIF(SelectedPrecincts[Batch Name],SamplingData[[#This Row],[Batch by Type (p)]]) &lt;&gt; 0, COUNTIF(SelectedPrecincts[Batch Name],SamplingData[[#This Row],[Batch by Type (p)]]), 0)</f>
        <v>0</v>
      </c>
    </row>
    <row r="2049" spans="1:24" ht="15" customHeight="1">
      <c r="A2049" s="18" t="s">
        <v>2225</v>
      </c>
      <c r="B2049" s="18">
        <v>25</v>
      </c>
      <c r="C2049" s="18">
        <v>54</v>
      </c>
      <c r="D2049" s="16">
        <v>12</v>
      </c>
      <c r="E2049" s="16">
        <v>9</v>
      </c>
      <c r="F2049" s="37">
        <v>0</v>
      </c>
      <c r="G2049" s="37">
        <v>0</v>
      </c>
      <c r="H2049" s="17">
        <v>0</v>
      </c>
      <c r="I2049" s="17">
        <v>2</v>
      </c>
      <c r="J2049" s="99">
        <f>SUM(SamplingData[[#This Row],[Losing Candidate]:[Under Votes]])</f>
        <v>102</v>
      </c>
      <c r="K2049" s="100">
        <f>IF(AND(SamplingData[[#This Row],[Total]]&lt;&gt; 0, NOT(ISBLANK(SamplingData[[#This Row],[Losing Candidate]]))),(SamplingData[[#This Row],[Total]]+SamplingData[[#This Row],[Winning Candidate]]-SamplingData[[#This Row],[Losing Candidate]])/(SamplingData[[#Totals],[Winning Candidate]]-SamplingData[[#Totals],[Losing Candidate]]), 0)</f>
        <v>8.0230279274865254E-3</v>
      </c>
      <c r="L2049" s="100">
        <f>IF(AND(SamplingData[[#This Row],[Total]]&lt;&gt; 0, NOT(ISBLANK(SamplingData[[#This Row],[Candidate 3]]))),(SamplingData[[#This Row],[Total]]+SamplingData[[#This Row],[Winning Candidate]]-SamplingData[[#This Row],[Candidate 3]])/(SamplingData[[#Totals],[Winning Candidate]]-SamplingData[[#Totals],[Candidate 3]]), 0)</f>
        <v>4.6456108655676355E-3</v>
      </c>
      <c r="M2049" s="100">
        <f>IF(AND(SamplingData[[#This Row],[Total]]&lt;&gt; 0, NOT(ISBLANK(SamplingData[[#This Row],[Candidate 4]]))),(SamplingData[[#This Row],[Total]]+SamplingData[[#This Row],[Winning Candidate]]-SamplingData[[#This Row],[Candidate 4]])/(SamplingData[[#Totals],[Winning Candidate]]-SamplingData[[#Totals],[Candidate 4]]), 0)</f>
        <v>4.2971147943523637E-3</v>
      </c>
      <c r="N2049" s="100">
        <f>IF(AND(SamplingData[[#This Row],[Total]]&lt;&gt; 0, NOT(ISBLANK(SamplingData[[#This Row],[Candidate 5]]))),(SamplingData[[#This Row],[Total]]+SamplingData[[#This Row],[Winning Candidate]]-SamplingData[[#This Row],[Candidate 5]])/(SamplingData[[#Totals],[Winning Candidate]]-SamplingData[[#Totals],[Candidate 5]]), 0)</f>
        <v>3.7946971539771345E-3</v>
      </c>
      <c r="O2049" s="100">
        <f>IF(AND(SamplingData[[#This Row],[Total]]&lt;&gt; 0, NOT(ISBLANK(SamplingData[[#This Row],[Candidate 6]]))),(SamplingData[[#This Row],[Total]]+SamplingData[[#This Row],[Winning Candidate]]-SamplingData[[#This Row],[Candidate 6]])/(SamplingData[[#Totals],[Winning Candidate]]-SamplingData[[#Totals],[Candidate 6]]), 0)</f>
        <v>3.7935898059432908E-3</v>
      </c>
      <c r="P2049" s="100">
        <f>MAX(SamplingData[[#This Row],[Error Bound (up) - Max. possible relative overstatement - Losing Candidate]:[Error Bound (up) - Max. possible relative overstatement - Candidate 6]])</f>
        <v>8.0230279274865254E-3</v>
      </c>
      <c r="Q2049" s="100">
        <f>IF(SamplingData[[#This Row],[Max Error Bound (up)]] = 0,0,SamplingData[[#This Row],[Max Error Bound (up)]]/SamplingData[[#Totals],[Max Error Bound (up)]])</f>
        <v>1.2697762244764038E-3</v>
      </c>
      <c r="R2049" s="101">
        <f>SUM($Q$5:Q2049)</f>
        <v>0.90941421054517135</v>
      </c>
      <c r="S2049" s="100" t="str">
        <f t="array" ref="S2049">IF(SamplingData[[#This Row],[up/U Selection Probability]] = 0, "Zero", TEXT(SamplingData[[#This Row],[Lower Range]], REPT("0",LEN('General Info'!$B$40))) &amp; " - " &amp; TEXT(SamplingData[[#This Row],[Upper Range]], REPT("0",LEN('General Info'!$B$40))))</f>
        <v>90814 - 90940</v>
      </c>
      <c r="T2049" s="100">
        <f>SamplingData[[#This Row],[Upper Range]]-SamplingData[[#This Row],[Span]]</f>
        <v>90814.444701845729</v>
      </c>
      <c r="U2049" s="100">
        <f>IF(ISNUMBER('General Info'!$B$40), ((SamplingData[[#This Row],[up/U Selection Probability]]) * 'General Info'!$B$40) - 1, 0)</f>
        <v>125.97635267141591</v>
      </c>
      <c r="V2049" s="100">
        <f>IF(ISNUMBER('General Info'!$B$40), (SamplingData[[#This Row],[Running (cumulative) sum]] * ('General Info'!$B$40 -'General Info'!$B$41 + 1)) + 'General Info'!$B$41 - 1, 0)</f>
        <v>90940.421054517137</v>
      </c>
      <c r="W2049" s="100" t="str">
        <f>IF(ISERROR(MATCH(SamplingData[[#This Row],[Batch by Type (p)]],SelectedPrecincts[Batch Name], 0)), "", INDEX(SelectedPrecincts[Draw], MATCH(SamplingData[[#This Row],[Batch by Type (p)]],SelectedPrecincts[Batch Name], 0)))</f>
        <v/>
      </c>
      <c r="X2049" s="102">
        <f>IF(COUNTIF(SelectedPrecincts[Batch Name],SamplingData[[#This Row],[Batch by Type (p)]]) &lt;&gt; 0, COUNTIF(SelectedPrecincts[Batch Name],SamplingData[[#This Row],[Batch by Type (p)]]), 0)</f>
        <v>0</v>
      </c>
    </row>
    <row r="2050" spans="1:24" ht="15" customHeight="1">
      <c r="A2050" s="18" t="s">
        <v>2226</v>
      </c>
      <c r="B2050" s="18">
        <v>21</v>
      </c>
      <c r="C2050" s="18">
        <v>49</v>
      </c>
      <c r="D2050" s="18">
        <v>4</v>
      </c>
      <c r="E2050" s="18">
        <v>2</v>
      </c>
      <c r="F2050" s="18">
        <v>0</v>
      </c>
      <c r="G2050" s="18">
        <v>1</v>
      </c>
      <c r="H2050" s="18">
        <v>0</v>
      </c>
      <c r="I2050" s="18">
        <v>1</v>
      </c>
      <c r="J2050" s="99">
        <f>SUM(SamplingData[[#This Row],[Losing Candidate]:[Under Votes]])</f>
        <v>78</v>
      </c>
      <c r="K2050" s="100">
        <f>IF(AND(SamplingData[[#This Row],[Total]]&lt;&gt; 0, NOT(ISBLANK(SamplingData[[#This Row],[Losing Candidate]]))),(SamplingData[[#This Row],[Total]]+SamplingData[[#This Row],[Winning Candidate]]-SamplingData[[#This Row],[Losing Candidate]])/(SamplingData[[#Totals],[Winning Candidate]]-SamplingData[[#Totals],[Losing Candidate]]), 0)</f>
        <v>6.4919157275845178E-3</v>
      </c>
      <c r="L2050" s="100">
        <f>IF(AND(SamplingData[[#This Row],[Total]]&lt;&gt; 0, NOT(ISBLANK(SamplingData[[#This Row],[Candidate 3]]))),(SamplingData[[#This Row],[Total]]+SamplingData[[#This Row],[Winning Candidate]]-SamplingData[[#This Row],[Candidate 3]])/(SamplingData[[#Totals],[Winning Candidate]]-SamplingData[[#Totals],[Candidate 3]]), 0)</f>
        <v>3.9681259476723558E-3</v>
      </c>
      <c r="M2050" s="100">
        <f>IF(AND(SamplingData[[#This Row],[Total]]&lt;&gt; 0, NOT(ISBLANK(SamplingData[[#This Row],[Candidate 4]]))),(SamplingData[[#This Row],[Total]]+SamplingData[[#This Row],[Winning Candidate]]-SamplingData[[#This Row],[Candidate 4]])/(SamplingData[[#Totals],[Winning Candidate]]-SamplingData[[#Totals],[Candidate 4]]), 0)</f>
        <v>3.6540091788710575E-3</v>
      </c>
      <c r="N2050" s="100">
        <f>IF(AND(SamplingData[[#This Row],[Total]]&lt;&gt; 0, NOT(ISBLANK(SamplingData[[#This Row],[Candidate 5]]))),(SamplingData[[#This Row],[Total]]+SamplingData[[#This Row],[Winning Candidate]]-SamplingData[[#This Row],[Candidate 5]])/(SamplingData[[#Totals],[Winning Candidate]]-SamplingData[[#Totals],[Candidate 5]]), 0)</f>
        <v>3.0892726830454879E-3</v>
      </c>
      <c r="O2050" s="100">
        <f>IF(AND(SamplingData[[#This Row],[Total]]&lt;&gt; 0, NOT(ISBLANK(SamplingData[[#This Row],[Candidate 6]]))),(SamplingData[[#This Row],[Total]]+SamplingData[[#This Row],[Winning Candidate]]-SamplingData[[#This Row],[Candidate 6]])/(SamplingData[[#Totals],[Winning Candidate]]-SamplingData[[#Totals],[Candidate 6]]), 0)</f>
        <v>3.0640533048003501E-3</v>
      </c>
      <c r="P2050" s="100">
        <f>MAX(SamplingData[[#This Row],[Error Bound (up) - Max. possible relative overstatement - Losing Candidate]:[Error Bound (up) - Max. possible relative overstatement - Candidate 6]])</f>
        <v>6.4919157275845178E-3</v>
      </c>
      <c r="Q2050" s="100">
        <f>IF(SamplingData[[#This Row],[Max Error Bound (up)]] = 0,0,SamplingData[[#This Row],[Max Error Bound (up)]]/SamplingData[[#Totals],[Max Error Bound (up)]])</f>
        <v>1.0274525175152582E-3</v>
      </c>
      <c r="R2050" s="101">
        <f>SUM($Q$5:Q2050)</f>
        <v>0.91044166306268659</v>
      </c>
      <c r="S2050" s="100" t="str">
        <f t="array" ref="S2050">IF(SamplingData[[#This Row],[up/U Selection Probability]] = 0, "Zero", TEXT(SamplingData[[#This Row],[Lower Range]], REPT("0",LEN('General Info'!$B$40))) &amp; " - " &amp; TEXT(SamplingData[[#This Row],[Upper Range]], REPT("0",LEN('General Info'!$B$40))))</f>
        <v>90941 - 91043</v>
      </c>
      <c r="T2050" s="100">
        <f>SamplingData[[#This Row],[Upper Range]]-SamplingData[[#This Row],[Span]]</f>
        <v>90941.422081969649</v>
      </c>
      <c r="U2050" s="100">
        <f>IF(ISNUMBER('General Info'!$B$40), ((SamplingData[[#This Row],[up/U Selection Probability]]) * 'General Info'!$B$40) - 1, 0)</f>
        <v>101.74422429900831</v>
      </c>
      <c r="V2050" s="100">
        <f>IF(ISNUMBER('General Info'!$B$40), (SamplingData[[#This Row],[Running (cumulative) sum]] * ('General Info'!$B$40 -'General Info'!$B$41 + 1)) + 'General Info'!$B$41 - 1, 0)</f>
        <v>91043.166306268657</v>
      </c>
      <c r="W2050" s="100" t="str">
        <f>IF(ISERROR(MATCH(SamplingData[[#This Row],[Batch by Type (p)]],SelectedPrecincts[Batch Name], 0)), "", INDEX(SelectedPrecincts[Draw], MATCH(SamplingData[[#This Row],[Batch by Type (p)]],SelectedPrecincts[Batch Name], 0)))</f>
        <v/>
      </c>
      <c r="X2050" s="102">
        <f>IF(COUNTIF(SelectedPrecincts[Batch Name],SamplingData[[#This Row],[Batch by Type (p)]]) &lt;&gt; 0, COUNTIF(SelectedPrecincts[Batch Name],SamplingData[[#This Row],[Batch by Type (p)]]), 0)</f>
        <v>0</v>
      </c>
    </row>
    <row r="2051" spans="1:24" ht="15" customHeight="1">
      <c r="A2051" s="18" t="s">
        <v>2227</v>
      </c>
      <c r="B2051" s="18">
        <v>19</v>
      </c>
      <c r="C2051" s="18">
        <v>59</v>
      </c>
      <c r="D2051" s="16">
        <v>10</v>
      </c>
      <c r="E2051" s="16">
        <v>6</v>
      </c>
      <c r="F2051" s="37">
        <v>0</v>
      </c>
      <c r="G2051" s="37">
        <v>0</v>
      </c>
      <c r="H2051" s="17">
        <v>1</v>
      </c>
      <c r="I2051" s="17">
        <v>2</v>
      </c>
      <c r="J2051" s="99">
        <f>SUM(SamplingData[[#This Row],[Losing Candidate]:[Under Votes]])</f>
        <v>97</v>
      </c>
      <c r="K2051" s="100">
        <f>IF(AND(SamplingData[[#This Row],[Total]]&lt;&gt; 0, NOT(ISBLANK(SamplingData[[#This Row],[Losing Candidate]]))),(SamplingData[[#This Row],[Total]]+SamplingData[[#This Row],[Winning Candidate]]-SamplingData[[#This Row],[Losing Candidate]])/(SamplingData[[#Totals],[Winning Candidate]]-SamplingData[[#Totals],[Losing Candidate]]), 0)</f>
        <v>8.3904948554630078E-3</v>
      </c>
      <c r="L2051" s="100">
        <f>IF(AND(SamplingData[[#This Row],[Total]]&lt;&gt; 0, NOT(ISBLANK(SamplingData[[#This Row],[Candidate 3]]))),(SamplingData[[#This Row],[Total]]+SamplingData[[#This Row],[Winning Candidate]]-SamplingData[[#This Row],[Candidate 3]])/(SamplingData[[#Totals],[Winning Candidate]]-SamplingData[[#Totals],[Candidate 3]]), 0)</f>
        <v>4.7101332387005194E-3</v>
      </c>
      <c r="M2051" s="100">
        <f>IF(AND(SamplingData[[#This Row],[Total]]&lt;&gt; 0, NOT(ISBLANK(SamplingData[[#This Row],[Candidate 4]]))),(SamplingData[[#This Row],[Total]]+SamplingData[[#This Row],[Winning Candidate]]-SamplingData[[#This Row],[Candidate 4]])/(SamplingData[[#Totals],[Winning Candidate]]-SamplingData[[#Totals],[Candidate 4]]), 0)</f>
        <v>4.3848110146452691E-3</v>
      </c>
      <c r="N2051" s="100">
        <f>IF(AND(SamplingData[[#This Row],[Total]]&lt;&gt; 0, NOT(ISBLANK(SamplingData[[#This Row],[Candidate 5]]))),(SamplingData[[#This Row],[Total]]+SamplingData[[#This Row],[Winning Candidate]]-SamplingData[[#This Row],[Candidate 5]])/(SamplingData[[#Totals],[Winning Candidate]]-SamplingData[[#Totals],[Candidate 5]]), 0)</f>
        <v>3.7946971539771345E-3</v>
      </c>
      <c r="O2051" s="100">
        <f>IF(AND(SamplingData[[#This Row],[Total]]&lt;&gt; 0, NOT(ISBLANK(SamplingData[[#This Row],[Candidate 6]]))),(SamplingData[[#This Row],[Total]]+SamplingData[[#This Row],[Winning Candidate]]-SamplingData[[#This Row],[Candidate 6]])/(SamplingData[[#Totals],[Winning Candidate]]-SamplingData[[#Totals],[Candidate 6]]), 0)</f>
        <v>3.7935898059432908E-3</v>
      </c>
      <c r="P2051" s="100">
        <f>MAX(SamplingData[[#This Row],[Error Bound (up) - Max. possible relative overstatement - Losing Candidate]:[Error Bound (up) - Max. possible relative overstatement - Candidate 6]])</f>
        <v>8.3904948554630078E-3</v>
      </c>
      <c r="Q2051" s="100">
        <f>IF(SamplingData[[#This Row],[Max Error Bound (up)]] = 0,0,SamplingData[[#This Row],[Max Error Bound (up)]]/SamplingData[[#Totals],[Max Error Bound (up)]])</f>
        <v>1.3279339141470789E-3</v>
      </c>
      <c r="R2051" s="101">
        <f>SUM($Q$5:Q2051)</f>
        <v>0.91176959697683368</v>
      </c>
      <c r="S2051" s="100" t="str">
        <f t="array" ref="S2051">IF(SamplingData[[#This Row],[up/U Selection Probability]] = 0, "Zero", TEXT(SamplingData[[#This Row],[Lower Range]], REPT("0",LEN('General Info'!$B$40))) &amp; " - " &amp; TEXT(SamplingData[[#This Row],[Upper Range]], REPT("0",LEN('General Info'!$B$40))))</f>
        <v>91044 - 91176</v>
      </c>
      <c r="T2051" s="100">
        <f>SamplingData[[#This Row],[Upper Range]]-SamplingData[[#This Row],[Span]]</f>
        <v>91044.167634202575</v>
      </c>
      <c r="U2051" s="100">
        <f>IF(ISNUMBER('General Info'!$B$40), ((SamplingData[[#This Row],[up/U Selection Probability]]) * 'General Info'!$B$40) - 1, 0)</f>
        <v>131.79206348079373</v>
      </c>
      <c r="V2051" s="100">
        <f>IF(ISNUMBER('General Info'!$B$40), (SamplingData[[#This Row],[Running (cumulative) sum]] * ('General Info'!$B$40 -'General Info'!$B$41 + 1)) + 'General Info'!$B$41 - 1, 0)</f>
        <v>91175.959697683371</v>
      </c>
      <c r="W2051" s="100" t="str">
        <f>IF(ISERROR(MATCH(SamplingData[[#This Row],[Batch by Type (p)]],SelectedPrecincts[Batch Name], 0)), "", INDEX(SelectedPrecincts[Draw], MATCH(SamplingData[[#This Row],[Batch by Type (p)]],SelectedPrecincts[Batch Name], 0)))</f>
        <v/>
      </c>
      <c r="X2051" s="102">
        <f>IF(COUNTIF(SelectedPrecincts[Batch Name],SamplingData[[#This Row],[Batch by Type (p)]]) &lt;&gt; 0, COUNTIF(SelectedPrecincts[Batch Name],SamplingData[[#This Row],[Batch by Type (p)]]), 0)</f>
        <v>0</v>
      </c>
    </row>
    <row r="2052" spans="1:24" ht="15" customHeight="1">
      <c r="A2052" s="18" t="s">
        <v>2228</v>
      </c>
      <c r="B2052" s="18">
        <v>17</v>
      </c>
      <c r="C2052" s="18">
        <v>28</v>
      </c>
      <c r="D2052" s="18">
        <v>3</v>
      </c>
      <c r="E2052" s="18">
        <v>2</v>
      </c>
      <c r="F2052" s="18">
        <v>1</v>
      </c>
      <c r="G2052" s="18">
        <v>0</v>
      </c>
      <c r="H2052" s="18">
        <v>1</v>
      </c>
      <c r="I2052" s="18">
        <v>4</v>
      </c>
      <c r="J2052" s="99">
        <f>SUM(SamplingData[[#This Row],[Losing Candidate]:[Under Votes]])</f>
        <v>56</v>
      </c>
      <c r="K2052" s="100">
        <f>IF(AND(SamplingData[[#This Row],[Total]]&lt;&gt; 0, NOT(ISBLANK(SamplingData[[#This Row],[Losing Candidate]]))),(SamplingData[[#This Row],[Total]]+SamplingData[[#This Row],[Winning Candidate]]-SamplingData[[#This Row],[Losing Candidate]])/(SamplingData[[#Totals],[Winning Candidate]]-SamplingData[[#Totals],[Losing Candidate]]), 0)</f>
        <v>4.1033806957373837E-3</v>
      </c>
      <c r="L2052" s="100">
        <f>IF(AND(SamplingData[[#This Row],[Total]]&lt;&gt; 0, NOT(ISBLANK(SamplingData[[#This Row],[Candidate 3]]))),(SamplingData[[#This Row],[Total]]+SamplingData[[#This Row],[Winning Candidate]]-SamplingData[[#This Row],[Candidate 3]])/(SamplingData[[#Totals],[Winning Candidate]]-SamplingData[[#Totals],[Candidate 3]]), 0)</f>
        <v>2.6131561118817952E-3</v>
      </c>
      <c r="M2052" s="100">
        <f>IF(AND(SamplingData[[#This Row],[Total]]&lt;&gt; 0, NOT(ISBLANK(SamplingData[[#This Row],[Candidate 4]]))),(SamplingData[[#This Row],[Total]]+SamplingData[[#This Row],[Winning Candidate]]-SamplingData[[#This Row],[Candidate 4]])/(SamplingData[[#Totals],[Winning Candidate]]-SamplingData[[#Totals],[Candidate 4]]), 0)</f>
        <v>2.3970300213394134E-3</v>
      </c>
      <c r="N2052" s="100">
        <f>IF(AND(SamplingData[[#This Row],[Total]]&lt;&gt; 0, NOT(ISBLANK(SamplingData[[#This Row],[Candidate 5]]))),(SamplingData[[#This Row],[Total]]+SamplingData[[#This Row],[Winning Candidate]]-SamplingData[[#This Row],[Candidate 5]])/(SamplingData[[#Totals],[Winning Candidate]]-SamplingData[[#Totals],[Candidate 5]]), 0)</f>
        <v>2.0189734857698855E-3</v>
      </c>
      <c r="O2052" s="100">
        <f>IF(AND(SamplingData[[#This Row],[Total]]&lt;&gt; 0, NOT(ISBLANK(SamplingData[[#This Row],[Candidate 6]]))),(SamplingData[[#This Row],[Total]]+SamplingData[[#This Row],[Winning Candidate]]-SamplingData[[#This Row],[Candidate 6]])/(SamplingData[[#Totals],[Winning Candidate]]-SamplingData[[#Totals],[Candidate 6]]), 0)</f>
        <v>2.0427022032002335E-3</v>
      </c>
      <c r="P2052" s="100">
        <f>MAX(SamplingData[[#This Row],[Error Bound (up) - Max. possible relative overstatement - Losing Candidate]:[Error Bound (up) - Max. possible relative overstatement - Candidate 6]])</f>
        <v>4.1033806957373837E-3</v>
      </c>
      <c r="Q2052" s="100">
        <f>IF(SamplingData[[#This Row],[Max Error Bound (up)]] = 0,0,SamplingData[[#This Row],[Max Error Bound (up)]]/SamplingData[[#Totals],[Max Error Bound (up)]])</f>
        <v>6.4942753465587074E-4</v>
      </c>
      <c r="R2052" s="101">
        <f>SUM($Q$5:Q2052)</f>
        <v>0.9124190245114896</v>
      </c>
      <c r="S2052" s="100" t="str">
        <f t="array" ref="S2052">IF(SamplingData[[#This Row],[up/U Selection Probability]] = 0, "Zero", TEXT(SamplingData[[#This Row],[Lower Range]], REPT("0",LEN('General Info'!$B$40))) &amp; " - " &amp; TEXT(SamplingData[[#This Row],[Upper Range]], REPT("0",LEN('General Info'!$B$40))))</f>
        <v>91177 - 91241</v>
      </c>
      <c r="T2052" s="100">
        <f>SamplingData[[#This Row],[Upper Range]]-SamplingData[[#This Row],[Span]]</f>
        <v>91176.9603471109</v>
      </c>
      <c r="U2052" s="100">
        <f>IF(ISNUMBER('General Info'!$B$40), ((SamplingData[[#This Row],[up/U Selection Probability]]) * 'General Info'!$B$40) - 1, 0)</f>
        <v>63.94210403805242</v>
      </c>
      <c r="V2052" s="100">
        <f>IF(ISNUMBER('General Info'!$B$40), (SamplingData[[#This Row],[Running (cumulative) sum]] * ('General Info'!$B$40 -'General Info'!$B$41 + 1)) + 'General Info'!$B$41 - 1, 0)</f>
        <v>91240.902451148955</v>
      </c>
      <c r="W2052" s="100" t="str">
        <f>IF(ISERROR(MATCH(SamplingData[[#This Row],[Batch by Type (p)]],SelectedPrecincts[Batch Name], 0)), "", INDEX(SelectedPrecincts[Draw], MATCH(SamplingData[[#This Row],[Batch by Type (p)]],SelectedPrecincts[Batch Name], 0)))</f>
        <v/>
      </c>
      <c r="X2052" s="102">
        <f>IF(COUNTIF(SelectedPrecincts[Batch Name],SamplingData[[#This Row],[Batch by Type (p)]]) &lt;&gt; 0, COUNTIF(SelectedPrecincts[Batch Name],SamplingData[[#This Row],[Batch by Type (p)]]), 0)</f>
        <v>0</v>
      </c>
    </row>
    <row r="2053" spans="1:24" ht="15" customHeight="1">
      <c r="A2053" s="18" t="s">
        <v>2229</v>
      </c>
      <c r="B2053" s="18">
        <v>46</v>
      </c>
      <c r="C2053" s="18">
        <v>70</v>
      </c>
      <c r="D2053" s="16">
        <v>9</v>
      </c>
      <c r="E2053" s="16">
        <v>13</v>
      </c>
      <c r="F2053" s="37">
        <v>1</v>
      </c>
      <c r="G2053" s="37">
        <v>1</v>
      </c>
      <c r="H2053" s="17">
        <v>0</v>
      </c>
      <c r="I2053" s="17">
        <v>6</v>
      </c>
      <c r="J2053" s="99">
        <f>SUM(SamplingData[[#This Row],[Losing Candidate]:[Under Votes]])</f>
        <v>146</v>
      </c>
      <c r="K2053" s="100">
        <f>IF(AND(SamplingData[[#This Row],[Total]]&lt;&gt; 0, NOT(ISBLANK(SamplingData[[#This Row],[Losing Candidate]]))),(SamplingData[[#This Row],[Total]]+SamplingData[[#This Row],[Winning Candidate]]-SamplingData[[#This Row],[Losing Candidate]])/(SamplingData[[#Totals],[Winning Candidate]]-SamplingData[[#Totals],[Losing Candidate]]), 0)</f>
        <v>1.041156295933366E-2</v>
      </c>
      <c r="L2053" s="100">
        <f>IF(AND(SamplingData[[#This Row],[Total]]&lt;&gt; 0, NOT(ISBLANK(SamplingData[[#This Row],[Candidate 3]]))),(SamplingData[[#This Row],[Total]]+SamplingData[[#This Row],[Winning Candidate]]-SamplingData[[#This Row],[Candidate 3]])/(SamplingData[[#Totals],[Winning Candidate]]-SamplingData[[#Totals],[Candidate 3]]), 0)</f>
        <v>6.6780656192534761E-3</v>
      </c>
      <c r="M2053" s="100">
        <f>IF(AND(SamplingData[[#This Row],[Total]]&lt;&gt; 0, NOT(ISBLANK(SamplingData[[#This Row],[Candidate 4]]))),(SamplingData[[#This Row],[Total]]+SamplingData[[#This Row],[Winning Candidate]]-SamplingData[[#This Row],[Candidate 4]])/(SamplingData[[#Totals],[Winning Candidate]]-SamplingData[[#Totals],[Candidate 4]]), 0)</f>
        <v>5.934110906486597E-3</v>
      </c>
      <c r="N2053" s="100">
        <f>IF(AND(SamplingData[[#This Row],[Total]]&lt;&gt; 0, NOT(ISBLANK(SamplingData[[#This Row],[Candidate 5]]))),(SamplingData[[#This Row],[Total]]+SamplingData[[#This Row],[Winning Candidate]]-SamplingData[[#This Row],[Candidate 5]])/(SamplingData[[#Totals],[Winning Candidate]]-SamplingData[[#Totals],[Candidate 5]]), 0)</f>
        <v>5.2298710775966917E-3</v>
      </c>
      <c r="O2053" s="100">
        <f>IF(AND(SamplingData[[#This Row],[Total]]&lt;&gt; 0, NOT(ISBLANK(SamplingData[[#This Row],[Candidate 6]]))),(SamplingData[[#This Row],[Total]]+SamplingData[[#This Row],[Winning Candidate]]-SamplingData[[#This Row],[Candidate 6]])/(SamplingData[[#Totals],[Winning Candidate]]-SamplingData[[#Totals],[Candidate 6]]), 0)</f>
        <v>5.2283449248577401E-3</v>
      </c>
      <c r="P2053" s="100">
        <f>MAX(SamplingData[[#This Row],[Error Bound (up) - Max. possible relative overstatement - Losing Candidate]:[Error Bound (up) - Max. possible relative overstatement - Candidate 6]])</f>
        <v>1.041156295933366E-2</v>
      </c>
      <c r="Q2053" s="100">
        <f>IF(SamplingData[[#This Row],[Max Error Bound (up)]] = 0,0,SamplingData[[#This Row],[Max Error Bound (up)]]/SamplingData[[#Totals],[Max Error Bound (up)]])</f>
        <v>1.6478012073357915E-3</v>
      </c>
      <c r="R2053" s="101">
        <f>SUM($Q$5:Q2053)</f>
        <v>0.91406682571882536</v>
      </c>
      <c r="S2053" s="100" t="str">
        <f t="array" ref="S2053">IF(SamplingData[[#This Row],[up/U Selection Probability]] = 0, "Zero", TEXT(SamplingData[[#This Row],[Lower Range]], REPT("0",LEN('General Info'!$B$40))) &amp; " - " &amp; TEXT(SamplingData[[#This Row],[Upper Range]], REPT("0",LEN('General Info'!$B$40))))</f>
        <v>91242 - 91406</v>
      </c>
      <c r="T2053" s="100">
        <f>SamplingData[[#This Row],[Upper Range]]-SamplingData[[#This Row],[Span]]</f>
        <v>91241.904098950166</v>
      </c>
      <c r="U2053" s="100">
        <f>IF(ISNUMBER('General Info'!$B$40), ((SamplingData[[#This Row],[up/U Selection Probability]]) * 'General Info'!$B$40) - 1, 0)</f>
        <v>163.77847293237181</v>
      </c>
      <c r="V2053" s="100">
        <f>IF(ISNUMBER('General Info'!$B$40), (SamplingData[[#This Row],[Running (cumulative) sum]] * ('General Info'!$B$40 -'General Info'!$B$41 + 1)) + 'General Info'!$B$41 - 1, 0)</f>
        <v>91405.682571882542</v>
      </c>
      <c r="W2053" s="100" t="str">
        <f>IF(ISERROR(MATCH(SamplingData[[#This Row],[Batch by Type (p)]],SelectedPrecincts[Batch Name], 0)), "", INDEX(SelectedPrecincts[Draw], MATCH(SamplingData[[#This Row],[Batch by Type (p)]],SelectedPrecincts[Batch Name], 0)))</f>
        <v/>
      </c>
      <c r="X2053" s="102">
        <f>IF(COUNTIF(SelectedPrecincts[Batch Name],SamplingData[[#This Row],[Batch by Type (p)]]) &lt;&gt; 0, COUNTIF(SelectedPrecincts[Batch Name],SamplingData[[#This Row],[Batch by Type (p)]]), 0)</f>
        <v>0</v>
      </c>
    </row>
    <row r="2054" spans="1:24" ht="15" customHeight="1">
      <c r="A2054" s="18" t="s">
        <v>2230</v>
      </c>
      <c r="B2054" s="18">
        <v>26</v>
      </c>
      <c r="C2054" s="18">
        <v>28</v>
      </c>
      <c r="D2054" s="18">
        <v>16</v>
      </c>
      <c r="E2054" s="18">
        <v>7</v>
      </c>
      <c r="F2054" s="18">
        <v>0</v>
      </c>
      <c r="G2054" s="18">
        <v>1</v>
      </c>
      <c r="H2054" s="18">
        <v>0</v>
      </c>
      <c r="I2054" s="18">
        <v>1</v>
      </c>
      <c r="J2054" s="99">
        <f>SUM(SamplingData[[#This Row],[Losing Candidate]:[Under Votes]])</f>
        <v>79</v>
      </c>
      <c r="K2054" s="100">
        <f>IF(AND(SamplingData[[#This Row],[Total]]&lt;&gt; 0, NOT(ISBLANK(SamplingData[[#This Row],[Losing Candidate]]))),(SamplingData[[#This Row],[Total]]+SamplingData[[#This Row],[Winning Candidate]]-SamplingData[[#This Row],[Losing Candidate]])/(SamplingData[[#Totals],[Winning Candidate]]-SamplingData[[#Totals],[Losing Candidate]]), 0)</f>
        <v>4.9608035276825085E-3</v>
      </c>
      <c r="L2054" s="100">
        <f>IF(AND(SamplingData[[#This Row],[Total]]&lt;&gt; 0, NOT(ISBLANK(SamplingData[[#This Row],[Candidate 3]]))),(SamplingData[[#This Row],[Total]]+SamplingData[[#This Row],[Winning Candidate]]-SamplingData[[#This Row],[Candidate 3]])/(SamplingData[[#Totals],[Winning Candidate]]-SamplingData[[#Totals],[Candidate 3]]), 0)</f>
        <v>2.9357679775462143E-3</v>
      </c>
      <c r="M2054" s="100">
        <f>IF(AND(SamplingData[[#This Row],[Total]]&lt;&gt; 0, NOT(ISBLANK(SamplingData[[#This Row],[Candidate 4]]))),(SamplingData[[#This Row],[Total]]+SamplingData[[#This Row],[Winning Candidate]]-SamplingData[[#This Row],[Candidate 4]])/(SamplingData[[#Totals],[Winning Candidate]]-SamplingData[[#Totals],[Candidate 4]]), 0)</f>
        <v>2.9232073430968458E-3</v>
      </c>
      <c r="N2054" s="100">
        <f>IF(AND(SamplingData[[#This Row],[Total]]&lt;&gt; 0, NOT(ISBLANK(SamplingData[[#This Row],[Candidate 5]]))),(SamplingData[[#This Row],[Total]]+SamplingData[[#This Row],[Winning Candidate]]-SamplingData[[#This Row],[Candidate 5]])/(SamplingData[[#Totals],[Winning Candidate]]-SamplingData[[#Totals],[Candidate 5]]), 0)</f>
        <v>2.6027730479202139E-3</v>
      </c>
      <c r="O2054" s="100">
        <f>IF(AND(SamplingData[[#This Row],[Total]]&lt;&gt; 0, NOT(ISBLANK(SamplingData[[#This Row],[Candidate 6]]))),(SamplingData[[#This Row],[Total]]+SamplingData[[#This Row],[Winning Candidate]]-SamplingData[[#This Row],[Candidate 6]])/(SamplingData[[#Totals],[Winning Candidate]]-SamplingData[[#Totals],[Candidate 6]]), 0)</f>
        <v>2.5776956373717232E-3</v>
      </c>
      <c r="P2054" s="100">
        <f>MAX(SamplingData[[#This Row],[Error Bound (up) - Max. possible relative overstatement - Losing Candidate]:[Error Bound (up) - Max. possible relative overstatement - Candidate 6]])</f>
        <v>4.9608035276825085E-3</v>
      </c>
      <c r="Q2054" s="100">
        <f>IF(SamplingData[[#This Row],[Max Error Bound (up)]] = 0,0,SamplingData[[#This Row],[Max Error Bound (up)]]/SamplingData[[#Totals],[Max Error Bound (up)]])</f>
        <v>7.8512881055411239E-4</v>
      </c>
      <c r="R2054" s="101">
        <f>SUM($Q$5:Q2054)</f>
        <v>0.91485195452937951</v>
      </c>
      <c r="S2054" s="100" t="str">
        <f t="array" ref="S2054">IF(SamplingData[[#This Row],[up/U Selection Probability]] = 0, "Zero", TEXT(SamplingData[[#This Row],[Lower Range]], REPT("0",LEN('General Info'!$B$40))) &amp; " - " &amp; TEXT(SamplingData[[#This Row],[Upper Range]], REPT("0",LEN('General Info'!$B$40))))</f>
        <v>91407 - 91484</v>
      </c>
      <c r="T2054" s="100">
        <f>SamplingData[[#This Row],[Upper Range]]-SamplingData[[#This Row],[Span]]</f>
        <v>91406.683357011338</v>
      </c>
      <c r="U2054" s="100">
        <f>IF(ISNUMBER('General Info'!$B$40), ((SamplingData[[#This Row],[up/U Selection Probability]]) * 'General Info'!$B$40) - 1, 0)</f>
        <v>77.512095926600679</v>
      </c>
      <c r="V2054" s="100">
        <f>IF(ISNUMBER('General Info'!$B$40), (SamplingData[[#This Row],[Running (cumulative) sum]] * ('General Info'!$B$40 -'General Info'!$B$41 + 1)) + 'General Info'!$B$41 - 1, 0)</f>
        <v>91484.195452937944</v>
      </c>
      <c r="W2054" s="100" t="str">
        <f>IF(ISERROR(MATCH(SamplingData[[#This Row],[Batch by Type (p)]],SelectedPrecincts[Batch Name], 0)), "", INDEX(SelectedPrecincts[Draw], MATCH(SamplingData[[#This Row],[Batch by Type (p)]],SelectedPrecincts[Batch Name], 0)))</f>
        <v/>
      </c>
      <c r="X2054" s="102">
        <f>IF(COUNTIF(SelectedPrecincts[Batch Name],SamplingData[[#This Row],[Batch by Type (p)]]) &lt;&gt; 0, COUNTIF(SelectedPrecincts[Batch Name],SamplingData[[#This Row],[Batch by Type (p)]]), 0)</f>
        <v>0</v>
      </c>
    </row>
    <row r="2055" spans="1:24" ht="15" customHeight="1">
      <c r="A2055" s="18" t="s">
        <v>2231</v>
      </c>
      <c r="B2055" s="18">
        <v>42</v>
      </c>
      <c r="C2055" s="18">
        <v>82</v>
      </c>
      <c r="D2055" s="16">
        <v>18</v>
      </c>
      <c r="E2055" s="16">
        <v>12</v>
      </c>
      <c r="F2055" s="37">
        <v>0</v>
      </c>
      <c r="G2055" s="37">
        <v>0</v>
      </c>
      <c r="H2055" s="17">
        <v>0</v>
      </c>
      <c r="I2055" s="17">
        <v>1</v>
      </c>
      <c r="J2055" s="99">
        <f>SUM(SamplingData[[#This Row],[Losing Candidate]:[Under Votes]])</f>
        <v>155</v>
      </c>
      <c r="K2055" s="100">
        <f>IF(AND(SamplingData[[#This Row],[Total]]&lt;&gt; 0, NOT(ISBLANK(SamplingData[[#This Row],[Losing Candidate]]))),(SamplingData[[#This Row],[Total]]+SamplingData[[#This Row],[Winning Candidate]]-SamplingData[[#This Row],[Losing Candidate]])/(SamplingData[[#Totals],[Winning Candidate]]-SamplingData[[#Totals],[Losing Candidate]]), 0)</f>
        <v>1.194267515923567E-2</v>
      </c>
      <c r="L2055" s="100">
        <f>IF(AND(SamplingData[[#This Row],[Total]]&lt;&gt; 0, NOT(ISBLANK(SamplingData[[#This Row],[Candidate 3]]))),(SamplingData[[#This Row],[Total]]+SamplingData[[#This Row],[Winning Candidate]]-SamplingData[[#This Row],[Candidate 3]])/(SamplingData[[#Totals],[Winning Candidate]]-SamplingData[[#Totals],[Candidate 3]]), 0)</f>
        <v>7.0651998580507792E-3</v>
      </c>
      <c r="M2055" s="100">
        <f>IF(AND(SamplingData[[#This Row],[Total]]&lt;&gt; 0, NOT(ISBLANK(SamplingData[[#This Row],[Candidate 4]]))),(SamplingData[[#This Row],[Total]]+SamplingData[[#This Row],[Winning Candidate]]-SamplingData[[#This Row],[Candidate 4]])/(SamplingData[[#Totals],[Winning Candidate]]-SamplingData[[#Totals],[Candidate 4]]), 0)</f>
        <v>6.5772165219679032E-3</v>
      </c>
      <c r="N2055" s="100">
        <f>IF(AND(SamplingData[[#This Row],[Total]]&lt;&gt; 0, NOT(ISBLANK(SamplingData[[#This Row],[Candidate 5]]))),(SamplingData[[#This Row],[Total]]+SamplingData[[#This Row],[Winning Candidate]]-SamplingData[[#This Row],[Candidate 5]])/(SamplingData[[#Totals],[Winning Candidate]]-SamplingData[[#Totals],[Candidate 5]]), 0)</f>
        <v>5.7650206762344929E-3</v>
      </c>
      <c r="O2055" s="100">
        <f>IF(AND(SamplingData[[#This Row],[Total]]&lt;&gt; 0, NOT(ISBLANK(SamplingData[[#This Row],[Candidate 6]]))),(SamplingData[[#This Row],[Total]]+SamplingData[[#This Row],[Winning Candidate]]-SamplingData[[#This Row],[Candidate 6]])/(SamplingData[[#Totals],[Winning Candidate]]-SamplingData[[#Totals],[Candidate 6]]), 0)</f>
        <v>5.7633383590292298E-3</v>
      </c>
      <c r="P2055" s="100">
        <f>MAX(SamplingData[[#This Row],[Error Bound (up) - Max. possible relative overstatement - Losing Candidate]:[Error Bound (up) - Max. possible relative overstatement - Candidate 6]])</f>
        <v>1.194267515923567E-2</v>
      </c>
      <c r="Q2055" s="100">
        <f>IF(SamplingData[[#This Row],[Max Error Bound (up)]] = 0,0,SamplingData[[#This Row],[Max Error Bound (up)]]/SamplingData[[#Totals],[Max Error Bound (up)]])</f>
        <v>1.8901249142969374E-3</v>
      </c>
      <c r="R2055" s="101">
        <f>SUM($Q$5:Q2055)</f>
        <v>0.91674207944367647</v>
      </c>
      <c r="S2055" s="100" t="str">
        <f t="array" ref="S2055">IF(SamplingData[[#This Row],[up/U Selection Probability]] = 0, "Zero", TEXT(SamplingData[[#This Row],[Lower Range]], REPT("0",LEN('General Info'!$B$40))) &amp; " - " &amp; TEXT(SamplingData[[#This Row],[Upper Range]], REPT("0",LEN('General Info'!$B$40))))</f>
        <v>91485 - 91673</v>
      </c>
      <c r="T2055" s="100">
        <f>SamplingData[[#This Row],[Upper Range]]-SamplingData[[#This Row],[Span]]</f>
        <v>91485.197343062871</v>
      </c>
      <c r="U2055" s="100">
        <f>IF(ISNUMBER('General Info'!$B$40), ((SamplingData[[#This Row],[up/U Selection Probability]]) * 'General Info'!$B$40) - 1, 0)</f>
        <v>188.01060130477944</v>
      </c>
      <c r="V2055" s="100">
        <f>IF(ISNUMBER('General Info'!$B$40), (SamplingData[[#This Row],[Running (cumulative) sum]] * ('General Info'!$B$40 -'General Info'!$B$41 + 1)) + 'General Info'!$B$41 - 1, 0)</f>
        <v>91673.207944367648</v>
      </c>
      <c r="W2055" s="100" t="str">
        <f>IF(ISERROR(MATCH(SamplingData[[#This Row],[Batch by Type (p)]],SelectedPrecincts[Batch Name], 0)), "", INDEX(SelectedPrecincts[Draw], MATCH(SamplingData[[#This Row],[Batch by Type (p)]],SelectedPrecincts[Batch Name], 0)))</f>
        <v/>
      </c>
      <c r="X2055" s="102">
        <f>IF(COUNTIF(SelectedPrecincts[Batch Name],SamplingData[[#This Row],[Batch by Type (p)]]) &lt;&gt; 0, COUNTIF(SelectedPrecincts[Batch Name],SamplingData[[#This Row],[Batch by Type (p)]]), 0)</f>
        <v>0</v>
      </c>
    </row>
    <row r="2056" spans="1:24" ht="15" customHeight="1">
      <c r="A2056" s="18" t="s">
        <v>2232</v>
      </c>
      <c r="B2056" s="18">
        <v>31</v>
      </c>
      <c r="C2056" s="18">
        <v>40</v>
      </c>
      <c r="D2056" s="18">
        <v>6</v>
      </c>
      <c r="E2056" s="18">
        <v>1</v>
      </c>
      <c r="F2056" s="18">
        <v>3</v>
      </c>
      <c r="G2056" s="18">
        <v>0</v>
      </c>
      <c r="H2056" s="18">
        <v>0</v>
      </c>
      <c r="I2056" s="18">
        <v>1</v>
      </c>
      <c r="J2056" s="99">
        <f>SUM(SamplingData[[#This Row],[Losing Candidate]:[Under Votes]])</f>
        <v>82</v>
      </c>
      <c r="K2056" s="100">
        <f>IF(AND(SamplingData[[#This Row],[Total]]&lt;&gt; 0, NOT(ISBLANK(SamplingData[[#This Row],[Losing Candidate]]))),(SamplingData[[#This Row],[Total]]+SamplingData[[#This Row],[Winning Candidate]]-SamplingData[[#This Row],[Losing Candidate]])/(SamplingData[[#Totals],[Winning Candidate]]-SamplingData[[#Totals],[Losing Candidate]]), 0)</f>
        <v>5.5732484076433117E-3</v>
      </c>
      <c r="L2056" s="100">
        <f>IF(AND(SamplingData[[#This Row],[Total]]&lt;&gt; 0, NOT(ISBLANK(SamplingData[[#This Row],[Candidate 3]]))),(SamplingData[[#This Row],[Total]]+SamplingData[[#This Row],[Winning Candidate]]-SamplingData[[#This Row],[Candidate 3]])/(SamplingData[[#Totals],[Winning Candidate]]-SamplingData[[#Totals],[Candidate 3]]), 0)</f>
        <v>3.7422976417072619E-3</v>
      </c>
      <c r="M2056" s="100">
        <f>IF(AND(SamplingData[[#This Row],[Total]]&lt;&gt; 0, NOT(ISBLANK(SamplingData[[#This Row],[Candidate 4]]))),(SamplingData[[#This Row],[Total]]+SamplingData[[#This Row],[Winning Candidate]]-SamplingData[[#This Row],[Candidate 4]])/(SamplingData[[#Totals],[Winning Candidate]]-SamplingData[[#Totals],[Candidate 4]]), 0)</f>
        <v>3.5370808851471836E-3</v>
      </c>
      <c r="N2056" s="100">
        <f>IF(AND(SamplingData[[#This Row],[Total]]&lt;&gt; 0, NOT(ISBLANK(SamplingData[[#This Row],[Candidate 5]]))),(SamplingData[[#This Row],[Total]]+SamplingData[[#This Row],[Winning Candidate]]-SamplingData[[#This Row],[Candidate 5]])/(SamplingData[[#Totals],[Winning Candidate]]-SamplingData[[#Totals],[Candidate 5]]), 0)</f>
        <v>2.8946728289953785E-3</v>
      </c>
      <c r="O2056" s="100">
        <f>IF(AND(SamplingData[[#This Row],[Total]]&lt;&gt; 0, NOT(ISBLANK(SamplingData[[#This Row],[Candidate 6]]))),(SamplingData[[#This Row],[Total]]+SamplingData[[#This Row],[Winning Candidate]]-SamplingData[[#This Row],[Candidate 6]])/(SamplingData[[#Totals],[Winning Candidate]]-SamplingData[[#Totals],[Candidate 6]]), 0)</f>
        <v>2.9667817713146249E-3</v>
      </c>
      <c r="P2056" s="100">
        <f>MAX(SamplingData[[#This Row],[Error Bound (up) - Max. possible relative overstatement - Losing Candidate]:[Error Bound (up) - Max. possible relative overstatement - Candidate 6]])</f>
        <v>5.5732484076433117E-3</v>
      </c>
      <c r="Q2056" s="100">
        <f>IF(SamplingData[[#This Row],[Max Error Bound (up)]] = 0,0,SamplingData[[#This Row],[Max Error Bound (up)]]/SamplingData[[#Totals],[Max Error Bound (up)]])</f>
        <v>8.8205829333857057E-4</v>
      </c>
      <c r="R2056" s="101">
        <f>SUM($Q$5:Q2056)</f>
        <v>0.91762413773701501</v>
      </c>
      <c r="S2056" s="100" t="str">
        <f t="array" ref="S2056">IF(SamplingData[[#This Row],[up/U Selection Probability]] = 0, "Zero", TEXT(SamplingData[[#This Row],[Lower Range]], REPT("0",LEN('General Info'!$B$40))) &amp; " - " &amp; TEXT(SamplingData[[#This Row],[Upper Range]], REPT("0",LEN('General Info'!$B$40))))</f>
        <v>91674 - 91761</v>
      </c>
      <c r="T2056" s="100">
        <f>SamplingData[[#This Row],[Upper Range]]-SamplingData[[#This Row],[Span]]</f>
        <v>91674.208826425936</v>
      </c>
      <c r="U2056" s="100">
        <f>IF(ISNUMBER('General Info'!$B$40), ((SamplingData[[#This Row],[up/U Selection Probability]]) * 'General Info'!$B$40) - 1, 0)</f>
        <v>87.204947275563725</v>
      </c>
      <c r="V2056" s="100">
        <f>IF(ISNUMBER('General Info'!$B$40), (SamplingData[[#This Row],[Running (cumulative) sum]] * ('General Info'!$B$40 -'General Info'!$B$41 + 1)) + 'General Info'!$B$41 - 1, 0)</f>
        <v>91761.413773701497</v>
      </c>
      <c r="W2056" s="100" t="str">
        <f>IF(ISERROR(MATCH(SamplingData[[#This Row],[Batch by Type (p)]],SelectedPrecincts[Batch Name], 0)), "", INDEX(SelectedPrecincts[Draw], MATCH(SamplingData[[#This Row],[Batch by Type (p)]],SelectedPrecincts[Batch Name], 0)))</f>
        <v/>
      </c>
      <c r="X2056" s="102">
        <f>IF(COUNTIF(SelectedPrecincts[Batch Name],SamplingData[[#This Row],[Batch by Type (p)]]) &lt;&gt; 0, COUNTIF(SelectedPrecincts[Batch Name],SamplingData[[#This Row],[Batch by Type (p)]]), 0)</f>
        <v>0</v>
      </c>
    </row>
    <row r="2057" spans="1:24" ht="15" customHeight="1">
      <c r="A2057" s="18" t="s">
        <v>2233</v>
      </c>
      <c r="B2057" s="18">
        <v>23</v>
      </c>
      <c r="C2057" s="18">
        <v>55</v>
      </c>
      <c r="D2057" s="16">
        <v>14</v>
      </c>
      <c r="E2057" s="16">
        <v>10</v>
      </c>
      <c r="F2057" s="37">
        <v>1</v>
      </c>
      <c r="G2057" s="37">
        <v>1</v>
      </c>
      <c r="H2057" s="17">
        <v>1</v>
      </c>
      <c r="I2057" s="17">
        <v>2</v>
      </c>
      <c r="J2057" s="99">
        <f>SUM(SamplingData[[#This Row],[Losing Candidate]:[Under Votes]])</f>
        <v>107</v>
      </c>
      <c r="K2057" s="100">
        <f>IF(AND(SamplingData[[#This Row],[Total]]&lt;&gt; 0, NOT(ISBLANK(SamplingData[[#This Row],[Losing Candidate]]))),(SamplingData[[#This Row],[Total]]+SamplingData[[#This Row],[Winning Candidate]]-SamplingData[[#This Row],[Losing Candidate]])/(SamplingData[[#Totals],[Winning Candidate]]-SamplingData[[#Totals],[Losing Candidate]]), 0)</f>
        <v>8.5129838314551686E-3</v>
      </c>
      <c r="L2057" s="100">
        <f>IF(AND(SamplingData[[#This Row],[Total]]&lt;&gt; 0, NOT(ISBLANK(SamplingData[[#This Row],[Candidate 3]]))),(SamplingData[[#This Row],[Total]]+SamplingData[[#This Row],[Winning Candidate]]-SamplingData[[#This Row],[Candidate 3]])/(SamplingData[[#Totals],[Winning Candidate]]-SamplingData[[#Totals],[Candidate 3]]), 0)</f>
        <v>4.7746556118334034E-3</v>
      </c>
      <c r="M2057" s="100">
        <f>IF(AND(SamplingData[[#This Row],[Total]]&lt;&gt; 0, NOT(ISBLANK(SamplingData[[#This Row],[Candidate 4]]))),(SamplingData[[#This Row],[Total]]+SamplingData[[#This Row],[Winning Candidate]]-SamplingData[[#This Row],[Candidate 4]])/(SamplingData[[#Totals],[Winning Candidate]]-SamplingData[[#Totals],[Candidate 4]]), 0)</f>
        <v>4.443275161507206E-3</v>
      </c>
      <c r="N2057" s="100">
        <f>IF(AND(SamplingData[[#This Row],[Total]]&lt;&gt; 0, NOT(ISBLANK(SamplingData[[#This Row],[Candidate 5]]))),(SamplingData[[#This Row],[Total]]+SamplingData[[#This Row],[Winning Candidate]]-SamplingData[[#This Row],[Candidate 5]])/(SamplingData[[#Totals],[Winning Candidate]]-SamplingData[[#Totals],[Candidate 5]]), 0)</f>
        <v>3.9163220627584528E-3</v>
      </c>
      <c r="O2057" s="100">
        <f>IF(AND(SamplingData[[#This Row],[Total]]&lt;&gt; 0, NOT(ISBLANK(SamplingData[[#This Row],[Candidate 6]]))),(SamplingData[[#This Row],[Total]]+SamplingData[[#This Row],[Winning Candidate]]-SamplingData[[#This Row],[Candidate 6]])/(SamplingData[[#Totals],[Winning Candidate]]-SamplingData[[#Totals],[Candidate 6]]), 0)</f>
        <v>3.9151792228004478E-3</v>
      </c>
      <c r="P2057" s="100">
        <f>MAX(SamplingData[[#This Row],[Error Bound (up) - Max. possible relative overstatement - Losing Candidate]:[Error Bound (up) - Max. possible relative overstatement - Candidate 6]])</f>
        <v>8.5129838314551686E-3</v>
      </c>
      <c r="Q2057" s="100">
        <f>IF(SamplingData[[#This Row],[Max Error Bound (up)]] = 0,0,SamplingData[[#This Row],[Max Error Bound (up)]]/SamplingData[[#Totals],[Max Error Bound (up)]])</f>
        <v>1.3473198107039706E-3</v>
      </c>
      <c r="R2057" s="101">
        <f>SUM($Q$5:Q2057)</f>
        <v>0.91897145754771903</v>
      </c>
      <c r="S2057" s="100" t="str">
        <f t="array" ref="S2057">IF(SamplingData[[#This Row],[up/U Selection Probability]] = 0, "Zero", TEXT(SamplingData[[#This Row],[Lower Range]], REPT("0",LEN('General Info'!$B$40))) &amp; " - " &amp; TEXT(SamplingData[[#This Row],[Upper Range]], REPT("0",LEN('General Info'!$B$40))))</f>
        <v>91762 - 91896</v>
      </c>
      <c r="T2057" s="100">
        <f>SamplingData[[#This Row],[Upper Range]]-SamplingData[[#This Row],[Span]]</f>
        <v>91762.415121021317</v>
      </c>
      <c r="U2057" s="100">
        <f>IF(ISNUMBER('General Info'!$B$40), ((SamplingData[[#This Row],[up/U Selection Probability]]) * 'General Info'!$B$40) - 1, 0)</f>
        <v>133.73063375058635</v>
      </c>
      <c r="V2057" s="100">
        <f>IF(ISNUMBER('General Info'!$B$40), (SamplingData[[#This Row],[Running (cumulative) sum]] * ('General Info'!$B$40 -'General Info'!$B$41 + 1)) + 'General Info'!$B$41 - 1, 0)</f>
        <v>91896.145754771904</v>
      </c>
      <c r="W2057" s="100" t="str">
        <f>IF(ISERROR(MATCH(SamplingData[[#This Row],[Batch by Type (p)]],SelectedPrecincts[Batch Name], 0)), "", INDEX(SelectedPrecincts[Draw], MATCH(SamplingData[[#This Row],[Batch by Type (p)]],SelectedPrecincts[Batch Name], 0)))</f>
        <v/>
      </c>
      <c r="X2057" s="102">
        <f>IF(COUNTIF(SelectedPrecincts[Batch Name],SamplingData[[#This Row],[Batch by Type (p)]]) &lt;&gt; 0, COUNTIF(SelectedPrecincts[Batch Name],SamplingData[[#This Row],[Batch by Type (p)]]), 0)</f>
        <v>0</v>
      </c>
    </row>
    <row r="2058" spans="1:24" ht="15" customHeight="1">
      <c r="A2058" s="18" t="s">
        <v>2234</v>
      </c>
      <c r="B2058" s="18">
        <v>24</v>
      </c>
      <c r="C2058" s="18">
        <v>33</v>
      </c>
      <c r="D2058" s="18">
        <v>4</v>
      </c>
      <c r="E2058" s="18">
        <v>3</v>
      </c>
      <c r="F2058" s="18">
        <v>0</v>
      </c>
      <c r="G2058" s="18">
        <v>0</v>
      </c>
      <c r="H2058" s="18">
        <v>0</v>
      </c>
      <c r="I2058" s="18">
        <v>2</v>
      </c>
      <c r="J2058" s="99">
        <f>SUM(SamplingData[[#This Row],[Losing Candidate]:[Under Votes]])</f>
        <v>66</v>
      </c>
      <c r="K2058" s="100">
        <f>IF(AND(SamplingData[[#This Row],[Total]]&lt;&gt; 0, NOT(ISBLANK(SamplingData[[#This Row],[Losing Candidate]]))),(SamplingData[[#This Row],[Total]]+SamplingData[[#This Row],[Winning Candidate]]-SamplingData[[#This Row],[Losing Candidate]])/(SamplingData[[#Totals],[Winning Candidate]]-SamplingData[[#Totals],[Losing Candidate]]), 0)</f>
        <v>4.5933365997060261E-3</v>
      </c>
      <c r="L2058" s="100">
        <f>IF(AND(SamplingData[[#This Row],[Total]]&lt;&gt; 0, NOT(ISBLANK(SamplingData[[#This Row],[Candidate 3]]))),(SamplingData[[#This Row],[Total]]+SamplingData[[#This Row],[Winning Candidate]]-SamplingData[[#This Row],[Candidate 3]])/(SamplingData[[#Totals],[Winning Candidate]]-SamplingData[[#Totals],[Candidate 3]]), 0)</f>
        <v>3.0648127238119818E-3</v>
      </c>
      <c r="M2058" s="100">
        <f>IF(AND(SamplingData[[#This Row],[Total]]&lt;&gt; 0, NOT(ISBLANK(SamplingData[[#This Row],[Candidate 4]]))),(SamplingData[[#This Row],[Total]]+SamplingData[[#This Row],[Winning Candidate]]-SamplingData[[#This Row],[Candidate 4]])/(SamplingData[[#Totals],[Winning Candidate]]-SamplingData[[#Totals],[Candidate 4]]), 0)</f>
        <v>2.8062790493729719E-3</v>
      </c>
      <c r="N2058" s="100">
        <f>IF(AND(SamplingData[[#This Row],[Total]]&lt;&gt; 0, NOT(ISBLANK(SamplingData[[#This Row],[Candidate 5]]))),(SamplingData[[#This Row],[Total]]+SamplingData[[#This Row],[Winning Candidate]]-SamplingData[[#This Row],[Candidate 5]])/(SamplingData[[#Totals],[Winning Candidate]]-SamplingData[[#Totals],[Candidate 5]]), 0)</f>
        <v>2.4081731938701044E-3</v>
      </c>
      <c r="O2058" s="100">
        <f>IF(AND(SamplingData[[#This Row],[Total]]&lt;&gt; 0, NOT(ISBLANK(SamplingData[[#This Row],[Candidate 6]]))),(SamplingData[[#This Row],[Total]]+SamplingData[[#This Row],[Winning Candidate]]-SamplingData[[#This Row],[Candidate 6]])/(SamplingData[[#Totals],[Winning Candidate]]-SamplingData[[#Totals],[Candidate 6]]), 0)</f>
        <v>2.4074704537717039E-3</v>
      </c>
      <c r="P2058" s="100">
        <f>MAX(SamplingData[[#This Row],[Error Bound (up) - Max. possible relative overstatement - Losing Candidate]:[Error Bound (up) - Max. possible relative overstatement - Candidate 6]])</f>
        <v>4.5933365997060261E-3</v>
      </c>
      <c r="Q2058" s="100">
        <f>IF(SamplingData[[#This Row],[Max Error Bound (up)]] = 0,0,SamplingData[[#This Row],[Max Error Bound (up)]]/SamplingData[[#Totals],[Max Error Bound (up)]])</f>
        <v>7.2697112088343735E-4</v>
      </c>
      <c r="R2058" s="101">
        <f>SUM($Q$5:Q2058)</f>
        <v>0.91969842866860252</v>
      </c>
      <c r="S2058" s="100" t="str">
        <f t="array" ref="S2058">IF(SamplingData[[#This Row],[up/U Selection Probability]] = 0, "Zero", TEXT(SamplingData[[#This Row],[Lower Range]], REPT("0",LEN('General Info'!$B$40))) &amp; " - " &amp; TEXT(SamplingData[[#This Row],[Upper Range]], REPT("0",LEN('General Info'!$B$40))))</f>
        <v>91897 - 91969</v>
      </c>
      <c r="T2058" s="100">
        <f>SamplingData[[#This Row],[Upper Range]]-SamplingData[[#This Row],[Span]]</f>
        <v>91897.146481743039</v>
      </c>
      <c r="U2058" s="100">
        <f>IF(ISNUMBER('General Info'!$B$40), ((SamplingData[[#This Row],[up/U Selection Probability]]) * 'General Info'!$B$40) - 1, 0)</f>
        <v>71.696385117222846</v>
      </c>
      <c r="V2058" s="100">
        <f>IF(ISNUMBER('General Info'!$B$40), (SamplingData[[#This Row],[Running (cumulative) sum]] * ('General Info'!$B$40 -'General Info'!$B$41 + 1)) + 'General Info'!$B$41 - 1, 0)</f>
        <v>91968.842866860257</v>
      </c>
      <c r="W2058" s="100" t="str">
        <f>IF(ISERROR(MATCH(SamplingData[[#This Row],[Batch by Type (p)]],SelectedPrecincts[Batch Name], 0)), "", INDEX(SelectedPrecincts[Draw], MATCH(SamplingData[[#This Row],[Batch by Type (p)]],SelectedPrecincts[Batch Name], 0)))</f>
        <v/>
      </c>
      <c r="X2058" s="102">
        <f>IF(COUNTIF(SelectedPrecincts[Batch Name],SamplingData[[#This Row],[Batch by Type (p)]]) &lt;&gt; 0, COUNTIF(SelectedPrecincts[Batch Name],SamplingData[[#This Row],[Batch by Type (p)]]), 0)</f>
        <v>0</v>
      </c>
    </row>
    <row r="2059" spans="1:24" ht="15" customHeight="1">
      <c r="A2059" s="18" t="s">
        <v>2235</v>
      </c>
      <c r="B2059" s="18">
        <v>47</v>
      </c>
      <c r="C2059" s="18">
        <v>99</v>
      </c>
      <c r="D2059" s="16">
        <v>13</v>
      </c>
      <c r="E2059" s="16">
        <v>13</v>
      </c>
      <c r="F2059" s="37">
        <v>0</v>
      </c>
      <c r="G2059" s="37">
        <v>0</v>
      </c>
      <c r="H2059" s="17">
        <v>0</v>
      </c>
      <c r="I2059" s="17">
        <v>4</v>
      </c>
      <c r="J2059" s="99">
        <f>SUM(SamplingData[[#This Row],[Losing Candidate]:[Under Votes]])</f>
        <v>176</v>
      </c>
      <c r="K2059" s="100">
        <f>IF(AND(SamplingData[[#This Row],[Total]]&lt;&gt; 0, NOT(ISBLANK(SamplingData[[#This Row],[Losing Candidate]]))),(SamplingData[[#This Row],[Total]]+SamplingData[[#This Row],[Winning Candidate]]-SamplingData[[#This Row],[Losing Candidate]])/(SamplingData[[#Totals],[Winning Candidate]]-SamplingData[[#Totals],[Losing Candidate]]), 0)</f>
        <v>1.396374326310632E-2</v>
      </c>
      <c r="L2059" s="100">
        <f>IF(AND(SamplingData[[#This Row],[Total]]&lt;&gt; 0, NOT(ISBLANK(SamplingData[[#This Row],[Candidate 3]]))),(SamplingData[[#This Row],[Total]]+SamplingData[[#This Row],[Winning Candidate]]-SamplingData[[#This Row],[Candidate 3]])/(SamplingData[[#Totals],[Winning Candidate]]-SamplingData[[#Totals],[Candidate 3]]), 0)</f>
        <v>8.4524308804077818E-3</v>
      </c>
      <c r="M2059" s="100">
        <f>IF(AND(SamplingData[[#This Row],[Total]]&lt;&gt; 0, NOT(ISBLANK(SamplingData[[#This Row],[Candidate 4]]))),(SamplingData[[#This Row],[Total]]+SamplingData[[#This Row],[Winning Candidate]]-SamplingData[[#This Row],[Candidate 4]])/(SamplingData[[#Totals],[Winning Candidate]]-SamplingData[[#Totals],[Candidate 4]]), 0)</f>
        <v>7.6588032389137365E-3</v>
      </c>
      <c r="N2059" s="100">
        <f>IF(AND(SamplingData[[#This Row],[Total]]&lt;&gt; 0, NOT(ISBLANK(SamplingData[[#This Row],[Candidate 5]]))),(SamplingData[[#This Row],[Total]]+SamplingData[[#This Row],[Winning Candidate]]-SamplingData[[#This Row],[Candidate 5]])/(SamplingData[[#Totals],[Winning Candidate]]-SamplingData[[#Totals],[Candidate 5]]), 0)</f>
        <v>6.689369982972513E-3</v>
      </c>
      <c r="O2059" s="100">
        <f>IF(AND(SamplingData[[#This Row],[Total]]&lt;&gt; 0, NOT(ISBLANK(SamplingData[[#This Row],[Candidate 6]]))),(SamplingData[[#This Row],[Total]]+SamplingData[[#This Row],[Winning Candidate]]-SamplingData[[#This Row],[Candidate 6]])/(SamplingData[[#Totals],[Winning Candidate]]-SamplingData[[#Totals],[Candidate 6]]), 0)</f>
        <v>6.6874179271436216E-3</v>
      </c>
      <c r="P2059" s="100">
        <f>MAX(SamplingData[[#This Row],[Error Bound (up) - Max. possible relative overstatement - Losing Candidate]:[Error Bound (up) - Max. possible relative overstatement - Candidate 6]])</f>
        <v>1.396374326310632E-2</v>
      </c>
      <c r="Q2059" s="100">
        <f>IF(SamplingData[[#This Row],[Max Error Bound (up)]] = 0,0,SamplingData[[#This Row],[Max Error Bound (up)]]/SamplingData[[#Totals],[Max Error Bound (up)]])</f>
        <v>2.2099922074856498E-3</v>
      </c>
      <c r="R2059" s="101">
        <f>SUM($Q$5:Q2059)</f>
        <v>0.92190842087608815</v>
      </c>
      <c r="S2059" s="100" t="str">
        <f t="array" ref="S2059">IF(SamplingData[[#This Row],[up/U Selection Probability]] = 0, "Zero", TEXT(SamplingData[[#This Row],[Lower Range]], REPT("0",LEN('General Info'!$B$40))) &amp; " - " &amp; TEXT(SamplingData[[#This Row],[Upper Range]], REPT("0",LEN('General Info'!$B$40))))</f>
        <v>91970 - 92190</v>
      </c>
      <c r="T2059" s="100">
        <f>SamplingData[[#This Row],[Upper Range]]-SamplingData[[#This Row],[Span]]</f>
        <v>91969.845076852464</v>
      </c>
      <c r="U2059" s="100">
        <f>IF(ISNUMBER('General Info'!$B$40), ((SamplingData[[#This Row],[up/U Selection Probability]]) * 'General Info'!$B$40) - 1, 0)</f>
        <v>219.9970107563575</v>
      </c>
      <c r="V2059" s="100">
        <f>IF(ISNUMBER('General Info'!$B$40), (SamplingData[[#This Row],[Running (cumulative) sum]] * ('General Info'!$B$40 -'General Info'!$B$41 + 1)) + 'General Info'!$B$41 - 1, 0)</f>
        <v>92189.84208760882</v>
      </c>
      <c r="W2059" s="100" t="str">
        <f>IF(ISERROR(MATCH(SamplingData[[#This Row],[Batch by Type (p)]],SelectedPrecincts[Batch Name], 0)), "", INDEX(SelectedPrecincts[Draw], MATCH(SamplingData[[#This Row],[Batch by Type (p)]],SelectedPrecincts[Batch Name], 0)))</f>
        <v/>
      </c>
      <c r="X2059" s="102">
        <f>IF(COUNTIF(SelectedPrecincts[Batch Name],SamplingData[[#This Row],[Batch by Type (p)]]) &lt;&gt; 0, COUNTIF(SelectedPrecincts[Batch Name],SamplingData[[#This Row],[Batch by Type (p)]]), 0)</f>
        <v>0</v>
      </c>
    </row>
    <row r="2060" spans="1:24" ht="15" customHeight="1">
      <c r="A2060" s="18" t="s">
        <v>2236</v>
      </c>
      <c r="B2060" s="18">
        <v>16</v>
      </c>
      <c r="C2060" s="18">
        <v>29</v>
      </c>
      <c r="D2060" s="18">
        <v>9</v>
      </c>
      <c r="E2060" s="18">
        <v>6</v>
      </c>
      <c r="F2060" s="18">
        <v>0</v>
      </c>
      <c r="G2060" s="18">
        <v>0</v>
      </c>
      <c r="H2060" s="18">
        <v>0</v>
      </c>
      <c r="I2060" s="18">
        <v>3</v>
      </c>
      <c r="J2060" s="99">
        <f>SUM(SamplingData[[#This Row],[Losing Candidate]:[Under Votes]])</f>
        <v>63</v>
      </c>
      <c r="K2060" s="100">
        <f>IF(AND(SamplingData[[#This Row],[Total]]&lt;&gt; 0, NOT(ISBLANK(SamplingData[[#This Row],[Losing Candidate]]))),(SamplingData[[#This Row],[Total]]+SamplingData[[#This Row],[Winning Candidate]]-SamplingData[[#This Row],[Losing Candidate]])/(SamplingData[[#Totals],[Winning Candidate]]-SamplingData[[#Totals],[Losing Candidate]]), 0)</f>
        <v>4.6545810877021065E-3</v>
      </c>
      <c r="L2060" s="100">
        <f>IF(AND(SamplingData[[#This Row],[Total]]&lt;&gt; 0, NOT(ISBLANK(SamplingData[[#This Row],[Candidate 3]]))),(SamplingData[[#This Row],[Total]]+SamplingData[[#This Row],[Winning Candidate]]-SamplingData[[#This Row],[Candidate 3]])/(SamplingData[[#Totals],[Winning Candidate]]-SamplingData[[#Totals],[Candidate 3]]), 0)</f>
        <v>2.6776784850146788E-3</v>
      </c>
      <c r="M2060" s="100">
        <f>IF(AND(SamplingData[[#This Row],[Total]]&lt;&gt; 0, NOT(ISBLANK(SamplingData[[#This Row],[Candidate 4]]))),(SamplingData[[#This Row],[Total]]+SamplingData[[#This Row],[Winning Candidate]]-SamplingData[[#This Row],[Candidate 4]])/(SamplingData[[#Totals],[Winning Candidate]]-SamplingData[[#Totals],[Candidate 4]]), 0)</f>
        <v>2.5139583150632873E-3</v>
      </c>
      <c r="N2060" s="100">
        <f>IF(AND(SamplingData[[#This Row],[Total]]&lt;&gt; 0, NOT(ISBLANK(SamplingData[[#This Row],[Candidate 5]]))),(SamplingData[[#This Row],[Total]]+SamplingData[[#This Row],[Winning Candidate]]-SamplingData[[#This Row],[Candidate 5]])/(SamplingData[[#Totals],[Winning Candidate]]-SamplingData[[#Totals],[Candidate 5]]), 0)</f>
        <v>2.237898321576259E-3</v>
      </c>
      <c r="O2060" s="100">
        <f>IF(AND(SamplingData[[#This Row],[Total]]&lt;&gt; 0, NOT(ISBLANK(SamplingData[[#This Row],[Candidate 6]]))),(SamplingData[[#This Row],[Total]]+SamplingData[[#This Row],[Winning Candidate]]-SamplingData[[#This Row],[Candidate 6]])/(SamplingData[[#Totals],[Winning Candidate]]-SamplingData[[#Totals],[Candidate 6]]), 0)</f>
        <v>2.2372452701716842E-3</v>
      </c>
      <c r="P2060" s="100">
        <f>MAX(SamplingData[[#This Row],[Error Bound (up) - Max. possible relative overstatement - Losing Candidate]:[Error Bound (up) - Max. possible relative overstatement - Candidate 6]])</f>
        <v>4.6545810877021065E-3</v>
      </c>
      <c r="Q2060" s="100">
        <f>IF(SamplingData[[#This Row],[Max Error Bound (up)]] = 0,0,SamplingData[[#This Row],[Max Error Bound (up)]]/SamplingData[[#Totals],[Max Error Bound (up)]])</f>
        <v>7.3666406916188319E-4</v>
      </c>
      <c r="R2060" s="101">
        <f>SUM($Q$5:Q2060)</f>
        <v>0.92264508494524999</v>
      </c>
      <c r="S2060" s="100" t="str">
        <f t="array" ref="S2060">IF(SamplingData[[#This Row],[up/U Selection Probability]] = 0, "Zero", TEXT(SamplingData[[#This Row],[Lower Range]], REPT("0",LEN('General Info'!$B$40))) &amp; " - " &amp; TEXT(SamplingData[[#This Row],[Upper Range]], REPT("0",LEN('General Info'!$B$40))))</f>
        <v>92191 - 92264</v>
      </c>
      <c r="T2060" s="100">
        <f>SamplingData[[#This Row],[Upper Range]]-SamplingData[[#This Row],[Span]]</f>
        <v>92190.842824272884</v>
      </c>
      <c r="U2060" s="100">
        <f>IF(ISNUMBER('General Info'!$B$40), ((SamplingData[[#This Row],[up/U Selection Probability]]) * 'General Info'!$B$40) - 1, 0)</f>
        <v>72.665670252119156</v>
      </c>
      <c r="V2060" s="100">
        <f>IF(ISNUMBER('General Info'!$B$40), (SamplingData[[#This Row],[Running (cumulative) sum]] * ('General Info'!$B$40 -'General Info'!$B$41 + 1)) + 'General Info'!$B$41 - 1, 0)</f>
        <v>92263.508494524998</v>
      </c>
      <c r="W2060" s="100" t="str">
        <f>IF(ISERROR(MATCH(SamplingData[[#This Row],[Batch by Type (p)]],SelectedPrecincts[Batch Name], 0)), "", INDEX(SelectedPrecincts[Draw], MATCH(SamplingData[[#This Row],[Batch by Type (p)]],SelectedPrecincts[Batch Name], 0)))</f>
        <v/>
      </c>
      <c r="X2060" s="102">
        <f>IF(COUNTIF(SelectedPrecincts[Batch Name],SamplingData[[#This Row],[Batch by Type (p)]]) &lt;&gt; 0, COUNTIF(SelectedPrecincts[Batch Name],SamplingData[[#This Row],[Batch by Type (p)]]), 0)</f>
        <v>0</v>
      </c>
    </row>
    <row r="2061" spans="1:24" ht="15" customHeight="1">
      <c r="A2061" s="18" t="s">
        <v>2237</v>
      </c>
      <c r="B2061" s="18">
        <v>10</v>
      </c>
      <c r="C2061" s="18">
        <v>5</v>
      </c>
      <c r="D2061" s="16">
        <v>1</v>
      </c>
      <c r="E2061" s="16">
        <v>3</v>
      </c>
      <c r="F2061" s="37">
        <v>0</v>
      </c>
      <c r="G2061" s="37">
        <v>0</v>
      </c>
      <c r="H2061" s="17">
        <v>0</v>
      </c>
      <c r="I2061" s="17">
        <v>0</v>
      </c>
      <c r="J2061" s="99">
        <f>SUM(SamplingData[[#This Row],[Losing Candidate]:[Under Votes]])</f>
        <v>19</v>
      </c>
      <c r="K2061" s="100">
        <f>IF(AND(SamplingData[[#This Row],[Total]]&lt;&gt; 0, NOT(ISBLANK(SamplingData[[#This Row],[Losing Candidate]]))),(SamplingData[[#This Row],[Total]]+SamplingData[[#This Row],[Winning Candidate]]-SamplingData[[#This Row],[Losing Candidate]])/(SamplingData[[#Totals],[Winning Candidate]]-SamplingData[[#Totals],[Losing Candidate]]), 0)</f>
        <v>8.5742283194512492E-4</v>
      </c>
      <c r="L2061" s="100">
        <f>IF(AND(SamplingData[[#This Row],[Total]]&lt;&gt; 0, NOT(ISBLANK(SamplingData[[#This Row],[Candidate 3]]))),(SamplingData[[#This Row],[Total]]+SamplingData[[#This Row],[Winning Candidate]]-SamplingData[[#This Row],[Candidate 3]])/(SamplingData[[#Totals],[Winning Candidate]]-SamplingData[[#Totals],[Candidate 3]]), 0)</f>
        <v>7.4200729102816406E-4</v>
      </c>
      <c r="M2061" s="100">
        <f>IF(AND(SamplingData[[#This Row],[Total]]&lt;&gt; 0, NOT(ISBLANK(SamplingData[[#This Row],[Candidate 4]]))),(SamplingData[[#This Row],[Total]]+SamplingData[[#This Row],[Winning Candidate]]-SamplingData[[#This Row],[Candidate 4]])/(SamplingData[[#Totals],[Winning Candidate]]-SamplingData[[#Totals],[Candidate 4]]), 0)</f>
        <v>6.1387354205033758E-4</v>
      </c>
      <c r="N2061" s="100">
        <f>IF(AND(SamplingData[[#This Row],[Total]]&lt;&gt; 0, NOT(ISBLANK(SamplingData[[#This Row],[Candidate 5]]))),(SamplingData[[#This Row],[Total]]+SamplingData[[#This Row],[Winning Candidate]]-SamplingData[[#This Row],[Candidate 5]])/(SamplingData[[#Totals],[Winning Candidate]]-SamplingData[[#Totals],[Candidate 5]]), 0)</f>
        <v>5.8379956215032843E-4</v>
      </c>
      <c r="O2061" s="100">
        <f>IF(AND(SamplingData[[#This Row],[Total]]&lt;&gt; 0, NOT(ISBLANK(SamplingData[[#This Row],[Candidate 6]]))),(SamplingData[[#This Row],[Total]]+SamplingData[[#This Row],[Winning Candidate]]-SamplingData[[#This Row],[Candidate 6]])/(SamplingData[[#Totals],[Winning Candidate]]-SamplingData[[#Totals],[Candidate 6]]), 0)</f>
        <v>5.8362920091435243E-4</v>
      </c>
      <c r="P2061" s="100">
        <f>MAX(SamplingData[[#This Row],[Error Bound (up) - Max. possible relative overstatement - Losing Candidate]:[Error Bound (up) - Max. possible relative overstatement - Candidate 6]])</f>
        <v>8.5742283194512492E-4</v>
      </c>
      <c r="Q2061" s="100">
        <f>IF(SamplingData[[#This Row],[Max Error Bound (up)]] = 0,0,SamplingData[[#This Row],[Max Error Bound (up)]]/SamplingData[[#Totals],[Max Error Bound (up)]])</f>
        <v>1.3570127589824165E-4</v>
      </c>
      <c r="R2061" s="101">
        <f>SUM($Q$5:Q2061)</f>
        <v>0.92278078622114823</v>
      </c>
      <c r="S2061" s="100" t="str">
        <f t="array" ref="S2061">IF(SamplingData[[#This Row],[up/U Selection Probability]] = 0, "Zero", TEXT(SamplingData[[#This Row],[Lower Range]], REPT("0",LEN('General Info'!$B$40))) &amp; " - " &amp; TEXT(SamplingData[[#This Row],[Upper Range]], REPT("0",LEN('General Info'!$B$40))))</f>
        <v>92265 - 92277</v>
      </c>
      <c r="T2061" s="100">
        <f>SamplingData[[#This Row],[Upper Range]]-SamplingData[[#This Row],[Span]]</f>
        <v>92264.508630226279</v>
      </c>
      <c r="U2061" s="100">
        <f>IF(ISNUMBER('General Info'!$B$40), ((SamplingData[[#This Row],[up/U Selection Probability]]) * 'General Info'!$B$40) - 1, 0)</f>
        <v>12.569991888548268</v>
      </c>
      <c r="V2061" s="100">
        <f>IF(ISNUMBER('General Info'!$B$40), (SamplingData[[#This Row],[Running (cumulative) sum]] * ('General Info'!$B$40 -'General Info'!$B$41 + 1)) + 'General Info'!$B$41 - 1, 0)</f>
        <v>92277.07862211483</v>
      </c>
      <c r="W2061" s="100" t="str">
        <f>IF(ISERROR(MATCH(SamplingData[[#This Row],[Batch by Type (p)]],SelectedPrecincts[Batch Name], 0)), "", INDEX(SelectedPrecincts[Draw], MATCH(SamplingData[[#This Row],[Batch by Type (p)]],SelectedPrecincts[Batch Name], 0)))</f>
        <v/>
      </c>
      <c r="X2061" s="102">
        <f>IF(COUNTIF(SelectedPrecincts[Batch Name],SamplingData[[#This Row],[Batch by Type (p)]]) &lt;&gt; 0, COUNTIF(SelectedPrecincts[Batch Name],SamplingData[[#This Row],[Batch by Type (p)]]), 0)</f>
        <v>0</v>
      </c>
    </row>
    <row r="2062" spans="1:24" ht="15" customHeight="1">
      <c r="A2062" s="18" t="s">
        <v>2238</v>
      </c>
      <c r="B2062" s="18">
        <v>1</v>
      </c>
      <c r="C2062" s="18">
        <v>4</v>
      </c>
      <c r="D2062" s="18">
        <v>1</v>
      </c>
      <c r="E2062" s="18">
        <v>0</v>
      </c>
      <c r="F2062" s="18">
        <v>0</v>
      </c>
      <c r="G2062" s="18">
        <v>1</v>
      </c>
      <c r="H2062" s="18">
        <v>0</v>
      </c>
      <c r="I2062" s="18">
        <v>0</v>
      </c>
      <c r="J2062" s="99">
        <f>SUM(SamplingData[[#This Row],[Losing Candidate]:[Under Votes]])</f>
        <v>7</v>
      </c>
      <c r="K2062"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6.1244487996080352E-4</v>
      </c>
      <c r="L2062" s="100">
        <f>IF(AND(SamplingData[[#This Row],[Total]]&lt;&gt; 0, NOT(ISBLANK(SamplingData[[#This Row],[Candidate 3]]))),(SamplingData[[#This Row],[Total]]+SamplingData[[#This Row],[Winning Candidate]]-SamplingData[[#This Row],[Candidate 3]])/(SamplingData[[#Totals],[Winning Candidate]]-SamplingData[[#Totals],[Candidate 3]]), 0)</f>
        <v>3.2261186566441915E-4</v>
      </c>
      <c r="M2062" s="100">
        <f>IF(AND(SamplingData[[#This Row],[Total]]&lt;&gt; 0, NOT(ISBLANK(SamplingData[[#This Row],[Candidate 4]]))),(SamplingData[[#This Row],[Total]]+SamplingData[[#This Row],[Winning Candidate]]-SamplingData[[#This Row],[Candidate 4]])/(SamplingData[[#Totals],[Winning Candidate]]-SamplingData[[#Totals],[Candidate 4]]), 0)</f>
        <v>3.2155280774065302E-4</v>
      </c>
      <c r="N2062" s="100">
        <f>IF(AND(SamplingData[[#This Row],[Total]]&lt;&gt; 0, NOT(ISBLANK(SamplingData[[#This Row],[Candidate 5]]))),(SamplingData[[#This Row],[Total]]+SamplingData[[#This Row],[Winning Candidate]]-SamplingData[[#This Row],[Candidate 5]])/(SamplingData[[#Totals],[Winning Candidate]]-SamplingData[[#Totals],[Candidate 5]]), 0)</f>
        <v>2.6757479931890053E-4</v>
      </c>
      <c r="O2062" s="100">
        <f>IF(AND(SamplingData[[#This Row],[Total]]&lt;&gt; 0, NOT(ISBLANK(SamplingData[[#This Row],[Candidate 6]]))),(SamplingData[[#This Row],[Total]]+SamplingData[[#This Row],[Winning Candidate]]-SamplingData[[#This Row],[Candidate 6]])/(SamplingData[[#Totals],[Winning Candidate]]-SamplingData[[#Totals],[Candidate 6]]), 0)</f>
        <v>2.431788337143135E-4</v>
      </c>
      <c r="P2062" s="100">
        <f>MAX(SamplingData[[#This Row],[Error Bound (up) - Max. possible relative overstatement - Losing Candidate]:[Error Bound (up) - Max. possible relative overstatement - Candidate 6]])</f>
        <v>6.1244487996080352E-4</v>
      </c>
      <c r="Q2062" s="100">
        <f>IF(SamplingData[[#This Row],[Max Error Bound (up)]] = 0,0,SamplingData[[#This Row],[Max Error Bound (up)]]/SamplingData[[#Totals],[Max Error Bound (up)]])</f>
        <v>9.6929482784458319E-5</v>
      </c>
      <c r="R2062" s="101">
        <f>SUM($Q$5:Q2062)</f>
        <v>0.92287771570393273</v>
      </c>
      <c r="S2062" s="100" t="str">
        <f t="array" ref="S2062">IF(SamplingData[[#This Row],[up/U Selection Probability]] = 0, "Zero", TEXT(SamplingData[[#This Row],[Lower Range]], REPT("0",LEN('General Info'!$B$40))) &amp; " - " &amp; TEXT(SamplingData[[#This Row],[Upper Range]], REPT("0",LEN('General Info'!$B$40))))</f>
        <v>92278 - 92287</v>
      </c>
      <c r="T2062" s="100">
        <f>SamplingData[[#This Row],[Upper Range]]-SamplingData[[#This Row],[Span]]</f>
        <v>92278.078719044308</v>
      </c>
      <c r="U2062" s="100">
        <f>IF(ISNUMBER('General Info'!$B$40), ((SamplingData[[#This Row],[up/U Selection Probability]]) * 'General Info'!$B$40) - 1, 0)</f>
        <v>8.6928513489630479</v>
      </c>
      <c r="V2062" s="100">
        <f>IF(ISNUMBER('General Info'!$B$40), (SamplingData[[#This Row],[Running (cumulative) sum]] * ('General Info'!$B$40 -'General Info'!$B$41 + 1)) + 'General Info'!$B$41 - 1, 0)</f>
        <v>92286.771570393277</v>
      </c>
      <c r="W2062" s="100" t="str">
        <f>IF(ISERROR(MATCH(SamplingData[[#This Row],[Batch by Type (p)]],SelectedPrecincts[Batch Name], 0)), "", INDEX(SelectedPrecincts[Draw], MATCH(SamplingData[[#This Row],[Batch by Type (p)]],SelectedPrecincts[Batch Name], 0)))</f>
        <v/>
      </c>
      <c r="X2062" s="102">
        <f>IF(COUNTIF(SelectedPrecincts[Batch Name],SamplingData[[#This Row],[Batch by Type (p)]]) &lt;&gt; 0, COUNTIF(SelectedPrecincts[Batch Name],SamplingData[[#This Row],[Batch by Type (p)]]), 0)</f>
        <v>0</v>
      </c>
    </row>
    <row r="2063" spans="1:24" ht="15" customHeight="1">
      <c r="A2063" s="18" t="s">
        <v>2239</v>
      </c>
      <c r="B2063" s="18">
        <v>16</v>
      </c>
      <c r="C2063" s="18">
        <v>20</v>
      </c>
      <c r="D2063" s="16">
        <v>5</v>
      </c>
      <c r="E2063" s="16">
        <v>3</v>
      </c>
      <c r="F2063" s="37">
        <v>0</v>
      </c>
      <c r="G2063" s="37">
        <v>0</v>
      </c>
      <c r="H2063" s="17">
        <v>0</v>
      </c>
      <c r="I2063" s="17">
        <v>1</v>
      </c>
      <c r="J2063" s="99">
        <f>SUM(SamplingData[[#This Row],[Losing Candidate]:[Under Votes]])</f>
        <v>45</v>
      </c>
      <c r="K2063"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2063" s="100">
        <f>IF(AND(SamplingData[[#This Row],[Total]]&lt;&gt; 0, NOT(ISBLANK(SamplingData[[#This Row],[Candidate 3]]))),(SamplingData[[#This Row],[Total]]+SamplingData[[#This Row],[Winning Candidate]]-SamplingData[[#This Row],[Candidate 3]])/(SamplingData[[#Totals],[Winning Candidate]]-SamplingData[[#Totals],[Candidate 3]]), 0)</f>
        <v>1.9356711939865149E-3</v>
      </c>
      <c r="M2063" s="100">
        <f>IF(AND(SamplingData[[#This Row],[Total]]&lt;&gt; 0, NOT(ISBLANK(SamplingData[[#This Row],[Candidate 4]]))),(SamplingData[[#This Row],[Total]]+SamplingData[[#This Row],[Winning Candidate]]-SamplingData[[#This Row],[Candidate 4]])/(SamplingData[[#Totals],[Winning Candidate]]-SamplingData[[#Totals],[Candidate 4]]), 0)</f>
        <v>1.8123885527200445E-3</v>
      </c>
      <c r="N2063" s="100">
        <f>IF(AND(SamplingData[[#This Row],[Total]]&lt;&gt; 0, NOT(ISBLANK(SamplingData[[#This Row],[Candidate 5]]))),(SamplingData[[#This Row],[Total]]+SamplingData[[#This Row],[Winning Candidate]]-SamplingData[[#This Row],[Candidate 5]])/(SamplingData[[#Totals],[Winning Candidate]]-SamplingData[[#Totals],[Candidate 5]]), 0)</f>
        <v>1.5811238141571393E-3</v>
      </c>
      <c r="O2063" s="100">
        <f>IF(AND(SamplingData[[#This Row],[Total]]&lt;&gt; 0, NOT(ISBLANK(SamplingData[[#This Row],[Candidate 6]]))),(SamplingData[[#This Row],[Total]]+SamplingData[[#This Row],[Winning Candidate]]-SamplingData[[#This Row],[Candidate 6]])/(SamplingData[[#Totals],[Winning Candidate]]-SamplingData[[#Totals],[Candidate 6]]), 0)</f>
        <v>1.5806624191430378E-3</v>
      </c>
      <c r="P2063" s="100">
        <f>MAX(SamplingData[[#This Row],[Error Bound (up) - Max. possible relative overstatement - Losing Candidate]:[Error Bound (up) - Max. possible relative overstatement - Candidate 6]])</f>
        <v>3.0009799118079373E-3</v>
      </c>
      <c r="Q2063" s="100">
        <f>IF(SamplingData[[#This Row],[Max Error Bound (up)]] = 0,0,SamplingData[[#This Row],[Max Error Bound (up)]]/SamplingData[[#Totals],[Max Error Bound (up)]])</f>
        <v>4.7495446564384573E-4</v>
      </c>
      <c r="R2063" s="101">
        <f>SUM($Q$5:Q2063)</f>
        <v>0.92335267016957656</v>
      </c>
      <c r="S2063" s="100" t="str">
        <f t="array" ref="S2063">IF(SamplingData[[#This Row],[up/U Selection Probability]] = 0, "Zero", TEXT(SamplingData[[#This Row],[Lower Range]], REPT("0",LEN('General Info'!$B$40))) &amp; " - " &amp; TEXT(SamplingData[[#This Row],[Upper Range]], REPT("0",LEN('General Info'!$B$40))))</f>
        <v>92288 - 92334</v>
      </c>
      <c r="T2063" s="100">
        <f>SamplingData[[#This Row],[Upper Range]]-SamplingData[[#This Row],[Span]]</f>
        <v>92287.772045347738</v>
      </c>
      <c r="U2063" s="100">
        <f>IF(ISNUMBER('General Info'!$B$40), ((SamplingData[[#This Row],[up/U Selection Probability]]) * 'General Info'!$B$40) - 1, 0)</f>
        <v>46.494971609918927</v>
      </c>
      <c r="V2063" s="100">
        <f>IF(ISNUMBER('General Info'!$B$40), (SamplingData[[#This Row],[Running (cumulative) sum]] * ('General Info'!$B$40 -'General Info'!$B$41 + 1)) + 'General Info'!$B$41 - 1, 0)</f>
        <v>92334.26701695766</v>
      </c>
      <c r="W2063" s="100" t="str">
        <f>IF(ISERROR(MATCH(SamplingData[[#This Row],[Batch by Type (p)]],SelectedPrecincts[Batch Name], 0)), "", INDEX(SelectedPrecincts[Draw], MATCH(SamplingData[[#This Row],[Batch by Type (p)]],SelectedPrecincts[Batch Name], 0)))</f>
        <v/>
      </c>
      <c r="X2063" s="102">
        <f>IF(COUNTIF(SelectedPrecincts[Batch Name],SamplingData[[#This Row],[Batch by Type (p)]]) &lt;&gt; 0, COUNTIF(SelectedPrecincts[Batch Name],SamplingData[[#This Row],[Batch by Type (p)]]), 0)</f>
        <v>0</v>
      </c>
    </row>
    <row r="2064" spans="1:24" ht="15" customHeight="1">
      <c r="A2064" s="18" t="s">
        <v>2240</v>
      </c>
      <c r="B2064" s="18">
        <v>0</v>
      </c>
      <c r="C2064" s="18">
        <v>7</v>
      </c>
      <c r="D2064" s="18">
        <v>2</v>
      </c>
      <c r="E2064" s="18">
        <v>1</v>
      </c>
      <c r="F2064" s="18">
        <v>0</v>
      </c>
      <c r="G2064" s="18">
        <v>0</v>
      </c>
      <c r="H2064" s="18">
        <v>0</v>
      </c>
      <c r="I2064" s="18">
        <v>2</v>
      </c>
      <c r="J2064" s="99">
        <f>SUM(SamplingData[[#This Row],[Losing Candidate]:[Under Votes]])</f>
        <v>12</v>
      </c>
      <c r="K2064" s="100">
        <f>IF(AND(SamplingData[[#This Row],[Total]]&lt;&gt; 0, NOT(ISBLANK(SamplingData[[#This Row],[Losing Candidate]]))),(SamplingData[[#This Row],[Total]]+SamplingData[[#This Row],[Winning Candidate]]-SamplingData[[#This Row],[Losing Candidate]])/(SamplingData[[#Totals],[Winning Candidate]]-SamplingData[[#Totals],[Losing Candidate]]), 0)</f>
        <v>1.1636452719255266E-3</v>
      </c>
      <c r="L2064" s="100">
        <f>IF(AND(SamplingData[[#This Row],[Total]]&lt;&gt; 0, NOT(ISBLANK(SamplingData[[#This Row],[Candidate 3]]))),(SamplingData[[#This Row],[Total]]+SamplingData[[#This Row],[Winning Candidate]]-SamplingData[[#This Row],[Candidate 3]])/(SamplingData[[#Totals],[Winning Candidate]]-SamplingData[[#Totals],[Candidate 3]]), 0)</f>
        <v>5.4844017162951255E-4</v>
      </c>
      <c r="M2064" s="100">
        <f>IF(AND(SamplingData[[#This Row],[Total]]&lt;&gt; 0, NOT(ISBLANK(SamplingData[[#This Row],[Candidate 4]]))),(SamplingData[[#This Row],[Total]]+SamplingData[[#This Row],[Winning Candidate]]-SamplingData[[#This Row],[Candidate 4]])/(SamplingData[[#Totals],[Winning Candidate]]-SamplingData[[#Totals],[Candidate 4]]), 0)</f>
        <v>5.2617732175743229E-4</v>
      </c>
      <c r="N2064" s="100">
        <f>IF(AND(SamplingData[[#This Row],[Total]]&lt;&gt; 0, NOT(ISBLANK(SamplingData[[#This Row],[Candidate 5]]))),(SamplingData[[#This Row],[Total]]+SamplingData[[#This Row],[Winning Candidate]]-SamplingData[[#This Row],[Candidate 5]])/(SamplingData[[#Totals],[Winning Candidate]]-SamplingData[[#Totals],[Candidate 5]]), 0)</f>
        <v>4.6217465336900997E-4</v>
      </c>
      <c r="O2064" s="100">
        <f>IF(AND(SamplingData[[#This Row],[Total]]&lt;&gt; 0, NOT(ISBLANK(SamplingData[[#This Row],[Candidate 6]]))),(SamplingData[[#This Row],[Total]]+SamplingData[[#This Row],[Winning Candidate]]-SamplingData[[#This Row],[Candidate 6]])/(SamplingData[[#Totals],[Winning Candidate]]-SamplingData[[#Totals],[Candidate 6]]), 0)</f>
        <v>4.6203978405719566E-4</v>
      </c>
      <c r="P2064" s="100">
        <f>MAX(SamplingData[[#This Row],[Error Bound (up) - Max. possible relative overstatement - Losing Candidate]:[Error Bound (up) - Max. possible relative overstatement - Candidate 6]])</f>
        <v>1.1636452719255266E-3</v>
      </c>
      <c r="Q2064" s="100">
        <f>IF(SamplingData[[#This Row],[Max Error Bound (up)]] = 0,0,SamplingData[[#This Row],[Max Error Bound (up)]]/SamplingData[[#Totals],[Max Error Bound (up)]])</f>
        <v>1.841660172904708E-4</v>
      </c>
      <c r="R2064" s="101">
        <f>SUM($Q$5:Q2064)</f>
        <v>0.92353683618686699</v>
      </c>
      <c r="S2064" s="100" t="str">
        <f t="array" ref="S2064">IF(SamplingData[[#This Row],[up/U Selection Probability]] = 0, "Zero", TEXT(SamplingData[[#This Row],[Lower Range]], REPT("0",LEN('General Info'!$B$40))) &amp; " - " &amp; TEXT(SamplingData[[#This Row],[Upper Range]], REPT("0",LEN('General Info'!$B$40))))</f>
        <v>92335 - 92353</v>
      </c>
      <c r="T2064" s="100">
        <f>SamplingData[[#This Row],[Upper Range]]-SamplingData[[#This Row],[Span]]</f>
        <v>92335.267201123672</v>
      </c>
      <c r="U2064" s="100">
        <f>IF(ISNUMBER('General Info'!$B$40), ((SamplingData[[#This Row],[up/U Selection Probability]]) * 'General Info'!$B$40) - 1, 0)</f>
        <v>17.416417563029789</v>
      </c>
      <c r="V2064" s="100">
        <f>IF(ISNUMBER('General Info'!$B$40), (SamplingData[[#This Row],[Running (cumulative) sum]] * ('General Info'!$B$40 -'General Info'!$B$41 + 1)) + 'General Info'!$B$41 - 1, 0)</f>
        <v>92352.6836186867</v>
      </c>
      <c r="W2064" s="100" t="str">
        <f>IF(ISERROR(MATCH(SamplingData[[#This Row],[Batch by Type (p)]],SelectedPrecincts[Batch Name], 0)), "", INDEX(SelectedPrecincts[Draw], MATCH(SamplingData[[#This Row],[Batch by Type (p)]],SelectedPrecincts[Batch Name], 0)))</f>
        <v/>
      </c>
      <c r="X2064" s="102">
        <f>IF(COUNTIF(SelectedPrecincts[Batch Name],SamplingData[[#This Row],[Batch by Type (p)]]) &lt;&gt; 0, COUNTIF(SelectedPrecincts[Batch Name],SamplingData[[#This Row],[Batch by Type (p)]]), 0)</f>
        <v>0</v>
      </c>
    </row>
    <row r="2065" spans="1:24" ht="15" customHeight="1">
      <c r="A2065" s="18" t="s">
        <v>2241</v>
      </c>
      <c r="B2065" s="18">
        <v>7</v>
      </c>
      <c r="C2065" s="18">
        <v>16</v>
      </c>
      <c r="D2065" s="16">
        <v>2</v>
      </c>
      <c r="E2065" s="16">
        <v>5</v>
      </c>
      <c r="F2065" s="37">
        <v>1</v>
      </c>
      <c r="G2065" s="37">
        <v>0</v>
      </c>
      <c r="H2065" s="17">
        <v>0</v>
      </c>
      <c r="I2065" s="17">
        <v>1</v>
      </c>
      <c r="J2065" s="99">
        <f>SUM(SamplingData[[#This Row],[Losing Candidate]:[Under Votes]])</f>
        <v>32</v>
      </c>
      <c r="K2065" s="100">
        <f>IF(AND(SamplingData[[#This Row],[Total]]&lt;&gt; 0, NOT(ISBLANK(SamplingData[[#This Row],[Losing Candidate]]))),(SamplingData[[#This Row],[Total]]+SamplingData[[#This Row],[Winning Candidate]]-SamplingData[[#This Row],[Losing Candidate]])/(SamplingData[[#Totals],[Winning Candidate]]-SamplingData[[#Totals],[Losing Candidate]]), 0)</f>
        <v>2.5110240078392945E-3</v>
      </c>
      <c r="L2065" s="100">
        <f>IF(AND(SamplingData[[#This Row],[Total]]&lt;&gt; 0, NOT(ISBLANK(SamplingData[[#This Row],[Candidate 3]]))),(SamplingData[[#This Row],[Total]]+SamplingData[[#This Row],[Winning Candidate]]-SamplingData[[#This Row],[Candidate 3]])/(SamplingData[[#Totals],[Winning Candidate]]-SamplingData[[#Totals],[Candidate 3]]), 0)</f>
        <v>1.4840145820563281E-3</v>
      </c>
      <c r="M2065" s="100">
        <f>IF(AND(SamplingData[[#This Row],[Total]]&lt;&gt; 0, NOT(ISBLANK(SamplingData[[#This Row],[Candidate 4]]))),(SamplingData[[#This Row],[Total]]+SamplingData[[#This Row],[Winning Candidate]]-SamplingData[[#This Row],[Candidate 4]])/(SamplingData[[#Totals],[Winning Candidate]]-SamplingData[[#Totals],[Candidate 4]]), 0)</f>
        <v>1.2569791575316436E-3</v>
      </c>
      <c r="N2065" s="100">
        <f>IF(AND(SamplingData[[#This Row],[Total]]&lt;&gt; 0, NOT(ISBLANK(SamplingData[[#This Row],[Candidate 5]]))),(SamplingData[[#This Row],[Total]]+SamplingData[[#This Row],[Winning Candidate]]-SamplingData[[#This Row],[Candidate 5]])/(SamplingData[[#Totals],[Winning Candidate]]-SamplingData[[#Totals],[Candidate 5]]), 0)</f>
        <v>1.1432741425443931E-3</v>
      </c>
      <c r="O2065" s="100">
        <f>IF(AND(SamplingData[[#This Row],[Total]]&lt;&gt; 0, NOT(ISBLANK(SamplingData[[#This Row],[Candidate 6]]))),(SamplingData[[#This Row],[Total]]+SamplingData[[#This Row],[Winning Candidate]]-SamplingData[[#This Row],[Candidate 6]])/(SamplingData[[#Totals],[Winning Candidate]]-SamplingData[[#Totals],[Candidate 6]]), 0)</f>
        <v>1.1672584018287049E-3</v>
      </c>
      <c r="P2065" s="100">
        <f>MAX(SamplingData[[#This Row],[Error Bound (up) - Max. possible relative overstatement - Losing Candidate]:[Error Bound (up) - Max. possible relative overstatement - Candidate 6]])</f>
        <v>2.5110240078392945E-3</v>
      </c>
      <c r="Q2065" s="100">
        <f>IF(SamplingData[[#This Row],[Max Error Bound (up)]] = 0,0,SamplingData[[#This Row],[Max Error Bound (up)]]/SamplingData[[#Totals],[Max Error Bound (up)]])</f>
        <v>3.9741087941627912E-4</v>
      </c>
      <c r="R2065" s="101">
        <f>SUM($Q$5:Q2065)</f>
        <v>0.92393424706628324</v>
      </c>
      <c r="S2065" s="100" t="str">
        <f t="array" ref="S2065">IF(SamplingData[[#This Row],[up/U Selection Probability]] = 0, "Zero", TEXT(SamplingData[[#This Row],[Lower Range]], REPT("0",LEN('General Info'!$B$40))) &amp; " - " &amp; TEXT(SamplingData[[#This Row],[Upper Range]], REPT("0",LEN('General Info'!$B$40))))</f>
        <v>92354 - 92392</v>
      </c>
      <c r="T2065" s="100">
        <f>SamplingData[[#This Row],[Upper Range]]-SamplingData[[#This Row],[Span]]</f>
        <v>92353.684016097584</v>
      </c>
      <c r="U2065" s="100">
        <f>IF(ISNUMBER('General Info'!$B$40), ((SamplingData[[#This Row],[up/U Selection Probability]]) * 'General Info'!$B$40) - 1, 0)</f>
        <v>38.740690530748495</v>
      </c>
      <c r="V2065" s="100">
        <f>IF(ISNUMBER('General Info'!$B$40), (SamplingData[[#This Row],[Running (cumulative) sum]] * ('General Info'!$B$40 -'General Info'!$B$41 + 1)) + 'General Info'!$B$41 - 1, 0)</f>
        <v>92392.424706628328</v>
      </c>
      <c r="W2065" s="100" t="str">
        <f>IF(ISERROR(MATCH(SamplingData[[#This Row],[Batch by Type (p)]],SelectedPrecincts[Batch Name], 0)), "", INDEX(SelectedPrecincts[Draw], MATCH(SamplingData[[#This Row],[Batch by Type (p)]],SelectedPrecincts[Batch Name], 0)))</f>
        <v/>
      </c>
      <c r="X2065" s="102">
        <f>IF(COUNTIF(SelectedPrecincts[Batch Name],SamplingData[[#This Row],[Batch by Type (p)]]) &lt;&gt; 0, COUNTIF(SelectedPrecincts[Batch Name],SamplingData[[#This Row],[Batch by Type (p)]]), 0)</f>
        <v>0</v>
      </c>
    </row>
    <row r="2066" spans="1:24" ht="15" customHeight="1">
      <c r="A2066" s="18" t="s">
        <v>2242</v>
      </c>
      <c r="B2066" s="18">
        <v>16</v>
      </c>
      <c r="C2066" s="18">
        <v>19</v>
      </c>
      <c r="D2066" s="18">
        <v>4</v>
      </c>
      <c r="E2066" s="18">
        <v>1</v>
      </c>
      <c r="F2066" s="18">
        <v>0</v>
      </c>
      <c r="G2066" s="18">
        <v>0</v>
      </c>
      <c r="H2066" s="18">
        <v>0</v>
      </c>
      <c r="I2066" s="18">
        <v>2</v>
      </c>
      <c r="J2066" s="99">
        <f>SUM(SamplingData[[#This Row],[Losing Candidate]:[Under Votes]])</f>
        <v>42</v>
      </c>
      <c r="K2066"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2066" s="100">
        <f>IF(AND(SamplingData[[#This Row],[Total]]&lt;&gt; 0, NOT(ISBLANK(SamplingData[[#This Row],[Candidate 3]]))),(SamplingData[[#This Row],[Total]]+SamplingData[[#This Row],[Winning Candidate]]-SamplingData[[#This Row],[Candidate 3]])/(SamplingData[[#Totals],[Winning Candidate]]-SamplingData[[#Totals],[Candidate 3]]), 0)</f>
        <v>1.8388876342871892E-3</v>
      </c>
      <c r="M2066" s="100">
        <f>IF(AND(SamplingData[[#This Row],[Total]]&lt;&gt; 0, NOT(ISBLANK(SamplingData[[#This Row],[Candidate 4]]))),(SamplingData[[#This Row],[Total]]+SamplingData[[#This Row],[Winning Candidate]]-SamplingData[[#This Row],[Candidate 4]])/(SamplingData[[#Totals],[Winning Candidate]]-SamplingData[[#Totals],[Candidate 4]]), 0)</f>
        <v>1.7539244058581076E-3</v>
      </c>
      <c r="N2066" s="100">
        <f>IF(AND(SamplingData[[#This Row],[Total]]&lt;&gt; 0, NOT(ISBLANK(SamplingData[[#This Row],[Candidate 5]]))),(SamplingData[[#This Row],[Total]]+SamplingData[[#This Row],[Winning Candidate]]-SamplingData[[#This Row],[Candidate 5]])/(SamplingData[[#Totals],[Winning Candidate]]-SamplingData[[#Totals],[Candidate 5]]), 0)</f>
        <v>1.4838238871320846E-3</v>
      </c>
      <c r="O2066" s="100">
        <f>IF(AND(SamplingData[[#This Row],[Total]]&lt;&gt; 0, NOT(ISBLANK(SamplingData[[#This Row],[Candidate 6]]))),(SamplingData[[#This Row],[Total]]+SamplingData[[#This Row],[Winning Candidate]]-SamplingData[[#This Row],[Candidate 6]])/(SamplingData[[#Totals],[Winning Candidate]]-SamplingData[[#Totals],[Candidate 6]]), 0)</f>
        <v>1.4833908856573125E-3</v>
      </c>
      <c r="P2066" s="100">
        <f>MAX(SamplingData[[#This Row],[Error Bound (up) - Max. possible relative overstatement - Losing Candidate]:[Error Bound (up) - Max. possible relative overstatement - Candidate 6]])</f>
        <v>2.7560019598236157E-3</v>
      </c>
      <c r="Q2066" s="100">
        <f>IF(SamplingData[[#This Row],[Max Error Bound (up)]] = 0,0,SamplingData[[#This Row],[Max Error Bound (up)]]/SamplingData[[#Totals],[Max Error Bound (up)]])</f>
        <v>4.3618267253006237E-4</v>
      </c>
      <c r="R2066" s="101">
        <f>SUM($Q$5:Q2066)</f>
        <v>0.92437042973881334</v>
      </c>
      <c r="S2066" s="100" t="str">
        <f t="array" ref="S2066">IF(SamplingData[[#This Row],[up/U Selection Probability]] = 0, "Zero", TEXT(SamplingData[[#This Row],[Lower Range]], REPT("0",LEN('General Info'!$B$40))) &amp; " - " &amp; TEXT(SamplingData[[#This Row],[Upper Range]], REPT("0",LEN('General Info'!$B$40))))</f>
        <v>92393 - 92436</v>
      </c>
      <c r="T2066" s="100">
        <f>SamplingData[[#This Row],[Upper Range]]-SamplingData[[#This Row],[Span]]</f>
        <v>92393.425142811</v>
      </c>
      <c r="U2066" s="100">
        <f>IF(ISNUMBER('General Info'!$B$40), ((SamplingData[[#This Row],[up/U Selection Probability]]) * 'General Info'!$B$40) - 1, 0)</f>
        <v>42.617831070333708</v>
      </c>
      <c r="V2066" s="100">
        <f>IF(ISNUMBER('General Info'!$B$40), (SamplingData[[#This Row],[Running (cumulative) sum]] * ('General Info'!$B$40 -'General Info'!$B$41 + 1)) + 'General Info'!$B$41 - 1, 0)</f>
        <v>92436.04297388134</v>
      </c>
      <c r="W2066" s="100" t="str">
        <f>IF(ISERROR(MATCH(SamplingData[[#This Row],[Batch by Type (p)]],SelectedPrecincts[Batch Name], 0)), "", INDEX(SelectedPrecincts[Draw], MATCH(SamplingData[[#This Row],[Batch by Type (p)]],SelectedPrecincts[Batch Name], 0)))</f>
        <v/>
      </c>
      <c r="X2066" s="102">
        <f>IF(COUNTIF(SelectedPrecincts[Batch Name],SamplingData[[#This Row],[Batch by Type (p)]]) &lt;&gt; 0, COUNTIF(SelectedPrecincts[Batch Name],SamplingData[[#This Row],[Batch by Type (p)]]), 0)</f>
        <v>0</v>
      </c>
    </row>
    <row r="2067" spans="1:24" ht="15" customHeight="1">
      <c r="A2067" s="18" t="s">
        <v>2243</v>
      </c>
      <c r="B2067" s="18">
        <v>18</v>
      </c>
      <c r="C2067" s="18">
        <v>52</v>
      </c>
      <c r="D2067" s="16">
        <v>5</v>
      </c>
      <c r="E2067" s="16">
        <v>6</v>
      </c>
      <c r="F2067" s="37">
        <v>0</v>
      </c>
      <c r="G2067" s="37">
        <v>0</v>
      </c>
      <c r="H2067" s="17">
        <v>0</v>
      </c>
      <c r="I2067" s="17">
        <v>0</v>
      </c>
      <c r="J2067" s="99">
        <f>SUM(SamplingData[[#This Row],[Losing Candidate]:[Under Votes]])</f>
        <v>81</v>
      </c>
      <c r="K2067" s="100">
        <f>IF(AND(SamplingData[[#This Row],[Total]]&lt;&gt; 0, NOT(ISBLANK(SamplingData[[#This Row],[Losing Candidate]]))),(SamplingData[[#This Row],[Total]]+SamplingData[[#This Row],[Winning Candidate]]-SamplingData[[#This Row],[Losing Candidate]])/(SamplingData[[#Totals],[Winning Candidate]]-SamplingData[[#Totals],[Losing Candidate]]), 0)</f>
        <v>7.0431161195492406E-3</v>
      </c>
      <c r="L2067" s="100">
        <f>IF(AND(SamplingData[[#This Row],[Total]]&lt;&gt; 0, NOT(ISBLANK(SamplingData[[#This Row],[Candidate 3]]))),(SamplingData[[#This Row],[Total]]+SamplingData[[#This Row],[Winning Candidate]]-SamplingData[[#This Row],[Candidate 3]])/(SamplingData[[#Totals],[Winning Candidate]]-SamplingData[[#Totals],[Candidate 3]]), 0)</f>
        <v>4.1294318805045653E-3</v>
      </c>
      <c r="M2067" s="100">
        <f>IF(AND(SamplingData[[#This Row],[Total]]&lt;&gt; 0, NOT(ISBLANK(SamplingData[[#This Row],[Candidate 4]]))),(SamplingData[[#This Row],[Total]]+SamplingData[[#This Row],[Winning Candidate]]-SamplingData[[#This Row],[Candidate 4]])/(SamplingData[[#Totals],[Winning Candidate]]-SamplingData[[#Totals],[Candidate 4]]), 0)</f>
        <v>3.7124733257329944E-3</v>
      </c>
      <c r="N2067" s="100">
        <f>IF(AND(SamplingData[[#This Row],[Total]]&lt;&gt; 0, NOT(ISBLANK(SamplingData[[#This Row],[Candidate 5]]))),(SamplingData[[#This Row],[Total]]+SamplingData[[#This Row],[Winning Candidate]]-SamplingData[[#This Row],[Candidate 5]])/(SamplingData[[#Totals],[Winning Candidate]]-SamplingData[[#Totals],[Candidate 5]]), 0)</f>
        <v>3.2352225735830698E-3</v>
      </c>
      <c r="O2067" s="100">
        <f>IF(AND(SamplingData[[#This Row],[Total]]&lt;&gt; 0, NOT(ISBLANK(SamplingData[[#This Row],[Candidate 6]]))),(SamplingData[[#This Row],[Total]]+SamplingData[[#This Row],[Winning Candidate]]-SamplingData[[#This Row],[Candidate 6]])/(SamplingData[[#Totals],[Winning Candidate]]-SamplingData[[#Totals],[Candidate 6]]), 0)</f>
        <v>3.2342784884003698E-3</v>
      </c>
      <c r="P2067" s="100">
        <f>MAX(SamplingData[[#This Row],[Error Bound (up) - Max. possible relative overstatement - Losing Candidate]:[Error Bound (up) - Max. possible relative overstatement - Candidate 6]])</f>
        <v>7.0431161195492406E-3</v>
      </c>
      <c r="Q2067" s="100">
        <f>IF(SamplingData[[#This Row],[Max Error Bound (up)]] = 0,0,SamplingData[[#This Row],[Max Error Bound (up)]]/SamplingData[[#Totals],[Max Error Bound (up)]])</f>
        <v>1.1146890520212706E-3</v>
      </c>
      <c r="R2067" s="101">
        <f>SUM($Q$5:Q2067)</f>
        <v>0.92548511879083462</v>
      </c>
      <c r="S2067" s="100" t="str">
        <f t="array" ref="S2067">IF(SamplingData[[#This Row],[up/U Selection Probability]] = 0, "Zero", TEXT(SamplingData[[#This Row],[Lower Range]], REPT("0",LEN('General Info'!$B$40))) &amp; " - " &amp; TEXT(SamplingData[[#This Row],[Upper Range]], REPT("0",LEN('General Info'!$B$40))))</f>
        <v>92437 - 92548</v>
      </c>
      <c r="T2067" s="100">
        <f>SamplingData[[#This Row],[Upper Range]]-SamplingData[[#This Row],[Span]]</f>
        <v>92437.044088570387</v>
      </c>
      <c r="U2067" s="100">
        <f>IF(ISNUMBER('General Info'!$B$40), ((SamplingData[[#This Row],[up/U Selection Probability]]) * 'General Info'!$B$40) - 1, 0)</f>
        <v>110.46779051307504</v>
      </c>
      <c r="V2067" s="100">
        <f>IF(ISNUMBER('General Info'!$B$40), (SamplingData[[#This Row],[Running (cumulative) sum]] * ('General Info'!$B$40 -'General Info'!$B$41 + 1)) + 'General Info'!$B$41 - 1, 0)</f>
        <v>92547.511879083468</v>
      </c>
      <c r="W2067" s="100" t="str">
        <f>IF(ISERROR(MATCH(SamplingData[[#This Row],[Batch by Type (p)]],SelectedPrecincts[Batch Name], 0)), "", INDEX(SelectedPrecincts[Draw], MATCH(SamplingData[[#This Row],[Batch by Type (p)]],SelectedPrecincts[Batch Name], 0)))</f>
        <v/>
      </c>
      <c r="X2067" s="102">
        <f>IF(COUNTIF(SelectedPrecincts[Batch Name],SamplingData[[#This Row],[Batch by Type (p)]]) &lt;&gt; 0, COUNTIF(SelectedPrecincts[Batch Name],SamplingData[[#This Row],[Batch by Type (p)]]), 0)</f>
        <v>0</v>
      </c>
    </row>
    <row r="2068" spans="1:24" ht="15" customHeight="1">
      <c r="A2068" s="18" t="s">
        <v>2244</v>
      </c>
      <c r="B2068" s="18">
        <v>13</v>
      </c>
      <c r="C2068" s="18">
        <v>22</v>
      </c>
      <c r="D2068" s="18">
        <v>3</v>
      </c>
      <c r="E2068" s="18">
        <v>1</v>
      </c>
      <c r="F2068" s="18">
        <v>0</v>
      </c>
      <c r="G2068" s="18">
        <v>0</v>
      </c>
      <c r="H2068" s="18">
        <v>0</v>
      </c>
      <c r="I2068" s="18">
        <v>0</v>
      </c>
      <c r="J2068" s="99">
        <f>SUM(SamplingData[[#This Row],[Losing Candidate]:[Under Votes]])</f>
        <v>39</v>
      </c>
      <c r="K2068" s="100">
        <f>IF(AND(SamplingData[[#This Row],[Total]]&lt;&gt; 0, NOT(ISBLANK(SamplingData[[#This Row],[Losing Candidate]]))),(SamplingData[[#This Row],[Total]]+SamplingData[[#This Row],[Winning Candidate]]-SamplingData[[#This Row],[Losing Candidate]])/(SamplingData[[#Totals],[Winning Candidate]]-SamplingData[[#Totals],[Losing Candidate]]), 0)</f>
        <v>2.9397354238118569E-3</v>
      </c>
      <c r="L2068" s="100">
        <f>IF(AND(SamplingData[[#This Row],[Total]]&lt;&gt; 0, NOT(ISBLANK(SamplingData[[#This Row],[Candidate 3]]))),(SamplingData[[#This Row],[Total]]+SamplingData[[#This Row],[Winning Candidate]]-SamplingData[[#This Row],[Candidate 3]])/(SamplingData[[#Totals],[Winning Candidate]]-SamplingData[[#Totals],[Candidate 3]]), 0)</f>
        <v>1.8711488208536309E-3</v>
      </c>
      <c r="M2068" s="100">
        <f>IF(AND(SamplingData[[#This Row],[Total]]&lt;&gt; 0, NOT(ISBLANK(SamplingData[[#This Row],[Candidate 4]]))),(SamplingData[[#This Row],[Total]]+SamplingData[[#This Row],[Winning Candidate]]-SamplingData[[#This Row],[Candidate 4]])/(SamplingData[[#Totals],[Winning Candidate]]-SamplingData[[#Totals],[Candidate 4]]), 0)</f>
        <v>1.7539244058581076E-3</v>
      </c>
      <c r="N2068" s="100">
        <f>IF(AND(SamplingData[[#This Row],[Total]]&lt;&gt; 0, NOT(ISBLANK(SamplingData[[#This Row],[Candidate 5]]))),(SamplingData[[#This Row],[Total]]+SamplingData[[#This Row],[Winning Candidate]]-SamplingData[[#This Row],[Candidate 5]])/(SamplingData[[#Totals],[Winning Candidate]]-SamplingData[[#Totals],[Candidate 5]]), 0)</f>
        <v>1.4838238871320846E-3</v>
      </c>
      <c r="O2068" s="100">
        <f>IF(AND(SamplingData[[#This Row],[Total]]&lt;&gt; 0, NOT(ISBLANK(SamplingData[[#This Row],[Candidate 6]]))),(SamplingData[[#This Row],[Total]]+SamplingData[[#This Row],[Winning Candidate]]-SamplingData[[#This Row],[Candidate 6]])/(SamplingData[[#Totals],[Winning Candidate]]-SamplingData[[#Totals],[Candidate 6]]), 0)</f>
        <v>1.4833908856573125E-3</v>
      </c>
      <c r="P2068" s="100">
        <f>MAX(SamplingData[[#This Row],[Error Bound (up) - Max. possible relative overstatement - Losing Candidate]:[Error Bound (up) - Max. possible relative overstatement - Candidate 6]])</f>
        <v>2.9397354238118569E-3</v>
      </c>
      <c r="Q2068" s="100">
        <f>IF(SamplingData[[#This Row],[Max Error Bound (up)]] = 0,0,SamplingData[[#This Row],[Max Error Bound (up)]]/SamplingData[[#Totals],[Max Error Bound (up)]])</f>
        <v>4.6526151736539989E-4</v>
      </c>
      <c r="R2068" s="101">
        <f>SUM($Q$5:Q2068)</f>
        <v>0.92595038030819998</v>
      </c>
      <c r="S2068" s="100" t="str">
        <f t="array" ref="S2068">IF(SamplingData[[#This Row],[up/U Selection Probability]] = 0, "Zero", TEXT(SamplingData[[#This Row],[Lower Range]], REPT("0",LEN('General Info'!$B$40))) &amp; " - " &amp; TEXT(SamplingData[[#This Row],[Upper Range]], REPT("0",LEN('General Info'!$B$40))))</f>
        <v>92549 - 92594</v>
      </c>
      <c r="T2068" s="100">
        <f>SamplingData[[#This Row],[Upper Range]]-SamplingData[[#This Row],[Span]]</f>
        <v>92548.51234434497</v>
      </c>
      <c r="U2068" s="100">
        <f>IF(ISNUMBER('General Info'!$B$40), ((SamplingData[[#This Row],[up/U Selection Probability]]) * 'General Info'!$B$40) - 1, 0)</f>
        <v>45.525686475022624</v>
      </c>
      <c r="V2068" s="100">
        <f>IF(ISNUMBER('General Info'!$B$40), (SamplingData[[#This Row],[Running (cumulative) sum]] * ('General Info'!$B$40 -'General Info'!$B$41 + 1)) + 'General Info'!$B$41 - 1, 0)</f>
        <v>92594.038030819996</v>
      </c>
      <c r="W2068" s="100" t="str">
        <f>IF(ISERROR(MATCH(SamplingData[[#This Row],[Batch by Type (p)]],SelectedPrecincts[Batch Name], 0)), "", INDEX(SelectedPrecincts[Draw], MATCH(SamplingData[[#This Row],[Batch by Type (p)]],SelectedPrecincts[Batch Name], 0)))</f>
        <v/>
      </c>
      <c r="X2068" s="102">
        <f>IF(COUNTIF(SelectedPrecincts[Batch Name],SamplingData[[#This Row],[Batch by Type (p)]]) &lt;&gt; 0, COUNTIF(SelectedPrecincts[Batch Name],SamplingData[[#This Row],[Batch by Type (p)]]), 0)</f>
        <v>0</v>
      </c>
    </row>
    <row r="2069" spans="1:24" ht="15" customHeight="1">
      <c r="A2069" s="18" t="s">
        <v>2245</v>
      </c>
      <c r="B2069" s="18">
        <v>15</v>
      </c>
      <c r="C2069" s="18">
        <v>40</v>
      </c>
      <c r="D2069" s="16">
        <v>6</v>
      </c>
      <c r="E2069" s="16">
        <v>4</v>
      </c>
      <c r="F2069" s="37">
        <v>0</v>
      </c>
      <c r="G2069" s="37">
        <v>0</v>
      </c>
      <c r="H2069" s="17">
        <v>0</v>
      </c>
      <c r="I2069" s="17">
        <v>1</v>
      </c>
      <c r="J2069" s="99">
        <f>SUM(SamplingData[[#This Row],[Losing Candidate]:[Under Votes]])</f>
        <v>66</v>
      </c>
      <c r="K2069" s="100">
        <f>IF(AND(SamplingData[[#This Row],[Total]]&lt;&gt; 0, NOT(ISBLANK(SamplingData[[#This Row],[Losing Candidate]]))),(SamplingData[[#This Row],[Total]]+SamplingData[[#This Row],[Winning Candidate]]-SamplingData[[#This Row],[Losing Candidate]])/(SamplingData[[#Totals],[Winning Candidate]]-SamplingData[[#Totals],[Losing Candidate]]), 0)</f>
        <v>5.5732484076433117E-3</v>
      </c>
      <c r="L2069" s="100">
        <f>IF(AND(SamplingData[[#This Row],[Total]]&lt;&gt; 0, NOT(ISBLANK(SamplingData[[#This Row],[Candidate 3]]))),(SamplingData[[#This Row],[Total]]+SamplingData[[#This Row],[Winning Candidate]]-SamplingData[[#This Row],[Candidate 3]])/(SamplingData[[#Totals],[Winning Candidate]]-SamplingData[[#Totals],[Candidate 3]]), 0)</f>
        <v>3.2261186566441913E-3</v>
      </c>
      <c r="M2069" s="100">
        <f>IF(AND(SamplingData[[#This Row],[Total]]&lt;&gt; 0, NOT(ISBLANK(SamplingData[[#This Row],[Candidate 4]]))),(SamplingData[[#This Row],[Total]]+SamplingData[[#This Row],[Winning Candidate]]-SamplingData[[#This Row],[Candidate 4]])/(SamplingData[[#Totals],[Winning Candidate]]-SamplingData[[#Totals],[Candidate 4]]), 0)</f>
        <v>2.9816714899587827E-3</v>
      </c>
      <c r="N2069" s="100">
        <f>IF(AND(SamplingData[[#This Row],[Total]]&lt;&gt; 0, NOT(ISBLANK(SamplingData[[#This Row],[Candidate 5]]))),(SamplingData[[#This Row],[Total]]+SamplingData[[#This Row],[Winning Candidate]]-SamplingData[[#This Row],[Candidate 5]])/(SamplingData[[#Totals],[Winning Candidate]]-SamplingData[[#Totals],[Candidate 5]]), 0)</f>
        <v>2.5784480661639503E-3</v>
      </c>
      <c r="O2069" s="100">
        <f>IF(AND(SamplingData[[#This Row],[Total]]&lt;&gt; 0, NOT(ISBLANK(SamplingData[[#This Row],[Candidate 6]]))),(SamplingData[[#This Row],[Total]]+SamplingData[[#This Row],[Winning Candidate]]-SamplingData[[#This Row],[Candidate 6]])/(SamplingData[[#Totals],[Winning Candidate]]-SamplingData[[#Totals],[Candidate 6]]), 0)</f>
        <v>2.5776956373717232E-3</v>
      </c>
      <c r="P2069" s="100">
        <f>MAX(SamplingData[[#This Row],[Error Bound (up) - Max. possible relative overstatement - Losing Candidate]:[Error Bound (up) - Max. possible relative overstatement - Candidate 6]])</f>
        <v>5.5732484076433117E-3</v>
      </c>
      <c r="Q2069" s="100">
        <f>IF(SamplingData[[#This Row],[Max Error Bound (up)]] = 0,0,SamplingData[[#This Row],[Max Error Bound (up)]]/SamplingData[[#Totals],[Max Error Bound (up)]])</f>
        <v>8.8205829333857057E-4</v>
      </c>
      <c r="R2069" s="101">
        <f>SUM($Q$5:Q2069)</f>
        <v>0.92683243860153852</v>
      </c>
      <c r="S2069" s="100" t="str">
        <f t="array" ref="S2069">IF(SamplingData[[#This Row],[up/U Selection Probability]] = 0, "Zero", TEXT(SamplingData[[#This Row],[Lower Range]], REPT("0",LEN('General Info'!$B$40))) &amp; " - " &amp; TEXT(SamplingData[[#This Row],[Upper Range]], REPT("0",LEN('General Info'!$B$40))))</f>
        <v>92595 - 92682</v>
      </c>
      <c r="T2069" s="100">
        <f>SamplingData[[#This Row],[Upper Range]]-SamplingData[[#This Row],[Span]]</f>
        <v>92595.038912878284</v>
      </c>
      <c r="U2069" s="100">
        <f>IF(ISNUMBER('General Info'!$B$40), ((SamplingData[[#This Row],[up/U Selection Probability]]) * 'General Info'!$B$40) - 1, 0)</f>
        <v>87.204947275563725</v>
      </c>
      <c r="V2069" s="100">
        <f>IF(ISNUMBER('General Info'!$B$40), (SamplingData[[#This Row],[Running (cumulative) sum]] * ('General Info'!$B$40 -'General Info'!$B$41 + 1)) + 'General Info'!$B$41 - 1, 0)</f>
        <v>92682.243860153845</v>
      </c>
      <c r="W2069" s="100" t="str">
        <f>IF(ISERROR(MATCH(SamplingData[[#This Row],[Batch by Type (p)]],SelectedPrecincts[Batch Name], 0)), "", INDEX(SelectedPrecincts[Draw], MATCH(SamplingData[[#This Row],[Batch by Type (p)]],SelectedPrecincts[Batch Name], 0)))</f>
        <v/>
      </c>
      <c r="X2069" s="102">
        <f>IF(COUNTIF(SelectedPrecincts[Batch Name],SamplingData[[#This Row],[Batch by Type (p)]]) &lt;&gt; 0, COUNTIF(SelectedPrecincts[Batch Name],SamplingData[[#This Row],[Batch by Type (p)]]), 0)</f>
        <v>0</v>
      </c>
    </row>
    <row r="2070" spans="1:24" ht="15" customHeight="1">
      <c r="A2070" s="18" t="s">
        <v>2246</v>
      </c>
      <c r="B2070" s="18">
        <v>3</v>
      </c>
      <c r="C2070" s="18">
        <v>12</v>
      </c>
      <c r="D2070" s="18">
        <v>1</v>
      </c>
      <c r="E2070" s="18">
        <v>2</v>
      </c>
      <c r="F2070" s="18">
        <v>0</v>
      </c>
      <c r="G2070" s="18">
        <v>0</v>
      </c>
      <c r="H2070" s="18">
        <v>0</v>
      </c>
      <c r="I2070" s="18">
        <v>1</v>
      </c>
      <c r="J2070" s="99">
        <f>SUM(SamplingData[[#This Row],[Losing Candidate]:[Under Votes]])</f>
        <v>19</v>
      </c>
      <c r="K2070" s="100">
        <f>IF(AND(SamplingData[[#This Row],[Total]]&lt;&gt; 0, NOT(ISBLANK(SamplingData[[#This Row],[Losing Candidate]]))),(SamplingData[[#This Row],[Total]]+SamplingData[[#This Row],[Winning Candidate]]-SamplingData[[#This Row],[Losing Candidate]])/(SamplingData[[#Totals],[Winning Candidate]]-SamplingData[[#Totals],[Losing Candidate]]), 0)</f>
        <v>1.7148456638902498E-3</v>
      </c>
      <c r="L2070" s="100">
        <f>IF(AND(SamplingData[[#This Row],[Total]]&lt;&gt; 0, NOT(ISBLANK(SamplingData[[#This Row],[Candidate 3]]))),(SamplingData[[#This Row],[Total]]+SamplingData[[#This Row],[Winning Candidate]]-SamplingData[[#This Row],[Candidate 3]])/(SamplingData[[#Totals],[Winning Candidate]]-SamplingData[[#Totals],[Candidate 3]]), 0)</f>
        <v>9.6783559699325746E-4</v>
      </c>
      <c r="M2070" s="100">
        <f>IF(AND(SamplingData[[#This Row],[Total]]&lt;&gt; 0, NOT(ISBLANK(SamplingData[[#This Row],[Candidate 4]]))),(SamplingData[[#This Row],[Total]]+SamplingData[[#This Row],[Winning Candidate]]-SamplingData[[#This Row],[Candidate 4]])/(SamplingData[[#Totals],[Winning Candidate]]-SamplingData[[#Totals],[Candidate 4]]), 0)</f>
        <v>8.4773012949808531E-4</v>
      </c>
      <c r="N2070" s="100">
        <f>IF(AND(SamplingData[[#This Row],[Total]]&lt;&gt; 0, NOT(ISBLANK(SamplingData[[#This Row],[Candidate 5]]))),(SamplingData[[#This Row],[Total]]+SamplingData[[#This Row],[Winning Candidate]]-SamplingData[[#This Row],[Candidate 5]])/(SamplingData[[#Totals],[Winning Candidate]]-SamplingData[[#Totals],[Candidate 5]]), 0)</f>
        <v>7.5407443444417419E-4</v>
      </c>
      <c r="O2070" s="100">
        <f>IF(AND(SamplingData[[#This Row],[Total]]&lt;&gt; 0, NOT(ISBLANK(SamplingData[[#This Row],[Candidate 6]]))),(SamplingData[[#This Row],[Total]]+SamplingData[[#This Row],[Winning Candidate]]-SamplingData[[#This Row],[Candidate 6]])/(SamplingData[[#Totals],[Winning Candidate]]-SamplingData[[#Totals],[Candidate 6]]), 0)</f>
        <v>7.5385438451437182E-4</v>
      </c>
      <c r="P2070" s="100">
        <f>MAX(SamplingData[[#This Row],[Error Bound (up) - Max. possible relative overstatement - Losing Candidate]:[Error Bound (up) - Max. possible relative overstatement - Candidate 6]])</f>
        <v>1.7148456638902498E-3</v>
      </c>
      <c r="Q2070" s="100">
        <f>IF(SamplingData[[#This Row],[Max Error Bound (up)]] = 0,0,SamplingData[[#This Row],[Max Error Bound (up)]]/SamplingData[[#Totals],[Max Error Bound (up)]])</f>
        <v>2.714025517964833E-4</v>
      </c>
      <c r="R2070" s="101">
        <f>SUM($Q$5:Q2070)</f>
        <v>0.927103841153335</v>
      </c>
      <c r="S2070" s="100" t="str">
        <f t="array" ref="S2070">IF(SamplingData[[#This Row],[up/U Selection Probability]] = 0, "Zero", TEXT(SamplingData[[#This Row],[Lower Range]], REPT("0",LEN('General Info'!$B$40))) &amp; " - " &amp; TEXT(SamplingData[[#This Row],[Upper Range]], REPT("0",LEN('General Info'!$B$40))))</f>
        <v>92683 - 92709</v>
      </c>
      <c r="T2070" s="100">
        <f>SamplingData[[#This Row],[Upper Range]]-SamplingData[[#This Row],[Span]]</f>
        <v>92683.244131556392</v>
      </c>
      <c r="U2070" s="100">
        <f>IF(ISNUMBER('General Info'!$B$40), ((SamplingData[[#This Row],[up/U Selection Probability]]) * 'General Info'!$B$40) - 1, 0)</f>
        <v>26.139983777096536</v>
      </c>
      <c r="V2070" s="100">
        <f>IF(ISNUMBER('General Info'!$B$40), (SamplingData[[#This Row],[Running (cumulative) sum]] * ('General Info'!$B$40 -'General Info'!$B$41 + 1)) + 'General Info'!$B$41 - 1, 0)</f>
        <v>92709.384115333494</v>
      </c>
      <c r="W2070" s="100" t="str">
        <f>IF(ISERROR(MATCH(SamplingData[[#This Row],[Batch by Type (p)]],SelectedPrecincts[Batch Name], 0)), "", INDEX(SelectedPrecincts[Draw], MATCH(SamplingData[[#This Row],[Batch by Type (p)]],SelectedPrecincts[Batch Name], 0)))</f>
        <v/>
      </c>
      <c r="X2070" s="102">
        <f>IF(COUNTIF(SelectedPrecincts[Batch Name],SamplingData[[#This Row],[Batch by Type (p)]]) &lt;&gt; 0, COUNTIF(SelectedPrecincts[Batch Name],SamplingData[[#This Row],[Batch by Type (p)]]), 0)</f>
        <v>0</v>
      </c>
    </row>
    <row r="2071" spans="1:24" ht="15" customHeight="1">
      <c r="A2071" s="18" t="s">
        <v>2247</v>
      </c>
      <c r="B2071" s="18">
        <v>8</v>
      </c>
      <c r="C2071" s="18">
        <v>22</v>
      </c>
      <c r="D2071" s="16">
        <v>7</v>
      </c>
      <c r="E2071" s="16">
        <v>3</v>
      </c>
      <c r="F2071" s="37">
        <v>0</v>
      </c>
      <c r="G2071" s="37">
        <v>0</v>
      </c>
      <c r="H2071" s="17">
        <v>0</v>
      </c>
      <c r="I2071" s="17">
        <v>0</v>
      </c>
      <c r="J2071" s="99">
        <f>SUM(SamplingData[[#This Row],[Losing Candidate]:[Under Votes]])</f>
        <v>40</v>
      </c>
      <c r="K2071" s="100">
        <f>IF(AND(SamplingData[[#This Row],[Total]]&lt;&gt; 0, NOT(ISBLANK(SamplingData[[#This Row],[Losing Candidate]]))),(SamplingData[[#This Row],[Total]]+SamplingData[[#This Row],[Winning Candidate]]-SamplingData[[#This Row],[Losing Candidate]])/(SamplingData[[#Totals],[Winning Candidate]]-SamplingData[[#Totals],[Losing Candidate]]), 0)</f>
        <v>3.3072023517883389E-3</v>
      </c>
      <c r="L2071" s="100">
        <f>IF(AND(SamplingData[[#This Row],[Total]]&lt;&gt; 0, NOT(ISBLANK(SamplingData[[#This Row],[Candidate 3]]))),(SamplingData[[#This Row],[Total]]+SamplingData[[#This Row],[Winning Candidate]]-SamplingData[[#This Row],[Candidate 3]])/(SamplingData[[#Totals],[Winning Candidate]]-SamplingData[[#Totals],[Candidate 3]]), 0)</f>
        <v>1.7743652611543052E-3</v>
      </c>
      <c r="M2071" s="100">
        <f>IF(AND(SamplingData[[#This Row],[Total]]&lt;&gt; 0, NOT(ISBLANK(SamplingData[[#This Row],[Candidate 4]]))),(SamplingData[[#This Row],[Total]]+SamplingData[[#This Row],[Winning Candidate]]-SamplingData[[#This Row],[Candidate 4]])/(SamplingData[[#Totals],[Winning Candidate]]-SamplingData[[#Totals],[Candidate 4]]), 0)</f>
        <v>1.7246923324271391E-3</v>
      </c>
      <c r="N2071" s="100">
        <f>IF(AND(SamplingData[[#This Row],[Total]]&lt;&gt; 0, NOT(ISBLANK(SamplingData[[#This Row],[Candidate 5]]))),(SamplingData[[#This Row],[Total]]+SamplingData[[#This Row],[Winning Candidate]]-SamplingData[[#This Row],[Candidate 5]])/(SamplingData[[#Totals],[Winning Candidate]]-SamplingData[[#Totals],[Candidate 5]]), 0)</f>
        <v>1.5081488688883484E-3</v>
      </c>
      <c r="O2071" s="100">
        <f>IF(AND(SamplingData[[#This Row],[Total]]&lt;&gt; 0, NOT(ISBLANK(SamplingData[[#This Row],[Candidate 6]]))),(SamplingData[[#This Row],[Total]]+SamplingData[[#This Row],[Winning Candidate]]-SamplingData[[#This Row],[Candidate 6]])/(SamplingData[[#Totals],[Winning Candidate]]-SamplingData[[#Totals],[Candidate 6]]), 0)</f>
        <v>1.5077087690287436E-3</v>
      </c>
      <c r="P2071" s="100">
        <f>MAX(SamplingData[[#This Row],[Error Bound (up) - Max. possible relative overstatement - Losing Candidate]:[Error Bound (up) - Max. possible relative overstatement - Candidate 6]])</f>
        <v>3.3072023517883389E-3</v>
      </c>
      <c r="Q2071" s="100">
        <f>IF(SamplingData[[#This Row],[Max Error Bound (up)]] = 0,0,SamplingData[[#This Row],[Max Error Bound (up)]]/SamplingData[[#Totals],[Max Error Bound (up)]])</f>
        <v>5.2341920703607493E-4</v>
      </c>
      <c r="R2071" s="101">
        <f>SUM($Q$5:Q2071)</f>
        <v>0.92762726036037102</v>
      </c>
      <c r="S2071" s="100" t="str">
        <f t="array" ref="S2071">IF(SamplingData[[#This Row],[up/U Selection Probability]] = 0, "Zero", TEXT(SamplingData[[#This Row],[Lower Range]], REPT("0",LEN('General Info'!$B$40))) &amp; " - " &amp; TEXT(SamplingData[[#This Row],[Upper Range]], REPT("0",LEN('General Info'!$B$40))))</f>
        <v>92710 - 92762</v>
      </c>
      <c r="T2071" s="100">
        <f>SamplingData[[#This Row],[Upper Range]]-SamplingData[[#This Row],[Span]]</f>
        <v>92710.384638752701</v>
      </c>
      <c r="U2071" s="100">
        <f>IF(ISNUMBER('General Info'!$B$40), ((SamplingData[[#This Row],[up/U Selection Probability]]) * 'General Info'!$B$40) - 1, 0)</f>
        <v>51.341397284400458</v>
      </c>
      <c r="V2071" s="100">
        <f>IF(ISNUMBER('General Info'!$B$40), (SamplingData[[#This Row],[Running (cumulative) sum]] * ('General Info'!$B$40 -'General Info'!$B$41 + 1)) + 'General Info'!$B$41 - 1, 0)</f>
        <v>92761.7260360371</v>
      </c>
      <c r="W2071" s="100" t="str">
        <f>IF(ISERROR(MATCH(SamplingData[[#This Row],[Batch by Type (p)]],SelectedPrecincts[Batch Name], 0)), "", INDEX(SelectedPrecincts[Draw], MATCH(SamplingData[[#This Row],[Batch by Type (p)]],SelectedPrecincts[Batch Name], 0)))</f>
        <v/>
      </c>
      <c r="X2071" s="102">
        <f>IF(COUNTIF(SelectedPrecincts[Batch Name],SamplingData[[#This Row],[Batch by Type (p)]]) &lt;&gt; 0, COUNTIF(SelectedPrecincts[Batch Name],SamplingData[[#This Row],[Batch by Type (p)]]), 0)</f>
        <v>0</v>
      </c>
    </row>
    <row r="2072" spans="1:24" ht="15" customHeight="1">
      <c r="A2072" s="18" t="s">
        <v>2248</v>
      </c>
      <c r="B2072" s="18">
        <v>2</v>
      </c>
      <c r="C2072" s="18">
        <v>11</v>
      </c>
      <c r="D2072" s="18">
        <v>2</v>
      </c>
      <c r="E2072" s="18">
        <v>1</v>
      </c>
      <c r="F2072" s="18">
        <v>0</v>
      </c>
      <c r="G2072" s="18">
        <v>0</v>
      </c>
      <c r="H2072" s="18">
        <v>0</v>
      </c>
      <c r="I2072" s="18">
        <v>0</v>
      </c>
      <c r="J2072" s="99">
        <f>SUM(SamplingData[[#This Row],[Losing Candidate]:[Under Votes]])</f>
        <v>16</v>
      </c>
      <c r="K2072" s="100">
        <f>IF(AND(SamplingData[[#This Row],[Total]]&lt;&gt; 0, NOT(ISBLANK(SamplingData[[#This Row],[Losing Candidate]]))),(SamplingData[[#This Row],[Total]]+SamplingData[[#This Row],[Winning Candidate]]-SamplingData[[#This Row],[Losing Candidate]])/(SamplingData[[#Totals],[Winning Candidate]]-SamplingData[[#Totals],[Losing Candidate]]), 0)</f>
        <v>1.5311121999020088E-3</v>
      </c>
      <c r="L2072" s="100">
        <f>IF(AND(SamplingData[[#This Row],[Total]]&lt;&gt; 0, NOT(ISBLANK(SamplingData[[#This Row],[Candidate 3]]))),(SamplingData[[#This Row],[Total]]+SamplingData[[#This Row],[Winning Candidate]]-SamplingData[[#This Row],[Candidate 3]])/(SamplingData[[#Totals],[Winning Candidate]]-SamplingData[[#Totals],[Candidate 3]]), 0)</f>
        <v>8.0652966416104783E-4</v>
      </c>
      <c r="M2072" s="100">
        <f>IF(AND(SamplingData[[#This Row],[Total]]&lt;&gt; 0, NOT(ISBLANK(SamplingData[[#This Row],[Candidate 4]]))),(SamplingData[[#This Row],[Total]]+SamplingData[[#This Row],[Winning Candidate]]-SamplingData[[#This Row],[Candidate 4]])/(SamplingData[[#Totals],[Winning Candidate]]-SamplingData[[#Totals],[Candidate 4]]), 0)</f>
        <v>7.6003390920517991E-4</v>
      </c>
      <c r="N2072" s="100">
        <f>IF(AND(SamplingData[[#This Row],[Total]]&lt;&gt; 0, NOT(ISBLANK(SamplingData[[#This Row],[Candidate 5]]))),(SamplingData[[#This Row],[Total]]+SamplingData[[#This Row],[Winning Candidate]]-SamplingData[[#This Row],[Candidate 5]])/(SamplingData[[#Totals],[Winning Candidate]]-SamplingData[[#Totals],[Candidate 5]]), 0)</f>
        <v>6.5677450741911947E-4</v>
      </c>
      <c r="O2072" s="100">
        <f>IF(AND(SamplingData[[#This Row],[Total]]&lt;&gt; 0, NOT(ISBLANK(SamplingData[[#This Row],[Candidate 6]]))),(SamplingData[[#This Row],[Total]]+SamplingData[[#This Row],[Winning Candidate]]-SamplingData[[#This Row],[Candidate 6]])/(SamplingData[[#Totals],[Winning Candidate]]-SamplingData[[#Totals],[Candidate 6]]), 0)</f>
        <v>6.5658285102864649E-4</v>
      </c>
      <c r="P2072" s="100">
        <f>MAX(SamplingData[[#This Row],[Error Bound (up) - Max. possible relative overstatement - Losing Candidate]:[Error Bound (up) - Max. possible relative overstatement - Candidate 6]])</f>
        <v>1.5311121999020088E-3</v>
      </c>
      <c r="Q2072" s="100">
        <f>IF(SamplingData[[#This Row],[Max Error Bound (up)]] = 0,0,SamplingData[[#This Row],[Max Error Bound (up)]]/SamplingData[[#Totals],[Max Error Bound (up)]])</f>
        <v>2.4232370696114578E-4</v>
      </c>
      <c r="R2072" s="101">
        <f>SUM($Q$5:Q2072)</f>
        <v>0.92786958406733222</v>
      </c>
      <c r="S2072" s="100" t="str">
        <f t="array" ref="S2072">IF(SamplingData[[#This Row],[up/U Selection Probability]] = 0, "Zero", TEXT(SamplingData[[#This Row],[Lower Range]], REPT("0",LEN('General Info'!$B$40))) &amp; " - " &amp; TEXT(SamplingData[[#This Row],[Upper Range]], REPT("0",LEN('General Info'!$B$40))))</f>
        <v>92763 - 92786</v>
      </c>
      <c r="T2072" s="100">
        <f>SamplingData[[#This Row],[Upper Range]]-SamplingData[[#This Row],[Span]]</f>
        <v>92762.726278360817</v>
      </c>
      <c r="U2072" s="100">
        <f>IF(ISNUMBER('General Info'!$B$40), ((SamplingData[[#This Row],[up/U Selection Probability]]) * 'General Info'!$B$40) - 1, 0)</f>
        <v>23.232128372407619</v>
      </c>
      <c r="V2072" s="100">
        <f>IF(ISNUMBER('General Info'!$B$40), (SamplingData[[#This Row],[Running (cumulative) sum]] * ('General Info'!$B$40 -'General Info'!$B$41 + 1)) + 'General Info'!$B$41 - 1, 0)</f>
        <v>92785.958406733218</v>
      </c>
      <c r="W2072" s="100" t="str">
        <f>IF(ISERROR(MATCH(SamplingData[[#This Row],[Batch by Type (p)]],SelectedPrecincts[Batch Name], 0)), "", INDEX(SelectedPrecincts[Draw], MATCH(SamplingData[[#This Row],[Batch by Type (p)]],SelectedPrecincts[Batch Name], 0)))</f>
        <v/>
      </c>
      <c r="X2072" s="102">
        <f>IF(COUNTIF(SelectedPrecincts[Batch Name],SamplingData[[#This Row],[Batch by Type (p)]]) &lt;&gt; 0, COUNTIF(SelectedPrecincts[Batch Name],SamplingData[[#This Row],[Batch by Type (p)]]), 0)</f>
        <v>0</v>
      </c>
    </row>
    <row r="2073" spans="1:24" ht="15" customHeight="1">
      <c r="A2073" s="18" t="s">
        <v>2249</v>
      </c>
      <c r="B2073" s="18">
        <v>18</v>
      </c>
      <c r="C2073" s="18">
        <v>53</v>
      </c>
      <c r="D2073" s="16">
        <v>5</v>
      </c>
      <c r="E2073" s="16">
        <v>7</v>
      </c>
      <c r="F2073" s="37">
        <v>1</v>
      </c>
      <c r="G2073" s="37">
        <v>0</v>
      </c>
      <c r="H2073" s="17">
        <v>0</v>
      </c>
      <c r="I2073" s="17">
        <v>0</v>
      </c>
      <c r="J2073" s="99">
        <f>SUM(SamplingData[[#This Row],[Losing Candidate]:[Under Votes]])</f>
        <v>84</v>
      </c>
      <c r="K2073" s="100">
        <f>IF(AND(SamplingData[[#This Row],[Total]]&lt;&gt; 0, NOT(ISBLANK(SamplingData[[#This Row],[Losing Candidate]]))),(SamplingData[[#This Row],[Total]]+SamplingData[[#This Row],[Winning Candidate]]-SamplingData[[#This Row],[Losing Candidate]])/(SamplingData[[#Totals],[Winning Candidate]]-SamplingData[[#Totals],[Losing Candidate]]), 0)</f>
        <v>7.2880940715335622E-3</v>
      </c>
      <c r="L2073" s="100">
        <f>IF(AND(SamplingData[[#This Row],[Total]]&lt;&gt; 0, NOT(ISBLANK(SamplingData[[#This Row],[Candidate 3]]))),(SamplingData[[#This Row],[Total]]+SamplingData[[#This Row],[Winning Candidate]]-SamplingData[[#This Row],[Candidate 3]])/(SamplingData[[#Totals],[Winning Candidate]]-SamplingData[[#Totals],[Candidate 3]]), 0)</f>
        <v>4.2584766267703324E-3</v>
      </c>
      <c r="M2073" s="100">
        <f>IF(AND(SamplingData[[#This Row],[Total]]&lt;&gt; 0, NOT(ISBLANK(SamplingData[[#This Row],[Candidate 4]]))),(SamplingData[[#This Row],[Total]]+SamplingData[[#This Row],[Winning Candidate]]-SamplingData[[#This Row],[Candidate 4]])/(SamplingData[[#Totals],[Winning Candidate]]-SamplingData[[#Totals],[Candidate 4]]), 0)</f>
        <v>3.8001695460258998E-3</v>
      </c>
      <c r="N2073" s="100">
        <f>IF(AND(SamplingData[[#This Row],[Total]]&lt;&gt; 0, NOT(ISBLANK(SamplingData[[#This Row],[Candidate 5]]))),(SamplingData[[#This Row],[Total]]+SamplingData[[#This Row],[Winning Candidate]]-SamplingData[[#This Row],[Candidate 5]])/(SamplingData[[#Totals],[Winning Candidate]]-SamplingData[[#Totals],[Candidate 5]]), 0)</f>
        <v>3.3081975188518609E-3</v>
      </c>
      <c r="O2073" s="100">
        <f>IF(AND(SamplingData[[#This Row],[Total]]&lt;&gt; 0, NOT(ISBLANK(SamplingData[[#This Row],[Candidate 6]]))),(SamplingData[[#This Row],[Total]]+SamplingData[[#This Row],[Winning Candidate]]-SamplingData[[#This Row],[Candidate 6]])/(SamplingData[[#Totals],[Winning Candidate]]-SamplingData[[#Totals],[Candidate 6]]), 0)</f>
        <v>3.3315500218860949E-3</v>
      </c>
      <c r="P2073" s="100">
        <f>MAX(SamplingData[[#This Row],[Error Bound (up) - Max. possible relative overstatement - Losing Candidate]:[Error Bound (up) - Max. possible relative overstatement - Candidate 6]])</f>
        <v>7.2880940715335622E-3</v>
      </c>
      <c r="Q2073" s="100">
        <f>IF(SamplingData[[#This Row],[Max Error Bound (up)]] = 0,0,SamplingData[[#This Row],[Max Error Bound (up)]]/SamplingData[[#Totals],[Max Error Bound (up)]])</f>
        <v>1.153460845135054E-3</v>
      </c>
      <c r="R2073" s="101">
        <f>SUM($Q$5:Q2073)</f>
        <v>0.92902304491246723</v>
      </c>
      <c r="S2073" s="100" t="str">
        <f t="array" ref="S2073">IF(SamplingData[[#This Row],[up/U Selection Probability]] = 0, "Zero", TEXT(SamplingData[[#This Row],[Lower Range]], REPT("0",LEN('General Info'!$B$40))) &amp; " - " &amp; TEXT(SamplingData[[#This Row],[Upper Range]], REPT("0",LEN('General Info'!$B$40))))</f>
        <v>92787 - 92901</v>
      </c>
      <c r="T2073" s="100">
        <f>SamplingData[[#This Row],[Upper Range]]-SamplingData[[#This Row],[Span]]</f>
        <v>92786.959560194067</v>
      </c>
      <c r="U2073" s="100">
        <f>IF(ISNUMBER('General Info'!$B$40), ((SamplingData[[#This Row],[up/U Selection Probability]]) * 'General Info'!$B$40) - 1, 0)</f>
        <v>114.34493105266026</v>
      </c>
      <c r="V2073" s="100">
        <f>IF(ISNUMBER('General Info'!$B$40), (SamplingData[[#This Row],[Running (cumulative) sum]] * ('General Info'!$B$40 -'General Info'!$B$41 + 1)) + 'General Info'!$B$41 - 1, 0)</f>
        <v>92901.30449124673</v>
      </c>
      <c r="W2073" s="100" t="str">
        <f>IF(ISERROR(MATCH(SamplingData[[#This Row],[Batch by Type (p)]],SelectedPrecincts[Batch Name], 0)), "", INDEX(SelectedPrecincts[Draw], MATCH(SamplingData[[#This Row],[Batch by Type (p)]],SelectedPrecincts[Batch Name], 0)))</f>
        <v/>
      </c>
      <c r="X2073" s="102">
        <f>IF(COUNTIF(SelectedPrecincts[Batch Name],SamplingData[[#This Row],[Batch by Type (p)]]) &lt;&gt; 0, COUNTIF(SelectedPrecincts[Batch Name],SamplingData[[#This Row],[Batch by Type (p)]]), 0)</f>
        <v>0</v>
      </c>
    </row>
    <row r="2074" spans="1:24" ht="15" customHeight="1">
      <c r="A2074" s="18" t="s">
        <v>2250</v>
      </c>
      <c r="B2074" s="18">
        <v>8</v>
      </c>
      <c r="C2074" s="18">
        <v>18</v>
      </c>
      <c r="D2074" s="18">
        <v>4</v>
      </c>
      <c r="E2074" s="18">
        <v>3</v>
      </c>
      <c r="F2074" s="18">
        <v>0</v>
      </c>
      <c r="G2074" s="18">
        <v>0</v>
      </c>
      <c r="H2074" s="18">
        <v>0</v>
      </c>
      <c r="I2074" s="18">
        <v>2</v>
      </c>
      <c r="J2074" s="99">
        <f>SUM(SamplingData[[#This Row],[Losing Candidate]:[Under Votes]])</f>
        <v>35</v>
      </c>
      <c r="K2074" s="100">
        <f>IF(AND(SamplingData[[#This Row],[Total]]&lt;&gt; 0, NOT(ISBLANK(SamplingData[[#This Row],[Losing Candidate]]))),(SamplingData[[#This Row],[Total]]+SamplingData[[#This Row],[Winning Candidate]]-SamplingData[[#This Row],[Losing Candidate]])/(SamplingData[[#Totals],[Winning Candidate]]-SamplingData[[#Totals],[Losing Candidate]]), 0)</f>
        <v>2.7560019598236157E-3</v>
      </c>
      <c r="L2074" s="100">
        <f>IF(AND(SamplingData[[#This Row],[Total]]&lt;&gt; 0, NOT(ISBLANK(SamplingData[[#This Row],[Candidate 3]]))),(SamplingData[[#This Row],[Total]]+SamplingData[[#This Row],[Winning Candidate]]-SamplingData[[#This Row],[Candidate 3]])/(SamplingData[[#Totals],[Winning Candidate]]-SamplingData[[#Totals],[Candidate 3]]), 0)</f>
        <v>1.5807981417556537E-3</v>
      </c>
      <c r="M2074" s="100">
        <f>IF(AND(SamplingData[[#This Row],[Total]]&lt;&gt; 0, NOT(ISBLANK(SamplingData[[#This Row],[Candidate 4]]))),(SamplingData[[#This Row],[Total]]+SamplingData[[#This Row],[Winning Candidate]]-SamplingData[[#This Row],[Candidate 4]])/(SamplingData[[#Totals],[Winning Candidate]]-SamplingData[[#Totals],[Candidate 4]]), 0)</f>
        <v>1.4616036715484229E-3</v>
      </c>
      <c r="N2074" s="100">
        <f>IF(AND(SamplingData[[#This Row],[Total]]&lt;&gt; 0, NOT(ISBLANK(SamplingData[[#This Row],[Candidate 5]]))),(SamplingData[[#This Row],[Total]]+SamplingData[[#This Row],[Winning Candidate]]-SamplingData[[#This Row],[Candidate 5]])/(SamplingData[[#Totals],[Winning Candidate]]-SamplingData[[#Totals],[Candidate 5]]), 0)</f>
        <v>1.2892240330819751E-3</v>
      </c>
      <c r="O2074" s="100">
        <f>IF(AND(SamplingData[[#This Row],[Total]]&lt;&gt; 0, NOT(ISBLANK(SamplingData[[#This Row],[Candidate 6]]))),(SamplingData[[#This Row],[Total]]+SamplingData[[#This Row],[Winning Candidate]]-SamplingData[[#This Row],[Candidate 6]])/(SamplingData[[#Totals],[Winning Candidate]]-SamplingData[[#Totals],[Candidate 6]]), 0)</f>
        <v>1.2888478186858616E-3</v>
      </c>
      <c r="P2074" s="100">
        <f>MAX(SamplingData[[#This Row],[Error Bound (up) - Max. possible relative overstatement - Losing Candidate]:[Error Bound (up) - Max. possible relative overstatement - Candidate 6]])</f>
        <v>2.7560019598236157E-3</v>
      </c>
      <c r="Q2074" s="100">
        <f>IF(SamplingData[[#This Row],[Max Error Bound (up)]] = 0,0,SamplingData[[#This Row],[Max Error Bound (up)]]/SamplingData[[#Totals],[Max Error Bound (up)]])</f>
        <v>4.3618267253006237E-4</v>
      </c>
      <c r="R2074" s="101">
        <f>SUM($Q$5:Q2074)</f>
        <v>0.92945922758499733</v>
      </c>
      <c r="S2074" s="100" t="str">
        <f t="array" ref="S2074">IF(SamplingData[[#This Row],[up/U Selection Probability]] = 0, "Zero", TEXT(SamplingData[[#This Row],[Lower Range]], REPT("0",LEN('General Info'!$B$40))) &amp; " - " &amp; TEXT(SamplingData[[#This Row],[Upper Range]], REPT("0",LEN('General Info'!$B$40))))</f>
        <v>92902 - 92945</v>
      </c>
      <c r="T2074" s="100">
        <f>SamplingData[[#This Row],[Upper Range]]-SamplingData[[#This Row],[Span]]</f>
        <v>92902.304927429388</v>
      </c>
      <c r="U2074" s="100">
        <f>IF(ISNUMBER('General Info'!$B$40), ((SamplingData[[#This Row],[up/U Selection Probability]]) * 'General Info'!$B$40) - 1, 0)</f>
        <v>42.617831070333708</v>
      </c>
      <c r="V2074" s="100">
        <f>IF(ISNUMBER('General Info'!$B$40), (SamplingData[[#This Row],[Running (cumulative) sum]] * ('General Info'!$B$40 -'General Info'!$B$41 + 1)) + 'General Info'!$B$41 - 1, 0)</f>
        <v>92944.922758499728</v>
      </c>
      <c r="W2074" s="100" t="str">
        <f>IF(ISERROR(MATCH(SamplingData[[#This Row],[Batch by Type (p)]],SelectedPrecincts[Batch Name], 0)), "", INDEX(SelectedPrecincts[Draw], MATCH(SamplingData[[#This Row],[Batch by Type (p)]],SelectedPrecincts[Batch Name], 0)))</f>
        <v/>
      </c>
      <c r="X2074" s="102">
        <f>IF(COUNTIF(SelectedPrecincts[Batch Name],SamplingData[[#This Row],[Batch by Type (p)]]) &lt;&gt; 0, COUNTIF(SelectedPrecincts[Batch Name],SamplingData[[#This Row],[Batch by Type (p)]]), 0)</f>
        <v>0</v>
      </c>
    </row>
    <row r="2075" spans="1:24" ht="15" customHeight="1">
      <c r="A2075" s="18" t="s">
        <v>2251</v>
      </c>
      <c r="B2075" s="18">
        <v>16</v>
      </c>
      <c r="C2075" s="18">
        <v>34</v>
      </c>
      <c r="D2075" s="16">
        <v>6</v>
      </c>
      <c r="E2075" s="16">
        <v>0</v>
      </c>
      <c r="F2075" s="37">
        <v>0</v>
      </c>
      <c r="G2075" s="37">
        <v>0</v>
      </c>
      <c r="H2075" s="17">
        <v>0</v>
      </c>
      <c r="I2075" s="17">
        <v>0</v>
      </c>
      <c r="J2075" s="99">
        <f>SUM(SamplingData[[#This Row],[Losing Candidate]:[Under Votes]])</f>
        <v>56</v>
      </c>
      <c r="K2075" s="100">
        <f>IF(AND(SamplingData[[#This Row],[Total]]&lt;&gt; 0, NOT(ISBLANK(SamplingData[[#This Row],[Losing Candidate]]))),(SamplingData[[#This Row],[Total]]+SamplingData[[#This Row],[Winning Candidate]]-SamplingData[[#This Row],[Losing Candidate]])/(SamplingData[[#Totals],[Winning Candidate]]-SamplingData[[#Totals],[Losing Candidate]]), 0)</f>
        <v>4.5320921117099457E-3</v>
      </c>
      <c r="L2075" s="100">
        <f>IF(AND(SamplingData[[#This Row],[Total]]&lt;&gt; 0, NOT(ISBLANK(SamplingData[[#This Row],[Candidate 3]]))),(SamplingData[[#This Row],[Total]]+SamplingData[[#This Row],[Winning Candidate]]-SamplingData[[#This Row],[Candidate 3]])/(SamplingData[[#Totals],[Winning Candidate]]-SamplingData[[#Totals],[Candidate 3]]), 0)</f>
        <v>2.7099396715811208E-3</v>
      </c>
      <c r="M2075" s="100">
        <f>IF(AND(SamplingData[[#This Row],[Total]]&lt;&gt; 0, NOT(ISBLANK(SamplingData[[#This Row],[Candidate 4]]))),(SamplingData[[#This Row],[Total]]+SamplingData[[#This Row],[Winning Candidate]]-SamplingData[[#This Row],[Candidate 4]])/(SamplingData[[#Totals],[Winning Candidate]]-SamplingData[[#Totals],[Candidate 4]]), 0)</f>
        <v>2.6308866087871611E-3</v>
      </c>
      <c r="N2075" s="100">
        <f>IF(AND(SamplingData[[#This Row],[Total]]&lt;&gt; 0, NOT(ISBLANK(SamplingData[[#This Row],[Candidate 5]]))),(SamplingData[[#This Row],[Total]]+SamplingData[[#This Row],[Winning Candidate]]-SamplingData[[#This Row],[Candidate 5]])/(SamplingData[[#Totals],[Winning Candidate]]-SamplingData[[#Totals],[Candidate 5]]), 0)</f>
        <v>2.1892483580637314E-3</v>
      </c>
      <c r="O2075" s="100">
        <f>IF(AND(SamplingData[[#This Row],[Total]]&lt;&gt; 0, NOT(ISBLANK(SamplingData[[#This Row],[Candidate 6]]))),(SamplingData[[#This Row],[Total]]+SamplingData[[#This Row],[Winning Candidate]]-SamplingData[[#This Row],[Candidate 6]])/(SamplingData[[#Totals],[Winning Candidate]]-SamplingData[[#Totals],[Candidate 6]]), 0)</f>
        <v>2.1886095034288214E-3</v>
      </c>
      <c r="P2075" s="100">
        <f>MAX(SamplingData[[#This Row],[Error Bound (up) - Max. possible relative overstatement - Losing Candidate]:[Error Bound (up) - Max. possible relative overstatement - Candidate 6]])</f>
        <v>4.5320921117099457E-3</v>
      </c>
      <c r="Q2075" s="100">
        <f>IF(SamplingData[[#This Row],[Max Error Bound (up)]] = 0,0,SamplingData[[#This Row],[Max Error Bound (up)]]/SamplingData[[#Totals],[Max Error Bound (up)]])</f>
        <v>7.1727817260499151E-4</v>
      </c>
      <c r="R2075" s="101">
        <f>SUM($Q$5:Q2075)</f>
        <v>0.93017650575760236</v>
      </c>
      <c r="S2075" s="100" t="str">
        <f t="array" ref="S2075">IF(SamplingData[[#This Row],[up/U Selection Probability]] = 0, "Zero", TEXT(SamplingData[[#This Row],[Lower Range]], REPT("0",LEN('General Info'!$B$40))) &amp; " - " &amp; TEXT(SamplingData[[#This Row],[Upper Range]], REPT("0",LEN('General Info'!$B$40))))</f>
        <v>92946 - 93017</v>
      </c>
      <c r="T2075" s="100">
        <f>SamplingData[[#This Row],[Upper Range]]-SamplingData[[#This Row],[Span]]</f>
        <v>92945.92347577792</v>
      </c>
      <c r="U2075" s="100">
        <f>IF(ISNUMBER('General Info'!$B$40), ((SamplingData[[#This Row],[up/U Selection Probability]]) * 'General Info'!$B$40) - 1, 0)</f>
        <v>70.72709998232655</v>
      </c>
      <c r="V2075" s="100">
        <f>IF(ISNUMBER('General Info'!$B$40), (SamplingData[[#This Row],[Running (cumulative) sum]] * ('General Info'!$B$40 -'General Info'!$B$41 + 1)) + 'General Info'!$B$41 - 1, 0)</f>
        <v>93016.650575760243</v>
      </c>
      <c r="W2075" s="100" t="str">
        <f>IF(ISERROR(MATCH(SamplingData[[#This Row],[Batch by Type (p)]],SelectedPrecincts[Batch Name], 0)), "", INDEX(SelectedPrecincts[Draw], MATCH(SamplingData[[#This Row],[Batch by Type (p)]],SelectedPrecincts[Batch Name], 0)))</f>
        <v/>
      </c>
      <c r="X2075" s="102">
        <f>IF(COUNTIF(SelectedPrecincts[Batch Name],SamplingData[[#This Row],[Batch by Type (p)]]) &lt;&gt; 0, COUNTIF(SelectedPrecincts[Batch Name],SamplingData[[#This Row],[Batch by Type (p)]]), 0)</f>
        <v>0</v>
      </c>
    </row>
    <row r="2076" spans="1:24" ht="15" customHeight="1">
      <c r="A2076" s="18" t="s">
        <v>2252</v>
      </c>
      <c r="B2076" s="18">
        <v>5</v>
      </c>
      <c r="C2076" s="18">
        <v>9</v>
      </c>
      <c r="D2076" s="18">
        <v>2</v>
      </c>
      <c r="E2076" s="18">
        <v>0</v>
      </c>
      <c r="F2076" s="18">
        <v>0</v>
      </c>
      <c r="G2076" s="18">
        <v>0</v>
      </c>
      <c r="H2076" s="18">
        <v>0</v>
      </c>
      <c r="I2076" s="18">
        <v>2</v>
      </c>
      <c r="J2076" s="99">
        <f>SUM(SamplingData[[#This Row],[Losing Candidate]:[Under Votes]])</f>
        <v>18</v>
      </c>
      <c r="K2076" s="100">
        <f>IF(AND(SamplingData[[#This Row],[Total]]&lt;&gt; 0, NOT(ISBLANK(SamplingData[[#This Row],[Losing Candidate]]))),(SamplingData[[#This Row],[Total]]+SamplingData[[#This Row],[Winning Candidate]]-SamplingData[[#This Row],[Losing Candidate]])/(SamplingData[[#Totals],[Winning Candidate]]-SamplingData[[#Totals],[Losing Candidate]]), 0)</f>
        <v>1.3473787359137678E-3</v>
      </c>
      <c r="L2076" s="100">
        <f>IF(AND(SamplingData[[#This Row],[Total]]&lt;&gt; 0, NOT(ISBLANK(SamplingData[[#This Row],[Candidate 3]]))),(SamplingData[[#This Row],[Total]]+SamplingData[[#This Row],[Winning Candidate]]-SamplingData[[#This Row],[Candidate 3]])/(SamplingData[[#Totals],[Winning Candidate]]-SamplingData[[#Totals],[Candidate 3]]), 0)</f>
        <v>8.0652966416104783E-4</v>
      </c>
      <c r="M2076" s="100">
        <f>IF(AND(SamplingData[[#This Row],[Total]]&lt;&gt; 0, NOT(ISBLANK(SamplingData[[#This Row],[Candidate 4]]))),(SamplingData[[#This Row],[Total]]+SamplingData[[#This Row],[Winning Candidate]]-SamplingData[[#This Row],[Candidate 4]])/(SamplingData[[#Totals],[Winning Candidate]]-SamplingData[[#Totals],[Candidate 4]]), 0)</f>
        <v>7.8926598263614838E-4</v>
      </c>
      <c r="N2076" s="100">
        <f>IF(AND(SamplingData[[#This Row],[Total]]&lt;&gt; 0, NOT(ISBLANK(SamplingData[[#This Row],[Candidate 5]]))),(SamplingData[[#This Row],[Total]]+SamplingData[[#This Row],[Winning Candidate]]-SamplingData[[#This Row],[Candidate 5]])/(SamplingData[[#Totals],[Winning Candidate]]-SamplingData[[#Totals],[Candidate 5]]), 0)</f>
        <v>6.5677450741911947E-4</v>
      </c>
      <c r="O2076" s="100">
        <f>IF(AND(SamplingData[[#This Row],[Total]]&lt;&gt; 0, NOT(ISBLANK(SamplingData[[#This Row],[Candidate 6]]))),(SamplingData[[#This Row],[Total]]+SamplingData[[#This Row],[Winning Candidate]]-SamplingData[[#This Row],[Candidate 6]])/(SamplingData[[#Totals],[Winning Candidate]]-SamplingData[[#Totals],[Candidate 6]]), 0)</f>
        <v>6.5658285102864649E-4</v>
      </c>
      <c r="P2076" s="100">
        <f>MAX(SamplingData[[#This Row],[Error Bound (up) - Max. possible relative overstatement - Losing Candidate]:[Error Bound (up) - Max. possible relative overstatement - Candidate 6]])</f>
        <v>1.3473787359137678E-3</v>
      </c>
      <c r="Q2076" s="100">
        <f>IF(SamplingData[[#This Row],[Max Error Bound (up)]] = 0,0,SamplingData[[#This Row],[Max Error Bound (up)]]/SamplingData[[#Totals],[Max Error Bound (up)]])</f>
        <v>2.1324486212580832E-4</v>
      </c>
      <c r="R2076" s="101">
        <f>SUM($Q$5:Q2076)</f>
        <v>0.93038975061972817</v>
      </c>
      <c r="S2076" s="100" t="str">
        <f t="array" ref="S2076">IF(SamplingData[[#This Row],[up/U Selection Probability]] = 0, "Zero", TEXT(SamplingData[[#This Row],[Lower Range]], REPT("0",LEN('General Info'!$B$40))) &amp; " - " &amp; TEXT(SamplingData[[#This Row],[Upper Range]], REPT("0",LEN('General Info'!$B$40))))</f>
        <v>93018 - 93038</v>
      </c>
      <c r="T2076" s="100">
        <f>SamplingData[[#This Row],[Upper Range]]-SamplingData[[#This Row],[Span]]</f>
        <v>93017.6507890051</v>
      </c>
      <c r="U2076" s="100">
        <f>IF(ISNUMBER('General Info'!$B$40), ((SamplingData[[#This Row],[up/U Selection Probability]]) * 'General Info'!$B$40) - 1, 0)</f>
        <v>20.324272967718706</v>
      </c>
      <c r="V2076" s="100">
        <f>IF(ISNUMBER('General Info'!$B$40), (SamplingData[[#This Row],[Running (cumulative) sum]] * ('General Info'!$B$40 -'General Info'!$B$41 + 1)) + 'General Info'!$B$41 - 1, 0)</f>
        <v>93037.975061972815</v>
      </c>
      <c r="W2076" s="100" t="str">
        <f>IF(ISERROR(MATCH(SamplingData[[#This Row],[Batch by Type (p)]],SelectedPrecincts[Batch Name], 0)), "", INDEX(SelectedPrecincts[Draw], MATCH(SamplingData[[#This Row],[Batch by Type (p)]],SelectedPrecincts[Batch Name], 0)))</f>
        <v/>
      </c>
      <c r="X2076" s="102">
        <f>IF(COUNTIF(SelectedPrecincts[Batch Name],SamplingData[[#This Row],[Batch by Type (p)]]) &lt;&gt; 0, COUNTIF(SelectedPrecincts[Batch Name],SamplingData[[#This Row],[Batch by Type (p)]]), 0)</f>
        <v>0</v>
      </c>
    </row>
    <row r="2077" spans="1:24" ht="15" customHeight="1">
      <c r="A2077" s="18" t="s">
        <v>2253</v>
      </c>
      <c r="B2077" s="18">
        <v>7</v>
      </c>
      <c r="C2077" s="18">
        <v>21</v>
      </c>
      <c r="D2077" s="16">
        <v>1</v>
      </c>
      <c r="E2077" s="16">
        <v>3</v>
      </c>
      <c r="F2077" s="37">
        <v>0</v>
      </c>
      <c r="G2077" s="37">
        <v>0</v>
      </c>
      <c r="H2077" s="17">
        <v>0</v>
      </c>
      <c r="I2077" s="17">
        <v>0</v>
      </c>
      <c r="J2077" s="99">
        <f>SUM(SamplingData[[#This Row],[Losing Candidate]:[Under Votes]])</f>
        <v>32</v>
      </c>
      <c r="K2077" s="100">
        <f>IF(AND(SamplingData[[#This Row],[Total]]&lt;&gt; 0, NOT(ISBLANK(SamplingData[[#This Row],[Losing Candidate]]))),(SamplingData[[#This Row],[Total]]+SamplingData[[#This Row],[Winning Candidate]]-SamplingData[[#This Row],[Losing Candidate]])/(SamplingData[[#Totals],[Winning Candidate]]-SamplingData[[#Totals],[Losing Candidate]]), 0)</f>
        <v>2.8172464478196961E-3</v>
      </c>
      <c r="L2077" s="100">
        <f>IF(AND(SamplingData[[#This Row],[Total]]&lt;&gt; 0, NOT(ISBLANK(SamplingData[[#This Row],[Candidate 3]]))),(SamplingData[[#This Row],[Total]]+SamplingData[[#This Row],[Winning Candidate]]-SamplingData[[#This Row],[Candidate 3]])/(SamplingData[[#Totals],[Winning Candidate]]-SamplingData[[#Totals],[Candidate 3]]), 0)</f>
        <v>1.6775817014549794E-3</v>
      </c>
      <c r="M2077" s="100">
        <f>IF(AND(SamplingData[[#This Row],[Total]]&lt;&gt; 0, NOT(ISBLANK(SamplingData[[#This Row],[Candidate 4]]))),(SamplingData[[#This Row],[Total]]+SamplingData[[#This Row],[Winning Candidate]]-SamplingData[[#This Row],[Candidate 4]])/(SamplingData[[#Totals],[Winning Candidate]]-SamplingData[[#Totals],[Candidate 4]]), 0)</f>
        <v>1.4616036715484229E-3</v>
      </c>
      <c r="N2077" s="100">
        <f>IF(AND(SamplingData[[#This Row],[Total]]&lt;&gt; 0, NOT(ISBLANK(SamplingData[[#This Row],[Candidate 5]]))),(SamplingData[[#This Row],[Total]]+SamplingData[[#This Row],[Winning Candidate]]-SamplingData[[#This Row],[Candidate 5]])/(SamplingData[[#Totals],[Winning Candidate]]-SamplingData[[#Totals],[Candidate 5]]), 0)</f>
        <v>1.2892240330819751E-3</v>
      </c>
      <c r="O2077" s="100">
        <f>IF(AND(SamplingData[[#This Row],[Total]]&lt;&gt; 0, NOT(ISBLANK(SamplingData[[#This Row],[Candidate 6]]))),(SamplingData[[#This Row],[Total]]+SamplingData[[#This Row],[Winning Candidate]]-SamplingData[[#This Row],[Candidate 6]])/(SamplingData[[#Totals],[Winning Candidate]]-SamplingData[[#Totals],[Candidate 6]]), 0)</f>
        <v>1.2888478186858616E-3</v>
      </c>
      <c r="P2077" s="100">
        <f>MAX(SamplingData[[#This Row],[Error Bound (up) - Max. possible relative overstatement - Losing Candidate]:[Error Bound (up) - Max. possible relative overstatement - Candidate 6]])</f>
        <v>2.8172464478196961E-3</v>
      </c>
      <c r="Q2077" s="100">
        <f>IF(SamplingData[[#This Row],[Max Error Bound (up)]] = 0,0,SamplingData[[#This Row],[Max Error Bound (up)]]/SamplingData[[#Totals],[Max Error Bound (up)]])</f>
        <v>4.4587562080850821E-4</v>
      </c>
      <c r="R2077" s="101">
        <f>SUM($Q$5:Q2077)</f>
        <v>0.93083562624053673</v>
      </c>
      <c r="S2077" s="100" t="str">
        <f t="array" ref="S2077">IF(SamplingData[[#This Row],[up/U Selection Probability]] = 0, "Zero", TEXT(SamplingData[[#This Row],[Lower Range]], REPT("0",LEN('General Info'!$B$40))) &amp; " - " &amp; TEXT(SamplingData[[#This Row],[Upper Range]], REPT("0",LEN('General Info'!$B$40))))</f>
        <v>93039 - 93083</v>
      </c>
      <c r="T2077" s="100">
        <f>SamplingData[[#This Row],[Upper Range]]-SamplingData[[#This Row],[Span]]</f>
        <v>93038.97550784843</v>
      </c>
      <c r="U2077" s="100">
        <f>IF(ISNUMBER('General Info'!$B$40), ((SamplingData[[#This Row],[up/U Selection Probability]]) * 'General Info'!$B$40) - 1, 0)</f>
        <v>43.587116205230011</v>
      </c>
      <c r="V2077" s="100">
        <f>IF(ISNUMBER('General Info'!$B$40), (SamplingData[[#This Row],[Running (cumulative) sum]] * ('General Info'!$B$40 -'General Info'!$B$41 + 1)) + 'General Info'!$B$41 - 1, 0)</f>
        <v>93082.562624053666</v>
      </c>
      <c r="W2077" s="100" t="str">
        <f>IF(ISERROR(MATCH(SamplingData[[#This Row],[Batch by Type (p)]],SelectedPrecincts[Batch Name], 0)), "", INDEX(SelectedPrecincts[Draw], MATCH(SamplingData[[#This Row],[Batch by Type (p)]],SelectedPrecincts[Batch Name], 0)))</f>
        <v/>
      </c>
      <c r="X2077" s="102">
        <f>IF(COUNTIF(SelectedPrecincts[Batch Name],SamplingData[[#This Row],[Batch by Type (p)]]) &lt;&gt; 0, COUNTIF(SelectedPrecincts[Batch Name],SamplingData[[#This Row],[Batch by Type (p)]]), 0)</f>
        <v>0</v>
      </c>
    </row>
    <row r="2078" spans="1:24" ht="15" customHeight="1">
      <c r="A2078" s="18" t="s">
        <v>2254</v>
      </c>
      <c r="B2078" s="18">
        <v>7</v>
      </c>
      <c r="C2078" s="18">
        <v>6</v>
      </c>
      <c r="D2078" s="18">
        <v>2</v>
      </c>
      <c r="E2078" s="18">
        <v>1</v>
      </c>
      <c r="F2078" s="18">
        <v>0</v>
      </c>
      <c r="G2078" s="18">
        <v>0</v>
      </c>
      <c r="H2078" s="18">
        <v>0</v>
      </c>
      <c r="I2078" s="18">
        <v>0</v>
      </c>
      <c r="J2078" s="99">
        <f>SUM(SamplingData[[#This Row],[Losing Candidate]:[Under Votes]])</f>
        <v>16</v>
      </c>
      <c r="K2078"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2078" s="100">
        <f>IF(AND(SamplingData[[#This Row],[Total]]&lt;&gt; 0, NOT(ISBLANK(SamplingData[[#This Row],[Candidate 3]]))),(SamplingData[[#This Row],[Total]]+SamplingData[[#This Row],[Winning Candidate]]-SamplingData[[#This Row],[Candidate 3]])/(SamplingData[[#Totals],[Winning Candidate]]-SamplingData[[#Totals],[Candidate 3]]), 0)</f>
        <v>6.4522373132883831E-4</v>
      </c>
      <c r="M2078" s="100">
        <f>IF(AND(SamplingData[[#This Row],[Total]]&lt;&gt; 0, NOT(ISBLANK(SamplingData[[#This Row],[Candidate 4]]))),(SamplingData[[#This Row],[Total]]+SamplingData[[#This Row],[Winning Candidate]]-SamplingData[[#This Row],[Candidate 4]])/(SamplingData[[#Totals],[Winning Candidate]]-SamplingData[[#Totals],[Candidate 4]]), 0)</f>
        <v>6.1387354205033758E-4</v>
      </c>
      <c r="N2078" s="100">
        <f>IF(AND(SamplingData[[#This Row],[Total]]&lt;&gt; 0, NOT(ISBLANK(SamplingData[[#This Row],[Candidate 5]]))),(SamplingData[[#This Row],[Total]]+SamplingData[[#This Row],[Winning Candidate]]-SamplingData[[#This Row],[Candidate 5]])/(SamplingData[[#Totals],[Winning Candidate]]-SamplingData[[#Totals],[Candidate 5]]), 0)</f>
        <v>5.3514959863780107E-4</v>
      </c>
      <c r="O2078" s="100">
        <f>IF(AND(SamplingData[[#This Row],[Total]]&lt;&gt; 0, NOT(ISBLANK(SamplingData[[#This Row],[Candidate 6]]))),(SamplingData[[#This Row],[Total]]+SamplingData[[#This Row],[Winning Candidate]]-SamplingData[[#This Row],[Candidate 6]])/(SamplingData[[#Totals],[Winning Candidate]]-SamplingData[[#Totals],[Candidate 6]]), 0)</f>
        <v>5.3499343417148966E-4</v>
      </c>
      <c r="P2078" s="100">
        <f>MAX(SamplingData[[#This Row],[Error Bound (up) - Max. possible relative overstatement - Losing Candidate]:[Error Bound (up) - Max. possible relative overstatement - Candidate 6]])</f>
        <v>9.1866731994120533E-4</v>
      </c>
      <c r="Q2078" s="100">
        <f>IF(SamplingData[[#This Row],[Max Error Bound (up)]] = 0,0,SamplingData[[#This Row],[Max Error Bound (up)]]/SamplingData[[#Totals],[Max Error Bound (up)]])</f>
        <v>1.4539422417668749E-4</v>
      </c>
      <c r="R2078" s="101">
        <f>SUM($Q$5:Q2078)</f>
        <v>0.93098102046471343</v>
      </c>
      <c r="S2078" s="100" t="str">
        <f t="array" ref="S2078">IF(SamplingData[[#This Row],[up/U Selection Probability]] = 0, "Zero", TEXT(SamplingData[[#This Row],[Lower Range]], REPT("0",LEN('General Info'!$B$40))) &amp; " - " &amp; TEXT(SamplingData[[#This Row],[Upper Range]], REPT("0",LEN('General Info'!$B$40))))</f>
        <v>93084 - 93097</v>
      </c>
      <c r="T2078" s="100">
        <f>SamplingData[[#This Row],[Upper Range]]-SamplingData[[#This Row],[Span]]</f>
        <v>93083.56276944789</v>
      </c>
      <c r="U2078" s="100">
        <f>IF(ISNUMBER('General Info'!$B$40), ((SamplingData[[#This Row],[up/U Selection Probability]]) * 'General Info'!$B$40) - 1, 0)</f>
        <v>13.539277023444573</v>
      </c>
      <c r="V2078" s="100">
        <f>IF(ISNUMBER('General Info'!$B$40), (SamplingData[[#This Row],[Running (cumulative) sum]] * ('General Info'!$B$40 -'General Info'!$B$41 + 1)) + 'General Info'!$B$41 - 1, 0)</f>
        <v>93097.102046471337</v>
      </c>
      <c r="W2078" s="100" t="str">
        <f>IF(ISERROR(MATCH(SamplingData[[#This Row],[Batch by Type (p)]],SelectedPrecincts[Batch Name], 0)), "", INDEX(SelectedPrecincts[Draw], MATCH(SamplingData[[#This Row],[Batch by Type (p)]],SelectedPrecincts[Batch Name], 0)))</f>
        <v/>
      </c>
      <c r="X2078" s="102">
        <f>IF(COUNTIF(SelectedPrecincts[Batch Name],SamplingData[[#This Row],[Batch by Type (p)]]) &lt;&gt; 0, COUNTIF(SelectedPrecincts[Batch Name],SamplingData[[#This Row],[Batch by Type (p)]]), 0)</f>
        <v>0</v>
      </c>
    </row>
    <row r="2079" spans="1:24" ht="15" customHeight="1">
      <c r="A2079" s="18" t="s">
        <v>2255</v>
      </c>
      <c r="B2079" s="18">
        <v>30</v>
      </c>
      <c r="C2079" s="18">
        <v>55</v>
      </c>
      <c r="D2079" s="16">
        <v>2</v>
      </c>
      <c r="E2079" s="16">
        <v>2</v>
      </c>
      <c r="F2079" s="37">
        <v>1</v>
      </c>
      <c r="G2079" s="37">
        <v>0</v>
      </c>
      <c r="H2079" s="17">
        <v>0</v>
      </c>
      <c r="I2079" s="17">
        <v>1</v>
      </c>
      <c r="J2079" s="99">
        <f>SUM(SamplingData[[#This Row],[Losing Candidate]:[Under Votes]])</f>
        <v>91</v>
      </c>
      <c r="K2079" s="100">
        <f>IF(AND(SamplingData[[#This Row],[Total]]&lt;&gt; 0, NOT(ISBLANK(SamplingData[[#This Row],[Losing Candidate]]))),(SamplingData[[#This Row],[Total]]+SamplingData[[#This Row],[Winning Candidate]]-SamplingData[[#This Row],[Losing Candidate]])/(SamplingData[[#Totals],[Winning Candidate]]-SamplingData[[#Totals],[Losing Candidate]]), 0)</f>
        <v>7.104360607545321E-3</v>
      </c>
      <c r="L2079" s="100">
        <f>IF(AND(SamplingData[[#This Row],[Total]]&lt;&gt; 0, NOT(ISBLANK(SamplingData[[#This Row],[Candidate 3]]))),(SamplingData[[#This Row],[Total]]+SamplingData[[#This Row],[Winning Candidate]]-SamplingData[[#This Row],[Candidate 3]])/(SamplingData[[#Totals],[Winning Candidate]]-SamplingData[[#Totals],[Candidate 3]]), 0)</f>
        <v>4.6456108655676355E-3</v>
      </c>
      <c r="M2079" s="100">
        <f>IF(AND(SamplingData[[#This Row],[Total]]&lt;&gt; 0, NOT(ISBLANK(SamplingData[[#This Row],[Candidate 4]]))),(SamplingData[[#This Row],[Total]]+SamplingData[[#This Row],[Winning Candidate]]-SamplingData[[#This Row],[Candidate 4]])/(SamplingData[[#Totals],[Winning Candidate]]-SamplingData[[#Totals],[Candidate 4]]), 0)</f>
        <v>4.2094185740594583E-3</v>
      </c>
      <c r="N2079" s="100">
        <f>IF(AND(SamplingData[[#This Row],[Total]]&lt;&gt; 0, NOT(ISBLANK(SamplingData[[#This Row],[Candidate 5]]))),(SamplingData[[#This Row],[Total]]+SamplingData[[#This Row],[Winning Candidate]]-SamplingData[[#This Row],[Candidate 5]])/(SamplingData[[#Totals],[Winning Candidate]]-SamplingData[[#Totals],[Candidate 5]]), 0)</f>
        <v>3.5271223546582339E-3</v>
      </c>
      <c r="O2079" s="100">
        <f>IF(AND(SamplingData[[#This Row],[Total]]&lt;&gt; 0, NOT(ISBLANK(SamplingData[[#This Row],[Candidate 6]]))),(SamplingData[[#This Row],[Total]]+SamplingData[[#This Row],[Winning Candidate]]-SamplingData[[#This Row],[Candidate 6]])/(SamplingData[[#Totals],[Winning Candidate]]-SamplingData[[#Totals],[Candidate 6]]), 0)</f>
        <v>3.5504109722289774E-3</v>
      </c>
      <c r="P2079" s="100">
        <f>MAX(SamplingData[[#This Row],[Error Bound (up) - Max. possible relative overstatement - Losing Candidate]:[Error Bound (up) - Max. possible relative overstatement - Candidate 6]])</f>
        <v>7.104360607545321E-3</v>
      </c>
      <c r="Q2079" s="100">
        <f>IF(SamplingData[[#This Row],[Max Error Bound (up)]] = 0,0,SamplingData[[#This Row],[Max Error Bound (up)]]/SamplingData[[#Totals],[Max Error Bound (up)]])</f>
        <v>1.1243820002997166E-3</v>
      </c>
      <c r="R2079" s="101">
        <f>SUM($Q$5:Q2079)</f>
        <v>0.93210540246501317</v>
      </c>
      <c r="S2079" s="100" t="str">
        <f t="array" ref="S2079">IF(SamplingData[[#This Row],[up/U Selection Probability]] = 0, "Zero", TEXT(SamplingData[[#This Row],[Lower Range]], REPT("0",LEN('General Info'!$B$40))) &amp; " - " &amp; TEXT(SamplingData[[#This Row],[Upper Range]], REPT("0",LEN('General Info'!$B$40))))</f>
        <v>93098 - 93210</v>
      </c>
      <c r="T2079" s="100">
        <f>SamplingData[[#This Row],[Upper Range]]-SamplingData[[#This Row],[Span]]</f>
        <v>93098.103170853341</v>
      </c>
      <c r="U2079" s="100">
        <f>IF(ISNUMBER('General Info'!$B$40), ((SamplingData[[#This Row],[up/U Selection Probability]]) * 'General Info'!$B$40) - 1, 0)</f>
        <v>111.43707564797135</v>
      </c>
      <c r="V2079" s="100">
        <f>IF(ISNUMBER('General Info'!$B$40), (SamplingData[[#This Row],[Running (cumulative) sum]] * ('General Info'!$B$40 -'General Info'!$B$41 + 1)) + 'General Info'!$B$41 - 1, 0)</f>
        <v>93209.540246501318</v>
      </c>
      <c r="W2079" s="100" t="str">
        <f>IF(ISERROR(MATCH(SamplingData[[#This Row],[Batch by Type (p)]],SelectedPrecincts[Batch Name], 0)), "", INDEX(SelectedPrecincts[Draw], MATCH(SamplingData[[#This Row],[Batch by Type (p)]],SelectedPrecincts[Batch Name], 0)))</f>
        <v/>
      </c>
      <c r="X2079" s="102">
        <f>IF(COUNTIF(SelectedPrecincts[Batch Name],SamplingData[[#This Row],[Batch by Type (p)]]) &lt;&gt; 0, COUNTIF(SelectedPrecincts[Batch Name],SamplingData[[#This Row],[Batch by Type (p)]]), 0)</f>
        <v>0</v>
      </c>
    </row>
    <row r="2080" spans="1:24" ht="15" customHeight="1">
      <c r="A2080" s="18" t="s">
        <v>2256</v>
      </c>
      <c r="B2080" s="18">
        <v>5</v>
      </c>
      <c r="C2080" s="18">
        <v>14</v>
      </c>
      <c r="D2080" s="18">
        <v>0</v>
      </c>
      <c r="E2080" s="18">
        <v>0</v>
      </c>
      <c r="F2080" s="18">
        <v>1</v>
      </c>
      <c r="G2080" s="18">
        <v>1</v>
      </c>
      <c r="H2080" s="18">
        <v>0</v>
      </c>
      <c r="I2080" s="18">
        <v>0</v>
      </c>
      <c r="J2080" s="99">
        <f>SUM(SamplingData[[#This Row],[Losing Candidate]:[Under Votes]])</f>
        <v>21</v>
      </c>
      <c r="K2080" s="100">
        <f>IF(AND(SamplingData[[#This Row],[Total]]&lt;&gt; 0, NOT(ISBLANK(SamplingData[[#This Row],[Losing Candidate]]))),(SamplingData[[#This Row],[Total]]+SamplingData[[#This Row],[Winning Candidate]]-SamplingData[[#This Row],[Losing Candidate]])/(SamplingData[[#Totals],[Winning Candidate]]-SamplingData[[#Totals],[Losing Candidate]]), 0)</f>
        <v>1.8373346398824107E-3</v>
      </c>
      <c r="L2080" s="100">
        <f>IF(AND(SamplingData[[#This Row],[Total]]&lt;&gt; 0, NOT(ISBLANK(SamplingData[[#This Row],[Candidate 3]]))),(SamplingData[[#This Row],[Total]]+SamplingData[[#This Row],[Winning Candidate]]-SamplingData[[#This Row],[Candidate 3]])/(SamplingData[[#Totals],[Winning Candidate]]-SamplingData[[#Totals],[Candidate 3]]), 0)</f>
        <v>1.1291415298254669E-3</v>
      </c>
      <c r="M2080" s="100">
        <f>IF(AND(SamplingData[[#This Row],[Total]]&lt;&gt; 0, NOT(ISBLANK(SamplingData[[#This Row],[Candidate 4]]))),(SamplingData[[#This Row],[Total]]+SamplingData[[#This Row],[Winning Candidate]]-SamplingData[[#This Row],[Candidate 4]])/(SamplingData[[#Totals],[Winning Candidate]]-SamplingData[[#Totals],[Candidate 4]]), 0)</f>
        <v>1.0231225700838961E-3</v>
      </c>
      <c r="N2080" s="100">
        <f>IF(AND(SamplingData[[#This Row],[Total]]&lt;&gt; 0, NOT(ISBLANK(SamplingData[[#This Row],[Candidate 5]]))),(SamplingData[[#This Row],[Total]]+SamplingData[[#This Row],[Winning Candidate]]-SamplingData[[#This Row],[Candidate 5]])/(SamplingData[[#Totals],[Winning Candidate]]-SamplingData[[#Totals],[Candidate 5]]), 0)</f>
        <v>8.2704937971296523E-4</v>
      </c>
      <c r="O2080" s="100">
        <f>IF(AND(SamplingData[[#This Row],[Total]]&lt;&gt; 0, NOT(ISBLANK(SamplingData[[#This Row],[Candidate 6]]))),(SamplingData[[#This Row],[Total]]+SamplingData[[#This Row],[Winning Candidate]]-SamplingData[[#This Row],[Candidate 6]])/(SamplingData[[#Totals],[Winning Candidate]]-SamplingData[[#Totals],[Candidate 6]]), 0)</f>
        <v>8.2680803462866588E-4</v>
      </c>
      <c r="P2080" s="100">
        <f>MAX(SamplingData[[#This Row],[Error Bound (up) - Max. possible relative overstatement - Losing Candidate]:[Error Bound (up) - Max. possible relative overstatement - Candidate 6]])</f>
        <v>1.8373346398824107E-3</v>
      </c>
      <c r="Q2080" s="100">
        <f>IF(SamplingData[[#This Row],[Max Error Bound (up)]] = 0,0,SamplingData[[#This Row],[Max Error Bound (up)]]/SamplingData[[#Totals],[Max Error Bound (up)]])</f>
        <v>2.9078844835337498E-4</v>
      </c>
      <c r="R2080" s="101">
        <f>SUM($Q$5:Q2080)</f>
        <v>0.93239619091336656</v>
      </c>
      <c r="S2080" s="100" t="str">
        <f t="array" ref="S2080">IF(SamplingData[[#This Row],[up/U Selection Probability]] = 0, "Zero", TEXT(SamplingData[[#This Row],[Lower Range]], REPT("0",LEN('General Info'!$B$40))) &amp; " - " &amp; TEXT(SamplingData[[#This Row],[Upper Range]], REPT("0",LEN('General Info'!$B$40))))</f>
        <v>93211 - 93239</v>
      </c>
      <c r="T2080" s="100">
        <f>SamplingData[[#This Row],[Upper Range]]-SamplingData[[#This Row],[Span]]</f>
        <v>93210.540537289766</v>
      </c>
      <c r="U2080" s="100">
        <f>IF(ISNUMBER('General Info'!$B$40), ((SamplingData[[#This Row],[up/U Selection Probability]]) * 'General Info'!$B$40) - 1, 0)</f>
        <v>28.078554046889145</v>
      </c>
      <c r="V2080" s="100">
        <f>IF(ISNUMBER('General Info'!$B$40), (SamplingData[[#This Row],[Running (cumulative) sum]] * ('General Info'!$B$40 -'General Info'!$B$41 + 1)) + 'General Info'!$B$41 - 1, 0)</f>
        <v>93238.619091336659</v>
      </c>
      <c r="W2080" s="100" t="str">
        <f>IF(ISERROR(MATCH(SamplingData[[#This Row],[Batch by Type (p)]],SelectedPrecincts[Batch Name], 0)), "", INDEX(SelectedPrecincts[Draw], MATCH(SamplingData[[#This Row],[Batch by Type (p)]],SelectedPrecincts[Batch Name], 0)))</f>
        <v/>
      </c>
      <c r="X2080" s="102">
        <f>IF(COUNTIF(SelectedPrecincts[Batch Name],SamplingData[[#This Row],[Batch by Type (p)]]) &lt;&gt; 0, COUNTIF(SelectedPrecincts[Batch Name],SamplingData[[#This Row],[Batch by Type (p)]]), 0)</f>
        <v>0</v>
      </c>
    </row>
    <row r="2081" spans="1:24" ht="15" customHeight="1">
      <c r="A2081" s="18" t="s">
        <v>2257</v>
      </c>
      <c r="B2081" s="18">
        <v>47</v>
      </c>
      <c r="C2081" s="18">
        <v>57</v>
      </c>
      <c r="D2081" s="16">
        <v>17</v>
      </c>
      <c r="E2081" s="16">
        <v>30</v>
      </c>
      <c r="F2081" s="37">
        <v>0</v>
      </c>
      <c r="G2081" s="37">
        <v>3</v>
      </c>
      <c r="H2081" s="17">
        <v>0</v>
      </c>
      <c r="I2081" s="17">
        <v>6</v>
      </c>
      <c r="J2081" s="99">
        <f>SUM(SamplingData[[#This Row],[Losing Candidate]:[Under Votes]])</f>
        <v>160</v>
      </c>
      <c r="K2081" s="100">
        <f>IF(AND(SamplingData[[#This Row],[Total]]&lt;&gt; 0, NOT(ISBLANK(SamplingData[[#This Row],[Losing Candidate]]))),(SamplingData[[#This Row],[Total]]+SamplingData[[#This Row],[Winning Candidate]]-SamplingData[[#This Row],[Losing Candidate]])/(SamplingData[[#Totals],[Winning Candidate]]-SamplingData[[#Totals],[Losing Candidate]]), 0)</f>
        <v>1.041156295933366E-2</v>
      </c>
      <c r="L2081" s="100">
        <f>IF(AND(SamplingData[[#This Row],[Total]]&lt;&gt; 0, NOT(ISBLANK(SamplingData[[#This Row],[Candidate 3]]))),(SamplingData[[#This Row],[Total]]+SamplingData[[#This Row],[Winning Candidate]]-SamplingData[[#This Row],[Candidate 3]])/(SamplingData[[#Totals],[Winning Candidate]]-SamplingData[[#Totals],[Candidate 3]]), 0)</f>
        <v>6.4522373132883826E-3</v>
      </c>
      <c r="M2081" s="100">
        <f>IF(AND(SamplingData[[#This Row],[Total]]&lt;&gt; 0, NOT(ISBLANK(SamplingData[[#This Row],[Candidate 4]]))),(SamplingData[[#This Row],[Total]]+SamplingData[[#This Row],[Winning Candidate]]-SamplingData[[#This Row],[Candidate 4]])/(SamplingData[[#Totals],[Winning Candidate]]-SamplingData[[#Totals],[Candidate 4]]), 0)</f>
        <v>5.4663977315911015E-3</v>
      </c>
      <c r="N2081" s="100">
        <f>IF(AND(SamplingData[[#This Row],[Total]]&lt;&gt; 0, NOT(ISBLANK(SamplingData[[#This Row],[Candidate 5]]))),(SamplingData[[#This Row],[Total]]+SamplingData[[#This Row],[Winning Candidate]]-SamplingData[[#This Row],[Candidate 5]])/(SamplingData[[#Totals],[Winning Candidate]]-SamplingData[[#Totals],[Candidate 5]]), 0)</f>
        <v>5.2785210411092189E-3</v>
      </c>
      <c r="O2081" s="100">
        <f>IF(AND(SamplingData[[#This Row],[Total]]&lt;&gt; 0, NOT(ISBLANK(SamplingData[[#This Row],[Candidate 6]]))),(SamplingData[[#This Row],[Total]]+SamplingData[[#This Row],[Winning Candidate]]-SamplingData[[#This Row],[Candidate 6]])/(SamplingData[[#Totals],[Winning Candidate]]-SamplingData[[#Totals],[Candidate 6]]), 0)</f>
        <v>5.2040270414863091E-3</v>
      </c>
      <c r="P2081" s="100">
        <f>MAX(SamplingData[[#This Row],[Error Bound (up) - Max. possible relative overstatement - Losing Candidate]:[Error Bound (up) - Max. possible relative overstatement - Candidate 6]])</f>
        <v>1.041156295933366E-2</v>
      </c>
      <c r="Q2081" s="100">
        <f>IF(SamplingData[[#This Row],[Max Error Bound (up)]] = 0,0,SamplingData[[#This Row],[Max Error Bound (up)]]/SamplingData[[#Totals],[Max Error Bound (up)]])</f>
        <v>1.6478012073357915E-3</v>
      </c>
      <c r="R2081" s="101">
        <f>SUM($Q$5:Q2081)</f>
        <v>0.93404399212070233</v>
      </c>
      <c r="S2081" s="100" t="str">
        <f t="array" ref="S2081">IF(SamplingData[[#This Row],[up/U Selection Probability]] = 0, "Zero", TEXT(SamplingData[[#This Row],[Lower Range]], REPT("0",LEN('General Info'!$B$40))) &amp; " - " &amp; TEXT(SamplingData[[#This Row],[Upper Range]], REPT("0",LEN('General Info'!$B$40))))</f>
        <v>93240 - 93403</v>
      </c>
      <c r="T2081" s="100">
        <f>SamplingData[[#This Row],[Upper Range]]-SamplingData[[#This Row],[Span]]</f>
        <v>93239.620739137856</v>
      </c>
      <c r="U2081" s="100">
        <f>IF(ISNUMBER('General Info'!$B$40), ((SamplingData[[#This Row],[up/U Selection Probability]]) * 'General Info'!$B$40) - 1, 0)</f>
        <v>163.77847293237181</v>
      </c>
      <c r="V2081" s="100">
        <f>IF(ISNUMBER('General Info'!$B$40), (SamplingData[[#This Row],[Running (cumulative) sum]] * ('General Info'!$B$40 -'General Info'!$B$41 + 1)) + 'General Info'!$B$41 - 1, 0)</f>
        <v>93403.399212070231</v>
      </c>
      <c r="W2081" s="100" t="str">
        <f>IF(ISERROR(MATCH(SamplingData[[#This Row],[Batch by Type (p)]],SelectedPrecincts[Batch Name], 0)), "", INDEX(SelectedPrecincts[Draw], MATCH(SamplingData[[#This Row],[Batch by Type (p)]],SelectedPrecincts[Batch Name], 0)))</f>
        <v/>
      </c>
      <c r="X2081" s="102">
        <f>IF(COUNTIF(SelectedPrecincts[Batch Name],SamplingData[[#This Row],[Batch by Type (p)]]) &lt;&gt; 0, COUNTIF(SelectedPrecincts[Batch Name],SamplingData[[#This Row],[Batch by Type (p)]]), 0)</f>
        <v>0</v>
      </c>
    </row>
    <row r="2082" spans="1:24" ht="15" customHeight="1">
      <c r="A2082" s="18" t="s">
        <v>2258</v>
      </c>
      <c r="B2082" s="18">
        <v>18</v>
      </c>
      <c r="C2082" s="18">
        <v>10</v>
      </c>
      <c r="D2082" s="18">
        <v>4</v>
      </c>
      <c r="E2082" s="18">
        <v>9</v>
      </c>
      <c r="F2082" s="18">
        <v>0</v>
      </c>
      <c r="G2082" s="18">
        <v>0</v>
      </c>
      <c r="H2082" s="18">
        <v>0</v>
      </c>
      <c r="I2082" s="18">
        <v>1</v>
      </c>
      <c r="J2082" s="99">
        <f>SUM(SamplingData[[#This Row],[Losing Candidate]:[Under Votes]])</f>
        <v>42</v>
      </c>
      <c r="K2082" s="100">
        <f>IF(AND(SamplingData[[#This Row],[Total]]&lt;&gt; 0, NOT(ISBLANK(SamplingData[[#This Row],[Losing Candidate]]))),(SamplingData[[#This Row],[Total]]+SamplingData[[#This Row],[Winning Candidate]]-SamplingData[[#This Row],[Losing Candidate]])/(SamplingData[[#Totals],[Winning Candidate]]-SamplingData[[#Totals],[Losing Candidate]]), 0)</f>
        <v>2.0823125918667321E-3</v>
      </c>
      <c r="L2082" s="100">
        <f>IF(AND(SamplingData[[#This Row],[Total]]&lt;&gt; 0, NOT(ISBLANK(SamplingData[[#This Row],[Candidate 3]]))),(SamplingData[[#This Row],[Total]]+SamplingData[[#This Row],[Winning Candidate]]-SamplingData[[#This Row],[Candidate 3]])/(SamplingData[[#Totals],[Winning Candidate]]-SamplingData[[#Totals],[Candidate 3]]), 0)</f>
        <v>1.5485369551892119E-3</v>
      </c>
      <c r="M2082" s="100">
        <f>IF(AND(SamplingData[[#This Row],[Total]]&lt;&gt; 0, NOT(ISBLANK(SamplingData[[#This Row],[Candidate 4]]))),(SamplingData[[#This Row],[Total]]+SamplingData[[#This Row],[Winning Candidate]]-SamplingData[[#This Row],[Candidate 4]])/(SamplingData[[#Totals],[Winning Candidate]]-SamplingData[[#Totals],[Candidate 4]]), 0)</f>
        <v>1.2569791575316436E-3</v>
      </c>
      <c r="N2082" s="100">
        <f>IF(AND(SamplingData[[#This Row],[Total]]&lt;&gt; 0, NOT(ISBLANK(SamplingData[[#This Row],[Candidate 5]]))),(SamplingData[[#This Row],[Total]]+SamplingData[[#This Row],[Winning Candidate]]-SamplingData[[#This Row],[Candidate 5]])/(SamplingData[[#Totals],[Winning Candidate]]-SamplingData[[#Totals],[Candidate 5]]), 0)</f>
        <v>1.2648990513257116E-3</v>
      </c>
      <c r="O2082" s="100">
        <f>IF(AND(SamplingData[[#This Row],[Total]]&lt;&gt; 0, NOT(ISBLANK(SamplingData[[#This Row],[Candidate 6]]))),(SamplingData[[#This Row],[Total]]+SamplingData[[#This Row],[Winning Candidate]]-SamplingData[[#This Row],[Candidate 6]])/(SamplingData[[#Totals],[Winning Candidate]]-SamplingData[[#Totals],[Candidate 6]]), 0)</f>
        <v>1.2645299353144302E-3</v>
      </c>
      <c r="P2082" s="100">
        <f>MAX(SamplingData[[#This Row],[Error Bound (up) - Max. possible relative overstatement - Losing Candidate]:[Error Bound (up) - Max. possible relative overstatement - Candidate 6]])</f>
        <v>2.0823125918667321E-3</v>
      </c>
      <c r="Q2082" s="100">
        <f>IF(SamplingData[[#This Row],[Max Error Bound (up)]] = 0,0,SamplingData[[#This Row],[Max Error Bound (up)]]/SamplingData[[#Totals],[Max Error Bound (up)]])</f>
        <v>3.2956024146715829E-4</v>
      </c>
      <c r="R2082" s="101">
        <f>SUM($Q$5:Q2082)</f>
        <v>0.93437355236216946</v>
      </c>
      <c r="S2082" s="100" t="str">
        <f t="array" ref="S2082">IF(SamplingData[[#This Row],[up/U Selection Probability]] = 0, "Zero", TEXT(SamplingData[[#This Row],[Lower Range]], REPT("0",LEN('General Info'!$B$40))) &amp; " - " &amp; TEXT(SamplingData[[#This Row],[Upper Range]], REPT("0",LEN('General Info'!$B$40))))</f>
        <v>93404 - 93436</v>
      </c>
      <c r="T2082" s="100">
        <f>SamplingData[[#This Row],[Upper Range]]-SamplingData[[#This Row],[Span]]</f>
        <v>93404.399541630468</v>
      </c>
      <c r="U2082" s="100">
        <f>IF(ISNUMBER('General Info'!$B$40), ((SamplingData[[#This Row],[up/U Selection Probability]]) * 'General Info'!$B$40) - 1, 0)</f>
        <v>31.955694586474358</v>
      </c>
      <c r="V2082" s="100">
        <f>IF(ISNUMBER('General Info'!$B$40), (SamplingData[[#This Row],[Running (cumulative) sum]] * ('General Info'!$B$40 -'General Info'!$B$41 + 1)) + 'General Info'!$B$41 - 1, 0)</f>
        <v>93436.355236216943</v>
      </c>
      <c r="W2082" s="100" t="str">
        <f>IF(ISERROR(MATCH(SamplingData[[#This Row],[Batch by Type (p)]],SelectedPrecincts[Batch Name], 0)), "", INDEX(SelectedPrecincts[Draw], MATCH(SamplingData[[#This Row],[Batch by Type (p)]],SelectedPrecincts[Batch Name], 0)))</f>
        <v/>
      </c>
      <c r="X2082" s="102">
        <f>IF(COUNTIF(SelectedPrecincts[Batch Name],SamplingData[[#This Row],[Batch by Type (p)]]) &lt;&gt; 0, COUNTIF(SelectedPrecincts[Batch Name],SamplingData[[#This Row],[Batch by Type (p)]]), 0)</f>
        <v>0</v>
      </c>
    </row>
    <row r="2083" spans="1:24" ht="15" customHeight="1">
      <c r="A2083" s="18" t="s">
        <v>2259</v>
      </c>
      <c r="B2083" s="18">
        <v>47</v>
      </c>
      <c r="C2083" s="18">
        <v>97</v>
      </c>
      <c r="D2083" s="16">
        <v>23</v>
      </c>
      <c r="E2083" s="16">
        <v>17</v>
      </c>
      <c r="F2083" s="37">
        <v>0</v>
      </c>
      <c r="G2083" s="37">
        <v>1</v>
      </c>
      <c r="H2083" s="17">
        <v>0</v>
      </c>
      <c r="I2083" s="17">
        <v>6</v>
      </c>
      <c r="J2083" s="99">
        <f>SUM(SamplingData[[#This Row],[Losing Candidate]:[Under Votes]])</f>
        <v>191</v>
      </c>
      <c r="K2083" s="100">
        <f>IF(AND(SamplingData[[#This Row],[Total]]&lt;&gt; 0, NOT(ISBLANK(SamplingData[[#This Row],[Losing Candidate]]))),(SamplingData[[#This Row],[Total]]+SamplingData[[#This Row],[Winning Candidate]]-SamplingData[[#This Row],[Losing Candidate]])/(SamplingData[[#Totals],[Winning Candidate]]-SamplingData[[#Totals],[Losing Candidate]]), 0)</f>
        <v>1.4759921607055365E-2</v>
      </c>
      <c r="L2083" s="100">
        <f>IF(AND(SamplingData[[#This Row],[Total]]&lt;&gt; 0, NOT(ISBLANK(SamplingData[[#This Row],[Candidate 3]]))),(SamplingData[[#This Row],[Total]]+SamplingData[[#This Row],[Winning Candidate]]-SamplingData[[#This Row],[Candidate 3]])/(SamplingData[[#Totals],[Winning Candidate]]-SamplingData[[#Totals],[Candidate 3]]), 0)</f>
        <v>8.5492144401071064E-3</v>
      </c>
      <c r="M2083" s="100">
        <f>IF(AND(SamplingData[[#This Row],[Total]]&lt;&gt; 0, NOT(ISBLANK(SamplingData[[#This Row],[Candidate 4]]))),(SamplingData[[#This Row],[Total]]+SamplingData[[#This Row],[Winning Candidate]]-SamplingData[[#This Row],[Candidate 4]])/(SamplingData[[#Totals],[Winning Candidate]]-SamplingData[[#Totals],[Candidate 4]]), 0)</f>
        <v>7.9218918997924527E-3</v>
      </c>
      <c r="N2083" s="100">
        <f>IF(AND(SamplingData[[#This Row],[Total]]&lt;&gt; 0, NOT(ISBLANK(SamplingData[[#This Row],[Candidate 5]]))),(SamplingData[[#This Row],[Total]]+SamplingData[[#This Row],[Winning Candidate]]-SamplingData[[#This Row],[Candidate 5]])/(SamplingData[[#Totals],[Winning Candidate]]-SamplingData[[#Totals],[Candidate 5]]), 0)</f>
        <v>7.0055947458039407E-3</v>
      </c>
      <c r="O2083" s="100">
        <f>IF(AND(SamplingData[[#This Row],[Total]]&lt;&gt; 0, NOT(ISBLANK(SamplingData[[#This Row],[Candidate 6]]))),(SamplingData[[#This Row],[Total]]+SamplingData[[#This Row],[Winning Candidate]]-SamplingData[[#This Row],[Candidate 6]])/(SamplingData[[#Totals],[Winning Candidate]]-SamplingData[[#Totals],[Candidate 6]]), 0)</f>
        <v>6.9792325276007974E-3</v>
      </c>
      <c r="P2083" s="100">
        <f>MAX(SamplingData[[#This Row],[Error Bound (up) - Max. possible relative overstatement - Losing Candidate]:[Error Bound (up) - Max. possible relative overstatement - Candidate 6]])</f>
        <v>1.4759921607055365E-2</v>
      </c>
      <c r="Q2083" s="100">
        <f>IF(SamplingData[[#This Row],[Max Error Bound (up)]] = 0,0,SamplingData[[#This Row],[Max Error Bound (up)]]/SamplingData[[#Totals],[Max Error Bound (up)]])</f>
        <v>2.3360005351054456E-3</v>
      </c>
      <c r="R2083" s="101">
        <f>SUM($Q$5:Q2083)</f>
        <v>0.93670955289727487</v>
      </c>
      <c r="S2083" s="100" t="str">
        <f t="array" ref="S2083">IF(SamplingData[[#This Row],[up/U Selection Probability]] = 0, "Zero", TEXT(SamplingData[[#This Row],[Lower Range]], REPT("0",LEN('General Info'!$B$40))) &amp; " - " &amp; TEXT(SamplingData[[#This Row],[Upper Range]], REPT("0",LEN('General Info'!$B$40))))</f>
        <v>93437 - 93670</v>
      </c>
      <c r="T2083" s="100">
        <f>SamplingData[[#This Row],[Upper Range]]-SamplingData[[#This Row],[Span]]</f>
        <v>93437.357572217472</v>
      </c>
      <c r="U2083" s="100">
        <f>IF(ISNUMBER('General Info'!$B$40), ((SamplingData[[#This Row],[up/U Selection Probability]]) * 'General Info'!$B$40) - 1, 0)</f>
        <v>232.59771751000946</v>
      </c>
      <c r="V2083" s="100">
        <f>IF(ISNUMBER('General Info'!$B$40), (SamplingData[[#This Row],[Running (cumulative) sum]] * ('General Info'!$B$40 -'General Info'!$B$41 + 1)) + 'General Info'!$B$41 - 1, 0)</f>
        <v>93669.955289727484</v>
      </c>
      <c r="W2083" s="100" t="str">
        <f>IF(ISERROR(MATCH(SamplingData[[#This Row],[Batch by Type (p)]],SelectedPrecincts[Batch Name], 0)), "", INDEX(SelectedPrecincts[Draw], MATCH(SamplingData[[#This Row],[Batch by Type (p)]],SelectedPrecincts[Batch Name], 0)))</f>
        <v/>
      </c>
      <c r="X2083" s="102">
        <f>IF(COUNTIF(SelectedPrecincts[Batch Name],SamplingData[[#This Row],[Batch by Type (p)]]) &lt;&gt; 0, COUNTIF(SelectedPrecincts[Batch Name],SamplingData[[#This Row],[Batch by Type (p)]]), 0)</f>
        <v>0</v>
      </c>
    </row>
    <row r="2084" spans="1:24" ht="15" customHeight="1">
      <c r="A2084" s="18" t="s">
        <v>2260</v>
      </c>
      <c r="B2084" s="18">
        <v>36</v>
      </c>
      <c r="C2084" s="18">
        <v>34</v>
      </c>
      <c r="D2084" s="18">
        <v>17</v>
      </c>
      <c r="E2084" s="18">
        <v>9</v>
      </c>
      <c r="F2084" s="18">
        <v>0</v>
      </c>
      <c r="G2084" s="18">
        <v>1</v>
      </c>
      <c r="H2084" s="18">
        <v>0</v>
      </c>
      <c r="I2084" s="18">
        <v>5</v>
      </c>
      <c r="J2084" s="99">
        <f>SUM(SamplingData[[#This Row],[Losing Candidate]:[Under Votes]])</f>
        <v>102</v>
      </c>
      <c r="K2084" s="100">
        <f>IF(AND(SamplingData[[#This Row],[Total]]&lt;&gt; 0, NOT(ISBLANK(SamplingData[[#This Row],[Losing Candidate]]))),(SamplingData[[#This Row],[Total]]+SamplingData[[#This Row],[Winning Candidate]]-SamplingData[[#This Row],[Losing Candidate]])/(SamplingData[[#Totals],[Winning Candidate]]-SamplingData[[#Totals],[Losing Candidate]]), 0)</f>
        <v>6.1244487996080354E-3</v>
      </c>
      <c r="L2084" s="100">
        <f>IF(AND(SamplingData[[#This Row],[Total]]&lt;&gt; 0, NOT(ISBLANK(SamplingData[[#This Row],[Candidate 3]]))),(SamplingData[[#This Row],[Total]]+SamplingData[[#This Row],[Winning Candidate]]-SamplingData[[#This Row],[Candidate 3]])/(SamplingData[[#Totals],[Winning Candidate]]-SamplingData[[#Totals],[Candidate 3]]), 0)</f>
        <v>3.8390812014065879E-3</v>
      </c>
      <c r="M2084" s="100">
        <f>IF(AND(SamplingData[[#This Row],[Total]]&lt;&gt; 0, NOT(ISBLANK(SamplingData[[#This Row],[Candidate 4]]))),(SamplingData[[#This Row],[Total]]+SamplingData[[#This Row],[Winning Candidate]]-SamplingData[[#This Row],[Candidate 4]])/(SamplingData[[#Totals],[Winning Candidate]]-SamplingData[[#Totals],[Candidate 4]]), 0)</f>
        <v>3.7124733257329944E-3</v>
      </c>
      <c r="N2084" s="100">
        <f>IF(AND(SamplingData[[#This Row],[Total]]&lt;&gt; 0, NOT(ISBLANK(SamplingData[[#This Row],[Candidate 5]]))),(SamplingData[[#This Row],[Total]]+SamplingData[[#This Row],[Winning Candidate]]-SamplingData[[#This Row],[Candidate 5]])/(SamplingData[[#Totals],[Winning Candidate]]-SamplingData[[#Totals],[Candidate 5]]), 0)</f>
        <v>3.3081975188518609E-3</v>
      </c>
      <c r="O2084" s="100">
        <f>IF(AND(SamplingData[[#This Row],[Total]]&lt;&gt; 0, NOT(ISBLANK(SamplingData[[#This Row],[Candidate 6]]))),(SamplingData[[#This Row],[Total]]+SamplingData[[#This Row],[Winning Candidate]]-SamplingData[[#This Row],[Candidate 6]])/(SamplingData[[#Totals],[Winning Candidate]]-SamplingData[[#Totals],[Candidate 6]]), 0)</f>
        <v>3.2829142551432321E-3</v>
      </c>
      <c r="P2084" s="100">
        <f>MAX(SamplingData[[#This Row],[Error Bound (up) - Max. possible relative overstatement - Losing Candidate]:[Error Bound (up) - Max. possible relative overstatement - Candidate 6]])</f>
        <v>6.1244487996080354E-3</v>
      </c>
      <c r="Q2084" s="100">
        <f>IF(SamplingData[[#This Row],[Max Error Bound (up)]] = 0,0,SamplingData[[#This Row],[Max Error Bound (up)]]/SamplingData[[#Totals],[Max Error Bound (up)]])</f>
        <v>9.6929482784458313E-4</v>
      </c>
      <c r="R2084" s="101">
        <f>SUM($Q$5:Q2084)</f>
        <v>0.93767884772511945</v>
      </c>
      <c r="S2084" s="100" t="str">
        <f t="array" ref="S2084">IF(SamplingData[[#This Row],[up/U Selection Probability]] = 0, "Zero", TEXT(SamplingData[[#This Row],[Lower Range]], REPT("0",LEN('General Info'!$B$40))) &amp; " - " &amp; TEXT(SamplingData[[#This Row],[Upper Range]], REPT("0",LEN('General Info'!$B$40))))</f>
        <v>93671 - 93767</v>
      </c>
      <c r="T2084" s="100">
        <f>SamplingData[[#This Row],[Upper Range]]-SamplingData[[#This Row],[Span]]</f>
        <v>93670.956259022307</v>
      </c>
      <c r="U2084" s="100">
        <f>IF(ISNUMBER('General Info'!$B$40), ((SamplingData[[#This Row],[up/U Selection Probability]]) * 'General Info'!$B$40) - 1, 0)</f>
        <v>95.928513489630475</v>
      </c>
      <c r="V2084" s="100">
        <f>IF(ISNUMBER('General Info'!$B$40), (SamplingData[[#This Row],[Running (cumulative) sum]] * ('General Info'!$B$40 -'General Info'!$B$41 + 1)) + 'General Info'!$B$41 - 1, 0)</f>
        <v>93766.884772511941</v>
      </c>
      <c r="W2084" s="100" t="str">
        <f>IF(ISERROR(MATCH(SamplingData[[#This Row],[Batch by Type (p)]],SelectedPrecincts[Batch Name], 0)), "", INDEX(SelectedPrecincts[Draw], MATCH(SamplingData[[#This Row],[Batch by Type (p)]],SelectedPrecincts[Batch Name], 0)))</f>
        <v/>
      </c>
      <c r="X2084" s="102">
        <f>IF(COUNTIF(SelectedPrecincts[Batch Name],SamplingData[[#This Row],[Batch by Type (p)]]) &lt;&gt; 0, COUNTIF(SelectedPrecincts[Batch Name],SamplingData[[#This Row],[Batch by Type (p)]]), 0)</f>
        <v>0</v>
      </c>
    </row>
    <row r="2085" spans="1:24" ht="15" customHeight="1">
      <c r="A2085" s="18" t="s">
        <v>2261</v>
      </c>
      <c r="B2085" s="18">
        <v>33</v>
      </c>
      <c r="C2085" s="18">
        <v>70</v>
      </c>
      <c r="D2085" s="16">
        <v>13</v>
      </c>
      <c r="E2085" s="16">
        <v>6</v>
      </c>
      <c r="F2085" s="37">
        <v>0</v>
      </c>
      <c r="G2085" s="37">
        <v>1</v>
      </c>
      <c r="H2085" s="17">
        <v>0</v>
      </c>
      <c r="I2085" s="17">
        <v>0</v>
      </c>
      <c r="J2085" s="99">
        <f>SUM(SamplingData[[#This Row],[Losing Candidate]:[Under Votes]])</f>
        <v>123</v>
      </c>
      <c r="K2085" s="100">
        <f>IF(AND(SamplingData[[#This Row],[Total]]&lt;&gt; 0, NOT(ISBLANK(SamplingData[[#This Row],[Losing Candidate]]))),(SamplingData[[#This Row],[Total]]+SamplingData[[#This Row],[Winning Candidate]]-SamplingData[[#This Row],[Losing Candidate]])/(SamplingData[[#Totals],[Winning Candidate]]-SamplingData[[#Totals],[Losing Candidate]]), 0)</f>
        <v>9.7991180793728563E-3</v>
      </c>
      <c r="L2085" s="100">
        <f>IF(AND(SamplingData[[#This Row],[Total]]&lt;&gt; 0, NOT(ISBLANK(SamplingData[[#This Row],[Candidate 3]]))),(SamplingData[[#This Row],[Total]]+SamplingData[[#This Row],[Winning Candidate]]-SamplingData[[#This Row],[Candidate 3]])/(SamplingData[[#Totals],[Winning Candidate]]-SamplingData[[#Totals],[Candidate 3]]), 0)</f>
        <v>5.8070135819595445E-3</v>
      </c>
      <c r="M2085" s="100">
        <f>IF(AND(SamplingData[[#This Row],[Total]]&lt;&gt; 0, NOT(ISBLANK(SamplingData[[#This Row],[Candidate 4]]))),(SamplingData[[#This Row],[Total]]+SamplingData[[#This Row],[Winning Candidate]]-SamplingData[[#This Row],[Candidate 4]])/(SamplingData[[#Totals],[Winning Candidate]]-SamplingData[[#Totals],[Candidate 4]]), 0)</f>
        <v>5.4663977315911015E-3</v>
      </c>
      <c r="N2085" s="100">
        <f>IF(AND(SamplingData[[#This Row],[Total]]&lt;&gt; 0, NOT(ISBLANK(SamplingData[[#This Row],[Candidate 5]]))),(SamplingData[[#This Row],[Total]]+SamplingData[[#This Row],[Winning Candidate]]-SamplingData[[#This Row],[Candidate 5]])/(SamplingData[[#Totals],[Winning Candidate]]-SamplingData[[#Totals],[Candidate 5]]), 0)</f>
        <v>4.6947214789588906E-3</v>
      </c>
      <c r="O2085" s="100">
        <f>IF(AND(SamplingData[[#This Row],[Total]]&lt;&gt; 0, NOT(ISBLANK(SamplingData[[#This Row],[Candidate 6]]))),(SamplingData[[#This Row],[Total]]+SamplingData[[#This Row],[Winning Candidate]]-SamplingData[[#This Row],[Candidate 6]])/(SamplingData[[#Totals],[Winning Candidate]]-SamplingData[[#Totals],[Candidate 6]]), 0)</f>
        <v>4.6690336073148195E-3</v>
      </c>
      <c r="P2085" s="100">
        <f>MAX(SamplingData[[#This Row],[Error Bound (up) - Max. possible relative overstatement - Losing Candidate]:[Error Bound (up) - Max. possible relative overstatement - Candidate 6]])</f>
        <v>9.7991180793728563E-3</v>
      </c>
      <c r="Q2085" s="100">
        <f>IF(SamplingData[[#This Row],[Max Error Bound (up)]] = 0,0,SamplingData[[#This Row],[Max Error Bound (up)]]/SamplingData[[#Totals],[Max Error Bound (up)]])</f>
        <v>1.5508717245513331E-3</v>
      </c>
      <c r="R2085" s="101">
        <f>SUM($Q$5:Q2085)</f>
        <v>0.93922971944967082</v>
      </c>
      <c r="S2085" s="100" t="str">
        <f t="array" ref="S2085">IF(SamplingData[[#This Row],[up/U Selection Probability]] = 0, "Zero", TEXT(SamplingData[[#This Row],[Lower Range]], REPT("0",LEN('General Info'!$B$40))) &amp; " - " &amp; TEXT(SamplingData[[#This Row],[Upper Range]], REPT("0",LEN('General Info'!$B$40))))</f>
        <v>93768 - 93922</v>
      </c>
      <c r="T2085" s="100">
        <f>SamplingData[[#This Row],[Upper Range]]-SamplingData[[#This Row],[Span]]</f>
        <v>93767.886323383675</v>
      </c>
      <c r="U2085" s="100">
        <f>IF(ISNUMBER('General Info'!$B$40), ((SamplingData[[#This Row],[up/U Selection Probability]]) * 'General Info'!$B$40) - 1, 0)</f>
        <v>154.08562158340877</v>
      </c>
      <c r="V2085" s="100">
        <f>IF(ISNUMBER('General Info'!$B$40), (SamplingData[[#This Row],[Running (cumulative) sum]] * ('General Info'!$B$40 -'General Info'!$B$41 + 1)) + 'General Info'!$B$41 - 1, 0)</f>
        <v>93921.971944967081</v>
      </c>
      <c r="W2085" s="100">
        <f>IF(ISERROR(MATCH(SamplingData[[#This Row],[Batch by Type (p)]],SelectedPrecincts[Batch Name], 0)), "", INDEX(SelectedPrecincts[Draw], MATCH(SamplingData[[#This Row],[Batch by Type (p)]],SelectedPrecincts[Batch Name], 0)))</f>
        <v>6</v>
      </c>
      <c r="X2085" s="102">
        <f>IF(COUNTIF(SelectedPrecincts[Batch Name],SamplingData[[#This Row],[Batch by Type (p)]]) &lt;&gt; 0, COUNTIF(SelectedPrecincts[Batch Name],SamplingData[[#This Row],[Batch by Type (p)]]), 0)</f>
        <v>1</v>
      </c>
    </row>
    <row r="2086" spans="1:24" ht="15" customHeight="1">
      <c r="A2086" s="18" t="s">
        <v>2262</v>
      </c>
      <c r="B2086" s="18">
        <v>6</v>
      </c>
      <c r="C2086" s="18">
        <v>36</v>
      </c>
      <c r="D2086" s="18">
        <v>12</v>
      </c>
      <c r="E2086" s="18">
        <v>1</v>
      </c>
      <c r="F2086" s="18">
        <v>0</v>
      </c>
      <c r="G2086" s="18">
        <v>0</v>
      </c>
      <c r="H2086" s="18">
        <v>1</v>
      </c>
      <c r="I2086" s="18">
        <v>0</v>
      </c>
      <c r="J2086" s="99">
        <f>SUM(SamplingData[[#This Row],[Losing Candidate]:[Under Votes]])</f>
        <v>56</v>
      </c>
      <c r="K2086"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2086" s="100">
        <f>IF(AND(SamplingData[[#This Row],[Total]]&lt;&gt; 0, NOT(ISBLANK(SamplingData[[#This Row],[Candidate 3]]))),(SamplingData[[#This Row],[Total]]+SamplingData[[#This Row],[Winning Candidate]]-SamplingData[[#This Row],[Candidate 3]])/(SamplingData[[#Totals],[Winning Candidate]]-SamplingData[[#Totals],[Candidate 3]]), 0)</f>
        <v>2.5808949253153532E-3</v>
      </c>
      <c r="M2086" s="100">
        <f>IF(AND(SamplingData[[#This Row],[Total]]&lt;&gt; 0, NOT(ISBLANK(SamplingData[[#This Row],[Candidate 4]]))),(SamplingData[[#This Row],[Total]]+SamplingData[[#This Row],[Winning Candidate]]-SamplingData[[#This Row],[Candidate 4]])/(SamplingData[[#Totals],[Winning Candidate]]-SamplingData[[#Totals],[Candidate 4]]), 0)</f>
        <v>2.6601186822181296E-3</v>
      </c>
      <c r="N2086" s="100">
        <f>IF(AND(SamplingData[[#This Row],[Total]]&lt;&gt; 0, NOT(ISBLANK(SamplingData[[#This Row],[Candidate 5]]))),(SamplingData[[#This Row],[Total]]+SamplingData[[#This Row],[Winning Candidate]]-SamplingData[[#This Row],[Candidate 5]])/(SamplingData[[#Totals],[Winning Candidate]]-SamplingData[[#Totals],[Candidate 5]]), 0)</f>
        <v>2.237898321576259E-3</v>
      </c>
      <c r="O2086" s="100">
        <f>IF(AND(SamplingData[[#This Row],[Total]]&lt;&gt; 0, NOT(ISBLANK(SamplingData[[#This Row],[Candidate 6]]))),(SamplingData[[#This Row],[Total]]+SamplingData[[#This Row],[Winning Candidate]]-SamplingData[[#This Row],[Candidate 6]])/(SamplingData[[#Totals],[Winning Candidate]]-SamplingData[[#Totals],[Candidate 6]]), 0)</f>
        <v>2.2372452701716842E-3</v>
      </c>
      <c r="P2086" s="100">
        <f>MAX(SamplingData[[#This Row],[Error Bound (up) - Max. possible relative overstatement - Losing Candidate]:[Error Bound (up) - Max. possible relative overstatement - Candidate 6]])</f>
        <v>5.2670259676629106E-3</v>
      </c>
      <c r="Q2086" s="100">
        <f>IF(SamplingData[[#This Row],[Max Error Bound (up)]] = 0,0,SamplingData[[#This Row],[Max Error Bound (up)]]/SamplingData[[#Totals],[Max Error Bound (up)]])</f>
        <v>8.3359355194634159E-4</v>
      </c>
      <c r="R2086" s="101">
        <f>SUM($Q$5:Q2086)</f>
        <v>0.94006331300161716</v>
      </c>
      <c r="S2086" s="100" t="str">
        <f t="array" ref="S2086">IF(SamplingData[[#This Row],[up/U Selection Probability]] = 0, "Zero", TEXT(SamplingData[[#This Row],[Lower Range]], REPT("0",LEN('General Info'!$B$40))) &amp; " - " &amp; TEXT(SamplingData[[#This Row],[Upper Range]], REPT("0",LEN('General Info'!$B$40))))</f>
        <v>93923 - 94005</v>
      </c>
      <c r="T2086" s="100">
        <f>SamplingData[[#This Row],[Upper Range]]-SamplingData[[#This Row],[Span]]</f>
        <v>93922.972778560637</v>
      </c>
      <c r="U2086" s="100">
        <f>IF(ISNUMBER('General Info'!$B$40), ((SamplingData[[#This Row],[up/U Selection Probability]]) * 'General Info'!$B$40) - 1, 0)</f>
        <v>82.358521601082217</v>
      </c>
      <c r="V2086" s="100">
        <f>IF(ISNUMBER('General Info'!$B$40), (SamplingData[[#This Row],[Running (cumulative) sum]] * ('General Info'!$B$40 -'General Info'!$B$41 + 1)) + 'General Info'!$B$41 - 1, 0)</f>
        <v>94005.331300161721</v>
      </c>
      <c r="W2086" s="100" t="str">
        <f>IF(ISERROR(MATCH(SamplingData[[#This Row],[Batch by Type (p)]],SelectedPrecincts[Batch Name], 0)), "", INDEX(SelectedPrecincts[Draw], MATCH(SamplingData[[#This Row],[Batch by Type (p)]],SelectedPrecincts[Batch Name], 0)))</f>
        <v/>
      </c>
      <c r="X2086" s="102">
        <f>IF(COUNTIF(SelectedPrecincts[Batch Name],SamplingData[[#This Row],[Batch by Type (p)]]) &lt;&gt; 0, COUNTIF(SelectedPrecincts[Batch Name],SamplingData[[#This Row],[Batch by Type (p)]]), 0)</f>
        <v>0</v>
      </c>
    </row>
    <row r="2087" spans="1:24" ht="15" customHeight="1">
      <c r="A2087" s="18" t="s">
        <v>2263</v>
      </c>
      <c r="B2087" s="18">
        <v>43</v>
      </c>
      <c r="C2087" s="18">
        <v>57</v>
      </c>
      <c r="D2087" s="16">
        <v>12</v>
      </c>
      <c r="E2087" s="16">
        <v>4</v>
      </c>
      <c r="F2087" s="37">
        <v>0</v>
      </c>
      <c r="G2087" s="37">
        <v>1</v>
      </c>
      <c r="H2087" s="17">
        <v>0</v>
      </c>
      <c r="I2087" s="17">
        <v>1</v>
      </c>
      <c r="J2087" s="99">
        <f>SUM(SamplingData[[#This Row],[Losing Candidate]:[Under Votes]])</f>
        <v>118</v>
      </c>
      <c r="K2087" s="100">
        <f>IF(AND(SamplingData[[#This Row],[Total]]&lt;&gt; 0, NOT(ISBLANK(SamplingData[[#This Row],[Losing Candidate]]))),(SamplingData[[#This Row],[Total]]+SamplingData[[#This Row],[Winning Candidate]]-SamplingData[[#This Row],[Losing Candidate]])/(SamplingData[[#Totals],[Winning Candidate]]-SamplingData[[#Totals],[Losing Candidate]]), 0)</f>
        <v>8.0842724154826066E-3</v>
      </c>
      <c r="L2087" s="100">
        <f>IF(AND(SamplingData[[#This Row],[Total]]&lt;&gt; 0, NOT(ISBLANK(SamplingData[[#This Row],[Candidate 3]]))),(SamplingData[[#This Row],[Total]]+SamplingData[[#This Row],[Winning Candidate]]-SamplingData[[#This Row],[Candidate 3]])/(SamplingData[[#Totals],[Winning Candidate]]-SamplingData[[#Totals],[Candidate 3]]), 0)</f>
        <v>5.258573410330032E-3</v>
      </c>
      <c r="M2087" s="100">
        <f>IF(AND(SamplingData[[#This Row],[Total]]&lt;&gt; 0, NOT(ISBLANK(SamplingData[[#This Row],[Candidate 4]]))),(SamplingData[[#This Row],[Total]]+SamplingData[[#This Row],[Winning Candidate]]-SamplingData[[#This Row],[Candidate 4]])/(SamplingData[[#Totals],[Winning Candidate]]-SamplingData[[#Totals],[Candidate 4]]), 0)</f>
        <v>4.998684556695606E-3</v>
      </c>
      <c r="N2087" s="100">
        <f>IF(AND(SamplingData[[#This Row],[Total]]&lt;&gt; 0, NOT(ISBLANK(SamplingData[[#This Row],[Candidate 5]]))),(SamplingData[[#This Row],[Total]]+SamplingData[[#This Row],[Winning Candidate]]-SamplingData[[#This Row],[Candidate 5]])/(SamplingData[[#Totals],[Winning Candidate]]-SamplingData[[#Totals],[Candidate 5]]), 0)</f>
        <v>4.2568718073461445E-3</v>
      </c>
      <c r="O2087" s="100">
        <f>IF(AND(SamplingData[[#This Row],[Total]]&lt;&gt; 0, NOT(ISBLANK(SamplingData[[#This Row],[Candidate 6]]))),(SamplingData[[#This Row],[Total]]+SamplingData[[#This Row],[Winning Candidate]]-SamplingData[[#This Row],[Candidate 6]])/(SamplingData[[#Totals],[Winning Candidate]]-SamplingData[[#Totals],[Candidate 6]]), 0)</f>
        <v>4.2313117066290554E-3</v>
      </c>
      <c r="P2087" s="100">
        <f>MAX(SamplingData[[#This Row],[Error Bound (up) - Max. possible relative overstatement - Losing Candidate]:[Error Bound (up) - Max. possible relative overstatement - Candidate 6]])</f>
        <v>8.0842724154826066E-3</v>
      </c>
      <c r="Q2087" s="100">
        <f>IF(SamplingData[[#This Row],[Max Error Bound (up)]] = 0,0,SamplingData[[#This Row],[Max Error Bound (up)]]/SamplingData[[#Totals],[Max Error Bound (up)]])</f>
        <v>1.2794691727548498E-3</v>
      </c>
      <c r="R2087" s="101">
        <f>SUM($Q$5:Q2087)</f>
        <v>0.94134278217437206</v>
      </c>
      <c r="S2087" s="100" t="str">
        <f t="array" ref="S2087">IF(SamplingData[[#This Row],[up/U Selection Probability]] = 0, "Zero", TEXT(SamplingData[[#This Row],[Lower Range]], REPT("0",LEN('General Info'!$B$40))) &amp; " - " &amp; TEXT(SamplingData[[#This Row],[Upper Range]], REPT("0",LEN('General Info'!$B$40))))</f>
        <v>94006 - 94133</v>
      </c>
      <c r="T2087" s="100">
        <f>SamplingData[[#This Row],[Upper Range]]-SamplingData[[#This Row],[Span]]</f>
        <v>94006.332579630893</v>
      </c>
      <c r="U2087" s="100">
        <f>IF(ISNUMBER('General Info'!$B$40), ((SamplingData[[#This Row],[up/U Selection Probability]]) * 'General Info'!$B$40) - 1, 0)</f>
        <v>126.94563780631222</v>
      </c>
      <c r="V2087" s="100">
        <f>IF(ISNUMBER('General Info'!$B$40), (SamplingData[[#This Row],[Running (cumulative) sum]] * ('General Info'!$B$40 -'General Info'!$B$41 + 1)) + 'General Info'!$B$41 - 1, 0)</f>
        <v>94133.278217437211</v>
      </c>
      <c r="W2087" s="100" t="str">
        <f>IF(ISERROR(MATCH(SamplingData[[#This Row],[Batch by Type (p)]],SelectedPrecincts[Batch Name], 0)), "", INDEX(SelectedPrecincts[Draw], MATCH(SamplingData[[#This Row],[Batch by Type (p)]],SelectedPrecincts[Batch Name], 0)))</f>
        <v/>
      </c>
      <c r="X2087" s="102">
        <f>IF(COUNTIF(SelectedPrecincts[Batch Name],SamplingData[[#This Row],[Batch by Type (p)]]) &lt;&gt; 0, COUNTIF(SelectedPrecincts[Batch Name],SamplingData[[#This Row],[Batch by Type (p)]]), 0)</f>
        <v>0</v>
      </c>
    </row>
    <row r="2088" spans="1:24" ht="15" customHeight="1">
      <c r="A2088" s="18" t="s">
        <v>2264</v>
      </c>
      <c r="B2088" s="18">
        <v>22</v>
      </c>
      <c r="C2088" s="18">
        <v>31</v>
      </c>
      <c r="D2088" s="18">
        <v>10</v>
      </c>
      <c r="E2088" s="18">
        <v>3</v>
      </c>
      <c r="F2088" s="18">
        <v>0</v>
      </c>
      <c r="G2088" s="18">
        <v>0</v>
      </c>
      <c r="H2088" s="18">
        <v>0</v>
      </c>
      <c r="I2088" s="18">
        <v>2</v>
      </c>
      <c r="J2088" s="99">
        <f>SUM(SamplingData[[#This Row],[Losing Candidate]:[Under Votes]])</f>
        <v>68</v>
      </c>
      <c r="K2088" s="100">
        <f>IF(AND(SamplingData[[#This Row],[Total]]&lt;&gt; 0, NOT(ISBLANK(SamplingData[[#This Row],[Losing Candidate]]))),(SamplingData[[#This Row],[Total]]+SamplingData[[#This Row],[Winning Candidate]]-SamplingData[[#This Row],[Losing Candidate]])/(SamplingData[[#Totals],[Winning Candidate]]-SamplingData[[#Totals],[Losing Candidate]]), 0)</f>
        <v>4.7158255756981869E-3</v>
      </c>
      <c r="L2088" s="100">
        <f>IF(AND(SamplingData[[#This Row],[Total]]&lt;&gt; 0, NOT(ISBLANK(SamplingData[[#This Row],[Candidate 3]]))),(SamplingData[[#This Row],[Total]]+SamplingData[[#This Row],[Winning Candidate]]-SamplingData[[#This Row],[Candidate 3]])/(SamplingData[[#Totals],[Winning Candidate]]-SamplingData[[#Totals],[Candidate 3]]), 0)</f>
        <v>2.8712456044133303E-3</v>
      </c>
      <c r="M2088" s="100">
        <f>IF(AND(SamplingData[[#This Row],[Total]]&lt;&gt; 0, NOT(ISBLANK(SamplingData[[#This Row],[Candidate 4]]))),(SamplingData[[#This Row],[Total]]+SamplingData[[#This Row],[Winning Candidate]]-SamplingData[[#This Row],[Candidate 4]])/(SamplingData[[#Totals],[Winning Candidate]]-SamplingData[[#Totals],[Candidate 4]]), 0)</f>
        <v>2.8062790493729719E-3</v>
      </c>
      <c r="N2088" s="100">
        <f>IF(AND(SamplingData[[#This Row],[Total]]&lt;&gt; 0, NOT(ISBLANK(SamplingData[[#This Row],[Candidate 5]]))),(SamplingData[[#This Row],[Total]]+SamplingData[[#This Row],[Winning Candidate]]-SamplingData[[#This Row],[Candidate 5]])/(SamplingData[[#Totals],[Winning Candidate]]-SamplingData[[#Totals],[Candidate 5]]), 0)</f>
        <v>2.4081731938701044E-3</v>
      </c>
      <c r="O2088" s="100">
        <f>IF(AND(SamplingData[[#This Row],[Total]]&lt;&gt; 0, NOT(ISBLANK(SamplingData[[#This Row],[Candidate 6]]))),(SamplingData[[#This Row],[Total]]+SamplingData[[#This Row],[Winning Candidate]]-SamplingData[[#This Row],[Candidate 6]])/(SamplingData[[#Totals],[Winning Candidate]]-SamplingData[[#Totals],[Candidate 6]]), 0)</f>
        <v>2.4074704537717039E-3</v>
      </c>
      <c r="P2088" s="100">
        <f>MAX(SamplingData[[#This Row],[Error Bound (up) - Max. possible relative overstatement - Losing Candidate]:[Error Bound (up) - Max. possible relative overstatement - Candidate 6]])</f>
        <v>4.7158255756981869E-3</v>
      </c>
      <c r="Q2088" s="100">
        <f>IF(SamplingData[[#This Row],[Max Error Bound (up)]] = 0,0,SamplingData[[#This Row],[Max Error Bound (up)]]/SamplingData[[#Totals],[Max Error Bound (up)]])</f>
        <v>7.4635701744032903E-4</v>
      </c>
      <c r="R2088" s="101">
        <f>SUM($Q$5:Q2088)</f>
        <v>0.94208913919181236</v>
      </c>
      <c r="S2088" s="100" t="str">
        <f t="array" ref="S2088">IF(SamplingData[[#This Row],[up/U Selection Probability]] = 0, "Zero", TEXT(SamplingData[[#This Row],[Lower Range]], REPT("0",LEN('General Info'!$B$40))) &amp; " - " &amp; TEXT(SamplingData[[#This Row],[Upper Range]], REPT("0",LEN('General Info'!$B$40))))</f>
        <v>94134 - 94208</v>
      </c>
      <c r="T2088" s="100">
        <f>SamplingData[[#This Row],[Upper Range]]-SamplingData[[#This Row],[Span]]</f>
        <v>94134.278963794233</v>
      </c>
      <c r="U2088" s="100">
        <f>IF(ISNUMBER('General Info'!$B$40), ((SamplingData[[#This Row],[up/U Selection Probability]]) * 'General Info'!$B$40) - 1, 0)</f>
        <v>73.634955387015466</v>
      </c>
      <c r="V2088" s="100">
        <f>IF(ISNUMBER('General Info'!$B$40), (SamplingData[[#This Row],[Running (cumulative) sum]] * ('General Info'!$B$40 -'General Info'!$B$41 + 1)) + 'General Info'!$B$41 - 1, 0)</f>
        <v>94207.913919181243</v>
      </c>
      <c r="W2088" s="100" t="str">
        <f>IF(ISERROR(MATCH(SamplingData[[#This Row],[Batch by Type (p)]],SelectedPrecincts[Batch Name], 0)), "", INDEX(SelectedPrecincts[Draw], MATCH(SamplingData[[#This Row],[Batch by Type (p)]],SelectedPrecincts[Batch Name], 0)))</f>
        <v/>
      </c>
      <c r="X2088" s="102">
        <f>IF(COUNTIF(SelectedPrecincts[Batch Name],SamplingData[[#This Row],[Batch by Type (p)]]) &lt;&gt; 0, COUNTIF(SelectedPrecincts[Batch Name],SamplingData[[#This Row],[Batch by Type (p)]]), 0)</f>
        <v>0</v>
      </c>
    </row>
    <row r="2089" spans="1:24" ht="15" customHeight="1">
      <c r="A2089" s="18" t="s">
        <v>2265</v>
      </c>
      <c r="B2089" s="18">
        <v>4</v>
      </c>
      <c r="C2089" s="18">
        <v>0</v>
      </c>
      <c r="D2089" s="16">
        <v>0</v>
      </c>
      <c r="E2089" s="16">
        <v>0</v>
      </c>
      <c r="F2089" s="37">
        <v>0</v>
      </c>
      <c r="G2089" s="37">
        <v>0</v>
      </c>
      <c r="H2089" s="17">
        <v>0</v>
      </c>
      <c r="I2089" s="17">
        <v>0</v>
      </c>
      <c r="J2089" s="99">
        <f>SUM(SamplingData[[#This Row],[Losing Candidate]:[Under Votes]])</f>
        <v>4</v>
      </c>
      <c r="K2089" s="100">
        <f>IF(AND(SamplingData[[#This Row],[Total]]&lt;&gt; 0, NOT(ISBLANK(SamplingData[[#This Row],[Losing Candidate]]))),(SamplingData[[#This Row],[Total]]+SamplingData[[#This Row],[Winning Candidate]]-SamplingData[[#This Row],[Losing Candidate]])/(SamplingData[[#Totals],[Winning Candidate]]-SamplingData[[#Totals],[Losing Candidate]]), 0)</f>
        <v>0</v>
      </c>
      <c r="L2089" s="100">
        <f>IF(AND(SamplingData[[#This Row],[Total]]&lt;&gt; 0, NOT(ISBLANK(SamplingData[[#This Row],[Candidate 3]]))),(SamplingData[[#This Row],[Total]]+SamplingData[[#This Row],[Winning Candidate]]-SamplingData[[#This Row],[Candidate 3]])/(SamplingData[[#Totals],[Winning Candidate]]-SamplingData[[#Totals],[Candidate 3]]), 0)</f>
        <v>1.2904474626576767E-4</v>
      </c>
      <c r="M2089" s="100">
        <f>IF(AND(SamplingData[[#This Row],[Total]]&lt;&gt; 0, NOT(ISBLANK(SamplingData[[#This Row],[Candidate 4]]))),(SamplingData[[#This Row],[Total]]+SamplingData[[#This Row],[Winning Candidate]]-SamplingData[[#This Row],[Candidate 4]])/(SamplingData[[#Totals],[Winning Candidate]]-SamplingData[[#Totals],[Candidate 4]]), 0)</f>
        <v>1.1692829372387384E-4</v>
      </c>
      <c r="N2089" s="100">
        <f>IF(AND(SamplingData[[#This Row],[Total]]&lt;&gt; 0, NOT(ISBLANK(SamplingData[[#This Row],[Candidate 5]]))),(SamplingData[[#This Row],[Total]]+SamplingData[[#This Row],[Winning Candidate]]-SamplingData[[#This Row],[Candidate 5]])/(SamplingData[[#Totals],[Winning Candidate]]-SamplingData[[#Totals],[Candidate 5]]), 0)</f>
        <v>9.7299927025054734E-5</v>
      </c>
      <c r="O2089" s="100">
        <f>IF(AND(SamplingData[[#This Row],[Total]]&lt;&gt; 0, NOT(ISBLANK(SamplingData[[#This Row],[Candidate 6]]))),(SamplingData[[#This Row],[Total]]+SamplingData[[#This Row],[Winning Candidate]]-SamplingData[[#This Row],[Candidate 6]])/(SamplingData[[#Totals],[Winning Candidate]]-SamplingData[[#Totals],[Candidate 6]]), 0)</f>
        <v>9.7271533485725401E-5</v>
      </c>
      <c r="P2089" s="100">
        <f>MAX(SamplingData[[#This Row],[Error Bound (up) - Max. possible relative overstatement - Losing Candidate]:[Error Bound (up) - Max. possible relative overstatement - Candidate 6]])</f>
        <v>1.2904474626576767E-4</v>
      </c>
      <c r="Q2089" s="100">
        <f>IF(SamplingData[[#This Row],[Max Error Bound (up)]] = 0,0,SamplingData[[#This Row],[Max Error Bound (up)]]/SamplingData[[#Totals],[Max Error Bound (up)]])</f>
        <v>2.0423455107328265E-5</v>
      </c>
      <c r="R2089" s="101">
        <f>SUM($Q$5:Q2089)</f>
        <v>0.9421095626469197</v>
      </c>
      <c r="S2089" s="100" t="str">
        <f t="array" ref="S2089">IF(SamplingData[[#This Row],[up/U Selection Probability]] = 0, "Zero", TEXT(SamplingData[[#This Row],[Lower Range]], REPT("0",LEN('General Info'!$B$40))) &amp; " - " &amp; TEXT(SamplingData[[#This Row],[Upper Range]], REPT("0",LEN('General Info'!$B$40))))</f>
        <v>94209 - 94210</v>
      </c>
      <c r="T2089" s="100">
        <f>SamplingData[[#This Row],[Upper Range]]-SamplingData[[#This Row],[Span]]</f>
        <v>94208.913939604681</v>
      </c>
      <c r="U2089" s="100">
        <f>IF(ISNUMBER('General Info'!$B$40), ((SamplingData[[#This Row],[up/U Selection Probability]]) * 'General Info'!$B$40) - 1, 0)</f>
        <v>1.0423250872777192</v>
      </c>
      <c r="V2089" s="100">
        <f>IF(ISNUMBER('General Info'!$B$40), (SamplingData[[#This Row],[Running (cumulative) sum]] * ('General Info'!$B$40 -'General Info'!$B$41 + 1)) + 'General Info'!$B$41 - 1, 0)</f>
        <v>94209.956264691966</v>
      </c>
      <c r="W2089" s="100" t="str">
        <f>IF(ISERROR(MATCH(SamplingData[[#This Row],[Batch by Type (p)]],SelectedPrecincts[Batch Name], 0)), "", INDEX(SelectedPrecincts[Draw], MATCH(SamplingData[[#This Row],[Batch by Type (p)]],SelectedPrecincts[Batch Name], 0)))</f>
        <v/>
      </c>
      <c r="X2089" s="102">
        <f>IF(COUNTIF(SelectedPrecincts[Batch Name],SamplingData[[#This Row],[Batch by Type (p)]]) &lt;&gt; 0, COUNTIF(SelectedPrecincts[Batch Name],SamplingData[[#This Row],[Batch by Type (p)]]), 0)</f>
        <v>0</v>
      </c>
    </row>
    <row r="2090" spans="1:24" ht="15" customHeight="1">
      <c r="A2090" s="18" t="s">
        <v>2266</v>
      </c>
      <c r="B2090" s="18">
        <v>0</v>
      </c>
      <c r="C2090" s="18">
        <v>0</v>
      </c>
      <c r="D2090" s="18">
        <v>0</v>
      </c>
      <c r="E2090" s="18">
        <v>0</v>
      </c>
      <c r="F2090" s="18">
        <v>0</v>
      </c>
      <c r="G2090" s="18">
        <v>0</v>
      </c>
      <c r="H2090" s="18">
        <v>0</v>
      </c>
      <c r="I2090" s="18">
        <v>0</v>
      </c>
      <c r="J2090" s="99">
        <f>SUM(SamplingData[[#This Row],[Losing Candidate]:[Under Votes]])</f>
        <v>0</v>
      </c>
      <c r="K2090" s="100">
        <f>IF(AND(SamplingData[[#This Row],[Total]]&lt;&gt; 0, NOT(ISBLANK(SamplingData[[#This Row],[Losing Candidate]]))),(SamplingData[[#This Row],[Total]]+SamplingData[[#This Row],[Winning Candidate]]-SamplingData[[#This Row],[Losing Candidate]])/(SamplingData[[#Totals],[Winning Candidate]]-SamplingData[[#Totals],[Losing Candidate]]), 0)</f>
        <v>0</v>
      </c>
      <c r="L2090" s="100">
        <f>IF(AND(SamplingData[[#This Row],[Total]]&lt;&gt; 0, NOT(ISBLANK(SamplingData[[#This Row],[Candidate 3]]))),(SamplingData[[#This Row],[Total]]+SamplingData[[#This Row],[Winning Candidate]]-SamplingData[[#This Row],[Candidate 3]])/(SamplingData[[#Totals],[Winning Candidate]]-SamplingData[[#Totals],[Candidate 3]]), 0)</f>
        <v>0</v>
      </c>
      <c r="M2090" s="100">
        <f>IF(AND(SamplingData[[#This Row],[Total]]&lt;&gt; 0, NOT(ISBLANK(SamplingData[[#This Row],[Candidate 4]]))),(SamplingData[[#This Row],[Total]]+SamplingData[[#This Row],[Winning Candidate]]-SamplingData[[#This Row],[Candidate 4]])/(SamplingData[[#Totals],[Winning Candidate]]-SamplingData[[#Totals],[Candidate 4]]), 0)</f>
        <v>0</v>
      </c>
      <c r="N2090" s="100">
        <f>IF(AND(SamplingData[[#This Row],[Total]]&lt;&gt; 0, NOT(ISBLANK(SamplingData[[#This Row],[Candidate 5]]))),(SamplingData[[#This Row],[Total]]+SamplingData[[#This Row],[Winning Candidate]]-SamplingData[[#This Row],[Candidate 5]])/(SamplingData[[#Totals],[Winning Candidate]]-SamplingData[[#Totals],[Candidate 5]]), 0)</f>
        <v>0</v>
      </c>
      <c r="O2090" s="100">
        <f>IF(AND(SamplingData[[#This Row],[Total]]&lt;&gt; 0, NOT(ISBLANK(SamplingData[[#This Row],[Candidate 6]]))),(SamplingData[[#This Row],[Total]]+SamplingData[[#This Row],[Winning Candidate]]-SamplingData[[#This Row],[Candidate 6]])/(SamplingData[[#Totals],[Winning Candidate]]-SamplingData[[#Totals],[Candidate 6]]), 0)</f>
        <v>0</v>
      </c>
      <c r="P2090" s="100">
        <f>MAX(SamplingData[[#This Row],[Error Bound (up) - Max. possible relative overstatement - Losing Candidate]:[Error Bound (up) - Max. possible relative overstatement - Candidate 6]])</f>
        <v>0</v>
      </c>
      <c r="Q2090" s="100">
        <f>IF(SamplingData[[#This Row],[Max Error Bound (up)]] = 0,0,SamplingData[[#This Row],[Max Error Bound (up)]]/SamplingData[[#Totals],[Max Error Bound (up)]])</f>
        <v>0</v>
      </c>
      <c r="R2090" s="101">
        <f>SUM($Q$5:Q2090)</f>
        <v>0.9421095626469197</v>
      </c>
      <c r="S2090" s="100" t="str">
        <f t="array" ref="S2090">IF(SamplingData[[#This Row],[up/U Selection Probability]] = 0, "Zero", TEXT(SamplingData[[#This Row],[Lower Range]], REPT("0",LEN('General Info'!$B$40))) &amp; " - " &amp; TEXT(SamplingData[[#This Row],[Upper Range]], REPT("0",LEN('General Info'!$B$40))))</f>
        <v>Zero</v>
      </c>
      <c r="T2090" s="100">
        <f>SamplingData[[#This Row],[Upper Range]]-SamplingData[[#This Row],[Span]]</f>
        <v>94210.956264691966</v>
      </c>
      <c r="U2090" s="100">
        <f>IF(ISNUMBER('General Info'!$B$40), ((SamplingData[[#This Row],[up/U Selection Probability]]) * 'General Info'!$B$40) - 1, 0)</f>
        <v>-1</v>
      </c>
      <c r="V2090" s="100">
        <f>IF(ISNUMBER('General Info'!$B$40), (SamplingData[[#This Row],[Running (cumulative) sum]] * ('General Info'!$B$40 -'General Info'!$B$41 + 1)) + 'General Info'!$B$41 - 1, 0)</f>
        <v>94209.956264691966</v>
      </c>
      <c r="W2090" s="100" t="str">
        <f>IF(ISERROR(MATCH(SamplingData[[#This Row],[Batch by Type (p)]],SelectedPrecincts[Batch Name], 0)), "", INDEX(SelectedPrecincts[Draw], MATCH(SamplingData[[#This Row],[Batch by Type (p)]],SelectedPrecincts[Batch Name], 0)))</f>
        <v/>
      </c>
      <c r="X2090" s="102">
        <f>IF(COUNTIF(SelectedPrecincts[Batch Name],SamplingData[[#This Row],[Batch by Type (p)]]) &lt;&gt; 0, COUNTIF(SelectedPrecincts[Batch Name],SamplingData[[#This Row],[Batch by Type (p)]]), 0)</f>
        <v>0</v>
      </c>
    </row>
    <row r="2091" spans="1:24" ht="15" customHeight="1">
      <c r="A2091" s="18" t="s">
        <v>2267</v>
      </c>
      <c r="B2091" s="18">
        <v>2</v>
      </c>
      <c r="C2091" s="18">
        <v>1</v>
      </c>
      <c r="D2091" s="16">
        <v>0</v>
      </c>
      <c r="E2091" s="16">
        <v>0</v>
      </c>
      <c r="F2091" s="37">
        <v>0</v>
      </c>
      <c r="G2091" s="37">
        <v>0</v>
      </c>
      <c r="H2091" s="17">
        <v>0</v>
      </c>
      <c r="I2091" s="17">
        <v>0</v>
      </c>
      <c r="J2091" s="99">
        <f>SUM(SamplingData[[#This Row],[Losing Candidate]:[Under Votes]])</f>
        <v>3</v>
      </c>
      <c r="K2091"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2091" s="100">
        <f>IF(AND(SamplingData[[#This Row],[Total]]&lt;&gt; 0, NOT(ISBLANK(SamplingData[[#This Row],[Candidate 3]]))),(SamplingData[[#This Row],[Total]]+SamplingData[[#This Row],[Winning Candidate]]-SamplingData[[#This Row],[Candidate 3]])/(SamplingData[[#Totals],[Winning Candidate]]-SamplingData[[#Totals],[Candidate 3]]), 0)</f>
        <v>1.2904474626576767E-4</v>
      </c>
      <c r="M2091" s="100">
        <f>IF(AND(SamplingData[[#This Row],[Total]]&lt;&gt; 0, NOT(ISBLANK(SamplingData[[#This Row],[Candidate 4]]))),(SamplingData[[#This Row],[Total]]+SamplingData[[#This Row],[Winning Candidate]]-SamplingData[[#This Row],[Candidate 4]])/(SamplingData[[#Totals],[Winning Candidate]]-SamplingData[[#Totals],[Candidate 4]]), 0)</f>
        <v>1.1692829372387384E-4</v>
      </c>
      <c r="N2091" s="100">
        <f>IF(AND(SamplingData[[#This Row],[Total]]&lt;&gt; 0, NOT(ISBLANK(SamplingData[[#This Row],[Candidate 5]]))),(SamplingData[[#This Row],[Total]]+SamplingData[[#This Row],[Winning Candidate]]-SamplingData[[#This Row],[Candidate 5]])/(SamplingData[[#Totals],[Winning Candidate]]-SamplingData[[#Totals],[Candidate 5]]), 0)</f>
        <v>9.7299927025054734E-5</v>
      </c>
      <c r="O2091" s="100">
        <f>IF(AND(SamplingData[[#This Row],[Total]]&lt;&gt; 0, NOT(ISBLANK(SamplingData[[#This Row],[Candidate 6]]))),(SamplingData[[#This Row],[Total]]+SamplingData[[#This Row],[Winning Candidate]]-SamplingData[[#This Row],[Candidate 6]])/(SamplingData[[#Totals],[Winning Candidate]]-SamplingData[[#Totals],[Candidate 6]]), 0)</f>
        <v>9.7271533485725401E-5</v>
      </c>
      <c r="P2091" s="100">
        <f>MAX(SamplingData[[#This Row],[Error Bound (up) - Max. possible relative overstatement - Losing Candidate]:[Error Bound (up) - Max. possible relative overstatement - Candidate 6]])</f>
        <v>1.2904474626576767E-4</v>
      </c>
      <c r="Q2091" s="100">
        <f>IF(SamplingData[[#This Row],[Max Error Bound (up)]] = 0,0,SamplingData[[#This Row],[Max Error Bound (up)]]/SamplingData[[#Totals],[Max Error Bound (up)]])</f>
        <v>2.0423455107328265E-5</v>
      </c>
      <c r="R2091" s="101">
        <f>SUM($Q$5:Q2091)</f>
        <v>0.94212998610202703</v>
      </c>
      <c r="S2091" s="100" t="str">
        <f t="array" ref="S2091">IF(SamplingData[[#This Row],[up/U Selection Probability]] = 0, "Zero", TEXT(SamplingData[[#This Row],[Lower Range]], REPT("0",LEN('General Info'!$B$40))) &amp; " - " &amp; TEXT(SamplingData[[#This Row],[Upper Range]], REPT("0",LEN('General Info'!$B$40))))</f>
        <v>94211 - 94212</v>
      </c>
      <c r="T2091" s="100">
        <f>SamplingData[[#This Row],[Upper Range]]-SamplingData[[#This Row],[Span]]</f>
        <v>94210.956285115419</v>
      </c>
      <c r="U2091" s="100">
        <f>IF(ISNUMBER('General Info'!$B$40), ((SamplingData[[#This Row],[up/U Selection Probability]]) * 'General Info'!$B$40) - 1, 0)</f>
        <v>1.0423250872777192</v>
      </c>
      <c r="V2091" s="100">
        <f>IF(ISNUMBER('General Info'!$B$40), (SamplingData[[#This Row],[Running (cumulative) sum]] * ('General Info'!$B$40 -'General Info'!$B$41 + 1)) + 'General Info'!$B$41 - 1, 0)</f>
        <v>94211.998610202703</v>
      </c>
      <c r="W2091" s="100" t="str">
        <f>IF(ISERROR(MATCH(SamplingData[[#This Row],[Batch by Type (p)]],SelectedPrecincts[Batch Name], 0)), "", INDEX(SelectedPrecincts[Draw], MATCH(SamplingData[[#This Row],[Batch by Type (p)]],SelectedPrecincts[Batch Name], 0)))</f>
        <v/>
      </c>
      <c r="X2091" s="102">
        <f>IF(COUNTIF(SelectedPrecincts[Batch Name],SamplingData[[#This Row],[Batch by Type (p)]]) &lt;&gt; 0, COUNTIF(SelectedPrecincts[Batch Name],SamplingData[[#This Row],[Batch by Type (p)]]), 0)</f>
        <v>0</v>
      </c>
    </row>
    <row r="2092" spans="1:24" ht="15" customHeight="1">
      <c r="A2092" s="18" t="s">
        <v>2268</v>
      </c>
      <c r="B2092" s="18">
        <v>0</v>
      </c>
      <c r="C2092" s="18">
        <v>2</v>
      </c>
      <c r="D2092" s="18">
        <v>0</v>
      </c>
      <c r="E2092" s="18">
        <v>0</v>
      </c>
      <c r="F2092" s="18">
        <v>0</v>
      </c>
      <c r="G2092" s="18">
        <v>0</v>
      </c>
      <c r="H2092" s="18">
        <v>0</v>
      </c>
      <c r="I2092" s="18">
        <v>0</v>
      </c>
      <c r="J2092" s="99">
        <f>SUM(SamplingData[[#This Row],[Losing Candidate]:[Under Votes]])</f>
        <v>2</v>
      </c>
      <c r="K2092"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2092" s="100">
        <f>IF(AND(SamplingData[[#This Row],[Total]]&lt;&gt; 0, NOT(ISBLANK(SamplingData[[#This Row],[Candidate 3]]))),(SamplingData[[#This Row],[Total]]+SamplingData[[#This Row],[Winning Candidate]]-SamplingData[[#This Row],[Candidate 3]])/(SamplingData[[#Totals],[Winning Candidate]]-SamplingData[[#Totals],[Candidate 3]]), 0)</f>
        <v>1.2904474626576767E-4</v>
      </c>
      <c r="M2092" s="100">
        <f>IF(AND(SamplingData[[#This Row],[Total]]&lt;&gt; 0, NOT(ISBLANK(SamplingData[[#This Row],[Candidate 4]]))),(SamplingData[[#This Row],[Total]]+SamplingData[[#This Row],[Winning Candidate]]-SamplingData[[#This Row],[Candidate 4]])/(SamplingData[[#Totals],[Winning Candidate]]-SamplingData[[#Totals],[Candidate 4]]), 0)</f>
        <v>1.1692829372387384E-4</v>
      </c>
      <c r="N2092" s="100">
        <f>IF(AND(SamplingData[[#This Row],[Total]]&lt;&gt; 0, NOT(ISBLANK(SamplingData[[#This Row],[Candidate 5]]))),(SamplingData[[#This Row],[Total]]+SamplingData[[#This Row],[Winning Candidate]]-SamplingData[[#This Row],[Candidate 5]])/(SamplingData[[#Totals],[Winning Candidate]]-SamplingData[[#Totals],[Candidate 5]]), 0)</f>
        <v>9.7299927025054734E-5</v>
      </c>
      <c r="O2092" s="100">
        <f>IF(AND(SamplingData[[#This Row],[Total]]&lt;&gt; 0, NOT(ISBLANK(SamplingData[[#This Row],[Candidate 6]]))),(SamplingData[[#This Row],[Total]]+SamplingData[[#This Row],[Winning Candidate]]-SamplingData[[#This Row],[Candidate 6]])/(SamplingData[[#Totals],[Winning Candidate]]-SamplingData[[#Totals],[Candidate 6]]), 0)</f>
        <v>9.7271533485725401E-5</v>
      </c>
      <c r="P2092" s="100">
        <f>MAX(SamplingData[[#This Row],[Error Bound (up) - Max. possible relative overstatement - Losing Candidate]:[Error Bound (up) - Max. possible relative overstatement - Candidate 6]])</f>
        <v>2.4497795198432141E-4</v>
      </c>
      <c r="Q2092" s="100">
        <f>IF(SamplingData[[#This Row],[Max Error Bound (up)]] = 0,0,SamplingData[[#This Row],[Max Error Bound (up)]]/SamplingData[[#Totals],[Max Error Bound (up)]])</f>
        <v>3.8771793113783326E-5</v>
      </c>
      <c r="R2092" s="101">
        <f>SUM($Q$5:Q2092)</f>
        <v>0.94216875789514076</v>
      </c>
      <c r="S2092" s="100" t="str">
        <f t="array" ref="S2092">IF(SamplingData[[#This Row],[up/U Selection Probability]] = 0, "Zero", TEXT(SamplingData[[#This Row],[Lower Range]], REPT("0",LEN('General Info'!$B$40))) &amp; " - " &amp; TEXT(SamplingData[[#This Row],[Upper Range]], REPT("0",LEN('General Info'!$B$40))))</f>
        <v>94213 - 94216</v>
      </c>
      <c r="T2092" s="100">
        <f>SamplingData[[#This Row],[Upper Range]]-SamplingData[[#This Row],[Span]]</f>
        <v>94212.998648974492</v>
      </c>
      <c r="U2092" s="100">
        <f>IF(ISNUMBER('General Info'!$B$40), ((SamplingData[[#This Row],[up/U Selection Probability]]) * 'General Info'!$B$40) - 1, 0)</f>
        <v>2.877140539585219</v>
      </c>
      <c r="V2092" s="100">
        <f>IF(ISNUMBER('General Info'!$B$40), (SamplingData[[#This Row],[Running (cumulative) sum]] * ('General Info'!$B$40 -'General Info'!$B$41 + 1)) + 'General Info'!$B$41 - 1, 0)</f>
        <v>94215.875789514073</v>
      </c>
      <c r="W2092" s="100" t="str">
        <f>IF(ISERROR(MATCH(SamplingData[[#This Row],[Batch by Type (p)]],SelectedPrecincts[Batch Name], 0)), "", INDEX(SelectedPrecincts[Draw], MATCH(SamplingData[[#This Row],[Batch by Type (p)]],SelectedPrecincts[Batch Name], 0)))</f>
        <v/>
      </c>
      <c r="X2092" s="102">
        <f>IF(COUNTIF(SelectedPrecincts[Batch Name],SamplingData[[#This Row],[Batch by Type (p)]]) &lt;&gt; 0, COUNTIF(SelectedPrecincts[Batch Name],SamplingData[[#This Row],[Batch by Type (p)]]), 0)</f>
        <v>0</v>
      </c>
    </row>
    <row r="2093" spans="1:24" ht="15" customHeight="1">
      <c r="A2093" s="18" t="s">
        <v>2269</v>
      </c>
      <c r="B2093" s="18">
        <v>0</v>
      </c>
      <c r="C2093" s="18">
        <v>1</v>
      </c>
      <c r="D2093" s="16">
        <v>0</v>
      </c>
      <c r="E2093" s="16">
        <v>0</v>
      </c>
      <c r="F2093" s="37">
        <v>0</v>
      </c>
      <c r="G2093" s="37">
        <v>0</v>
      </c>
      <c r="H2093" s="17">
        <v>0</v>
      </c>
      <c r="I2093" s="17">
        <v>0</v>
      </c>
      <c r="J2093" s="99">
        <f>SUM(SamplingData[[#This Row],[Losing Candidate]:[Under Votes]])</f>
        <v>1</v>
      </c>
      <c r="K2093"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2093" s="100">
        <f>IF(AND(SamplingData[[#This Row],[Total]]&lt;&gt; 0, NOT(ISBLANK(SamplingData[[#This Row],[Candidate 3]]))),(SamplingData[[#This Row],[Total]]+SamplingData[[#This Row],[Winning Candidate]]-SamplingData[[#This Row],[Candidate 3]])/(SamplingData[[#Totals],[Winning Candidate]]-SamplingData[[#Totals],[Candidate 3]]), 0)</f>
        <v>6.4522373132883833E-5</v>
      </c>
      <c r="M2093" s="100">
        <f>IF(AND(SamplingData[[#This Row],[Total]]&lt;&gt; 0, NOT(ISBLANK(SamplingData[[#This Row],[Candidate 4]]))),(SamplingData[[#This Row],[Total]]+SamplingData[[#This Row],[Winning Candidate]]-SamplingData[[#This Row],[Candidate 4]])/(SamplingData[[#Totals],[Winning Candidate]]-SamplingData[[#Totals],[Candidate 4]]), 0)</f>
        <v>5.846414686193692E-5</v>
      </c>
      <c r="N2093" s="100">
        <f>IF(AND(SamplingData[[#This Row],[Total]]&lt;&gt; 0, NOT(ISBLANK(SamplingData[[#This Row],[Candidate 5]]))),(SamplingData[[#This Row],[Total]]+SamplingData[[#This Row],[Winning Candidate]]-SamplingData[[#This Row],[Candidate 5]])/(SamplingData[[#Totals],[Winning Candidate]]-SamplingData[[#Totals],[Candidate 5]]), 0)</f>
        <v>4.8649963512527367E-5</v>
      </c>
      <c r="O2093" s="100">
        <f>IF(AND(SamplingData[[#This Row],[Total]]&lt;&gt; 0, NOT(ISBLANK(SamplingData[[#This Row],[Candidate 6]]))),(SamplingData[[#This Row],[Total]]+SamplingData[[#This Row],[Winning Candidate]]-SamplingData[[#This Row],[Candidate 6]])/(SamplingData[[#Totals],[Winning Candidate]]-SamplingData[[#Totals],[Candidate 6]]), 0)</f>
        <v>4.8635766742862701E-5</v>
      </c>
      <c r="P2093" s="100">
        <f>MAX(SamplingData[[#This Row],[Error Bound (up) - Max. possible relative overstatement - Losing Candidate]:[Error Bound (up) - Max. possible relative overstatement - Candidate 6]])</f>
        <v>1.224889759921607E-4</v>
      </c>
      <c r="Q2093" s="100">
        <f>IF(SamplingData[[#This Row],[Max Error Bound (up)]] = 0,0,SamplingData[[#This Row],[Max Error Bound (up)]]/SamplingData[[#Totals],[Max Error Bound (up)]])</f>
        <v>1.9385896556891663E-5</v>
      </c>
      <c r="R2093" s="101">
        <f>SUM($Q$5:Q2093)</f>
        <v>0.94218814379169769</v>
      </c>
      <c r="S2093" s="100" t="str">
        <f t="array" ref="S2093">IF(SamplingData[[#This Row],[up/U Selection Probability]] = 0, "Zero", TEXT(SamplingData[[#This Row],[Lower Range]], REPT("0",LEN('General Info'!$B$40))) &amp; " - " &amp; TEXT(SamplingData[[#This Row],[Upper Range]], REPT("0",LEN('General Info'!$B$40))))</f>
        <v>94217 - 94218</v>
      </c>
      <c r="T2093" s="100">
        <f>SamplingData[[#This Row],[Upper Range]]-SamplingData[[#This Row],[Span]]</f>
        <v>94216.875808899975</v>
      </c>
      <c r="U2093" s="100">
        <f>IF(ISNUMBER('General Info'!$B$40), ((SamplingData[[#This Row],[up/U Selection Probability]]) * 'General Info'!$B$40) - 1, 0)</f>
        <v>0.93857026979260949</v>
      </c>
      <c r="V2093" s="100">
        <f>IF(ISNUMBER('General Info'!$B$40), (SamplingData[[#This Row],[Running (cumulative) sum]] * ('General Info'!$B$40 -'General Info'!$B$41 + 1)) + 'General Info'!$B$41 - 1, 0)</f>
        <v>94217.814379169766</v>
      </c>
      <c r="W2093" s="100" t="str">
        <f>IF(ISERROR(MATCH(SamplingData[[#This Row],[Batch by Type (p)]],SelectedPrecincts[Batch Name], 0)), "", INDEX(SelectedPrecincts[Draw], MATCH(SamplingData[[#This Row],[Batch by Type (p)]],SelectedPrecincts[Batch Name], 0)))</f>
        <v/>
      </c>
      <c r="X2093" s="102">
        <f>IF(COUNTIF(SelectedPrecincts[Batch Name],SamplingData[[#This Row],[Batch by Type (p)]]) &lt;&gt; 0, COUNTIF(SelectedPrecincts[Batch Name],SamplingData[[#This Row],[Batch by Type (p)]]), 0)</f>
        <v>0</v>
      </c>
    </row>
    <row r="2094" spans="1:24" ht="15" customHeight="1">
      <c r="A2094" s="18" t="s">
        <v>2270</v>
      </c>
      <c r="B2094" s="18">
        <v>0</v>
      </c>
      <c r="C2094" s="18">
        <v>0</v>
      </c>
      <c r="D2094" s="18">
        <v>0</v>
      </c>
      <c r="E2094" s="18">
        <v>1</v>
      </c>
      <c r="F2094" s="18">
        <v>0</v>
      </c>
      <c r="G2094" s="18">
        <v>0</v>
      </c>
      <c r="H2094" s="18">
        <v>0</v>
      </c>
      <c r="I2094" s="18">
        <v>0</v>
      </c>
      <c r="J2094" s="99">
        <f>SUM(SamplingData[[#This Row],[Losing Candidate]:[Under Votes]])</f>
        <v>1</v>
      </c>
      <c r="K209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094" s="100">
        <f>IF(AND(SamplingData[[#This Row],[Total]]&lt;&gt; 0, NOT(ISBLANK(SamplingData[[#This Row],[Candidate 3]]))),(SamplingData[[#This Row],[Total]]+SamplingData[[#This Row],[Winning Candidate]]-SamplingData[[#This Row],[Candidate 3]])/(SamplingData[[#Totals],[Winning Candidate]]-SamplingData[[#Totals],[Candidate 3]]), 0)</f>
        <v>3.2261186566441917E-5</v>
      </c>
      <c r="M2094" s="100">
        <f>IF(AND(SamplingData[[#This Row],[Total]]&lt;&gt; 0, NOT(ISBLANK(SamplingData[[#This Row],[Candidate 4]]))),(SamplingData[[#This Row],[Total]]+SamplingData[[#This Row],[Winning Candidate]]-SamplingData[[#This Row],[Candidate 4]])/(SamplingData[[#Totals],[Winning Candidate]]-SamplingData[[#Totals],[Candidate 4]]), 0)</f>
        <v>0</v>
      </c>
      <c r="N2094" s="100">
        <f>IF(AND(SamplingData[[#This Row],[Total]]&lt;&gt; 0, NOT(ISBLANK(SamplingData[[#This Row],[Candidate 5]]))),(SamplingData[[#This Row],[Total]]+SamplingData[[#This Row],[Winning Candidate]]-SamplingData[[#This Row],[Candidate 5]])/(SamplingData[[#Totals],[Winning Candidate]]-SamplingData[[#Totals],[Candidate 5]]), 0)</f>
        <v>2.4324981756263683E-5</v>
      </c>
      <c r="O2094" s="100">
        <f>IF(AND(SamplingData[[#This Row],[Total]]&lt;&gt; 0, NOT(ISBLANK(SamplingData[[#This Row],[Candidate 6]]))),(SamplingData[[#This Row],[Total]]+SamplingData[[#This Row],[Winning Candidate]]-SamplingData[[#This Row],[Candidate 6]])/(SamplingData[[#Totals],[Winning Candidate]]-SamplingData[[#Totals],[Candidate 6]]), 0)</f>
        <v>2.431788337143135E-5</v>
      </c>
      <c r="P2094" s="100">
        <f>MAX(SamplingData[[#This Row],[Error Bound (up) - Max. possible relative overstatement - Losing Candidate]:[Error Bound (up) - Max. possible relative overstatement - Candidate 6]])</f>
        <v>6.1244487996080352E-5</v>
      </c>
      <c r="Q2094" s="100">
        <f>IF(SamplingData[[#This Row],[Max Error Bound (up)]] = 0,0,SamplingData[[#This Row],[Max Error Bound (up)]]/SamplingData[[#Totals],[Max Error Bound (up)]])</f>
        <v>9.6929482784458315E-6</v>
      </c>
      <c r="R2094" s="101">
        <f>SUM($Q$5:Q2094)</f>
        <v>0.94219783673997615</v>
      </c>
      <c r="S2094" s="100" t="str">
        <f t="array" ref="S2094">IF(SamplingData[[#This Row],[up/U Selection Probability]] = 0, "Zero", TEXT(SamplingData[[#This Row],[Lower Range]], REPT("0",LEN('General Info'!$B$40))) &amp; " - " &amp; TEXT(SamplingData[[#This Row],[Upper Range]], REPT("0",LEN('General Info'!$B$40))))</f>
        <v>94219 - 94219</v>
      </c>
      <c r="T2094" s="100">
        <f>SamplingData[[#This Row],[Upper Range]]-SamplingData[[#This Row],[Span]]</f>
        <v>94218.814388862724</v>
      </c>
      <c r="U2094" s="100">
        <f>IF(ISNUMBER('General Info'!$B$40), ((SamplingData[[#This Row],[up/U Selection Probability]]) * 'General Info'!$B$40) - 1, 0)</f>
        <v>-3.0714865103695255E-2</v>
      </c>
      <c r="V2094" s="100">
        <f>IF(ISNUMBER('General Info'!$B$40), (SamplingData[[#This Row],[Running (cumulative) sum]] * ('General Info'!$B$40 -'General Info'!$B$41 + 1)) + 'General Info'!$B$41 - 1, 0)</f>
        <v>94218.783673997619</v>
      </c>
      <c r="W2094" s="100" t="str">
        <f>IF(ISERROR(MATCH(SamplingData[[#This Row],[Batch by Type (p)]],SelectedPrecincts[Batch Name], 0)), "", INDEX(SelectedPrecincts[Draw], MATCH(SamplingData[[#This Row],[Batch by Type (p)]],SelectedPrecincts[Batch Name], 0)))</f>
        <v/>
      </c>
      <c r="X2094" s="102">
        <f>IF(COUNTIF(SelectedPrecincts[Batch Name],SamplingData[[#This Row],[Batch by Type (p)]]) &lt;&gt; 0, COUNTIF(SelectedPrecincts[Batch Name],SamplingData[[#This Row],[Batch by Type (p)]]), 0)</f>
        <v>0</v>
      </c>
    </row>
    <row r="2095" spans="1:24" ht="15" customHeight="1">
      <c r="A2095" s="18" t="s">
        <v>2271</v>
      </c>
      <c r="B2095" s="18">
        <v>0</v>
      </c>
      <c r="C2095" s="18">
        <v>0</v>
      </c>
      <c r="D2095" s="16">
        <v>0</v>
      </c>
      <c r="E2095" s="16">
        <v>0</v>
      </c>
      <c r="F2095" s="37">
        <v>0</v>
      </c>
      <c r="G2095" s="37">
        <v>0</v>
      </c>
      <c r="H2095" s="17">
        <v>0</v>
      </c>
      <c r="I2095" s="17">
        <v>0</v>
      </c>
      <c r="J2095" s="99">
        <f>SUM(SamplingData[[#This Row],[Losing Candidate]:[Under Votes]])</f>
        <v>0</v>
      </c>
      <c r="K2095" s="100">
        <f>IF(AND(SamplingData[[#This Row],[Total]]&lt;&gt; 0, NOT(ISBLANK(SamplingData[[#This Row],[Losing Candidate]]))),(SamplingData[[#This Row],[Total]]+SamplingData[[#This Row],[Winning Candidate]]-SamplingData[[#This Row],[Losing Candidate]])/(SamplingData[[#Totals],[Winning Candidate]]-SamplingData[[#Totals],[Losing Candidate]]), 0)</f>
        <v>0</v>
      </c>
      <c r="L2095" s="100">
        <f>IF(AND(SamplingData[[#This Row],[Total]]&lt;&gt; 0, NOT(ISBLANK(SamplingData[[#This Row],[Candidate 3]]))),(SamplingData[[#This Row],[Total]]+SamplingData[[#This Row],[Winning Candidate]]-SamplingData[[#This Row],[Candidate 3]])/(SamplingData[[#Totals],[Winning Candidate]]-SamplingData[[#Totals],[Candidate 3]]), 0)</f>
        <v>0</v>
      </c>
      <c r="M2095" s="100">
        <f>IF(AND(SamplingData[[#This Row],[Total]]&lt;&gt; 0, NOT(ISBLANK(SamplingData[[#This Row],[Candidate 4]]))),(SamplingData[[#This Row],[Total]]+SamplingData[[#This Row],[Winning Candidate]]-SamplingData[[#This Row],[Candidate 4]])/(SamplingData[[#Totals],[Winning Candidate]]-SamplingData[[#Totals],[Candidate 4]]), 0)</f>
        <v>0</v>
      </c>
      <c r="N2095" s="100">
        <f>IF(AND(SamplingData[[#This Row],[Total]]&lt;&gt; 0, NOT(ISBLANK(SamplingData[[#This Row],[Candidate 5]]))),(SamplingData[[#This Row],[Total]]+SamplingData[[#This Row],[Winning Candidate]]-SamplingData[[#This Row],[Candidate 5]])/(SamplingData[[#Totals],[Winning Candidate]]-SamplingData[[#Totals],[Candidate 5]]), 0)</f>
        <v>0</v>
      </c>
      <c r="O2095" s="100">
        <f>IF(AND(SamplingData[[#This Row],[Total]]&lt;&gt; 0, NOT(ISBLANK(SamplingData[[#This Row],[Candidate 6]]))),(SamplingData[[#This Row],[Total]]+SamplingData[[#This Row],[Winning Candidate]]-SamplingData[[#This Row],[Candidate 6]])/(SamplingData[[#Totals],[Winning Candidate]]-SamplingData[[#Totals],[Candidate 6]]), 0)</f>
        <v>0</v>
      </c>
      <c r="P2095" s="100">
        <f>MAX(SamplingData[[#This Row],[Error Bound (up) - Max. possible relative overstatement - Losing Candidate]:[Error Bound (up) - Max. possible relative overstatement - Candidate 6]])</f>
        <v>0</v>
      </c>
      <c r="Q2095" s="100">
        <f>IF(SamplingData[[#This Row],[Max Error Bound (up)]] = 0,0,SamplingData[[#This Row],[Max Error Bound (up)]]/SamplingData[[#Totals],[Max Error Bound (up)]])</f>
        <v>0</v>
      </c>
      <c r="R2095" s="101">
        <f>SUM($Q$5:Q2095)</f>
        <v>0.94219783673997615</v>
      </c>
      <c r="S2095" s="100" t="str">
        <f t="array" ref="S2095">IF(SamplingData[[#This Row],[up/U Selection Probability]] = 0, "Zero", TEXT(SamplingData[[#This Row],[Lower Range]], REPT("0",LEN('General Info'!$B$40))) &amp; " - " &amp; TEXT(SamplingData[[#This Row],[Upper Range]], REPT("0",LEN('General Info'!$B$40))))</f>
        <v>Zero</v>
      </c>
      <c r="T2095" s="100">
        <f>SamplingData[[#This Row],[Upper Range]]-SamplingData[[#This Row],[Span]]</f>
        <v>94219.783673997619</v>
      </c>
      <c r="U2095" s="100">
        <f>IF(ISNUMBER('General Info'!$B$40), ((SamplingData[[#This Row],[up/U Selection Probability]]) * 'General Info'!$B$40) - 1, 0)</f>
        <v>-1</v>
      </c>
      <c r="V2095" s="100">
        <f>IF(ISNUMBER('General Info'!$B$40), (SamplingData[[#This Row],[Running (cumulative) sum]] * ('General Info'!$B$40 -'General Info'!$B$41 + 1)) + 'General Info'!$B$41 - 1, 0)</f>
        <v>94218.783673997619</v>
      </c>
      <c r="W2095" s="100" t="str">
        <f>IF(ISERROR(MATCH(SamplingData[[#This Row],[Batch by Type (p)]],SelectedPrecincts[Batch Name], 0)), "", INDEX(SelectedPrecincts[Draw], MATCH(SamplingData[[#This Row],[Batch by Type (p)]],SelectedPrecincts[Batch Name], 0)))</f>
        <v/>
      </c>
      <c r="X2095" s="102">
        <f>IF(COUNTIF(SelectedPrecincts[Batch Name],SamplingData[[#This Row],[Batch by Type (p)]]) &lt;&gt; 0, COUNTIF(SelectedPrecincts[Batch Name],SamplingData[[#This Row],[Batch by Type (p)]]), 0)</f>
        <v>0</v>
      </c>
    </row>
    <row r="2096" spans="1:24" ht="15" customHeight="1">
      <c r="A2096" s="18" t="s">
        <v>2272</v>
      </c>
      <c r="B2096" s="18">
        <v>0</v>
      </c>
      <c r="C2096" s="18">
        <v>0</v>
      </c>
      <c r="D2096" s="18">
        <v>0</v>
      </c>
      <c r="E2096" s="18">
        <v>0</v>
      </c>
      <c r="F2096" s="18">
        <v>0</v>
      </c>
      <c r="G2096" s="18">
        <v>0</v>
      </c>
      <c r="H2096" s="18">
        <v>0</v>
      </c>
      <c r="I2096" s="18">
        <v>0</v>
      </c>
      <c r="J2096" s="99">
        <f>SUM(SamplingData[[#This Row],[Losing Candidate]:[Under Votes]])</f>
        <v>0</v>
      </c>
      <c r="K2096" s="100">
        <f>IF(AND(SamplingData[[#This Row],[Total]]&lt;&gt; 0, NOT(ISBLANK(SamplingData[[#This Row],[Losing Candidate]]))),(SamplingData[[#This Row],[Total]]+SamplingData[[#This Row],[Winning Candidate]]-SamplingData[[#This Row],[Losing Candidate]])/(SamplingData[[#Totals],[Winning Candidate]]-SamplingData[[#Totals],[Losing Candidate]]), 0)</f>
        <v>0</v>
      </c>
      <c r="L2096" s="100">
        <f>IF(AND(SamplingData[[#This Row],[Total]]&lt;&gt; 0, NOT(ISBLANK(SamplingData[[#This Row],[Candidate 3]]))),(SamplingData[[#This Row],[Total]]+SamplingData[[#This Row],[Winning Candidate]]-SamplingData[[#This Row],[Candidate 3]])/(SamplingData[[#Totals],[Winning Candidate]]-SamplingData[[#Totals],[Candidate 3]]), 0)</f>
        <v>0</v>
      </c>
      <c r="M2096" s="100">
        <f>IF(AND(SamplingData[[#This Row],[Total]]&lt;&gt; 0, NOT(ISBLANK(SamplingData[[#This Row],[Candidate 4]]))),(SamplingData[[#This Row],[Total]]+SamplingData[[#This Row],[Winning Candidate]]-SamplingData[[#This Row],[Candidate 4]])/(SamplingData[[#Totals],[Winning Candidate]]-SamplingData[[#Totals],[Candidate 4]]), 0)</f>
        <v>0</v>
      </c>
      <c r="N2096" s="100">
        <f>IF(AND(SamplingData[[#This Row],[Total]]&lt;&gt; 0, NOT(ISBLANK(SamplingData[[#This Row],[Candidate 5]]))),(SamplingData[[#This Row],[Total]]+SamplingData[[#This Row],[Winning Candidate]]-SamplingData[[#This Row],[Candidate 5]])/(SamplingData[[#Totals],[Winning Candidate]]-SamplingData[[#Totals],[Candidate 5]]), 0)</f>
        <v>0</v>
      </c>
      <c r="O2096" s="100">
        <f>IF(AND(SamplingData[[#This Row],[Total]]&lt;&gt; 0, NOT(ISBLANK(SamplingData[[#This Row],[Candidate 6]]))),(SamplingData[[#This Row],[Total]]+SamplingData[[#This Row],[Winning Candidate]]-SamplingData[[#This Row],[Candidate 6]])/(SamplingData[[#Totals],[Winning Candidate]]-SamplingData[[#Totals],[Candidate 6]]), 0)</f>
        <v>0</v>
      </c>
      <c r="P2096" s="100">
        <f>MAX(SamplingData[[#This Row],[Error Bound (up) - Max. possible relative overstatement - Losing Candidate]:[Error Bound (up) - Max. possible relative overstatement - Candidate 6]])</f>
        <v>0</v>
      </c>
      <c r="Q2096" s="100">
        <f>IF(SamplingData[[#This Row],[Max Error Bound (up)]] = 0,0,SamplingData[[#This Row],[Max Error Bound (up)]]/SamplingData[[#Totals],[Max Error Bound (up)]])</f>
        <v>0</v>
      </c>
      <c r="R2096" s="101">
        <f>SUM($Q$5:Q2096)</f>
        <v>0.94219783673997615</v>
      </c>
      <c r="S2096" s="100" t="str">
        <f t="array" ref="S2096">IF(SamplingData[[#This Row],[up/U Selection Probability]] = 0, "Zero", TEXT(SamplingData[[#This Row],[Lower Range]], REPT("0",LEN('General Info'!$B$40))) &amp; " - " &amp; TEXT(SamplingData[[#This Row],[Upper Range]], REPT("0",LEN('General Info'!$B$40))))</f>
        <v>Zero</v>
      </c>
      <c r="T2096" s="100">
        <f>SamplingData[[#This Row],[Upper Range]]-SamplingData[[#This Row],[Span]]</f>
        <v>94219.783673997619</v>
      </c>
      <c r="U2096" s="100">
        <f>IF(ISNUMBER('General Info'!$B$40), ((SamplingData[[#This Row],[up/U Selection Probability]]) * 'General Info'!$B$40) - 1, 0)</f>
        <v>-1</v>
      </c>
      <c r="V2096" s="100">
        <f>IF(ISNUMBER('General Info'!$B$40), (SamplingData[[#This Row],[Running (cumulative) sum]] * ('General Info'!$B$40 -'General Info'!$B$41 + 1)) + 'General Info'!$B$41 - 1, 0)</f>
        <v>94218.783673997619</v>
      </c>
      <c r="W2096" s="100" t="str">
        <f>IF(ISERROR(MATCH(SamplingData[[#This Row],[Batch by Type (p)]],SelectedPrecincts[Batch Name], 0)), "", INDEX(SelectedPrecincts[Draw], MATCH(SamplingData[[#This Row],[Batch by Type (p)]],SelectedPrecincts[Batch Name], 0)))</f>
        <v/>
      </c>
      <c r="X2096" s="102">
        <f>IF(COUNTIF(SelectedPrecincts[Batch Name],SamplingData[[#This Row],[Batch by Type (p)]]) &lt;&gt; 0, COUNTIF(SelectedPrecincts[Batch Name],SamplingData[[#This Row],[Batch by Type (p)]]), 0)</f>
        <v>0</v>
      </c>
    </row>
    <row r="2097" spans="1:24" ht="15" customHeight="1">
      <c r="A2097" s="18" t="s">
        <v>2273</v>
      </c>
      <c r="B2097" s="18">
        <v>3</v>
      </c>
      <c r="C2097" s="18">
        <v>0</v>
      </c>
      <c r="D2097" s="16">
        <v>0</v>
      </c>
      <c r="E2097" s="16">
        <v>0</v>
      </c>
      <c r="F2097" s="37">
        <v>0</v>
      </c>
      <c r="G2097" s="37">
        <v>0</v>
      </c>
      <c r="H2097" s="17">
        <v>0</v>
      </c>
      <c r="I2097" s="17">
        <v>0</v>
      </c>
      <c r="J2097" s="99">
        <f>SUM(SamplingData[[#This Row],[Losing Candidate]:[Under Votes]])</f>
        <v>3</v>
      </c>
      <c r="K2097" s="100">
        <f>IF(AND(SamplingData[[#This Row],[Total]]&lt;&gt; 0, NOT(ISBLANK(SamplingData[[#This Row],[Losing Candidate]]))),(SamplingData[[#This Row],[Total]]+SamplingData[[#This Row],[Winning Candidate]]-SamplingData[[#This Row],[Losing Candidate]])/(SamplingData[[#Totals],[Winning Candidate]]-SamplingData[[#Totals],[Losing Candidate]]), 0)</f>
        <v>0</v>
      </c>
      <c r="L2097" s="100">
        <f>IF(AND(SamplingData[[#This Row],[Total]]&lt;&gt; 0, NOT(ISBLANK(SamplingData[[#This Row],[Candidate 3]]))),(SamplingData[[#This Row],[Total]]+SamplingData[[#This Row],[Winning Candidate]]-SamplingData[[#This Row],[Candidate 3]])/(SamplingData[[#Totals],[Winning Candidate]]-SamplingData[[#Totals],[Candidate 3]]), 0)</f>
        <v>9.6783559699325743E-5</v>
      </c>
      <c r="M2097" s="100">
        <f>IF(AND(SamplingData[[#This Row],[Total]]&lt;&gt; 0, NOT(ISBLANK(SamplingData[[#This Row],[Candidate 4]]))),(SamplingData[[#This Row],[Total]]+SamplingData[[#This Row],[Winning Candidate]]-SamplingData[[#This Row],[Candidate 4]])/(SamplingData[[#Totals],[Winning Candidate]]-SamplingData[[#Totals],[Candidate 4]]), 0)</f>
        <v>8.7696220292905373E-5</v>
      </c>
      <c r="N2097" s="100">
        <f>IF(AND(SamplingData[[#This Row],[Total]]&lt;&gt; 0, NOT(ISBLANK(SamplingData[[#This Row],[Candidate 5]]))),(SamplingData[[#This Row],[Total]]+SamplingData[[#This Row],[Winning Candidate]]-SamplingData[[#This Row],[Candidate 5]])/(SamplingData[[#Totals],[Winning Candidate]]-SamplingData[[#Totals],[Candidate 5]]), 0)</f>
        <v>7.2974945268791054E-5</v>
      </c>
      <c r="O2097" s="100">
        <f>IF(AND(SamplingData[[#This Row],[Total]]&lt;&gt; 0, NOT(ISBLANK(SamplingData[[#This Row],[Candidate 6]]))),(SamplingData[[#This Row],[Total]]+SamplingData[[#This Row],[Winning Candidate]]-SamplingData[[#This Row],[Candidate 6]])/(SamplingData[[#Totals],[Winning Candidate]]-SamplingData[[#Totals],[Candidate 6]]), 0)</f>
        <v>7.2953650114294054E-5</v>
      </c>
      <c r="P2097" s="100">
        <f>MAX(SamplingData[[#This Row],[Error Bound (up) - Max. possible relative overstatement - Losing Candidate]:[Error Bound (up) - Max. possible relative overstatement - Candidate 6]])</f>
        <v>9.6783559699325743E-5</v>
      </c>
      <c r="Q2097" s="100">
        <f>IF(SamplingData[[#This Row],[Max Error Bound (up)]] = 0,0,SamplingData[[#This Row],[Max Error Bound (up)]]/SamplingData[[#Totals],[Max Error Bound (up)]])</f>
        <v>1.5317591330496199E-5</v>
      </c>
      <c r="R2097" s="101">
        <f>SUM($Q$5:Q2097)</f>
        <v>0.94221315433130659</v>
      </c>
      <c r="S2097" s="100" t="str">
        <f t="array" ref="S2097">IF(SamplingData[[#This Row],[up/U Selection Probability]] = 0, "Zero", TEXT(SamplingData[[#This Row],[Lower Range]], REPT("0",LEN('General Info'!$B$40))) &amp; " - " &amp; TEXT(SamplingData[[#This Row],[Upper Range]], REPT("0",LEN('General Info'!$B$40))))</f>
        <v>94220 - 94220</v>
      </c>
      <c r="T2097" s="100">
        <f>SamplingData[[#This Row],[Upper Range]]-SamplingData[[#This Row],[Span]]</f>
        <v>94219.783689315198</v>
      </c>
      <c r="U2097" s="100">
        <f>IF(ISNUMBER('General Info'!$B$40), ((SamplingData[[#This Row],[up/U Selection Probability]]) * 'General Info'!$B$40) - 1, 0)</f>
        <v>0.53174381545828941</v>
      </c>
      <c r="V2097" s="100">
        <f>IF(ISNUMBER('General Info'!$B$40), (SamplingData[[#This Row],[Running (cumulative) sum]] * ('General Info'!$B$40 -'General Info'!$B$41 + 1)) + 'General Info'!$B$41 - 1, 0)</f>
        <v>94220.315433130658</v>
      </c>
      <c r="W2097" s="100" t="str">
        <f>IF(ISERROR(MATCH(SamplingData[[#This Row],[Batch by Type (p)]],SelectedPrecincts[Batch Name], 0)), "", INDEX(SelectedPrecincts[Draw], MATCH(SamplingData[[#This Row],[Batch by Type (p)]],SelectedPrecincts[Batch Name], 0)))</f>
        <v/>
      </c>
      <c r="X2097" s="102">
        <f>IF(COUNTIF(SelectedPrecincts[Batch Name],SamplingData[[#This Row],[Batch by Type (p)]]) &lt;&gt; 0, COUNTIF(SelectedPrecincts[Batch Name],SamplingData[[#This Row],[Batch by Type (p)]]), 0)</f>
        <v>0</v>
      </c>
    </row>
    <row r="2098" spans="1:24" ht="15" customHeight="1">
      <c r="A2098" s="18" t="s">
        <v>2274</v>
      </c>
      <c r="B2098" s="18">
        <v>0</v>
      </c>
      <c r="C2098" s="18">
        <v>1</v>
      </c>
      <c r="D2098" s="18">
        <v>0</v>
      </c>
      <c r="E2098" s="18">
        <v>0</v>
      </c>
      <c r="F2098" s="18">
        <v>0</v>
      </c>
      <c r="G2098" s="18">
        <v>0</v>
      </c>
      <c r="H2098" s="18">
        <v>0</v>
      </c>
      <c r="I2098" s="18">
        <v>0</v>
      </c>
      <c r="J2098" s="99">
        <f>SUM(SamplingData[[#This Row],[Losing Candidate]:[Under Votes]])</f>
        <v>1</v>
      </c>
      <c r="K2098"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2098" s="100">
        <f>IF(AND(SamplingData[[#This Row],[Total]]&lt;&gt; 0, NOT(ISBLANK(SamplingData[[#This Row],[Candidate 3]]))),(SamplingData[[#This Row],[Total]]+SamplingData[[#This Row],[Winning Candidate]]-SamplingData[[#This Row],[Candidate 3]])/(SamplingData[[#Totals],[Winning Candidate]]-SamplingData[[#Totals],[Candidate 3]]), 0)</f>
        <v>6.4522373132883833E-5</v>
      </c>
      <c r="M2098" s="100">
        <f>IF(AND(SamplingData[[#This Row],[Total]]&lt;&gt; 0, NOT(ISBLANK(SamplingData[[#This Row],[Candidate 4]]))),(SamplingData[[#This Row],[Total]]+SamplingData[[#This Row],[Winning Candidate]]-SamplingData[[#This Row],[Candidate 4]])/(SamplingData[[#Totals],[Winning Candidate]]-SamplingData[[#Totals],[Candidate 4]]), 0)</f>
        <v>5.846414686193692E-5</v>
      </c>
      <c r="N2098" s="100">
        <f>IF(AND(SamplingData[[#This Row],[Total]]&lt;&gt; 0, NOT(ISBLANK(SamplingData[[#This Row],[Candidate 5]]))),(SamplingData[[#This Row],[Total]]+SamplingData[[#This Row],[Winning Candidate]]-SamplingData[[#This Row],[Candidate 5]])/(SamplingData[[#Totals],[Winning Candidate]]-SamplingData[[#Totals],[Candidate 5]]), 0)</f>
        <v>4.8649963512527367E-5</v>
      </c>
      <c r="O2098" s="100">
        <f>IF(AND(SamplingData[[#This Row],[Total]]&lt;&gt; 0, NOT(ISBLANK(SamplingData[[#This Row],[Candidate 6]]))),(SamplingData[[#This Row],[Total]]+SamplingData[[#This Row],[Winning Candidate]]-SamplingData[[#This Row],[Candidate 6]])/(SamplingData[[#Totals],[Winning Candidate]]-SamplingData[[#Totals],[Candidate 6]]), 0)</f>
        <v>4.8635766742862701E-5</v>
      </c>
      <c r="P2098" s="100">
        <f>MAX(SamplingData[[#This Row],[Error Bound (up) - Max. possible relative overstatement - Losing Candidate]:[Error Bound (up) - Max. possible relative overstatement - Candidate 6]])</f>
        <v>1.224889759921607E-4</v>
      </c>
      <c r="Q2098" s="100">
        <f>IF(SamplingData[[#This Row],[Max Error Bound (up)]] = 0,0,SamplingData[[#This Row],[Max Error Bound (up)]]/SamplingData[[#Totals],[Max Error Bound (up)]])</f>
        <v>1.9385896556891663E-5</v>
      </c>
      <c r="R2098" s="101">
        <f>SUM($Q$5:Q2098)</f>
        <v>0.94223254022786351</v>
      </c>
      <c r="S2098" s="100" t="str">
        <f t="array" ref="S2098">IF(SamplingData[[#This Row],[up/U Selection Probability]] = 0, "Zero", TEXT(SamplingData[[#This Row],[Lower Range]], REPT("0",LEN('General Info'!$B$40))) &amp; " - " &amp; TEXT(SamplingData[[#This Row],[Upper Range]], REPT("0",LEN('General Info'!$B$40))))</f>
        <v>94221 - 94222</v>
      </c>
      <c r="T2098" s="100">
        <f>SamplingData[[#This Row],[Upper Range]]-SamplingData[[#This Row],[Span]]</f>
        <v>94221.315452516559</v>
      </c>
      <c r="U2098" s="100">
        <f>IF(ISNUMBER('General Info'!$B$40), ((SamplingData[[#This Row],[up/U Selection Probability]]) * 'General Info'!$B$40) - 1, 0)</f>
        <v>0.93857026979260949</v>
      </c>
      <c r="V2098" s="100">
        <f>IF(ISNUMBER('General Info'!$B$40), (SamplingData[[#This Row],[Running (cumulative) sum]] * ('General Info'!$B$40 -'General Info'!$B$41 + 1)) + 'General Info'!$B$41 - 1, 0)</f>
        <v>94222.25402278635</v>
      </c>
      <c r="W2098" s="100" t="str">
        <f>IF(ISERROR(MATCH(SamplingData[[#This Row],[Batch by Type (p)]],SelectedPrecincts[Batch Name], 0)), "", INDEX(SelectedPrecincts[Draw], MATCH(SamplingData[[#This Row],[Batch by Type (p)]],SelectedPrecincts[Batch Name], 0)))</f>
        <v/>
      </c>
      <c r="X2098" s="102">
        <f>IF(COUNTIF(SelectedPrecincts[Batch Name],SamplingData[[#This Row],[Batch by Type (p)]]) &lt;&gt; 0, COUNTIF(SelectedPrecincts[Batch Name],SamplingData[[#This Row],[Batch by Type (p)]]), 0)</f>
        <v>0</v>
      </c>
    </row>
    <row r="2099" spans="1:24" ht="15" customHeight="1">
      <c r="A2099" s="18" t="s">
        <v>2275</v>
      </c>
      <c r="B2099" s="18">
        <v>0</v>
      </c>
      <c r="C2099" s="18">
        <v>3</v>
      </c>
      <c r="D2099" s="16">
        <v>0</v>
      </c>
      <c r="E2099" s="16">
        <v>1</v>
      </c>
      <c r="F2099" s="37">
        <v>0</v>
      </c>
      <c r="G2099" s="37">
        <v>0</v>
      </c>
      <c r="H2099" s="17">
        <v>0</v>
      </c>
      <c r="I2099" s="17">
        <v>0</v>
      </c>
      <c r="J2099" s="99">
        <f>SUM(SamplingData[[#This Row],[Losing Candidate]:[Under Votes]])</f>
        <v>4</v>
      </c>
      <c r="K2099"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2099" s="100">
        <f>IF(AND(SamplingData[[#This Row],[Total]]&lt;&gt; 0, NOT(ISBLANK(SamplingData[[#This Row],[Candidate 3]]))),(SamplingData[[#This Row],[Total]]+SamplingData[[#This Row],[Winning Candidate]]-SamplingData[[#This Row],[Candidate 3]])/(SamplingData[[#Totals],[Winning Candidate]]-SamplingData[[#Totals],[Candidate 3]]), 0)</f>
        <v>2.258283059650934E-4</v>
      </c>
      <c r="M2099" s="100">
        <f>IF(AND(SamplingData[[#This Row],[Total]]&lt;&gt; 0, NOT(ISBLANK(SamplingData[[#This Row],[Candidate 4]]))),(SamplingData[[#This Row],[Total]]+SamplingData[[#This Row],[Winning Candidate]]-SamplingData[[#This Row],[Candidate 4]])/(SamplingData[[#Totals],[Winning Candidate]]-SamplingData[[#Totals],[Candidate 4]]), 0)</f>
        <v>1.7539244058581075E-4</v>
      </c>
      <c r="N2099" s="100">
        <f>IF(AND(SamplingData[[#This Row],[Total]]&lt;&gt; 0, NOT(ISBLANK(SamplingData[[#This Row],[Candidate 5]]))),(SamplingData[[#This Row],[Total]]+SamplingData[[#This Row],[Winning Candidate]]-SamplingData[[#This Row],[Candidate 5]])/(SamplingData[[#Totals],[Winning Candidate]]-SamplingData[[#Totals],[Candidate 5]]), 0)</f>
        <v>1.7027487229384579E-4</v>
      </c>
      <c r="O2099" s="100">
        <f>IF(AND(SamplingData[[#This Row],[Total]]&lt;&gt; 0, NOT(ISBLANK(SamplingData[[#This Row],[Candidate 6]]))),(SamplingData[[#This Row],[Total]]+SamplingData[[#This Row],[Winning Candidate]]-SamplingData[[#This Row],[Candidate 6]])/(SamplingData[[#Totals],[Winning Candidate]]-SamplingData[[#Totals],[Candidate 6]]), 0)</f>
        <v>1.7022518360001944E-4</v>
      </c>
      <c r="P2099" s="100">
        <f>MAX(SamplingData[[#This Row],[Error Bound (up) - Max. possible relative overstatement - Losing Candidate]:[Error Bound (up) - Max. possible relative overstatement - Candidate 6]])</f>
        <v>4.2871141597256246E-4</v>
      </c>
      <c r="Q2099" s="100">
        <f>IF(SamplingData[[#This Row],[Max Error Bound (up)]] = 0,0,SamplingData[[#This Row],[Max Error Bound (up)]]/SamplingData[[#Totals],[Max Error Bound (up)]])</f>
        <v>6.7850637949120826E-5</v>
      </c>
      <c r="R2099" s="101">
        <f>SUM($Q$5:Q2099)</f>
        <v>0.94230039086581263</v>
      </c>
      <c r="S2099" s="100" t="str">
        <f t="array" ref="S2099">IF(SamplingData[[#This Row],[up/U Selection Probability]] = 0, "Zero", TEXT(SamplingData[[#This Row],[Lower Range]], REPT("0",LEN('General Info'!$B$40))) &amp; " - " &amp; TEXT(SamplingData[[#This Row],[Upper Range]], REPT("0",LEN('General Info'!$B$40))))</f>
        <v>94223 - 94229</v>
      </c>
      <c r="T2099" s="100">
        <f>SamplingData[[#This Row],[Upper Range]]-SamplingData[[#This Row],[Span]]</f>
        <v>94223.254090636998</v>
      </c>
      <c r="U2099" s="100">
        <f>IF(ISNUMBER('General Info'!$B$40), ((SamplingData[[#This Row],[up/U Selection Probability]]) * 'General Info'!$B$40) - 1, 0)</f>
        <v>5.7849959442741339</v>
      </c>
      <c r="V2099" s="100">
        <f>IF(ISNUMBER('General Info'!$B$40), (SamplingData[[#This Row],[Running (cumulative) sum]] * ('General Info'!$B$40 -'General Info'!$B$41 + 1)) + 'General Info'!$B$41 - 1, 0)</f>
        <v>94229.039086581266</v>
      </c>
      <c r="W2099" s="100" t="str">
        <f>IF(ISERROR(MATCH(SamplingData[[#This Row],[Batch by Type (p)]],SelectedPrecincts[Batch Name], 0)), "", INDEX(SelectedPrecincts[Draw], MATCH(SamplingData[[#This Row],[Batch by Type (p)]],SelectedPrecincts[Batch Name], 0)))</f>
        <v/>
      </c>
      <c r="X2099" s="102">
        <f>IF(COUNTIF(SelectedPrecincts[Batch Name],SamplingData[[#This Row],[Batch by Type (p)]]) &lt;&gt; 0, COUNTIF(SelectedPrecincts[Batch Name],SamplingData[[#This Row],[Batch by Type (p)]]), 0)</f>
        <v>0</v>
      </c>
    </row>
    <row r="2100" spans="1:24" ht="15" customHeight="1">
      <c r="A2100" s="18" t="s">
        <v>2276</v>
      </c>
      <c r="B2100" s="18">
        <v>0</v>
      </c>
      <c r="C2100" s="18">
        <v>2</v>
      </c>
      <c r="D2100" s="18">
        <v>0</v>
      </c>
      <c r="E2100" s="18">
        <v>0</v>
      </c>
      <c r="F2100" s="18">
        <v>0</v>
      </c>
      <c r="G2100" s="18">
        <v>0</v>
      </c>
      <c r="H2100" s="18">
        <v>0</v>
      </c>
      <c r="I2100" s="18">
        <v>0</v>
      </c>
      <c r="J2100" s="99">
        <f>SUM(SamplingData[[#This Row],[Losing Candidate]:[Under Votes]])</f>
        <v>2</v>
      </c>
      <c r="K2100" s="100">
        <f>IF(AND(SamplingData[[#This Row],[Total]]&lt;&gt; 0, NOT(ISBLANK(SamplingData[[#This Row],[Losing Candidate]]))),(SamplingData[[#This Row],[Total]]+SamplingData[[#This Row],[Winning Candidate]]-SamplingData[[#This Row],[Losing Candidate]])/(SamplingData[[#Totals],[Winning Candidate]]-SamplingData[[#Totals],[Losing Candidate]]), 0)</f>
        <v>2.4497795198432141E-4</v>
      </c>
      <c r="L2100" s="100">
        <f>IF(AND(SamplingData[[#This Row],[Total]]&lt;&gt; 0, NOT(ISBLANK(SamplingData[[#This Row],[Candidate 3]]))),(SamplingData[[#This Row],[Total]]+SamplingData[[#This Row],[Winning Candidate]]-SamplingData[[#This Row],[Candidate 3]])/(SamplingData[[#Totals],[Winning Candidate]]-SamplingData[[#Totals],[Candidate 3]]), 0)</f>
        <v>1.2904474626576767E-4</v>
      </c>
      <c r="M2100" s="100">
        <f>IF(AND(SamplingData[[#This Row],[Total]]&lt;&gt; 0, NOT(ISBLANK(SamplingData[[#This Row],[Candidate 4]]))),(SamplingData[[#This Row],[Total]]+SamplingData[[#This Row],[Winning Candidate]]-SamplingData[[#This Row],[Candidate 4]])/(SamplingData[[#Totals],[Winning Candidate]]-SamplingData[[#Totals],[Candidate 4]]), 0)</f>
        <v>1.1692829372387384E-4</v>
      </c>
      <c r="N2100" s="100">
        <f>IF(AND(SamplingData[[#This Row],[Total]]&lt;&gt; 0, NOT(ISBLANK(SamplingData[[#This Row],[Candidate 5]]))),(SamplingData[[#This Row],[Total]]+SamplingData[[#This Row],[Winning Candidate]]-SamplingData[[#This Row],[Candidate 5]])/(SamplingData[[#Totals],[Winning Candidate]]-SamplingData[[#Totals],[Candidate 5]]), 0)</f>
        <v>9.7299927025054734E-5</v>
      </c>
      <c r="O2100" s="100">
        <f>IF(AND(SamplingData[[#This Row],[Total]]&lt;&gt; 0, NOT(ISBLANK(SamplingData[[#This Row],[Candidate 6]]))),(SamplingData[[#This Row],[Total]]+SamplingData[[#This Row],[Winning Candidate]]-SamplingData[[#This Row],[Candidate 6]])/(SamplingData[[#Totals],[Winning Candidate]]-SamplingData[[#Totals],[Candidate 6]]), 0)</f>
        <v>9.7271533485725401E-5</v>
      </c>
      <c r="P2100" s="100">
        <f>MAX(SamplingData[[#This Row],[Error Bound (up) - Max. possible relative overstatement - Losing Candidate]:[Error Bound (up) - Max. possible relative overstatement - Candidate 6]])</f>
        <v>2.4497795198432141E-4</v>
      </c>
      <c r="Q2100" s="100">
        <f>IF(SamplingData[[#This Row],[Max Error Bound (up)]] = 0,0,SamplingData[[#This Row],[Max Error Bound (up)]]/SamplingData[[#Totals],[Max Error Bound (up)]])</f>
        <v>3.8771793113783326E-5</v>
      </c>
      <c r="R2100" s="101">
        <f>SUM($Q$5:Q2100)</f>
        <v>0.94233916265892637</v>
      </c>
      <c r="S2100" s="100" t="str">
        <f t="array" ref="S2100">IF(SamplingData[[#This Row],[up/U Selection Probability]] = 0, "Zero", TEXT(SamplingData[[#This Row],[Lower Range]], REPT("0",LEN('General Info'!$B$40))) &amp; " - " &amp; TEXT(SamplingData[[#This Row],[Upper Range]], REPT("0",LEN('General Info'!$B$40))))</f>
        <v>94230 - 94233</v>
      </c>
      <c r="T2100" s="100">
        <f>SamplingData[[#This Row],[Upper Range]]-SamplingData[[#This Row],[Span]]</f>
        <v>94230.039125353054</v>
      </c>
      <c r="U2100" s="100">
        <f>IF(ISNUMBER('General Info'!$B$40), ((SamplingData[[#This Row],[up/U Selection Probability]]) * 'General Info'!$B$40) - 1, 0)</f>
        <v>2.877140539585219</v>
      </c>
      <c r="V2100" s="100">
        <f>IF(ISNUMBER('General Info'!$B$40), (SamplingData[[#This Row],[Running (cumulative) sum]] * ('General Info'!$B$40 -'General Info'!$B$41 + 1)) + 'General Info'!$B$41 - 1, 0)</f>
        <v>94232.916265892636</v>
      </c>
      <c r="W2100" s="100" t="str">
        <f>IF(ISERROR(MATCH(SamplingData[[#This Row],[Batch by Type (p)]],SelectedPrecincts[Batch Name], 0)), "", INDEX(SelectedPrecincts[Draw], MATCH(SamplingData[[#This Row],[Batch by Type (p)]],SelectedPrecincts[Batch Name], 0)))</f>
        <v/>
      </c>
      <c r="X2100" s="102">
        <f>IF(COUNTIF(SelectedPrecincts[Batch Name],SamplingData[[#This Row],[Batch by Type (p)]]) &lt;&gt; 0, COUNTIF(SelectedPrecincts[Batch Name],SamplingData[[#This Row],[Batch by Type (p)]]), 0)</f>
        <v>0</v>
      </c>
    </row>
    <row r="2101" spans="1:24" ht="15" customHeight="1">
      <c r="A2101" s="18" t="s">
        <v>2277</v>
      </c>
      <c r="B2101" s="18">
        <v>1</v>
      </c>
      <c r="C2101" s="18">
        <v>2</v>
      </c>
      <c r="D2101" s="16">
        <v>1</v>
      </c>
      <c r="E2101" s="16">
        <v>0</v>
      </c>
      <c r="F2101" s="37">
        <v>0</v>
      </c>
      <c r="G2101" s="37">
        <v>0</v>
      </c>
      <c r="H2101" s="17">
        <v>0</v>
      </c>
      <c r="I2101" s="17">
        <v>0</v>
      </c>
      <c r="J2101" s="99">
        <f>SUM(SamplingData[[#This Row],[Losing Candidate]:[Under Votes]])</f>
        <v>4</v>
      </c>
      <c r="K2101"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2101" s="100">
        <f>IF(AND(SamplingData[[#This Row],[Total]]&lt;&gt; 0, NOT(ISBLANK(SamplingData[[#This Row],[Candidate 3]]))),(SamplingData[[#This Row],[Total]]+SamplingData[[#This Row],[Winning Candidate]]-SamplingData[[#This Row],[Candidate 3]])/(SamplingData[[#Totals],[Winning Candidate]]-SamplingData[[#Totals],[Candidate 3]]), 0)</f>
        <v>1.6130593283220958E-4</v>
      </c>
      <c r="M2101" s="100">
        <f>IF(AND(SamplingData[[#This Row],[Total]]&lt;&gt; 0, NOT(ISBLANK(SamplingData[[#This Row],[Candidate 4]]))),(SamplingData[[#This Row],[Total]]+SamplingData[[#This Row],[Winning Candidate]]-SamplingData[[#This Row],[Candidate 4]])/(SamplingData[[#Totals],[Winning Candidate]]-SamplingData[[#Totals],[Candidate 4]]), 0)</f>
        <v>1.7539244058581075E-4</v>
      </c>
      <c r="N2101" s="100">
        <f>IF(AND(SamplingData[[#This Row],[Total]]&lt;&gt; 0, NOT(ISBLANK(SamplingData[[#This Row],[Candidate 5]]))),(SamplingData[[#This Row],[Total]]+SamplingData[[#This Row],[Winning Candidate]]-SamplingData[[#This Row],[Candidate 5]])/(SamplingData[[#Totals],[Winning Candidate]]-SamplingData[[#Totals],[Candidate 5]]), 0)</f>
        <v>1.4594989053758211E-4</v>
      </c>
      <c r="O2101" s="100">
        <f>IF(AND(SamplingData[[#This Row],[Total]]&lt;&gt; 0, NOT(ISBLANK(SamplingData[[#This Row],[Candidate 6]]))),(SamplingData[[#This Row],[Total]]+SamplingData[[#This Row],[Winning Candidate]]-SamplingData[[#This Row],[Candidate 6]])/(SamplingData[[#Totals],[Winning Candidate]]-SamplingData[[#Totals],[Candidate 6]]), 0)</f>
        <v>1.4590730022858811E-4</v>
      </c>
      <c r="P2101" s="100">
        <f>MAX(SamplingData[[#This Row],[Error Bound (up) - Max. possible relative overstatement - Losing Candidate]:[Error Bound (up) - Max. possible relative overstatement - Candidate 6]])</f>
        <v>3.0622243998040176E-4</v>
      </c>
      <c r="Q2101" s="100">
        <f>IF(SamplingData[[#This Row],[Max Error Bound (up)]] = 0,0,SamplingData[[#This Row],[Max Error Bound (up)]]/SamplingData[[#Totals],[Max Error Bound (up)]])</f>
        <v>4.8464741392229159E-5</v>
      </c>
      <c r="R2101" s="101">
        <f>SUM($Q$5:Q2101)</f>
        <v>0.94238762740031856</v>
      </c>
      <c r="S2101" s="100" t="str">
        <f t="array" ref="S2101">IF(SamplingData[[#This Row],[up/U Selection Probability]] = 0, "Zero", TEXT(SamplingData[[#This Row],[Lower Range]], REPT("0",LEN('General Info'!$B$40))) &amp; " - " &amp; TEXT(SamplingData[[#This Row],[Upper Range]], REPT("0",LEN('General Info'!$B$40))))</f>
        <v>94234 - 94238</v>
      </c>
      <c r="T2101" s="100">
        <f>SamplingData[[#This Row],[Upper Range]]-SamplingData[[#This Row],[Span]]</f>
        <v>94233.916314357382</v>
      </c>
      <c r="U2101" s="100">
        <f>IF(ISNUMBER('General Info'!$B$40), ((SamplingData[[#This Row],[up/U Selection Probability]]) * 'General Info'!$B$40) - 1, 0)</f>
        <v>3.8464256744815239</v>
      </c>
      <c r="V2101" s="100">
        <f>IF(ISNUMBER('General Info'!$B$40), (SamplingData[[#This Row],[Running (cumulative) sum]] * ('General Info'!$B$40 -'General Info'!$B$41 + 1)) + 'General Info'!$B$41 - 1, 0)</f>
        <v>94237.76274003186</v>
      </c>
      <c r="W2101" s="100" t="str">
        <f>IF(ISERROR(MATCH(SamplingData[[#This Row],[Batch by Type (p)]],SelectedPrecincts[Batch Name], 0)), "", INDEX(SelectedPrecincts[Draw], MATCH(SamplingData[[#This Row],[Batch by Type (p)]],SelectedPrecincts[Batch Name], 0)))</f>
        <v/>
      </c>
      <c r="X2101" s="102">
        <f>IF(COUNTIF(SelectedPrecincts[Batch Name],SamplingData[[#This Row],[Batch by Type (p)]]) &lt;&gt; 0, COUNTIF(SelectedPrecincts[Batch Name],SamplingData[[#This Row],[Batch by Type (p)]]), 0)</f>
        <v>0</v>
      </c>
    </row>
    <row r="2102" spans="1:24" ht="15" customHeight="1">
      <c r="A2102" s="18" t="s">
        <v>2278</v>
      </c>
      <c r="B2102" s="18">
        <v>0</v>
      </c>
      <c r="C2102" s="18">
        <v>0</v>
      </c>
      <c r="D2102" s="18">
        <v>0</v>
      </c>
      <c r="E2102" s="18">
        <v>0</v>
      </c>
      <c r="F2102" s="18">
        <v>0</v>
      </c>
      <c r="G2102" s="18">
        <v>0</v>
      </c>
      <c r="H2102" s="18">
        <v>0</v>
      </c>
      <c r="I2102" s="18">
        <v>0</v>
      </c>
      <c r="J2102" s="99">
        <f>SUM(SamplingData[[#This Row],[Losing Candidate]:[Under Votes]])</f>
        <v>0</v>
      </c>
      <c r="K2102" s="100">
        <f>IF(AND(SamplingData[[#This Row],[Total]]&lt;&gt; 0, NOT(ISBLANK(SamplingData[[#This Row],[Losing Candidate]]))),(SamplingData[[#This Row],[Total]]+SamplingData[[#This Row],[Winning Candidate]]-SamplingData[[#This Row],[Losing Candidate]])/(SamplingData[[#Totals],[Winning Candidate]]-SamplingData[[#Totals],[Losing Candidate]]), 0)</f>
        <v>0</v>
      </c>
      <c r="L2102" s="100">
        <f>IF(AND(SamplingData[[#This Row],[Total]]&lt;&gt; 0, NOT(ISBLANK(SamplingData[[#This Row],[Candidate 3]]))),(SamplingData[[#This Row],[Total]]+SamplingData[[#This Row],[Winning Candidate]]-SamplingData[[#This Row],[Candidate 3]])/(SamplingData[[#Totals],[Winning Candidate]]-SamplingData[[#Totals],[Candidate 3]]), 0)</f>
        <v>0</v>
      </c>
      <c r="M2102" s="100">
        <f>IF(AND(SamplingData[[#This Row],[Total]]&lt;&gt; 0, NOT(ISBLANK(SamplingData[[#This Row],[Candidate 4]]))),(SamplingData[[#This Row],[Total]]+SamplingData[[#This Row],[Winning Candidate]]-SamplingData[[#This Row],[Candidate 4]])/(SamplingData[[#Totals],[Winning Candidate]]-SamplingData[[#Totals],[Candidate 4]]), 0)</f>
        <v>0</v>
      </c>
      <c r="N2102" s="100">
        <f>IF(AND(SamplingData[[#This Row],[Total]]&lt;&gt; 0, NOT(ISBLANK(SamplingData[[#This Row],[Candidate 5]]))),(SamplingData[[#This Row],[Total]]+SamplingData[[#This Row],[Winning Candidate]]-SamplingData[[#This Row],[Candidate 5]])/(SamplingData[[#Totals],[Winning Candidate]]-SamplingData[[#Totals],[Candidate 5]]), 0)</f>
        <v>0</v>
      </c>
      <c r="O2102" s="100">
        <f>IF(AND(SamplingData[[#This Row],[Total]]&lt;&gt; 0, NOT(ISBLANK(SamplingData[[#This Row],[Candidate 6]]))),(SamplingData[[#This Row],[Total]]+SamplingData[[#This Row],[Winning Candidate]]-SamplingData[[#This Row],[Candidate 6]])/(SamplingData[[#Totals],[Winning Candidate]]-SamplingData[[#Totals],[Candidate 6]]), 0)</f>
        <v>0</v>
      </c>
      <c r="P2102" s="100">
        <f>MAX(SamplingData[[#This Row],[Error Bound (up) - Max. possible relative overstatement - Losing Candidate]:[Error Bound (up) - Max. possible relative overstatement - Candidate 6]])</f>
        <v>0</v>
      </c>
      <c r="Q2102" s="100">
        <f>IF(SamplingData[[#This Row],[Max Error Bound (up)]] = 0,0,SamplingData[[#This Row],[Max Error Bound (up)]]/SamplingData[[#Totals],[Max Error Bound (up)]])</f>
        <v>0</v>
      </c>
      <c r="R2102" s="101">
        <f>SUM($Q$5:Q2102)</f>
        <v>0.94238762740031856</v>
      </c>
      <c r="S2102" s="100" t="str">
        <f t="array" ref="S2102">IF(SamplingData[[#This Row],[up/U Selection Probability]] = 0, "Zero", TEXT(SamplingData[[#This Row],[Lower Range]], REPT("0",LEN('General Info'!$B$40))) &amp; " - " &amp; TEXT(SamplingData[[#This Row],[Upper Range]], REPT("0",LEN('General Info'!$B$40))))</f>
        <v>Zero</v>
      </c>
      <c r="T2102" s="100">
        <f>SamplingData[[#This Row],[Upper Range]]-SamplingData[[#This Row],[Span]]</f>
        <v>94238.76274003186</v>
      </c>
      <c r="U2102" s="100">
        <f>IF(ISNUMBER('General Info'!$B$40), ((SamplingData[[#This Row],[up/U Selection Probability]]) * 'General Info'!$B$40) - 1, 0)</f>
        <v>-1</v>
      </c>
      <c r="V2102" s="100">
        <f>IF(ISNUMBER('General Info'!$B$40), (SamplingData[[#This Row],[Running (cumulative) sum]] * ('General Info'!$B$40 -'General Info'!$B$41 + 1)) + 'General Info'!$B$41 - 1, 0)</f>
        <v>94237.76274003186</v>
      </c>
      <c r="W2102" s="100" t="str">
        <f>IF(ISERROR(MATCH(SamplingData[[#This Row],[Batch by Type (p)]],SelectedPrecincts[Batch Name], 0)), "", INDEX(SelectedPrecincts[Draw], MATCH(SamplingData[[#This Row],[Batch by Type (p)]],SelectedPrecincts[Batch Name], 0)))</f>
        <v/>
      </c>
      <c r="X2102" s="102">
        <f>IF(COUNTIF(SelectedPrecincts[Batch Name],SamplingData[[#This Row],[Batch by Type (p)]]) &lt;&gt; 0, COUNTIF(SelectedPrecincts[Batch Name],SamplingData[[#This Row],[Batch by Type (p)]]), 0)</f>
        <v>0</v>
      </c>
    </row>
    <row r="2103" spans="1:24" ht="15" customHeight="1">
      <c r="A2103" s="18" t="s">
        <v>2279</v>
      </c>
      <c r="B2103" s="18">
        <v>0</v>
      </c>
      <c r="C2103" s="18">
        <v>0</v>
      </c>
      <c r="D2103" s="16">
        <v>0</v>
      </c>
      <c r="E2103" s="16">
        <v>0</v>
      </c>
      <c r="F2103" s="37">
        <v>0</v>
      </c>
      <c r="G2103" s="37">
        <v>0</v>
      </c>
      <c r="H2103" s="17">
        <v>0</v>
      </c>
      <c r="I2103" s="17">
        <v>0</v>
      </c>
      <c r="J2103" s="99">
        <f>SUM(SamplingData[[#This Row],[Losing Candidate]:[Under Votes]])</f>
        <v>0</v>
      </c>
      <c r="K2103" s="100">
        <f>IF(AND(SamplingData[[#This Row],[Total]]&lt;&gt; 0, NOT(ISBLANK(SamplingData[[#This Row],[Losing Candidate]]))),(SamplingData[[#This Row],[Total]]+SamplingData[[#This Row],[Winning Candidate]]-SamplingData[[#This Row],[Losing Candidate]])/(SamplingData[[#Totals],[Winning Candidate]]-SamplingData[[#Totals],[Losing Candidate]]), 0)</f>
        <v>0</v>
      </c>
      <c r="L2103" s="100">
        <f>IF(AND(SamplingData[[#This Row],[Total]]&lt;&gt; 0, NOT(ISBLANK(SamplingData[[#This Row],[Candidate 3]]))),(SamplingData[[#This Row],[Total]]+SamplingData[[#This Row],[Winning Candidate]]-SamplingData[[#This Row],[Candidate 3]])/(SamplingData[[#Totals],[Winning Candidate]]-SamplingData[[#Totals],[Candidate 3]]), 0)</f>
        <v>0</v>
      </c>
      <c r="M2103" s="100">
        <f>IF(AND(SamplingData[[#This Row],[Total]]&lt;&gt; 0, NOT(ISBLANK(SamplingData[[#This Row],[Candidate 4]]))),(SamplingData[[#This Row],[Total]]+SamplingData[[#This Row],[Winning Candidate]]-SamplingData[[#This Row],[Candidate 4]])/(SamplingData[[#Totals],[Winning Candidate]]-SamplingData[[#Totals],[Candidate 4]]), 0)</f>
        <v>0</v>
      </c>
      <c r="N2103" s="100">
        <f>IF(AND(SamplingData[[#This Row],[Total]]&lt;&gt; 0, NOT(ISBLANK(SamplingData[[#This Row],[Candidate 5]]))),(SamplingData[[#This Row],[Total]]+SamplingData[[#This Row],[Winning Candidate]]-SamplingData[[#This Row],[Candidate 5]])/(SamplingData[[#Totals],[Winning Candidate]]-SamplingData[[#Totals],[Candidate 5]]), 0)</f>
        <v>0</v>
      </c>
      <c r="O2103" s="100">
        <f>IF(AND(SamplingData[[#This Row],[Total]]&lt;&gt; 0, NOT(ISBLANK(SamplingData[[#This Row],[Candidate 6]]))),(SamplingData[[#This Row],[Total]]+SamplingData[[#This Row],[Winning Candidate]]-SamplingData[[#This Row],[Candidate 6]])/(SamplingData[[#Totals],[Winning Candidate]]-SamplingData[[#Totals],[Candidate 6]]), 0)</f>
        <v>0</v>
      </c>
      <c r="P2103" s="100">
        <f>MAX(SamplingData[[#This Row],[Error Bound (up) - Max. possible relative overstatement - Losing Candidate]:[Error Bound (up) - Max. possible relative overstatement - Candidate 6]])</f>
        <v>0</v>
      </c>
      <c r="Q2103" s="100">
        <f>IF(SamplingData[[#This Row],[Max Error Bound (up)]] = 0,0,SamplingData[[#This Row],[Max Error Bound (up)]]/SamplingData[[#Totals],[Max Error Bound (up)]])</f>
        <v>0</v>
      </c>
      <c r="R2103" s="101">
        <f>SUM($Q$5:Q2103)</f>
        <v>0.94238762740031856</v>
      </c>
      <c r="S2103" s="100" t="str">
        <f t="array" ref="S2103">IF(SamplingData[[#This Row],[up/U Selection Probability]] = 0, "Zero", TEXT(SamplingData[[#This Row],[Lower Range]], REPT("0",LEN('General Info'!$B$40))) &amp; " - " &amp; TEXT(SamplingData[[#This Row],[Upper Range]], REPT("0",LEN('General Info'!$B$40))))</f>
        <v>Zero</v>
      </c>
      <c r="T2103" s="100">
        <f>SamplingData[[#This Row],[Upper Range]]-SamplingData[[#This Row],[Span]]</f>
        <v>94238.76274003186</v>
      </c>
      <c r="U2103" s="100">
        <f>IF(ISNUMBER('General Info'!$B$40), ((SamplingData[[#This Row],[up/U Selection Probability]]) * 'General Info'!$B$40) - 1, 0)</f>
        <v>-1</v>
      </c>
      <c r="V2103" s="100">
        <f>IF(ISNUMBER('General Info'!$B$40), (SamplingData[[#This Row],[Running (cumulative) sum]] * ('General Info'!$B$40 -'General Info'!$B$41 + 1)) + 'General Info'!$B$41 - 1, 0)</f>
        <v>94237.76274003186</v>
      </c>
      <c r="W2103" s="100" t="str">
        <f>IF(ISERROR(MATCH(SamplingData[[#This Row],[Batch by Type (p)]],SelectedPrecincts[Batch Name], 0)), "", INDEX(SelectedPrecincts[Draw], MATCH(SamplingData[[#This Row],[Batch by Type (p)]],SelectedPrecincts[Batch Name], 0)))</f>
        <v/>
      </c>
      <c r="X2103" s="102">
        <f>IF(COUNTIF(SelectedPrecincts[Batch Name],SamplingData[[#This Row],[Batch by Type (p)]]) &lt;&gt; 0, COUNTIF(SelectedPrecincts[Batch Name],SamplingData[[#This Row],[Batch by Type (p)]]), 0)</f>
        <v>0</v>
      </c>
    </row>
    <row r="2104" spans="1:24" ht="15" customHeight="1">
      <c r="A2104" s="18" t="s">
        <v>2280</v>
      </c>
      <c r="B2104" s="18">
        <v>0</v>
      </c>
      <c r="C2104" s="18">
        <v>0</v>
      </c>
      <c r="D2104" s="18">
        <v>0</v>
      </c>
      <c r="E2104" s="18">
        <v>0</v>
      </c>
      <c r="F2104" s="18">
        <v>0</v>
      </c>
      <c r="G2104" s="18">
        <v>0</v>
      </c>
      <c r="H2104" s="18">
        <v>0</v>
      </c>
      <c r="I2104" s="18">
        <v>0</v>
      </c>
      <c r="J2104" s="99">
        <f>SUM(SamplingData[[#This Row],[Losing Candidate]:[Under Votes]])</f>
        <v>0</v>
      </c>
      <c r="K2104" s="100">
        <f>IF(AND(SamplingData[[#This Row],[Total]]&lt;&gt; 0, NOT(ISBLANK(SamplingData[[#This Row],[Losing Candidate]]))),(SamplingData[[#This Row],[Total]]+SamplingData[[#This Row],[Winning Candidate]]-SamplingData[[#This Row],[Losing Candidate]])/(SamplingData[[#Totals],[Winning Candidate]]-SamplingData[[#Totals],[Losing Candidate]]), 0)</f>
        <v>0</v>
      </c>
      <c r="L2104" s="100">
        <f>IF(AND(SamplingData[[#This Row],[Total]]&lt;&gt; 0, NOT(ISBLANK(SamplingData[[#This Row],[Candidate 3]]))),(SamplingData[[#This Row],[Total]]+SamplingData[[#This Row],[Winning Candidate]]-SamplingData[[#This Row],[Candidate 3]])/(SamplingData[[#Totals],[Winning Candidate]]-SamplingData[[#Totals],[Candidate 3]]), 0)</f>
        <v>0</v>
      </c>
      <c r="M2104" s="100">
        <f>IF(AND(SamplingData[[#This Row],[Total]]&lt;&gt; 0, NOT(ISBLANK(SamplingData[[#This Row],[Candidate 4]]))),(SamplingData[[#This Row],[Total]]+SamplingData[[#This Row],[Winning Candidate]]-SamplingData[[#This Row],[Candidate 4]])/(SamplingData[[#Totals],[Winning Candidate]]-SamplingData[[#Totals],[Candidate 4]]), 0)</f>
        <v>0</v>
      </c>
      <c r="N2104" s="100">
        <f>IF(AND(SamplingData[[#This Row],[Total]]&lt;&gt; 0, NOT(ISBLANK(SamplingData[[#This Row],[Candidate 5]]))),(SamplingData[[#This Row],[Total]]+SamplingData[[#This Row],[Winning Candidate]]-SamplingData[[#This Row],[Candidate 5]])/(SamplingData[[#Totals],[Winning Candidate]]-SamplingData[[#Totals],[Candidate 5]]), 0)</f>
        <v>0</v>
      </c>
      <c r="O2104" s="100">
        <f>IF(AND(SamplingData[[#This Row],[Total]]&lt;&gt; 0, NOT(ISBLANK(SamplingData[[#This Row],[Candidate 6]]))),(SamplingData[[#This Row],[Total]]+SamplingData[[#This Row],[Winning Candidate]]-SamplingData[[#This Row],[Candidate 6]])/(SamplingData[[#Totals],[Winning Candidate]]-SamplingData[[#Totals],[Candidate 6]]), 0)</f>
        <v>0</v>
      </c>
      <c r="P2104" s="100">
        <f>MAX(SamplingData[[#This Row],[Error Bound (up) - Max. possible relative overstatement - Losing Candidate]:[Error Bound (up) - Max. possible relative overstatement - Candidate 6]])</f>
        <v>0</v>
      </c>
      <c r="Q2104" s="100">
        <f>IF(SamplingData[[#This Row],[Max Error Bound (up)]] = 0,0,SamplingData[[#This Row],[Max Error Bound (up)]]/SamplingData[[#Totals],[Max Error Bound (up)]])</f>
        <v>0</v>
      </c>
      <c r="R2104" s="101">
        <f>SUM($Q$5:Q2104)</f>
        <v>0.94238762740031856</v>
      </c>
      <c r="S2104" s="100" t="str">
        <f t="array" ref="S2104">IF(SamplingData[[#This Row],[up/U Selection Probability]] = 0, "Zero", TEXT(SamplingData[[#This Row],[Lower Range]], REPT("0",LEN('General Info'!$B$40))) &amp; " - " &amp; TEXT(SamplingData[[#This Row],[Upper Range]], REPT("0",LEN('General Info'!$B$40))))</f>
        <v>Zero</v>
      </c>
      <c r="T2104" s="100">
        <f>SamplingData[[#This Row],[Upper Range]]-SamplingData[[#This Row],[Span]]</f>
        <v>94238.76274003186</v>
      </c>
      <c r="U2104" s="100">
        <f>IF(ISNUMBER('General Info'!$B$40), ((SamplingData[[#This Row],[up/U Selection Probability]]) * 'General Info'!$B$40) - 1, 0)</f>
        <v>-1</v>
      </c>
      <c r="V2104" s="100">
        <f>IF(ISNUMBER('General Info'!$B$40), (SamplingData[[#This Row],[Running (cumulative) sum]] * ('General Info'!$B$40 -'General Info'!$B$41 + 1)) + 'General Info'!$B$41 - 1, 0)</f>
        <v>94237.76274003186</v>
      </c>
      <c r="W2104" s="100" t="str">
        <f>IF(ISERROR(MATCH(SamplingData[[#This Row],[Batch by Type (p)]],SelectedPrecincts[Batch Name], 0)), "", INDEX(SelectedPrecincts[Draw], MATCH(SamplingData[[#This Row],[Batch by Type (p)]],SelectedPrecincts[Batch Name], 0)))</f>
        <v/>
      </c>
      <c r="X2104" s="102">
        <f>IF(COUNTIF(SelectedPrecincts[Batch Name],SamplingData[[#This Row],[Batch by Type (p)]]) &lt;&gt; 0, COUNTIF(SelectedPrecincts[Batch Name],SamplingData[[#This Row],[Batch by Type (p)]]), 0)</f>
        <v>0</v>
      </c>
    </row>
    <row r="2105" spans="1:24" ht="15" customHeight="1">
      <c r="A2105" s="18" t="s">
        <v>2281</v>
      </c>
      <c r="B2105" s="18">
        <v>9</v>
      </c>
      <c r="C2105" s="18">
        <v>3</v>
      </c>
      <c r="D2105" s="16">
        <v>4</v>
      </c>
      <c r="E2105" s="16">
        <v>1</v>
      </c>
      <c r="F2105" s="37">
        <v>0</v>
      </c>
      <c r="G2105" s="37">
        <v>0</v>
      </c>
      <c r="H2105" s="17">
        <v>0</v>
      </c>
      <c r="I2105" s="17">
        <v>0</v>
      </c>
      <c r="J2105" s="99">
        <f>SUM(SamplingData[[#This Row],[Losing Candidate]:[Under Votes]])</f>
        <v>17</v>
      </c>
      <c r="K2105" s="100">
        <f>IF(AND(SamplingData[[#This Row],[Total]]&lt;&gt; 0, NOT(ISBLANK(SamplingData[[#This Row],[Losing Candidate]]))),(SamplingData[[#This Row],[Total]]+SamplingData[[#This Row],[Winning Candidate]]-SamplingData[[#This Row],[Losing Candidate]])/(SamplingData[[#Totals],[Winning Candidate]]-SamplingData[[#Totals],[Losing Candidate]]), 0)</f>
        <v>6.7368936795688392E-4</v>
      </c>
      <c r="L2105" s="100">
        <f>IF(AND(SamplingData[[#This Row],[Total]]&lt;&gt; 0, NOT(ISBLANK(SamplingData[[#This Row],[Candidate 3]]))),(SamplingData[[#This Row],[Total]]+SamplingData[[#This Row],[Winning Candidate]]-SamplingData[[#This Row],[Candidate 3]])/(SamplingData[[#Totals],[Winning Candidate]]-SamplingData[[#Totals],[Candidate 3]]), 0)</f>
        <v>5.1617898506307067E-4</v>
      </c>
      <c r="M2105" s="100">
        <f>IF(AND(SamplingData[[#This Row],[Total]]&lt;&gt; 0, NOT(ISBLANK(SamplingData[[#This Row],[Candidate 4]]))),(SamplingData[[#This Row],[Total]]+SamplingData[[#This Row],[Winning Candidate]]-SamplingData[[#This Row],[Candidate 4]])/(SamplingData[[#Totals],[Winning Candidate]]-SamplingData[[#Totals],[Candidate 4]]), 0)</f>
        <v>5.5540939518840076E-4</v>
      </c>
      <c r="N2105" s="100">
        <f>IF(AND(SamplingData[[#This Row],[Total]]&lt;&gt; 0, NOT(ISBLANK(SamplingData[[#This Row],[Candidate 5]]))),(SamplingData[[#This Row],[Total]]+SamplingData[[#This Row],[Winning Candidate]]-SamplingData[[#This Row],[Candidate 5]])/(SamplingData[[#Totals],[Winning Candidate]]-SamplingData[[#Totals],[Candidate 5]]), 0)</f>
        <v>4.8649963512527365E-4</v>
      </c>
      <c r="O2105" s="100">
        <f>IF(AND(SamplingData[[#This Row],[Total]]&lt;&gt; 0, NOT(ISBLANK(SamplingData[[#This Row],[Candidate 6]]))),(SamplingData[[#This Row],[Total]]+SamplingData[[#This Row],[Winning Candidate]]-SamplingData[[#This Row],[Candidate 6]])/(SamplingData[[#Totals],[Winning Candidate]]-SamplingData[[#Totals],[Candidate 6]]), 0)</f>
        <v>4.8635766742862699E-4</v>
      </c>
      <c r="P2105" s="100">
        <f>MAX(SamplingData[[#This Row],[Error Bound (up) - Max. possible relative overstatement - Losing Candidate]:[Error Bound (up) - Max. possible relative overstatement - Candidate 6]])</f>
        <v>6.7368936795688392E-4</v>
      </c>
      <c r="Q2105" s="100">
        <f>IF(SamplingData[[#This Row],[Max Error Bound (up)]] = 0,0,SamplingData[[#This Row],[Max Error Bound (up)]]/SamplingData[[#Totals],[Max Error Bound (up)]])</f>
        <v>1.0662243106290416E-4</v>
      </c>
      <c r="R2105" s="101">
        <f>SUM($Q$5:Q2105)</f>
        <v>0.94249424983138141</v>
      </c>
      <c r="S2105" s="100" t="str">
        <f t="array" ref="S2105">IF(SamplingData[[#This Row],[up/U Selection Probability]] = 0, "Zero", TEXT(SamplingData[[#This Row],[Lower Range]], REPT("0",LEN('General Info'!$B$40))) &amp; " - " &amp; TEXT(SamplingData[[#This Row],[Upper Range]], REPT("0",LEN('General Info'!$B$40))))</f>
        <v>94239 - 94248</v>
      </c>
      <c r="T2105" s="100">
        <f>SamplingData[[#This Row],[Upper Range]]-SamplingData[[#This Row],[Span]]</f>
        <v>94238.762846654281</v>
      </c>
      <c r="U2105" s="100">
        <f>IF(ISNUMBER('General Info'!$B$40), ((SamplingData[[#This Row],[up/U Selection Probability]]) * 'General Info'!$B$40) - 1, 0)</f>
        <v>9.6621364838593529</v>
      </c>
      <c r="V2105" s="100">
        <f>IF(ISNUMBER('General Info'!$B$40), (SamplingData[[#This Row],[Running (cumulative) sum]] * ('General Info'!$B$40 -'General Info'!$B$41 + 1)) + 'General Info'!$B$41 - 1, 0)</f>
        <v>94248.424983138146</v>
      </c>
      <c r="W2105" s="100" t="str">
        <f>IF(ISERROR(MATCH(SamplingData[[#This Row],[Batch by Type (p)]],SelectedPrecincts[Batch Name], 0)), "", INDEX(SelectedPrecincts[Draw], MATCH(SamplingData[[#This Row],[Batch by Type (p)]],SelectedPrecincts[Batch Name], 0)))</f>
        <v/>
      </c>
      <c r="X2105" s="102">
        <f>IF(COUNTIF(SelectedPrecincts[Batch Name],SamplingData[[#This Row],[Batch by Type (p)]]) &lt;&gt; 0, COUNTIF(SelectedPrecincts[Batch Name],SamplingData[[#This Row],[Batch by Type (p)]]), 0)</f>
        <v>0</v>
      </c>
    </row>
    <row r="2106" spans="1:24" ht="15" customHeight="1">
      <c r="A2106" s="18" t="s">
        <v>2282</v>
      </c>
      <c r="B2106" s="18">
        <v>2</v>
      </c>
      <c r="C2106" s="18">
        <v>4</v>
      </c>
      <c r="D2106" s="18">
        <v>1</v>
      </c>
      <c r="E2106" s="18">
        <v>0</v>
      </c>
      <c r="F2106" s="18">
        <v>0</v>
      </c>
      <c r="G2106" s="18">
        <v>0</v>
      </c>
      <c r="H2106" s="18">
        <v>0</v>
      </c>
      <c r="I2106" s="18">
        <v>0</v>
      </c>
      <c r="J2106" s="99">
        <f>SUM(SamplingData[[#This Row],[Losing Candidate]:[Under Votes]])</f>
        <v>7</v>
      </c>
      <c r="K2106" s="100">
        <f>IF(AND(SamplingData[[#This Row],[Total]]&lt;&gt; 0, NOT(ISBLANK(SamplingData[[#This Row],[Losing Candidate]]))),(SamplingData[[#This Row],[Total]]+SamplingData[[#This Row],[Winning Candidate]]-SamplingData[[#This Row],[Losing Candidate]])/(SamplingData[[#Totals],[Winning Candidate]]-SamplingData[[#Totals],[Losing Candidate]]), 0)</f>
        <v>5.5120039196472322E-4</v>
      </c>
      <c r="L2106" s="100">
        <f>IF(AND(SamplingData[[#This Row],[Total]]&lt;&gt; 0, NOT(ISBLANK(SamplingData[[#This Row],[Candidate 3]]))),(SamplingData[[#This Row],[Total]]+SamplingData[[#This Row],[Winning Candidate]]-SamplingData[[#This Row],[Candidate 3]])/(SamplingData[[#Totals],[Winning Candidate]]-SamplingData[[#Totals],[Candidate 3]]), 0)</f>
        <v>3.2261186566441915E-4</v>
      </c>
      <c r="M2106" s="100">
        <f>IF(AND(SamplingData[[#This Row],[Total]]&lt;&gt; 0, NOT(ISBLANK(SamplingData[[#This Row],[Candidate 4]]))),(SamplingData[[#This Row],[Total]]+SamplingData[[#This Row],[Winning Candidate]]-SamplingData[[#This Row],[Candidate 4]])/(SamplingData[[#Totals],[Winning Candidate]]-SamplingData[[#Totals],[Candidate 4]]), 0)</f>
        <v>3.2155280774065302E-4</v>
      </c>
      <c r="N2106" s="100">
        <f>IF(AND(SamplingData[[#This Row],[Total]]&lt;&gt; 0, NOT(ISBLANK(SamplingData[[#This Row],[Candidate 5]]))),(SamplingData[[#This Row],[Total]]+SamplingData[[#This Row],[Winning Candidate]]-SamplingData[[#This Row],[Candidate 5]])/(SamplingData[[#Totals],[Winning Candidate]]-SamplingData[[#Totals],[Candidate 5]]), 0)</f>
        <v>2.6757479931890053E-4</v>
      </c>
      <c r="O2106" s="100">
        <f>IF(AND(SamplingData[[#This Row],[Total]]&lt;&gt; 0, NOT(ISBLANK(SamplingData[[#This Row],[Candidate 6]]))),(SamplingData[[#This Row],[Total]]+SamplingData[[#This Row],[Winning Candidate]]-SamplingData[[#This Row],[Candidate 6]])/(SamplingData[[#Totals],[Winning Candidate]]-SamplingData[[#Totals],[Candidate 6]]), 0)</f>
        <v>2.6749671708574483E-4</v>
      </c>
      <c r="P2106" s="100">
        <f>MAX(SamplingData[[#This Row],[Error Bound (up) - Max. possible relative overstatement - Losing Candidate]:[Error Bound (up) - Max. possible relative overstatement - Candidate 6]])</f>
        <v>5.5120039196472322E-4</v>
      </c>
      <c r="Q2106" s="100">
        <f>IF(SamplingData[[#This Row],[Max Error Bound (up)]] = 0,0,SamplingData[[#This Row],[Max Error Bound (up)]]/SamplingData[[#Totals],[Max Error Bound (up)]])</f>
        <v>8.7236534506012492E-5</v>
      </c>
      <c r="R2106" s="101">
        <f>SUM($Q$5:Q2106)</f>
        <v>0.94258148636588746</v>
      </c>
      <c r="S2106" s="100" t="str">
        <f t="array" ref="S2106">IF(SamplingData[[#This Row],[up/U Selection Probability]] = 0, "Zero", TEXT(SamplingData[[#This Row],[Lower Range]], REPT("0",LEN('General Info'!$B$40))) &amp; " - " &amp; TEXT(SamplingData[[#This Row],[Upper Range]], REPT("0",LEN('General Info'!$B$40))))</f>
        <v>94249 - 94257</v>
      </c>
      <c r="T2106" s="100">
        <f>SamplingData[[#This Row],[Upper Range]]-SamplingData[[#This Row],[Span]]</f>
        <v>94249.425070374666</v>
      </c>
      <c r="U2106" s="100">
        <f>IF(ISNUMBER('General Info'!$B$40), ((SamplingData[[#This Row],[up/U Selection Probability]]) * 'General Info'!$B$40) - 1, 0)</f>
        <v>7.7235662140667429</v>
      </c>
      <c r="V2106" s="100">
        <f>IF(ISNUMBER('General Info'!$B$40), (SamplingData[[#This Row],[Running (cumulative) sum]] * ('General Info'!$B$40 -'General Info'!$B$41 + 1)) + 'General Info'!$B$41 - 1, 0)</f>
        <v>94257.148636588739</v>
      </c>
      <c r="W2106" s="100" t="str">
        <f>IF(ISERROR(MATCH(SamplingData[[#This Row],[Batch by Type (p)]],SelectedPrecincts[Batch Name], 0)), "", INDEX(SelectedPrecincts[Draw], MATCH(SamplingData[[#This Row],[Batch by Type (p)]],SelectedPrecincts[Batch Name], 0)))</f>
        <v/>
      </c>
      <c r="X2106" s="102">
        <f>IF(COUNTIF(SelectedPrecincts[Batch Name],SamplingData[[#This Row],[Batch by Type (p)]]) &lt;&gt; 0, COUNTIF(SelectedPrecincts[Batch Name],SamplingData[[#This Row],[Batch by Type (p)]]), 0)</f>
        <v>0</v>
      </c>
    </row>
    <row r="2107" spans="1:24" ht="15" customHeight="1">
      <c r="A2107" s="18" t="s">
        <v>2283</v>
      </c>
      <c r="B2107" s="18">
        <v>1</v>
      </c>
      <c r="C2107" s="18">
        <v>1</v>
      </c>
      <c r="D2107" s="16">
        <v>0</v>
      </c>
      <c r="E2107" s="16">
        <v>0</v>
      </c>
      <c r="F2107" s="37">
        <v>1</v>
      </c>
      <c r="G2107" s="37">
        <v>0</v>
      </c>
      <c r="H2107" s="17">
        <v>0</v>
      </c>
      <c r="I2107" s="17">
        <v>0</v>
      </c>
      <c r="J2107" s="99">
        <f>SUM(SamplingData[[#This Row],[Losing Candidate]:[Under Votes]])</f>
        <v>3</v>
      </c>
      <c r="K2107" s="100">
        <f>IF(AND(SamplingData[[#This Row],[Total]]&lt;&gt; 0, NOT(ISBLANK(SamplingData[[#This Row],[Losing Candidate]]))),(SamplingData[[#This Row],[Total]]+SamplingData[[#This Row],[Winning Candidate]]-SamplingData[[#This Row],[Losing Candidate]])/(SamplingData[[#Totals],[Winning Candidate]]-SamplingData[[#Totals],[Losing Candidate]]), 0)</f>
        <v>1.8373346398824106E-4</v>
      </c>
      <c r="L2107" s="100">
        <f>IF(AND(SamplingData[[#This Row],[Total]]&lt;&gt; 0, NOT(ISBLANK(SamplingData[[#This Row],[Candidate 3]]))),(SamplingData[[#This Row],[Total]]+SamplingData[[#This Row],[Winning Candidate]]-SamplingData[[#This Row],[Candidate 3]])/(SamplingData[[#Totals],[Winning Candidate]]-SamplingData[[#Totals],[Candidate 3]]), 0)</f>
        <v>1.2904474626576767E-4</v>
      </c>
      <c r="M2107" s="100">
        <f>IF(AND(SamplingData[[#This Row],[Total]]&lt;&gt; 0, NOT(ISBLANK(SamplingData[[#This Row],[Candidate 4]]))),(SamplingData[[#This Row],[Total]]+SamplingData[[#This Row],[Winning Candidate]]-SamplingData[[#This Row],[Candidate 4]])/(SamplingData[[#Totals],[Winning Candidate]]-SamplingData[[#Totals],[Candidate 4]]), 0)</f>
        <v>1.1692829372387384E-4</v>
      </c>
      <c r="N2107" s="100">
        <f>IF(AND(SamplingData[[#This Row],[Total]]&lt;&gt; 0, NOT(ISBLANK(SamplingData[[#This Row],[Candidate 5]]))),(SamplingData[[#This Row],[Total]]+SamplingData[[#This Row],[Winning Candidate]]-SamplingData[[#This Row],[Candidate 5]])/(SamplingData[[#Totals],[Winning Candidate]]-SamplingData[[#Totals],[Candidate 5]]), 0)</f>
        <v>7.2974945268791054E-5</v>
      </c>
      <c r="O2107" s="100">
        <f>IF(AND(SamplingData[[#This Row],[Total]]&lt;&gt; 0, NOT(ISBLANK(SamplingData[[#This Row],[Candidate 6]]))),(SamplingData[[#This Row],[Total]]+SamplingData[[#This Row],[Winning Candidate]]-SamplingData[[#This Row],[Candidate 6]])/(SamplingData[[#Totals],[Winning Candidate]]-SamplingData[[#Totals],[Candidate 6]]), 0)</f>
        <v>9.7271533485725401E-5</v>
      </c>
      <c r="P2107" s="100">
        <f>MAX(SamplingData[[#This Row],[Error Bound (up) - Max. possible relative overstatement - Losing Candidate]:[Error Bound (up) - Max. possible relative overstatement - Candidate 6]])</f>
        <v>1.8373346398824106E-4</v>
      </c>
      <c r="Q2107" s="100">
        <f>IF(SamplingData[[#This Row],[Max Error Bound (up)]] = 0,0,SamplingData[[#This Row],[Max Error Bound (up)]]/SamplingData[[#Totals],[Max Error Bound (up)]])</f>
        <v>2.9078844835337493E-5</v>
      </c>
      <c r="R2107" s="101">
        <f>SUM($Q$5:Q2107)</f>
        <v>0.94261056521072284</v>
      </c>
      <c r="S2107" s="100" t="str">
        <f t="array" ref="S2107">IF(SamplingData[[#This Row],[up/U Selection Probability]] = 0, "Zero", TEXT(SamplingData[[#This Row],[Lower Range]], REPT("0",LEN('General Info'!$B$40))) &amp; " - " &amp; TEXT(SamplingData[[#This Row],[Upper Range]], REPT("0",LEN('General Info'!$B$40))))</f>
        <v>94258 - 94260</v>
      </c>
      <c r="T2107" s="100">
        <f>SamplingData[[#This Row],[Upper Range]]-SamplingData[[#This Row],[Span]]</f>
        <v>94258.148665667599</v>
      </c>
      <c r="U2107" s="100">
        <f>IF(ISNUMBER('General Info'!$B$40), ((SamplingData[[#This Row],[up/U Selection Probability]]) * 'General Info'!$B$40) - 1, 0)</f>
        <v>1.907855404688914</v>
      </c>
      <c r="V2107" s="100">
        <f>IF(ISNUMBER('General Info'!$B$40), (SamplingData[[#This Row],[Running (cumulative) sum]] * ('General Info'!$B$40 -'General Info'!$B$41 + 1)) + 'General Info'!$B$41 - 1, 0)</f>
        <v>94260.056521072285</v>
      </c>
      <c r="W2107" s="100" t="str">
        <f>IF(ISERROR(MATCH(SamplingData[[#This Row],[Batch by Type (p)]],SelectedPrecincts[Batch Name], 0)), "", INDEX(SelectedPrecincts[Draw], MATCH(SamplingData[[#This Row],[Batch by Type (p)]],SelectedPrecincts[Batch Name], 0)))</f>
        <v/>
      </c>
      <c r="X2107" s="102">
        <f>IF(COUNTIF(SelectedPrecincts[Batch Name],SamplingData[[#This Row],[Batch by Type (p)]]) &lt;&gt; 0, COUNTIF(SelectedPrecincts[Batch Name],SamplingData[[#This Row],[Batch by Type (p)]]), 0)</f>
        <v>0</v>
      </c>
    </row>
    <row r="2108" spans="1:24" ht="15" customHeight="1">
      <c r="A2108" s="18" t="s">
        <v>2284</v>
      </c>
      <c r="B2108" s="18">
        <v>2</v>
      </c>
      <c r="C2108" s="18">
        <v>3</v>
      </c>
      <c r="D2108" s="18">
        <v>0</v>
      </c>
      <c r="E2108" s="18">
        <v>1</v>
      </c>
      <c r="F2108" s="18">
        <v>0</v>
      </c>
      <c r="G2108" s="18">
        <v>0</v>
      </c>
      <c r="H2108" s="18">
        <v>0</v>
      </c>
      <c r="I2108" s="18">
        <v>0</v>
      </c>
      <c r="J2108" s="99">
        <f>SUM(SamplingData[[#This Row],[Losing Candidate]:[Under Votes]])</f>
        <v>6</v>
      </c>
      <c r="K2108"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2108" s="100">
        <f>IF(AND(SamplingData[[#This Row],[Total]]&lt;&gt; 0, NOT(ISBLANK(SamplingData[[#This Row],[Candidate 3]]))),(SamplingData[[#This Row],[Total]]+SamplingData[[#This Row],[Winning Candidate]]-SamplingData[[#This Row],[Candidate 3]])/(SamplingData[[#Totals],[Winning Candidate]]-SamplingData[[#Totals],[Candidate 3]]), 0)</f>
        <v>2.9035067909797722E-4</v>
      </c>
      <c r="M2108" s="100">
        <f>IF(AND(SamplingData[[#This Row],[Total]]&lt;&gt; 0, NOT(ISBLANK(SamplingData[[#This Row],[Candidate 4]]))),(SamplingData[[#This Row],[Total]]+SamplingData[[#This Row],[Winning Candidate]]-SamplingData[[#This Row],[Candidate 4]])/(SamplingData[[#Totals],[Winning Candidate]]-SamplingData[[#Totals],[Candidate 4]]), 0)</f>
        <v>2.3385658744774768E-4</v>
      </c>
      <c r="N2108" s="100">
        <f>IF(AND(SamplingData[[#This Row],[Total]]&lt;&gt; 0, NOT(ISBLANK(SamplingData[[#This Row],[Candidate 5]]))),(SamplingData[[#This Row],[Total]]+SamplingData[[#This Row],[Winning Candidate]]-SamplingData[[#This Row],[Candidate 5]])/(SamplingData[[#Totals],[Winning Candidate]]-SamplingData[[#Totals],[Candidate 5]]), 0)</f>
        <v>2.1892483580637315E-4</v>
      </c>
      <c r="O2108" s="100">
        <f>IF(AND(SamplingData[[#This Row],[Total]]&lt;&gt; 0, NOT(ISBLANK(SamplingData[[#This Row],[Candidate 6]]))),(SamplingData[[#This Row],[Total]]+SamplingData[[#This Row],[Winning Candidate]]-SamplingData[[#This Row],[Candidate 6]])/(SamplingData[[#Totals],[Winning Candidate]]-SamplingData[[#Totals],[Candidate 6]]), 0)</f>
        <v>2.1886095034288216E-4</v>
      </c>
      <c r="P2108" s="100">
        <f>MAX(SamplingData[[#This Row],[Error Bound (up) - Max. possible relative overstatement - Losing Candidate]:[Error Bound (up) - Max. possible relative overstatement - Candidate 6]])</f>
        <v>4.2871141597256246E-4</v>
      </c>
      <c r="Q2108" s="100">
        <f>IF(SamplingData[[#This Row],[Max Error Bound (up)]] = 0,0,SamplingData[[#This Row],[Max Error Bound (up)]]/SamplingData[[#Totals],[Max Error Bound (up)]])</f>
        <v>6.7850637949120826E-5</v>
      </c>
      <c r="R2108" s="101">
        <f>SUM($Q$5:Q2108)</f>
        <v>0.94267841584867196</v>
      </c>
      <c r="S2108" s="100" t="str">
        <f t="array" ref="S2108">IF(SamplingData[[#This Row],[up/U Selection Probability]] = 0, "Zero", TEXT(SamplingData[[#This Row],[Lower Range]], REPT("0",LEN('General Info'!$B$40))) &amp; " - " &amp; TEXT(SamplingData[[#This Row],[Upper Range]], REPT("0",LEN('General Info'!$B$40))))</f>
        <v>94261 - 94267</v>
      </c>
      <c r="T2108" s="100">
        <f>SamplingData[[#This Row],[Upper Range]]-SamplingData[[#This Row],[Span]]</f>
        <v>94261.056588922933</v>
      </c>
      <c r="U2108" s="100">
        <f>IF(ISNUMBER('General Info'!$B$40), ((SamplingData[[#This Row],[up/U Selection Probability]]) * 'General Info'!$B$40) - 1, 0)</f>
        <v>5.7849959442741339</v>
      </c>
      <c r="V2108" s="100">
        <f>IF(ISNUMBER('General Info'!$B$40), (SamplingData[[#This Row],[Running (cumulative) sum]] * ('General Info'!$B$40 -'General Info'!$B$41 + 1)) + 'General Info'!$B$41 - 1, 0)</f>
        <v>94266.841584867201</v>
      </c>
      <c r="W2108" s="100" t="str">
        <f>IF(ISERROR(MATCH(SamplingData[[#This Row],[Batch by Type (p)]],SelectedPrecincts[Batch Name], 0)), "", INDEX(SelectedPrecincts[Draw], MATCH(SamplingData[[#This Row],[Batch by Type (p)]],SelectedPrecincts[Batch Name], 0)))</f>
        <v/>
      </c>
      <c r="X2108" s="102">
        <f>IF(COUNTIF(SelectedPrecincts[Batch Name],SamplingData[[#This Row],[Batch by Type (p)]]) &lt;&gt; 0, COUNTIF(SelectedPrecincts[Batch Name],SamplingData[[#This Row],[Batch by Type (p)]]), 0)</f>
        <v>0</v>
      </c>
    </row>
    <row r="2109" spans="1:24" ht="15" customHeight="1">
      <c r="A2109" s="18" t="s">
        <v>2285</v>
      </c>
      <c r="B2109" s="18">
        <v>0</v>
      </c>
      <c r="C2109" s="18">
        <v>2</v>
      </c>
      <c r="D2109" s="16">
        <v>0</v>
      </c>
      <c r="E2109" s="16">
        <v>3</v>
      </c>
      <c r="F2109" s="37">
        <v>0</v>
      </c>
      <c r="G2109" s="37">
        <v>0</v>
      </c>
      <c r="H2109" s="17">
        <v>0</v>
      </c>
      <c r="I2109" s="17">
        <v>0</v>
      </c>
      <c r="J2109" s="99">
        <f>SUM(SamplingData[[#This Row],[Losing Candidate]:[Under Votes]])</f>
        <v>5</v>
      </c>
      <c r="K2109"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2109" s="100">
        <f>IF(AND(SamplingData[[#This Row],[Total]]&lt;&gt; 0, NOT(ISBLANK(SamplingData[[#This Row],[Candidate 3]]))),(SamplingData[[#This Row],[Total]]+SamplingData[[#This Row],[Winning Candidate]]-SamplingData[[#This Row],[Candidate 3]])/(SamplingData[[#Totals],[Winning Candidate]]-SamplingData[[#Totals],[Candidate 3]]), 0)</f>
        <v>2.258283059650934E-4</v>
      </c>
      <c r="M2109" s="100">
        <f>IF(AND(SamplingData[[#This Row],[Total]]&lt;&gt; 0, NOT(ISBLANK(SamplingData[[#This Row],[Candidate 4]]))),(SamplingData[[#This Row],[Total]]+SamplingData[[#This Row],[Winning Candidate]]-SamplingData[[#This Row],[Candidate 4]])/(SamplingData[[#Totals],[Winning Candidate]]-SamplingData[[#Totals],[Candidate 4]]), 0)</f>
        <v>1.1692829372387384E-4</v>
      </c>
      <c r="N2109" s="100">
        <f>IF(AND(SamplingData[[#This Row],[Total]]&lt;&gt; 0, NOT(ISBLANK(SamplingData[[#This Row],[Candidate 5]]))),(SamplingData[[#This Row],[Total]]+SamplingData[[#This Row],[Winning Candidate]]-SamplingData[[#This Row],[Candidate 5]])/(SamplingData[[#Totals],[Winning Candidate]]-SamplingData[[#Totals],[Candidate 5]]), 0)</f>
        <v>1.7027487229384579E-4</v>
      </c>
      <c r="O2109" s="100">
        <f>IF(AND(SamplingData[[#This Row],[Total]]&lt;&gt; 0, NOT(ISBLANK(SamplingData[[#This Row],[Candidate 6]]))),(SamplingData[[#This Row],[Total]]+SamplingData[[#This Row],[Winning Candidate]]-SamplingData[[#This Row],[Candidate 6]])/(SamplingData[[#Totals],[Winning Candidate]]-SamplingData[[#Totals],[Candidate 6]]), 0)</f>
        <v>1.7022518360001944E-4</v>
      </c>
      <c r="P2109" s="100">
        <f>MAX(SamplingData[[#This Row],[Error Bound (up) - Max. possible relative overstatement - Losing Candidate]:[Error Bound (up) - Max. possible relative overstatement - Candidate 6]])</f>
        <v>4.2871141597256246E-4</v>
      </c>
      <c r="Q2109" s="100">
        <f>IF(SamplingData[[#This Row],[Max Error Bound (up)]] = 0,0,SamplingData[[#This Row],[Max Error Bound (up)]]/SamplingData[[#Totals],[Max Error Bound (up)]])</f>
        <v>6.7850637949120826E-5</v>
      </c>
      <c r="R2109" s="101">
        <f>SUM($Q$5:Q2109)</f>
        <v>0.94274626648662108</v>
      </c>
      <c r="S2109" s="100" t="str">
        <f t="array" ref="S2109">IF(SamplingData[[#This Row],[up/U Selection Probability]] = 0, "Zero", TEXT(SamplingData[[#This Row],[Lower Range]], REPT("0",LEN('General Info'!$B$40))) &amp; " - " &amp; TEXT(SamplingData[[#This Row],[Upper Range]], REPT("0",LEN('General Info'!$B$40))))</f>
        <v>94268 - 94274</v>
      </c>
      <c r="T2109" s="100">
        <f>SamplingData[[#This Row],[Upper Range]]-SamplingData[[#This Row],[Span]]</f>
        <v>94267.841652717834</v>
      </c>
      <c r="U2109" s="100">
        <f>IF(ISNUMBER('General Info'!$B$40), ((SamplingData[[#This Row],[up/U Selection Probability]]) * 'General Info'!$B$40) - 1, 0)</f>
        <v>5.7849959442741339</v>
      </c>
      <c r="V2109" s="100">
        <f>IF(ISNUMBER('General Info'!$B$40), (SamplingData[[#This Row],[Running (cumulative) sum]] * ('General Info'!$B$40 -'General Info'!$B$41 + 1)) + 'General Info'!$B$41 - 1, 0)</f>
        <v>94273.626648662103</v>
      </c>
      <c r="W2109" s="100" t="str">
        <f>IF(ISERROR(MATCH(SamplingData[[#This Row],[Batch by Type (p)]],SelectedPrecincts[Batch Name], 0)), "", INDEX(SelectedPrecincts[Draw], MATCH(SamplingData[[#This Row],[Batch by Type (p)]],SelectedPrecincts[Batch Name], 0)))</f>
        <v/>
      </c>
      <c r="X2109" s="102">
        <f>IF(COUNTIF(SelectedPrecincts[Batch Name],SamplingData[[#This Row],[Batch by Type (p)]]) &lt;&gt; 0, COUNTIF(SelectedPrecincts[Batch Name],SamplingData[[#This Row],[Batch by Type (p)]]), 0)</f>
        <v>0</v>
      </c>
    </row>
    <row r="2110" spans="1:24" ht="15" customHeight="1">
      <c r="A2110" s="18" t="s">
        <v>2286</v>
      </c>
      <c r="B2110" s="18">
        <v>1</v>
      </c>
      <c r="C2110" s="18">
        <v>0</v>
      </c>
      <c r="D2110" s="18">
        <v>0</v>
      </c>
      <c r="E2110" s="18">
        <v>0</v>
      </c>
      <c r="F2110" s="18">
        <v>0</v>
      </c>
      <c r="G2110" s="18">
        <v>0</v>
      </c>
      <c r="H2110" s="18">
        <v>0</v>
      </c>
      <c r="I2110" s="18">
        <v>0</v>
      </c>
      <c r="J2110" s="99">
        <f>SUM(SamplingData[[#This Row],[Losing Candidate]:[Under Votes]])</f>
        <v>1</v>
      </c>
      <c r="K2110" s="100">
        <f>IF(AND(SamplingData[[#This Row],[Total]]&lt;&gt; 0, NOT(ISBLANK(SamplingData[[#This Row],[Losing Candidate]]))),(SamplingData[[#This Row],[Total]]+SamplingData[[#This Row],[Winning Candidate]]-SamplingData[[#This Row],[Losing Candidate]])/(SamplingData[[#Totals],[Winning Candidate]]-SamplingData[[#Totals],[Losing Candidate]]), 0)</f>
        <v>0</v>
      </c>
      <c r="L2110" s="100">
        <f>IF(AND(SamplingData[[#This Row],[Total]]&lt;&gt; 0, NOT(ISBLANK(SamplingData[[#This Row],[Candidate 3]]))),(SamplingData[[#This Row],[Total]]+SamplingData[[#This Row],[Winning Candidate]]-SamplingData[[#This Row],[Candidate 3]])/(SamplingData[[#Totals],[Winning Candidate]]-SamplingData[[#Totals],[Candidate 3]]), 0)</f>
        <v>3.2261186566441917E-5</v>
      </c>
      <c r="M2110" s="100">
        <f>IF(AND(SamplingData[[#This Row],[Total]]&lt;&gt; 0, NOT(ISBLANK(SamplingData[[#This Row],[Candidate 4]]))),(SamplingData[[#This Row],[Total]]+SamplingData[[#This Row],[Winning Candidate]]-SamplingData[[#This Row],[Candidate 4]])/(SamplingData[[#Totals],[Winning Candidate]]-SamplingData[[#Totals],[Candidate 4]]), 0)</f>
        <v>2.923207343096846E-5</v>
      </c>
      <c r="N2110" s="100">
        <f>IF(AND(SamplingData[[#This Row],[Total]]&lt;&gt; 0, NOT(ISBLANK(SamplingData[[#This Row],[Candidate 5]]))),(SamplingData[[#This Row],[Total]]+SamplingData[[#This Row],[Winning Candidate]]-SamplingData[[#This Row],[Candidate 5]])/(SamplingData[[#Totals],[Winning Candidate]]-SamplingData[[#Totals],[Candidate 5]]), 0)</f>
        <v>2.4324981756263683E-5</v>
      </c>
      <c r="O2110" s="100">
        <f>IF(AND(SamplingData[[#This Row],[Total]]&lt;&gt; 0, NOT(ISBLANK(SamplingData[[#This Row],[Candidate 6]]))),(SamplingData[[#This Row],[Total]]+SamplingData[[#This Row],[Winning Candidate]]-SamplingData[[#This Row],[Candidate 6]])/(SamplingData[[#Totals],[Winning Candidate]]-SamplingData[[#Totals],[Candidate 6]]), 0)</f>
        <v>2.431788337143135E-5</v>
      </c>
      <c r="P2110" s="100">
        <f>MAX(SamplingData[[#This Row],[Error Bound (up) - Max. possible relative overstatement - Losing Candidate]:[Error Bound (up) - Max. possible relative overstatement - Candidate 6]])</f>
        <v>3.2261186566441917E-5</v>
      </c>
      <c r="Q2110" s="100">
        <f>IF(SamplingData[[#This Row],[Max Error Bound (up)]] = 0,0,SamplingData[[#This Row],[Max Error Bound (up)]]/SamplingData[[#Totals],[Max Error Bound (up)]])</f>
        <v>5.1058637768320663E-6</v>
      </c>
      <c r="R2110" s="101">
        <f>SUM($Q$5:Q2110)</f>
        <v>0.94275137235039785</v>
      </c>
      <c r="S2110" s="100" t="str">
        <f t="array" ref="S2110">IF(SamplingData[[#This Row],[up/U Selection Probability]] = 0, "Zero", TEXT(SamplingData[[#This Row],[Lower Range]], REPT("0",LEN('General Info'!$B$40))) &amp; " - " &amp; TEXT(SamplingData[[#This Row],[Upper Range]], REPT("0",LEN('General Info'!$B$40))))</f>
        <v>94275 - 94274</v>
      </c>
      <c r="T2110" s="100">
        <f>SamplingData[[#This Row],[Upper Range]]-SamplingData[[#This Row],[Span]]</f>
        <v>94274.626653767962</v>
      </c>
      <c r="U2110" s="100">
        <f>IF(ISNUMBER('General Info'!$B$40), ((SamplingData[[#This Row],[up/U Selection Probability]]) * 'General Info'!$B$40) - 1, 0)</f>
        <v>-0.4894187281805702</v>
      </c>
      <c r="V2110" s="100">
        <f>IF(ISNUMBER('General Info'!$B$40), (SamplingData[[#This Row],[Running (cumulative) sum]] * ('General Info'!$B$40 -'General Info'!$B$41 + 1)) + 'General Info'!$B$41 - 1, 0)</f>
        <v>94274.137235039787</v>
      </c>
      <c r="W2110" s="100" t="str">
        <f>IF(ISERROR(MATCH(SamplingData[[#This Row],[Batch by Type (p)]],SelectedPrecincts[Batch Name], 0)), "", INDEX(SelectedPrecincts[Draw], MATCH(SamplingData[[#This Row],[Batch by Type (p)]],SelectedPrecincts[Batch Name], 0)))</f>
        <v/>
      </c>
      <c r="X2110" s="102">
        <f>IF(COUNTIF(SelectedPrecincts[Batch Name],SamplingData[[#This Row],[Batch by Type (p)]]) &lt;&gt; 0, COUNTIF(SelectedPrecincts[Batch Name],SamplingData[[#This Row],[Batch by Type (p)]]), 0)</f>
        <v>0</v>
      </c>
    </row>
    <row r="2111" spans="1:24" ht="15" customHeight="1">
      <c r="A2111" s="18" t="s">
        <v>2287</v>
      </c>
      <c r="B2111" s="18">
        <v>2</v>
      </c>
      <c r="C2111" s="18">
        <v>0</v>
      </c>
      <c r="D2111" s="16">
        <v>0</v>
      </c>
      <c r="E2111" s="16">
        <v>0</v>
      </c>
      <c r="F2111" s="37">
        <v>0</v>
      </c>
      <c r="G2111" s="37">
        <v>0</v>
      </c>
      <c r="H2111" s="17">
        <v>0</v>
      </c>
      <c r="I2111" s="17">
        <v>0</v>
      </c>
      <c r="J2111" s="99">
        <f>SUM(SamplingData[[#This Row],[Losing Candidate]:[Under Votes]])</f>
        <v>2</v>
      </c>
      <c r="K2111" s="100">
        <f>IF(AND(SamplingData[[#This Row],[Total]]&lt;&gt; 0, NOT(ISBLANK(SamplingData[[#This Row],[Losing Candidate]]))),(SamplingData[[#This Row],[Total]]+SamplingData[[#This Row],[Winning Candidate]]-SamplingData[[#This Row],[Losing Candidate]])/(SamplingData[[#Totals],[Winning Candidate]]-SamplingData[[#Totals],[Losing Candidate]]), 0)</f>
        <v>0</v>
      </c>
      <c r="L2111" s="100">
        <f>IF(AND(SamplingData[[#This Row],[Total]]&lt;&gt; 0, NOT(ISBLANK(SamplingData[[#This Row],[Candidate 3]]))),(SamplingData[[#This Row],[Total]]+SamplingData[[#This Row],[Winning Candidate]]-SamplingData[[#This Row],[Candidate 3]])/(SamplingData[[#Totals],[Winning Candidate]]-SamplingData[[#Totals],[Candidate 3]]), 0)</f>
        <v>6.4522373132883833E-5</v>
      </c>
      <c r="M2111" s="100">
        <f>IF(AND(SamplingData[[#This Row],[Total]]&lt;&gt; 0, NOT(ISBLANK(SamplingData[[#This Row],[Candidate 4]]))),(SamplingData[[#This Row],[Total]]+SamplingData[[#This Row],[Winning Candidate]]-SamplingData[[#This Row],[Candidate 4]])/(SamplingData[[#Totals],[Winning Candidate]]-SamplingData[[#Totals],[Candidate 4]]), 0)</f>
        <v>5.846414686193692E-5</v>
      </c>
      <c r="N2111" s="100">
        <f>IF(AND(SamplingData[[#This Row],[Total]]&lt;&gt; 0, NOT(ISBLANK(SamplingData[[#This Row],[Candidate 5]]))),(SamplingData[[#This Row],[Total]]+SamplingData[[#This Row],[Winning Candidate]]-SamplingData[[#This Row],[Candidate 5]])/(SamplingData[[#Totals],[Winning Candidate]]-SamplingData[[#Totals],[Candidate 5]]), 0)</f>
        <v>4.8649963512527367E-5</v>
      </c>
      <c r="O2111" s="100">
        <f>IF(AND(SamplingData[[#This Row],[Total]]&lt;&gt; 0, NOT(ISBLANK(SamplingData[[#This Row],[Candidate 6]]))),(SamplingData[[#This Row],[Total]]+SamplingData[[#This Row],[Winning Candidate]]-SamplingData[[#This Row],[Candidate 6]])/(SamplingData[[#Totals],[Winning Candidate]]-SamplingData[[#Totals],[Candidate 6]]), 0)</f>
        <v>4.8635766742862701E-5</v>
      </c>
      <c r="P2111" s="100">
        <f>MAX(SamplingData[[#This Row],[Error Bound (up) - Max. possible relative overstatement - Losing Candidate]:[Error Bound (up) - Max. possible relative overstatement - Candidate 6]])</f>
        <v>6.4522373132883833E-5</v>
      </c>
      <c r="Q2111" s="100">
        <f>IF(SamplingData[[#This Row],[Max Error Bound (up)]] = 0,0,SamplingData[[#This Row],[Max Error Bound (up)]]/SamplingData[[#Totals],[Max Error Bound (up)]])</f>
        <v>1.0211727553664133E-5</v>
      </c>
      <c r="R2111" s="101">
        <f>SUM($Q$5:Q2111)</f>
        <v>0.94276158407795152</v>
      </c>
      <c r="S2111" s="100" t="str">
        <f t="array" ref="S2111">IF(SamplingData[[#This Row],[up/U Selection Probability]] = 0, "Zero", TEXT(SamplingData[[#This Row],[Lower Range]], REPT("0",LEN('General Info'!$B$40))) &amp; " - " &amp; TEXT(SamplingData[[#This Row],[Upper Range]], REPT("0",LEN('General Info'!$B$40))))</f>
        <v>94275 - 94275</v>
      </c>
      <c r="T2111" s="100">
        <f>SamplingData[[#This Row],[Upper Range]]-SamplingData[[#This Row],[Span]]</f>
        <v>94275.137245251521</v>
      </c>
      <c r="U2111" s="100">
        <f>IF(ISNUMBER('General Info'!$B$40), ((SamplingData[[#This Row],[up/U Selection Probability]]) * 'General Info'!$B$40) - 1, 0)</f>
        <v>2.116254363885961E-2</v>
      </c>
      <c r="V2111" s="100">
        <f>IF(ISNUMBER('General Info'!$B$40), (SamplingData[[#This Row],[Running (cumulative) sum]] * ('General Info'!$B$40 -'General Info'!$B$41 + 1)) + 'General Info'!$B$41 - 1, 0)</f>
        <v>94275.158407795156</v>
      </c>
      <c r="W2111" s="100" t="str">
        <f>IF(ISERROR(MATCH(SamplingData[[#This Row],[Batch by Type (p)]],SelectedPrecincts[Batch Name], 0)), "", INDEX(SelectedPrecincts[Draw], MATCH(SamplingData[[#This Row],[Batch by Type (p)]],SelectedPrecincts[Batch Name], 0)))</f>
        <v/>
      </c>
      <c r="X2111" s="102">
        <f>IF(COUNTIF(SelectedPrecincts[Batch Name],SamplingData[[#This Row],[Batch by Type (p)]]) &lt;&gt; 0, COUNTIF(SelectedPrecincts[Batch Name],SamplingData[[#This Row],[Batch by Type (p)]]), 0)</f>
        <v>0</v>
      </c>
    </row>
    <row r="2112" spans="1:24" ht="15" customHeight="1">
      <c r="A2112" s="18" t="s">
        <v>2288</v>
      </c>
      <c r="B2112" s="18">
        <v>1</v>
      </c>
      <c r="C2112" s="18">
        <v>0</v>
      </c>
      <c r="D2112" s="18">
        <v>1</v>
      </c>
      <c r="E2112" s="18">
        <v>0</v>
      </c>
      <c r="F2112" s="18">
        <v>0</v>
      </c>
      <c r="G2112" s="18">
        <v>0</v>
      </c>
      <c r="H2112" s="18">
        <v>0</v>
      </c>
      <c r="I2112" s="18">
        <v>1</v>
      </c>
      <c r="J2112" s="99">
        <f>SUM(SamplingData[[#This Row],[Losing Candidate]:[Under Votes]])</f>
        <v>3</v>
      </c>
      <c r="K211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1.224889759921607E-4</v>
      </c>
      <c r="L2112" s="100">
        <f>IF(AND(SamplingData[[#This Row],[Total]]&lt;&gt; 0, NOT(ISBLANK(SamplingData[[#This Row],[Candidate 3]]))),(SamplingData[[#This Row],[Total]]+SamplingData[[#This Row],[Winning Candidate]]-SamplingData[[#This Row],[Candidate 3]])/(SamplingData[[#Totals],[Winning Candidate]]-SamplingData[[#Totals],[Candidate 3]]), 0)</f>
        <v>6.4522373132883833E-5</v>
      </c>
      <c r="M2112" s="100">
        <f>IF(AND(SamplingData[[#This Row],[Total]]&lt;&gt; 0, NOT(ISBLANK(SamplingData[[#This Row],[Candidate 4]]))),(SamplingData[[#This Row],[Total]]+SamplingData[[#This Row],[Winning Candidate]]-SamplingData[[#This Row],[Candidate 4]])/(SamplingData[[#Totals],[Winning Candidate]]-SamplingData[[#Totals],[Candidate 4]]), 0)</f>
        <v>8.7696220292905373E-5</v>
      </c>
      <c r="N2112" s="100">
        <f>IF(AND(SamplingData[[#This Row],[Total]]&lt;&gt; 0, NOT(ISBLANK(SamplingData[[#This Row],[Candidate 5]]))),(SamplingData[[#This Row],[Total]]+SamplingData[[#This Row],[Winning Candidate]]-SamplingData[[#This Row],[Candidate 5]])/(SamplingData[[#Totals],[Winning Candidate]]-SamplingData[[#Totals],[Candidate 5]]), 0)</f>
        <v>7.2974945268791054E-5</v>
      </c>
      <c r="O2112" s="100">
        <f>IF(AND(SamplingData[[#This Row],[Total]]&lt;&gt; 0, NOT(ISBLANK(SamplingData[[#This Row],[Candidate 6]]))),(SamplingData[[#This Row],[Total]]+SamplingData[[#This Row],[Winning Candidate]]-SamplingData[[#This Row],[Candidate 6]])/(SamplingData[[#Totals],[Winning Candidate]]-SamplingData[[#Totals],[Candidate 6]]), 0)</f>
        <v>7.2953650114294054E-5</v>
      </c>
      <c r="P2112" s="100">
        <f>MAX(SamplingData[[#This Row],[Error Bound (up) - Max. possible relative overstatement - Losing Candidate]:[Error Bound (up) - Max. possible relative overstatement - Candidate 6]])</f>
        <v>1.224889759921607E-4</v>
      </c>
      <c r="Q2112" s="100">
        <f>IF(SamplingData[[#This Row],[Max Error Bound (up)]] = 0,0,SamplingData[[#This Row],[Max Error Bound (up)]]/SamplingData[[#Totals],[Max Error Bound (up)]])</f>
        <v>1.9385896556891663E-5</v>
      </c>
      <c r="R2112" s="101">
        <f>SUM($Q$5:Q2112)</f>
        <v>0.94278096997450844</v>
      </c>
      <c r="S2112" s="100" t="str">
        <f t="array" ref="S2112">IF(SamplingData[[#This Row],[up/U Selection Probability]] = 0, "Zero", TEXT(SamplingData[[#This Row],[Lower Range]], REPT("0",LEN('General Info'!$B$40))) &amp; " - " &amp; TEXT(SamplingData[[#This Row],[Upper Range]], REPT("0",LEN('General Info'!$B$40))))</f>
        <v>94276 - 94277</v>
      </c>
      <c r="T2112" s="100">
        <f>SamplingData[[#This Row],[Upper Range]]-SamplingData[[#This Row],[Span]]</f>
        <v>94276.158427181057</v>
      </c>
      <c r="U2112" s="100">
        <f>IF(ISNUMBER('General Info'!$B$40), ((SamplingData[[#This Row],[up/U Selection Probability]]) * 'General Info'!$B$40) - 1, 0)</f>
        <v>0.93857026979260949</v>
      </c>
      <c r="V2112" s="100">
        <f>IF(ISNUMBER('General Info'!$B$40), (SamplingData[[#This Row],[Running (cumulative) sum]] * ('General Info'!$B$40 -'General Info'!$B$41 + 1)) + 'General Info'!$B$41 - 1, 0)</f>
        <v>94277.096997450848</v>
      </c>
      <c r="W2112" s="100" t="str">
        <f>IF(ISERROR(MATCH(SamplingData[[#This Row],[Batch by Type (p)]],SelectedPrecincts[Batch Name], 0)), "", INDEX(SelectedPrecincts[Draw], MATCH(SamplingData[[#This Row],[Batch by Type (p)]],SelectedPrecincts[Batch Name], 0)))</f>
        <v/>
      </c>
      <c r="X2112" s="102">
        <f>IF(COUNTIF(SelectedPrecincts[Batch Name],SamplingData[[#This Row],[Batch by Type (p)]]) &lt;&gt; 0, COUNTIF(SelectedPrecincts[Batch Name],SamplingData[[#This Row],[Batch by Type (p)]]), 0)</f>
        <v>0</v>
      </c>
    </row>
    <row r="2113" spans="1:24" ht="15" customHeight="1">
      <c r="A2113" s="18" t="s">
        <v>2289</v>
      </c>
      <c r="B2113" s="18">
        <v>3</v>
      </c>
      <c r="C2113" s="18">
        <v>1</v>
      </c>
      <c r="D2113" s="16">
        <v>2</v>
      </c>
      <c r="E2113" s="16">
        <v>0</v>
      </c>
      <c r="F2113" s="37">
        <v>0</v>
      </c>
      <c r="G2113" s="37">
        <v>1</v>
      </c>
      <c r="H2113" s="17">
        <v>0</v>
      </c>
      <c r="I2113" s="17">
        <v>0</v>
      </c>
      <c r="J2113" s="99">
        <f>SUM(SamplingData[[#This Row],[Losing Candidate]:[Under Votes]])</f>
        <v>7</v>
      </c>
      <c r="K2113" s="100">
        <f>IF(AND(SamplingData[[#This Row],[Total]]&lt;&gt; 0, NOT(ISBLANK(SamplingData[[#This Row],[Losing Candidate]]))),(SamplingData[[#This Row],[Total]]+SamplingData[[#This Row],[Winning Candidate]]-SamplingData[[#This Row],[Losing Candidate]])/(SamplingData[[#Totals],[Winning Candidate]]-SamplingData[[#Totals],[Losing Candidate]]), 0)</f>
        <v>3.0622243998040176E-4</v>
      </c>
      <c r="L2113" s="100">
        <f>IF(AND(SamplingData[[#This Row],[Total]]&lt;&gt; 0, NOT(ISBLANK(SamplingData[[#This Row],[Candidate 3]]))),(SamplingData[[#This Row],[Total]]+SamplingData[[#This Row],[Winning Candidate]]-SamplingData[[#This Row],[Candidate 3]])/(SamplingData[[#Totals],[Winning Candidate]]-SamplingData[[#Totals],[Candidate 3]]), 0)</f>
        <v>1.9356711939865149E-4</v>
      </c>
      <c r="M2113" s="100">
        <f>IF(AND(SamplingData[[#This Row],[Total]]&lt;&gt; 0, NOT(ISBLANK(SamplingData[[#This Row],[Candidate 4]]))),(SamplingData[[#This Row],[Total]]+SamplingData[[#This Row],[Winning Candidate]]-SamplingData[[#This Row],[Candidate 4]])/(SamplingData[[#Totals],[Winning Candidate]]-SamplingData[[#Totals],[Candidate 4]]), 0)</f>
        <v>2.3385658744774768E-4</v>
      </c>
      <c r="N2113" s="100">
        <f>IF(AND(SamplingData[[#This Row],[Total]]&lt;&gt; 0, NOT(ISBLANK(SamplingData[[#This Row],[Candidate 5]]))),(SamplingData[[#This Row],[Total]]+SamplingData[[#This Row],[Winning Candidate]]-SamplingData[[#This Row],[Candidate 5]])/(SamplingData[[#Totals],[Winning Candidate]]-SamplingData[[#Totals],[Candidate 5]]), 0)</f>
        <v>1.9459985405010947E-4</v>
      </c>
      <c r="O2113" s="100">
        <f>IF(AND(SamplingData[[#This Row],[Total]]&lt;&gt; 0, NOT(ISBLANK(SamplingData[[#This Row],[Candidate 6]]))),(SamplingData[[#This Row],[Total]]+SamplingData[[#This Row],[Winning Candidate]]-SamplingData[[#This Row],[Candidate 6]])/(SamplingData[[#Totals],[Winning Candidate]]-SamplingData[[#Totals],[Candidate 6]]), 0)</f>
        <v>1.7022518360001944E-4</v>
      </c>
      <c r="P2113" s="100">
        <f>MAX(SamplingData[[#This Row],[Error Bound (up) - Max. possible relative overstatement - Losing Candidate]:[Error Bound (up) - Max. possible relative overstatement - Candidate 6]])</f>
        <v>3.0622243998040176E-4</v>
      </c>
      <c r="Q2113" s="100">
        <f>IF(SamplingData[[#This Row],[Max Error Bound (up)]] = 0,0,SamplingData[[#This Row],[Max Error Bound (up)]]/SamplingData[[#Totals],[Max Error Bound (up)]])</f>
        <v>4.8464741392229159E-5</v>
      </c>
      <c r="R2113" s="101">
        <f>SUM($Q$5:Q2113)</f>
        <v>0.94282943471590064</v>
      </c>
      <c r="S2113" s="100" t="str">
        <f t="array" ref="S2113">IF(SamplingData[[#This Row],[up/U Selection Probability]] = 0, "Zero", TEXT(SamplingData[[#This Row],[Lower Range]], REPT("0",LEN('General Info'!$B$40))) &amp; " - " &amp; TEXT(SamplingData[[#This Row],[Upper Range]], REPT("0",LEN('General Info'!$B$40))))</f>
        <v>94278 - 94282</v>
      </c>
      <c r="T2113" s="100">
        <f>SamplingData[[#This Row],[Upper Range]]-SamplingData[[#This Row],[Span]]</f>
        <v>94278.09704591558</v>
      </c>
      <c r="U2113" s="100">
        <f>IF(ISNUMBER('General Info'!$B$40), ((SamplingData[[#This Row],[up/U Selection Probability]]) * 'General Info'!$B$40) - 1, 0)</f>
        <v>3.8464256744815239</v>
      </c>
      <c r="V2113" s="100">
        <f>IF(ISNUMBER('General Info'!$B$40), (SamplingData[[#This Row],[Running (cumulative) sum]] * ('General Info'!$B$40 -'General Info'!$B$41 + 1)) + 'General Info'!$B$41 - 1, 0)</f>
        <v>94281.943471590057</v>
      </c>
      <c r="W2113" s="100" t="str">
        <f>IF(ISERROR(MATCH(SamplingData[[#This Row],[Batch by Type (p)]],SelectedPrecincts[Batch Name], 0)), "", INDEX(SelectedPrecincts[Draw], MATCH(SamplingData[[#This Row],[Batch by Type (p)]],SelectedPrecincts[Batch Name], 0)))</f>
        <v/>
      </c>
      <c r="X2113" s="102">
        <f>IF(COUNTIF(SelectedPrecincts[Batch Name],SamplingData[[#This Row],[Batch by Type (p)]]) &lt;&gt; 0, COUNTIF(SelectedPrecincts[Batch Name],SamplingData[[#This Row],[Batch by Type (p)]]), 0)</f>
        <v>0</v>
      </c>
    </row>
    <row r="2114" spans="1:24" ht="15" customHeight="1">
      <c r="A2114" s="18" t="s">
        <v>2290</v>
      </c>
      <c r="B2114" s="18">
        <v>2</v>
      </c>
      <c r="C2114" s="18">
        <v>0</v>
      </c>
      <c r="D2114" s="18">
        <v>0</v>
      </c>
      <c r="E2114" s="18">
        <v>0</v>
      </c>
      <c r="F2114" s="18">
        <v>1</v>
      </c>
      <c r="G2114" s="18">
        <v>0</v>
      </c>
      <c r="H2114" s="18">
        <v>0</v>
      </c>
      <c r="I2114" s="18">
        <v>0</v>
      </c>
      <c r="J2114" s="99">
        <f>SUM(SamplingData[[#This Row],[Losing Candidate]:[Under Votes]])</f>
        <v>3</v>
      </c>
      <c r="K2114"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114" s="100">
        <f>IF(AND(SamplingData[[#This Row],[Total]]&lt;&gt; 0, NOT(ISBLANK(SamplingData[[#This Row],[Candidate 3]]))),(SamplingData[[#This Row],[Total]]+SamplingData[[#This Row],[Winning Candidate]]-SamplingData[[#This Row],[Candidate 3]])/(SamplingData[[#Totals],[Winning Candidate]]-SamplingData[[#Totals],[Candidate 3]]), 0)</f>
        <v>9.6783559699325743E-5</v>
      </c>
      <c r="M2114" s="100">
        <f>IF(AND(SamplingData[[#This Row],[Total]]&lt;&gt; 0, NOT(ISBLANK(SamplingData[[#This Row],[Candidate 4]]))),(SamplingData[[#This Row],[Total]]+SamplingData[[#This Row],[Winning Candidate]]-SamplingData[[#This Row],[Candidate 4]])/(SamplingData[[#Totals],[Winning Candidate]]-SamplingData[[#Totals],[Candidate 4]]), 0)</f>
        <v>8.7696220292905373E-5</v>
      </c>
      <c r="N2114" s="100">
        <f>IF(AND(SamplingData[[#This Row],[Total]]&lt;&gt; 0, NOT(ISBLANK(SamplingData[[#This Row],[Candidate 5]]))),(SamplingData[[#This Row],[Total]]+SamplingData[[#This Row],[Winning Candidate]]-SamplingData[[#This Row],[Candidate 5]])/(SamplingData[[#Totals],[Winning Candidate]]-SamplingData[[#Totals],[Candidate 5]]), 0)</f>
        <v>4.8649963512527367E-5</v>
      </c>
      <c r="O2114" s="100">
        <f>IF(AND(SamplingData[[#This Row],[Total]]&lt;&gt; 0, NOT(ISBLANK(SamplingData[[#This Row],[Candidate 6]]))),(SamplingData[[#This Row],[Total]]+SamplingData[[#This Row],[Winning Candidate]]-SamplingData[[#This Row],[Candidate 6]])/(SamplingData[[#Totals],[Winning Candidate]]-SamplingData[[#Totals],[Candidate 6]]), 0)</f>
        <v>7.2953650114294054E-5</v>
      </c>
      <c r="P2114" s="100">
        <f>MAX(SamplingData[[#This Row],[Error Bound (up) - Max. possible relative overstatement - Losing Candidate]:[Error Bound (up) - Max. possible relative overstatement - Candidate 6]])</f>
        <v>9.6783559699325743E-5</v>
      </c>
      <c r="Q2114" s="100">
        <f>IF(SamplingData[[#This Row],[Max Error Bound (up)]] = 0,0,SamplingData[[#This Row],[Max Error Bound (up)]]/SamplingData[[#Totals],[Max Error Bound (up)]])</f>
        <v>1.5317591330496199E-5</v>
      </c>
      <c r="R2114" s="101">
        <f>SUM($Q$5:Q2114)</f>
        <v>0.94284475230723108</v>
      </c>
      <c r="S2114" s="100" t="str">
        <f t="array" ref="S2114">IF(SamplingData[[#This Row],[up/U Selection Probability]] = 0, "Zero", TEXT(SamplingData[[#This Row],[Lower Range]], REPT("0",LEN('General Info'!$B$40))) &amp; " - " &amp; TEXT(SamplingData[[#This Row],[Upper Range]], REPT("0",LEN('General Info'!$B$40))))</f>
        <v>94283 - 94283</v>
      </c>
      <c r="T2114" s="100">
        <f>SamplingData[[#This Row],[Upper Range]]-SamplingData[[#This Row],[Span]]</f>
        <v>94282.94348690765</v>
      </c>
      <c r="U2114" s="100">
        <f>IF(ISNUMBER('General Info'!$B$40), ((SamplingData[[#This Row],[up/U Selection Probability]]) * 'General Info'!$B$40) - 1, 0)</f>
        <v>0.53174381545828941</v>
      </c>
      <c r="V2114" s="100">
        <f>IF(ISNUMBER('General Info'!$B$40), (SamplingData[[#This Row],[Running (cumulative) sum]] * ('General Info'!$B$40 -'General Info'!$B$41 + 1)) + 'General Info'!$B$41 - 1, 0)</f>
        <v>94283.47523072311</v>
      </c>
      <c r="W2114" s="100" t="str">
        <f>IF(ISERROR(MATCH(SamplingData[[#This Row],[Batch by Type (p)]],SelectedPrecincts[Batch Name], 0)), "", INDEX(SelectedPrecincts[Draw], MATCH(SamplingData[[#This Row],[Batch by Type (p)]],SelectedPrecincts[Batch Name], 0)))</f>
        <v/>
      </c>
      <c r="X2114" s="102">
        <f>IF(COUNTIF(SelectedPrecincts[Batch Name],SamplingData[[#This Row],[Batch by Type (p)]]) &lt;&gt; 0, COUNTIF(SelectedPrecincts[Batch Name],SamplingData[[#This Row],[Batch by Type (p)]]), 0)</f>
        <v>0</v>
      </c>
    </row>
    <row r="2115" spans="1:24" ht="15" customHeight="1">
      <c r="A2115" s="18" t="s">
        <v>2291</v>
      </c>
      <c r="B2115" s="18">
        <v>0</v>
      </c>
      <c r="C2115" s="18">
        <v>0</v>
      </c>
      <c r="D2115" s="16">
        <v>0</v>
      </c>
      <c r="E2115" s="16">
        <v>0</v>
      </c>
      <c r="F2115" s="37">
        <v>0</v>
      </c>
      <c r="G2115" s="37">
        <v>0</v>
      </c>
      <c r="H2115" s="17">
        <v>0</v>
      </c>
      <c r="I2115" s="17">
        <v>0</v>
      </c>
      <c r="J2115" s="99">
        <f>SUM(SamplingData[[#This Row],[Losing Candidate]:[Under Votes]])</f>
        <v>0</v>
      </c>
      <c r="K2115" s="100">
        <f>IF(AND(SamplingData[[#This Row],[Total]]&lt;&gt; 0, NOT(ISBLANK(SamplingData[[#This Row],[Losing Candidate]]))),(SamplingData[[#This Row],[Total]]+SamplingData[[#This Row],[Winning Candidate]]-SamplingData[[#This Row],[Losing Candidate]])/(SamplingData[[#Totals],[Winning Candidate]]-SamplingData[[#Totals],[Losing Candidate]]), 0)</f>
        <v>0</v>
      </c>
      <c r="L2115" s="100">
        <f>IF(AND(SamplingData[[#This Row],[Total]]&lt;&gt; 0, NOT(ISBLANK(SamplingData[[#This Row],[Candidate 3]]))),(SamplingData[[#This Row],[Total]]+SamplingData[[#This Row],[Winning Candidate]]-SamplingData[[#This Row],[Candidate 3]])/(SamplingData[[#Totals],[Winning Candidate]]-SamplingData[[#Totals],[Candidate 3]]), 0)</f>
        <v>0</v>
      </c>
      <c r="M2115" s="100">
        <f>IF(AND(SamplingData[[#This Row],[Total]]&lt;&gt; 0, NOT(ISBLANK(SamplingData[[#This Row],[Candidate 4]]))),(SamplingData[[#This Row],[Total]]+SamplingData[[#This Row],[Winning Candidate]]-SamplingData[[#This Row],[Candidate 4]])/(SamplingData[[#Totals],[Winning Candidate]]-SamplingData[[#Totals],[Candidate 4]]), 0)</f>
        <v>0</v>
      </c>
      <c r="N2115" s="100">
        <f>IF(AND(SamplingData[[#This Row],[Total]]&lt;&gt; 0, NOT(ISBLANK(SamplingData[[#This Row],[Candidate 5]]))),(SamplingData[[#This Row],[Total]]+SamplingData[[#This Row],[Winning Candidate]]-SamplingData[[#This Row],[Candidate 5]])/(SamplingData[[#Totals],[Winning Candidate]]-SamplingData[[#Totals],[Candidate 5]]), 0)</f>
        <v>0</v>
      </c>
      <c r="O2115" s="100">
        <f>IF(AND(SamplingData[[#This Row],[Total]]&lt;&gt; 0, NOT(ISBLANK(SamplingData[[#This Row],[Candidate 6]]))),(SamplingData[[#This Row],[Total]]+SamplingData[[#This Row],[Winning Candidate]]-SamplingData[[#This Row],[Candidate 6]])/(SamplingData[[#Totals],[Winning Candidate]]-SamplingData[[#Totals],[Candidate 6]]), 0)</f>
        <v>0</v>
      </c>
      <c r="P2115" s="100">
        <f>MAX(SamplingData[[#This Row],[Error Bound (up) - Max. possible relative overstatement - Losing Candidate]:[Error Bound (up) - Max. possible relative overstatement - Candidate 6]])</f>
        <v>0</v>
      </c>
      <c r="Q2115" s="100">
        <f>IF(SamplingData[[#This Row],[Max Error Bound (up)]] = 0,0,SamplingData[[#This Row],[Max Error Bound (up)]]/SamplingData[[#Totals],[Max Error Bound (up)]])</f>
        <v>0</v>
      </c>
      <c r="R2115" s="101">
        <f>SUM($Q$5:Q2115)</f>
        <v>0.94284475230723108</v>
      </c>
      <c r="S2115" s="100" t="str">
        <f t="array" ref="S2115">IF(SamplingData[[#This Row],[up/U Selection Probability]] = 0, "Zero", TEXT(SamplingData[[#This Row],[Lower Range]], REPT("0",LEN('General Info'!$B$40))) &amp; " - " &amp; TEXT(SamplingData[[#This Row],[Upper Range]], REPT("0",LEN('General Info'!$B$40))))</f>
        <v>Zero</v>
      </c>
      <c r="T2115" s="100">
        <f>SamplingData[[#This Row],[Upper Range]]-SamplingData[[#This Row],[Span]]</f>
        <v>94284.47523072311</v>
      </c>
      <c r="U2115" s="100">
        <f>IF(ISNUMBER('General Info'!$B$40), ((SamplingData[[#This Row],[up/U Selection Probability]]) * 'General Info'!$B$40) - 1, 0)</f>
        <v>-1</v>
      </c>
      <c r="V2115" s="100">
        <f>IF(ISNUMBER('General Info'!$B$40), (SamplingData[[#This Row],[Running (cumulative) sum]] * ('General Info'!$B$40 -'General Info'!$B$41 + 1)) + 'General Info'!$B$41 - 1, 0)</f>
        <v>94283.47523072311</v>
      </c>
      <c r="W2115" s="100" t="str">
        <f>IF(ISERROR(MATCH(SamplingData[[#This Row],[Batch by Type (p)]],SelectedPrecincts[Batch Name], 0)), "", INDEX(SelectedPrecincts[Draw], MATCH(SamplingData[[#This Row],[Batch by Type (p)]],SelectedPrecincts[Batch Name], 0)))</f>
        <v/>
      </c>
      <c r="X2115" s="102">
        <f>IF(COUNTIF(SelectedPrecincts[Batch Name],SamplingData[[#This Row],[Batch by Type (p)]]) &lt;&gt; 0, COUNTIF(SelectedPrecincts[Batch Name],SamplingData[[#This Row],[Batch by Type (p)]]), 0)</f>
        <v>0</v>
      </c>
    </row>
    <row r="2116" spans="1:24" ht="15" customHeight="1">
      <c r="A2116" s="18" t="s">
        <v>2292</v>
      </c>
      <c r="B2116" s="18">
        <v>3</v>
      </c>
      <c r="C2116" s="18">
        <v>0</v>
      </c>
      <c r="D2116" s="18">
        <v>0</v>
      </c>
      <c r="E2116" s="18">
        <v>0</v>
      </c>
      <c r="F2116" s="18">
        <v>0</v>
      </c>
      <c r="G2116" s="18">
        <v>0</v>
      </c>
      <c r="H2116" s="18">
        <v>0</v>
      </c>
      <c r="I2116" s="18">
        <v>0</v>
      </c>
      <c r="J2116" s="99">
        <f>SUM(SamplingData[[#This Row],[Losing Candidate]:[Under Votes]])</f>
        <v>3</v>
      </c>
      <c r="K2116" s="100">
        <f>IF(AND(SamplingData[[#This Row],[Total]]&lt;&gt; 0, NOT(ISBLANK(SamplingData[[#This Row],[Losing Candidate]]))),(SamplingData[[#This Row],[Total]]+SamplingData[[#This Row],[Winning Candidate]]-SamplingData[[#This Row],[Losing Candidate]])/(SamplingData[[#Totals],[Winning Candidate]]-SamplingData[[#Totals],[Losing Candidate]]), 0)</f>
        <v>0</v>
      </c>
      <c r="L2116" s="100">
        <f>IF(AND(SamplingData[[#This Row],[Total]]&lt;&gt; 0, NOT(ISBLANK(SamplingData[[#This Row],[Candidate 3]]))),(SamplingData[[#This Row],[Total]]+SamplingData[[#This Row],[Winning Candidate]]-SamplingData[[#This Row],[Candidate 3]])/(SamplingData[[#Totals],[Winning Candidate]]-SamplingData[[#Totals],[Candidate 3]]), 0)</f>
        <v>9.6783559699325743E-5</v>
      </c>
      <c r="M2116" s="100">
        <f>IF(AND(SamplingData[[#This Row],[Total]]&lt;&gt; 0, NOT(ISBLANK(SamplingData[[#This Row],[Candidate 4]]))),(SamplingData[[#This Row],[Total]]+SamplingData[[#This Row],[Winning Candidate]]-SamplingData[[#This Row],[Candidate 4]])/(SamplingData[[#Totals],[Winning Candidate]]-SamplingData[[#Totals],[Candidate 4]]), 0)</f>
        <v>8.7696220292905373E-5</v>
      </c>
      <c r="N2116" s="100">
        <f>IF(AND(SamplingData[[#This Row],[Total]]&lt;&gt; 0, NOT(ISBLANK(SamplingData[[#This Row],[Candidate 5]]))),(SamplingData[[#This Row],[Total]]+SamplingData[[#This Row],[Winning Candidate]]-SamplingData[[#This Row],[Candidate 5]])/(SamplingData[[#Totals],[Winning Candidate]]-SamplingData[[#Totals],[Candidate 5]]), 0)</f>
        <v>7.2974945268791054E-5</v>
      </c>
      <c r="O2116" s="100">
        <f>IF(AND(SamplingData[[#This Row],[Total]]&lt;&gt; 0, NOT(ISBLANK(SamplingData[[#This Row],[Candidate 6]]))),(SamplingData[[#This Row],[Total]]+SamplingData[[#This Row],[Winning Candidate]]-SamplingData[[#This Row],[Candidate 6]])/(SamplingData[[#Totals],[Winning Candidate]]-SamplingData[[#Totals],[Candidate 6]]), 0)</f>
        <v>7.2953650114294054E-5</v>
      </c>
      <c r="P2116" s="100">
        <f>MAX(SamplingData[[#This Row],[Error Bound (up) - Max. possible relative overstatement - Losing Candidate]:[Error Bound (up) - Max. possible relative overstatement - Candidate 6]])</f>
        <v>9.6783559699325743E-5</v>
      </c>
      <c r="Q2116" s="100">
        <f>IF(SamplingData[[#This Row],[Max Error Bound (up)]] = 0,0,SamplingData[[#This Row],[Max Error Bound (up)]]/SamplingData[[#Totals],[Max Error Bound (up)]])</f>
        <v>1.5317591330496199E-5</v>
      </c>
      <c r="R2116" s="101">
        <f>SUM($Q$5:Q2116)</f>
        <v>0.94286006989856153</v>
      </c>
      <c r="S2116" s="100" t="str">
        <f t="array" ref="S2116">IF(SamplingData[[#This Row],[up/U Selection Probability]] = 0, "Zero", TEXT(SamplingData[[#This Row],[Lower Range]], REPT("0",LEN('General Info'!$B$40))) &amp; " - " &amp; TEXT(SamplingData[[#This Row],[Upper Range]], REPT("0",LEN('General Info'!$B$40))))</f>
        <v>94284 - 94285</v>
      </c>
      <c r="T2116" s="100">
        <f>SamplingData[[#This Row],[Upper Range]]-SamplingData[[#This Row],[Span]]</f>
        <v>94284.475246040689</v>
      </c>
      <c r="U2116" s="100">
        <f>IF(ISNUMBER('General Info'!$B$40), ((SamplingData[[#This Row],[up/U Selection Probability]]) * 'General Info'!$B$40) - 1, 0)</f>
        <v>0.53174381545828941</v>
      </c>
      <c r="V2116" s="100">
        <f>IF(ISNUMBER('General Info'!$B$40), (SamplingData[[#This Row],[Running (cumulative) sum]] * ('General Info'!$B$40 -'General Info'!$B$41 + 1)) + 'General Info'!$B$41 - 1, 0)</f>
        <v>94285.006989856149</v>
      </c>
      <c r="W2116" s="100" t="str">
        <f>IF(ISERROR(MATCH(SamplingData[[#This Row],[Batch by Type (p)]],SelectedPrecincts[Batch Name], 0)), "", INDEX(SelectedPrecincts[Draw], MATCH(SamplingData[[#This Row],[Batch by Type (p)]],SelectedPrecincts[Batch Name], 0)))</f>
        <v/>
      </c>
      <c r="X2116" s="102">
        <f>IF(COUNTIF(SelectedPrecincts[Batch Name],SamplingData[[#This Row],[Batch by Type (p)]]) &lt;&gt; 0, COUNTIF(SelectedPrecincts[Batch Name],SamplingData[[#This Row],[Batch by Type (p)]]), 0)</f>
        <v>0</v>
      </c>
    </row>
    <row r="2117" spans="1:24" ht="15" customHeight="1">
      <c r="A2117" s="18" t="s">
        <v>2293</v>
      </c>
      <c r="B2117" s="18">
        <v>31</v>
      </c>
      <c r="C2117" s="18">
        <v>119</v>
      </c>
      <c r="D2117" s="16">
        <v>32</v>
      </c>
      <c r="E2117" s="16">
        <v>6</v>
      </c>
      <c r="F2117" s="37">
        <v>0</v>
      </c>
      <c r="G2117" s="37">
        <v>1</v>
      </c>
      <c r="H2117" s="17">
        <v>0</v>
      </c>
      <c r="I2117" s="17">
        <v>0</v>
      </c>
      <c r="J2117" s="99">
        <f>SUM(SamplingData[[#This Row],[Losing Candidate]:[Under Votes]])</f>
        <v>189</v>
      </c>
      <c r="K2117" s="100">
        <f>IF(AND(SamplingData[[#This Row],[Total]]&lt;&gt; 0, NOT(ISBLANK(SamplingData[[#This Row],[Losing Candidate]]))),(SamplingData[[#This Row],[Total]]+SamplingData[[#This Row],[Winning Candidate]]-SamplingData[[#This Row],[Losing Candidate]])/(SamplingData[[#Totals],[Winning Candidate]]-SamplingData[[#Totals],[Losing Candidate]]), 0)</f>
        <v>1.6964723174914258E-2</v>
      </c>
      <c r="L2117" s="100">
        <f>IF(AND(SamplingData[[#This Row],[Total]]&lt;&gt; 0, NOT(ISBLANK(SamplingData[[#This Row],[Candidate 3]]))),(SamplingData[[#This Row],[Total]]+SamplingData[[#This Row],[Winning Candidate]]-SamplingData[[#This Row],[Candidate 3]])/(SamplingData[[#Totals],[Winning Candidate]]-SamplingData[[#Totals],[Candidate 3]]), 0)</f>
        <v>8.9040874923379688E-3</v>
      </c>
      <c r="M2117" s="100">
        <f>IF(AND(SamplingData[[#This Row],[Total]]&lt;&gt; 0, NOT(ISBLANK(SamplingData[[#This Row],[Candidate 4]]))),(SamplingData[[#This Row],[Total]]+SamplingData[[#This Row],[Winning Candidate]]-SamplingData[[#This Row],[Candidate 4]])/(SamplingData[[#Totals],[Winning Candidate]]-SamplingData[[#Totals],[Candidate 4]]), 0)</f>
        <v>8.8280861761524752E-3</v>
      </c>
      <c r="N2117" s="100">
        <f>IF(AND(SamplingData[[#This Row],[Total]]&lt;&gt; 0, NOT(ISBLANK(SamplingData[[#This Row],[Candidate 5]]))),(SamplingData[[#This Row],[Total]]+SamplingData[[#This Row],[Winning Candidate]]-SamplingData[[#This Row],[Candidate 5]])/(SamplingData[[#Totals],[Winning Candidate]]-SamplingData[[#Totals],[Candidate 5]]), 0)</f>
        <v>7.4920943809292139E-3</v>
      </c>
      <c r="O2117" s="100">
        <f>IF(AND(SamplingData[[#This Row],[Total]]&lt;&gt; 0, NOT(ISBLANK(SamplingData[[#This Row],[Candidate 6]]))),(SamplingData[[#This Row],[Total]]+SamplingData[[#This Row],[Winning Candidate]]-SamplingData[[#This Row],[Candidate 6]])/(SamplingData[[#Totals],[Winning Candidate]]-SamplingData[[#Totals],[Candidate 6]]), 0)</f>
        <v>7.4655901950294243E-3</v>
      </c>
      <c r="P2117" s="100">
        <f>MAX(SamplingData[[#This Row],[Error Bound (up) - Max. possible relative overstatement - Losing Candidate]:[Error Bound (up) - Max. possible relative overstatement - Candidate 6]])</f>
        <v>1.6964723174914258E-2</v>
      </c>
      <c r="Q2117" s="100">
        <f>IF(SamplingData[[#This Row],[Max Error Bound (up)]] = 0,0,SamplingData[[#This Row],[Max Error Bound (up)]]/SamplingData[[#Totals],[Max Error Bound (up)]])</f>
        <v>2.6849466731294954E-3</v>
      </c>
      <c r="R2117" s="101">
        <f>SUM($Q$5:Q2117)</f>
        <v>0.94554501657169099</v>
      </c>
      <c r="S2117" s="100" t="str">
        <f t="array" ref="S2117">IF(SamplingData[[#This Row],[up/U Selection Probability]] = 0, "Zero", TEXT(SamplingData[[#This Row],[Lower Range]], REPT("0",LEN('General Info'!$B$40))) &amp; " - " &amp; TEXT(SamplingData[[#This Row],[Upper Range]], REPT("0",LEN('General Info'!$B$40))))</f>
        <v>94286 - 94554</v>
      </c>
      <c r="T2117" s="100">
        <f>SamplingData[[#This Row],[Upper Range]]-SamplingData[[#This Row],[Span]]</f>
        <v>94286.009674802815</v>
      </c>
      <c r="U2117" s="100">
        <f>IF(ISNUMBER('General Info'!$B$40), ((SamplingData[[#This Row],[up/U Selection Probability]]) * 'General Info'!$B$40) - 1, 0)</f>
        <v>267.49198236627643</v>
      </c>
      <c r="V2117" s="100">
        <f>IF(ISNUMBER('General Info'!$B$40), (SamplingData[[#This Row],[Running (cumulative) sum]] * ('General Info'!$B$40 -'General Info'!$B$41 + 1)) + 'General Info'!$B$41 - 1, 0)</f>
        <v>94553.501657169094</v>
      </c>
      <c r="W2117" s="100" t="str">
        <f>IF(ISERROR(MATCH(SamplingData[[#This Row],[Batch by Type (p)]],SelectedPrecincts[Batch Name], 0)), "", INDEX(SelectedPrecincts[Draw], MATCH(SamplingData[[#This Row],[Batch by Type (p)]],SelectedPrecincts[Batch Name], 0)))</f>
        <v/>
      </c>
      <c r="X2117" s="102">
        <f>IF(COUNTIF(SelectedPrecincts[Batch Name],SamplingData[[#This Row],[Batch by Type (p)]]) &lt;&gt; 0, COUNTIF(SelectedPrecincts[Batch Name],SamplingData[[#This Row],[Batch by Type (p)]]), 0)</f>
        <v>0</v>
      </c>
    </row>
    <row r="2118" spans="1:24" ht="15" customHeight="1">
      <c r="A2118" s="18" t="s">
        <v>2294</v>
      </c>
      <c r="B2118" s="18">
        <v>27</v>
      </c>
      <c r="C2118" s="18">
        <v>47</v>
      </c>
      <c r="D2118" s="18">
        <v>16</v>
      </c>
      <c r="E2118" s="18">
        <v>1</v>
      </c>
      <c r="F2118" s="18">
        <v>0</v>
      </c>
      <c r="G2118" s="18">
        <v>0</v>
      </c>
      <c r="H2118" s="18">
        <v>0</v>
      </c>
      <c r="I2118" s="18">
        <v>0</v>
      </c>
      <c r="J2118" s="99">
        <f>SUM(SamplingData[[#This Row],[Losing Candidate]:[Under Votes]])</f>
        <v>91</v>
      </c>
      <c r="K2118" s="100">
        <f>IF(AND(SamplingData[[#This Row],[Total]]&lt;&gt; 0, NOT(ISBLANK(SamplingData[[#This Row],[Losing Candidate]]))),(SamplingData[[#This Row],[Total]]+SamplingData[[#This Row],[Winning Candidate]]-SamplingData[[#This Row],[Losing Candidate]])/(SamplingData[[#Totals],[Winning Candidate]]-SamplingData[[#Totals],[Losing Candidate]]), 0)</f>
        <v>6.798138167564919E-3</v>
      </c>
      <c r="L2118" s="100">
        <f>IF(AND(SamplingData[[#This Row],[Total]]&lt;&gt; 0, NOT(ISBLANK(SamplingData[[#This Row],[Candidate 3]]))),(SamplingData[[#This Row],[Total]]+SamplingData[[#This Row],[Winning Candidate]]-SamplingData[[#This Row],[Candidate 3]])/(SamplingData[[#Totals],[Winning Candidate]]-SamplingData[[#Totals],[Candidate 3]]), 0)</f>
        <v>3.9358647611059134E-3</v>
      </c>
      <c r="M2118" s="100">
        <f>IF(AND(SamplingData[[#This Row],[Total]]&lt;&gt; 0, NOT(ISBLANK(SamplingData[[#This Row],[Candidate 4]]))),(SamplingData[[#This Row],[Total]]+SamplingData[[#This Row],[Winning Candidate]]-SamplingData[[#This Row],[Candidate 4]])/(SamplingData[[#Totals],[Winning Candidate]]-SamplingData[[#Totals],[Candidate 4]]), 0)</f>
        <v>4.0047940600426791E-3</v>
      </c>
      <c r="N2118" s="100">
        <f>IF(AND(SamplingData[[#This Row],[Total]]&lt;&gt; 0, NOT(ISBLANK(SamplingData[[#This Row],[Candidate 5]]))),(SamplingData[[#This Row],[Total]]+SamplingData[[#This Row],[Winning Candidate]]-SamplingData[[#This Row],[Candidate 5]])/(SamplingData[[#Totals],[Winning Candidate]]-SamplingData[[#Totals],[Candidate 5]]), 0)</f>
        <v>3.3568474823643881E-3</v>
      </c>
      <c r="O2118" s="100">
        <f>IF(AND(SamplingData[[#This Row],[Total]]&lt;&gt; 0, NOT(ISBLANK(SamplingData[[#This Row],[Candidate 6]]))),(SamplingData[[#This Row],[Total]]+SamplingData[[#This Row],[Winning Candidate]]-SamplingData[[#This Row],[Candidate 6]])/(SamplingData[[#Totals],[Winning Candidate]]-SamplingData[[#Totals],[Candidate 6]]), 0)</f>
        <v>3.3558679052575263E-3</v>
      </c>
      <c r="P2118" s="100">
        <f>MAX(SamplingData[[#This Row],[Error Bound (up) - Max. possible relative overstatement - Losing Candidate]:[Error Bound (up) - Max. possible relative overstatement - Candidate 6]])</f>
        <v>6.798138167564919E-3</v>
      </c>
      <c r="Q2118" s="100">
        <f>IF(SamplingData[[#This Row],[Max Error Bound (up)]] = 0,0,SamplingData[[#This Row],[Max Error Bound (up)]]/SamplingData[[#Totals],[Max Error Bound (up)]])</f>
        <v>1.0759172589074873E-3</v>
      </c>
      <c r="R2118" s="101">
        <f>SUM($Q$5:Q2118)</f>
        <v>0.94662093383059842</v>
      </c>
      <c r="S2118" s="100" t="str">
        <f t="array" ref="S2118">IF(SamplingData[[#This Row],[up/U Selection Probability]] = 0, "Zero", TEXT(SamplingData[[#This Row],[Lower Range]], REPT("0",LEN('General Info'!$B$40))) &amp; " - " &amp; TEXT(SamplingData[[#This Row],[Upper Range]], REPT("0",LEN('General Info'!$B$40))))</f>
        <v>94555 - 94661</v>
      </c>
      <c r="T2118" s="100">
        <f>SamplingData[[#This Row],[Upper Range]]-SamplingData[[#This Row],[Span]]</f>
        <v>94554.502733086352</v>
      </c>
      <c r="U2118" s="100">
        <f>IF(ISNUMBER('General Info'!$B$40), ((SamplingData[[#This Row],[up/U Selection Probability]]) * 'General Info'!$B$40) - 1, 0)</f>
        <v>106.59064997348982</v>
      </c>
      <c r="V2118" s="100">
        <f>IF(ISNUMBER('General Info'!$B$40), (SamplingData[[#This Row],[Running (cumulative) sum]] * ('General Info'!$B$40 -'General Info'!$B$41 + 1)) + 'General Info'!$B$41 - 1, 0)</f>
        <v>94661.093383059837</v>
      </c>
      <c r="W2118" s="100" t="str">
        <f>IF(ISERROR(MATCH(SamplingData[[#This Row],[Batch by Type (p)]],SelectedPrecincts[Batch Name], 0)), "", INDEX(SelectedPrecincts[Draw], MATCH(SamplingData[[#This Row],[Batch by Type (p)]],SelectedPrecincts[Batch Name], 0)))</f>
        <v/>
      </c>
      <c r="X2118" s="102">
        <f>IF(COUNTIF(SelectedPrecincts[Batch Name],SamplingData[[#This Row],[Batch by Type (p)]]) &lt;&gt; 0, COUNTIF(SelectedPrecincts[Batch Name],SamplingData[[#This Row],[Batch by Type (p)]]), 0)</f>
        <v>0</v>
      </c>
    </row>
    <row r="2119" spans="1:24" ht="15" customHeight="1">
      <c r="A2119" s="18" t="s">
        <v>2295</v>
      </c>
      <c r="B2119" s="18">
        <v>32</v>
      </c>
      <c r="C2119" s="18">
        <v>50</v>
      </c>
      <c r="D2119" s="16">
        <v>13</v>
      </c>
      <c r="E2119" s="16">
        <v>12</v>
      </c>
      <c r="F2119" s="37">
        <v>0</v>
      </c>
      <c r="G2119" s="37">
        <v>0</v>
      </c>
      <c r="H2119" s="17">
        <v>0</v>
      </c>
      <c r="I2119" s="17">
        <v>1</v>
      </c>
      <c r="J2119" s="99">
        <f>SUM(SamplingData[[#This Row],[Losing Candidate]:[Under Votes]])</f>
        <v>108</v>
      </c>
      <c r="K2119" s="100">
        <f>IF(AND(SamplingData[[#This Row],[Total]]&lt;&gt; 0, NOT(ISBLANK(SamplingData[[#This Row],[Losing Candidate]]))),(SamplingData[[#This Row],[Total]]+SamplingData[[#This Row],[Winning Candidate]]-SamplingData[[#This Row],[Losing Candidate]])/(SamplingData[[#Totals],[Winning Candidate]]-SamplingData[[#Totals],[Losing Candidate]]), 0)</f>
        <v>7.7168054875061242E-3</v>
      </c>
      <c r="L2119" s="100">
        <f>IF(AND(SamplingData[[#This Row],[Total]]&lt;&gt; 0, NOT(ISBLANK(SamplingData[[#This Row],[Candidate 3]]))),(SamplingData[[#This Row],[Total]]+SamplingData[[#This Row],[Winning Candidate]]-SamplingData[[#This Row],[Candidate 3]])/(SamplingData[[#Totals],[Winning Candidate]]-SamplingData[[#Totals],[Candidate 3]]), 0)</f>
        <v>4.6778720521340779E-3</v>
      </c>
      <c r="M2119" s="100">
        <f>IF(AND(SamplingData[[#This Row],[Total]]&lt;&gt; 0, NOT(ISBLANK(SamplingData[[#This Row],[Candidate 4]]))),(SamplingData[[#This Row],[Total]]+SamplingData[[#This Row],[Winning Candidate]]-SamplingData[[#This Row],[Candidate 4]])/(SamplingData[[#Totals],[Winning Candidate]]-SamplingData[[#Totals],[Candidate 4]]), 0)</f>
        <v>4.2678827209213952E-3</v>
      </c>
      <c r="N2119" s="100">
        <f>IF(AND(SamplingData[[#This Row],[Total]]&lt;&gt; 0, NOT(ISBLANK(SamplingData[[#This Row],[Candidate 5]]))),(SamplingData[[#This Row],[Total]]+SamplingData[[#This Row],[Winning Candidate]]-SamplingData[[#This Row],[Candidate 5]])/(SamplingData[[#Totals],[Winning Candidate]]-SamplingData[[#Totals],[Candidate 5]]), 0)</f>
        <v>3.8433471174896621E-3</v>
      </c>
      <c r="O2119" s="100">
        <f>IF(AND(SamplingData[[#This Row],[Total]]&lt;&gt; 0, NOT(ISBLANK(SamplingData[[#This Row],[Candidate 6]]))),(SamplingData[[#This Row],[Total]]+SamplingData[[#This Row],[Winning Candidate]]-SamplingData[[#This Row],[Candidate 6]])/(SamplingData[[#Totals],[Winning Candidate]]-SamplingData[[#Totals],[Candidate 6]]), 0)</f>
        <v>3.8422255726861536E-3</v>
      </c>
      <c r="P2119" s="100">
        <f>MAX(SamplingData[[#This Row],[Error Bound (up) - Max. possible relative overstatement - Losing Candidate]:[Error Bound (up) - Max. possible relative overstatement - Candidate 6]])</f>
        <v>7.7168054875061242E-3</v>
      </c>
      <c r="Q2119" s="100">
        <f>IF(SamplingData[[#This Row],[Max Error Bound (up)]] = 0,0,SamplingData[[#This Row],[Max Error Bound (up)]]/SamplingData[[#Totals],[Max Error Bound (up)]])</f>
        <v>1.2213114830841748E-3</v>
      </c>
      <c r="R2119" s="101">
        <f>SUM($Q$5:Q2119)</f>
        <v>0.94784224531368255</v>
      </c>
      <c r="S2119" s="100" t="str">
        <f t="array" ref="S2119">IF(SamplingData[[#This Row],[up/U Selection Probability]] = 0, "Zero", TEXT(SamplingData[[#This Row],[Lower Range]], REPT("0",LEN('General Info'!$B$40))) &amp; " - " &amp; TEXT(SamplingData[[#This Row],[Upper Range]], REPT("0",LEN('General Info'!$B$40))))</f>
        <v>94662 - 94783</v>
      </c>
      <c r="T2119" s="100">
        <f>SamplingData[[#This Row],[Upper Range]]-SamplingData[[#This Row],[Span]]</f>
        <v>94662.094604371319</v>
      </c>
      <c r="U2119" s="100">
        <f>IF(ISNUMBER('General Info'!$B$40), ((SamplingData[[#This Row],[up/U Selection Probability]]) * 'General Info'!$B$40) - 1, 0)</f>
        <v>121.12992699693439</v>
      </c>
      <c r="V2119" s="100">
        <f>IF(ISNUMBER('General Info'!$B$40), (SamplingData[[#This Row],[Running (cumulative) sum]] * ('General Info'!$B$40 -'General Info'!$B$41 + 1)) + 'General Info'!$B$41 - 1, 0)</f>
        <v>94783.224531368251</v>
      </c>
      <c r="W2119" s="100" t="str">
        <f>IF(ISERROR(MATCH(SamplingData[[#This Row],[Batch by Type (p)]],SelectedPrecincts[Batch Name], 0)), "", INDEX(SelectedPrecincts[Draw], MATCH(SamplingData[[#This Row],[Batch by Type (p)]],SelectedPrecincts[Batch Name], 0)))</f>
        <v/>
      </c>
      <c r="X2119" s="102">
        <f>IF(COUNTIF(SelectedPrecincts[Batch Name],SamplingData[[#This Row],[Batch by Type (p)]]) &lt;&gt; 0, COUNTIF(SelectedPrecincts[Batch Name],SamplingData[[#This Row],[Batch by Type (p)]]), 0)</f>
        <v>0</v>
      </c>
    </row>
    <row r="2120" spans="1:24" ht="15" customHeight="1">
      <c r="A2120" s="18" t="s">
        <v>2296</v>
      </c>
      <c r="B2120" s="18">
        <v>7</v>
      </c>
      <c r="C2120" s="18">
        <v>19</v>
      </c>
      <c r="D2120" s="18">
        <v>6</v>
      </c>
      <c r="E2120" s="18">
        <v>2</v>
      </c>
      <c r="F2120" s="18">
        <v>0</v>
      </c>
      <c r="G2120" s="18">
        <v>0</v>
      </c>
      <c r="H2120" s="18">
        <v>0</v>
      </c>
      <c r="I2120" s="18">
        <v>0</v>
      </c>
      <c r="J2120" s="99">
        <f>SUM(SamplingData[[#This Row],[Losing Candidate]:[Under Votes]])</f>
        <v>34</v>
      </c>
      <c r="K2120" s="100">
        <f>IF(AND(SamplingData[[#This Row],[Total]]&lt;&gt; 0, NOT(ISBLANK(SamplingData[[#This Row],[Losing Candidate]]))),(SamplingData[[#This Row],[Total]]+SamplingData[[#This Row],[Winning Candidate]]-SamplingData[[#This Row],[Losing Candidate]])/(SamplingData[[#Totals],[Winning Candidate]]-SamplingData[[#Totals],[Losing Candidate]]), 0)</f>
        <v>2.8172464478196961E-3</v>
      </c>
      <c r="L2120" s="100">
        <f>IF(AND(SamplingData[[#This Row],[Total]]&lt;&gt; 0, NOT(ISBLANK(SamplingData[[#This Row],[Candidate 3]]))),(SamplingData[[#This Row],[Total]]+SamplingData[[#This Row],[Winning Candidate]]-SamplingData[[#This Row],[Candidate 3]])/(SamplingData[[#Totals],[Winning Candidate]]-SamplingData[[#Totals],[Candidate 3]]), 0)</f>
        <v>1.5162757686227699E-3</v>
      </c>
      <c r="M2120" s="100">
        <f>IF(AND(SamplingData[[#This Row],[Total]]&lt;&gt; 0, NOT(ISBLANK(SamplingData[[#This Row],[Candidate 4]]))),(SamplingData[[#This Row],[Total]]+SamplingData[[#This Row],[Winning Candidate]]-SamplingData[[#This Row],[Candidate 4]])/(SamplingData[[#Totals],[Winning Candidate]]-SamplingData[[#Totals],[Candidate 4]]), 0)</f>
        <v>1.4908357449793914E-3</v>
      </c>
      <c r="N2120" s="100">
        <f>IF(AND(SamplingData[[#This Row],[Total]]&lt;&gt; 0, NOT(ISBLANK(SamplingData[[#This Row],[Candidate 5]]))),(SamplingData[[#This Row],[Total]]+SamplingData[[#This Row],[Winning Candidate]]-SamplingData[[#This Row],[Candidate 5]])/(SamplingData[[#Totals],[Winning Candidate]]-SamplingData[[#Totals],[Candidate 5]]), 0)</f>
        <v>1.2892240330819751E-3</v>
      </c>
      <c r="O2120" s="100">
        <f>IF(AND(SamplingData[[#This Row],[Total]]&lt;&gt; 0, NOT(ISBLANK(SamplingData[[#This Row],[Candidate 6]]))),(SamplingData[[#This Row],[Total]]+SamplingData[[#This Row],[Winning Candidate]]-SamplingData[[#This Row],[Candidate 6]])/(SamplingData[[#Totals],[Winning Candidate]]-SamplingData[[#Totals],[Candidate 6]]), 0)</f>
        <v>1.2888478186858616E-3</v>
      </c>
      <c r="P2120" s="100">
        <f>MAX(SamplingData[[#This Row],[Error Bound (up) - Max. possible relative overstatement - Losing Candidate]:[Error Bound (up) - Max. possible relative overstatement - Candidate 6]])</f>
        <v>2.8172464478196961E-3</v>
      </c>
      <c r="Q2120" s="100">
        <f>IF(SamplingData[[#This Row],[Max Error Bound (up)]] = 0,0,SamplingData[[#This Row],[Max Error Bound (up)]]/SamplingData[[#Totals],[Max Error Bound (up)]])</f>
        <v>4.4587562080850821E-4</v>
      </c>
      <c r="R2120" s="101">
        <f>SUM($Q$5:Q2120)</f>
        <v>0.94828812093449111</v>
      </c>
      <c r="S2120" s="100" t="str">
        <f t="array" ref="S2120">IF(SamplingData[[#This Row],[up/U Selection Probability]] = 0, "Zero", TEXT(SamplingData[[#This Row],[Lower Range]], REPT("0",LEN('General Info'!$B$40))) &amp; " - " &amp; TEXT(SamplingData[[#This Row],[Upper Range]], REPT("0",LEN('General Info'!$B$40))))</f>
        <v>94784 - 94828</v>
      </c>
      <c r="T2120" s="100">
        <f>SamplingData[[#This Row],[Upper Range]]-SamplingData[[#This Row],[Span]]</f>
        <v>94784.224977243881</v>
      </c>
      <c r="U2120" s="100">
        <f>IF(ISNUMBER('General Info'!$B$40), ((SamplingData[[#This Row],[up/U Selection Probability]]) * 'General Info'!$B$40) - 1, 0)</f>
        <v>43.587116205230011</v>
      </c>
      <c r="V2120" s="100">
        <f>IF(ISNUMBER('General Info'!$B$40), (SamplingData[[#This Row],[Running (cumulative) sum]] * ('General Info'!$B$40 -'General Info'!$B$41 + 1)) + 'General Info'!$B$41 - 1, 0)</f>
        <v>94827.812093449116</v>
      </c>
      <c r="W2120" s="100" t="str">
        <f>IF(ISERROR(MATCH(SamplingData[[#This Row],[Batch by Type (p)]],SelectedPrecincts[Batch Name], 0)), "", INDEX(SelectedPrecincts[Draw], MATCH(SamplingData[[#This Row],[Batch by Type (p)]],SelectedPrecincts[Batch Name], 0)))</f>
        <v/>
      </c>
      <c r="X2120" s="102">
        <f>IF(COUNTIF(SelectedPrecincts[Batch Name],SamplingData[[#This Row],[Batch by Type (p)]]) &lt;&gt; 0, COUNTIF(SelectedPrecincts[Batch Name],SamplingData[[#This Row],[Batch by Type (p)]]), 0)</f>
        <v>0</v>
      </c>
    </row>
    <row r="2121" spans="1:24" ht="15" customHeight="1">
      <c r="A2121" s="18" t="s">
        <v>2297</v>
      </c>
      <c r="B2121" s="18">
        <v>40</v>
      </c>
      <c r="C2121" s="18">
        <v>108</v>
      </c>
      <c r="D2121" s="16">
        <v>12</v>
      </c>
      <c r="E2121" s="16">
        <v>18</v>
      </c>
      <c r="F2121" s="37">
        <v>0</v>
      </c>
      <c r="G2121" s="37">
        <v>0</v>
      </c>
      <c r="H2121" s="17">
        <v>0</v>
      </c>
      <c r="I2121" s="17">
        <v>1</v>
      </c>
      <c r="J2121" s="99">
        <f>SUM(SamplingData[[#This Row],[Losing Candidate]:[Under Votes]])</f>
        <v>179</v>
      </c>
      <c r="K2121" s="100">
        <f>IF(AND(SamplingData[[#This Row],[Total]]&lt;&gt; 0, NOT(ISBLANK(SamplingData[[#This Row],[Losing Candidate]]))),(SamplingData[[#This Row],[Total]]+SamplingData[[#This Row],[Winning Candidate]]-SamplingData[[#This Row],[Losing Candidate]])/(SamplingData[[#Totals],[Winning Candidate]]-SamplingData[[#Totals],[Losing Candidate]]), 0)</f>
        <v>1.5127388535031847E-2</v>
      </c>
      <c r="L2121" s="100">
        <f>IF(AND(SamplingData[[#This Row],[Total]]&lt;&gt; 0, NOT(ISBLANK(SamplingData[[#This Row],[Candidate 3]]))),(SamplingData[[#This Row],[Total]]+SamplingData[[#This Row],[Winning Candidate]]-SamplingData[[#This Row],[Candidate 3]])/(SamplingData[[#Totals],[Winning Candidate]]-SamplingData[[#Totals],[Candidate 3]]), 0)</f>
        <v>8.8718263057715255E-3</v>
      </c>
      <c r="M2121" s="100">
        <f>IF(AND(SamplingData[[#This Row],[Total]]&lt;&gt; 0, NOT(ISBLANK(SamplingData[[#This Row],[Candidate 4]]))),(SamplingData[[#This Row],[Total]]+SamplingData[[#This Row],[Winning Candidate]]-SamplingData[[#This Row],[Candidate 4]])/(SamplingData[[#Totals],[Winning Candidate]]-SamplingData[[#Totals],[Candidate 4]]), 0)</f>
        <v>7.8634277529305158E-3</v>
      </c>
      <c r="N2121" s="100">
        <f>IF(AND(SamplingData[[#This Row],[Total]]&lt;&gt; 0, NOT(ISBLANK(SamplingData[[#This Row],[Candidate 5]]))),(SamplingData[[#This Row],[Total]]+SamplingData[[#This Row],[Winning Candidate]]-SamplingData[[#This Row],[Candidate 5]])/(SamplingData[[#Totals],[Winning Candidate]]-SamplingData[[#Totals],[Candidate 5]]), 0)</f>
        <v>6.9812697640476767E-3</v>
      </c>
      <c r="O2121" s="100">
        <f>IF(AND(SamplingData[[#This Row],[Total]]&lt;&gt; 0, NOT(ISBLANK(SamplingData[[#This Row],[Candidate 6]]))),(SamplingData[[#This Row],[Total]]+SamplingData[[#This Row],[Winning Candidate]]-SamplingData[[#This Row],[Candidate 6]])/(SamplingData[[#Totals],[Winning Candidate]]-SamplingData[[#Totals],[Candidate 6]]), 0)</f>
        <v>6.9792325276007974E-3</v>
      </c>
      <c r="P2121" s="100">
        <f>MAX(SamplingData[[#This Row],[Error Bound (up) - Max. possible relative overstatement - Losing Candidate]:[Error Bound (up) - Max. possible relative overstatement - Candidate 6]])</f>
        <v>1.5127388535031847E-2</v>
      </c>
      <c r="Q2121" s="100">
        <f>IF(SamplingData[[#This Row],[Max Error Bound (up)]] = 0,0,SamplingData[[#This Row],[Max Error Bound (up)]]/SamplingData[[#Totals],[Max Error Bound (up)]])</f>
        <v>2.3941582247761204E-3</v>
      </c>
      <c r="R2121" s="101">
        <f>SUM($Q$5:Q2121)</f>
        <v>0.95068227915926717</v>
      </c>
      <c r="S2121" s="100" t="str">
        <f t="array" ref="S2121">IF(SamplingData[[#This Row],[up/U Selection Probability]] = 0, "Zero", TEXT(SamplingData[[#This Row],[Lower Range]], REPT("0",LEN('General Info'!$B$40))) &amp; " - " &amp; TEXT(SamplingData[[#This Row],[Upper Range]], REPT("0",LEN('General Info'!$B$40))))</f>
        <v>94829 - 95067</v>
      </c>
      <c r="T2121" s="100">
        <f>SamplingData[[#This Row],[Upper Range]]-SamplingData[[#This Row],[Span]]</f>
        <v>94828.814487607335</v>
      </c>
      <c r="U2121" s="100">
        <f>IF(ISNUMBER('General Info'!$B$40), ((SamplingData[[#This Row],[up/U Selection Probability]]) * 'General Info'!$B$40) - 1, 0)</f>
        <v>238.41342831938726</v>
      </c>
      <c r="V2121" s="100">
        <f>IF(ISNUMBER('General Info'!$B$40), (SamplingData[[#This Row],[Running (cumulative) sum]] * ('General Info'!$B$40 -'General Info'!$B$41 + 1)) + 'General Info'!$B$41 - 1, 0)</f>
        <v>95067.22791592672</v>
      </c>
      <c r="W2121" s="100" t="str">
        <f>IF(ISERROR(MATCH(SamplingData[[#This Row],[Batch by Type (p)]],SelectedPrecincts[Batch Name], 0)), "", INDEX(SelectedPrecincts[Draw], MATCH(SamplingData[[#This Row],[Batch by Type (p)]],SelectedPrecincts[Batch Name], 0)))</f>
        <v/>
      </c>
      <c r="X2121" s="102">
        <f>IF(COUNTIF(SelectedPrecincts[Batch Name],SamplingData[[#This Row],[Batch by Type (p)]]) &lt;&gt; 0, COUNTIF(SelectedPrecincts[Batch Name],SamplingData[[#This Row],[Batch by Type (p)]]), 0)</f>
        <v>0</v>
      </c>
    </row>
    <row r="2122" spans="1:24" ht="15" customHeight="1">
      <c r="A2122" s="18" t="s">
        <v>2298</v>
      </c>
      <c r="B2122" s="18">
        <v>34</v>
      </c>
      <c r="C2122" s="18">
        <v>54</v>
      </c>
      <c r="D2122" s="18">
        <v>14</v>
      </c>
      <c r="E2122" s="18">
        <v>2</v>
      </c>
      <c r="F2122" s="18">
        <v>0</v>
      </c>
      <c r="G2122" s="18">
        <v>1</v>
      </c>
      <c r="H2122" s="18">
        <v>0</v>
      </c>
      <c r="I2122" s="18">
        <v>2</v>
      </c>
      <c r="J2122" s="99">
        <f>SUM(SamplingData[[#This Row],[Losing Candidate]:[Under Votes]])</f>
        <v>107</v>
      </c>
      <c r="K2122" s="100">
        <f>IF(AND(SamplingData[[#This Row],[Total]]&lt;&gt; 0, NOT(ISBLANK(SamplingData[[#This Row],[Losing Candidate]]))),(SamplingData[[#This Row],[Total]]+SamplingData[[#This Row],[Winning Candidate]]-SamplingData[[#This Row],[Losing Candidate]])/(SamplingData[[#Totals],[Winning Candidate]]-SamplingData[[#Totals],[Losing Candidate]]), 0)</f>
        <v>7.7780499755022046E-3</v>
      </c>
      <c r="L2122" s="100">
        <f>IF(AND(SamplingData[[#This Row],[Total]]&lt;&gt; 0, NOT(ISBLANK(SamplingData[[#This Row],[Candidate 3]]))),(SamplingData[[#This Row],[Total]]+SamplingData[[#This Row],[Winning Candidate]]-SamplingData[[#This Row],[Candidate 3]])/(SamplingData[[#Totals],[Winning Candidate]]-SamplingData[[#Totals],[Candidate 3]]), 0)</f>
        <v>4.742394425266961E-3</v>
      </c>
      <c r="M2122" s="100">
        <f>IF(AND(SamplingData[[#This Row],[Total]]&lt;&gt; 0, NOT(ISBLANK(SamplingData[[#This Row],[Candidate 4]]))),(SamplingData[[#This Row],[Total]]+SamplingData[[#This Row],[Winning Candidate]]-SamplingData[[#This Row],[Candidate 4]])/(SamplingData[[#Totals],[Winning Candidate]]-SamplingData[[#Totals],[Candidate 4]]), 0)</f>
        <v>4.6478996755239853E-3</v>
      </c>
      <c r="N2122" s="100">
        <f>IF(AND(SamplingData[[#This Row],[Total]]&lt;&gt; 0, NOT(ISBLANK(SamplingData[[#This Row],[Candidate 5]]))),(SamplingData[[#This Row],[Total]]+SamplingData[[#This Row],[Winning Candidate]]-SamplingData[[#This Row],[Candidate 5]])/(SamplingData[[#Totals],[Winning Candidate]]-SamplingData[[#Totals],[Candidate 5]]), 0)</f>
        <v>3.9163220627584528E-3</v>
      </c>
      <c r="O2122" s="100">
        <f>IF(AND(SamplingData[[#This Row],[Total]]&lt;&gt; 0, NOT(ISBLANK(SamplingData[[#This Row],[Candidate 6]]))),(SamplingData[[#This Row],[Total]]+SamplingData[[#This Row],[Winning Candidate]]-SamplingData[[#This Row],[Candidate 6]])/(SamplingData[[#Totals],[Winning Candidate]]-SamplingData[[#Totals],[Candidate 6]]), 0)</f>
        <v>3.8908613394290159E-3</v>
      </c>
      <c r="P2122" s="100">
        <f>MAX(SamplingData[[#This Row],[Error Bound (up) - Max. possible relative overstatement - Losing Candidate]:[Error Bound (up) - Max. possible relative overstatement - Candidate 6]])</f>
        <v>7.7780499755022046E-3</v>
      </c>
      <c r="Q2122" s="100">
        <f>IF(SamplingData[[#This Row],[Max Error Bound (up)]] = 0,0,SamplingData[[#This Row],[Max Error Bound (up)]]/SamplingData[[#Totals],[Max Error Bound (up)]])</f>
        <v>1.2310044313626205E-3</v>
      </c>
      <c r="R2122" s="101">
        <f>SUM($Q$5:Q2122)</f>
        <v>0.95191328359062977</v>
      </c>
      <c r="S2122" s="100" t="str">
        <f t="array" ref="S2122">IF(SamplingData[[#This Row],[up/U Selection Probability]] = 0, "Zero", TEXT(SamplingData[[#This Row],[Lower Range]], REPT("0",LEN('General Info'!$B$40))) &amp; " - " &amp; TEXT(SamplingData[[#This Row],[Upper Range]], REPT("0",LEN('General Info'!$B$40))))</f>
        <v>95068 - 95190</v>
      </c>
      <c r="T2122" s="100">
        <f>SamplingData[[#This Row],[Upper Range]]-SamplingData[[#This Row],[Span]]</f>
        <v>95068.229146931146</v>
      </c>
      <c r="U2122" s="100">
        <f>IF(ISNUMBER('General Info'!$B$40), ((SamplingData[[#This Row],[up/U Selection Probability]]) * 'General Info'!$B$40) - 1, 0)</f>
        <v>122.09921213183068</v>
      </c>
      <c r="V2122" s="100">
        <f>IF(ISNUMBER('General Info'!$B$40), (SamplingData[[#This Row],[Running (cumulative) sum]] * ('General Info'!$B$40 -'General Info'!$B$41 + 1)) + 'General Info'!$B$41 - 1, 0)</f>
        <v>95190.328359062973</v>
      </c>
      <c r="W2122" s="100" t="str">
        <f>IF(ISERROR(MATCH(SamplingData[[#This Row],[Batch by Type (p)]],SelectedPrecincts[Batch Name], 0)), "", INDEX(SelectedPrecincts[Draw], MATCH(SamplingData[[#This Row],[Batch by Type (p)]],SelectedPrecincts[Batch Name], 0)))</f>
        <v/>
      </c>
      <c r="X2122" s="102">
        <f>IF(COUNTIF(SelectedPrecincts[Batch Name],SamplingData[[#This Row],[Batch by Type (p)]]) &lt;&gt; 0, COUNTIF(SelectedPrecincts[Batch Name],SamplingData[[#This Row],[Batch by Type (p)]]), 0)</f>
        <v>0</v>
      </c>
    </row>
    <row r="2123" spans="1:24" ht="15" customHeight="1">
      <c r="A2123" s="18" t="s">
        <v>2299</v>
      </c>
      <c r="B2123" s="18">
        <v>36</v>
      </c>
      <c r="C2123" s="18">
        <v>49</v>
      </c>
      <c r="D2123" s="16">
        <v>14</v>
      </c>
      <c r="E2123" s="16">
        <v>9</v>
      </c>
      <c r="F2123" s="37">
        <v>0</v>
      </c>
      <c r="G2123" s="37">
        <v>0</v>
      </c>
      <c r="H2123" s="17">
        <v>0</v>
      </c>
      <c r="I2123" s="17">
        <v>2</v>
      </c>
      <c r="J2123" s="99">
        <f>SUM(SamplingData[[#This Row],[Losing Candidate]:[Under Votes]])</f>
        <v>110</v>
      </c>
      <c r="K2123" s="100">
        <f>IF(AND(SamplingData[[#This Row],[Total]]&lt;&gt; 0, NOT(ISBLANK(SamplingData[[#This Row],[Losing Candidate]]))),(SamplingData[[#This Row],[Total]]+SamplingData[[#This Row],[Winning Candidate]]-SamplingData[[#This Row],[Losing Candidate]])/(SamplingData[[#Totals],[Winning Candidate]]-SamplingData[[#Totals],[Losing Candidate]]), 0)</f>
        <v>7.533072023517883E-3</v>
      </c>
      <c r="L2123" s="100">
        <f>IF(AND(SamplingData[[#This Row],[Total]]&lt;&gt; 0, NOT(ISBLANK(SamplingData[[#This Row],[Candidate 3]]))),(SamplingData[[#This Row],[Total]]+SamplingData[[#This Row],[Winning Candidate]]-SamplingData[[#This Row],[Candidate 3]])/(SamplingData[[#Totals],[Winning Candidate]]-SamplingData[[#Totals],[Candidate 3]]), 0)</f>
        <v>4.6778720521340779E-3</v>
      </c>
      <c r="M2123" s="100">
        <f>IF(AND(SamplingData[[#This Row],[Total]]&lt;&gt; 0, NOT(ISBLANK(SamplingData[[#This Row],[Candidate 4]]))),(SamplingData[[#This Row],[Total]]+SamplingData[[#This Row],[Winning Candidate]]-SamplingData[[#This Row],[Candidate 4]])/(SamplingData[[#Totals],[Winning Candidate]]-SamplingData[[#Totals],[Candidate 4]]), 0)</f>
        <v>4.3848110146452691E-3</v>
      </c>
      <c r="N2123" s="100">
        <f>IF(AND(SamplingData[[#This Row],[Total]]&lt;&gt; 0, NOT(ISBLANK(SamplingData[[#This Row],[Candidate 5]]))),(SamplingData[[#This Row],[Total]]+SamplingData[[#This Row],[Winning Candidate]]-SamplingData[[#This Row],[Candidate 5]])/(SamplingData[[#Totals],[Winning Candidate]]-SamplingData[[#Totals],[Candidate 5]]), 0)</f>
        <v>3.8676720992459257E-3</v>
      </c>
      <c r="O2123" s="100">
        <f>IF(AND(SamplingData[[#This Row],[Total]]&lt;&gt; 0, NOT(ISBLANK(SamplingData[[#This Row],[Candidate 6]]))),(SamplingData[[#This Row],[Total]]+SamplingData[[#This Row],[Winning Candidate]]-SamplingData[[#This Row],[Candidate 6]])/(SamplingData[[#Totals],[Winning Candidate]]-SamplingData[[#Totals],[Candidate 6]]), 0)</f>
        <v>3.8665434560575846E-3</v>
      </c>
      <c r="P2123" s="100">
        <f>MAX(SamplingData[[#This Row],[Error Bound (up) - Max. possible relative overstatement - Losing Candidate]:[Error Bound (up) - Max. possible relative overstatement - Candidate 6]])</f>
        <v>7.533072023517883E-3</v>
      </c>
      <c r="Q2123" s="100">
        <f>IF(SamplingData[[#This Row],[Max Error Bound (up)]] = 0,0,SamplingData[[#This Row],[Max Error Bound (up)]]/SamplingData[[#Totals],[Max Error Bound (up)]])</f>
        <v>1.1922326382488371E-3</v>
      </c>
      <c r="R2123" s="101">
        <f>SUM($Q$5:Q2123)</f>
        <v>0.95310551622887862</v>
      </c>
      <c r="S2123" s="100" t="str">
        <f t="array" ref="S2123">IF(SamplingData[[#This Row],[up/U Selection Probability]] = 0, "Zero", TEXT(SamplingData[[#This Row],[Lower Range]], REPT("0",LEN('General Info'!$B$40))) &amp; " - " &amp; TEXT(SamplingData[[#This Row],[Upper Range]], REPT("0",LEN('General Info'!$B$40))))</f>
        <v>95191 - 95310</v>
      </c>
      <c r="T2123" s="100">
        <f>SamplingData[[#This Row],[Upper Range]]-SamplingData[[#This Row],[Span]]</f>
        <v>95191.329551295625</v>
      </c>
      <c r="U2123" s="100">
        <f>IF(ISNUMBER('General Info'!$B$40), ((SamplingData[[#This Row],[up/U Selection Probability]]) * 'General Info'!$B$40) - 1, 0)</f>
        <v>118.22207159224547</v>
      </c>
      <c r="V2123" s="100">
        <f>IF(ISNUMBER('General Info'!$B$40), (SamplingData[[#This Row],[Running (cumulative) sum]] * ('General Info'!$B$40 -'General Info'!$B$41 + 1)) + 'General Info'!$B$41 - 1, 0)</f>
        <v>95309.55162288787</v>
      </c>
      <c r="W2123" s="100" t="str">
        <f>IF(ISERROR(MATCH(SamplingData[[#This Row],[Batch by Type (p)]],SelectedPrecincts[Batch Name], 0)), "", INDEX(SelectedPrecincts[Draw], MATCH(SamplingData[[#This Row],[Batch by Type (p)]],SelectedPrecincts[Batch Name], 0)))</f>
        <v/>
      </c>
      <c r="X2123" s="102">
        <f>IF(COUNTIF(SelectedPrecincts[Batch Name],SamplingData[[#This Row],[Batch by Type (p)]]) &lt;&gt; 0, COUNTIF(SelectedPrecincts[Batch Name],SamplingData[[#This Row],[Batch by Type (p)]]), 0)</f>
        <v>0</v>
      </c>
    </row>
    <row r="2124" spans="1:24" ht="15" customHeight="1">
      <c r="A2124" s="18" t="s">
        <v>2300</v>
      </c>
      <c r="B2124" s="18">
        <v>18</v>
      </c>
      <c r="C2124" s="18">
        <v>43</v>
      </c>
      <c r="D2124" s="18">
        <v>6</v>
      </c>
      <c r="E2124" s="18">
        <v>1</v>
      </c>
      <c r="F2124" s="18">
        <v>0</v>
      </c>
      <c r="G2124" s="18">
        <v>0</v>
      </c>
      <c r="H2124" s="18">
        <v>0</v>
      </c>
      <c r="I2124" s="18">
        <v>0</v>
      </c>
      <c r="J2124" s="99">
        <f>SUM(SamplingData[[#This Row],[Losing Candidate]:[Under Votes]])</f>
        <v>68</v>
      </c>
      <c r="K2124" s="100">
        <f>IF(AND(SamplingData[[#This Row],[Total]]&lt;&gt; 0, NOT(ISBLANK(SamplingData[[#This Row],[Losing Candidate]]))),(SamplingData[[#This Row],[Total]]+SamplingData[[#This Row],[Winning Candidate]]-SamplingData[[#This Row],[Losing Candidate]])/(SamplingData[[#Totals],[Winning Candidate]]-SamplingData[[#Totals],[Losing Candidate]]), 0)</f>
        <v>5.6957373836354725E-3</v>
      </c>
      <c r="L2124" s="100">
        <f>IF(AND(SamplingData[[#This Row],[Total]]&lt;&gt; 0, NOT(ISBLANK(SamplingData[[#This Row],[Candidate 3]]))),(SamplingData[[#This Row],[Total]]+SamplingData[[#This Row],[Winning Candidate]]-SamplingData[[#This Row],[Candidate 3]])/(SamplingData[[#Totals],[Winning Candidate]]-SamplingData[[#Totals],[Candidate 3]]), 0)</f>
        <v>3.3874245894764008E-3</v>
      </c>
      <c r="M2124" s="100">
        <f>IF(AND(SamplingData[[#This Row],[Total]]&lt;&gt; 0, NOT(ISBLANK(SamplingData[[#This Row],[Candidate 4]]))),(SamplingData[[#This Row],[Total]]+SamplingData[[#This Row],[Winning Candidate]]-SamplingData[[#This Row],[Candidate 4]])/(SamplingData[[#Totals],[Winning Candidate]]-SamplingData[[#Totals],[Candidate 4]]), 0)</f>
        <v>3.2155280774065305E-3</v>
      </c>
      <c r="N2124" s="100">
        <f>IF(AND(SamplingData[[#This Row],[Total]]&lt;&gt; 0, NOT(ISBLANK(SamplingData[[#This Row],[Candidate 5]]))),(SamplingData[[#This Row],[Total]]+SamplingData[[#This Row],[Winning Candidate]]-SamplingData[[#This Row],[Candidate 5]])/(SamplingData[[#Totals],[Winning Candidate]]-SamplingData[[#Totals],[Candidate 5]]), 0)</f>
        <v>2.7000729749452686E-3</v>
      </c>
      <c r="O2124" s="100">
        <f>IF(AND(SamplingData[[#This Row],[Total]]&lt;&gt; 0, NOT(ISBLANK(SamplingData[[#This Row],[Candidate 6]]))),(SamplingData[[#This Row],[Total]]+SamplingData[[#This Row],[Winning Candidate]]-SamplingData[[#This Row],[Candidate 6]])/(SamplingData[[#Totals],[Winning Candidate]]-SamplingData[[#Totals],[Candidate 6]]), 0)</f>
        <v>2.6992850542288801E-3</v>
      </c>
      <c r="P2124" s="100">
        <f>MAX(SamplingData[[#This Row],[Error Bound (up) - Max. possible relative overstatement - Losing Candidate]:[Error Bound (up) - Max. possible relative overstatement - Candidate 6]])</f>
        <v>5.6957373836354725E-3</v>
      </c>
      <c r="Q2124" s="100">
        <f>IF(SamplingData[[#This Row],[Max Error Bound (up)]] = 0,0,SamplingData[[#This Row],[Max Error Bound (up)]]/SamplingData[[#Totals],[Max Error Bound (up)]])</f>
        <v>9.0144418989546225E-4</v>
      </c>
      <c r="R2124" s="101">
        <f>SUM($Q$5:Q2124)</f>
        <v>0.95400696041877409</v>
      </c>
      <c r="S2124" s="100" t="str">
        <f t="array" ref="S2124">IF(SamplingData[[#This Row],[up/U Selection Probability]] = 0, "Zero", TEXT(SamplingData[[#This Row],[Lower Range]], REPT("0",LEN('General Info'!$B$40))) &amp; " - " &amp; TEXT(SamplingData[[#This Row],[Upper Range]], REPT("0",LEN('General Info'!$B$40))))</f>
        <v>95311 - 95400</v>
      </c>
      <c r="T2124" s="100">
        <f>SamplingData[[#This Row],[Upper Range]]-SamplingData[[#This Row],[Span]]</f>
        <v>95310.552524332059</v>
      </c>
      <c r="U2124" s="100">
        <f>IF(ISNUMBER('General Info'!$B$40), ((SamplingData[[#This Row],[up/U Selection Probability]]) * 'General Info'!$B$40) - 1, 0)</f>
        <v>89.143517545356332</v>
      </c>
      <c r="V2124" s="100">
        <f>IF(ISNUMBER('General Info'!$B$40), (SamplingData[[#This Row],[Running (cumulative) sum]] * ('General Info'!$B$40 -'General Info'!$B$41 + 1)) + 'General Info'!$B$41 - 1, 0)</f>
        <v>95399.696041877411</v>
      </c>
      <c r="W2124" s="100" t="str">
        <f>IF(ISERROR(MATCH(SamplingData[[#This Row],[Batch by Type (p)]],SelectedPrecincts[Batch Name], 0)), "", INDEX(SelectedPrecincts[Draw], MATCH(SamplingData[[#This Row],[Batch by Type (p)]],SelectedPrecincts[Batch Name], 0)))</f>
        <v/>
      </c>
      <c r="X2124" s="102">
        <f>IF(COUNTIF(SelectedPrecincts[Batch Name],SamplingData[[#This Row],[Batch by Type (p)]]) &lt;&gt; 0, COUNTIF(SelectedPrecincts[Batch Name],SamplingData[[#This Row],[Batch by Type (p)]]), 0)</f>
        <v>0</v>
      </c>
    </row>
    <row r="2125" spans="1:24" ht="15" customHeight="1">
      <c r="A2125" s="18" t="s">
        <v>2301</v>
      </c>
      <c r="B2125" s="18">
        <v>31</v>
      </c>
      <c r="C2125" s="18">
        <v>78</v>
      </c>
      <c r="D2125" s="16">
        <v>13</v>
      </c>
      <c r="E2125" s="16">
        <v>5</v>
      </c>
      <c r="F2125" s="37">
        <v>0</v>
      </c>
      <c r="G2125" s="37">
        <v>0</v>
      </c>
      <c r="H2125" s="17">
        <v>0</v>
      </c>
      <c r="I2125" s="17">
        <v>1</v>
      </c>
      <c r="J2125" s="99">
        <f>SUM(SamplingData[[#This Row],[Losing Candidate]:[Under Votes]])</f>
        <v>128</v>
      </c>
      <c r="K2125" s="100">
        <f>IF(AND(SamplingData[[#This Row],[Total]]&lt;&gt; 0, NOT(ISBLANK(SamplingData[[#This Row],[Losing Candidate]]))),(SamplingData[[#This Row],[Total]]+SamplingData[[#This Row],[Winning Candidate]]-SamplingData[[#This Row],[Losing Candidate]])/(SamplingData[[#Totals],[Winning Candidate]]-SamplingData[[#Totals],[Losing Candidate]]), 0)</f>
        <v>1.0717785399314061E-2</v>
      </c>
      <c r="L2125" s="100">
        <f>IF(AND(SamplingData[[#This Row],[Total]]&lt;&gt; 0, NOT(ISBLANK(SamplingData[[#This Row],[Candidate 3]]))),(SamplingData[[#This Row],[Total]]+SamplingData[[#This Row],[Winning Candidate]]-SamplingData[[#This Row],[Candidate 3]])/(SamplingData[[#Totals],[Winning Candidate]]-SamplingData[[#Totals],[Candidate 3]]), 0)</f>
        <v>6.2264090073232891E-3</v>
      </c>
      <c r="M2125" s="100">
        <f>IF(AND(SamplingData[[#This Row],[Total]]&lt;&gt; 0, NOT(ISBLANK(SamplingData[[#This Row],[Candidate 4]]))),(SamplingData[[#This Row],[Total]]+SamplingData[[#This Row],[Winning Candidate]]-SamplingData[[#This Row],[Candidate 4]])/(SamplingData[[#Totals],[Winning Candidate]]-SamplingData[[#Totals],[Candidate 4]]), 0)</f>
        <v>5.87564675962466E-3</v>
      </c>
      <c r="N2125" s="100">
        <f>IF(AND(SamplingData[[#This Row],[Total]]&lt;&gt; 0, NOT(ISBLANK(SamplingData[[#This Row],[Candidate 5]]))),(SamplingData[[#This Row],[Total]]+SamplingData[[#This Row],[Winning Candidate]]-SamplingData[[#This Row],[Candidate 5]])/(SamplingData[[#Totals],[Winning Candidate]]-SamplingData[[#Totals],[Candidate 5]]), 0)</f>
        <v>5.0109462417903183E-3</v>
      </c>
      <c r="O2125" s="100">
        <f>IF(AND(SamplingData[[#This Row],[Total]]&lt;&gt; 0, NOT(ISBLANK(SamplingData[[#This Row],[Candidate 6]]))),(SamplingData[[#This Row],[Total]]+SamplingData[[#This Row],[Winning Candidate]]-SamplingData[[#This Row],[Candidate 6]])/(SamplingData[[#Totals],[Winning Candidate]]-SamplingData[[#Totals],[Candidate 6]]), 0)</f>
        <v>5.009483974514858E-3</v>
      </c>
      <c r="P2125" s="100">
        <f>MAX(SamplingData[[#This Row],[Error Bound (up) - Max. possible relative overstatement - Losing Candidate]:[Error Bound (up) - Max. possible relative overstatement - Candidate 6]])</f>
        <v>1.0717785399314061E-2</v>
      </c>
      <c r="Q2125" s="100">
        <f>IF(SamplingData[[#This Row],[Max Error Bound (up)]] = 0,0,SamplingData[[#This Row],[Max Error Bound (up)]]/SamplingData[[#Totals],[Max Error Bound (up)]])</f>
        <v>1.6962659487280206E-3</v>
      </c>
      <c r="R2125" s="101">
        <f>SUM($Q$5:Q2125)</f>
        <v>0.95570322636750216</v>
      </c>
      <c r="S2125" s="100" t="str">
        <f t="array" ref="S2125">IF(SamplingData[[#This Row],[up/U Selection Probability]] = 0, "Zero", TEXT(SamplingData[[#This Row],[Lower Range]], REPT("0",LEN('General Info'!$B$40))) &amp; " - " &amp; TEXT(SamplingData[[#This Row],[Upper Range]], REPT("0",LEN('General Info'!$B$40))))</f>
        <v>95401 - 95569</v>
      </c>
      <c r="T2125" s="100">
        <f>SamplingData[[#This Row],[Upper Range]]-SamplingData[[#This Row],[Span]]</f>
        <v>95400.697738143368</v>
      </c>
      <c r="U2125" s="100">
        <f>IF(ISNUMBER('General Info'!$B$40), ((SamplingData[[#This Row],[up/U Selection Probability]]) * 'General Info'!$B$40) - 1, 0)</f>
        <v>168.62489860685332</v>
      </c>
      <c r="V2125" s="100">
        <f>IF(ISNUMBER('General Info'!$B$40), (SamplingData[[#This Row],[Running (cumulative) sum]] * ('General Info'!$B$40 -'General Info'!$B$41 + 1)) + 'General Info'!$B$41 - 1, 0)</f>
        <v>95569.322636750221</v>
      </c>
      <c r="W2125" s="100" t="str">
        <f>IF(ISERROR(MATCH(SamplingData[[#This Row],[Batch by Type (p)]],SelectedPrecincts[Batch Name], 0)), "", INDEX(SelectedPrecincts[Draw], MATCH(SamplingData[[#This Row],[Batch by Type (p)]],SelectedPrecincts[Batch Name], 0)))</f>
        <v/>
      </c>
      <c r="X2125" s="102">
        <f>IF(COUNTIF(SelectedPrecincts[Batch Name],SamplingData[[#This Row],[Batch by Type (p)]]) &lt;&gt; 0, COUNTIF(SelectedPrecincts[Batch Name],SamplingData[[#This Row],[Batch by Type (p)]]), 0)</f>
        <v>0</v>
      </c>
    </row>
    <row r="2126" spans="1:24" ht="15" customHeight="1">
      <c r="A2126" s="18" t="s">
        <v>2302</v>
      </c>
      <c r="B2126" s="18">
        <v>18</v>
      </c>
      <c r="C2126" s="18">
        <v>47</v>
      </c>
      <c r="D2126" s="18">
        <v>9</v>
      </c>
      <c r="E2126" s="18">
        <v>4</v>
      </c>
      <c r="F2126" s="18">
        <v>1</v>
      </c>
      <c r="G2126" s="18">
        <v>0</v>
      </c>
      <c r="H2126" s="18">
        <v>0</v>
      </c>
      <c r="I2126" s="18">
        <v>0</v>
      </c>
      <c r="J2126" s="99">
        <f>SUM(SamplingData[[#This Row],[Losing Candidate]:[Under Votes]])</f>
        <v>79</v>
      </c>
      <c r="K2126" s="100">
        <f>IF(AND(SamplingData[[#This Row],[Total]]&lt;&gt; 0, NOT(ISBLANK(SamplingData[[#This Row],[Losing Candidate]]))),(SamplingData[[#This Row],[Total]]+SamplingData[[#This Row],[Winning Candidate]]-SamplingData[[#This Row],[Losing Candidate]])/(SamplingData[[#Totals],[Winning Candidate]]-SamplingData[[#Totals],[Losing Candidate]]), 0)</f>
        <v>6.6144047035766778E-3</v>
      </c>
      <c r="L2126" s="100">
        <f>IF(AND(SamplingData[[#This Row],[Total]]&lt;&gt; 0, NOT(ISBLANK(SamplingData[[#This Row],[Candidate 3]]))),(SamplingData[[#This Row],[Total]]+SamplingData[[#This Row],[Winning Candidate]]-SamplingData[[#This Row],[Candidate 3]])/(SamplingData[[#Totals],[Winning Candidate]]-SamplingData[[#Totals],[Candidate 3]]), 0)</f>
        <v>3.7745588282737039E-3</v>
      </c>
      <c r="M2126" s="100">
        <f>IF(AND(SamplingData[[#This Row],[Total]]&lt;&gt; 0, NOT(ISBLANK(SamplingData[[#This Row],[Candidate 4]]))),(SamplingData[[#This Row],[Total]]+SamplingData[[#This Row],[Winning Candidate]]-SamplingData[[#This Row],[Candidate 4]])/(SamplingData[[#Totals],[Winning Candidate]]-SamplingData[[#Totals],[Candidate 4]]), 0)</f>
        <v>3.5663129585781521E-3</v>
      </c>
      <c r="N2126" s="100">
        <f>IF(AND(SamplingData[[#This Row],[Total]]&lt;&gt; 0, NOT(ISBLANK(SamplingData[[#This Row],[Candidate 5]]))),(SamplingData[[#This Row],[Total]]+SamplingData[[#This Row],[Winning Candidate]]-SamplingData[[#This Row],[Candidate 5]])/(SamplingData[[#Totals],[Winning Candidate]]-SamplingData[[#Totals],[Candidate 5]]), 0)</f>
        <v>3.0406227195329603E-3</v>
      </c>
      <c r="O2126" s="100">
        <f>IF(AND(SamplingData[[#This Row],[Total]]&lt;&gt; 0, NOT(ISBLANK(SamplingData[[#This Row],[Candidate 6]]))),(SamplingData[[#This Row],[Total]]+SamplingData[[#This Row],[Winning Candidate]]-SamplingData[[#This Row],[Candidate 6]])/(SamplingData[[#Totals],[Winning Candidate]]-SamplingData[[#Totals],[Candidate 6]]), 0)</f>
        <v>3.0640533048003501E-3</v>
      </c>
      <c r="P2126" s="100">
        <f>MAX(SamplingData[[#This Row],[Error Bound (up) - Max. possible relative overstatement - Losing Candidate]:[Error Bound (up) - Max. possible relative overstatement - Candidate 6]])</f>
        <v>6.6144047035766778E-3</v>
      </c>
      <c r="Q2126" s="100">
        <f>IF(SamplingData[[#This Row],[Max Error Bound (up)]] = 0,0,SamplingData[[#This Row],[Max Error Bound (up)]]/SamplingData[[#Totals],[Max Error Bound (up)]])</f>
        <v>1.0468384140721499E-3</v>
      </c>
      <c r="R2126" s="101">
        <f>SUM($Q$5:Q2126)</f>
        <v>0.95675006478157432</v>
      </c>
      <c r="S2126" s="100" t="str">
        <f t="array" ref="S2126">IF(SamplingData[[#This Row],[up/U Selection Probability]] = 0, "Zero", TEXT(SamplingData[[#This Row],[Lower Range]], REPT("0",LEN('General Info'!$B$40))) &amp; " - " &amp; TEXT(SamplingData[[#This Row],[Upper Range]], REPT("0",LEN('General Info'!$B$40))))</f>
        <v>95570 - 95674</v>
      </c>
      <c r="T2126" s="100">
        <f>SamplingData[[#This Row],[Upper Range]]-SamplingData[[#This Row],[Span]]</f>
        <v>95570.323683588635</v>
      </c>
      <c r="U2126" s="100">
        <f>IF(ISNUMBER('General Info'!$B$40), ((SamplingData[[#This Row],[up/U Selection Probability]]) * 'General Info'!$B$40) - 1, 0)</f>
        <v>103.68279456880092</v>
      </c>
      <c r="V2126" s="100">
        <f>IF(ISNUMBER('General Info'!$B$40), (SamplingData[[#This Row],[Running (cumulative) sum]] * ('General Info'!$B$40 -'General Info'!$B$41 + 1)) + 'General Info'!$B$41 - 1, 0)</f>
        <v>95674.006478157433</v>
      </c>
      <c r="W2126" s="100" t="str">
        <f>IF(ISERROR(MATCH(SamplingData[[#This Row],[Batch by Type (p)]],SelectedPrecincts[Batch Name], 0)), "", INDEX(SelectedPrecincts[Draw], MATCH(SamplingData[[#This Row],[Batch by Type (p)]],SelectedPrecincts[Batch Name], 0)))</f>
        <v/>
      </c>
      <c r="X2126" s="102">
        <f>IF(COUNTIF(SelectedPrecincts[Batch Name],SamplingData[[#This Row],[Batch by Type (p)]]) &lt;&gt; 0, COUNTIF(SelectedPrecincts[Batch Name],SamplingData[[#This Row],[Batch by Type (p)]]), 0)</f>
        <v>0</v>
      </c>
    </row>
    <row r="2127" spans="1:24" ht="15" customHeight="1">
      <c r="A2127" s="18" t="s">
        <v>2303</v>
      </c>
      <c r="B2127" s="18">
        <v>33</v>
      </c>
      <c r="C2127" s="18">
        <v>73</v>
      </c>
      <c r="D2127" s="16">
        <v>22</v>
      </c>
      <c r="E2127" s="16">
        <v>11</v>
      </c>
      <c r="F2127" s="37">
        <v>1</v>
      </c>
      <c r="G2127" s="37">
        <v>0</v>
      </c>
      <c r="H2127" s="17">
        <v>0</v>
      </c>
      <c r="I2127" s="17">
        <v>0</v>
      </c>
      <c r="J2127" s="99">
        <f>SUM(SamplingData[[#This Row],[Losing Candidate]:[Under Votes]])</f>
        <v>140</v>
      </c>
      <c r="K2127" s="100">
        <f>IF(AND(SamplingData[[#This Row],[Total]]&lt;&gt; 0, NOT(ISBLANK(SamplingData[[#This Row],[Losing Candidate]]))),(SamplingData[[#This Row],[Total]]+SamplingData[[#This Row],[Winning Candidate]]-SamplingData[[#This Row],[Losing Candidate]])/(SamplingData[[#Totals],[Winning Candidate]]-SamplingData[[#Totals],[Losing Candidate]]), 0)</f>
        <v>1.1024007839294463E-2</v>
      </c>
      <c r="L2127" s="100">
        <f>IF(AND(SamplingData[[#This Row],[Total]]&lt;&gt; 0, NOT(ISBLANK(SamplingData[[#This Row],[Candidate 3]]))),(SamplingData[[#This Row],[Total]]+SamplingData[[#This Row],[Winning Candidate]]-SamplingData[[#This Row],[Candidate 3]])/(SamplingData[[#Totals],[Winning Candidate]]-SamplingData[[#Totals],[Candidate 3]]), 0)</f>
        <v>6.1618866341904052E-3</v>
      </c>
      <c r="M2127" s="100">
        <f>IF(AND(SamplingData[[#This Row],[Total]]&lt;&gt; 0, NOT(ISBLANK(SamplingData[[#This Row],[Candidate 4]]))),(SamplingData[[#This Row],[Total]]+SamplingData[[#This Row],[Winning Candidate]]-SamplingData[[#This Row],[Candidate 4]])/(SamplingData[[#Totals],[Winning Candidate]]-SamplingData[[#Totals],[Candidate 4]]), 0)</f>
        <v>5.9048788330556285E-3</v>
      </c>
      <c r="N2127" s="100">
        <f>IF(AND(SamplingData[[#This Row],[Total]]&lt;&gt; 0, NOT(ISBLANK(SamplingData[[#This Row],[Candidate 5]]))),(SamplingData[[#This Row],[Total]]+SamplingData[[#This Row],[Winning Candidate]]-SamplingData[[#This Row],[Candidate 5]])/(SamplingData[[#Totals],[Winning Candidate]]-SamplingData[[#Totals],[Candidate 5]]), 0)</f>
        <v>5.1568961323279006E-3</v>
      </c>
      <c r="O2127" s="100">
        <f>IF(AND(SamplingData[[#This Row],[Total]]&lt;&gt; 0, NOT(ISBLANK(SamplingData[[#This Row],[Candidate 6]]))),(SamplingData[[#This Row],[Total]]+SamplingData[[#This Row],[Winning Candidate]]-SamplingData[[#This Row],[Candidate 6]])/(SamplingData[[#Totals],[Winning Candidate]]-SamplingData[[#Totals],[Candidate 6]]), 0)</f>
        <v>5.1797091581148773E-3</v>
      </c>
      <c r="P2127" s="100">
        <f>MAX(SamplingData[[#This Row],[Error Bound (up) - Max. possible relative overstatement - Losing Candidate]:[Error Bound (up) - Max. possible relative overstatement - Candidate 6]])</f>
        <v>1.1024007839294463E-2</v>
      </c>
      <c r="Q2127" s="100">
        <f>IF(SamplingData[[#This Row],[Max Error Bound (up)]] = 0,0,SamplingData[[#This Row],[Max Error Bound (up)]]/SamplingData[[#Totals],[Max Error Bound (up)]])</f>
        <v>1.7447306901202495E-3</v>
      </c>
      <c r="R2127" s="101">
        <f>SUM($Q$5:Q2127)</f>
        <v>0.95849479547169458</v>
      </c>
      <c r="S2127" s="100" t="str">
        <f t="array" ref="S2127">IF(SamplingData[[#This Row],[up/U Selection Probability]] = 0, "Zero", TEXT(SamplingData[[#This Row],[Lower Range]], REPT("0",LEN('General Info'!$B$40))) &amp; " - " &amp; TEXT(SamplingData[[#This Row],[Upper Range]], REPT("0",LEN('General Info'!$B$40))))</f>
        <v>95675 - 95848</v>
      </c>
      <c r="T2127" s="100">
        <f>SamplingData[[#This Row],[Upper Range]]-SamplingData[[#This Row],[Span]]</f>
        <v>95675.008222888122</v>
      </c>
      <c r="U2127" s="100">
        <f>IF(ISNUMBER('General Info'!$B$40), ((SamplingData[[#This Row],[up/U Selection Probability]]) * 'General Info'!$B$40) - 1, 0)</f>
        <v>173.47132428133483</v>
      </c>
      <c r="V2127" s="100">
        <f>IF(ISNUMBER('General Info'!$B$40), (SamplingData[[#This Row],[Running (cumulative) sum]] * ('General Info'!$B$40 -'General Info'!$B$41 + 1)) + 'General Info'!$B$41 - 1, 0)</f>
        <v>95848.479547169452</v>
      </c>
      <c r="W2127" s="100" t="str">
        <f>IF(ISERROR(MATCH(SamplingData[[#This Row],[Batch by Type (p)]],SelectedPrecincts[Batch Name], 0)), "", INDEX(SelectedPrecincts[Draw], MATCH(SamplingData[[#This Row],[Batch by Type (p)]],SelectedPrecincts[Batch Name], 0)))</f>
        <v/>
      </c>
      <c r="X2127" s="102">
        <f>IF(COUNTIF(SelectedPrecincts[Batch Name],SamplingData[[#This Row],[Batch by Type (p)]]) &lt;&gt; 0, COUNTIF(SelectedPrecincts[Batch Name],SamplingData[[#This Row],[Batch by Type (p)]]), 0)</f>
        <v>0</v>
      </c>
    </row>
    <row r="2128" spans="1:24" ht="15" customHeight="1">
      <c r="A2128" s="18" t="s">
        <v>2304</v>
      </c>
      <c r="B2128" s="18">
        <v>27</v>
      </c>
      <c r="C2128" s="18">
        <v>33</v>
      </c>
      <c r="D2128" s="18">
        <v>6</v>
      </c>
      <c r="E2128" s="18">
        <v>4</v>
      </c>
      <c r="F2128" s="18">
        <v>0</v>
      </c>
      <c r="G2128" s="18">
        <v>0</v>
      </c>
      <c r="H2128" s="18">
        <v>0</v>
      </c>
      <c r="I2128" s="18">
        <v>0</v>
      </c>
      <c r="J2128" s="99">
        <f>SUM(SamplingData[[#This Row],[Losing Candidate]:[Under Votes]])</f>
        <v>70</v>
      </c>
      <c r="K2128" s="100">
        <f>IF(AND(SamplingData[[#This Row],[Total]]&lt;&gt; 0, NOT(ISBLANK(SamplingData[[#This Row],[Losing Candidate]]))),(SamplingData[[#This Row],[Total]]+SamplingData[[#This Row],[Winning Candidate]]-SamplingData[[#This Row],[Losing Candidate]])/(SamplingData[[#Totals],[Winning Candidate]]-SamplingData[[#Totals],[Losing Candidate]]), 0)</f>
        <v>4.6545810877021065E-3</v>
      </c>
      <c r="L2128" s="100">
        <f>IF(AND(SamplingData[[#This Row],[Total]]&lt;&gt; 0, NOT(ISBLANK(SamplingData[[#This Row],[Candidate 3]]))),(SamplingData[[#This Row],[Total]]+SamplingData[[#This Row],[Winning Candidate]]-SamplingData[[#This Row],[Candidate 3]])/(SamplingData[[#Totals],[Winning Candidate]]-SamplingData[[#Totals],[Candidate 3]]), 0)</f>
        <v>3.1293350969448658E-3</v>
      </c>
      <c r="M2128" s="100">
        <f>IF(AND(SamplingData[[#This Row],[Total]]&lt;&gt; 0, NOT(ISBLANK(SamplingData[[#This Row],[Candidate 4]]))),(SamplingData[[#This Row],[Total]]+SamplingData[[#This Row],[Winning Candidate]]-SamplingData[[#This Row],[Candidate 4]])/(SamplingData[[#Totals],[Winning Candidate]]-SamplingData[[#Totals],[Candidate 4]]), 0)</f>
        <v>2.8939752696658773E-3</v>
      </c>
      <c r="N2128" s="100">
        <f>IF(AND(SamplingData[[#This Row],[Total]]&lt;&gt; 0, NOT(ISBLANK(SamplingData[[#This Row],[Candidate 5]]))),(SamplingData[[#This Row],[Total]]+SamplingData[[#This Row],[Winning Candidate]]-SamplingData[[#This Row],[Candidate 5]])/(SamplingData[[#Totals],[Winning Candidate]]-SamplingData[[#Totals],[Candidate 5]]), 0)</f>
        <v>2.5054731208951591E-3</v>
      </c>
      <c r="O2128" s="100">
        <f>IF(AND(SamplingData[[#This Row],[Total]]&lt;&gt; 0, NOT(ISBLANK(SamplingData[[#This Row],[Candidate 6]]))),(SamplingData[[#This Row],[Total]]+SamplingData[[#This Row],[Winning Candidate]]-SamplingData[[#This Row],[Candidate 6]])/(SamplingData[[#Totals],[Winning Candidate]]-SamplingData[[#Totals],[Candidate 6]]), 0)</f>
        <v>2.504741987257429E-3</v>
      </c>
      <c r="P2128" s="100">
        <f>MAX(SamplingData[[#This Row],[Error Bound (up) - Max. possible relative overstatement - Losing Candidate]:[Error Bound (up) - Max. possible relative overstatement - Candidate 6]])</f>
        <v>4.6545810877021065E-3</v>
      </c>
      <c r="Q2128" s="100">
        <f>IF(SamplingData[[#This Row],[Max Error Bound (up)]] = 0,0,SamplingData[[#This Row],[Max Error Bound (up)]]/SamplingData[[#Totals],[Max Error Bound (up)]])</f>
        <v>7.3666406916188319E-4</v>
      </c>
      <c r="R2128" s="101">
        <f>SUM($Q$5:Q2128)</f>
        <v>0.95923145954085642</v>
      </c>
      <c r="S2128" s="100" t="str">
        <f t="array" ref="S2128">IF(SamplingData[[#This Row],[up/U Selection Probability]] = 0, "Zero", TEXT(SamplingData[[#This Row],[Lower Range]], REPT("0",LEN('General Info'!$B$40))) &amp; " - " &amp; TEXT(SamplingData[[#This Row],[Upper Range]], REPT("0",LEN('General Info'!$B$40))))</f>
        <v>95849 - 95922</v>
      </c>
      <c r="T2128" s="100">
        <f>SamplingData[[#This Row],[Upper Range]]-SamplingData[[#This Row],[Span]]</f>
        <v>95849.480283833531</v>
      </c>
      <c r="U2128" s="100">
        <f>IF(ISNUMBER('General Info'!$B$40), ((SamplingData[[#This Row],[up/U Selection Probability]]) * 'General Info'!$B$40) - 1, 0)</f>
        <v>72.665670252119156</v>
      </c>
      <c r="V2128" s="100">
        <f>IF(ISNUMBER('General Info'!$B$40), (SamplingData[[#This Row],[Running (cumulative) sum]] * ('General Info'!$B$40 -'General Info'!$B$41 + 1)) + 'General Info'!$B$41 - 1, 0)</f>
        <v>95922.145954085645</v>
      </c>
      <c r="W2128" s="100" t="str">
        <f>IF(ISERROR(MATCH(SamplingData[[#This Row],[Batch by Type (p)]],SelectedPrecincts[Batch Name], 0)), "", INDEX(SelectedPrecincts[Draw], MATCH(SamplingData[[#This Row],[Batch by Type (p)]],SelectedPrecincts[Batch Name], 0)))</f>
        <v/>
      </c>
      <c r="X2128" s="102">
        <f>IF(COUNTIF(SelectedPrecincts[Batch Name],SamplingData[[#This Row],[Batch by Type (p)]]) &lt;&gt; 0, COUNTIF(SelectedPrecincts[Batch Name],SamplingData[[#This Row],[Batch by Type (p)]]), 0)</f>
        <v>0</v>
      </c>
    </row>
    <row r="2129" spans="1:24" ht="15" customHeight="1">
      <c r="A2129" s="18" t="s">
        <v>2305</v>
      </c>
      <c r="B2129" s="18">
        <v>41</v>
      </c>
      <c r="C2129" s="18">
        <v>56</v>
      </c>
      <c r="D2129" s="16">
        <v>13</v>
      </c>
      <c r="E2129" s="16">
        <v>13</v>
      </c>
      <c r="F2129" s="37">
        <v>0</v>
      </c>
      <c r="G2129" s="37">
        <v>0</v>
      </c>
      <c r="H2129" s="17">
        <v>0</v>
      </c>
      <c r="I2129" s="17">
        <v>0</v>
      </c>
      <c r="J2129" s="99">
        <f>SUM(SamplingData[[#This Row],[Losing Candidate]:[Under Votes]])</f>
        <v>123</v>
      </c>
      <c r="K2129" s="100">
        <f>IF(AND(SamplingData[[#This Row],[Total]]&lt;&gt; 0, NOT(ISBLANK(SamplingData[[#This Row],[Losing Candidate]]))),(SamplingData[[#This Row],[Total]]+SamplingData[[#This Row],[Winning Candidate]]-SamplingData[[#This Row],[Losing Candidate]])/(SamplingData[[#Totals],[Winning Candidate]]-SamplingData[[#Totals],[Losing Candidate]]), 0)</f>
        <v>8.4517393434590891E-3</v>
      </c>
      <c r="L2129" s="100">
        <f>IF(AND(SamplingData[[#This Row],[Total]]&lt;&gt; 0, NOT(ISBLANK(SamplingData[[#This Row],[Candidate 3]]))),(SamplingData[[#This Row],[Total]]+SamplingData[[#This Row],[Winning Candidate]]-SamplingData[[#This Row],[Candidate 3]])/(SamplingData[[#Totals],[Winning Candidate]]-SamplingData[[#Totals],[Candidate 3]]), 0)</f>
        <v>5.3553569700293575E-3</v>
      </c>
      <c r="M2129" s="100">
        <f>IF(AND(SamplingData[[#This Row],[Total]]&lt;&gt; 0, NOT(ISBLANK(SamplingData[[#This Row],[Candidate 4]]))),(SamplingData[[#This Row],[Total]]+SamplingData[[#This Row],[Winning Candidate]]-SamplingData[[#This Row],[Candidate 4]])/(SamplingData[[#Totals],[Winning Candidate]]-SamplingData[[#Totals],[Candidate 4]]), 0)</f>
        <v>4.8525241895407637E-3</v>
      </c>
      <c r="N2129" s="100">
        <f>IF(AND(SamplingData[[#This Row],[Total]]&lt;&gt; 0, NOT(ISBLANK(SamplingData[[#This Row],[Candidate 5]]))),(SamplingData[[#This Row],[Total]]+SamplingData[[#This Row],[Winning Candidate]]-SamplingData[[#This Row],[Candidate 5]])/(SamplingData[[#Totals],[Winning Candidate]]-SamplingData[[#Totals],[Candidate 5]]), 0)</f>
        <v>4.3541717343711988E-3</v>
      </c>
      <c r="O2129" s="100">
        <f>IF(AND(SamplingData[[#This Row],[Total]]&lt;&gt; 0, NOT(ISBLANK(SamplingData[[#This Row],[Candidate 6]]))),(SamplingData[[#This Row],[Total]]+SamplingData[[#This Row],[Winning Candidate]]-SamplingData[[#This Row],[Candidate 6]])/(SamplingData[[#Totals],[Winning Candidate]]-SamplingData[[#Totals],[Candidate 6]]), 0)</f>
        <v>4.3529011234862119E-3</v>
      </c>
      <c r="P2129" s="100">
        <f>MAX(SamplingData[[#This Row],[Error Bound (up) - Max. possible relative overstatement - Losing Candidate]:[Error Bound (up) - Max. possible relative overstatement - Candidate 6]])</f>
        <v>8.4517393434590891E-3</v>
      </c>
      <c r="Q2129" s="100">
        <f>IF(SamplingData[[#This Row],[Max Error Bound (up)]] = 0,0,SamplingData[[#This Row],[Max Error Bound (up)]]/SamplingData[[#Totals],[Max Error Bound (up)]])</f>
        <v>1.3376268624255248E-3</v>
      </c>
      <c r="R2129" s="101">
        <f>SUM($Q$5:Q2129)</f>
        <v>0.96056908640328198</v>
      </c>
      <c r="S2129" s="100" t="str">
        <f t="array" ref="S2129">IF(SamplingData[[#This Row],[up/U Selection Probability]] = 0, "Zero", TEXT(SamplingData[[#This Row],[Lower Range]], REPT("0",LEN('General Info'!$B$40))) &amp; " - " &amp; TEXT(SamplingData[[#This Row],[Upper Range]], REPT("0",LEN('General Info'!$B$40))))</f>
        <v>95923 - 96056</v>
      </c>
      <c r="T2129" s="100">
        <f>SamplingData[[#This Row],[Upper Range]]-SamplingData[[#This Row],[Span]]</f>
        <v>95923.147291712507</v>
      </c>
      <c r="U2129" s="100">
        <f>IF(ISNUMBER('General Info'!$B$40), ((SamplingData[[#This Row],[up/U Selection Probability]]) * 'General Info'!$B$40) - 1, 0)</f>
        <v>132.76134861569005</v>
      </c>
      <c r="V2129" s="100">
        <f>IF(ISNUMBER('General Info'!$B$40), (SamplingData[[#This Row],[Running (cumulative) sum]] * ('General Info'!$B$40 -'General Info'!$B$41 + 1)) + 'General Info'!$B$41 - 1, 0)</f>
        <v>96055.908640328198</v>
      </c>
      <c r="W2129" s="100" t="str">
        <f>IF(ISERROR(MATCH(SamplingData[[#This Row],[Batch by Type (p)]],SelectedPrecincts[Batch Name], 0)), "", INDEX(SelectedPrecincts[Draw], MATCH(SamplingData[[#This Row],[Batch by Type (p)]],SelectedPrecincts[Batch Name], 0)))</f>
        <v/>
      </c>
      <c r="X2129" s="102">
        <f>IF(COUNTIF(SelectedPrecincts[Batch Name],SamplingData[[#This Row],[Batch by Type (p)]]) &lt;&gt; 0, COUNTIF(SelectedPrecincts[Batch Name],SamplingData[[#This Row],[Batch by Type (p)]]), 0)</f>
        <v>0</v>
      </c>
    </row>
    <row r="2130" spans="1:24" ht="15" customHeight="1">
      <c r="A2130" s="18" t="s">
        <v>2306</v>
      </c>
      <c r="B2130" s="18">
        <v>22</v>
      </c>
      <c r="C2130" s="18">
        <v>20</v>
      </c>
      <c r="D2130" s="18">
        <v>11</v>
      </c>
      <c r="E2130" s="18">
        <v>3</v>
      </c>
      <c r="F2130" s="18">
        <v>1</v>
      </c>
      <c r="G2130" s="18">
        <v>0</v>
      </c>
      <c r="H2130" s="18">
        <v>0</v>
      </c>
      <c r="I2130" s="18">
        <v>1</v>
      </c>
      <c r="J2130" s="99">
        <f>SUM(SamplingData[[#This Row],[Losing Candidate]:[Under Votes]])</f>
        <v>58</v>
      </c>
      <c r="K2130" s="100">
        <f>IF(AND(SamplingData[[#This Row],[Total]]&lt;&gt; 0, NOT(ISBLANK(SamplingData[[#This Row],[Losing Candidate]]))),(SamplingData[[#This Row],[Total]]+SamplingData[[#This Row],[Winning Candidate]]-SamplingData[[#This Row],[Losing Candidate]])/(SamplingData[[#Totals],[Winning Candidate]]-SamplingData[[#Totals],[Losing Candidate]]), 0)</f>
        <v>3.4296913277804997E-3</v>
      </c>
      <c r="L2130" s="100">
        <f>IF(AND(SamplingData[[#This Row],[Total]]&lt;&gt; 0, NOT(ISBLANK(SamplingData[[#This Row],[Candidate 3]]))),(SamplingData[[#This Row],[Total]]+SamplingData[[#This Row],[Winning Candidate]]-SamplingData[[#This Row],[Candidate 3]])/(SamplingData[[#Totals],[Winning Candidate]]-SamplingData[[#Totals],[Candidate 3]]), 0)</f>
        <v>2.1614994999516082E-3</v>
      </c>
      <c r="M2130" s="100">
        <f>IF(AND(SamplingData[[#This Row],[Total]]&lt;&gt; 0, NOT(ISBLANK(SamplingData[[#This Row],[Candidate 4]]))),(SamplingData[[#This Row],[Total]]+SamplingData[[#This Row],[Winning Candidate]]-SamplingData[[#This Row],[Candidate 4]])/(SamplingData[[#Totals],[Winning Candidate]]-SamplingData[[#Totals],[Candidate 4]]), 0)</f>
        <v>2.1924055073226346E-3</v>
      </c>
      <c r="N2130" s="100">
        <f>IF(AND(SamplingData[[#This Row],[Total]]&lt;&gt; 0, NOT(ISBLANK(SamplingData[[#This Row],[Candidate 5]]))),(SamplingData[[#This Row],[Total]]+SamplingData[[#This Row],[Winning Candidate]]-SamplingData[[#This Row],[Candidate 5]])/(SamplingData[[#Totals],[Winning Candidate]]-SamplingData[[#Totals],[Candidate 5]]), 0)</f>
        <v>1.8730235952323035E-3</v>
      </c>
      <c r="O2130" s="100">
        <f>IF(AND(SamplingData[[#This Row],[Total]]&lt;&gt; 0, NOT(ISBLANK(SamplingData[[#This Row],[Candidate 6]]))),(SamplingData[[#This Row],[Total]]+SamplingData[[#This Row],[Winning Candidate]]-SamplingData[[#This Row],[Candidate 6]])/(SamplingData[[#Totals],[Winning Candidate]]-SamplingData[[#Totals],[Candidate 6]]), 0)</f>
        <v>1.8967949029716454E-3</v>
      </c>
      <c r="P2130" s="100">
        <f>MAX(SamplingData[[#This Row],[Error Bound (up) - Max. possible relative overstatement - Losing Candidate]:[Error Bound (up) - Max. possible relative overstatement - Candidate 6]])</f>
        <v>3.4296913277804997E-3</v>
      </c>
      <c r="Q2130" s="100">
        <f>IF(SamplingData[[#This Row],[Max Error Bound (up)]] = 0,0,SamplingData[[#This Row],[Max Error Bound (up)]]/SamplingData[[#Totals],[Max Error Bound (up)]])</f>
        <v>5.4280510359296661E-4</v>
      </c>
      <c r="R2130" s="101">
        <f>SUM($Q$5:Q2130)</f>
        <v>0.96111189150687493</v>
      </c>
      <c r="S2130" s="100" t="str">
        <f t="array" ref="S2130">IF(SamplingData[[#This Row],[up/U Selection Probability]] = 0, "Zero", TEXT(SamplingData[[#This Row],[Lower Range]], REPT("0",LEN('General Info'!$B$40))) &amp; " - " &amp; TEXT(SamplingData[[#This Row],[Upper Range]], REPT("0",LEN('General Info'!$B$40))))</f>
        <v>96057 - 96110</v>
      </c>
      <c r="T2130" s="100">
        <f>SamplingData[[#This Row],[Upper Range]]-SamplingData[[#This Row],[Span]]</f>
        <v>96056.909183133306</v>
      </c>
      <c r="U2130" s="100">
        <f>IF(ISNUMBER('General Info'!$B$40), ((SamplingData[[#This Row],[up/U Selection Probability]]) * 'General Info'!$B$40) - 1, 0)</f>
        <v>53.279967554193071</v>
      </c>
      <c r="V2130" s="100">
        <f>IF(ISNUMBER('General Info'!$B$40), (SamplingData[[#This Row],[Running (cumulative) sum]] * ('General Info'!$B$40 -'General Info'!$B$41 + 1)) + 'General Info'!$B$41 - 1, 0)</f>
        <v>96110.189150687496</v>
      </c>
      <c r="W2130" s="100" t="str">
        <f>IF(ISERROR(MATCH(SamplingData[[#This Row],[Batch by Type (p)]],SelectedPrecincts[Batch Name], 0)), "", INDEX(SelectedPrecincts[Draw], MATCH(SamplingData[[#This Row],[Batch by Type (p)]],SelectedPrecincts[Batch Name], 0)))</f>
        <v/>
      </c>
      <c r="X2130" s="102">
        <f>IF(COUNTIF(SelectedPrecincts[Batch Name],SamplingData[[#This Row],[Batch by Type (p)]]) &lt;&gt; 0, COUNTIF(SelectedPrecincts[Batch Name],SamplingData[[#This Row],[Batch by Type (p)]]), 0)</f>
        <v>0</v>
      </c>
    </row>
    <row r="2131" spans="1:24" ht="15" customHeight="1">
      <c r="A2131" s="18" t="s">
        <v>2307</v>
      </c>
      <c r="B2131" s="18">
        <v>17</v>
      </c>
      <c r="C2131" s="18">
        <v>73</v>
      </c>
      <c r="D2131" s="16">
        <v>19</v>
      </c>
      <c r="E2131" s="16">
        <v>10</v>
      </c>
      <c r="F2131" s="37">
        <v>0</v>
      </c>
      <c r="G2131" s="37">
        <v>0</v>
      </c>
      <c r="H2131" s="17">
        <v>0</v>
      </c>
      <c r="I2131" s="17">
        <v>2</v>
      </c>
      <c r="J2131" s="99">
        <f>SUM(SamplingData[[#This Row],[Losing Candidate]:[Under Votes]])</f>
        <v>121</v>
      </c>
      <c r="K2131" s="100">
        <f>IF(AND(SamplingData[[#This Row],[Total]]&lt;&gt; 0, NOT(ISBLANK(SamplingData[[#This Row],[Losing Candidate]]))),(SamplingData[[#This Row],[Total]]+SamplingData[[#This Row],[Winning Candidate]]-SamplingData[[#This Row],[Losing Candidate]])/(SamplingData[[#Totals],[Winning Candidate]]-SamplingData[[#Totals],[Losing Candidate]]), 0)</f>
        <v>1.0840274375306222E-2</v>
      </c>
      <c r="L2131" s="100">
        <f>IF(AND(SamplingData[[#This Row],[Total]]&lt;&gt; 0, NOT(ISBLANK(SamplingData[[#This Row],[Candidate 3]]))),(SamplingData[[#This Row],[Total]]+SamplingData[[#This Row],[Winning Candidate]]-SamplingData[[#This Row],[Candidate 3]])/(SamplingData[[#Totals],[Winning Candidate]]-SamplingData[[#Totals],[Candidate 3]]), 0)</f>
        <v>5.645707649127335E-3</v>
      </c>
      <c r="M2131" s="100">
        <f>IF(AND(SamplingData[[#This Row],[Total]]&lt;&gt; 0, NOT(ISBLANK(SamplingData[[#This Row],[Candidate 4]]))),(SamplingData[[#This Row],[Total]]+SamplingData[[#This Row],[Winning Candidate]]-SamplingData[[#This Row],[Candidate 4]])/(SamplingData[[#Totals],[Winning Candidate]]-SamplingData[[#Totals],[Candidate 4]]), 0)</f>
        <v>5.3787015112981961E-3</v>
      </c>
      <c r="N2131" s="100">
        <f>IF(AND(SamplingData[[#This Row],[Total]]&lt;&gt; 0, NOT(ISBLANK(SamplingData[[#This Row],[Candidate 5]]))),(SamplingData[[#This Row],[Total]]+SamplingData[[#This Row],[Winning Candidate]]-SamplingData[[#This Row],[Candidate 5]])/(SamplingData[[#Totals],[Winning Candidate]]-SamplingData[[#Totals],[Candidate 5]]), 0)</f>
        <v>4.7190464607151546E-3</v>
      </c>
      <c r="O2131" s="100">
        <f>IF(AND(SamplingData[[#This Row],[Total]]&lt;&gt; 0, NOT(ISBLANK(SamplingData[[#This Row],[Candidate 6]]))),(SamplingData[[#This Row],[Total]]+SamplingData[[#This Row],[Winning Candidate]]-SamplingData[[#This Row],[Candidate 6]])/(SamplingData[[#Totals],[Winning Candidate]]-SamplingData[[#Totals],[Candidate 6]]), 0)</f>
        <v>4.7176693740576823E-3</v>
      </c>
      <c r="P2131" s="100">
        <f>MAX(SamplingData[[#This Row],[Error Bound (up) - Max. possible relative overstatement - Losing Candidate]:[Error Bound (up) - Max. possible relative overstatement - Candidate 6]])</f>
        <v>1.0840274375306222E-2</v>
      </c>
      <c r="Q2131" s="100">
        <f>IF(SamplingData[[#This Row],[Max Error Bound (up)]] = 0,0,SamplingData[[#This Row],[Max Error Bound (up)]]/SamplingData[[#Totals],[Max Error Bound (up)]])</f>
        <v>1.7156518452849123E-3</v>
      </c>
      <c r="R2131" s="101">
        <f>SUM($Q$5:Q2131)</f>
        <v>0.96282754335215981</v>
      </c>
      <c r="S2131" s="100" t="str">
        <f t="array" ref="S2131">IF(SamplingData[[#This Row],[up/U Selection Probability]] = 0, "Zero", TEXT(SamplingData[[#This Row],[Lower Range]], REPT("0",LEN('General Info'!$B$40))) &amp; " - " &amp; TEXT(SamplingData[[#This Row],[Upper Range]], REPT("0",LEN('General Info'!$B$40))))</f>
        <v>96111 - 96282</v>
      </c>
      <c r="T2131" s="100">
        <f>SamplingData[[#This Row],[Upper Range]]-SamplingData[[#This Row],[Span]]</f>
        <v>96111.190866339341</v>
      </c>
      <c r="U2131" s="100">
        <f>IF(ISNUMBER('General Info'!$B$40), ((SamplingData[[#This Row],[up/U Selection Probability]]) * 'General Info'!$B$40) - 1, 0)</f>
        <v>170.56346887664594</v>
      </c>
      <c r="V2131" s="100">
        <f>IF(ISNUMBER('General Info'!$B$40), (SamplingData[[#This Row],[Running (cumulative) sum]] * ('General Info'!$B$40 -'General Info'!$B$41 + 1)) + 'General Info'!$B$41 - 1, 0)</f>
        <v>96281.754335215985</v>
      </c>
      <c r="W2131" s="100" t="str">
        <f>IF(ISERROR(MATCH(SamplingData[[#This Row],[Batch by Type (p)]],SelectedPrecincts[Batch Name], 0)), "", INDEX(SelectedPrecincts[Draw], MATCH(SamplingData[[#This Row],[Batch by Type (p)]],SelectedPrecincts[Batch Name], 0)))</f>
        <v/>
      </c>
      <c r="X2131" s="102">
        <f>IF(COUNTIF(SelectedPrecincts[Batch Name],SamplingData[[#This Row],[Batch by Type (p)]]) &lt;&gt; 0, COUNTIF(SelectedPrecincts[Batch Name],SamplingData[[#This Row],[Batch by Type (p)]]), 0)</f>
        <v>0</v>
      </c>
    </row>
    <row r="2132" spans="1:24" ht="15" customHeight="1">
      <c r="A2132" s="18" t="s">
        <v>2308</v>
      </c>
      <c r="B2132" s="18">
        <v>9</v>
      </c>
      <c r="C2132" s="18">
        <v>24</v>
      </c>
      <c r="D2132" s="18">
        <v>2</v>
      </c>
      <c r="E2132" s="18">
        <v>1</v>
      </c>
      <c r="F2132" s="18">
        <v>0</v>
      </c>
      <c r="G2132" s="18">
        <v>0</v>
      </c>
      <c r="H2132" s="18">
        <v>0</v>
      </c>
      <c r="I2132" s="18">
        <v>1</v>
      </c>
      <c r="J2132" s="99">
        <f>SUM(SamplingData[[#This Row],[Losing Candidate]:[Under Votes]])</f>
        <v>37</v>
      </c>
      <c r="K2132" s="100">
        <f>IF(AND(SamplingData[[#This Row],[Total]]&lt;&gt; 0, NOT(ISBLANK(SamplingData[[#This Row],[Losing Candidate]]))),(SamplingData[[#This Row],[Total]]+SamplingData[[#This Row],[Winning Candidate]]-SamplingData[[#This Row],[Losing Candidate]])/(SamplingData[[#Totals],[Winning Candidate]]-SamplingData[[#Totals],[Losing Candidate]]), 0)</f>
        <v>3.1847133757961785E-3</v>
      </c>
      <c r="L2132" s="100">
        <f>IF(AND(SamplingData[[#This Row],[Total]]&lt;&gt; 0, NOT(ISBLANK(SamplingData[[#This Row],[Candidate 3]]))),(SamplingData[[#This Row],[Total]]+SamplingData[[#This Row],[Winning Candidate]]-SamplingData[[#This Row],[Candidate 3]])/(SamplingData[[#Totals],[Winning Candidate]]-SamplingData[[#Totals],[Candidate 3]]), 0)</f>
        <v>1.9034100074200729E-3</v>
      </c>
      <c r="M2132" s="100">
        <f>IF(AND(SamplingData[[#This Row],[Total]]&lt;&gt; 0, NOT(ISBLANK(SamplingData[[#This Row],[Candidate 4]]))),(SamplingData[[#This Row],[Total]]+SamplingData[[#This Row],[Winning Candidate]]-SamplingData[[#This Row],[Candidate 4]])/(SamplingData[[#Totals],[Winning Candidate]]-SamplingData[[#Totals],[Candidate 4]]), 0)</f>
        <v>1.7539244058581076E-3</v>
      </c>
      <c r="N2132" s="100">
        <f>IF(AND(SamplingData[[#This Row],[Total]]&lt;&gt; 0, NOT(ISBLANK(SamplingData[[#This Row],[Candidate 5]]))),(SamplingData[[#This Row],[Total]]+SamplingData[[#This Row],[Winning Candidate]]-SamplingData[[#This Row],[Candidate 5]])/(SamplingData[[#Totals],[Winning Candidate]]-SamplingData[[#Totals],[Candidate 5]]), 0)</f>
        <v>1.4838238871320846E-3</v>
      </c>
      <c r="O2132" s="100">
        <f>IF(AND(SamplingData[[#This Row],[Total]]&lt;&gt; 0, NOT(ISBLANK(SamplingData[[#This Row],[Candidate 6]]))),(SamplingData[[#This Row],[Total]]+SamplingData[[#This Row],[Winning Candidate]]-SamplingData[[#This Row],[Candidate 6]])/(SamplingData[[#Totals],[Winning Candidate]]-SamplingData[[#Totals],[Candidate 6]]), 0)</f>
        <v>1.4833908856573125E-3</v>
      </c>
      <c r="P2132" s="100">
        <f>MAX(SamplingData[[#This Row],[Error Bound (up) - Max. possible relative overstatement - Losing Candidate]:[Error Bound (up) - Max. possible relative overstatement - Candidate 6]])</f>
        <v>3.1847133757961785E-3</v>
      </c>
      <c r="Q2132" s="100">
        <f>IF(SamplingData[[#This Row],[Max Error Bound (up)]] = 0,0,SamplingData[[#This Row],[Max Error Bound (up)]]/SamplingData[[#Totals],[Max Error Bound (up)]])</f>
        <v>5.0403331047918325E-4</v>
      </c>
      <c r="R2132" s="101">
        <f>SUM($Q$5:Q2132)</f>
        <v>0.96333157666263902</v>
      </c>
      <c r="S2132" s="100" t="str">
        <f t="array" ref="S2132">IF(SamplingData[[#This Row],[up/U Selection Probability]] = 0, "Zero", TEXT(SamplingData[[#This Row],[Lower Range]], REPT("0",LEN('General Info'!$B$40))) &amp; " - " &amp; TEXT(SamplingData[[#This Row],[Upper Range]], REPT("0",LEN('General Info'!$B$40))))</f>
        <v>96283 - 96332</v>
      </c>
      <c r="T2132" s="100">
        <f>SamplingData[[#This Row],[Upper Range]]-SamplingData[[#This Row],[Span]]</f>
        <v>96282.75483924929</v>
      </c>
      <c r="U2132" s="100">
        <f>IF(ISNUMBER('General Info'!$B$40), ((SamplingData[[#This Row],[up/U Selection Probability]]) * 'General Info'!$B$40) - 1, 0)</f>
        <v>49.402827014607844</v>
      </c>
      <c r="V2132" s="100">
        <f>IF(ISNUMBER('General Info'!$B$40), (SamplingData[[#This Row],[Running (cumulative) sum]] * ('General Info'!$B$40 -'General Info'!$B$41 + 1)) + 'General Info'!$B$41 - 1, 0)</f>
        <v>96332.157666263898</v>
      </c>
      <c r="W2132" s="100" t="str">
        <f>IF(ISERROR(MATCH(SamplingData[[#This Row],[Batch by Type (p)]],SelectedPrecincts[Batch Name], 0)), "", INDEX(SelectedPrecincts[Draw], MATCH(SamplingData[[#This Row],[Batch by Type (p)]],SelectedPrecincts[Batch Name], 0)))</f>
        <v/>
      </c>
      <c r="X2132" s="102">
        <f>IF(COUNTIF(SelectedPrecincts[Batch Name],SamplingData[[#This Row],[Batch by Type (p)]]) &lt;&gt; 0, COUNTIF(SelectedPrecincts[Batch Name],SamplingData[[#This Row],[Batch by Type (p)]]), 0)</f>
        <v>0</v>
      </c>
    </row>
    <row r="2133" spans="1:24" ht="15" customHeight="1">
      <c r="A2133" s="18" t="s">
        <v>2309</v>
      </c>
      <c r="B2133" s="18">
        <v>36</v>
      </c>
      <c r="C2133" s="18">
        <v>60</v>
      </c>
      <c r="D2133" s="16">
        <v>11</v>
      </c>
      <c r="E2133" s="16">
        <v>3</v>
      </c>
      <c r="F2133" s="37">
        <v>0</v>
      </c>
      <c r="G2133" s="37">
        <v>0</v>
      </c>
      <c r="H2133" s="17">
        <v>1</v>
      </c>
      <c r="I2133" s="17">
        <v>1</v>
      </c>
      <c r="J2133" s="99">
        <f>SUM(SamplingData[[#This Row],[Losing Candidate]:[Under Votes]])</f>
        <v>112</v>
      </c>
      <c r="K2133" s="100">
        <f>IF(AND(SamplingData[[#This Row],[Total]]&lt;&gt; 0, NOT(ISBLANK(SamplingData[[#This Row],[Losing Candidate]]))),(SamplingData[[#This Row],[Total]]+SamplingData[[#This Row],[Winning Candidate]]-SamplingData[[#This Row],[Losing Candidate]])/(SamplingData[[#Totals],[Winning Candidate]]-SamplingData[[#Totals],[Losing Candidate]]), 0)</f>
        <v>8.3292503674669283E-3</v>
      </c>
      <c r="L2133" s="100">
        <f>IF(AND(SamplingData[[#This Row],[Total]]&lt;&gt; 0, NOT(ISBLANK(SamplingData[[#This Row],[Candidate 3]]))),(SamplingData[[#This Row],[Total]]+SamplingData[[#This Row],[Winning Candidate]]-SamplingData[[#This Row],[Candidate 3]])/(SamplingData[[#Totals],[Winning Candidate]]-SamplingData[[#Totals],[Candidate 3]]), 0)</f>
        <v>5.194051037197148E-3</v>
      </c>
      <c r="M2133" s="100">
        <f>IF(AND(SamplingData[[#This Row],[Total]]&lt;&gt; 0, NOT(ISBLANK(SamplingData[[#This Row],[Candidate 4]]))),(SamplingData[[#This Row],[Total]]+SamplingData[[#This Row],[Winning Candidate]]-SamplingData[[#This Row],[Candidate 4]])/(SamplingData[[#Totals],[Winning Candidate]]-SamplingData[[#Totals],[Candidate 4]]), 0)</f>
        <v>4.9402204098336691E-3</v>
      </c>
      <c r="N2133" s="100">
        <f>IF(AND(SamplingData[[#This Row],[Total]]&lt;&gt; 0, NOT(ISBLANK(SamplingData[[#This Row],[Candidate 5]]))),(SamplingData[[#This Row],[Total]]+SamplingData[[#This Row],[Winning Candidate]]-SamplingData[[#This Row],[Candidate 5]])/(SamplingData[[#Totals],[Winning Candidate]]-SamplingData[[#Totals],[Candidate 5]]), 0)</f>
        <v>4.1838968620773534E-3</v>
      </c>
      <c r="O2133" s="100">
        <f>IF(AND(SamplingData[[#This Row],[Total]]&lt;&gt; 0, NOT(ISBLANK(SamplingData[[#This Row],[Candidate 6]]))),(SamplingData[[#This Row],[Total]]+SamplingData[[#This Row],[Winning Candidate]]-SamplingData[[#This Row],[Candidate 6]])/(SamplingData[[#Totals],[Winning Candidate]]-SamplingData[[#Totals],[Candidate 6]]), 0)</f>
        <v>4.1826759398861926E-3</v>
      </c>
      <c r="P2133" s="100">
        <f>MAX(SamplingData[[#This Row],[Error Bound (up) - Max. possible relative overstatement - Losing Candidate]:[Error Bound (up) - Max. possible relative overstatement - Candidate 6]])</f>
        <v>8.3292503674669283E-3</v>
      </c>
      <c r="Q2133" s="100">
        <f>IF(SamplingData[[#This Row],[Max Error Bound (up)]] = 0,0,SamplingData[[#This Row],[Max Error Bound (up)]]/SamplingData[[#Totals],[Max Error Bound (up)]])</f>
        <v>1.3182409658686332E-3</v>
      </c>
      <c r="R2133" s="101">
        <f>SUM($Q$5:Q2133)</f>
        <v>0.96464981762850766</v>
      </c>
      <c r="S2133" s="100" t="str">
        <f t="array" ref="S2133">IF(SamplingData[[#This Row],[up/U Selection Probability]] = 0, "Zero", TEXT(SamplingData[[#This Row],[Lower Range]], REPT("0",LEN('General Info'!$B$40))) &amp; " - " &amp; TEXT(SamplingData[[#This Row],[Upper Range]], REPT("0",LEN('General Info'!$B$40))))</f>
        <v>96333 - 96464</v>
      </c>
      <c r="T2133" s="100">
        <f>SamplingData[[#This Row],[Upper Range]]-SamplingData[[#This Row],[Span]]</f>
        <v>96333.158984504858</v>
      </c>
      <c r="U2133" s="100">
        <f>IF(ISNUMBER('General Info'!$B$40), ((SamplingData[[#This Row],[up/U Selection Probability]]) * 'General Info'!$B$40) - 1, 0)</f>
        <v>130.82277834589743</v>
      </c>
      <c r="V2133" s="100">
        <f>IF(ISNUMBER('General Info'!$B$40), (SamplingData[[#This Row],[Running (cumulative) sum]] * ('General Info'!$B$40 -'General Info'!$B$41 + 1)) + 'General Info'!$B$41 - 1, 0)</f>
        <v>96463.981762850759</v>
      </c>
      <c r="W2133" s="100" t="str">
        <f>IF(ISERROR(MATCH(SamplingData[[#This Row],[Batch by Type (p)]],SelectedPrecincts[Batch Name], 0)), "", INDEX(SelectedPrecincts[Draw], MATCH(SamplingData[[#This Row],[Batch by Type (p)]],SelectedPrecincts[Batch Name], 0)))</f>
        <v/>
      </c>
      <c r="X2133" s="102">
        <f>IF(COUNTIF(SelectedPrecincts[Batch Name],SamplingData[[#This Row],[Batch by Type (p)]]) &lt;&gt; 0, COUNTIF(SelectedPrecincts[Batch Name],SamplingData[[#This Row],[Batch by Type (p)]]), 0)</f>
        <v>0</v>
      </c>
    </row>
    <row r="2134" spans="1:24" ht="15" customHeight="1">
      <c r="A2134" s="18" t="s">
        <v>2310</v>
      </c>
      <c r="B2134" s="18">
        <v>11</v>
      </c>
      <c r="C2134" s="18">
        <v>25</v>
      </c>
      <c r="D2134" s="18">
        <v>5</v>
      </c>
      <c r="E2134" s="18">
        <v>2</v>
      </c>
      <c r="F2134" s="18">
        <v>0</v>
      </c>
      <c r="G2134" s="18">
        <v>0</v>
      </c>
      <c r="H2134" s="18">
        <v>0</v>
      </c>
      <c r="I2134" s="18">
        <v>0</v>
      </c>
      <c r="J2134" s="99">
        <f>SUM(SamplingData[[#This Row],[Losing Candidate]:[Under Votes]])</f>
        <v>43</v>
      </c>
      <c r="K2134" s="100">
        <f>IF(AND(SamplingData[[#This Row],[Total]]&lt;&gt; 0, NOT(ISBLANK(SamplingData[[#This Row],[Losing Candidate]]))),(SamplingData[[#This Row],[Total]]+SamplingData[[#This Row],[Winning Candidate]]-SamplingData[[#This Row],[Losing Candidate]])/(SamplingData[[#Totals],[Winning Candidate]]-SamplingData[[#Totals],[Losing Candidate]]), 0)</f>
        <v>3.4909358157765801E-3</v>
      </c>
      <c r="L2134" s="100">
        <f>IF(AND(SamplingData[[#This Row],[Total]]&lt;&gt; 0, NOT(ISBLANK(SamplingData[[#This Row],[Candidate 3]]))),(SamplingData[[#This Row],[Total]]+SamplingData[[#This Row],[Winning Candidate]]-SamplingData[[#This Row],[Candidate 3]])/(SamplingData[[#Totals],[Winning Candidate]]-SamplingData[[#Totals],[Candidate 3]]), 0)</f>
        <v>2.0324547536858407E-3</v>
      </c>
      <c r="M2134" s="100">
        <f>IF(AND(SamplingData[[#This Row],[Total]]&lt;&gt; 0, NOT(ISBLANK(SamplingData[[#This Row],[Candidate 4]]))),(SamplingData[[#This Row],[Total]]+SamplingData[[#This Row],[Winning Candidate]]-SamplingData[[#This Row],[Candidate 4]])/(SamplingData[[#Totals],[Winning Candidate]]-SamplingData[[#Totals],[Candidate 4]]), 0)</f>
        <v>1.9293168464439184E-3</v>
      </c>
      <c r="N2134" s="100">
        <f>IF(AND(SamplingData[[#This Row],[Total]]&lt;&gt; 0, NOT(ISBLANK(SamplingData[[#This Row],[Candidate 5]]))),(SamplingData[[#This Row],[Total]]+SamplingData[[#This Row],[Winning Candidate]]-SamplingData[[#This Row],[Candidate 5]])/(SamplingData[[#Totals],[Winning Candidate]]-SamplingData[[#Totals],[Candidate 5]]), 0)</f>
        <v>1.6540987594259305E-3</v>
      </c>
      <c r="O2134" s="100">
        <f>IF(AND(SamplingData[[#This Row],[Total]]&lt;&gt; 0, NOT(ISBLANK(SamplingData[[#This Row],[Candidate 6]]))),(SamplingData[[#This Row],[Total]]+SamplingData[[#This Row],[Winning Candidate]]-SamplingData[[#This Row],[Candidate 6]])/(SamplingData[[#Totals],[Winning Candidate]]-SamplingData[[#Totals],[Candidate 6]]), 0)</f>
        <v>1.6536160692573318E-3</v>
      </c>
      <c r="P2134" s="100">
        <f>MAX(SamplingData[[#This Row],[Error Bound (up) - Max. possible relative overstatement - Losing Candidate]:[Error Bound (up) - Max. possible relative overstatement - Candidate 6]])</f>
        <v>3.4909358157765801E-3</v>
      </c>
      <c r="Q2134" s="100">
        <f>IF(SamplingData[[#This Row],[Max Error Bound (up)]] = 0,0,SamplingData[[#This Row],[Max Error Bound (up)]]/SamplingData[[#Totals],[Max Error Bound (up)]])</f>
        <v>5.5249805187141245E-4</v>
      </c>
      <c r="R2134" s="101">
        <f>SUM($Q$5:Q2134)</f>
        <v>0.96520231568037906</v>
      </c>
      <c r="S2134" s="100" t="str">
        <f t="array" ref="S2134">IF(SamplingData[[#This Row],[up/U Selection Probability]] = 0, "Zero", TEXT(SamplingData[[#This Row],[Lower Range]], REPT("0",LEN('General Info'!$B$40))) &amp; " - " &amp; TEXT(SamplingData[[#This Row],[Upper Range]], REPT("0",LEN('General Info'!$B$40))))</f>
        <v>96465 - 96519</v>
      </c>
      <c r="T2134" s="100">
        <f>SamplingData[[#This Row],[Upper Range]]-SamplingData[[#This Row],[Span]]</f>
        <v>96464.982315348825</v>
      </c>
      <c r="U2134" s="100">
        <f>IF(ISNUMBER('General Info'!$B$40), ((SamplingData[[#This Row],[up/U Selection Probability]]) * 'General Info'!$B$40) - 1, 0)</f>
        <v>54.249252689089374</v>
      </c>
      <c r="V2134" s="100">
        <f>IF(ISNUMBER('General Info'!$B$40), (SamplingData[[#This Row],[Running (cumulative) sum]] * ('General Info'!$B$40 -'General Info'!$B$41 + 1)) + 'General Info'!$B$41 - 1, 0)</f>
        <v>96519.231568037911</v>
      </c>
      <c r="W2134" s="100" t="str">
        <f>IF(ISERROR(MATCH(SamplingData[[#This Row],[Batch by Type (p)]],SelectedPrecincts[Batch Name], 0)), "", INDEX(SelectedPrecincts[Draw], MATCH(SamplingData[[#This Row],[Batch by Type (p)]],SelectedPrecincts[Batch Name], 0)))</f>
        <v/>
      </c>
      <c r="X2134" s="102">
        <f>IF(COUNTIF(SelectedPrecincts[Batch Name],SamplingData[[#This Row],[Batch by Type (p)]]) &lt;&gt; 0, COUNTIF(SelectedPrecincts[Batch Name],SamplingData[[#This Row],[Batch by Type (p)]]), 0)</f>
        <v>0</v>
      </c>
    </row>
    <row r="2135" spans="1:24" ht="15" customHeight="1">
      <c r="A2135" s="18" t="s">
        <v>2311</v>
      </c>
      <c r="B2135" s="18">
        <v>14</v>
      </c>
      <c r="C2135" s="18">
        <v>36</v>
      </c>
      <c r="D2135" s="16">
        <v>4</v>
      </c>
      <c r="E2135" s="16">
        <v>6</v>
      </c>
      <c r="F2135" s="37">
        <v>0</v>
      </c>
      <c r="G2135" s="37">
        <v>0</v>
      </c>
      <c r="H2135" s="17">
        <v>0</v>
      </c>
      <c r="I2135" s="17">
        <v>0</v>
      </c>
      <c r="J2135" s="99">
        <f>SUM(SamplingData[[#This Row],[Losing Candidate]:[Under Votes]])</f>
        <v>60</v>
      </c>
      <c r="K2135"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2135" s="100">
        <f>IF(AND(SamplingData[[#This Row],[Total]]&lt;&gt; 0, NOT(ISBLANK(SamplingData[[#This Row],[Candidate 3]]))),(SamplingData[[#This Row],[Total]]+SamplingData[[#This Row],[Winning Candidate]]-SamplingData[[#This Row],[Candidate 3]])/(SamplingData[[#Totals],[Winning Candidate]]-SamplingData[[#Totals],[Candidate 3]]), 0)</f>
        <v>2.9680291641126563E-3</v>
      </c>
      <c r="M2135" s="100">
        <f>IF(AND(SamplingData[[#This Row],[Total]]&lt;&gt; 0, NOT(ISBLANK(SamplingData[[#This Row],[Candidate 4]]))),(SamplingData[[#This Row],[Total]]+SamplingData[[#This Row],[Winning Candidate]]-SamplingData[[#This Row],[Candidate 4]])/(SamplingData[[#Totals],[Winning Candidate]]-SamplingData[[#Totals],[Candidate 4]]), 0)</f>
        <v>2.6308866087871611E-3</v>
      </c>
      <c r="N2135" s="100">
        <f>IF(AND(SamplingData[[#This Row],[Total]]&lt;&gt; 0, NOT(ISBLANK(SamplingData[[#This Row],[Candidate 5]]))),(SamplingData[[#This Row],[Total]]+SamplingData[[#This Row],[Winning Candidate]]-SamplingData[[#This Row],[Candidate 5]])/(SamplingData[[#Totals],[Winning Candidate]]-SamplingData[[#Totals],[Candidate 5]]), 0)</f>
        <v>2.3351982486013137E-3</v>
      </c>
      <c r="O2135" s="100">
        <f>IF(AND(SamplingData[[#This Row],[Total]]&lt;&gt; 0, NOT(ISBLANK(SamplingData[[#This Row],[Candidate 6]]))),(SamplingData[[#This Row],[Total]]+SamplingData[[#This Row],[Winning Candidate]]-SamplingData[[#This Row],[Candidate 6]])/(SamplingData[[#Totals],[Winning Candidate]]-SamplingData[[#Totals],[Candidate 6]]), 0)</f>
        <v>2.3345168036574097E-3</v>
      </c>
      <c r="P2135" s="100">
        <f>MAX(SamplingData[[#This Row],[Error Bound (up) - Max. possible relative overstatement - Losing Candidate]:[Error Bound (up) - Max. possible relative overstatement - Candidate 6]])</f>
        <v>5.0220480156785889E-3</v>
      </c>
      <c r="Q2135" s="100">
        <f>IF(SamplingData[[#This Row],[Max Error Bound (up)]] = 0,0,SamplingData[[#This Row],[Max Error Bound (up)]]/SamplingData[[#Totals],[Max Error Bound (up)]])</f>
        <v>7.9482175883255823E-4</v>
      </c>
      <c r="R2135" s="101">
        <f>SUM($Q$5:Q2135)</f>
        <v>0.96599713743921167</v>
      </c>
      <c r="S2135" s="100" t="str">
        <f t="array" ref="S2135">IF(SamplingData[[#This Row],[up/U Selection Probability]] = 0, "Zero", TEXT(SamplingData[[#This Row],[Lower Range]], REPT("0",LEN('General Info'!$B$40))) &amp; " - " &amp; TEXT(SamplingData[[#This Row],[Upper Range]], REPT("0",LEN('General Info'!$B$40))))</f>
        <v>96520 - 96599</v>
      </c>
      <c r="T2135" s="100">
        <f>SamplingData[[#This Row],[Upper Range]]-SamplingData[[#This Row],[Span]]</f>
        <v>96520.232362859664</v>
      </c>
      <c r="U2135" s="100">
        <f>IF(ISNUMBER('General Info'!$B$40), ((SamplingData[[#This Row],[up/U Selection Probability]]) * 'General Info'!$B$40) - 1, 0)</f>
        <v>78.48138106149699</v>
      </c>
      <c r="V2135" s="100">
        <f>IF(ISNUMBER('General Info'!$B$40), (SamplingData[[#This Row],[Running (cumulative) sum]] * ('General Info'!$B$40 -'General Info'!$B$41 + 1)) + 'General Info'!$B$41 - 1, 0)</f>
        <v>96598.713743921166</v>
      </c>
      <c r="W2135" s="100" t="str">
        <f>IF(ISERROR(MATCH(SamplingData[[#This Row],[Batch by Type (p)]],SelectedPrecincts[Batch Name], 0)), "", INDEX(SelectedPrecincts[Draw], MATCH(SamplingData[[#This Row],[Batch by Type (p)]],SelectedPrecincts[Batch Name], 0)))</f>
        <v/>
      </c>
      <c r="X2135" s="102">
        <f>IF(COUNTIF(SelectedPrecincts[Batch Name],SamplingData[[#This Row],[Batch by Type (p)]]) &lt;&gt; 0, COUNTIF(SelectedPrecincts[Batch Name],SamplingData[[#This Row],[Batch by Type (p)]]), 0)</f>
        <v>0</v>
      </c>
    </row>
    <row r="2136" spans="1:24" ht="15" customHeight="1">
      <c r="A2136" s="18" t="s">
        <v>2312</v>
      </c>
      <c r="B2136" s="18">
        <v>12</v>
      </c>
      <c r="C2136" s="18">
        <v>26</v>
      </c>
      <c r="D2136" s="18">
        <v>4</v>
      </c>
      <c r="E2136" s="18">
        <v>0</v>
      </c>
      <c r="F2136" s="18">
        <v>1</v>
      </c>
      <c r="G2136" s="18">
        <v>0</v>
      </c>
      <c r="H2136" s="18">
        <v>0</v>
      </c>
      <c r="I2136" s="18">
        <v>0</v>
      </c>
      <c r="J2136" s="99">
        <f>SUM(SamplingData[[#This Row],[Losing Candidate]:[Under Votes]])</f>
        <v>43</v>
      </c>
      <c r="K2136" s="100">
        <f>IF(AND(SamplingData[[#This Row],[Total]]&lt;&gt; 0, NOT(ISBLANK(SamplingData[[#This Row],[Losing Candidate]]))),(SamplingData[[#This Row],[Total]]+SamplingData[[#This Row],[Winning Candidate]]-SamplingData[[#This Row],[Losing Candidate]])/(SamplingData[[#Totals],[Winning Candidate]]-SamplingData[[#Totals],[Losing Candidate]]), 0)</f>
        <v>3.4909358157765801E-3</v>
      </c>
      <c r="L2136" s="100">
        <f>IF(AND(SamplingData[[#This Row],[Total]]&lt;&gt; 0, NOT(ISBLANK(SamplingData[[#This Row],[Candidate 3]]))),(SamplingData[[#This Row],[Total]]+SamplingData[[#This Row],[Winning Candidate]]-SamplingData[[#This Row],[Candidate 3]])/(SamplingData[[#Totals],[Winning Candidate]]-SamplingData[[#Totals],[Candidate 3]]), 0)</f>
        <v>2.0969771268187242E-3</v>
      </c>
      <c r="M2136" s="100">
        <f>IF(AND(SamplingData[[#This Row],[Total]]&lt;&gt; 0, NOT(ISBLANK(SamplingData[[#This Row],[Candidate 4]]))),(SamplingData[[#This Row],[Total]]+SamplingData[[#This Row],[Winning Candidate]]-SamplingData[[#This Row],[Candidate 4]])/(SamplingData[[#Totals],[Winning Candidate]]-SamplingData[[#Totals],[Candidate 4]]), 0)</f>
        <v>2.0170130667368238E-3</v>
      </c>
      <c r="N2136" s="100">
        <f>IF(AND(SamplingData[[#This Row],[Total]]&lt;&gt; 0, NOT(ISBLANK(SamplingData[[#This Row],[Candidate 5]]))),(SamplingData[[#This Row],[Total]]+SamplingData[[#This Row],[Winning Candidate]]-SamplingData[[#This Row],[Candidate 5]])/(SamplingData[[#Totals],[Winning Candidate]]-SamplingData[[#Totals],[Candidate 5]]), 0)</f>
        <v>1.6540987594259305E-3</v>
      </c>
      <c r="O2136" s="100">
        <f>IF(AND(SamplingData[[#This Row],[Total]]&lt;&gt; 0, NOT(ISBLANK(SamplingData[[#This Row],[Candidate 6]]))),(SamplingData[[#This Row],[Total]]+SamplingData[[#This Row],[Winning Candidate]]-SamplingData[[#This Row],[Candidate 6]])/(SamplingData[[#Totals],[Winning Candidate]]-SamplingData[[#Totals],[Candidate 6]]), 0)</f>
        <v>1.6779339526287631E-3</v>
      </c>
      <c r="P2136" s="100">
        <f>MAX(SamplingData[[#This Row],[Error Bound (up) - Max. possible relative overstatement - Losing Candidate]:[Error Bound (up) - Max. possible relative overstatement - Candidate 6]])</f>
        <v>3.4909358157765801E-3</v>
      </c>
      <c r="Q2136" s="100">
        <f>IF(SamplingData[[#This Row],[Max Error Bound (up)]] = 0,0,SamplingData[[#This Row],[Max Error Bound (up)]]/SamplingData[[#Totals],[Max Error Bound (up)]])</f>
        <v>5.5249805187141245E-4</v>
      </c>
      <c r="R2136" s="101">
        <f>SUM($Q$5:Q2136)</f>
        <v>0.96654963549108308</v>
      </c>
      <c r="S2136" s="100" t="str">
        <f t="array" ref="S2136">IF(SamplingData[[#This Row],[up/U Selection Probability]] = 0, "Zero", TEXT(SamplingData[[#This Row],[Lower Range]], REPT("0",LEN('General Info'!$B$40))) &amp; " - " &amp; TEXT(SamplingData[[#This Row],[Upper Range]], REPT("0",LEN('General Info'!$B$40))))</f>
        <v>96600 - 96654</v>
      </c>
      <c r="T2136" s="100">
        <f>SamplingData[[#This Row],[Upper Range]]-SamplingData[[#This Row],[Span]]</f>
        <v>96599.714296419217</v>
      </c>
      <c r="U2136" s="100">
        <f>IF(ISNUMBER('General Info'!$B$40), ((SamplingData[[#This Row],[up/U Selection Probability]]) * 'General Info'!$B$40) - 1, 0)</f>
        <v>54.249252689089374</v>
      </c>
      <c r="V2136" s="100">
        <f>IF(ISNUMBER('General Info'!$B$40), (SamplingData[[#This Row],[Running (cumulative) sum]] * ('General Info'!$B$40 -'General Info'!$B$41 + 1)) + 'General Info'!$B$41 - 1, 0)</f>
        <v>96653.963549108303</v>
      </c>
      <c r="W2136" s="100" t="str">
        <f>IF(ISERROR(MATCH(SamplingData[[#This Row],[Batch by Type (p)]],SelectedPrecincts[Batch Name], 0)), "", INDEX(SelectedPrecincts[Draw], MATCH(SamplingData[[#This Row],[Batch by Type (p)]],SelectedPrecincts[Batch Name], 0)))</f>
        <v/>
      </c>
      <c r="X2136" s="102">
        <f>IF(COUNTIF(SelectedPrecincts[Batch Name],SamplingData[[#This Row],[Batch by Type (p)]]) &lt;&gt; 0, COUNTIF(SelectedPrecincts[Batch Name],SamplingData[[#This Row],[Batch by Type (p)]]), 0)</f>
        <v>0</v>
      </c>
    </row>
    <row r="2137" spans="1:24" ht="15" customHeight="1">
      <c r="A2137" s="18" t="s">
        <v>2313</v>
      </c>
      <c r="B2137" s="18">
        <v>13</v>
      </c>
      <c r="C2137" s="18">
        <v>38</v>
      </c>
      <c r="D2137" s="16">
        <v>8</v>
      </c>
      <c r="E2137" s="16">
        <v>8</v>
      </c>
      <c r="F2137" s="37">
        <v>0</v>
      </c>
      <c r="G2137" s="37">
        <v>0</v>
      </c>
      <c r="H2137" s="17">
        <v>0</v>
      </c>
      <c r="I2137" s="17">
        <v>0</v>
      </c>
      <c r="J2137" s="99">
        <f>SUM(SamplingData[[#This Row],[Losing Candidate]:[Under Votes]])</f>
        <v>67</v>
      </c>
      <c r="K2137" s="100">
        <f>IF(AND(SamplingData[[#This Row],[Total]]&lt;&gt; 0, NOT(ISBLANK(SamplingData[[#This Row],[Losing Candidate]]))),(SamplingData[[#This Row],[Total]]+SamplingData[[#This Row],[Winning Candidate]]-SamplingData[[#This Row],[Losing Candidate]])/(SamplingData[[#Totals],[Winning Candidate]]-SamplingData[[#Totals],[Losing Candidate]]), 0)</f>
        <v>5.6344928956393921E-3</v>
      </c>
      <c r="L2137" s="100">
        <f>IF(AND(SamplingData[[#This Row],[Total]]&lt;&gt; 0, NOT(ISBLANK(SamplingData[[#This Row],[Candidate 3]]))),(SamplingData[[#This Row],[Total]]+SamplingData[[#This Row],[Winning Candidate]]-SamplingData[[#This Row],[Candidate 3]])/(SamplingData[[#Totals],[Winning Candidate]]-SamplingData[[#Totals],[Candidate 3]]), 0)</f>
        <v>3.1293350969448658E-3</v>
      </c>
      <c r="M2137" s="100">
        <f>IF(AND(SamplingData[[#This Row],[Total]]&lt;&gt; 0, NOT(ISBLANK(SamplingData[[#This Row],[Candidate 4]]))),(SamplingData[[#This Row],[Total]]+SamplingData[[#This Row],[Winning Candidate]]-SamplingData[[#This Row],[Candidate 4]])/(SamplingData[[#Totals],[Winning Candidate]]-SamplingData[[#Totals],[Candidate 4]]), 0)</f>
        <v>2.8355111228039404E-3</v>
      </c>
      <c r="N2137" s="100">
        <f>IF(AND(SamplingData[[#This Row],[Total]]&lt;&gt; 0, NOT(ISBLANK(SamplingData[[#This Row],[Candidate 5]]))),(SamplingData[[#This Row],[Total]]+SamplingData[[#This Row],[Winning Candidate]]-SamplingData[[#This Row],[Candidate 5]])/(SamplingData[[#Totals],[Winning Candidate]]-SamplingData[[#Totals],[Candidate 5]]), 0)</f>
        <v>2.5541230844076867E-3</v>
      </c>
      <c r="O2137" s="100">
        <f>IF(AND(SamplingData[[#This Row],[Total]]&lt;&gt; 0, NOT(ISBLANK(SamplingData[[#This Row],[Candidate 6]]))),(SamplingData[[#This Row],[Total]]+SamplingData[[#This Row],[Winning Candidate]]-SamplingData[[#This Row],[Candidate 6]])/(SamplingData[[#Totals],[Winning Candidate]]-SamplingData[[#Totals],[Candidate 6]]), 0)</f>
        <v>2.5533777540002918E-3</v>
      </c>
      <c r="P2137" s="100">
        <f>MAX(SamplingData[[#This Row],[Error Bound (up) - Max. possible relative overstatement - Losing Candidate]:[Error Bound (up) - Max. possible relative overstatement - Candidate 6]])</f>
        <v>5.6344928956393921E-3</v>
      </c>
      <c r="Q2137" s="100">
        <f>IF(SamplingData[[#This Row],[Max Error Bound (up)]] = 0,0,SamplingData[[#This Row],[Max Error Bound (up)]]/SamplingData[[#Totals],[Max Error Bound (up)]])</f>
        <v>8.9175124161701641E-4</v>
      </c>
      <c r="R2137" s="101">
        <f>SUM($Q$5:Q2137)</f>
        <v>0.96744138673270008</v>
      </c>
      <c r="S2137" s="100" t="str">
        <f t="array" ref="S2137">IF(SamplingData[[#This Row],[up/U Selection Probability]] = 0, "Zero", TEXT(SamplingData[[#This Row],[Lower Range]], REPT("0",LEN('General Info'!$B$40))) &amp; " - " &amp; TEXT(SamplingData[[#This Row],[Upper Range]], REPT("0",LEN('General Info'!$B$40))))</f>
        <v>96655 - 96743</v>
      </c>
      <c r="T2137" s="100">
        <f>SamplingData[[#This Row],[Upper Range]]-SamplingData[[#This Row],[Span]]</f>
        <v>96654.964440859549</v>
      </c>
      <c r="U2137" s="100">
        <f>IF(ISNUMBER('General Info'!$B$40), ((SamplingData[[#This Row],[up/U Selection Probability]]) * 'General Info'!$B$40) - 1, 0)</f>
        <v>88.174232410460021</v>
      </c>
      <c r="V2137" s="100">
        <f>IF(ISNUMBER('General Info'!$B$40), (SamplingData[[#This Row],[Running (cumulative) sum]] * ('General Info'!$B$40 -'General Info'!$B$41 + 1)) + 'General Info'!$B$41 - 1, 0)</f>
        <v>96743.138673270005</v>
      </c>
      <c r="W2137" s="100" t="str">
        <f>IF(ISERROR(MATCH(SamplingData[[#This Row],[Batch by Type (p)]],SelectedPrecincts[Batch Name], 0)), "", INDEX(SelectedPrecincts[Draw], MATCH(SamplingData[[#This Row],[Batch by Type (p)]],SelectedPrecincts[Batch Name], 0)))</f>
        <v/>
      </c>
      <c r="X2137" s="102">
        <f>IF(COUNTIF(SelectedPrecincts[Batch Name],SamplingData[[#This Row],[Batch by Type (p)]]) &lt;&gt; 0, COUNTIF(SelectedPrecincts[Batch Name],SamplingData[[#This Row],[Batch by Type (p)]]), 0)</f>
        <v>0</v>
      </c>
    </row>
    <row r="2138" spans="1:24" ht="15" customHeight="1">
      <c r="A2138" s="18" t="s">
        <v>2314</v>
      </c>
      <c r="B2138" s="18">
        <v>10</v>
      </c>
      <c r="C2138" s="18">
        <v>20</v>
      </c>
      <c r="D2138" s="18">
        <v>8</v>
      </c>
      <c r="E2138" s="18">
        <v>1</v>
      </c>
      <c r="F2138" s="18">
        <v>0</v>
      </c>
      <c r="G2138" s="18">
        <v>1</v>
      </c>
      <c r="H2138" s="18">
        <v>0</v>
      </c>
      <c r="I2138" s="18">
        <v>3</v>
      </c>
      <c r="J2138" s="99">
        <f>SUM(SamplingData[[#This Row],[Losing Candidate]:[Under Votes]])</f>
        <v>43</v>
      </c>
      <c r="K2138" s="100">
        <f>IF(AND(SamplingData[[#This Row],[Total]]&lt;&gt; 0, NOT(ISBLANK(SamplingData[[#This Row],[Losing Candidate]]))),(SamplingData[[#This Row],[Total]]+SamplingData[[#This Row],[Winning Candidate]]-SamplingData[[#This Row],[Losing Candidate]])/(SamplingData[[#Totals],[Winning Candidate]]-SamplingData[[#Totals],[Losing Candidate]]), 0)</f>
        <v>3.2459578637922589E-3</v>
      </c>
      <c r="L2138" s="100">
        <f>IF(AND(SamplingData[[#This Row],[Total]]&lt;&gt; 0, NOT(ISBLANK(SamplingData[[#This Row],[Candidate 3]]))),(SamplingData[[#This Row],[Total]]+SamplingData[[#This Row],[Winning Candidate]]-SamplingData[[#This Row],[Candidate 3]])/(SamplingData[[#Totals],[Winning Candidate]]-SamplingData[[#Totals],[Candidate 3]]), 0)</f>
        <v>1.7743652611543052E-3</v>
      </c>
      <c r="M2138" s="100">
        <f>IF(AND(SamplingData[[#This Row],[Total]]&lt;&gt; 0, NOT(ISBLANK(SamplingData[[#This Row],[Candidate 4]]))),(SamplingData[[#This Row],[Total]]+SamplingData[[#This Row],[Winning Candidate]]-SamplingData[[#This Row],[Candidate 4]])/(SamplingData[[#Totals],[Winning Candidate]]-SamplingData[[#Totals],[Candidate 4]]), 0)</f>
        <v>1.8123885527200445E-3</v>
      </c>
      <c r="N2138" s="100">
        <f>IF(AND(SamplingData[[#This Row],[Total]]&lt;&gt; 0, NOT(ISBLANK(SamplingData[[#This Row],[Candidate 5]]))),(SamplingData[[#This Row],[Total]]+SamplingData[[#This Row],[Winning Candidate]]-SamplingData[[#This Row],[Candidate 5]])/(SamplingData[[#Totals],[Winning Candidate]]-SamplingData[[#Totals],[Candidate 5]]), 0)</f>
        <v>1.5324738506446119E-3</v>
      </c>
      <c r="O2138" s="100">
        <f>IF(AND(SamplingData[[#This Row],[Total]]&lt;&gt; 0, NOT(ISBLANK(SamplingData[[#This Row],[Candidate 6]]))),(SamplingData[[#This Row],[Total]]+SamplingData[[#This Row],[Winning Candidate]]-SamplingData[[#This Row],[Candidate 6]])/(SamplingData[[#Totals],[Winning Candidate]]-SamplingData[[#Totals],[Candidate 6]]), 0)</f>
        <v>1.5077087690287436E-3</v>
      </c>
      <c r="P2138" s="100">
        <f>MAX(SamplingData[[#This Row],[Error Bound (up) - Max. possible relative overstatement - Losing Candidate]:[Error Bound (up) - Max. possible relative overstatement - Candidate 6]])</f>
        <v>3.2459578637922589E-3</v>
      </c>
      <c r="Q2138" s="100">
        <f>IF(SamplingData[[#This Row],[Max Error Bound (up)]] = 0,0,SamplingData[[#This Row],[Max Error Bound (up)]]/SamplingData[[#Totals],[Max Error Bound (up)]])</f>
        <v>5.1372625875762909E-4</v>
      </c>
      <c r="R2138" s="101">
        <f>SUM($Q$5:Q2138)</f>
        <v>0.96795511299145776</v>
      </c>
      <c r="S2138" s="100" t="str">
        <f t="array" ref="S2138">IF(SamplingData[[#This Row],[up/U Selection Probability]] = 0, "Zero", TEXT(SamplingData[[#This Row],[Lower Range]], REPT("0",LEN('General Info'!$B$40))) &amp; " - " &amp; TEXT(SamplingData[[#This Row],[Upper Range]], REPT("0",LEN('General Info'!$B$40))))</f>
        <v>96744 - 96795</v>
      </c>
      <c r="T2138" s="100">
        <f>SamplingData[[#This Row],[Upper Range]]-SamplingData[[#This Row],[Span]]</f>
        <v>96744.139186996268</v>
      </c>
      <c r="U2138" s="100">
        <f>IF(ISNUMBER('General Info'!$B$40), ((SamplingData[[#This Row],[up/U Selection Probability]]) * 'General Info'!$B$40) - 1, 0)</f>
        <v>50.372112149504154</v>
      </c>
      <c r="V2138" s="100">
        <f>IF(ISNUMBER('General Info'!$B$40), (SamplingData[[#This Row],[Running (cumulative) sum]] * ('General Info'!$B$40 -'General Info'!$B$41 + 1)) + 'General Info'!$B$41 - 1, 0)</f>
        <v>96794.511299145772</v>
      </c>
      <c r="W2138" s="100" t="str">
        <f>IF(ISERROR(MATCH(SamplingData[[#This Row],[Batch by Type (p)]],SelectedPrecincts[Batch Name], 0)), "", INDEX(SelectedPrecincts[Draw], MATCH(SamplingData[[#This Row],[Batch by Type (p)]],SelectedPrecincts[Batch Name], 0)))</f>
        <v/>
      </c>
      <c r="X2138" s="102">
        <f>IF(COUNTIF(SelectedPrecincts[Batch Name],SamplingData[[#This Row],[Batch by Type (p)]]) &lt;&gt; 0, COUNTIF(SelectedPrecincts[Batch Name],SamplingData[[#This Row],[Batch by Type (p)]]), 0)</f>
        <v>0</v>
      </c>
    </row>
    <row r="2139" spans="1:24" ht="15" customHeight="1">
      <c r="A2139" s="18" t="s">
        <v>2315</v>
      </c>
      <c r="B2139" s="18">
        <v>7</v>
      </c>
      <c r="C2139" s="18">
        <v>10</v>
      </c>
      <c r="D2139" s="16">
        <v>5</v>
      </c>
      <c r="E2139" s="16">
        <v>7</v>
      </c>
      <c r="F2139" s="37">
        <v>0</v>
      </c>
      <c r="G2139" s="37">
        <v>0</v>
      </c>
      <c r="H2139" s="17">
        <v>0</v>
      </c>
      <c r="I2139" s="17">
        <v>0</v>
      </c>
      <c r="J2139" s="99">
        <f>SUM(SamplingData[[#This Row],[Losing Candidate]:[Under Votes]])</f>
        <v>29</v>
      </c>
      <c r="K2139" s="100">
        <f>IF(AND(SamplingData[[#This Row],[Total]]&lt;&gt; 0, NOT(ISBLANK(SamplingData[[#This Row],[Losing Candidate]]))),(SamplingData[[#This Row],[Total]]+SamplingData[[#This Row],[Winning Candidate]]-SamplingData[[#This Row],[Losing Candidate]])/(SamplingData[[#Totals],[Winning Candidate]]-SamplingData[[#Totals],[Losing Candidate]]), 0)</f>
        <v>1.9598236158745713E-3</v>
      </c>
      <c r="L2139" s="100">
        <f>IF(AND(SamplingData[[#This Row],[Total]]&lt;&gt; 0, NOT(ISBLANK(SamplingData[[#This Row],[Candidate 3]]))),(SamplingData[[#This Row],[Total]]+SamplingData[[#This Row],[Winning Candidate]]-SamplingData[[#This Row],[Candidate 3]])/(SamplingData[[#Totals],[Winning Candidate]]-SamplingData[[#Totals],[Candidate 3]]), 0)</f>
        <v>1.0968803432590251E-3</v>
      </c>
      <c r="M2139" s="100">
        <f>IF(AND(SamplingData[[#This Row],[Total]]&lt;&gt; 0, NOT(ISBLANK(SamplingData[[#This Row],[Candidate 4]]))),(SamplingData[[#This Row],[Total]]+SamplingData[[#This Row],[Winning Candidate]]-SamplingData[[#This Row],[Candidate 4]])/(SamplingData[[#Totals],[Winning Candidate]]-SamplingData[[#Totals],[Candidate 4]]), 0)</f>
        <v>9.3542634979099071E-4</v>
      </c>
      <c r="N2139" s="100">
        <f>IF(AND(SamplingData[[#This Row],[Total]]&lt;&gt; 0, NOT(ISBLANK(SamplingData[[#This Row],[Candidate 5]]))),(SamplingData[[#This Row],[Total]]+SamplingData[[#This Row],[Winning Candidate]]-SamplingData[[#This Row],[Candidate 5]])/(SamplingData[[#Totals],[Winning Candidate]]-SamplingData[[#Totals],[Candidate 5]]), 0)</f>
        <v>9.4867428849428363E-4</v>
      </c>
      <c r="O2139" s="100">
        <f>IF(AND(SamplingData[[#This Row],[Total]]&lt;&gt; 0, NOT(ISBLANK(SamplingData[[#This Row],[Candidate 6]]))),(SamplingData[[#This Row],[Total]]+SamplingData[[#This Row],[Winning Candidate]]-SamplingData[[#This Row],[Candidate 6]])/(SamplingData[[#Totals],[Winning Candidate]]-SamplingData[[#Totals],[Candidate 6]]), 0)</f>
        <v>9.4839745148582271E-4</v>
      </c>
      <c r="P2139" s="100">
        <f>MAX(SamplingData[[#This Row],[Error Bound (up) - Max. possible relative overstatement - Losing Candidate]:[Error Bound (up) - Max. possible relative overstatement - Candidate 6]])</f>
        <v>1.9598236158745713E-3</v>
      </c>
      <c r="Q2139" s="100">
        <f>IF(SamplingData[[#This Row],[Max Error Bound (up)]] = 0,0,SamplingData[[#This Row],[Max Error Bound (up)]]/SamplingData[[#Totals],[Max Error Bound (up)]])</f>
        <v>3.1017434491026661E-4</v>
      </c>
      <c r="R2139" s="101">
        <f>SUM($Q$5:Q2139)</f>
        <v>0.96826528733636807</v>
      </c>
      <c r="S2139" s="100" t="str">
        <f t="array" ref="S2139">IF(SamplingData[[#This Row],[up/U Selection Probability]] = 0, "Zero", TEXT(SamplingData[[#This Row],[Lower Range]], REPT("0",LEN('General Info'!$B$40))) &amp; " - " &amp; TEXT(SamplingData[[#This Row],[Upper Range]], REPT("0",LEN('General Info'!$B$40))))</f>
        <v>96796 - 96826</v>
      </c>
      <c r="T2139" s="100">
        <f>SamplingData[[#This Row],[Upper Range]]-SamplingData[[#This Row],[Span]]</f>
        <v>96795.511609320121</v>
      </c>
      <c r="U2139" s="100">
        <f>IF(ISNUMBER('General Info'!$B$40), ((SamplingData[[#This Row],[up/U Selection Probability]]) * 'General Info'!$B$40) - 1, 0)</f>
        <v>30.017124316681752</v>
      </c>
      <c r="V2139" s="100">
        <f>IF(ISNUMBER('General Info'!$B$40), (SamplingData[[#This Row],[Running (cumulative) sum]] * ('General Info'!$B$40 -'General Info'!$B$41 + 1)) + 'General Info'!$B$41 - 1, 0)</f>
        <v>96825.528733636806</v>
      </c>
      <c r="W2139" s="100" t="str">
        <f>IF(ISERROR(MATCH(SamplingData[[#This Row],[Batch by Type (p)]],SelectedPrecincts[Batch Name], 0)), "", INDEX(SelectedPrecincts[Draw], MATCH(SamplingData[[#This Row],[Batch by Type (p)]],SelectedPrecincts[Batch Name], 0)))</f>
        <v/>
      </c>
      <c r="X2139" s="102">
        <f>IF(COUNTIF(SelectedPrecincts[Batch Name],SamplingData[[#This Row],[Batch by Type (p)]]) &lt;&gt; 0, COUNTIF(SelectedPrecincts[Batch Name],SamplingData[[#This Row],[Batch by Type (p)]]), 0)</f>
        <v>0</v>
      </c>
    </row>
    <row r="2140" spans="1:24" ht="15" customHeight="1">
      <c r="A2140" s="18" t="s">
        <v>2316</v>
      </c>
      <c r="B2140" s="18">
        <v>2</v>
      </c>
      <c r="C2140" s="18">
        <v>3</v>
      </c>
      <c r="D2140" s="18">
        <v>1</v>
      </c>
      <c r="E2140" s="18">
        <v>0</v>
      </c>
      <c r="F2140" s="18">
        <v>0</v>
      </c>
      <c r="G2140" s="18">
        <v>0</v>
      </c>
      <c r="H2140" s="18">
        <v>0</v>
      </c>
      <c r="I2140" s="18">
        <v>0</v>
      </c>
      <c r="J2140" s="99">
        <f>SUM(SamplingData[[#This Row],[Losing Candidate]:[Under Votes]])</f>
        <v>6</v>
      </c>
      <c r="K2140" s="100">
        <f>IF(AND(SamplingData[[#This Row],[Total]]&lt;&gt; 0, NOT(ISBLANK(SamplingData[[#This Row],[Losing Candidate]]))),(SamplingData[[#This Row],[Total]]+SamplingData[[#This Row],[Winning Candidate]]-SamplingData[[#This Row],[Losing Candidate]])/(SamplingData[[#Totals],[Winning Candidate]]-SamplingData[[#Totals],[Losing Candidate]]), 0)</f>
        <v>4.2871141597256246E-4</v>
      </c>
      <c r="L2140" s="100">
        <f>IF(AND(SamplingData[[#This Row],[Total]]&lt;&gt; 0, NOT(ISBLANK(SamplingData[[#This Row],[Candidate 3]]))),(SamplingData[[#This Row],[Total]]+SamplingData[[#This Row],[Winning Candidate]]-SamplingData[[#This Row],[Candidate 3]])/(SamplingData[[#Totals],[Winning Candidate]]-SamplingData[[#Totals],[Candidate 3]]), 0)</f>
        <v>2.5808949253153533E-4</v>
      </c>
      <c r="M2140" s="100">
        <f>IF(AND(SamplingData[[#This Row],[Total]]&lt;&gt; 0, NOT(ISBLANK(SamplingData[[#This Row],[Candidate 4]]))),(SamplingData[[#This Row],[Total]]+SamplingData[[#This Row],[Winning Candidate]]-SamplingData[[#This Row],[Candidate 4]])/(SamplingData[[#Totals],[Winning Candidate]]-SamplingData[[#Totals],[Candidate 4]]), 0)</f>
        <v>2.6308866087871614E-4</v>
      </c>
      <c r="N2140" s="100">
        <f>IF(AND(SamplingData[[#This Row],[Total]]&lt;&gt; 0, NOT(ISBLANK(SamplingData[[#This Row],[Candidate 5]]))),(SamplingData[[#This Row],[Total]]+SamplingData[[#This Row],[Winning Candidate]]-SamplingData[[#This Row],[Candidate 5]])/(SamplingData[[#Totals],[Winning Candidate]]-SamplingData[[#Totals],[Candidate 5]]), 0)</f>
        <v>2.1892483580637315E-4</v>
      </c>
      <c r="O2140" s="100">
        <f>IF(AND(SamplingData[[#This Row],[Total]]&lt;&gt; 0, NOT(ISBLANK(SamplingData[[#This Row],[Candidate 6]]))),(SamplingData[[#This Row],[Total]]+SamplingData[[#This Row],[Winning Candidate]]-SamplingData[[#This Row],[Candidate 6]])/(SamplingData[[#Totals],[Winning Candidate]]-SamplingData[[#Totals],[Candidate 6]]), 0)</f>
        <v>2.1886095034288216E-4</v>
      </c>
      <c r="P2140" s="100">
        <f>MAX(SamplingData[[#This Row],[Error Bound (up) - Max. possible relative overstatement - Losing Candidate]:[Error Bound (up) - Max. possible relative overstatement - Candidate 6]])</f>
        <v>4.2871141597256246E-4</v>
      </c>
      <c r="Q2140" s="100">
        <f>IF(SamplingData[[#This Row],[Max Error Bound (up)]] = 0,0,SamplingData[[#This Row],[Max Error Bound (up)]]/SamplingData[[#Totals],[Max Error Bound (up)]])</f>
        <v>6.7850637949120826E-5</v>
      </c>
      <c r="R2140" s="101">
        <f>SUM($Q$5:Q2140)</f>
        <v>0.96833313797431719</v>
      </c>
      <c r="S2140" s="100" t="str">
        <f t="array" ref="S2140">IF(SamplingData[[#This Row],[up/U Selection Probability]] = 0, "Zero", TEXT(SamplingData[[#This Row],[Lower Range]], REPT("0",LEN('General Info'!$B$40))) &amp; " - " &amp; TEXT(SamplingData[[#This Row],[Upper Range]], REPT("0",LEN('General Info'!$B$40))))</f>
        <v>96827 - 96832</v>
      </c>
      <c r="T2140" s="100">
        <f>SamplingData[[#This Row],[Upper Range]]-SamplingData[[#This Row],[Span]]</f>
        <v>96826.528801487453</v>
      </c>
      <c r="U2140" s="100">
        <f>IF(ISNUMBER('General Info'!$B$40), ((SamplingData[[#This Row],[up/U Selection Probability]]) * 'General Info'!$B$40) - 1, 0)</f>
        <v>5.7849959442741339</v>
      </c>
      <c r="V2140" s="100">
        <f>IF(ISNUMBER('General Info'!$B$40), (SamplingData[[#This Row],[Running (cumulative) sum]] * ('General Info'!$B$40 -'General Info'!$B$41 + 1)) + 'General Info'!$B$41 - 1, 0)</f>
        <v>96832.313797431721</v>
      </c>
      <c r="W2140" s="100" t="str">
        <f>IF(ISERROR(MATCH(SamplingData[[#This Row],[Batch by Type (p)]],SelectedPrecincts[Batch Name], 0)), "", INDEX(SelectedPrecincts[Draw], MATCH(SamplingData[[#This Row],[Batch by Type (p)]],SelectedPrecincts[Batch Name], 0)))</f>
        <v/>
      </c>
      <c r="X2140" s="102">
        <f>IF(COUNTIF(SelectedPrecincts[Batch Name],SamplingData[[#This Row],[Batch by Type (p)]]) &lt;&gt; 0, COUNTIF(SelectedPrecincts[Batch Name],SamplingData[[#This Row],[Batch by Type (p)]]), 0)</f>
        <v>0</v>
      </c>
    </row>
    <row r="2141" spans="1:24" ht="15" customHeight="1">
      <c r="A2141" s="18" t="s">
        <v>2317</v>
      </c>
      <c r="B2141" s="18">
        <v>10</v>
      </c>
      <c r="C2141" s="18">
        <v>28</v>
      </c>
      <c r="D2141" s="16">
        <v>4</v>
      </c>
      <c r="E2141" s="16">
        <v>5</v>
      </c>
      <c r="F2141" s="37">
        <v>0</v>
      </c>
      <c r="G2141" s="37">
        <v>0</v>
      </c>
      <c r="H2141" s="17">
        <v>0</v>
      </c>
      <c r="I2141" s="17">
        <v>0</v>
      </c>
      <c r="J2141" s="99">
        <f>SUM(SamplingData[[#This Row],[Losing Candidate]:[Under Votes]])</f>
        <v>47</v>
      </c>
      <c r="K2141"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2141" s="100">
        <f>IF(AND(SamplingData[[#This Row],[Total]]&lt;&gt; 0, NOT(ISBLANK(SamplingData[[#This Row],[Candidate 3]]))),(SamplingData[[#This Row],[Total]]+SamplingData[[#This Row],[Winning Candidate]]-SamplingData[[#This Row],[Candidate 3]])/(SamplingData[[#Totals],[Winning Candidate]]-SamplingData[[#Totals],[Candidate 3]]), 0)</f>
        <v>2.2905442462173757E-3</v>
      </c>
      <c r="M2141" s="100">
        <f>IF(AND(SamplingData[[#This Row],[Total]]&lt;&gt; 0, NOT(ISBLANK(SamplingData[[#This Row],[Candidate 4]]))),(SamplingData[[#This Row],[Total]]+SamplingData[[#This Row],[Winning Candidate]]-SamplingData[[#This Row],[Candidate 4]])/(SamplingData[[#Totals],[Winning Candidate]]-SamplingData[[#Totals],[Candidate 4]]), 0)</f>
        <v>2.0462451401677922E-3</v>
      </c>
      <c r="N2141" s="100">
        <f>IF(AND(SamplingData[[#This Row],[Total]]&lt;&gt; 0, NOT(ISBLANK(SamplingData[[#This Row],[Candidate 5]]))),(SamplingData[[#This Row],[Total]]+SamplingData[[#This Row],[Winning Candidate]]-SamplingData[[#This Row],[Candidate 5]])/(SamplingData[[#Totals],[Winning Candidate]]-SamplingData[[#Totals],[Candidate 5]]), 0)</f>
        <v>1.8243736317197761E-3</v>
      </c>
      <c r="O2141" s="100">
        <f>IF(AND(SamplingData[[#This Row],[Total]]&lt;&gt; 0, NOT(ISBLANK(SamplingData[[#This Row],[Candidate 6]]))),(SamplingData[[#This Row],[Total]]+SamplingData[[#This Row],[Winning Candidate]]-SamplingData[[#This Row],[Candidate 6]])/(SamplingData[[#Totals],[Winning Candidate]]-SamplingData[[#Totals],[Candidate 6]]), 0)</f>
        <v>1.8238412528573513E-3</v>
      </c>
      <c r="P2141" s="100">
        <f>MAX(SamplingData[[#This Row],[Error Bound (up) - Max. possible relative overstatement - Losing Candidate]:[Error Bound (up) - Max. possible relative overstatement - Candidate 6]])</f>
        <v>3.9808917197452229E-3</v>
      </c>
      <c r="Q2141" s="100">
        <f>IF(SamplingData[[#This Row],[Max Error Bound (up)]] = 0,0,SamplingData[[#This Row],[Max Error Bound (up)]]/SamplingData[[#Totals],[Max Error Bound (up)]])</f>
        <v>6.3004163809897906E-4</v>
      </c>
      <c r="R2141" s="101">
        <f>SUM($Q$5:Q2141)</f>
        <v>0.96896317961241618</v>
      </c>
      <c r="S2141" s="100" t="str">
        <f t="array" ref="S2141">IF(SamplingData[[#This Row],[up/U Selection Probability]] = 0, "Zero", TEXT(SamplingData[[#This Row],[Lower Range]], REPT("0",LEN('General Info'!$B$40))) &amp; " - " &amp; TEXT(SamplingData[[#This Row],[Upper Range]], REPT("0",LEN('General Info'!$B$40))))</f>
        <v>96833 - 96895</v>
      </c>
      <c r="T2141" s="100">
        <f>SamplingData[[#This Row],[Upper Range]]-SamplingData[[#This Row],[Span]]</f>
        <v>96833.314427473349</v>
      </c>
      <c r="U2141" s="100">
        <f>IF(ISNUMBER('General Info'!$B$40), ((SamplingData[[#This Row],[up/U Selection Probability]]) * 'General Info'!$B$40) - 1, 0)</f>
        <v>62.003533768259807</v>
      </c>
      <c r="V2141" s="100">
        <f>IF(ISNUMBER('General Info'!$B$40), (SamplingData[[#This Row],[Running (cumulative) sum]] * ('General Info'!$B$40 -'General Info'!$B$41 + 1)) + 'General Info'!$B$41 - 1, 0)</f>
        <v>96895.317961241613</v>
      </c>
      <c r="W2141" s="100" t="str">
        <f>IF(ISERROR(MATCH(SamplingData[[#This Row],[Batch by Type (p)]],SelectedPrecincts[Batch Name], 0)), "", INDEX(SelectedPrecincts[Draw], MATCH(SamplingData[[#This Row],[Batch by Type (p)]],SelectedPrecincts[Batch Name], 0)))</f>
        <v/>
      </c>
      <c r="X2141" s="102">
        <f>IF(COUNTIF(SelectedPrecincts[Batch Name],SamplingData[[#This Row],[Batch by Type (p)]]) &lt;&gt; 0, COUNTIF(SelectedPrecincts[Batch Name],SamplingData[[#This Row],[Batch by Type (p)]]), 0)</f>
        <v>0</v>
      </c>
    </row>
    <row r="2142" spans="1:24" ht="15" customHeight="1">
      <c r="A2142" s="18" t="s">
        <v>2318</v>
      </c>
      <c r="B2142" s="18">
        <v>6</v>
      </c>
      <c r="C2142" s="18">
        <v>8</v>
      </c>
      <c r="D2142" s="18">
        <v>2</v>
      </c>
      <c r="E2142" s="18">
        <v>1</v>
      </c>
      <c r="F2142" s="18">
        <v>0</v>
      </c>
      <c r="G2142" s="18">
        <v>1</v>
      </c>
      <c r="H2142" s="18">
        <v>0</v>
      </c>
      <c r="I2142" s="18">
        <v>0</v>
      </c>
      <c r="J2142" s="99">
        <f>SUM(SamplingData[[#This Row],[Losing Candidate]:[Under Votes]])</f>
        <v>18</v>
      </c>
      <c r="K2142" s="100">
        <f>IF(AND(SamplingData[[#This Row],[Total]]&lt;&gt; 0, NOT(ISBLANK(SamplingData[[#This Row],[Losing Candidate]]))),(SamplingData[[#This Row],[Total]]+SamplingData[[#This Row],[Winning Candidate]]-SamplingData[[#This Row],[Losing Candidate]])/(SamplingData[[#Totals],[Winning Candidate]]-SamplingData[[#Totals],[Losing Candidate]]), 0)</f>
        <v>1.224889759921607E-3</v>
      </c>
      <c r="L2142" s="100">
        <f>IF(AND(SamplingData[[#This Row],[Total]]&lt;&gt; 0, NOT(ISBLANK(SamplingData[[#This Row],[Candidate 3]]))),(SamplingData[[#This Row],[Total]]+SamplingData[[#This Row],[Winning Candidate]]-SamplingData[[#This Row],[Candidate 3]])/(SamplingData[[#Totals],[Winning Candidate]]-SamplingData[[#Totals],[Candidate 3]]), 0)</f>
        <v>7.7426847759460595E-4</v>
      </c>
      <c r="M2142" s="100">
        <f>IF(AND(SamplingData[[#This Row],[Total]]&lt;&gt; 0, NOT(ISBLANK(SamplingData[[#This Row],[Candidate 4]]))),(SamplingData[[#This Row],[Total]]+SamplingData[[#This Row],[Winning Candidate]]-SamplingData[[#This Row],[Candidate 4]])/(SamplingData[[#Totals],[Winning Candidate]]-SamplingData[[#Totals],[Candidate 4]]), 0)</f>
        <v>7.3080183577421145E-4</v>
      </c>
      <c r="N2142" s="100">
        <f>IF(AND(SamplingData[[#This Row],[Total]]&lt;&gt; 0, NOT(ISBLANK(SamplingData[[#This Row],[Candidate 5]]))),(SamplingData[[#This Row],[Total]]+SamplingData[[#This Row],[Winning Candidate]]-SamplingData[[#This Row],[Candidate 5]])/(SamplingData[[#Totals],[Winning Candidate]]-SamplingData[[#Totals],[Candidate 5]]), 0)</f>
        <v>6.3244952566285579E-4</v>
      </c>
      <c r="O2142" s="100">
        <f>IF(AND(SamplingData[[#This Row],[Total]]&lt;&gt; 0, NOT(ISBLANK(SamplingData[[#This Row],[Candidate 6]]))),(SamplingData[[#This Row],[Total]]+SamplingData[[#This Row],[Winning Candidate]]-SamplingData[[#This Row],[Candidate 6]])/(SamplingData[[#Totals],[Winning Candidate]]-SamplingData[[#Totals],[Candidate 6]]), 0)</f>
        <v>6.0794708428578371E-4</v>
      </c>
      <c r="P2142" s="100">
        <f>MAX(SamplingData[[#This Row],[Error Bound (up) - Max. possible relative overstatement - Losing Candidate]:[Error Bound (up) - Max. possible relative overstatement - Candidate 6]])</f>
        <v>1.224889759921607E-3</v>
      </c>
      <c r="Q2142" s="100">
        <f>IF(SamplingData[[#This Row],[Max Error Bound (up)]] = 0,0,SamplingData[[#This Row],[Max Error Bound (up)]]/SamplingData[[#Totals],[Max Error Bound (up)]])</f>
        <v>1.9385896556891664E-4</v>
      </c>
      <c r="R2142" s="101">
        <f>SUM($Q$5:Q2142)</f>
        <v>0.96915703857798507</v>
      </c>
      <c r="S2142" s="100" t="str">
        <f t="array" ref="S2142">IF(SamplingData[[#This Row],[up/U Selection Probability]] = 0, "Zero", TEXT(SamplingData[[#This Row],[Lower Range]], REPT("0",LEN('General Info'!$B$40))) &amp; " - " &amp; TEXT(SamplingData[[#This Row],[Upper Range]], REPT("0",LEN('General Info'!$B$40))))</f>
        <v>96896 - 96915</v>
      </c>
      <c r="T2142" s="100">
        <f>SamplingData[[#This Row],[Upper Range]]-SamplingData[[#This Row],[Span]]</f>
        <v>96896.318155100584</v>
      </c>
      <c r="U2142" s="100">
        <f>IF(ISNUMBER('General Info'!$B$40), ((SamplingData[[#This Row],[up/U Selection Probability]]) * 'General Info'!$B$40) - 1, 0)</f>
        <v>18.385702697926096</v>
      </c>
      <c r="V2142" s="100">
        <f>IF(ISNUMBER('General Info'!$B$40), (SamplingData[[#This Row],[Running (cumulative) sum]] * ('General Info'!$B$40 -'General Info'!$B$41 + 1)) + 'General Info'!$B$41 - 1, 0)</f>
        <v>96914.703857798508</v>
      </c>
      <c r="W2142" s="100" t="str">
        <f>IF(ISERROR(MATCH(SamplingData[[#This Row],[Batch by Type (p)]],SelectedPrecincts[Batch Name], 0)), "", INDEX(SelectedPrecincts[Draw], MATCH(SamplingData[[#This Row],[Batch by Type (p)]],SelectedPrecincts[Batch Name], 0)))</f>
        <v/>
      </c>
      <c r="X2142" s="102">
        <f>IF(COUNTIF(SelectedPrecincts[Batch Name],SamplingData[[#This Row],[Batch by Type (p)]]) &lt;&gt; 0, COUNTIF(SelectedPrecincts[Batch Name],SamplingData[[#This Row],[Batch by Type (p)]]), 0)</f>
        <v>0</v>
      </c>
    </row>
    <row r="2143" spans="1:24" ht="15" customHeight="1">
      <c r="A2143" s="18" t="s">
        <v>2319</v>
      </c>
      <c r="B2143" s="18">
        <v>33</v>
      </c>
      <c r="C2143" s="18">
        <v>62</v>
      </c>
      <c r="D2143" s="16">
        <v>13</v>
      </c>
      <c r="E2143" s="16">
        <v>5</v>
      </c>
      <c r="F2143" s="37">
        <v>0</v>
      </c>
      <c r="G2143" s="37">
        <v>1</v>
      </c>
      <c r="H2143" s="17">
        <v>0</v>
      </c>
      <c r="I2143" s="17">
        <v>0</v>
      </c>
      <c r="J2143" s="99">
        <f>SUM(SamplingData[[#This Row],[Losing Candidate]:[Under Votes]])</f>
        <v>114</v>
      </c>
      <c r="K2143" s="100">
        <f>IF(AND(SamplingData[[#This Row],[Total]]&lt;&gt; 0, NOT(ISBLANK(SamplingData[[#This Row],[Losing Candidate]]))),(SamplingData[[#This Row],[Total]]+SamplingData[[#This Row],[Winning Candidate]]-SamplingData[[#This Row],[Losing Candidate]])/(SamplingData[[#Totals],[Winning Candidate]]-SamplingData[[#Totals],[Losing Candidate]]), 0)</f>
        <v>8.7579617834394902E-3</v>
      </c>
      <c r="L2143" s="100">
        <f>IF(AND(SamplingData[[#This Row],[Total]]&lt;&gt; 0, NOT(ISBLANK(SamplingData[[#This Row],[Candidate 3]]))),(SamplingData[[#This Row],[Total]]+SamplingData[[#This Row],[Winning Candidate]]-SamplingData[[#This Row],[Candidate 3]])/(SamplingData[[#Totals],[Winning Candidate]]-SamplingData[[#Totals],[Candidate 3]]), 0)</f>
        <v>5.258573410330032E-3</v>
      </c>
      <c r="M2143" s="100">
        <f>IF(AND(SamplingData[[#This Row],[Total]]&lt;&gt; 0, NOT(ISBLANK(SamplingData[[#This Row],[Candidate 4]]))),(SamplingData[[#This Row],[Total]]+SamplingData[[#This Row],[Winning Candidate]]-SamplingData[[#This Row],[Candidate 4]])/(SamplingData[[#Totals],[Winning Candidate]]-SamplingData[[#Totals],[Candidate 4]]), 0)</f>
        <v>4.998684556695606E-3</v>
      </c>
      <c r="N2143" s="100">
        <f>IF(AND(SamplingData[[#This Row],[Total]]&lt;&gt; 0, NOT(ISBLANK(SamplingData[[#This Row],[Candidate 5]]))),(SamplingData[[#This Row],[Total]]+SamplingData[[#This Row],[Winning Candidate]]-SamplingData[[#This Row],[Candidate 5]])/(SamplingData[[#Totals],[Winning Candidate]]-SamplingData[[#Totals],[Candidate 5]]), 0)</f>
        <v>4.2811967891024085E-3</v>
      </c>
      <c r="O2143" s="100">
        <f>IF(AND(SamplingData[[#This Row],[Total]]&lt;&gt; 0, NOT(ISBLANK(SamplingData[[#This Row],[Candidate 6]]))),(SamplingData[[#This Row],[Total]]+SamplingData[[#This Row],[Winning Candidate]]-SamplingData[[#This Row],[Candidate 6]])/(SamplingData[[#Totals],[Winning Candidate]]-SamplingData[[#Totals],[Candidate 6]]), 0)</f>
        <v>4.2556295900004863E-3</v>
      </c>
      <c r="P2143" s="100">
        <f>MAX(SamplingData[[#This Row],[Error Bound (up) - Max. possible relative overstatement - Losing Candidate]:[Error Bound (up) - Max. possible relative overstatement - Candidate 6]])</f>
        <v>8.7579617834394902E-3</v>
      </c>
      <c r="Q2143" s="100">
        <f>IF(SamplingData[[#This Row],[Max Error Bound (up)]] = 0,0,SamplingData[[#This Row],[Max Error Bound (up)]]/SamplingData[[#Totals],[Max Error Bound (up)]])</f>
        <v>1.3860916038177539E-3</v>
      </c>
      <c r="R2143" s="101">
        <f>SUM($Q$5:Q2143)</f>
        <v>0.97054313018180283</v>
      </c>
      <c r="S2143" s="100" t="str">
        <f t="array" ref="S2143">IF(SamplingData[[#This Row],[up/U Selection Probability]] = 0, "Zero", TEXT(SamplingData[[#This Row],[Lower Range]], REPT("0",LEN('General Info'!$B$40))) &amp; " - " &amp; TEXT(SamplingData[[#This Row],[Upper Range]], REPT("0",LEN('General Info'!$B$40))))</f>
        <v>96916 - 97053</v>
      </c>
      <c r="T2143" s="100">
        <f>SamplingData[[#This Row],[Upper Range]]-SamplingData[[#This Row],[Span]]</f>
        <v>96915.705243890116</v>
      </c>
      <c r="U2143" s="100">
        <f>IF(ISNUMBER('General Info'!$B$40), ((SamplingData[[#This Row],[up/U Selection Probability]]) * 'General Info'!$B$40) - 1, 0)</f>
        <v>137.60777429017156</v>
      </c>
      <c r="V2143" s="100">
        <f>IF(ISNUMBER('General Info'!$B$40), (SamplingData[[#This Row],[Running (cumulative) sum]] * ('General Info'!$B$40 -'General Info'!$B$41 + 1)) + 'General Info'!$B$41 - 1, 0)</f>
        <v>97053.313018180284</v>
      </c>
      <c r="W2143" s="100" t="str">
        <f>IF(ISERROR(MATCH(SamplingData[[#This Row],[Batch by Type (p)]],SelectedPrecincts[Batch Name], 0)), "", INDEX(SelectedPrecincts[Draw], MATCH(SamplingData[[#This Row],[Batch by Type (p)]],SelectedPrecincts[Batch Name], 0)))</f>
        <v/>
      </c>
      <c r="X2143" s="102">
        <f>IF(COUNTIF(SelectedPrecincts[Batch Name],SamplingData[[#This Row],[Batch by Type (p)]]) &lt;&gt; 0, COUNTIF(SelectedPrecincts[Batch Name],SamplingData[[#This Row],[Batch by Type (p)]]), 0)</f>
        <v>0</v>
      </c>
    </row>
    <row r="2144" spans="1:24" ht="15" customHeight="1">
      <c r="A2144" s="18" t="s">
        <v>2320</v>
      </c>
      <c r="B2144" s="18">
        <v>12</v>
      </c>
      <c r="C2144" s="18">
        <v>30</v>
      </c>
      <c r="D2144" s="18">
        <v>7</v>
      </c>
      <c r="E2144" s="18">
        <v>2</v>
      </c>
      <c r="F2144" s="18">
        <v>0</v>
      </c>
      <c r="G2144" s="18">
        <v>0</v>
      </c>
      <c r="H2144" s="18">
        <v>0</v>
      </c>
      <c r="I2144" s="18">
        <v>0</v>
      </c>
      <c r="J2144" s="99">
        <f>SUM(SamplingData[[#This Row],[Losing Candidate]:[Under Votes]])</f>
        <v>51</v>
      </c>
      <c r="K2144" s="100">
        <f>IF(AND(SamplingData[[#This Row],[Total]]&lt;&gt; 0, NOT(ISBLANK(SamplingData[[#This Row],[Losing Candidate]]))),(SamplingData[[#This Row],[Total]]+SamplingData[[#This Row],[Winning Candidate]]-SamplingData[[#This Row],[Losing Candidate]])/(SamplingData[[#Totals],[Winning Candidate]]-SamplingData[[#Totals],[Losing Candidate]]), 0)</f>
        <v>4.2258696717295445E-3</v>
      </c>
      <c r="L2144" s="100">
        <f>IF(AND(SamplingData[[#This Row],[Total]]&lt;&gt; 0, NOT(ISBLANK(SamplingData[[#This Row],[Candidate 3]]))),(SamplingData[[#This Row],[Total]]+SamplingData[[#This Row],[Winning Candidate]]-SamplingData[[#This Row],[Candidate 3]])/(SamplingData[[#Totals],[Winning Candidate]]-SamplingData[[#Totals],[Candidate 3]]), 0)</f>
        <v>2.3873278059167017E-3</v>
      </c>
      <c r="M2144" s="100">
        <f>IF(AND(SamplingData[[#This Row],[Total]]&lt;&gt; 0, NOT(ISBLANK(SamplingData[[#This Row],[Candidate 4]]))),(SamplingData[[#This Row],[Total]]+SamplingData[[#This Row],[Winning Candidate]]-SamplingData[[#This Row],[Candidate 4]])/(SamplingData[[#Totals],[Winning Candidate]]-SamplingData[[#Totals],[Candidate 4]]), 0)</f>
        <v>2.3093338010465084E-3</v>
      </c>
      <c r="N2144" s="100">
        <f>IF(AND(SamplingData[[#This Row],[Total]]&lt;&gt; 0, NOT(ISBLANK(SamplingData[[#This Row],[Candidate 5]]))),(SamplingData[[#This Row],[Total]]+SamplingData[[#This Row],[Winning Candidate]]-SamplingData[[#This Row],[Candidate 5]])/(SamplingData[[#Totals],[Winning Candidate]]-SamplingData[[#Totals],[Candidate 5]]), 0)</f>
        <v>1.9703235222573584E-3</v>
      </c>
      <c r="O2144" s="100">
        <f>IF(AND(SamplingData[[#This Row],[Total]]&lt;&gt; 0, NOT(ISBLANK(SamplingData[[#This Row],[Candidate 6]]))),(SamplingData[[#This Row],[Total]]+SamplingData[[#This Row],[Winning Candidate]]-SamplingData[[#This Row],[Candidate 6]])/(SamplingData[[#Totals],[Winning Candidate]]-SamplingData[[#Totals],[Candidate 6]]), 0)</f>
        <v>1.9697485530859394E-3</v>
      </c>
      <c r="P2144" s="100">
        <f>MAX(SamplingData[[#This Row],[Error Bound (up) - Max. possible relative overstatement - Losing Candidate]:[Error Bound (up) - Max. possible relative overstatement - Candidate 6]])</f>
        <v>4.2258696717295445E-3</v>
      </c>
      <c r="Q2144" s="100">
        <f>IF(SamplingData[[#This Row],[Max Error Bound (up)]] = 0,0,SamplingData[[#This Row],[Max Error Bound (up)]]/SamplingData[[#Totals],[Max Error Bound (up)]])</f>
        <v>6.6881343121276242E-4</v>
      </c>
      <c r="R2144" s="101">
        <f>SUM($Q$5:Q2144)</f>
        <v>0.97121194361301555</v>
      </c>
      <c r="S2144" s="100" t="str">
        <f t="array" ref="S2144">IF(SamplingData[[#This Row],[up/U Selection Probability]] = 0, "Zero", TEXT(SamplingData[[#This Row],[Lower Range]], REPT("0",LEN('General Info'!$B$40))) &amp; " - " &amp; TEXT(SamplingData[[#This Row],[Upper Range]], REPT("0",LEN('General Info'!$B$40))))</f>
        <v>97054 - 97120</v>
      </c>
      <c r="T2144" s="100">
        <f>SamplingData[[#This Row],[Upper Range]]-SamplingData[[#This Row],[Span]]</f>
        <v>97054.313686993715</v>
      </c>
      <c r="U2144" s="100">
        <f>IF(ISNUMBER('General Info'!$B$40), ((SamplingData[[#This Row],[up/U Selection Probability]]) * 'General Info'!$B$40) - 1, 0)</f>
        <v>65.880674307845027</v>
      </c>
      <c r="V2144" s="100">
        <f>IF(ISNUMBER('General Info'!$B$40), (SamplingData[[#This Row],[Running (cumulative) sum]] * ('General Info'!$B$40 -'General Info'!$B$41 + 1)) + 'General Info'!$B$41 - 1, 0)</f>
        <v>97120.194361301561</v>
      </c>
      <c r="W2144" s="100" t="str">
        <f>IF(ISERROR(MATCH(SamplingData[[#This Row],[Batch by Type (p)]],SelectedPrecincts[Batch Name], 0)), "", INDEX(SelectedPrecincts[Draw], MATCH(SamplingData[[#This Row],[Batch by Type (p)]],SelectedPrecincts[Batch Name], 0)))</f>
        <v/>
      </c>
      <c r="X2144" s="102">
        <f>IF(COUNTIF(SelectedPrecincts[Batch Name],SamplingData[[#This Row],[Batch by Type (p)]]) &lt;&gt; 0, COUNTIF(SelectedPrecincts[Batch Name],SamplingData[[#This Row],[Batch by Type (p)]]), 0)</f>
        <v>0</v>
      </c>
    </row>
    <row r="2145" spans="1:24" ht="15" customHeight="1">
      <c r="A2145" s="18" t="s">
        <v>2321</v>
      </c>
      <c r="B2145" s="18">
        <v>43</v>
      </c>
      <c r="C2145" s="18">
        <v>74</v>
      </c>
      <c r="D2145" s="16">
        <v>19</v>
      </c>
      <c r="E2145" s="16">
        <v>6</v>
      </c>
      <c r="F2145" s="37">
        <v>1</v>
      </c>
      <c r="G2145" s="37">
        <v>0</v>
      </c>
      <c r="H2145" s="17">
        <v>0</v>
      </c>
      <c r="I2145" s="17">
        <v>1</v>
      </c>
      <c r="J2145" s="99">
        <f>SUM(SamplingData[[#This Row],[Losing Candidate]:[Under Votes]])</f>
        <v>144</v>
      </c>
      <c r="K2145" s="100">
        <f>IF(AND(SamplingData[[#This Row],[Total]]&lt;&gt; 0, NOT(ISBLANK(SamplingData[[#This Row],[Losing Candidate]]))),(SamplingData[[#This Row],[Total]]+SamplingData[[#This Row],[Winning Candidate]]-SamplingData[[#This Row],[Losing Candidate]])/(SamplingData[[#Totals],[Winning Candidate]]-SamplingData[[#Totals],[Losing Candidate]]), 0)</f>
        <v>1.0717785399314061E-2</v>
      </c>
      <c r="L2145" s="100">
        <f>IF(AND(SamplingData[[#This Row],[Total]]&lt;&gt; 0, NOT(ISBLANK(SamplingData[[#This Row],[Candidate 3]]))),(SamplingData[[#This Row],[Total]]+SamplingData[[#This Row],[Winning Candidate]]-SamplingData[[#This Row],[Candidate 3]])/(SamplingData[[#Totals],[Winning Candidate]]-SamplingData[[#Totals],[Candidate 3]]), 0)</f>
        <v>6.4199761267219411E-3</v>
      </c>
      <c r="M2145" s="100">
        <f>IF(AND(SamplingData[[#This Row],[Total]]&lt;&gt; 0, NOT(ISBLANK(SamplingData[[#This Row],[Candidate 4]]))),(SamplingData[[#This Row],[Total]]+SamplingData[[#This Row],[Winning Candidate]]-SamplingData[[#This Row],[Candidate 4]])/(SamplingData[[#Totals],[Winning Candidate]]-SamplingData[[#Totals],[Candidate 4]]), 0)</f>
        <v>6.1971995673653132E-3</v>
      </c>
      <c r="N2145" s="100">
        <f>IF(AND(SamplingData[[#This Row],[Total]]&lt;&gt; 0, NOT(ISBLANK(SamplingData[[#This Row],[Candidate 5]]))),(SamplingData[[#This Row],[Total]]+SamplingData[[#This Row],[Winning Candidate]]-SamplingData[[#This Row],[Candidate 5]])/(SamplingData[[#Totals],[Winning Candidate]]-SamplingData[[#Totals],[Candidate 5]]), 0)</f>
        <v>5.2785210411092189E-3</v>
      </c>
      <c r="O2145" s="100">
        <f>IF(AND(SamplingData[[#This Row],[Total]]&lt;&gt; 0, NOT(ISBLANK(SamplingData[[#This Row],[Candidate 6]]))),(SamplingData[[#This Row],[Total]]+SamplingData[[#This Row],[Winning Candidate]]-SamplingData[[#This Row],[Candidate 6]])/(SamplingData[[#Totals],[Winning Candidate]]-SamplingData[[#Totals],[Candidate 6]]), 0)</f>
        <v>5.3012985749720347E-3</v>
      </c>
      <c r="P2145" s="100">
        <f>MAX(SamplingData[[#This Row],[Error Bound (up) - Max. possible relative overstatement - Losing Candidate]:[Error Bound (up) - Max. possible relative overstatement - Candidate 6]])</f>
        <v>1.0717785399314061E-2</v>
      </c>
      <c r="Q2145" s="100">
        <f>IF(SamplingData[[#This Row],[Max Error Bound (up)]] = 0,0,SamplingData[[#This Row],[Max Error Bound (up)]]/SamplingData[[#Totals],[Max Error Bound (up)]])</f>
        <v>1.6962659487280206E-3</v>
      </c>
      <c r="R2145" s="101">
        <f>SUM($Q$5:Q2145)</f>
        <v>0.97290820956174362</v>
      </c>
      <c r="S2145" s="100" t="str">
        <f t="array" ref="S2145">IF(SamplingData[[#This Row],[up/U Selection Probability]] = 0, "Zero", TEXT(SamplingData[[#This Row],[Lower Range]], REPT("0",LEN('General Info'!$B$40))) &amp; " - " &amp; TEXT(SamplingData[[#This Row],[Upper Range]], REPT("0",LEN('General Info'!$B$40))))</f>
        <v>97121 - 97290</v>
      </c>
      <c r="T2145" s="100">
        <f>SamplingData[[#This Row],[Upper Range]]-SamplingData[[#This Row],[Span]]</f>
        <v>97121.196057567504</v>
      </c>
      <c r="U2145" s="100">
        <f>IF(ISNUMBER('General Info'!$B$40), ((SamplingData[[#This Row],[up/U Selection Probability]]) * 'General Info'!$B$40) - 1, 0)</f>
        <v>168.62489860685332</v>
      </c>
      <c r="V2145" s="100">
        <f>IF(ISNUMBER('General Info'!$B$40), (SamplingData[[#This Row],[Running (cumulative) sum]] * ('General Info'!$B$40 -'General Info'!$B$41 + 1)) + 'General Info'!$B$41 - 1, 0)</f>
        <v>97289.820956174357</v>
      </c>
      <c r="W2145" s="100" t="str">
        <f>IF(ISERROR(MATCH(SamplingData[[#This Row],[Batch by Type (p)]],SelectedPrecincts[Batch Name], 0)), "", INDEX(SelectedPrecincts[Draw], MATCH(SamplingData[[#This Row],[Batch by Type (p)]],SelectedPrecincts[Batch Name], 0)))</f>
        <v/>
      </c>
      <c r="X2145" s="102">
        <f>IF(COUNTIF(SelectedPrecincts[Batch Name],SamplingData[[#This Row],[Batch by Type (p)]]) &lt;&gt; 0, COUNTIF(SelectedPrecincts[Batch Name],SamplingData[[#This Row],[Batch by Type (p)]]), 0)</f>
        <v>0</v>
      </c>
    </row>
    <row r="2146" spans="1:24" ht="15" customHeight="1">
      <c r="A2146" s="18" t="s">
        <v>2322</v>
      </c>
      <c r="B2146" s="18">
        <v>10</v>
      </c>
      <c r="C2146" s="18">
        <v>25</v>
      </c>
      <c r="D2146" s="18">
        <v>11</v>
      </c>
      <c r="E2146" s="18">
        <v>2</v>
      </c>
      <c r="F2146" s="18">
        <v>0</v>
      </c>
      <c r="G2146" s="18">
        <v>1</v>
      </c>
      <c r="H2146" s="18">
        <v>0</v>
      </c>
      <c r="I2146" s="18">
        <v>1</v>
      </c>
      <c r="J2146" s="99">
        <f>SUM(SamplingData[[#This Row],[Losing Candidate]:[Under Votes]])</f>
        <v>50</v>
      </c>
      <c r="K2146" s="100">
        <f>IF(AND(SamplingData[[#This Row],[Total]]&lt;&gt; 0, NOT(ISBLANK(SamplingData[[#This Row],[Losing Candidate]]))),(SamplingData[[#This Row],[Total]]+SamplingData[[#This Row],[Winning Candidate]]-SamplingData[[#This Row],[Losing Candidate]])/(SamplingData[[#Totals],[Winning Candidate]]-SamplingData[[#Totals],[Losing Candidate]]), 0)</f>
        <v>3.9808917197452229E-3</v>
      </c>
      <c r="L2146" s="100">
        <f>IF(AND(SamplingData[[#This Row],[Total]]&lt;&gt; 0, NOT(ISBLANK(SamplingData[[#This Row],[Candidate 3]]))),(SamplingData[[#This Row],[Total]]+SamplingData[[#This Row],[Winning Candidate]]-SamplingData[[#This Row],[Candidate 3]])/(SamplingData[[#Totals],[Winning Candidate]]-SamplingData[[#Totals],[Candidate 3]]), 0)</f>
        <v>2.0647159402522827E-3</v>
      </c>
      <c r="M2146" s="100">
        <f>IF(AND(SamplingData[[#This Row],[Total]]&lt;&gt; 0, NOT(ISBLANK(SamplingData[[#This Row],[Candidate 4]]))),(SamplingData[[#This Row],[Total]]+SamplingData[[#This Row],[Winning Candidate]]-SamplingData[[#This Row],[Candidate 4]])/(SamplingData[[#Totals],[Winning Candidate]]-SamplingData[[#Totals],[Candidate 4]]), 0)</f>
        <v>2.1339413604606976E-3</v>
      </c>
      <c r="N2146" s="100">
        <f>IF(AND(SamplingData[[#This Row],[Total]]&lt;&gt; 0, NOT(ISBLANK(SamplingData[[#This Row],[Candidate 5]]))),(SamplingData[[#This Row],[Total]]+SamplingData[[#This Row],[Winning Candidate]]-SamplingData[[#This Row],[Candidate 5]])/(SamplingData[[#Totals],[Winning Candidate]]-SamplingData[[#Totals],[Candidate 5]]), 0)</f>
        <v>1.8243736317197761E-3</v>
      </c>
      <c r="O2146" s="100">
        <f>IF(AND(SamplingData[[#This Row],[Total]]&lt;&gt; 0, NOT(ISBLANK(SamplingData[[#This Row],[Candidate 6]]))),(SamplingData[[#This Row],[Total]]+SamplingData[[#This Row],[Winning Candidate]]-SamplingData[[#This Row],[Candidate 6]])/(SamplingData[[#Totals],[Winning Candidate]]-SamplingData[[#Totals],[Candidate 6]]), 0)</f>
        <v>1.7995233694859199E-3</v>
      </c>
      <c r="P2146" s="100">
        <f>MAX(SamplingData[[#This Row],[Error Bound (up) - Max. possible relative overstatement - Losing Candidate]:[Error Bound (up) - Max. possible relative overstatement - Candidate 6]])</f>
        <v>3.9808917197452229E-3</v>
      </c>
      <c r="Q2146" s="100">
        <f>IF(SamplingData[[#This Row],[Max Error Bound (up)]] = 0,0,SamplingData[[#This Row],[Max Error Bound (up)]]/SamplingData[[#Totals],[Max Error Bound (up)]])</f>
        <v>6.3004163809897906E-4</v>
      </c>
      <c r="R2146" s="101">
        <f>SUM($Q$5:Q2146)</f>
        <v>0.97353825119984261</v>
      </c>
      <c r="S2146" s="100" t="str">
        <f t="array" ref="S2146">IF(SamplingData[[#This Row],[up/U Selection Probability]] = 0, "Zero", TEXT(SamplingData[[#This Row],[Lower Range]], REPT("0",LEN('General Info'!$B$40))) &amp; " - " &amp; TEXT(SamplingData[[#This Row],[Upper Range]], REPT("0",LEN('General Info'!$B$40))))</f>
        <v>97291 - 97353</v>
      </c>
      <c r="T2146" s="100">
        <f>SamplingData[[#This Row],[Upper Range]]-SamplingData[[#This Row],[Span]]</f>
        <v>97290.821586216</v>
      </c>
      <c r="U2146" s="100">
        <f>IF(ISNUMBER('General Info'!$B$40), ((SamplingData[[#This Row],[up/U Selection Probability]]) * 'General Info'!$B$40) - 1, 0)</f>
        <v>62.003533768259807</v>
      </c>
      <c r="V2146" s="100">
        <f>IF(ISNUMBER('General Info'!$B$40), (SamplingData[[#This Row],[Running (cumulative) sum]] * ('General Info'!$B$40 -'General Info'!$B$41 + 1)) + 'General Info'!$B$41 - 1, 0)</f>
        <v>97352.825119984263</v>
      </c>
      <c r="W2146" s="100" t="str">
        <f>IF(ISERROR(MATCH(SamplingData[[#This Row],[Batch by Type (p)]],SelectedPrecincts[Batch Name], 0)), "", INDEX(SelectedPrecincts[Draw], MATCH(SamplingData[[#This Row],[Batch by Type (p)]],SelectedPrecincts[Batch Name], 0)))</f>
        <v/>
      </c>
      <c r="X2146" s="102">
        <f>IF(COUNTIF(SelectedPrecincts[Batch Name],SamplingData[[#This Row],[Batch by Type (p)]]) &lt;&gt; 0, COUNTIF(SelectedPrecincts[Batch Name],SamplingData[[#This Row],[Batch by Type (p)]]), 0)</f>
        <v>0</v>
      </c>
    </row>
    <row r="2147" spans="1:24" ht="15" customHeight="1">
      <c r="A2147" s="18" t="s">
        <v>2323</v>
      </c>
      <c r="B2147" s="18">
        <v>27</v>
      </c>
      <c r="C2147" s="18">
        <v>54</v>
      </c>
      <c r="D2147" s="16">
        <v>19</v>
      </c>
      <c r="E2147" s="16">
        <v>9</v>
      </c>
      <c r="F2147" s="37">
        <v>0</v>
      </c>
      <c r="G2147" s="37">
        <v>0</v>
      </c>
      <c r="H2147" s="17">
        <v>0</v>
      </c>
      <c r="I2147" s="17">
        <v>0</v>
      </c>
      <c r="J2147" s="99">
        <f>SUM(SamplingData[[#This Row],[Losing Candidate]:[Under Votes]])</f>
        <v>109</v>
      </c>
      <c r="K2147" s="100">
        <f>IF(AND(SamplingData[[#This Row],[Total]]&lt;&gt; 0, NOT(ISBLANK(SamplingData[[#This Row],[Losing Candidate]]))),(SamplingData[[#This Row],[Total]]+SamplingData[[#This Row],[Winning Candidate]]-SamplingData[[#This Row],[Losing Candidate]])/(SamplingData[[#Totals],[Winning Candidate]]-SamplingData[[#Totals],[Losing Candidate]]), 0)</f>
        <v>8.3292503674669283E-3</v>
      </c>
      <c r="L2147" s="100">
        <f>IF(AND(SamplingData[[#This Row],[Total]]&lt;&gt; 0, NOT(ISBLANK(SamplingData[[#This Row],[Candidate 3]]))),(SamplingData[[#This Row],[Total]]+SamplingData[[#This Row],[Winning Candidate]]-SamplingData[[#This Row],[Candidate 3]])/(SamplingData[[#Totals],[Winning Candidate]]-SamplingData[[#Totals],[Candidate 3]]), 0)</f>
        <v>4.6456108655676355E-3</v>
      </c>
      <c r="M2147" s="100">
        <f>IF(AND(SamplingData[[#This Row],[Total]]&lt;&gt; 0, NOT(ISBLANK(SamplingData[[#This Row],[Candidate 4]]))),(SamplingData[[#This Row],[Total]]+SamplingData[[#This Row],[Winning Candidate]]-SamplingData[[#This Row],[Candidate 4]])/(SamplingData[[#Totals],[Winning Candidate]]-SamplingData[[#Totals],[Candidate 4]]), 0)</f>
        <v>4.501739308369143E-3</v>
      </c>
      <c r="N2147" s="100">
        <f>IF(AND(SamplingData[[#This Row],[Total]]&lt;&gt; 0, NOT(ISBLANK(SamplingData[[#This Row],[Candidate 5]]))),(SamplingData[[#This Row],[Total]]+SamplingData[[#This Row],[Winning Candidate]]-SamplingData[[#This Row],[Candidate 5]])/(SamplingData[[#Totals],[Winning Candidate]]-SamplingData[[#Totals],[Candidate 5]]), 0)</f>
        <v>3.96497202627098E-3</v>
      </c>
      <c r="O2147" s="100">
        <f>IF(AND(SamplingData[[#This Row],[Total]]&lt;&gt; 0, NOT(ISBLANK(SamplingData[[#This Row],[Candidate 6]]))),(SamplingData[[#This Row],[Total]]+SamplingData[[#This Row],[Winning Candidate]]-SamplingData[[#This Row],[Candidate 6]])/(SamplingData[[#Totals],[Winning Candidate]]-SamplingData[[#Totals],[Candidate 6]]), 0)</f>
        <v>3.9638149895433105E-3</v>
      </c>
      <c r="P2147" s="100">
        <f>MAX(SamplingData[[#This Row],[Error Bound (up) - Max. possible relative overstatement - Losing Candidate]:[Error Bound (up) - Max. possible relative overstatement - Candidate 6]])</f>
        <v>8.3292503674669283E-3</v>
      </c>
      <c r="Q2147" s="100">
        <f>IF(SamplingData[[#This Row],[Max Error Bound (up)]] = 0,0,SamplingData[[#This Row],[Max Error Bound (up)]]/SamplingData[[#Totals],[Max Error Bound (up)]])</f>
        <v>1.3182409658686332E-3</v>
      </c>
      <c r="R2147" s="101">
        <f>SUM($Q$5:Q2147)</f>
        <v>0.97485649216571124</v>
      </c>
      <c r="S2147" s="100" t="str">
        <f t="array" ref="S2147">IF(SamplingData[[#This Row],[up/U Selection Probability]] = 0, "Zero", TEXT(SamplingData[[#This Row],[Lower Range]], REPT("0",LEN('General Info'!$B$40))) &amp; " - " &amp; TEXT(SamplingData[[#This Row],[Upper Range]], REPT("0",LEN('General Info'!$B$40))))</f>
        <v>97354 - 97485</v>
      </c>
      <c r="T2147" s="100">
        <f>SamplingData[[#This Row],[Upper Range]]-SamplingData[[#This Row],[Span]]</f>
        <v>97353.826438225224</v>
      </c>
      <c r="U2147" s="100">
        <f>IF(ISNUMBER('General Info'!$B$40), ((SamplingData[[#This Row],[up/U Selection Probability]]) * 'General Info'!$B$40) - 1, 0)</f>
        <v>130.82277834589743</v>
      </c>
      <c r="V2147" s="100">
        <f>IF(ISNUMBER('General Info'!$B$40), (SamplingData[[#This Row],[Running (cumulative) sum]] * ('General Info'!$B$40 -'General Info'!$B$41 + 1)) + 'General Info'!$B$41 - 1, 0)</f>
        <v>97484.649216571124</v>
      </c>
      <c r="W2147" s="100" t="str">
        <f>IF(ISERROR(MATCH(SamplingData[[#This Row],[Batch by Type (p)]],SelectedPrecincts[Batch Name], 0)), "", INDEX(SelectedPrecincts[Draw], MATCH(SamplingData[[#This Row],[Batch by Type (p)]],SelectedPrecincts[Batch Name], 0)))</f>
        <v/>
      </c>
      <c r="X2147" s="102">
        <f>IF(COUNTIF(SelectedPrecincts[Batch Name],SamplingData[[#This Row],[Batch by Type (p)]]) &lt;&gt; 0, COUNTIF(SelectedPrecincts[Batch Name],SamplingData[[#This Row],[Batch by Type (p)]]), 0)</f>
        <v>0</v>
      </c>
    </row>
    <row r="2148" spans="1:24" ht="15" customHeight="1">
      <c r="A2148" s="18" t="s">
        <v>2324</v>
      </c>
      <c r="B2148" s="18">
        <v>7</v>
      </c>
      <c r="C2148" s="18">
        <v>33</v>
      </c>
      <c r="D2148" s="18">
        <v>5</v>
      </c>
      <c r="E2148" s="18">
        <v>5</v>
      </c>
      <c r="F2148" s="18">
        <v>1</v>
      </c>
      <c r="G2148" s="18">
        <v>0</v>
      </c>
      <c r="H2148" s="18">
        <v>0</v>
      </c>
      <c r="I2148" s="18">
        <v>0</v>
      </c>
      <c r="J2148" s="99">
        <f>SUM(SamplingData[[#This Row],[Losing Candidate]:[Under Votes]])</f>
        <v>51</v>
      </c>
      <c r="K2148" s="100">
        <f>IF(AND(SamplingData[[#This Row],[Total]]&lt;&gt; 0, NOT(ISBLANK(SamplingData[[#This Row],[Losing Candidate]]))),(SamplingData[[#This Row],[Total]]+SamplingData[[#This Row],[Winning Candidate]]-SamplingData[[#This Row],[Losing Candidate]])/(SamplingData[[#Totals],[Winning Candidate]]-SamplingData[[#Totals],[Losing Candidate]]), 0)</f>
        <v>4.7158255756981869E-3</v>
      </c>
      <c r="L2148" s="100">
        <f>IF(AND(SamplingData[[#This Row],[Total]]&lt;&gt; 0, NOT(ISBLANK(SamplingData[[#This Row],[Candidate 3]]))),(SamplingData[[#This Row],[Total]]+SamplingData[[#This Row],[Winning Candidate]]-SamplingData[[#This Row],[Candidate 3]])/(SamplingData[[#Totals],[Winning Candidate]]-SamplingData[[#Totals],[Candidate 3]]), 0)</f>
        <v>2.5486337387489112E-3</v>
      </c>
      <c r="M2148" s="100">
        <f>IF(AND(SamplingData[[#This Row],[Total]]&lt;&gt; 0, NOT(ISBLANK(SamplingData[[#This Row],[Candidate 4]]))),(SamplingData[[#This Row],[Total]]+SamplingData[[#This Row],[Winning Candidate]]-SamplingData[[#This Row],[Candidate 4]])/(SamplingData[[#Totals],[Winning Candidate]]-SamplingData[[#Totals],[Candidate 4]]), 0)</f>
        <v>2.3093338010465084E-3</v>
      </c>
      <c r="N2148" s="100">
        <f>IF(AND(SamplingData[[#This Row],[Total]]&lt;&gt; 0, NOT(ISBLANK(SamplingData[[#This Row],[Candidate 5]]))),(SamplingData[[#This Row],[Total]]+SamplingData[[#This Row],[Winning Candidate]]-SamplingData[[#This Row],[Candidate 5]])/(SamplingData[[#Totals],[Winning Candidate]]-SamplingData[[#Totals],[Candidate 5]]), 0)</f>
        <v>2.0189734857698855E-3</v>
      </c>
      <c r="O2148" s="100">
        <f>IF(AND(SamplingData[[#This Row],[Total]]&lt;&gt; 0, NOT(ISBLANK(SamplingData[[#This Row],[Candidate 6]]))),(SamplingData[[#This Row],[Total]]+SamplingData[[#This Row],[Winning Candidate]]-SamplingData[[#This Row],[Candidate 6]])/(SamplingData[[#Totals],[Winning Candidate]]-SamplingData[[#Totals],[Candidate 6]]), 0)</f>
        <v>2.0427022032002335E-3</v>
      </c>
      <c r="P2148" s="100">
        <f>MAX(SamplingData[[#This Row],[Error Bound (up) - Max. possible relative overstatement - Losing Candidate]:[Error Bound (up) - Max. possible relative overstatement - Candidate 6]])</f>
        <v>4.7158255756981869E-3</v>
      </c>
      <c r="Q2148" s="100">
        <f>IF(SamplingData[[#This Row],[Max Error Bound (up)]] = 0,0,SamplingData[[#This Row],[Max Error Bound (up)]]/SamplingData[[#Totals],[Max Error Bound (up)]])</f>
        <v>7.4635701744032903E-4</v>
      </c>
      <c r="R2148" s="101">
        <f>SUM($Q$5:Q2148)</f>
        <v>0.97560284918315154</v>
      </c>
      <c r="S2148" s="100" t="str">
        <f t="array" ref="S2148">IF(SamplingData[[#This Row],[up/U Selection Probability]] = 0, "Zero", TEXT(SamplingData[[#This Row],[Lower Range]], REPT("0",LEN('General Info'!$B$40))) &amp; " - " &amp; TEXT(SamplingData[[#This Row],[Upper Range]], REPT("0",LEN('General Info'!$B$40))))</f>
        <v>97486 - 97559</v>
      </c>
      <c r="T2148" s="100">
        <f>SamplingData[[#This Row],[Upper Range]]-SamplingData[[#This Row],[Span]]</f>
        <v>97485.649962928146</v>
      </c>
      <c r="U2148" s="100">
        <f>IF(ISNUMBER('General Info'!$B$40), ((SamplingData[[#This Row],[up/U Selection Probability]]) * 'General Info'!$B$40) - 1, 0)</f>
        <v>73.634955387015466</v>
      </c>
      <c r="V2148" s="100">
        <f>IF(ISNUMBER('General Info'!$B$40), (SamplingData[[#This Row],[Running (cumulative) sum]] * ('General Info'!$B$40 -'General Info'!$B$41 + 1)) + 'General Info'!$B$41 - 1, 0)</f>
        <v>97559.284918315156</v>
      </c>
      <c r="W2148" s="100" t="str">
        <f>IF(ISERROR(MATCH(SamplingData[[#This Row],[Batch by Type (p)]],SelectedPrecincts[Batch Name], 0)), "", INDEX(SelectedPrecincts[Draw], MATCH(SamplingData[[#This Row],[Batch by Type (p)]],SelectedPrecincts[Batch Name], 0)))</f>
        <v/>
      </c>
      <c r="X2148" s="102">
        <f>IF(COUNTIF(SelectedPrecincts[Batch Name],SamplingData[[#This Row],[Batch by Type (p)]]) &lt;&gt; 0, COUNTIF(SelectedPrecincts[Batch Name],SamplingData[[#This Row],[Batch by Type (p)]]), 0)</f>
        <v>0</v>
      </c>
    </row>
    <row r="2149" spans="1:24" ht="15" customHeight="1">
      <c r="A2149" s="18" t="s">
        <v>2325</v>
      </c>
      <c r="B2149" s="18">
        <v>32</v>
      </c>
      <c r="C2149" s="18">
        <v>76</v>
      </c>
      <c r="D2149" s="16">
        <v>27</v>
      </c>
      <c r="E2149" s="16">
        <v>9</v>
      </c>
      <c r="F2149" s="37">
        <v>0</v>
      </c>
      <c r="G2149" s="37">
        <v>0</v>
      </c>
      <c r="H2149" s="17">
        <v>0</v>
      </c>
      <c r="I2149" s="17">
        <v>2</v>
      </c>
      <c r="J2149" s="99">
        <f>SUM(SamplingData[[#This Row],[Losing Candidate]:[Under Votes]])</f>
        <v>146</v>
      </c>
      <c r="K2149" s="100">
        <f>IF(AND(SamplingData[[#This Row],[Total]]&lt;&gt; 0, NOT(ISBLANK(SamplingData[[#This Row],[Losing Candidate]]))),(SamplingData[[#This Row],[Total]]+SamplingData[[#This Row],[Winning Candidate]]-SamplingData[[#This Row],[Losing Candidate]])/(SamplingData[[#Totals],[Winning Candidate]]-SamplingData[[#Totals],[Losing Candidate]]), 0)</f>
        <v>1.1636452719255267E-2</v>
      </c>
      <c r="L2149" s="100">
        <f>IF(AND(SamplingData[[#This Row],[Total]]&lt;&gt; 0, NOT(ISBLANK(SamplingData[[#This Row],[Candidate 3]]))),(SamplingData[[#This Row],[Total]]+SamplingData[[#This Row],[Winning Candidate]]-SamplingData[[#This Row],[Candidate 3]])/(SamplingData[[#Totals],[Winning Candidate]]-SamplingData[[#Totals],[Candidate 3]]), 0)</f>
        <v>6.2909313804561731E-3</v>
      </c>
      <c r="M2149" s="100">
        <f>IF(AND(SamplingData[[#This Row],[Total]]&lt;&gt; 0, NOT(ISBLANK(SamplingData[[#This Row],[Candidate 4]]))),(SamplingData[[#This Row],[Total]]+SamplingData[[#This Row],[Winning Candidate]]-SamplingData[[#This Row],[Candidate 4]])/(SamplingData[[#Totals],[Winning Candidate]]-SamplingData[[#Totals],[Candidate 4]]), 0)</f>
        <v>6.2264316407962816E-3</v>
      </c>
      <c r="N2149" s="100">
        <f>IF(AND(SamplingData[[#This Row],[Total]]&lt;&gt; 0, NOT(ISBLANK(SamplingData[[#This Row],[Candidate 5]]))),(SamplingData[[#This Row],[Total]]+SamplingData[[#This Row],[Winning Candidate]]-SamplingData[[#This Row],[Candidate 5]])/(SamplingData[[#Totals],[Winning Candidate]]-SamplingData[[#Totals],[Candidate 5]]), 0)</f>
        <v>5.4001459498905372E-3</v>
      </c>
      <c r="O2149" s="100">
        <f>IF(AND(SamplingData[[#This Row],[Total]]&lt;&gt; 0, NOT(ISBLANK(SamplingData[[#This Row],[Candidate 6]]))),(SamplingData[[#This Row],[Total]]+SamplingData[[#This Row],[Winning Candidate]]-SamplingData[[#This Row],[Candidate 6]])/(SamplingData[[#Totals],[Winning Candidate]]-SamplingData[[#Totals],[Candidate 6]]), 0)</f>
        <v>5.3985701084577602E-3</v>
      </c>
      <c r="P2149" s="100">
        <f>MAX(SamplingData[[#This Row],[Error Bound (up) - Max. possible relative overstatement - Losing Candidate]:[Error Bound (up) - Max. possible relative overstatement - Candidate 6]])</f>
        <v>1.1636452719255267E-2</v>
      </c>
      <c r="Q2149" s="100">
        <f>IF(SamplingData[[#This Row],[Max Error Bound (up)]] = 0,0,SamplingData[[#This Row],[Max Error Bound (up)]]/SamplingData[[#Totals],[Max Error Bound (up)]])</f>
        <v>1.8416601729047079E-3</v>
      </c>
      <c r="R2149" s="101">
        <f>SUM($Q$5:Q2149)</f>
        <v>0.9774445093560562</v>
      </c>
      <c r="S2149" s="100" t="str">
        <f t="array" ref="S2149">IF(SamplingData[[#This Row],[up/U Selection Probability]] = 0, "Zero", TEXT(SamplingData[[#This Row],[Lower Range]], REPT("0",LEN('General Info'!$B$40))) &amp; " - " &amp; TEXT(SamplingData[[#This Row],[Upper Range]], REPT("0",LEN('General Info'!$B$40))))</f>
        <v>97560 - 97743</v>
      </c>
      <c r="T2149" s="100">
        <f>SamplingData[[#This Row],[Upper Range]]-SamplingData[[#This Row],[Span]]</f>
        <v>97560.286759975323</v>
      </c>
      <c r="U2149" s="100">
        <f>IF(ISNUMBER('General Info'!$B$40), ((SamplingData[[#This Row],[up/U Selection Probability]]) * 'General Info'!$B$40) - 1, 0)</f>
        <v>183.16417563029788</v>
      </c>
      <c r="V2149" s="100">
        <f>IF(ISNUMBER('General Info'!$B$40), (SamplingData[[#This Row],[Running (cumulative) sum]] * ('General Info'!$B$40 -'General Info'!$B$41 + 1)) + 'General Info'!$B$41 - 1, 0)</f>
        <v>97743.450935605622</v>
      </c>
      <c r="W2149" s="100" t="str">
        <f>IF(ISERROR(MATCH(SamplingData[[#This Row],[Batch by Type (p)]],SelectedPrecincts[Batch Name], 0)), "", INDEX(SelectedPrecincts[Draw], MATCH(SamplingData[[#This Row],[Batch by Type (p)]],SelectedPrecincts[Batch Name], 0)))</f>
        <v/>
      </c>
      <c r="X2149" s="102">
        <f>IF(COUNTIF(SelectedPrecincts[Batch Name],SamplingData[[#This Row],[Batch by Type (p)]]) &lt;&gt; 0, COUNTIF(SelectedPrecincts[Batch Name],SamplingData[[#This Row],[Batch by Type (p)]]), 0)</f>
        <v>0</v>
      </c>
    </row>
    <row r="2150" spans="1:24" ht="15" customHeight="1">
      <c r="A2150" s="18" t="s">
        <v>2326</v>
      </c>
      <c r="B2150" s="18">
        <v>14</v>
      </c>
      <c r="C2150" s="18">
        <v>23</v>
      </c>
      <c r="D2150" s="18">
        <v>12</v>
      </c>
      <c r="E2150" s="18">
        <v>4</v>
      </c>
      <c r="F2150" s="18">
        <v>0</v>
      </c>
      <c r="G2150" s="18">
        <v>0</v>
      </c>
      <c r="H2150" s="18">
        <v>0</v>
      </c>
      <c r="I2150" s="18">
        <v>0</v>
      </c>
      <c r="J2150" s="99">
        <f>SUM(SamplingData[[#This Row],[Losing Candidate]:[Under Votes]])</f>
        <v>53</v>
      </c>
      <c r="K2150" s="100">
        <f>IF(AND(SamplingData[[#This Row],[Total]]&lt;&gt; 0, NOT(ISBLANK(SamplingData[[#This Row],[Losing Candidate]]))),(SamplingData[[#This Row],[Total]]+SamplingData[[#This Row],[Winning Candidate]]-SamplingData[[#This Row],[Losing Candidate]])/(SamplingData[[#Totals],[Winning Candidate]]-SamplingData[[#Totals],[Losing Candidate]]), 0)</f>
        <v>3.7971582557569817E-3</v>
      </c>
      <c r="L2150" s="100">
        <f>IF(AND(SamplingData[[#This Row],[Total]]&lt;&gt; 0, NOT(ISBLANK(SamplingData[[#This Row],[Candidate 3]]))),(SamplingData[[#This Row],[Total]]+SamplingData[[#This Row],[Winning Candidate]]-SamplingData[[#This Row],[Candidate 3]])/(SamplingData[[#Totals],[Winning Candidate]]-SamplingData[[#Totals],[Candidate 3]]), 0)</f>
        <v>2.0647159402522827E-3</v>
      </c>
      <c r="M2150" s="100">
        <f>IF(AND(SamplingData[[#This Row],[Total]]&lt;&gt; 0, NOT(ISBLANK(SamplingData[[#This Row],[Candidate 4]]))),(SamplingData[[#This Row],[Total]]+SamplingData[[#This Row],[Winning Candidate]]-SamplingData[[#This Row],[Candidate 4]])/(SamplingData[[#Totals],[Winning Candidate]]-SamplingData[[#Totals],[Candidate 4]]), 0)</f>
        <v>2.1047092870297292E-3</v>
      </c>
      <c r="N2150" s="100">
        <f>IF(AND(SamplingData[[#This Row],[Total]]&lt;&gt; 0, NOT(ISBLANK(SamplingData[[#This Row],[Candidate 5]]))),(SamplingData[[#This Row],[Total]]+SamplingData[[#This Row],[Winning Candidate]]-SamplingData[[#This Row],[Candidate 5]])/(SamplingData[[#Totals],[Winning Candidate]]-SamplingData[[#Totals],[Candidate 5]]), 0)</f>
        <v>1.8486986134760399E-3</v>
      </c>
      <c r="O2150" s="100">
        <f>IF(AND(SamplingData[[#This Row],[Total]]&lt;&gt; 0, NOT(ISBLANK(SamplingData[[#This Row],[Candidate 6]]))),(SamplingData[[#This Row],[Total]]+SamplingData[[#This Row],[Winning Candidate]]-SamplingData[[#This Row],[Candidate 6]])/(SamplingData[[#Totals],[Winning Candidate]]-SamplingData[[#Totals],[Candidate 6]]), 0)</f>
        <v>1.8481591362287826E-3</v>
      </c>
      <c r="P2150" s="100">
        <f>MAX(SamplingData[[#This Row],[Error Bound (up) - Max. possible relative overstatement - Losing Candidate]:[Error Bound (up) - Max. possible relative overstatement - Candidate 6]])</f>
        <v>3.7971582557569817E-3</v>
      </c>
      <c r="Q2150" s="100">
        <f>IF(SamplingData[[#This Row],[Max Error Bound (up)]] = 0,0,SamplingData[[#This Row],[Max Error Bound (up)]]/SamplingData[[#Totals],[Max Error Bound (up)]])</f>
        <v>6.0096279326364154E-4</v>
      </c>
      <c r="R2150" s="101">
        <f>SUM($Q$5:Q2150)</f>
        <v>0.97804547214931981</v>
      </c>
      <c r="S2150" s="100" t="str">
        <f t="array" ref="S2150">IF(SamplingData[[#This Row],[up/U Selection Probability]] = 0, "Zero", TEXT(SamplingData[[#This Row],[Lower Range]], REPT("0",LEN('General Info'!$B$40))) &amp; " - " &amp; TEXT(SamplingData[[#This Row],[Upper Range]], REPT("0",LEN('General Info'!$B$40))))</f>
        <v>97744 - 97804</v>
      </c>
      <c r="T2150" s="100">
        <f>SamplingData[[#This Row],[Upper Range]]-SamplingData[[#This Row],[Span]]</f>
        <v>97744.451536568406</v>
      </c>
      <c r="U2150" s="100">
        <f>IF(ISNUMBER('General Info'!$B$40), ((SamplingData[[#This Row],[up/U Selection Probability]]) * 'General Info'!$B$40) - 1, 0)</f>
        <v>59.09567836357089</v>
      </c>
      <c r="V2150" s="100">
        <f>IF(ISNUMBER('General Info'!$B$40), (SamplingData[[#This Row],[Running (cumulative) sum]] * ('General Info'!$B$40 -'General Info'!$B$41 + 1)) + 'General Info'!$B$41 - 1, 0)</f>
        <v>97803.547214931983</v>
      </c>
      <c r="W2150" s="100" t="str">
        <f>IF(ISERROR(MATCH(SamplingData[[#This Row],[Batch by Type (p)]],SelectedPrecincts[Batch Name], 0)), "", INDEX(SelectedPrecincts[Draw], MATCH(SamplingData[[#This Row],[Batch by Type (p)]],SelectedPrecincts[Batch Name], 0)))</f>
        <v/>
      </c>
      <c r="X2150" s="102">
        <f>IF(COUNTIF(SelectedPrecincts[Batch Name],SamplingData[[#This Row],[Batch by Type (p)]]) &lt;&gt; 0, COUNTIF(SelectedPrecincts[Batch Name],SamplingData[[#This Row],[Batch by Type (p)]]), 0)</f>
        <v>0</v>
      </c>
    </row>
    <row r="2151" spans="1:24" ht="15" customHeight="1">
      <c r="A2151" s="18" t="s">
        <v>2327</v>
      </c>
      <c r="B2151" s="18">
        <v>48</v>
      </c>
      <c r="C2151" s="18">
        <v>116</v>
      </c>
      <c r="D2151" s="16">
        <v>9</v>
      </c>
      <c r="E2151" s="16">
        <v>6</v>
      </c>
      <c r="F2151" s="37">
        <v>0</v>
      </c>
      <c r="G2151" s="37">
        <v>0</v>
      </c>
      <c r="H2151" s="17">
        <v>0</v>
      </c>
      <c r="I2151" s="17">
        <v>1</v>
      </c>
      <c r="J2151" s="99">
        <f>SUM(SamplingData[[#This Row],[Losing Candidate]:[Under Votes]])</f>
        <v>180</v>
      </c>
      <c r="K2151" s="100">
        <f>IF(AND(SamplingData[[#This Row],[Total]]&lt;&gt; 0, NOT(ISBLANK(SamplingData[[#This Row],[Losing Candidate]]))),(SamplingData[[#This Row],[Total]]+SamplingData[[#This Row],[Winning Candidate]]-SamplingData[[#This Row],[Losing Candidate]])/(SamplingData[[#Totals],[Winning Candidate]]-SamplingData[[#Totals],[Losing Candidate]]), 0)</f>
        <v>1.5188633023027927E-2</v>
      </c>
      <c r="L2151" s="100">
        <f>IF(AND(SamplingData[[#This Row],[Total]]&lt;&gt; 0, NOT(ISBLANK(SamplingData[[#This Row],[Candidate 3]]))),(SamplingData[[#This Row],[Total]]+SamplingData[[#This Row],[Winning Candidate]]-SamplingData[[#This Row],[Candidate 3]])/(SamplingData[[#Totals],[Winning Candidate]]-SamplingData[[#Totals],[Candidate 3]]), 0)</f>
        <v>9.2589605445688294E-3</v>
      </c>
      <c r="M2151" s="100">
        <f>IF(AND(SamplingData[[#This Row],[Total]]&lt;&gt; 0, NOT(ISBLANK(SamplingData[[#This Row],[Candidate 4]]))),(SamplingData[[#This Row],[Total]]+SamplingData[[#This Row],[Winning Candidate]]-SamplingData[[#This Row],[Candidate 4]])/(SamplingData[[#Totals],[Winning Candidate]]-SamplingData[[#Totals],[Candidate 4]]), 0)</f>
        <v>8.4773012949808536E-3</v>
      </c>
      <c r="N2151" s="100">
        <f>IF(AND(SamplingData[[#This Row],[Total]]&lt;&gt; 0, NOT(ISBLANK(SamplingData[[#This Row],[Candidate 5]]))),(SamplingData[[#This Row],[Total]]+SamplingData[[#This Row],[Winning Candidate]]-SamplingData[[#This Row],[Candidate 5]])/(SamplingData[[#Totals],[Winning Candidate]]-SamplingData[[#Totals],[Candidate 5]]), 0)</f>
        <v>7.2001945998540502E-3</v>
      </c>
      <c r="O2151" s="100">
        <f>IF(AND(SamplingData[[#This Row],[Total]]&lt;&gt; 0, NOT(ISBLANK(SamplingData[[#This Row],[Candidate 6]]))),(SamplingData[[#This Row],[Total]]+SamplingData[[#This Row],[Winning Candidate]]-SamplingData[[#This Row],[Candidate 6]])/(SamplingData[[#Totals],[Winning Candidate]]-SamplingData[[#Totals],[Candidate 6]]), 0)</f>
        <v>7.1980934779436795E-3</v>
      </c>
      <c r="P2151" s="100">
        <f>MAX(SamplingData[[#This Row],[Error Bound (up) - Max. possible relative overstatement - Losing Candidate]:[Error Bound (up) - Max. possible relative overstatement - Candidate 6]])</f>
        <v>1.5188633023027927E-2</v>
      </c>
      <c r="Q2151" s="100">
        <f>IF(SamplingData[[#This Row],[Max Error Bound (up)]] = 0,0,SamplingData[[#This Row],[Max Error Bound (up)]]/SamplingData[[#Totals],[Max Error Bound (up)]])</f>
        <v>2.4038511730545662E-3</v>
      </c>
      <c r="R2151" s="101">
        <f>SUM($Q$5:Q2151)</f>
        <v>0.98044932332237433</v>
      </c>
      <c r="S2151" s="100" t="str">
        <f t="array" ref="S2151">IF(SamplingData[[#This Row],[up/U Selection Probability]] = 0, "Zero", TEXT(SamplingData[[#This Row],[Lower Range]], REPT("0",LEN('General Info'!$B$40))) &amp; " - " &amp; TEXT(SamplingData[[#This Row],[Upper Range]], REPT("0",LEN('General Info'!$B$40))))</f>
        <v>97805 - 98044</v>
      </c>
      <c r="T2151" s="100">
        <f>SamplingData[[#This Row],[Upper Range]]-SamplingData[[#This Row],[Span]]</f>
        <v>97804.54961878316</v>
      </c>
      <c r="U2151" s="100">
        <f>IF(ISNUMBER('General Info'!$B$40), ((SamplingData[[#This Row],[up/U Selection Probability]]) * 'General Info'!$B$40) - 1, 0)</f>
        <v>239.38271345428356</v>
      </c>
      <c r="V2151" s="100">
        <f>IF(ISNUMBER('General Info'!$B$40), (SamplingData[[#This Row],[Running (cumulative) sum]] * ('General Info'!$B$40 -'General Info'!$B$41 + 1)) + 'General Info'!$B$41 - 1, 0)</f>
        <v>98043.93233223744</v>
      </c>
      <c r="W2151" s="100" t="str">
        <f>IF(ISERROR(MATCH(SamplingData[[#This Row],[Batch by Type (p)]],SelectedPrecincts[Batch Name], 0)), "", INDEX(SelectedPrecincts[Draw], MATCH(SamplingData[[#This Row],[Batch by Type (p)]],SelectedPrecincts[Batch Name], 0)))</f>
        <v/>
      </c>
      <c r="X2151" s="102">
        <f>IF(COUNTIF(SelectedPrecincts[Batch Name],SamplingData[[#This Row],[Batch by Type (p)]]) &lt;&gt; 0, COUNTIF(SelectedPrecincts[Batch Name],SamplingData[[#This Row],[Batch by Type (p)]]), 0)</f>
        <v>0</v>
      </c>
    </row>
    <row r="2152" spans="1:24" ht="15" customHeight="1">
      <c r="A2152" s="18" t="s">
        <v>2328</v>
      </c>
      <c r="B2152" s="18">
        <v>23</v>
      </c>
      <c r="C2152" s="18">
        <v>55</v>
      </c>
      <c r="D2152" s="18">
        <v>8</v>
      </c>
      <c r="E2152" s="18">
        <v>1</v>
      </c>
      <c r="F2152" s="18">
        <v>1</v>
      </c>
      <c r="G2152" s="18">
        <v>0</v>
      </c>
      <c r="H2152" s="18">
        <v>0</v>
      </c>
      <c r="I2152" s="18">
        <v>0</v>
      </c>
      <c r="J2152" s="99">
        <f>SUM(SamplingData[[#This Row],[Losing Candidate]:[Under Votes]])</f>
        <v>88</v>
      </c>
      <c r="K2152" s="100">
        <f>IF(AND(SamplingData[[#This Row],[Total]]&lt;&gt; 0, NOT(ISBLANK(SamplingData[[#This Row],[Losing Candidate]]))),(SamplingData[[#This Row],[Total]]+SamplingData[[#This Row],[Winning Candidate]]-SamplingData[[#This Row],[Losing Candidate]])/(SamplingData[[#Totals],[Winning Candidate]]-SamplingData[[#Totals],[Losing Candidate]]), 0)</f>
        <v>7.3493385595296426E-3</v>
      </c>
      <c r="L2152" s="100">
        <f>IF(AND(SamplingData[[#This Row],[Total]]&lt;&gt; 0, NOT(ISBLANK(SamplingData[[#This Row],[Candidate 3]]))),(SamplingData[[#This Row],[Total]]+SamplingData[[#This Row],[Winning Candidate]]-SamplingData[[#This Row],[Candidate 3]])/(SamplingData[[#Totals],[Winning Candidate]]-SamplingData[[#Totals],[Candidate 3]]), 0)</f>
        <v>4.355260186469658E-3</v>
      </c>
      <c r="M2152" s="100">
        <f>IF(AND(SamplingData[[#This Row],[Total]]&lt;&gt; 0, NOT(ISBLANK(SamplingData[[#This Row],[Candidate 4]]))),(SamplingData[[#This Row],[Total]]+SamplingData[[#This Row],[Winning Candidate]]-SamplingData[[#This Row],[Candidate 4]])/(SamplingData[[#Totals],[Winning Candidate]]-SamplingData[[#Totals],[Candidate 4]]), 0)</f>
        <v>4.1509544271975214E-3</v>
      </c>
      <c r="N2152" s="100">
        <f>IF(AND(SamplingData[[#This Row],[Total]]&lt;&gt; 0, NOT(ISBLANK(SamplingData[[#This Row],[Candidate 5]]))),(SamplingData[[#This Row],[Total]]+SamplingData[[#This Row],[Winning Candidate]]-SamplingData[[#This Row],[Candidate 5]])/(SamplingData[[#Totals],[Winning Candidate]]-SamplingData[[#Totals],[Candidate 5]]), 0)</f>
        <v>3.4541474093894428E-3</v>
      </c>
      <c r="O2152" s="100">
        <f>IF(AND(SamplingData[[#This Row],[Total]]&lt;&gt; 0, NOT(ISBLANK(SamplingData[[#This Row],[Candidate 6]]))),(SamplingData[[#This Row],[Total]]+SamplingData[[#This Row],[Winning Candidate]]-SamplingData[[#This Row],[Candidate 6]])/(SamplingData[[#Totals],[Winning Candidate]]-SamplingData[[#Totals],[Candidate 6]]), 0)</f>
        <v>3.4774573221146832E-3</v>
      </c>
      <c r="P2152" s="100">
        <f>MAX(SamplingData[[#This Row],[Error Bound (up) - Max. possible relative overstatement - Losing Candidate]:[Error Bound (up) - Max. possible relative overstatement - Candidate 6]])</f>
        <v>7.3493385595296426E-3</v>
      </c>
      <c r="Q2152" s="100">
        <f>IF(SamplingData[[#This Row],[Max Error Bound (up)]] = 0,0,SamplingData[[#This Row],[Max Error Bound (up)]]/SamplingData[[#Totals],[Max Error Bound (up)]])</f>
        <v>1.1631537934134999E-3</v>
      </c>
      <c r="R2152" s="101">
        <f>SUM($Q$5:Q2152)</f>
        <v>0.98161247711578781</v>
      </c>
      <c r="S2152" s="100" t="str">
        <f t="array" ref="S2152">IF(SamplingData[[#This Row],[up/U Selection Probability]] = 0, "Zero", TEXT(SamplingData[[#This Row],[Lower Range]], REPT("0",LEN('General Info'!$B$40))) &amp; " - " &amp; TEXT(SamplingData[[#This Row],[Upper Range]], REPT("0",LEN('General Info'!$B$40))))</f>
        <v>98045 - 98160</v>
      </c>
      <c r="T2152" s="100">
        <f>SamplingData[[#This Row],[Upper Range]]-SamplingData[[#This Row],[Span]]</f>
        <v>98044.933495391218</v>
      </c>
      <c r="U2152" s="100">
        <f>IF(ISNUMBER('General Info'!$B$40), ((SamplingData[[#This Row],[up/U Selection Probability]]) * 'General Info'!$B$40) - 1, 0)</f>
        <v>115.31421618755658</v>
      </c>
      <c r="V2152" s="100">
        <f>IF(ISNUMBER('General Info'!$B$40), (SamplingData[[#This Row],[Running (cumulative) sum]] * ('General Info'!$B$40 -'General Info'!$B$41 + 1)) + 'General Info'!$B$41 - 1, 0)</f>
        <v>98160.247711578777</v>
      </c>
      <c r="W2152" s="100" t="str">
        <f>IF(ISERROR(MATCH(SamplingData[[#This Row],[Batch by Type (p)]],SelectedPrecincts[Batch Name], 0)), "", INDEX(SelectedPrecincts[Draw], MATCH(SamplingData[[#This Row],[Batch by Type (p)]],SelectedPrecincts[Batch Name], 0)))</f>
        <v/>
      </c>
      <c r="X2152" s="102">
        <f>IF(COUNTIF(SelectedPrecincts[Batch Name],SamplingData[[#This Row],[Batch by Type (p)]]) &lt;&gt; 0, COUNTIF(SelectedPrecincts[Batch Name],SamplingData[[#This Row],[Batch by Type (p)]]), 0)</f>
        <v>0</v>
      </c>
    </row>
    <row r="2153" spans="1:24" ht="15" customHeight="1">
      <c r="A2153" s="18" t="s">
        <v>2329</v>
      </c>
      <c r="B2153" s="18">
        <v>29</v>
      </c>
      <c r="C2153" s="18">
        <v>70</v>
      </c>
      <c r="D2153" s="16">
        <v>10</v>
      </c>
      <c r="E2153" s="16">
        <v>10</v>
      </c>
      <c r="F2153" s="37">
        <v>0</v>
      </c>
      <c r="G2153" s="37">
        <v>0</v>
      </c>
      <c r="H2153" s="17">
        <v>0</v>
      </c>
      <c r="I2153" s="17">
        <v>3</v>
      </c>
      <c r="J2153" s="99">
        <f>SUM(SamplingData[[#This Row],[Losing Candidate]:[Under Votes]])</f>
        <v>122</v>
      </c>
      <c r="K2153" s="100">
        <f>IF(AND(SamplingData[[#This Row],[Total]]&lt;&gt; 0, NOT(ISBLANK(SamplingData[[#This Row],[Losing Candidate]]))),(SamplingData[[#This Row],[Total]]+SamplingData[[#This Row],[Winning Candidate]]-SamplingData[[#This Row],[Losing Candidate]])/(SamplingData[[#Totals],[Winning Candidate]]-SamplingData[[#Totals],[Losing Candidate]]), 0)</f>
        <v>9.9828515433610984E-3</v>
      </c>
      <c r="L2153" s="100">
        <f>IF(AND(SamplingData[[#This Row],[Total]]&lt;&gt; 0, NOT(ISBLANK(SamplingData[[#This Row],[Candidate 3]]))),(SamplingData[[#This Row],[Total]]+SamplingData[[#This Row],[Winning Candidate]]-SamplingData[[#This Row],[Candidate 3]])/(SamplingData[[#Totals],[Winning Candidate]]-SamplingData[[#Totals],[Candidate 3]]), 0)</f>
        <v>5.8715359550924285E-3</v>
      </c>
      <c r="M2153" s="100">
        <f>IF(AND(SamplingData[[#This Row],[Total]]&lt;&gt; 0, NOT(ISBLANK(SamplingData[[#This Row],[Candidate 4]]))),(SamplingData[[#This Row],[Total]]+SamplingData[[#This Row],[Winning Candidate]]-SamplingData[[#This Row],[Candidate 4]])/(SamplingData[[#Totals],[Winning Candidate]]-SamplingData[[#Totals],[Candidate 4]]), 0)</f>
        <v>5.3202373644362592E-3</v>
      </c>
      <c r="N2153" s="100">
        <f>IF(AND(SamplingData[[#This Row],[Total]]&lt;&gt; 0, NOT(ISBLANK(SamplingData[[#This Row],[Candidate 5]]))),(SamplingData[[#This Row],[Total]]+SamplingData[[#This Row],[Winning Candidate]]-SamplingData[[#This Row],[Candidate 5]])/(SamplingData[[#Totals],[Winning Candidate]]-SamplingData[[#Totals],[Candidate 5]]), 0)</f>
        <v>4.6703964972026274E-3</v>
      </c>
      <c r="O2153" s="100">
        <f>IF(AND(SamplingData[[#This Row],[Total]]&lt;&gt; 0, NOT(ISBLANK(SamplingData[[#This Row],[Candidate 6]]))),(SamplingData[[#This Row],[Total]]+SamplingData[[#This Row],[Winning Candidate]]-SamplingData[[#This Row],[Candidate 6]])/(SamplingData[[#Totals],[Winning Candidate]]-SamplingData[[#Totals],[Candidate 6]]), 0)</f>
        <v>4.6690336073148195E-3</v>
      </c>
      <c r="P2153" s="100">
        <f>MAX(SamplingData[[#This Row],[Error Bound (up) - Max. possible relative overstatement - Losing Candidate]:[Error Bound (up) - Max. possible relative overstatement - Candidate 6]])</f>
        <v>9.9828515433610984E-3</v>
      </c>
      <c r="Q2153" s="100">
        <f>IF(SamplingData[[#This Row],[Max Error Bound (up)]] = 0,0,SamplingData[[#This Row],[Max Error Bound (up)]]/SamplingData[[#Totals],[Max Error Bound (up)]])</f>
        <v>1.5799505693866707E-3</v>
      </c>
      <c r="R2153" s="101">
        <f>SUM($Q$5:Q2153)</f>
        <v>0.98319242768517445</v>
      </c>
      <c r="S2153" s="100" t="str">
        <f t="array" ref="S2153">IF(SamplingData[[#This Row],[up/U Selection Probability]] = 0, "Zero", TEXT(SamplingData[[#This Row],[Lower Range]], REPT("0",LEN('General Info'!$B$40))) &amp; " - " &amp; TEXT(SamplingData[[#This Row],[Upper Range]], REPT("0",LEN('General Info'!$B$40))))</f>
        <v>98161 - 98318</v>
      </c>
      <c r="T2153" s="100">
        <f>SamplingData[[#This Row],[Upper Range]]-SamplingData[[#This Row],[Span]]</f>
        <v>98161.249291529355</v>
      </c>
      <c r="U2153" s="100">
        <f>IF(ISNUMBER('General Info'!$B$40), ((SamplingData[[#This Row],[up/U Selection Probability]]) * 'General Info'!$B$40) - 1, 0)</f>
        <v>156.99347698809768</v>
      </c>
      <c r="V2153" s="100">
        <f>IF(ISNUMBER('General Info'!$B$40), (SamplingData[[#This Row],[Running (cumulative) sum]] * ('General Info'!$B$40 -'General Info'!$B$41 + 1)) + 'General Info'!$B$41 - 1, 0)</f>
        <v>98318.242768517448</v>
      </c>
      <c r="W2153" s="100" t="str">
        <f>IF(ISERROR(MATCH(SamplingData[[#This Row],[Batch by Type (p)]],SelectedPrecincts[Batch Name], 0)), "", INDEX(SelectedPrecincts[Draw], MATCH(SamplingData[[#This Row],[Batch by Type (p)]],SelectedPrecincts[Batch Name], 0)))</f>
        <v/>
      </c>
      <c r="X2153" s="102">
        <f>IF(COUNTIF(SelectedPrecincts[Batch Name],SamplingData[[#This Row],[Batch by Type (p)]]) &lt;&gt; 0, COUNTIF(SelectedPrecincts[Batch Name],SamplingData[[#This Row],[Batch by Type (p)]]), 0)</f>
        <v>0</v>
      </c>
    </row>
    <row r="2154" spans="1:24" ht="15" customHeight="1">
      <c r="A2154" s="18" t="s">
        <v>2330</v>
      </c>
      <c r="B2154" s="18">
        <v>16</v>
      </c>
      <c r="C2154" s="18">
        <v>22</v>
      </c>
      <c r="D2154" s="18">
        <v>1</v>
      </c>
      <c r="E2154" s="18">
        <v>2</v>
      </c>
      <c r="F2154" s="18">
        <v>0</v>
      </c>
      <c r="G2154" s="18">
        <v>0</v>
      </c>
      <c r="H2154" s="18">
        <v>0</v>
      </c>
      <c r="I2154" s="18">
        <v>2</v>
      </c>
      <c r="J2154" s="99">
        <f>SUM(SamplingData[[#This Row],[Losing Candidate]:[Under Votes]])</f>
        <v>43</v>
      </c>
      <c r="K2154" s="100">
        <f>IF(AND(SamplingData[[#This Row],[Total]]&lt;&gt; 0, NOT(ISBLANK(SamplingData[[#This Row],[Losing Candidate]]))),(SamplingData[[#This Row],[Total]]+SamplingData[[#This Row],[Winning Candidate]]-SamplingData[[#This Row],[Losing Candidate]])/(SamplingData[[#Totals],[Winning Candidate]]-SamplingData[[#Totals],[Losing Candidate]]), 0)</f>
        <v>3.0009799118079373E-3</v>
      </c>
      <c r="L2154" s="100">
        <f>IF(AND(SamplingData[[#This Row],[Total]]&lt;&gt; 0, NOT(ISBLANK(SamplingData[[#This Row],[Candidate 3]]))),(SamplingData[[#This Row],[Total]]+SamplingData[[#This Row],[Winning Candidate]]-SamplingData[[#This Row],[Candidate 3]])/(SamplingData[[#Totals],[Winning Candidate]]-SamplingData[[#Totals],[Candidate 3]]), 0)</f>
        <v>2.0647159402522827E-3</v>
      </c>
      <c r="M2154" s="100">
        <f>IF(AND(SamplingData[[#This Row],[Total]]&lt;&gt; 0, NOT(ISBLANK(SamplingData[[#This Row],[Candidate 4]]))),(SamplingData[[#This Row],[Total]]+SamplingData[[#This Row],[Winning Candidate]]-SamplingData[[#This Row],[Candidate 4]])/(SamplingData[[#Totals],[Winning Candidate]]-SamplingData[[#Totals],[Candidate 4]]), 0)</f>
        <v>1.841620626151013E-3</v>
      </c>
      <c r="N2154" s="100">
        <f>IF(AND(SamplingData[[#This Row],[Total]]&lt;&gt; 0, NOT(ISBLANK(SamplingData[[#This Row],[Candidate 5]]))),(SamplingData[[#This Row],[Total]]+SamplingData[[#This Row],[Winning Candidate]]-SamplingData[[#This Row],[Candidate 5]])/(SamplingData[[#Totals],[Winning Candidate]]-SamplingData[[#Totals],[Candidate 5]]), 0)</f>
        <v>1.5811238141571393E-3</v>
      </c>
      <c r="O2154" s="100">
        <f>IF(AND(SamplingData[[#This Row],[Total]]&lt;&gt; 0, NOT(ISBLANK(SamplingData[[#This Row],[Candidate 6]]))),(SamplingData[[#This Row],[Total]]+SamplingData[[#This Row],[Winning Candidate]]-SamplingData[[#This Row],[Candidate 6]])/(SamplingData[[#Totals],[Winning Candidate]]-SamplingData[[#Totals],[Candidate 6]]), 0)</f>
        <v>1.5806624191430378E-3</v>
      </c>
      <c r="P2154" s="100">
        <f>MAX(SamplingData[[#This Row],[Error Bound (up) - Max. possible relative overstatement - Losing Candidate]:[Error Bound (up) - Max. possible relative overstatement - Candidate 6]])</f>
        <v>3.0009799118079373E-3</v>
      </c>
      <c r="Q2154" s="100">
        <f>IF(SamplingData[[#This Row],[Max Error Bound (up)]] = 0,0,SamplingData[[#This Row],[Max Error Bound (up)]]/SamplingData[[#Totals],[Max Error Bound (up)]])</f>
        <v>4.7495446564384573E-4</v>
      </c>
      <c r="R2154" s="101">
        <f>SUM($Q$5:Q2154)</f>
        <v>0.98366738215081828</v>
      </c>
      <c r="S2154" s="100" t="str">
        <f t="array" ref="S2154">IF(SamplingData[[#This Row],[up/U Selection Probability]] = 0, "Zero", TEXT(SamplingData[[#This Row],[Lower Range]], REPT("0",LEN('General Info'!$B$40))) &amp; " - " &amp; TEXT(SamplingData[[#This Row],[Upper Range]], REPT("0",LEN('General Info'!$B$40))))</f>
        <v>98319 - 98366</v>
      </c>
      <c r="T2154" s="100">
        <f>SamplingData[[#This Row],[Upper Range]]-SamplingData[[#This Row],[Span]]</f>
        <v>98319.243243471908</v>
      </c>
      <c r="U2154" s="100">
        <f>IF(ISNUMBER('General Info'!$B$40), ((SamplingData[[#This Row],[up/U Selection Probability]]) * 'General Info'!$B$40) - 1, 0)</f>
        <v>46.494971609918927</v>
      </c>
      <c r="V2154" s="100">
        <f>IF(ISNUMBER('General Info'!$B$40), (SamplingData[[#This Row],[Running (cumulative) sum]] * ('General Info'!$B$40 -'General Info'!$B$41 + 1)) + 'General Info'!$B$41 - 1, 0)</f>
        <v>98365.73821508183</v>
      </c>
      <c r="W2154" s="100" t="str">
        <f>IF(ISERROR(MATCH(SamplingData[[#This Row],[Batch by Type (p)]],SelectedPrecincts[Batch Name], 0)), "", INDEX(SelectedPrecincts[Draw], MATCH(SamplingData[[#This Row],[Batch by Type (p)]],SelectedPrecincts[Batch Name], 0)))</f>
        <v/>
      </c>
      <c r="X2154" s="102">
        <f>IF(COUNTIF(SelectedPrecincts[Batch Name],SamplingData[[#This Row],[Batch by Type (p)]]) &lt;&gt; 0, COUNTIF(SelectedPrecincts[Batch Name],SamplingData[[#This Row],[Batch by Type (p)]]), 0)</f>
        <v>0</v>
      </c>
    </row>
    <row r="2155" spans="1:24" ht="15" customHeight="1">
      <c r="A2155" s="18" t="s">
        <v>2331</v>
      </c>
      <c r="B2155" s="18">
        <v>28</v>
      </c>
      <c r="C2155" s="18">
        <v>78</v>
      </c>
      <c r="D2155" s="16">
        <v>12</v>
      </c>
      <c r="E2155" s="16">
        <v>17</v>
      </c>
      <c r="F2155" s="37">
        <v>1</v>
      </c>
      <c r="G2155" s="37">
        <v>1</v>
      </c>
      <c r="H2155" s="17">
        <v>0</v>
      </c>
      <c r="I2155" s="17">
        <v>1</v>
      </c>
      <c r="J2155" s="99">
        <f>SUM(SamplingData[[#This Row],[Losing Candidate]:[Under Votes]])</f>
        <v>138</v>
      </c>
      <c r="K2155" s="100">
        <f>IF(AND(SamplingData[[#This Row],[Total]]&lt;&gt; 0, NOT(ISBLANK(SamplingData[[#This Row],[Losing Candidate]]))),(SamplingData[[#This Row],[Total]]+SamplingData[[#This Row],[Winning Candidate]]-SamplingData[[#This Row],[Losing Candidate]])/(SamplingData[[#Totals],[Winning Candidate]]-SamplingData[[#Totals],[Losing Candidate]]), 0)</f>
        <v>1.1513963743263106E-2</v>
      </c>
      <c r="L2155" s="100">
        <f>IF(AND(SamplingData[[#This Row],[Total]]&lt;&gt; 0, NOT(ISBLANK(SamplingData[[#This Row],[Candidate 3]]))),(SamplingData[[#This Row],[Total]]+SamplingData[[#This Row],[Winning Candidate]]-SamplingData[[#This Row],[Candidate 3]])/(SamplingData[[#Totals],[Winning Candidate]]-SamplingData[[#Totals],[Candidate 3]]), 0)</f>
        <v>6.5812820595541506E-3</v>
      </c>
      <c r="M2155" s="100">
        <f>IF(AND(SamplingData[[#This Row],[Total]]&lt;&gt; 0, NOT(ISBLANK(SamplingData[[#This Row],[Candidate 4]]))),(SamplingData[[#This Row],[Total]]+SamplingData[[#This Row],[Winning Candidate]]-SamplingData[[#This Row],[Candidate 4]])/(SamplingData[[#Totals],[Winning Candidate]]-SamplingData[[#Totals],[Candidate 4]]), 0)</f>
        <v>5.8171826127627231E-3</v>
      </c>
      <c r="N2155" s="100">
        <f>IF(AND(SamplingData[[#This Row],[Total]]&lt;&gt; 0, NOT(ISBLANK(SamplingData[[#This Row],[Candidate 5]]))),(SamplingData[[#This Row],[Total]]+SamplingData[[#This Row],[Winning Candidate]]-SamplingData[[#This Row],[Candidate 5]])/(SamplingData[[#Totals],[Winning Candidate]]-SamplingData[[#Totals],[Candidate 5]]), 0)</f>
        <v>5.2298710775966917E-3</v>
      </c>
      <c r="O2155" s="100">
        <f>IF(AND(SamplingData[[#This Row],[Total]]&lt;&gt; 0, NOT(ISBLANK(SamplingData[[#This Row],[Candidate 6]]))),(SamplingData[[#This Row],[Total]]+SamplingData[[#This Row],[Winning Candidate]]-SamplingData[[#This Row],[Candidate 6]])/(SamplingData[[#Totals],[Winning Candidate]]-SamplingData[[#Totals],[Candidate 6]]), 0)</f>
        <v>5.2283449248577401E-3</v>
      </c>
      <c r="P2155" s="100">
        <f>MAX(SamplingData[[#This Row],[Error Bound (up) - Max. possible relative overstatement - Losing Candidate]:[Error Bound (up) - Max. possible relative overstatement - Candidate 6]])</f>
        <v>1.1513963743263106E-2</v>
      </c>
      <c r="Q2155" s="100">
        <f>IF(SamplingData[[#This Row],[Max Error Bound (up)]] = 0,0,SamplingData[[#This Row],[Max Error Bound (up)]]/SamplingData[[#Totals],[Max Error Bound (up)]])</f>
        <v>1.8222742763478162E-3</v>
      </c>
      <c r="R2155" s="101">
        <f>SUM($Q$5:Q2155)</f>
        <v>0.98548965642716613</v>
      </c>
      <c r="S2155" s="100" t="str">
        <f t="array" ref="S2155">IF(SamplingData[[#This Row],[up/U Selection Probability]] = 0, "Zero", TEXT(SamplingData[[#This Row],[Lower Range]], REPT("0",LEN('General Info'!$B$40))) &amp; " - " &amp; TEXT(SamplingData[[#This Row],[Upper Range]], REPT("0",LEN('General Info'!$B$40))))</f>
        <v>98367 - 98548</v>
      </c>
      <c r="T2155" s="100">
        <f>SamplingData[[#This Row],[Upper Range]]-SamplingData[[#This Row],[Span]]</f>
        <v>98366.74003735611</v>
      </c>
      <c r="U2155" s="100">
        <f>IF(ISNUMBER('General Info'!$B$40), ((SamplingData[[#This Row],[up/U Selection Probability]]) * 'General Info'!$B$40) - 1, 0)</f>
        <v>181.22560536050528</v>
      </c>
      <c r="V2155" s="100">
        <f>IF(ISNUMBER('General Info'!$B$40), (SamplingData[[#This Row],[Running (cumulative) sum]] * ('General Info'!$B$40 -'General Info'!$B$41 + 1)) + 'General Info'!$B$41 - 1, 0)</f>
        <v>98547.965642716619</v>
      </c>
      <c r="W2155" s="100" t="str">
        <f>IF(ISERROR(MATCH(SamplingData[[#This Row],[Batch by Type (p)]],SelectedPrecincts[Batch Name], 0)), "", INDEX(SelectedPrecincts[Draw], MATCH(SamplingData[[#This Row],[Batch by Type (p)]],SelectedPrecincts[Batch Name], 0)))</f>
        <v/>
      </c>
      <c r="X2155" s="102">
        <f>IF(COUNTIF(SelectedPrecincts[Batch Name],SamplingData[[#This Row],[Batch by Type (p)]]) &lt;&gt; 0, COUNTIF(SelectedPrecincts[Batch Name],SamplingData[[#This Row],[Batch by Type (p)]]), 0)</f>
        <v>0</v>
      </c>
    </row>
    <row r="2156" spans="1:24" ht="15" customHeight="1">
      <c r="A2156" s="18" t="s">
        <v>2332</v>
      </c>
      <c r="B2156" s="18">
        <v>13</v>
      </c>
      <c r="C2156" s="18">
        <v>40</v>
      </c>
      <c r="D2156" s="18">
        <v>5</v>
      </c>
      <c r="E2156" s="18">
        <v>1</v>
      </c>
      <c r="F2156" s="18">
        <v>0</v>
      </c>
      <c r="G2156" s="18">
        <v>0</v>
      </c>
      <c r="H2156" s="18">
        <v>0</v>
      </c>
      <c r="I2156" s="18">
        <v>0</v>
      </c>
      <c r="J2156" s="99">
        <f>SUM(SamplingData[[#This Row],[Losing Candidate]:[Under Votes]])</f>
        <v>59</v>
      </c>
      <c r="K2156" s="100">
        <f>IF(AND(SamplingData[[#This Row],[Total]]&lt;&gt; 0, NOT(ISBLANK(SamplingData[[#This Row],[Losing Candidate]]))),(SamplingData[[#This Row],[Total]]+SamplingData[[#This Row],[Winning Candidate]]-SamplingData[[#This Row],[Losing Candidate]])/(SamplingData[[#Totals],[Winning Candidate]]-SamplingData[[#Totals],[Losing Candidate]]), 0)</f>
        <v>5.2670259676629106E-3</v>
      </c>
      <c r="L2156" s="100">
        <f>IF(AND(SamplingData[[#This Row],[Total]]&lt;&gt; 0, NOT(ISBLANK(SamplingData[[#This Row],[Candidate 3]]))),(SamplingData[[#This Row],[Total]]+SamplingData[[#This Row],[Winning Candidate]]-SamplingData[[#This Row],[Candidate 3]])/(SamplingData[[#Totals],[Winning Candidate]]-SamplingData[[#Totals],[Candidate 3]]), 0)</f>
        <v>3.0325515372455398E-3</v>
      </c>
      <c r="M2156" s="100">
        <f>IF(AND(SamplingData[[#This Row],[Total]]&lt;&gt; 0, NOT(ISBLANK(SamplingData[[#This Row],[Candidate 4]]))),(SamplingData[[#This Row],[Total]]+SamplingData[[#This Row],[Winning Candidate]]-SamplingData[[#This Row],[Candidate 4]])/(SamplingData[[#Totals],[Winning Candidate]]-SamplingData[[#Totals],[Candidate 4]]), 0)</f>
        <v>2.8647431962349089E-3</v>
      </c>
      <c r="N2156" s="100">
        <f>IF(AND(SamplingData[[#This Row],[Total]]&lt;&gt; 0, NOT(ISBLANK(SamplingData[[#This Row],[Candidate 5]]))),(SamplingData[[#This Row],[Total]]+SamplingData[[#This Row],[Winning Candidate]]-SamplingData[[#This Row],[Candidate 5]])/(SamplingData[[#Totals],[Winning Candidate]]-SamplingData[[#Totals],[Candidate 5]]), 0)</f>
        <v>2.4081731938701044E-3</v>
      </c>
      <c r="O2156" s="100">
        <f>IF(AND(SamplingData[[#This Row],[Total]]&lt;&gt; 0, NOT(ISBLANK(SamplingData[[#This Row],[Candidate 6]]))),(SamplingData[[#This Row],[Total]]+SamplingData[[#This Row],[Winning Candidate]]-SamplingData[[#This Row],[Candidate 6]])/(SamplingData[[#Totals],[Winning Candidate]]-SamplingData[[#Totals],[Candidate 6]]), 0)</f>
        <v>2.4074704537717039E-3</v>
      </c>
      <c r="P2156" s="100">
        <f>MAX(SamplingData[[#This Row],[Error Bound (up) - Max. possible relative overstatement - Losing Candidate]:[Error Bound (up) - Max. possible relative overstatement - Candidate 6]])</f>
        <v>5.2670259676629106E-3</v>
      </c>
      <c r="Q2156" s="100">
        <f>IF(SamplingData[[#This Row],[Max Error Bound (up)]] = 0,0,SamplingData[[#This Row],[Max Error Bound (up)]]/SamplingData[[#Totals],[Max Error Bound (up)]])</f>
        <v>8.3359355194634159E-4</v>
      </c>
      <c r="R2156" s="101">
        <f>SUM($Q$5:Q2156)</f>
        <v>0.98632324997911247</v>
      </c>
      <c r="S2156" s="100" t="str">
        <f t="array" ref="S2156">IF(SamplingData[[#This Row],[up/U Selection Probability]] = 0, "Zero", TEXT(SamplingData[[#This Row],[Lower Range]], REPT("0",LEN('General Info'!$B$40))) &amp; " - " &amp; TEXT(SamplingData[[#This Row],[Upper Range]], REPT("0",LEN('General Info'!$B$40))))</f>
        <v>98549 - 98631</v>
      </c>
      <c r="T2156" s="100">
        <f>SamplingData[[#This Row],[Upper Range]]-SamplingData[[#This Row],[Span]]</f>
        <v>98548.966476310161</v>
      </c>
      <c r="U2156" s="100">
        <f>IF(ISNUMBER('General Info'!$B$40), ((SamplingData[[#This Row],[up/U Selection Probability]]) * 'General Info'!$B$40) - 1, 0)</f>
        <v>82.358521601082217</v>
      </c>
      <c r="V2156" s="100">
        <f>IF(ISNUMBER('General Info'!$B$40), (SamplingData[[#This Row],[Running (cumulative) sum]] * ('General Info'!$B$40 -'General Info'!$B$41 + 1)) + 'General Info'!$B$41 - 1, 0)</f>
        <v>98631.324997911244</v>
      </c>
      <c r="W2156" s="100" t="str">
        <f>IF(ISERROR(MATCH(SamplingData[[#This Row],[Batch by Type (p)]],SelectedPrecincts[Batch Name], 0)), "", INDEX(SelectedPrecincts[Draw], MATCH(SamplingData[[#This Row],[Batch by Type (p)]],SelectedPrecincts[Batch Name], 0)))</f>
        <v/>
      </c>
      <c r="X2156" s="102">
        <f>IF(COUNTIF(SelectedPrecincts[Batch Name],SamplingData[[#This Row],[Batch by Type (p)]]) &lt;&gt; 0, COUNTIF(SelectedPrecincts[Batch Name],SamplingData[[#This Row],[Batch by Type (p)]]), 0)</f>
        <v>0</v>
      </c>
    </row>
    <row r="2157" spans="1:24" ht="15" customHeight="1">
      <c r="A2157" s="18" t="s">
        <v>2333</v>
      </c>
      <c r="B2157" s="18">
        <v>44</v>
      </c>
      <c r="C2157" s="18">
        <v>68</v>
      </c>
      <c r="D2157" s="16">
        <v>20</v>
      </c>
      <c r="E2157" s="16">
        <v>10</v>
      </c>
      <c r="F2157" s="37">
        <v>0</v>
      </c>
      <c r="G2157" s="37">
        <v>0</v>
      </c>
      <c r="H2157" s="17">
        <v>0</v>
      </c>
      <c r="I2157" s="17">
        <v>0</v>
      </c>
      <c r="J2157" s="99">
        <f>SUM(SamplingData[[#This Row],[Losing Candidate]:[Under Votes]])</f>
        <v>142</v>
      </c>
      <c r="K2157" s="100">
        <f>IF(AND(SamplingData[[#This Row],[Total]]&lt;&gt; 0, NOT(ISBLANK(SamplingData[[#This Row],[Losing Candidate]]))),(SamplingData[[#This Row],[Total]]+SamplingData[[#This Row],[Winning Candidate]]-SamplingData[[#This Row],[Losing Candidate]])/(SamplingData[[#Totals],[Winning Candidate]]-SamplingData[[#Totals],[Losing Candidate]]), 0)</f>
        <v>1.0166585007349339E-2</v>
      </c>
      <c r="L2157" s="100">
        <f>IF(AND(SamplingData[[#This Row],[Total]]&lt;&gt; 0, NOT(ISBLANK(SamplingData[[#This Row],[Candidate 3]]))),(SamplingData[[#This Row],[Total]]+SamplingData[[#This Row],[Winning Candidate]]-SamplingData[[#This Row],[Candidate 3]])/(SamplingData[[#Totals],[Winning Candidate]]-SamplingData[[#Totals],[Candidate 3]]), 0)</f>
        <v>6.1296254476239636E-3</v>
      </c>
      <c r="M2157" s="100">
        <f>IF(AND(SamplingData[[#This Row],[Total]]&lt;&gt; 0, NOT(ISBLANK(SamplingData[[#This Row],[Candidate 4]]))),(SamplingData[[#This Row],[Total]]+SamplingData[[#This Row],[Winning Candidate]]-SamplingData[[#This Row],[Candidate 4]])/(SamplingData[[#Totals],[Winning Candidate]]-SamplingData[[#Totals],[Candidate 4]]), 0)</f>
        <v>5.8464146861936916E-3</v>
      </c>
      <c r="N2157" s="100">
        <f>IF(AND(SamplingData[[#This Row],[Total]]&lt;&gt; 0, NOT(ISBLANK(SamplingData[[#This Row],[Candidate 5]]))),(SamplingData[[#This Row],[Total]]+SamplingData[[#This Row],[Winning Candidate]]-SamplingData[[#This Row],[Candidate 5]])/(SamplingData[[#Totals],[Winning Candidate]]-SamplingData[[#Totals],[Candidate 5]]), 0)</f>
        <v>5.1082461688153735E-3</v>
      </c>
      <c r="O2157" s="100">
        <f>IF(AND(SamplingData[[#This Row],[Total]]&lt;&gt; 0, NOT(ISBLANK(SamplingData[[#This Row],[Candidate 6]]))),(SamplingData[[#This Row],[Total]]+SamplingData[[#This Row],[Winning Candidate]]-SamplingData[[#This Row],[Candidate 6]])/(SamplingData[[#Totals],[Winning Candidate]]-SamplingData[[#Totals],[Candidate 6]]), 0)</f>
        <v>5.1067555080005836E-3</v>
      </c>
      <c r="P2157" s="100">
        <f>MAX(SamplingData[[#This Row],[Error Bound (up) - Max. possible relative overstatement - Losing Candidate]:[Error Bound (up) - Max. possible relative overstatement - Candidate 6]])</f>
        <v>1.0166585007349339E-2</v>
      </c>
      <c r="Q2157" s="100">
        <f>IF(SamplingData[[#This Row],[Max Error Bound (up)]] = 0,0,SamplingData[[#This Row],[Max Error Bound (up)]]/SamplingData[[#Totals],[Max Error Bound (up)]])</f>
        <v>1.6090294142220081E-3</v>
      </c>
      <c r="R2157" s="101">
        <f>SUM($Q$5:Q2157)</f>
        <v>0.9879322793933345</v>
      </c>
      <c r="S2157" s="100" t="str">
        <f t="array" ref="S2157">IF(SamplingData[[#This Row],[up/U Selection Probability]] = 0, "Zero", TEXT(SamplingData[[#This Row],[Lower Range]], REPT("0",LEN('General Info'!$B$40))) &amp; " - " &amp; TEXT(SamplingData[[#This Row],[Upper Range]], REPT("0",LEN('General Info'!$B$40))))</f>
        <v>98632 - 98792</v>
      </c>
      <c r="T2157" s="100">
        <f>SamplingData[[#This Row],[Upper Range]]-SamplingData[[#This Row],[Span]]</f>
        <v>98632.326606940653</v>
      </c>
      <c r="U2157" s="100">
        <f>IF(ISNUMBER('General Info'!$B$40), ((SamplingData[[#This Row],[up/U Selection Probability]]) * 'General Info'!$B$40) - 1, 0)</f>
        <v>159.9013323927866</v>
      </c>
      <c r="V2157" s="100">
        <f>IF(ISNUMBER('General Info'!$B$40), (SamplingData[[#This Row],[Running (cumulative) sum]] * ('General Info'!$B$40 -'General Info'!$B$41 + 1)) + 'General Info'!$B$41 - 1, 0)</f>
        <v>98792.227939333447</v>
      </c>
      <c r="W2157" s="100" t="str">
        <f>IF(ISERROR(MATCH(SamplingData[[#This Row],[Batch by Type (p)]],SelectedPrecincts[Batch Name], 0)), "", INDEX(SelectedPrecincts[Draw], MATCH(SamplingData[[#This Row],[Batch by Type (p)]],SelectedPrecincts[Batch Name], 0)))</f>
        <v/>
      </c>
      <c r="X2157" s="102">
        <f>IF(COUNTIF(SelectedPrecincts[Batch Name],SamplingData[[#This Row],[Batch by Type (p)]]) &lt;&gt; 0, COUNTIF(SelectedPrecincts[Batch Name],SamplingData[[#This Row],[Batch by Type (p)]]), 0)</f>
        <v>0</v>
      </c>
    </row>
    <row r="2158" spans="1:24" ht="15" customHeight="1">
      <c r="A2158" s="18" t="s">
        <v>2334</v>
      </c>
      <c r="B2158" s="18">
        <v>17</v>
      </c>
      <c r="C2158" s="18">
        <v>40</v>
      </c>
      <c r="D2158" s="18">
        <v>5</v>
      </c>
      <c r="E2158" s="18">
        <v>2</v>
      </c>
      <c r="F2158" s="18">
        <v>1</v>
      </c>
      <c r="G2158" s="18">
        <v>0</v>
      </c>
      <c r="H2158" s="18">
        <v>0</v>
      </c>
      <c r="I2158" s="18">
        <v>0</v>
      </c>
      <c r="J2158" s="99">
        <f>SUM(SamplingData[[#This Row],[Losing Candidate]:[Under Votes]])</f>
        <v>65</v>
      </c>
      <c r="K2158" s="100">
        <f>IF(AND(SamplingData[[#This Row],[Total]]&lt;&gt; 0, NOT(ISBLANK(SamplingData[[#This Row],[Losing Candidate]]))),(SamplingData[[#This Row],[Total]]+SamplingData[[#This Row],[Winning Candidate]]-SamplingData[[#This Row],[Losing Candidate]])/(SamplingData[[#Totals],[Winning Candidate]]-SamplingData[[#Totals],[Losing Candidate]]), 0)</f>
        <v>5.3895149436550714E-3</v>
      </c>
      <c r="L2158" s="100">
        <f>IF(AND(SamplingData[[#This Row],[Total]]&lt;&gt; 0, NOT(ISBLANK(SamplingData[[#This Row],[Candidate 3]]))),(SamplingData[[#This Row],[Total]]+SamplingData[[#This Row],[Winning Candidate]]-SamplingData[[#This Row],[Candidate 3]])/(SamplingData[[#Totals],[Winning Candidate]]-SamplingData[[#Totals],[Candidate 3]]), 0)</f>
        <v>3.2261186566441913E-3</v>
      </c>
      <c r="M2158" s="100">
        <f>IF(AND(SamplingData[[#This Row],[Total]]&lt;&gt; 0, NOT(ISBLANK(SamplingData[[#This Row],[Candidate 4]]))),(SamplingData[[#This Row],[Total]]+SamplingData[[#This Row],[Winning Candidate]]-SamplingData[[#This Row],[Candidate 4]])/(SamplingData[[#Totals],[Winning Candidate]]-SamplingData[[#Totals],[Candidate 4]]), 0)</f>
        <v>3.0109035633897512E-3</v>
      </c>
      <c r="N2158" s="100">
        <f>IF(AND(SamplingData[[#This Row],[Total]]&lt;&gt; 0, NOT(ISBLANK(SamplingData[[#This Row],[Candidate 5]]))),(SamplingData[[#This Row],[Total]]+SamplingData[[#This Row],[Winning Candidate]]-SamplingData[[#This Row],[Candidate 5]])/(SamplingData[[#Totals],[Winning Candidate]]-SamplingData[[#Totals],[Candidate 5]]), 0)</f>
        <v>2.5297981026514232E-3</v>
      </c>
      <c r="O2158" s="100">
        <f>IF(AND(SamplingData[[#This Row],[Total]]&lt;&gt; 0, NOT(ISBLANK(SamplingData[[#This Row],[Candidate 6]]))),(SamplingData[[#This Row],[Total]]+SamplingData[[#This Row],[Winning Candidate]]-SamplingData[[#This Row],[Candidate 6]])/(SamplingData[[#Totals],[Winning Candidate]]-SamplingData[[#Totals],[Candidate 6]]), 0)</f>
        <v>2.5533777540002918E-3</v>
      </c>
      <c r="P2158" s="100">
        <f>MAX(SamplingData[[#This Row],[Error Bound (up) - Max. possible relative overstatement - Losing Candidate]:[Error Bound (up) - Max. possible relative overstatement - Candidate 6]])</f>
        <v>5.3895149436550714E-3</v>
      </c>
      <c r="Q2158" s="100">
        <f>IF(SamplingData[[#This Row],[Max Error Bound (up)]] = 0,0,SamplingData[[#This Row],[Max Error Bound (up)]]/SamplingData[[#Totals],[Max Error Bound (up)]])</f>
        <v>8.5297944850323327E-4</v>
      </c>
      <c r="R2158" s="101">
        <f>SUM($Q$5:Q2158)</f>
        <v>0.98878525884183777</v>
      </c>
      <c r="S2158" s="100" t="str">
        <f t="array" ref="S2158">IF(SamplingData[[#This Row],[up/U Selection Probability]] = 0, "Zero", TEXT(SamplingData[[#This Row],[Lower Range]], REPT("0",LEN('General Info'!$B$40))) &amp; " - " &amp; TEXT(SamplingData[[#This Row],[Upper Range]], REPT("0",LEN('General Info'!$B$40))))</f>
        <v>98793 - 98878</v>
      </c>
      <c r="T2158" s="100">
        <f>SamplingData[[#This Row],[Upper Range]]-SamplingData[[#This Row],[Span]]</f>
        <v>98793.228792312904</v>
      </c>
      <c r="U2158" s="100">
        <f>IF(ISNUMBER('General Info'!$B$40), ((SamplingData[[#This Row],[up/U Selection Probability]]) * 'General Info'!$B$40) - 1, 0)</f>
        <v>84.297091870874823</v>
      </c>
      <c r="V2158" s="100">
        <f>IF(ISNUMBER('General Info'!$B$40), (SamplingData[[#This Row],[Running (cumulative) sum]] * ('General Info'!$B$40 -'General Info'!$B$41 + 1)) + 'General Info'!$B$41 - 1, 0)</f>
        <v>98877.525884183779</v>
      </c>
      <c r="W2158" s="100" t="str">
        <f>IF(ISERROR(MATCH(SamplingData[[#This Row],[Batch by Type (p)]],SelectedPrecincts[Batch Name], 0)), "", INDEX(SelectedPrecincts[Draw], MATCH(SamplingData[[#This Row],[Batch by Type (p)]],SelectedPrecincts[Batch Name], 0)))</f>
        <v/>
      </c>
      <c r="X2158" s="102">
        <f>IF(COUNTIF(SelectedPrecincts[Batch Name],SamplingData[[#This Row],[Batch by Type (p)]]) &lt;&gt; 0, COUNTIF(SelectedPrecincts[Batch Name],SamplingData[[#This Row],[Batch by Type (p)]]), 0)</f>
        <v>0</v>
      </c>
    </row>
    <row r="2159" spans="1:24" ht="15" customHeight="1">
      <c r="A2159" s="18" t="s">
        <v>2335</v>
      </c>
      <c r="B2159" s="18">
        <v>24</v>
      </c>
      <c r="C2159" s="18">
        <v>59</v>
      </c>
      <c r="D2159" s="16">
        <v>5</v>
      </c>
      <c r="E2159" s="16">
        <v>2</v>
      </c>
      <c r="F2159" s="37">
        <v>1</v>
      </c>
      <c r="G2159" s="37">
        <v>1</v>
      </c>
      <c r="H2159" s="17">
        <v>0</v>
      </c>
      <c r="I2159" s="17">
        <v>0</v>
      </c>
      <c r="J2159" s="99">
        <f>SUM(SamplingData[[#This Row],[Losing Candidate]:[Under Votes]])</f>
        <v>92</v>
      </c>
      <c r="K2159" s="100">
        <f>IF(AND(SamplingData[[#This Row],[Total]]&lt;&gt; 0, NOT(ISBLANK(SamplingData[[#This Row],[Losing Candidate]]))),(SamplingData[[#This Row],[Total]]+SamplingData[[#This Row],[Winning Candidate]]-SamplingData[[#This Row],[Losing Candidate]])/(SamplingData[[#Totals],[Winning Candidate]]-SamplingData[[#Totals],[Losing Candidate]]), 0)</f>
        <v>7.7780499755022046E-3</v>
      </c>
      <c r="L2159" s="100">
        <f>IF(AND(SamplingData[[#This Row],[Total]]&lt;&gt; 0, NOT(ISBLANK(SamplingData[[#This Row],[Candidate 3]]))),(SamplingData[[#This Row],[Total]]+SamplingData[[#This Row],[Winning Candidate]]-SamplingData[[#This Row],[Candidate 3]])/(SamplingData[[#Totals],[Winning Candidate]]-SamplingData[[#Totals],[Candidate 3]]), 0)</f>
        <v>4.7101332387005194E-3</v>
      </c>
      <c r="M2159" s="100">
        <f>IF(AND(SamplingData[[#This Row],[Total]]&lt;&gt; 0, NOT(ISBLANK(SamplingData[[#This Row],[Candidate 4]]))),(SamplingData[[#This Row],[Total]]+SamplingData[[#This Row],[Winning Candidate]]-SamplingData[[#This Row],[Candidate 4]])/(SamplingData[[#Totals],[Winning Candidate]]-SamplingData[[#Totals],[Candidate 4]]), 0)</f>
        <v>4.3555789412143006E-3</v>
      </c>
      <c r="N2159" s="100">
        <f>IF(AND(SamplingData[[#This Row],[Total]]&lt;&gt; 0, NOT(ISBLANK(SamplingData[[#This Row],[Candidate 5]]))),(SamplingData[[#This Row],[Total]]+SamplingData[[#This Row],[Winning Candidate]]-SamplingData[[#This Row],[Candidate 5]])/(SamplingData[[#Totals],[Winning Candidate]]-SamplingData[[#Totals],[Candidate 5]]), 0)</f>
        <v>3.6487472634395522E-3</v>
      </c>
      <c r="O2159" s="100">
        <f>IF(AND(SamplingData[[#This Row],[Total]]&lt;&gt; 0, NOT(ISBLANK(SamplingData[[#This Row],[Candidate 6]]))),(SamplingData[[#This Row],[Total]]+SamplingData[[#This Row],[Winning Candidate]]-SamplingData[[#This Row],[Candidate 6]])/(SamplingData[[#Totals],[Winning Candidate]]-SamplingData[[#Totals],[Candidate 6]]), 0)</f>
        <v>3.6476825057147025E-3</v>
      </c>
      <c r="P2159" s="100">
        <f>MAX(SamplingData[[#This Row],[Error Bound (up) - Max. possible relative overstatement - Losing Candidate]:[Error Bound (up) - Max. possible relative overstatement - Candidate 6]])</f>
        <v>7.7780499755022046E-3</v>
      </c>
      <c r="Q2159" s="100">
        <f>IF(SamplingData[[#This Row],[Max Error Bound (up)]] = 0,0,SamplingData[[#This Row],[Max Error Bound (up)]]/SamplingData[[#Totals],[Max Error Bound (up)]])</f>
        <v>1.2310044313626205E-3</v>
      </c>
      <c r="R2159" s="101">
        <f>SUM($Q$5:Q2159)</f>
        <v>0.99001626327320036</v>
      </c>
      <c r="S2159" s="100" t="str">
        <f t="array" ref="S2159">IF(SamplingData[[#This Row],[up/U Selection Probability]] = 0, "Zero", TEXT(SamplingData[[#This Row],[Lower Range]], REPT("0",LEN('General Info'!$B$40))) &amp; " - " &amp; TEXT(SamplingData[[#This Row],[Upper Range]], REPT("0",LEN('General Info'!$B$40))))</f>
        <v>98879 - 99001</v>
      </c>
      <c r="T2159" s="100">
        <f>SamplingData[[#This Row],[Upper Range]]-SamplingData[[#This Row],[Span]]</f>
        <v>98878.527115188204</v>
      </c>
      <c r="U2159" s="100">
        <f>IF(ISNUMBER('General Info'!$B$40), ((SamplingData[[#This Row],[up/U Selection Probability]]) * 'General Info'!$B$40) - 1, 0)</f>
        <v>122.09921213183068</v>
      </c>
      <c r="V2159" s="100">
        <f>IF(ISNUMBER('General Info'!$B$40), (SamplingData[[#This Row],[Running (cumulative) sum]] * ('General Info'!$B$40 -'General Info'!$B$41 + 1)) + 'General Info'!$B$41 - 1, 0)</f>
        <v>99000.626327320031</v>
      </c>
      <c r="W2159" s="100" t="str">
        <f>IF(ISERROR(MATCH(SamplingData[[#This Row],[Batch by Type (p)]],SelectedPrecincts[Batch Name], 0)), "", INDEX(SelectedPrecincts[Draw], MATCH(SamplingData[[#This Row],[Batch by Type (p)]],SelectedPrecincts[Batch Name], 0)))</f>
        <v/>
      </c>
      <c r="X2159" s="102">
        <f>IF(COUNTIF(SelectedPrecincts[Batch Name],SamplingData[[#This Row],[Batch by Type (p)]]) &lt;&gt; 0, COUNTIF(SelectedPrecincts[Batch Name],SamplingData[[#This Row],[Batch by Type (p)]]), 0)</f>
        <v>0</v>
      </c>
    </row>
    <row r="2160" spans="1:24" ht="15" customHeight="1">
      <c r="A2160" s="18" t="s">
        <v>2336</v>
      </c>
      <c r="B2160" s="18">
        <v>17</v>
      </c>
      <c r="C2160" s="18">
        <v>36</v>
      </c>
      <c r="D2160" s="18">
        <v>6</v>
      </c>
      <c r="E2160" s="18">
        <v>0</v>
      </c>
      <c r="F2160" s="18">
        <v>3</v>
      </c>
      <c r="G2160" s="18">
        <v>0</v>
      </c>
      <c r="H2160" s="18">
        <v>0</v>
      </c>
      <c r="I2160" s="18">
        <v>1</v>
      </c>
      <c r="J2160" s="99">
        <f>SUM(SamplingData[[#This Row],[Losing Candidate]:[Under Votes]])</f>
        <v>63</v>
      </c>
      <c r="K2160"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2160" s="100">
        <f>IF(AND(SamplingData[[#This Row],[Total]]&lt;&gt; 0, NOT(ISBLANK(SamplingData[[#This Row],[Candidate 3]]))),(SamplingData[[#This Row],[Total]]+SamplingData[[#This Row],[Winning Candidate]]-SamplingData[[#This Row],[Candidate 3]])/(SamplingData[[#Totals],[Winning Candidate]]-SamplingData[[#Totals],[Candidate 3]]), 0)</f>
        <v>3.0002903506790978E-3</v>
      </c>
      <c r="M2160" s="100">
        <f>IF(AND(SamplingData[[#This Row],[Total]]&lt;&gt; 0, NOT(ISBLANK(SamplingData[[#This Row],[Candidate 4]]))),(SamplingData[[#This Row],[Total]]+SamplingData[[#This Row],[Winning Candidate]]-SamplingData[[#This Row],[Candidate 4]])/(SamplingData[[#Totals],[Winning Candidate]]-SamplingData[[#Totals],[Candidate 4]]), 0)</f>
        <v>2.8939752696658773E-3</v>
      </c>
      <c r="N2160" s="100">
        <f>IF(AND(SamplingData[[#This Row],[Total]]&lt;&gt; 0, NOT(ISBLANK(SamplingData[[#This Row],[Candidate 5]]))),(SamplingData[[#This Row],[Total]]+SamplingData[[#This Row],[Winning Candidate]]-SamplingData[[#This Row],[Candidate 5]])/(SamplingData[[#Totals],[Winning Candidate]]-SamplingData[[#Totals],[Candidate 5]]), 0)</f>
        <v>2.3351982486013137E-3</v>
      </c>
      <c r="O2160" s="100">
        <f>IF(AND(SamplingData[[#This Row],[Total]]&lt;&gt; 0, NOT(ISBLANK(SamplingData[[#This Row],[Candidate 6]]))),(SamplingData[[#This Row],[Total]]+SamplingData[[#This Row],[Winning Candidate]]-SamplingData[[#This Row],[Candidate 6]])/(SamplingData[[#Totals],[Winning Candidate]]-SamplingData[[#Totals],[Candidate 6]]), 0)</f>
        <v>2.4074704537717039E-3</v>
      </c>
      <c r="P2160" s="100">
        <f>MAX(SamplingData[[#This Row],[Error Bound (up) - Max. possible relative overstatement - Losing Candidate]:[Error Bound (up) - Max. possible relative overstatement - Candidate 6]])</f>
        <v>5.0220480156785889E-3</v>
      </c>
      <c r="Q2160" s="100">
        <f>IF(SamplingData[[#This Row],[Max Error Bound (up)]] = 0,0,SamplingData[[#This Row],[Max Error Bound (up)]]/SamplingData[[#Totals],[Max Error Bound (up)]])</f>
        <v>7.9482175883255823E-4</v>
      </c>
      <c r="R2160" s="101">
        <f>SUM($Q$5:Q2160)</f>
        <v>0.99081108503203297</v>
      </c>
      <c r="S2160" s="100" t="str">
        <f t="array" ref="S2160">IF(SamplingData[[#This Row],[up/U Selection Probability]] = 0, "Zero", TEXT(SamplingData[[#This Row],[Lower Range]], REPT("0",LEN('General Info'!$B$40))) &amp; " - " &amp; TEXT(SamplingData[[#This Row],[Upper Range]], REPT("0",LEN('General Info'!$B$40))))</f>
        <v>99002 - 99080</v>
      </c>
      <c r="T2160" s="100">
        <f>SamplingData[[#This Row],[Upper Range]]-SamplingData[[#This Row],[Span]]</f>
        <v>99001.627122141799</v>
      </c>
      <c r="U2160" s="100">
        <f>IF(ISNUMBER('General Info'!$B$40), ((SamplingData[[#This Row],[up/U Selection Probability]]) * 'General Info'!$B$40) - 1, 0)</f>
        <v>78.48138106149699</v>
      </c>
      <c r="V2160" s="100">
        <f>IF(ISNUMBER('General Info'!$B$40), (SamplingData[[#This Row],[Running (cumulative) sum]] * ('General Info'!$B$40 -'General Info'!$B$41 + 1)) + 'General Info'!$B$41 - 1, 0)</f>
        <v>99080.108503203301</v>
      </c>
      <c r="W2160" s="100" t="str">
        <f>IF(ISERROR(MATCH(SamplingData[[#This Row],[Batch by Type (p)]],SelectedPrecincts[Batch Name], 0)), "", INDEX(SelectedPrecincts[Draw], MATCH(SamplingData[[#This Row],[Batch by Type (p)]],SelectedPrecincts[Batch Name], 0)))</f>
        <v/>
      </c>
      <c r="X2160" s="102">
        <f>IF(COUNTIF(SelectedPrecincts[Batch Name],SamplingData[[#This Row],[Batch by Type (p)]]) &lt;&gt; 0, COUNTIF(SelectedPrecincts[Batch Name],SamplingData[[#This Row],[Batch by Type (p)]]), 0)</f>
        <v>0</v>
      </c>
    </row>
    <row r="2161" spans="1:24" ht="15" customHeight="1">
      <c r="A2161" s="18" t="s">
        <v>2337</v>
      </c>
      <c r="B2161" s="18">
        <v>25</v>
      </c>
      <c r="C2161" s="18">
        <v>98</v>
      </c>
      <c r="D2161" s="16">
        <v>12</v>
      </c>
      <c r="E2161" s="16">
        <v>16</v>
      </c>
      <c r="F2161" s="37">
        <v>0</v>
      </c>
      <c r="G2161" s="37">
        <v>0</v>
      </c>
      <c r="H2161" s="17">
        <v>0</v>
      </c>
      <c r="I2161" s="17">
        <v>0</v>
      </c>
      <c r="J2161" s="99">
        <f>SUM(SamplingData[[#This Row],[Losing Candidate]:[Under Votes]])</f>
        <v>151</v>
      </c>
      <c r="K2161" s="100">
        <f>IF(AND(SamplingData[[#This Row],[Total]]&lt;&gt; 0, NOT(ISBLANK(SamplingData[[#This Row],[Losing Candidate]]))),(SamplingData[[#This Row],[Total]]+SamplingData[[#This Row],[Winning Candidate]]-SamplingData[[#This Row],[Losing Candidate]])/(SamplingData[[#Totals],[Winning Candidate]]-SamplingData[[#Totals],[Losing Candidate]]), 0)</f>
        <v>1.3718765311121999E-2</v>
      </c>
      <c r="L2161" s="100">
        <f>IF(AND(SamplingData[[#This Row],[Total]]&lt;&gt; 0, NOT(ISBLANK(SamplingData[[#This Row],[Candidate 3]]))),(SamplingData[[#This Row],[Total]]+SamplingData[[#This Row],[Winning Candidate]]-SamplingData[[#This Row],[Candidate 3]])/(SamplingData[[#Totals],[Winning Candidate]]-SamplingData[[#Totals],[Candidate 3]]), 0)</f>
        <v>7.6459012162467333E-3</v>
      </c>
      <c r="M2161" s="100">
        <f>IF(AND(SamplingData[[#This Row],[Total]]&lt;&gt; 0, NOT(ISBLANK(SamplingData[[#This Row],[Candidate 4]]))),(SamplingData[[#This Row],[Total]]+SamplingData[[#This Row],[Winning Candidate]]-SamplingData[[#This Row],[Candidate 4]])/(SamplingData[[#Totals],[Winning Candidate]]-SamplingData[[#Totals],[Candidate 4]]), 0)</f>
        <v>6.811073109415651E-3</v>
      </c>
      <c r="N2161" s="100">
        <f>IF(AND(SamplingData[[#This Row],[Total]]&lt;&gt; 0, NOT(ISBLANK(SamplingData[[#This Row],[Candidate 5]]))),(SamplingData[[#This Row],[Total]]+SamplingData[[#This Row],[Winning Candidate]]-SamplingData[[#This Row],[Candidate 5]])/(SamplingData[[#Totals],[Winning Candidate]]-SamplingData[[#Totals],[Candidate 5]]), 0)</f>
        <v>6.0569204573096566E-3</v>
      </c>
      <c r="O2161" s="100">
        <f>IF(AND(SamplingData[[#This Row],[Total]]&lt;&gt; 0, NOT(ISBLANK(SamplingData[[#This Row],[Candidate 6]]))),(SamplingData[[#This Row],[Total]]+SamplingData[[#This Row],[Winning Candidate]]-SamplingData[[#This Row],[Candidate 6]])/(SamplingData[[#Totals],[Winning Candidate]]-SamplingData[[#Totals],[Candidate 6]]), 0)</f>
        <v>6.0551529594864064E-3</v>
      </c>
      <c r="P2161" s="100">
        <f>MAX(SamplingData[[#This Row],[Error Bound (up) - Max. possible relative overstatement - Losing Candidate]:[Error Bound (up) - Max. possible relative overstatement - Candidate 6]])</f>
        <v>1.3718765311121999E-2</v>
      </c>
      <c r="Q2161" s="100">
        <f>IF(SamplingData[[#This Row],[Max Error Bound (up)]] = 0,0,SamplingData[[#This Row],[Max Error Bound (up)]]/SamplingData[[#Totals],[Max Error Bound (up)]])</f>
        <v>2.1712204143718664E-3</v>
      </c>
      <c r="R2161" s="101">
        <f>SUM($Q$5:Q2161)</f>
        <v>0.99298230544640487</v>
      </c>
      <c r="S2161" s="100" t="str">
        <f t="array" ref="S2161">IF(SamplingData[[#This Row],[up/U Selection Probability]] = 0, "Zero", TEXT(SamplingData[[#This Row],[Lower Range]], REPT("0",LEN('General Info'!$B$40))) &amp; " - " &amp; TEXT(SamplingData[[#This Row],[Upper Range]], REPT("0",LEN('General Info'!$B$40))))</f>
        <v>99081 - 99297</v>
      </c>
      <c r="T2161" s="100">
        <f>SamplingData[[#This Row],[Upper Range]]-SamplingData[[#This Row],[Span]]</f>
        <v>99081.110674423719</v>
      </c>
      <c r="U2161" s="100">
        <f>IF(ISNUMBER('General Info'!$B$40), ((SamplingData[[#This Row],[up/U Selection Probability]]) * 'General Info'!$B$40) - 1, 0)</f>
        <v>216.11987021677228</v>
      </c>
      <c r="V2161" s="100">
        <f>IF(ISNUMBER('General Info'!$B$40), (SamplingData[[#This Row],[Running (cumulative) sum]] * ('General Info'!$B$40 -'General Info'!$B$41 + 1)) + 'General Info'!$B$41 - 1, 0)</f>
        <v>99297.230544640493</v>
      </c>
      <c r="W2161" s="100" t="str">
        <f>IF(ISERROR(MATCH(SamplingData[[#This Row],[Batch by Type (p)]],SelectedPrecincts[Batch Name], 0)), "", INDEX(SelectedPrecincts[Draw], MATCH(SamplingData[[#This Row],[Batch by Type (p)]],SelectedPrecincts[Batch Name], 0)))</f>
        <v/>
      </c>
      <c r="X2161" s="102">
        <f>IF(COUNTIF(SelectedPrecincts[Batch Name],SamplingData[[#This Row],[Batch by Type (p)]]) &lt;&gt; 0, COUNTIF(SelectedPrecincts[Batch Name],SamplingData[[#This Row],[Batch by Type (p)]]), 0)</f>
        <v>0</v>
      </c>
    </row>
    <row r="2162" spans="1:24" ht="15" customHeight="1">
      <c r="A2162" s="18" t="s">
        <v>2338</v>
      </c>
      <c r="B2162" s="18">
        <v>27</v>
      </c>
      <c r="C2162" s="18">
        <v>43</v>
      </c>
      <c r="D2162" s="18">
        <v>13</v>
      </c>
      <c r="E2162" s="18">
        <v>0</v>
      </c>
      <c r="F2162" s="18">
        <v>2</v>
      </c>
      <c r="G2162" s="18">
        <v>0</v>
      </c>
      <c r="H2162" s="18">
        <v>0</v>
      </c>
      <c r="I2162" s="18">
        <v>4</v>
      </c>
      <c r="J2162" s="99">
        <f>SUM(SamplingData[[#This Row],[Losing Candidate]:[Under Votes]])</f>
        <v>89</v>
      </c>
      <c r="K2162" s="100">
        <f>IF(AND(SamplingData[[#This Row],[Total]]&lt;&gt; 0, NOT(ISBLANK(SamplingData[[#This Row],[Losing Candidate]]))),(SamplingData[[#This Row],[Total]]+SamplingData[[#This Row],[Winning Candidate]]-SamplingData[[#This Row],[Losing Candidate]])/(SamplingData[[#Totals],[Winning Candidate]]-SamplingData[[#Totals],[Losing Candidate]]), 0)</f>
        <v>6.4306712395884374E-3</v>
      </c>
      <c r="L2162" s="100">
        <f>IF(AND(SamplingData[[#This Row],[Total]]&lt;&gt; 0, NOT(ISBLANK(SamplingData[[#This Row],[Candidate 3]]))),(SamplingData[[#This Row],[Total]]+SamplingData[[#This Row],[Winning Candidate]]-SamplingData[[#This Row],[Candidate 3]])/(SamplingData[[#Totals],[Winning Candidate]]-SamplingData[[#Totals],[Candidate 3]]), 0)</f>
        <v>3.8390812014065879E-3</v>
      </c>
      <c r="M2162" s="100">
        <f>IF(AND(SamplingData[[#This Row],[Total]]&lt;&gt; 0, NOT(ISBLANK(SamplingData[[#This Row],[Candidate 4]]))),(SamplingData[[#This Row],[Total]]+SamplingData[[#This Row],[Winning Candidate]]-SamplingData[[#This Row],[Candidate 4]])/(SamplingData[[#Totals],[Winning Candidate]]-SamplingData[[#Totals],[Candidate 4]]), 0)</f>
        <v>3.8586336928878367E-3</v>
      </c>
      <c r="N2162" s="100">
        <f>IF(AND(SamplingData[[#This Row],[Total]]&lt;&gt; 0, NOT(ISBLANK(SamplingData[[#This Row],[Candidate 5]]))),(SamplingData[[#This Row],[Total]]+SamplingData[[#This Row],[Winning Candidate]]-SamplingData[[#This Row],[Candidate 5]])/(SamplingData[[#Totals],[Winning Candidate]]-SamplingData[[#Totals],[Candidate 5]]), 0)</f>
        <v>3.1622476283142786E-3</v>
      </c>
      <c r="O2162" s="100">
        <f>IF(AND(SamplingData[[#This Row],[Total]]&lt;&gt; 0, NOT(ISBLANK(SamplingData[[#This Row],[Candidate 6]]))),(SamplingData[[#This Row],[Total]]+SamplingData[[#This Row],[Winning Candidate]]-SamplingData[[#This Row],[Candidate 6]])/(SamplingData[[#Totals],[Winning Candidate]]-SamplingData[[#Totals],[Candidate 6]]), 0)</f>
        <v>3.2099606050289384E-3</v>
      </c>
      <c r="P2162" s="100">
        <f>MAX(SamplingData[[#This Row],[Error Bound (up) - Max. possible relative overstatement - Losing Candidate]:[Error Bound (up) - Max. possible relative overstatement - Candidate 6]])</f>
        <v>6.4306712395884374E-3</v>
      </c>
      <c r="Q2162" s="100">
        <f>IF(SamplingData[[#This Row],[Max Error Bound (up)]] = 0,0,SamplingData[[#This Row],[Max Error Bound (up)]]/SamplingData[[#Totals],[Max Error Bound (up)]])</f>
        <v>1.0177595692368124E-3</v>
      </c>
      <c r="R2162" s="101">
        <f>SUM($Q$5:Q2162)</f>
        <v>0.99400006501564164</v>
      </c>
      <c r="S2162" s="100" t="str">
        <f t="array" ref="S2162">IF(SamplingData[[#This Row],[up/U Selection Probability]] = 0, "Zero", TEXT(SamplingData[[#This Row],[Lower Range]], REPT("0",LEN('General Info'!$B$40))) &amp; " - " &amp; TEXT(SamplingData[[#This Row],[Upper Range]], REPT("0",LEN('General Info'!$B$40))))</f>
        <v>99298 - 99399</v>
      </c>
      <c r="T2162" s="100">
        <f>SamplingData[[#This Row],[Upper Range]]-SamplingData[[#This Row],[Span]]</f>
        <v>99298.231562400048</v>
      </c>
      <c r="U2162" s="100">
        <f>IF(ISNUMBER('General Info'!$B$40), ((SamplingData[[#This Row],[up/U Selection Probability]]) * 'General Info'!$B$40) - 1, 0)</f>
        <v>100.77493916411201</v>
      </c>
      <c r="V2162" s="100">
        <f>IF(ISNUMBER('General Info'!$B$40), (SamplingData[[#This Row],[Running (cumulative) sum]] * ('General Info'!$B$40 -'General Info'!$B$41 + 1)) + 'General Info'!$B$41 - 1, 0)</f>
        <v>99399.006501564159</v>
      </c>
      <c r="W2162" s="100" t="str">
        <f>IF(ISERROR(MATCH(SamplingData[[#This Row],[Batch by Type (p)]],SelectedPrecincts[Batch Name], 0)), "", INDEX(SelectedPrecincts[Draw], MATCH(SamplingData[[#This Row],[Batch by Type (p)]],SelectedPrecincts[Batch Name], 0)))</f>
        <v/>
      </c>
      <c r="X2162" s="102">
        <f>IF(COUNTIF(SelectedPrecincts[Batch Name],SamplingData[[#This Row],[Batch by Type (p)]]) &lt;&gt; 0, COUNTIF(SelectedPrecincts[Batch Name],SamplingData[[#This Row],[Batch by Type (p)]]), 0)</f>
        <v>0</v>
      </c>
    </row>
    <row r="2163" spans="1:24" ht="15" customHeight="1">
      <c r="A2163" s="18" t="s">
        <v>2339</v>
      </c>
      <c r="B2163" s="18">
        <v>16</v>
      </c>
      <c r="C2163" s="18">
        <v>96</v>
      </c>
      <c r="D2163" s="16">
        <v>12</v>
      </c>
      <c r="E2163" s="16">
        <v>9</v>
      </c>
      <c r="F2163" s="37">
        <v>0</v>
      </c>
      <c r="G2163" s="37">
        <v>0</v>
      </c>
      <c r="H2163" s="17">
        <v>0</v>
      </c>
      <c r="I2163" s="17">
        <v>0</v>
      </c>
      <c r="J2163" s="99">
        <f>SUM(SamplingData[[#This Row],[Losing Candidate]:[Under Votes]])</f>
        <v>133</v>
      </c>
      <c r="K2163" s="100">
        <f>IF(AND(SamplingData[[#This Row],[Total]]&lt;&gt; 0, NOT(ISBLANK(SamplingData[[#This Row],[Losing Candidate]]))),(SamplingData[[#This Row],[Total]]+SamplingData[[#This Row],[Winning Candidate]]-SamplingData[[#This Row],[Losing Candidate]])/(SamplingData[[#Totals],[Winning Candidate]]-SamplingData[[#Totals],[Losing Candidate]]), 0)</f>
        <v>1.3045075943165115E-2</v>
      </c>
      <c r="L2163" s="100">
        <f>IF(AND(SamplingData[[#This Row],[Total]]&lt;&gt; 0, NOT(ISBLANK(SamplingData[[#This Row],[Candidate 3]]))),(SamplingData[[#This Row],[Total]]+SamplingData[[#This Row],[Winning Candidate]]-SamplingData[[#This Row],[Candidate 3]])/(SamplingData[[#Totals],[Winning Candidate]]-SamplingData[[#Totals],[Candidate 3]]), 0)</f>
        <v>7.0006774849178952E-3</v>
      </c>
      <c r="M2163" s="100">
        <f>IF(AND(SamplingData[[#This Row],[Total]]&lt;&gt; 0, NOT(ISBLANK(SamplingData[[#This Row],[Candidate 4]]))),(SamplingData[[#This Row],[Total]]+SamplingData[[#This Row],[Winning Candidate]]-SamplingData[[#This Row],[Candidate 4]])/(SamplingData[[#Totals],[Winning Candidate]]-SamplingData[[#Totals],[Candidate 4]]), 0)</f>
        <v>6.4310561548130609E-3</v>
      </c>
      <c r="N2163" s="100">
        <f>IF(AND(SamplingData[[#This Row],[Total]]&lt;&gt; 0, NOT(ISBLANK(SamplingData[[#This Row],[Candidate 5]]))),(SamplingData[[#This Row],[Total]]+SamplingData[[#This Row],[Winning Candidate]]-SamplingData[[#This Row],[Candidate 5]])/(SamplingData[[#Totals],[Winning Candidate]]-SamplingData[[#Totals],[Candidate 5]]), 0)</f>
        <v>5.5704208221843835E-3</v>
      </c>
      <c r="O2163" s="100">
        <f>IF(AND(SamplingData[[#This Row],[Total]]&lt;&gt; 0, NOT(ISBLANK(SamplingData[[#This Row],[Candidate 6]]))),(SamplingData[[#This Row],[Total]]+SamplingData[[#This Row],[Winning Candidate]]-SamplingData[[#This Row],[Candidate 6]])/(SamplingData[[#Totals],[Winning Candidate]]-SamplingData[[#Totals],[Candidate 6]]), 0)</f>
        <v>5.5687952920577795E-3</v>
      </c>
      <c r="P2163" s="100">
        <f>MAX(SamplingData[[#This Row],[Error Bound (up) - Max. possible relative overstatement - Losing Candidate]:[Error Bound (up) - Max. possible relative overstatement - Candidate 6]])</f>
        <v>1.3045075943165115E-2</v>
      </c>
      <c r="Q2163" s="100">
        <f>IF(SamplingData[[#This Row],[Max Error Bound (up)]] = 0,0,SamplingData[[#This Row],[Max Error Bound (up)]]/SamplingData[[#Totals],[Max Error Bound (up)]])</f>
        <v>2.0645979833089621E-3</v>
      </c>
      <c r="R2163" s="101">
        <f>SUM($Q$5:Q2163)</f>
        <v>0.99606466299895058</v>
      </c>
      <c r="S2163" s="100" t="str">
        <f t="array" ref="S2163">IF(SamplingData[[#This Row],[up/U Selection Probability]] = 0, "Zero", TEXT(SamplingData[[#This Row],[Lower Range]], REPT("0",LEN('General Info'!$B$40))) &amp; " - " &amp; TEXT(SamplingData[[#This Row],[Upper Range]], REPT("0",LEN('General Info'!$B$40))))</f>
        <v>99400 - 99605</v>
      </c>
      <c r="T2163" s="100">
        <f>SamplingData[[#This Row],[Upper Range]]-SamplingData[[#This Row],[Span]]</f>
        <v>99400.008566162142</v>
      </c>
      <c r="U2163" s="100">
        <f>IF(ISNUMBER('General Info'!$B$40), ((SamplingData[[#This Row],[up/U Selection Probability]]) * 'General Info'!$B$40) - 1, 0)</f>
        <v>205.45773373291289</v>
      </c>
      <c r="V2163" s="100">
        <f>IF(ISNUMBER('General Info'!$B$40), (SamplingData[[#This Row],[Running (cumulative) sum]] * ('General Info'!$B$40 -'General Info'!$B$41 + 1)) + 'General Info'!$B$41 - 1, 0)</f>
        <v>99605.466299895052</v>
      </c>
      <c r="W2163" s="100" t="str">
        <f>IF(ISERROR(MATCH(SamplingData[[#This Row],[Batch by Type (p)]],SelectedPrecincts[Batch Name], 0)), "", INDEX(SelectedPrecincts[Draw], MATCH(SamplingData[[#This Row],[Batch by Type (p)]],SelectedPrecincts[Batch Name], 0)))</f>
        <v/>
      </c>
      <c r="X2163" s="102">
        <f>IF(COUNTIF(SelectedPrecincts[Batch Name],SamplingData[[#This Row],[Batch by Type (p)]]) &lt;&gt; 0, COUNTIF(SelectedPrecincts[Batch Name],SamplingData[[#This Row],[Batch by Type (p)]]), 0)</f>
        <v>0</v>
      </c>
    </row>
    <row r="2164" spans="1:24" ht="15" customHeight="1">
      <c r="A2164" s="18" t="s">
        <v>2340</v>
      </c>
      <c r="B2164" s="18">
        <v>12</v>
      </c>
      <c r="C2164" s="18">
        <v>36</v>
      </c>
      <c r="D2164" s="18">
        <v>7</v>
      </c>
      <c r="E2164" s="18">
        <v>3</v>
      </c>
      <c r="F2164" s="18">
        <v>0</v>
      </c>
      <c r="G2164" s="18">
        <v>0</v>
      </c>
      <c r="H2164" s="18">
        <v>0</v>
      </c>
      <c r="I2164" s="18">
        <v>0</v>
      </c>
      <c r="J2164" s="99">
        <f>SUM(SamplingData[[#This Row],[Losing Candidate]:[Under Votes]])</f>
        <v>58</v>
      </c>
      <c r="K2164" s="100">
        <f>IF(AND(SamplingData[[#This Row],[Total]]&lt;&gt; 0, NOT(ISBLANK(SamplingData[[#This Row],[Losing Candidate]]))),(SamplingData[[#This Row],[Total]]+SamplingData[[#This Row],[Winning Candidate]]-SamplingData[[#This Row],[Losing Candidate]])/(SamplingData[[#Totals],[Winning Candidate]]-SamplingData[[#Totals],[Losing Candidate]]), 0)</f>
        <v>5.0220480156785889E-3</v>
      </c>
      <c r="L2164" s="100">
        <f>IF(AND(SamplingData[[#This Row],[Total]]&lt;&gt; 0, NOT(ISBLANK(SamplingData[[#This Row],[Candidate 3]]))),(SamplingData[[#This Row],[Total]]+SamplingData[[#This Row],[Winning Candidate]]-SamplingData[[#This Row],[Candidate 3]])/(SamplingData[[#Totals],[Winning Candidate]]-SamplingData[[#Totals],[Candidate 3]]), 0)</f>
        <v>2.8067232312804463E-3</v>
      </c>
      <c r="M2164" s="100">
        <f>IF(AND(SamplingData[[#This Row],[Total]]&lt;&gt; 0, NOT(ISBLANK(SamplingData[[#This Row],[Candidate 4]]))),(SamplingData[[#This Row],[Total]]+SamplingData[[#This Row],[Winning Candidate]]-SamplingData[[#This Row],[Candidate 4]])/(SamplingData[[#Totals],[Winning Candidate]]-SamplingData[[#Totals],[Candidate 4]]), 0)</f>
        <v>2.6601186822181296E-3</v>
      </c>
      <c r="N2164" s="100">
        <f>IF(AND(SamplingData[[#This Row],[Total]]&lt;&gt; 0, NOT(ISBLANK(SamplingData[[#This Row],[Candidate 5]]))),(SamplingData[[#This Row],[Total]]+SamplingData[[#This Row],[Winning Candidate]]-SamplingData[[#This Row],[Candidate 5]])/(SamplingData[[#Totals],[Winning Candidate]]-SamplingData[[#Totals],[Candidate 5]]), 0)</f>
        <v>2.2865482850887861E-3</v>
      </c>
      <c r="O2164" s="100">
        <f>IF(AND(SamplingData[[#This Row],[Total]]&lt;&gt; 0, NOT(ISBLANK(SamplingData[[#This Row],[Candidate 6]]))),(SamplingData[[#This Row],[Total]]+SamplingData[[#This Row],[Winning Candidate]]-SamplingData[[#This Row],[Candidate 6]])/(SamplingData[[#Totals],[Winning Candidate]]-SamplingData[[#Totals],[Candidate 6]]), 0)</f>
        <v>2.285881036914547E-3</v>
      </c>
      <c r="P2164" s="100">
        <f>MAX(SamplingData[[#This Row],[Error Bound (up) - Max. possible relative overstatement - Losing Candidate]:[Error Bound (up) - Max. possible relative overstatement - Candidate 6]])</f>
        <v>5.0220480156785889E-3</v>
      </c>
      <c r="Q2164" s="100">
        <f>IF(SamplingData[[#This Row],[Max Error Bound (up)]] = 0,0,SamplingData[[#This Row],[Max Error Bound (up)]]/SamplingData[[#Totals],[Max Error Bound (up)]])</f>
        <v>7.9482175883255823E-4</v>
      </c>
      <c r="R2164" s="101">
        <f>SUM($Q$5:Q2164)</f>
        <v>0.99685948475778319</v>
      </c>
      <c r="S2164" s="100" t="str">
        <f t="array" ref="S2164">IF(SamplingData[[#This Row],[up/U Selection Probability]] = 0, "Zero", TEXT(SamplingData[[#This Row],[Lower Range]], REPT("0",LEN('General Info'!$B$40))) &amp; " - " &amp; TEXT(SamplingData[[#This Row],[Upper Range]], REPT("0",LEN('General Info'!$B$40))))</f>
        <v>99606 - 99685</v>
      </c>
      <c r="T2164" s="100">
        <f>SamplingData[[#This Row],[Upper Range]]-SamplingData[[#This Row],[Span]]</f>
        <v>99606.46709471682</v>
      </c>
      <c r="U2164" s="100">
        <f>IF(ISNUMBER('General Info'!$B$40), ((SamplingData[[#This Row],[up/U Selection Probability]]) * 'General Info'!$B$40) - 1, 0)</f>
        <v>78.48138106149699</v>
      </c>
      <c r="V2164" s="100">
        <f>IF(ISNUMBER('General Info'!$B$40), (SamplingData[[#This Row],[Running (cumulative) sum]] * ('General Info'!$B$40 -'General Info'!$B$41 + 1)) + 'General Info'!$B$41 - 1, 0)</f>
        <v>99684.948475778321</v>
      </c>
      <c r="W2164" s="100" t="str">
        <f>IF(ISERROR(MATCH(SamplingData[[#This Row],[Batch by Type (p)]],SelectedPrecincts[Batch Name], 0)), "", INDEX(SelectedPrecincts[Draw], MATCH(SamplingData[[#This Row],[Batch by Type (p)]],SelectedPrecincts[Batch Name], 0)))</f>
        <v/>
      </c>
      <c r="X2164" s="102">
        <f>IF(COUNTIF(SelectedPrecincts[Batch Name],SamplingData[[#This Row],[Batch by Type (p)]]) &lt;&gt; 0, COUNTIF(SelectedPrecincts[Batch Name],SamplingData[[#This Row],[Batch by Type (p)]]), 0)</f>
        <v>0</v>
      </c>
    </row>
    <row r="2165" spans="1:24" ht="15" customHeight="1">
      <c r="A2165" s="18" t="s">
        <v>2341</v>
      </c>
      <c r="B2165" s="18">
        <v>45</v>
      </c>
      <c r="C2165" s="18">
        <v>90</v>
      </c>
      <c r="D2165" s="16">
        <v>23</v>
      </c>
      <c r="E2165" s="16">
        <v>6</v>
      </c>
      <c r="F2165" s="37">
        <v>1</v>
      </c>
      <c r="G2165" s="37">
        <v>0</v>
      </c>
      <c r="H2165" s="17">
        <v>0</v>
      </c>
      <c r="I2165" s="17">
        <v>4</v>
      </c>
      <c r="J2165" s="99">
        <f>SUM(SamplingData[[#This Row],[Losing Candidate]:[Under Votes]])</f>
        <v>169</v>
      </c>
      <c r="K2165" s="100">
        <f>IF(AND(SamplingData[[#This Row],[Total]]&lt;&gt; 0, NOT(ISBLANK(SamplingData[[#This Row],[Losing Candidate]]))),(SamplingData[[#This Row],[Total]]+SamplingData[[#This Row],[Winning Candidate]]-SamplingData[[#This Row],[Losing Candidate]])/(SamplingData[[#Totals],[Winning Candidate]]-SamplingData[[#Totals],[Losing Candidate]]), 0)</f>
        <v>1.3106320431161195E-2</v>
      </c>
      <c r="L2165" s="100">
        <f>IF(AND(SamplingData[[#This Row],[Total]]&lt;&gt; 0, NOT(ISBLANK(SamplingData[[#This Row],[Candidate 3]]))),(SamplingData[[#This Row],[Total]]+SamplingData[[#This Row],[Winning Candidate]]-SamplingData[[#This Row],[Candidate 3]])/(SamplingData[[#Totals],[Winning Candidate]]-SamplingData[[#Totals],[Candidate 3]]), 0)</f>
        <v>7.6136400296802917E-3</v>
      </c>
      <c r="M2165" s="100">
        <f>IF(AND(SamplingData[[#This Row],[Total]]&lt;&gt; 0, NOT(ISBLANK(SamplingData[[#This Row],[Candidate 4]]))),(SamplingData[[#This Row],[Total]]+SamplingData[[#This Row],[Winning Candidate]]-SamplingData[[#This Row],[Candidate 4]])/(SamplingData[[#Totals],[Winning Candidate]]-SamplingData[[#Totals],[Candidate 4]]), 0)</f>
        <v>7.3957145780350203E-3</v>
      </c>
      <c r="N2165" s="100">
        <f>IF(AND(SamplingData[[#This Row],[Total]]&lt;&gt; 0, NOT(ISBLANK(SamplingData[[#This Row],[Candidate 5]]))),(SamplingData[[#This Row],[Total]]+SamplingData[[#This Row],[Winning Candidate]]-SamplingData[[#This Row],[Candidate 5]])/(SamplingData[[#Totals],[Winning Candidate]]-SamplingData[[#Totals],[Candidate 5]]), 0)</f>
        <v>6.2758452931160301E-3</v>
      </c>
      <c r="O2165" s="100">
        <f>IF(AND(SamplingData[[#This Row],[Total]]&lt;&gt; 0, NOT(ISBLANK(SamplingData[[#This Row],[Candidate 6]]))),(SamplingData[[#This Row],[Total]]+SamplingData[[#This Row],[Winning Candidate]]-SamplingData[[#This Row],[Candidate 6]])/(SamplingData[[#Totals],[Winning Candidate]]-SamplingData[[#Totals],[Candidate 6]]), 0)</f>
        <v>6.2983317932007194E-3</v>
      </c>
      <c r="P2165" s="100">
        <f>MAX(SamplingData[[#This Row],[Error Bound (up) - Max. possible relative overstatement - Losing Candidate]:[Error Bound (up) - Max. possible relative overstatement - Candidate 6]])</f>
        <v>1.3106320431161195E-2</v>
      </c>
      <c r="Q2165" s="100">
        <f>IF(SamplingData[[#This Row],[Max Error Bound (up)]] = 0,0,SamplingData[[#This Row],[Max Error Bound (up)]]/SamplingData[[#Totals],[Max Error Bound (up)]])</f>
        <v>2.0742909315874078E-3</v>
      </c>
      <c r="R2165" s="101">
        <f>SUM($Q$5:Q2165)</f>
        <v>0.99893377568937058</v>
      </c>
      <c r="S2165" s="100" t="str">
        <f t="array" ref="S2165">IF(SamplingData[[#This Row],[up/U Selection Probability]] = 0, "Zero", TEXT(SamplingData[[#This Row],[Lower Range]], REPT("0",LEN('General Info'!$B$40))) &amp; " - " &amp; TEXT(SamplingData[[#This Row],[Upper Range]], REPT("0",LEN('General Info'!$B$40))))</f>
        <v>99686 - 99892</v>
      </c>
      <c r="T2165" s="100">
        <f>SamplingData[[#This Row],[Upper Range]]-SamplingData[[#This Row],[Span]]</f>
        <v>99685.950550069247</v>
      </c>
      <c r="U2165" s="100">
        <f>IF(ISNUMBER('General Info'!$B$40), ((SamplingData[[#This Row],[up/U Selection Probability]]) * 'General Info'!$B$40) - 1, 0)</f>
        <v>206.42701886780918</v>
      </c>
      <c r="V2165" s="100">
        <f>IF(ISNUMBER('General Info'!$B$40), (SamplingData[[#This Row],[Running (cumulative) sum]] * ('General Info'!$B$40 -'General Info'!$B$41 + 1)) + 'General Info'!$B$41 - 1, 0)</f>
        <v>99892.377568937052</v>
      </c>
      <c r="W2165" s="100" t="str">
        <f>IF(ISERROR(MATCH(SamplingData[[#This Row],[Batch by Type (p)]],SelectedPrecincts[Batch Name], 0)), "", INDEX(SelectedPrecincts[Draw], MATCH(SamplingData[[#This Row],[Batch by Type (p)]],SelectedPrecincts[Batch Name], 0)))</f>
        <v/>
      </c>
      <c r="X2165" s="102">
        <f>IF(COUNTIF(SelectedPrecincts[Batch Name],SamplingData[[#This Row],[Batch by Type (p)]]) &lt;&gt; 0, COUNTIF(SelectedPrecincts[Batch Name],SamplingData[[#This Row],[Batch by Type (p)]]), 0)</f>
        <v>0</v>
      </c>
    </row>
    <row r="2166" spans="1:24" ht="15" customHeight="1">
      <c r="A2166" s="18" t="s">
        <v>2342</v>
      </c>
      <c r="B2166" s="18">
        <v>12</v>
      </c>
      <c r="C2166" s="18">
        <v>41</v>
      </c>
      <c r="D2166" s="18">
        <v>5</v>
      </c>
      <c r="E2166" s="18">
        <v>6</v>
      </c>
      <c r="F2166" s="18">
        <v>0</v>
      </c>
      <c r="G2166" s="18">
        <v>0</v>
      </c>
      <c r="H2166" s="18">
        <v>0</v>
      </c>
      <c r="I2166" s="18">
        <v>1</v>
      </c>
      <c r="J2166" s="99">
        <f>SUM(SamplingData[[#This Row],[Losing Candidate]:[Under Votes]])</f>
        <v>65</v>
      </c>
      <c r="K2166" s="100">
        <f>IF(AND(SamplingData[[#This Row],[Total]]&lt;&gt; 0, NOT(ISBLANK(SamplingData[[#This Row],[Losing Candidate]]))),(SamplingData[[#This Row],[Total]]+SamplingData[[#This Row],[Winning Candidate]]-SamplingData[[#This Row],[Losing Candidate]])/(SamplingData[[#Totals],[Winning Candidate]]-SamplingData[[#Totals],[Losing Candidate]]), 0)</f>
        <v>5.7569818716315529E-3</v>
      </c>
      <c r="L2166" s="100">
        <f>IF(AND(SamplingData[[#This Row],[Total]]&lt;&gt; 0, NOT(ISBLANK(SamplingData[[#This Row],[Candidate 3]]))),(SamplingData[[#This Row],[Total]]+SamplingData[[#This Row],[Winning Candidate]]-SamplingData[[#This Row],[Candidate 3]])/(SamplingData[[#Totals],[Winning Candidate]]-SamplingData[[#Totals],[Candidate 3]]), 0)</f>
        <v>3.2583798432106333E-3</v>
      </c>
      <c r="M2166" s="100">
        <f>IF(AND(SamplingData[[#This Row],[Total]]&lt;&gt; 0, NOT(ISBLANK(SamplingData[[#This Row],[Candidate 4]]))),(SamplingData[[#This Row],[Total]]+SamplingData[[#This Row],[Winning Candidate]]-SamplingData[[#This Row],[Candidate 4]])/(SamplingData[[#Totals],[Winning Candidate]]-SamplingData[[#Totals],[Candidate 4]]), 0)</f>
        <v>2.9232073430968458E-3</v>
      </c>
      <c r="N2166" s="100">
        <f>IF(AND(SamplingData[[#This Row],[Total]]&lt;&gt; 0, NOT(ISBLANK(SamplingData[[#This Row],[Candidate 5]]))),(SamplingData[[#This Row],[Total]]+SamplingData[[#This Row],[Winning Candidate]]-SamplingData[[#This Row],[Candidate 5]])/(SamplingData[[#Totals],[Winning Candidate]]-SamplingData[[#Totals],[Candidate 5]]), 0)</f>
        <v>2.5784480661639503E-3</v>
      </c>
      <c r="O2166" s="100">
        <f>IF(AND(SamplingData[[#This Row],[Total]]&lt;&gt; 0, NOT(ISBLANK(SamplingData[[#This Row],[Candidate 6]]))),(SamplingData[[#This Row],[Total]]+SamplingData[[#This Row],[Winning Candidate]]-SamplingData[[#This Row],[Candidate 6]])/(SamplingData[[#Totals],[Winning Candidate]]-SamplingData[[#Totals],[Candidate 6]]), 0)</f>
        <v>2.5776956373717232E-3</v>
      </c>
      <c r="P2166" s="100">
        <f>MAX(SamplingData[[#This Row],[Error Bound (up) - Max. possible relative overstatement - Losing Candidate]:[Error Bound (up) - Max. possible relative overstatement - Candidate 6]])</f>
        <v>5.7569818716315529E-3</v>
      </c>
      <c r="Q2166" s="100">
        <f>IF(SamplingData[[#This Row],[Max Error Bound (up)]] = 0,0,SamplingData[[#This Row],[Max Error Bound (up)]]/SamplingData[[#Totals],[Max Error Bound (up)]])</f>
        <v>9.1113713817390809E-4</v>
      </c>
      <c r="R2166" s="101">
        <f>SUM($Q$5:Q2166)</f>
        <v>0.99984491282754451</v>
      </c>
      <c r="S2166" s="100" t="str">
        <f t="array" ref="S2166">IF(SamplingData[[#This Row],[up/U Selection Probability]] = 0, "Zero", TEXT(SamplingData[[#This Row],[Lower Range]], REPT("0",LEN('General Info'!$B$40))) &amp; " - " &amp; TEXT(SamplingData[[#This Row],[Upper Range]], REPT("0",LEN('General Info'!$B$40))))</f>
        <v>99893 - 99983</v>
      </c>
      <c r="T2166" s="100">
        <f>SamplingData[[#This Row],[Upper Range]]-SamplingData[[#This Row],[Span]]</f>
        <v>99893.3784800742</v>
      </c>
      <c r="U2166" s="100">
        <f>IF(ISNUMBER('General Info'!$B$40), ((SamplingData[[#This Row],[up/U Selection Probability]]) * 'General Info'!$B$40) - 1, 0)</f>
        <v>90.112802680252642</v>
      </c>
      <c r="V2166" s="100">
        <f>IF(ISNUMBER('General Info'!$B$40), (SamplingData[[#This Row],[Running (cumulative) sum]] * ('General Info'!$B$40 -'General Info'!$B$41 + 1)) + 'General Info'!$B$41 - 1, 0)</f>
        <v>99983.491282754447</v>
      </c>
      <c r="W2166" s="100" t="str">
        <f>IF(ISERROR(MATCH(SamplingData[[#This Row],[Batch by Type (p)]],SelectedPrecincts[Batch Name], 0)), "", INDEX(SelectedPrecincts[Draw], MATCH(SamplingData[[#This Row],[Batch by Type (p)]],SelectedPrecincts[Batch Name], 0)))</f>
        <v/>
      </c>
      <c r="X2166" s="102">
        <f>IF(COUNTIF(SelectedPrecincts[Batch Name],SamplingData[[#This Row],[Batch by Type (p)]]) &lt;&gt; 0, COUNTIF(SelectedPrecincts[Batch Name],SamplingData[[#This Row],[Batch by Type (p)]]), 0)</f>
        <v>0</v>
      </c>
    </row>
    <row r="2167" spans="1:24" ht="15" customHeight="1">
      <c r="A2167" s="18" t="s">
        <v>2343</v>
      </c>
      <c r="B2167" s="18">
        <v>1</v>
      </c>
      <c r="C2167" s="18">
        <v>6</v>
      </c>
      <c r="D2167" s="16">
        <v>1</v>
      </c>
      <c r="E2167" s="16">
        <v>2</v>
      </c>
      <c r="F2167" s="37">
        <v>0</v>
      </c>
      <c r="G2167" s="37">
        <v>0</v>
      </c>
      <c r="H2167" s="17">
        <v>0</v>
      </c>
      <c r="I2167" s="17">
        <v>0</v>
      </c>
      <c r="J2167" s="99">
        <f>SUM(SamplingData[[#This Row],[Losing Candidate]:[Under Votes]])</f>
        <v>10</v>
      </c>
      <c r="K2167" s="100">
        <f>IF(AND(SamplingData[[#This Row],[Total]]&lt;&gt; 0, NOT(ISBLANK(SamplingData[[#This Row],[Losing Candidate]]))),(SamplingData[[#This Row],[Total]]+SamplingData[[#This Row],[Winning Candidate]]-SamplingData[[#This Row],[Losing Candidate]])/(SamplingData[[#Totals],[Winning Candidate]]-SamplingData[[#Totals],[Losing Candidate]]), 0)</f>
        <v>9.1866731994120533E-4</v>
      </c>
      <c r="L2167" s="100">
        <f>IF(AND(SamplingData[[#This Row],[Total]]&lt;&gt; 0, NOT(ISBLANK(SamplingData[[#This Row],[Candidate 3]]))),(SamplingData[[#This Row],[Total]]+SamplingData[[#This Row],[Winning Candidate]]-SamplingData[[#This Row],[Candidate 3]])/(SamplingData[[#Totals],[Winning Candidate]]-SamplingData[[#Totals],[Candidate 3]]), 0)</f>
        <v>4.8391779849662873E-4</v>
      </c>
      <c r="M2167" s="100">
        <f>IF(AND(SamplingData[[#This Row],[Total]]&lt;&gt; 0, NOT(ISBLANK(SamplingData[[#This Row],[Candidate 4]]))),(SamplingData[[#This Row],[Total]]+SamplingData[[#This Row],[Winning Candidate]]-SamplingData[[#This Row],[Candidate 4]])/(SamplingData[[#Totals],[Winning Candidate]]-SamplingData[[#Totals],[Candidate 4]]), 0)</f>
        <v>4.0924902803355842E-4</v>
      </c>
      <c r="N2167" s="100">
        <f>IF(AND(SamplingData[[#This Row],[Total]]&lt;&gt; 0, NOT(ISBLANK(SamplingData[[#This Row],[Candidate 5]]))),(SamplingData[[#This Row],[Total]]+SamplingData[[#This Row],[Winning Candidate]]-SamplingData[[#This Row],[Candidate 5]])/(SamplingData[[#Totals],[Winning Candidate]]-SamplingData[[#Totals],[Candidate 5]]), 0)</f>
        <v>3.8919970810021893E-4</v>
      </c>
      <c r="O2167" s="100">
        <f>IF(AND(SamplingData[[#This Row],[Total]]&lt;&gt; 0, NOT(ISBLANK(SamplingData[[#This Row],[Candidate 6]]))),(SamplingData[[#This Row],[Total]]+SamplingData[[#This Row],[Winning Candidate]]-SamplingData[[#This Row],[Candidate 6]])/(SamplingData[[#Totals],[Winning Candidate]]-SamplingData[[#Totals],[Candidate 6]]), 0)</f>
        <v>3.8908613394290161E-4</v>
      </c>
      <c r="P2167" s="100">
        <f>MAX(SamplingData[[#This Row],[Error Bound (up) - Max. possible relative overstatement - Losing Candidate]:[Error Bound (up) - Max. possible relative overstatement - Candidate 6]])</f>
        <v>9.1866731994120533E-4</v>
      </c>
      <c r="Q2167" s="100">
        <f>IF(SamplingData[[#This Row],[Max Error Bound (up)]] = 0,0,SamplingData[[#This Row],[Max Error Bound (up)]]/SamplingData[[#Totals],[Max Error Bound (up)]])</f>
        <v>1.4539422417668749E-4</v>
      </c>
      <c r="R2167" s="101">
        <f>SUM($Q$5:Q2167)</f>
        <v>0.99999030705172121</v>
      </c>
      <c r="S2167" s="100" t="str">
        <f t="array" ref="S2167">IF(SamplingData[[#This Row],[up/U Selection Probability]] = 0, "Zero", TEXT(SamplingData[[#This Row],[Lower Range]], REPT("0",LEN('General Info'!$B$40))) &amp; " - " &amp; TEXT(SamplingData[[#This Row],[Upper Range]], REPT("0",LEN('General Info'!$B$40))))</f>
        <v>99984 - 99998</v>
      </c>
      <c r="T2167" s="100">
        <f>SamplingData[[#This Row],[Upper Range]]-SamplingData[[#This Row],[Span]]</f>
        <v>99984.491428148671</v>
      </c>
      <c r="U2167" s="100">
        <f>IF(ISNUMBER('General Info'!$B$40), ((SamplingData[[#This Row],[up/U Selection Probability]]) * 'General Info'!$B$40) - 1, 0)</f>
        <v>13.539277023444573</v>
      </c>
      <c r="V2167" s="100">
        <f>IF(ISNUMBER('General Info'!$B$40), (SamplingData[[#This Row],[Running (cumulative) sum]] * ('General Info'!$B$40 -'General Info'!$B$41 + 1)) + 'General Info'!$B$41 - 1, 0)</f>
        <v>99998.030705172117</v>
      </c>
      <c r="W2167" s="100" t="str">
        <f>IF(ISERROR(MATCH(SamplingData[[#This Row],[Batch by Type (p)]],SelectedPrecincts[Batch Name], 0)), "", INDEX(SelectedPrecincts[Draw], MATCH(SamplingData[[#This Row],[Batch by Type (p)]],SelectedPrecincts[Batch Name], 0)))</f>
        <v/>
      </c>
      <c r="X2167" s="102">
        <f>IF(COUNTIF(SelectedPrecincts[Batch Name],SamplingData[[#This Row],[Batch by Type (p)]]) &lt;&gt; 0, COUNTIF(SelectedPrecincts[Batch Name],SamplingData[[#This Row],[Batch by Type (p)]]), 0)</f>
        <v>0</v>
      </c>
    </row>
    <row r="2168" spans="1:24" ht="15" customHeight="1">
      <c r="A2168" s="18" t="s">
        <v>2344</v>
      </c>
      <c r="B2168" s="18">
        <v>1</v>
      </c>
      <c r="C2168" s="18">
        <v>0</v>
      </c>
      <c r="D2168" s="18">
        <v>1</v>
      </c>
      <c r="E2168" s="18">
        <v>0</v>
      </c>
      <c r="F2168" s="18">
        <v>0</v>
      </c>
      <c r="G2168" s="18">
        <v>0</v>
      </c>
      <c r="H2168" s="18">
        <v>0</v>
      </c>
      <c r="I2168" s="18">
        <v>0</v>
      </c>
      <c r="J2168" s="99">
        <f>SUM(SamplingData[[#This Row],[Losing Candidate]:[Under Votes]])</f>
        <v>2</v>
      </c>
      <c r="K2168" s="100">
        <f>IF(AND(SamplingData[[#This Row],[Total]]&lt;&gt; 0, NOT(ISBLANK(SamplingData[[#This Row],[Losing Candidate]]))),(SamplingData[[#This Row],[Total]]+SamplingData[[#This Row],[Winning Candidate]]-SamplingData[[#This Row],[Losing Candidate]])/(SamplingData[[#Totals],[Winning Candidate]]-SamplingData[[#Totals],[Losing Candidate]]), 0)</f>
        <v>6.1244487996080352E-5</v>
      </c>
      <c r="L2168" s="100">
        <f>IF(AND(SamplingData[[#This Row],[Total]]&lt;&gt; 0, NOT(ISBLANK(SamplingData[[#This Row],[Candidate 3]]))),(SamplingData[[#This Row],[Total]]+SamplingData[[#This Row],[Winning Candidate]]-SamplingData[[#This Row],[Candidate 3]])/(SamplingData[[#Totals],[Winning Candidate]]-SamplingData[[#Totals],[Candidate 3]]), 0)</f>
        <v>3.2261186566441917E-5</v>
      </c>
      <c r="M2168" s="100">
        <f>IF(AND(SamplingData[[#This Row],[Total]]&lt;&gt; 0, NOT(ISBLANK(SamplingData[[#This Row],[Candidate 4]]))),(SamplingData[[#This Row],[Total]]+SamplingData[[#This Row],[Winning Candidate]]-SamplingData[[#This Row],[Candidate 4]])/(SamplingData[[#Totals],[Winning Candidate]]-SamplingData[[#Totals],[Candidate 4]]), 0)</f>
        <v>5.846414686193692E-5</v>
      </c>
      <c r="N2168" s="100">
        <f>IF(AND(SamplingData[[#This Row],[Total]]&lt;&gt; 0, NOT(ISBLANK(SamplingData[[#This Row],[Candidate 5]]))),(SamplingData[[#This Row],[Total]]+SamplingData[[#This Row],[Winning Candidate]]-SamplingData[[#This Row],[Candidate 5]])/(SamplingData[[#Totals],[Winning Candidate]]-SamplingData[[#Totals],[Candidate 5]]), 0)</f>
        <v>4.8649963512527367E-5</v>
      </c>
      <c r="O2168" s="100">
        <f>IF(AND(SamplingData[[#This Row],[Total]]&lt;&gt; 0, NOT(ISBLANK(SamplingData[[#This Row],[Candidate 6]]))),(SamplingData[[#This Row],[Total]]+SamplingData[[#This Row],[Winning Candidate]]-SamplingData[[#This Row],[Candidate 6]])/(SamplingData[[#Totals],[Winning Candidate]]-SamplingData[[#Totals],[Candidate 6]]), 0)</f>
        <v>4.8635766742862701E-5</v>
      </c>
      <c r="P2168" s="100">
        <f>MAX(SamplingData[[#This Row],[Error Bound (up) - Max. possible relative overstatement - Losing Candidate]:[Error Bound (up) - Max. possible relative overstatement - Candidate 6]])</f>
        <v>6.1244487996080352E-5</v>
      </c>
      <c r="Q2168" s="100">
        <f>IF(SamplingData[[#This Row],[Max Error Bound (up)]] = 0,0,SamplingData[[#This Row],[Max Error Bound (up)]]/SamplingData[[#Totals],[Max Error Bound (up)]])</f>
        <v>9.6929482784458315E-6</v>
      </c>
      <c r="R2168" s="101">
        <f>SUM($Q$5:Q2168)</f>
        <v>0.99999999999999967</v>
      </c>
      <c r="S2168" s="100" t="str">
        <f t="array" ref="S2168">IF(SamplingData[[#This Row],[up/U Selection Probability]] = 0, "Zero", TEXT(SamplingData[[#This Row],[Lower Range]], REPT("0",LEN('General Info'!$B$40))) &amp; " - " &amp; TEXT(SamplingData[[#This Row],[Upper Range]], REPT("0",LEN('General Info'!$B$40))))</f>
        <v>99999 - 99999</v>
      </c>
      <c r="T2168" s="100">
        <f>SamplingData[[#This Row],[Upper Range]]-SamplingData[[#This Row],[Span]]</f>
        <v>99999.030714865075</v>
      </c>
      <c r="U2168" s="100">
        <f>IF(ISNUMBER('General Info'!$B$40), ((SamplingData[[#This Row],[up/U Selection Probability]]) * 'General Info'!$B$40) - 1, 0)</f>
        <v>-3.0714865103695255E-2</v>
      </c>
      <c r="V2168" s="100">
        <f>IF(ISNUMBER('General Info'!$B$40), (SamplingData[[#This Row],[Running (cumulative) sum]] * ('General Info'!$B$40 -'General Info'!$B$41 + 1)) + 'General Info'!$B$41 - 1, 0)</f>
        <v>99998.999999999971</v>
      </c>
      <c r="W2168" s="100" t="str">
        <f>IF(ISERROR(MATCH(SamplingData[[#This Row],[Batch by Type (p)]],SelectedPrecincts[Batch Name], 0)), "", INDEX(SelectedPrecincts[Draw], MATCH(SamplingData[[#This Row],[Batch by Type (p)]],SelectedPrecincts[Batch Name], 0)))</f>
        <v/>
      </c>
      <c r="X2168" s="102">
        <f>IF(COUNTIF(SelectedPrecincts[Batch Name],SamplingData[[#This Row],[Batch by Type (p)]]) &lt;&gt; 0, COUNTIF(SelectedPrecincts[Batch Name],SamplingData[[#This Row],[Batch by Type (p)]]), 0)</f>
        <v>0</v>
      </c>
    </row>
    <row r="2169" spans="1:24" ht="15" customHeight="1">
      <c r="A2169" s="101">
        <f>SUBTOTAL(103,[Batch by Type (p)])</f>
        <v>2164</v>
      </c>
      <c r="B2169" s="101">
        <f>SUM([Losing Candidate])</f>
        <v>25191</v>
      </c>
      <c r="C2169" s="101">
        <f>SUM([Winning Candidate])</f>
        <v>41519</v>
      </c>
      <c r="D2169" s="101">
        <f>SUM([Candidate 3])</f>
        <v>10522</v>
      </c>
      <c r="E2169" s="101">
        <f>SUM([Candidate 4])</f>
        <v>7310</v>
      </c>
      <c r="F2169" s="101">
        <f>SUM([Candidate 5])</f>
        <v>409</v>
      </c>
      <c r="G2169" s="101">
        <f>SUM([Candidate 6])</f>
        <v>397</v>
      </c>
      <c r="H2169" s="101">
        <f>SUM([Over Votes])</f>
        <v>77</v>
      </c>
      <c r="I2169" s="101">
        <f>SUM([Under Votes])</f>
        <v>1302</v>
      </c>
      <c r="J2169" s="102">
        <f>SUM([Total])</f>
        <v>86727</v>
      </c>
      <c r="K2169" s="100">
        <f>SUM([Error Bound (up) - Max. possible relative overstatement - Losing Candidate])</f>
        <v>6.3115507104360651</v>
      </c>
      <c r="L2169" s="100">
        <f>SUM([Error Bound (up) - Max. possible relative overstatement - Candidate 3])</f>
        <v>3.7979159273478063</v>
      </c>
      <c r="M2169" s="100">
        <f>SUM([Error Bound (up) - Max. possible relative overstatement - Candidate 4])</f>
        <v>3.5352100324476008</v>
      </c>
      <c r="N2169" s="100">
        <f>SUM([Error Bound (up) - Max. possible relative overstatement - Candidate 5])</f>
        <v>3.1096326927754858</v>
      </c>
      <c r="O2169" s="100">
        <f>SUM([Error Bound (up) - Max. possible relative overstatement - Candidate 6])</f>
        <v>3.1090170711541143</v>
      </c>
      <c r="P2169" s="100">
        <f>SUM([Max Error Bound (up)])</f>
        <v>6.3184581446977761</v>
      </c>
      <c r="Q2169" s="100">
        <f>SUM([up/U Selection Probability])</f>
        <v>0.99999999999999967</v>
      </c>
      <c r="R2169" s="101">
        <f>SUM([Running (cumulative) sum])</f>
        <v>838.32058911227818</v>
      </c>
      <c r="S2169" s="100" t="str">
        <f>IF(OR(NOT(ISNUMBER('General Info'!$B$40)), NOT(ISNUMBER('General Info'!$B$41))), "UNDEFINED", TEXT(MIN([Lower Range]), REPT("0",LEN('General Info'!$B$40))) &amp; " - " &amp; TEXT(MAX([Upper Range]), REPT("0",LEN('General Info'!$B$40))))</f>
        <v>00000 - 99999</v>
      </c>
      <c r="T2169" s="100">
        <f>SUM([Lower Range])</f>
        <v>83732059.911228001</v>
      </c>
      <c r="U2169" s="100">
        <f>SUM([Span])</f>
        <v>97834.999999999884</v>
      </c>
      <c r="V2169" s="100">
        <f>SUM([Upper Range])</f>
        <v>83829894.911227837</v>
      </c>
      <c r="W2169" s="100" t="s">
        <v>0</v>
      </c>
      <c r="X2169" s="102">
        <f>COUNTIF([Times p Drawn - With Replacement], "&lt;&gt;0")</f>
        <v>14</v>
      </c>
    </row>
  </sheetData>
  <sortState ref="A2:AF31">
    <sortCondition descending="1" ref="Q2:Q31"/>
  </sortState>
  <mergeCells count="3">
    <mergeCell ref="A1:X1"/>
    <mergeCell ref="A2:I2"/>
    <mergeCell ref="J2:X2"/>
  </mergeCells>
  <printOptions horizontalCentered="1" gridLines="1"/>
  <pageMargins left="0.25" right="0.25" top="0.75" bottom="0.75" header="0.3" footer="0.3"/>
  <pageSetup scale="72" fitToHeight="0" orientation="landscape" horizontalDpi="1200" verticalDpi="1200" r:id="rId1"/>
  <headerFooter>
    <oddHeader>&amp;CPresidential Delegates-at-Large and Alternates-at-Large (REP)</oddHeader>
    <oddFooter>&amp;C&amp;P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sheetPr codeName="Sheet5">
    <pageSetUpPr fitToPage="1"/>
  </sheetPr>
  <dimension ref="A1:AQ2169"/>
  <sheetViews>
    <sheetView zoomScale="85" zoomScaleNormal="85" zoomScalePageLayoutView="80" workbookViewId="0">
      <selection activeCell="I14" sqref="I14"/>
    </sheetView>
  </sheetViews>
  <sheetFormatPr defaultRowHeight="15" customHeight="1"/>
  <cols>
    <col min="1" max="1" width="12.85546875" customWidth="1"/>
    <col min="2" max="2" width="32.85546875" bestFit="1" customWidth="1"/>
    <col min="3" max="3" width="13.5703125" customWidth="1"/>
    <col min="4" max="4" width="14.28515625" customWidth="1"/>
    <col min="5" max="5" width="12.7109375" customWidth="1"/>
    <col min="6" max="6" width="11.7109375" customWidth="1"/>
    <col min="7" max="7" width="12.85546875" customWidth="1"/>
    <col min="8" max="8" width="13.140625" customWidth="1"/>
    <col min="9" max="9" width="12.7109375" customWidth="1"/>
    <col min="10" max="10" width="13" customWidth="1"/>
    <col min="11" max="11" width="7.5703125" customWidth="1"/>
    <col min="12" max="12" width="17.5703125" customWidth="1"/>
    <col min="13" max="13" width="14.28515625" customWidth="1"/>
    <col min="14" max="14" width="12.85546875" customWidth="1"/>
    <col min="15" max="15" width="13.7109375" customWidth="1"/>
    <col min="16" max="16" width="11.7109375" customWidth="1"/>
    <col min="17" max="17" width="11.5703125" customWidth="1"/>
    <col min="18" max="18" width="13.42578125" customWidth="1"/>
    <col min="19" max="19" width="20.28515625" hidden="1" customWidth="1"/>
    <col min="20" max="20" width="22.42578125" hidden="1" customWidth="1"/>
    <col min="21" max="24" width="26.28515625" hidden="1" customWidth="1"/>
    <col min="25" max="25" width="20.42578125" hidden="1" customWidth="1"/>
    <col min="26" max="26" width="24.7109375" hidden="1" customWidth="1"/>
    <col min="27" max="27" width="12.5703125" customWidth="1"/>
    <col min="28" max="28" width="56.5703125" hidden="1" customWidth="1"/>
    <col min="29" max="29" width="91.5703125" hidden="1" customWidth="1"/>
    <col min="30" max="33" width="86.5703125" hidden="1" customWidth="1"/>
    <col min="34" max="34" width="26.42578125" hidden="1" customWidth="1"/>
    <col min="35" max="35" width="80.42578125" hidden="1" customWidth="1"/>
    <col min="36" max="36" width="15.140625" hidden="1" customWidth="1"/>
    <col min="37" max="37" width="72.42578125" hidden="1" customWidth="1"/>
    <col min="38" max="38" width="16.7109375" hidden="1" customWidth="1"/>
    <col min="39" max="39" width="10.5703125" customWidth="1"/>
    <col min="40" max="40" width="12.7109375" customWidth="1"/>
    <col min="41" max="41" width="18" hidden="1" customWidth="1"/>
    <col min="42" max="42" width="26.42578125" bestFit="1" customWidth="1"/>
    <col min="43" max="43" width="4.7109375" bestFit="1" customWidth="1"/>
  </cols>
  <sheetData>
    <row r="1" spans="1:43" ht="15" customHeight="1">
      <c r="A1" s="135" t="str">
        <f ca="1">MID(CELL("filename",$A$4), FIND("]", CELL("filename",$A$4)) + 1, 255)</f>
        <v>Audit</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60">
        <f>'General Info'!$B$16</f>
        <v>0.9</v>
      </c>
    </row>
    <row r="2" spans="1:43" s="18" customFormat="1" ht="15" customHeight="1">
      <c r="A2" s="137" t="s">
        <v>101</v>
      </c>
      <c r="B2" s="138"/>
      <c r="C2" s="138"/>
      <c r="D2" s="138"/>
      <c r="E2" s="138"/>
      <c r="F2" s="138"/>
      <c r="G2" s="138"/>
      <c r="H2" s="138"/>
      <c r="I2" s="138"/>
      <c r="J2" s="138"/>
      <c r="K2" s="138"/>
      <c r="L2" s="139"/>
      <c r="M2" s="132" t="s">
        <v>100</v>
      </c>
      <c r="N2" s="132"/>
      <c r="O2" s="132"/>
      <c r="P2" s="132"/>
      <c r="Q2" s="132"/>
      <c r="R2" s="132"/>
      <c r="S2" s="137" t="s">
        <v>101</v>
      </c>
      <c r="T2" s="138"/>
      <c r="U2" s="138"/>
      <c r="V2" s="138"/>
      <c r="W2" s="138"/>
      <c r="X2" s="138"/>
      <c r="Y2" s="138"/>
      <c r="Z2" s="138"/>
      <c r="AA2" s="138"/>
      <c r="AB2" s="138"/>
      <c r="AC2" s="138"/>
      <c r="AD2" s="138"/>
      <c r="AE2" s="138"/>
      <c r="AF2" s="138"/>
      <c r="AG2" s="138"/>
      <c r="AH2" s="138"/>
      <c r="AI2" s="138"/>
      <c r="AJ2" s="138"/>
      <c r="AK2" s="138"/>
      <c r="AL2" s="138"/>
      <c r="AM2" s="138"/>
      <c r="AN2" s="138"/>
      <c r="AO2" s="139"/>
      <c r="AP2" s="41" t="s">
        <v>98</v>
      </c>
    </row>
    <row r="3" spans="1:43" s="18" customFormat="1" ht="76.5" customHeight="1">
      <c r="A3" s="47" t="s">
        <v>99</v>
      </c>
      <c r="B3" s="47" t="s">
        <v>64</v>
      </c>
      <c r="C3" s="47" t="str">
        <f>IF(ISBLANK('General Info'!$B$32),"UNDEFINED",'General Info'!$B$32&amp;"
(Declared Loser)")</f>
        <v>Rick Santorum
(Declared Loser)</v>
      </c>
      <c r="D3" s="47" t="str">
        <f>IF(ISBLANK('General Info'!$B$31), "UNDEFINED", 'General Info'!$B$31 &amp; "
(Declared Winner)")</f>
        <v>Mitt Romney
(Declared Winner)</v>
      </c>
      <c r="E3" s="47" t="str">
        <f>IF(ISBLANK('General Info'!$B$33), "UNDEFINED", 'General Info'!$B$33)</f>
        <v>Newt Gingrich</v>
      </c>
      <c r="F3" s="47" t="str">
        <f>IF(ISBLANK('General Info'!$B$34), "UNDEFINED",'General Info'!$B$34)</f>
        <v>Ron Paul</v>
      </c>
      <c r="G3" s="47" t="str">
        <f>IF(ISBLANK('General Info'!$B$35), "UNDEFINED",'General Info'!$B$35)</f>
        <v>Jon Huntsman</v>
      </c>
      <c r="H3" s="47" t="str">
        <f>IF(ISBLANK('General Info'!$B$36), "UNDEFINED",'General Info'!$B$36)</f>
        <v>Rick Perry</v>
      </c>
      <c r="I3" s="49" t="s">
        <v>6</v>
      </c>
      <c r="J3" s="49" t="s">
        <v>7</v>
      </c>
      <c r="K3" s="49" t="s">
        <v>0</v>
      </c>
      <c r="L3" s="49" t="s">
        <v>66</v>
      </c>
      <c r="M3" s="41" t="str">
        <f>"Audit
" &amp; IF(ISBLANK('General Info'!$B$32),"UNDEFINED",'General Info'!$B$32&amp;"
(Loser)")</f>
        <v>Audit
Rick Santorum
(Loser)</v>
      </c>
      <c r="N3" s="41" t="str">
        <f>"Audit
" &amp; IF(ISBLANK('General Info'!$B$31), "UNDEFINED", 'General Info'!$B$31 &amp; "
(Winner)")</f>
        <v>Audit
Mitt Romney
(Winner)</v>
      </c>
      <c r="O3" s="41" t="str">
        <f>"Audit
" &amp; IF(ISBLANK('General Info'!$B$33), "UNDEFINED", 'General Info'!$B$33)</f>
        <v>Audit
Newt Gingrich</v>
      </c>
      <c r="P3" s="41" t="str">
        <f>"Audit
" &amp; IF(ISBLANK('General Info'!$B$34), "UNDEFINED",'General Info'!$B$34)</f>
        <v>Audit
Ron Paul</v>
      </c>
      <c r="Q3" s="41" t="str">
        <f>"Audit
" &amp; IF(ISBLANK('General Info'!$B$35), "UNDEFINED",'General Info'!$B$35)</f>
        <v>Audit
Jon Huntsman</v>
      </c>
      <c r="R3" s="41" t="str">
        <f>"Audit
" &amp; IF(ISBLANK('General Info'!$B$36), "UNDEFINED",'General Info'!$B$36)</f>
        <v>Audit
Rick Perry</v>
      </c>
      <c r="S3" s="56" t="str">
        <f>"Difference
" &amp; IF(ISBLANK('General Info'!$B$32),"UNDEFINED",'General Info'!$B$32&amp;"
(Loser)")</f>
        <v>Difference
Rick Santorum
(Loser)</v>
      </c>
      <c r="T3" s="56" t="str">
        <f>"Difference
" &amp; IF(ISBLANK('General Info'!$B$31), "UNDEFINED", 'General Info'!$B$31 &amp; "
(Winner)")</f>
        <v>Difference
Mitt Romney
(Winner)</v>
      </c>
      <c r="U3" s="56" t="str">
        <f>"Difference
" &amp; IF(ISBLANK('General Info'!$B$33), "UNDEFINED", 'General Info'!$B$33)</f>
        <v>Difference
Newt Gingrich</v>
      </c>
      <c r="V3" s="56" t="str">
        <f>"Difference
" &amp; IF(ISBLANK('General Info'!$B$34), "UNDEFINED",'General Info'!$B$34)</f>
        <v>Difference
Ron Paul</v>
      </c>
      <c r="W3" s="56" t="str">
        <f>"Difference
" &amp; IF(ISBLANK('General Info'!$B$35), "UNDEFINED",'General Info'!$B$35)</f>
        <v>Difference
Jon Huntsman</v>
      </c>
      <c r="X3" s="56" t="str">
        <f>"Difference
" &amp; IF(ISBLANK('General Info'!$B$36), "UNDEFINED",'General Info'!$B$36)</f>
        <v>Difference
Rick Perry</v>
      </c>
      <c r="Y3" s="56" t="s">
        <v>35</v>
      </c>
      <c r="Z3" s="56" t="s">
        <v>36</v>
      </c>
      <c r="AA3" s="57" t="s">
        <v>37</v>
      </c>
      <c r="AB3" s="47" t="s">
        <v>65</v>
      </c>
      <c r="AC3" s="56" t="str">
        <f>IF(ISBLANK('General Info'!$B$32),"UNDEFINED","Relative Error (ep) - 
Error Rate as a proportion of the margin of victory for "&amp;'General Info'!$B$32&amp;" (Loser)")</f>
        <v>Relative Error (ep) - 
Error Rate as a proportion of the margin of victory for Rick Santorum (Loser)</v>
      </c>
      <c r="AD3" s="56" t="str">
        <f>"Relative Error (ep) - " &amp; IF(ISBLANK('General Info'!$B$33),"UNDEFINED","Error Rate as a proportion of the margin of victory for " &amp; 'General Info'!$B$33)</f>
        <v>Relative Error (ep) - Error Rate as a proportion of the margin of victory for Newt Gingrich</v>
      </c>
      <c r="AE3" s="56" t="str">
        <f>"Relative Error (ep) - " &amp; IF(ISBLANK('General Info'!$B$34),"UNDEFINED","Error Rate as a proportion of the margin of victory for " &amp; 'General Info'!$B$34)</f>
        <v>Relative Error (ep) - Error Rate as a proportion of the margin of victory for Ron Paul</v>
      </c>
      <c r="AF3" s="56" t="str">
        <f>"Relative Error (ep) - " &amp; IF(ISBLANK('General Info'!$B$35),"UNDEFINED","Error Rate as a proportion of the margin of victory for " &amp; 'General Info'!$B$35)</f>
        <v>Relative Error (ep) - Error Rate as a proportion of the margin of victory for Jon Huntsman</v>
      </c>
      <c r="AG3" s="56" t="str">
        <f>"Relative Error (ep) - " &amp; IF(ISBLANK('General Info'!$B$36),"UNDEFINED","Error Rate as a proportion of the margin of victory for " &amp; 'General Info'!$B$36)</f>
        <v>Relative Error (ep) - Error Rate as a proportion of the margin of victory for Rick Perry</v>
      </c>
      <c r="AH3" s="56" t="s">
        <v>93</v>
      </c>
      <c r="AI3" s="56" t="s">
        <v>67</v>
      </c>
      <c r="AJ3" s="56" t="s">
        <v>1</v>
      </c>
      <c r="AK3" s="56" t="s">
        <v>3</v>
      </c>
      <c r="AL3" s="56" t="s">
        <v>2</v>
      </c>
      <c r="AM3" s="58" t="s">
        <v>17</v>
      </c>
      <c r="AN3" s="56" t="s">
        <v>4</v>
      </c>
      <c r="AO3" s="56" t="s">
        <v>38</v>
      </c>
      <c r="AP3" s="59" t="s">
        <v>43</v>
      </c>
    </row>
    <row r="4" spans="1:43" s="1" customFormat="1" ht="18.75" customHeight="1">
      <c r="A4" s="48" t="s">
        <v>97</v>
      </c>
      <c r="B4" s="48" t="s">
        <v>55</v>
      </c>
      <c r="C4" s="50" t="s">
        <v>61</v>
      </c>
      <c r="D4" s="50" t="s">
        <v>47</v>
      </c>
      <c r="E4" s="50" t="s">
        <v>62</v>
      </c>
      <c r="F4" s="50" t="s">
        <v>63</v>
      </c>
      <c r="G4" s="50" t="s">
        <v>52</v>
      </c>
      <c r="H4" s="50" t="s">
        <v>53</v>
      </c>
      <c r="I4" s="50" t="s">
        <v>6</v>
      </c>
      <c r="J4" s="50" t="s">
        <v>7</v>
      </c>
      <c r="K4" s="50" t="s">
        <v>0</v>
      </c>
      <c r="L4" s="50" t="s">
        <v>58</v>
      </c>
      <c r="M4" s="51" t="s">
        <v>68</v>
      </c>
      <c r="N4" s="51" t="s">
        <v>69</v>
      </c>
      <c r="O4" s="51" t="s">
        <v>70</v>
      </c>
      <c r="P4" s="51" t="s">
        <v>71</v>
      </c>
      <c r="Q4" s="51" t="s">
        <v>72</v>
      </c>
      <c r="R4" s="51" t="s">
        <v>73</v>
      </c>
      <c r="S4" s="52" t="s">
        <v>33</v>
      </c>
      <c r="T4" s="52" t="s">
        <v>34</v>
      </c>
      <c r="U4" s="52" t="s">
        <v>76</v>
      </c>
      <c r="V4" s="52" t="s">
        <v>77</v>
      </c>
      <c r="W4" s="52" t="s">
        <v>78</v>
      </c>
      <c r="X4" s="52" t="s">
        <v>79</v>
      </c>
      <c r="Y4" s="52" t="s">
        <v>35</v>
      </c>
      <c r="Z4" s="52" t="s">
        <v>36</v>
      </c>
      <c r="AA4" s="53" t="s">
        <v>37</v>
      </c>
      <c r="AB4" s="48" t="s">
        <v>56</v>
      </c>
      <c r="AC4" s="46" t="s">
        <v>80</v>
      </c>
      <c r="AD4" s="46" t="s">
        <v>81</v>
      </c>
      <c r="AE4" s="46" t="s">
        <v>82</v>
      </c>
      <c r="AF4" s="46" t="s">
        <v>83</v>
      </c>
      <c r="AG4" s="46" t="s">
        <v>84</v>
      </c>
      <c r="AH4" s="46" t="s">
        <v>93</v>
      </c>
      <c r="AI4" s="46" t="s">
        <v>85</v>
      </c>
      <c r="AJ4" s="46" t="s">
        <v>1</v>
      </c>
      <c r="AK4" s="46" t="s">
        <v>74</v>
      </c>
      <c r="AL4" s="46" t="s">
        <v>2</v>
      </c>
      <c r="AM4" s="54" t="s">
        <v>17</v>
      </c>
      <c r="AN4" s="46" t="s">
        <v>75</v>
      </c>
      <c r="AO4" s="46" t="s">
        <v>38</v>
      </c>
      <c r="AP4" s="55" t="s">
        <v>43</v>
      </c>
    </row>
    <row r="5" spans="1:43">
      <c r="A5" s="111">
        <f>'Sampling Data'!W1939</f>
        <v>1</v>
      </c>
      <c r="B5" s="112" t="str">
        <f>'Sampling Data'!A1939</f>
        <v>SOLON -04-C</v>
      </c>
      <c r="C5" s="112">
        <f>'Sampling Data'!B1939</f>
        <v>16</v>
      </c>
      <c r="D5" s="112">
        <f>'Sampling Data'!C1939</f>
        <v>63</v>
      </c>
      <c r="E5" s="113">
        <f>'Sampling Data'!D1939</f>
        <v>11</v>
      </c>
      <c r="F5" s="113">
        <f>'Sampling Data'!E1939</f>
        <v>7</v>
      </c>
      <c r="G5" s="113">
        <f>'Sampling Data'!F1939</f>
        <v>0</v>
      </c>
      <c r="H5" s="113">
        <f>'Sampling Data'!G1939</f>
        <v>1</v>
      </c>
      <c r="I5" s="112">
        <f>'Sampling Data'!H1939</f>
        <v>0</v>
      </c>
      <c r="J5" s="112">
        <f>'Sampling Data'!I1939</f>
        <v>3</v>
      </c>
      <c r="K5" s="112">
        <f>'Sampling Data'!J1939</f>
        <v>101</v>
      </c>
      <c r="L5" s="111">
        <f>'Sampling Data'!X1939</f>
        <v>1</v>
      </c>
      <c r="M5" s="114">
        <v>16</v>
      </c>
      <c r="N5" s="114">
        <v>63</v>
      </c>
      <c r="O5" s="115">
        <v>11</v>
      </c>
      <c r="P5" s="115">
        <v>7</v>
      </c>
      <c r="Q5" s="116">
        <v>0</v>
      </c>
      <c r="R5" s="116">
        <v>1</v>
      </c>
      <c r="S5" s="111">
        <f>Audit[[#This Row],[Audit Losing Candidate]]-Audit[[#This Row],[Losing Candidate]]</f>
        <v>0</v>
      </c>
      <c r="T5" s="111">
        <f>Audit[[#This Row],[Audit Winning Candidate]]-Audit[[#This Row],[Winning Candidate]]</f>
        <v>0</v>
      </c>
      <c r="U5" s="111">
        <f>Audit[[#This Row],[Audit Candidate 3]]-Audit[[#This Row],[Candidate 3]]</f>
        <v>0</v>
      </c>
      <c r="V5" s="111">
        <f>Audit[[#This Row],[Audit Candidate 4]]-Audit[[#This Row],[Candidate 4]]</f>
        <v>0</v>
      </c>
      <c r="W5" s="111">
        <f>Audit[[#This Row],[Audit Candidate 5]]-Audit[[#This Row],[Candidate 5]]</f>
        <v>0</v>
      </c>
      <c r="X5" s="111">
        <f>Audit[[#This Row],[Audit Candidate 6]]-Audit[[#This Row],[Candidate 6]]</f>
        <v>0</v>
      </c>
      <c r="Y5" s="111">
        <f>SUMIF(Audit[[#This Row],[Difference Loser]:[Difference Candidate 6]], "&gt;0")</f>
        <v>0</v>
      </c>
      <c r="Z5" s="111">
        <f>SUM(Audit[[#This Row],[Difference Loser]:[Difference Candidate 6]])</f>
        <v>0</v>
      </c>
      <c r="AA5" s="111">
        <f>IF(Audit[[#This Row],[Times p Drawn - With Replacement]]&gt;0, IF(Audit[[#This Row],[Canceled Differences]]&lt;0, Audit[[#This Row],[Max Differences]]+ABS(Audit[[#This Row],[Canceled Differences]]), Audit[[#This Row],[Max Differences]]), 0)</f>
        <v>0</v>
      </c>
      <c r="AB5" s="111">
        <f>'Sampling Data'!P1939</f>
        <v>9.0641842234198914E-3</v>
      </c>
      <c r="AC5" s="111">
        <f>IF(
      SUM(Audit[[#This Row],[Audit Losing Candidate]:[Audit Candidate 6]])
      &lt;&gt;0,
      (Audit[[#This Row],[Winning Candidate]]-Audit[[#This Row],[Losing Candidate]]-(Audit[[#This Row],[Audit Winning Candidate]]-Audit[[#This Row],[Audit Losing Candidate]]))/(Audit[[#Totals],[Winning Candidate]]-Audit[[#Totals],[Losing Candidate]]),
      0
)</f>
        <v>0</v>
      </c>
      <c r="AD5"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5"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5"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5"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 s="111">
        <f>IF(Audit[[#This Row],[Max Relative Error (ep)]] = 0, 0, Audit[[#This Row],[Max Relative Error (ep)]]/Audit[[#This Row],[Error Bound (up) - Max. possible relative overstatement]])</f>
        <v>0</v>
      </c>
      <c r="AJ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 s="111">
        <f t="shared" ref="AK5:AK68" si="0">IF(ISERR(POWER(AJ5,L5)), 0, POWER(AJ5,L5))</f>
        <v>0.84173354050953653</v>
      </c>
      <c r="AL5" s="111">
        <f>PRODUCT($AK$5:AK5)</f>
        <v>0.84173354050953653</v>
      </c>
      <c r="AM5" s="109">
        <f>1 - [K-M P Value]</f>
        <v>0.15826645949046347</v>
      </c>
      <c r="AN5" s="111" t="str">
        <f>IF(Audit[[#This Row],[K-M P Value]]&gt;1-'General Info'!$B$16,"Continue", "Stop")</f>
        <v>Continue</v>
      </c>
      <c r="AO5" s="118" t="b">
        <f>IF(Audit[[#This Row],[Status - Continue or stop audit]] = "Continue", TRUE, IF(AN4 = "Continue", TRUE, FALSE))</f>
        <v>1</v>
      </c>
      <c r="AP5" s="118"/>
    </row>
    <row r="6" spans="1:43">
      <c r="A6" s="111">
        <f>'Sampling Data'!W965</f>
        <v>2</v>
      </c>
      <c r="B6" s="112" t="str">
        <f>'Sampling Data'!A965</f>
        <v>CLEVELAND HEIGHTS -02-D</v>
      </c>
      <c r="C6" s="112">
        <f>'Sampling Data'!B965</f>
        <v>19</v>
      </c>
      <c r="D6" s="112">
        <f>'Sampling Data'!C965</f>
        <v>19</v>
      </c>
      <c r="E6" s="113">
        <f>'Sampling Data'!D965</f>
        <v>6</v>
      </c>
      <c r="F6" s="113">
        <f>'Sampling Data'!E965</f>
        <v>3</v>
      </c>
      <c r="G6" s="113">
        <f>'Sampling Data'!F965</f>
        <v>0</v>
      </c>
      <c r="H6" s="113">
        <f>'Sampling Data'!G965</f>
        <v>0</v>
      </c>
      <c r="I6" s="112">
        <f>'Sampling Data'!H965</f>
        <v>0</v>
      </c>
      <c r="J6" s="112">
        <f>'Sampling Data'!I965</f>
        <v>0</v>
      </c>
      <c r="K6" s="112">
        <f>'Sampling Data'!J965</f>
        <v>47</v>
      </c>
      <c r="L6" s="111">
        <f>'Sampling Data'!X965</f>
        <v>1</v>
      </c>
      <c r="M6" s="114">
        <v>19</v>
      </c>
      <c r="N6" s="114">
        <v>19</v>
      </c>
      <c r="O6" s="115">
        <v>6</v>
      </c>
      <c r="P6" s="115">
        <v>3</v>
      </c>
      <c r="Q6" s="116">
        <v>0</v>
      </c>
      <c r="R6" s="116">
        <v>0</v>
      </c>
      <c r="S6" s="111">
        <f>Audit[[#This Row],[Audit Losing Candidate]]-Audit[[#This Row],[Losing Candidate]]</f>
        <v>0</v>
      </c>
      <c r="T6" s="111">
        <f>Audit[[#This Row],[Audit Winning Candidate]]-Audit[[#This Row],[Winning Candidate]]</f>
        <v>0</v>
      </c>
      <c r="U6" s="111">
        <f>Audit[[#This Row],[Audit Candidate 3]]-Audit[[#This Row],[Candidate 3]]</f>
        <v>0</v>
      </c>
      <c r="V6" s="111">
        <f>Audit[[#This Row],[Audit Candidate 4]]-Audit[[#This Row],[Candidate 4]]</f>
        <v>0</v>
      </c>
      <c r="W6" s="111">
        <f>Audit[[#This Row],[Audit Candidate 5]]-Audit[[#This Row],[Candidate 5]]</f>
        <v>0</v>
      </c>
      <c r="X6" s="111">
        <f>Audit[[#This Row],[Audit Candidate 6]]-Audit[[#This Row],[Candidate 6]]</f>
        <v>0</v>
      </c>
      <c r="Y6" s="111">
        <f>SUMIF(Audit[[#This Row],[Difference Loser]:[Difference Candidate 6]], "&gt;0")</f>
        <v>0</v>
      </c>
      <c r="Z6" s="111">
        <f>SUM(Audit[[#This Row],[Difference Loser]:[Difference Candidate 6]])</f>
        <v>0</v>
      </c>
      <c r="AA6" s="111">
        <f>IF(Audit[[#This Row],[Times p Drawn - With Replacement]]&gt;0, IF(Audit[[#This Row],[Canceled Differences]]&lt;0, Audit[[#This Row],[Max Differences]]+ABS(Audit[[#This Row],[Canceled Differences]]), Audit[[#This Row],[Max Differences]]), 0)</f>
        <v>0</v>
      </c>
      <c r="AB6" s="111">
        <f>'Sampling Data'!P965</f>
        <v>2.8784909358157765E-3</v>
      </c>
      <c r="AC6" s="111">
        <f>IF(
      SUM(Audit[[#This Row],[Audit Losing Candidate]:[Audit Candidate 6]])
      &lt;&gt;0,
      (Audit[[#This Row],[Winning Candidate]]-Audit[[#This Row],[Losing Candidate]]-(Audit[[#This Row],[Audit Winning Candidate]]-Audit[[#This Row],[Audit Losing Candidate]]))/(Audit[[#Totals],[Winning Candidate]]-Audit[[#Totals],[Losing Candidate]]),
      0
)</f>
        <v>0</v>
      </c>
      <c r="AD6"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6"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6"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6"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 s="111">
        <f>IF(Audit[[#This Row],[Max Relative Error (ep)]] = 0, 0, Audit[[#This Row],[Max Relative Error (ep)]]/Audit[[#This Row],[Error Bound (up) - Max. possible relative overstatement]])</f>
        <v>0</v>
      </c>
      <c r="AJ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 s="111">
        <f t="shared" si="0"/>
        <v>0.84173354050953653</v>
      </c>
      <c r="AL6" s="111">
        <f>PRODUCT($AK$5:AK6)</f>
        <v>0.70851535321871961</v>
      </c>
      <c r="AM6" s="109">
        <f>1 - [K-M P Value]</f>
        <v>0.29148464678128039</v>
      </c>
      <c r="AN6" s="111" t="str">
        <f>IF(Audit[[#This Row],[K-M P Value]]&gt;1-'General Info'!$B$16,"Continue", "Stop")</f>
        <v>Continue</v>
      </c>
      <c r="AO6" s="118" t="b">
        <f>IF(Audit[[#This Row],[Status - Continue or stop audit]] = "Continue", TRUE, IF(AN5 = "Continue", TRUE, FALSE))</f>
        <v>1</v>
      </c>
      <c r="AP6" s="118"/>
    </row>
    <row r="7" spans="1:43">
      <c r="A7" s="111">
        <f>'Sampling Data'!W1726</f>
        <v>3</v>
      </c>
      <c r="B7" s="112" t="str">
        <f>'Sampling Data'!A1726</f>
        <v>PARMA -07-C - ABS</v>
      </c>
      <c r="C7" s="112">
        <f>'Sampling Data'!B1726</f>
        <v>35</v>
      </c>
      <c r="D7" s="112">
        <f>'Sampling Data'!C1726</f>
        <v>38</v>
      </c>
      <c r="E7" s="113">
        <f>'Sampling Data'!D1726</f>
        <v>7</v>
      </c>
      <c r="F7" s="113">
        <f>'Sampling Data'!E1726</f>
        <v>4</v>
      </c>
      <c r="G7" s="113">
        <f>'Sampling Data'!F1726</f>
        <v>0</v>
      </c>
      <c r="H7" s="113">
        <f>'Sampling Data'!G1726</f>
        <v>1</v>
      </c>
      <c r="I7" s="112">
        <f>'Sampling Data'!H1726</f>
        <v>0</v>
      </c>
      <c r="J7" s="112">
        <f>'Sampling Data'!I1726</f>
        <v>2</v>
      </c>
      <c r="K7" s="112">
        <f>'Sampling Data'!J1726</f>
        <v>87</v>
      </c>
      <c r="L7" s="111">
        <f>'Sampling Data'!X1726</f>
        <v>1</v>
      </c>
      <c r="M7" s="114">
        <v>35</v>
      </c>
      <c r="N7" s="114">
        <v>38</v>
      </c>
      <c r="O7" s="115">
        <v>7</v>
      </c>
      <c r="P7" s="115">
        <v>4</v>
      </c>
      <c r="Q7" s="116">
        <v>0</v>
      </c>
      <c r="R7" s="116">
        <v>1</v>
      </c>
      <c r="S7" s="111">
        <f>Audit[[#This Row],[Audit Losing Candidate]]-Audit[[#This Row],[Losing Candidate]]</f>
        <v>0</v>
      </c>
      <c r="T7" s="111">
        <f>Audit[[#This Row],[Audit Winning Candidate]]-Audit[[#This Row],[Winning Candidate]]</f>
        <v>0</v>
      </c>
      <c r="U7" s="111">
        <f>Audit[[#This Row],[Audit Candidate 3]]-Audit[[#This Row],[Candidate 3]]</f>
        <v>0</v>
      </c>
      <c r="V7" s="111">
        <f>Audit[[#This Row],[Audit Candidate 4]]-Audit[[#This Row],[Candidate 4]]</f>
        <v>0</v>
      </c>
      <c r="W7" s="111">
        <f>Audit[[#This Row],[Audit Candidate 5]]-Audit[[#This Row],[Candidate 5]]</f>
        <v>0</v>
      </c>
      <c r="X7" s="111">
        <f>Audit[[#This Row],[Audit Candidate 6]]-Audit[[#This Row],[Candidate 6]]</f>
        <v>0</v>
      </c>
      <c r="Y7" s="111">
        <f>SUMIF(Audit[[#This Row],[Difference Loser]:[Difference Candidate 6]], "&gt;0")</f>
        <v>0</v>
      </c>
      <c r="Z7" s="111">
        <f>SUM(Audit[[#This Row],[Difference Loser]:[Difference Candidate 6]])</f>
        <v>0</v>
      </c>
      <c r="AA7" s="111">
        <f>IF(Audit[[#This Row],[Times p Drawn - With Replacement]]&gt;0, IF(Audit[[#This Row],[Canceled Differences]]&lt;0, Audit[[#This Row],[Max Differences]]+ABS(Audit[[#This Row],[Canceled Differences]]), Audit[[#This Row],[Max Differences]]), 0)</f>
        <v>0</v>
      </c>
      <c r="AB7" s="111">
        <f>'Sampling Data'!P1726</f>
        <v>5.5120039196472313E-3</v>
      </c>
      <c r="AC7" s="111">
        <f>IF(
      SUM(Audit[[#This Row],[Audit Losing Candidate]:[Audit Candidate 6]])
      &lt;&gt;0,
      (Audit[[#This Row],[Winning Candidate]]-Audit[[#This Row],[Losing Candidate]]-(Audit[[#This Row],[Audit Winning Candidate]]-Audit[[#This Row],[Audit Losing Candidate]]))/(Audit[[#Totals],[Winning Candidate]]-Audit[[#Totals],[Losing Candidate]]),
      0
)</f>
        <v>0</v>
      </c>
      <c r="AD7"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7"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7"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7"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 s="111">
        <f>IF(Audit[[#This Row],[Max Relative Error (ep)]] = 0, 0, Audit[[#This Row],[Max Relative Error (ep)]]/Audit[[#This Row],[Error Bound (up) - Max. possible relative overstatement]])</f>
        <v>0</v>
      </c>
      <c r="AJ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 s="111">
        <f t="shared" si="0"/>
        <v>0.84173354050953653</v>
      </c>
      <c r="AL7" s="111">
        <f>PRODUCT($AK$5:AK7)</f>
        <v>0.59638113677015769</v>
      </c>
      <c r="AM7" s="109">
        <f>1 - [K-M P Value]</f>
        <v>0.40361886322984231</v>
      </c>
      <c r="AN7" s="111" t="str">
        <f>IF(Audit[[#This Row],[K-M P Value]]&gt;1-'General Info'!$B$16,"Continue", "Stop")</f>
        <v>Continue</v>
      </c>
      <c r="AO7" s="118" t="b">
        <f>IF(Audit[[#This Row],[Status - Continue or stop audit]] = "Continue", TRUE, IF(AN6 = "Continue", TRUE, FALSE))</f>
        <v>1</v>
      </c>
      <c r="AP7" s="118"/>
    </row>
    <row r="8" spans="1:43">
      <c r="A8" s="111">
        <f>'Sampling Data'!W1837</f>
        <v>4</v>
      </c>
      <c r="B8" s="112" t="str">
        <f>'Sampling Data'!A1837</f>
        <v>ROCKY RIVER -02-D</v>
      </c>
      <c r="C8" s="112">
        <f>'Sampling Data'!B1837</f>
        <v>38</v>
      </c>
      <c r="D8" s="112">
        <f>'Sampling Data'!C1837</f>
        <v>72</v>
      </c>
      <c r="E8" s="113">
        <f>'Sampling Data'!D1837</f>
        <v>20</v>
      </c>
      <c r="F8" s="113">
        <f>'Sampling Data'!E1837</f>
        <v>6</v>
      </c>
      <c r="G8" s="113">
        <f>'Sampling Data'!F1837</f>
        <v>1</v>
      </c>
      <c r="H8" s="113">
        <f>'Sampling Data'!G1837</f>
        <v>0</v>
      </c>
      <c r="I8" s="112">
        <f>'Sampling Data'!H1837</f>
        <v>0</v>
      </c>
      <c r="J8" s="112">
        <f>'Sampling Data'!I1837</f>
        <v>3</v>
      </c>
      <c r="K8" s="112">
        <f>'Sampling Data'!J1837</f>
        <v>140</v>
      </c>
      <c r="L8" s="111">
        <f>'Sampling Data'!X1837</f>
        <v>1</v>
      </c>
      <c r="M8" s="114">
        <v>38</v>
      </c>
      <c r="N8" s="114">
        <v>72</v>
      </c>
      <c r="O8" s="115">
        <v>20</v>
      </c>
      <c r="P8" s="115">
        <v>6</v>
      </c>
      <c r="Q8" s="116">
        <v>1</v>
      </c>
      <c r="R8" s="116">
        <v>0</v>
      </c>
      <c r="S8" s="111">
        <f>Audit[[#This Row],[Audit Losing Candidate]]-Audit[[#This Row],[Losing Candidate]]</f>
        <v>0</v>
      </c>
      <c r="T8" s="111">
        <f>Audit[[#This Row],[Audit Winning Candidate]]-Audit[[#This Row],[Winning Candidate]]</f>
        <v>0</v>
      </c>
      <c r="U8" s="111">
        <f>Audit[[#This Row],[Audit Candidate 3]]-Audit[[#This Row],[Candidate 3]]</f>
        <v>0</v>
      </c>
      <c r="V8" s="111">
        <f>Audit[[#This Row],[Audit Candidate 4]]-Audit[[#This Row],[Candidate 4]]</f>
        <v>0</v>
      </c>
      <c r="W8" s="111">
        <f>Audit[[#This Row],[Audit Candidate 5]]-Audit[[#This Row],[Candidate 5]]</f>
        <v>0</v>
      </c>
      <c r="X8" s="111">
        <f>Audit[[#This Row],[Audit Candidate 6]]-Audit[[#This Row],[Candidate 6]]</f>
        <v>0</v>
      </c>
      <c r="Y8" s="111">
        <f>SUMIF(Audit[[#This Row],[Difference Loser]:[Difference Candidate 6]], "&gt;0")</f>
        <v>0</v>
      </c>
      <c r="Z8" s="111">
        <f>SUM(Audit[[#This Row],[Difference Loser]:[Difference Candidate 6]])</f>
        <v>0</v>
      </c>
      <c r="AA8" s="111">
        <f>IF(Audit[[#This Row],[Times p Drawn - With Replacement]]&gt;0, IF(Audit[[#This Row],[Canceled Differences]]&lt;0, Audit[[#This Row],[Max Differences]]+ABS(Audit[[#This Row],[Canceled Differences]]), Audit[[#This Row],[Max Differences]]), 0)</f>
        <v>0</v>
      </c>
      <c r="AB8" s="111">
        <f>'Sampling Data'!P1837</f>
        <v>1.0656540911317982E-2</v>
      </c>
      <c r="AC8" s="111">
        <f>IF(
      SUM(Audit[[#This Row],[Audit Losing Candidate]:[Audit Candidate 6]])
      &lt;&gt;0,
      (Audit[[#This Row],[Winning Candidate]]-Audit[[#This Row],[Losing Candidate]]-(Audit[[#This Row],[Audit Winning Candidate]]-Audit[[#This Row],[Audit Losing Candidate]]))/(Audit[[#Totals],[Winning Candidate]]-Audit[[#Totals],[Losing Candidate]]),
      0
)</f>
        <v>0</v>
      </c>
      <c r="AD8"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8"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8"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8"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 s="111">
        <f>IF(Audit[[#This Row],[Max Relative Error (ep)]] = 0, 0, Audit[[#This Row],[Max Relative Error (ep)]]/Audit[[#This Row],[Error Bound (up) - Max. possible relative overstatement]])</f>
        <v>0</v>
      </c>
      <c r="AJ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 s="111">
        <f t="shared" si="0"/>
        <v>0.84173354050953653</v>
      </c>
      <c r="AL8" s="111">
        <f>PRODUCT($AK$5:AK8)</f>
        <v>0.50199400574664699</v>
      </c>
      <c r="AM8" s="117">
        <f>1 - [K-M P Value]</f>
        <v>0.49800599425335301</v>
      </c>
      <c r="AN8" s="111" t="str">
        <f>IF(Audit[[#This Row],[K-M P Value]]&gt;1-'General Info'!$B$16,"Continue", "Stop")</f>
        <v>Continue</v>
      </c>
      <c r="AO8" s="118" t="b">
        <f>IF(Audit[[#This Row],[Status - Continue or stop audit]] = "Continue", TRUE, IF(AN7 = "Continue", TRUE, FALSE))</f>
        <v>1</v>
      </c>
      <c r="AP8" s="118"/>
    </row>
    <row r="9" spans="1:43">
      <c r="A9" s="111">
        <f>'Sampling Data'!W65</f>
        <v>5</v>
      </c>
      <c r="B9" s="112" t="str">
        <f>'Sampling Data'!A65</f>
        <v>BEDFORD -05-A</v>
      </c>
      <c r="C9" s="112">
        <f>'Sampling Data'!B65</f>
        <v>24</v>
      </c>
      <c r="D9" s="112">
        <f>'Sampling Data'!C65</f>
        <v>18</v>
      </c>
      <c r="E9" s="113">
        <f>'Sampling Data'!D65</f>
        <v>8</v>
      </c>
      <c r="F9" s="113">
        <f>'Sampling Data'!E65</f>
        <v>5</v>
      </c>
      <c r="G9" s="113">
        <f>'Sampling Data'!F65</f>
        <v>1</v>
      </c>
      <c r="H9" s="113">
        <f>'Sampling Data'!G65</f>
        <v>0</v>
      </c>
      <c r="I9" s="112">
        <f>'Sampling Data'!H65</f>
        <v>0</v>
      </c>
      <c r="J9" s="112">
        <f>'Sampling Data'!I65</f>
        <v>0</v>
      </c>
      <c r="K9" s="112">
        <f>'Sampling Data'!J65</f>
        <v>56</v>
      </c>
      <c r="L9" s="111">
        <f>'Sampling Data'!X65</f>
        <v>1</v>
      </c>
      <c r="M9" s="114">
        <v>24</v>
      </c>
      <c r="N9" s="114">
        <v>18</v>
      </c>
      <c r="O9" s="115">
        <v>8</v>
      </c>
      <c r="P9" s="115">
        <v>5</v>
      </c>
      <c r="Q9" s="116">
        <v>1</v>
      </c>
      <c r="R9" s="116">
        <v>0</v>
      </c>
      <c r="S9" s="111">
        <f>Audit[[#This Row],[Audit Losing Candidate]]-Audit[[#This Row],[Losing Candidate]]</f>
        <v>0</v>
      </c>
      <c r="T9" s="111">
        <f>Audit[[#This Row],[Audit Winning Candidate]]-Audit[[#This Row],[Winning Candidate]]</f>
        <v>0</v>
      </c>
      <c r="U9" s="111">
        <f>Audit[[#This Row],[Audit Candidate 3]]-Audit[[#This Row],[Candidate 3]]</f>
        <v>0</v>
      </c>
      <c r="V9" s="111">
        <f>Audit[[#This Row],[Audit Candidate 4]]-Audit[[#This Row],[Candidate 4]]</f>
        <v>0</v>
      </c>
      <c r="W9" s="111">
        <f>Audit[[#This Row],[Audit Candidate 5]]-Audit[[#This Row],[Candidate 5]]</f>
        <v>0</v>
      </c>
      <c r="X9" s="111">
        <f>Audit[[#This Row],[Audit Candidate 6]]-Audit[[#This Row],[Candidate 6]]</f>
        <v>0</v>
      </c>
      <c r="Y9" s="111">
        <f>SUMIF(Audit[[#This Row],[Difference Loser]:[Difference Candidate 6]], "&gt;0")</f>
        <v>0</v>
      </c>
      <c r="Z9" s="111">
        <f>SUM(Audit[[#This Row],[Difference Loser]:[Difference Candidate 6]])</f>
        <v>0</v>
      </c>
      <c r="AA9" s="111">
        <f>IF(Audit[[#This Row],[Times p Drawn - With Replacement]]&gt;0, IF(Audit[[#This Row],[Canceled Differences]]&lt;0, Audit[[#This Row],[Max Differences]]+ABS(Audit[[#This Row],[Canceled Differences]]), Audit[[#This Row],[Max Differences]]), 0)</f>
        <v>0</v>
      </c>
      <c r="AB9" s="111">
        <f>'Sampling Data'!P65</f>
        <v>3.0622243998040177E-3</v>
      </c>
      <c r="AC9" s="111">
        <f>IF(
      SUM(Audit[[#This Row],[Audit Losing Candidate]:[Audit Candidate 6]])
      &lt;&gt;0,
      (Audit[[#This Row],[Winning Candidate]]-Audit[[#This Row],[Losing Candidate]]-(Audit[[#This Row],[Audit Winning Candidate]]-Audit[[#This Row],[Audit Losing Candidate]]))/(Audit[[#Totals],[Winning Candidate]]-Audit[[#Totals],[Losing Candidate]]),
      0
)</f>
        <v>0</v>
      </c>
      <c r="AD9"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9"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9"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9"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 s="111">
        <f>IF(Audit[[#This Row],[Max Relative Error (ep)]] = 0, 0, Audit[[#This Row],[Max Relative Error (ep)]]/Audit[[#This Row],[Error Bound (up) - Max. possible relative overstatement]])</f>
        <v>0</v>
      </c>
      <c r="AJ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 s="111">
        <f t="shared" si="0"/>
        <v>0.84173354050953653</v>
      </c>
      <c r="AL9" s="111">
        <f>PRODUCT($AK$5:AK9)</f>
        <v>0.42254519177168981</v>
      </c>
      <c r="AM9" s="109">
        <f>1 - [K-M P Value]</f>
        <v>0.57745480822831019</v>
      </c>
      <c r="AN9" s="111" t="str">
        <f>IF(Audit[[#This Row],[K-M P Value]]&gt;1-'General Info'!$B$16,"Continue", "Stop")</f>
        <v>Continue</v>
      </c>
      <c r="AO9" s="110" t="b">
        <f>IF(Audit[[#This Row],[Status - Continue or stop audit]] = "Continue", TRUE, IF(AN8 = "Continue", TRUE, FALSE))</f>
        <v>1</v>
      </c>
      <c r="AP9" s="110"/>
    </row>
    <row r="10" spans="1:43">
      <c r="A10" s="111">
        <f>'Sampling Data'!W2085</f>
        <v>6</v>
      </c>
      <c r="B10" s="112" t="str">
        <f>'Sampling Data'!A2085</f>
        <v>WALTON HILLS -00-A</v>
      </c>
      <c r="C10" s="112">
        <f>'Sampling Data'!B2085</f>
        <v>33</v>
      </c>
      <c r="D10" s="112">
        <f>'Sampling Data'!C2085</f>
        <v>70</v>
      </c>
      <c r="E10" s="113">
        <f>'Sampling Data'!D2085</f>
        <v>13</v>
      </c>
      <c r="F10" s="113">
        <f>'Sampling Data'!E2085</f>
        <v>6</v>
      </c>
      <c r="G10" s="113">
        <f>'Sampling Data'!F2085</f>
        <v>0</v>
      </c>
      <c r="H10" s="113">
        <f>'Sampling Data'!G2085</f>
        <v>1</v>
      </c>
      <c r="I10" s="112">
        <f>'Sampling Data'!H2085</f>
        <v>0</v>
      </c>
      <c r="J10" s="112">
        <f>'Sampling Data'!I2085</f>
        <v>0</v>
      </c>
      <c r="K10" s="112">
        <f>'Sampling Data'!J2085</f>
        <v>123</v>
      </c>
      <c r="L10" s="111">
        <f>'Sampling Data'!X2085</f>
        <v>1</v>
      </c>
      <c r="M10" s="114">
        <v>33</v>
      </c>
      <c r="N10" s="114">
        <v>70</v>
      </c>
      <c r="O10" s="115">
        <v>13</v>
      </c>
      <c r="P10" s="115">
        <v>6</v>
      </c>
      <c r="Q10" s="116">
        <v>0</v>
      </c>
      <c r="R10" s="116">
        <v>1</v>
      </c>
      <c r="S10" s="111">
        <f>Audit[[#This Row],[Audit Losing Candidate]]-Audit[[#This Row],[Losing Candidate]]</f>
        <v>0</v>
      </c>
      <c r="T10" s="111">
        <f>Audit[[#This Row],[Audit Winning Candidate]]-Audit[[#This Row],[Winning Candidate]]</f>
        <v>0</v>
      </c>
      <c r="U10" s="111">
        <f>Audit[[#This Row],[Audit Candidate 3]]-Audit[[#This Row],[Candidate 3]]</f>
        <v>0</v>
      </c>
      <c r="V10" s="111">
        <f>Audit[[#This Row],[Audit Candidate 4]]-Audit[[#This Row],[Candidate 4]]</f>
        <v>0</v>
      </c>
      <c r="W10" s="111">
        <f>Audit[[#This Row],[Audit Candidate 5]]-Audit[[#This Row],[Candidate 5]]</f>
        <v>0</v>
      </c>
      <c r="X10" s="111">
        <f>Audit[[#This Row],[Audit Candidate 6]]-Audit[[#This Row],[Candidate 6]]</f>
        <v>0</v>
      </c>
      <c r="Y10" s="111">
        <f>SUMIF(Audit[[#This Row],[Difference Loser]:[Difference Candidate 6]], "&gt;0")</f>
        <v>0</v>
      </c>
      <c r="Z10" s="111">
        <f>SUM(Audit[[#This Row],[Difference Loser]:[Difference Candidate 6]])</f>
        <v>0</v>
      </c>
      <c r="AA10" s="111">
        <f>IF(Audit[[#This Row],[Times p Drawn - With Replacement]]&gt;0, IF(Audit[[#This Row],[Canceled Differences]]&lt;0, Audit[[#This Row],[Max Differences]]+ABS(Audit[[#This Row],[Canceled Differences]]), Audit[[#This Row],[Max Differences]]), 0)</f>
        <v>0</v>
      </c>
      <c r="AB10" s="111">
        <f>'Sampling Data'!P2085</f>
        <v>9.7991180793728563E-3</v>
      </c>
      <c r="AC10" s="111">
        <f>IF(
      SUM(Audit[[#This Row],[Audit Losing Candidate]:[Audit Candidate 6]])
      &lt;&gt;0,
      (Audit[[#This Row],[Winning Candidate]]-Audit[[#This Row],[Losing Candidate]]-(Audit[[#This Row],[Audit Winning Candidate]]-Audit[[#This Row],[Audit Losing Candidate]]))/(Audit[[#Totals],[Winning Candidate]]-Audit[[#Totals],[Losing Candidate]]),
      0
)</f>
        <v>0</v>
      </c>
      <c r="AD10"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10"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10"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10"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 s="111">
        <f>IF(Audit[[#This Row],[Max Relative Error (ep)]] = 0, 0, Audit[[#This Row],[Max Relative Error (ep)]]/Audit[[#This Row],[Error Bound (up) - Max. possible relative overstatement]])</f>
        <v>0</v>
      </c>
      <c r="AJ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 s="111">
        <f t="shared" si="0"/>
        <v>0.84173354050953653</v>
      </c>
      <c r="AL10" s="111">
        <f>PRODUCT($AK$5:AK10)</f>
        <v>0.35567046029526556</v>
      </c>
      <c r="AM10" s="109">
        <f>1 - [K-M P Value]</f>
        <v>0.64432953970473439</v>
      </c>
      <c r="AN10" s="111" t="str">
        <f>IF(Audit[[#This Row],[K-M P Value]]&gt;1-'General Info'!$B$16,"Continue", "Stop")</f>
        <v>Continue</v>
      </c>
      <c r="AO10" s="110" t="b">
        <f>IF(Audit[[#This Row],[Status - Continue or stop audit]] = "Continue", TRUE, IF(AN9 = "Continue", TRUE, FALSE))</f>
        <v>1</v>
      </c>
      <c r="AP10" s="110"/>
    </row>
    <row r="11" spans="1:43">
      <c r="A11" s="111">
        <f>'Sampling Data'!W1615</f>
        <v>7</v>
      </c>
      <c r="B11" s="112" t="str">
        <f>'Sampling Data'!A1615</f>
        <v>OLMSTED TOWNSHIP -00-B</v>
      </c>
      <c r="C11" s="112">
        <f>'Sampling Data'!B1615</f>
        <v>32</v>
      </c>
      <c r="D11" s="112">
        <f>'Sampling Data'!C1615</f>
        <v>56</v>
      </c>
      <c r="E11" s="113">
        <f>'Sampling Data'!D1615</f>
        <v>12</v>
      </c>
      <c r="F11" s="113">
        <f>'Sampling Data'!E1615</f>
        <v>9</v>
      </c>
      <c r="G11" s="113">
        <f>'Sampling Data'!F1615</f>
        <v>0</v>
      </c>
      <c r="H11" s="113">
        <f>'Sampling Data'!G1615</f>
        <v>0</v>
      </c>
      <c r="I11" s="112">
        <f>'Sampling Data'!H1615</f>
        <v>0</v>
      </c>
      <c r="J11" s="112">
        <f>'Sampling Data'!I1615</f>
        <v>2</v>
      </c>
      <c r="K11" s="112">
        <f>'Sampling Data'!J1615</f>
        <v>111</v>
      </c>
      <c r="L11" s="111">
        <f>'Sampling Data'!X1615</f>
        <v>1</v>
      </c>
      <c r="M11" s="114">
        <v>32</v>
      </c>
      <c r="N11" s="114">
        <v>56</v>
      </c>
      <c r="O11" s="115">
        <v>12</v>
      </c>
      <c r="P11" s="115">
        <v>9</v>
      </c>
      <c r="Q11" s="116">
        <v>0</v>
      </c>
      <c r="R11" s="116">
        <v>0</v>
      </c>
      <c r="S11" s="111">
        <f>Audit[[#This Row],[Audit Losing Candidate]]-Audit[[#This Row],[Losing Candidate]]</f>
        <v>0</v>
      </c>
      <c r="T11" s="111">
        <f>Audit[[#This Row],[Audit Winning Candidate]]-Audit[[#This Row],[Winning Candidate]]</f>
        <v>0</v>
      </c>
      <c r="U11" s="111">
        <f>Audit[[#This Row],[Audit Candidate 3]]-Audit[[#This Row],[Candidate 3]]</f>
        <v>0</v>
      </c>
      <c r="V11" s="111">
        <f>Audit[[#This Row],[Audit Candidate 4]]-Audit[[#This Row],[Candidate 4]]</f>
        <v>0</v>
      </c>
      <c r="W11" s="111">
        <f>Audit[[#This Row],[Audit Candidate 5]]-Audit[[#This Row],[Candidate 5]]</f>
        <v>0</v>
      </c>
      <c r="X11" s="111">
        <f>Audit[[#This Row],[Audit Candidate 6]]-Audit[[#This Row],[Candidate 6]]</f>
        <v>0</v>
      </c>
      <c r="Y11" s="111">
        <f>SUMIF(Audit[[#This Row],[Difference Loser]:[Difference Candidate 6]], "&gt;0")</f>
        <v>0</v>
      </c>
      <c r="Z11" s="111">
        <f>SUM(Audit[[#This Row],[Difference Loser]:[Difference Candidate 6]])</f>
        <v>0</v>
      </c>
      <c r="AA11" s="111">
        <f>IF(Audit[[#This Row],[Times p Drawn - With Replacement]]&gt;0, IF(Audit[[#This Row],[Canceled Differences]]&lt;0, Audit[[#This Row],[Max Differences]]+ABS(Audit[[#This Row],[Canceled Differences]]), Audit[[#This Row],[Max Differences]]), 0)</f>
        <v>0</v>
      </c>
      <c r="AB11" s="111">
        <f>'Sampling Data'!P1615</f>
        <v>8.268005879470847E-3</v>
      </c>
      <c r="AC11" s="111">
        <f>IF(
      SUM(Audit[[#This Row],[Audit Losing Candidate]:[Audit Candidate 6]])
      &lt;&gt;0,
      (Audit[[#This Row],[Winning Candidate]]-Audit[[#This Row],[Losing Candidate]]-(Audit[[#This Row],[Audit Winning Candidate]]-Audit[[#This Row],[Audit Losing Candidate]]))/(Audit[[#Totals],[Winning Candidate]]-Audit[[#Totals],[Losing Candidate]]),
      0
)</f>
        <v>0</v>
      </c>
      <c r="AD11"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11"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11"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11"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 s="111">
        <f>IF(Audit[[#This Row],[Max Relative Error (ep)]] = 0, 0, Audit[[#This Row],[Max Relative Error (ep)]]/Audit[[#This Row],[Error Bound (up) - Max. possible relative overstatement]])</f>
        <v>0</v>
      </c>
      <c r="AJ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 s="111">
        <f t="shared" si="0"/>
        <v>0.84173354050953653</v>
      </c>
      <c r="AL11" s="111">
        <f>PRODUCT($AK$5:AK11)</f>
        <v>0.2993797557989904</v>
      </c>
      <c r="AM11" s="109">
        <f>1 - [K-M P Value]</f>
        <v>0.70062024420100966</v>
      </c>
      <c r="AN11" s="111" t="str">
        <f>IF(Audit[[#This Row],[K-M P Value]]&gt;1-'General Info'!$B$16,"Continue", "Stop")</f>
        <v>Continue</v>
      </c>
      <c r="AO11" s="110" t="b">
        <f>IF(Audit[[#This Row],[Status - Continue or stop audit]] = "Continue", TRUE, IF(AN10 = "Continue", TRUE, FALSE))</f>
        <v>1</v>
      </c>
      <c r="AP11" s="110"/>
    </row>
    <row r="12" spans="1:43">
      <c r="A12" s="111">
        <f>'Sampling Data'!W1855</f>
        <v>8</v>
      </c>
      <c r="B12" s="112" t="str">
        <f>'Sampling Data'!A1855</f>
        <v>ROCKY RIVER -04-C</v>
      </c>
      <c r="C12" s="112">
        <f>'Sampling Data'!B1855</f>
        <v>45</v>
      </c>
      <c r="D12" s="112">
        <f>'Sampling Data'!C1855</f>
        <v>91</v>
      </c>
      <c r="E12" s="113">
        <f>'Sampling Data'!D1855</f>
        <v>15</v>
      </c>
      <c r="F12" s="113">
        <f>'Sampling Data'!E1855</f>
        <v>13</v>
      </c>
      <c r="G12" s="113">
        <f>'Sampling Data'!F1855</f>
        <v>1</v>
      </c>
      <c r="H12" s="113">
        <f>'Sampling Data'!G1855</f>
        <v>1</v>
      </c>
      <c r="I12" s="112">
        <f>'Sampling Data'!H1855</f>
        <v>0</v>
      </c>
      <c r="J12" s="112">
        <f>'Sampling Data'!I1855</f>
        <v>0</v>
      </c>
      <c r="K12" s="112">
        <f>'Sampling Data'!J1855</f>
        <v>166</v>
      </c>
      <c r="L12" s="111">
        <f>'Sampling Data'!X1855</f>
        <v>1</v>
      </c>
      <c r="M12" s="114">
        <v>45</v>
      </c>
      <c r="N12" s="114">
        <v>91</v>
      </c>
      <c r="O12" s="115">
        <v>15</v>
      </c>
      <c r="P12" s="115">
        <v>13</v>
      </c>
      <c r="Q12" s="116">
        <v>1</v>
      </c>
      <c r="R12" s="116">
        <v>1</v>
      </c>
      <c r="S12" s="111">
        <f>Audit[[#This Row],[Audit Losing Candidate]]-Audit[[#This Row],[Losing Candidate]]</f>
        <v>0</v>
      </c>
      <c r="T12" s="111">
        <f>Audit[[#This Row],[Audit Winning Candidate]]-Audit[[#This Row],[Winning Candidate]]</f>
        <v>0</v>
      </c>
      <c r="U12" s="111">
        <f>Audit[[#This Row],[Audit Candidate 3]]-Audit[[#This Row],[Candidate 3]]</f>
        <v>0</v>
      </c>
      <c r="V12" s="111">
        <f>Audit[[#This Row],[Audit Candidate 4]]-Audit[[#This Row],[Candidate 4]]</f>
        <v>0</v>
      </c>
      <c r="W12" s="111">
        <f>Audit[[#This Row],[Audit Candidate 5]]-Audit[[#This Row],[Candidate 5]]</f>
        <v>0</v>
      </c>
      <c r="X12" s="111">
        <f>Audit[[#This Row],[Audit Candidate 6]]-Audit[[#This Row],[Candidate 6]]</f>
        <v>0</v>
      </c>
      <c r="Y12" s="111">
        <f>SUMIF(Audit[[#This Row],[Difference Loser]:[Difference Candidate 6]], "&gt;0")</f>
        <v>0</v>
      </c>
      <c r="Z12" s="111">
        <f>SUM(Audit[[#This Row],[Difference Loser]:[Difference Candidate 6]])</f>
        <v>0</v>
      </c>
      <c r="AA12" s="111">
        <f>IF(Audit[[#This Row],[Times p Drawn - With Replacement]]&gt;0, IF(Audit[[#This Row],[Canceled Differences]]&lt;0, Audit[[#This Row],[Max Differences]]+ABS(Audit[[#This Row],[Canceled Differences]]), Audit[[#This Row],[Max Differences]]), 0)</f>
        <v>0</v>
      </c>
      <c r="AB12" s="111">
        <f>'Sampling Data'!P1855</f>
        <v>1.2983831455169036E-2</v>
      </c>
      <c r="AC12" s="111">
        <f>IF(
      SUM(Audit[[#This Row],[Audit Losing Candidate]:[Audit Candidate 6]])
      &lt;&gt;0,
      (Audit[[#This Row],[Winning Candidate]]-Audit[[#This Row],[Losing Candidate]]-(Audit[[#This Row],[Audit Winning Candidate]]-Audit[[#This Row],[Audit Losing Candidate]]))/(Audit[[#Totals],[Winning Candidate]]-Audit[[#Totals],[Losing Candidate]]),
      0
)</f>
        <v>0</v>
      </c>
      <c r="AD12"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12"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12"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12"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 s="111">
        <f>IF(Audit[[#This Row],[Max Relative Error (ep)]] = 0, 0, Audit[[#This Row],[Max Relative Error (ep)]]/Audit[[#This Row],[Error Bound (up) - Max. possible relative overstatement]])</f>
        <v>0</v>
      </c>
      <c r="AJ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 s="111">
        <f t="shared" si="0"/>
        <v>0.84173354050953653</v>
      </c>
      <c r="AL12" s="111">
        <f>PRODUCT($AK$5:AK12)</f>
        <v>0.25199798180556465</v>
      </c>
      <c r="AM12" s="109">
        <f>1 - [K-M P Value]</f>
        <v>0.74800201819443535</v>
      </c>
      <c r="AN12" s="111" t="str">
        <f>IF(Audit[[#This Row],[K-M P Value]]&gt;1-'General Info'!$B$16,"Continue", "Stop")</f>
        <v>Continue</v>
      </c>
      <c r="AO12" s="110" t="b">
        <f>IF(Audit[[#This Row],[Status - Continue or stop audit]] = "Continue", TRUE, IF(AN11 = "Continue", TRUE, FALSE))</f>
        <v>1</v>
      </c>
      <c r="AP12" s="110"/>
    </row>
    <row r="13" spans="1:43">
      <c r="A13" s="26">
        <f>'Sampling Data'!W22</f>
        <v>9</v>
      </c>
      <c r="B13" s="28" t="str">
        <f>'Sampling Data'!A22</f>
        <v>BAY VILLAGE -03-C - ABS</v>
      </c>
      <c r="C13" s="28">
        <f>'Sampling Data'!B22</f>
        <v>10</v>
      </c>
      <c r="D13" s="28">
        <f>'Sampling Data'!C22</f>
        <v>41</v>
      </c>
      <c r="E13" s="27">
        <f>'Sampling Data'!D22</f>
        <v>7</v>
      </c>
      <c r="F13" s="27">
        <f>'Sampling Data'!E22</f>
        <v>3</v>
      </c>
      <c r="G13" s="27">
        <f>'Sampling Data'!F22</f>
        <v>0</v>
      </c>
      <c r="H13" s="27">
        <f>'Sampling Data'!G22</f>
        <v>0</v>
      </c>
      <c r="I13" s="28">
        <f>'Sampling Data'!H22</f>
        <v>0</v>
      </c>
      <c r="J13" s="28">
        <f>'Sampling Data'!I22</f>
        <v>0</v>
      </c>
      <c r="K13" s="28">
        <f>'Sampling Data'!J22</f>
        <v>61</v>
      </c>
      <c r="L13" s="26">
        <f>'Sampling Data'!X22</f>
        <v>1</v>
      </c>
      <c r="M13" s="38">
        <v>10</v>
      </c>
      <c r="N13" s="38">
        <v>41</v>
      </c>
      <c r="O13" s="39">
        <v>7</v>
      </c>
      <c r="P13" s="39">
        <v>3</v>
      </c>
      <c r="Q13" s="40">
        <v>0</v>
      </c>
      <c r="R13" s="40">
        <v>0</v>
      </c>
      <c r="S13" s="26">
        <f>Audit[[#This Row],[Audit Losing Candidate]]-Audit[[#This Row],[Losing Candidate]]</f>
        <v>0</v>
      </c>
      <c r="T13" s="26">
        <f>Audit[[#This Row],[Audit Winning Candidate]]-Audit[[#This Row],[Winning Candidate]]</f>
        <v>0</v>
      </c>
      <c r="U13" s="26">
        <f>Audit[[#This Row],[Audit Candidate 3]]-Audit[[#This Row],[Candidate 3]]</f>
        <v>0</v>
      </c>
      <c r="V13" s="26">
        <f>Audit[[#This Row],[Audit Candidate 4]]-Audit[[#This Row],[Candidate 4]]</f>
        <v>0</v>
      </c>
      <c r="W13" s="26">
        <f>Audit[[#This Row],[Audit Candidate 5]]-Audit[[#This Row],[Candidate 5]]</f>
        <v>0</v>
      </c>
      <c r="X13" s="26">
        <f>Audit[[#This Row],[Audit Candidate 6]]-Audit[[#This Row],[Candidate 6]]</f>
        <v>0</v>
      </c>
      <c r="Y13" s="26">
        <f>SUMIF(Audit[[#This Row],[Difference Loser]:[Difference Candidate 6]], "&gt;0")</f>
        <v>0</v>
      </c>
      <c r="Z13" s="26">
        <f>SUM(Audit[[#This Row],[Difference Loser]:[Difference Candidate 6]])</f>
        <v>0</v>
      </c>
      <c r="AA13" s="26">
        <f>IF(Audit[[#This Row],[Times p Drawn - With Replacement]]&gt;0, IF(Audit[[#This Row],[Canceled Differences]]&lt;0, Audit[[#This Row],[Max Differences]]+ABS(Audit[[#This Row],[Canceled Differences]]), Audit[[#This Row],[Max Differences]]), 0)</f>
        <v>0</v>
      </c>
      <c r="AB13" s="26">
        <f>'Sampling Data'!P22</f>
        <v>5.6344928956393921E-3</v>
      </c>
      <c r="AC13" s="26">
        <f>IF(
      SUM(Audit[[#This Row],[Audit Losing Candidate]:[Audit Candidate 6]])
      &lt;&gt;0,
      (Audit[[#This Row],[Winning Candidate]]-Audit[[#This Row],[Losing Candidate]]-(Audit[[#This Row],[Audit Winning Candidate]]-Audit[[#This Row],[Audit Losing Candidate]]))/(Audit[[#Totals],[Winning Candidate]]-Audit[[#Totals],[Losing Candidate]]),
      0
)</f>
        <v>0</v>
      </c>
      <c r="AD13" s="26">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13" s="26">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13" s="26">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13" s="26">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13"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 s="26">
        <f>IF(Audit[[#This Row],[Max Relative Error (ep)]] = 0, 0, Audit[[#This Row],[Max Relative Error (ep)]]/Audit[[#This Row],[Error Bound (up) - Max. possible relative overstatement]])</f>
        <v>0</v>
      </c>
      <c r="AJ13"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 s="26">
        <f t="shared" si="0"/>
        <v>0.84173354050953653</v>
      </c>
      <c r="AL13" s="26">
        <f>PRODUCT($AK$5:AK13)</f>
        <v>0.2121151534264557</v>
      </c>
      <c r="AM13" s="29">
        <f>1 - [K-M P Value]</f>
        <v>0.7878848465735443</v>
      </c>
      <c r="AN13" s="26" t="str">
        <f>IF(Audit[[#This Row],[K-M P Value]]&gt;1-'General Info'!$B$16,"Continue", "Stop")</f>
        <v>Continue</v>
      </c>
      <c r="AO13" s="32" t="b">
        <f>IF(Audit[[#This Row],[Status - Continue or stop audit]] = "Continue", TRUE, IF(AN12 = "Continue", TRUE, FALSE))</f>
        <v>1</v>
      </c>
      <c r="AP13" s="32"/>
    </row>
    <row r="14" spans="1:43">
      <c r="A14" s="111">
        <f>'Sampling Data'!W717</f>
        <v>10</v>
      </c>
      <c r="B14" s="112" t="str">
        <f>'Sampling Data'!A717</f>
        <v>CLEVELAND -13-E</v>
      </c>
      <c r="C14" s="112">
        <f>'Sampling Data'!B717</f>
        <v>14</v>
      </c>
      <c r="D14" s="112">
        <f>'Sampling Data'!C717</f>
        <v>14</v>
      </c>
      <c r="E14" s="113">
        <f>'Sampling Data'!D717</f>
        <v>9</v>
      </c>
      <c r="F14" s="113">
        <f>'Sampling Data'!E717</f>
        <v>11</v>
      </c>
      <c r="G14" s="113">
        <f>'Sampling Data'!F717</f>
        <v>0</v>
      </c>
      <c r="H14" s="113">
        <f>'Sampling Data'!G717</f>
        <v>0</v>
      </c>
      <c r="I14" s="112">
        <f>'Sampling Data'!H717</f>
        <v>0</v>
      </c>
      <c r="J14" s="112">
        <f>'Sampling Data'!I717</f>
        <v>0</v>
      </c>
      <c r="K14" s="112">
        <f>'Sampling Data'!J717</f>
        <v>48</v>
      </c>
      <c r="L14" s="111">
        <f>'Sampling Data'!X717</f>
        <v>1</v>
      </c>
      <c r="M14" s="114">
        <v>14</v>
      </c>
      <c r="N14" s="114">
        <v>14</v>
      </c>
      <c r="O14" s="115">
        <v>9</v>
      </c>
      <c r="P14" s="115">
        <v>11</v>
      </c>
      <c r="Q14" s="116">
        <v>0</v>
      </c>
      <c r="R14" s="116">
        <v>0</v>
      </c>
      <c r="S14" s="111">
        <f>Audit[[#This Row],[Audit Losing Candidate]]-Audit[[#This Row],[Losing Candidate]]</f>
        <v>0</v>
      </c>
      <c r="T14" s="111">
        <f>Audit[[#This Row],[Audit Winning Candidate]]-Audit[[#This Row],[Winning Candidate]]</f>
        <v>0</v>
      </c>
      <c r="U14" s="111">
        <f>Audit[[#This Row],[Audit Candidate 3]]-Audit[[#This Row],[Candidate 3]]</f>
        <v>0</v>
      </c>
      <c r="V14" s="111">
        <f>Audit[[#This Row],[Audit Candidate 4]]-Audit[[#This Row],[Candidate 4]]</f>
        <v>0</v>
      </c>
      <c r="W14" s="111">
        <f>Audit[[#This Row],[Audit Candidate 5]]-Audit[[#This Row],[Candidate 5]]</f>
        <v>0</v>
      </c>
      <c r="X14" s="111">
        <f>Audit[[#This Row],[Audit Candidate 6]]-Audit[[#This Row],[Candidate 6]]</f>
        <v>0</v>
      </c>
      <c r="Y14" s="111">
        <f>SUMIF(Audit[[#This Row],[Difference Loser]:[Difference Candidate 6]], "&gt;0")</f>
        <v>0</v>
      </c>
      <c r="Z14" s="111">
        <f>SUM(Audit[[#This Row],[Difference Loser]:[Difference Candidate 6]])</f>
        <v>0</v>
      </c>
      <c r="AA14" s="111">
        <f>IF(Audit[[#This Row],[Times p Drawn - With Replacement]]&gt;0, IF(Audit[[#This Row],[Canceled Differences]]&lt;0, Audit[[#This Row],[Max Differences]]+ABS(Audit[[#This Row],[Canceled Differences]]), Audit[[#This Row],[Max Differences]]), 0)</f>
        <v>0</v>
      </c>
      <c r="AB14" s="111">
        <f>'Sampling Data'!P717</f>
        <v>2.9397354238118569E-3</v>
      </c>
      <c r="AC14" s="111">
        <f>IF(
      SUM(Audit[[#This Row],[Audit Losing Candidate]:[Audit Candidate 6]])
      &lt;&gt;0,
      (Audit[[#This Row],[Winning Candidate]]-Audit[[#This Row],[Losing Candidate]]-(Audit[[#This Row],[Audit Winning Candidate]]-Audit[[#This Row],[Audit Losing Candidate]]))/(Audit[[#Totals],[Winning Candidate]]-Audit[[#Totals],[Losing Candidate]]),
      0
)</f>
        <v>0</v>
      </c>
      <c r="AD14"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14"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14"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14"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 s="111">
        <f>IF(Audit[[#This Row],[Max Relative Error (ep)]] = 0, 0, Audit[[#This Row],[Max Relative Error (ep)]]/Audit[[#This Row],[Error Bound (up) - Max. possible relative overstatement]])</f>
        <v>0</v>
      </c>
      <c r="AJ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 s="111">
        <f t="shared" si="0"/>
        <v>0.84173354050953653</v>
      </c>
      <c r="AL14" s="111">
        <f>PRODUCT($AK$5:AK14)</f>
        <v>0.17854443908937412</v>
      </c>
      <c r="AM14" s="109">
        <f>1 - [K-M P Value]</f>
        <v>0.82145556091062588</v>
      </c>
      <c r="AN14" s="111" t="str">
        <f>IF(Audit[[#This Row],[K-M P Value]]&gt;1-'General Info'!$B$16,"Continue", "Stop")</f>
        <v>Continue</v>
      </c>
      <c r="AO14" s="110" t="b">
        <f>IF(Audit[[#This Row],[Status - Continue or stop audit]] = "Continue", TRUE, IF(AN13 = "Continue", TRUE, FALSE))</f>
        <v>1</v>
      </c>
      <c r="AP14" s="110"/>
    </row>
    <row r="15" spans="1:43">
      <c r="A15" s="111">
        <f>'Sampling Data'!W71</f>
        <v>11</v>
      </c>
      <c r="B15" s="112" t="str">
        <f>'Sampling Data'!A71</f>
        <v>BEDFORD -06-B</v>
      </c>
      <c r="C15" s="112">
        <f>'Sampling Data'!B71</f>
        <v>18</v>
      </c>
      <c r="D15" s="112">
        <f>'Sampling Data'!C71</f>
        <v>21</v>
      </c>
      <c r="E15" s="113">
        <f>'Sampling Data'!D71</f>
        <v>10</v>
      </c>
      <c r="F15" s="113">
        <f>'Sampling Data'!E71</f>
        <v>9</v>
      </c>
      <c r="G15" s="113">
        <f>'Sampling Data'!F71</f>
        <v>2</v>
      </c>
      <c r="H15" s="113">
        <f>'Sampling Data'!G71</f>
        <v>0</v>
      </c>
      <c r="I15" s="112">
        <f>'Sampling Data'!H71</f>
        <v>0</v>
      </c>
      <c r="J15" s="112">
        <f>'Sampling Data'!I71</f>
        <v>0</v>
      </c>
      <c r="K15" s="112">
        <f>'Sampling Data'!J71</f>
        <v>60</v>
      </c>
      <c r="L15" s="111">
        <f>'Sampling Data'!X71</f>
        <v>1</v>
      </c>
      <c r="M15" s="114">
        <v>18</v>
      </c>
      <c r="N15" s="114">
        <v>21</v>
      </c>
      <c r="O15" s="115">
        <v>10</v>
      </c>
      <c r="P15" s="115">
        <v>9</v>
      </c>
      <c r="Q15" s="116">
        <v>2</v>
      </c>
      <c r="R15" s="116">
        <v>0</v>
      </c>
      <c r="S15" s="111">
        <f>Audit[[#This Row],[Audit Losing Candidate]]-Audit[[#This Row],[Losing Candidate]]</f>
        <v>0</v>
      </c>
      <c r="T15" s="111">
        <f>Audit[[#This Row],[Audit Winning Candidate]]-Audit[[#This Row],[Winning Candidate]]</f>
        <v>0</v>
      </c>
      <c r="U15" s="111">
        <f>Audit[[#This Row],[Audit Candidate 3]]-Audit[[#This Row],[Candidate 3]]</f>
        <v>0</v>
      </c>
      <c r="V15" s="111">
        <f>Audit[[#This Row],[Audit Candidate 4]]-Audit[[#This Row],[Candidate 4]]</f>
        <v>0</v>
      </c>
      <c r="W15" s="111">
        <f>Audit[[#This Row],[Audit Candidate 5]]-Audit[[#This Row],[Candidate 5]]</f>
        <v>0</v>
      </c>
      <c r="X15" s="111">
        <f>Audit[[#This Row],[Audit Candidate 6]]-Audit[[#This Row],[Candidate 6]]</f>
        <v>0</v>
      </c>
      <c r="Y15" s="111">
        <f>SUMIF(Audit[[#This Row],[Difference Loser]:[Difference Candidate 6]], "&gt;0")</f>
        <v>0</v>
      </c>
      <c r="Z15" s="111">
        <f>SUM(Audit[[#This Row],[Difference Loser]:[Difference Candidate 6]])</f>
        <v>0</v>
      </c>
      <c r="AA15" s="111">
        <f>IF(Audit[[#This Row],[Times p Drawn - With Replacement]]&gt;0, IF(Audit[[#This Row],[Canceled Differences]]&lt;0, Audit[[#This Row],[Max Differences]]+ABS(Audit[[#This Row],[Canceled Differences]]), Audit[[#This Row],[Max Differences]]), 0)</f>
        <v>0</v>
      </c>
      <c r="AB15" s="111">
        <f>'Sampling Data'!P71</f>
        <v>3.8584027437530621E-3</v>
      </c>
      <c r="AC15" s="111">
        <f>IF(
      SUM(Audit[[#This Row],[Audit Losing Candidate]:[Audit Candidate 6]])
      &lt;&gt;0,
      (Audit[[#This Row],[Winning Candidate]]-Audit[[#This Row],[Losing Candidate]]-(Audit[[#This Row],[Audit Winning Candidate]]-Audit[[#This Row],[Audit Losing Candidate]]))/(Audit[[#Totals],[Winning Candidate]]-Audit[[#Totals],[Losing Candidate]]),
      0
)</f>
        <v>0</v>
      </c>
      <c r="AD15"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15"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15"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15"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 s="111">
        <f>IF(Audit[[#This Row],[Max Relative Error (ep)]] = 0, 0, Audit[[#This Row],[Max Relative Error (ep)]]/Audit[[#This Row],[Error Bound (up) - Max. possible relative overstatement]])</f>
        <v>0</v>
      </c>
      <c r="AJ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 s="111">
        <f t="shared" si="0"/>
        <v>0.84173354050953653</v>
      </c>
      <c r="AL15" s="111">
        <f>PRODUCT($AK$5:AK15)</f>
        <v>0.15028684285298816</v>
      </c>
      <c r="AM15" s="109">
        <f>1 - [K-M P Value]</f>
        <v>0.84971315714701179</v>
      </c>
      <c r="AN15" s="111" t="str">
        <f>IF(Audit[[#This Row],[K-M P Value]]&gt;1-'General Info'!$B$16,"Continue", "Stop")</f>
        <v>Continue</v>
      </c>
      <c r="AO15" s="110" t="b">
        <f>IF(Audit[[#This Row],[Status - Continue or stop audit]] = "Continue", TRUE, IF(AN14 = "Continue", TRUE, FALSE))</f>
        <v>1</v>
      </c>
      <c r="AP15" s="110"/>
    </row>
    <row r="16" spans="1:43">
      <c r="A16" s="111">
        <f>'Sampling Data'!W1927</f>
        <v>12</v>
      </c>
      <c r="B16" s="112" t="str">
        <f>'Sampling Data'!A1927</f>
        <v>SOLON -02-A</v>
      </c>
      <c r="C16" s="112">
        <f>'Sampling Data'!B1927</f>
        <v>17</v>
      </c>
      <c r="D16" s="112">
        <f>'Sampling Data'!C1927</f>
        <v>64</v>
      </c>
      <c r="E16" s="113">
        <f>'Sampling Data'!D1927</f>
        <v>10</v>
      </c>
      <c r="F16" s="113">
        <f>'Sampling Data'!E1927</f>
        <v>9</v>
      </c>
      <c r="G16" s="113">
        <f>'Sampling Data'!F1927</f>
        <v>0</v>
      </c>
      <c r="H16" s="113">
        <f>'Sampling Data'!G1927</f>
        <v>2</v>
      </c>
      <c r="I16" s="112">
        <f>'Sampling Data'!H1927</f>
        <v>0</v>
      </c>
      <c r="J16" s="112">
        <f>'Sampling Data'!I1927</f>
        <v>3</v>
      </c>
      <c r="K16" s="112">
        <f>'Sampling Data'!J1927</f>
        <v>105</v>
      </c>
      <c r="L16" s="111">
        <f>'Sampling Data'!X1927</f>
        <v>1</v>
      </c>
      <c r="M16" s="114">
        <v>17</v>
      </c>
      <c r="N16" s="114">
        <v>64</v>
      </c>
      <c r="O16" s="115">
        <v>10</v>
      </c>
      <c r="P16" s="115">
        <v>9</v>
      </c>
      <c r="Q16" s="116">
        <v>0</v>
      </c>
      <c r="R16" s="116">
        <v>2</v>
      </c>
      <c r="S16" s="111">
        <f>Audit[[#This Row],[Audit Losing Candidate]]-Audit[[#This Row],[Losing Candidate]]</f>
        <v>0</v>
      </c>
      <c r="T16" s="111">
        <f>Audit[[#This Row],[Audit Winning Candidate]]-Audit[[#This Row],[Winning Candidate]]</f>
        <v>0</v>
      </c>
      <c r="U16" s="111">
        <f>Audit[[#This Row],[Audit Candidate 3]]-Audit[[#This Row],[Candidate 3]]</f>
        <v>0</v>
      </c>
      <c r="V16" s="111">
        <f>Audit[[#This Row],[Audit Candidate 4]]-Audit[[#This Row],[Candidate 4]]</f>
        <v>0</v>
      </c>
      <c r="W16" s="111">
        <f>Audit[[#This Row],[Audit Candidate 5]]-Audit[[#This Row],[Candidate 5]]</f>
        <v>0</v>
      </c>
      <c r="X16" s="111">
        <f>Audit[[#This Row],[Audit Candidate 6]]-Audit[[#This Row],[Candidate 6]]</f>
        <v>0</v>
      </c>
      <c r="Y16" s="111">
        <f>SUMIF(Audit[[#This Row],[Difference Loser]:[Difference Candidate 6]], "&gt;0")</f>
        <v>0</v>
      </c>
      <c r="Z16" s="111">
        <f>SUM(Audit[[#This Row],[Difference Loser]:[Difference Candidate 6]])</f>
        <v>0</v>
      </c>
      <c r="AA16" s="111">
        <f>IF(Audit[[#This Row],[Times p Drawn - With Replacement]]&gt;0, IF(Audit[[#This Row],[Canceled Differences]]&lt;0, Audit[[#This Row],[Max Differences]]+ABS(Audit[[#This Row],[Canceled Differences]]), Audit[[#This Row],[Max Differences]]), 0)</f>
        <v>0</v>
      </c>
      <c r="AB16" s="111">
        <f>'Sampling Data'!P1927</f>
        <v>9.309162175404213E-3</v>
      </c>
      <c r="AC16" s="111">
        <f>IF(
      SUM(Audit[[#This Row],[Audit Losing Candidate]:[Audit Candidate 6]])
      &lt;&gt;0,
      (Audit[[#This Row],[Winning Candidate]]-Audit[[#This Row],[Losing Candidate]]-(Audit[[#This Row],[Audit Winning Candidate]]-Audit[[#This Row],[Audit Losing Candidate]]))/(Audit[[#Totals],[Winning Candidate]]-Audit[[#Totals],[Losing Candidate]]),
      0
)</f>
        <v>0</v>
      </c>
      <c r="AD16"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16"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16"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16"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 s="111">
        <f>IF(Audit[[#This Row],[Max Relative Error (ep)]] = 0, 0, Audit[[#This Row],[Max Relative Error (ep)]]/Audit[[#This Row],[Error Bound (up) - Max. possible relative overstatement]])</f>
        <v>0</v>
      </c>
      <c r="AJ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 s="111">
        <f t="shared" si="0"/>
        <v>0.84173354050953653</v>
      </c>
      <c r="AL16" s="111">
        <f>PRODUCT($AK$5:AK16)</f>
        <v>0.12650147632664605</v>
      </c>
      <c r="AM16" s="109">
        <f>1 - [K-M P Value]</f>
        <v>0.8734985236733539</v>
      </c>
      <c r="AN16" s="111" t="str">
        <f>IF(Audit[[#This Row],[K-M P Value]]&gt;1-'General Info'!$B$16,"Continue", "Stop")</f>
        <v>Continue</v>
      </c>
      <c r="AO16" s="110" t="b">
        <f>IF(Audit[[#This Row],[Status - Continue or stop audit]] = "Continue", TRUE, IF(AN15 = "Continue", TRUE, FALSE))</f>
        <v>1</v>
      </c>
      <c r="AP16" s="110"/>
    </row>
    <row r="17" spans="1:42">
      <c r="A17" s="111">
        <f>'Sampling Data'!W1265</f>
        <v>13</v>
      </c>
      <c r="B17" s="112" t="str">
        <f>'Sampling Data'!A1265</f>
        <v>INDEPENDENCE -00-E</v>
      </c>
      <c r="C17" s="112">
        <f>'Sampling Data'!B1265</f>
        <v>35</v>
      </c>
      <c r="D17" s="112">
        <f>'Sampling Data'!C1265</f>
        <v>87</v>
      </c>
      <c r="E17" s="113">
        <f>'Sampling Data'!D1265</f>
        <v>17</v>
      </c>
      <c r="F17" s="113">
        <f>'Sampling Data'!E1265</f>
        <v>17</v>
      </c>
      <c r="G17" s="113">
        <f>'Sampling Data'!F1265</f>
        <v>3</v>
      </c>
      <c r="H17" s="113">
        <f>'Sampling Data'!G1265</f>
        <v>0</v>
      </c>
      <c r="I17" s="112">
        <f>'Sampling Data'!H1265</f>
        <v>0</v>
      </c>
      <c r="J17" s="112">
        <f>'Sampling Data'!I1265</f>
        <v>1</v>
      </c>
      <c r="K17" s="112">
        <f>'Sampling Data'!J1265</f>
        <v>160</v>
      </c>
      <c r="L17" s="111">
        <f>'Sampling Data'!X1265</f>
        <v>1</v>
      </c>
      <c r="M17" s="114">
        <v>35</v>
      </c>
      <c r="N17" s="114">
        <v>87</v>
      </c>
      <c r="O17" s="115">
        <v>17</v>
      </c>
      <c r="P17" s="115">
        <v>17</v>
      </c>
      <c r="Q17" s="116">
        <v>3</v>
      </c>
      <c r="R17" s="116">
        <v>0</v>
      </c>
      <c r="S17" s="111">
        <f>Audit[[#This Row],[Audit Losing Candidate]]-Audit[[#This Row],[Losing Candidate]]</f>
        <v>0</v>
      </c>
      <c r="T17" s="111">
        <f>Audit[[#This Row],[Audit Winning Candidate]]-Audit[[#This Row],[Winning Candidate]]</f>
        <v>0</v>
      </c>
      <c r="U17" s="111">
        <f>Audit[[#This Row],[Audit Candidate 3]]-Audit[[#This Row],[Candidate 3]]</f>
        <v>0</v>
      </c>
      <c r="V17" s="111">
        <f>Audit[[#This Row],[Audit Candidate 4]]-Audit[[#This Row],[Candidate 4]]</f>
        <v>0</v>
      </c>
      <c r="W17" s="111">
        <f>Audit[[#This Row],[Audit Candidate 5]]-Audit[[#This Row],[Candidate 5]]</f>
        <v>0</v>
      </c>
      <c r="X17" s="111">
        <f>Audit[[#This Row],[Audit Candidate 6]]-Audit[[#This Row],[Candidate 6]]</f>
        <v>0</v>
      </c>
      <c r="Y17" s="111">
        <f>SUMIF(Audit[[#This Row],[Difference Loser]:[Difference Candidate 6]], "&gt;0")</f>
        <v>0</v>
      </c>
      <c r="Z17" s="111">
        <f>SUM(Audit[[#This Row],[Difference Loser]:[Difference Candidate 6]])</f>
        <v>0</v>
      </c>
      <c r="AA17" s="111">
        <f>IF(Audit[[#This Row],[Times p Drawn - With Replacement]]&gt;0, IF(Audit[[#This Row],[Canceled Differences]]&lt;0, Audit[[#This Row],[Max Differences]]+ABS(Audit[[#This Row],[Canceled Differences]]), Audit[[#This Row],[Max Differences]]), 0)</f>
        <v>0</v>
      </c>
      <c r="AB17" s="111">
        <f>'Sampling Data'!P1265</f>
        <v>1.2983831455169036E-2</v>
      </c>
      <c r="AC17" s="111">
        <f>IF(
      SUM(Audit[[#This Row],[Audit Losing Candidate]:[Audit Candidate 6]])
      &lt;&gt;0,
      (Audit[[#This Row],[Winning Candidate]]-Audit[[#This Row],[Losing Candidate]]-(Audit[[#This Row],[Audit Winning Candidate]]-Audit[[#This Row],[Audit Losing Candidate]]))/(Audit[[#Totals],[Winning Candidate]]-Audit[[#Totals],[Losing Candidate]]),
      0
)</f>
        <v>0</v>
      </c>
      <c r="AD17" s="111">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17" s="111">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17" s="111">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17" s="111">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 s="111">
        <f>IF(Audit[[#This Row],[Max Relative Error (ep)]] = 0, 0, Audit[[#This Row],[Max Relative Error (ep)]]/Audit[[#This Row],[Error Bound (up) - Max. possible relative overstatement]])</f>
        <v>0</v>
      </c>
      <c r="AJ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 s="111">
        <f t="shared" si="0"/>
        <v>0.84173354050953653</v>
      </c>
      <c r="AL17" s="111">
        <f>PRODUCT($AK$5:AK17)</f>
        <v>0.1064805355481111</v>
      </c>
      <c r="AM17" s="109">
        <f>1 - [K-M P Value]</f>
        <v>0.8935194644518889</v>
      </c>
      <c r="AN17" s="111" t="str">
        <f>IF(Audit[[#This Row],[K-M P Value]]&gt;1-'General Info'!$B$16,"Continue", "Stop")</f>
        <v>Continue</v>
      </c>
      <c r="AO17" s="110" t="b">
        <f>IF(Audit[[#This Row],[Status - Continue or stop audit]] = "Continue", TRUE, IF(AN16 = "Continue", TRUE, FALSE))</f>
        <v>1</v>
      </c>
      <c r="AP17" s="110"/>
    </row>
    <row r="18" spans="1:42" ht="15.75" thickBot="1">
      <c r="A18" s="26">
        <f>'Sampling Data'!W23</f>
        <v>14</v>
      </c>
      <c r="B18" s="28" t="str">
        <f>'Sampling Data'!A23</f>
        <v>BAY VILLAGE -04-A</v>
      </c>
      <c r="C18" s="28">
        <f>'Sampling Data'!B23</f>
        <v>53</v>
      </c>
      <c r="D18" s="28">
        <f>'Sampling Data'!C23</f>
        <v>125</v>
      </c>
      <c r="E18" s="27">
        <f>'Sampling Data'!D23</f>
        <v>20</v>
      </c>
      <c r="F18" s="27">
        <f>'Sampling Data'!E23</f>
        <v>13</v>
      </c>
      <c r="G18" s="27">
        <f>'Sampling Data'!F23</f>
        <v>0</v>
      </c>
      <c r="H18" s="27">
        <f>'Sampling Data'!G23</f>
        <v>0</v>
      </c>
      <c r="I18" s="28">
        <f>'Sampling Data'!H23</f>
        <v>1</v>
      </c>
      <c r="J18" s="28">
        <f>'Sampling Data'!I23</f>
        <v>1</v>
      </c>
      <c r="K18" s="28">
        <f>'Sampling Data'!J23</f>
        <v>213</v>
      </c>
      <c r="L18" s="26">
        <f>'Sampling Data'!X23</f>
        <v>1</v>
      </c>
      <c r="M18" s="38">
        <v>53</v>
      </c>
      <c r="N18" s="38">
        <v>125</v>
      </c>
      <c r="O18" s="39">
        <v>20</v>
      </c>
      <c r="P18" s="39">
        <v>13</v>
      </c>
      <c r="Q18" s="40">
        <v>0</v>
      </c>
      <c r="R18" s="40">
        <v>0</v>
      </c>
      <c r="S18" s="26">
        <f>Audit[[#This Row],[Audit Losing Candidate]]-Audit[[#This Row],[Losing Candidate]]</f>
        <v>0</v>
      </c>
      <c r="T18" s="26">
        <f>Audit[[#This Row],[Audit Winning Candidate]]-Audit[[#This Row],[Winning Candidate]]</f>
        <v>0</v>
      </c>
      <c r="U18" s="26">
        <f>Audit[[#This Row],[Audit Candidate 3]]-Audit[[#This Row],[Candidate 3]]</f>
        <v>0</v>
      </c>
      <c r="V18" s="26">
        <f>Audit[[#This Row],[Audit Candidate 4]]-Audit[[#This Row],[Candidate 4]]</f>
        <v>0</v>
      </c>
      <c r="W18" s="26">
        <f>Audit[[#This Row],[Audit Candidate 5]]-Audit[[#This Row],[Candidate 5]]</f>
        <v>0</v>
      </c>
      <c r="X18" s="26">
        <f>Audit[[#This Row],[Audit Candidate 6]]-Audit[[#This Row],[Candidate 6]]</f>
        <v>0</v>
      </c>
      <c r="Y18" s="26">
        <f>SUMIF(Audit[[#This Row],[Difference Loser]:[Difference Candidate 6]], "&gt;0")</f>
        <v>0</v>
      </c>
      <c r="Z18" s="26">
        <f>SUM(Audit[[#This Row],[Difference Loser]:[Difference Candidate 6]])</f>
        <v>0</v>
      </c>
      <c r="AA18" s="26">
        <f>IF(Audit[[#This Row],[Times p Drawn - With Replacement]]&gt;0, IF(Audit[[#This Row],[Canceled Differences]]&lt;0, Audit[[#This Row],[Max Differences]]+ABS(Audit[[#This Row],[Canceled Differences]]), Audit[[#This Row],[Max Differences]]), 0)</f>
        <v>0</v>
      </c>
      <c r="AB18" s="26">
        <f>'Sampling Data'!P23</f>
        <v>1.7454679078882901E-2</v>
      </c>
      <c r="AC18" s="26">
        <f>IF(
      SUM(Audit[[#This Row],[Audit Losing Candidate]:[Audit Candidate 6]])
      &lt;&gt;0,
      (Audit[[#This Row],[Winning Candidate]]-Audit[[#This Row],[Losing Candidate]]-(Audit[[#This Row],[Audit Winning Candidate]]-Audit[[#This Row],[Audit Losing Candidate]]))/(Audit[[#Totals],[Winning Candidate]]-Audit[[#Totals],[Losing Candidate]]),
      0
)</f>
        <v>0</v>
      </c>
      <c r="AD18" s="26">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0</v>
      </c>
      <c r="AE18" s="26">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0</v>
      </c>
      <c r="AF18" s="26">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0</v>
      </c>
      <c r="AG18" s="26">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0</v>
      </c>
      <c r="AH18"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 s="26">
        <f>IF(Audit[[#This Row],[Max Relative Error (ep)]] = 0, 0, Audit[[#This Row],[Max Relative Error (ep)]]/Audit[[#This Row],[Error Bound (up) - Max. possible relative overstatement]])</f>
        <v>0</v>
      </c>
      <c r="AJ18"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 s="26">
        <f t="shared" si="0"/>
        <v>0.84173354050953653</v>
      </c>
      <c r="AL18" s="26">
        <f>PRODUCT($AK$5:AK18)</f>
        <v>8.962823818226312E-2</v>
      </c>
      <c r="AM18" s="29">
        <f>1 - [K-M P Value]</f>
        <v>0.91037176181773694</v>
      </c>
      <c r="AN18" s="26" t="str">
        <f>IF(Audit[[#This Row],[K-M P Value]]&gt;1-'General Info'!$B$16,"Continue", "Stop")</f>
        <v>Stop</v>
      </c>
      <c r="AO18" s="32" t="b">
        <f>IF(Audit[[#This Row],[Status - Continue or stop audit]] = "Continue", TRUE, IF(AN17 = "Continue", TRUE, FALSE))</f>
        <v>1</v>
      </c>
      <c r="AP18" s="32"/>
    </row>
    <row r="19" spans="1:42" hidden="1">
      <c r="A19" s="26" t="str">
        <f>'Sampling Data'!W5</f>
        <v/>
      </c>
      <c r="B19" s="26" t="str">
        <f>'Sampling Data'!A5</f>
        <v>BAY VILLAGE -01-A</v>
      </c>
      <c r="C19" s="27">
        <f>'Sampling Data'!B5</f>
        <v>21</v>
      </c>
      <c r="D19" s="27">
        <f>'Sampling Data'!C5</f>
        <v>64</v>
      </c>
      <c r="E19" s="27">
        <f>'Sampling Data'!D5</f>
        <v>17</v>
      </c>
      <c r="F19" s="27">
        <f>'Sampling Data'!E5</f>
        <v>9</v>
      </c>
      <c r="G19" s="27">
        <f>'Sampling Data'!F5</f>
        <v>0</v>
      </c>
      <c r="H19" s="27">
        <f>'Sampling Data'!G5</f>
        <v>0</v>
      </c>
      <c r="I19" s="27">
        <f>'Sampling Data'!H5</f>
        <v>0</v>
      </c>
      <c r="J19" s="27">
        <f>'Sampling Data'!I5</f>
        <v>0</v>
      </c>
      <c r="K19" s="27">
        <f>'Sampling Data'!J5</f>
        <v>111</v>
      </c>
      <c r="L19" s="26">
        <f>'Sampling Data'!X5</f>
        <v>0</v>
      </c>
      <c r="M19" s="16"/>
      <c r="N19" s="16"/>
      <c r="O19" s="16"/>
      <c r="P19" s="16"/>
      <c r="Q19" s="37"/>
      <c r="R19" s="37"/>
      <c r="S19" s="26">
        <f>Audit[[#This Row],[Audit Losing Candidate]]-Audit[[#This Row],[Losing Candidate]]</f>
        <v>-21</v>
      </c>
      <c r="T19" s="26">
        <f>Audit[[#This Row],[Audit Winning Candidate]]-Audit[[#This Row],[Winning Candidate]]</f>
        <v>-64</v>
      </c>
      <c r="U19" s="26">
        <f>Audit[[#This Row],[Audit Candidate 3]]-Audit[[#This Row],[Candidate 3]]</f>
        <v>-17</v>
      </c>
      <c r="V19" s="26">
        <f>Audit[[#This Row],[Audit Candidate 4]]-Audit[[#This Row],[Candidate 4]]</f>
        <v>-9</v>
      </c>
      <c r="W19" s="26">
        <f>Audit[[#This Row],[Audit Candidate 5]]-Audit[[#This Row],[Candidate 5]]</f>
        <v>0</v>
      </c>
      <c r="X19" s="26">
        <f>Audit[[#This Row],[Audit Candidate 6]]-Audit[[#This Row],[Candidate 6]]</f>
        <v>0</v>
      </c>
      <c r="Y19" s="26">
        <f>SUMIF(Audit[[#This Row],[Difference Loser]:[Difference Candidate 6]], "&gt;0")</f>
        <v>0</v>
      </c>
      <c r="Z19" s="26">
        <f>SUM(Audit[[#This Row],[Difference Loser]:[Difference Candidate 6]])</f>
        <v>-111</v>
      </c>
      <c r="AA19" s="26">
        <f>IF(Audit[[#This Row],[Times p Drawn - With Replacement]]&gt;0, IF(Audit[[#This Row],[Canceled Differences]]&lt;0, Audit[[#This Row],[Max Differences]]+ABS(Audit[[#This Row],[Canceled Differences]]), Audit[[#This Row],[Max Differences]]), 0)</f>
        <v>0</v>
      </c>
      <c r="AB19" s="26">
        <f>'Sampling Data'!P5</f>
        <v>9.4316511513963738E-3</v>
      </c>
      <c r="AC19" s="26">
        <f>IF(
      SUM(Audit[[#This Row],[Audit Losing Candidate]:[Audit Candidate 6]])
      &lt;&gt;0,
      (Audit[[#This Row],[Winning Candidate]]-Audit[[#This Row],[Losing Candidate]]-(Audit[[#This Row],[Audit Winning Candidate]]-Audit[[#This Row],[Audit Losing Candidate]]))/(Audit[[#Totals],[Winning Candidate]]-Audit[[#Totals],[Losing Candidate]]),
      0
)</f>
        <v>0</v>
      </c>
      <c r="AD19"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 s="26">
        <f>IF(Audit[[#This Row],[Max Relative Error (ep)]] = 0, 0, Audit[[#This Row],[Max Relative Error (ep)]]/Audit[[#This Row],[Error Bound (up) - Max. possible relative overstatement]])</f>
        <v>0</v>
      </c>
      <c r="AJ19"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 s="26">
        <f t="shared" si="0"/>
        <v>1</v>
      </c>
      <c r="AL19" s="26">
        <f>PRODUCT($AK$5:AK19)</f>
        <v>8.962823818226312E-2</v>
      </c>
      <c r="AM19" s="29">
        <f>1 - [K-M P Value]</f>
        <v>0.91037176181773694</v>
      </c>
      <c r="AN19" s="26" t="str">
        <f>IF(Audit[[#This Row],[K-M P Value]]&gt;1-'General Info'!$B$16,"Continue", "Stop")</f>
        <v>Stop</v>
      </c>
      <c r="AO19" s="32" t="b">
        <f>IF(Audit[[#This Row],[Status - Continue or stop audit]] = "Continue", TRUE, IF(AN18 = "Continue", TRUE, FALSE))</f>
        <v>0</v>
      </c>
      <c r="AP19" s="32"/>
    </row>
    <row r="20" spans="1:42" hidden="1">
      <c r="A20" s="26" t="str">
        <f>'Sampling Data'!W6</f>
        <v/>
      </c>
      <c r="B20" s="26" t="str">
        <f>'Sampling Data'!A6</f>
        <v>BAY VILLAGE -01-A - ABS</v>
      </c>
      <c r="C20" s="27">
        <f>'Sampling Data'!B6</f>
        <v>9</v>
      </c>
      <c r="D20" s="27">
        <f>'Sampling Data'!C6</f>
        <v>27</v>
      </c>
      <c r="E20" s="27">
        <f>'Sampling Data'!D6</f>
        <v>10</v>
      </c>
      <c r="F20" s="27">
        <f>'Sampling Data'!E6</f>
        <v>7</v>
      </c>
      <c r="G20" s="27">
        <f>'Sampling Data'!F6</f>
        <v>0</v>
      </c>
      <c r="H20" s="27">
        <f>'Sampling Data'!G6</f>
        <v>0</v>
      </c>
      <c r="I20" s="27">
        <f>'Sampling Data'!H6</f>
        <v>1</v>
      </c>
      <c r="J20" s="27">
        <f>'Sampling Data'!I6</f>
        <v>0</v>
      </c>
      <c r="K20" s="27">
        <f>'Sampling Data'!J6</f>
        <v>54</v>
      </c>
      <c r="L20" s="26">
        <f>'Sampling Data'!X6</f>
        <v>0</v>
      </c>
      <c r="M20" s="16"/>
      <c r="N20" s="16"/>
      <c r="O20" s="16"/>
      <c r="P20" s="16"/>
      <c r="Q20" s="37"/>
      <c r="R20" s="37"/>
      <c r="S20" s="26">
        <f>Audit[[#This Row],[Audit Losing Candidate]]-Audit[[#This Row],[Losing Candidate]]</f>
        <v>-9</v>
      </c>
      <c r="T20" s="26">
        <f>Audit[[#This Row],[Audit Winning Candidate]]-Audit[[#This Row],[Winning Candidate]]</f>
        <v>-27</v>
      </c>
      <c r="U20" s="26">
        <f>Audit[[#This Row],[Audit Candidate 3]]-Audit[[#This Row],[Candidate 3]]</f>
        <v>-10</v>
      </c>
      <c r="V20" s="26">
        <f>Audit[[#This Row],[Audit Candidate 4]]-Audit[[#This Row],[Candidate 4]]</f>
        <v>-7</v>
      </c>
      <c r="W20" s="26">
        <f>Audit[[#This Row],[Audit Candidate 5]]-Audit[[#This Row],[Candidate 5]]</f>
        <v>0</v>
      </c>
      <c r="X20" s="26">
        <f>Audit[[#This Row],[Audit Candidate 6]]-Audit[[#This Row],[Candidate 6]]</f>
        <v>0</v>
      </c>
      <c r="Y20" s="26">
        <f>SUMIF(Audit[[#This Row],[Difference Loser]:[Difference Candidate 6]], "&gt;0")</f>
        <v>0</v>
      </c>
      <c r="Z20" s="26">
        <f>SUM(Audit[[#This Row],[Difference Loser]:[Difference Candidate 6]])</f>
        <v>-53</v>
      </c>
      <c r="AA20" s="26">
        <f>IF(Audit[[#This Row],[Times p Drawn - With Replacement]]&gt;0, IF(Audit[[#This Row],[Canceled Differences]]&lt;0, Audit[[#This Row],[Max Differences]]+ABS(Audit[[#This Row],[Canceled Differences]]), Audit[[#This Row],[Max Differences]]), 0)</f>
        <v>0</v>
      </c>
      <c r="AB20" s="26">
        <f>'Sampling Data'!P6</f>
        <v>4.4096031357177858E-3</v>
      </c>
      <c r="AC20" s="26">
        <f>IF(
      SUM(Audit[[#This Row],[Audit Losing Candidate]:[Audit Candidate 6]])
      &lt;&gt;0,
      (Audit[[#This Row],[Winning Candidate]]-Audit[[#This Row],[Losing Candidate]]-(Audit[[#This Row],[Audit Winning Candidate]]-Audit[[#This Row],[Audit Losing Candidate]]))/(Audit[[#Totals],[Winning Candidate]]-Audit[[#Totals],[Losing Candidate]]),
      0
)</f>
        <v>0</v>
      </c>
      <c r="AD20"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 s="26">
        <f>IF(Audit[[#This Row],[Max Relative Error (ep)]] = 0, 0, Audit[[#This Row],[Max Relative Error (ep)]]/Audit[[#This Row],[Error Bound (up) - Max. possible relative overstatement]])</f>
        <v>0</v>
      </c>
      <c r="AJ20"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 s="26">
        <f t="shared" si="0"/>
        <v>1</v>
      </c>
      <c r="AL20" s="26">
        <f>PRODUCT($AK$5:AK20)</f>
        <v>8.962823818226312E-2</v>
      </c>
      <c r="AM20" s="29">
        <f>1 - [K-M P Value]</f>
        <v>0.91037176181773694</v>
      </c>
      <c r="AN20" s="26" t="str">
        <f>IF(Audit[[#This Row],[K-M P Value]]&gt;1-'General Info'!$B$16,"Continue", "Stop")</f>
        <v>Stop</v>
      </c>
      <c r="AO20" s="32" t="b">
        <f>IF(Audit[[#This Row],[Status - Continue or stop audit]] = "Continue", TRUE, IF(AN19 = "Continue", TRUE, FALSE))</f>
        <v>0</v>
      </c>
      <c r="AP20" s="32"/>
    </row>
    <row r="21" spans="1:42" ht="15" hidden="1" customHeight="1">
      <c r="A21" s="26" t="str">
        <f>'Sampling Data'!W7</f>
        <v/>
      </c>
      <c r="B21" s="26" t="str">
        <f>'Sampling Data'!A7</f>
        <v>BAY VILLAGE -01-B</v>
      </c>
      <c r="C21" s="27">
        <f>'Sampling Data'!B7</f>
        <v>40</v>
      </c>
      <c r="D21" s="27">
        <f>'Sampling Data'!C7</f>
        <v>46</v>
      </c>
      <c r="E21" s="27">
        <f>'Sampling Data'!D7</f>
        <v>9</v>
      </c>
      <c r="F21" s="27">
        <f>'Sampling Data'!E7</f>
        <v>9</v>
      </c>
      <c r="G21" s="27">
        <f>'Sampling Data'!F7</f>
        <v>1</v>
      </c>
      <c r="H21" s="27">
        <f>'Sampling Data'!G7</f>
        <v>0</v>
      </c>
      <c r="I21" s="27">
        <f>'Sampling Data'!H7</f>
        <v>1</v>
      </c>
      <c r="J21" s="27">
        <f>'Sampling Data'!I7</f>
        <v>1</v>
      </c>
      <c r="K21" s="27">
        <f>'Sampling Data'!J7</f>
        <v>107</v>
      </c>
      <c r="L21" s="26">
        <f>'Sampling Data'!X7</f>
        <v>0</v>
      </c>
      <c r="M21" s="16"/>
      <c r="N21" s="16"/>
      <c r="O21" s="16"/>
      <c r="P21" s="16"/>
      <c r="Q21" s="37"/>
      <c r="R21" s="37"/>
      <c r="S21" s="26">
        <f>Audit[[#This Row],[Audit Losing Candidate]]-Audit[[#This Row],[Losing Candidate]]</f>
        <v>-40</v>
      </c>
      <c r="T21" s="26">
        <f>Audit[[#This Row],[Audit Winning Candidate]]-Audit[[#This Row],[Winning Candidate]]</f>
        <v>-46</v>
      </c>
      <c r="U21" s="26">
        <f>Audit[[#This Row],[Audit Candidate 3]]-Audit[[#This Row],[Candidate 3]]</f>
        <v>-9</v>
      </c>
      <c r="V21" s="26">
        <f>Audit[[#This Row],[Audit Candidate 4]]-Audit[[#This Row],[Candidate 4]]</f>
        <v>-9</v>
      </c>
      <c r="W21" s="26">
        <f>Audit[[#This Row],[Audit Candidate 5]]-Audit[[#This Row],[Candidate 5]]</f>
        <v>-1</v>
      </c>
      <c r="X21" s="26">
        <f>Audit[[#This Row],[Audit Candidate 6]]-Audit[[#This Row],[Candidate 6]]</f>
        <v>0</v>
      </c>
      <c r="Y21" s="26">
        <f>SUMIF(Audit[[#This Row],[Difference Loser]:[Difference Candidate 6]], "&gt;0")</f>
        <v>0</v>
      </c>
      <c r="Z21" s="26">
        <f>SUM(Audit[[#This Row],[Difference Loser]:[Difference Candidate 6]])</f>
        <v>-105</v>
      </c>
      <c r="AA21" s="26">
        <f>IF(Audit[[#This Row],[Times p Drawn - With Replacement]]&gt;0, IF(Audit[[#This Row],[Canceled Differences]]&lt;0, Audit[[#This Row],[Max Differences]]+ABS(Audit[[#This Row],[Canceled Differences]]), Audit[[#This Row],[Max Differences]]), 0)</f>
        <v>0</v>
      </c>
      <c r="AB21" s="26">
        <f>'Sampling Data'!P7</f>
        <v>6.9206271435570798E-3</v>
      </c>
      <c r="AC21" s="26">
        <f>IF(
      SUM(Audit[[#This Row],[Audit Losing Candidate]:[Audit Candidate 6]])
      &lt;&gt;0,
      (Audit[[#This Row],[Winning Candidate]]-Audit[[#This Row],[Losing Candidate]]-(Audit[[#This Row],[Audit Winning Candidate]]-Audit[[#This Row],[Audit Losing Candidate]]))/(Audit[[#Totals],[Winning Candidate]]-Audit[[#Totals],[Losing Candidate]]),
      0
)</f>
        <v>0</v>
      </c>
      <c r="AD21"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 s="26">
        <f>IF(Audit[[#This Row],[Max Relative Error (ep)]] = 0, 0, Audit[[#This Row],[Max Relative Error (ep)]]/Audit[[#This Row],[Error Bound (up) - Max. possible relative overstatement]])</f>
        <v>0</v>
      </c>
      <c r="AJ21"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 s="26">
        <f t="shared" si="0"/>
        <v>1</v>
      </c>
      <c r="AL21" s="26">
        <f>PRODUCT($AK$5:AK21)</f>
        <v>8.962823818226312E-2</v>
      </c>
      <c r="AM21" s="29">
        <f>1 - [K-M P Value]</f>
        <v>0.91037176181773694</v>
      </c>
      <c r="AN21" s="26" t="str">
        <f>IF(Audit[[#This Row],[K-M P Value]]&gt;1-'General Info'!$B$16,"Continue", "Stop")</f>
        <v>Stop</v>
      </c>
      <c r="AO21" s="32" t="b">
        <f>IF(Audit[[#This Row],[Status - Continue or stop audit]] = "Continue", TRUE, IF(AN20 = "Continue", TRUE, FALSE))</f>
        <v>0</v>
      </c>
      <c r="AP21" s="32"/>
    </row>
    <row r="22" spans="1:42" ht="15" hidden="1" customHeight="1">
      <c r="A22" s="26" t="str">
        <f>'Sampling Data'!W8</f>
        <v/>
      </c>
      <c r="B22" s="26" t="str">
        <f>'Sampling Data'!A8</f>
        <v>BAY VILLAGE -01-B - ABS</v>
      </c>
      <c r="C22" s="27">
        <f>'Sampling Data'!B8</f>
        <v>9</v>
      </c>
      <c r="D22" s="27">
        <f>'Sampling Data'!C8</f>
        <v>10</v>
      </c>
      <c r="E22" s="27">
        <f>'Sampling Data'!D8</f>
        <v>6</v>
      </c>
      <c r="F22" s="27">
        <f>'Sampling Data'!E8</f>
        <v>0</v>
      </c>
      <c r="G22" s="27">
        <f>'Sampling Data'!F8</f>
        <v>0</v>
      </c>
      <c r="H22" s="27">
        <f>'Sampling Data'!G8</f>
        <v>1</v>
      </c>
      <c r="I22" s="27">
        <f>'Sampling Data'!H8</f>
        <v>0</v>
      </c>
      <c r="J22" s="27">
        <f>'Sampling Data'!I8</f>
        <v>0</v>
      </c>
      <c r="K22" s="27">
        <f>'Sampling Data'!J8</f>
        <v>26</v>
      </c>
      <c r="L22" s="26">
        <f>'Sampling Data'!X8</f>
        <v>0</v>
      </c>
      <c r="M22" s="16"/>
      <c r="N22" s="16"/>
      <c r="O22" s="16"/>
      <c r="P22" s="16"/>
      <c r="Q22" s="37"/>
      <c r="R22" s="37"/>
      <c r="S22" s="26">
        <f>Audit[[#This Row],[Audit Losing Candidate]]-Audit[[#This Row],[Losing Candidate]]</f>
        <v>-9</v>
      </c>
      <c r="T22" s="26">
        <f>Audit[[#This Row],[Audit Winning Candidate]]-Audit[[#This Row],[Winning Candidate]]</f>
        <v>-10</v>
      </c>
      <c r="U22" s="26">
        <f>Audit[[#This Row],[Audit Candidate 3]]-Audit[[#This Row],[Candidate 3]]</f>
        <v>-6</v>
      </c>
      <c r="V22" s="26">
        <f>Audit[[#This Row],[Audit Candidate 4]]-Audit[[#This Row],[Candidate 4]]</f>
        <v>0</v>
      </c>
      <c r="W22" s="26">
        <f>Audit[[#This Row],[Audit Candidate 5]]-Audit[[#This Row],[Candidate 5]]</f>
        <v>0</v>
      </c>
      <c r="X22" s="26">
        <f>Audit[[#This Row],[Audit Candidate 6]]-Audit[[#This Row],[Candidate 6]]</f>
        <v>-1</v>
      </c>
      <c r="Y22" s="26">
        <f>SUMIF(Audit[[#This Row],[Difference Loser]:[Difference Candidate 6]], "&gt;0")</f>
        <v>0</v>
      </c>
      <c r="Z22" s="26">
        <f>SUM(Audit[[#This Row],[Difference Loser]:[Difference Candidate 6]])</f>
        <v>-26</v>
      </c>
      <c r="AA22" s="26">
        <f>IF(Audit[[#This Row],[Times p Drawn - With Replacement]]&gt;0, IF(Audit[[#This Row],[Canceled Differences]]&lt;0, Audit[[#This Row],[Max Differences]]+ABS(Audit[[#This Row],[Canceled Differences]]), Audit[[#This Row],[Max Differences]]), 0)</f>
        <v>0</v>
      </c>
      <c r="AB22" s="26">
        <f>'Sampling Data'!P8</f>
        <v>1.6536011758941694E-3</v>
      </c>
      <c r="AC22" s="26">
        <f>IF(
      SUM(Audit[[#This Row],[Audit Losing Candidate]:[Audit Candidate 6]])
      &lt;&gt;0,
      (Audit[[#This Row],[Winning Candidate]]-Audit[[#This Row],[Losing Candidate]]-(Audit[[#This Row],[Audit Winning Candidate]]-Audit[[#This Row],[Audit Losing Candidate]]))/(Audit[[#Totals],[Winning Candidate]]-Audit[[#Totals],[Losing Candidate]]),
      0
)</f>
        <v>0</v>
      </c>
      <c r="AD22"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 s="26">
        <f>IF(Audit[[#This Row],[Max Relative Error (ep)]] = 0, 0, Audit[[#This Row],[Max Relative Error (ep)]]/Audit[[#This Row],[Error Bound (up) - Max. possible relative overstatement]])</f>
        <v>0</v>
      </c>
      <c r="AJ22"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2" s="26">
        <f t="shared" si="0"/>
        <v>1</v>
      </c>
      <c r="AL22" s="26">
        <f>PRODUCT($AK$5:AK22)</f>
        <v>8.962823818226312E-2</v>
      </c>
      <c r="AM22" s="29">
        <f>1 - [K-M P Value]</f>
        <v>0.91037176181773694</v>
      </c>
      <c r="AN22" s="26" t="str">
        <f>IF(Audit[[#This Row],[K-M P Value]]&gt;1-'General Info'!$B$16,"Continue", "Stop")</f>
        <v>Stop</v>
      </c>
      <c r="AO22" s="32" t="b">
        <f>IF(Audit[[#This Row],[Status - Continue or stop audit]] = "Continue", TRUE, IF(AN21 = "Continue", TRUE, FALSE))</f>
        <v>0</v>
      </c>
      <c r="AP22" s="32"/>
    </row>
    <row r="23" spans="1:42" ht="15" hidden="1" customHeight="1">
      <c r="A23" s="26" t="str">
        <f>'Sampling Data'!W9</f>
        <v/>
      </c>
      <c r="B23" s="26" t="str">
        <f>'Sampling Data'!A9</f>
        <v>BAY VILLAGE -01-C</v>
      </c>
      <c r="C23" s="27">
        <f>'Sampling Data'!B9</f>
        <v>47</v>
      </c>
      <c r="D23" s="27">
        <f>'Sampling Data'!C9</f>
        <v>74</v>
      </c>
      <c r="E23" s="27">
        <f>'Sampling Data'!D9</f>
        <v>14</v>
      </c>
      <c r="F23" s="27">
        <f>'Sampling Data'!E9</f>
        <v>10</v>
      </c>
      <c r="G23" s="27">
        <f>'Sampling Data'!F9</f>
        <v>1</v>
      </c>
      <c r="H23" s="27">
        <f>'Sampling Data'!G9</f>
        <v>0</v>
      </c>
      <c r="I23" s="27">
        <f>'Sampling Data'!H9</f>
        <v>0</v>
      </c>
      <c r="J23" s="27">
        <f>'Sampling Data'!I9</f>
        <v>2</v>
      </c>
      <c r="K23" s="27">
        <f>'Sampling Data'!J9</f>
        <v>148</v>
      </c>
      <c r="L23" s="26">
        <f>'Sampling Data'!X9</f>
        <v>0</v>
      </c>
      <c r="M23" s="16"/>
      <c r="N23" s="16"/>
      <c r="O23" s="16"/>
      <c r="P23" s="16"/>
      <c r="Q23" s="37"/>
      <c r="R23" s="37"/>
      <c r="S23" s="26">
        <f>Audit[[#This Row],[Audit Losing Candidate]]-Audit[[#This Row],[Losing Candidate]]</f>
        <v>-47</v>
      </c>
      <c r="T23" s="26">
        <f>Audit[[#This Row],[Audit Winning Candidate]]-Audit[[#This Row],[Winning Candidate]]</f>
        <v>-74</v>
      </c>
      <c r="U23" s="26">
        <f>Audit[[#This Row],[Audit Candidate 3]]-Audit[[#This Row],[Candidate 3]]</f>
        <v>-14</v>
      </c>
      <c r="V23" s="26">
        <f>Audit[[#This Row],[Audit Candidate 4]]-Audit[[#This Row],[Candidate 4]]</f>
        <v>-10</v>
      </c>
      <c r="W23" s="26">
        <f>Audit[[#This Row],[Audit Candidate 5]]-Audit[[#This Row],[Candidate 5]]</f>
        <v>-1</v>
      </c>
      <c r="X23" s="26">
        <f>Audit[[#This Row],[Audit Candidate 6]]-Audit[[#This Row],[Candidate 6]]</f>
        <v>0</v>
      </c>
      <c r="Y23" s="26">
        <f>SUMIF(Audit[[#This Row],[Difference Loser]:[Difference Candidate 6]], "&gt;0")</f>
        <v>0</v>
      </c>
      <c r="Z23" s="26">
        <f>SUM(Audit[[#This Row],[Difference Loser]:[Difference Candidate 6]])</f>
        <v>-146</v>
      </c>
      <c r="AA23" s="26">
        <f>IF(Audit[[#This Row],[Times p Drawn - With Replacement]]&gt;0, IF(Audit[[#This Row],[Canceled Differences]]&lt;0, Audit[[#This Row],[Max Differences]]+ABS(Audit[[#This Row],[Canceled Differences]]), Audit[[#This Row],[Max Differences]]), 0)</f>
        <v>0</v>
      </c>
      <c r="AB23" s="26">
        <f>'Sampling Data'!P9</f>
        <v>1.0717785399314061E-2</v>
      </c>
      <c r="AC23" s="26">
        <f>IF(
      SUM(Audit[[#This Row],[Audit Losing Candidate]:[Audit Candidate 6]])
      &lt;&gt;0,
      (Audit[[#This Row],[Winning Candidate]]-Audit[[#This Row],[Losing Candidate]]-(Audit[[#This Row],[Audit Winning Candidate]]-Audit[[#This Row],[Audit Losing Candidate]]))/(Audit[[#Totals],[Winning Candidate]]-Audit[[#Totals],[Losing Candidate]]),
      0
)</f>
        <v>0</v>
      </c>
      <c r="AD23"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 s="26">
        <f>IF(Audit[[#This Row],[Max Relative Error (ep)]] = 0, 0, Audit[[#This Row],[Max Relative Error (ep)]]/Audit[[#This Row],[Error Bound (up) - Max. possible relative overstatement]])</f>
        <v>0</v>
      </c>
      <c r="AJ23"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3" s="26">
        <f t="shared" si="0"/>
        <v>1</v>
      </c>
      <c r="AL23" s="26">
        <f>PRODUCT($AK$5:AK23)</f>
        <v>8.962823818226312E-2</v>
      </c>
      <c r="AM23" s="29">
        <f>1 - [K-M P Value]</f>
        <v>0.91037176181773694</v>
      </c>
      <c r="AN23" s="26" t="str">
        <f>IF(Audit[[#This Row],[K-M P Value]]&gt;1-'General Info'!$B$16,"Continue", "Stop")</f>
        <v>Stop</v>
      </c>
      <c r="AO23" s="32" t="b">
        <f>IF(Audit[[#This Row],[Status - Continue or stop audit]] = "Continue", TRUE, IF(AN22 = "Continue", TRUE, FALSE))</f>
        <v>0</v>
      </c>
      <c r="AP23" s="32"/>
    </row>
    <row r="24" spans="1:42" ht="15" hidden="1" customHeight="1">
      <c r="A24" s="26" t="str">
        <f>'Sampling Data'!W10</f>
        <v/>
      </c>
      <c r="B24" s="26" t="str">
        <f>'Sampling Data'!A10</f>
        <v>BAY VILLAGE -01-C - ABS</v>
      </c>
      <c r="C24" s="27">
        <f>'Sampling Data'!B10</f>
        <v>19</v>
      </c>
      <c r="D24" s="27">
        <f>'Sampling Data'!C10</f>
        <v>28</v>
      </c>
      <c r="E24" s="27">
        <f>'Sampling Data'!D10</f>
        <v>8</v>
      </c>
      <c r="F24" s="27">
        <f>'Sampling Data'!E10</f>
        <v>5</v>
      </c>
      <c r="G24" s="27">
        <f>'Sampling Data'!F10</f>
        <v>0</v>
      </c>
      <c r="H24" s="27">
        <f>'Sampling Data'!G10</f>
        <v>0</v>
      </c>
      <c r="I24" s="27">
        <f>'Sampling Data'!H10</f>
        <v>0</v>
      </c>
      <c r="J24" s="27">
        <f>'Sampling Data'!I10</f>
        <v>0</v>
      </c>
      <c r="K24" s="27">
        <f>'Sampling Data'!J10</f>
        <v>60</v>
      </c>
      <c r="L24" s="26">
        <f>'Sampling Data'!X10</f>
        <v>0</v>
      </c>
      <c r="M24" s="16"/>
      <c r="N24" s="16"/>
      <c r="O24" s="16"/>
      <c r="P24" s="16"/>
      <c r="Q24" s="37"/>
      <c r="R24" s="37"/>
      <c r="S24" s="26">
        <f>Audit[[#This Row],[Audit Losing Candidate]]-Audit[[#This Row],[Losing Candidate]]</f>
        <v>-19</v>
      </c>
      <c r="T24" s="26">
        <f>Audit[[#This Row],[Audit Winning Candidate]]-Audit[[#This Row],[Winning Candidate]]</f>
        <v>-28</v>
      </c>
      <c r="U24" s="26">
        <f>Audit[[#This Row],[Audit Candidate 3]]-Audit[[#This Row],[Candidate 3]]</f>
        <v>-8</v>
      </c>
      <c r="V24" s="26">
        <f>Audit[[#This Row],[Audit Candidate 4]]-Audit[[#This Row],[Candidate 4]]</f>
        <v>-5</v>
      </c>
      <c r="W24" s="26">
        <f>Audit[[#This Row],[Audit Candidate 5]]-Audit[[#This Row],[Candidate 5]]</f>
        <v>0</v>
      </c>
      <c r="X24" s="26">
        <f>Audit[[#This Row],[Audit Candidate 6]]-Audit[[#This Row],[Candidate 6]]</f>
        <v>0</v>
      </c>
      <c r="Y24" s="26">
        <f>SUMIF(Audit[[#This Row],[Difference Loser]:[Difference Candidate 6]], "&gt;0")</f>
        <v>0</v>
      </c>
      <c r="Z24" s="26">
        <f>SUM(Audit[[#This Row],[Difference Loser]:[Difference Candidate 6]])</f>
        <v>-60</v>
      </c>
      <c r="AA24" s="26">
        <f>IF(Audit[[#This Row],[Times p Drawn - With Replacement]]&gt;0, IF(Audit[[#This Row],[Canceled Differences]]&lt;0, Audit[[#This Row],[Max Differences]]+ABS(Audit[[#This Row],[Canceled Differences]]), Audit[[#This Row],[Max Differences]]), 0)</f>
        <v>0</v>
      </c>
      <c r="AB24" s="26">
        <f>'Sampling Data'!P10</f>
        <v>4.2258696717295445E-3</v>
      </c>
      <c r="AC24" s="26">
        <f>IF(
      SUM(Audit[[#This Row],[Audit Losing Candidate]:[Audit Candidate 6]])
      &lt;&gt;0,
      (Audit[[#This Row],[Winning Candidate]]-Audit[[#This Row],[Losing Candidate]]-(Audit[[#This Row],[Audit Winning Candidate]]-Audit[[#This Row],[Audit Losing Candidate]]))/(Audit[[#Totals],[Winning Candidate]]-Audit[[#Totals],[Losing Candidate]]),
      0
)</f>
        <v>0</v>
      </c>
      <c r="AD24"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 s="26">
        <f>IF(Audit[[#This Row],[Max Relative Error (ep)]] = 0, 0, Audit[[#This Row],[Max Relative Error (ep)]]/Audit[[#This Row],[Error Bound (up) - Max. possible relative overstatement]])</f>
        <v>0</v>
      </c>
      <c r="AJ24"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4" s="26">
        <f t="shared" si="0"/>
        <v>1</v>
      </c>
      <c r="AL24" s="26">
        <f>PRODUCT($AK$5:AK24)</f>
        <v>8.962823818226312E-2</v>
      </c>
      <c r="AM24" s="29">
        <f>1 - [K-M P Value]</f>
        <v>0.91037176181773694</v>
      </c>
      <c r="AN24" s="26" t="str">
        <f>IF(Audit[[#This Row],[K-M P Value]]&gt;1-'General Info'!$B$16,"Continue", "Stop")</f>
        <v>Stop</v>
      </c>
      <c r="AO24" s="32" t="b">
        <f>IF(Audit[[#This Row],[Status - Continue or stop audit]] = "Continue", TRUE, IF(AN23 = "Continue", TRUE, FALSE))</f>
        <v>0</v>
      </c>
      <c r="AP24" s="32"/>
    </row>
    <row r="25" spans="1:42" ht="15" hidden="1" customHeight="1">
      <c r="A25" s="26" t="str">
        <f>'Sampling Data'!W11</f>
        <v/>
      </c>
      <c r="B25" s="26" t="str">
        <f>'Sampling Data'!A11</f>
        <v>BAY VILLAGE -02-A</v>
      </c>
      <c r="C25" s="27">
        <f>'Sampling Data'!B11</f>
        <v>41</v>
      </c>
      <c r="D25" s="27">
        <f>'Sampling Data'!C11</f>
        <v>90</v>
      </c>
      <c r="E25" s="27">
        <f>'Sampling Data'!D11</f>
        <v>12</v>
      </c>
      <c r="F25" s="27">
        <f>'Sampling Data'!E11</f>
        <v>11</v>
      </c>
      <c r="G25" s="27">
        <f>'Sampling Data'!F11</f>
        <v>0</v>
      </c>
      <c r="H25" s="27">
        <f>'Sampling Data'!G11</f>
        <v>1</v>
      </c>
      <c r="I25" s="27">
        <f>'Sampling Data'!H11</f>
        <v>0</v>
      </c>
      <c r="J25" s="27">
        <f>'Sampling Data'!I11</f>
        <v>0</v>
      </c>
      <c r="K25" s="27">
        <f>'Sampling Data'!J11</f>
        <v>155</v>
      </c>
      <c r="L25" s="26">
        <f>'Sampling Data'!X11</f>
        <v>0</v>
      </c>
      <c r="M25" s="16"/>
      <c r="N25" s="16"/>
      <c r="O25" s="16"/>
      <c r="P25" s="16"/>
      <c r="Q25" s="37"/>
      <c r="R25" s="37"/>
      <c r="S25" s="26">
        <f>Audit[[#This Row],[Audit Losing Candidate]]-Audit[[#This Row],[Losing Candidate]]</f>
        <v>-41</v>
      </c>
      <c r="T25" s="26">
        <f>Audit[[#This Row],[Audit Winning Candidate]]-Audit[[#This Row],[Winning Candidate]]</f>
        <v>-90</v>
      </c>
      <c r="U25" s="26">
        <f>Audit[[#This Row],[Audit Candidate 3]]-Audit[[#This Row],[Candidate 3]]</f>
        <v>-12</v>
      </c>
      <c r="V25" s="26">
        <f>Audit[[#This Row],[Audit Candidate 4]]-Audit[[#This Row],[Candidate 4]]</f>
        <v>-11</v>
      </c>
      <c r="W25" s="26">
        <f>Audit[[#This Row],[Audit Candidate 5]]-Audit[[#This Row],[Candidate 5]]</f>
        <v>0</v>
      </c>
      <c r="X25" s="26">
        <f>Audit[[#This Row],[Audit Candidate 6]]-Audit[[#This Row],[Candidate 6]]</f>
        <v>-1</v>
      </c>
      <c r="Y25" s="26">
        <f>SUMIF(Audit[[#This Row],[Difference Loser]:[Difference Candidate 6]], "&gt;0")</f>
        <v>0</v>
      </c>
      <c r="Z25" s="26">
        <f>SUM(Audit[[#This Row],[Difference Loser]:[Difference Candidate 6]])</f>
        <v>-155</v>
      </c>
      <c r="AA25" s="26">
        <f>IF(Audit[[#This Row],[Times p Drawn - With Replacement]]&gt;0, IF(Audit[[#This Row],[Canceled Differences]]&lt;0, Audit[[#This Row],[Max Differences]]+ABS(Audit[[#This Row],[Canceled Differences]]), Audit[[#This Row],[Max Differences]]), 0)</f>
        <v>0</v>
      </c>
      <c r="AB25" s="26">
        <f>'Sampling Data'!P11</f>
        <v>1.2493875551200392E-2</v>
      </c>
      <c r="AC25" s="26">
        <f>IF(
      SUM(Audit[[#This Row],[Audit Losing Candidate]:[Audit Candidate 6]])
      &lt;&gt;0,
      (Audit[[#This Row],[Winning Candidate]]-Audit[[#This Row],[Losing Candidate]]-(Audit[[#This Row],[Audit Winning Candidate]]-Audit[[#This Row],[Audit Losing Candidate]]))/(Audit[[#Totals],[Winning Candidate]]-Audit[[#Totals],[Losing Candidate]]),
      0
)</f>
        <v>0</v>
      </c>
      <c r="AD25"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 s="26">
        <f>IF(Audit[[#This Row],[Max Relative Error (ep)]] = 0, 0, Audit[[#This Row],[Max Relative Error (ep)]]/Audit[[#This Row],[Error Bound (up) - Max. possible relative overstatement]])</f>
        <v>0</v>
      </c>
      <c r="AJ25"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5" s="26">
        <f t="shared" si="0"/>
        <v>1</v>
      </c>
      <c r="AL25" s="26">
        <f>PRODUCT($AK$5:AK25)</f>
        <v>8.962823818226312E-2</v>
      </c>
      <c r="AM25" s="29">
        <f>1 - [K-M P Value]</f>
        <v>0.91037176181773694</v>
      </c>
      <c r="AN25" s="26" t="str">
        <f>IF(Audit[[#This Row],[K-M P Value]]&gt;1-'General Info'!$B$16,"Continue", "Stop")</f>
        <v>Stop</v>
      </c>
      <c r="AO25" s="32" t="b">
        <f>IF(Audit[[#This Row],[Status - Continue or stop audit]] = "Continue", TRUE, IF(AN24 = "Continue", TRUE, FALSE))</f>
        <v>0</v>
      </c>
      <c r="AP25" s="32"/>
    </row>
    <row r="26" spans="1:42" ht="15" hidden="1" customHeight="1">
      <c r="A26" s="26" t="str">
        <f>'Sampling Data'!W12</f>
        <v/>
      </c>
      <c r="B26" s="26" t="str">
        <f>'Sampling Data'!A12</f>
        <v>BAY VILLAGE -02-A - ABS</v>
      </c>
      <c r="C26" s="27">
        <f>'Sampling Data'!B12</f>
        <v>10</v>
      </c>
      <c r="D26" s="27">
        <f>'Sampling Data'!C12</f>
        <v>32</v>
      </c>
      <c r="E26" s="27">
        <f>'Sampling Data'!D12</f>
        <v>9</v>
      </c>
      <c r="F26" s="27">
        <f>'Sampling Data'!E12</f>
        <v>2</v>
      </c>
      <c r="G26" s="27">
        <f>'Sampling Data'!F12</f>
        <v>1</v>
      </c>
      <c r="H26" s="27">
        <f>'Sampling Data'!G12</f>
        <v>0</v>
      </c>
      <c r="I26" s="27">
        <f>'Sampling Data'!H12</f>
        <v>0</v>
      </c>
      <c r="J26" s="27">
        <f>'Sampling Data'!I12</f>
        <v>2</v>
      </c>
      <c r="K26" s="27">
        <f>'Sampling Data'!J12</f>
        <v>56</v>
      </c>
      <c r="L26" s="26">
        <f>'Sampling Data'!X12</f>
        <v>0</v>
      </c>
      <c r="M26" s="16"/>
      <c r="N26" s="16"/>
      <c r="O26" s="16"/>
      <c r="P26" s="16"/>
      <c r="Q26" s="37"/>
      <c r="R26" s="37"/>
      <c r="S26" s="26">
        <f>Audit[[#This Row],[Audit Losing Candidate]]-Audit[[#This Row],[Losing Candidate]]</f>
        <v>-10</v>
      </c>
      <c r="T26" s="26">
        <f>Audit[[#This Row],[Audit Winning Candidate]]-Audit[[#This Row],[Winning Candidate]]</f>
        <v>-32</v>
      </c>
      <c r="U26" s="26">
        <f>Audit[[#This Row],[Audit Candidate 3]]-Audit[[#This Row],[Candidate 3]]</f>
        <v>-9</v>
      </c>
      <c r="V26" s="26">
        <f>Audit[[#This Row],[Audit Candidate 4]]-Audit[[#This Row],[Candidate 4]]</f>
        <v>-2</v>
      </c>
      <c r="W26" s="26">
        <f>Audit[[#This Row],[Audit Candidate 5]]-Audit[[#This Row],[Candidate 5]]</f>
        <v>-1</v>
      </c>
      <c r="X26" s="26">
        <f>Audit[[#This Row],[Audit Candidate 6]]-Audit[[#This Row],[Candidate 6]]</f>
        <v>0</v>
      </c>
      <c r="Y26" s="26">
        <f>SUMIF(Audit[[#This Row],[Difference Loser]:[Difference Candidate 6]], "&gt;0")</f>
        <v>0</v>
      </c>
      <c r="Z26" s="26">
        <f>SUM(Audit[[#This Row],[Difference Loser]:[Difference Candidate 6]])</f>
        <v>-54</v>
      </c>
      <c r="AA26" s="26">
        <f>IF(Audit[[#This Row],[Times p Drawn - With Replacement]]&gt;0, IF(Audit[[#This Row],[Canceled Differences]]&lt;0, Audit[[#This Row],[Max Differences]]+ABS(Audit[[#This Row],[Canceled Differences]]), Audit[[#This Row],[Max Differences]]), 0)</f>
        <v>0</v>
      </c>
      <c r="AB26" s="26">
        <f>'Sampling Data'!P12</f>
        <v>4.7770700636942673E-3</v>
      </c>
      <c r="AC26" s="26">
        <f>IF(
      SUM(Audit[[#This Row],[Audit Losing Candidate]:[Audit Candidate 6]])
      &lt;&gt;0,
      (Audit[[#This Row],[Winning Candidate]]-Audit[[#This Row],[Losing Candidate]]-(Audit[[#This Row],[Audit Winning Candidate]]-Audit[[#This Row],[Audit Losing Candidate]]))/(Audit[[#Totals],[Winning Candidate]]-Audit[[#Totals],[Losing Candidate]]),
      0
)</f>
        <v>0</v>
      </c>
      <c r="AD26"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 s="26">
        <f>IF(Audit[[#This Row],[Max Relative Error (ep)]] = 0, 0, Audit[[#This Row],[Max Relative Error (ep)]]/Audit[[#This Row],[Error Bound (up) - Max. possible relative overstatement]])</f>
        <v>0</v>
      </c>
      <c r="AJ26"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6" s="26">
        <f t="shared" si="0"/>
        <v>1</v>
      </c>
      <c r="AL26" s="26">
        <f>PRODUCT($AK$5:AK26)</f>
        <v>8.962823818226312E-2</v>
      </c>
      <c r="AM26" s="29">
        <f>1 - [K-M P Value]</f>
        <v>0.91037176181773694</v>
      </c>
      <c r="AN26" s="26" t="str">
        <f>IF(Audit[[#This Row],[K-M P Value]]&gt;1-'General Info'!$B$16,"Continue", "Stop")</f>
        <v>Stop</v>
      </c>
      <c r="AO26" s="32" t="b">
        <f>IF(Audit[[#This Row],[Status - Continue or stop audit]] = "Continue", TRUE, IF(AN25 = "Continue", TRUE, FALSE))</f>
        <v>0</v>
      </c>
      <c r="AP26" s="32"/>
    </row>
    <row r="27" spans="1:42" ht="15" hidden="1" customHeight="1">
      <c r="A27" s="26" t="str">
        <f>'Sampling Data'!W13</f>
        <v/>
      </c>
      <c r="B27" s="26" t="str">
        <f>'Sampling Data'!A13</f>
        <v>BAY VILLAGE -02-B</v>
      </c>
      <c r="C27" s="27">
        <f>'Sampling Data'!B13</f>
        <v>36</v>
      </c>
      <c r="D27" s="27">
        <f>'Sampling Data'!C13</f>
        <v>54</v>
      </c>
      <c r="E27" s="27">
        <f>'Sampling Data'!D13</f>
        <v>8</v>
      </c>
      <c r="F27" s="27">
        <f>'Sampling Data'!E13</f>
        <v>10</v>
      </c>
      <c r="G27" s="27">
        <f>'Sampling Data'!F13</f>
        <v>0</v>
      </c>
      <c r="H27" s="27">
        <f>'Sampling Data'!G13</f>
        <v>2</v>
      </c>
      <c r="I27" s="27">
        <f>'Sampling Data'!H13</f>
        <v>0</v>
      </c>
      <c r="J27" s="27">
        <f>'Sampling Data'!I13</f>
        <v>1</v>
      </c>
      <c r="K27" s="27">
        <f>'Sampling Data'!J13</f>
        <v>111</v>
      </c>
      <c r="L27" s="26">
        <f>'Sampling Data'!X13</f>
        <v>0</v>
      </c>
      <c r="M27" s="16"/>
      <c r="N27" s="16"/>
      <c r="O27" s="16"/>
      <c r="P27" s="16"/>
      <c r="Q27" s="37"/>
      <c r="R27" s="37"/>
      <c r="S27" s="26">
        <f>Audit[[#This Row],[Audit Losing Candidate]]-Audit[[#This Row],[Losing Candidate]]</f>
        <v>-36</v>
      </c>
      <c r="T27" s="26">
        <f>Audit[[#This Row],[Audit Winning Candidate]]-Audit[[#This Row],[Winning Candidate]]</f>
        <v>-54</v>
      </c>
      <c r="U27" s="26">
        <f>Audit[[#This Row],[Audit Candidate 3]]-Audit[[#This Row],[Candidate 3]]</f>
        <v>-8</v>
      </c>
      <c r="V27" s="26">
        <f>Audit[[#This Row],[Audit Candidate 4]]-Audit[[#This Row],[Candidate 4]]</f>
        <v>-10</v>
      </c>
      <c r="W27" s="26">
        <f>Audit[[#This Row],[Audit Candidate 5]]-Audit[[#This Row],[Candidate 5]]</f>
        <v>0</v>
      </c>
      <c r="X27" s="26">
        <f>Audit[[#This Row],[Audit Candidate 6]]-Audit[[#This Row],[Candidate 6]]</f>
        <v>-2</v>
      </c>
      <c r="Y27" s="26">
        <f>SUMIF(Audit[[#This Row],[Difference Loser]:[Difference Candidate 6]], "&gt;0")</f>
        <v>0</v>
      </c>
      <c r="Z27" s="26">
        <f>SUM(Audit[[#This Row],[Difference Loser]:[Difference Candidate 6]])</f>
        <v>-110</v>
      </c>
      <c r="AA27" s="26">
        <f>IF(Audit[[#This Row],[Times p Drawn - With Replacement]]&gt;0, IF(Audit[[#This Row],[Canceled Differences]]&lt;0, Audit[[#This Row],[Max Differences]]+ABS(Audit[[#This Row],[Canceled Differences]]), Audit[[#This Row],[Max Differences]]), 0)</f>
        <v>0</v>
      </c>
      <c r="AB27" s="26">
        <f>'Sampling Data'!P13</f>
        <v>7.9005389514943663E-3</v>
      </c>
      <c r="AC27" s="26">
        <f>IF(
      SUM(Audit[[#This Row],[Audit Losing Candidate]:[Audit Candidate 6]])
      &lt;&gt;0,
      (Audit[[#This Row],[Winning Candidate]]-Audit[[#This Row],[Losing Candidate]]-(Audit[[#This Row],[Audit Winning Candidate]]-Audit[[#This Row],[Audit Losing Candidate]]))/(Audit[[#Totals],[Winning Candidate]]-Audit[[#Totals],[Losing Candidate]]),
      0
)</f>
        <v>0</v>
      </c>
      <c r="AD27"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 s="26">
        <f>IF(Audit[[#This Row],[Max Relative Error (ep)]] = 0, 0, Audit[[#This Row],[Max Relative Error (ep)]]/Audit[[#This Row],[Error Bound (up) - Max. possible relative overstatement]])</f>
        <v>0</v>
      </c>
      <c r="AJ27"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7" s="26">
        <f t="shared" si="0"/>
        <v>1</v>
      </c>
      <c r="AL27" s="26">
        <f>PRODUCT($AK$5:AK27)</f>
        <v>8.962823818226312E-2</v>
      </c>
      <c r="AM27" s="29">
        <f>1 - [K-M P Value]</f>
        <v>0.91037176181773694</v>
      </c>
      <c r="AN27" s="26" t="str">
        <f>IF(Audit[[#This Row],[K-M P Value]]&gt;1-'General Info'!$B$16,"Continue", "Stop")</f>
        <v>Stop</v>
      </c>
      <c r="AO27" s="32" t="b">
        <f>IF(Audit[[#This Row],[Status - Continue or stop audit]] = "Continue", TRUE, IF(AN26 = "Continue", TRUE, FALSE))</f>
        <v>0</v>
      </c>
      <c r="AP27" s="32"/>
    </row>
    <row r="28" spans="1:42" ht="15" hidden="1" customHeight="1">
      <c r="A28" s="26" t="str">
        <f>'Sampling Data'!W14</f>
        <v/>
      </c>
      <c r="B28" s="26" t="str">
        <f>'Sampling Data'!A14</f>
        <v>BAY VILLAGE -02-B - ABS</v>
      </c>
      <c r="C28" s="27">
        <f>'Sampling Data'!B14</f>
        <v>12</v>
      </c>
      <c r="D28" s="27">
        <f>'Sampling Data'!C14</f>
        <v>14</v>
      </c>
      <c r="E28" s="27">
        <f>'Sampling Data'!D14</f>
        <v>4</v>
      </c>
      <c r="F28" s="27">
        <f>'Sampling Data'!E14</f>
        <v>0</v>
      </c>
      <c r="G28" s="27">
        <f>'Sampling Data'!F14</f>
        <v>0</v>
      </c>
      <c r="H28" s="27">
        <f>'Sampling Data'!G14</f>
        <v>0</v>
      </c>
      <c r="I28" s="27">
        <f>'Sampling Data'!H14</f>
        <v>0</v>
      </c>
      <c r="J28" s="27">
        <f>'Sampling Data'!I14</f>
        <v>0</v>
      </c>
      <c r="K28" s="27">
        <f>'Sampling Data'!J14</f>
        <v>30</v>
      </c>
      <c r="L28" s="26">
        <f>'Sampling Data'!X14</f>
        <v>0</v>
      </c>
      <c r="M28" s="16"/>
      <c r="N28" s="16"/>
      <c r="O28" s="16"/>
      <c r="P28" s="16"/>
      <c r="Q28" s="37"/>
      <c r="R28" s="37"/>
      <c r="S28" s="26">
        <f>Audit[[#This Row],[Audit Losing Candidate]]-Audit[[#This Row],[Losing Candidate]]</f>
        <v>-12</v>
      </c>
      <c r="T28" s="26">
        <f>Audit[[#This Row],[Audit Winning Candidate]]-Audit[[#This Row],[Winning Candidate]]</f>
        <v>-14</v>
      </c>
      <c r="U28" s="26">
        <f>Audit[[#This Row],[Audit Candidate 3]]-Audit[[#This Row],[Candidate 3]]</f>
        <v>-4</v>
      </c>
      <c r="V28" s="26">
        <f>Audit[[#This Row],[Audit Candidate 4]]-Audit[[#This Row],[Candidate 4]]</f>
        <v>0</v>
      </c>
      <c r="W28" s="26">
        <f>Audit[[#This Row],[Audit Candidate 5]]-Audit[[#This Row],[Candidate 5]]</f>
        <v>0</v>
      </c>
      <c r="X28" s="26">
        <f>Audit[[#This Row],[Audit Candidate 6]]-Audit[[#This Row],[Candidate 6]]</f>
        <v>0</v>
      </c>
      <c r="Y28" s="26">
        <f>SUMIF(Audit[[#This Row],[Difference Loser]:[Difference Candidate 6]], "&gt;0")</f>
        <v>0</v>
      </c>
      <c r="Z28" s="26">
        <f>SUM(Audit[[#This Row],[Difference Loser]:[Difference Candidate 6]])</f>
        <v>-30</v>
      </c>
      <c r="AA28" s="26">
        <f>IF(Audit[[#This Row],[Times p Drawn - With Replacement]]&gt;0, IF(Audit[[#This Row],[Canceled Differences]]&lt;0, Audit[[#This Row],[Max Differences]]+ABS(Audit[[#This Row],[Canceled Differences]]), Audit[[#This Row],[Max Differences]]), 0)</f>
        <v>0</v>
      </c>
      <c r="AB28" s="26">
        <f>'Sampling Data'!P14</f>
        <v>1.9598236158745713E-3</v>
      </c>
      <c r="AC28" s="26">
        <f>IF(
      SUM(Audit[[#This Row],[Audit Losing Candidate]:[Audit Candidate 6]])
      &lt;&gt;0,
      (Audit[[#This Row],[Winning Candidate]]-Audit[[#This Row],[Losing Candidate]]-(Audit[[#This Row],[Audit Winning Candidate]]-Audit[[#This Row],[Audit Losing Candidate]]))/(Audit[[#Totals],[Winning Candidate]]-Audit[[#Totals],[Losing Candidate]]),
      0
)</f>
        <v>0</v>
      </c>
      <c r="AD28"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 s="26">
        <f>IF(Audit[[#This Row],[Max Relative Error (ep)]] = 0, 0, Audit[[#This Row],[Max Relative Error (ep)]]/Audit[[#This Row],[Error Bound (up) - Max. possible relative overstatement]])</f>
        <v>0</v>
      </c>
      <c r="AJ28"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8" s="26">
        <f t="shared" si="0"/>
        <v>1</v>
      </c>
      <c r="AL28" s="26">
        <f>PRODUCT($AK$5:AK28)</f>
        <v>8.962823818226312E-2</v>
      </c>
      <c r="AM28" s="29">
        <f>1 - [K-M P Value]</f>
        <v>0.91037176181773694</v>
      </c>
      <c r="AN28" s="26" t="str">
        <f>IF(Audit[[#This Row],[K-M P Value]]&gt;1-'General Info'!$B$16,"Continue", "Stop")</f>
        <v>Stop</v>
      </c>
      <c r="AO28" s="32" t="b">
        <f>IF(Audit[[#This Row],[Status - Continue or stop audit]] = "Continue", TRUE, IF(AN27 = "Continue", TRUE, FALSE))</f>
        <v>0</v>
      </c>
      <c r="AP28" s="32"/>
    </row>
    <row r="29" spans="1:42" ht="15" hidden="1" customHeight="1">
      <c r="A29" s="26" t="str">
        <f>'Sampling Data'!W15</f>
        <v/>
      </c>
      <c r="B29" s="26" t="str">
        <f>'Sampling Data'!A15</f>
        <v>BAY VILLAGE -02-C</v>
      </c>
      <c r="C29" s="27">
        <f>'Sampling Data'!B15</f>
        <v>30</v>
      </c>
      <c r="D29" s="27">
        <f>'Sampling Data'!C15</f>
        <v>75</v>
      </c>
      <c r="E29" s="27">
        <f>'Sampling Data'!D15</f>
        <v>17</v>
      </c>
      <c r="F29" s="27">
        <f>'Sampling Data'!E15</f>
        <v>10</v>
      </c>
      <c r="G29" s="27">
        <f>'Sampling Data'!F15</f>
        <v>0</v>
      </c>
      <c r="H29" s="27">
        <f>'Sampling Data'!G15</f>
        <v>0</v>
      </c>
      <c r="I29" s="27">
        <f>'Sampling Data'!H15</f>
        <v>0</v>
      </c>
      <c r="J29" s="27">
        <f>'Sampling Data'!I15</f>
        <v>1</v>
      </c>
      <c r="K29" s="27">
        <f>'Sampling Data'!J15</f>
        <v>133</v>
      </c>
      <c r="L29" s="26">
        <f>'Sampling Data'!X15</f>
        <v>0</v>
      </c>
      <c r="M29" s="16"/>
      <c r="N29" s="16"/>
      <c r="O29" s="16"/>
      <c r="P29" s="16"/>
      <c r="Q29" s="37"/>
      <c r="R29" s="37"/>
      <c r="S29" s="26">
        <f>Audit[[#This Row],[Audit Losing Candidate]]-Audit[[#This Row],[Losing Candidate]]</f>
        <v>-30</v>
      </c>
      <c r="T29" s="26">
        <f>Audit[[#This Row],[Audit Winning Candidate]]-Audit[[#This Row],[Winning Candidate]]</f>
        <v>-75</v>
      </c>
      <c r="U29" s="26">
        <f>Audit[[#This Row],[Audit Candidate 3]]-Audit[[#This Row],[Candidate 3]]</f>
        <v>-17</v>
      </c>
      <c r="V29" s="26">
        <f>Audit[[#This Row],[Audit Candidate 4]]-Audit[[#This Row],[Candidate 4]]</f>
        <v>-10</v>
      </c>
      <c r="W29" s="26">
        <f>Audit[[#This Row],[Audit Candidate 5]]-Audit[[#This Row],[Candidate 5]]</f>
        <v>0</v>
      </c>
      <c r="X29" s="26">
        <f>Audit[[#This Row],[Audit Candidate 6]]-Audit[[#This Row],[Candidate 6]]</f>
        <v>0</v>
      </c>
      <c r="Y29" s="26">
        <f>SUMIF(Audit[[#This Row],[Difference Loser]:[Difference Candidate 6]], "&gt;0")</f>
        <v>0</v>
      </c>
      <c r="Z29" s="26">
        <f>SUM(Audit[[#This Row],[Difference Loser]:[Difference Candidate 6]])</f>
        <v>-132</v>
      </c>
      <c r="AA29" s="26">
        <f>IF(Audit[[#This Row],[Times p Drawn - With Replacement]]&gt;0, IF(Audit[[#This Row],[Canceled Differences]]&lt;0, Audit[[#This Row],[Max Differences]]+ABS(Audit[[#This Row],[Canceled Differences]]), Audit[[#This Row],[Max Differences]]), 0)</f>
        <v>0</v>
      </c>
      <c r="AB29" s="26">
        <f>'Sampling Data'!P15</f>
        <v>1.0901518863302304E-2</v>
      </c>
      <c r="AC29" s="26">
        <f>IF(
      SUM(Audit[[#This Row],[Audit Losing Candidate]:[Audit Candidate 6]])
      &lt;&gt;0,
      (Audit[[#This Row],[Winning Candidate]]-Audit[[#This Row],[Losing Candidate]]-(Audit[[#This Row],[Audit Winning Candidate]]-Audit[[#This Row],[Audit Losing Candidate]]))/(Audit[[#Totals],[Winning Candidate]]-Audit[[#Totals],[Losing Candidate]]),
      0
)</f>
        <v>0</v>
      </c>
      <c r="AD29"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 s="26">
        <f>IF(Audit[[#This Row],[Max Relative Error (ep)]] = 0, 0, Audit[[#This Row],[Max Relative Error (ep)]]/Audit[[#This Row],[Error Bound (up) - Max. possible relative overstatement]])</f>
        <v>0</v>
      </c>
      <c r="AJ29"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9" s="26">
        <f t="shared" si="0"/>
        <v>1</v>
      </c>
      <c r="AL29" s="26">
        <f>PRODUCT($AK$5:AK29)</f>
        <v>8.962823818226312E-2</v>
      </c>
      <c r="AM29" s="29">
        <f>1 - [K-M P Value]</f>
        <v>0.91037176181773694</v>
      </c>
      <c r="AN29" s="26" t="str">
        <f>IF(Audit[[#This Row],[K-M P Value]]&gt;1-'General Info'!$B$16,"Continue", "Stop")</f>
        <v>Stop</v>
      </c>
      <c r="AO29" s="32" t="b">
        <f>IF(Audit[[#This Row],[Status - Continue or stop audit]] = "Continue", TRUE, IF(AN28 = "Continue", TRUE, FALSE))</f>
        <v>0</v>
      </c>
      <c r="AP29" s="32"/>
    </row>
    <row r="30" spans="1:42" ht="15" hidden="1" customHeight="1">
      <c r="A30" s="26" t="str">
        <f>'Sampling Data'!W16</f>
        <v/>
      </c>
      <c r="B30" s="26" t="str">
        <f>'Sampling Data'!A16</f>
        <v>BAY VILLAGE -02-C - ABS</v>
      </c>
      <c r="C30" s="27">
        <f>'Sampling Data'!B16</f>
        <v>16</v>
      </c>
      <c r="D30" s="27">
        <f>'Sampling Data'!C16</f>
        <v>23</v>
      </c>
      <c r="E30" s="27">
        <f>'Sampling Data'!D16</f>
        <v>3</v>
      </c>
      <c r="F30" s="27">
        <f>'Sampling Data'!E16</f>
        <v>0</v>
      </c>
      <c r="G30" s="27">
        <f>'Sampling Data'!F16</f>
        <v>0</v>
      </c>
      <c r="H30" s="27">
        <f>'Sampling Data'!G16</f>
        <v>0</v>
      </c>
      <c r="I30" s="27">
        <f>'Sampling Data'!H16</f>
        <v>0</v>
      </c>
      <c r="J30" s="27">
        <f>'Sampling Data'!I16</f>
        <v>0</v>
      </c>
      <c r="K30" s="27">
        <f>'Sampling Data'!J16</f>
        <v>42</v>
      </c>
      <c r="L30" s="26">
        <f>'Sampling Data'!X16</f>
        <v>0</v>
      </c>
      <c r="M30" s="16"/>
      <c r="N30" s="16"/>
      <c r="O30" s="16"/>
      <c r="P30" s="16"/>
      <c r="Q30" s="37"/>
      <c r="R30" s="37"/>
      <c r="S30" s="26">
        <f>Audit[[#This Row],[Audit Losing Candidate]]-Audit[[#This Row],[Losing Candidate]]</f>
        <v>-16</v>
      </c>
      <c r="T30" s="26">
        <f>Audit[[#This Row],[Audit Winning Candidate]]-Audit[[#This Row],[Winning Candidate]]</f>
        <v>-23</v>
      </c>
      <c r="U30" s="26">
        <f>Audit[[#This Row],[Audit Candidate 3]]-Audit[[#This Row],[Candidate 3]]</f>
        <v>-3</v>
      </c>
      <c r="V30" s="26">
        <f>Audit[[#This Row],[Audit Candidate 4]]-Audit[[#This Row],[Candidate 4]]</f>
        <v>0</v>
      </c>
      <c r="W30" s="26">
        <f>Audit[[#This Row],[Audit Candidate 5]]-Audit[[#This Row],[Candidate 5]]</f>
        <v>0</v>
      </c>
      <c r="X30" s="26">
        <f>Audit[[#This Row],[Audit Candidate 6]]-Audit[[#This Row],[Candidate 6]]</f>
        <v>0</v>
      </c>
      <c r="Y30" s="26">
        <f>SUMIF(Audit[[#This Row],[Difference Loser]:[Difference Candidate 6]], "&gt;0")</f>
        <v>0</v>
      </c>
      <c r="Z30" s="26">
        <f>SUM(Audit[[#This Row],[Difference Loser]:[Difference Candidate 6]])</f>
        <v>-42</v>
      </c>
      <c r="AA30" s="26">
        <f>IF(Audit[[#This Row],[Times p Drawn - With Replacement]]&gt;0, IF(Audit[[#This Row],[Canceled Differences]]&lt;0, Audit[[#This Row],[Max Differences]]+ABS(Audit[[#This Row],[Canceled Differences]]), Audit[[#This Row],[Max Differences]]), 0)</f>
        <v>0</v>
      </c>
      <c r="AB30" s="26">
        <f>'Sampling Data'!P16</f>
        <v>3.0009799118079373E-3</v>
      </c>
      <c r="AC30" s="26">
        <f>IF(
      SUM(Audit[[#This Row],[Audit Losing Candidate]:[Audit Candidate 6]])
      &lt;&gt;0,
      (Audit[[#This Row],[Winning Candidate]]-Audit[[#This Row],[Losing Candidate]]-(Audit[[#This Row],[Audit Winning Candidate]]-Audit[[#This Row],[Audit Losing Candidate]]))/(Audit[[#Totals],[Winning Candidate]]-Audit[[#Totals],[Losing Candidate]]),
      0
)</f>
        <v>0</v>
      </c>
      <c r="AD30"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 s="26">
        <f>IF(Audit[[#This Row],[Max Relative Error (ep)]] = 0, 0, Audit[[#This Row],[Max Relative Error (ep)]]/Audit[[#This Row],[Error Bound (up) - Max. possible relative overstatement]])</f>
        <v>0</v>
      </c>
      <c r="AJ30"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0" s="26">
        <f t="shared" si="0"/>
        <v>1</v>
      </c>
      <c r="AL30" s="26">
        <f>PRODUCT($AK$5:AK30)</f>
        <v>8.962823818226312E-2</v>
      </c>
      <c r="AM30" s="29">
        <f>1 - [K-M P Value]</f>
        <v>0.91037176181773694</v>
      </c>
      <c r="AN30" s="26" t="str">
        <f>IF(Audit[[#This Row],[K-M P Value]]&gt;1-'General Info'!$B$16,"Continue", "Stop")</f>
        <v>Stop</v>
      </c>
      <c r="AO30" s="32" t="b">
        <f>IF(Audit[[#This Row],[Status - Continue or stop audit]] = "Continue", TRUE, IF(AN29 = "Continue", TRUE, FALSE))</f>
        <v>0</v>
      </c>
      <c r="AP30" s="32"/>
    </row>
    <row r="31" spans="1:42" ht="15" hidden="1" customHeight="1">
      <c r="A31" s="26" t="str">
        <f>'Sampling Data'!W17</f>
        <v/>
      </c>
      <c r="B31" s="26" t="str">
        <f>'Sampling Data'!A17</f>
        <v>BAY VILLAGE -03-A</v>
      </c>
      <c r="C31" s="27">
        <f>'Sampling Data'!B17</f>
        <v>42</v>
      </c>
      <c r="D31" s="27">
        <f>'Sampling Data'!C17</f>
        <v>89</v>
      </c>
      <c r="E31" s="27">
        <f>'Sampling Data'!D17</f>
        <v>7</v>
      </c>
      <c r="F31" s="27">
        <f>'Sampling Data'!E17</f>
        <v>15</v>
      </c>
      <c r="G31" s="27">
        <f>'Sampling Data'!F17</f>
        <v>0</v>
      </c>
      <c r="H31" s="27">
        <f>'Sampling Data'!G17</f>
        <v>0</v>
      </c>
      <c r="I31" s="27">
        <f>'Sampling Data'!H17</f>
        <v>0</v>
      </c>
      <c r="J31" s="27">
        <f>'Sampling Data'!I17</f>
        <v>4</v>
      </c>
      <c r="K31" s="27">
        <f>'Sampling Data'!J17</f>
        <v>157</v>
      </c>
      <c r="L31" s="26">
        <f>'Sampling Data'!X17</f>
        <v>0</v>
      </c>
      <c r="M31" s="16"/>
      <c r="N31" s="16"/>
      <c r="O31" s="16"/>
      <c r="P31" s="16"/>
      <c r="Q31" s="37"/>
      <c r="R31" s="37"/>
      <c r="S31" s="26">
        <f>Audit[[#This Row],[Audit Losing Candidate]]-Audit[[#This Row],[Losing Candidate]]</f>
        <v>-42</v>
      </c>
      <c r="T31" s="26">
        <f>Audit[[#This Row],[Audit Winning Candidate]]-Audit[[#This Row],[Winning Candidate]]</f>
        <v>-89</v>
      </c>
      <c r="U31" s="26">
        <f>Audit[[#This Row],[Audit Candidate 3]]-Audit[[#This Row],[Candidate 3]]</f>
        <v>-7</v>
      </c>
      <c r="V31" s="26">
        <f>Audit[[#This Row],[Audit Candidate 4]]-Audit[[#This Row],[Candidate 4]]</f>
        <v>-15</v>
      </c>
      <c r="W31" s="26">
        <f>Audit[[#This Row],[Audit Candidate 5]]-Audit[[#This Row],[Candidate 5]]</f>
        <v>0</v>
      </c>
      <c r="X31" s="26">
        <f>Audit[[#This Row],[Audit Candidate 6]]-Audit[[#This Row],[Candidate 6]]</f>
        <v>0</v>
      </c>
      <c r="Y31" s="26">
        <f>SUMIF(Audit[[#This Row],[Difference Loser]:[Difference Candidate 6]], "&gt;0")</f>
        <v>0</v>
      </c>
      <c r="Z31" s="26">
        <f>SUM(Audit[[#This Row],[Difference Loser]:[Difference Candidate 6]])</f>
        <v>-153</v>
      </c>
      <c r="AA31" s="26">
        <f>IF(Audit[[#This Row],[Times p Drawn - With Replacement]]&gt;0, IF(Audit[[#This Row],[Canceled Differences]]&lt;0, Audit[[#This Row],[Max Differences]]+ABS(Audit[[#This Row],[Canceled Differences]]), Audit[[#This Row],[Max Differences]]), 0)</f>
        <v>0</v>
      </c>
      <c r="AB31" s="26">
        <f>'Sampling Data'!P17</f>
        <v>1.2493875551200392E-2</v>
      </c>
      <c r="AC31" s="26">
        <f>IF(
      SUM(Audit[[#This Row],[Audit Losing Candidate]:[Audit Candidate 6]])
      &lt;&gt;0,
      (Audit[[#This Row],[Winning Candidate]]-Audit[[#This Row],[Losing Candidate]]-(Audit[[#This Row],[Audit Winning Candidate]]-Audit[[#This Row],[Audit Losing Candidate]]))/(Audit[[#Totals],[Winning Candidate]]-Audit[[#Totals],[Losing Candidate]]),
      0
)</f>
        <v>0</v>
      </c>
      <c r="AD31"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 s="26">
        <f>IF(Audit[[#This Row],[Max Relative Error (ep)]] = 0, 0, Audit[[#This Row],[Max Relative Error (ep)]]/Audit[[#This Row],[Error Bound (up) - Max. possible relative overstatement]])</f>
        <v>0</v>
      </c>
      <c r="AJ31"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1" s="26">
        <f t="shared" si="0"/>
        <v>1</v>
      </c>
      <c r="AL31" s="26">
        <f>PRODUCT($AK$5:AK31)</f>
        <v>8.962823818226312E-2</v>
      </c>
      <c r="AM31" s="29">
        <f>1 - [K-M P Value]</f>
        <v>0.91037176181773694</v>
      </c>
      <c r="AN31" s="26" t="str">
        <f>IF(Audit[[#This Row],[K-M P Value]]&gt;1-'General Info'!$B$16,"Continue", "Stop")</f>
        <v>Stop</v>
      </c>
      <c r="AO31" s="32" t="b">
        <f>IF(Audit[[#This Row],[Status - Continue or stop audit]] = "Continue", TRUE, IF(AN30 = "Continue", TRUE, FALSE))</f>
        <v>0</v>
      </c>
      <c r="AP31" s="32"/>
    </row>
    <row r="32" spans="1:42" ht="15" hidden="1" customHeight="1">
      <c r="A32" s="26" t="str">
        <f>'Sampling Data'!W18</f>
        <v/>
      </c>
      <c r="B32" s="26" t="str">
        <f>'Sampling Data'!A18</f>
        <v>BAY VILLAGE -03-A - ABS</v>
      </c>
      <c r="C32" s="27">
        <f>'Sampling Data'!B18</f>
        <v>17</v>
      </c>
      <c r="D32" s="27">
        <f>'Sampling Data'!C18</f>
        <v>28</v>
      </c>
      <c r="E32" s="27">
        <f>'Sampling Data'!D18</f>
        <v>9</v>
      </c>
      <c r="F32" s="27">
        <f>'Sampling Data'!E18</f>
        <v>1</v>
      </c>
      <c r="G32" s="27">
        <f>'Sampling Data'!F18</f>
        <v>1</v>
      </c>
      <c r="H32" s="27">
        <f>'Sampling Data'!G18</f>
        <v>0</v>
      </c>
      <c r="I32" s="27">
        <f>'Sampling Data'!H18</f>
        <v>0</v>
      </c>
      <c r="J32" s="27">
        <f>'Sampling Data'!I18</f>
        <v>4</v>
      </c>
      <c r="K32" s="27">
        <f>'Sampling Data'!J18</f>
        <v>60</v>
      </c>
      <c r="L32" s="26">
        <f>'Sampling Data'!X18</f>
        <v>0</v>
      </c>
      <c r="M32" s="16"/>
      <c r="N32" s="16"/>
      <c r="O32" s="16"/>
      <c r="P32" s="16"/>
      <c r="Q32" s="37"/>
      <c r="R32" s="37"/>
      <c r="S32" s="26">
        <f>Audit[[#This Row],[Audit Losing Candidate]]-Audit[[#This Row],[Losing Candidate]]</f>
        <v>-17</v>
      </c>
      <c r="T32" s="26">
        <f>Audit[[#This Row],[Audit Winning Candidate]]-Audit[[#This Row],[Winning Candidate]]</f>
        <v>-28</v>
      </c>
      <c r="U32" s="26">
        <f>Audit[[#This Row],[Audit Candidate 3]]-Audit[[#This Row],[Candidate 3]]</f>
        <v>-9</v>
      </c>
      <c r="V32" s="26">
        <f>Audit[[#This Row],[Audit Candidate 4]]-Audit[[#This Row],[Candidate 4]]</f>
        <v>-1</v>
      </c>
      <c r="W32" s="26">
        <f>Audit[[#This Row],[Audit Candidate 5]]-Audit[[#This Row],[Candidate 5]]</f>
        <v>-1</v>
      </c>
      <c r="X32" s="26">
        <f>Audit[[#This Row],[Audit Candidate 6]]-Audit[[#This Row],[Candidate 6]]</f>
        <v>0</v>
      </c>
      <c r="Y32" s="26">
        <f>SUMIF(Audit[[#This Row],[Difference Loser]:[Difference Candidate 6]], "&gt;0")</f>
        <v>0</v>
      </c>
      <c r="Z32" s="26">
        <f>SUM(Audit[[#This Row],[Difference Loser]:[Difference Candidate 6]])</f>
        <v>-56</v>
      </c>
      <c r="AA32" s="26">
        <f>IF(Audit[[#This Row],[Times p Drawn - With Replacement]]&gt;0, IF(Audit[[#This Row],[Canceled Differences]]&lt;0, Audit[[#This Row],[Max Differences]]+ABS(Audit[[#This Row],[Canceled Differences]]), Audit[[#This Row],[Max Differences]]), 0)</f>
        <v>0</v>
      </c>
      <c r="AB32" s="26">
        <f>'Sampling Data'!P18</f>
        <v>4.3483586477217053E-3</v>
      </c>
      <c r="AC32" s="26">
        <f>IF(
      SUM(Audit[[#This Row],[Audit Losing Candidate]:[Audit Candidate 6]])
      &lt;&gt;0,
      (Audit[[#This Row],[Winning Candidate]]-Audit[[#This Row],[Losing Candidate]]-(Audit[[#This Row],[Audit Winning Candidate]]-Audit[[#This Row],[Audit Losing Candidate]]))/(Audit[[#Totals],[Winning Candidate]]-Audit[[#Totals],[Losing Candidate]]),
      0
)</f>
        <v>0</v>
      </c>
      <c r="AD32"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 s="26">
        <f>IF(Audit[[#This Row],[Max Relative Error (ep)]] = 0, 0, Audit[[#This Row],[Max Relative Error (ep)]]/Audit[[#This Row],[Error Bound (up) - Max. possible relative overstatement]])</f>
        <v>0</v>
      </c>
      <c r="AJ32"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2" s="26">
        <f t="shared" si="0"/>
        <v>1</v>
      </c>
      <c r="AL32" s="26">
        <f>PRODUCT($AK$5:AK32)</f>
        <v>8.962823818226312E-2</v>
      </c>
      <c r="AM32" s="29">
        <f>1 - [K-M P Value]</f>
        <v>0.91037176181773694</v>
      </c>
      <c r="AN32" s="26" t="str">
        <f>IF(Audit[[#This Row],[K-M P Value]]&gt;1-'General Info'!$B$16,"Continue", "Stop")</f>
        <v>Stop</v>
      </c>
      <c r="AO32" s="32" t="b">
        <f>IF(Audit[[#This Row],[Status - Continue or stop audit]] = "Continue", TRUE, IF(AN31 = "Continue", TRUE, FALSE))</f>
        <v>0</v>
      </c>
      <c r="AP32" s="32"/>
    </row>
    <row r="33" spans="1:42" ht="15" hidden="1" customHeight="1">
      <c r="A33" s="26" t="str">
        <f>'Sampling Data'!W19</f>
        <v/>
      </c>
      <c r="B33" s="26" t="str">
        <f>'Sampling Data'!A19</f>
        <v>BAY VILLAGE -03-B</v>
      </c>
      <c r="C33" s="27">
        <f>'Sampling Data'!B19</f>
        <v>29</v>
      </c>
      <c r="D33" s="27">
        <f>'Sampling Data'!C19</f>
        <v>106</v>
      </c>
      <c r="E33" s="27">
        <f>'Sampling Data'!D19</f>
        <v>17</v>
      </c>
      <c r="F33" s="27">
        <f>'Sampling Data'!E19</f>
        <v>9</v>
      </c>
      <c r="G33" s="27">
        <f>'Sampling Data'!F19</f>
        <v>0</v>
      </c>
      <c r="H33" s="27">
        <f>'Sampling Data'!G19</f>
        <v>0</v>
      </c>
      <c r="I33" s="27">
        <f>'Sampling Data'!H19</f>
        <v>0</v>
      </c>
      <c r="J33" s="27">
        <f>'Sampling Data'!I19</f>
        <v>3</v>
      </c>
      <c r="K33" s="27">
        <f>'Sampling Data'!J19</f>
        <v>164</v>
      </c>
      <c r="L33" s="26">
        <f>'Sampling Data'!X19</f>
        <v>0</v>
      </c>
      <c r="M33" s="16"/>
      <c r="N33" s="16"/>
      <c r="O33" s="16"/>
      <c r="P33" s="16"/>
      <c r="Q33" s="37"/>
      <c r="R33" s="37"/>
      <c r="S33" s="26">
        <f>Audit[[#This Row],[Audit Losing Candidate]]-Audit[[#This Row],[Losing Candidate]]</f>
        <v>-29</v>
      </c>
      <c r="T33" s="26">
        <f>Audit[[#This Row],[Audit Winning Candidate]]-Audit[[#This Row],[Winning Candidate]]</f>
        <v>-106</v>
      </c>
      <c r="U33" s="26">
        <f>Audit[[#This Row],[Audit Candidate 3]]-Audit[[#This Row],[Candidate 3]]</f>
        <v>-17</v>
      </c>
      <c r="V33" s="26">
        <f>Audit[[#This Row],[Audit Candidate 4]]-Audit[[#This Row],[Candidate 4]]</f>
        <v>-9</v>
      </c>
      <c r="W33" s="26">
        <f>Audit[[#This Row],[Audit Candidate 5]]-Audit[[#This Row],[Candidate 5]]</f>
        <v>0</v>
      </c>
      <c r="X33" s="26">
        <f>Audit[[#This Row],[Audit Candidate 6]]-Audit[[#This Row],[Candidate 6]]</f>
        <v>0</v>
      </c>
      <c r="Y33" s="26">
        <f>SUMIF(Audit[[#This Row],[Difference Loser]:[Difference Candidate 6]], "&gt;0")</f>
        <v>0</v>
      </c>
      <c r="Z33" s="26">
        <f>SUM(Audit[[#This Row],[Difference Loser]:[Difference Candidate 6]])</f>
        <v>-161</v>
      </c>
      <c r="AA33" s="26">
        <f>IF(Audit[[#This Row],[Times p Drawn - With Replacement]]&gt;0, IF(Audit[[#This Row],[Canceled Differences]]&lt;0, Audit[[#This Row],[Max Differences]]+ABS(Audit[[#This Row],[Canceled Differences]]), Audit[[#This Row],[Max Differences]]), 0)</f>
        <v>0</v>
      </c>
      <c r="AB33" s="26">
        <f>'Sampling Data'!P19</f>
        <v>1.4759921607055365E-2</v>
      </c>
      <c r="AC33" s="26">
        <f>IF(
      SUM(Audit[[#This Row],[Audit Losing Candidate]:[Audit Candidate 6]])
      &lt;&gt;0,
      (Audit[[#This Row],[Winning Candidate]]-Audit[[#This Row],[Losing Candidate]]-(Audit[[#This Row],[Audit Winning Candidate]]-Audit[[#This Row],[Audit Losing Candidate]]))/(Audit[[#Totals],[Winning Candidate]]-Audit[[#Totals],[Losing Candidate]]),
      0
)</f>
        <v>0</v>
      </c>
      <c r="AD33"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 s="26">
        <f>IF(Audit[[#This Row],[Max Relative Error (ep)]] = 0, 0, Audit[[#This Row],[Max Relative Error (ep)]]/Audit[[#This Row],[Error Bound (up) - Max. possible relative overstatement]])</f>
        <v>0</v>
      </c>
      <c r="AJ33"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3" s="26">
        <f t="shared" si="0"/>
        <v>1</v>
      </c>
      <c r="AL33" s="26">
        <f>PRODUCT($AK$5:AK33)</f>
        <v>8.962823818226312E-2</v>
      </c>
      <c r="AM33" s="31">
        <f>1 - [K-M P Value]</f>
        <v>0.91037176181773694</v>
      </c>
      <c r="AN33" s="26" t="str">
        <f>IF(Audit[[#This Row],[K-M P Value]]&gt;1-'General Info'!$B$16,"Continue", "Stop")</f>
        <v>Stop</v>
      </c>
      <c r="AO33" s="30" t="b">
        <f>IF(Audit[[#This Row],[Status - Continue or stop audit]] = "Continue", TRUE, IF(AN32 = "Continue", TRUE, FALSE))</f>
        <v>0</v>
      </c>
      <c r="AP33" s="30"/>
    </row>
    <row r="34" spans="1:42" ht="15" hidden="1" customHeight="1">
      <c r="A34" s="26" t="str">
        <f>'Sampling Data'!W20</f>
        <v/>
      </c>
      <c r="B34" s="26" t="str">
        <f>'Sampling Data'!A20</f>
        <v>BAY VILLAGE -03-B - ABS</v>
      </c>
      <c r="C34" s="27">
        <f>'Sampling Data'!B20</f>
        <v>13</v>
      </c>
      <c r="D34" s="27">
        <f>'Sampling Data'!C20</f>
        <v>36</v>
      </c>
      <c r="E34" s="27">
        <f>'Sampling Data'!D20</f>
        <v>9</v>
      </c>
      <c r="F34" s="27">
        <f>'Sampling Data'!E20</f>
        <v>1</v>
      </c>
      <c r="G34" s="27">
        <f>'Sampling Data'!F20</f>
        <v>0</v>
      </c>
      <c r="H34" s="27">
        <f>'Sampling Data'!G20</f>
        <v>0</v>
      </c>
      <c r="I34" s="27">
        <f>'Sampling Data'!H20</f>
        <v>0</v>
      </c>
      <c r="J34" s="27">
        <f>'Sampling Data'!I20</f>
        <v>1</v>
      </c>
      <c r="K34" s="27">
        <f>'Sampling Data'!J20</f>
        <v>60</v>
      </c>
      <c r="L34" s="26">
        <f>'Sampling Data'!X20</f>
        <v>0</v>
      </c>
      <c r="M34" s="16"/>
      <c r="N34" s="16"/>
      <c r="O34" s="16"/>
      <c r="P34" s="16"/>
      <c r="Q34" s="37"/>
      <c r="R34" s="37"/>
      <c r="S34" s="26">
        <f>Audit[[#This Row],[Audit Losing Candidate]]-Audit[[#This Row],[Losing Candidate]]</f>
        <v>-13</v>
      </c>
      <c r="T34" s="26">
        <f>Audit[[#This Row],[Audit Winning Candidate]]-Audit[[#This Row],[Winning Candidate]]</f>
        <v>-36</v>
      </c>
      <c r="U34" s="26">
        <f>Audit[[#This Row],[Audit Candidate 3]]-Audit[[#This Row],[Candidate 3]]</f>
        <v>-9</v>
      </c>
      <c r="V34" s="26">
        <f>Audit[[#This Row],[Audit Candidate 4]]-Audit[[#This Row],[Candidate 4]]</f>
        <v>-1</v>
      </c>
      <c r="W34" s="26">
        <f>Audit[[#This Row],[Audit Candidate 5]]-Audit[[#This Row],[Candidate 5]]</f>
        <v>0</v>
      </c>
      <c r="X34" s="26">
        <f>Audit[[#This Row],[Audit Candidate 6]]-Audit[[#This Row],[Candidate 6]]</f>
        <v>0</v>
      </c>
      <c r="Y34" s="26">
        <f>SUMIF(Audit[[#This Row],[Difference Loser]:[Difference Candidate 6]], "&gt;0")</f>
        <v>0</v>
      </c>
      <c r="Z34" s="26">
        <f>SUM(Audit[[#This Row],[Difference Loser]:[Difference Candidate 6]])</f>
        <v>-59</v>
      </c>
      <c r="AA34" s="26">
        <f>IF(Audit[[#This Row],[Times p Drawn - With Replacement]]&gt;0, IF(Audit[[#This Row],[Canceled Differences]]&lt;0, Audit[[#This Row],[Max Differences]]+ABS(Audit[[#This Row],[Canceled Differences]]), Audit[[#This Row],[Max Differences]]), 0)</f>
        <v>0</v>
      </c>
      <c r="AB34" s="26">
        <f>'Sampling Data'!P20</f>
        <v>5.0832925036746694E-3</v>
      </c>
      <c r="AC34" s="26">
        <f>IF(
      SUM(Audit[[#This Row],[Audit Losing Candidate]:[Audit Candidate 6]])
      &lt;&gt;0,
      (Audit[[#This Row],[Winning Candidate]]-Audit[[#This Row],[Losing Candidate]]-(Audit[[#This Row],[Audit Winning Candidate]]-Audit[[#This Row],[Audit Losing Candidate]]))/(Audit[[#Totals],[Winning Candidate]]-Audit[[#Totals],[Losing Candidate]]),
      0
)</f>
        <v>0</v>
      </c>
      <c r="AD34"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 s="26">
        <f>IF(Audit[[#This Row],[Max Relative Error (ep)]] = 0, 0, Audit[[#This Row],[Max Relative Error (ep)]]/Audit[[#This Row],[Error Bound (up) - Max. possible relative overstatement]])</f>
        <v>0</v>
      </c>
      <c r="AJ34"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4" s="26">
        <f t="shared" si="0"/>
        <v>1</v>
      </c>
      <c r="AL34" s="26">
        <f>PRODUCT($AK$5:AK34)</f>
        <v>8.962823818226312E-2</v>
      </c>
      <c r="AM34" s="31">
        <f>1 - [K-M P Value]</f>
        <v>0.91037176181773694</v>
      </c>
      <c r="AN34" s="26" t="str">
        <f>IF(Audit[[#This Row],[K-M P Value]]&gt;1-'General Info'!$B$16,"Continue", "Stop")</f>
        <v>Stop</v>
      </c>
      <c r="AO34" s="30" t="b">
        <f>IF(Audit[[#This Row],[Status - Continue or stop audit]] = "Continue", TRUE, IF(AN33 = "Continue", TRUE, FALSE))</f>
        <v>0</v>
      </c>
      <c r="AP34" s="30"/>
    </row>
    <row r="35" spans="1:42" ht="15" hidden="1" customHeight="1">
      <c r="A35" s="26" t="str">
        <f>'Sampling Data'!W21</f>
        <v/>
      </c>
      <c r="B35" s="28" t="str">
        <f>'Sampling Data'!A21</f>
        <v>BAY VILLAGE -03-C</v>
      </c>
      <c r="C35" s="28">
        <f>'Sampling Data'!B21</f>
        <v>23</v>
      </c>
      <c r="D35" s="28">
        <f>'Sampling Data'!C21</f>
        <v>78</v>
      </c>
      <c r="E35" s="27">
        <f>'Sampling Data'!D21</f>
        <v>9</v>
      </c>
      <c r="F35" s="27">
        <f>'Sampling Data'!E21</f>
        <v>12</v>
      </c>
      <c r="G35" s="27">
        <f>'Sampling Data'!F21</f>
        <v>1</v>
      </c>
      <c r="H35" s="27">
        <f>'Sampling Data'!G21</f>
        <v>0</v>
      </c>
      <c r="I35" s="28">
        <f>'Sampling Data'!H21</f>
        <v>1</v>
      </c>
      <c r="J35" s="28">
        <f>'Sampling Data'!I21</f>
        <v>2</v>
      </c>
      <c r="K35" s="28">
        <f>'Sampling Data'!J21</f>
        <v>126</v>
      </c>
      <c r="L35" s="26">
        <f>'Sampling Data'!X21</f>
        <v>0</v>
      </c>
      <c r="M35" s="38"/>
      <c r="N35" s="38"/>
      <c r="O35" s="39"/>
      <c r="P35" s="39"/>
      <c r="Q35" s="40"/>
      <c r="R35" s="40"/>
      <c r="S35" s="26">
        <f>Audit[[#This Row],[Audit Losing Candidate]]-Audit[[#This Row],[Losing Candidate]]</f>
        <v>-23</v>
      </c>
      <c r="T35" s="26">
        <f>Audit[[#This Row],[Audit Winning Candidate]]-Audit[[#This Row],[Winning Candidate]]</f>
        <v>-78</v>
      </c>
      <c r="U35" s="26">
        <f>Audit[[#This Row],[Audit Candidate 3]]-Audit[[#This Row],[Candidate 3]]</f>
        <v>-9</v>
      </c>
      <c r="V35" s="26">
        <f>Audit[[#This Row],[Audit Candidate 4]]-Audit[[#This Row],[Candidate 4]]</f>
        <v>-12</v>
      </c>
      <c r="W35" s="26">
        <f>Audit[[#This Row],[Audit Candidate 5]]-Audit[[#This Row],[Candidate 5]]</f>
        <v>-1</v>
      </c>
      <c r="X35" s="26">
        <f>Audit[[#This Row],[Audit Candidate 6]]-Audit[[#This Row],[Candidate 6]]</f>
        <v>0</v>
      </c>
      <c r="Y35" s="26">
        <f>SUMIF(Audit[[#This Row],[Difference Loser]:[Difference Candidate 6]], "&gt;0")</f>
        <v>0</v>
      </c>
      <c r="Z35" s="26">
        <f>SUM(Audit[[#This Row],[Difference Loser]:[Difference Candidate 6]])</f>
        <v>-123</v>
      </c>
      <c r="AA35" s="26">
        <f>IF(Audit[[#This Row],[Times p Drawn - With Replacement]]&gt;0, IF(Audit[[#This Row],[Canceled Differences]]&lt;0, Audit[[#This Row],[Max Differences]]+ABS(Audit[[#This Row],[Canceled Differences]]), Audit[[#This Row],[Max Differences]]), 0)</f>
        <v>0</v>
      </c>
      <c r="AB35" s="26">
        <f>'Sampling Data'!P21</f>
        <v>1.1085252327290544E-2</v>
      </c>
      <c r="AC35" s="26">
        <f>IF(
      SUM(Audit[[#This Row],[Audit Losing Candidate]:[Audit Candidate 6]])
      &lt;&gt;0,
      (Audit[[#This Row],[Winning Candidate]]-Audit[[#This Row],[Losing Candidate]]-(Audit[[#This Row],[Audit Winning Candidate]]-Audit[[#This Row],[Audit Losing Candidate]]))/(Audit[[#Totals],[Winning Candidate]]-Audit[[#Totals],[Losing Candidate]]),
      0
)</f>
        <v>0</v>
      </c>
      <c r="AD35"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 s="26">
        <f>IF(Audit[[#This Row],[Max Relative Error (ep)]] = 0, 0, Audit[[#This Row],[Max Relative Error (ep)]]/Audit[[#This Row],[Error Bound (up) - Max. possible relative overstatement]])</f>
        <v>0</v>
      </c>
      <c r="AJ35"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5" s="26">
        <f t="shared" si="0"/>
        <v>1</v>
      </c>
      <c r="AL35" s="26">
        <f>PRODUCT($AK$5:AK35)</f>
        <v>8.962823818226312E-2</v>
      </c>
      <c r="AM35" s="29">
        <f>1 - [K-M P Value]</f>
        <v>0.91037176181773694</v>
      </c>
      <c r="AN35" s="26" t="str">
        <f>IF(Audit[[#This Row],[K-M P Value]]&gt;1-'General Info'!$B$16,"Continue", "Stop")</f>
        <v>Stop</v>
      </c>
      <c r="AO35" s="32" t="b">
        <f>IF(Audit[[#This Row],[Status - Continue or stop audit]] = "Continue", TRUE, IF(AN34 = "Continue", TRUE, FALSE))</f>
        <v>0</v>
      </c>
      <c r="AP35" s="32"/>
    </row>
    <row r="36" spans="1:42" ht="15" hidden="1" customHeight="1">
      <c r="A36" s="26" t="str">
        <f>'Sampling Data'!W24</f>
        <v/>
      </c>
      <c r="B36" s="28" t="str">
        <f>'Sampling Data'!A24</f>
        <v>BAY VILLAGE -04-A - ABS</v>
      </c>
      <c r="C36" s="28">
        <f>'Sampling Data'!B24</f>
        <v>16</v>
      </c>
      <c r="D36" s="28">
        <f>'Sampling Data'!C24</f>
        <v>39</v>
      </c>
      <c r="E36" s="27">
        <f>'Sampling Data'!D24</f>
        <v>9</v>
      </c>
      <c r="F36" s="27">
        <f>'Sampling Data'!E24</f>
        <v>0</v>
      </c>
      <c r="G36" s="27">
        <f>'Sampling Data'!F24</f>
        <v>0</v>
      </c>
      <c r="H36" s="27">
        <f>'Sampling Data'!G24</f>
        <v>0</v>
      </c>
      <c r="I36" s="28">
        <f>'Sampling Data'!H24</f>
        <v>0</v>
      </c>
      <c r="J36" s="28">
        <f>'Sampling Data'!I24</f>
        <v>2</v>
      </c>
      <c r="K36" s="28">
        <f>'Sampling Data'!J24</f>
        <v>66</v>
      </c>
      <c r="L36" s="26">
        <f>'Sampling Data'!X24</f>
        <v>0</v>
      </c>
      <c r="M36" s="38"/>
      <c r="N36" s="38"/>
      <c r="O36" s="39"/>
      <c r="P36" s="39"/>
      <c r="Q36" s="40"/>
      <c r="R36" s="40"/>
      <c r="S36" s="26">
        <f>Audit[[#This Row],[Audit Losing Candidate]]-Audit[[#This Row],[Losing Candidate]]</f>
        <v>-16</v>
      </c>
      <c r="T36" s="26">
        <f>Audit[[#This Row],[Audit Winning Candidate]]-Audit[[#This Row],[Winning Candidate]]</f>
        <v>-39</v>
      </c>
      <c r="U36" s="26">
        <f>Audit[[#This Row],[Audit Candidate 3]]-Audit[[#This Row],[Candidate 3]]</f>
        <v>-9</v>
      </c>
      <c r="V36" s="26">
        <f>Audit[[#This Row],[Audit Candidate 4]]-Audit[[#This Row],[Candidate 4]]</f>
        <v>0</v>
      </c>
      <c r="W36" s="26">
        <f>Audit[[#This Row],[Audit Candidate 5]]-Audit[[#This Row],[Candidate 5]]</f>
        <v>0</v>
      </c>
      <c r="X36" s="26">
        <f>Audit[[#This Row],[Audit Candidate 6]]-Audit[[#This Row],[Candidate 6]]</f>
        <v>0</v>
      </c>
      <c r="Y36" s="26">
        <f>SUMIF(Audit[[#This Row],[Difference Loser]:[Difference Candidate 6]], "&gt;0")</f>
        <v>0</v>
      </c>
      <c r="Z36" s="26">
        <f>SUM(Audit[[#This Row],[Difference Loser]:[Difference Candidate 6]])</f>
        <v>-64</v>
      </c>
      <c r="AA36" s="26">
        <f>IF(Audit[[#This Row],[Times p Drawn - With Replacement]]&gt;0, IF(Audit[[#This Row],[Canceled Differences]]&lt;0, Audit[[#This Row],[Max Differences]]+ABS(Audit[[#This Row],[Canceled Differences]]), Audit[[#This Row],[Max Differences]]), 0)</f>
        <v>0</v>
      </c>
      <c r="AB36" s="26">
        <f>'Sampling Data'!P24</f>
        <v>5.4507594316511518E-3</v>
      </c>
      <c r="AC36" s="26">
        <f>IF(
      SUM(Audit[[#This Row],[Audit Losing Candidate]:[Audit Candidate 6]])
      &lt;&gt;0,
      (Audit[[#This Row],[Winning Candidate]]-Audit[[#This Row],[Losing Candidate]]-(Audit[[#This Row],[Audit Winning Candidate]]-Audit[[#This Row],[Audit Losing Candidate]]))/(Audit[[#Totals],[Winning Candidate]]-Audit[[#Totals],[Losing Candidate]]),
      0
)</f>
        <v>0</v>
      </c>
      <c r="AD36"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 s="26">
        <f>IF(Audit[[#This Row],[Max Relative Error (ep)]] = 0, 0, Audit[[#This Row],[Max Relative Error (ep)]]/Audit[[#This Row],[Error Bound (up) - Max. possible relative overstatement]])</f>
        <v>0</v>
      </c>
      <c r="AJ36"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6" s="26">
        <f t="shared" si="0"/>
        <v>1</v>
      </c>
      <c r="AL36" s="26">
        <f>PRODUCT($AK$5:AK36)</f>
        <v>8.962823818226312E-2</v>
      </c>
      <c r="AM36" s="29">
        <f>1 - [K-M P Value]</f>
        <v>0.91037176181773694</v>
      </c>
      <c r="AN36" s="26" t="str">
        <f>IF(Audit[[#This Row],[K-M P Value]]&gt;1-'General Info'!$B$16,"Continue", "Stop")</f>
        <v>Stop</v>
      </c>
      <c r="AO36" s="32" t="b">
        <f>IF(Audit[[#This Row],[Status - Continue or stop audit]] = "Continue", TRUE, IF(AN35 = "Continue", TRUE, FALSE))</f>
        <v>0</v>
      </c>
      <c r="AP36" s="32"/>
    </row>
    <row r="37" spans="1:42" ht="15" hidden="1" customHeight="1">
      <c r="A37" s="26" t="str">
        <f>'Sampling Data'!W25</f>
        <v/>
      </c>
      <c r="B37" s="28" t="str">
        <f>'Sampling Data'!A25</f>
        <v>BAY VILLAGE -04-B</v>
      </c>
      <c r="C37" s="28">
        <f>'Sampling Data'!B25</f>
        <v>36</v>
      </c>
      <c r="D37" s="28">
        <f>'Sampling Data'!C25</f>
        <v>130</v>
      </c>
      <c r="E37" s="27">
        <f>'Sampling Data'!D25</f>
        <v>18</v>
      </c>
      <c r="F37" s="27">
        <f>'Sampling Data'!E25</f>
        <v>8</v>
      </c>
      <c r="G37" s="27">
        <f>'Sampling Data'!F25</f>
        <v>0</v>
      </c>
      <c r="H37" s="27">
        <f>'Sampling Data'!G25</f>
        <v>0</v>
      </c>
      <c r="I37" s="28">
        <f>'Sampling Data'!H25</f>
        <v>0</v>
      </c>
      <c r="J37" s="28">
        <f>'Sampling Data'!I25</f>
        <v>1</v>
      </c>
      <c r="K37" s="28">
        <f>'Sampling Data'!J25</f>
        <v>193</v>
      </c>
      <c r="L37" s="26">
        <f>'Sampling Data'!X25</f>
        <v>0</v>
      </c>
      <c r="M37" s="38"/>
      <c r="N37" s="38"/>
      <c r="O37" s="39"/>
      <c r="P37" s="39"/>
      <c r="Q37" s="40"/>
      <c r="R37" s="40"/>
      <c r="S37" s="26">
        <f>Audit[[#This Row],[Audit Losing Candidate]]-Audit[[#This Row],[Losing Candidate]]</f>
        <v>-36</v>
      </c>
      <c r="T37" s="26">
        <f>Audit[[#This Row],[Audit Winning Candidate]]-Audit[[#This Row],[Winning Candidate]]</f>
        <v>-130</v>
      </c>
      <c r="U37" s="26">
        <f>Audit[[#This Row],[Audit Candidate 3]]-Audit[[#This Row],[Candidate 3]]</f>
        <v>-18</v>
      </c>
      <c r="V37" s="26">
        <f>Audit[[#This Row],[Audit Candidate 4]]-Audit[[#This Row],[Candidate 4]]</f>
        <v>-8</v>
      </c>
      <c r="W37" s="26">
        <f>Audit[[#This Row],[Audit Candidate 5]]-Audit[[#This Row],[Candidate 5]]</f>
        <v>0</v>
      </c>
      <c r="X37" s="26">
        <f>Audit[[#This Row],[Audit Candidate 6]]-Audit[[#This Row],[Candidate 6]]</f>
        <v>0</v>
      </c>
      <c r="Y37" s="26">
        <f>SUMIF(Audit[[#This Row],[Difference Loser]:[Difference Candidate 6]], "&gt;0")</f>
        <v>0</v>
      </c>
      <c r="Z37" s="26">
        <f>SUM(Audit[[#This Row],[Difference Loser]:[Difference Candidate 6]])</f>
        <v>-192</v>
      </c>
      <c r="AA37" s="26">
        <f>IF(Audit[[#This Row],[Times p Drawn - With Replacement]]&gt;0, IF(Audit[[#This Row],[Canceled Differences]]&lt;0, Audit[[#This Row],[Max Differences]]+ABS(Audit[[#This Row],[Canceled Differences]]), Audit[[#This Row],[Max Differences]]), 0)</f>
        <v>0</v>
      </c>
      <c r="AB37" s="26">
        <f>'Sampling Data'!P25</f>
        <v>1.757716805487506E-2</v>
      </c>
      <c r="AC37" s="26">
        <f>IF(
      SUM(Audit[[#This Row],[Audit Losing Candidate]:[Audit Candidate 6]])
      &lt;&gt;0,
      (Audit[[#This Row],[Winning Candidate]]-Audit[[#This Row],[Losing Candidate]]-(Audit[[#This Row],[Audit Winning Candidate]]-Audit[[#This Row],[Audit Losing Candidate]]))/(Audit[[#Totals],[Winning Candidate]]-Audit[[#Totals],[Losing Candidate]]),
      0
)</f>
        <v>0</v>
      </c>
      <c r="AD37"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 s="26">
        <f>IF(Audit[[#This Row],[Max Relative Error (ep)]] = 0, 0, Audit[[#This Row],[Max Relative Error (ep)]]/Audit[[#This Row],[Error Bound (up) - Max. possible relative overstatement]])</f>
        <v>0</v>
      </c>
      <c r="AJ37"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7" s="26">
        <f t="shared" si="0"/>
        <v>1</v>
      </c>
      <c r="AL37" s="26">
        <f>PRODUCT($AK$5:AK37)</f>
        <v>8.962823818226312E-2</v>
      </c>
      <c r="AM37" s="29">
        <f>1 - [K-M P Value]</f>
        <v>0.91037176181773694</v>
      </c>
      <c r="AN37" s="26" t="str">
        <f>IF(Audit[[#This Row],[K-M P Value]]&gt;1-'General Info'!$B$16,"Continue", "Stop")</f>
        <v>Stop</v>
      </c>
      <c r="AO37" s="32" t="b">
        <f>IF(Audit[[#This Row],[Status - Continue or stop audit]] = "Continue", TRUE, IF(AN36 = "Continue", TRUE, FALSE))</f>
        <v>0</v>
      </c>
      <c r="AP37" s="32"/>
    </row>
    <row r="38" spans="1:42" ht="15" hidden="1" customHeight="1">
      <c r="A38" s="26" t="str">
        <f>'Sampling Data'!W26</f>
        <v/>
      </c>
      <c r="B38" s="28" t="str">
        <f>'Sampling Data'!A26</f>
        <v>BAY VILLAGE -04-B - ABS</v>
      </c>
      <c r="C38" s="28">
        <f>'Sampling Data'!B26</f>
        <v>17</v>
      </c>
      <c r="D38" s="28">
        <f>'Sampling Data'!C26</f>
        <v>44</v>
      </c>
      <c r="E38" s="27">
        <f>'Sampling Data'!D26</f>
        <v>5</v>
      </c>
      <c r="F38" s="27">
        <f>'Sampling Data'!E26</f>
        <v>6</v>
      </c>
      <c r="G38" s="27">
        <f>'Sampling Data'!F26</f>
        <v>0</v>
      </c>
      <c r="H38" s="27">
        <f>'Sampling Data'!G26</f>
        <v>0</v>
      </c>
      <c r="I38" s="28">
        <f>'Sampling Data'!H26</f>
        <v>0</v>
      </c>
      <c r="J38" s="28">
        <f>'Sampling Data'!I26</f>
        <v>2</v>
      </c>
      <c r="K38" s="28">
        <f>'Sampling Data'!J26</f>
        <v>74</v>
      </c>
      <c r="L38" s="26">
        <f>'Sampling Data'!X26</f>
        <v>0</v>
      </c>
      <c r="M38" s="38"/>
      <c r="N38" s="38"/>
      <c r="O38" s="39"/>
      <c r="P38" s="39"/>
      <c r="Q38" s="40"/>
      <c r="R38" s="40"/>
      <c r="S38" s="26">
        <f>Audit[[#This Row],[Audit Losing Candidate]]-Audit[[#This Row],[Losing Candidate]]</f>
        <v>-17</v>
      </c>
      <c r="T38" s="26">
        <f>Audit[[#This Row],[Audit Winning Candidate]]-Audit[[#This Row],[Winning Candidate]]</f>
        <v>-44</v>
      </c>
      <c r="U38" s="26">
        <f>Audit[[#This Row],[Audit Candidate 3]]-Audit[[#This Row],[Candidate 3]]</f>
        <v>-5</v>
      </c>
      <c r="V38" s="26">
        <f>Audit[[#This Row],[Audit Candidate 4]]-Audit[[#This Row],[Candidate 4]]</f>
        <v>-6</v>
      </c>
      <c r="W38" s="26">
        <f>Audit[[#This Row],[Audit Candidate 5]]-Audit[[#This Row],[Candidate 5]]</f>
        <v>0</v>
      </c>
      <c r="X38" s="26">
        <f>Audit[[#This Row],[Audit Candidate 6]]-Audit[[#This Row],[Candidate 6]]</f>
        <v>0</v>
      </c>
      <c r="Y38" s="26">
        <f>SUMIF(Audit[[#This Row],[Difference Loser]:[Difference Candidate 6]], "&gt;0")</f>
        <v>0</v>
      </c>
      <c r="Z38" s="26">
        <f>SUM(Audit[[#This Row],[Difference Loser]:[Difference Candidate 6]])</f>
        <v>-72</v>
      </c>
      <c r="AA38" s="26">
        <f>IF(Audit[[#This Row],[Times p Drawn - With Replacement]]&gt;0, IF(Audit[[#This Row],[Canceled Differences]]&lt;0, Audit[[#This Row],[Max Differences]]+ABS(Audit[[#This Row],[Canceled Differences]]), Audit[[#This Row],[Max Differences]]), 0)</f>
        <v>0</v>
      </c>
      <c r="AB38" s="26">
        <f>'Sampling Data'!P26</f>
        <v>6.1856932876041158E-3</v>
      </c>
      <c r="AC38" s="26">
        <f>IF(
      SUM(Audit[[#This Row],[Audit Losing Candidate]:[Audit Candidate 6]])
      &lt;&gt;0,
      (Audit[[#This Row],[Winning Candidate]]-Audit[[#This Row],[Losing Candidate]]-(Audit[[#This Row],[Audit Winning Candidate]]-Audit[[#This Row],[Audit Losing Candidate]]))/(Audit[[#Totals],[Winning Candidate]]-Audit[[#Totals],[Losing Candidate]]),
      0
)</f>
        <v>0</v>
      </c>
      <c r="AD38"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 s="26">
        <f>IF(Audit[[#This Row],[Max Relative Error (ep)]] = 0, 0, Audit[[#This Row],[Max Relative Error (ep)]]/Audit[[#This Row],[Error Bound (up) - Max. possible relative overstatement]])</f>
        <v>0</v>
      </c>
      <c r="AJ38"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8" s="26">
        <f t="shared" si="0"/>
        <v>1</v>
      </c>
      <c r="AL38" s="26">
        <f>PRODUCT($AK$5:AK38)</f>
        <v>8.962823818226312E-2</v>
      </c>
      <c r="AM38" s="29">
        <f>1 - [K-M P Value]</f>
        <v>0.91037176181773694</v>
      </c>
      <c r="AN38" s="26" t="str">
        <f>IF(Audit[[#This Row],[K-M P Value]]&gt;1-'General Info'!$B$16,"Continue", "Stop")</f>
        <v>Stop</v>
      </c>
      <c r="AO38" s="32" t="b">
        <f>IF(Audit[[#This Row],[Status - Continue or stop audit]] = "Continue", TRUE, IF(AN37 = "Continue", TRUE, FALSE))</f>
        <v>0</v>
      </c>
      <c r="AP38" s="32"/>
    </row>
    <row r="39" spans="1:42" ht="15" hidden="1" customHeight="1">
      <c r="A39" s="26" t="str">
        <f>'Sampling Data'!W27</f>
        <v/>
      </c>
      <c r="B39" s="28" t="str">
        <f>'Sampling Data'!A27</f>
        <v>BAY VILLAGE -04-C</v>
      </c>
      <c r="C39" s="28">
        <f>'Sampling Data'!B27</f>
        <v>53</v>
      </c>
      <c r="D39" s="28">
        <f>'Sampling Data'!C27</f>
        <v>123</v>
      </c>
      <c r="E39" s="27">
        <f>'Sampling Data'!D27</f>
        <v>28</v>
      </c>
      <c r="F39" s="27">
        <f>'Sampling Data'!E27</f>
        <v>7</v>
      </c>
      <c r="G39" s="27">
        <f>'Sampling Data'!F27</f>
        <v>0</v>
      </c>
      <c r="H39" s="27">
        <f>'Sampling Data'!G27</f>
        <v>2</v>
      </c>
      <c r="I39" s="28">
        <f>'Sampling Data'!H27</f>
        <v>1</v>
      </c>
      <c r="J39" s="28">
        <f>'Sampling Data'!I27</f>
        <v>2</v>
      </c>
      <c r="K39" s="28">
        <f>'Sampling Data'!J27</f>
        <v>216</v>
      </c>
      <c r="L39" s="26">
        <f>'Sampling Data'!X27</f>
        <v>0</v>
      </c>
      <c r="M39" s="38"/>
      <c r="N39" s="38"/>
      <c r="O39" s="39"/>
      <c r="P39" s="39"/>
      <c r="Q39" s="40"/>
      <c r="R39" s="40"/>
      <c r="S39" s="26">
        <f>Audit[[#This Row],[Audit Losing Candidate]]-Audit[[#This Row],[Losing Candidate]]</f>
        <v>-53</v>
      </c>
      <c r="T39" s="26">
        <f>Audit[[#This Row],[Audit Winning Candidate]]-Audit[[#This Row],[Winning Candidate]]</f>
        <v>-123</v>
      </c>
      <c r="U39" s="26">
        <f>Audit[[#This Row],[Audit Candidate 3]]-Audit[[#This Row],[Candidate 3]]</f>
        <v>-28</v>
      </c>
      <c r="V39" s="26">
        <f>Audit[[#This Row],[Audit Candidate 4]]-Audit[[#This Row],[Candidate 4]]</f>
        <v>-7</v>
      </c>
      <c r="W39" s="26">
        <f>Audit[[#This Row],[Audit Candidate 5]]-Audit[[#This Row],[Candidate 5]]</f>
        <v>0</v>
      </c>
      <c r="X39" s="26">
        <f>Audit[[#This Row],[Audit Candidate 6]]-Audit[[#This Row],[Candidate 6]]</f>
        <v>-2</v>
      </c>
      <c r="Y39" s="26">
        <f>SUMIF(Audit[[#This Row],[Difference Loser]:[Difference Candidate 6]], "&gt;0")</f>
        <v>0</v>
      </c>
      <c r="Z39" s="26">
        <f>SUM(Audit[[#This Row],[Difference Loser]:[Difference Candidate 6]])</f>
        <v>-213</v>
      </c>
      <c r="AA39" s="26">
        <f>IF(Audit[[#This Row],[Times p Drawn - With Replacement]]&gt;0, IF(Audit[[#This Row],[Canceled Differences]]&lt;0, Audit[[#This Row],[Max Differences]]+ABS(Audit[[#This Row],[Canceled Differences]]), Audit[[#This Row],[Max Differences]]), 0)</f>
        <v>0</v>
      </c>
      <c r="AB39" s="26">
        <f>'Sampling Data'!P27</f>
        <v>1.751592356687898E-2</v>
      </c>
      <c r="AC39" s="26">
        <f>IF(
      SUM(Audit[[#This Row],[Audit Losing Candidate]:[Audit Candidate 6]])
      &lt;&gt;0,
      (Audit[[#This Row],[Winning Candidate]]-Audit[[#This Row],[Losing Candidate]]-(Audit[[#This Row],[Audit Winning Candidate]]-Audit[[#This Row],[Audit Losing Candidate]]))/(Audit[[#Totals],[Winning Candidate]]-Audit[[#Totals],[Losing Candidate]]),
      0
)</f>
        <v>0</v>
      </c>
      <c r="AD39"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 s="26">
        <f>IF(Audit[[#This Row],[Max Relative Error (ep)]] = 0, 0, Audit[[#This Row],[Max Relative Error (ep)]]/Audit[[#This Row],[Error Bound (up) - Max. possible relative overstatement]])</f>
        <v>0</v>
      </c>
      <c r="AJ39"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9" s="26">
        <f t="shared" si="0"/>
        <v>1</v>
      </c>
      <c r="AL39" s="26">
        <f>PRODUCT($AK$5:AK39)</f>
        <v>8.962823818226312E-2</v>
      </c>
      <c r="AM39" s="29">
        <f>1 - [K-M P Value]</f>
        <v>0.91037176181773694</v>
      </c>
      <c r="AN39" s="26" t="str">
        <f>IF(Audit[[#This Row],[K-M P Value]]&gt;1-'General Info'!$B$16,"Continue", "Stop")</f>
        <v>Stop</v>
      </c>
      <c r="AO39" s="32" t="b">
        <f>IF(Audit[[#This Row],[Status - Continue or stop audit]] = "Continue", TRUE, IF(AN38 = "Continue", TRUE, FALSE))</f>
        <v>0</v>
      </c>
      <c r="AP39" s="32"/>
    </row>
    <row r="40" spans="1:42" ht="15" hidden="1" customHeight="1">
      <c r="A40" s="26" t="str">
        <f>'Sampling Data'!W28</f>
        <v/>
      </c>
      <c r="B40" s="28" t="str">
        <f>'Sampling Data'!A28</f>
        <v>BAY VILLAGE -04-C - ABS</v>
      </c>
      <c r="C40" s="28">
        <f>'Sampling Data'!B28</f>
        <v>16</v>
      </c>
      <c r="D40" s="28">
        <f>'Sampling Data'!C28</f>
        <v>30</v>
      </c>
      <c r="E40" s="27">
        <f>'Sampling Data'!D28</f>
        <v>5</v>
      </c>
      <c r="F40" s="27">
        <f>'Sampling Data'!E28</f>
        <v>6</v>
      </c>
      <c r="G40" s="27">
        <f>'Sampling Data'!F28</f>
        <v>0</v>
      </c>
      <c r="H40" s="27">
        <f>'Sampling Data'!G28</f>
        <v>0</v>
      </c>
      <c r="I40" s="28">
        <f>'Sampling Data'!H28</f>
        <v>0</v>
      </c>
      <c r="J40" s="28">
        <f>'Sampling Data'!I28</f>
        <v>1</v>
      </c>
      <c r="K40" s="28">
        <f>'Sampling Data'!J28</f>
        <v>58</v>
      </c>
      <c r="L40" s="26">
        <f>'Sampling Data'!X28</f>
        <v>0</v>
      </c>
      <c r="M40" s="38"/>
      <c r="N40" s="38"/>
      <c r="O40" s="39"/>
      <c r="P40" s="39"/>
      <c r="Q40" s="40"/>
      <c r="R40" s="40"/>
      <c r="S40" s="26">
        <f>Audit[[#This Row],[Audit Losing Candidate]]-Audit[[#This Row],[Losing Candidate]]</f>
        <v>-16</v>
      </c>
      <c r="T40" s="26">
        <f>Audit[[#This Row],[Audit Winning Candidate]]-Audit[[#This Row],[Winning Candidate]]</f>
        <v>-30</v>
      </c>
      <c r="U40" s="26">
        <f>Audit[[#This Row],[Audit Candidate 3]]-Audit[[#This Row],[Candidate 3]]</f>
        <v>-5</v>
      </c>
      <c r="V40" s="26">
        <f>Audit[[#This Row],[Audit Candidate 4]]-Audit[[#This Row],[Candidate 4]]</f>
        <v>-6</v>
      </c>
      <c r="W40" s="26">
        <f>Audit[[#This Row],[Audit Candidate 5]]-Audit[[#This Row],[Candidate 5]]</f>
        <v>0</v>
      </c>
      <c r="X40" s="26">
        <f>Audit[[#This Row],[Audit Candidate 6]]-Audit[[#This Row],[Candidate 6]]</f>
        <v>0</v>
      </c>
      <c r="Y40" s="26">
        <f>SUMIF(Audit[[#This Row],[Difference Loser]:[Difference Candidate 6]], "&gt;0")</f>
        <v>0</v>
      </c>
      <c r="Z40" s="26">
        <f>SUM(Audit[[#This Row],[Difference Loser]:[Difference Candidate 6]])</f>
        <v>-57</v>
      </c>
      <c r="AA40" s="26">
        <f>IF(Audit[[#This Row],[Times p Drawn - With Replacement]]&gt;0, IF(Audit[[#This Row],[Canceled Differences]]&lt;0, Audit[[#This Row],[Max Differences]]+ABS(Audit[[#This Row],[Canceled Differences]]), Audit[[#This Row],[Max Differences]]), 0)</f>
        <v>0</v>
      </c>
      <c r="AB40" s="26">
        <f>'Sampling Data'!P28</f>
        <v>4.4096031357177858E-3</v>
      </c>
      <c r="AC40" s="26">
        <f>IF(
      SUM(Audit[[#This Row],[Audit Losing Candidate]:[Audit Candidate 6]])
      &lt;&gt;0,
      (Audit[[#This Row],[Winning Candidate]]-Audit[[#This Row],[Losing Candidate]]-(Audit[[#This Row],[Audit Winning Candidate]]-Audit[[#This Row],[Audit Losing Candidate]]))/(Audit[[#Totals],[Winning Candidate]]-Audit[[#Totals],[Losing Candidate]]),
      0
)</f>
        <v>0</v>
      </c>
      <c r="AD40"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 s="26">
        <f>IF(Audit[[#This Row],[Max Relative Error (ep)]] = 0, 0, Audit[[#This Row],[Max Relative Error (ep)]]/Audit[[#This Row],[Error Bound (up) - Max. possible relative overstatement]])</f>
        <v>0</v>
      </c>
      <c r="AJ40"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0" s="26">
        <f t="shared" si="0"/>
        <v>1</v>
      </c>
      <c r="AL40" s="26">
        <f>PRODUCT($AK$5:AK40)</f>
        <v>8.962823818226312E-2</v>
      </c>
      <c r="AM40" s="29">
        <f>1 - [K-M P Value]</f>
        <v>0.91037176181773694</v>
      </c>
      <c r="AN40" s="26" t="str">
        <f>IF(Audit[[#This Row],[K-M P Value]]&gt;1-'General Info'!$B$16,"Continue", "Stop")</f>
        <v>Stop</v>
      </c>
      <c r="AO40" s="32" t="b">
        <f>IF(Audit[[#This Row],[Status - Continue or stop audit]] = "Continue", TRUE, IF(AN39 = "Continue", TRUE, FALSE))</f>
        <v>0</v>
      </c>
      <c r="AP40" s="32"/>
    </row>
    <row r="41" spans="1:42" ht="15" hidden="1" customHeight="1">
      <c r="A41" s="26" t="str">
        <f>'Sampling Data'!W29</f>
        <v/>
      </c>
      <c r="B41" s="28" t="str">
        <f>'Sampling Data'!A29</f>
        <v>BEACHWOOD -00-A</v>
      </c>
      <c r="C41" s="28">
        <f>'Sampling Data'!B29</f>
        <v>12</v>
      </c>
      <c r="D41" s="28">
        <f>'Sampling Data'!C29</f>
        <v>60</v>
      </c>
      <c r="E41" s="27">
        <f>'Sampling Data'!D29</f>
        <v>4</v>
      </c>
      <c r="F41" s="27">
        <f>'Sampling Data'!E29</f>
        <v>6</v>
      </c>
      <c r="G41" s="27">
        <f>'Sampling Data'!F29</f>
        <v>0</v>
      </c>
      <c r="H41" s="27">
        <f>'Sampling Data'!G29</f>
        <v>0</v>
      </c>
      <c r="I41" s="28">
        <f>'Sampling Data'!H29</f>
        <v>0</v>
      </c>
      <c r="J41" s="28">
        <f>'Sampling Data'!I29</f>
        <v>3</v>
      </c>
      <c r="K41" s="28">
        <f>'Sampling Data'!J29</f>
        <v>85</v>
      </c>
      <c r="L41" s="26">
        <f>'Sampling Data'!X29</f>
        <v>0</v>
      </c>
      <c r="M41" s="38"/>
      <c r="N41" s="38"/>
      <c r="O41" s="39"/>
      <c r="P41" s="39"/>
      <c r="Q41" s="40"/>
      <c r="R41" s="40"/>
      <c r="S41" s="26">
        <f>Audit[[#This Row],[Audit Losing Candidate]]-Audit[[#This Row],[Losing Candidate]]</f>
        <v>-12</v>
      </c>
      <c r="T41" s="26">
        <f>Audit[[#This Row],[Audit Winning Candidate]]-Audit[[#This Row],[Winning Candidate]]</f>
        <v>-60</v>
      </c>
      <c r="U41" s="26">
        <f>Audit[[#This Row],[Audit Candidate 3]]-Audit[[#This Row],[Candidate 3]]</f>
        <v>-4</v>
      </c>
      <c r="V41" s="26">
        <f>Audit[[#This Row],[Audit Candidate 4]]-Audit[[#This Row],[Candidate 4]]</f>
        <v>-6</v>
      </c>
      <c r="W41" s="26">
        <f>Audit[[#This Row],[Audit Candidate 5]]-Audit[[#This Row],[Candidate 5]]</f>
        <v>0</v>
      </c>
      <c r="X41" s="26">
        <f>Audit[[#This Row],[Audit Candidate 6]]-Audit[[#This Row],[Candidate 6]]</f>
        <v>0</v>
      </c>
      <c r="Y41" s="26">
        <f>SUMIF(Audit[[#This Row],[Difference Loser]:[Difference Candidate 6]], "&gt;0")</f>
        <v>0</v>
      </c>
      <c r="Z41" s="26">
        <f>SUM(Audit[[#This Row],[Difference Loser]:[Difference Candidate 6]])</f>
        <v>-82</v>
      </c>
      <c r="AA41" s="26">
        <f>IF(Audit[[#This Row],[Times p Drawn - With Replacement]]&gt;0, IF(Audit[[#This Row],[Canceled Differences]]&lt;0, Audit[[#This Row],[Max Differences]]+ABS(Audit[[#This Row],[Canceled Differences]]), Audit[[#This Row],[Max Differences]]), 0)</f>
        <v>0</v>
      </c>
      <c r="AB41" s="26">
        <f>'Sampling Data'!P29</f>
        <v>8.1455169034786862E-3</v>
      </c>
      <c r="AC41" s="26">
        <f>IF(
      SUM(Audit[[#This Row],[Audit Losing Candidate]:[Audit Candidate 6]])
      &lt;&gt;0,
      (Audit[[#This Row],[Winning Candidate]]-Audit[[#This Row],[Losing Candidate]]-(Audit[[#This Row],[Audit Winning Candidate]]-Audit[[#This Row],[Audit Losing Candidate]]))/(Audit[[#Totals],[Winning Candidate]]-Audit[[#Totals],[Losing Candidate]]),
      0
)</f>
        <v>0</v>
      </c>
      <c r="AD41"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 s="26">
        <f>IF(Audit[[#This Row],[Max Relative Error (ep)]] = 0, 0, Audit[[#This Row],[Max Relative Error (ep)]]/Audit[[#This Row],[Error Bound (up) - Max. possible relative overstatement]])</f>
        <v>0</v>
      </c>
      <c r="AJ41"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1" s="26">
        <f t="shared" si="0"/>
        <v>1</v>
      </c>
      <c r="AL41" s="26">
        <f>PRODUCT($AK$5:AK41)</f>
        <v>8.962823818226312E-2</v>
      </c>
      <c r="AM41" s="29">
        <f>1 - [K-M P Value]</f>
        <v>0.91037176181773694</v>
      </c>
      <c r="AN41" s="26" t="str">
        <f>IF(Audit[[#This Row],[K-M P Value]]&gt;1-'General Info'!$B$16,"Continue", "Stop")</f>
        <v>Stop</v>
      </c>
      <c r="AO41" s="32" t="b">
        <f>IF(Audit[[#This Row],[Status - Continue or stop audit]] = "Continue", TRUE, IF(AN40 = "Continue", TRUE, FALSE))</f>
        <v>0</v>
      </c>
      <c r="AP41" s="32"/>
    </row>
    <row r="42" spans="1:42" ht="15" hidden="1" customHeight="1">
      <c r="A42" s="26" t="str">
        <f>'Sampling Data'!W30</f>
        <v/>
      </c>
      <c r="B42" s="28" t="str">
        <f>'Sampling Data'!A30</f>
        <v>BEACHWOOD -00-A - ABS</v>
      </c>
      <c r="C42" s="28">
        <f>'Sampling Data'!B30</f>
        <v>5</v>
      </c>
      <c r="D42" s="28">
        <f>'Sampling Data'!C30</f>
        <v>14</v>
      </c>
      <c r="E42" s="27">
        <f>'Sampling Data'!D30</f>
        <v>4</v>
      </c>
      <c r="F42" s="27">
        <f>'Sampling Data'!E30</f>
        <v>0</v>
      </c>
      <c r="G42" s="27">
        <f>'Sampling Data'!F30</f>
        <v>0</v>
      </c>
      <c r="H42" s="27">
        <f>'Sampling Data'!G30</f>
        <v>0</v>
      </c>
      <c r="I42" s="28">
        <f>'Sampling Data'!H30</f>
        <v>0</v>
      </c>
      <c r="J42" s="28">
        <f>'Sampling Data'!I30</f>
        <v>0</v>
      </c>
      <c r="K42" s="28">
        <f>'Sampling Data'!J30</f>
        <v>23</v>
      </c>
      <c r="L42" s="26">
        <f>'Sampling Data'!X30</f>
        <v>0</v>
      </c>
      <c r="M42" s="38"/>
      <c r="N42" s="38"/>
      <c r="O42" s="39"/>
      <c r="P42" s="39"/>
      <c r="Q42" s="40"/>
      <c r="R42" s="40"/>
      <c r="S42" s="26">
        <f>Audit[[#This Row],[Audit Losing Candidate]]-Audit[[#This Row],[Losing Candidate]]</f>
        <v>-5</v>
      </c>
      <c r="T42" s="26">
        <f>Audit[[#This Row],[Audit Winning Candidate]]-Audit[[#This Row],[Winning Candidate]]</f>
        <v>-14</v>
      </c>
      <c r="U42" s="26">
        <f>Audit[[#This Row],[Audit Candidate 3]]-Audit[[#This Row],[Candidate 3]]</f>
        <v>-4</v>
      </c>
      <c r="V42" s="26">
        <f>Audit[[#This Row],[Audit Candidate 4]]-Audit[[#This Row],[Candidate 4]]</f>
        <v>0</v>
      </c>
      <c r="W42" s="26">
        <f>Audit[[#This Row],[Audit Candidate 5]]-Audit[[#This Row],[Candidate 5]]</f>
        <v>0</v>
      </c>
      <c r="X42" s="26">
        <f>Audit[[#This Row],[Audit Candidate 6]]-Audit[[#This Row],[Candidate 6]]</f>
        <v>0</v>
      </c>
      <c r="Y42" s="26">
        <f>SUMIF(Audit[[#This Row],[Difference Loser]:[Difference Candidate 6]], "&gt;0")</f>
        <v>0</v>
      </c>
      <c r="Z42" s="26">
        <f>SUM(Audit[[#This Row],[Difference Loser]:[Difference Candidate 6]])</f>
        <v>-23</v>
      </c>
      <c r="AA42" s="26">
        <f>IF(Audit[[#This Row],[Times p Drawn - With Replacement]]&gt;0, IF(Audit[[#This Row],[Canceled Differences]]&lt;0, Audit[[#This Row],[Max Differences]]+ABS(Audit[[#This Row],[Canceled Differences]]), Audit[[#This Row],[Max Differences]]), 0)</f>
        <v>0</v>
      </c>
      <c r="AB42" s="26">
        <f>'Sampling Data'!P30</f>
        <v>1.9598236158745713E-3</v>
      </c>
      <c r="AC42" s="26">
        <f>IF(
      SUM(Audit[[#This Row],[Audit Losing Candidate]:[Audit Candidate 6]])
      &lt;&gt;0,
      (Audit[[#This Row],[Winning Candidate]]-Audit[[#This Row],[Losing Candidate]]-(Audit[[#This Row],[Audit Winning Candidate]]-Audit[[#This Row],[Audit Losing Candidate]]))/(Audit[[#Totals],[Winning Candidate]]-Audit[[#Totals],[Losing Candidate]]),
      0
)</f>
        <v>0</v>
      </c>
      <c r="AD42"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 s="26">
        <f>IF(Audit[[#This Row],[Max Relative Error (ep)]] = 0, 0, Audit[[#This Row],[Max Relative Error (ep)]]/Audit[[#This Row],[Error Bound (up) - Max. possible relative overstatement]])</f>
        <v>0</v>
      </c>
      <c r="AJ42"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2" s="26">
        <f t="shared" si="0"/>
        <v>1</v>
      </c>
      <c r="AL42" s="26">
        <f>PRODUCT($AK$5:AK42)</f>
        <v>8.962823818226312E-2</v>
      </c>
      <c r="AM42" s="29">
        <f>1 - [K-M P Value]</f>
        <v>0.91037176181773694</v>
      </c>
      <c r="AN42" s="26" t="str">
        <f>IF(Audit[[#This Row],[K-M P Value]]&gt;1-'General Info'!$B$16,"Continue", "Stop")</f>
        <v>Stop</v>
      </c>
      <c r="AO42" s="32" t="b">
        <f>IF(Audit[[#This Row],[Status - Continue or stop audit]] = "Continue", TRUE, IF(AN41 = "Continue", TRUE, FALSE))</f>
        <v>0</v>
      </c>
      <c r="AP42" s="32"/>
    </row>
    <row r="43" spans="1:42" ht="15" hidden="1" customHeight="1">
      <c r="A43" s="26" t="str">
        <f>'Sampling Data'!W31</f>
        <v/>
      </c>
      <c r="B43" s="28" t="str">
        <f>'Sampling Data'!A31</f>
        <v>BEACHWOOD -00-B</v>
      </c>
      <c r="C43" s="28">
        <f>'Sampling Data'!B31</f>
        <v>13</v>
      </c>
      <c r="D43" s="28">
        <f>'Sampling Data'!C31</f>
        <v>70</v>
      </c>
      <c r="E43" s="27">
        <f>'Sampling Data'!D31</f>
        <v>10</v>
      </c>
      <c r="F43" s="27">
        <f>'Sampling Data'!E31</f>
        <v>3</v>
      </c>
      <c r="G43" s="27">
        <f>'Sampling Data'!F31</f>
        <v>0</v>
      </c>
      <c r="H43" s="27">
        <f>'Sampling Data'!G31</f>
        <v>0</v>
      </c>
      <c r="I43" s="28">
        <f>'Sampling Data'!H31</f>
        <v>0</v>
      </c>
      <c r="J43" s="28">
        <f>'Sampling Data'!I31</f>
        <v>1</v>
      </c>
      <c r="K43" s="28">
        <f>'Sampling Data'!J31</f>
        <v>97</v>
      </c>
      <c r="L43" s="26">
        <f>'Sampling Data'!X31</f>
        <v>0</v>
      </c>
      <c r="M43" s="38"/>
      <c r="N43" s="38"/>
      <c r="O43" s="39"/>
      <c r="P43" s="39"/>
      <c r="Q43" s="40"/>
      <c r="R43" s="40"/>
      <c r="S43" s="26">
        <f>Audit[[#This Row],[Audit Losing Candidate]]-Audit[[#This Row],[Losing Candidate]]</f>
        <v>-13</v>
      </c>
      <c r="T43" s="26">
        <f>Audit[[#This Row],[Audit Winning Candidate]]-Audit[[#This Row],[Winning Candidate]]</f>
        <v>-70</v>
      </c>
      <c r="U43" s="26">
        <f>Audit[[#This Row],[Audit Candidate 3]]-Audit[[#This Row],[Candidate 3]]</f>
        <v>-10</v>
      </c>
      <c r="V43" s="26">
        <f>Audit[[#This Row],[Audit Candidate 4]]-Audit[[#This Row],[Candidate 4]]</f>
        <v>-3</v>
      </c>
      <c r="W43" s="26">
        <f>Audit[[#This Row],[Audit Candidate 5]]-Audit[[#This Row],[Candidate 5]]</f>
        <v>0</v>
      </c>
      <c r="X43" s="26">
        <f>Audit[[#This Row],[Audit Candidate 6]]-Audit[[#This Row],[Candidate 6]]</f>
        <v>0</v>
      </c>
      <c r="Y43" s="26">
        <f>SUMIF(Audit[[#This Row],[Difference Loser]:[Difference Candidate 6]], "&gt;0")</f>
        <v>0</v>
      </c>
      <c r="Z43" s="26">
        <f>SUM(Audit[[#This Row],[Difference Loser]:[Difference Candidate 6]])</f>
        <v>-96</v>
      </c>
      <c r="AA43" s="26">
        <f>IF(Audit[[#This Row],[Times p Drawn - With Replacement]]&gt;0, IF(Audit[[#This Row],[Canceled Differences]]&lt;0, Audit[[#This Row],[Max Differences]]+ABS(Audit[[#This Row],[Canceled Differences]]), Audit[[#This Row],[Max Differences]]), 0)</f>
        <v>0</v>
      </c>
      <c r="AB43" s="26">
        <f>'Sampling Data'!P31</f>
        <v>9.4316511513963738E-3</v>
      </c>
      <c r="AC43" s="26">
        <f>IF(
      SUM(Audit[[#This Row],[Audit Losing Candidate]:[Audit Candidate 6]])
      &lt;&gt;0,
      (Audit[[#This Row],[Winning Candidate]]-Audit[[#This Row],[Losing Candidate]]-(Audit[[#This Row],[Audit Winning Candidate]]-Audit[[#This Row],[Audit Losing Candidate]]))/(Audit[[#Totals],[Winning Candidate]]-Audit[[#Totals],[Losing Candidate]]),
      0
)</f>
        <v>0</v>
      </c>
      <c r="AD43"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 s="26">
        <f>IF(Audit[[#This Row],[Max Relative Error (ep)]] = 0, 0, Audit[[#This Row],[Max Relative Error (ep)]]/Audit[[#This Row],[Error Bound (up) - Max. possible relative overstatement]])</f>
        <v>0</v>
      </c>
      <c r="AJ43"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3" s="26">
        <f t="shared" si="0"/>
        <v>1</v>
      </c>
      <c r="AL43" s="26">
        <f>PRODUCT($AK$5:AK43)</f>
        <v>8.962823818226312E-2</v>
      </c>
      <c r="AM43" s="29">
        <f>1 - [K-M P Value]</f>
        <v>0.91037176181773694</v>
      </c>
      <c r="AN43" s="26" t="str">
        <f>IF(Audit[[#This Row],[K-M P Value]]&gt;1-'General Info'!$B$16,"Continue", "Stop")</f>
        <v>Stop</v>
      </c>
      <c r="AO43" s="32" t="b">
        <f>IF(Audit[[#This Row],[Status - Continue or stop audit]] = "Continue", TRUE, IF(AN42 = "Continue", TRUE, FALSE))</f>
        <v>0</v>
      </c>
      <c r="AP43" s="32"/>
    </row>
    <row r="44" spans="1:42" ht="15" hidden="1" customHeight="1">
      <c r="A44" s="26" t="str">
        <f>'Sampling Data'!W32</f>
        <v/>
      </c>
      <c r="B44" s="28" t="str">
        <f>'Sampling Data'!A32</f>
        <v>BEACHWOOD -00-B - ABS</v>
      </c>
      <c r="C44" s="28">
        <f>'Sampling Data'!B32</f>
        <v>6</v>
      </c>
      <c r="D44" s="28">
        <f>'Sampling Data'!C32</f>
        <v>11</v>
      </c>
      <c r="E44" s="27">
        <f>'Sampling Data'!D32</f>
        <v>8</v>
      </c>
      <c r="F44" s="27">
        <f>'Sampling Data'!E32</f>
        <v>1</v>
      </c>
      <c r="G44" s="27">
        <f>'Sampling Data'!F32</f>
        <v>0</v>
      </c>
      <c r="H44" s="27">
        <f>'Sampling Data'!G32</f>
        <v>0</v>
      </c>
      <c r="I44" s="28">
        <f>'Sampling Data'!H32</f>
        <v>0</v>
      </c>
      <c r="J44" s="28">
        <f>'Sampling Data'!I32</f>
        <v>0</v>
      </c>
      <c r="K44" s="28">
        <f>'Sampling Data'!J32</f>
        <v>26</v>
      </c>
      <c r="L44" s="26">
        <f>'Sampling Data'!X32</f>
        <v>0</v>
      </c>
      <c r="M44" s="38"/>
      <c r="N44" s="38"/>
      <c r="O44" s="39"/>
      <c r="P44" s="39"/>
      <c r="Q44" s="40"/>
      <c r="R44" s="40"/>
      <c r="S44" s="26">
        <f>Audit[[#This Row],[Audit Losing Candidate]]-Audit[[#This Row],[Losing Candidate]]</f>
        <v>-6</v>
      </c>
      <c r="T44" s="26">
        <f>Audit[[#This Row],[Audit Winning Candidate]]-Audit[[#This Row],[Winning Candidate]]</f>
        <v>-11</v>
      </c>
      <c r="U44" s="26">
        <f>Audit[[#This Row],[Audit Candidate 3]]-Audit[[#This Row],[Candidate 3]]</f>
        <v>-8</v>
      </c>
      <c r="V44" s="26">
        <f>Audit[[#This Row],[Audit Candidate 4]]-Audit[[#This Row],[Candidate 4]]</f>
        <v>-1</v>
      </c>
      <c r="W44" s="26">
        <f>Audit[[#This Row],[Audit Candidate 5]]-Audit[[#This Row],[Candidate 5]]</f>
        <v>0</v>
      </c>
      <c r="X44" s="26">
        <f>Audit[[#This Row],[Audit Candidate 6]]-Audit[[#This Row],[Candidate 6]]</f>
        <v>0</v>
      </c>
      <c r="Y44" s="26">
        <f>SUMIF(Audit[[#This Row],[Difference Loser]:[Difference Candidate 6]], "&gt;0")</f>
        <v>0</v>
      </c>
      <c r="Z44" s="26">
        <f>SUM(Audit[[#This Row],[Difference Loser]:[Difference Candidate 6]])</f>
        <v>-26</v>
      </c>
      <c r="AA44" s="26">
        <f>IF(Audit[[#This Row],[Times p Drawn - With Replacement]]&gt;0, IF(Audit[[#This Row],[Canceled Differences]]&lt;0, Audit[[#This Row],[Max Differences]]+ABS(Audit[[#This Row],[Canceled Differences]]), Audit[[#This Row],[Max Differences]]), 0)</f>
        <v>0</v>
      </c>
      <c r="AB44" s="26">
        <f>'Sampling Data'!P32</f>
        <v>1.8985791278784908E-3</v>
      </c>
      <c r="AC44" s="26">
        <f>IF(
      SUM(Audit[[#This Row],[Audit Losing Candidate]:[Audit Candidate 6]])
      &lt;&gt;0,
      (Audit[[#This Row],[Winning Candidate]]-Audit[[#This Row],[Losing Candidate]]-(Audit[[#This Row],[Audit Winning Candidate]]-Audit[[#This Row],[Audit Losing Candidate]]))/(Audit[[#Totals],[Winning Candidate]]-Audit[[#Totals],[Losing Candidate]]),
      0
)</f>
        <v>0</v>
      </c>
      <c r="AD44"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 s="26">
        <f>IF(Audit[[#This Row],[Max Relative Error (ep)]] = 0, 0, Audit[[#This Row],[Max Relative Error (ep)]]/Audit[[#This Row],[Error Bound (up) - Max. possible relative overstatement]])</f>
        <v>0</v>
      </c>
      <c r="AJ44"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4" s="26">
        <f t="shared" si="0"/>
        <v>1</v>
      </c>
      <c r="AL44" s="26">
        <f>PRODUCT($AK$5:AK44)</f>
        <v>8.962823818226312E-2</v>
      </c>
      <c r="AM44" s="29">
        <f>1 - [K-M P Value]</f>
        <v>0.91037176181773694</v>
      </c>
      <c r="AN44" s="26" t="str">
        <f>IF(Audit[[#This Row],[K-M P Value]]&gt;1-'General Info'!$B$16,"Continue", "Stop")</f>
        <v>Stop</v>
      </c>
      <c r="AO44" s="32" t="b">
        <f>IF(Audit[[#This Row],[Status - Continue or stop audit]] = "Continue", TRUE, IF(AN43 = "Continue", TRUE, FALSE))</f>
        <v>0</v>
      </c>
      <c r="AP44" s="32"/>
    </row>
    <row r="45" spans="1:42" ht="15" hidden="1" customHeight="1">
      <c r="A45" s="26" t="str">
        <f>'Sampling Data'!W33</f>
        <v/>
      </c>
      <c r="B45" s="28" t="str">
        <f>'Sampling Data'!A33</f>
        <v>BEACHWOOD -00-C</v>
      </c>
      <c r="C45" s="28">
        <f>'Sampling Data'!B33</f>
        <v>7</v>
      </c>
      <c r="D45" s="28">
        <f>'Sampling Data'!C33</f>
        <v>60</v>
      </c>
      <c r="E45" s="27">
        <f>'Sampling Data'!D33</f>
        <v>8</v>
      </c>
      <c r="F45" s="27">
        <f>'Sampling Data'!E33</f>
        <v>2</v>
      </c>
      <c r="G45" s="27">
        <f>'Sampling Data'!F33</f>
        <v>0</v>
      </c>
      <c r="H45" s="27">
        <f>'Sampling Data'!G33</f>
        <v>0</v>
      </c>
      <c r="I45" s="28">
        <f>'Sampling Data'!H33</f>
        <v>0</v>
      </c>
      <c r="J45" s="28">
        <f>'Sampling Data'!I33</f>
        <v>0</v>
      </c>
      <c r="K45" s="28">
        <f>'Sampling Data'!J33</f>
        <v>77</v>
      </c>
      <c r="L45" s="26">
        <f>'Sampling Data'!X33</f>
        <v>0</v>
      </c>
      <c r="M45" s="38"/>
      <c r="N45" s="38"/>
      <c r="O45" s="39"/>
      <c r="P45" s="39"/>
      <c r="Q45" s="40"/>
      <c r="R45" s="40"/>
      <c r="S45" s="26">
        <f>Audit[[#This Row],[Audit Losing Candidate]]-Audit[[#This Row],[Losing Candidate]]</f>
        <v>-7</v>
      </c>
      <c r="T45" s="26">
        <f>Audit[[#This Row],[Audit Winning Candidate]]-Audit[[#This Row],[Winning Candidate]]</f>
        <v>-60</v>
      </c>
      <c r="U45" s="26">
        <f>Audit[[#This Row],[Audit Candidate 3]]-Audit[[#This Row],[Candidate 3]]</f>
        <v>-8</v>
      </c>
      <c r="V45" s="26">
        <f>Audit[[#This Row],[Audit Candidate 4]]-Audit[[#This Row],[Candidate 4]]</f>
        <v>-2</v>
      </c>
      <c r="W45" s="26">
        <f>Audit[[#This Row],[Audit Candidate 5]]-Audit[[#This Row],[Candidate 5]]</f>
        <v>0</v>
      </c>
      <c r="X45" s="26">
        <f>Audit[[#This Row],[Audit Candidate 6]]-Audit[[#This Row],[Candidate 6]]</f>
        <v>0</v>
      </c>
      <c r="Y45" s="26">
        <f>SUMIF(Audit[[#This Row],[Difference Loser]:[Difference Candidate 6]], "&gt;0")</f>
        <v>0</v>
      </c>
      <c r="Z45" s="26">
        <f>SUM(Audit[[#This Row],[Difference Loser]:[Difference Candidate 6]])</f>
        <v>-77</v>
      </c>
      <c r="AA45" s="26">
        <f>IF(Audit[[#This Row],[Times p Drawn - With Replacement]]&gt;0, IF(Audit[[#This Row],[Canceled Differences]]&lt;0, Audit[[#This Row],[Max Differences]]+ABS(Audit[[#This Row],[Canceled Differences]]), Audit[[#This Row],[Max Differences]]), 0)</f>
        <v>0</v>
      </c>
      <c r="AB45" s="26">
        <f>'Sampling Data'!P33</f>
        <v>7.9617834394904458E-3</v>
      </c>
      <c r="AC45" s="26">
        <f>IF(
      SUM(Audit[[#This Row],[Audit Losing Candidate]:[Audit Candidate 6]])
      &lt;&gt;0,
      (Audit[[#This Row],[Winning Candidate]]-Audit[[#This Row],[Losing Candidate]]-(Audit[[#This Row],[Audit Winning Candidate]]-Audit[[#This Row],[Audit Losing Candidate]]))/(Audit[[#Totals],[Winning Candidate]]-Audit[[#Totals],[Losing Candidate]]),
      0
)</f>
        <v>0</v>
      </c>
      <c r="AD45"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 s="26">
        <f>IF(Audit[[#This Row],[Max Relative Error (ep)]] = 0, 0, Audit[[#This Row],[Max Relative Error (ep)]]/Audit[[#This Row],[Error Bound (up) - Max. possible relative overstatement]])</f>
        <v>0</v>
      </c>
      <c r="AJ45"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5" s="26">
        <f t="shared" si="0"/>
        <v>1</v>
      </c>
      <c r="AL45" s="26">
        <f>PRODUCT($AK$5:AK45)</f>
        <v>8.962823818226312E-2</v>
      </c>
      <c r="AM45" s="29">
        <f>1 - [K-M P Value]</f>
        <v>0.91037176181773694</v>
      </c>
      <c r="AN45" s="26" t="str">
        <f>IF(Audit[[#This Row],[K-M P Value]]&gt;1-'General Info'!$B$16,"Continue", "Stop")</f>
        <v>Stop</v>
      </c>
      <c r="AO45" s="32" t="b">
        <f>IF(Audit[[#This Row],[Status - Continue or stop audit]] = "Continue", TRUE, IF(AN44 = "Continue", TRUE, FALSE))</f>
        <v>0</v>
      </c>
      <c r="AP45" s="32"/>
    </row>
    <row r="46" spans="1:42" ht="15" hidden="1" customHeight="1">
      <c r="A46" s="26" t="str">
        <f>'Sampling Data'!W34</f>
        <v/>
      </c>
      <c r="B46" s="28" t="str">
        <f>'Sampling Data'!A34</f>
        <v>BEACHWOOD -00-C - ABS</v>
      </c>
      <c r="C46" s="28">
        <f>'Sampling Data'!B34</f>
        <v>6</v>
      </c>
      <c r="D46" s="28">
        <f>'Sampling Data'!C34</f>
        <v>19</v>
      </c>
      <c r="E46" s="27">
        <f>'Sampling Data'!D34</f>
        <v>10</v>
      </c>
      <c r="F46" s="27">
        <f>'Sampling Data'!E34</f>
        <v>0</v>
      </c>
      <c r="G46" s="27">
        <f>'Sampling Data'!F34</f>
        <v>0</v>
      </c>
      <c r="H46" s="27">
        <f>'Sampling Data'!G34</f>
        <v>0</v>
      </c>
      <c r="I46" s="28">
        <f>'Sampling Data'!H34</f>
        <v>0</v>
      </c>
      <c r="J46" s="28">
        <f>'Sampling Data'!I34</f>
        <v>1</v>
      </c>
      <c r="K46" s="28">
        <f>'Sampling Data'!J34</f>
        <v>36</v>
      </c>
      <c r="L46" s="26">
        <f>'Sampling Data'!X34</f>
        <v>0</v>
      </c>
      <c r="M46" s="38"/>
      <c r="N46" s="38"/>
      <c r="O46" s="39"/>
      <c r="P46" s="39"/>
      <c r="Q46" s="40"/>
      <c r="R46" s="40"/>
      <c r="S46" s="26">
        <f>Audit[[#This Row],[Audit Losing Candidate]]-Audit[[#This Row],[Losing Candidate]]</f>
        <v>-6</v>
      </c>
      <c r="T46" s="26">
        <f>Audit[[#This Row],[Audit Winning Candidate]]-Audit[[#This Row],[Winning Candidate]]</f>
        <v>-19</v>
      </c>
      <c r="U46" s="26">
        <f>Audit[[#This Row],[Audit Candidate 3]]-Audit[[#This Row],[Candidate 3]]</f>
        <v>-10</v>
      </c>
      <c r="V46" s="26">
        <f>Audit[[#This Row],[Audit Candidate 4]]-Audit[[#This Row],[Candidate 4]]</f>
        <v>0</v>
      </c>
      <c r="W46" s="26">
        <f>Audit[[#This Row],[Audit Candidate 5]]-Audit[[#This Row],[Candidate 5]]</f>
        <v>0</v>
      </c>
      <c r="X46" s="26">
        <f>Audit[[#This Row],[Audit Candidate 6]]-Audit[[#This Row],[Candidate 6]]</f>
        <v>0</v>
      </c>
      <c r="Y46" s="26">
        <f>SUMIF(Audit[[#This Row],[Difference Loser]:[Difference Candidate 6]], "&gt;0")</f>
        <v>0</v>
      </c>
      <c r="Z46" s="26">
        <f>SUM(Audit[[#This Row],[Difference Loser]:[Difference Candidate 6]])</f>
        <v>-35</v>
      </c>
      <c r="AA46" s="26">
        <f>IF(Audit[[#This Row],[Times p Drawn - With Replacement]]&gt;0, IF(Audit[[#This Row],[Canceled Differences]]&lt;0, Audit[[#This Row],[Max Differences]]+ABS(Audit[[#This Row],[Canceled Differences]]), Audit[[#This Row],[Max Differences]]), 0)</f>
        <v>0</v>
      </c>
      <c r="AB46" s="26">
        <f>'Sampling Data'!P34</f>
        <v>3.0009799118079373E-3</v>
      </c>
      <c r="AC46" s="26">
        <f>IF(
      SUM(Audit[[#This Row],[Audit Losing Candidate]:[Audit Candidate 6]])
      &lt;&gt;0,
      (Audit[[#This Row],[Winning Candidate]]-Audit[[#This Row],[Losing Candidate]]-(Audit[[#This Row],[Audit Winning Candidate]]-Audit[[#This Row],[Audit Losing Candidate]]))/(Audit[[#Totals],[Winning Candidate]]-Audit[[#Totals],[Losing Candidate]]),
      0
)</f>
        <v>0</v>
      </c>
      <c r="AD46"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 s="26">
        <f>IF(Audit[[#This Row],[Max Relative Error (ep)]] = 0, 0, Audit[[#This Row],[Max Relative Error (ep)]]/Audit[[#This Row],[Error Bound (up) - Max. possible relative overstatement]])</f>
        <v>0</v>
      </c>
      <c r="AJ46"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6" s="26">
        <f t="shared" si="0"/>
        <v>1</v>
      </c>
      <c r="AL46" s="26">
        <f>PRODUCT($AK$5:AK46)</f>
        <v>8.962823818226312E-2</v>
      </c>
      <c r="AM46" s="29">
        <f>1 - [K-M P Value]</f>
        <v>0.91037176181773694</v>
      </c>
      <c r="AN46" s="26" t="str">
        <f>IF(Audit[[#This Row],[K-M P Value]]&gt;1-'General Info'!$B$16,"Continue", "Stop")</f>
        <v>Stop</v>
      </c>
      <c r="AO46" s="32" t="b">
        <f>IF(Audit[[#This Row],[Status - Continue or stop audit]] = "Continue", TRUE, IF(AN45 = "Continue", TRUE, FALSE))</f>
        <v>0</v>
      </c>
      <c r="AP46" s="32"/>
    </row>
    <row r="47" spans="1:42" ht="15" hidden="1" customHeight="1">
      <c r="A47" s="111" t="str">
        <f>'Sampling Data'!W35</f>
        <v/>
      </c>
      <c r="B47" s="112" t="str">
        <f>'Sampling Data'!A35</f>
        <v>BEACHWOOD -00-D</v>
      </c>
      <c r="C47" s="112">
        <f>'Sampling Data'!B35</f>
        <v>8</v>
      </c>
      <c r="D47" s="112">
        <f>'Sampling Data'!C35</f>
        <v>51</v>
      </c>
      <c r="E47" s="113">
        <f>'Sampling Data'!D35</f>
        <v>6</v>
      </c>
      <c r="F47" s="113">
        <f>'Sampling Data'!E35</f>
        <v>3</v>
      </c>
      <c r="G47" s="113">
        <f>'Sampling Data'!F35</f>
        <v>0</v>
      </c>
      <c r="H47" s="113">
        <f>'Sampling Data'!G35</f>
        <v>0</v>
      </c>
      <c r="I47" s="112">
        <f>'Sampling Data'!H35</f>
        <v>0</v>
      </c>
      <c r="J47" s="112">
        <f>'Sampling Data'!I35</f>
        <v>0</v>
      </c>
      <c r="K47" s="112">
        <f>'Sampling Data'!J35</f>
        <v>68</v>
      </c>
      <c r="L47" s="111">
        <f>'Sampling Data'!X35</f>
        <v>0</v>
      </c>
      <c r="M47" s="114"/>
      <c r="N47" s="114"/>
      <c r="O47" s="115"/>
      <c r="P47" s="115"/>
      <c r="Q47" s="116"/>
      <c r="R47" s="116"/>
      <c r="S47" s="111">
        <f>Audit[[#This Row],[Audit Losing Candidate]]-Audit[[#This Row],[Losing Candidate]]</f>
        <v>-8</v>
      </c>
      <c r="T47" s="111">
        <f>Audit[[#This Row],[Audit Winning Candidate]]-Audit[[#This Row],[Winning Candidate]]</f>
        <v>-51</v>
      </c>
      <c r="U47" s="111">
        <f>Audit[[#This Row],[Audit Candidate 3]]-Audit[[#This Row],[Candidate 3]]</f>
        <v>-6</v>
      </c>
      <c r="V47" s="111">
        <f>Audit[[#This Row],[Audit Candidate 4]]-Audit[[#This Row],[Candidate 4]]</f>
        <v>-3</v>
      </c>
      <c r="W47" s="111">
        <f>Audit[[#This Row],[Audit Candidate 5]]-Audit[[#This Row],[Candidate 5]]</f>
        <v>0</v>
      </c>
      <c r="X47" s="111">
        <f>Audit[[#This Row],[Audit Candidate 6]]-Audit[[#This Row],[Candidate 6]]</f>
        <v>0</v>
      </c>
      <c r="Y47" s="111">
        <f>SUMIF(Audit[[#This Row],[Difference Loser]:[Difference Candidate 6]], "&gt;0")</f>
        <v>0</v>
      </c>
      <c r="Z47" s="111">
        <f>SUM(Audit[[#This Row],[Difference Loser]:[Difference Candidate 6]])</f>
        <v>-68</v>
      </c>
      <c r="AA47" s="111">
        <f>IF(Audit[[#This Row],[Times p Drawn - With Replacement]]&gt;0, IF(Audit[[#This Row],[Canceled Differences]]&lt;0, Audit[[#This Row],[Max Differences]]+ABS(Audit[[#This Row],[Canceled Differences]]), Audit[[#This Row],[Max Differences]]), 0)</f>
        <v>0</v>
      </c>
      <c r="AB47" s="111">
        <f>'Sampling Data'!P35</f>
        <v>6.798138167564919E-3</v>
      </c>
      <c r="AC47" s="111">
        <f>IF(
      SUM(Audit[[#This Row],[Audit Losing Candidate]:[Audit Candidate 6]])
      &lt;&gt;0,
      (Audit[[#This Row],[Winning Candidate]]-Audit[[#This Row],[Losing Candidate]]-(Audit[[#This Row],[Audit Winning Candidate]]-Audit[[#This Row],[Audit Losing Candidate]]))/(Audit[[#Totals],[Winning Candidate]]-Audit[[#Totals],[Losing Candidate]]),
      0
)</f>
        <v>0</v>
      </c>
      <c r="AD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 s="111">
        <f>IF(Audit[[#This Row],[Max Relative Error (ep)]] = 0, 0, Audit[[#This Row],[Max Relative Error (ep)]]/Audit[[#This Row],[Error Bound (up) - Max. possible relative overstatement]])</f>
        <v>0</v>
      </c>
      <c r="AJ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7" s="111">
        <f t="shared" si="0"/>
        <v>1</v>
      </c>
      <c r="AL47" s="111">
        <f>PRODUCT($AK$5:AK47)</f>
        <v>8.962823818226312E-2</v>
      </c>
      <c r="AM47" s="109">
        <f>1 - [K-M P Value]</f>
        <v>0.91037176181773694</v>
      </c>
      <c r="AN47" s="111" t="str">
        <f>IF(Audit[[#This Row],[K-M P Value]]&gt;1-'General Info'!$B$16,"Continue", "Stop")</f>
        <v>Stop</v>
      </c>
      <c r="AO47" s="110" t="b">
        <f>IF(Audit[[#This Row],[Status - Continue or stop audit]] = "Continue", TRUE, IF(AN46 = "Continue", TRUE, FALSE))</f>
        <v>0</v>
      </c>
      <c r="AP47" s="110"/>
    </row>
    <row r="48" spans="1:42" ht="15" hidden="1" customHeight="1">
      <c r="A48" s="111" t="str">
        <f>'Sampling Data'!W36</f>
        <v/>
      </c>
      <c r="B48" s="112" t="str">
        <f>'Sampling Data'!A36</f>
        <v>BEACHWOOD -00-D - ABS</v>
      </c>
      <c r="C48" s="112">
        <f>'Sampling Data'!B36</f>
        <v>0</v>
      </c>
      <c r="D48" s="112">
        <f>'Sampling Data'!C36</f>
        <v>21</v>
      </c>
      <c r="E48" s="113">
        <f>'Sampling Data'!D36</f>
        <v>5</v>
      </c>
      <c r="F48" s="113">
        <f>'Sampling Data'!E36</f>
        <v>3</v>
      </c>
      <c r="G48" s="113">
        <f>'Sampling Data'!F36</f>
        <v>0</v>
      </c>
      <c r="H48" s="113">
        <f>'Sampling Data'!G36</f>
        <v>1</v>
      </c>
      <c r="I48" s="112">
        <f>'Sampling Data'!H36</f>
        <v>0</v>
      </c>
      <c r="J48" s="112">
        <f>'Sampling Data'!I36</f>
        <v>0</v>
      </c>
      <c r="K48" s="112">
        <f>'Sampling Data'!J36</f>
        <v>30</v>
      </c>
      <c r="L48" s="111">
        <f>'Sampling Data'!X36</f>
        <v>0</v>
      </c>
      <c r="M48" s="114"/>
      <c r="N48" s="114"/>
      <c r="O48" s="115"/>
      <c r="P48" s="115"/>
      <c r="Q48" s="116"/>
      <c r="R48" s="116"/>
      <c r="S48" s="111">
        <f>Audit[[#This Row],[Audit Losing Candidate]]-Audit[[#This Row],[Losing Candidate]]</f>
        <v>0</v>
      </c>
      <c r="T48" s="111">
        <f>Audit[[#This Row],[Audit Winning Candidate]]-Audit[[#This Row],[Winning Candidate]]</f>
        <v>-21</v>
      </c>
      <c r="U48" s="111">
        <f>Audit[[#This Row],[Audit Candidate 3]]-Audit[[#This Row],[Candidate 3]]</f>
        <v>-5</v>
      </c>
      <c r="V48" s="111">
        <f>Audit[[#This Row],[Audit Candidate 4]]-Audit[[#This Row],[Candidate 4]]</f>
        <v>-3</v>
      </c>
      <c r="W48" s="111">
        <f>Audit[[#This Row],[Audit Candidate 5]]-Audit[[#This Row],[Candidate 5]]</f>
        <v>0</v>
      </c>
      <c r="X48" s="111">
        <f>Audit[[#This Row],[Audit Candidate 6]]-Audit[[#This Row],[Candidate 6]]</f>
        <v>-1</v>
      </c>
      <c r="Y48" s="111">
        <f>SUMIF(Audit[[#This Row],[Difference Loser]:[Difference Candidate 6]], "&gt;0")</f>
        <v>0</v>
      </c>
      <c r="Z48" s="111">
        <f>SUM(Audit[[#This Row],[Difference Loser]:[Difference Candidate 6]])</f>
        <v>-30</v>
      </c>
      <c r="AA48" s="111">
        <f>IF(Audit[[#This Row],[Times p Drawn - With Replacement]]&gt;0, IF(Audit[[#This Row],[Canceled Differences]]&lt;0, Audit[[#This Row],[Max Differences]]+ABS(Audit[[#This Row],[Canceled Differences]]), Audit[[#This Row],[Max Differences]]), 0)</f>
        <v>0</v>
      </c>
      <c r="AB48" s="111">
        <f>'Sampling Data'!P36</f>
        <v>3.1234688878000981E-3</v>
      </c>
      <c r="AC48" s="111">
        <f>IF(
      SUM(Audit[[#This Row],[Audit Losing Candidate]:[Audit Candidate 6]])
      &lt;&gt;0,
      (Audit[[#This Row],[Winning Candidate]]-Audit[[#This Row],[Losing Candidate]]-(Audit[[#This Row],[Audit Winning Candidate]]-Audit[[#This Row],[Audit Losing Candidate]]))/(Audit[[#Totals],[Winning Candidate]]-Audit[[#Totals],[Losing Candidate]]),
      0
)</f>
        <v>0</v>
      </c>
      <c r="AD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 s="111">
        <f>IF(Audit[[#This Row],[Max Relative Error (ep)]] = 0, 0, Audit[[#This Row],[Max Relative Error (ep)]]/Audit[[#This Row],[Error Bound (up) - Max. possible relative overstatement]])</f>
        <v>0</v>
      </c>
      <c r="AJ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8" s="111">
        <f t="shared" si="0"/>
        <v>1</v>
      </c>
      <c r="AL48" s="111">
        <f>PRODUCT($AK$5:AK48)</f>
        <v>8.962823818226312E-2</v>
      </c>
      <c r="AM48" s="109">
        <f>1 - [K-M P Value]</f>
        <v>0.91037176181773694</v>
      </c>
      <c r="AN48" s="111" t="str">
        <f>IF(Audit[[#This Row],[K-M P Value]]&gt;1-'General Info'!$B$16,"Continue", "Stop")</f>
        <v>Stop</v>
      </c>
      <c r="AO48" s="110" t="b">
        <f>IF(Audit[[#This Row],[Status - Continue or stop audit]] = "Continue", TRUE, IF(AN47 = "Continue", TRUE, FALSE))</f>
        <v>0</v>
      </c>
      <c r="AP48" s="110"/>
    </row>
    <row r="49" spans="1:42" ht="15" hidden="1" customHeight="1">
      <c r="A49" s="111" t="str">
        <f>'Sampling Data'!W37</f>
        <v/>
      </c>
      <c r="B49" s="112" t="str">
        <f>'Sampling Data'!A37</f>
        <v>BEACHWOOD -00-E</v>
      </c>
      <c r="C49" s="112">
        <f>'Sampling Data'!B37</f>
        <v>5</v>
      </c>
      <c r="D49" s="112">
        <f>'Sampling Data'!C37</f>
        <v>23</v>
      </c>
      <c r="E49" s="113">
        <f>'Sampling Data'!D37</f>
        <v>5</v>
      </c>
      <c r="F49" s="113">
        <f>'Sampling Data'!E37</f>
        <v>1</v>
      </c>
      <c r="G49" s="113">
        <f>'Sampling Data'!F37</f>
        <v>1</v>
      </c>
      <c r="H49" s="113">
        <f>'Sampling Data'!G37</f>
        <v>1</v>
      </c>
      <c r="I49" s="112">
        <f>'Sampling Data'!H37</f>
        <v>0</v>
      </c>
      <c r="J49" s="112">
        <f>'Sampling Data'!I37</f>
        <v>0</v>
      </c>
      <c r="K49" s="112">
        <f>'Sampling Data'!J37</f>
        <v>36</v>
      </c>
      <c r="L49" s="111">
        <f>'Sampling Data'!X37</f>
        <v>0</v>
      </c>
      <c r="M49" s="114"/>
      <c r="N49" s="114"/>
      <c r="O49" s="115"/>
      <c r="P49" s="115"/>
      <c r="Q49" s="116"/>
      <c r="R49" s="116"/>
      <c r="S49" s="111">
        <f>Audit[[#This Row],[Audit Losing Candidate]]-Audit[[#This Row],[Losing Candidate]]</f>
        <v>-5</v>
      </c>
      <c r="T49" s="111">
        <f>Audit[[#This Row],[Audit Winning Candidate]]-Audit[[#This Row],[Winning Candidate]]</f>
        <v>-23</v>
      </c>
      <c r="U49" s="111">
        <f>Audit[[#This Row],[Audit Candidate 3]]-Audit[[#This Row],[Candidate 3]]</f>
        <v>-5</v>
      </c>
      <c r="V49" s="111">
        <f>Audit[[#This Row],[Audit Candidate 4]]-Audit[[#This Row],[Candidate 4]]</f>
        <v>-1</v>
      </c>
      <c r="W49" s="111">
        <f>Audit[[#This Row],[Audit Candidate 5]]-Audit[[#This Row],[Candidate 5]]</f>
        <v>-1</v>
      </c>
      <c r="X49" s="111">
        <f>Audit[[#This Row],[Audit Candidate 6]]-Audit[[#This Row],[Candidate 6]]</f>
        <v>-1</v>
      </c>
      <c r="Y49" s="111">
        <f>SUMIF(Audit[[#This Row],[Difference Loser]:[Difference Candidate 6]], "&gt;0")</f>
        <v>0</v>
      </c>
      <c r="Z49" s="111">
        <f>SUM(Audit[[#This Row],[Difference Loser]:[Difference Candidate 6]])</f>
        <v>-36</v>
      </c>
      <c r="AA49" s="111">
        <f>IF(Audit[[#This Row],[Times p Drawn - With Replacement]]&gt;0, IF(Audit[[#This Row],[Canceled Differences]]&lt;0, Audit[[#This Row],[Max Differences]]+ABS(Audit[[#This Row],[Canceled Differences]]), Audit[[#This Row],[Max Differences]]), 0)</f>
        <v>0</v>
      </c>
      <c r="AB49" s="111">
        <f>'Sampling Data'!P37</f>
        <v>3.3072023517883389E-3</v>
      </c>
      <c r="AC49" s="111">
        <f>IF(
      SUM(Audit[[#This Row],[Audit Losing Candidate]:[Audit Candidate 6]])
      &lt;&gt;0,
      (Audit[[#This Row],[Winning Candidate]]-Audit[[#This Row],[Losing Candidate]]-(Audit[[#This Row],[Audit Winning Candidate]]-Audit[[#This Row],[Audit Losing Candidate]]))/(Audit[[#Totals],[Winning Candidate]]-Audit[[#Totals],[Losing Candidate]]),
      0
)</f>
        <v>0</v>
      </c>
      <c r="AD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 s="111">
        <f>IF(Audit[[#This Row],[Max Relative Error (ep)]] = 0, 0, Audit[[#This Row],[Max Relative Error (ep)]]/Audit[[#This Row],[Error Bound (up) - Max. possible relative overstatement]])</f>
        <v>0</v>
      </c>
      <c r="AJ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9" s="111">
        <f t="shared" si="0"/>
        <v>1</v>
      </c>
      <c r="AL49" s="111">
        <f>PRODUCT($AK$5:AK49)</f>
        <v>8.962823818226312E-2</v>
      </c>
      <c r="AM49" s="109">
        <f>1 - [K-M P Value]</f>
        <v>0.91037176181773694</v>
      </c>
      <c r="AN49" s="111" t="str">
        <f>IF(Audit[[#This Row],[K-M P Value]]&gt;1-'General Info'!$B$16,"Continue", "Stop")</f>
        <v>Stop</v>
      </c>
      <c r="AO49" s="110" t="b">
        <f>IF(Audit[[#This Row],[Status - Continue or stop audit]] = "Continue", TRUE, IF(AN48 = "Continue", TRUE, FALSE))</f>
        <v>0</v>
      </c>
      <c r="AP49" s="110"/>
    </row>
    <row r="50" spans="1:42" ht="15" hidden="1" customHeight="1">
      <c r="A50" s="111" t="str">
        <f>'Sampling Data'!W38</f>
        <v/>
      </c>
      <c r="B50" s="112" t="str">
        <f>'Sampling Data'!A38</f>
        <v>BEACHWOOD -00-E - ABS</v>
      </c>
      <c r="C50" s="112">
        <f>'Sampling Data'!B38</f>
        <v>4</v>
      </c>
      <c r="D50" s="112">
        <f>'Sampling Data'!C38</f>
        <v>11</v>
      </c>
      <c r="E50" s="113">
        <f>'Sampling Data'!D38</f>
        <v>2</v>
      </c>
      <c r="F50" s="113">
        <f>'Sampling Data'!E38</f>
        <v>1</v>
      </c>
      <c r="G50" s="113">
        <f>'Sampling Data'!F38</f>
        <v>0</v>
      </c>
      <c r="H50" s="113">
        <f>'Sampling Data'!G38</f>
        <v>0</v>
      </c>
      <c r="I50" s="112">
        <f>'Sampling Data'!H38</f>
        <v>0</v>
      </c>
      <c r="J50" s="112">
        <f>'Sampling Data'!I38</f>
        <v>0</v>
      </c>
      <c r="K50" s="112">
        <f>'Sampling Data'!J38</f>
        <v>18</v>
      </c>
      <c r="L50" s="111">
        <f>'Sampling Data'!X38</f>
        <v>0</v>
      </c>
      <c r="M50" s="114"/>
      <c r="N50" s="114"/>
      <c r="O50" s="115"/>
      <c r="P50" s="115"/>
      <c r="Q50" s="116"/>
      <c r="R50" s="116"/>
      <c r="S50" s="111">
        <f>Audit[[#This Row],[Audit Losing Candidate]]-Audit[[#This Row],[Losing Candidate]]</f>
        <v>-4</v>
      </c>
      <c r="T50" s="111">
        <f>Audit[[#This Row],[Audit Winning Candidate]]-Audit[[#This Row],[Winning Candidate]]</f>
        <v>-11</v>
      </c>
      <c r="U50" s="111">
        <f>Audit[[#This Row],[Audit Candidate 3]]-Audit[[#This Row],[Candidate 3]]</f>
        <v>-2</v>
      </c>
      <c r="V50" s="111">
        <f>Audit[[#This Row],[Audit Candidate 4]]-Audit[[#This Row],[Candidate 4]]</f>
        <v>-1</v>
      </c>
      <c r="W50" s="111">
        <f>Audit[[#This Row],[Audit Candidate 5]]-Audit[[#This Row],[Candidate 5]]</f>
        <v>0</v>
      </c>
      <c r="X50" s="111">
        <f>Audit[[#This Row],[Audit Candidate 6]]-Audit[[#This Row],[Candidate 6]]</f>
        <v>0</v>
      </c>
      <c r="Y50" s="111">
        <f>SUMIF(Audit[[#This Row],[Difference Loser]:[Difference Candidate 6]], "&gt;0")</f>
        <v>0</v>
      </c>
      <c r="Z50" s="111">
        <f>SUM(Audit[[#This Row],[Difference Loser]:[Difference Candidate 6]])</f>
        <v>-18</v>
      </c>
      <c r="AA50" s="111">
        <f>IF(Audit[[#This Row],[Times p Drawn - With Replacement]]&gt;0, IF(Audit[[#This Row],[Canceled Differences]]&lt;0, Audit[[#This Row],[Max Differences]]+ABS(Audit[[#This Row],[Canceled Differences]]), Audit[[#This Row],[Max Differences]]), 0)</f>
        <v>0</v>
      </c>
      <c r="AB50" s="111">
        <f>'Sampling Data'!P38</f>
        <v>1.5311121999020088E-3</v>
      </c>
      <c r="AC50" s="111">
        <f>IF(
      SUM(Audit[[#This Row],[Audit Losing Candidate]:[Audit Candidate 6]])
      &lt;&gt;0,
      (Audit[[#This Row],[Winning Candidate]]-Audit[[#This Row],[Losing Candidate]]-(Audit[[#This Row],[Audit Winning Candidate]]-Audit[[#This Row],[Audit Losing Candidate]]))/(Audit[[#Totals],[Winning Candidate]]-Audit[[#Totals],[Losing Candidate]]),
      0
)</f>
        <v>0</v>
      </c>
      <c r="AD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 s="111">
        <f>IF(Audit[[#This Row],[Max Relative Error (ep)]] = 0, 0, Audit[[#This Row],[Max Relative Error (ep)]]/Audit[[#This Row],[Error Bound (up) - Max. possible relative overstatement]])</f>
        <v>0</v>
      </c>
      <c r="AJ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0" s="111">
        <f t="shared" si="0"/>
        <v>1</v>
      </c>
      <c r="AL50" s="111">
        <f>PRODUCT($AK$5:AK50)</f>
        <v>8.962823818226312E-2</v>
      </c>
      <c r="AM50" s="109">
        <f>1 - [K-M P Value]</f>
        <v>0.91037176181773694</v>
      </c>
      <c r="AN50" s="111" t="str">
        <f>IF(Audit[[#This Row],[K-M P Value]]&gt;1-'General Info'!$B$16,"Continue", "Stop")</f>
        <v>Stop</v>
      </c>
      <c r="AO50" s="110" t="b">
        <f>IF(Audit[[#This Row],[Status - Continue or stop audit]] = "Continue", TRUE, IF(AN49 = "Continue", TRUE, FALSE))</f>
        <v>0</v>
      </c>
      <c r="AP50" s="110"/>
    </row>
    <row r="51" spans="1:42" ht="15" hidden="1" customHeight="1">
      <c r="A51" s="111" t="str">
        <f>'Sampling Data'!W39</f>
        <v/>
      </c>
      <c r="B51" s="112" t="str">
        <f>'Sampling Data'!A39</f>
        <v>BEACHWOOD -00-F</v>
      </c>
      <c r="C51" s="112">
        <f>'Sampling Data'!B39</f>
        <v>5</v>
      </c>
      <c r="D51" s="112">
        <f>'Sampling Data'!C39</f>
        <v>39</v>
      </c>
      <c r="E51" s="113">
        <f>'Sampling Data'!D39</f>
        <v>2</v>
      </c>
      <c r="F51" s="113">
        <f>'Sampling Data'!E39</f>
        <v>2</v>
      </c>
      <c r="G51" s="113">
        <f>'Sampling Data'!F39</f>
        <v>0</v>
      </c>
      <c r="H51" s="113">
        <f>'Sampling Data'!G39</f>
        <v>0</v>
      </c>
      <c r="I51" s="112">
        <f>'Sampling Data'!H39</f>
        <v>0</v>
      </c>
      <c r="J51" s="112">
        <f>'Sampling Data'!I39</f>
        <v>0</v>
      </c>
      <c r="K51" s="112">
        <f>'Sampling Data'!J39</f>
        <v>48</v>
      </c>
      <c r="L51" s="111">
        <f>'Sampling Data'!X39</f>
        <v>0</v>
      </c>
      <c r="M51" s="114"/>
      <c r="N51" s="114"/>
      <c r="O51" s="115"/>
      <c r="P51" s="115"/>
      <c r="Q51" s="116"/>
      <c r="R51" s="116"/>
      <c r="S51" s="111">
        <f>Audit[[#This Row],[Audit Losing Candidate]]-Audit[[#This Row],[Losing Candidate]]</f>
        <v>-5</v>
      </c>
      <c r="T51" s="111">
        <f>Audit[[#This Row],[Audit Winning Candidate]]-Audit[[#This Row],[Winning Candidate]]</f>
        <v>-39</v>
      </c>
      <c r="U51" s="111">
        <f>Audit[[#This Row],[Audit Candidate 3]]-Audit[[#This Row],[Candidate 3]]</f>
        <v>-2</v>
      </c>
      <c r="V51" s="111">
        <f>Audit[[#This Row],[Audit Candidate 4]]-Audit[[#This Row],[Candidate 4]]</f>
        <v>-2</v>
      </c>
      <c r="W51" s="111">
        <f>Audit[[#This Row],[Audit Candidate 5]]-Audit[[#This Row],[Candidate 5]]</f>
        <v>0</v>
      </c>
      <c r="X51" s="111">
        <f>Audit[[#This Row],[Audit Candidate 6]]-Audit[[#This Row],[Candidate 6]]</f>
        <v>0</v>
      </c>
      <c r="Y51" s="111">
        <f>SUMIF(Audit[[#This Row],[Difference Loser]:[Difference Candidate 6]], "&gt;0")</f>
        <v>0</v>
      </c>
      <c r="Z51" s="111">
        <f>SUM(Audit[[#This Row],[Difference Loser]:[Difference Candidate 6]])</f>
        <v>-48</v>
      </c>
      <c r="AA51" s="111">
        <f>IF(Audit[[#This Row],[Times p Drawn - With Replacement]]&gt;0, IF(Audit[[#This Row],[Canceled Differences]]&lt;0, Audit[[#This Row],[Max Differences]]+ABS(Audit[[#This Row],[Canceled Differences]]), Audit[[#This Row],[Max Differences]]), 0)</f>
        <v>0</v>
      </c>
      <c r="AB51" s="111">
        <f>'Sampling Data'!P39</f>
        <v>5.0220480156785889E-3</v>
      </c>
      <c r="AC51" s="111">
        <f>IF(
      SUM(Audit[[#This Row],[Audit Losing Candidate]:[Audit Candidate 6]])
      &lt;&gt;0,
      (Audit[[#This Row],[Winning Candidate]]-Audit[[#This Row],[Losing Candidate]]-(Audit[[#This Row],[Audit Winning Candidate]]-Audit[[#This Row],[Audit Losing Candidate]]))/(Audit[[#Totals],[Winning Candidate]]-Audit[[#Totals],[Losing Candidate]]),
      0
)</f>
        <v>0</v>
      </c>
      <c r="AD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 s="111">
        <f>IF(Audit[[#This Row],[Max Relative Error (ep)]] = 0, 0, Audit[[#This Row],[Max Relative Error (ep)]]/Audit[[#This Row],[Error Bound (up) - Max. possible relative overstatement]])</f>
        <v>0</v>
      </c>
      <c r="AJ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1" s="111">
        <f t="shared" si="0"/>
        <v>1</v>
      </c>
      <c r="AL51" s="111">
        <f>PRODUCT($AK$5:AK51)</f>
        <v>8.962823818226312E-2</v>
      </c>
      <c r="AM51" s="109">
        <f>1 - [K-M P Value]</f>
        <v>0.91037176181773694</v>
      </c>
      <c r="AN51" s="111" t="str">
        <f>IF(Audit[[#This Row],[K-M P Value]]&gt;1-'General Info'!$B$16,"Continue", "Stop")</f>
        <v>Stop</v>
      </c>
      <c r="AO51" s="110" t="b">
        <f>IF(Audit[[#This Row],[Status - Continue or stop audit]] = "Continue", TRUE, IF(AN50 = "Continue", TRUE, FALSE))</f>
        <v>0</v>
      </c>
      <c r="AP51" s="110"/>
    </row>
    <row r="52" spans="1:42" ht="15" hidden="1" customHeight="1">
      <c r="A52" s="111" t="str">
        <f>'Sampling Data'!W40</f>
        <v/>
      </c>
      <c r="B52" s="112" t="str">
        <f>'Sampling Data'!A40</f>
        <v>BEACHWOOD -00-F - ABS</v>
      </c>
      <c r="C52" s="112">
        <f>'Sampling Data'!B40</f>
        <v>2</v>
      </c>
      <c r="D52" s="112">
        <f>'Sampling Data'!C40</f>
        <v>28</v>
      </c>
      <c r="E52" s="113">
        <f>'Sampling Data'!D40</f>
        <v>3</v>
      </c>
      <c r="F52" s="113">
        <f>'Sampling Data'!E40</f>
        <v>0</v>
      </c>
      <c r="G52" s="113">
        <f>'Sampling Data'!F40</f>
        <v>1</v>
      </c>
      <c r="H52" s="113">
        <f>'Sampling Data'!G40</f>
        <v>1</v>
      </c>
      <c r="I52" s="112">
        <f>'Sampling Data'!H40</f>
        <v>0</v>
      </c>
      <c r="J52" s="112">
        <f>'Sampling Data'!I40</f>
        <v>1</v>
      </c>
      <c r="K52" s="112">
        <f>'Sampling Data'!J40</f>
        <v>36</v>
      </c>
      <c r="L52" s="111">
        <f>'Sampling Data'!X40</f>
        <v>0</v>
      </c>
      <c r="M52" s="114"/>
      <c r="N52" s="114"/>
      <c r="O52" s="115"/>
      <c r="P52" s="115"/>
      <c r="Q52" s="116"/>
      <c r="R52" s="116"/>
      <c r="S52" s="111">
        <f>Audit[[#This Row],[Audit Losing Candidate]]-Audit[[#This Row],[Losing Candidate]]</f>
        <v>-2</v>
      </c>
      <c r="T52" s="111">
        <f>Audit[[#This Row],[Audit Winning Candidate]]-Audit[[#This Row],[Winning Candidate]]</f>
        <v>-28</v>
      </c>
      <c r="U52" s="111">
        <f>Audit[[#This Row],[Audit Candidate 3]]-Audit[[#This Row],[Candidate 3]]</f>
        <v>-3</v>
      </c>
      <c r="V52" s="111">
        <f>Audit[[#This Row],[Audit Candidate 4]]-Audit[[#This Row],[Candidate 4]]</f>
        <v>0</v>
      </c>
      <c r="W52" s="111">
        <f>Audit[[#This Row],[Audit Candidate 5]]-Audit[[#This Row],[Candidate 5]]</f>
        <v>-1</v>
      </c>
      <c r="X52" s="111">
        <f>Audit[[#This Row],[Audit Candidate 6]]-Audit[[#This Row],[Candidate 6]]</f>
        <v>-1</v>
      </c>
      <c r="Y52" s="111">
        <f>SUMIF(Audit[[#This Row],[Difference Loser]:[Difference Candidate 6]], "&gt;0")</f>
        <v>0</v>
      </c>
      <c r="Z52" s="111">
        <f>SUM(Audit[[#This Row],[Difference Loser]:[Difference Candidate 6]])</f>
        <v>-35</v>
      </c>
      <c r="AA52" s="111">
        <f>IF(Audit[[#This Row],[Times p Drawn - With Replacement]]&gt;0, IF(Audit[[#This Row],[Canceled Differences]]&lt;0, Audit[[#This Row],[Max Differences]]+ABS(Audit[[#This Row],[Canceled Differences]]), Audit[[#This Row],[Max Differences]]), 0)</f>
        <v>0</v>
      </c>
      <c r="AB52" s="111">
        <f>'Sampling Data'!P40</f>
        <v>3.7971582557569817E-3</v>
      </c>
      <c r="AC52" s="111">
        <f>IF(
      SUM(Audit[[#This Row],[Audit Losing Candidate]:[Audit Candidate 6]])
      &lt;&gt;0,
      (Audit[[#This Row],[Winning Candidate]]-Audit[[#This Row],[Losing Candidate]]-(Audit[[#This Row],[Audit Winning Candidate]]-Audit[[#This Row],[Audit Losing Candidate]]))/(Audit[[#Totals],[Winning Candidate]]-Audit[[#Totals],[Losing Candidate]]),
      0
)</f>
        <v>0</v>
      </c>
      <c r="AD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 s="111">
        <f>IF(Audit[[#This Row],[Max Relative Error (ep)]] = 0, 0, Audit[[#This Row],[Max Relative Error (ep)]]/Audit[[#This Row],[Error Bound (up) - Max. possible relative overstatement]])</f>
        <v>0</v>
      </c>
      <c r="AJ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2" s="111">
        <f t="shared" si="0"/>
        <v>1</v>
      </c>
      <c r="AL52" s="111">
        <f>PRODUCT($AK$5:AK52)</f>
        <v>8.962823818226312E-2</v>
      </c>
      <c r="AM52" s="109">
        <f>1 - [K-M P Value]</f>
        <v>0.91037176181773694</v>
      </c>
      <c r="AN52" s="111" t="str">
        <f>IF(Audit[[#This Row],[K-M P Value]]&gt;1-'General Info'!$B$16,"Continue", "Stop")</f>
        <v>Stop</v>
      </c>
      <c r="AO52" s="110" t="b">
        <f>IF(Audit[[#This Row],[Status - Continue or stop audit]] = "Continue", TRUE, IF(AN51 = "Continue", TRUE, FALSE))</f>
        <v>0</v>
      </c>
      <c r="AP52" s="110"/>
    </row>
    <row r="53" spans="1:42" ht="15" hidden="1" customHeight="1">
      <c r="A53" s="111" t="str">
        <f>'Sampling Data'!W41</f>
        <v/>
      </c>
      <c r="B53" s="112" t="str">
        <f>'Sampling Data'!A41</f>
        <v>BEACHWOOD -00-G</v>
      </c>
      <c r="C53" s="112">
        <f>'Sampling Data'!B41</f>
        <v>8</v>
      </c>
      <c r="D53" s="112">
        <f>'Sampling Data'!C41</f>
        <v>50</v>
      </c>
      <c r="E53" s="113">
        <f>'Sampling Data'!D41</f>
        <v>9</v>
      </c>
      <c r="F53" s="113">
        <f>'Sampling Data'!E41</f>
        <v>3</v>
      </c>
      <c r="G53" s="113">
        <f>'Sampling Data'!F41</f>
        <v>0</v>
      </c>
      <c r="H53" s="113">
        <f>'Sampling Data'!G41</f>
        <v>1</v>
      </c>
      <c r="I53" s="112">
        <f>'Sampling Data'!H41</f>
        <v>0</v>
      </c>
      <c r="J53" s="112">
        <f>'Sampling Data'!I41</f>
        <v>1</v>
      </c>
      <c r="K53" s="112">
        <f>'Sampling Data'!J41</f>
        <v>72</v>
      </c>
      <c r="L53" s="111">
        <f>'Sampling Data'!X41</f>
        <v>0</v>
      </c>
      <c r="M53" s="114"/>
      <c r="N53" s="114"/>
      <c r="O53" s="115"/>
      <c r="P53" s="115"/>
      <c r="Q53" s="116"/>
      <c r="R53" s="116"/>
      <c r="S53" s="111">
        <f>Audit[[#This Row],[Audit Losing Candidate]]-Audit[[#This Row],[Losing Candidate]]</f>
        <v>-8</v>
      </c>
      <c r="T53" s="111">
        <f>Audit[[#This Row],[Audit Winning Candidate]]-Audit[[#This Row],[Winning Candidate]]</f>
        <v>-50</v>
      </c>
      <c r="U53" s="111">
        <f>Audit[[#This Row],[Audit Candidate 3]]-Audit[[#This Row],[Candidate 3]]</f>
        <v>-9</v>
      </c>
      <c r="V53" s="111">
        <f>Audit[[#This Row],[Audit Candidate 4]]-Audit[[#This Row],[Candidate 4]]</f>
        <v>-3</v>
      </c>
      <c r="W53" s="111">
        <f>Audit[[#This Row],[Audit Candidate 5]]-Audit[[#This Row],[Candidate 5]]</f>
        <v>0</v>
      </c>
      <c r="X53" s="111">
        <f>Audit[[#This Row],[Audit Candidate 6]]-Audit[[#This Row],[Candidate 6]]</f>
        <v>-1</v>
      </c>
      <c r="Y53" s="111">
        <f>SUMIF(Audit[[#This Row],[Difference Loser]:[Difference Candidate 6]], "&gt;0")</f>
        <v>0</v>
      </c>
      <c r="Z53" s="111">
        <f>SUM(Audit[[#This Row],[Difference Loser]:[Difference Candidate 6]])</f>
        <v>-71</v>
      </c>
      <c r="AA53" s="111">
        <f>IF(Audit[[#This Row],[Times p Drawn - With Replacement]]&gt;0, IF(Audit[[#This Row],[Canceled Differences]]&lt;0, Audit[[#This Row],[Max Differences]]+ABS(Audit[[#This Row],[Canceled Differences]]), Audit[[#This Row],[Max Differences]]), 0)</f>
        <v>0</v>
      </c>
      <c r="AB53" s="111">
        <f>'Sampling Data'!P41</f>
        <v>6.9818716315531602E-3</v>
      </c>
      <c r="AC53" s="111">
        <f>IF(
      SUM(Audit[[#This Row],[Audit Losing Candidate]:[Audit Candidate 6]])
      &lt;&gt;0,
      (Audit[[#This Row],[Winning Candidate]]-Audit[[#This Row],[Losing Candidate]]-(Audit[[#This Row],[Audit Winning Candidate]]-Audit[[#This Row],[Audit Losing Candidate]]))/(Audit[[#Totals],[Winning Candidate]]-Audit[[#Totals],[Losing Candidate]]),
      0
)</f>
        <v>0</v>
      </c>
      <c r="AD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 s="111">
        <f>IF(Audit[[#This Row],[Max Relative Error (ep)]] = 0, 0, Audit[[#This Row],[Max Relative Error (ep)]]/Audit[[#This Row],[Error Bound (up) - Max. possible relative overstatement]])</f>
        <v>0</v>
      </c>
      <c r="AJ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3" s="111">
        <f t="shared" si="0"/>
        <v>1</v>
      </c>
      <c r="AL53" s="111">
        <f>PRODUCT($AK$5:AK53)</f>
        <v>8.962823818226312E-2</v>
      </c>
      <c r="AM53" s="109">
        <f>1 - [K-M P Value]</f>
        <v>0.91037176181773694</v>
      </c>
      <c r="AN53" s="111" t="str">
        <f>IF(Audit[[#This Row],[K-M P Value]]&gt;1-'General Info'!$B$16,"Continue", "Stop")</f>
        <v>Stop</v>
      </c>
      <c r="AO53" s="110" t="b">
        <f>IF(Audit[[#This Row],[Status - Continue or stop audit]] = "Continue", TRUE, IF(AN52 = "Continue", TRUE, FALSE))</f>
        <v>0</v>
      </c>
      <c r="AP53" s="110"/>
    </row>
    <row r="54" spans="1:42" ht="15" hidden="1" customHeight="1">
      <c r="A54" s="111" t="str">
        <f>'Sampling Data'!W42</f>
        <v/>
      </c>
      <c r="B54" s="112" t="str">
        <f>'Sampling Data'!A42</f>
        <v>BEACHWOOD -00-G - ABS</v>
      </c>
      <c r="C54" s="112">
        <f>'Sampling Data'!B42</f>
        <v>5</v>
      </c>
      <c r="D54" s="112">
        <f>'Sampling Data'!C42</f>
        <v>32</v>
      </c>
      <c r="E54" s="113">
        <f>'Sampling Data'!D42</f>
        <v>8</v>
      </c>
      <c r="F54" s="113">
        <f>'Sampling Data'!E42</f>
        <v>0</v>
      </c>
      <c r="G54" s="113">
        <f>'Sampling Data'!F42</f>
        <v>0</v>
      </c>
      <c r="H54" s="113">
        <f>'Sampling Data'!G42</f>
        <v>0</v>
      </c>
      <c r="I54" s="112">
        <f>'Sampling Data'!H42</f>
        <v>0</v>
      </c>
      <c r="J54" s="112">
        <f>'Sampling Data'!I42</f>
        <v>0</v>
      </c>
      <c r="K54" s="112">
        <f>'Sampling Data'!J42</f>
        <v>45</v>
      </c>
      <c r="L54" s="111">
        <f>'Sampling Data'!X42</f>
        <v>0</v>
      </c>
      <c r="M54" s="114"/>
      <c r="N54" s="114"/>
      <c r="O54" s="115"/>
      <c r="P54" s="115"/>
      <c r="Q54" s="116"/>
      <c r="R54" s="116"/>
      <c r="S54" s="111">
        <f>Audit[[#This Row],[Audit Losing Candidate]]-Audit[[#This Row],[Losing Candidate]]</f>
        <v>-5</v>
      </c>
      <c r="T54" s="111">
        <f>Audit[[#This Row],[Audit Winning Candidate]]-Audit[[#This Row],[Winning Candidate]]</f>
        <v>-32</v>
      </c>
      <c r="U54" s="111">
        <f>Audit[[#This Row],[Audit Candidate 3]]-Audit[[#This Row],[Candidate 3]]</f>
        <v>-8</v>
      </c>
      <c r="V54" s="111">
        <f>Audit[[#This Row],[Audit Candidate 4]]-Audit[[#This Row],[Candidate 4]]</f>
        <v>0</v>
      </c>
      <c r="W54" s="111">
        <f>Audit[[#This Row],[Audit Candidate 5]]-Audit[[#This Row],[Candidate 5]]</f>
        <v>0</v>
      </c>
      <c r="X54" s="111">
        <f>Audit[[#This Row],[Audit Candidate 6]]-Audit[[#This Row],[Candidate 6]]</f>
        <v>0</v>
      </c>
      <c r="Y54" s="111">
        <f>SUMIF(Audit[[#This Row],[Difference Loser]:[Difference Candidate 6]], "&gt;0")</f>
        <v>0</v>
      </c>
      <c r="Z54" s="111">
        <f>SUM(Audit[[#This Row],[Difference Loser]:[Difference Candidate 6]])</f>
        <v>-45</v>
      </c>
      <c r="AA54" s="111">
        <f>IF(Audit[[#This Row],[Times p Drawn - With Replacement]]&gt;0, IF(Audit[[#This Row],[Canceled Differences]]&lt;0, Audit[[#This Row],[Max Differences]]+ABS(Audit[[#This Row],[Canceled Differences]]), Audit[[#This Row],[Max Differences]]), 0)</f>
        <v>0</v>
      </c>
      <c r="AB54" s="111">
        <f>'Sampling Data'!P42</f>
        <v>4.4096031357177858E-3</v>
      </c>
      <c r="AC54" s="111">
        <f>IF(
      SUM(Audit[[#This Row],[Audit Losing Candidate]:[Audit Candidate 6]])
      &lt;&gt;0,
      (Audit[[#This Row],[Winning Candidate]]-Audit[[#This Row],[Losing Candidate]]-(Audit[[#This Row],[Audit Winning Candidate]]-Audit[[#This Row],[Audit Losing Candidate]]))/(Audit[[#Totals],[Winning Candidate]]-Audit[[#Totals],[Losing Candidate]]),
      0
)</f>
        <v>0</v>
      </c>
      <c r="AD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 s="111">
        <f>IF(Audit[[#This Row],[Max Relative Error (ep)]] = 0, 0, Audit[[#This Row],[Max Relative Error (ep)]]/Audit[[#This Row],[Error Bound (up) - Max. possible relative overstatement]])</f>
        <v>0</v>
      </c>
      <c r="AJ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4" s="111">
        <f t="shared" si="0"/>
        <v>1</v>
      </c>
      <c r="AL54" s="111">
        <f>PRODUCT($AK$5:AK54)</f>
        <v>8.962823818226312E-2</v>
      </c>
      <c r="AM54" s="109">
        <f>1 - [K-M P Value]</f>
        <v>0.91037176181773694</v>
      </c>
      <c r="AN54" s="111" t="str">
        <f>IF(Audit[[#This Row],[K-M P Value]]&gt;1-'General Info'!$B$16,"Continue", "Stop")</f>
        <v>Stop</v>
      </c>
      <c r="AO54" s="110" t="b">
        <f>IF(Audit[[#This Row],[Status - Continue or stop audit]] = "Continue", TRUE, IF(AN53 = "Continue", TRUE, FALSE))</f>
        <v>0</v>
      </c>
      <c r="AP54" s="110"/>
    </row>
    <row r="55" spans="1:42" ht="15" hidden="1" customHeight="1">
      <c r="A55" s="111" t="str">
        <f>'Sampling Data'!W43</f>
        <v/>
      </c>
      <c r="B55" s="112" t="str">
        <f>'Sampling Data'!A43</f>
        <v>BEACHWOOD -00-H</v>
      </c>
      <c r="C55" s="112">
        <f>'Sampling Data'!B43</f>
        <v>4</v>
      </c>
      <c r="D55" s="112">
        <f>'Sampling Data'!C43</f>
        <v>40</v>
      </c>
      <c r="E55" s="113">
        <f>'Sampling Data'!D43</f>
        <v>2</v>
      </c>
      <c r="F55" s="113">
        <f>'Sampling Data'!E43</f>
        <v>3</v>
      </c>
      <c r="G55" s="113">
        <f>'Sampling Data'!F43</f>
        <v>0</v>
      </c>
      <c r="H55" s="113">
        <f>'Sampling Data'!G43</f>
        <v>0</v>
      </c>
      <c r="I55" s="112">
        <f>'Sampling Data'!H43</f>
        <v>0</v>
      </c>
      <c r="J55" s="112">
        <f>'Sampling Data'!I43</f>
        <v>0</v>
      </c>
      <c r="K55" s="112">
        <f>'Sampling Data'!J43</f>
        <v>49</v>
      </c>
      <c r="L55" s="111">
        <f>'Sampling Data'!X43</f>
        <v>0</v>
      </c>
      <c r="M55" s="114"/>
      <c r="N55" s="114"/>
      <c r="O55" s="115"/>
      <c r="P55" s="115"/>
      <c r="Q55" s="116"/>
      <c r="R55" s="116"/>
      <c r="S55" s="111">
        <f>Audit[[#This Row],[Audit Losing Candidate]]-Audit[[#This Row],[Losing Candidate]]</f>
        <v>-4</v>
      </c>
      <c r="T55" s="111">
        <f>Audit[[#This Row],[Audit Winning Candidate]]-Audit[[#This Row],[Winning Candidate]]</f>
        <v>-40</v>
      </c>
      <c r="U55" s="111">
        <f>Audit[[#This Row],[Audit Candidate 3]]-Audit[[#This Row],[Candidate 3]]</f>
        <v>-2</v>
      </c>
      <c r="V55" s="111">
        <f>Audit[[#This Row],[Audit Candidate 4]]-Audit[[#This Row],[Candidate 4]]</f>
        <v>-3</v>
      </c>
      <c r="W55" s="111">
        <f>Audit[[#This Row],[Audit Candidate 5]]-Audit[[#This Row],[Candidate 5]]</f>
        <v>0</v>
      </c>
      <c r="X55" s="111">
        <f>Audit[[#This Row],[Audit Candidate 6]]-Audit[[#This Row],[Candidate 6]]</f>
        <v>0</v>
      </c>
      <c r="Y55" s="111">
        <f>SUMIF(Audit[[#This Row],[Difference Loser]:[Difference Candidate 6]], "&gt;0")</f>
        <v>0</v>
      </c>
      <c r="Z55" s="111">
        <f>SUM(Audit[[#This Row],[Difference Loser]:[Difference Candidate 6]])</f>
        <v>-49</v>
      </c>
      <c r="AA55" s="111">
        <f>IF(Audit[[#This Row],[Times p Drawn - With Replacement]]&gt;0, IF(Audit[[#This Row],[Canceled Differences]]&lt;0, Audit[[#This Row],[Max Differences]]+ABS(Audit[[#This Row],[Canceled Differences]]), Audit[[#This Row],[Max Differences]]), 0)</f>
        <v>0</v>
      </c>
      <c r="AB55" s="111">
        <f>'Sampling Data'!P43</f>
        <v>5.2057814796668302E-3</v>
      </c>
      <c r="AC55" s="111">
        <f>IF(
      SUM(Audit[[#This Row],[Audit Losing Candidate]:[Audit Candidate 6]])
      &lt;&gt;0,
      (Audit[[#This Row],[Winning Candidate]]-Audit[[#This Row],[Losing Candidate]]-(Audit[[#This Row],[Audit Winning Candidate]]-Audit[[#This Row],[Audit Losing Candidate]]))/(Audit[[#Totals],[Winning Candidate]]-Audit[[#Totals],[Losing Candidate]]),
      0
)</f>
        <v>0</v>
      </c>
      <c r="AD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 s="111">
        <f>IF(Audit[[#This Row],[Max Relative Error (ep)]] = 0, 0, Audit[[#This Row],[Max Relative Error (ep)]]/Audit[[#This Row],[Error Bound (up) - Max. possible relative overstatement]])</f>
        <v>0</v>
      </c>
      <c r="AJ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5" s="111">
        <f t="shared" si="0"/>
        <v>1</v>
      </c>
      <c r="AL55" s="111">
        <f>PRODUCT($AK$5:AK55)</f>
        <v>8.962823818226312E-2</v>
      </c>
      <c r="AM55" s="109">
        <f>1 - [K-M P Value]</f>
        <v>0.91037176181773694</v>
      </c>
      <c r="AN55" s="111" t="str">
        <f>IF(Audit[[#This Row],[K-M P Value]]&gt;1-'General Info'!$B$16,"Continue", "Stop")</f>
        <v>Stop</v>
      </c>
      <c r="AO55" s="110" t="b">
        <f>IF(Audit[[#This Row],[Status - Continue or stop audit]] = "Continue", TRUE, IF(AN54 = "Continue", TRUE, FALSE))</f>
        <v>0</v>
      </c>
      <c r="AP55" s="110"/>
    </row>
    <row r="56" spans="1:42" ht="15" hidden="1" customHeight="1">
      <c r="A56" s="111" t="str">
        <f>'Sampling Data'!W44</f>
        <v/>
      </c>
      <c r="B56" s="112" t="str">
        <f>'Sampling Data'!A44</f>
        <v>BEACHWOOD -00-H - ABS</v>
      </c>
      <c r="C56" s="112">
        <f>'Sampling Data'!B44</f>
        <v>3</v>
      </c>
      <c r="D56" s="112">
        <f>'Sampling Data'!C44</f>
        <v>24</v>
      </c>
      <c r="E56" s="113">
        <f>'Sampling Data'!D44</f>
        <v>1</v>
      </c>
      <c r="F56" s="113">
        <f>'Sampling Data'!E44</f>
        <v>0</v>
      </c>
      <c r="G56" s="113">
        <f>'Sampling Data'!F44</f>
        <v>1</v>
      </c>
      <c r="H56" s="113">
        <f>'Sampling Data'!G44</f>
        <v>0</v>
      </c>
      <c r="I56" s="112">
        <f>'Sampling Data'!H44</f>
        <v>0</v>
      </c>
      <c r="J56" s="112">
        <f>'Sampling Data'!I44</f>
        <v>1</v>
      </c>
      <c r="K56" s="112">
        <f>'Sampling Data'!J44</f>
        <v>30</v>
      </c>
      <c r="L56" s="111">
        <f>'Sampling Data'!X44</f>
        <v>0</v>
      </c>
      <c r="M56" s="114"/>
      <c r="N56" s="114"/>
      <c r="O56" s="115"/>
      <c r="P56" s="115"/>
      <c r="Q56" s="116"/>
      <c r="R56" s="116"/>
      <c r="S56" s="111">
        <f>Audit[[#This Row],[Audit Losing Candidate]]-Audit[[#This Row],[Losing Candidate]]</f>
        <v>-3</v>
      </c>
      <c r="T56" s="111">
        <f>Audit[[#This Row],[Audit Winning Candidate]]-Audit[[#This Row],[Winning Candidate]]</f>
        <v>-24</v>
      </c>
      <c r="U56" s="111">
        <f>Audit[[#This Row],[Audit Candidate 3]]-Audit[[#This Row],[Candidate 3]]</f>
        <v>-1</v>
      </c>
      <c r="V56" s="111">
        <f>Audit[[#This Row],[Audit Candidate 4]]-Audit[[#This Row],[Candidate 4]]</f>
        <v>0</v>
      </c>
      <c r="W56" s="111">
        <f>Audit[[#This Row],[Audit Candidate 5]]-Audit[[#This Row],[Candidate 5]]</f>
        <v>-1</v>
      </c>
      <c r="X56" s="111">
        <f>Audit[[#This Row],[Audit Candidate 6]]-Audit[[#This Row],[Candidate 6]]</f>
        <v>0</v>
      </c>
      <c r="Y56" s="111">
        <f>SUMIF(Audit[[#This Row],[Difference Loser]:[Difference Candidate 6]], "&gt;0")</f>
        <v>0</v>
      </c>
      <c r="Z56" s="111">
        <f>SUM(Audit[[#This Row],[Difference Loser]:[Difference Candidate 6]])</f>
        <v>-29</v>
      </c>
      <c r="AA56" s="111">
        <f>IF(Audit[[#This Row],[Times p Drawn - With Replacement]]&gt;0, IF(Audit[[#This Row],[Canceled Differences]]&lt;0, Audit[[#This Row],[Max Differences]]+ABS(Audit[[#This Row],[Canceled Differences]]), Audit[[#This Row],[Max Differences]]), 0)</f>
        <v>0</v>
      </c>
      <c r="AB56" s="111">
        <f>'Sampling Data'!P44</f>
        <v>3.1234688878000981E-3</v>
      </c>
      <c r="AC56" s="111">
        <f>IF(
      SUM(Audit[[#This Row],[Audit Losing Candidate]:[Audit Candidate 6]])
      &lt;&gt;0,
      (Audit[[#This Row],[Winning Candidate]]-Audit[[#This Row],[Losing Candidate]]-(Audit[[#This Row],[Audit Winning Candidate]]-Audit[[#This Row],[Audit Losing Candidate]]))/(Audit[[#Totals],[Winning Candidate]]-Audit[[#Totals],[Losing Candidate]]),
      0
)</f>
        <v>0</v>
      </c>
      <c r="AD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 s="111">
        <f>IF(Audit[[#This Row],[Max Relative Error (ep)]] = 0, 0, Audit[[#This Row],[Max Relative Error (ep)]]/Audit[[#This Row],[Error Bound (up) - Max. possible relative overstatement]])</f>
        <v>0</v>
      </c>
      <c r="AJ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6" s="111">
        <f t="shared" si="0"/>
        <v>1</v>
      </c>
      <c r="AL56" s="111">
        <f>PRODUCT($AK$5:AK56)</f>
        <v>8.962823818226312E-2</v>
      </c>
      <c r="AM56" s="109">
        <f>1 - [K-M P Value]</f>
        <v>0.91037176181773694</v>
      </c>
      <c r="AN56" s="111" t="str">
        <f>IF(Audit[[#This Row],[K-M P Value]]&gt;1-'General Info'!$B$16,"Continue", "Stop")</f>
        <v>Stop</v>
      </c>
      <c r="AO56" s="110" t="b">
        <f>IF(Audit[[#This Row],[Status - Continue or stop audit]] = "Continue", TRUE, IF(AN55 = "Continue", TRUE, FALSE))</f>
        <v>0</v>
      </c>
      <c r="AP56" s="110"/>
    </row>
    <row r="57" spans="1:42" ht="15" hidden="1" customHeight="1">
      <c r="A57" s="111" t="str">
        <f>'Sampling Data'!W45</f>
        <v/>
      </c>
      <c r="B57" s="112" t="str">
        <f>'Sampling Data'!A45</f>
        <v>BEACHWOOD -00-I</v>
      </c>
      <c r="C57" s="112">
        <f>'Sampling Data'!B45</f>
        <v>4</v>
      </c>
      <c r="D57" s="112">
        <f>'Sampling Data'!C45</f>
        <v>17</v>
      </c>
      <c r="E57" s="113">
        <f>'Sampling Data'!D45</f>
        <v>4</v>
      </c>
      <c r="F57" s="113">
        <f>'Sampling Data'!E45</f>
        <v>2</v>
      </c>
      <c r="G57" s="113">
        <f>'Sampling Data'!F45</f>
        <v>0</v>
      </c>
      <c r="H57" s="113">
        <f>'Sampling Data'!G45</f>
        <v>0</v>
      </c>
      <c r="I57" s="112">
        <f>'Sampling Data'!H45</f>
        <v>1</v>
      </c>
      <c r="J57" s="112">
        <f>'Sampling Data'!I45</f>
        <v>1</v>
      </c>
      <c r="K57" s="112">
        <f>'Sampling Data'!J45</f>
        <v>29</v>
      </c>
      <c r="L57" s="111">
        <f>'Sampling Data'!X45</f>
        <v>0</v>
      </c>
      <c r="M57" s="114"/>
      <c r="N57" s="114"/>
      <c r="O57" s="115"/>
      <c r="P57" s="115"/>
      <c r="Q57" s="116"/>
      <c r="R57" s="116"/>
      <c r="S57" s="111">
        <f>Audit[[#This Row],[Audit Losing Candidate]]-Audit[[#This Row],[Losing Candidate]]</f>
        <v>-4</v>
      </c>
      <c r="T57" s="111">
        <f>Audit[[#This Row],[Audit Winning Candidate]]-Audit[[#This Row],[Winning Candidate]]</f>
        <v>-17</v>
      </c>
      <c r="U57" s="111">
        <f>Audit[[#This Row],[Audit Candidate 3]]-Audit[[#This Row],[Candidate 3]]</f>
        <v>-4</v>
      </c>
      <c r="V57" s="111">
        <f>Audit[[#This Row],[Audit Candidate 4]]-Audit[[#This Row],[Candidate 4]]</f>
        <v>-2</v>
      </c>
      <c r="W57" s="111">
        <f>Audit[[#This Row],[Audit Candidate 5]]-Audit[[#This Row],[Candidate 5]]</f>
        <v>0</v>
      </c>
      <c r="X57" s="111">
        <f>Audit[[#This Row],[Audit Candidate 6]]-Audit[[#This Row],[Candidate 6]]</f>
        <v>0</v>
      </c>
      <c r="Y57" s="111">
        <f>SUMIF(Audit[[#This Row],[Difference Loser]:[Difference Candidate 6]], "&gt;0")</f>
        <v>0</v>
      </c>
      <c r="Z57" s="111">
        <f>SUM(Audit[[#This Row],[Difference Loser]:[Difference Candidate 6]])</f>
        <v>-27</v>
      </c>
      <c r="AA57" s="111">
        <f>IF(Audit[[#This Row],[Times p Drawn - With Replacement]]&gt;0, IF(Audit[[#This Row],[Canceled Differences]]&lt;0, Audit[[#This Row],[Max Differences]]+ABS(Audit[[#This Row],[Canceled Differences]]), Audit[[#This Row],[Max Differences]]), 0)</f>
        <v>0</v>
      </c>
      <c r="AB57" s="111">
        <f>'Sampling Data'!P45</f>
        <v>2.5722684958353749E-3</v>
      </c>
      <c r="AC57" s="111">
        <f>IF(
      SUM(Audit[[#This Row],[Audit Losing Candidate]:[Audit Candidate 6]])
      &lt;&gt;0,
      (Audit[[#This Row],[Winning Candidate]]-Audit[[#This Row],[Losing Candidate]]-(Audit[[#This Row],[Audit Winning Candidate]]-Audit[[#This Row],[Audit Losing Candidate]]))/(Audit[[#Totals],[Winning Candidate]]-Audit[[#Totals],[Losing Candidate]]),
      0
)</f>
        <v>0</v>
      </c>
      <c r="AD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 s="111">
        <f>IF(Audit[[#This Row],[Max Relative Error (ep)]] = 0, 0, Audit[[#This Row],[Max Relative Error (ep)]]/Audit[[#This Row],[Error Bound (up) - Max. possible relative overstatement]])</f>
        <v>0</v>
      </c>
      <c r="AJ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7" s="111">
        <f t="shared" si="0"/>
        <v>1</v>
      </c>
      <c r="AL57" s="111">
        <f>PRODUCT($AK$5:AK57)</f>
        <v>8.962823818226312E-2</v>
      </c>
      <c r="AM57" s="109">
        <f>1 - [K-M P Value]</f>
        <v>0.91037176181773694</v>
      </c>
      <c r="AN57" s="111" t="str">
        <f>IF(Audit[[#This Row],[K-M P Value]]&gt;1-'General Info'!$B$16,"Continue", "Stop")</f>
        <v>Stop</v>
      </c>
      <c r="AO57" s="110" t="b">
        <f>IF(Audit[[#This Row],[Status - Continue or stop audit]] = "Continue", TRUE, IF(AN56 = "Continue", TRUE, FALSE))</f>
        <v>0</v>
      </c>
      <c r="AP57" s="110"/>
    </row>
    <row r="58" spans="1:42" ht="15" hidden="1" customHeight="1">
      <c r="A58" s="111" t="str">
        <f>'Sampling Data'!W46</f>
        <v/>
      </c>
      <c r="B58" s="112" t="str">
        <f>'Sampling Data'!A46</f>
        <v>BEACHWOOD -00-I - ABS</v>
      </c>
      <c r="C58" s="112">
        <f>'Sampling Data'!B46</f>
        <v>2</v>
      </c>
      <c r="D58" s="112">
        <f>'Sampling Data'!C46</f>
        <v>12</v>
      </c>
      <c r="E58" s="113">
        <f>'Sampling Data'!D46</f>
        <v>1</v>
      </c>
      <c r="F58" s="113">
        <f>'Sampling Data'!E46</f>
        <v>0</v>
      </c>
      <c r="G58" s="113">
        <f>'Sampling Data'!F46</f>
        <v>0</v>
      </c>
      <c r="H58" s="113">
        <f>'Sampling Data'!G46</f>
        <v>0</v>
      </c>
      <c r="I58" s="112">
        <f>'Sampling Data'!H46</f>
        <v>0</v>
      </c>
      <c r="J58" s="112">
        <f>'Sampling Data'!I46</f>
        <v>1</v>
      </c>
      <c r="K58" s="112">
        <f>'Sampling Data'!J46</f>
        <v>16</v>
      </c>
      <c r="L58" s="111">
        <f>'Sampling Data'!X46</f>
        <v>0</v>
      </c>
      <c r="M58" s="114"/>
      <c r="N58" s="114"/>
      <c r="O58" s="115"/>
      <c r="P58" s="115"/>
      <c r="Q58" s="116"/>
      <c r="R58" s="116"/>
      <c r="S58" s="111">
        <f>Audit[[#This Row],[Audit Losing Candidate]]-Audit[[#This Row],[Losing Candidate]]</f>
        <v>-2</v>
      </c>
      <c r="T58" s="111">
        <f>Audit[[#This Row],[Audit Winning Candidate]]-Audit[[#This Row],[Winning Candidate]]</f>
        <v>-12</v>
      </c>
      <c r="U58" s="111">
        <f>Audit[[#This Row],[Audit Candidate 3]]-Audit[[#This Row],[Candidate 3]]</f>
        <v>-1</v>
      </c>
      <c r="V58" s="111">
        <f>Audit[[#This Row],[Audit Candidate 4]]-Audit[[#This Row],[Candidate 4]]</f>
        <v>0</v>
      </c>
      <c r="W58" s="111">
        <f>Audit[[#This Row],[Audit Candidate 5]]-Audit[[#This Row],[Candidate 5]]</f>
        <v>0</v>
      </c>
      <c r="X58" s="111">
        <f>Audit[[#This Row],[Audit Candidate 6]]-Audit[[#This Row],[Candidate 6]]</f>
        <v>0</v>
      </c>
      <c r="Y58" s="111">
        <f>SUMIF(Audit[[#This Row],[Difference Loser]:[Difference Candidate 6]], "&gt;0")</f>
        <v>0</v>
      </c>
      <c r="Z58" s="111">
        <f>SUM(Audit[[#This Row],[Difference Loser]:[Difference Candidate 6]])</f>
        <v>-15</v>
      </c>
      <c r="AA58" s="111">
        <f>IF(Audit[[#This Row],[Times p Drawn - With Replacement]]&gt;0, IF(Audit[[#This Row],[Canceled Differences]]&lt;0, Audit[[#This Row],[Max Differences]]+ABS(Audit[[#This Row],[Canceled Differences]]), Audit[[#This Row],[Max Differences]]), 0)</f>
        <v>0</v>
      </c>
      <c r="AB58" s="111">
        <f>'Sampling Data'!P46</f>
        <v>1.5923566878980893E-3</v>
      </c>
      <c r="AC58" s="111">
        <f>IF(
      SUM(Audit[[#This Row],[Audit Losing Candidate]:[Audit Candidate 6]])
      &lt;&gt;0,
      (Audit[[#This Row],[Winning Candidate]]-Audit[[#This Row],[Losing Candidate]]-(Audit[[#This Row],[Audit Winning Candidate]]-Audit[[#This Row],[Audit Losing Candidate]]))/(Audit[[#Totals],[Winning Candidate]]-Audit[[#Totals],[Losing Candidate]]),
      0
)</f>
        <v>0</v>
      </c>
      <c r="AD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 s="111">
        <f>IF(Audit[[#This Row],[Max Relative Error (ep)]] = 0, 0, Audit[[#This Row],[Max Relative Error (ep)]]/Audit[[#This Row],[Error Bound (up) - Max. possible relative overstatement]])</f>
        <v>0</v>
      </c>
      <c r="AJ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8" s="111">
        <f t="shared" si="0"/>
        <v>1</v>
      </c>
      <c r="AL58" s="111">
        <f>PRODUCT($AK$5:AK58)</f>
        <v>8.962823818226312E-2</v>
      </c>
      <c r="AM58" s="109">
        <f>1 - [K-M P Value]</f>
        <v>0.91037176181773694</v>
      </c>
      <c r="AN58" s="111" t="str">
        <f>IF(Audit[[#This Row],[K-M P Value]]&gt;1-'General Info'!$B$16,"Continue", "Stop")</f>
        <v>Stop</v>
      </c>
      <c r="AO58" s="110" t="b">
        <f>IF(Audit[[#This Row],[Status - Continue or stop audit]] = "Continue", TRUE, IF(AN57 = "Continue", TRUE, FALSE))</f>
        <v>0</v>
      </c>
      <c r="AP58" s="110"/>
    </row>
    <row r="59" spans="1:42" ht="15" hidden="1" customHeight="1">
      <c r="A59" s="111" t="str">
        <f>'Sampling Data'!W47</f>
        <v/>
      </c>
      <c r="B59" s="112" t="str">
        <f>'Sampling Data'!A47</f>
        <v>BEACHWOOD -00-J</v>
      </c>
      <c r="C59" s="112">
        <f>'Sampling Data'!B47</f>
        <v>2</v>
      </c>
      <c r="D59" s="112">
        <f>'Sampling Data'!C47</f>
        <v>11</v>
      </c>
      <c r="E59" s="113">
        <f>'Sampling Data'!D47</f>
        <v>2</v>
      </c>
      <c r="F59" s="113">
        <f>'Sampling Data'!E47</f>
        <v>0</v>
      </c>
      <c r="G59" s="113">
        <f>'Sampling Data'!F47</f>
        <v>0</v>
      </c>
      <c r="H59" s="113">
        <f>'Sampling Data'!G47</f>
        <v>1</v>
      </c>
      <c r="I59" s="112">
        <f>'Sampling Data'!H47</f>
        <v>0</v>
      </c>
      <c r="J59" s="112">
        <f>'Sampling Data'!I47</f>
        <v>0</v>
      </c>
      <c r="K59" s="112">
        <f>'Sampling Data'!J47</f>
        <v>16</v>
      </c>
      <c r="L59" s="111">
        <f>'Sampling Data'!X47</f>
        <v>0</v>
      </c>
      <c r="M59" s="114"/>
      <c r="N59" s="114"/>
      <c r="O59" s="115"/>
      <c r="P59" s="115"/>
      <c r="Q59" s="116"/>
      <c r="R59" s="116"/>
      <c r="S59" s="111">
        <f>Audit[[#This Row],[Audit Losing Candidate]]-Audit[[#This Row],[Losing Candidate]]</f>
        <v>-2</v>
      </c>
      <c r="T59" s="111">
        <f>Audit[[#This Row],[Audit Winning Candidate]]-Audit[[#This Row],[Winning Candidate]]</f>
        <v>-11</v>
      </c>
      <c r="U59" s="111">
        <f>Audit[[#This Row],[Audit Candidate 3]]-Audit[[#This Row],[Candidate 3]]</f>
        <v>-2</v>
      </c>
      <c r="V59" s="111">
        <f>Audit[[#This Row],[Audit Candidate 4]]-Audit[[#This Row],[Candidate 4]]</f>
        <v>0</v>
      </c>
      <c r="W59" s="111">
        <f>Audit[[#This Row],[Audit Candidate 5]]-Audit[[#This Row],[Candidate 5]]</f>
        <v>0</v>
      </c>
      <c r="X59" s="111">
        <f>Audit[[#This Row],[Audit Candidate 6]]-Audit[[#This Row],[Candidate 6]]</f>
        <v>-1</v>
      </c>
      <c r="Y59" s="111">
        <f>SUMIF(Audit[[#This Row],[Difference Loser]:[Difference Candidate 6]], "&gt;0")</f>
        <v>0</v>
      </c>
      <c r="Z59" s="111">
        <f>SUM(Audit[[#This Row],[Difference Loser]:[Difference Candidate 6]])</f>
        <v>-16</v>
      </c>
      <c r="AA59" s="111">
        <f>IF(Audit[[#This Row],[Times p Drawn - With Replacement]]&gt;0, IF(Audit[[#This Row],[Canceled Differences]]&lt;0, Audit[[#This Row],[Max Differences]]+ABS(Audit[[#This Row],[Canceled Differences]]), Audit[[#This Row],[Max Differences]]), 0)</f>
        <v>0</v>
      </c>
      <c r="AB59" s="111">
        <f>'Sampling Data'!P47</f>
        <v>1.5311121999020088E-3</v>
      </c>
      <c r="AC59" s="111">
        <f>IF(
      SUM(Audit[[#This Row],[Audit Losing Candidate]:[Audit Candidate 6]])
      &lt;&gt;0,
      (Audit[[#This Row],[Winning Candidate]]-Audit[[#This Row],[Losing Candidate]]-(Audit[[#This Row],[Audit Winning Candidate]]-Audit[[#This Row],[Audit Losing Candidate]]))/(Audit[[#Totals],[Winning Candidate]]-Audit[[#Totals],[Losing Candidate]]),
      0
)</f>
        <v>0</v>
      </c>
      <c r="AD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 s="111">
        <f>IF(Audit[[#This Row],[Max Relative Error (ep)]] = 0, 0, Audit[[#This Row],[Max Relative Error (ep)]]/Audit[[#This Row],[Error Bound (up) - Max. possible relative overstatement]])</f>
        <v>0</v>
      </c>
      <c r="AJ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9" s="111">
        <f t="shared" si="0"/>
        <v>1</v>
      </c>
      <c r="AL59" s="111">
        <f>PRODUCT($AK$5:AK59)</f>
        <v>8.962823818226312E-2</v>
      </c>
      <c r="AM59" s="109">
        <f>1 - [K-M P Value]</f>
        <v>0.91037176181773694</v>
      </c>
      <c r="AN59" s="111" t="str">
        <f>IF(Audit[[#This Row],[K-M P Value]]&gt;1-'General Info'!$B$16,"Continue", "Stop")</f>
        <v>Stop</v>
      </c>
      <c r="AO59" s="110" t="b">
        <f>IF(Audit[[#This Row],[Status - Continue or stop audit]] = "Continue", TRUE, IF(AN58 = "Continue", TRUE, FALSE))</f>
        <v>0</v>
      </c>
      <c r="AP59" s="110"/>
    </row>
    <row r="60" spans="1:42" ht="15" hidden="1" customHeight="1">
      <c r="A60" s="111" t="str">
        <f>'Sampling Data'!W48</f>
        <v/>
      </c>
      <c r="B60" s="112" t="str">
        <f>'Sampling Data'!A48</f>
        <v>BEACHWOOD -00-J - ABS</v>
      </c>
      <c r="C60" s="112">
        <f>'Sampling Data'!B48</f>
        <v>1</v>
      </c>
      <c r="D60" s="112">
        <f>'Sampling Data'!C48</f>
        <v>8</v>
      </c>
      <c r="E60" s="113">
        <f>'Sampling Data'!D48</f>
        <v>2</v>
      </c>
      <c r="F60" s="113">
        <f>'Sampling Data'!E48</f>
        <v>1</v>
      </c>
      <c r="G60" s="113">
        <f>'Sampling Data'!F48</f>
        <v>0</v>
      </c>
      <c r="H60" s="113">
        <f>'Sampling Data'!G48</f>
        <v>0</v>
      </c>
      <c r="I60" s="112">
        <f>'Sampling Data'!H48</f>
        <v>0</v>
      </c>
      <c r="J60" s="112">
        <f>'Sampling Data'!I48</f>
        <v>1</v>
      </c>
      <c r="K60" s="112">
        <f>'Sampling Data'!J48</f>
        <v>13</v>
      </c>
      <c r="L60" s="111">
        <f>'Sampling Data'!X48</f>
        <v>0</v>
      </c>
      <c r="M60" s="114"/>
      <c r="N60" s="114"/>
      <c r="O60" s="115"/>
      <c r="P60" s="115"/>
      <c r="Q60" s="116"/>
      <c r="R60" s="116"/>
      <c r="S60" s="111">
        <f>Audit[[#This Row],[Audit Losing Candidate]]-Audit[[#This Row],[Losing Candidate]]</f>
        <v>-1</v>
      </c>
      <c r="T60" s="111">
        <f>Audit[[#This Row],[Audit Winning Candidate]]-Audit[[#This Row],[Winning Candidate]]</f>
        <v>-8</v>
      </c>
      <c r="U60" s="111">
        <f>Audit[[#This Row],[Audit Candidate 3]]-Audit[[#This Row],[Candidate 3]]</f>
        <v>-2</v>
      </c>
      <c r="V60" s="111">
        <f>Audit[[#This Row],[Audit Candidate 4]]-Audit[[#This Row],[Candidate 4]]</f>
        <v>-1</v>
      </c>
      <c r="W60" s="111">
        <f>Audit[[#This Row],[Audit Candidate 5]]-Audit[[#This Row],[Candidate 5]]</f>
        <v>0</v>
      </c>
      <c r="X60" s="111">
        <f>Audit[[#This Row],[Audit Candidate 6]]-Audit[[#This Row],[Candidate 6]]</f>
        <v>0</v>
      </c>
      <c r="Y60" s="111">
        <f>SUMIF(Audit[[#This Row],[Difference Loser]:[Difference Candidate 6]], "&gt;0")</f>
        <v>0</v>
      </c>
      <c r="Z60" s="111">
        <f>SUM(Audit[[#This Row],[Difference Loser]:[Difference Candidate 6]])</f>
        <v>-12</v>
      </c>
      <c r="AA60" s="111">
        <f>IF(Audit[[#This Row],[Times p Drawn - With Replacement]]&gt;0, IF(Audit[[#This Row],[Canceled Differences]]&lt;0, Audit[[#This Row],[Max Differences]]+ABS(Audit[[#This Row],[Canceled Differences]]), Audit[[#This Row],[Max Differences]]), 0)</f>
        <v>0</v>
      </c>
      <c r="AB60" s="111">
        <f>'Sampling Data'!P48</f>
        <v>1.224889759921607E-3</v>
      </c>
      <c r="AC60" s="111">
        <f>IF(
      SUM(Audit[[#This Row],[Audit Losing Candidate]:[Audit Candidate 6]])
      &lt;&gt;0,
      (Audit[[#This Row],[Winning Candidate]]-Audit[[#This Row],[Losing Candidate]]-(Audit[[#This Row],[Audit Winning Candidate]]-Audit[[#This Row],[Audit Losing Candidate]]))/(Audit[[#Totals],[Winning Candidate]]-Audit[[#Totals],[Losing Candidate]]),
      0
)</f>
        <v>0</v>
      </c>
      <c r="AD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 s="111">
        <f>IF(Audit[[#This Row],[Max Relative Error (ep)]] = 0, 0, Audit[[#This Row],[Max Relative Error (ep)]]/Audit[[#This Row],[Error Bound (up) - Max. possible relative overstatement]])</f>
        <v>0</v>
      </c>
      <c r="AJ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0" s="111">
        <f t="shared" si="0"/>
        <v>1</v>
      </c>
      <c r="AL60" s="111">
        <f>PRODUCT($AK$5:AK60)</f>
        <v>8.962823818226312E-2</v>
      </c>
      <c r="AM60" s="109">
        <f>1 - [K-M P Value]</f>
        <v>0.91037176181773694</v>
      </c>
      <c r="AN60" s="111" t="str">
        <f>IF(Audit[[#This Row],[K-M P Value]]&gt;1-'General Info'!$B$16,"Continue", "Stop")</f>
        <v>Stop</v>
      </c>
      <c r="AO60" s="110" t="b">
        <f>IF(Audit[[#This Row],[Status - Continue or stop audit]] = "Continue", TRUE, IF(AN59 = "Continue", TRUE, FALSE))</f>
        <v>0</v>
      </c>
      <c r="AP60" s="110"/>
    </row>
    <row r="61" spans="1:42" ht="15" hidden="1" customHeight="1">
      <c r="A61" s="111" t="str">
        <f>'Sampling Data'!W49</f>
        <v/>
      </c>
      <c r="B61" s="112" t="str">
        <f>'Sampling Data'!A49</f>
        <v>BEDFORD -01-A</v>
      </c>
      <c r="C61" s="112">
        <f>'Sampling Data'!B49</f>
        <v>16</v>
      </c>
      <c r="D61" s="112">
        <f>'Sampling Data'!C49</f>
        <v>9</v>
      </c>
      <c r="E61" s="113">
        <f>'Sampling Data'!D49</f>
        <v>4</v>
      </c>
      <c r="F61" s="113">
        <f>'Sampling Data'!E49</f>
        <v>2</v>
      </c>
      <c r="G61" s="113">
        <f>'Sampling Data'!F49</f>
        <v>0</v>
      </c>
      <c r="H61" s="113">
        <f>'Sampling Data'!G49</f>
        <v>0</v>
      </c>
      <c r="I61" s="112">
        <f>'Sampling Data'!H49</f>
        <v>0</v>
      </c>
      <c r="J61" s="112">
        <f>'Sampling Data'!I49</f>
        <v>0</v>
      </c>
      <c r="K61" s="112">
        <f>'Sampling Data'!J49</f>
        <v>31</v>
      </c>
      <c r="L61" s="111">
        <f>'Sampling Data'!X49</f>
        <v>0</v>
      </c>
      <c r="M61" s="114"/>
      <c r="N61" s="114"/>
      <c r="O61" s="115"/>
      <c r="P61" s="115"/>
      <c r="Q61" s="116"/>
      <c r="R61" s="116"/>
      <c r="S61" s="111">
        <f>Audit[[#This Row],[Audit Losing Candidate]]-Audit[[#This Row],[Losing Candidate]]</f>
        <v>-16</v>
      </c>
      <c r="T61" s="111">
        <f>Audit[[#This Row],[Audit Winning Candidate]]-Audit[[#This Row],[Winning Candidate]]</f>
        <v>-9</v>
      </c>
      <c r="U61" s="111">
        <f>Audit[[#This Row],[Audit Candidate 3]]-Audit[[#This Row],[Candidate 3]]</f>
        <v>-4</v>
      </c>
      <c r="V61" s="111">
        <f>Audit[[#This Row],[Audit Candidate 4]]-Audit[[#This Row],[Candidate 4]]</f>
        <v>-2</v>
      </c>
      <c r="W61" s="111">
        <f>Audit[[#This Row],[Audit Candidate 5]]-Audit[[#This Row],[Candidate 5]]</f>
        <v>0</v>
      </c>
      <c r="X61" s="111">
        <f>Audit[[#This Row],[Audit Candidate 6]]-Audit[[#This Row],[Candidate 6]]</f>
        <v>0</v>
      </c>
      <c r="Y61" s="111">
        <f>SUMIF(Audit[[#This Row],[Difference Loser]:[Difference Candidate 6]], "&gt;0")</f>
        <v>0</v>
      </c>
      <c r="Z61" s="111">
        <f>SUM(Audit[[#This Row],[Difference Loser]:[Difference Candidate 6]])</f>
        <v>-31</v>
      </c>
      <c r="AA61" s="111">
        <f>IF(Audit[[#This Row],[Times p Drawn - With Replacement]]&gt;0, IF(Audit[[#This Row],[Canceled Differences]]&lt;0, Audit[[#This Row],[Max Differences]]+ABS(Audit[[#This Row],[Canceled Differences]]), Audit[[#This Row],[Max Differences]]), 0)</f>
        <v>0</v>
      </c>
      <c r="AB61" s="111">
        <f>'Sampling Data'!P49</f>
        <v>1.4698677119059284E-3</v>
      </c>
      <c r="AC61" s="111">
        <f>IF(
      SUM(Audit[[#This Row],[Audit Losing Candidate]:[Audit Candidate 6]])
      &lt;&gt;0,
      (Audit[[#This Row],[Winning Candidate]]-Audit[[#This Row],[Losing Candidate]]-(Audit[[#This Row],[Audit Winning Candidate]]-Audit[[#This Row],[Audit Losing Candidate]]))/(Audit[[#Totals],[Winning Candidate]]-Audit[[#Totals],[Losing Candidate]]),
      0
)</f>
        <v>0</v>
      </c>
      <c r="AD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 s="111">
        <f>IF(Audit[[#This Row],[Max Relative Error (ep)]] = 0, 0, Audit[[#This Row],[Max Relative Error (ep)]]/Audit[[#This Row],[Error Bound (up) - Max. possible relative overstatement]])</f>
        <v>0</v>
      </c>
      <c r="AJ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1" s="111">
        <f t="shared" si="0"/>
        <v>1</v>
      </c>
      <c r="AL61" s="111">
        <f>PRODUCT($AK$5:AK61)</f>
        <v>8.962823818226312E-2</v>
      </c>
      <c r="AM61" s="109">
        <f>1 - [K-M P Value]</f>
        <v>0.91037176181773694</v>
      </c>
      <c r="AN61" s="111" t="str">
        <f>IF(Audit[[#This Row],[K-M P Value]]&gt;1-'General Info'!$B$16,"Continue", "Stop")</f>
        <v>Stop</v>
      </c>
      <c r="AO61" s="110" t="b">
        <f>IF(Audit[[#This Row],[Status - Continue or stop audit]] = "Continue", TRUE, IF(AN60 = "Continue", TRUE, FALSE))</f>
        <v>0</v>
      </c>
      <c r="AP61" s="110"/>
    </row>
    <row r="62" spans="1:42" ht="15" hidden="1" customHeight="1">
      <c r="A62" s="111" t="str">
        <f>'Sampling Data'!W50</f>
        <v/>
      </c>
      <c r="B62" s="112" t="str">
        <f>'Sampling Data'!A50</f>
        <v>BEDFORD -01-A - ABS</v>
      </c>
      <c r="C62" s="112">
        <f>'Sampling Data'!B50</f>
        <v>6</v>
      </c>
      <c r="D62" s="112">
        <f>'Sampling Data'!C50</f>
        <v>11</v>
      </c>
      <c r="E62" s="113">
        <f>'Sampling Data'!D50</f>
        <v>0</v>
      </c>
      <c r="F62" s="113">
        <f>'Sampling Data'!E50</f>
        <v>0</v>
      </c>
      <c r="G62" s="113">
        <f>'Sampling Data'!F50</f>
        <v>0</v>
      </c>
      <c r="H62" s="113">
        <f>'Sampling Data'!G50</f>
        <v>0</v>
      </c>
      <c r="I62" s="112">
        <f>'Sampling Data'!H50</f>
        <v>0</v>
      </c>
      <c r="J62" s="112">
        <f>'Sampling Data'!I50</f>
        <v>0</v>
      </c>
      <c r="K62" s="112">
        <f>'Sampling Data'!J50</f>
        <v>17</v>
      </c>
      <c r="L62" s="111">
        <f>'Sampling Data'!X50</f>
        <v>0</v>
      </c>
      <c r="M62" s="114"/>
      <c r="N62" s="114"/>
      <c r="O62" s="115"/>
      <c r="P62" s="115"/>
      <c r="Q62" s="116"/>
      <c r="R62" s="116"/>
      <c r="S62" s="111">
        <f>Audit[[#This Row],[Audit Losing Candidate]]-Audit[[#This Row],[Losing Candidate]]</f>
        <v>-6</v>
      </c>
      <c r="T62" s="111">
        <f>Audit[[#This Row],[Audit Winning Candidate]]-Audit[[#This Row],[Winning Candidate]]</f>
        <v>-11</v>
      </c>
      <c r="U62" s="111">
        <f>Audit[[#This Row],[Audit Candidate 3]]-Audit[[#This Row],[Candidate 3]]</f>
        <v>0</v>
      </c>
      <c r="V62" s="111">
        <f>Audit[[#This Row],[Audit Candidate 4]]-Audit[[#This Row],[Candidate 4]]</f>
        <v>0</v>
      </c>
      <c r="W62" s="111">
        <f>Audit[[#This Row],[Audit Candidate 5]]-Audit[[#This Row],[Candidate 5]]</f>
        <v>0</v>
      </c>
      <c r="X62" s="111">
        <f>Audit[[#This Row],[Audit Candidate 6]]-Audit[[#This Row],[Candidate 6]]</f>
        <v>0</v>
      </c>
      <c r="Y62" s="111">
        <f>SUMIF(Audit[[#This Row],[Difference Loser]:[Difference Candidate 6]], "&gt;0")</f>
        <v>0</v>
      </c>
      <c r="Z62" s="111">
        <f>SUM(Audit[[#This Row],[Difference Loser]:[Difference Candidate 6]])</f>
        <v>-17</v>
      </c>
      <c r="AA62" s="111">
        <f>IF(Audit[[#This Row],[Times p Drawn - With Replacement]]&gt;0, IF(Audit[[#This Row],[Canceled Differences]]&lt;0, Audit[[#This Row],[Max Differences]]+ABS(Audit[[#This Row],[Canceled Differences]]), Audit[[#This Row],[Max Differences]]), 0)</f>
        <v>0</v>
      </c>
      <c r="AB62" s="111">
        <f>'Sampling Data'!P50</f>
        <v>1.3473787359137678E-3</v>
      </c>
      <c r="AC62" s="111">
        <f>IF(
      SUM(Audit[[#This Row],[Audit Losing Candidate]:[Audit Candidate 6]])
      &lt;&gt;0,
      (Audit[[#This Row],[Winning Candidate]]-Audit[[#This Row],[Losing Candidate]]-(Audit[[#This Row],[Audit Winning Candidate]]-Audit[[#This Row],[Audit Losing Candidate]]))/(Audit[[#Totals],[Winning Candidate]]-Audit[[#Totals],[Losing Candidate]]),
      0
)</f>
        <v>0</v>
      </c>
      <c r="AD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 s="111">
        <f>IF(Audit[[#This Row],[Max Relative Error (ep)]] = 0, 0, Audit[[#This Row],[Max Relative Error (ep)]]/Audit[[#This Row],[Error Bound (up) - Max. possible relative overstatement]])</f>
        <v>0</v>
      </c>
      <c r="AJ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2" s="111">
        <f t="shared" si="0"/>
        <v>1</v>
      </c>
      <c r="AL62" s="111">
        <f>PRODUCT($AK$5:AK62)</f>
        <v>8.962823818226312E-2</v>
      </c>
      <c r="AM62" s="109">
        <f>1 - [K-M P Value]</f>
        <v>0.91037176181773694</v>
      </c>
      <c r="AN62" s="111" t="str">
        <f>IF(Audit[[#This Row],[K-M P Value]]&gt;1-'General Info'!$B$16,"Continue", "Stop")</f>
        <v>Stop</v>
      </c>
      <c r="AO62" s="110" t="b">
        <f>IF(Audit[[#This Row],[Status - Continue or stop audit]] = "Continue", TRUE, IF(AN61 = "Continue", TRUE, FALSE))</f>
        <v>0</v>
      </c>
      <c r="AP62" s="110"/>
    </row>
    <row r="63" spans="1:42" ht="15" hidden="1" customHeight="1">
      <c r="A63" s="111" t="str">
        <f>'Sampling Data'!W51</f>
        <v/>
      </c>
      <c r="B63" s="112" t="str">
        <f>'Sampling Data'!A51</f>
        <v>BEDFORD -01-B</v>
      </c>
      <c r="C63" s="112">
        <f>'Sampling Data'!B51</f>
        <v>6</v>
      </c>
      <c r="D63" s="112">
        <f>'Sampling Data'!C51</f>
        <v>7</v>
      </c>
      <c r="E63" s="113">
        <f>'Sampling Data'!D51</f>
        <v>6</v>
      </c>
      <c r="F63" s="113">
        <f>'Sampling Data'!E51</f>
        <v>1</v>
      </c>
      <c r="G63" s="113">
        <f>'Sampling Data'!F51</f>
        <v>0</v>
      </c>
      <c r="H63" s="113">
        <f>'Sampling Data'!G51</f>
        <v>0</v>
      </c>
      <c r="I63" s="112">
        <f>'Sampling Data'!H51</f>
        <v>0</v>
      </c>
      <c r="J63" s="112">
        <f>'Sampling Data'!I51</f>
        <v>0</v>
      </c>
      <c r="K63" s="112">
        <f>'Sampling Data'!J51</f>
        <v>20</v>
      </c>
      <c r="L63" s="111">
        <f>'Sampling Data'!X51</f>
        <v>0</v>
      </c>
      <c r="M63" s="114"/>
      <c r="N63" s="114"/>
      <c r="O63" s="115"/>
      <c r="P63" s="115"/>
      <c r="Q63" s="116"/>
      <c r="R63" s="116"/>
      <c r="S63" s="111">
        <f>Audit[[#This Row],[Audit Losing Candidate]]-Audit[[#This Row],[Losing Candidate]]</f>
        <v>-6</v>
      </c>
      <c r="T63" s="111">
        <f>Audit[[#This Row],[Audit Winning Candidate]]-Audit[[#This Row],[Winning Candidate]]</f>
        <v>-7</v>
      </c>
      <c r="U63" s="111">
        <f>Audit[[#This Row],[Audit Candidate 3]]-Audit[[#This Row],[Candidate 3]]</f>
        <v>-6</v>
      </c>
      <c r="V63" s="111">
        <f>Audit[[#This Row],[Audit Candidate 4]]-Audit[[#This Row],[Candidate 4]]</f>
        <v>-1</v>
      </c>
      <c r="W63" s="111">
        <f>Audit[[#This Row],[Audit Candidate 5]]-Audit[[#This Row],[Candidate 5]]</f>
        <v>0</v>
      </c>
      <c r="X63" s="111">
        <f>Audit[[#This Row],[Audit Candidate 6]]-Audit[[#This Row],[Candidate 6]]</f>
        <v>0</v>
      </c>
      <c r="Y63" s="111">
        <f>SUMIF(Audit[[#This Row],[Difference Loser]:[Difference Candidate 6]], "&gt;0")</f>
        <v>0</v>
      </c>
      <c r="Z63" s="111">
        <f>SUM(Audit[[#This Row],[Difference Loser]:[Difference Candidate 6]])</f>
        <v>-20</v>
      </c>
      <c r="AA63" s="111">
        <f>IF(Audit[[#This Row],[Times p Drawn - With Replacement]]&gt;0, IF(Audit[[#This Row],[Canceled Differences]]&lt;0, Audit[[#This Row],[Max Differences]]+ABS(Audit[[#This Row],[Canceled Differences]]), Audit[[#This Row],[Max Differences]]), 0)</f>
        <v>0</v>
      </c>
      <c r="AB63" s="111">
        <f>'Sampling Data'!P51</f>
        <v>1.2861342479176874E-3</v>
      </c>
      <c r="AC63" s="111">
        <f>IF(
      SUM(Audit[[#This Row],[Audit Losing Candidate]:[Audit Candidate 6]])
      &lt;&gt;0,
      (Audit[[#This Row],[Winning Candidate]]-Audit[[#This Row],[Losing Candidate]]-(Audit[[#This Row],[Audit Winning Candidate]]-Audit[[#This Row],[Audit Losing Candidate]]))/(Audit[[#Totals],[Winning Candidate]]-Audit[[#Totals],[Losing Candidate]]),
      0
)</f>
        <v>0</v>
      </c>
      <c r="AD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 s="111">
        <f>IF(Audit[[#This Row],[Max Relative Error (ep)]] = 0, 0, Audit[[#This Row],[Max Relative Error (ep)]]/Audit[[#This Row],[Error Bound (up) - Max. possible relative overstatement]])</f>
        <v>0</v>
      </c>
      <c r="AJ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3" s="111">
        <f t="shared" si="0"/>
        <v>1</v>
      </c>
      <c r="AL63" s="111">
        <f>PRODUCT($AK$5:AK63)</f>
        <v>8.962823818226312E-2</v>
      </c>
      <c r="AM63" s="109">
        <f>1 - [K-M P Value]</f>
        <v>0.91037176181773694</v>
      </c>
      <c r="AN63" s="111" t="str">
        <f>IF(Audit[[#This Row],[K-M P Value]]&gt;1-'General Info'!$B$16,"Continue", "Stop")</f>
        <v>Stop</v>
      </c>
      <c r="AO63" s="110" t="b">
        <f>IF(Audit[[#This Row],[Status - Continue or stop audit]] = "Continue", TRUE, IF(AN62 = "Continue", TRUE, FALSE))</f>
        <v>0</v>
      </c>
      <c r="AP63" s="110"/>
    </row>
    <row r="64" spans="1:42" ht="15" hidden="1" customHeight="1">
      <c r="A64" s="111" t="str">
        <f>'Sampling Data'!W52</f>
        <v/>
      </c>
      <c r="B64" s="112" t="str">
        <f>'Sampling Data'!A52</f>
        <v>BEDFORD -01-B - ABS</v>
      </c>
      <c r="C64" s="112">
        <f>'Sampling Data'!B52</f>
        <v>5</v>
      </c>
      <c r="D64" s="112">
        <f>'Sampling Data'!C52</f>
        <v>2</v>
      </c>
      <c r="E64" s="113">
        <f>'Sampling Data'!D52</f>
        <v>3</v>
      </c>
      <c r="F64" s="113">
        <f>'Sampling Data'!E52</f>
        <v>2</v>
      </c>
      <c r="G64" s="113">
        <f>'Sampling Data'!F52</f>
        <v>0</v>
      </c>
      <c r="H64" s="113">
        <f>'Sampling Data'!G52</f>
        <v>0</v>
      </c>
      <c r="I64" s="112">
        <f>'Sampling Data'!H52</f>
        <v>0</v>
      </c>
      <c r="J64" s="112">
        <f>'Sampling Data'!I52</f>
        <v>0</v>
      </c>
      <c r="K64" s="112">
        <f>'Sampling Data'!J52</f>
        <v>12</v>
      </c>
      <c r="L64" s="111">
        <f>'Sampling Data'!X52</f>
        <v>0</v>
      </c>
      <c r="M64" s="114"/>
      <c r="N64" s="114"/>
      <c r="O64" s="115"/>
      <c r="P64" s="115"/>
      <c r="Q64" s="116"/>
      <c r="R64" s="116"/>
      <c r="S64" s="111">
        <f>Audit[[#This Row],[Audit Losing Candidate]]-Audit[[#This Row],[Losing Candidate]]</f>
        <v>-5</v>
      </c>
      <c r="T64" s="111">
        <f>Audit[[#This Row],[Audit Winning Candidate]]-Audit[[#This Row],[Winning Candidate]]</f>
        <v>-2</v>
      </c>
      <c r="U64" s="111">
        <f>Audit[[#This Row],[Audit Candidate 3]]-Audit[[#This Row],[Candidate 3]]</f>
        <v>-3</v>
      </c>
      <c r="V64" s="111">
        <f>Audit[[#This Row],[Audit Candidate 4]]-Audit[[#This Row],[Candidate 4]]</f>
        <v>-2</v>
      </c>
      <c r="W64" s="111">
        <f>Audit[[#This Row],[Audit Candidate 5]]-Audit[[#This Row],[Candidate 5]]</f>
        <v>0</v>
      </c>
      <c r="X64" s="111">
        <f>Audit[[#This Row],[Audit Candidate 6]]-Audit[[#This Row],[Candidate 6]]</f>
        <v>0</v>
      </c>
      <c r="Y64" s="111">
        <f>SUMIF(Audit[[#This Row],[Difference Loser]:[Difference Candidate 6]], "&gt;0")</f>
        <v>0</v>
      </c>
      <c r="Z64" s="111">
        <f>SUM(Audit[[#This Row],[Difference Loser]:[Difference Candidate 6]])</f>
        <v>-12</v>
      </c>
      <c r="AA64" s="111">
        <f>IF(Audit[[#This Row],[Times p Drawn - With Replacement]]&gt;0, IF(Audit[[#This Row],[Canceled Differences]]&lt;0, Audit[[#This Row],[Max Differences]]+ABS(Audit[[#This Row],[Canceled Differences]]), Audit[[#This Row],[Max Differences]]), 0)</f>
        <v>0</v>
      </c>
      <c r="AB64" s="111">
        <f>'Sampling Data'!P52</f>
        <v>5.5120039196472322E-4</v>
      </c>
      <c r="AC64" s="111">
        <f>IF(
      SUM(Audit[[#This Row],[Audit Losing Candidate]:[Audit Candidate 6]])
      &lt;&gt;0,
      (Audit[[#This Row],[Winning Candidate]]-Audit[[#This Row],[Losing Candidate]]-(Audit[[#This Row],[Audit Winning Candidate]]-Audit[[#This Row],[Audit Losing Candidate]]))/(Audit[[#Totals],[Winning Candidate]]-Audit[[#Totals],[Losing Candidate]]),
      0
)</f>
        <v>0</v>
      </c>
      <c r="AD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 s="111">
        <f>IF(Audit[[#This Row],[Max Relative Error (ep)]] = 0, 0, Audit[[#This Row],[Max Relative Error (ep)]]/Audit[[#This Row],[Error Bound (up) - Max. possible relative overstatement]])</f>
        <v>0</v>
      </c>
      <c r="AJ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4" s="111">
        <f t="shared" si="0"/>
        <v>1</v>
      </c>
      <c r="AL64" s="111">
        <f>PRODUCT($AK$5:AK64)</f>
        <v>8.962823818226312E-2</v>
      </c>
      <c r="AM64" s="109">
        <f>1 - [K-M P Value]</f>
        <v>0.91037176181773694</v>
      </c>
      <c r="AN64" s="111" t="str">
        <f>IF(Audit[[#This Row],[K-M P Value]]&gt;1-'General Info'!$B$16,"Continue", "Stop")</f>
        <v>Stop</v>
      </c>
      <c r="AO64" s="110" t="b">
        <f>IF(Audit[[#This Row],[Status - Continue or stop audit]] = "Continue", TRUE, IF(AN63 = "Continue", TRUE, FALSE))</f>
        <v>0</v>
      </c>
      <c r="AP64" s="110"/>
    </row>
    <row r="65" spans="1:42" ht="15" hidden="1" customHeight="1">
      <c r="A65" s="111" t="str">
        <f>'Sampling Data'!W53</f>
        <v/>
      </c>
      <c r="B65" s="112" t="str">
        <f>'Sampling Data'!A53</f>
        <v>BEDFORD -02-A</v>
      </c>
      <c r="C65" s="112">
        <f>'Sampling Data'!B53</f>
        <v>11</v>
      </c>
      <c r="D65" s="112">
        <f>'Sampling Data'!C53</f>
        <v>15</v>
      </c>
      <c r="E65" s="113">
        <f>'Sampling Data'!D53</f>
        <v>2</v>
      </c>
      <c r="F65" s="113">
        <f>'Sampling Data'!E53</f>
        <v>2</v>
      </c>
      <c r="G65" s="113">
        <f>'Sampling Data'!F53</f>
        <v>0</v>
      </c>
      <c r="H65" s="113">
        <f>'Sampling Data'!G53</f>
        <v>0</v>
      </c>
      <c r="I65" s="112">
        <f>'Sampling Data'!H53</f>
        <v>0</v>
      </c>
      <c r="J65" s="112">
        <f>'Sampling Data'!I53</f>
        <v>0</v>
      </c>
      <c r="K65" s="112">
        <f>'Sampling Data'!J53</f>
        <v>30</v>
      </c>
      <c r="L65" s="111">
        <f>'Sampling Data'!X53</f>
        <v>0</v>
      </c>
      <c r="M65" s="114"/>
      <c r="N65" s="114"/>
      <c r="O65" s="115"/>
      <c r="P65" s="115"/>
      <c r="Q65" s="116"/>
      <c r="R65" s="116"/>
      <c r="S65" s="111">
        <f>Audit[[#This Row],[Audit Losing Candidate]]-Audit[[#This Row],[Losing Candidate]]</f>
        <v>-11</v>
      </c>
      <c r="T65" s="111">
        <f>Audit[[#This Row],[Audit Winning Candidate]]-Audit[[#This Row],[Winning Candidate]]</f>
        <v>-15</v>
      </c>
      <c r="U65" s="111">
        <f>Audit[[#This Row],[Audit Candidate 3]]-Audit[[#This Row],[Candidate 3]]</f>
        <v>-2</v>
      </c>
      <c r="V65" s="111">
        <f>Audit[[#This Row],[Audit Candidate 4]]-Audit[[#This Row],[Candidate 4]]</f>
        <v>-2</v>
      </c>
      <c r="W65" s="111">
        <f>Audit[[#This Row],[Audit Candidate 5]]-Audit[[#This Row],[Candidate 5]]</f>
        <v>0</v>
      </c>
      <c r="X65" s="111">
        <f>Audit[[#This Row],[Audit Candidate 6]]-Audit[[#This Row],[Candidate 6]]</f>
        <v>0</v>
      </c>
      <c r="Y65" s="111">
        <f>SUMIF(Audit[[#This Row],[Difference Loser]:[Difference Candidate 6]], "&gt;0")</f>
        <v>0</v>
      </c>
      <c r="Z65" s="111">
        <f>SUM(Audit[[#This Row],[Difference Loser]:[Difference Candidate 6]])</f>
        <v>-30</v>
      </c>
      <c r="AA65" s="111">
        <f>IF(Audit[[#This Row],[Times p Drawn - With Replacement]]&gt;0, IF(Audit[[#This Row],[Canceled Differences]]&lt;0, Audit[[#This Row],[Max Differences]]+ABS(Audit[[#This Row],[Canceled Differences]]), Audit[[#This Row],[Max Differences]]), 0)</f>
        <v>0</v>
      </c>
      <c r="AB65" s="111">
        <f>'Sampling Data'!P53</f>
        <v>2.0823125918667321E-3</v>
      </c>
      <c r="AC65" s="111">
        <f>IF(
      SUM(Audit[[#This Row],[Audit Losing Candidate]:[Audit Candidate 6]])
      &lt;&gt;0,
      (Audit[[#This Row],[Winning Candidate]]-Audit[[#This Row],[Losing Candidate]]-(Audit[[#This Row],[Audit Winning Candidate]]-Audit[[#This Row],[Audit Losing Candidate]]))/(Audit[[#Totals],[Winning Candidate]]-Audit[[#Totals],[Losing Candidate]]),
      0
)</f>
        <v>0</v>
      </c>
      <c r="AD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 s="111">
        <f>IF(Audit[[#This Row],[Max Relative Error (ep)]] = 0, 0, Audit[[#This Row],[Max Relative Error (ep)]]/Audit[[#This Row],[Error Bound (up) - Max. possible relative overstatement]])</f>
        <v>0</v>
      </c>
      <c r="AJ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5" s="111">
        <f t="shared" si="0"/>
        <v>1</v>
      </c>
      <c r="AL65" s="111">
        <f>PRODUCT($AK$5:AK65)</f>
        <v>8.962823818226312E-2</v>
      </c>
      <c r="AM65" s="109">
        <f>1 - [K-M P Value]</f>
        <v>0.91037176181773694</v>
      </c>
      <c r="AN65" s="111" t="str">
        <f>IF(Audit[[#This Row],[K-M P Value]]&gt;1-'General Info'!$B$16,"Continue", "Stop")</f>
        <v>Stop</v>
      </c>
      <c r="AO65" s="110" t="b">
        <f>IF(Audit[[#This Row],[Status - Continue or stop audit]] = "Continue", TRUE, IF(AN64 = "Continue", TRUE, FALSE))</f>
        <v>0</v>
      </c>
      <c r="AP65" s="110"/>
    </row>
    <row r="66" spans="1:42" ht="15" hidden="1" customHeight="1">
      <c r="A66" s="111" t="str">
        <f>'Sampling Data'!W54</f>
        <v/>
      </c>
      <c r="B66" s="112" t="str">
        <f>'Sampling Data'!A54</f>
        <v>BEDFORD -02-A - ABS</v>
      </c>
      <c r="C66" s="112">
        <f>'Sampling Data'!B54</f>
        <v>10</v>
      </c>
      <c r="D66" s="112">
        <f>'Sampling Data'!C54</f>
        <v>3</v>
      </c>
      <c r="E66" s="113">
        <f>'Sampling Data'!D54</f>
        <v>3</v>
      </c>
      <c r="F66" s="113">
        <f>'Sampling Data'!E54</f>
        <v>3</v>
      </c>
      <c r="G66" s="113">
        <f>'Sampling Data'!F54</f>
        <v>0</v>
      </c>
      <c r="H66" s="113">
        <f>'Sampling Data'!G54</f>
        <v>0</v>
      </c>
      <c r="I66" s="112">
        <f>'Sampling Data'!H54</f>
        <v>0</v>
      </c>
      <c r="J66" s="112">
        <f>'Sampling Data'!I54</f>
        <v>1</v>
      </c>
      <c r="K66" s="112">
        <f>'Sampling Data'!J54</f>
        <v>20</v>
      </c>
      <c r="L66" s="111">
        <f>'Sampling Data'!X54</f>
        <v>0</v>
      </c>
      <c r="M66" s="114"/>
      <c r="N66" s="114"/>
      <c r="O66" s="115"/>
      <c r="P66" s="115"/>
      <c r="Q66" s="116"/>
      <c r="R66" s="116"/>
      <c r="S66" s="111">
        <f>Audit[[#This Row],[Audit Losing Candidate]]-Audit[[#This Row],[Losing Candidate]]</f>
        <v>-10</v>
      </c>
      <c r="T66" s="111">
        <f>Audit[[#This Row],[Audit Winning Candidate]]-Audit[[#This Row],[Winning Candidate]]</f>
        <v>-3</v>
      </c>
      <c r="U66" s="111">
        <f>Audit[[#This Row],[Audit Candidate 3]]-Audit[[#This Row],[Candidate 3]]</f>
        <v>-3</v>
      </c>
      <c r="V66" s="111">
        <f>Audit[[#This Row],[Audit Candidate 4]]-Audit[[#This Row],[Candidate 4]]</f>
        <v>-3</v>
      </c>
      <c r="W66" s="111">
        <f>Audit[[#This Row],[Audit Candidate 5]]-Audit[[#This Row],[Candidate 5]]</f>
        <v>0</v>
      </c>
      <c r="X66" s="111">
        <f>Audit[[#This Row],[Audit Candidate 6]]-Audit[[#This Row],[Candidate 6]]</f>
        <v>0</v>
      </c>
      <c r="Y66" s="111">
        <f>SUMIF(Audit[[#This Row],[Difference Loser]:[Difference Candidate 6]], "&gt;0")</f>
        <v>0</v>
      </c>
      <c r="Z66" s="111">
        <f>SUM(Audit[[#This Row],[Difference Loser]:[Difference Candidate 6]])</f>
        <v>-19</v>
      </c>
      <c r="AA66" s="111">
        <f>IF(Audit[[#This Row],[Times p Drawn - With Replacement]]&gt;0, IF(Audit[[#This Row],[Canceled Differences]]&lt;0, Audit[[#This Row],[Max Differences]]+ABS(Audit[[#This Row],[Canceled Differences]]), Audit[[#This Row],[Max Differences]]), 0)</f>
        <v>0</v>
      </c>
      <c r="AB66" s="111">
        <f>'Sampling Data'!P54</f>
        <v>7.9617834394904463E-4</v>
      </c>
      <c r="AC66" s="111">
        <f>IF(
      SUM(Audit[[#This Row],[Audit Losing Candidate]:[Audit Candidate 6]])
      &lt;&gt;0,
      (Audit[[#This Row],[Winning Candidate]]-Audit[[#This Row],[Losing Candidate]]-(Audit[[#This Row],[Audit Winning Candidate]]-Audit[[#This Row],[Audit Losing Candidate]]))/(Audit[[#Totals],[Winning Candidate]]-Audit[[#Totals],[Losing Candidate]]),
      0
)</f>
        <v>0</v>
      </c>
      <c r="AD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 s="111">
        <f>IF(Audit[[#This Row],[Max Relative Error (ep)]] = 0, 0, Audit[[#This Row],[Max Relative Error (ep)]]/Audit[[#This Row],[Error Bound (up) - Max. possible relative overstatement]])</f>
        <v>0</v>
      </c>
      <c r="AJ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6" s="111">
        <f t="shared" si="0"/>
        <v>1</v>
      </c>
      <c r="AL66" s="111">
        <f>PRODUCT($AK$5:AK66)</f>
        <v>8.962823818226312E-2</v>
      </c>
      <c r="AM66" s="109">
        <f>1 - [K-M P Value]</f>
        <v>0.91037176181773694</v>
      </c>
      <c r="AN66" s="111" t="str">
        <f>IF(Audit[[#This Row],[K-M P Value]]&gt;1-'General Info'!$B$16,"Continue", "Stop")</f>
        <v>Stop</v>
      </c>
      <c r="AO66" s="110" t="b">
        <f>IF(Audit[[#This Row],[Status - Continue or stop audit]] = "Continue", TRUE, IF(AN65 = "Continue", TRUE, FALSE))</f>
        <v>0</v>
      </c>
      <c r="AP66" s="110"/>
    </row>
    <row r="67" spans="1:42" ht="15" hidden="1" customHeight="1">
      <c r="A67" s="111" t="str">
        <f>'Sampling Data'!W55</f>
        <v/>
      </c>
      <c r="B67" s="112" t="str">
        <f>'Sampling Data'!A55</f>
        <v>BEDFORD -02-B</v>
      </c>
      <c r="C67" s="112">
        <f>'Sampling Data'!B55</f>
        <v>14</v>
      </c>
      <c r="D67" s="112">
        <f>'Sampling Data'!C55</f>
        <v>14</v>
      </c>
      <c r="E67" s="113">
        <f>'Sampling Data'!D55</f>
        <v>6</v>
      </c>
      <c r="F67" s="113">
        <f>'Sampling Data'!E55</f>
        <v>5</v>
      </c>
      <c r="G67" s="113">
        <f>'Sampling Data'!F55</f>
        <v>1</v>
      </c>
      <c r="H67" s="113">
        <f>'Sampling Data'!G55</f>
        <v>0</v>
      </c>
      <c r="I67" s="112">
        <f>'Sampling Data'!H55</f>
        <v>0</v>
      </c>
      <c r="J67" s="112">
        <f>'Sampling Data'!I55</f>
        <v>0</v>
      </c>
      <c r="K67" s="112">
        <f>'Sampling Data'!J55</f>
        <v>40</v>
      </c>
      <c r="L67" s="111">
        <f>'Sampling Data'!X55</f>
        <v>0</v>
      </c>
      <c r="M67" s="114"/>
      <c r="N67" s="114"/>
      <c r="O67" s="115"/>
      <c r="P67" s="115"/>
      <c r="Q67" s="116"/>
      <c r="R67" s="116"/>
      <c r="S67" s="111">
        <f>Audit[[#This Row],[Audit Losing Candidate]]-Audit[[#This Row],[Losing Candidate]]</f>
        <v>-14</v>
      </c>
      <c r="T67" s="111">
        <f>Audit[[#This Row],[Audit Winning Candidate]]-Audit[[#This Row],[Winning Candidate]]</f>
        <v>-14</v>
      </c>
      <c r="U67" s="111">
        <f>Audit[[#This Row],[Audit Candidate 3]]-Audit[[#This Row],[Candidate 3]]</f>
        <v>-6</v>
      </c>
      <c r="V67" s="111">
        <f>Audit[[#This Row],[Audit Candidate 4]]-Audit[[#This Row],[Candidate 4]]</f>
        <v>-5</v>
      </c>
      <c r="W67" s="111">
        <f>Audit[[#This Row],[Audit Candidate 5]]-Audit[[#This Row],[Candidate 5]]</f>
        <v>-1</v>
      </c>
      <c r="X67" s="111">
        <f>Audit[[#This Row],[Audit Candidate 6]]-Audit[[#This Row],[Candidate 6]]</f>
        <v>0</v>
      </c>
      <c r="Y67" s="111">
        <f>SUMIF(Audit[[#This Row],[Difference Loser]:[Difference Candidate 6]], "&gt;0")</f>
        <v>0</v>
      </c>
      <c r="Z67" s="111">
        <f>SUM(Audit[[#This Row],[Difference Loser]:[Difference Candidate 6]])</f>
        <v>-40</v>
      </c>
      <c r="AA67" s="111">
        <f>IF(Audit[[#This Row],[Times p Drawn - With Replacement]]&gt;0, IF(Audit[[#This Row],[Canceled Differences]]&lt;0, Audit[[#This Row],[Max Differences]]+ABS(Audit[[#This Row],[Canceled Differences]]), Audit[[#This Row],[Max Differences]]), 0)</f>
        <v>0</v>
      </c>
      <c r="AB67" s="111">
        <f>'Sampling Data'!P55</f>
        <v>2.4497795198432141E-3</v>
      </c>
      <c r="AC67" s="111">
        <f>IF(
      SUM(Audit[[#This Row],[Audit Losing Candidate]:[Audit Candidate 6]])
      &lt;&gt;0,
      (Audit[[#This Row],[Winning Candidate]]-Audit[[#This Row],[Losing Candidate]]-(Audit[[#This Row],[Audit Winning Candidate]]-Audit[[#This Row],[Audit Losing Candidate]]))/(Audit[[#Totals],[Winning Candidate]]-Audit[[#Totals],[Losing Candidate]]),
      0
)</f>
        <v>0</v>
      </c>
      <c r="AD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 s="111">
        <f>IF(Audit[[#This Row],[Max Relative Error (ep)]] = 0, 0, Audit[[#This Row],[Max Relative Error (ep)]]/Audit[[#This Row],[Error Bound (up) - Max. possible relative overstatement]])</f>
        <v>0</v>
      </c>
      <c r="AJ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7" s="111">
        <f t="shared" si="0"/>
        <v>1</v>
      </c>
      <c r="AL67" s="111">
        <f>PRODUCT($AK$5:AK67)</f>
        <v>8.962823818226312E-2</v>
      </c>
      <c r="AM67" s="109">
        <f>1 - [K-M P Value]</f>
        <v>0.91037176181773694</v>
      </c>
      <c r="AN67" s="111" t="str">
        <f>IF(Audit[[#This Row],[K-M P Value]]&gt;1-'General Info'!$B$16,"Continue", "Stop")</f>
        <v>Stop</v>
      </c>
      <c r="AO67" s="110" t="b">
        <f>IF(Audit[[#This Row],[Status - Continue or stop audit]] = "Continue", TRUE, IF(AN66 = "Continue", TRUE, FALSE))</f>
        <v>0</v>
      </c>
      <c r="AP67" s="110"/>
    </row>
    <row r="68" spans="1:42" ht="15" hidden="1" customHeight="1">
      <c r="A68" s="111" t="str">
        <f>'Sampling Data'!W56</f>
        <v/>
      </c>
      <c r="B68" s="112" t="str">
        <f>'Sampling Data'!A56</f>
        <v>BEDFORD -02-B - ABS</v>
      </c>
      <c r="C68" s="112">
        <f>'Sampling Data'!B56</f>
        <v>8</v>
      </c>
      <c r="D68" s="112">
        <f>'Sampling Data'!C56</f>
        <v>9</v>
      </c>
      <c r="E68" s="113">
        <f>'Sampling Data'!D56</f>
        <v>2</v>
      </c>
      <c r="F68" s="113">
        <f>'Sampling Data'!E56</f>
        <v>1</v>
      </c>
      <c r="G68" s="113">
        <f>'Sampling Data'!F56</f>
        <v>0</v>
      </c>
      <c r="H68" s="113">
        <f>'Sampling Data'!G56</f>
        <v>0</v>
      </c>
      <c r="I68" s="112">
        <f>'Sampling Data'!H56</f>
        <v>0</v>
      </c>
      <c r="J68" s="112">
        <f>'Sampling Data'!I56</f>
        <v>0</v>
      </c>
      <c r="K68" s="112">
        <f>'Sampling Data'!J56</f>
        <v>20</v>
      </c>
      <c r="L68" s="111">
        <f>'Sampling Data'!X56</f>
        <v>0</v>
      </c>
      <c r="M68" s="114"/>
      <c r="N68" s="114"/>
      <c r="O68" s="115"/>
      <c r="P68" s="115"/>
      <c r="Q68" s="116"/>
      <c r="R68" s="116"/>
      <c r="S68" s="111">
        <f>Audit[[#This Row],[Audit Losing Candidate]]-Audit[[#This Row],[Losing Candidate]]</f>
        <v>-8</v>
      </c>
      <c r="T68" s="111">
        <f>Audit[[#This Row],[Audit Winning Candidate]]-Audit[[#This Row],[Winning Candidate]]</f>
        <v>-9</v>
      </c>
      <c r="U68" s="111">
        <f>Audit[[#This Row],[Audit Candidate 3]]-Audit[[#This Row],[Candidate 3]]</f>
        <v>-2</v>
      </c>
      <c r="V68" s="111">
        <f>Audit[[#This Row],[Audit Candidate 4]]-Audit[[#This Row],[Candidate 4]]</f>
        <v>-1</v>
      </c>
      <c r="W68" s="111">
        <f>Audit[[#This Row],[Audit Candidate 5]]-Audit[[#This Row],[Candidate 5]]</f>
        <v>0</v>
      </c>
      <c r="X68" s="111">
        <f>Audit[[#This Row],[Audit Candidate 6]]-Audit[[#This Row],[Candidate 6]]</f>
        <v>0</v>
      </c>
      <c r="Y68" s="111">
        <f>SUMIF(Audit[[#This Row],[Difference Loser]:[Difference Candidate 6]], "&gt;0")</f>
        <v>0</v>
      </c>
      <c r="Z68" s="111">
        <f>SUM(Audit[[#This Row],[Difference Loser]:[Difference Candidate 6]])</f>
        <v>-20</v>
      </c>
      <c r="AA68" s="111">
        <f>IF(Audit[[#This Row],[Times p Drawn - With Replacement]]&gt;0, IF(Audit[[#This Row],[Canceled Differences]]&lt;0, Audit[[#This Row],[Max Differences]]+ABS(Audit[[#This Row],[Canceled Differences]]), Audit[[#This Row],[Max Differences]]), 0)</f>
        <v>0</v>
      </c>
      <c r="AB68" s="111">
        <f>'Sampling Data'!P56</f>
        <v>1.2861342479176874E-3</v>
      </c>
      <c r="AC68" s="111">
        <f>IF(
      SUM(Audit[[#This Row],[Audit Losing Candidate]:[Audit Candidate 6]])
      &lt;&gt;0,
      (Audit[[#This Row],[Winning Candidate]]-Audit[[#This Row],[Losing Candidate]]-(Audit[[#This Row],[Audit Winning Candidate]]-Audit[[#This Row],[Audit Losing Candidate]]))/(Audit[[#Totals],[Winning Candidate]]-Audit[[#Totals],[Losing Candidate]]),
      0
)</f>
        <v>0</v>
      </c>
      <c r="AD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 s="111">
        <f>IF(Audit[[#This Row],[Max Relative Error (ep)]] = 0, 0, Audit[[#This Row],[Max Relative Error (ep)]]/Audit[[#This Row],[Error Bound (up) - Max. possible relative overstatement]])</f>
        <v>0</v>
      </c>
      <c r="AJ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8" s="111">
        <f t="shared" si="0"/>
        <v>1</v>
      </c>
      <c r="AL68" s="111">
        <f>PRODUCT($AK$5:AK68)</f>
        <v>8.962823818226312E-2</v>
      </c>
      <c r="AM68" s="109">
        <f>1 - [K-M P Value]</f>
        <v>0.91037176181773694</v>
      </c>
      <c r="AN68" s="111" t="str">
        <f>IF(Audit[[#This Row],[K-M P Value]]&gt;1-'General Info'!$B$16,"Continue", "Stop")</f>
        <v>Stop</v>
      </c>
      <c r="AO68" s="110" t="b">
        <f>IF(Audit[[#This Row],[Status - Continue or stop audit]] = "Continue", TRUE, IF(AN67 = "Continue", TRUE, FALSE))</f>
        <v>0</v>
      </c>
      <c r="AP68" s="110"/>
    </row>
    <row r="69" spans="1:42" ht="15" hidden="1" customHeight="1">
      <c r="A69" s="111" t="str">
        <f>'Sampling Data'!W57</f>
        <v/>
      </c>
      <c r="B69" s="112" t="str">
        <f>'Sampling Data'!A57</f>
        <v>BEDFORD -03-A</v>
      </c>
      <c r="C69" s="112">
        <f>'Sampling Data'!B57</f>
        <v>12</v>
      </c>
      <c r="D69" s="112">
        <f>'Sampling Data'!C57</f>
        <v>12</v>
      </c>
      <c r="E69" s="113">
        <f>'Sampling Data'!D57</f>
        <v>6</v>
      </c>
      <c r="F69" s="113">
        <f>'Sampling Data'!E57</f>
        <v>3</v>
      </c>
      <c r="G69" s="113">
        <f>'Sampling Data'!F57</f>
        <v>0</v>
      </c>
      <c r="H69" s="113">
        <f>'Sampling Data'!G57</f>
        <v>0</v>
      </c>
      <c r="I69" s="112">
        <f>'Sampling Data'!H57</f>
        <v>0</v>
      </c>
      <c r="J69" s="112">
        <f>'Sampling Data'!I57</f>
        <v>0</v>
      </c>
      <c r="K69" s="112">
        <f>'Sampling Data'!J57</f>
        <v>33</v>
      </c>
      <c r="L69" s="111">
        <f>'Sampling Data'!X57</f>
        <v>0</v>
      </c>
      <c r="M69" s="114"/>
      <c r="N69" s="114"/>
      <c r="O69" s="115"/>
      <c r="P69" s="115"/>
      <c r="Q69" s="116"/>
      <c r="R69" s="116"/>
      <c r="S69" s="111">
        <f>Audit[[#This Row],[Audit Losing Candidate]]-Audit[[#This Row],[Losing Candidate]]</f>
        <v>-12</v>
      </c>
      <c r="T69" s="111">
        <f>Audit[[#This Row],[Audit Winning Candidate]]-Audit[[#This Row],[Winning Candidate]]</f>
        <v>-12</v>
      </c>
      <c r="U69" s="111">
        <f>Audit[[#This Row],[Audit Candidate 3]]-Audit[[#This Row],[Candidate 3]]</f>
        <v>-6</v>
      </c>
      <c r="V69" s="111">
        <f>Audit[[#This Row],[Audit Candidate 4]]-Audit[[#This Row],[Candidate 4]]</f>
        <v>-3</v>
      </c>
      <c r="W69" s="111">
        <f>Audit[[#This Row],[Audit Candidate 5]]-Audit[[#This Row],[Candidate 5]]</f>
        <v>0</v>
      </c>
      <c r="X69" s="111">
        <f>Audit[[#This Row],[Audit Candidate 6]]-Audit[[#This Row],[Candidate 6]]</f>
        <v>0</v>
      </c>
      <c r="Y69" s="111">
        <f>SUMIF(Audit[[#This Row],[Difference Loser]:[Difference Candidate 6]], "&gt;0")</f>
        <v>0</v>
      </c>
      <c r="Z69" s="111">
        <f>SUM(Audit[[#This Row],[Difference Loser]:[Difference Candidate 6]])</f>
        <v>-33</v>
      </c>
      <c r="AA69" s="111">
        <f>IF(Audit[[#This Row],[Times p Drawn - With Replacement]]&gt;0, IF(Audit[[#This Row],[Canceled Differences]]&lt;0, Audit[[#This Row],[Max Differences]]+ABS(Audit[[#This Row],[Canceled Differences]]), Audit[[#This Row],[Max Differences]]), 0)</f>
        <v>0</v>
      </c>
      <c r="AB69" s="111">
        <f>'Sampling Data'!P57</f>
        <v>2.0210681038706517E-3</v>
      </c>
      <c r="AC69" s="111">
        <f>IF(
      SUM(Audit[[#This Row],[Audit Losing Candidate]:[Audit Candidate 6]])
      &lt;&gt;0,
      (Audit[[#This Row],[Winning Candidate]]-Audit[[#This Row],[Losing Candidate]]-(Audit[[#This Row],[Audit Winning Candidate]]-Audit[[#This Row],[Audit Losing Candidate]]))/(Audit[[#Totals],[Winning Candidate]]-Audit[[#Totals],[Losing Candidate]]),
      0
)</f>
        <v>0</v>
      </c>
      <c r="AD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 s="111">
        <f>IF(Audit[[#This Row],[Max Relative Error (ep)]] = 0, 0, Audit[[#This Row],[Max Relative Error (ep)]]/Audit[[#This Row],[Error Bound (up) - Max. possible relative overstatement]])</f>
        <v>0</v>
      </c>
      <c r="AJ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9" s="111">
        <f t="shared" ref="AK69:AK132" si="1">IF(ISERR(POWER(AJ69,L69)), 0, POWER(AJ69,L69))</f>
        <v>1</v>
      </c>
      <c r="AL69" s="111">
        <f>PRODUCT($AK$5:AK69)</f>
        <v>8.962823818226312E-2</v>
      </c>
      <c r="AM69" s="109">
        <f>1 - [K-M P Value]</f>
        <v>0.91037176181773694</v>
      </c>
      <c r="AN69" s="111" t="str">
        <f>IF(Audit[[#This Row],[K-M P Value]]&gt;1-'General Info'!$B$16,"Continue", "Stop")</f>
        <v>Stop</v>
      </c>
      <c r="AO69" s="110" t="b">
        <f>IF(Audit[[#This Row],[Status - Continue or stop audit]] = "Continue", TRUE, IF(AN68 = "Continue", TRUE, FALSE))</f>
        <v>0</v>
      </c>
      <c r="AP69" s="110"/>
    </row>
    <row r="70" spans="1:42" ht="15" hidden="1" customHeight="1">
      <c r="A70" s="111" t="str">
        <f>'Sampling Data'!W58</f>
        <v/>
      </c>
      <c r="B70" s="112" t="str">
        <f>'Sampling Data'!A58</f>
        <v>BEDFORD -03-A - ABS</v>
      </c>
      <c r="C70" s="112">
        <f>'Sampling Data'!B58</f>
        <v>5</v>
      </c>
      <c r="D70" s="112">
        <f>'Sampling Data'!C58</f>
        <v>3</v>
      </c>
      <c r="E70" s="113">
        <f>'Sampling Data'!D58</f>
        <v>1</v>
      </c>
      <c r="F70" s="113">
        <f>'Sampling Data'!E58</f>
        <v>0</v>
      </c>
      <c r="G70" s="113">
        <f>'Sampling Data'!F58</f>
        <v>0</v>
      </c>
      <c r="H70" s="113">
        <f>'Sampling Data'!G58</f>
        <v>1</v>
      </c>
      <c r="I70" s="112">
        <f>'Sampling Data'!H58</f>
        <v>0</v>
      </c>
      <c r="J70" s="112">
        <f>'Sampling Data'!I58</f>
        <v>0</v>
      </c>
      <c r="K70" s="112">
        <f>'Sampling Data'!J58</f>
        <v>10</v>
      </c>
      <c r="L70" s="111">
        <f>'Sampling Data'!X58</f>
        <v>0</v>
      </c>
      <c r="M70" s="114"/>
      <c r="N70" s="114"/>
      <c r="O70" s="115"/>
      <c r="P70" s="115"/>
      <c r="Q70" s="116"/>
      <c r="R70" s="116"/>
      <c r="S70" s="111">
        <f>Audit[[#This Row],[Audit Losing Candidate]]-Audit[[#This Row],[Losing Candidate]]</f>
        <v>-5</v>
      </c>
      <c r="T70" s="111">
        <f>Audit[[#This Row],[Audit Winning Candidate]]-Audit[[#This Row],[Winning Candidate]]</f>
        <v>-3</v>
      </c>
      <c r="U70" s="111">
        <f>Audit[[#This Row],[Audit Candidate 3]]-Audit[[#This Row],[Candidate 3]]</f>
        <v>-1</v>
      </c>
      <c r="V70" s="111">
        <f>Audit[[#This Row],[Audit Candidate 4]]-Audit[[#This Row],[Candidate 4]]</f>
        <v>0</v>
      </c>
      <c r="W70" s="111">
        <f>Audit[[#This Row],[Audit Candidate 5]]-Audit[[#This Row],[Candidate 5]]</f>
        <v>0</v>
      </c>
      <c r="X70" s="111">
        <f>Audit[[#This Row],[Audit Candidate 6]]-Audit[[#This Row],[Candidate 6]]</f>
        <v>-1</v>
      </c>
      <c r="Y70" s="111">
        <f>SUMIF(Audit[[#This Row],[Difference Loser]:[Difference Candidate 6]], "&gt;0")</f>
        <v>0</v>
      </c>
      <c r="Z70" s="111">
        <f>SUM(Audit[[#This Row],[Difference Loser]:[Difference Candidate 6]])</f>
        <v>-10</v>
      </c>
      <c r="AA70" s="111">
        <f>IF(Audit[[#This Row],[Times p Drawn - With Replacement]]&gt;0, IF(Audit[[#This Row],[Canceled Differences]]&lt;0, Audit[[#This Row],[Max Differences]]+ABS(Audit[[#This Row],[Canceled Differences]]), Audit[[#This Row],[Max Differences]]), 0)</f>
        <v>0</v>
      </c>
      <c r="AB70" s="111">
        <f>'Sampling Data'!P58</f>
        <v>4.8995590396864281E-4</v>
      </c>
      <c r="AC70" s="111">
        <f>IF(
      SUM(Audit[[#This Row],[Audit Losing Candidate]:[Audit Candidate 6]])
      &lt;&gt;0,
      (Audit[[#This Row],[Winning Candidate]]-Audit[[#This Row],[Losing Candidate]]-(Audit[[#This Row],[Audit Winning Candidate]]-Audit[[#This Row],[Audit Losing Candidate]]))/(Audit[[#Totals],[Winning Candidate]]-Audit[[#Totals],[Losing Candidate]]),
      0
)</f>
        <v>0</v>
      </c>
      <c r="AD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 s="111">
        <f>IF(Audit[[#This Row],[Max Relative Error (ep)]] = 0, 0, Audit[[#This Row],[Max Relative Error (ep)]]/Audit[[#This Row],[Error Bound (up) - Max. possible relative overstatement]])</f>
        <v>0</v>
      </c>
      <c r="AJ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0" s="111">
        <f t="shared" si="1"/>
        <v>1</v>
      </c>
      <c r="AL70" s="111">
        <f>PRODUCT($AK$5:AK70)</f>
        <v>8.962823818226312E-2</v>
      </c>
      <c r="AM70" s="109">
        <f>1 - [K-M P Value]</f>
        <v>0.91037176181773694</v>
      </c>
      <c r="AN70" s="111" t="str">
        <f>IF(Audit[[#This Row],[K-M P Value]]&gt;1-'General Info'!$B$16,"Continue", "Stop")</f>
        <v>Stop</v>
      </c>
      <c r="AO70" s="110" t="b">
        <f>IF(Audit[[#This Row],[Status - Continue or stop audit]] = "Continue", TRUE, IF(AN69 = "Continue", TRUE, FALSE))</f>
        <v>0</v>
      </c>
      <c r="AP70" s="110"/>
    </row>
    <row r="71" spans="1:42" ht="15" hidden="1" customHeight="1">
      <c r="A71" s="111" t="str">
        <f>'Sampling Data'!W59</f>
        <v/>
      </c>
      <c r="B71" s="112" t="str">
        <f>'Sampling Data'!A59</f>
        <v>BEDFORD -03-B</v>
      </c>
      <c r="C71" s="112">
        <f>'Sampling Data'!B59</f>
        <v>14</v>
      </c>
      <c r="D71" s="112">
        <f>'Sampling Data'!C59</f>
        <v>24</v>
      </c>
      <c r="E71" s="113">
        <f>'Sampling Data'!D59</f>
        <v>5</v>
      </c>
      <c r="F71" s="113">
        <f>'Sampling Data'!E59</f>
        <v>2</v>
      </c>
      <c r="G71" s="113">
        <f>'Sampling Data'!F59</f>
        <v>1</v>
      </c>
      <c r="H71" s="113">
        <f>'Sampling Data'!G59</f>
        <v>2</v>
      </c>
      <c r="I71" s="112">
        <f>'Sampling Data'!H59</f>
        <v>0</v>
      </c>
      <c r="J71" s="112">
        <f>'Sampling Data'!I59</f>
        <v>0</v>
      </c>
      <c r="K71" s="112">
        <f>'Sampling Data'!J59</f>
        <v>48</v>
      </c>
      <c r="L71" s="111">
        <f>'Sampling Data'!X59</f>
        <v>0</v>
      </c>
      <c r="M71" s="114"/>
      <c r="N71" s="114"/>
      <c r="O71" s="115"/>
      <c r="P71" s="115"/>
      <c r="Q71" s="116"/>
      <c r="R71" s="116"/>
      <c r="S71" s="111">
        <f>Audit[[#This Row],[Audit Losing Candidate]]-Audit[[#This Row],[Losing Candidate]]</f>
        <v>-14</v>
      </c>
      <c r="T71" s="111">
        <f>Audit[[#This Row],[Audit Winning Candidate]]-Audit[[#This Row],[Winning Candidate]]</f>
        <v>-24</v>
      </c>
      <c r="U71" s="111">
        <f>Audit[[#This Row],[Audit Candidate 3]]-Audit[[#This Row],[Candidate 3]]</f>
        <v>-5</v>
      </c>
      <c r="V71" s="111">
        <f>Audit[[#This Row],[Audit Candidate 4]]-Audit[[#This Row],[Candidate 4]]</f>
        <v>-2</v>
      </c>
      <c r="W71" s="111">
        <f>Audit[[#This Row],[Audit Candidate 5]]-Audit[[#This Row],[Candidate 5]]</f>
        <v>-1</v>
      </c>
      <c r="X71" s="111">
        <f>Audit[[#This Row],[Audit Candidate 6]]-Audit[[#This Row],[Candidate 6]]</f>
        <v>-2</v>
      </c>
      <c r="Y71" s="111">
        <f>SUMIF(Audit[[#This Row],[Difference Loser]:[Difference Candidate 6]], "&gt;0")</f>
        <v>0</v>
      </c>
      <c r="Z71" s="111">
        <f>SUM(Audit[[#This Row],[Difference Loser]:[Difference Candidate 6]])</f>
        <v>-48</v>
      </c>
      <c r="AA71" s="111">
        <f>IF(Audit[[#This Row],[Times p Drawn - With Replacement]]&gt;0, IF(Audit[[#This Row],[Canceled Differences]]&lt;0, Audit[[#This Row],[Max Differences]]+ABS(Audit[[#This Row],[Canceled Differences]]), Audit[[#This Row],[Max Differences]]), 0)</f>
        <v>0</v>
      </c>
      <c r="AB71" s="111">
        <f>'Sampling Data'!P59</f>
        <v>3.5521803037726605E-3</v>
      </c>
      <c r="AC71" s="111">
        <f>IF(
      SUM(Audit[[#This Row],[Audit Losing Candidate]:[Audit Candidate 6]])
      &lt;&gt;0,
      (Audit[[#This Row],[Winning Candidate]]-Audit[[#This Row],[Losing Candidate]]-(Audit[[#This Row],[Audit Winning Candidate]]-Audit[[#This Row],[Audit Losing Candidate]]))/(Audit[[#Totals],[Winning Candidate]]-Audit[[#Totals],[Losing Candidate]]),
      0
)</f>
        <v>0</v>
      </c>
      <c r="AD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 s="111">
        <f>IF(Audit[[#This Row],[Max Relative Error (ep)]] = 0, 0, Audit[[#This Row],[Max Relative Error (ep)]]/Audit[[#This Row],[Error Bound (up) - Max. possible relative overstatement]])</f>
        <v>0</v>
      </c>
      <c r="AJ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1" s="111">
        <f t="shared" si="1"/>
        <v>1</v>
      </c>
      <c r="AL71" s="111">
        <f>PRODUCT($AK$5:AK71)</f>
        <v>8.962823818226312E-2</v>
      </c>
      <c r="AM71" s="109">
        <f>1 - [K-M P Value]</f>
        <v>0.91037176181773694</v>
      </c>
      <c r="AN71" s="111" t="str">
        <f>IF(Audit[[#This Row],[K-M P Value]]&gt;1-'General Info'!$B$16,"Continue", "Stop")</f>
        <v>Stop</v>
      </c>
      <c r="AO71" s="110" t="b">
        <f>IF(Audit[[#This Row],[Status - Continue or stop audit]] = "Continue", TRUE, IF(AN70 = "Continue", TRUE, FALSE))</f>
        <v>0</v>
      </c>
      <c r="AP71" s="110"/>
    </row>
    <row r="72" spans="1:42" ht="15" hidden="1" customHeight="1">
      <c r="A72" s="111" t="str">
        <f>'Sampling Data'!W60</f>
        <v/>
      </c>
      <c r="B72" s="112" t="str">
        <f>'Sampling Data'!A60</f>
        <v>BEDFORD -03-B - ABS</v>
      </c>
      <c r="C72" s="112">
        <f>'Sampling Data'!B60</f>
        <v>3</v>
      </c>
      <c r="D72" s="112">
        <f>'Sampling Data'!C60</f>
        <v>6</v>
      </c>
      <c r="E72" s="113">
        <f>'Sampling Data'!D60</f>
        <v>1</v>
      </c>
      <c r="F72" s="113">
        <f>'Sampling Data'!E60</f>
        <v>0</v>
      </c>
      <c r="G72" s="113">
        <f>'Sampling Data'!F60</f>
        <v>0</v>
      </c>
      <c r="H72" s="113">
        <f>'Sampling Data'!G60</f>
        <v>0</v>
      </c>
      <c r="I72" s="112">
        <f>'Sampling Data'!H60</f>
        <v>0</v>
      </c>
      <c r="J72" s="112">
        <f>'Sampling Data'!I60</f>
        <v>0</v>
      </c>
      <c r="K72" s="112">
        <f>'Sampling Data'!J60</f>
        <v>10</v>
      </c>
      <c r="L72" s="111">
        <f>'Sampling Data'!X60</f>
        <v>0</v>
      </c>
      <c r="M72" s="114"/>
      <c r="N72" s="114"/>
      <c r="O72" s="115"/>
      <c r="P72" s="115"/>
      <c r="Q72" s="116"/>
      <c r="R72" s="116"/>
      <c r="S72" s="111">
        <f>Audit[[#This Row],[Audit Losing Candidate]]-Audit[[#This Row],[Losing Candidate]]</f>
        <v>-3</v>
      </c>
      <c r="T72" s="111">
        <f>Audit[[#This Row],[Audit Winning Candidate]]-Audit[[#This Row],[Winning Candidate]]</f>
        <v>-6</v>
      </c>
      <c r="U72" s="111">
        <f>Audit[[#This Row],[Audit Candidate 3]]-Audit[[#This Row],[Candidate 3]]</f>
        <v>-1</v>
      </c>
      <c r="V72" s="111">
        <f>Audit[[#This Row],[Audit Candidate 4]]-Audit[[#This Row],[Candidate 4]]</f>
        <v>0</v>
      </c>
      <c r="W72" s="111">
        <f>Audit[[#This Row],[Audit Candidate 5]]-Audit[[#This Row],[Candidate 5]]</f>
        <v>0</v>
      </c>
      <c r="X72" s="111">
        <f>Audit[[#This Row],[Audit Candidate 6]]-Audit[[#This Row],[Candidate 6]]</f>
        <v>0</v>
      </c>
      <c r="Y72" s="111">
        <f>SUMIF(Audit[[#This Row],[Difference Loser]:[Difference Candidate 6]], "&gt;0")</f>
        <v>0</v>
      </c>
      <c r="Z72" s="111">
        <f>SUM(Audit[[#This Row],[Difference Loser]:[Difference Candidate 6]])</f>
        <v>-10</v>
      </c>
      <c r="AA72" s="111">
        <f>IF(Audit[[#This Row],[Times p Drawn - With Replacement]]&gt;0, IF(Audit[[#This Row],[Canceled Differences]]&lt;0, Audit[[#This Row],[Max Differences]]+ABS(Audit[[#This Row],[Canceled Differences]]), Audit[[#This Row],[Max Differences]]), 0)</f>
        <v>0</v>
      </c>
      <c r="AB72" s="111">
        <f>'Sampling Data'!P60</f>
        <v>7.9617834394904463E-4</v>
      </c>
      <c r="AC72" s="111">
        <f>IF(
      SUM(Audit[[#This Row],[Audit Losing Candidate]:[Audit Candidate 6]])
      &lt;&gt;0,
      (Audit[[#This Row],[Winning Candidate]]-Audit[[#This Row],[Losing Candidate]]-(Audit[[#This Row],[Audit Winning Candidate]]-Audit[[#This Row],[Audit Losing Candidate]]))/(Audit[[#Totals],[Winning Candidate]]-Audit[[#Totals],[Losing Candidate]]),
      0
)</f>
        <v>0</v>
      </c>
      <c r="AD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 s="111">
        <f>IF(Audit[[#This Row],[Max Relative Error (ep)]] = 0, 0, Audit[[#This Row],[Max Relative Error (ep)]]/Audit[[#This Row],[Error Bound (up) - Max. possible relative overstatement]])</f>
        <v>0</v>
      </c>
      <c r="AJ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2" s="111">
        <f t="shared" si="1"/>
        <v>1</v>
      </c>
      <c r="AL72" s="111">
        <f>PRODUCT($AK$5:AK72)</f>
        <v>8.962823818226312E-2</v>
      </c>
      <c r="AM72" s="109">
        <f>1 - [K-M P Value]</f>
        <v>0.91037176181773694</v>
      </c>
      <c r="AN72" s="111" t="str">
        <f>IF(Audit[[#This Row],[K-M P Value]]&gt;1-'General Info'!$B$16,"Continue", "Stop")</f>
        <v>Stop</v>
      </c>
      <c r="AO72" s="110" t="b">
        <f>IF(Audit[[#This Row],[Status - Continue or stop audit]] = "Continue", TRUE, IF(AN71 = "Continue", TRUE, FALSE))</f>
        <v>0</v>
      </c>
      <c r="AP72" s="110"/>
    </row>
    <row r="73" spans="1:42" ht="15" hidden="1" customHeight="1">
      <c r="A73" s="111" t="str">
        <f>'Sampling Data'!W61</f>
        <v/>
      </c>
      <c r="B73" s="112" t="str">
        <f>'Sampling Data'!A61</f>
        <v>BEDFORD -04-A</v>
      </c>
      <c r="C73" s="112">
        <f>'Sampling Data'!B61</f>
        <v>12</v>
      </c>
      <c r="D73" s="112">
        <f>'Sampling Data'!C61</f>
        <v>4</v>
      </c>
      <c r="E73" s="113">
        <f>'Sampling Data'!D61</f>
        <v>2</v>
      </c>
      <c r="F73" s="113">
        <f>'Sampling Data'!E61</f>
        <v>2</v>
      </c>
      <c r="G73" s="113">
        <f>'Sampling Data'!F61</f>
        <v>0</v>
      </c>
      <c r="H73" s="113">
        <f>'Sampling Data'!G61</f>
        <v>0</v>
      </c>
      <c r="I73" s="112">
        <f>'Sampling Data'!H61</f>
        <v>0</v>
      </c>
      <c r="J73" s="112">
        <f>'Sampling Data'!I61</f>
        <v>0</v>
      </c>
      <c r="K73" s="112">
        <f>'Sampling Data'!J61</f>
        <v>20</v>
      </c>
      <c r="L73" s="111">
        <f>'Sampling Data'!X61</f>
        <v>0</v>
      </c>
      <c r="M73" s="114"/>
      <c r="N73" s="114"/>
      <c r="O73" s="115"/>
      <c r="P73" s="115"/>
      <c r="Q73" s="116"/>
      <c r="R73" s="116"/>
      <c r="S73" s="111">
        <f>Audit[[#This Row],[Audit Losing Candidate]]-Audit[[#This Row],[Losing Candidate]]</f>
        <v>-12</v>
      </c>
      <c r="T73" s="111">
        <f>Audit[[#This Row],[Audit Winning Candidate]]-Audit[[#This Row],[Winning Candidate]]</f>
        <v>-4</v>
      </c>
      <c r="U73" s="111">
        <f>Audit[[#This Row],[Audit Candidate 3]]-Audit[[#This Row],[Candidate 3]]</f>
        <v>-2</v>
      </c>
      <c r="V73" s="111">
        <f>Audit[[#This Row],[Audit Candidate 4]]-Audit[[#This Row],[Candidate 4]]</f>
        <v>-2</v>
      </c>
      <c r="W73" s="111">
        <f>Audit[[#This Row],[Audit Candidate 5]]-Audit[[#This Row],[Candidate 5]]</f>
        <v>0</v>
      </c>
      <c r="X73" s="111">
        <f>Audit[[#This Row],[Audit Candidate 6]]-Audit[[#This Row],[Candidate 6]]</f>
        <v>0</v>
      </c>
      <c r="Y73" s="111">
        <f>SUMIF(Audit[[#This Row],[Difference Loser]:[Difference Candidate 6]], "&gt;0")</f>
        <v>0</v>
      </c>
      <c r="Z73" s="111">
        <f>SUM(Audit[[#This Row],[Difference Loser]:[Difference Candidate 6]])</f>
        <v>-20</v>
      </c>
      <c r="AA73" s="111">
        <f>IF(Audit[[#This Row],[Times p Drawn - With Replacement]]&gt;0, IF(Audit[[#This Row],[Canceled Differences]]&lt;0, Audit[[#This Row],[Max Differences]]+ABS(Audit[[#This Row],[Canceled Differences]]), Audit[[#This Row],[Max Differences]]), 0)</f>
        <v>0</v>
      </c>
      <c r="AB73" s="111">
        <f>'Sampling Data'!P61</f>
        <v>7.3493385595296422E-4</v>
      </c>
      <c r="AC73" s="111">
        <f>IF(
      SUM(Audit[[#This Row],[Audit Losing Candidate]:[Audit Candidate 6]])
      &lt;&gt;0,
      (Audit[[#This Row],[Winning Candidate]]-Audit[[#This Row],[Losing Candidate]]-(Audit[[#This Row],[Audit Winning Candidate]]-Audit[[#This Row],[Audit Losing Candidate]]))/(Audit[[#Totals],[Winning Candidate]]-Audit[[#Totals],[Losing Candidate]]),
      0
)</f>
        <v>0</v>
      </c>
      <c r="AD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 s="111">
        <f>IF(Audit[[#This Row],[Max Relative Error (ep)]] = 0, 0, Audit[[#This Row],[Max Relative Error (ep)]]/Audit[[#This Row],[Error Bound (up) - Max. possible relative overstatement]])</f>
        <v>0</v>
      </c>
      <c r="AJ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3" s="111">
        <f t="shared" si="1"/>
        <v>1</v>
      </c>
      <c r="AL73" s="111">
        <f>PRODUCT($AK$5:AK73)</f>
        <v>8.962823818226312E-2</v>
      </c>
      <c r="AM73" s="109">
        <f>1 - [K-M P Value]</f>
        <v>0.91037176181773694</v>
      </c>
      <c r="AN73" s="111" t="str">
        <f>IF(Audit[[#This Row],[K-M P Value]]&gt;1-'General Info'!$B$16,"Continue", "Stop")</f>
        <v>Stop</v>
      </c>
      <c r="AO73" s="110" t="b">
        <f>IF(Audit[[#This Row],[Status - Continue or stop audit]] = "Continue", TRUE, IF(AN72 = "Continue", TRUE, FALSE))</f>
        <v>0</v>
      </c>
      <c r="AP73" s="110"/>
    </row>
    <row r="74" spans="1:42" ht="15" hidden="1" customHeight="1">
      <c r="A74" s="111" t="str">
        <f>'Sampling Data'!W62</f>
        <v/>
      </c>
      <c r="B74" s="112" t="str">
        <f>'Sampling Data'!A62</f>
        <v>BEDFORD -04-A - ABS</v>
      </c>
      <c r="C74" s="112">
        <f>'Sampling Data'!B62</f>
        <v>1</v>
      </c>
      <c r="D74" s="112">
        <f>'Sampling Data'!C62</f>
        <v>2</v>
      </c>
      <c r="E74" s="113">
        <f>'Sampling Data'!D62</f>
        <v>1</v>
      </c>
      <c r="F74" s="113">
        <f>'Sampling Data'!E62</f>
        <v>0</v>
      </c>
      <c r="G74" s="113">
        <f>'Sampling Data'!F62</f>
        <v>0</v>
      </c>
      <c r="H74" s="113">
        <f>'Sampling Data'!G62</f>
        <v>1</v>
      </c>
      <c r="I74" s="112">
        <f>'Sampling Data'!H62</f>
        <v>0</v>
      </c>
      <c r="J74" s="112">
        <f>'Sampling Data'!I62</f>
        <v>0</v>
      </c>
      <c r="K74" s="112">
        <f>'Sampling Data'!J62</f>
        <v>5</v>
      </c>
      <c r="L74" s="111">
        <f>'Sampling Data'!X62</f>
        <v>0</v>
      </c>
      <c r="M74" s="114"/>
      <c r="N74" s="114"/>
      <c r="O74" s="115"/>
      <c r="P74" s="115"/>
      <c r="Q74" s="116"/>
      <c r="R74" s="116"/>
      <c r="S74" s="111">
        <f>Audit[[#This Row],[Audit Losing Candidate]]-Audit[[#This Row],[Losing Candidate]]</f>
        <v>-1</v>
      </c>
      <c r="T74" s="111">
        <f>Audit[[#This Row],[Audit Winning Candidate]]-Audit[[#This Row],[Winning Candidate]]</f>
        <v>-2</v>
      </c>
      <c r="U74" s="111">
        <f>Audit[[#This Row],[Audit Candidate 3]]-Audit[[#This Row],[Candidate 3]]</f>
        <v>-1</v>
      </c>
      <c r="V74" s="111">
        <f>Audit[[#This Row],[Audit Candidate 4]]-Audit[[#This Row],[Candidate 4]]</f>
        <v>0</v>
      </c>
      <c r="W74" s="111">
        <f>Audit[[#This Row],[Audit Candidate 5]]-Audit[[#This Row],[Candidate 5]]</f>
        <v>0</v>
      </c>
      <c r="X74" s="111">
        <f>Audit[[#This Row],[Audit Candidate 6]]-Audit[[#This Row],[Candidate 6]]</f>
        <v>-1</v>
      </c>
      <c r="Y74" s="111">
        <f>SUMIF(Audit[[#This Row],[Difference Loser]:[Difference Candidate 6]], "&gt;0")</f>
        <v>0</v>
      </c>
      <c r="Z74" s="111">
        <f>SUM(Audit[[#This Row],[Difference Loser]:[Difference Candidate 6]])</f>
        <v>-5</v>
      </c>
      <c r="AA74" s="111">
        <f>IF(Audit[[#This Row],[Times p Drawn - With Replacement]]&gt;0, IF(Audit[[#This Row],[Canceled Differences]]&lt;0, Audit[[#This Row],[Max Differences]]+ABS(Audit[[#This Row],[Canceled Differences]]), Audit[[#This Row],[Max Differences]]), 0)</f>
        <v>0</v>
      </c>
      <c r="AB74" s="111">
        <f>'Sampling Data'!P62</f>
        <v>3.6746692797648211E-4</v>
      </c>
      <c r="AC74" s="111">
        <f>IF(
      SUM(Audit[[#This Row],[Audit Losing Candidate]:[Audit Candidate 6]])
      &lt;&gt;0,
      (Audit[[#This Row],[Winning Candidate]]-Audit[[#This Row],[Losing Candidate]]-(Audit[[#This Row],[Audit Winning Candidate]]-Audit[[#This Row],[Audit Losing Candidate]]))/(Audit[[#Totals],[Winning Candidate]]-Audit[[#Totals],[Losing Candidate]]),
      0
)</f>
        <v>0</v>
      </c>
      <c r="AD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 s="111">
        <f>IF(Audit[[#This Row],[Max Relative Error (ep)]] = 0, 0, Audit[[#This Row],[Max Relative Error (ep)]]/Audit[[#This Row],[Error Bound (up) - Max. possible relative overstatement]])</f>
        <v>0</v>
      </c>
      <c r="AJ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4" s="111">
        <f t="shared" si="1"/>
        <v>1</v>
      </c>
      <c r="AL74" s="111">
        <f>PRODUCT($AK$5:AK74)</f>
        <v>8.962823818226312E-2</v>
      </c>
      <c r="AM74" s="109">
        <f>1 - [K-M P Value]</f>
        <v>0.91037176181773694</v>
      </c>
      <c r="AN74" s="111" t="str">
        <f>IF(Audit[[#This Row],[K-M P Value]]&gt;1-'General Info'!$B$16,"Continue", "Stop")</f>
        <v>Stop</v>
      </c>
      <c r="AO74" s="110" t="b">
        <f>IF(Audit[[#This Row],[Status - Continue or stop audit]] = "Continue", TRUE, IF(AN73 = "Continue", TRUE, FALSE))</f>
        <v>0</v>
      </c>
      <c r="AP74" s="110"/>
    </row>
    <row r="75" spans="1:42" ht="15" hidden="1" customHeight="1">
      <c r="A75" s="111" t="str">
        <f>'Sampling Data'!W63</f>
        <v/>
      </c>
      <c r="B75" s="112" t="str">
        <f>'Sampling Data'!A63</f>
        <v>BEDFORD -04-B</v>
      </c>
      <c r="C75" s="112">
        <f>'Sampling Data'!B63</f>
        <v>19</v>
      </c>
      <c r="D75" s="112">
        <f>'Sampling Data'!C63</f>
        <v>21</v>
      </c>
      <c r="E75" s="113">
        <f>'Sampling Data'!D63</f>
        <v>7</v>
      </c>
      <c r="F75" s="113">
        <f>'Sampling Data'!E63</f>
        <v>6</v>
      </c>
      <c r="G75" s="113">
        <f>'Sampling Data'!F63</f>
        <v>1</v>
      </c>
      <c r="H75" s="113">
        <f>'Sampling Data'!G63</f>
        <v>0</v>
      </c>
      <c r="I75" s="112">
        <f>'Sampling Data'!H63</f>
        <v>0</v>
      </c>
      <c r="J75" s="112">
        <f>'Sampling Data'!I63</f>
        <v>2</v>
      </c>
      <c r="K75" s="112">
        <f>'Sampling Data'!J63</f>
        <v>56</v>
      </c>
      <c r="L75" s="111">
        <f>'Sampling Data'!X63</f>
        <v>0</v>
      </c>
      <c r="M75" s="114"/>
      <c r="N75" s="114"/>
      <c r="O75" s="115"/>
      <c r="P75" s="115"/>
      <c r="Q75" s="116"/>
      <c r="R75" s="116"/>
      <c r="S75" s="111">
        <f>Audit[[#This Row],[Audit Losing Candidate]]-Audit[[#This Row],[Losing Candidate]]</f>
        <v>-19</v>
      </c>
      <c r="T75" s="111">
        <f>Audit[[#This Row],[Audit Winning Candidate]]-Audit[[#This Row],[Winning Candidate]]</f>
        <v>-21</v>
      </c>
      <c r="U75" s="111">
        <f>Audit[[#This Row],[Audit Candidate 3]]-Audit[[#This Row],[Candidate 3]]</f>
        <v>-7</v>
      </c>
      <c r="V75" s="111">
        <f>Audit[[#This Row],[Audit Candidate 4]]-Audit[[#This Row],[Candidate 4]]</f>
        <v>-6</v>
      </c>
      <c r="W75" s="111">
        <f>Audit[[#This Row],[Audit Candidate 5]]-Audit[[#This Row],[Candidate 5]]</f>
        <v>-1</v>
      </c>
      <c r="X75" s="111">
        <f>Audit[[#This Row],[Audit Candidate 6]]-Audit[[#This Row],[Candidate 6]]</f>
        <v>0</v>
      </c>
      <c r="Y75" s="111">
        <f>SUMIF(Audit[[#This Row],[Difference Loser]:[Difference Candidate 6]], "&gt;0")</f>
        <v>0</v>
      </c>
      <c r="Z75" s="111">
        <f>SUM(Audit[[#This Row],[Difference Loser]:[Difference Candidate 6]])</f>
        <v>-54</v>
      </c>
      <c r="AA75" s="111">
        <f>IF(Audit[[#This Row],[Times p Drawn - With Replacement]]&gt;0, IF(Audit[[#This Row],[Canceled Differences]]&lt;0, Audit[[#This Row],[Max Differences]]+ABS(Audit[[#This Row],[Canceled Differences]]), Audit[[#This Row],[Max Differences]]), 0)</f>
        <v>0</v>
      </c>
      <c r="AB75" s="111">
        <f>'Sampling Data'!P63</f>
        <v>3.5521803037726605E-3</v>
      </c>
      <c r="AC75" s="111">
        <f>IF(
      SUM(Audit[[#This Row],[Audit Losing Candidate]:[Audit Candidate 6]])
      &lt;&gt;0,
      (Audit[[#This Row],[Winning Candidate]]-Audit[[#This Row],[Losing Candidate]]-(Audit[[#This Row],[Audit Winning Candidate]]-Audit[[#This Row],[Audit Losing Candidate]]))/(Audit[[#Totals],[Winning Candidate]]-Audit[[#Totals],[Losing Candidate]]),
      0
)</f>
        <v>0</v>
      </c>
      <c r="AD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 s="111">
        <f>IF(Audit[[#This Row],[Max Relative Error (ep)]] = 0, 0, Audit[[#This Row],[Max Relative Error (ep)]]/Audit[[#This Row],[Error Bound (up) - Max. possible relative overstatement]])</f>
        <v>0</v>
      </c>
      <c r="AJ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5" s="111">
        <f t="shared" si="1"/>
        <v>1</v>
      </c>
      <c r="AL75" s="111">
        <f>PRODUCT($AK$5:AK75)</f>
        <v>8.962823818226312E-2</v>
      </c>
      <c r="AM75" s="109">
        <f>1 - [K-M P Value]</f>
        <v>0.91037176181773694</v>
      </c>
      <c r="AN75" s="111" t="str">
        <f>IF(Audit[[#This Row],[K-M P Value]]&gt;1-'General Info'!$B$16,"Continue", "Stop")</f>
        <v>Stop</v>
      </c>
      <c r="AO75" s="110" t="b">
        <f>IF(Audit[[#This Row],[Status - Continue or stop audit]] = "Continue", TRUE, IF(AN74 = "Continue", TRUE, FALSE))</f>
        <v>0</v>
      </c>
      <c r="AP75" s="110"/>
    </row>
    <row r="76" spans="1:42" ht="15" hidden="1" customHeight="1">
      <c r="A76" s="111" t="str">
        <f>'Sampling Data'!W64</f>
        <v/>
      </c>
      <c r="B76" s="112" t="str">
        <f>'Sampling Data'!A64</f>
        <v>BEDFORD -04-B - ABS</v>
      </c>
      <c r="C76" s="112">
        <f>'Sampling Data'!B64</f>
        <v>7</v>
      </c>
      <c r="D76" s="112">
        <f>'Sampling Data'!C64</f>
        <v>4</v>
      </c>
      <c r="E76" s="113">
        <f>'Sampling Data'!D64</f>
        <v>1</v>
      </c>
      <c r="F76" s="113">
        <f>'Sampling Data'!E64</f>
        <v>0</v>
      </c>
      <c r="G76" s="113">
        <f>'Sampling Data'!F64</f>
        <v>0</v>
      </c>
      <c r="H76" s="113">
        <f>'Sampling Data'!G64</f>
        <v>1</v>
      </c>
      <c r="I76" s="112">
        <f>'Sampling Data'!H64</f>
        <v>0</v>
      </c>
      <c r="J76" s="112">
        <f>'Sampling Data'!I64</f>
        <v>0</v>
      </c>
      <c r="K76" s="112">
        <f>'Sampling Data'!J64</f>
        <v>13</v>
      </c>
      <c r="L76" s="111">
        <f>'Sampling Data'!X64</f>
        <v>0</v>
      </c>
      <c r="M76" s="114"/>
      <c r="N76" s="114"/>
      <c r="O76" s="115"/>
      <c r="P76" s="115"/>
      <c r="Q76" s="116"/>
      <c r="R76" s="116"/>
      <c r="S76" s="111">
        <f>Audit[[#This Row],[Audit Losing Candidate]]-Audit[[#This Row],[Losing Candidate]]</f>
        <v>-7</v>
      </c>
      <c r="T76" s="111">
        <f>Audit[[#This Row],[Audit Winning Candidate]]-Audit[[#This Row],[Winning Candidate]]</f>
        <v>-4</v>
      </c>
      <c r="U76" s="111">
        <f>Audit[[#This Row],[Audit Candidate 3]]-Audit[[#This Row],[Candidate 3]]</f>
        <v>-1</v>
      </c>
      <c r="V76" s="111">
        <f>Audit[[#This Row],[Audit Candidate 4]]-Audit[[#This Row],[Candidate 4]]</f>
        <v>0</v>
      </c>
      <c r="W76" s="111">
        <f>Audit[[#This Row],[Audit Candidate 5]]-Audit[[#This Row],[Candidate 5]]</f>
        <v>0</v>
      </c>
      <c r="X76" s="111">
        <f>Audit[[#This Row],[Audit Candidate 6]]-Audit[[#This Row],[Candidate 6]]</f>
        <v>-1</v>
      </c>
      <c r="Y76" s="111">
        <f>SUMIF(Audit[[#This Row],[Difference Loser]:[Difference Candidate 6]], "&gt;0")</f>
        <v>0</v>
      </c>
      <c r="Z76" s="111">
        <f>SUM(Audit[[#This Row],[Difference Loser]:[Difference Candidate 6]])</f>
        <v>-13</v>
      </c>
      <c r="AA76" s="111">
        <f>IF(Audit[[#This Row],[Times p Drawn - With Replacement]]&gt;0, IF(Audit[[#This Row],[Canceled Differences]]&lt;0, Audit[[#This Row],[Max Differences]]+ABS(Audit[[#This Row],[Canceled Differences]]), Audit[[#This Row],[Max Differences]]), 0)</f>
        <v>0</v>
      </c>
      <c r="AB76" s="111">
        <f>'Sampling Data'!P64</f>
        <v>6.1244487996080352E-4</v>
      </c>
      <c r="AC76" s="111">
        <f>IF(
      SUM(Audit[[#This Row],[Audit Losing Candidate]:[Audit Candidate 6]])
      &lt;&gt;0,
      (Audit[[#This Row],[Winning Candidate]]-Audit[[#This Row],[Losing Candidate]]-(Audit[[#This Row],[Audit Winning Candidate]]-Audit[[#This Row],[Audit Losing Candidate]]))/(Audit[[#Totals],[Winning Candidate]]-Audit[[#Totals],[Losing Candidate]]),
      0
)</f>
        <v>0</v>
      </c>
      <c r="AD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 s="111">
        <f>IF(Audit[[#This Row],[Max Relative Error (ep)]] = 0, 0, Audit[[#This Row],[Max Relative Error (ep)]]/Audit[[#This Row],[Error Bound (up) - Max. possible relative overstatement]])</f>
        <v>0</v>
      </c>
      <c r="AJ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6" s="111">
        <f t="shared" si="1"/>
        <v>1</v>
      </c>
      <c r="AL76" s="111">
        <f>PRODUCT($AK$5:AK76)</f>
        <v>8.962823818226312E-2</v>
      </c>
      <c r="AM76" s="109">
        <f>1 - [K-M P Value]</f>
        <v>0.91037176181773694</v>
      </c>
      <c r="AN76" s="111" t="str">
        <f>IF(Audit[[#This Row],[K-M P Value]]&gt;1-'General Info'!$B$16,"Continue", "Stop")</f>
        <v>Stop</v>
      </c>
      <c r="AO76" s="110" t="b">
        <f>IF(Audit[[#This Row],[Status - Continue or stop audit]] = "Continue", TRUE, IF(AN75 = "Continue", TRUE, FALSE))</f>
        <v>0</v>
      </c>
      <c r="AP76" s="110"/>
    </row>
    <row r="77" spans="1:42" ht="15" hidden="1" customHeight="1">
      <c r="A77" s="111" t="str">
        <f>'Sampling Data'!W66</f>
        <v/>
      </c>
      <c r="B77" s="112" t="str">
        <f>'Sampling Data'!A66</f>
        <v>BEDFORD -05-A - ABS</v>
      </c>
      <c r="C77" s="112">
        <f>'Sampling Data'!B66</f>
        <v>7</v>
      </c>
      <c r="D77" s="112">
        <f>'Sampling Data'!C66</f>
        <v>6</v>
      </c>
      <c r="E77" s="113">
        <f>'Sampling Data'!D66</f>
        <v>5</v>
      </c>
      <c r="F77" s="113">
        <f>'Sampling Data'!E66</f>
        <v>0</v>
      </c>
      <c r="G77" s="113">
        <f>'Sampling Data'!F66</f>
        <v>1</v>
      </c>
      <c r="H77" s="113">
        <f>'Sampling Data'!G66</f>
        <v>0</v>
      </c>
      <c r="I77" s="112">
        <f>'Sampling Data'!H66</f>
        <v>0</v>
      </c>
      <c r="J77" s="112">
        <f>'Sampling Data'!I66</f>
        <v>1</v>
      </c>
      <c r="K77" s="112">
        <f>'Sampling Data'!J66</f>
        <v>20</v>
      </c>
      <c r="L77" s="111">
        <f>'Sampling Data'!X66</f>
        <v>0</v>
      </c>
      <c r="M77" s="114"/>
      <c r="N77" s="114"/>
      <c r="O77" s="115"/>
      <c r="P77" s="115"/>
      <c r="Q77" s="116"/>
      <c r="R77" s="116"/>
      <c r="S77" s="111">
        <f>Audit[[#This Row],[Audit Losing Candidate]]-Audit[[#This Row],[Losing Candidate]]</f>
        <v>-7</v>
      </c>
      <c r="T77" s="111">
        <f>Audit[[#This Row],[Audit Winning Candidate]]-Audit[[#This Row],[Winning Candidate]]</f>
        <v>-6</v>
      </c>
      <c r="U77" s="111">
        <f>Audit[[#This Row],[Audit Candidate 3]]-Audit[[#This Row],[Candidate 3]]</f>
        <v>-5</v>
      </c>
      <c r="V77" s="111">
        <f>Audit[[#This Row],[Audit Candidate 4]]-Audit[[#This Row],[Candidate 4]]</f>
        <v>0</v>
      </c>
      <c r="W77" s="111">
        <f>Audit[[#This Row],[Audit Candidate 5]]-Audit[[#This Row],[Candidate 5]]</f>
        <v>-1</v>
      </c>
      <c r="X77" s="111">
        <f>Audit[[#This Row],[Audit Candidate 6]]-Audit[[#This Row],[Candidate 6]]</f>
        <v>0</v>
      </c>
      <c r="Y77" s="111">
        <f>SUMIF(Audit[[#This Row],[Difference Loser]:[Difference Candidate 6]], "&gt;0")</f>
        <v>0</v>
      </c>
      <c r="Z77" s="111">
        <f>SUM(Audit[[#This Row],[Difference Loser]:[Difference Candidate 6]])</f>
        <v>-19</v>
      </c>
      <c r="AA77" s="111">
        <f>IF(Audit[[#This Row],[Times p Drawn - With Replacement]]&gt;0, IF(Audit[[#This Row],[Canceled Differences]]&lt;0, Audit[[#This Row],[Max Differences]]+ABS(Audit[[#This Row],[Canceled Differences]]), Audit[[#This Row],[Max Differences]]), 0)</f>
        <v>0</v>
      </c>
      <c r="AB77" s="111">
        <f>'Sampling Data'!P66</f>
        <v>1.1636452719255266E-3</v>
      </c>
      <c r="AC77" s="111">
        <f>IF(
      SUM(Audit[[#This Row],[Audit Losing Candidate]:[Audit Candidate 6]])
      &lt;&gt;0,
      (Audit[[#This Row],[Winning Candidate]]-Audit[[#This Row],[Losing Candidate]]-(Audit[[#This Row],[Audit Winning Candidate]]-Audit[[#This Row],[Audit Losing Candidate]]))/(Audit[[#Totals],[Winning Candidate]]-Audit[[#Totals],[Losing Candidate]]),
      0
)</f>
        <v>0</v>
      </c>
      <c r="AD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 s="111">
        <f>IF(Audit[[#This Row],[Max Relative Error (ep)]] = 0, 0, Audit[[#This Row],[Max Relative Error (ep)]]/Audit[[#This Row],[Error Bound (up) - Max. possible relative overstatement]])</f>
        <v>0</v>
      </c>
      <c r="AJ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7" s="111">
        <f t="shared" si="1"/>
        <v>1</v>
      </c>
      <c r="AL77" s="111">
        <f>PRODUCT($AK$5:AK77)</f>
        <v>8.962823818226312E-2</v>
      </c>
      <c r="AM77" s="109">
        <f>1 - [K-M P Value]</f>
        <v>0.91037176181773694</v>
      </c>
      <c r="AN77" s="111" t="str">
        <f>IF(Audit[[#This Row],[K-M P Value]]&gt;1-'General Info'!$B$16,"Continue", "Stop")</f>
        <v>Stop</v>
      </c>
      <c r="AO77" s="110" t="b">
        <f>IF(Audit[[#This Row],[Status - Continue or stop audit]] = "Continue", TRUE, IF(AN76 = "Continue", TRUE, FALSE))</f>
        <v>0</v>
      </c>
      <c r="AP77" s="110"/>
    </row>
    <row r="78" spans="1:42" ht="15" hidden="1" customHeight="1">
      <c r="A78" s="111" t="str">
        <f>'Sampling Data'!W67</f>
        <v/>
      </c>
      <c r="B78" s="112" t="str">
        <f>'Sampling Data'!A67</f>
        <v>BEDFORD -05-B</v>
      </c>
      <c r="C78" s="112">
        <f>'Sampling Data'!B67</f>
        <v>13</v>
      </c>
      <c r="D78" s="112">
        <f>'Sampling Data'!C67</f>
        <v>21</v>
      </c>
      <c r="E78" s="113">
        <f>'Sampling Data'!D67</f>
        <v>4</v>
      </c>
      <c r="F78" s="113">
        <f>'Sampling Data'!E67</f>
        <v>3</v>
      </c>
      <c r="G78" s="113">
        <f>'Sampling Data'!F67</f>
        <v>0</v>
      </c>
      <c r="H78" s="113">
        <f>'Sampling Data'!G67</f>
        <v>0</v>
      </c>
      <c r="I78" s="112">
        <f>'Sampling Data'!H67</f>
        <v>0</v>
      </c>
      <c r="J78" s="112">
        <f>'Sampling Data'!I67</f>
        <v>1</v>
      </c>
      <c r="K78" s="112">
        <f>'Sampling Data'!J67</f>
        <v>42</v>
      </c>
      <c r="L78" s="111">
        <f>'Sampling Data'!X67</f>
        <v>0</v>
      </c>
      <c r="M78" s="114"/>
      <c r="N78" s="114"/>
      <c r="O78" s="115"/>
      <c r="P78" s="115"/>
      <c r="Q78" s="116"/>
      <c r="R78" s="116"/>
      <c r="S78" s="111">
        <f>Audit[[#This Row],[Audit Losing Candidate]]-Audit[[#This Row],[Losing Candidate]]</f>
        <v>-13</v>
      </c>
      <c r="T78" s="111">
        <f>Audit[[#This Row],[Audit Winning Candidate]]-Audit[[#This Row],[Winning Candidate]]</f>
        <v>-21</v>
      </c>
      <c r="U78" s="111">
        <f>Audit[[#This Row],[Audit Candidate 3]]-Audit[[#This Row],[Candidate 3]]</f>
        <v>-4</v>
      </c>
      <c r="V78" s="111">
        <f>Audit[[#This Row],[Audit Candidate 4]]-Audit[[#This Row],[Candidate 4]]</f>
        <v>-3</v>
      </c>
      <c r="W78" s="111">
        <f>Audit[[#This Row],[Audit Candidate 5]]-Audit[[#This Row],[Candidate 5]]</f>
        <v>0</v>
      </c>
      <c r="X78" s="111">
        <f>Audit[[#This Row],[Audit Candidate 6]]-Audit[[#This Row],[Candidate 6]]</f>
        <v>0</v>
      </c>
      <c r="Y78" s="111">
        <f>SUMIF(Audit[[#This Row],[Difference Loser]:[Difference Candidate 6]], "&gt;0")</f>
        <v>0</v>
      </c>
      <c r="Z78" s="111">
        <f>SUM(Audit[[#This Row],[Difference Loser]:[Difference Candidate 6]])</f>
        <v>-41</v>
      </c>
      <c r="AA78" s="111">
        <f>IF(Audit[[#This Row],[Times p Drawn - With Replacement]]&gt;0, IF(Audit[[#This Row],[Canceled Differences]]&lt;0, Audit[[#This Row],[Max Differences]]+ABS(Audit[[#This Row],[Canceled Differences]]), Audit[[#This Row],[Max Differences]]), 0)</f>
        <v>0</v>
      </c>
      <c r="AB78" s="111">
        <f>'Sampling Data'!P67</f>
        <v>3.0622243998040177E-3</v>
      </c>
      <c r="AC78" s="111">
        <f>IF(
      SUM(Audit[[#This Row],[Audit Losing Candidate]:[Audit Candidate 6]])
      &lt;&gt;0,
      (Audit[[#This Row],[Winning Candidate]]-Audit[[#This Row],[Losing Candidate]]-(Audit[[#This Row],[Audit Winning Candidate]]-Audit[[#This Row],[Audit Losing Candidate]]))/(Audit[[#Totals],[Winning Candidate]]-Audit[[#Totals],[Losing Candidate]]),
      0
)</f>
        <v>0</v>
      </c>
      <c r="AD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 s="111">
        <f>IF(Audit[[#This Row],[Max Relative Error (ep)]] = 0, 0, Audit[[#This Row],[Max Relative Error (ep)]]/Audit[[#This Row],[Error Bound (up) - Max. possible relative overstatement]])</f>
        <v>0</v>
      </c>
      <c r="AJ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8" s="111">
        <f t="shared" si="1"/>
        <v>1</v>
      </c>
      <c r="AL78" s="111">
        <f>PRODUCT($AK$5:AK78)</f>
        <v>8.962823818226312E-2</v>
      </c>
      <c r="AM78" s="109">
        <f>1 - [K-M P Value]</f>
        <v>0.91037176181773694</v>
      </c>
      <c r="AN78" s="111" t="str">
        <f>IF(Audit[[#This Row],[K-M P Value]]&gt;1-'General Info'!$B$16,"Continue", "Stop")</f>
        <v>Stop</v>
      </c>
      <c r="AO78" s="110" t="b">
        <f>IF(Audit[[#This Row],[Status - Continue or stop audit]] = "Continue", TRUE, IF(AN77 = "Continue", TRUE, FALSE))</f>
        <v>0</v>
      </c>
      <c r="AP78" s="110"/>
    </row>
    <row r="79" spans="1:42" ht="15" hidden="1" customHeight="1">
      <c r="A79" s="111" t="str">
        <f>'Sampling Data'!W68</f>
        <v/>
      </c>
      <c r="B79" s="112" t="str">
        <f>'Sampling Data'!A68</f>
        <v>BEDFORD -05-B - ABS</v>
      </c>
      <c r="C79" s="112">
        <f>'Sampling Data'!B68</f>
        <v>3</v>
      </c>
      <c r="D79" s="112">
        <f>'Sampling Data'!C68</f>
        <v>6</v>
      </c>
      <c r="E79" s="113">
        <f>'Sampling Data'!D68</f>
        <v>2</v>
      </c>
      <c r="F79" s="113">
        <f>'Sampling Data'!E68</f>
        <v>0</v>
      </c>
      <c r="G79" s="113">
        <f>'Sampling Data'!F68</f>
        <v>0</v>
      </c>
      <c r="H79" s="113">
        <f>'Sampling Data'!G68</f>
        <v>0</v>
      </c>
      <c r="I79" s="112">
        <f>'Sampling Data'!H68</f>
        <v>0</v>
      </c>
      <c r="J79" s="112">
        <f>'Sampling Data'!I68</f>
        <v>0</v>
      </c>
      <c r="K79" s="112">
        <f>'Sampling Data'!J68</f>
        <v>11</v>
      </c>
      <c r="L79" s="111">
        <f>'Sampling Data'!X68</f>
        <v>0</v>
      </c>
      <c r="M79" s="114"/>
      <c r="N79" s="114"/>
      <c r="O79" s="115"/>
      <c r="P79" s="115"/>
      <c r="Q79" s="116"/>
      <c r="R79" s="116"/>
      <c r="S79" s="111">
        <f>Audit[[#This Row],[Audit Losing Candidate]]-Audit[[#This Row],[Losing Candidate]]</f>
        <v>-3</v>
      </c>
      <c r="T79" s="111">
        <f>Audit[[#This Row],[Audit Winning Candidate]]-Audit[[#This Row],[Winning Candidate]]</f>
        <v>-6</v>
      </c>
      <c r="U79" s="111">
        <f>Audit[[#This Row],[Audit Candidate 3]]-Audit[[#This Row],[Candidate 3]]</f>
        <v>-2</v>
      </c>
      <c r="V79" s="111">
        <f>Audit[[#This Row],[Audit Candidate 4]]-Audit[[#This Row],[Candidate 4]]</f>
        <v>0</v>
      </c>
      <c r="W79" s="111">
        <f>Audit[[#This Row],[Audit Candidate 5]]-Audit[[#This Row],[Candidate 5]]</f>
        <v>0</v>
      </c>
      <c r="X79" s="111">
        <f>Audit[[#This Row],[Audit Candidate 6]]-Audit[[#This Row],[Candidate 6]]</f>
        <v>0</v>
      </c>
      <c r="Y79" s="111">
        <f>SUMIF(Audit[[#This Row],[Difference Loser]:[Difference Candidate 6]], "&gt;0")</f>
        <v>0</v>
      </c>
      <c r="Z79" s="111">
        <f>SUM(Audit[[#This Row],[Difference Loser]:[Difference Candidate 6]])</f>
        <v>-11</v>
      </c>
      <c r="AA79" s="111">
        <f>IF(Audit[[#This Row],[Times p Drawn - With Replacement]]&gt;0, IF(Audit[[#This Row],[Canceled Differences]]&lt;0, Audit[[#This Row],[Max Differences]]+ABS(Audit[[#This Row],[Canceled Differences]]), Audit[[#This Row],[Max Differences]]), 0)</f>
        <v>0</v>
      </c>
      <c r="AB79" s="111">
        <f>'Sampling Data'!P68</f>
        <v>8.5742283194512492E-4</v>
      </c>
      <c r="AC79" s="111">
        <f>IF(
      SUM(Audit[[#This Row],[Audit Losing Candidate]:[Audit Candidate 6]])
      &lt;&gt;0,
      (Audit[[#This Row],[Winning Candidate]]-Audit[[#This Row],[Losing Candidate]]-(Audit[[#This Row],[Audit Winning Candidate]]-Audit[[#This Row],[Audit Losing Candidate]]))/(Audit[[#Totals],[Winning Candidate]]-Audit[[#Totals],[Losing Candidate]]),
      0
)</f>
        <v>0</v>
      </c>
      <c r="AD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 s="111">
        <f>IF(Audit[[#This Row],[Max Relative Error (ep)]] = 0, 0, Audit[[#This Row],[Max Relative Error (ep)]]/Audit[[#This Row],[Error Bound (up) - Max. possible relative overstatement]])</f>
        <v>0</v>
      </c>
      <c r="AJ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9" s="111">
        <f t="shared" si="1"/>
        <v>1</v>
      </c>
      <c r="AL79" s="111">
        <f>PRODUCT($AK$5:AK79)</f>
        <v>8.962823818226312E-2</v>
      </c>
      <c r="AM79" s="109">
        <f>1 - [K-M P Value]</f>
        <v>0.91037176181773694</v>
      </c>
      <c r="AN79" s="111" t="str">
        <f>IF(Audit[[#This Row],[K-M P Value]]&gt;1-'General Info'!$B$16,"Continue", "Stop")</f>
        <v>Stop</v>
      </c>
      <c r="AO79" s="110" t="b">
        <f>IF(Audit[[#This Row],[Status - Continue or stop audit]] = "Continue", TRUE, IF(AN78 = "Continue", TRUE, FALSE))</f>
        <v>0</v>
      </c>
      <c r="AP79" s="110"/>
    </row>
    <row r="80" spans="1:42" ht="15" hidden="1" customHeight="1">
      <c r="A80" s="111" t="str">
        <f>'Sampling Data'!W69</f>
        <v/>
      </c>
      <c r="B80" s="112" t="str">
        <f>'Sampling Data'!A69</f>
        <v>BEDFORD -06-A</v>
      </c>
      <c r="C80" s="112">
        <f>'Sampling Data'!B69</f>
        <v>16</v>
      </c>
      <c r="D80" s="112">
        <f>'Sampling Data'!C69</f>
        <v>26</v>
      </c>
      <c r="E80" s="113">
        <f>'Sampling Data'!D69</f>
        <v>6</v>
      </c>
      <c r="F80" s="113">
        <f>'Sampling Data'!E69</f>
        <v>2</v>
      </c>
      <c r="G80" s="113">
        <f>'Sampling Data'!F69</f>
        <v>0</v>
      </c>
      <c r="H80" s="113">
        <f>'Sampling Data'!G69</f>
        <v>0</v>
      </c>
      <c r="I80" s="112">
        <f>'Sampling Data'!H69</f>
        <v>0</v>
      </c>
      <c r="J80" s="112">
        <f>'Sampling Data'!I69</f>
        <v>0</v>
      </c>
      <c r="K80" s="112">
        <f>'Sampling Data'!J69</f>
        <v>50</v>
      </c>
      <c r="L80" s="111">
        <f>'Sampling Data'!X69</f>
        <v>0</v>
      </c>
      <c r="M80" s="114"/>
      <c r="N80" s="114"/>
      <c r="O80" s="115"/>
      <c r="P80" s="115"/>
      <c r="Q80" s="116"/>
      <c r="R80" s="116"/>
      <c r="S80" s="111">
        <f>Audit[[#This Row],[Audit Losing Candidate]]-Audit[[#This Row],[Losing Candidate]]</f>
        <v>-16</v>
      </c>
      <c r="T80" s="111">
        <f>Audit[[#This Row],[Audit Winning Candidate]]-Audit[[#This Row],[Winning Candidate]]</f>
        <v>-26</v>
      </c>
      <c r="U80" s="111">
        <f>Audit[[#This Row],[Audit Candidate 3]]-Audit[[#This Row],[Candidate 3]]</f>
        <v>-6</v>
      </c>
      <c r="V80" s="111">
        <f>Audit[[#This Row],[Audit Candidate 4]]-Audit[[#This Row],[Candidate 4]]</f>
        <v>-2</v>
      </c>
      <c r="W80" s="111">
        <f>Audit[[#This Row],[Audit Candidate 5]]-Audit[[#This Row],[Candidate 5]]</f>
        <v>0</v>
      </c>
      <c r="X80" s="111">
        <f>Audit[[#This Row],[Audit Candidate 6]]-Audit[[#This Row],[Candidate 6]]</f>
        <v>0</v>
      </c>
      <c r="Y80" s="111">
        <f>SUMIF(Audit[[#This Row],[Difference Loser]:[Difference Candidate 6]], "&gt;0")</f>
        <v>0</v>
      </c>
      <c r="Z80" s="111">
        <f>SUM(Audit[[#This Row],[Difference Loser]:[Difference Candidate 6]])</f>
        <v>-50</v>
      </c>
      <c r="AA80" s="111">
        <f>IF(Audit[[#This Row],[Times p Drawn - With Replacement]]&gt;0, IF(Audit[[#This Row],[Canceled Differences]]&lt;0, Audit[[#This Row],[Max Differences]]+ABS(Audit[[#This Row],[Canceled Differences]]), Audit[[#This Row],[Max Differences]]), 0)</f>
        <v>0</v>
      </c>
      <c r="AB80" s="111">
        <f>'Sampling Data'!P69</f>
        <v>3.6746692797648213E-3</v>
      </c>
      <c r="AC80" s="111">
        <f>IF(
      SUM(Audit[[#This Row],[Audit Losing Candidate]:[Audit Candidate 6]])
      &lt;&gt;0,
      (Audit[[#This Row],[Winning Candidate]]-Audit[[#This Row],[Losing Candidate]]-(Audit[[#This Row],[Audit Winning Candidate]]-Audit[[#This Row],[Audit Losing Candidate]]))/(Audit[[#Totals],[Winning Candidate]]-Audit[[#Totals],[Losing Candidate]]),
      0
)</f>
        <v>0</v>
      </c>
      <c r="AD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 s="111">
        <f>IF(Audit[[#This Row],[Max Relative Error (ep)]] = 0, 0, Audit[[#This Row],[Max Relative Error (ep)]]/Audit[[#This Row],[Error Bound (up) - Max. possible relative overstatement]])</f>
        <v>0</v>
      </c>
      <c r="AJ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0" s="111">
        <f t="shared" si="1"/>
        <v>1</v>
      </c>
      <c r="AL80" s="111">
        <f>PRODUCT($AK$5:AK80)</f>
        <v>8.962823818226312E-2</v>
      </c>
      <c r="AM80" s="109">
        <f>1 - [K-M P Value]</f>
        <v>0.91037176181773694</v>
      </c>
      <c r="AN80" s="111" t="str">
        <f>IF(Audit[[#This Row],[K-M P Value]]&gt;1-'General Info'!$B$16,"Continue", "Stop")</f>
        <v>Stop</v>
      </c>
      <c r="AO80" s="110" t="b">
        <f>IF(Audit[[#This Row],[Status - Continue or stop audit]] = "Continue", TRUE, IF(AN79 = "Continue", TRUE, FALSE))</f>
        <v>0</v>
      </c>
      <c r="AP80" s="110"/>
    </row>
    <row r="81" spans="1:42" ht="15" hidden="1" customHeight="1">
      <c r="A81" s="111" t="str">
        <f>'Sampling Data'!W70</f>
        <v/>
      </c>
      <c r="B81" s="112" t="str">
        <f>'Sampling Data'!A70</f>
        <v>BEDFORD -06-A - ABS</v>
      </c>
      <c r="C81" s="112">
        <f>'Sampling Data'!B70</f>
        <v>3</v>
      </c>
      <c r="D81" s="112">
        <f>'Sampling Data'!C70</f>
        <v>5</v>
      </c>
      <c r="E81" s="113">
        <f>'Sampling Data'!D70</f>
        <v>2</v>
      </c>
      <c r="F81" s="113">
        <f>'Sampling Data'!E70</f>
        <v>2</v>
      </c>
      <c r="G81" s="113">
        <f>'Sampling Data'!F70</f>
        <v>0</v>
      </c>
      <c r="H81" s="113">
        <f>'Sampling Data'!G70</f>
        <v>0</v>
      </c>
      <c r="I81" s="112">
        <f>'Sampling Data'!H70</f>
        <v>0</v>
      </c>
      <c r="J81" s="112">
        <f>'Sampling Data'!I70</f>
        <v>0</v>
      </c>
      <c r="K81" s="112">
        <f>'Sampling Data'!J70</f>
        <v>12</v>
      </c>
      <c r="L81" s="111">
        <f>'Sampling Data'!X70</f>
        <v>0</v>
      </c>
      <c r="M81" s="114"/>
      <c r="N81" s="114"/>
      <c r="O81" s="115"/>
      <c r="P81" s="115"/>
      <c r="Q81" s="116"/>
      <c r="R81" s="116"/>
      <c r="S81" s="111">
        <f>Audit[[#This Row],[Audit Losing Candidate]]-Audit[[#This Row],[Losing Candidate]]</f>
        <v>-3</v>
      </c>
      <c r="T81" s="111">
        <f>Audit[[#This Row],[Audit Winning Candidate]]-Audit[[#This Row],[Winning Candidate]]</f>
        <v>-5</v>
      </c>
      <c r="U81" s="111">
        <f>Audit[[#This Row],[Audit Candidate 3]]-Audit[[#This Row],[Candidate 3]]</f>
        <v>-2</v>
      </c>
      <c r="V81" s="111">
        <f>Audit[[#This Row],[Audit Candidate 4]]-Audit[[#This Row],[Candidate 4]]</f>
        <v>-2</v>
      </c>
      <c r="W81" s="111">
        <f>Audit[[#This Row],[Audit Candidate 5]]-Audit[[#This Row],[Candidate 5]]</f>
        <v>0</v>
      </c>
      <c r="X81" s="111">
        <f>Audit[[#This Row],[Audit Candidate 6]]-Audit[[#This Row],[Candidate 6]]</f>
        <v>0</v>
      </c>
      <c r="Y81" s="111">
        <f>SUMIF(Audit[[#This Row],[Difference Loser]:[Difference Candidate 6]], "&gt;0")</f>
        <v>0</v>
      </c>
      <c r="Z81" s="111">
        <f>SUM(Audit[[#This Row],[Difference Loser]:[Difference Candidate 6]])</f>
        <v>-12</v>
      </c>
      <c r="AA81" s="111">
        <f>IF(Audit[[#This Row],[Times p Drawn - With Replacement]]&gt;0, IF(Audit[[#This Row],[Canceled Differences]]&lt;0, Audit[[#This Row],[Max Differences]]+ABS(Audit[[#This Row],[Canceled Differences]]), Audit[[#This Row],[Max Differences]]), 0)</f>
        <v>0</v>
      </c>
      <c r="AB81" s="111">
        <f>'Sampling Data'!P70</f>
        <v>8.5742283194512492E-4</v>
      </c>
      <c r="AC81" s="111">
        <f>IF(
      SUM(Audit[[#This Row],[Audit Losing Candidate]:[Audit Candidate 6]])
      &lt;&gt;0,
      (Audit[[#This Row],[Winning Candidate]]-Audit[[#This Row],[Losing Candidate]]-(Audit[[#This Row],[Audit Winning Candidate]]-Audit[[#This Row],[Audit Losing Candidate]]))/(Audit[[#Totals],[Winning Candidate]]-Audit[[#Totals],[Losing Candidate]]),
      0
)</f>
        <v>0</v>
      </c>
      <c r="AD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 s="111">
        <f>IF(Audit[[#This Row],[Max Relative Error (ep)]] = 0, 0, Audit[[#This Row],[Max Relative Error (ep)]]/Audit[[#This Row],[Error Bound (up) - Max. possible relative overstatement]])</f>
        <v>0</v>
      </c>
      <c r="AJ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1" s="111">
        <f t="shared" si="1"/>
        <v>1</v>
      </c>
      <c r="AL81" s="111">
        <f>PRODUCT($AK$5:AK81)</f>
        <v>8.962823818226312E-2</v>
      </c>
      <c r="AM81" s="109">
        <f>1 - [K-M P Value]</f>
        <v>0.91037176181773694</v>
      </c>
      <c r="AN81" s="111" t="str">
        <f>IF(Audit[[#This Row],[K-M P Value]]&gt;1-'General Info'!$B$16,"Continue", "Stop")</f>
        <v>Stop</v>
      </c>
      <c r="AO81" s="110" t="b">
        <f>IF(Audit[[#This Row],[Status - Continue or stop audit]] = "Continue", TRUE, IF(AN80 = "Continue", TRUE, FALSE))</f>
        <v>0</v>
      </c>
      <c r="AP81" s="110"/>
    </row>
    <row r="82" spans="1:42" ht="15" hidden="1" customHeight="1">
      <c r="A82" s="111" t="str">
        <f>'Sampling Data'!W72</f>
        <v/>
      </c>
      <c r="B82" s="112" t="str">
        <f>'Sampling Data'!A72</f>
        <v>BEDFORD -06-B - ABS</v>
      </c>
      <c r="C82" s="112">
        <f>'Sampling Data'!B72</f>
        <v>3</v>
      </c>
      <c r="D82" s="112">
        <f>'Sampling Data'!C72</f>
        <v>5</v>
      </c>
      <c r="E82" s="113">
        <f>'Sampling Data'!D72</f>
        <v>0</v>
      </c>
      <c r="F82" s="113">
        <f>'Sampling Data'!E72</f>
        <v>3</v>
      </c>
      <c r="G82" s="113">
        <f>'Sampling Data'!F72</f>
        <v>0</v>
      </c>
      <c r="H82" s="113">
        <f>'Sampling Data'!G72</f>
        <v>0</v>
      </c>
      <c r="I82" s="112">
        <f>'Sampling Data'!H72</f>
        <v>0</v>
      </c>
      <c r="J82" s="112">
        <f>'Sampling Data'!I72</f>
        <v>0</v>
      </c>
      <c r="K82" s="112">
        <f>'Sampling Data'!J72</f>
        <v>11</v>
      </c>
      <c r="L82" s="111">
        <f>'Sampling Data'!X72</f>
        <v>0</v>
      </c>
      <c r="M82" s="114"/>
      <c r="N82" s="114"/>
      <c r="O82" s="115"/>
      <c r="P82" s="115"/>
      <c r="Q82" s="116"/>
      <c r="R82" s="116"/>
      <c r="S82" s="111">
        <f>Audit[[#This Row],[Audit Losing Candidate]]-Audit[[#This Row],[Losing Candidate]]</f>
        <v>-3</v>
      </c>
      <c r="T82" s="111">
        <f>Audit[[#This Row],[Audit Winning Candidate]]-Audit[[#This Row],[Winning Candidate]]</f>
        <v>-5</v>
      </c>
      <c r="U82" s="111">
        <f>Audit[[#This Row],[Audit Candidate 3]]-Audit[[#This Row],[Candidate 3]]</f>
        <v>0</v>
      </c>
      <c r="V82" s="111">
        <f>Audit[[#This Row],[Audit Candidate 4]]-Audit[[#This Row],[Candidate 4]]</f>
        <v>-3</v>
      </c>
      <c r="W82" s="111">
        <f>Audit[[#This Row],[Audit Candidate 5]]-Audit[[#This Row],[Candidate 5]]</f>
        <v>0</v>
      </c>
      <c r="X82" s="111">
        <f>Audit[[#This Row],[Audit Candidate 6]]-Audit[[#This Row],[Candidate 6]]</f>
        <v>0</v>
      </c>
      <c r="Y82" s="111">
        <f>SUMIF(Audit[[#This Row],[Difference Loser]:[Difference Candidate 6]], "&gt;0")</f>
        <v>0</v>
      </c>
      <c r="Z82" s="111">
        <f>SUM(Audit[[#This Row],[Difference Loser]:[Difference Candidate 6]])</f>
        <v>-11</v>
      </c>
      <c r="AA82" s="111">
        <f>IF(Audit[[#This Row],[Times p Drawn - With Replacement]]&gt;0, IF(Audit[[#This Row],[Canceled Differences]]&lt;0, Audit[[#This Row],[Max Differences]]+ABS(Audit[[#This Row],[Canceled Differences]]), Audit[[#This Row],[Max Differences]]), 0)</f>
        <v>0</v>
      </c>
      <c r="AB82" s="111">
        <f>'Sampling Data'!P72</f>
        <v>7.9617834394904463E-4</v>
      </c>
      <c r="AC82" s="111">
        <f>IF(
      SUM(Audit[[#This Row],[Audit Losing Candidate]:[Audit Candidate 6]])
      &lt;&gt;0,
      (Audit[[#This Row],[Winning Candidate]]-Audit[[#This Row],[Losing Candidate]]-(Audit[[#This Row],[Audit Winning Candidate]]-Audit[[#This Row],[Audit Losing Candidate]]))/(Audit[[#Totals],[Winning Candidate]]-Audit[[#Totals],[Losing Candidate]]),
      0
)</f>
        <v>0</v>
      </c>
      <c r="AD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 s="111">
        <f>IF(Audit[[#This Row],[Max Relative Error (ep)]] = 0, 0, Audit[[#This Row],[Max Relative Error (ep)]]/Audit[[#This Row],[Error Bound (up) - Max. possible relative overstatement]])</f>
        <v>0</v>
      </c>
      <c r="AJ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2" s="111">
        <f t="shared" si="1"/>
        <v>1</v>
      </c>
      <c r="AL82" s="111">
        <f>PRODUCT($AK$5:AK82)</f>
        <v>8.962823818226312E-2</v>
      </c>
      <c r="AM82" s="109">
        <f>1 - [K-M P Value]</f>
        <v>0.91037176181773694</v>
      </c>
      <c r="AN82" s="111" t="str">
        <f>IF(Audit[[#This Row],[K-M P Value]]&gt;1-'General Info'!$B$16,"Continue", "Stop")</f>
        <v>Stop</v>
      </c>
      <c r="AO82" s="110" t="b">
        <f>IF(Audit[[#This Row],[Status - Continue or stop audit]] = "Continue", TRUE, IF(AN81 = "Continue", TRUE, FALSE))</f>
        <v>0</v>
      </c>
      <c r="AP82" s="110"/>
    </row>
    <row r="83" spans="1:42" ht="15" hidden="1" customHeight="1">
      <c r="A83" s="111" t="str">
        <f>'Sampling Data'!W73</f>
        <v/>
      </c>
      <c r="B83" s="112" t="str">
        <f>'Sampling Data'!A73</f>
        <v>BEDFORD HEIGHTS -01-A</v>
      </c>
      <c r="C83" s="112">
        <f>'Sampling Data'!B73</f>
        <v>3</v>
      </c>
      <c r="D83" s="112">
        <f>'Sampling Data'!C73</f>
        <v>6</v>
      </c>
      <c r="E83" s="113">
        <f>'Sampling Data'!D73</f>
        <v>4</v>
      </c>
      <c r="F83" s="113">
        <f>'Sampling Data'!E73</f>
        <v>2</v>
      </c>
      <c r="G83" s="113">
        <f>'Sampling Data'!F73</f>
        <v>0</v>
      </c>
      <c r="H83" s="113">
        <f>'Sampling Data'!G73</f>
        <v>0</v>
      </c>
      <c r="I83" s="112">
        <f>'Sampling Data'!H73</f>
        <v>0</v>
      </c>
      <c r="J83" s="112">
        <f>'Sampling Data'!I73</f>
        <v>0</v>
      </c>
      <c r="K83" s="112">
        <f>'Sampling Data'!J73</f>
        <v>15</v>
      </c>
      <c r="L83" s="111">
        <f>'Sampling Data'!X73</f>
        <v>0</v>
      </c>
      <c r="M83" s="114"/>
      <c r="N83" s="114"/>
      <c r="O83" s="115"/>
      <c r="P83" s="115"/>
      <c r="Q83" s="116"/>
      <c r="R83" s="116"/>
      <c r="S83" s="111">
        <f>Audit[[#This Row],[Audit Losing Candidate]]-Audit[[#This Row],[Losing Candidate]]</f>
        <v>-3</v>
      </c>
      <c r="T83" s="111">
        <f>Audit[[#This Row],[Audit Winning Candidate]]-Audit[[#This Row],[Winning Candidate]]</f>
        <v>-6</v>
      </c>
      <c r="U83" s="111">
        <f>Audit[[#This Row],[Audit Candidate 3]]-Audit[[#This Row],[Candidate 3]]</f>
        <v>-4</v>
      </c>
      <c r="V83" s="111">
        <f>Audit[[#This Row],[Audit Candidate 4]]-Audit[[#This Row],[Candidate 4]]</f>
        <v>-2</v>
      </c>
      <c r="W83" s="111">
        <f>Audit[[#This Row],[Audit Candidate 5]]-Audit[[#This Row],[Candidate 5]]</f>
        <v>0</v>
      </c>
      <c r="X83" s="111">
        <f>Audit[[#This Row],[Audit Candidate 6]]-Audit[[#This Row],[Candidate 6]]</f>
        <v>0</v>
      </c>
      <c r="Y83" s="111">
        <f>SUMIF(Audit[[#This Row],[Difference Loser]:[Difference Candidate 6]], "&gt;0")</f>
        <v>0</v>
      </c>
      <c r="Z83" s="111">
        <f>SUM(Audit[[#This Row],[Difference Loser]:[Difference Candidate 6]])</f>
        <v>-15</v>
      </c>
      <c r="AA83" s="111">
        <f>IF(Audit[[#This Row],[Times p Drawn - With Replacement]]&gt;0, IF(Audit[[#This Row],[Canceled Differences]]&lt;0, Audit[[#This Row],[Max Differences]]+ABS(Audit[[#This Row],[Canceled Differences]]), Audit[[#This Row],[Max Differences]]), 0)</f>
        <v>0</v>
      </c>
      <c r="AB83" s="111">
        <f>'Sampling Data'!P73</f>
        <v>1.1024007839294464E-3</v>
      </c>
      <c r="AC83" s="111">
        <f>IF(
      SUM(Audit[[#This Row],[Audit Losing Candidate]:[Audit Candidate 6]])
      &lt;&gt;0,
      (Audit[[#This Row],[Winning Candidate]]-Audit[[#This Row],[Losing Candidate]]-(Audit[[#This Row],[Audit Winning Candidate]]-Audit[[#This Row],[Audit Losing Candidate]]))/(Audit[[#Totals],[Winning Candidate]]-Audit[[#Totals],[Losing Candidate]]),
      0
)</f>
        <v>0</v>
      </c>
      <c r="AD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 s="111">
        <f>IF(Audit[[#This Row],[Max Relative Error (ep)]] = 0, 0, Audit[[#This Row],[Max Relative Error (ep)]]/Audit[[#This Row],[Error Bound (up) - Max. possible relative overstatement]])</f>
        <v>0</v>
      </c>
      <c r="AJ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3" s="111">
        <f t="shared" si="1"/>
        <v>1</v>
      </c>
      <c r="AL83" s="111">
        <f>PRODUCT($AK$5:AK83)</f>
        <v>8.962823818226312E-2</v>
      </c>
      <c r="AM83" s="109">
        <f>1 - [K-M P Value]</f>
        <v>0.91037176181773694</v>
      </c>
      <c r="AN83" s="111" t="str">
        <f>IF(Audit[[#This Row],[K-M P Value]]&gt;1-'General Info'!$B$16,"Continue", "Stop")</f>
        <v>Stop</v>
      </c>
      <c r="AO83" s="110" t="b">
        <f>IF(Audit[[#This Row],[Status - Continue or stop audit]] = "Continue", TRUE, IF(AN82 = "Continue", TRUE, FALSE))</f>
        <v>0</v>
      </c>
      <c r="AP83" s="110"/>
    </row>
    <row r="84" spans="1:42" ht="15" hidden="1" customHeight="1">
      <c r="A84" s="111" t="str">
        <f>'Sampling Data'!W74</f>
        <v/>
      </c>
      <c r="B84" s="112" t="str">
        <f>'Sampling Data'!A74</f>
        <v>BEDFORD HEIGHTS -01-A - ABS</v>
      </c>
      <c r="C84" s="112">
        <f>'Sampling Data'!B74</f>
        <v>2</v>
      </c>
      <c r="D84" s="112">
        <f>'Sampling Data'!C74</f>
        <v>2</v>
      </c>
      <c r="E84" s="113">
        <f>'Sampling Data'!D74</f>
        <v>0</v>
      </c>
      <c r="F84" s="113">
        <f>'Sampling Data'!E74</f>
        <v>0</v>
      </c>
      <c r="G84" s="113">
        <f>'Sampling Data'!F74</f>
        <v>0</v>
      </c>
      <c r="H84" s="113">
        <f>'Sampling Data'!G74</f>
        <v>0</v>
      </c>
      <c r="I84" s="112">
        <f>'Sampling Data'!H74</f>
        <v>0</v>
      </c>
      <c r="J84" s="112">
        <f>'Sampling Data'!I74</f>
        <v>0</v>
      </c>
      <c r="K84" s="112">
        <f>'Sampling Data'!J74</f>
        <v>4</v>
      </c>
      <c r="L84" s="111">
        <f>'Sampling Data'!X74</f>
        <v>0</v>
      </c>
      <c r="M84" s="114"/>
      <c r="N84" s="114"/>
      <c r="O84" s="115"/>
      <c r="P84" s="115"/>
      <c r="Q84" s="116"/>
      <c r="R84" s="116"/>
      <c r="S84" s="111">
        <f>Audit[[#This Row],[Audit Losing Candidate]]-Audit[[#This Row],[Losing Candidate]]</f>
        <v>-2</v>
      </c>
      <c r="T84" s="111">
        <f>Audit[[#This Row],[Audit Winning Candidate]]-Audit[[#This Row],[Winning Candidate]]</f>
        <v>-2</v>
      </c>
      <c r="U84" s="111">
        <f>Audit[[#This Row],[Audit Candidate 3]]-Audit[[#This Row],[Candidate 3]]</f>
        <v>0</v>
      </c>
      <c r="V84" s="111">
        <f>Audit[[#This Row],[Audit Candidate 4]]-Audit[[#This Row],[Candidate 4]]</f>
        <v>0</v>
      </c>
      <c r="W84" s="111">
        <f>Audit[[#This Row],[Audit Candidate 5]]-Audit[[#This Row],[Candidate 5]]</f>
        <v>0</v>
      </c>
      <c r="X84" s="111">
        <f>Audit[[#This Row],[Audit Candidate 6]]-Audit[[#This Row],[Candidate 6]]</f>
        <v>0</v>
      </c>
      <c r="Y84" s="111">
        <f>SUMIF(Audit[[#This Row],[Difference Loser]:[Difference Candidate 6]], "&gt;0")</f>
        <v>0</v>
      </c>
      <c r="Z84" s="111">
        <f>SUM(Audit[[#This Row],[Difference Loser]:[Difference Candidate 6]])</f>
        <v>-4</v>
      </c>
      <c r="AA84" s="111">
        <f>IF(Audit[[#This Row],[Times p Drawn - With Replacement]]&gt;0, IF(Audit[[#This Row],[Canceled Differences]]&lt;0, Audit[[#This Row],[Max Differences]]+ABS(Audit[[#This Row],[Canceled Differences]]), Audit[[#This Row],[Max Differences]]), 0)</f>
        <v>0</v>
      </c>
      <c r="AB84" s="111">
        <f>'Sampling Data'!P74</f>
        <v>2.4497795198432141E-4</v>
      </c>
      <c r="AC84" s="111">
        <f>IF(
      SUM(Audit[[#This Row],[Audit Losing Candidate]:[Audit Candidate 6]])
      &lt;&gt;0,
      (Audit[[#This Row],[Winning Candidate]]-Audit[[#This Row],[Losing Candidate]]-(Audit[[#This Row],[Audit Winning Candidate]]-Audit[[#This Row],[Audit Losing Candidate]]))/(Audit[[#Totals],[Winning Candidate]]-Audit[[#Totals],[Losing Candidate]]),
      0
)</f>
        <v>0</v>
      </c>
      <c r="AD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 s="111">
        <f>IF(Audit[[#This Row],[Max Relative Error (ep)]] = 0, 0, Audit[[#This Row],[Max Relative Error (ep)]]/Audit[[#This Row],[Error Bound (up) - Max. possible relative overstatement]])</f>
        <v>0</v>
      </c>
      <c r="AJ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4" s="111">
        <f t="shared" si="1"/>
        <v>1</v>
      </c>
      <c r="AL84" s="111">
        <f>PRODUCT($AK$5:AK84)</f>
        <v>8.962823818226312E-2</v>
      </c>
      <c r="AM84" s="109">
        <f>1 - [K-M P Value]</f>
        <v>0.91037176181773694</v>
      </c>
      <c r="AN84" s="111" t="str">
        <f>IF(Audit[[#This Row],[K-M P Value]]&gt;1-'General Info'!$B$16,"Continue", "Stop")</f>
        <v>Stop</v>
      </c>
      <c r="AO84" s="110" t="b">
        <f>IF(Audit[[#This Row],[Status - Continue or stop audit]] = "Continue", TRUE, IF(AN83 = "Continue", TRUE, FALSE))</f>
        <v>0</v>
      </c>
      <c r="AP84" s="110"/>
    </row>
    <row r="85" spans="1:42" ht="15" hidden="1" customHeight="1">
      <c r="A85" s="111" t="str">
        <f>'Sampling Data'!W75</f>
        <v/>
      </c>
      <c r="B85" s="112" t="str">
        <f>'Sampling Data'!A75</f>
        <v>BEDFORD HEIGHTS -01-B</v>
      </c>
      <c r="C85" s="112">
        <f>'Sampling Data'!B75</f>
        <v>7</v>
      </c>
      <c r="D85" s="112">
        <f>'Sampling Data'!C75</f>
        <v>5</v>
      </c>
      <c r="E85" s="113">
        <f>'Sampling Data'!D75</f>
        <v>2</v>
      </c>
      <c r="F85" s="113">
        <f>'Sampling Data'!E75</f>
        <v>2</v>
      </c>
      <c r="G85" s="113">
        <f>'Sampling Data'!F75</f>
        <v>0</v>
      </c>
      <c r="H85" s="113">
        <f>'Sampling Data'!G75</f>
        <v>0</v>
      </c>
      <c r="I85" s="112">
        <f>'Sampling Data'!H75</f>
        <v>0</v>
      </c>
      <c r="J85" s="112">
        <f>'Sampling Data'!I75</f>
        <v>0</v>
      </c>
      <c r="K85" s="112">
        <f>'Sampling Data'!J75</f>
        <v>16</v>
      </c>
      <c r="L85" s="111">
        <f>'Sampling Data'!X75</f>
        <v>0</v>
      </c>
      <c r="M85" s="114"/>
      <c r="N85" s="114"/>
      <c r="O85" s="115"/>
      <c r="P85" s="115"/>
      <c r="Q85" s="116"/>
      <c r="R85" s="116"/>
      <c r="S85" s="111">
        <f>Audit[[#This Row],[Audit Losing Candidate]]-Audit[[#This Row],[Losing Candidate]]</f>
        <v>-7</v>
      </c>
      <c r="T85" s="111">
        <f>Audit[[#This Row],[Audit Winning Candidate]]-Audit[[#This Row],[Winning Candidate]]</f>
        <v>-5</v>
      </c>
      <c r="U85" s="111">
        <f>Audit[[#This Row],[Audit Candidate 3]]-Audit[[#This Row],[Candidate 3]]</f>
        <v>-2</v>
      </c>
      <c r="V85" s="111">
        <f>Audit[[#This Row],[Audit Candidate 4]]-Audit[[#This Row],[Candidate 4]]</f>
        <v>-2</v>
      </c>
      <c r="W85" s="111">
        <f>Audit[[#This Row],[Audit Candidate 5]]-Audit[[#This Row],[Candidate 5]]</f>
        <v>0</v>
      </c>
      <c r="X85" s="111">
        <f>Audit[[#This Row],[Audit Candidate 6]]-Audit[[#This Row],[Candidate 6]]</f>
        <v>0</v>
      </c>
      <c r="Y85" s="111">
        <f>SUMIF(Audit[[#This Row],[Difference Loser]:[Difference Candidate 6]], "&gt;0")</f>
        <v>0</v>
      </c>
      <c r="Z85" s="111">
        <f>SUM(Audit[[#This Row],[Difference Loser]:[Difference Candidate 6]])</f>
        <v>-16</v>
      </c>
      <c r="AA85" s="111">
        <f>IF(Audit[[#This Row],[Times p Drawn - With Replacement]]&gt;0, IF(Audit[[#This Row],[Canceled Differences]]&lt;0, Audit[[#This Row],[Max Differences]]+ABS(Audit[[#This Row],[Canceled Differences]]), Audit[[#This Row],[Max Differences]]), 0)</f>
        <v>0</v>
      </c>
      <c r="AB85" s="111">
        <f>'Sampling Data'!P75</f>
        <v>8.5742283194512492E-4</v>
      </c>
      <c r="AC85" s="111">
        <f>IF(
      SUM(Audit[[#This Row],[Audit Losing Candidate]:[Audit Candidate 6]])
      &lt;&gt;0,
      (Audit[[#This Row],[Winning Candidate]]-Audit[[#This Row],[Losing Candidate]]-(Audit[[#This Row],[Audit Winning Candidate]]-Audit[[#This Row],[Audit Losing Candidate]]))/(Audit[[#Totals],[Winning Candidate]]-Audit[[#Totals],[Losing Candidate]]),
      0
)</f>
        <v>0</v>
      </c>
      <c r="AD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 s="111">
        <f>IF(Audit[[#This Row],[Max Relative Error (ep)]] = 0, 0, Audit[[#This Row],[Max Relative Error (ep)]]/Audit[[#This Row],[Error Bound (up) - Max. possible relative overstatement]])</f>
        <v>0</v>
      </c>
      <c r="AJ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5" s="111">
        <f t="shared" si="1"/>
        <v>1</v>
      </c>
      <c r="AL85" s="111">
        <f>PRODUCT($AK$5:AK85)</f>
        <v>8.962823818226312E-2</v>
      </c>
      <c r="AM85" s="109">
        <f>1 - [K-M P Value]</f>
        <v>0.91037176181773694</v>
      </c>
      <c r="AN85" s="111" t="str">
        <f>IF(Audit[[#This Row],[K-M P Value]]&gt;1-'General Info'!$B$16,"Continue", "Stop")</f>
        <v>Stop</v>
      </c>
      <c r="AO85" s="110" t="b">
        <f>IF(Audit[[#This Row],[Status - Continue or stop audit]] = "Continue", TRUE, IF(AN84 = "Continue", TRUE, FALSE))</f>
        <v>0</v>
      </c>
      <c r="AP85" s="110"/>
    </row>
    <row r="86" spans="1:42" ht="15" hidden="1" customHeight="1">
      <c r="A86" s="111" t="str">
        <f>'Sampling Data'!W76</f>
        <v/>
      </c>
      <c r="B86" s="112" t="str">
        <f>'Sampling Data'!A76</f>
        <v>BEDFORD HEIGHTS -01-B - ABS</v>
      </c>
      <c r="C86" s="112">
        <f>'Sampling Data'!B76</f>
        <v>7</v>
      </c>
      <c r="D86" s="112">
        <f>'Sampling Data'!C76</f>
        <v>2</v>
      </c>
      <c r="E86" s="113">
        <f>'Sampling Data'!D76</f>
        <v>0</v>
      </c>
      <c r="F86" s="113">
        <f>'Sampling Data'!E76</f>
        <v>0</v>
      </c>
      <c r="G86" s="113">
        <f>'Sampling Data'!F76</f>
        <v>0</v>
      </c>
      <c r="H86" s="113">
        <f>'Sampling Data'!G76</f>
        <v>0</v>
      </c>
      <c r="I86" s="112">
        <f>'Sampling Data'!H76</f>
        <v>0</v>
      </c>
      <c r="J86" s="112">
        <f>'Sampling Data'!I76</f>
        <v>0</v>
      </c>
      <c r="K86" s="112">
        <f>'Sampling Data'!J76</f>
        <v>9</v>
      </c>
      <c r="L86" s="111">
        <f>'Sampling Data'!X76</f>
        <v>0</v>
      </c>
      <c r="M86" s="114"/>
      <c r="N86" s="114"/>
      <c r="O86" s="115"/>
      <c r="P86" s="115"/>
      <c r="Q86" s="116"/>
      <c r="R86" s="116"/>
      <c r="S86" s="111">
        <f>Audit[[#This Row],[Audit Losing Candidate]]-Audit[[#This Row],[Losing Candidate]]</f>
        <v>-7</v>
      </c>
      <c r="T86" s="111">
        <f>Audit[[#This Row],[Audit Winning Candidate]]-Audit[[#This Row],[Winning Candidate]]</f>
        <v>-2</v>
      </c>
      <c r="U86" s="111">
        <f>Audit[[#This Row],[Audit Candidate 3]]-Audit[[#This Row],[Candidate 3]]</f>
        <v>0</v>
      </c>
      <c r="V86" s="111">
        <f>Audit[[#This Row],[Audit Candidate 4]]-Audit[[#This Row],[Candidate 4]]</f>
        <v>0</v>
      </c>
      <c r="W86" s="111">
        <f>Audit[[#This Row],[Audit Candidate 5]]-Audit[[#This Row],[Candidate 5]]</f>
        <v>0</v>
      </c>
      <c r="X86" s="111">
        <f>Audit[[#This Row],[Audit Candidate 6]]-Audit[[#This Row],[Candidate 6]]</f>
        <v>0</v>
      </c>
      <c r="Y86" s="111">
        <f>SUMIF(Audit[[#This Row],[Difference Loser]:[Difference Candidate 6]], "&gt;0")</f>
        <v>0</v>
      </c>
      <c r="Z86" s="111">
        <f>SUM(Audit[[#This Row],[Difference Loser]:[Difference Candidate 6]])</f>
        <v>-9</v>
      </c>
      <c r="AA86" s="111">
        <f>IF(Audit[[#This Row],[Times p Drawn - With Replacement]]&gt;0, IF(Audit[[#This Row],[Canceled Differences]]&lt;0, Audit[[#This Row],[Max Differences]]+ABS(Audit[[#This Row],[Canceled Differences]]), Audit[[#This Row],[Max Differences]]), 0)</f>
        <v>0</v>
      </c>
      <c r="AB86" s="111">
        <f>'Sampling Data'!P76</f>
        <v>3.5487305223086104E-4</v>
      </c>
      <c r="AC86" s="111">
        <f>IF(
      SUM(Audit[[#This Row],[Audit Losing Candidate]:[Audit Candidate 6]])
      &lt;&gt;0,
      (Audit[[#This Row],[Winning Candidate]]-Audit[[#This Row],[Losing Candidate]]-(Audit[[#This Row],[Audit Winning Candidate]]-Audit[[#This Row],[Audit Losing Candidate]]))/(Audit[[#Totals],[Winning Candidate]]-Audit[[#Totals],[Losing Candidate]]),
      0
)</f>
        <v>0</v>
      </c>
      <c r="AD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 s="111">
        <f>IF(Audit[[#This Row],[Max Relative Error (ep)]] = 0, 0, Audit[[#This Row],[Max Relative Error (ep)]]/Audit[[#This Row],[Error Bound (up) - Max. possible relative overstatement]])</f>
        <v>0</v>
      </c>
      <c r="AJ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6" s="111">
        <f t="shared" si="1"/>
        <v>1</v>
      </c>
      <c r="AL86" s="111">
        <f>PRODUCT($AK$5:AK86)</f>
        <v>8.962823818226312E-2</v>
      </c>
      <c r="AM86" s="109">
        <f>1 - [K-M P Value]</f>
        <v>0.91037176181773694</v>
      </c>
      <c r="AN86" s="111" t="str">
        <f>IF(Audit[[#This Row],[K-M P Value]]&gt;1-'General Info'!$B$16,"Continue", "Stop")</f>
        <v>Stop</v>
      </c>
      <c r="AO86" s="110" t="b">
        <f>IF(Audit[[#This Row],[Status - Continue or stop audit]] = "Continue", TRUE, IF(AN85 = "Continue", TRUE, FALSE))</f>
        <v>0</v>
      </c>
      <c r="AP86" s="110"/>
    </row>
    <row r="87" spans="1:42" ht="15" hidden="1" customHeight="1">
      <c r="A87" s="111" t="str">
        <f>'Sampling Data'!W77</f>
        <v/>
      </c>
      <c r="B87" s="112" t="str">
        <f>'Sampling Data'!A77</f>
        <v>BEDFORD HEIGHTS -01-C</v>
      </c>
      <c r="C87" s="112">
        <f>'Sampling Data'!B77</f>
        <v>1</v>
      </c>
      <c r="D87" s="112">
        <f>'Sampling Data'!C77</f>
        <v>0</v>
      </c>
      <c r="E87" s="113">
        <f>'Sampling Data'!D77</f>
        <v>0</v>
      </c>
      <c r="F87" s="113">
        <f>'Sampling Data'!E77</f>
        <v>1</v>
      </c>
      <c r="G87" s="113">
        <f>'Sampling Data'!F77</f>
        <v>0</v>
      </c>
      <c r="H87" s="113">
        <f>'Sampling Data'!G77</f>
        <v>0</v>
      </c>
      <c r="I87" s="112">
        <f>'Sampling Data'!H77</f>
        <v>0</v>
      </c>
      <c r="J87" s="112">
        <f>'Sampling Data'!I77</f>
        <v>0</v>
      </c>
      <c r="K87" s="112">
        <f>'Sampling Data'!J77</f>
        <v>2</v>
      </c>
      <c r="L87" s="111">
        <f>'Sampling Data'!X77</f>
        <v>0</v>
      </c>
      <c r="M87" s="114"/>
      <c r="N87" s="114"/>
      <c r="O87" s="115"/>
      <c r="P87" s="115"/>
      <c r="Q87" s="116"/>
      <c r="R87" s="116"/>
      <c r="S87" s="111">
        <f>Audit[[#This Row],[Audit Losing Candidate]]-Audit[[#This Row],[Losing Candidate]]</f>
        <v>-1</v>
      </c>
      <c r="T87" s="111">
        <f>Audit[[#This Row],[Audit Winning Candidate]]-Audit[[#This Row],[Winning Candidate]]</f>
        <v>0</v>
      </c>
      <c r="U87" s="111">
        <f>Audit[[#This Row],[Audit Candidate 3]]-Audit[[#This Row],[Candidate 3]]</f>
        <v>0</v>
      </c>
      <c r="V87" s="111">
        <f>Audit[[#This Row],[Audit Candidate 4]]-Audit[[#This Row],[Candidate 4]]</f>
        <v>-1</v>
      </c>
      <c r="W87" s="111">
        <f>Audit[[#This Row],[Audit Candidate 5]]-Audit[[#This Row],[Candidate 5]]</f>
        <v>0</v>
      </c>
      <c r="X87" s="111">
        <f>Audit[[#This Row],[Audit Candidate 6]]-Audit[[#This Row],[Candidate 6]]</f>
        <v>0</v>
      </c>
      <c r="Y87" s="111">
        <f>SUMIF(Audit[[#This Row],[Difference Loser]:[Difference Candidate 6]], "&gt;0")</f>
        <v>0</v>
      </c>
      <c r="Z87" s="111">
        <f>SUM(Audit[[#This Row],[Difference Loser]:[Difference Candidate 6]])</f>
        <v>-2</v>
      </c>
      <c r="AA87" s="111">
        <f>IF(Audit[[#This Row],[Times p Drawn - With Replacement]]&gt;0, IF(Audit[[#This Row],[Canceled Differences]]&lt;0, Audit[[#This Row],[Max Differences]]+ABS(Audit[[#This Row],[Canceled Differences]]), Audit[[#This Row],[Max Differences]]), 0)</f>
        <v>0</v>
      </c>
      <c r="AB87" s="111">
        <f>'Sampling Data'!P77</f>
        <v>6.4522373132883833E-5</v>
      </c>
      <c r="AC87" s="111">
        <f>IF(
      SUM(Audit[[#This Row],[Audit Losing Candidate]:[Audit Candidate 6]])
      &lt;&gt;0,
      (Audit[[#This Row],[Winning Candidate]]-Audit[[#This Row],[Losing Candidate]]-(Audit[[#This Row],[Audit Winning Candidate]]-Audit[[#This Row],[Audit Losing Candidate]]))/(Audit[[#Totals],[Winning Candidate]]-Audit[[#Totals],[Losing Candidate]]),
      0
)</f>
        <v>0</v>
      </c>
      <c r="AD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 s="111">
        <f>IF(Audit[[#This Row],[Max Relative Error (ep)]] = 0, 0, Audit[[#This Row],[Max Relative Error (ep)]]/Audit[[#This Row],[Error Bound (up) - Max. possible relative overstatement]])</f>
        <v>0</v>
      </c>
      <c r="AJ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7" s="111">
        <f t="shared" si="1"/>
        <v>1</v>
      </c>
      <c r="AL87" s="111">
        <f>PRODUCT($AK$5:AK87)</f>
        <v>8.962823818226312E-2</v>
      </c>
      <c r="AM87" s="109">
        <f>1 - [K-M P Value]</f>
        <v>0.91037176181773694</v>
      </c>
      <c r="AN87" s="111" t="str">
        <f>IF(Audit[[#This Row],[K-M P Value]]&gt;1-'General Info'!$B$16,"Continue", "Stop")</f>
        <v>Stop</v>
      </c>
      <c r="AO87" s="110" t="b">
        <f>IF(Audit[[#This Row],[Status - Continue or stop audit]] = "Continue", TRUE, IF(AN86 = "Continue", TRUE, FALSE))</f>
        <v>0</v>
      </c>
      <c r="AP87" s="110"/>
    </row>
    <row r="88" spans="1:42" ht="15" hidden="1" customHeight="1">
      <c r="A88" s="111" t="str">
        <f>'Sampling Data'!W78</f>
        <v/>
      </c>
      <c r="B88" s="112" t="str">
        <f>'Sampling Data'!A78</f>
        <v>BEDFORD HEIGHTS -01-C - ABS</v>
      </c>
      <c r="C88" s="112">
        <f>'Sampling Data'!B78</f>
        <v>0</v>
      </c>
      <c r="D88" s="112">
        <f>'Sampling Data'!C78</f>
        <v>0</v>
      </c>
      <c r="E88" s="113">
        <f>'Sampling Data'!D78</f>
        <v>0</v>
      </c>
      <c r="F88" s="113">
        <f>'Sampling Data'!E78</f>
        <v>1</v>
      </c>
      <c r="G88" s="113">
        <f>'Sampling Data'!F78</f>
        <v>0</v>
      </c>
      <c r="H88" s="113">
        <f>'Sampling Data'!G78</f>
        <v>0</v>
      </c>
      <c r="I88" s="112">
        <f>'Sampling Data'!H78</f>
        <v>0</v>
      </c>
      <c r="J88" s="112">
        <f>'Sampling Data'!I78</f>
        <v>0</v>
      </c>
      <c r="K88" s="112">
        <f>'Sampling Data'!J78</f>
        <v>1</v>
      </c>
      <c r="L88" s="111">
        <f>'Sampling Data'!X78</f>
        <v>0</v>
      </c>
      <c r="M88" s="114"/>
      <c r="N88" s="114"/>
      <c r="O88" s="115"/>
      <c r="P88" s="115"/>
      <c r="Q88" s="116"/>
      <c r="R88" s="116"/>
      <c r="S88" s="111">
        <f>Audit[[#This Row],[Audit Losing Candidate]]-Audit[[#This Row],[Losing Candidate]]</f>
        <v>0</v>
      </c>
      <c r="T88" s="111">
        <f>Audit[[#This Row],[Audit Winning Candidate]]-Audit[[#This Row],[Winning Candidate]]</f>
        <v>0</v>
      </c>
      <c r="U88" s="111">
        <f>Audit[[#This Row],[Audit Candidate 3]]-Audit[[#This Row],[Candidate 3]]</f>
        <v>0</v>
      </c>
      <c r="V88" s="111">
        <f>Audit[[#This Row],[Audit Candidate 4]]-Audit[[#This Row],[Candidate 4]]</f>
        <v>-1</v>
      </c>
      <c r="W88" s="111">
        <f>Audit[[#This Row],[Audit Candidate 5]]-Audit[[#This Row],[Candidate 5]]</f>
        <v>0</v>
      </c>
      <c r="X88" s="111">
        <f>Audit[[#This Row],[Audit Candidate 6]]-Audit[[#This Row],[Candidate 6]]</f>
        <v>0</v>
      </c>
      <c r="Y88" s="111">
        <f>SUMIF(Audit[[#This Row],[Difference Loser]:[Difference Candidate 6]], "&gt;0")</f>
        <v>0</v>
      </c>
      <c r="Z88" s="111">
        <f>SUM(Audit[[#This Row],[Difference Loser]:[Difference Candidate 6]])</f>
        <v>-1</v>
      </c>
      <c r="AA88" s="111">
        <f>IF(Audit[[#This Row],[Times p Drawn - With Replacement]]&gt;0, IF(Audit[[#This Row],[Canceled Differences]]&lt;0, Audit[[#This Row],[Max Differences]]+ABS(Audit[[#This Row],[Canceled Differences]]), Audit[[#This Row],[Max Differences]]), 0)</f>
        <v>0</v>
      </c>
      <c r="AB88" s="111">
        <f>'Sampling Data'!P78</f>
        <v>6.1244487996080352E-5</v>
      </c>
      <c r="AC88" s="111">
        <f>IF(
      SUM(Audit[[#This Row],[Audit Losing Candidate]:[Audit Candidate 6]])
      &lt;&gt;0,
      (Audit[[#This Row],[Winning Candidate]]-Audit[[#This Row],[Losing Candidate]]-(Audit[[#This Row],[Audit Winning Candidate]]-Audit[[#This Row],[Audit Losing Candidate]]))/(Audit[[#Totals],[Winning Candidate]]-Audit[[#Totals],[Losing Candidate]]),
      0
)</f>
        <v>0</v>
      </c>
      <c r="AD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 s="111">
        <f>IF(Audit[[#This Row],[Max Relative Error (ep)]] = 0, 0, Audit[[#This Row],[Max Relative Error (ep)]]/Audit[[#This Row],[Error Bound (up) - Max. possible relative overstatement]])</f>
        <v>0</v>
      </c>
      <c r="AJ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8" s="111">
        <f t="shared" si="1"/>
        <v>1</v>
      </c>
      <c r="AL88" s="111">
        <f>PRODUCT($AK$5:AK88)</f>
        <v>8.962823818226312E-2</v>
      </c>
      <c r="AM88" s="109">
        <f>1 - [K-M P Value]</f>
        <v>0.91037176181773694</v>
      </c>
      <c r="AN88" s="111" t="str">
        <f>IF(Audit[[#This Row],[K-M P Value]]&gt;1-'General Info'!$B$16,"Continue", "Stop")</f>
        <v>Stop</v>
      </c>
      <c r="AO88" s="110" t="b">
        <f>IF(Audit[[#This Row],[Status - Continue or stop audit]] = "Continue", TRUE, IF(AN87 = "Continue", TRUE, FALSE))</f>
        <v>0</v>
      </c>
      <c r="AP88" s="110"/>
    </row>
    <row r="89" spans="1:42" ht="15" hidden="1" customHeight="1">
      <c r="A89" s="111" t="str">
        <f>'Sampling Data'!W79</f>
        <v/>
      </c>
      <c r="B89" s="112" t="str">
        <f>'Sampling Data'!A79</f>
        <v>BEDFORD HEIGHTS -01-D</v>
      </c>
      <c r="C89" s="112">
        <f>'Sampling Data'!B79</f>
        <v>0</v>
      </c>
      <c r="D89" s="112">
        <f>'Sampling Data'!C79</f>
        <v>1</v>
      </c>
      <c r="E89" s="113">
        <f>'Sampling Data'!D79</f>
        <v>0</v>
      </c>
      <c r="F89" s="113">
        <f>'Sampling Data'!E79</f>
        <v>0</v>
      </c>
      <c r="G89" s="113">
        <f>'Sampling Data'!F79</f>
        <v>0</v>
      </c>
      <c r="H89" s="113">
        <f>'Sampling Data'!G79</f>
        <v>0</v>
      </c>
      <c r="I89" s="112">
        <f>'Sampling Data'!H79</f>
        <v>0</v>
      </c>
      <c r="J89" s="112">
        <f>'Sampling Data'!I79</f>
        <v>0</v>
      </c>
      <c r="K89" s="112">
        <f>'Sampling Data'!J79</f>
        <v>1</v>
      </c>
      <c r="L89" s="111">
        <f>'Sampling Data'!X79</f>
        <v>0</v>
      </c>
      <c r="M89" s="114"/>
      <c r="N89" s="114"/>
      <c r="O89" s="115"/>
      <c r="P89" s="115"/>
      <c r="Q89" s="116"/>
      <c r="R89" s="116"/>
      <c r="S89" s="111">
        <f>Audit[[#This Row],[Audit Losing Candidate]]-Audit[[#This Row],[Losing Candidate]]</f>
        <v>0</v>
      </c>
      <c r="T89" s="111">
        <f>Audit[[#This Row],[Audit Winning Candidate]]-Audit[[#This Row],[Winning Candidate]]</f>
        <v>-1</v>
      </c>
      <c r="U89" s="111">
        <f>Audit[[#This Row],[Audit Candidate 3]]-Audit[[#This Row],[Candidate 3]]</f>
        <v>0</v>
      </c>
      <c r="V89" s="111">
        <f>Audit[[#This Row],[Audit Candidate 4]]-Audit[[#This Row],[Candidate 4]]</f>
        <v>0</v>
      </c>
      <c r="W89" s="111">
        <f>Audit[[#This Row],[Audit Candidate 5]]-Audit[[#This Row],[Candidate 5]]</f>
        <v>0</v>
      </c>
      <c r="X89" s="111">
        <f>Audit[[#This Row],[Audit Candidate 6]]-Audit[[#This Row],[Candidate 6]]</f>
        <v>0</v>
      </c>
      <c r="Y89" s="111">
        <f>SUMIF(Audit[[#This Row],[Difference Loser]:[Difference Candidate 6]], "&gt;0")</f>
        <v>0</v>
      </c>
      <c r="Z89" s="111">
        <f>SUM(Audit[[#This Row],[Difference Loser]:[Difference Candidate 6]])</f>
        <v>-1</v>
      </c>
      <c r="AA89" s="111">
        <f>IF(Audit[[#This Row],[Times p Drawn - With Replacement]]&gt;0, IF(Audit[[#This Row],[Canceled Differences]]&lt;0, Audit[[#This Row],[Max Differences]]+ABS(Audit[[#This Row],[Canceled Differences]]), Audit[[#This Row],[Max Differences]]), 0)</f>
        <v>0</v>
      </c>
      <c r="AB89" s="111">
        <f>'Sampling Data'!P79</f>
        <v>1.224889759921607E-4</v>
      </c>
      <c r="AC89" s="111">
        <f>IF(
      SUM(Audit[[#This Row],[Audit Losing Candidate]:[Audit Candidate 6]])
      &lt;&gt;0,
      (Audit[[#This Row],[Winning Candidate]]-Audit[[#This Row],[Losing Candidate]]-(Audit[[#This Row],[Audit Winning Candidate]]-Audit[[#This Row],[Audit Losing Candidate]]))/(Audit[[#Totals],[Winning Candidate]]-Audit[[#Totals],[Losing Candidate]]),
      0
)</f>
        <v>0</v>
      </c>
      <c r="AD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 s="111">
        <f>IF(Audit[[#This Row],[Max Relative Error (ep)]] = 0, 0, Audit[[#This Row],[Max Relative Error (ep)]]/Audit[[#This Row],[Error Bound (up) - Max. possible relative overstatement]])</f>
        <v>0</v>
      </c>
      <c r="AJ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9" s="111">
        <f t="shared" si="1"/>
        <v>1</v>
      </c>
      <c r="AL89" s="111">
        <f>PRODUCT($AK$5:AK89)</f>
        <v>8.962823818226312E-2</v>
      </c>
      <c r="AM89" s="109">
        <f>1 - [K-M P Value]</f>
        <v>0.91037176181773694</v>
      </c>
      <c r="AN89" s="111" t="str">
        <f>IF(Audit[[#This Row],[K-M P Value]]&gt;1-'General Info'!$B$16,"Continue", "Stop")</f>
        <v>Stop</v>
      </c>
      <c r="AO89" s="110" t="b">
        <f>IF(Audit[[#This Row],[Status - Continue or stop audit]] = "Continue", TRUE, IF(AN88 = "Continue", TRUE, FALSE))</f>
        <v>0</v>
      </c>
      <c r="AP89" s="110"/>
    </row>
    <row r="90" spans="1:42" ht="15" hidden="1" customHeight="1">
      <c r="A90" s="111" t="str">
        <f>'Sampling Data'!W80</f>
        <v/>
      </c>
      <c r="B90" s="112" t="str">
        <f>'Sampling Data'!A80</f>
        <v>BEDFORD HEIGHTS -01-D - ABS</v>
      </c>
      <c r="C90" s="112">
        <f>'Sampling Data'!B80</f>
        <v>0</v>
      </c>
      <c r="D90" s="112">
        <f>'Sampling Data'!C80</f>
        <v>3</v>
      </c>
      <c r="E90" s="113">
        <f>'Sampling Data'!D80</f>
        <v>0</v>
      </c>
      <c r="F90" s="113">
        <f>'Sampling Data'!E80</f>
        <v>0</v>
      </c>
      <c r="G90" s="113">
        <f>'Sampling Data'!F80</f>
        <v>0</v>
      </c>
      <c r="H90" s="113">
        <f>'Sampling Data'!G80</f>
        <v>0</v>
      </c>
      <c r="I90" s="112">
        <f>'Sampling Data'!H80</f>
        <v>0</v>
      </c>
      <c r="J90" s="112">
        <f>'Sampling Data'!I80</f>
        <v>0</v>
      </c>
      <c r="K90" s="112">
        <f>'Sampling Data'!J80</f>
        <v>3</v>
      </c>
      <c r="L90" s="111">
        <f>'Sampling Data'!X80</f>
        <v>0</v>
      </c>
      <c r="M90" s="114"/>
      <c r="N90" s="114"/>
      <c r="O90" s="115"/>
      <c r="P90" s="115"/>
      <c r="Q90" s="116"/>
      <c r="R90" s="116"/>
      <c r="S90" s="111">
        <f>Audit[[#This Row],[Audit Losing Candidate]]-Audit[[#This Row],[Losing Candidate]]</f>
        <v>0</v>
      </c>
      <c r="T90" s="111">
        <f>Audit[[#This Row],[Audit Winning Candidate]]-Audit[[#This Row],[Winning Candidate]]</f>
        <v>-3</v>
      </c>
      <c r="U90" s="111">
        <f>Audit[[#This Row],[Audit Candidate 3]]-Audit[[#This Row],[Candidate 3]]</f>
        <v>0</v>
      </c>
      <c r="V90" s="111">
        <f>Audit[[#This Row],[Audit Candidate 4]]-Audit[[#This Row],[Candidate 4]]</f>
        <v>0</v>
      </c>
      <c r="W90" s="111">
        <f>Audit[[#This Row],[Audit Candidate 5]]-Audit[[#This Row],[Candidate 5]]</f>
        <v>0</v>
      </c>
      <c r="X90" s="111">
        <f>Audit[[#This Row],[Audit Candidate 6]]-Audit[[#This Row],[Candidate 6]]</f>
        <v>0</v>
      </c>
      <c r="Y90" s="111">
        <f>SUMIF(Audit[[#This Row],[Difference Loser]:[Difference Candidate 6]], "&gt;0")</f>
        <v>0</v>
      </c>
      <c r="Z90" s="111">
        <f>SUM(Audit[[#This Row],[Difference Loser]:[Difference Candidate 6]])</f>
        <v>-3</v>
      </c>
      <c r="AA90" s="111">
        <f>IF(Audit[[#This Row],[Times p Drawn - With Replacement]]&gt;0, IF(Audit[[#This Row],[Canceled Differences]]&lt;0, Audit[[#This Row],[Max Differences]]+ABS(Audit[[#This Row],[Canceled Differences]]), Audit[[#This Row],[Max Differences]]), 0)</f>
        <v>0</v>
      </c>
      <c r="AB90" s="111">
        <f>'Sampling Data'!P80</f>
        <v>3.6746692797648211E-4</v>
      </c>
      <c r="AC90" s="111">
        <f>IF(
      SUM(Audit[[#This Row],[Audit Losing Candidate]:[Audit Candidate 6]])
      &lt;&gt;0,
      (Audit[[#This Row],[Winning Candidate]]-Audit[[#This Row],[Losing Candidate]]-(Audit[[#This Row],[Audit Winning Candidate]]-Audit[[#This Row],[Audit Losing Candidate]]))/(Audit[[#Totals],[Winning Candidate]]-Audit[[#Totals],[Losing Candidate]]),
      0
)</f>
        <v>0</v>
      </c>
      <c r="AD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 s="111">
        <f>IF(Audit[[#This Row],[Max Relative Error (ep)]] = 0, 0, Audit[[#This Row],[Max Relative Error (ep)]]/Audit[[#This Row],[Error Bound (up) - Max. possible relative overstatement]])</f>
        <v>0</v>
      </c>
      <c r="AJ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0" s="111">
        <f t="shared" si="1"/>
        <v>1</v>
      </c>
      <c r="AL90" s="111">
        <f>PRODUCT($AK$5:AK90)</f>
        <v>8.962823818226312E-2</v>
      </c>
      <c r="AM90" s="109">
        <f>1 - [K-M P Value]</f>
        <v>0.91037176181773694</v>
      </c>
      <c r="AN90" s="111" t="str">
        <f>IF(Audit[[#This Row],[K-M P Value]]&gt;1-'General Info'!$B$16,"Continue", "Stop")</f>
        <v>Stop</v>
      </c>
      <c r="AO90" s="110" t="b">
        <f>IF(Audit[[#This Row],[Status - Continue or stop audit]] = "Continue", TRUE, IF(AN89 = "Continue", TRUE, FALSE))</f>
        <v>0</v>
      </c>
      <c r="AP90" s="110"/>
    </row>
    <row r="91" spans="1:42" ht="15" hidden="1" customHeight="1">
      <c r="A91" s="111" t="str">
        <f>'Sampling Data'!W81</f>
        <v/>
      </c>
      <c r="B91" s="112" t="str">
        <f>'Sampling Data'!A81</f>
        <v>BEDFORD HEIGHTS -02-A</v>
      </c>
      <c r="C91" s="112">
        <f>'Sampling Data'!B81</f>
        <v>7</v>
      </c>
      <c r="D91" s="112">
        <f>'Sampling Data'!C81</f>
        <v>5</v>
      </c>
      <c r="E91" s="113">
        <f>'Sampling Data'!D81</f>
        <v>1</v>
      </c>
      <c r="F91" s="113">
        <f>'Sampling Data'!E81</f>
        <v>1</v>
      </c>
      <c r="G91" s="113">
        <f>'Sampling Data'!F81</f>
        <v>1</v>
      </c>
      <c r="H91" s="113">
        <f>'Sampling Data'!G81</f>
        <v>0</v>
      </c>
      <c r="I91" s="112">
        <f>'Sampling Data'!H81</f>
        <v>0</v>
      </c>
      <c r="J91" s="112">
        <f>'Sampling Data'!I81</f>
        <v>0</v>
      </c>
      <c r="K91" s="112">
        <f>'Sampling Data'!J81</f>
        <v>15</v>
      </c>
      <c r="L91" s="111">
        <f>'Sampling Data'!X81</f>
        <v>0</v>
      </c>
      <c r="M91" s="114"/>
      <c r="N91" s="114"/>
      <c r="O91" s="115"/>
      <c r="P91" s="115"/>
      <c r="Q91" s="116"/>
      <c r="R91" s="116"/>
      <c r="S91" s="111">
        <f>Audit[[#This Row],[Audit Losing Candidate]]-Audit[[#This Row],[Losing Candidate]]</f>
        <v>-7</v>
      </c>
      <c r="T91" s="111">
        <f>Audit[[#This Row],[Audit Winning Candidate]]-Audit[[#This Row],[Winning Candidate]]</f>
        <v>-5</v>
      </c>
      <c r="U91" s="111">
        <f>Audit[[#This Row],[Audit Candidate 3]]-Audit[[#This Row],[Candidate 3]]</f>
        <v>-1</v>
      </c>
      <c r="V91" s="111">
        <f>Audit[[#This Row],[Audit Candidate 4]]-Audit[[#This Row],[Candidate 4]]</f>
        <v>-1</v>
      </c>
      <c r="W91" s="111">
        <f>Audit[[#This Row],[Audit Candidate 5]]-Audit[[#This Row],[Candidate 5]]</f>
        <v>-1</v>
      </c>
      <c r="X91" s="111">
        <f>Audit[[#This Row],[Audit Candidate 6]]-Audit[[#This Row],[Candidate 6]]</f>
        <v>0</v>
      </c>
      <c r="Y91" s="111">
        <f>SUMIF(Audit[[#This Row],[Difference Loser]:[Difference Candidate 6]], "&gt;0")</f>
        <v>0</v>
      </c>
      <c r="Z91" s="111">
        <f>SUM(Audit[[#This Row],[Difference Loser]:[Difference Candidate 6]])</f>
        <v>-15</v>
      </c>
      <c r="AA91" s="111">
        <f>IF(Audit[[#This Row],[Times p Drawn - With Replacement]]&gt;0, IF(Audit[[#This Row],[Canceled Differences]]&lt;0, Audit[[#This Row],[Max Differences]]+ABS(Audit[[#This Row],[Canceled Differences]]), Audit[[#This Row],[Max Differences]]), 0)</f>
        <v>0</v>
      </c>
      <c r="AB91" s="111">
        <f>'Sampling Data'!P81</f>
        <v>7.9617834394904463E-4</v>
      </c>
      <c r="AC91" s="111">
        <f>IF(
      SUM(Audit[[#This Row],[Audit Losing Candidate]:[Audit Candidate 6]])
      &lt;&gt;0,
      (Audit[[#This Row],[Winning Candidate]]-Audit[[#This Row],[Losing Candidate]]-(Audit[[#This Row],[Audit Winning Candidate]]-Audit[[#This Row],[Audit Losing Candidate]]))/(Audit[[#Totals],[Winning Candidate]]-Audit[[#Totals],[Losing Candidate]]),
      0
)</f>
        <v>0</v>
      </c>
      <c r="AD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 s="111">
        <f>IF(Audit[[#This Row],[Max Relative Error (ep)]] = 0, 0, Audit[[#This Row],[Max Relative Error (ep)]]/Audit[[#This Row],[Error Bound (up) - Max. possible relative overstatement]])</f>
        <v>0</v>
      </c>
      <c r="AJ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1" s="111">
        <f t="shared" si="1"/>
        <v>1</v>
      </c>
      <c r="AL91" s="111">
        <f>PRODUCT($AK$5:AK91)</f>
        <v>8.962823818226312E-2</v>
      </c>
      <c r="AM91" s="109">
        <f>1 - [K-M P Value]</f>
        <v>0.91037176181773694</v>
      </c>
      <c r="AN91" s="111" t="str">
        <f>IF(Audit[[#This Row],[K-M P Value]]&gt;1-'General Info'!$B$16,"Continue", "Stop")</f>
        <v>Stop</v>
      </c>
      <c r="AO91" s="110" t="b">
        <f>IF(Audit[[#This Row],[Status - Continue or stop audit]] = "Continue", TRUE, IF(AN90 = "Continue", TRUE, FALSE))</f>
        <v>0</v>
      </c>
      <c r="AP91" s="110"/>
    </row>
    <row r="92" spans="1:42" ht="15" hidden="1" customHeight="1">
      <c r="A92" s="111" t="str">
        <f>'Sampling Data'!W82</f>
        <v/>
      </c>
      <c r="B92" s="112" t="str">
        <f>'Sampling Data'!A82</f>
        <v>BEDFORD HEIGHTS -02-A - ABS</v>
      </c>
      <c r="C92" s="112">
        <f>'Sampling Data'!B82</f>
        <v>6</v>
      </c>
      <c r="D92" s="112">
        <f>'Sampling Data'!C82</f>
        <v>0</v>
      </c>
      <c r="E92" s="113">
        <f>'Sampling Data'!D82</f>
        <v>0</v>
      </c>
      <c r="F92" s="113">
        <f>'Sampling Data'!E82</f>
        <v>0</v>
      </c>
      <c r="G92" s="113">
        <f>'Sampling Data'!F82</f>
        <v>0</v>
      </c>
      <c r="H92" s="113">
        <f>'Sampling Data'!G82</f>
        <v>0</v>
      </c>
      <c r="I92" s="112">
        <f>'Sampling Data'!H82</f>
        <v>0</v>
      </c>
      <c r="J92" s="112">
        <f>'Sampling Data'!I82</f>
        <v>0</v>
      </c>
      <c r="K92" s="112">
        <f>'Sampling Data'!J82</f>
        <v>6</v>
      </c>
      <c r="L92" s="111">
        <f>'Sampling Data'!X82</f>
        <v>0</v>
      </c>
      <c r="M92" s="114"/>
      <c r="N92" s="114"/>
      <c r="O92" s="115"/>
      <c r="P92" s="115"/>
      <c r="Q92" s="116"/>
      <c r="R92" s="116"/>
      <c r="S92" s="111">
        <f>Audit[[#This Row],[Audit Losing Candidate]]-Audit[[#This Row],[Losing Candidate]]</f>
        <v>-6</v>
      </c>
      <c r="T92" s="111">
        <f>Audit[[#This Row],[Audit Winning Candidate]]-Audit[[#This Row],[Winning Candidate]]</f>
        <v>0</v>
      </c>
      <c r="U92" s="111">
        <f>Audit[[#This Row],[Audit Candidate 3]]-Audit[[#This Row],[Candidate 3]]</f>
        <v>0</v>
      </c>
      <c r="V92" s="111">
        <f>Audit[[#This Row],[Audit Candidate 4]]-Audit[[#This Row],[Candidate 4]]</f>
        <v>0</v>
      </c>
      <c r="W92" s="111">
        <f>Audit[[#This Row],[Audit Candidate 5]]-Audit[[#This Row],[Candidate 5]]</f>
        <v>0</v>
      </c>
      <c r="X92" s="111">
        <f>Audit[[#This Row],[Audit Candidate 6]]-Audit[[#This Row],[Candidate 6]]</f>
        <v>0</v>
      </c>
      <c r="Y92" s="111">
        <f>SUMIF(Audit[[#This Row],[Difference Loser]:[Difference Candidate 6]], "&gt;0")</f>
        <v>0</v>
      </c>
      <c r="Z92" s="111">
        <f>SUM(Audit[[#This Row],[Difference Loser]:[Difference Candidate 6]])</f>
        <v>-6</v>
      </c>
      <c r="AA92" s="111">
        <f>IF(Audit[[#This Row],[Times p Drawn - With Replacement]]&gt;0, IF(Audit[[#This Row],[Canceled Differences]]&lt;0, Audit[[#This Row],[Max Differences]]+ABS(Audit[[#This Row],[Canceled Differences]]), Audit[[#This Row],[Max Differences]]), 0)</f>
        <v>0</v>
      </c>
      <c r="AB92" s="111">
        <f>'Sampling Data'!P82</f>
        <v>1.9356711939865149E-4</v>
      </c>
      <c r="AC92" s="111">
        <f>IF(
      SUM(Audit[[#This Row],[Audit Losing Candidate]:[Audit Candidate 6]])
      &lt;&gt;0,
      (Audit[[#This Row],[Winning Candidate]]-Audit[[#This Row],[Losing Candidate]]-(Audit[[#This Row],[Audit Winning Candidate]]-Audit[[#This Row],[Audit Losing Candidate]]))/(Audit[[#Totals],[Winning Candidate]]-Audit[[#Totals],[Losing Candidate]]),
      0
)</f>
        <v>0</v>
      </c>
      <c r="AD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 s="111">
        <f>IF(Audit[[#This Row],[Max Relative Error (ep)]] = 0, 0, Audit[[#This Row],[Max Relative Error (ep)]]/Audit[[#This Row],[Error Bound (up) - Max. possible relative overstatement]])</f>
        <v>0</v>
      </c>
      <c r="AJ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2" s="111">
        <f t="shared" si="1"/>
        <v>1</v>
      </c>
      <c r="AL92" s="111">
        <f>PRODUCT($AK$5:AK92)</f>
        <v>8.962823818226312E-2</v>
      </c>
      <c r="AM92" s="109">
        <f>1 - [K-M P Value]</f>
        <v>0.91037176181773694</v>
      </c>
      <c r="AN92" s="111" t="str">
        <f>IF(Audit[[#This Row],[K-M P Value]]&gt;1-'General Info'!$B$16,"Continue", "Stop")</f>
        <v>Stop</v>
      </c>
      <c r="AO92" s="110" t="b">
        <f>IF(Audit[[#This Row],[Status - Continue or stop audit]] = "Continue", TRUE, IF(AN91 = "Continue", TRUE, FALSE))</f>
        <v>0</v>
      </c>
      <c r="AP92" s="110"/>
    </row>
    <row r="93" spans="1:42" ht="15" hidden="1" customHeight="1">
      <c r="A93" s="111" t="str">
        <f>'Sampling Data'!W83</f>
        <v/>
      </c>
      <c r="B93" s="112" t="str">
        <f>'Sampling Data'!A83</f>
        <v>BEDFORD HEIGHTS -02-B</v>
      </c>
      <c r="C93" s="112">
        <f>'Sampling Data'!B83</f>
        <v>1</v>
      </c>
      <c r="D93" s="112">
        <f>'Sampling Data'!C83</f>
        <v>0</v>
      </c>
      <c r="E93" s="113">
        <f>'Sampling Data'!D83</f>
        <v>0</v>
      </c>
      <c r="F93" s="113">
        <f>'Sampling Data'!E83</f>
        <v>1</v>
      </c>
      <c r="G93" s="113">
        <f>'Sampling Data'!F83</f>
        <v>0</v>
      </c>
      <c r="H93" s="113">
        <f>'Sampling Data'!G83</f>
        <v>0</v>
      </c>
      <c r="I93" s="112">
        <f>'Sampling Data'!H83</f>
        <v>0</v>
      </c>
      <c r="J93" s="112">
        <f>'Sampling Data'!I83</f>
        <v>0</v>
      </c>
      <c r="K93" s="112">
        <f>'Sampling Data'!J83</f>
        <v>2</v>
      </c>
      <c r="L93" s="111">
        <f>'Sampling Data'!X83</f>
        <v>0</v>
      </c>
      <c r="M93" s="114"/>
      <c r="N93" s="114"/>
      <c r="O93" s="115"/>
      <c r="P93" s="115"/>
      <c r="Q93" s="116"/>
      <c r="R93" s="116"/>
      <c r="S93" s="111">
        <f>Audit[[#This Row],[Audit Losing Candidate]]-Audit[[#This Row],[Losing Candidate]]</f>
        <v>-1</v>
      </c>
      <c r="T93" s="111">
        <f>Audit[[#This Row],[Audit Winning Candidate]]-Audit[[#This Row],[Winning Candidate]]</f>
        <v>0</v>
      </c>
      <c r="U93" s="111">
        <f>Audit[[#This Row],[Audit Candidate 3]]-Audit[[#This Row],[Candidate 3]]</f>
        <v>0</v>
      </c>
      <c r="V93" s="111">
        <f>Audit[[#This Row],[Audit Candidate 4]]-Audit[[#This Row],[Candidate 4]]</f>
        <v>-1</v>
      </c>
      <c r="W93" s="111">
        <f>Audit[[#This Row],[Audit Candidate 5]]-Audit[[#This Row],[Candidate 5]]</f>
        <v>0</v>
      </c>
      <c r="X93" s="111">
        <f>Audit[[#This Row],[Audit Candidate 6]]-Audit[[#This Row],[Candidate 6]]</f>
        <v>0</v>
      </c>
      <c r="Y93" s="111">
        <f>SUMIF(Audit[[#This Row],[Difference Loser]:[Difference Candidate 6]], "&gt;0")</f>
        <v>0</v>
      </c>
      <c r="Z93" s="111">
        <f>SUM(Audit[[#This Row],[Difference Loser]:[Difference Candidate 6]])</f>
        <v>-2</v>
      </c>
      <c r="AA93" s="111">
        <f>IF(Audit[[#This Row],[Times p Drawn - With Replacement]]&gt;0, IF(Audit[[#This Row],[Canceled Differences]]&lt;0, Audit[[#This Row],[Max Differences]]+ABS(Audit[[#This Row],[Canceled Differences]]), Audit[[#This Row],[Max Differences]]), 0)</f>
        <v>0</v>
      </c>
      <c r="AB93" s="111">
        <f>'Sampling Data'!P83</f>
        <v>6.4522373132883833E-5</v>
      </c>
      <c r="AC93" s="111">
        <f>IF(
      SUM(Audit[[#This Row],[Audit Losing Candidate]:[Audit Candidate 6]])
      &lt;&gt;0,
      (Audit[[#This Row],[Winning Candidate]]-Audit[[#This Row],[Losing Candidate]]-(Audit[[#This Row],[Audit Winning Candidate]]-Audit[[#This Row],[Audit Losing Candidate]]))/(Audit[[#Totals],[Winning Candidate]]-Audit[[#Totals],[Losing Candidate]]),
      0
)</f>
        <v>0</v>
      </c>
      <c r="AD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 s="111">
        <f>IF(Audit[[#This Row],[Max Relative Error (ep)]] = 0, 0, Audit[[#This Row],[Max Relative Error (ep)]]/Audit[[#This Row],[Error Bound (up) - Max. possible relative overstatement]])</f>
        <v>0</v>
      </c>
      <c r="AJ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3" s="111">
        <f t="shared" si="1"/>
        <v>1</v>
      </c>
      <c r="AL93" s="111">
        <f>PRODUCT($AK$5:AK93)</f>
        <v>8.962823818226312E-2</v>
      </c>
      <c r="AM93" s="109">
        <f>1 - [K-M P Value]</f>
        <v>0.91037176181773694</v>
      </c>
      <c r="AN93" s="111" t="str">
        <f>IF(Audit[[#This Row],[K-M P Value]]&gt;1-'General Info'!$B$16,"Continue", "Stop")</f>
        <v>Stop</v>
      </c>
      <c r="AO93" s="110" t="b">
        <f>IF(Audit[[#This Row],[Status - Continue or stop audit]] = "Continue", TRUE, IF(AN92 = "Continue", TRUE, FALSE))</f>
        <v>0</v>
      </c>
      <c r="AP93" s="110"/>
    </row>
    <row r="94" spans="1:42" ht="15" hidden="1" customHeight="1">
      <c r="A94" s="111" t="str">
        <f>'Sampling Data'!W84</f>
        <v/>
      </c>
      <c r="B94" s="112" t="str">
        <f>'Sampling Data'!A84</f>
        <v>BEDFORD HEIGHTS -02-B - ABS</v>
      </c>
      <c r="C94" s="112">
        <f>'Sampling Data'!B84</f>
        <v>0</v>
      </c>
      <c r="D94" s="112">
        <f>'Sampling Data'!C84</f>
        <v>1</v>
      </c>
      <c r="E94" s="113">
        <f>'Sampling Data'!D84</f>
        <v>1</v>
      </c>
      <c r="F94" s="113">
        <f>'Sampling Data'!E84</f>
        <v>0</v>
      </c>
      <c r="G94" s="113">
        <f>'Sampling Data'!F84</f>
        <v>0</v>
      </c>
      <c r="H94" s="113">
        <f>'Sampling Data'!G84</f>
        <v>0</v>
      </c>
      <c r="I94" s="112">
        <f>'Sampling Data'!H84</f>
        <v>0</v>
      </c>
      <c r="J94" s="112">
        <f>'Sampling Data'!I84</f>
        <v>0</v>
      </c>
      <c r="K94" s="112">
        <f>'Sampling Data'!J84</f>
        <v>2</v>
      </c>
      <c r="L94" s="111">
        <f>'Sampling Data'!X84</f>
        <v>0</v>
      </c>
      <c r="M94" s="114"/>
      <c r="N94" s="114"/>
      <c r="O94" s="115"/>
      <c r="P94" s="115"/>
      <c r="Q94" s="116"/>
      <c r="R94" s="116"/>
      <c r="S94" s="111">
        <f>Audit[[#This Row],[Audit Losing Candidate]]-Audit[[#This Row],[Losing Candidate]]</f>
        <v>0</v>
      </c>
      <c r="T94" s="111">
        <f>Audit[[#This Row],[Audit Winning Candidate]]-Audit[[#This Row],[Winning Candidate]]</f>
        <v>-1</v>
      </c>
      <c r="U94" s="111">
        <f>Audit[[#This Row],[Audit Candidate 3]]-Audit[[#This Row],[Candidate 3]]</f>
        <v>-1</v>
      </c>
      <c r="V94" s="111">
        <f>Audit[[#This Row],[Audit Candidate 4]]-Audit[[#This Row],[Candidate 4]]</f>
        <v>0</v>
      </c>
      <c r="W94" s="111">
        <f>Audit[[#This Row],[Audit Candidate 5]]-Audit[[#This Row],[Candidate 5]]</f>
        <v>0</v>
      </c>
      <c r="X94" s="111">
        <f>Audit[[#This Row],[Audit Candidate 6]]-Audit[[#This Row],[Candidate 6]]</f>
        <v>0</v>
      </c>
      <c r="Y94" s="111">
        <f>SUMIF(Audit[[#This Row],[Difference Loser]:[Difference Candidate 6]], "&gt;0")</f>
        <v>0</v>
      </c>
      <c r="Z94" s="111">
        <f>SUM(Audit[[#This Row],[Difference Loser]:[Difference Candidate 6]])</f>
        <v>-2</v>
      </c>
      <c r="AA94" s="111">
        <f>IF(Audit[[#This Row],[Times p Drawn - With Replacement]]&gt;0, IF(Audit[[#This Row],[Canceled Differences]]&lt;0, Audit[[#This Row],[Max Differences]]+ABS(Audit[[#This Row],[Canceled Differences]]), Audit[[#This Row],[Max Differences]]), 0)</f>
        <v>0</v>
      </c>
      <c r="AB94" s="111">
        <f>'Sampling Data'!P84</f>
        <v>1.8373346398824106E-4</v>
      </c>
      <c r="AC94" s="111">
        <f>IF(
      SUM(Audit[[#This Row],[Audit Losing Candidate]:[Audit Candidate 6]])
      &lt;&gt;0,
      (Audit[[#This Row],[Winning Candidate]]-Audit[[#This Row],[Losing Candidate]]-(Audit[[#This Row],[Audit Winning Candidate]]-Audit[[#This Row],[Audit Losing Candidate]]))/(Audit[[#Totals],[Winning Candidate]]-Audit[[#Totals],[Losing Candidate]]),
      0
)</f>
        <v>0</v>
      </c>
      <c r="AD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 s="111">
        <f>IF(Audit[[#This Row],[Max Relative Error (ep)]] = 0, 0, Audit[[#This Row],[Max Relative Error (ep)]]/Audit[[#This Row],[Error Bound (up) - Max. possible relative overstatement]])</f>
        <v>0</v>
      </c>
      <c r="AJ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4" s="111">
        <f t="shared" si="1"/>
        <v>1</v>
      </c>
      <c r="AL94" s="111">
        <f>PRODUCT($AK$5:AK94)</f>
        <v>8.962823818226312E-2</v>
      </c>
      <c r="AM94" s="109">
        <f>1 - [K-M P Value]</f>
        <v>0.91037176181773694</v>
      </c>
      <c r="AN94" s="111" t="str">
        <f>IF(Audit[[#This Row],[K-M P Value]]&gt;1-'General Info'!$B$16,"Continue", "Stop")</f>
        <v>Stop</v>
      </c>
      <c r="AO94" s="110" t="b">
        <f>IF(Audit[[#This Row],[Status - Continue or stop audit]] = "Continue", TRUE, IF(AN93 = "Continue", TRUE, FALSE))</f>
        <v>0</v>
      </c>
      <c r="AP94" s="110"/>
    </row>
    <row r="95" spans="1:42" ht="15" hidden="1" customHeight="1">
      <c r="A95" s="111" t="str">
        <f>'Sampling Data'!W85</f>
        <v/>
      </c>
      <c r="B95" s="112" t="str">
        <f>'Sampling Data'!A85</f>
        <v>BEDFORD HEIGHTS -03-A</v>
      </c>
      <c r="C95" s="112">
        <f>'Sampling Data'!B85</f>
        <v>3</v>
      </c>
      <c r="D95" s="112">
        <f>'Sampling Data'!C85</f>
        <v>4</v>
      </c>
      <c r="E95" s="113">
        <f>'Sampling Data'!D85</f>
        <v>0</v>
      </c>
      <c r="F95" s="113">
        <f>'Sampling Data'!E85</f>
        <v>0</v>
      </c>
      <c r="G95" s="113">
        <f>'Sampling Data'!F85</f>
        <v>0</v>
      </c>
      <c r="H95" s="113">
        <f>'Sampling Data'!G85</f>
        <v>0</v>
      </c>
      <c r="I95" s="112">
        <f>'Sampling Data'!H85</f>
        <v>0</v>
      </c>
      <c r="J95" s="112">
        <f>'Sampling Data'!I85</f>
        <v>1</v>
      </c>
      <c r="K95" s="112">
        <f>'Sampling Data'!J85</f>
        <v>8</v>
      </c>
      <c r="L95" s="111">
        <f>'Sampling Data'!X85</f>
        <v>0</v>
      </c>
      <c r="M95" s="114"/>
      <c r="N95" s="114"/>
      <c r="O95" s="115"/>
      <c r="P95" s="115"/>
      <c r="Q95" s="116"/>
      <c r="R95" s="116"/>
      <c r="S95" s="111">
        <f>Audit[[#This Row],[Audit Losing Candidate]]-Audit[[#This Row],[Losing Candidate]]</f>
        <v>-3</v>
      </c>
      <c r="T95" s="111">
        <f>Audit[[#This Row],[Audit Winning Candidate]]-Audit[[#This Row],[Winning Candidate]]</f>
        <v>-4</v>
      </c>
      <c r="U95" s="111">
        <f>Audit[[#This Row],[Audit Candidate 3]]-Audit[[#This Row],[Candidate 3]]</f>
        <v>0</v>
      </c>
      <c r="V95" s="111">
        <f>Audit[[#This Row],[Audit Candidate 4]]-Audit[[#This Row],[Candidate 4]]</f>
        <v>0</v>
      </c>
      <c r="W95" s="111">
        <f>Audit[[#This Row],[Audit Candidate 5]]-Audit[[#This Row],[Candidate 5]]</f>
        <v>0</v>
      </c>
      <c r="X95" s="111">
        <f>Audit[[#This Row],[Audit Candidate 6]]-Audit[[#This Row],[Candidate 6]]</f>
        <v>0</v>
      </c>
      <c r="Y95" s="111">
        <f>SUMIF(Audit[[#This Row],[Difference Loser]:[Difference Candidate 6]], "&gt;0")</f>
        <v>0</v>
      </c>
      <c r="Z95" s="111">
        <f>SUM(Audit[[#This Row],[Difference Loser]:[Difference Candidate 6]])</f>
        <v>-7</v>
      </c>
      <c r="AA95" s="111">
        <f>IF(Audit[[#This Row],[Times p Drawn - With Replacement]]&gt;0, IF(Audit[[#This Row],[Canceled Differences]]&lt;0, Audit[[#This Row],[Max Differences]]+ABS(Audit[[#This Row],[Canceled Differences]]), Audit[[#This Row],[Max Differences]]), 0)</f>
        <v>0</v>
      </c>
      <c r="AB95" s="111">
        <f>'Sampling Data'!P85</f>
        <v>5.5120039196472322E-4</v>
      </c>
      <c r="AC95" s="111">
        <f>IF(
      SUM(Audit[[#This Row],[Audit Losing Candidate]:[Audit Candidate 6]])
      &lt;&gt;0,
      (Audit[[#This Row],[Winning Candidate]]-Audit[[#This Row],[Losing Candidate]]-(Audit[[#This Row],[Audit Winning Candidate]]-Audit[[#This Row],[Audit Losing Candidate]]))/(Audit[[#Totals],[Winning Candidate]]-Audit[[#Totals],[Losing Candidate]]),
      0
)</f>
        <v>0</v>
      </c>
      <c r="AD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 s="111">
        <f>IF(Audit[[#This Row],[Max Relative Error (ep)]] = 0, 0, Audit[[#This Row],[Max Relative Error (ep)]]/Audit[[#This Row],[Error Bound (up) - Max. possible relative overstatement]])</f>
        <v>0</v>
      </c>
      <c r="AJ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5" s="111">
        <f t="shared" si="1"/>
        <v>1</v>
      </c>
      <c r="AL95" s="111">
        <f>PRODUCT($AK$5:AK95)</f>
        <v>8.962823818226312E-2</v>
      </c>
      <c r="AM95" s="109">
        <f>1 - [K-M P Value]</f>
        <v>0.91037176181773694</v>
      </c>
      <c r="AN95" s="111" t="str">
        <f>IF(Audit[[#This Row],[K-M P Value]]&gt;1-'General Info'!$B$16,"Continue", "Stop")</f>
        <v>Stop</v>
      </c>
      <c r="AO95" s="110" t="b">
        <f>IF(Audit[[#This Row],[Status - Continue or stop audit]] = "Continue", TRUE, IF(AN94 = "Continue", TRUE, FALSE))</f>
        <v>0</v>
      </c>
      <c r="AP95" s="110"/>
    </row>
    <row r="96" spans="1:42" ht="15" hidden="1" customHeight="1">
      <c r="A96" s="111" t="str">
        <f>'Sampling Data'!W86</f>
        <v/>
      </c>
      <c r="B96" s="112" t="str">
        <f>'Sampling Data'!A86</f>
        <v>BEDFORD HEIGHTS -03-A - ABS</v>
      </c>
      <c r="C96" s="112">
        <f>'Sampling Data'!B86</f>
        <v>0</v>
      </c>
      <c r="D96" s="112">
        <f>'Sampling Data'!C86</f>
        <v>0</v>
      </c>
      <c r="E96" s="113">
        <f>'Sampling Data'!D86</f>
        <v>1</v>
      </c>
      <c r="F96" s="113">
        <f>'Sampling Data'!E86</f>
        <v>0</v>
      </c>
      <c r="G96" s="113">
        <f>'Sampling Data'!F86</f>
        <v>0</v>
      </c>
      <c r="H96" s="113">
        <f>'Sampling Data'!G86</f>
        <v>0</v>
      </c>
      <c r="I96" s="112">
        <f>'Sampling Data'!H86</f>
        <v>0</v>
      </c>
      <c r="J96" s="112">
        <f>'Sampling Data'!I86</f>
        <v>0</v>
      </c>
      <c r="K96" s="112">
        <f>'Sampling Data'!J86</f>
        <v>1</v>
      </c>
      <c r="L96" s="111">
        <f>'Sampling Data'!X86</f>
        <v>0</v>
      </c>
      <c r="M96" s="114"/>
      <c r="N96" s="114"/>
      <c r="O96" s="115"/>
      <c r="P96" s="115"/>
      <c r="Q96" s="116"/>
      <c r="R96" s="116"/>
      <c r="S96" s="111">
        <f>Audit[[#This Row],[Audit Losing Candidate]]-Audit[[#This Row],[Losing Candidate]]</f>
        <v>0</v>
      </c>
      <c r="T96" s="111">
        <f>Audit[[#This Row],[Audit Winning Candidate]]-Audit[[#This Row],[Winning Candidate]]</f>
        <v>0</v>
      </c>
      <c r="U96" s="111">
        <f>Audit[[#This Row],[Audit Candidate 3]]-Audit[[#This Row],[Candidate 3]]</f>
        <v>-1</v>
      </c>
      <c r="V96" s="111">
        <f>Audit[[#This Row],[Audit Candidate 4]]-Audit[[#This Row],[Candidate 4]]</f>
        <v>0</v>
      </c>
      <c r="W96" s="111">
        <f>Audit[[#This Row],[Audit Candidate 5]]-Audit[[#This Row],[Candidate 5]]</f>
        <v>0</v>
      </c>
      <c r="X96" s="111">
        <f>Audit[[#This Row],[Audit Candidate 6]]-Audit[[#This Row],[Candidate 6]]</f>
        <v>0</v>
      </c>
      <c r="Y96" s="111">
        <f>SUMIF(Audit[[#This Row],[Difference Loser]:[Difference Candidate 6]], "&gt;0")</f>
        <v>0</v>
      </c>
      <c r="Z96" s="111">
        <f>SUM(Audit[[#This Row],[Difference Loser]:[Difference Candidate 6]])</f>
        <v>-1</v>
      </c>
      <c r="AA96" s="111">
        <f>IF(Audit[[#This Row],[Times p Drawn - With Replacement]]&gt;0, IF(Audit[[#This Row],[Canceled Differences]]&lt;0, Audit[[#This Row],[Max Differences]]+ABS(Audit[[#This Row],[Canceled Differences]]), Audit[[#This Row],[Max Differences]]), 0)</f>
        <v>0</v>
      </c>
      <c r="AB96" s="111">
        <f>'Sampling Data'!P86</f>
        <v>6.1244487996080352E-5</v>
      </c>
      <c r="AC96" s="111">
        <f>IF(
      SUM(Audit[[#This Row],[Audit Losing Candidate]:[Audit Candidate 6]])
      &lt;&gt;0,
      (Audit[[#This Row],[Winning Candidate]]-Audit[[#This Row],[Losing Candidate]]-(Audit[[#This Row],[Audit Winning Candidate]]-Audit[[#This Row],[Audit Losing Candidate]]))/(Audit[[#Totals],[Winning Candidate]]-Audit[[#Totals],[Losing Candidate]]),
      0
)</f>
        <v>0</v>
      </c>
      <c r="AD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 s="111">
        <f>IF(Audit[[#This Row],[Max Relative Error (ep)]] = 0, 0, Audit[[#This Row],[Max Relative Error (ep)]]/Audit[[#This Row],[Error Bound (up) - Max. possible relative overstatement]])</f>
        <v>0</v>
      </c>
      <c r="AJ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6" s="111">
        <f t="shared" si="1"/>
        <v>1</v>
      </c>
      <c r="AL96" s="111">
        <f>PRODUCT($AK$5:AK96)</f>
        <v>8.962823818226312E-2</v>
      </c>
      <c r="AM96" s="109">
        <f>1 - [K-M P Value]</f>
        <v>0.91037176181773694</v>
      </c>
      <c r="AN96" s="111" t="str">
        <f>IF(Audit[[#This Row],[K-M P Value]]&gt;1-'General Info'!$B$16,"Continue", "Stop")</f>
        <v>Stop</v>
      </c>
      <c r="AO96" s="110" t="b">
        <f>IF(Audit[[#This Row],[Status - Continue or stop audit]] = "Continue", TRUE, IF(AN95 = "Continue", TRUE, FALSE))</f>
        <v>0</v>
      </c>
      <c r="AP96" s="110"/>
    </row>
    <row r="97" spans="1:42" ht="15" hidden="1" customHeight="1">
      <c r="A97" s="111" t="str">
        <f>'Sampling Data'!W87</f>
        <v/>
      </c>
      <c r="B97" s="112" t="str">
        <f>'Sampling Data'!A87</f>
        <v>BEDFORD HEIGHTS -03-B</v>
      </c>
      <c r="C97" s="112">
        <f>'Sampling Data'!B87</f>
        <v>5</v>
      </c>
      <c r="D97" s="112">
        <f>'Sampling Data'!C87</f>
        <v>13</v>
      </c>
      <c r="E97" s="113">
        <f>'Sampling Data'!D87</f>
        <v>4</v>
      </c>
      <c r="F97" s="113">
        <f>'Sampling Data'!E87</f>
        <v>1</v>
      </c>
      <c r="G97" s="113">
        <f>'Sampling Data'!F87</f>
        <v>1</v>
      </c>
      <c r="H97" s="113">
        <f>'Sampling Data'!G87</f>
        <v>0</v>
      </c>
      <c r="I97" s="112">
        <f>'Sampling Data'!H87</f>
        <v>0</v>
      </c>
      <c r="J97" s="112">
        <f>'Sampling Data'!I87</f>
        <v>0</v>
      </c>
      <c r="K97" s="112">
        <f>'Sampling Data'!J87</f>
        <v>24</v>
      </c>
      <c r="L97" s="111">
        <f>'Sampling Data'!X87</f>
        <v>0</v>
      </c>
      <c r="M97" s="114"/>
      <c r="N97" s="114"/>
      <c r="O97" s="115"/>
      <c r="P97" s="115"/>
      <c r="Q97" s="116"/>
      <c r="R97" s="116"/>
      <c r="S97" s="111">
        <f>Audit[[#This Row],[Audit Losing Candidate]]-Audit[[#This Row],[Losing Candidate]]</f>
        <v>-5</v>
      </c>
      <c r="T97" s="111">
        <f>Audit[[#This Row],[Audit Winning Candidate]]-Audit[[#This Row],[Winning Candidate]]</f>
        <v>-13</v>
      </c>
      <c r="U97" s="111">
        <f>Audit[[#This Row],[Audit Candidate 3]]-Audit[[#This Row],[Candidate 3]]</f>
        <v>-4</v>
      </c>
      <c r="V97" s="111">
        <f>Audit[[#This Row],[Audit Candidate 4]]-Audit[[#This Row],[Candidate 4]]</f>
        <v>-1</v>
      </c>
      <c r="W97" s="111">
        <f>Audit[[#This Row],[Audit Candidate 5]]-Audit[[#This Row],[Candidate 5]]</f>
        <v>-1</v>
      </c>
      <c r="X97" s="111">
        <f>Audit[[#This Row],[Audit Candidate 6]]-Audit[[#This Row],[Candidate 6]]</f>
        <v>0</v>
      </c>
      <c r="Y97" s="111">
        <f>SUMIF(Audit[[#This Row],[Difference Loser]:[Difference Candidate 6]], "&gt;0")</f>
        <v>0</v>
      </c>
      <c r="Z97" s="111">
        <f>SUM(Audit[[#This Row],[Difference Loser]:[Difference Candidate 6]])</f>
        <v>-24</v>
      </c>
      <c r="AA97" s="111">
        <f>IF(Audit[[#This Row],[Times p Drawn - With Replacement]]&gt;0, IF(Audit[[#This Row],[Canceled Differences]]&lt;0, Audit[[#This Row],[Max Differences]]+ABS(Audit[[#This Row],[Canceled Differences]]), Audit[[#This Row],[Max Differences]]), 0)</f>
        <v>0</v>
      </c>
      <c r="AB97" s="111">
        <f>'Sampling Data'!P87</f>
        <v>1.9598236158745713E-3</v>
      </c>
      <c r="AC97" s="111">
        <f>IF(
      SUM(Audit[[#This Row],[Audit Losing Candidate]:[Audit Candidate 6]])
      &lt;&gt;0,
      (Audit[[#This Row],[Winning Candidate]]-Audit[[#This Row],[Losing Candidate]]-(Audit[[#This Row],[Audit Winning Candidate]]-Audit[[#This Row],[Audit Losing Candidate]]))/(Audit[[#Totals],[Winning Candidate]]-Audit[[#Totals],[Losing Candidate]]),
      0
)</f>
        <v>0</v>
      </c>
      <c r="AD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 s="111">
        <f>IF(Audit[[#This Row],[Max Relative Error (ep)]] = 0, 0, Audit[[#This Row],[Max Relative Error (ep)]]/Audit[[#This Row],[Error Bound (up) - Max. possible relative overstatement]])</f>
        <v>0</v>
      </c>
      <c r="AJ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7" s="111">
        <f t="shared" si="1"/>
        <v>1</v>
      </c>
      <c r="AL97" s="111">
        <f>PRODUCT($AK$5:AK97)</f>
        <v>8.962823818226312E-2</v>
      </c>
      <c r="AM97" s="109">
        <f>1 - [K-M P Value]</f>
        <v>0.91037176181773694</v>
      </c>
      <c r="AN97" s="111" t="str">
        <f>IF(Audit[[#This Row],[K-M P Value]]&gt;1-'General Info'!$B$16,"Continue", "Stop")</f>
        <v>Stop</v>
      </c>
      <c r="AO97" s="110" t="b">
        <f>IF(Audit[[#This Row],[Status - Continue or stop audit]] = "Continue", TRUE, IF(AN96 = "Continue", TRUE, FALSE))</f>
        <v>0</v>
      </c>
      <c r="AP97" s="110"/>
    </row>
    <row r="98" spans="1:42" ht="15" hidden="1" customHeight="1">
      <c r="A98" s="111" t="str">
        <f>'Sampling Data'!W88</f>
        <v/>
      </c>
      <c r="B98" s="112" t="str">
        <f>'Sampling Data'!A88</f>
        <v>BEDFORD HEIGHTS -03-B - ABS</v>
      </c>
      <c r="C98" s="112">
        <f>'Sampling Data'!B88</f>
        <v>5</v>
      </c>
      <c r="D98" s="112">
        <f>'Sampling Data'!C88</f>
        <v>8</v>
      </c>
      <c r="E98" s="113">
        <f>'Sampling Data'!D88</f>
        <v>3</v>
      </c>
      <c r="F98" s="113">
        <f>'Sampling Data'!E88</f>
        <v>1</v>
      </c>
      <c r="G98" s="113">
        <f>'Sampling Data'!F88</f>
        <v>0</v>
      </c>
      <c r="H98" s="113">
        <f>'Sampling Data'!G88</f>
        <v>0</v>
      </c>
      <c r="I98" s="112">
        <f>'Sampling Data'!H88</f>
        <v>0</v>
      </c>
      <c r="J98" s="112">
        <f>'Sampling Data'!I88</f>
        <v>0</v>
      </c>
      <c r="K98" s="112">
        <f>'Sampling Data'!J88</f>
        <v>17</v>
      </c>
      <c r="L98" s="111">
        <f>'Sampling Data'!X88</f>
        <v>0</v>
      </c>
      <c r="M98" s="114"/>
      <c r="N98" s="114"/>
      <c r="O98" s="115"/>
      <c r="P98" s="115"/>
      <c r="Q98" s="116"/>
      <c r="R98" s="116"/>
      <c r="S98" s="111">
        <f>Audit[[#This Row],[Audit Losing Candidate]]-Audit[[#This Row],[Losing Candidate]]</f>
        <v>-5</v>
      </c>
      <c r="T98" s="111">
        <f>Audit[[#This Row],[Audit Winning Candidate]]-Audit[[#This Row],[Winning Candidate]]</f>
        <v>-8</v>
      </c>
      <c r="U98" s="111">
        <f>Audit[[#This Row],[Audit Candidate 3]]-Audit[[#This Row],[Candidate 3]]</f>
        <v>-3</v>
      </c>
      <c r="V98" s="111">
        <f>Audit[[#This Row],[Audit Candidate 4]]-Audit[[#This Row],[Candidate 4]]</f>
        <v>-1</v>
      </c>
      <c r="W98" s="111">
        <f>Audit[[#This Row],[Audit Candidate 5]]-Audit[[#This Row],[Candidate 5]]</f>
        <v>0</v>
      </c>
      <c r="X98" s="111">
        <f>Audit[[#This Row],[Audit Candidate 6]]-Audit[[#This Row],[Candidate 6]]</f>
        <v>0</v>
      </c>
      <c r="Y98" s="111">
        <f>SUMIF(Audit[[#This Row],[Difference Loser]:[Difference Candidate 6]], "&gt;0")</f>
        <v>0</v>
      </c>
      <c r="Z98" s="111">
        <f>SUM(Audit[[#This Row],[Difference Loser]:[Difference Candidate 6]])</f>
        <v>-17</v>
      </c>
      <c r="AA98" s="111">
        <f>IF(Audit[[#This Row],[Times p Drawn - With Replacement]]&gt;0, IF(Audit[[#This Row],[Canceled Differences]]&lt;0, Audit[[#This Row],[Max Differences]]+ABS(Audit[[#This Row],[Canceled Differences]]), Audit[[#This Row],[Max Differences]]), 0)</f>
        <v>0</v>
      </c>
      <c r="AB98" s="111">
        <f>'Sampling Data'!P88</f>
        <v>1.224889759921607E-3</v>
      </c>
      <c r="AC98" s="111">
        <f>IF(
      SUM(Audit[[#This Row],[Audit Losing Candidate]:[Audit Candidate 6]])
      &lt;&gt;0,
      (Audit[[#This Row],[Winning Candidate]]-Audit[[#This Row],[Losing Candidate]]-(Audit[[#This Row],[Audit Winning Candidate]]-Audit[[#This Row],[Audit Losing Candidate]]))/(Audit[[#Totals],[Winning Candidate]]-Audit[[#Totals],[Losing Candidate]]),
      0
)</f>
        <v>0</v>
      </c>
      <c r="AD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 s="111">
        <f>IF(Audit[[#This Row],[Max Relative Error (ep)]] = 0, 0, Audit[[#This Row],[Max Relative Error (ep)]]/Audit[[#This Row],[Error Bound (up) - Max. possible relative overstatement]])</f>
        <v>0</v>
      </c>
      <c r="AJ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8" s="111">
        <f t="shared" si="1"/>
        <v>1</v>
      </c>
      <c r="AL98" s="111">
        <f>PRODUCT($AK$5:AK98)</f>
        <v>8.962823818226312E-2</v>
      </c>
      <c r="AM98" s="109">
        <f>1 - [K-M P Value]</f>
        <v>0.91037176181773694</v>
      </c>
      <c r="AN98" s="111" t="str">
        <f>IF(Audit[[#This Row],[K-M P Value]]&gt;1-'General Info'!$B$16,"Continue", "Stop")</f>
        <v>Stop</v>
      </c>
      <c r="AO98" s="110" t="b">
        <f>IF(Audit[[#This Row],[Status - Continue or stop audit]] = "Continue", TRUE, IF(AN97 = "Continue", TRUE, FALSE))</f>
        <v>0</v>
      </c>
      <c r="AP98" s="110"/>
    </row>
    <row r="99" spans="1:42" ht="15" hidden="1" customHeight="1">
      <c r="A99" s="111" t="str">
        <f>'Sampling Data'!W89</f>
        <v/>
      </c>
      <c r="B99" s="112" t="str">
        <f>'Sampling Data'!A89</f>
        <v>BEDFORD HEIGHTS -04-A</v>
      </c>
      <c r="C99" s="112">
        <f>'Sampling Data'!B89</f>
        <v>2</v>
      </c>
      <c r="D99" s="112">
        <f>'Sampling Data'!C89</f>
        <v>1</v>
      </c>
      <c r="E99" s="113">
        <f>'Sampling Data'!D89</f>
        <v>2</v>
      </c>
      <c r="F99" s="113">
        <f>'Sampling Data'!E89</f>
        <v>1</v>
      </c>
      <c r="G99" s="113">
        <f>'Sampling Data'!F89</f>
        <v>0</v>
      </c>
      <c r="H99" s="113">
        <f>'Sampling Data'!G89</f>
        <v>0</v>
      </c>
      <c r="I99" s="112">
        <f>'Sampling Data'!H89</f>
        <v>0</v>
      </c>
      <c r="J99" s="112">
        <f>'Sampling Data'!I89</f>
        <v>0</v>
      </c>
      <c r="K99" s="112">
        <f>'Sampling Data'!J89</f>
        <v>6</v>
      </c>
      <c r="L99" s="111">
        <f>'Sampling Data'!X89</f>
        <v>0</v>
      </c>
      <c r="M99" s="114"/>
      <c r="N99" s="114"/>
      <c r="O99" s="115"/>
      <c r="P99" s="115"/>
      <c r="Q99" s="116"/>
      <c r="R99" s="116"/>
      <c r="S99" s="111">
        <f>Audit[[#This Row],[Audit Losing Candidate]]-Audit[[#This Row],[Losing Candidate]]</f>
        <v>-2</v>
      </c>
      <c r="T99" s="111">
        <f>Audit[[#This Row],[Audit Winning Candidate]]-Audit[[#This Row],[Winning Candidate]]</f>
        <v>-1</v>
      </c>
      <c r="U99" s="111">
        <f>Audit[[#This Row],[Audit Candidate 3]]-Audit[[#This Row],[Candidate 3]]</f>
        <v>-2</v>
      </c>
      <c r="V99" s="111">
        <f>Audit[[#This Row],[Audit Candidate 4]]-Audit[[#This Row],[Candidate 4]]</f>
        <v>-1</v>
      </c>
      <c r="W99" s="111">
        <f>Audit[[#This Row],[Audit Candidate 5]]-Audit[[#This Row],[Candidate 5]]</f>
        <v>0</v>
      </c>
      <c r="X99" s="111">
        <f>Audit[[#This Row],[Audit Candidate 6]]-Audit[[#This Row],[Candidate 6]]</f>
        <v>0</v>
      </c>
      <c r="Y99" s="111">
        <f>SUMIF(Audit[[#This Row],[Difference Loser]:[Difference Candidate 6]], "&gt;0")</f>
        <v>0</v>
      </c>
      <c r="Z99" s="111">
        <f>SUM(Audit[[#This Row],[Difference Loser]:[Difference Candidate 6]])</f>
        <v>-6</v>
      </c>
      <c r="AA99" s="111">
        <f>IF(Audit[[#This Row],[Times p Drawn - With Replacement]]&gt;0, IF(Audit[[#This Row],[Canceled Differences]]&lt;0, Audit[[#This Row],[Max Differences]]+ABS(Audit[[#This Row],[Canceled Differences]]), Audit[[#This Row],[Max Differences]]), 0)</f>
        <v>0</v>
      </c>
      <c r="AB99" s="111">
        <f>'Sampling Data'!P89</f>
        <v>3.0622243998040176E-4</v>
      </c>
      <c r="AC99" s="111">
        <f>IF(
      SUM(Audit[[#This Row],[Audit Losing Candidate]:[Audit Candidate 6]])
      &lt;&gt;0,
      (Audit[[#This Row],[Winning Candidate]]-Audit[[#This Row],[Losing Candidate]]-(Audit[[#This Row],[Audit Winning Candidate]]-Audit[[#This Row],[Audit Losing Candidate]]))/(Audit[[#Totals],[Winning Candidate]]-Audit[[#Totals],[Losing Candidate]]),
      0
)</f>
        <v>0</v>
      </c>
      <c r="AD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 s="111">
        <f>IF(Audit[[#This Row],[Max Relative Error (ep)]] = 0, 0, Audit[[#This Row],[Max Relative Error (ep)]]/Audit[[#This Row],[Error Bound (up) - Max. possible relative overstatement]])</f>
        <v>0</v>
      </c>
      <c r="AJ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9" s="111">
        <f t="shared" si="1"/>
        <v>1</v>
      </c>
      <c r="AL99" s="111">
        <f>PRODUCT($AK$5:AK99)</f>
        <v>8.962823818226312E-2</v>
      </c>
      <c r="AM99" s="109">
        <f>1 - [K-M P Value]</f>
        <v>0.91037176181773694</v>
      </c>
      <c r="AN99" s="111" t="str">
        <f>IF(Audit[[#This Row],[K-M P Value]]&gt;1-'General Info'!$B$16,"Continue", "Stop")</f>
        <v>Stop</v>
      </c>
      <c r="AO99" s="110" t="b">
        <f>IF(Audit[[#This Row],[Status - Continue or stop audit]] = "Continue", TRUE, IF(AN98 = "Continue", TRUE, FALSE))</f>
        <v>0</v>
      </c>
      <c r="AP99" s="110"/>
    </row>
    <row r="100" spans="1:42" ht="15" hidden="1" customHeight="1">
      <c r="A100" s="111" t="str">
        <f>'Sampling Data'!W90</f>
        <v/>
      </c>
      <c r="B100" s="112" t="str">
        <f>'Sampling Data'!A90</f>
        <v>BEDFORD HEIGHTS -04-A - ABS</v>
      </c>
      <c r="C100" s="112">
        <f>'Sampling Data'!B90</f>
        <v>1</v>
      </c>
      <c r="D100" s="112">
        <f>'Sampling Data'!C90</f>
        <v>2</v>
      </c>
      <c r="E100" s="113">
        <f>'Sampling Data'!D90</f>
        <v>3</v>
      </c>
      <c r="F100" s="113">
        <f>'Sampling Data'!E90</f>
        <v>0</v>
      </c>
      <c r="G100" s="113">
        <f>'Sampling Data'!F90</f>
        <v>0</v>
      </c>
      <c r="H100" s="113">
        <f>'Sampling Data'!G90</f>
        <v>0</v>
      </c>
      <c r="I100" s="112">
        <f>'Sampling Data'!H90</f>
        <v>0</v>
      </c>
      <c r="J100" s="112">
        <f>'Sampling Data'!I90</f>
        <v>0</v>
      </c>
      <c r="K100" s="112">
        <f>'Sampling Data'!J90</f>
        <v>6</v>
      </c>
      <c r="L100" s="111">
        <f>'Sampling Data'!X90</f>
        <v>0</v>
      </c>
      <c r="M100" s="114"/>
      <c r="N100" s="114"/>
      <c r="O100" s="115"/>
      <c r="P100" s="115"/>
      <c r="Q100" s="116"/>
      <c r="R100" s="116"/>
      <c r="S100" s="111">
        <f>Audit[[#This Row],[Audit Losing Candidate]]-Audit[[#This Row],[Losing Candidate]]</f>
        <v>-1</v>
      </c>
      <c r="T100" s="111">
        <f>Audit[[#This Row],[Audit Winning Candidate]]-Audit[[#This Row],[Winning Candidate]]</f>
        <v>-2</v>
      </c>
      <c r="U100" s="111">
        <f>Audit[[#This Row],[Audit Candidate 3]]-Audit[[#This Row],[Candidate 3]]</f>
        <v>-3</v>
      </c>
      <c r="V100" s="111">
        <f>Audit[[#This Row],[Audit Candidate 4]]-Audit[[#This Row],[Candidate 4]]</f>
        <v>0</v>
      </c>
      <c r="W100" s="111">
        <f>Audit[[#This Row],[Audit Candidate 5]]-Audit[[#This Row],[Candidate 5]]</f>
        <v>0</v>
      </c>
      <c r="X100" s="111">
        <f>Audit[[#This Row],[Audit Candidate 6]]-Audit[[#This Row],[Candidate 6]]</f>
        <v>0</v>
      </c>
      <c r="Y100" s="111">
        <f>SUMIF(Audit[[#This Row],[Difference Loser]:[Difference Candidate 6]], "&gt;0")</f>
        <v>0</v>
      </c>
      <c r="Z100" s="111">
        <f>SUM(Audit[[#This Row],[Difference Loser]:[Difference Candidate 6]])</f>
        <v>-6</v>
      </c>
      <c r="AA100" s="111">
        <f>IF(Audit[[#This Row],[Times p Drawn - With Replacement]]&gt;0, IF(Audit[[#This Row],[Canceled Differences]]&lt;0, Audit[[#This Row],[Max Differences]]+ABS(Audit[[#This Row],[Canceled Differences]]), Audit[[#This Row],[Max Differences]]), 0)</f>
        <v>0</v>
      </c>
      <c r="AB100" s="111">
        <f>'Sampling Data'!P90</f>
        <v>4.2871141597256246E-4</v>
      </c>
      <c r="AC100" s="111">
        <f>IF(
      SUM(Audit[[#This Row],[Audit Losing Candidate]:[Audit Candidate 6]])
      &lt;&gt;0,
      (Audit[[#This Row],[Winning Candidate]]-Audit[[#This Row],[Losing Candidate]]-(Audit[[#This Row],[Audit Winning Candidate]]-Audit[[#This Row],[Audit Losing Candidate]]))/(Audit[[#Totals],[Winning Candidate]]-Audit[[#Totals],[Losing Candidate]]),
      0
)</f>
        <v>0</v>
      </c>
      <c r="AD1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 s="111">
        <f>IF(Audit[[#This Row],[Max Relative Error (ep)]] = 0, 0, Audit[[#This Row],[Max Relative Error (ep)]]/Audit[[#This Row],[Error Bound (up) - Max. possible relative overstatement]])</f>
        <v>0</v>
      </c>
      <c r="AJ1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0" s="111">
        <f t="shared" si="1"/>
        <v>1</v>
      </c>
      <c r="AL100" s="111">
        <f>PRODUCT($AK$5:AK100)</f>
        <v>8.962823818226312E-2</v>
      </c>
      <c r="AM100" s="109">
        <f>1 - [K-M P Value]</f>
        <v>0.91037176181773694</v>
      </c>
      <c r="AN100" s="111" t="str">
        <f>IF(Audit[[#This Row],[K-M P Value]]&gt;1-'General Info'!$B$16,"Continue", "Stop")</f>
        <v>Stop</v>
      </c>
      <c r="AO100" s="110" t="b">
        <f>IF(Audit[[#This Row],[Status - Continue or stop audit]] = "Continue", TRUE, IF(AN99 = "Continue", TRUE, FALSE))</f>
        <v>0</v>
      </c>
      <c r="AP100" s="110"/>
    </row>
    <row r="101" spans="1:42" ht="15" hidden="1" customHeight="1">
      <c r="A101" s="111" t="str">
        <f>'Sampling Data'!W91</f>
        <v/>
      </c>
      <c r="B101" s="112" t="str">
        <f>'Sampling Data'!A91</f>
        <v>BEDFORD HEIGHTS -04-B</v>
      </c>
      <c r="C101" s="112">
        <f>'Sampling Data'!B91</f>
        <v>6</v>
      </c>
      <c r="D101" s="112">
        <f>'Sampling Data'!C91</f>
        <v>9</v>
      </c>
      <c r="E101" s="113">
        <f>'Sampling Data'!D91</f>
        <v>6</v>
      </c>
      <c r="F101" s="113">
        <f>'Sampling Data'!E91</f>
        <v>1</v>
      </c>
      <c r="G101" s="113">
        <f>'Sampling Data'!F91</f>
        <v>0</v>
      </c>
      <c r="H101" s="113">
        <f>'Sampling Data'!G91</f>
        <v>0</v>
      </c>
      <c r="I101" s="112">
        <f>'Sampling Data'!H91</f>
        <v>0</v>
      </c>
      <c r="J101" s="112">
        <f>'Sampling Data'!I91</f>
        <v>0</v>
      </c>
      <c r="K101" s="112">
        <f>'Sampling Data'!J91</f>
        <v>22</v>
      </c>
      <c r="L101" s="111">
        <f>'Sampling Data'!X91</f>
        <v>0</v>
      </c>
      <c r="M101" s="114"/>
      <c r="N101" s="114"/>
      <c r="O101" s="115"/>
      <c r="P101" s="115"/>
      <c r="Q101" s="116"/>
      <c r="R101" s="116"/>
      <c r="S101" s="111">
        <f>Audit[[#This Row],[Audit Losing Candidate]]-Audit[[#This Row],[Losing Candidate]]</f>
        <v>-6</v>
      </c>
      <c r="T101" s="111">
        <f>Audit[[#This Row],[Audit Winning Candidate]]-Audit[[#This Row],[Winning Candidate]]</f>
        <v>-9</v>
      </c>
      <c r="U101" s="111">
        <f>Audit[[#This Row],[Audit Candidate 3]]-Audit[[#This Row],[Candidate 3]]</f>
        <v>-6</v>
      </c>
      <c r="V101" s="111">
        <f>Audit[[#This Row],[Audit Candidate 4]]-Audit[[#This Row],[Candidate 4]]</f>
        <v>-1</v>
      </c>
      <c r="W101" s="111">
        <f>Audit[[#This Row],[Audit Candidate 5]]-Audit[[#This Row],[Candidate 5]]</f>
        <v>0</v>
      </c>
      <c r="X101" s="111">
        <f>Audit[[#This Row],[Audit Candidate 6]]-Audit[[#This Row],[Candidate 6]]</f>
        <v>0</v>
      </c>
      <c r="Y101" s="111">
        <f>SUMIF(Audit[[#This Row],[Difference Loser]:[Difference Candidate 6]], "&gt;0")</f>
        <v>0</v>
      </c>
      <c r="Z101" s="111">
        <f>SUM(Audit[[#This Row],[Difference Loser]:[Difference Candidate 6]])</f>
        <v>-22</v>
      </c>
      <c r="AA101" s="111">
        <f>IF(Audit[[#This Row],[Times p Drawn - With Replacement]]&gt;0, IF(Audit[[#This Row],[Canceled Differences]]&lt;0, Audit[[#This Row],[Max Differences]]+ABS(Audit[[#This Row],[Canceled Differences]]), Audit[[#This Row],[Max Differences]]), 0)</f>
        <v>0</v>
      </c>
      <c r="AB101" s="111">
        <f>'Sampling Data'!P91</f>
        <v>1.5311121999020088E-3</v>
      </c>
      <c r="AC101" s="111">
        <f>IF(
      SUM(Audit[[#This Row],[Audit Losing Candidate]:[Audit Candidate 6]])
      &lt;&gt;0,
      (Audit[[#This Row],[Winning Candidate]]-Audit[[#This Row],[Losing Candidate]]-(Audit[[#This Row],[Audit Winning Candidate]]-Audit[[#This Row],[Audit Losing Candidate]]))/(Audit[[#Totals],[Winning Candidate]]-Audit[[#Totals],[Losing Candidate]]),
      0
)</f>
        <v>0</v>
      </c>
      <c r="AD1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 s="111">
        <f>IF(Audit[[#This Row],[Max Relative Error (ep)]] = 0, 0, Audit[[#This Row],[Max Relative Error (ep)]]/Audit[[#This Row],[Error Bound (up) - Max. possible relative overstatement]])</f>
        <v>0</v>
      </c>
      <c r="AJ1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1" s="111">
        <f t="shared" si="1"/>
        <v>1</v>
      </c>
      <c r="AL101" s="111">
        <f>PRODUCT($AK$5:AK101)</f>
        <v>8.962823818226312E-2</v>
      </c>
      <c r="AM101" s="109">
        <f>1 - [K-M P Value]</f>
        <v>0.91037176181773694</v>
      </c>
      <c r="AN101" s="111" t="str">
        <f>IF(Audit[[#This Row],[K-M P Value]]&gt;1-'General Info'!$B$16,"Continue", "Stop")</f>
        <v>Stop</v>
      </c>
      <c r="AO101" s="110" t="b">
        <f>IF(Audit[[#This Row],[Status - Continue or stop audit]] = "Continue", TRUE, IF(AN100 = "Continue", TRUE, FALSE))</f>
        <v>0</v>
      </c>
      <c r="AP101" s="110"/>
    </row>
    <row r="102" spans="1:42" ht="15" hidden="1" customHeight="1">
      <c r="A102" s="111" t="str">
        <f>'Sampling Data'!W92</f>
        <v/>
      </c>
      <c r="B102" s="112" t="str">
        <f>'Sampling Data'!A92</f>
        <v>BEDFORD HEIGHTS -04-B - ABS</v>
      </c>
      <c r="C102" s="112">
        <f>'Sampling Data'!B92</f>
        <v>4</v>
      </c>
      <c r="D102" s="112">
        <f>'Sampling Data'!C92</f>
        <v>4</v>
      </c>
      <c r="E102" s="113">
        <f>'Sampling Data'!D92</f>
        <v>2</v>
      </c>
      <c r="F102" s="113">
        <f>'Sampling Data'!E92</f>
        <v>0</v>
      </c>
      <c r="G102" s="113">
        <f>'Sampling Data'!F92</f>
        <v>0</v>
      </c>
      <c r="H102" s="113">
        <f>'Sampling Data'!G92</f>
        <v>0</v>
      </c>
      <c r="I102" s="112">
        <f>'Sampling Data'!H92</f>
        <v>0</v>
      </c>
      <c r="J102" s="112">
        <f>'Sampling Data'!I92</f>
        <v>0</v>
      </c>
      <c r="K102" s="112">
        <f>'Sampling Data'!J92</f>
        <v>10</v>
      </c>
      <c r="L102" s="111">
        <f>'Sampling Data'!X92</f>
        <v>0</v>
      </c>
      <c r="M102" s="114"/>
      <c r="N102" s="114"/>
      <c r="O102" s="115"/>
      <c r="P102" s="115"/>
      <c r="Q102" s="116"/>
      <c r="R102" s="116"/>
      <c r="S102" s="111">
        <f>Audit[[#This Row],[Audit Losing Candidate]]-Audit[[#This Row],[Losing Candidate]]</f>
        <v>-4</v>
      </c>
      <c r="T102" s="111">
        <f>Audit[[#This Row],[Audit Winning Candidate]]-Audit[[#This Row],[Winning Candidate]]</f>
        <v>-4</v>
      </c>
      <c r="U102" s="111">
        <f>Audit[[#This Row],[Audit Candidate 3]]-Audit[[#This Row],[Candidate 3]]</f>
        <v>-2</v>
      </c>
      <c r="V102" s="111">
        <f>Audit[[#This Row],[Audit Candidate 4]]-Audit[[#This Row],[Candidate 4]]</f>
        <v>0</v>
      </c>
      <c r="W102" s="111">
        <f>Audit[[#This Row],[Audit Candidate 5]]-Audit[[#This Row],[Candidate 5]]</f>
        <v>0</v>
      </c>
      <c r="X102" s="111">
        <f>Audit[[#This Row],[Audit Candidate 6]]-Audit[[#This Row],[Candidate 6]]</f>
        <v>0</v>
      </c>
      <c r="Y102" s="111">
        <f>SUMIF(Audit[[#This Row],[Difference Loser]:[Difference Candidate 6]], "&gt;0")</f>
        <v>0</v>
      </c>
      <c r="Z102" s="111">
        <f>SUM(Audit[[#This Row],[Difference Loser]:[Difference Candidate 6]])</f>
        <v>-10</v>
      </c>
      <c r="AA102" s="111">
        <f>IF(Audit[[#This Row],[Times p Drawn - With Replacement]]&gt;0, IF(Audit[[#This Row],[Canceled Differences]]&lt;0, Audit[[#This Row],[Max Differences]]+ABS(Audit[[#This Row],[Canceled Differences]]), Audit[[#This Row],[Max Differences]]), 0)</f>
        <v>0</v>
      </c>
      <c r="AB102" s="111">
        <f>'Sampling Data'!P92</f>
        <v>6.1244487996080352E-4</v>
      </c>
      <c r="AC102" s="111">
        <f>IF(
      SUM(Audit[[#This Row],[Audit Losing Candidate]:[Audit Candidate 6]])
      &lt;&gt;0,
      (Audit[[#This Row],[Winning Candidate]]-Audit[[#This Row],[Losing Candidate]]-(Audit[[#This Row],[Audit Winning Candidate]]-Audit[[#This Row],[Audit Losing Candidate]]))/(Audit[[#Totals],[Winning Candidate]]-Audit[[#Totals],[Losing Candidate]]),
      0
)</f>
        <v>0</v>
      </c>
      <c r="AD1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 s="111">
        <f>IF(Audit[[#This Row],[Max Relative Error (ep)]] = 0, 0, Audit[[#This Row],[Max Relative Error (ep)]]/Audit[[#This Row],[Error Bound (up) - Max. possible relative overstatement]])</f>
        <v>0</v>
      </c>
      <c r="AJ1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2" s="111">
        <f t="shared" si="1"/>
        <v>1</v>
      </c>
      <c r="AL102" s="111">
        <f>PRODUCT($AK$5:AK102)</f>
        <v>8.962823818226312E-2</v>
      </c>
      <c r="AM102" s="109">
        <f>1 - [K-M P Value]</f>
        <v>0.91037176181773694</v>
      </c>
      <c r="AN102" s="111" t="str">
        <f>IF(Audit[[#This Row],[K-M P Value]]&gt;1-'General Info'!$B$16,"Continue", "Stop")</f>
        <v>Stop</v>
      </c>
      <c r="AO102" s="110" t="b">
        <f>IF(Audit[[#This Row],[Status - Continue or stop audit]] = "Continue", TRUE, IF(AN101 = "Continue", TRUE, FALSE))</f>
        <v>0</v>
      </c>
      <c r="AP102" s="110"/>
    </row>
    <row r="103" spans="1:42" ht="15" hidden="1" customHeight="1">
      <c r="A103" s="111" t="str">
        <f>'Sampling Data'!W93</f>
        <v/>
      </c>
      <c r="B103" s="112" t="str">
        <f>'Sampling Data'!A93</f>
        <v>BENTLEYVILLE -00-A</v>
      </c>
      <c r="C103" s="112">
        <f>'Sampling Data'!B93</f>
        <v>29</v>
      </c>
      <c r="D103" s="112">
        <f>'Sampling Data'!C93</f>
        <v>142</v>
      </c>
      <c r="E103" s="113">
        <f>'Sampling Data'!D93</f>
        <v>15</v>
      </c>
      <c r="F103" s="113">
        <f>'Sampling Data'!E93</f>
        <v>6</v>
      </c>
      <c r="G103" s="113">
        <f>'Sampling Data'!F93</f>
        <v>1</v>
      </c>
      <c r="H103" s="113">
        <f>'Sampling Data'!G93</f>
        <v>0</v>
      </c>
      <c r="I103" s="112">
        <f>'Sampling Data'!H93</f>
        <v>0</v>
      </c>
      <c r="J103" s="112">
        <f>'Sampling Data'!I93</f>
        <v>3</v>
      </c>
      <c r="K103" s="112">
        <f>'Sampling Data'!J93</f>
        <v>196</v>
      </c>
      <c r="L103" s="111">
        <f>'Sampling Data'!X93</f>
        <v>0</v>
      </c>
      <c r="M103" s="114"/>
      <c r="N103" s="114"/>
      <c r="O103" s="115"/>
      <c r="P103" s="115"/>
      <c r="Q103" s="116"/>
      <c r="R103" s="116"/>
      <c r="S103" s="111">
        <f>Audit[[#This Row],[Audit Losing Candidate]]-Audit[[#This Row],[Losing Candidate]]</f>
        <v>-29</v>
      </c>
      <c r="T103" s="111">
        <f>Audit[[#This Row],[Audit Winning Candidate]]-Audit[[#This Row],[Winning Candidate]]</f>
        <v>-142</v>
      </c>
      <c r="U103" s="111">
        <f>Audit[[#This Row],[Audit Candidate 3]]-Audit[[#This Row],[Candidate 3]]</f>
        <v>-15</v>
      </c>
      <c r="V103" s="111">
        <f>Audit[[#This Row],[Audit Candidate 4]]-Audit[[#This Row],[Candidate 4]]</f>
        <v>-6</v>
      </c>
      <c r="W103" s="111">
        <f>Audit[[#This Row],[Audit Candidate 5]]-Audit[[#This Row],[Candidate 5]]</f>
        <v>-1</v>
      </c>
      <c r="X103" s="111">
        <f>Audit[[#This Row],[Audit Candidate 6]]-Audit[[#This Row],[Candidate 6]]</f>
        <v>0</v>
      </c>
      <c r="Y103" s="111">
        <f>SUMIF(Audit[[#This Row],[Difference Loser]:[Difference Candidate 6]], "&gt;0")</f>
        <v>0</v>
      </c>
      <c r="Z103" s="111">
        <f>SUM(Audit[[#This Row],[Difference Loser]:[Difference Candidate 6]])</f>
        <v>-193</v>
      </c>
      <c r="AA103" s="111">
        <f>IF(Audit[[#This Row],[Times p Drawn - With Replacement]]&gt;0, IF(Audit[[#This Row],[Canceled Differences]]&lt;0, Audit[[#This Row],[Max Differences]]+ABS(Audit[[#This Row],[Canceled Differences]]), Audit[[#This Row],[Max Differences]]), 0)</f>
        <v>0</v>
      </c>
      <c r="AB103" s="111">
        <f>'Sampling Data'!P93</f>
        <v>1.8924546790788831E-2</v>
      </c>
      <c r="AC103" s="111">
        <f>IF(
      SUM(Audit[[#This Row],[Audit Losing Candidate]:[Audit Candidate 6]])
      &lt;&gt;0,
      (Audit[[#This Row],[Winning Candidate]]-Audit[[#This Row],[Losing Candidate]]-(Audit[[#This Row],[Audit Winning Candidate]]-Audit[[#This Row],[Audit Losing Candidate]]))/(Audit[[#Totals],[Winning Candidate]]-Audit[[#Totals],[Losing Candidate]]),
      0
)</f>
        <v>0</v>
      </c>
      <c r="AD1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 s="111">
        <f>IF(Audit[[#This Row],[Max Relative Error (ep)]] = 0, 0, Audit[[#This Row],[Max Relative Error (ep)]]/Audit[[#This Row],[Error Bound (up) - Max. possible relative overstatement]])</f>
        <v>0</v>
      </c>
      <c r="AJ1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3" s="111">
        <f t="shared" si="1"/>
        <v>1</v>
      </c>
      <c r="AL103" s="111">
        <f>PRODUCT($AK$5:AK103)</f>
        <v>8.962823818226312E-2</v>
      </c>
      <c r="AM103" s="109">
        <f>1 - [K-M P Value]</f>
        <v>0.91037176181773694</v>
      </c>
      <c r="AN103" s="111" t="str">
        <f>IF(Audit[[#This Row],[K-M P Value]]&gt;1-'General Info'!$B$16,"Continue", "Stop")</f>
        <v>Stop</v>
      </c>
      <c r="AO103" s="110" t="b">
        <f>IF(Audit[[#This Row],[Status - Continue or stop audit]] = "Continue", TRUE, IF(AN102 = "Continue", TRUE, FALSE))</f>
        <v>0</v>
      </c>
      <c r="AP103" s="110"/>
    </row>
    <row r="104" spans="1:42" ht="15" hidden="1" customHeight="1">
      <c r="A104" s="111" t="str">
        <f>'Sampling Data'!W94</f>
        <v/>
      </c>
      <c r="B104" s="112" t="str">
        <f>'Sampling Data'!A94</f>
        <v>BENTLEYVILLE -00-A - ABS</v>
      </c>
      <c r="C104" s="112">
        <f>'Sampling Data'!B94</f>
        <v>3</v>
      </c>
      <c r="D104" s="112">
        <f>'Sampling Data'!C94</f>
        <v>44</v>
      </c>
      <c r="E104" s="113">
        <f>'Sampling Data'!D94</f>
        <v>5</v>
      </c>
      <c r="F104" s="113">
        <f>'Sampling Data'!E94</f>
        <v>3</v>
      </c>
      <c r="G104" s="113">
        <f>'Sampling Data'!F94</f>
        <v>0</v>
      </c>
      <c r="H104" s="113">
        <f>'Sampling Data'!G94</f>
        <v>0</v>
      </c>
      <c r="I104" s="112">
        <f>'Sampling Data'!H94</f>
        <v>0</v>
      </c>
      <c r="J104" s="112">
        <f>'Sampling Data'!I94</f>
        <v>1</v>
      </c>
      <c r="K104" s="112">
        <f>'Sampling Data'!J94</f>
        <v>56</v>
      </c>
      <c r="L104" s="111">
        <f>'Sampling Data'!X94</f>
        <v>0</v>
      </c>
      <c r="M104" s="114"/>
      <c r="N104" s="114"/>
      <c r="O104" s="115"/>
      <c r="P104" s="115"/>
      <c r="Q104" s="116"/>
      <c r="R104" s="116"/>
      <c r="S104" s="111">
        <f>Audit[[#This Row],[Audit Losing Candidate]]-Audit[[#This Row],[Losing Candidate]]</f>
        <v>-3</v>
      </c>
      <c r="T104" s="111">
        <f>Audit[[#This Row],[Audit Winning Candidate]]-Audit[[#This Row],[Winning Candidate]]</f>
        <v>-44</v>
      </c>
      <c r="U104" s="111">
        <f>Audit[[#This Row],[Audit Candidate 3]]-Audit[[#This Row],[Candidate 3]]</f>
        <v>-5</v>
      </c>
      <c r="V104" s="111">
        <f>Audit[[#This Row],[Audit Candidate 4]]-Audit[[#This Row],[Candidate 4]]</f>
        <v>-3</v>
      </c>
      <c r="W104" s="111">
        <f>Audit[[#This Row],[Audit Candidate 5]]-Audit[[#This Row],[Candidate 5]]</f>
        <v>0</v>
      </c>
      <c r="X104" s="111">
        <f>Audit[[#This Row],[Audit Candidate 6]]-Audit[[#This Row],[Candidate 6]]</f>
        <v>0</v>
      </c>
      <c r="Y104" s="111">
        <f>SUMIF(Audit[[#This Row],[Difference Loser]:[Difference Candidate 6]], "&gt;0")</f>
        <v>0</v>
      </c>
      <c r="Z104" s="111">
        <f>SUM(Audit[[#This Row],[Difference Loser]:[Difference Candidate 6]])</f>
        <v>-55</v>
      </c>
      <c r="AA104" s="111">
        <f>IF(Audit[[#This Row],[Times p Drawn - With Replacement]]&gt;0, IF(Audit[[#This Row],[Canceled Differences]]&lt;0, Audit[[#This Row],[Max Differences]]+ABS(Audit[[#This Row],[Canceled Differences]]), Audit[[#This Row],[Max Differences]]), 0)</f>
        <v>0</v>
      </c>
      <c r="AB104" s="111">
        <f>'Sampling Data'!P94</f>
        <v>5.9407153356197942E-3</v>
      </c>
      <c r="AC104" s="111">
        <f>IF(
      SUM(Audit[[#This Row],[Audit Losing Candidate]:[Audit Candidate 6]])
      &lt;&gt;0,
      (Audit[[#This Row],[Winning Candidate]]-Audit[[#This Row],[Losing Candidate]]-(Audit[[#This Row],[Audit Winning Candidate]]-Audit[[#This Row],[Audit Losing Candidate]]))/(Audit[[#Totals],[Winning Candidate]]-Audit[[#Totals],[Losing Candidate]]),
      0
)</f>
        <v>0</v>
      </c>
      <c r="AD1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 s="111">
        <f>IF(Audit[[#This Row],[Max Relative Error (ep)]] = 0, 0, Audit[[#This Row],[Max Relative Error (ep)]]/Audit[[#This Row],[Error Bound (up) - Max. possible relative overstatement]])</f>
        <v>0</v>
      </c>
      <c r="AJ1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4" s="111">
        <f t="shared" si="1"/>
        <v>1</v>
      </c>
      <c r="AL104" s="111">
        <f>PRODUCT($AK$5:AK104)</f>
        <v>8.962823818226312E-2</v>
      </c>
      <c r="AM104" s="109">
        <f>1 - [K-M P Value]</f>
        <v>0.91037176181773694</v>
      </c>
      <c r="AN104" s="111" t="str">
        <f>IF(Audit[[#This Row],[K-M P Value]]&gt;1-'General Info'!$B$16,"Continue", "Stop")</f>
        <v>Stop</v>
      </c>
      <c r="AO104" s="110" t="b">
        <f>IF(Audit[[#This Row],[Status - Continue or stop audit]] = "Continue", TRUE, IF(AN103 = "Continue", TRUE, FALSE))</f>
        <v>0</v>
      </c>
      <c r="AP104" s="110"/>
    </row>
    <row r="105" spans="1:42" ht="15" hidden="1" customHeight="1">
      <c r="A105" s="111" t="str">
        <f>'Sampling Data'!W95</f>
        <v/>
      </c>
      <c r="B105" s="112" t="str">
        <f>'Sampling Data'!A95</f>
        <v>BEREA -01-A</v>
      </c>
      <c r="C105" s="112">
        <f>'Sampling Data'!B95</f>
        <v>13</v>
      </c>
      <c r="D105" s="112">
        <f>'Sampling Data'!C95</f>
        <v>9</v>
      </c>
      <c r="E105" s="113">
        <f>'Sampling Data'!D95</f>
        <v>4</v>
      </c>
      <c r="F105" s="113">
        <f>'Sampling Data'!E95</f>
        <v>5</v>
      </c>
      <c r="G105" s="113">
        <f>'Sampling Data'!F95</f>
        <v>0</v>
      </c>
      <c r="H105" s="113">
        <f>'Sampling Data'!G95</f>
        <v>1</v>
      </c>
      <c r="I105" s="112">
        <f>'Sampling Data'!H95</f>
        <v>0</v>
      </c>
      <c r="J105" s="112">
        <f>'Sampling Data'!I95</f>
        <v>2</v>
      </c>
      <c r="K105" s="112">
        <f>'Sampling Data'!J95</f>
        <v>34</v>
      </c>
      <c r="L105" s="111">
        <f>'Sampling Data'!X95</f>
        <v>0</v>
      </c>
      <c r="M105" s="114"/>
      <c r="N105" s="114"/>
      <c r="O105" s="115"/>
      <c r="P105" s="115"/>
      <c r="Q105" s="116"/>
      <c r="R105" s="116"/>
      <c r="S105" s="111">
        <f>Audit[[#This Row],[Audit Losing Candidate]]-Audit[[#This Row],[Losing Candidate]]</f>
        <v>-13</v>
      </c>
      <c r="T105" s="111">
        <f>Audit[[#This Row],[Audit Winning Candidate]]-Audit[[#This Row],[Winning Candidate]]</f>
        <v>-9</v>
      </c>
      <c r="U105" s="111">
        <f>Audit[[#This Row],[Audit Candidate 3]]-Audit[[#This Row],[Candidate 3]]</f>
        <v>-4</v>
      </c>
      <c r="V105" s="111">
        <f>Audit[[#This Row],[Audit Candidate 4]]-Audit[[#This Row],[Candidate 4]]</f>
        <v>-5</v>
      </c>
      <c r="W105" s="111">
        <f>Audit[[#This Row],[Audit Candidate 5]]-Audit[[#This Row],[Candidate 5]]</f>
        <v>0</v>
      </c>
      <c r="X105" s="111">
        <f>Audit[[#This Row],[Audit Candidate 6]]-Audit[[#This Row],[Candidate 6]]</f>
        <v>-1</v>
      </c>
      <c r="Y105" s="111">
        <f>SUMIF(Audit[[#This Row],[Difference Loser]:[Difference Candidate 6]], "&gt;0")</f>
        <v>0</v>
      </c>
      <c r="Z105" s="111">
        <f>SUM(Audit[[#This Row],[Difference Loser]:[Difference Candidate 6]])</f>
        <v>-32</v>
      </c>
      <c r="AA105" s="111">
        <f>IF(Audit[[#This Row],[Times p Drawn - With Replacement]]&gt;0, IF(Audit[[#This Row],[Canceled Differences]]&lt;0, Audit[[#This Row],[Max Differences]]+ABS(Audit[[#This Row],[Canceled Differences]]), Audit[[#This Row],[Max Differences]]), 0)</f>
        <v>0</v>
      </c>
      <c r="AB105" s="111">
        <f>'Sampling Data'!P95</f>
        <v>1.8373346398824107E-3</v>
      </c>
      <c r="AC105" s="111">
        <f>IF(
      SUM(Audit[[#This Row],[Audit Losing Candidate]:[Audit Candidate 6]])
      &lt;&gt;0,
      (Audit[[#This Row],[Winning Candidate]]-Audit[[#This Row],[Losing Candidate]]-(Audit[[#This Row],[Audit Winning Candidate]]-Audit[[#This Row],[Audit Losing Candidate]]))/(Audit[[#Totals],[Winning Candidate]]-Audit[[#Totals],[Losing Candidate]]),
      0
)</f>
        <v>0</v>
      </c>
      <c r="AD1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 s="111">
        <f>IF(Audit[[#This Row],[Max Relative Error (ep)]] = 0, 0, Audit[[#This Row],[Max Relative Error (ep)]]/Audit[[#This Row],[Error Bound (up) - Max. possible relative overstatement]])</f>
        <v>0</v>
      </c>
      <c r="AJ1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5" s="111">
        <f t="shared" si="1"/>
        <v>1</v>
      </c>
      <c r="AL105" s="111">
        <f>PRODUCT($AK$5:AK105)</f>
        <v>8.962823818226312E-2</v>
      </c>
      <c r="AM105" s="109">
        <f>1 - [K-M P Value]</f>
        <v>0.91037176181773694</v>
      </c>
      <c r="AN105" s="111" t="str">
        <f>IF(Audit[[#This Row],[K-M P Value]]&gt;1-'General Info'!$B$16,"Continue", "Stop")</f>
        <v>Stop</v>
      </c>
      <c r="AO105" s="110" t="b">
        <f>IF(Audit[[#This Row],[Status - Continue or stop audit]] = "Continue", TRUE, IF(AN104 = "Continue", TRUE, FALSE))</f>
        <v>0</v>
      </c>
      <c r="AP105" s="110"/>
    </row>
    <row r="106" spans="1:42" ht="15" hidden="1" customHeight="1">
      <c r="A106" s="111" t="str">
        <f>'Sampling Data'!W96</f>
        <v/>
      </c>
      <c r="B106" s="112" t="str">
        <f>'Sampling Data'!A96</f>
        <v>BEREA -01-A - ABS</v>
      </c>
      <c r="C106" s="112">
        <f>'Sampling Data'!B96</f>
        <v>1</v>
      </c>
      <c r="D106" s="112">
        <f>'Sampling Data'!C96</f>
        <v>3</v>
      </c>
      <c r="E106" s="113">
        <f>'Sampling Data'!D96</f>
        <v>2</v>
      </c>
      <c r="F106" s="113">
        <f>'Sampling Data'!E96</f>
        <v>0</v>
      </c>
      <c r="G106" s="113">
        <f>'Sampling Data'!F96</f>
        <v>1</v>
      </c>
      <c r="H106" s="113">
        <f>'Sampling Data'!G96</f>
        <v>0</v>
      </c>
      <c r="I106" s="112">
        <f>'Sampling Data'!H96</f>
        <v>0</v>
      </c>
      <c r="J106" s="112">
        <f>'Sampling Data'!I96</f>
        <v>0</v>
      </c>
      <c r="K106" s="112">
        <f>'Sampling Data'!J96</f>
        <v>7</v>
      </c>
      <c r="L106" s="111">
        <f>'Sampling Data'!X96</f>
        <v>0</v>
      </c>
      <c r="M106" s="114"/>
      <c r="N106" s="114"/>
      <c r="O106" s="115"/>
      <c r="P106" s="115"/>
      <c r="Q106" s="116"/>
      <c r="R106" s="116"/>
      <c r="S106" s="111">
        <f>Audit[[#This Row],[Audit Losing Candidate]]-Audit[[#This Row],[Losing Candidate]]</f>
        <v>-1</v>
      </c>
      <c r="T106" s="111">
        <f>Audit[[#This Row],[Audit Winning Candidate]]-Audit[[#This Row],[Winning Candidate]]</f>
        <v>-3</v>
      </c>
      <c r="U106" s="111">
        <f>Audit[[#This Row],[Audit Candidate 3]]-Audit[[#This Row],[Candidate 3]]</f>
        <v>-2</v>
      </c>
      <c r="V106" s="111">
        <f>Audit[[#This Row],[Audit Candidate 4]]-Audit[[#This Row],[Candidate 4]]</f>
        <v>0</v>
      </c>
      <c r="W106" s="111">
        <f>Audit[[#This Row],[Audit Candidate 5]]-Audit[[#This Row],[Candidate 5]]</f>
        <v>-1</v>
      </c>
      <c r="X106" s="111">
        <f>Audit[[#This Row],[Audit Candidate 6]]-Audit[[#This Row],[Candidate 6]]</f>
        <v>0</v>
      </c>
      <c r="Y106" s="111">
        <f>SUMIF(Audit[[#This Row],[Difference Loser]:[Difference Candidate 6]], "&gt;0")</f>
        <v>0</v>
      </c>
      <c r="Z106" s="111">
        <f>SUM(Audit[[#This Row],[Difference Loser]:[Difference Candidate 6]])</f>
        <v>-7</v>
      </c>
      <c r="AA106" s="111">
        <f>IF(Audit[[#This Row],[Times p Drawn - With Replacement]]&gt;0, IF(Audit[[#This Row],[Canceled Differences]]&lt;0, Audit[[#This Row],[Max Differences]]+ABS(Audit[[#This Row],[Canceled Differences]]), Audit[[#This Row],[Max Differences]]), 0)</f>
        <v>0</v>
      </c>
      <c r="AB106" s="111">
        <f>'Sampling Data'!P96</f>
        <v>5.5120039196472322E-4</v>
      </c>
      <c r="AC106" s="111">
        <f>IF(
      SUM(Audit[[#This Row],[Audit Losing Candidate]:[Audit Candidate 6]])
      &lt;&gt;0,
      (Audit[[#This Row],[Winning Candidate]]-Audit[[#This Row],[Losing Candidate]]-(Audit[[#This Row],[Audit Winning Candidate]]-Audit[[#This Row],[Audit Losing Candidate]]))/(Audit[[#Totals],[Winning Candidate]]-Audit[[#Totals],[Losing Candidate]]),
      0
)</f>
        <v>0</v>
      </c>
      <c r="AD1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 s="111">
        <f>IF(Audit[[#This Row],[Max Relative Error (ep)]] = 0, 0, Audit[[#This Row],[Max Relative Error (ep)]]/Audit[[#This Row],[Error Bound (up) - Max. possible relative overstatement]])</f>
        <v>0</v>
      </c>
      <c r="AJ1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6" s="111">
        <f t="shared" si="1"/>
        <v>1</v>
      </c>
      <c r="AL106" s="111">
        <f>PRODUCT($AK$5:AK106)</f>
        <v>8.962823818226312E-2</v>
      </c>
      <c r="AM106" s="109">
        <f>1 - [K-M P Value]</f>
        <v>0.91037176181773694</v>
      </c>
      <c r="AN106" s="111" t="str">
        <f>IF(Audit[[#This Row],[K-M P Value]]&gt;1-'General Info'!$B$16,"Continue", "Stop")</f>
        <v>Stop</v>
      </c>
      <c r="AO106" s="110" t="b">
        <f>IF(Audit[[#This Row],[Status - Continue or stop audit]] = "Continue", TRUE, IF(AN105 = "Continue", TRUE, FALSE))</f>
        <v>0</v>
      </c>
      <c r="AP106" s="110"/>
    </row>
    <row r="107" spans="1:42" ht="15" hidden="1" customHeight="1">
      <c r="A107" s="111" t="str">
        <f>'Sampling Data'!W97</f>
        <v/>
      </c>
      <c r="B107" s="112" t="str">
        <f>'Sampling Data'!A97</f>
        <v>BEREA -01-B</v>
      </c>
      <c r="C107" s="112">
        <f>'Sampling Data'!B97</f>
        <v>14</v>
      </c>
      <c r="D107" s="112">
        <f>'Sampling Data'!C97</f>
        <v>17</v>
      </c>
      <c r="E107" s="113">
        <f>'Sampling Data'!D97</f>
        <v>9</v>
      </c>
      <c r="F107" s="113">
        <f>'Sampling Data'!E97</f>
        <v>7</v>
      </c>
      <c r="G107" s="113">
        <f>'Sampling Data'!F97</f>
        <v>1</v>
      </c>
      <c r="H107" s="113">
        <f>'Sampling Data'!G97</f>
        <v>0</v>
      </c>
      <c r="I107" s="112">
        <f>'Sampling Data'!H97</f>
        <v>0</v>
      </c>
      <c r="J107" s="112">
        <f>'Sampling Data'!I97</f>
        <v>1</v>
      </c>
      <c r="K107" s="112">
        <f>'Sampling Data'!J97</f>
        <v>49</v>
      </c>
      <c r="L107" s="111">
        <f>'Sampling Data'!X97</f>
        <v>0</v>
      </c>
      <c r="M107" s="114"/>
      <c r="N107" s="114"/>
      <c r="O107" s="115"/>
      <c r="P107" s="115"/>
      <c r="Q107" s="116"/>
      <c r="R107" s="116"/>
      <c r="S107" s="111">
        <f>Audit[[#This Row],[Audit Losing Candidate]]-Audit[[#This Row],[Losing Candidate]]</f>
        <v>-14</v>
      </c>
      <c r="T107" s="111">
        <f>Audit[[#This Row],[Audit Winning Candidate]]-Audit[[#This Row],[Winning Candidate]]</f>
        <v>-17</v>
      </c>
      <c r="U107" s="111">
        <f>Audit[[#This Row],[Audit Candidate 3]]-Audit[[#This Row],[Candidate 3]]</f>
        <v>-9</v>
      </c>
      <c r="V107" s="111">
        <f>Audit[[#This Row],[Audit Candidate 4]]-Audit[[#This Row],[Candidate 4]]</f>
        <v>-7</v>
      </c>
      <c r="W107" s="111">
        <f>Audit[[#This Row],[Audit Candidate 5]]-Audit[[#This Row],[Candidate 5]]</f>
        <v>-1</v>
      </c>
      <c r="X107" s="111">
        <f>Audit[[#This Row],[Audit Candidate 6]]-Audit[[#This Row],[Candidate 6]]</f>
        <v>0</v>
      </c>
      <c r="Y107" s="111">
        <f>SUMIF(Audit[[#This Row],[Difference Loser]:[Difference Candidate 6]], "&gt;0")</f>
        <v>0</v>
      </c>
      <c r="Z107" s="111">
        <f>SUM(Audit[[#This Row],[Difference Loser]:[Difference Candidate 6]])</f>
        <v>-48</v>
      </c>
      <c r="AA107" s="111">
        <f>IF(Audit[[#This Row],[Times p Drawn - With Replacement]]&gt;0, IF(Audit[[#This Row],[Canceled Differences]]&lt;0, Audit[[#This Row],[Max Differences]]+ABS(Audit[[#This Row],[Canceled Differences]]), Audit[[#This Row],[Max Differences]]), 0)</f>
        <v>0</v>
      </c>
      <c r="AB107" s="111">
        <f>'Sampling Data'!P97</f>
        <v>3.1847133757961785E-3</v>
      </c>
      <c r="AC107" s="111">
        <f>IF(
      SUM(Audit[[#This Row],[Audit Losing Candidate]:[Audit Candidate 6]])
      &lt;&gt;0,
      (Audit[[#This Row],[Winning Candidate]]-Audit[[#This Row],[Losing Candidate]]-(Audit[[#This Row],[Audit Winning Candidate]]-Audit[[#This Row],[Audit Losing Candidate]]))/(Audit[[#Totals],[Winning Candidate]]-Audit[[#Totals],[Losing Candidate]]),
      0
)</f>
        <v>0</v>
      </c>
      <c r="AD1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 s="111">
        <f>IF(Audit[[#This Row],[Max Relative Error (ep)]] = 0, 0, Audit[[#This Row],[Max Relative Error (ep)]]/Audit[[#This Row],[Error Bound (up) - Max. possible relative overstatement]])</f>
        <v>0</v>
      </c>
      <c r="AJ1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7" s="111">
        <f t="shared" si="1"/>
        <v>1</v>
      </c>
      <c r="AL107" s="111">
        <f>PRODUCT($AK$5:AK107)</f>
        <v>8.962823818226312E-2</v>
      </c>
      <c r="AM107" s="109">
        <f>1 - [K-M P Value]</f>
        <v>0.91037176181773694</v>
      </c>
      <c r="AN107" s="111" t="str">
        <f>IF(Audit[[#This Row],[K-M P Value]]&gt;1-'General Info'!$B$16,"Continue", "Stop")</f>
        <v>Stop</v>
      </c>
      <c r="AO107" s="110" t="b">
        <f>IF(Audit[[#This Row],[Status - Continue or stop audit]] = "Continue", TRUE, IF(AN106 = "Continue", TRUE, FALSE))</f>
        <v>0</v>
      </c>
      <c r="AP107" s="110"/>
    </row>
    <row r="108" spans="1:42" ht="15" hidden="1" customHeight="1">
      <c r="A108" s="111" t="str">
        <f>'Sampling Data'!W98</f>
        <v/>
      </c>
      <c r="B108" s="112" t="str">
        <f>'Sampling Data'!A98</f>
        <v>BEREA -01-B - ABS</v>
      </c>
      <c r="C108" s="112">
        <f>'Sampling Data'!B98</f>
        <v>5</v>
      </c>
      <c r="D108" s="112">
        <f>'Sampling Data'!C98</f>
        <v>9</v>
      </c>
      <c r="E108" s="113">
        <f>'Sampling Data'!D98</f>
        <v>5</v>
      </c>
      <c r="F108" s="113">
        <f>'Sampling Data'!E98</f>
        <v>1</v>
      </c>
      <c r="G108" s="113">
        <f>'Sampling Data'!F98</f>
        <v>2</v>
      </c>
      <c r="H108" s="113">
        <f>'Sampling Data'!G98</f>
        <v>0</v>
      </c>
      <c r="I108" s="112">
        <f>'Sampling Data'!H98</f>
        <v>0</v>
      </c>
      <c r="J108" s="112">
        <f>'Sampling Data'!I98</f>
        <v>0</v>
      </c>
      <c r="K108" s="112">
        <f>'Sampling Data'!J98</f>
        <v>22</v>
      </c>
      <c r="L108" s="111">
        <f>'Sampling Data'!X98</f>
        <v>0</v>
      </c>
      <c r="M108" s="114"/>
      <c r="N108" s="114"/>
      <c r="O108" s="115"/>
      <c r="P108" s="115"/>
      <c r="Q108" s="116"/>
      <c r="R108" s="116"/>
      <c r="S108" s="111">
        <f>Audit[[#This Row],[Audit Losing Candidate]]-Audit[[#This Row],[Losing Candidate]]</f>
        <v>-5</v>
      </c>
      <c r="T108" s="111">
        <f>Audit[[#This Row],[Audit Winning Candidate]]-Audit[[#This Row],[Winning Candidate]]</f>
        <v>-9</v>
      </c>
      <c r="U108" s="111">
        <f>Audit[[#This Row],[Audit Candidate 3]]-Audit[[#This Row],[Candidate 3]]</f>
        <v>-5</v>
      </c>
      <c r="V108" s="111">
        <f>Audit[[#This Row],[Audit Candidate 4]]-Audit[[#This Row],[Candidate 4]]</f>
        <v>-1</v>
      </c>
      <c r="W108" s="111">
        <f>Audit[[#This Row],[Audit Candidate 5]]-Audit[[#This Row],[Candidate 5]]</f>
        <v>-2</v>
      </c>
      <c r="X108" s="111">
        <f>Audit[[#This Row],[Audit Candidate 6]]-Audit[[#This Row],[Candidate 6]]</f>
        <v>0</v>
      </c>
      <c r="Y108" s="111">
        <f>SUMIF(Audit[[#This Row],[Difference Loser]:[Difference Candidate 6]], "&gt;0")</f>
        <v>0</v>
      </c>
      <c r="Z108" s="111">
        <f>SUM(Audit[[#This Row],[Difference Loser]:[Difference Candidate 6]])</f>
        <v>-22</v>
      </c>
      <c r="AA108" s="111">
        <f>IF(Audit[[#This Row],[Times p Drawn - With Replacement]]&gt;0, IF(Audit[[#This Row],[Canceled Differences]]&lt;0, Audit[[#This Row],[Max Differences]]+ABS(Audit[[#This Row],[Canceled Differences]]), Audit[[#This Row],[Max Differences]]), 0)</f>
        <v>0</v>
      </c>
      <c r="AB108" s="111">
        <f>'Sampling Data'!P98</f>
        <v>1.5923566878980893E-3</v>
      </c>
      <c r="AC108" s="111">
        <f>IF(
      SUM(Audit[[#This Row],[Audit Losing Candidate]:[Audit Candidate 6]])
      &lt;&gt;0,
      (Audit[[#This Row],[Winning Candidate]]-Audit[[#This Row],[Losing Candidate]]-(Audit[[#This Row],[Audit Winning Candidate]]-Audit[[#This Row],[Audit Losing Candidate]]))/(Audit[[#Totals],[Winning Candidate]]-Audit[[#Totals],[Losing Candidate]]),
      0
)</f>
        <v>0</v>
      </c>
      <c r="AD1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 s="111">
        <f>IF(Audit[[#This Row],[Max Relative Error (ep)]] = 0, 0, Audit[[#This Row],[Max Relative Error (ep)]]/Audit[[#This Row],[Error Bound (up) - Max. possible relative overstatement]])</f>
        <v>0</v>
      </c>
      <c r="AJ1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8" s="111">
        <f t="shared" si="1"/>
        <v>1</v>
      </c>
      <c r="AL108" s="111">
        <f>PRODUCT($AK$5:AK108)</f>
        <v>8.962823818226312E-2</v>
      </c>
      <c r="AM108" s="109">
        <f>1 - [K-M P Value]</f>
        <v>0.91037176181773694</v>
      </c>
      <c r="AN108" s="111" t="str">
        <f>IF(Audit[[#This Row],[K-M P Value]]&gt;1-'General Info'!$B$16,"Continue", "Stop")</f>
        <v>Stop</v>
      </c>
      <c r="AO108" s="110" t="b">
        <f>IF(Audit[[#This Row],[Status - Continue or stop audit]] = "Continue", TRUE, IF(AN107 = "Continue", TRUE, FALSE))</f>
        <v>0</v>
      </c>
      <c r="AP108" s="110"/>
    </row>
    <row r="109" spans="1:42" ht="15" hidden="1" customHeight="1">
      <c r="A109" s="111" t="str">
        <f>'Sampling Data'!W99</f>
        <v/>
      </c>
      <c r="B109" s="112" t="str">
        <f>'Sampling Data'!A99</f>
        <v>BEREA -01-C</v>
      </c>
      <c r="C109" s="112">
        <f>'Sampling Data'!B99</f>
        <v>25</v>
      </c>
      <c r="D109" s="112">
        <f>'Sampling Data'!C99</f>
        <v>22</v>
      </c>
      <c r="E109" s="113">
        <f>'Sampling Data'!D99</f>
        <v>6</v>
      </c>
      <c r="F109" s="113">
        <f>'Sampling Data'!E99</f>
        <v>9</v>
      </c>
      <c r="G109" s="113">
        <f>'Sampling Data'!F99</f>
        <v>0</v>
      </c>
      <c r="H109" s="113">
        <f>'Sampling Data'!G99</f>
        <v>0</v>
      </c>
      <c r="I109" s="112">
        <f>'Sampling Data'!H99</f>
        <v>0</v>
      </c>
      <c r="J109" s="112">
        <f>'Sampling Data'!I99</f>
        <v>2</v>
      </c>
      <c r="K109" s="112">
        <f>'Sampling Data'!J99</f>
        <v>64</v>
      </c>
      <c r="L109" s="111">
        <f>'Sampling Data'!X99</f>
        <v>0</v>
      </c>
      <c r="M109" s="114"/>
      <c r="N109" s="114"/>
      <c r="O109" s="115"/>
      <c r="P109" s="115"/>
      <c r="Q109" s="116"/>
      <c r="R109" s="116"/>
      <c r="S109" s="111">
        <f>Audit[[#This Row],[Audit Losing Candidate]]-Audit[[#This Row],[Losing Candidate]]</f>
        <v>-25</v>
      </c>
      <c r="T109" s="111">
        <f>Audit[[#This Row],[Audit Winning Candidate]]-Audit[[#This Row],[Winning Candidate]]</f>
        <v>-22</v>
      </c>
      <c r="U109" s="111">
        <f>Audit[[#This Row],[Audit Candidate 3]]-Audit[[#This Row],[Candidate 3]]</f>
        <v>-6</v>
      </c>
      <c r="V109" s="111">
        <f>Audit[[#This Row],[Audit Candidate 4]]-Audit[[#This Row],[Candidate 4]]</f>
        <v>-9</v>
      </c>
      <c r="W109" s="111">
        <f>Audit[[#This Row],[Audit Candidate 5]]-Audit[[#This Row],[Candidate 5]]</f>
        <v>0</v>
      </c>
      <c r="X109" s="111">
        <f>Audit[[#This Row],[Audit Candidate 6]]-Audit[[#This Row],[Candidate 6]]</f>
        <v>0</v>
      </c>
      <c r="Y109" s="111">
        <f>SUMIF(Audit[[#This Row],[Difference Loser]:[Difference Candidate 6]], "&gt;0")</f>
        <v>0</v>
      </c>
      <c r="Z109" s="111">
        <f>SUM(Audit[[#This Row],[Difference Loser]:[Difference Candidate 6]])</f>
        <v>-62</v>
      </c>
      <c r="AA109" s="111">
        <f>IF(Audit[[#This Row],[Times p Drawn - With Replacement]]&gt;0, IF(Audit[[#This Row],[Canceled Differences]]&lt;0, Audit[[#This Row],[Max Differences]]+ABS(Audit[[#This Row],[Canceled Differences]]), Audit[[#This Row],[Max Differences]]), 0)</f>
        <v>0</v>
      </c>
      <c r="AB109" s="111">
        <f>'Sampling Data'!P99</f>
        <v>3.7359137677609017E-3</v>
      </c>
      <c r="AC109" s="111">
        <f>IF(
      SUM(Audit[[#This Row],[Audit Losing Candidate]:[Audit Candidate 6]])
      &lt;&gt;0,
      (Audit[[#This Row],[Winning Candidate]]-Audit[[#This Row],[Losing Candidate]]-(Audit[[#This Row],[Audit Winning Candidate]]-Audit[[#This Row],[Audit Losing Candidate]]))/(Audit[[#Totals],[Winning Candidate]]-Audit[[#Totals],[Losing Candidate]]),
      0
)</f>
        <v>0</v>
      </c>
      <c r="AD1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 s="111">
        <f>IF(Audit[[#This Row],[Max Relative Error (ep)]] = 0, 0, Audit[[#This Row],[Max Relative Error (ep)]]/Audit[[#This Row],[Error Bound (up) - Max. possible relative overstatement]])</f>
        <v>0</v>
      </c>
      <c r="AJ1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9" s="111">
        <f t="shared" si="1"/>
        <v>1</v>
      </c>
      <c r="AL109" s="111">
        <f>PRODUCT($AK$5:AK109)</f>
        <v>8.962823818226312E-2</v>
      </c>
      <c r="AM109" s="109">
        <f>1 - [K-M P Value]</f>
        <v>0.91037176181773694</v>
      </c>
      <c r="AN109" s="111" t="str">
        <f>IF(Audit[[#This Row],[K-M P Value]]&gt;1-'General Info'!$B$16,"Continue", "Stop")</f>
        <v>Stop</v>
      </c>
      <c r="AO109" s="110" t="b">
        <f>IF(Audit[[#This Row],[Status - Continue or stop audit]] = "Continue", TRUE, IF(AN108 = "Continue", TRUE, FALSE))</f>
        <v>0</v>
      </c>
      <c r="AP109" s="110"/>
    </row>
    <row r="110" spans="1:42" ht="15" hidden="1" customHeight="1">
      <c r="A110" s="111" t="str">
        <f>'Sampling Data'!W100</f>
        <v/>
      </c>
      <c r="B110" s="112" t="str">
        <f>'Sampling Data'!A100</f>
        <v>BEREA -01-C - ABS</v>
      </c>
      <c r="C110" s="112">
        <f>'Sampling Data'!B100</f>
        <v>11</v>
      </c>
      <c r="D110" s="112">
        <f>'Sampling Data'!C100</f>
        <v>5</v>
      </c>
      <c r="E110" s="113">
        <f>'Sampling Data'!D100</f>
        <v>2</v>
      </c>
      <c r="F110" s="113">
        <f>'Sampling Data'!E100</f>
        <v>0</v>
      </c>
      <c r="G110" s="113">
        <f>'Sampling Data'!F100</f>
        <v>0</v>
      </c>
      <c r="H110" s="113">
        <f>'Sampling Data'!G100</f>
        <v>0</v>
      </c>
      <c r="I110" s="112">
        <f>'Sampling Data'!H100</f>
        <v>0</v>
      </c>
      <c r="J110" s="112">
        <f>'Sampling Data'!I100</f>
        <v>0</v>
      </c>
      <c r="K110" s="112">
        <f>'Sampling Data'!J100</f>
        <v>18</v>
      </c>
      <c r="L110" s="111">
        <f>'Sampling Data'!X100</f>
        <v>0</v>
      </c>
      <c r="M110" s="114"/>
      <c r="N110" s="114"/>
      <c r="O110" s="115"/>
      <c r="P110" s="115"/>
      <c r="Q110" s="116"/>
      <c r="R110" s="116"/>
      <c r="S110" s="111">
        <f>Audit[[#This Row],[Audit Losing Candidate]]-Audit[[#This Row],[Losing Candidate]]</f>
        <v>-11</v>
      </c>
      <c r="T110" s="111">
        <f>Audit[[#This Row],[Audit Winning Candidate]]-Audit[[#This Row],[Winning Candidate]]</f>
        <v>-5</v>
      </c>
      <c r="U110" s="111">
        <f>Audit[[#This Row],[Audit Candidate 3]]-Audit[[#This Row],[Candidate 3]]</f>
        <v>-2</v>
      </c>
      <c r="V110" s="111">
        <f>Audit[[#This Row],[Audit Candidate 4]]-Audit[[#This Row],[Candidate 4]]</f>
        <v>0</v>
      </c>
      <c r="W110" s="111">
        <f>Audit[[#This Row],[Audit Candidate 5]]-Audit[[#This Row],[Candidate 5]]</f>
        <v>0</v>
      </c>
      <c r="X110" s="111">
        <f>Audit[[#This Row],[Audit Candidate 6]]-Audit[[#This Row],[Candidate 6]]</f>
        <v>0</v>
      </c>
      <c r="Y110" s="111">
        <f>SUMIF(Audit[[#This Row],[Difference Loser]:[Difference Candidate 6]], "&gt;0")</f>
        <v>0</v>
      </c>
      <c r="Z110" s="111">
        <f>SUM(Audit[[#This Row],[Difference Loser]:[Difference Candidate 6]])</f>
        <v>-18</v>
      </c>
      <c r="AA110" s="111">
        <f>IF(Audit[[#This Row],[Times p Drawn - With Replacement]]&gt;0, IF(Audit[[#This Row],[Canceled Differences]]&lt;0, Audit[[#This Row],[Max Differences]]+ABS(Audit[[#This Row],[Canceled Differences]]), Audit[[#This Row],[Max Differences]]), 0)</f>
        <v>0</v>
      </c>
      <c r="AB110" s="111">
        <f>'Sampling Data'!P100</f>
        <v>7.3493385595296422E-4</v>
      </c>
      <c r="AC110" s="111">
        <f>IF(
      SUM(Audit[[#This Row],[Audit Losing Candidate]:[Audit Candidate 6]])
      &lt;&gt;0,
      (Audit[[#This Row],[Winning Candidate]]-Audit[[#This Row],[Losing Candidate]]-(Audit[[#This Row],[Audit Winning Candidate]]-Audit[[#This Row],[Audit Losing Candidate]]))/(Audit[[#Totals],[Winning Candidate]]-Audit[[#Totals],[Losing Candidate]]),
      0
)</f>
        <v>0</v>
      </c>
      <c r="AD1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 s="111">
        <f>IF(Audit[[#This Row],[Max Relative Error (ep)]] = 0, 0, Audit[[#This Row],[Max Relative Error (ep)]]/Audit[[#This Row],[Error Bound (up) - Max. possible relative overstatement]])</f>
        <v>0</v>
      </c>
      <c r="AJ1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0" s="111">
        <f t="shared" si="1"/>
        <v>1</v>
      </c>
      <c r="AL110" s="111">
        <f>PRODUCT($AK$5:AK110)</f>
        <v>8.962823818226312E-2</v>
      </c>
      <c r="AM110" s="109">
        <f>1 - [K-M P Value]</f>
        <v>0.91037176181773694</v>
      </c>
      <c r="AN110" s="111" t="str">
        <f>IF(Audit[[#This Row],[K-M P Value]]&gt;1-'General Info'!$B$16,"Continue", "Stop")</f>
        <v>Stop</v>
      </c>
      <c r="AO110" s="110" t="b">
        <f>IF(Audit[[#This Row],[Status - Continue or stop audit]] = "Continue", TRUE, IF(AN109 = "Continue", TRUE, FALSE))</f>
        <v>0</v>
      </c>
      <c r="AP110" s="110"/>
    </row>
    <row r="111" spans="1:42" ht="15" hidden="1" customHeight="1">
      <c r="A111" s="111" t="str">
        <f>'Sampling Data'!W101</f>
        <v/>
      </c>
      <c r="B111" s="112" t="str">
        <f>'Sampling Data'!A101</f>
        <v>BEREA -02-A</v>
      </c>
      <c r="C111" s="112">
        <f>'Sampling Data'!B101</f>
        <v>40</v>
      </c>
      <c r="D111" s="112">
        <f>'Sampling Data'!C101</f>
        <v>51</v>
      </c>
      <c r="E111" s="113">
        <f>'Sampling Data'!D101</f>
        <v>13</v>
      </c>
      <c r="F111" s="113">
        <f>'Sampling Data'!E101</f>
        <v>14</v>
      </c>
      <c r="G111" s="113">
        <f>'Sampling Data'!F101</f>
        <v>0</v>
      </c>
      <c r="H111" s="113">
        <f>'Sampling Data'!G101</f>
        <v>0</v>
      </c>
      <c r="I111" s="112">
        <f>'Sampling Data'!H101</f>
        <v>0</v>
      </c>
      <c r="J111" s="112">
        <f>'Sampling Data'!I101</f>
        <v>0</v>
      </c>
      <c r="K111" s="112">
        <f>'Sampling Data'!J101</f>
        <v>118</v>
      </c>
      <c r="L111" s="111">
        <f>'Sampling Data'!X101</f>
        <v>0</v>
      </c>
      <c r="M111" s="114"/>
      <c r="N111" s="114"/>
      <c r="O111" s="115"/>
      <c r="P111" s="115"/>
      <c r="Q111" s="116"/>
      <c r="R111" s="116"/>
      <c r="S111" s="111">
        <f>Audit[[#This Row],[Audit Losing Candidate]]-Audit[[#This Row],[Losing Candidate]]</f>
        <v>-40</v>
      </c>
      <c r="T111" s="111">
        <f>Audit[[#This Row],[Audit Winning Candidate]]-Audit[[#This Row],[Winning Candidate]]</f>
        <v>-51</v>
      </c>
      <c r="U111" s="111">
        <f>Audit[[#This Row],[Audit Candidate 3]]-Audit[[#This Row],[Candidate 3]]</f>
        <v>-13</v>
      </c>
      <c r="V111" s="111">
        <f>Audit[[#This Row],[Audit Candidate 4]]-Audit[[#This Row],[Candidate 4]]</f>
        <v>-14</v>
      </c>
      <c r="W111" s="111">
        <f>Audit[[#This Row],[Audit Candidate 5]]-Audit[[#This Row],[Candidate 5]]</f>
        <v>0</v>
      </c>
      <c r="X111" s="111">
        <f>Audit[[#This Row],[Audit Candidate 6]]-Audit[[#This Row],[Candidate 6]]</f>
        <v>0</v>
      </c>
      <c r="Y111" s="111">
        <f>SUMIF(Audit[[#This Row],[Difference Loser]:[Difference Candidate 6]], "&gt;0")</f>
        <v>0</v>
      </c>
      <c r="Z111" s="111">
        <f>SUM(Audit[[#This Row],[Difference Loser]:[Difference Candidate 6]])</f>
        <v>-118</v>
      </c>
      <c r="AA111" s="111">
        <f>IF(Audit[[#This Row],[Times p Drawn - With Replacement]]&gt;0, IF(Audit[[#This Row],[Canceled Differences]]&lt;0, Audit[[#This Row],[Max Differences]]+ABS(Audit[[#This Row],[Canceled Differences]]), Audit[[#This Row],[Max Differences]]), 0)</f>
        <v>0</v>
      </c>
      <c r="AB111" s="111">
        <f>'Sampling Data'!P101</f>
        <v>7.9005389514943663E-3</v>
      </c>
      <c r="AC111" s="111">
        <f>IF(
      SUM(Audit[[#This Row],[Audit Losing Candidate]:[Audit Candidate 6]])
      &lt;&gt;0,
      (Audit[[#This Row],[Winning Candidate]]-Audit[[#This Row],[Losing Candidate]]-(Audit[[#This Row],[Audit Winning Candidate]]-Audit[[#This Row],[Audit Losing Candidate]]))/(Audit[[#Totals],[Winning Candidate]]-Audit[[#Totals],[Losing Candidate]]),
      0
)</f>
        <v>0</v>
      </c>
      <c r="AD1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 s="111">
        <f>IF(Audit[[#This Row],[Max Relative Error (ep)]] = 0, 0, Audit[[#This Row],[Max Relative Error (ep)]]/Audit[[#This Row],[Error Bound (up) - Max. possible relative overstatement]])</f>
        <v>0</v>
      </c>
      <c r="AJ1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1" s="111">
        <f t="shared" si="1"/>
        <v>1</v>
      </c>
      <c r="AL111" s="111">
        <f>PRODUCT($AK$5:AK111)</f>
        <v>8.962823818226312E-2</v>
      </c>
      <c r="AM111" s="109">
        <f>1 - [K-M P Value]</f>
        <v>0.91037176181773694</v>
      </c>
      <c r="AN111" s="111" t="str">
        <f>IF(Audit[[#This Row],[K-M P Value]]&gt;1-'General Info'!$B$16,"Continue", "Stop")</f>
        <v>Stop</v>
      </c>
      <c r="AO111" s="110" t="b">
        <f>IF(Audit[[#This Row],[Status - Continue or stop audit]] = "Continue", TRUE, IF(AN110 = "Continue", TRUE, FALSE))</f>
        <v>0</v>
      </c>
      <c r="AP111" s="110"/>
    </row>
    <row r="112" spans="1:42" ht="15" hidden="1" customHeight="1">
      <c r="A112" s="111" t="str">
        <f>'Sampling Data'!W102</f>
        <v/>
      </c>
      <c r="B112" s="112" t="str">
        <f>'Sampling Data'!A102</f>
        <v>BEREA -02-A - ABS</v>
      </c>
      <c r="C112" s="112">
        <f>'Sampling Data'!B102</f>
        <v>14</v>
      </c>
      <c r="D112" s="112">
        <f>'Sampling Data'!C102</f>
        <v>11</v>
      </c>
      <c r="E112" s="113">
        <f>'Sampling Data'!D102</f>
        <v>5</v>
      </c>
      <c r="F112" s="113">
        <f>'Sampling Data'!E102</f>
        <v>4</v>
      </c>
      <c r="G112" s="113">
        <f>'Sampling Data'!F102</f>
        <v>1</v>
      </c>
      <c r="H112" s="113">
        <f>'Sampling Data'!G102</f>
        <v>0</v>
      </c>
      <c r="I112" s="112">
        <f>'Sampling Data'!H102</f>
        <v>0</v>
      </c>
      <c r="J112" s="112">
        <f>'Sampling Data'!I102</f>
        <v>0</v>
      </c>
      <c r="K112" s="112">
        <f>'Sampling Data'!J102</f>
        <v>35</v>
      </c>
      <c r="L112" s="111">
        <f>'Sampling Data'!X102</f>
        <v>0</v>
      </c>
      <c r="M112" s="114"/>
      <c r="N112" s="114"/>
      <c r="O112" s="115"/>
      <c r="P112" s="115"/>
      <c r="Q112" s="116"/>
      <c r="R112" s="116"/>
      <c r="S112" s="111">
        <f>Audit[[#This Row],[Audit Losing Candidate]]-Audit[[#This Row],[Losing Candidate]]</f>
        <v>-14</v>
      </c>
      <c r="T112" s="111">
        <f>Audit[[#This Row],[Audit Winning Candidate]]-Audit[[#This Row],[Winning Candidate]]</f>
        <v>-11</v>
      </c>
      <c r="U112" s="111">
        <f>Audit[[#This Row],[Audit Candidate 3]]-Audit[[#This Row],[Candidate 3]]</f>
        <v>-5</v>
      </c>
      <c r="V112" s="111">
        <f>Audit[[#This Row],[Audit Candidate 4]]-Audit[[#This Row],[Candidate 4]]</f>
        <v>-4</v>
      </c>
      <c r="W112" s="111">
        <f>Audit[[#This Row],[Audit Candidate 5]]-Audit[[#This Row],[Candidate 5]]</f>
        <v>-1</v>
      </c>
      <c r="X112" s="111">
        <f>Audit[[#This Row],[Audit Candidate 6]]-Audit[[#This Row],[Candidate 6]]</f>
        <v>0</v>
      </c>
      <c r="Y112" s="111">
        <f>SUMIF(Audit[[#This Row],[Difference Loser]:[Difference Candidate 6]], "&gt;0")</f>
        <v>0</v>
      </c>
      <c r="Z112" s="111">
        <f>SUM(Audit[[#This Row],[Difference Loser]:[Difference Candidate 6]])</f>
        <v>-35</v>
      </c>
      <c r="AA112" s="111">
        <f>IF(Audit[[#This Row],[Times p Drawn - With Replacement]]&gt;0, IF(Audit[[#This Row],[Canceled Differences]]&lt;0, Audit[[#This Row],[Max Differences]]+ABS(Audit[[#This Row],[Canceled Differences]]), Audit[[#This Row],[Max Differences]]), 0)</f>
        <v>0</v>
      </c>
      <c r="AB112" s="111">
        <f>'Sampling Data'!P102</f>
        <v>1.9598236158745713E-3</v>
      </c>
      <c r="AC112" s="111">
        <f>IF(
      SUM(Audit[[#This Row],[Audit Losing Candidate]:[Audit Candidate 6]])
      &lt;&gt;0,
      (Audit[[#This Row],[Winning Candidate]]-Audit[[#This Row],[Losing Candidate]]-(Audit[[#This Row],[Audit Winning Candidate]]-Audit[[#This Row],[Audit Losing Candidate]]))/(Audit[[#Totals],[Winning Candidate]]-Audit[[#Totals],[Losing Candidate]]),
      0
)</f>
        <v>0</v>
      </c>
      <c r="AD1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 s="111">
        <f>IF(Audit[[#This Row],[Max Relative Error (ep)]] = 0, 0, Audit[[#This Row],[Max Relative Error (ep)]]/Audit[[#This Row],[Error Bound (up) - Max. possible relative overstatement]])</f>
        <v>0</v>
      </c>
      <c r="AJ1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2" s="111">
        <f t="shared" si="1"/>
        <v>1</v>
      </c>
      <c r="AL112" s="111">
        <f>PRODUCT($AK$5:AK112)</f>
        <v>8.962823818226312E-2</v>
      </c>
      <c r="AM112" s="109">
        <f>1 - [K-M P Value]</f>
        <v>0.91037176181773694</v>
      </c>
      <c r="AN112" s="111" t="str">
        <f>IF(Audit[[#This Row],[K-M P Value]]&gt;1-'General Info'!$B$16,"Continue", "Stop")</f>
        <v>Stop</v>
      </c>
      <c r="AO112" s="110" t="b">
        <f>IF(Audit[[#This Row],[Status - Continue or stop audit]] = "Continue", TRUE, IF(AN111 = "Continue", TRUE, FALSE))</f>
        <v>0</v>
      </c>
      <c r="AP112" s="110"/>
    </row>
    <row r="113" spans="1:42" ht="15" hidden="1" customHeight="1">
      <c r="A113" s="111" t="str">
        <f>'Sampling Data'!W103</f>
        <v/>
      </c>
      <c r="B113" s="112" t="str">
        <f>'Sampling Data'!A103</f>
        <v>BEREA -02-B</v>
      </c>
      <c r="C113" s="112">
        <f>'Sampling Data'!B103</f>
        <v>53</v>
      </c>
      <c r="D113" s="112">
        <f>'Sampling Data'!C103</f>
        <v>49</v>
      </c>
      <c r="E113" s="113">
        <f>'Sampling Data'!D103</f>
        <v>17</v>
      </c>
      <c r="F113" s="113">
        <f>'Sampling Data'!E103</f>
        <v>11</v>
      </c>
      <c r="G113" s="113">
        <f>'Sampling Data'!F103</f>
        <v>2</v>
      </c>
      <c r="H113" s="113">
        <f>'Sampling Data'!G103</f>
        <v>1</v>
      </c>
      <c r="I113" s="112">
        <f>'Sampling Data'!H103</f>
        <v>0</v>
      </c>
      <c r="J113" s="112">
        <f>'Sampling Data'!I103</f>
        <v>2</v>
      </c>
      <c r="K113" s="112">
        <f>'Sampling Data'!J103</f>
        <v>135</v>
      </c>
      <c r="L113" s="111">
        <f>'Sampling Data'!X103</f>
        <v>0</v>
      </c>
      <c r="M113" s="114"/>
      <c r="N113" s="114"/>
      <c r="O113" s="115"/>
      <c r="P113" s="115"/>
      <c r="Q113" s="116"/>
      <c r="R113" s="116"/>
      <c r="S113" s="111">
        <f>Audit[[#This Row],[Audit Losing Candidate]]-Audit[[#This Row],[Losing Candidate]]</f>
        <v>-53</v>
      </c>
      <c r="T113" s="111">
        <f>Audit[[#This Row],[Audit Winning Candidate]]-Audit[[#This Row],[Winning Candidate]]</f>
        <v>-49</v>
      </c>
      <c r="U113" s="111">
        <f>Audit[[#This Row],[Audit Candidate 3]]-Audit[[#This Row],[Candidate 3]]</f>
        <v>-17</v>
      </c>
      <c r="V113" s="111">
        <f>Audit[[#This Row],[Audit Candidate 4]]-Audit[[#This Row],[Candidate 4]]</f>
        <v>-11</v>
      </c>
      <c r="W113" s="111">
        <f>Audit[[#This Row],[Audit Candidate 5]]-Audit[[#This Row],[Candidate 5]]</f>
        <v>-2</v>
      </c>
      <c r="X113" s="111">
        <f>Audit[[#This Row],[Audit Candidate 6]]-Audit[[#This Row],[Candidate 6]]</f>
        <v>-1</v>
      </c>
      <c r="Y113" s="111">
        <f>SUMIF(Audit[[#This Row],[Difference Loser]:[Difference Candidate 6]], "&gt;0")</f>
        <v>0</v>
      </c>
      <c r="Z113" s="111">
        <f>SUM(Audit[[#This Row],[Difference Loser]:[Difference Candidate 6]])</f>
        <v>-133</v>
      </c>
      <c r="AA113" s="111">
        <f>IF(Audit[[#This Row],[Times p Drawn - With Replacement]]&gt;0, IF(Audit[[#This Row],[Canceled Differences]]&lt;0, Audit[[#This Row],[Max Differences]]+ABS(Audit[[#This Row],[Canceled Differences]]), Audit[[#This Row],[Max Differences]]), 0)</f>
        <v>0</v>
      </c>
      <c r="AB113" s="111">
        <f>'Sampling Data'!P103</f>
        <v>8.0230279274865254E-3</v>
      </c>
      <c r="AC113" s="111">
        <f>IF(
      SUM(Audit[[#This Row],[Audit Losing Candidate]:[Audit Candidate 6]])
      &lt;&gt;0,
      (Audit[[#This Row],[Winning Candidate]]-Audit[[#This Row],[Losing Candidate]]-(Audit[[#This Row],[Audit Winning Candidate]]-Audit[[#This Row],[Audit Losing Candidate]]))/(Audit[[#Totals],[Winning Candidate]]-Audit[[#Totals],[Losing Candidate]]),
      0
)</f>
        <v>0</v>
      </c>
      <c r="AD1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 s="111">
        <f>IF(Audit[[#This Row],[Max Relative Error (ep)]] = 0, 0, Audit[[#This Row],[Max Relative Error (ep)]]/Audit[[#This Row],[Error Bound (up) - Max. possible relative overstatement]])</f>
        <v>0</v>
      </c>
      <c r="AJ1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3" s="111">
        <f t="shared" si="1"/>
        <v>1</v>
      </c>
      <c r="AL113" s="111">
        <f>PRODUCT($AK$5:AK113)</f>
        <v>8.962823818226312E-2</v>
      </c>
      <c r="AM113" s="109">
        <f>1 - [K-M P Value]</f>
        <v>0.91037176181773694</v>
      </c>
      <c r="AN113" s="111" t="str">
        <f>IF(Audit[[#This Row],[K-M P Value]]&gt;1-'General Info'!$B$16,"Continue", "Stop")</f>
        <v>Stop</v>
      </c>
      <c r="AO113" s="110" t="b">
        <f>IF(Audit[[#This Row],[Status - Continue or stop audit]] = "Continue", TRUE, IF(AN112 = "Continue", TRUE, FALSE))</f>
        <v>0</v>
      </c>
      <c r="AP113" s="110"/>
    </row>
    <row r="114" spans="1:42" ht="15" hidden="1" customHeight="1">
      <c r="A114" s="111" t="str">
        <f>'Sampling Data'!W104</f>
        <v/>
      </c>
      <c r="B114" s="112" t="str">
        <f>'Sampling Data'!A104</f>
        <v>BEREA -02-B - ABS</v>
      </c>
      <c r="C114" s="112">
        <f>'Sampling Data'!B104</f>
        <v>17</v>
      </c>
      <c r="D114" s="112">
        <f>'Sampling Data'!C104</f>
        <v>16</v>
      </c>
      <c r="E114" s="113">
        <f>'Sampling Data'!D104</f>
        <v>6</v>
      </c>
      <c r="F114" s="113">
        <f>'Sampling Data'!E104</f>
        <v>4</v>
      </c>
      <c r="G114" s="113">
        <f>'Sampling Data'!F104</f>
        <v>0</v>
      </c>
      <c r="H114" s="113">
        <f>'Sampling Data'!G104</f>
        <v>0</v>
      </c>
      <c r="I114" s="112">
        <f>'Sampling Data'!H104</f>
        <v>0</v>
      </c>
      <c r="J114" s="112">
        <f>'Sampling Data'!I104</f>
        <v>0</v>
      </c>
      <c r="K114" s="112">
        <f>'Sampling Data'!J104</f>
        <v>43</v>
      </c>
      <c r="L114" s="111">
        <f>'Sampling Data'!X104</f>
        <v>0</v>
      </c>
      <c r="M114" s="114"/>
      <c r="N114" s="114"/>
      <c r="O114" s="115"/>
      <c r="P114" s="115"/>
      <c r="Q114" s="116"/>
      <c r="R114" s="116"/>
      <c r="S114" s="111">
        <f>Audit[[#This Row],[Audit Losing Candidate]]-Audit[[#This Row],[Losing Candidate]]</f>
        <v>-17</v>
      </c>
      <c r="T114" s="111">
        <f>Audit[[#This Row],[Audit Winning Candidate]]-Audit[[#This Row],[Winning Candidate]]</f>
        <v>-16</v>
      </c>
      <c r="U114" s="111">
        <f>Audit[[#This Row],[Audit Candidate 3]]-Audit[[#This Row],[Candidate 3]]</f>
        <v>-6</v>
      </c>
      <c r="V114" s="111">
        <f>Audit[[#This Row],[Audit Candidate 4]]-Audit[[#This Row],[Candidate 4]]</f>
        <v>-4</v>
      </c>
      <c r="W114" s="111">
        <f>Audit[[#This Row],[Audit Candidate 5]]-Audit[[#This Row],[Candidate 5]]</f>
        <v>0</v>
      </c>
      <c r="X114" s="111">
        <f>Audit[[#This Row],[Audit Candidate 6]]-Audit[[#This Row],[Candidate 6]]</f>
        <v>0</v>
      </c>
      <c r="Y114" s="111">
        <f>SUMIF(Audit[[#This Row],[Difference Loser]:[Difference Candidate 6]], "&gt;0")</f>
        <v>0</v>
      </c>
      <c r="Z114" s="111">
        <f>SUM(Audit[[#This Row],[Difference Loser]:[Difference Candidate 6]])</f>
        <v>-43</v>
      </c>
      <c r="AA114" s="111">
        <f>IF(Audit[[#This Row],[Times p Drawn - With Replacement]]&gt;0, IF(Audit[[#This Row],[Canceled Differences]]&lt;0, Audit[[#This Row],[Max Differences]]+ABS(Audit[[#This Row],[Canceled Differences]]), Audit[[#This Row],[Max Differences]]), 0)</f>
        <v>0</v>
      </c>
      <c r="AB114" s="111">
        <f>'Sampling Data'!P104</f>
        <v>2.5722684958353749E-3</v>
      </c>
      <c r="AC114" s="111">
        <f>IF(
      SUM(Audit[[#This Row],[Audit Losing Candidate]:[Audit Candidate 6]])
      &lt;&gt;0,
      (Audit[[#This Row],[Winning Candidate]]-Audit[[#This Row],[Losing Candidate]]-(Audit[[#This Row],[Audit Winning Candidate]]-Audit[[#This Row],[Audit Losing Candidate]]))/(Audit[[#Totals],[Winning Candidate]]-Audit[[#Totals],[Losing Candidate]]),
      0
)</f>
        <v>0</v>
      </c>
      <c r="AD1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 s="111">
        <f>IF(Audit[[#This Row],[Max Relative Error (ep)]] = 0, 0, Audit[[#This Row],[Max Relative Error (ep)]]/Audit[[#This Row],[Error Bound (up) - Max. possible relative overstatement]])</f>
        <v>0</v>
      </c>
      <c r="AJ1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4" s="111">
        <f t="shared" si="1"/>
        <v>1</v>
      </c>
      <c r="AL114" s="111">
        <f>PRODUCT($AK$5:AK114)</f>
        <v>8.962823818226312E-2</v>
      </c>
      <c r="AM114" s="109">
        <f>1 - [K-M P Value]</f>
        <v>0.91037176181773694</v>
      </c>
      <c r="AN114" s="111" t="str">
        <f>IF(Audit[[#This Row],[K-M P Value]]&gt;1-'General Info'!$B$16,"Continue", "Stop")</f>
        <v>Stop</v>
      </c>
      <c r="AO114" s="110" t="b">
        <f>IF(Audit[[#This Row],[Status - Continue or stop audit]] = "Continue", TRUE, IF(AN113 = "Continue", TRUE, FALSE))</f>
        <v>0</v>
      </c>
      <c r="AP114" s="110"/>
    </row>
    <row r="115" spans="1:42" ht="15" hidden="1" customHeight="1">
      <c r="A115" s="111" t="str">
        <f>'Sampling Data'!W105</f>
        <v/>
      </c>
      <c r="B115" s="112" t="str">
        <f>'Sampling Data'!A105</f>
        <v>BEREA -02-C</v>
      </c>
      <c r="C115" s="112">
        <f>'Sampling Data'!B105</f>
        <v>21</v>
      </c>
      <c r="D115" s="112">
        <f>'Sampling Data'!C105</f>
        <v>44</v>
      </c>
      <c r="E115" s="113">
        <f>'Sampling Data'!D105</f>
        <v>12</v>
      </c>
      <c r="F115" s="113">
        <f>'Sampling Data'!E105</f>
        <v>8</v>
      </c>
      <c r="G115" s="113">
        <f>'Sampling Data'!F105</f>
        <v>0</v>
      </c>
      <c r="H115" s="113">
        <f>'Sampling Data'!G105</f>
        <v>0</v>
      </c>
      <c r="I115" s="112">
        <f>'Sampling Data'!H105</f>
        <v>0</v>
      </c>
      <c r="J115" s="112">
        <f>'Sampling Data'!I105</f>
        <v>2</v>
      </c>
      <c r="K115" s="112">
        <f>'Sampling Data'!J105</f>
        <v>87</v>
      </c>
      <c r="L115" s="111">
        <f>'Sampling Data'!X105</f>
        <v>0</v>
      </c>
      <c r="M115" s="114"/>
      <c r="N115" s="114"/>
      <c r="O115" s="115"/>
      <c r="P115" s="115"/>
      <c r="Q115" s="116"/>
      <c r="R115" s="116"/>
      <c r="S115" s="111">
        <f>Audit[[#This Row],[Audit Losing Candidate]]-Audit[[#This Row],[Losing Candidate]]</f>
        <v>-21</v>
      </c>
      <c r="T115" s="111">
        <f>Audit[[#This Row],[Audit Winning Candidate]]-Audit[[#This Row],[Winning Candidate]]</f>
        <v>-44</v>
      </c>
      <c r="U115" s="111">
        <f>Audit[[#This Row],[Audit Candidate 3]]-Audit[[#This Row],[Candidate 3]]</f>
        <v>-12</v>
      </c>
      <c r="V115" s="111">
        <f>Audit[[#This Row],[Audit Candidate 4]]-Audit[[#This Row],[Candidate 4]]</f>
        <v>-8</v>
      </c>
      <c r="W115" s="111">
        <f>Audit[[#This Row],[Audit Candidate 5]]-Audit[[#This Row],[Candidate 5]]</f>
        <v>0</v>
      </c>
      <c r="X115" s="111">
        <f>Audit[[#This Row],[Audit Candidate 6]]-Audit[[#This Row],[Candidate 6]]</f>
        <v>0</v>
      </c>
      <c r="Y115" s="111">
        <f>SUMIF(Audit[[#This Row],[Difference Loser]:[Difference Candidate 6]], "&gt;0")</f>
        <v>0</v>
      </c>
      <c r="Z115" s="111">
        <f>SUM(Audit[[#This Row],[Difference Loser]:[Difference Candidate 6]])</f>
        <v>-85</v>
      </c>
      <c r="AA115" s="111">
        <f>IF(Audit[[#This Row],[Times p Drawn - With Replacement]]&gt;0, IF(Audit[[#This Row],[Canceled Differences]]&lt;0, Audit[[#This Row],[Max Differences]]+ABS(Audit[[#This Row],[Canceled Differences]]), Audit[[#This Row],[Max Differences]]), 0)</f>
        <v>0</v>
      </c>
      <c r="AB115" s="111">
        <f>'Sampling Data'!P105</f>
        <v>6.7368936795688386E-3</v>
      </c>
      <c r="AC115" s="111">
        <f>IF(
      SUM(Audit[[#This Row],[Audit Losing Candidate]:[Audit Candidate 6]])
      &lt;&gt;0,
      (Audit[[#This Row],[Winning Candidate]]-Audit[[#This Row],[Losing Candidate]]-(Audit[[#This Row],[Audit Winning Candidate]]-Audit[[#This Row],[Audit Losing Candidate]]))/(Audit[[#Totals],[Winning Candidate]]-Audit[[#Totals],[Losing Candidate]]),
      0
)</f>
        <v>0</v>
      </c>
      <c r="AD1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 s="111">
        <f>IF(Audit[[#This Row],[Max Relative Error (ep)]] = 0, 0, Audit[[#This Row],[Max Relative Error (ep)]]/Audit[[#This Row],[Error Bound (up) - Max. possible relative overstatement]])</f>
        <v>0</v>
      </c>
      <c r="AJ1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5" s="111">
        <f t="shared" si="1"/>
        <v>1</v>
      </c>
      <c r="AL115" s="111">
        <f>PRODUCT($AK$5:AK115)</f>
        <v>8.962823818226312E-2</v>
      </c>
      <c r="AM115" s="109">
        <f>1 - [K-M P Value]</f>
        <v>0.91037176181773694</v>
      </c>
      <c r="AN115" s="111" t="str">
        <f>IF(Audit[[#This Row],[K-M P Value]]&gt;1-'General Info'!$B$16,"Continue", "Stop")</f>
        <v>Stop</v>
      </c>
      <c r="AO115" s="110" t="b">
        <f>IF(Audit[[#This Row],[Status - Continue or stop audit]] = "Continue", TRUE, IF(AN114 = "Continue", TRUE, FALSE))</f>
        <v>0</v>
      </c>
      <c r="AP115" s="110"/>
    </row>
    <row r="116" spans="1:42" ht="15" hidden="1" customHeight="1">
      <c r="A116" s="111" t="str">
        <f>'Sampling Data'!W106</f>
        <v/>
      </c>
      <c r="B116" s="112" t="str">
        <f>'Sampling Data'!A106</f>
        <v>BEREA -02-C - ABS</v>
      </c>
      <c r="C116" s="112">
        <f>'Sampling Data'!B106</f>
        <v>10</v>
      </c>
      <c r="D116" s="112">
        <f>'Sampling Data'!C106</f>
        <v>11</v>
      </c>
      <c r="E116" s="113">
        <f>'Sampling Data'!D106</f>
        <v>6</v>
      </c>
      <c r="F116" s="113">
        <f>'Sampling Data'!E106</f>
        <v>2</v>
      </c>
      <c r="G116" s="113">
        <f>'Sampling Data'!F106</f>
        <v>0</v>
      </c>
      <c r="H116" s="113">
        <f>'Sampling Data'!G106</f>
        <v>1</v>
      </c>
      <c r="I116" s="112">
        <f>'Sampling Data'!H106</f>
        <v>0</v>
      </c>
      <c r="J116" s="112">
        <f>'Sampling Data'!I106</f>
        <v>1</v>
      </c>
      <c r="K116" s="112">
        <f>'Sampling Data'!J106</f>
        <v>31</v>
      </c>
      <c r="L116" s="111">
        <f>'Sampling Data'!X106</f>
        <v>0</v>
      </c>
      <c r="M116" s="114"/>
      <c r="N116" s="114"/>
      <c r="O116" s="115"/>
      <c r="P116" s="115"/>
      <c r="Q116" s="116"/>
      <c r="R116" s="116"/>
      <c r="S116" s="111">
        <f>Audit[[#This Row],[Audit Losing Candidate]]-Audit[[#This Row],[Losing Candidate]]</f>
        <v>-10</v>
      </c>
      <c r="T116" s="111">
        <f>Audit[[#This Row],[Audit Winning Candidate]]-Audit[[#This Row],[Winning Candidate]]</f>
        <v>-11</v>
      </c>
      <c r="U116" s="111">
        <f>Audit[[#This Row],[Audit Candidate 3]]-Audit[[#This Row],[Candidate 3]]</f>
        <v>-6</v>
      </c>
      <c r="V116" s="111">
        <f>Audit[[#This Row],[Audit Candidate 4]]-Audit[[#This Row],[Candidate 4]]</f>
        <v>-2</v>
      </c>
      <c r="W116" s="111">
        <f>Audit[[#This Row],[Audit Candidate 5]]-Audit[[#This Row],[Candidate 5]]</f>
        <v>0</v>
      </c>
      <c r="X116" s="111">
        <f>Audit[[#This Row],[Audit Candidate 6]]-Audit[[#This Row],[Candidate 6]]</f>
        <v>-1</v>
      </c>
      <c r="Y116" s="111">
        <f>SUMIF(Audit[[#This Row],[Difference Loser]:[Difference Candidate 6]], "&gt;0")</f>
        <v>0</v>
      </c>
      <c r="Z116" s="111">
        <f>SUM(Audit[[#This Row],[Difference Loser]:[Difference Candidate 6]])</f>
        <v>-30</v>
      </c>
      <c r="AA116" s="111">
        <f>IF(Audit[[#This Row],[Times p Drawn - With Replacement]]&gt;0, IF(Audit[[#This Row],[Canceled Differences]]&lt;0, Audit[[#This Row],[Max Differences]]+ABS(Audit[[#This Row],[Canceled Differences]]), Audit[[#This Row],[Max Differences]]), 0)</f>
        <v>0</v>
      </c>
      <c r="AB116" s="111">
        <f>'Sampling Data'!P106</f>
        <v>1.9598236158745713E-3</v>
      </c>
      <c r="AC116" s="111">
        <f>IF(
      SUM(Audit[[#This Row],[Audit Losing Candidate]:[Audit Candidate 6]])
      &lt;&gt;0,
      (Audit[[#This Row],[Winning Candidate]]-Audit[[#This Row],[Losing Candidate]]-(Audit[[#This Row],[Audit Winning Candidate]]-Audit[[#This Row],[Audit Losing Candidate]]))/(Audit[[#Totals],[Winning Candidate]]-Audit[[#Totals],[Losing Candidate]]),
      0
)</f>
        <v>0</v>
      </c>
      <c r="AD1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 s="111">
        <f>IF(Audit[[#This Row],[Max Relative Error (ep)]] = 0, 0, Audit[[#This Row],[Max Relative Error (ep)]]/Audit[[#This Row],[Error Bound (up) - Max. possible relative overstatement]])</f>
        <v>0</v>
      </c>
      <c r="AJ1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6" s="111">
        <f t="shared" si="1"/>
        <v>1</v>
      </c>
      <c r="AL116" s="111">
        <f>PRODUCT($AK$5:AK116)</f>
        <v>8.962823818226312E-2</v>
      </c>
      <c r="AM116" s="109">
        <f>1 - [K-M P Value]</f>
        <v>0.91037176181773694</v>
      </c>
      <c r="AN116" s="111" t="str">
        <f>IF(Audit[[#This Row],[K-M P Value]]&gt;1-'General Info'!$B$16,"Continue", "Stop")</f>
        <v>Stop</v>
      </c>
      <c r="AO116" s="110" t="b">
        <f>IF(Audit[[#This Row],[Status - Continue or stop audit]] = "Continue", TRUE, IF(AN115 = "Continue", TRUE, FALSE))</f>
        <v>0</v>
      </c>
      <c r="AP116" s="110"/>
    </row>
    <row r="117" spans="1:42" ht="15" hidden="1" customHeight="1">
      <c r="A117" s="111" t="str">
        <f>'Sampling Data'!W107</f>
        <v/>
      </c>
      <c r="B117" s="112" t="str">
        <f>'Sampling Data'!A107</f>
        <v>BEREA -03-A</v>
      </c>
      <c r="C117" s="112">
        <f>'Sampling Data'!B107</f>
        <v>36</v>
      </c>
      <c r="D117" s="112">
        <f>'Sampling Data'!C107</f>
        <v>49</v>
      </c>
      <c r="E117" s="113">
        <f>'Sampling Data'!D107</f>
        <v>7</v>
      </c>
      <c r="F117" s="113">
        <f>'Sampling Data'!E107</f>
        <v>9</v>
      </c>
      <c r="G117" s="113">
        <f>'Sampling Data'!F107</f>
        <v>1</v>
      </c>
      <c r="H117" s="113">
        <f>'Sampling Data'!G107</f>
        <v>2</v>
      </c>
      <c r="I117" s="112">
        <f>'Sampling Data'!H107</f>
        <v>0</v>
      </c>
      <c r="J117" s="112">
        <f>'Sampling Data'!I107</f>
        <v>1</v>
      </c>
      <c r="K117" s="112">
        <f>'Sampling Data'!J107</f>
        <v>105</v>
      </c>
      <c r="L117" s="111">
        <f>'Sampling Data'!X107</f>
        <v>0</v>
      </c>
      <c r="M117" s="114"/>
      <c r="N117" s="114"/>
      <c r="O117" s="115"/>
      <c r="P117" s="115"/>
      <c r="Q117" s="116"/>
      <c r="R117" s="116"/>
      <c r="S117" s="111">
        <f>Audit[[#This Row],[Audit Losing Candidate]]-Audit[[#This Row],[Losing Candidate]]</f>
        <v>-36</v>
      </c>
      <c r="T117" s="111">
        <f>Audit[[#This Row],[Audit Winning Candidate]]-Audit[[#This Row],[Winning Candidate]]</f>
        <v>-49</v>
      </c>
      <c r="U117" s="111">
        <f>Audit[[#This Row],[Audit Candidate 3]]-Audit[[#This Row],[Candidate 3]]</f>
        <v>-7</v>
      </c>
      <c r="V117" s="111">
        <f>Audit[[#This Row],[Audit Candidate 4]]-Audit[[#This Row],[Candidate 4]]</f>
        <v>-9</v>
      </c>
      <c r="W117" s="111">
        <f>Audit[[#This Row],[Audit Candidate 5]]-Audit[[#This Row],[Candidate 5]]</f>
        <v>-1</v>
      </c>
      <c r="X117" s="111">
        <f>Audit[[#This Row],[Audit Candidate 6]]-Audit[[#This Row],[Candidate 6]]</f>
        <v>-2</v>
      </c>
      <c r="Y117" s="111">
        <f>SUMIF(Audit[[#This Row],[Difference Loser]:[Difference Candidate 6]], "&gt;0")</f>
        <v>0</v>
      </c>
      <c r="Z117" s="111">
        <f>SUM(Audit[[#This Row],[Difference Loser]:[Difference Candidate 6]])</f>
        <v>-104</v>
      </c>
      <c r="AA117" s="111">
        <f>IF(Audit[[#This Row],[Times p Drawn - With Replacement]]&gt;0, IF(Audit[[#This Row],[Canceled Differences]]&lt;0, Audit[[#This Row],[Max Differences]]+ABS(Audit[[#This Row],[Canceled Differences]]), Audit[[#This Row],[Max Differences]]), 0)</f>
        <v>0</v>
      </c>
      <c r="AB117" s="111">
        <f>'Sampling Data'!P107</f>
        <v>7.2268495835374818E-3</v>
      </c>
      <c r="AC117" s="111">
        <f>IF(
      SUM(Audit[[#This Row],[Audit Losing Candidate]:[Audit Candidate 6]])
      &lt;&gt;0,
      (Audit[[#This Row],[Winning Candidate]]-Audit[[#This Row],[Losing Candidate]]-(Audit[[#This Row],[Audit Winning Candidate]]-Audit[[#This Row],[Audit Losing Candidate]]))/(Audit[[#Totals],[Winning Candidate]]-Audit[[#Totals],[Losing Candidate]]),
      0
)</f>
        <v>0</v>
      </c>
      <c r="AD1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 s="111">
        <f>IF(Audit[[#This Row],[Max Relative Error (ep)]] = 0, 0, Audit[[#This Row],[Max Relative Error (ep)]]/Audit[[#This Row],[Error Bound (up) - Max. possible relative overstatement]])</f>
        <v>0</v>
      </c>
      <c r="AJ1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7" s="111">
        <f t="shared" si="1"/>
        <v>1</v>
      </c>
      <c r="AL117" s="111">
        <f>PRODUCT($AK$5:AK117)</f>
        <v>8.962823818226312E-2</v>
      </c>
      <c r="AM117" s="109">
        <f>1 - [K-M P Value]</f>
        <v>0.91037176181773694</v>
      </c>
      <c r="AN117" s="111" t="str">
        <f>IF(Audit[[#This Row],[K-M P Value]]&gt;1-'General Info'!$B$16,"Continue", "Stop")</f>
        <v>Stop</v>
      </c>
      <c r="AO117" s="110" t="b">
        <f>IF(Audit[[#This Row],[Status - Continue or stop audit]] = "Continue", TRUE, IF(AN116 = "Continue", TRUE, FALSE))</f>
        <v>0</v>
      </c>
      <c r="AP117" s="110"/>
    </row>
    <row r="118" spans="1:42" ht="15" hidden="1" customHeight="1">
      <c r="A118" s="111" t="str">
        <f>'Sampling Data'!W108</f>
        <v/>
      </c>
      <c r="B118" s="112" t="str">
        <f>'Sampling Data'!A108</f>
        <v>BEREA -03-A - ABS</v>
      </c>
      <c r="C118" s="112">
        <f>'Sampling Data'!B108</f>
        <v>10</v>
      </c>
      <c r="D118" s="112">
        <f>'Sampling Data'!C108</f>
        <v>13</v>
      </c>
      <c r="E118" s="113">
        <f>'Sampling Data'!D108</f>
        <v>8</v>
      </c>
      <c r="F118" s="113">
        <f>'Sampling Data'!E108</f>
        <v>3</v>
      </c>
      <c r="G118" s="113">
        <f>'Sampling Data'!F108</f>
        <v>0</v>
      </c>
      <c r="H118" s="113">
        <f>'Sampling Data'!G108</f>
        <v>0</v>
      </c>
      <c r="I118" s="112">
        <f>'Sampling Data'!H108</f>
        <v>0</v>
      </c>
      <c r="J118" s="112">
        <f>'Sampling Data'!I108</f>
        <v>1</v>
      </c>
      <c r="K118" s="112">
        <f>'Sampling Data'!J108</f>
        <v>35</v>
      </c>
      <c r="L118" s="111">
        <f>'Sampling Data'!X108</f>
        <v>0</v>
      </c>
      <c r="M118" s="114"/>
      <c r="N118" s="114"/>
      <c r="O118" s="115"/>
      <c r="P118" s="115"/>
      <c r="Q118" s="116"/>
      <c r="R118" s="116"/>
      <c r="S118" s="111">
        <f>Audit[[#This Row],[Audit Losing Candidate]]-Audit[[#This Row],[Losing Candidate]]</f>
        <v>-10</v>
      </c>
      <c r="T118" s="111">
        <f>Audit[[#This Row],[Audit Winning Candidate]]-Audit[[#This Row],[Winning Candidate]]</f>
        <v>-13</v>
      </c>
      <c r="U118" s="111">
        <f>Audit[[#This Row],[Audit Candidate 3]]-Audit[[#This Row],[Candidate 3]]</f>
        <v>-8</v>
      </c>
      <c r="V118" s="111">
        <f>Audit[[#This Row],[Audit Candidate 4]]-Audit[[#This Row],[Candidate 4]]</f>
        <v>-3</v>
      </c>
      <c r="W118" s="111">
        <f>Audit[[#This Row],[Audit Candidate 5]]-Audit[[#This Row],[Candidate 5]]</f>
        <v>0</v>
      </c>
      <c r="X118" s="111">
        <f>Audit[[#This Row],[Audit Candidate 6]]-Audit[[#This Row],[Candidate 6]]</f>
        <v>0</v>
      </c>
      <c r="Y118" s="111">
        <f>SUMIF(Audit[[#This Row],[Difference Loser]:[Difference Candidate 6]], "&gt;0")</f>
        <v>0</v>
      </c>
      <c r="Z118" s="111">
        <f>SUM(Audit[[#This Row],[Difference Loser]:[Difference Candidate 6]])</f>
        <v>-34</v>
      </c>
      <c r="AA118" s="111">
        <f>IF(Audit[[#This Row],[Times p Drawn - With Replacement]]&gt;0, IF(Audit[[#This Row],[Canceled Differences]]&lt;0, Audit[[#This Row],[Max Differences]]+ABS(Audit[[#This Row],[Canceled Differences]]), Audit[[#This Row],[Max Differences]]), 0)</f>
        <v>0</v>
      </c>
      <c r="AB118" s="111">
        <f>'Sampling Data'!P108</f>
        <v>2.3272905438510533E-3</v>
      </c>
      <c r="AC118" s="111">
        <f>IF(
      SUM(Audit[[#This Row],[Audit Losing Candidate]:[Audit Candidate 6]])
      &lt;&gt;0,
      (Audit[[#This Row],[Winning Candidate]]-Audit[[#This Row],[Losing Candidate]]-(Audit[[#This Row],[Audit Winning Candidate]]-Audit[[#This Row],[Audit Losing Candidate]]))/(Audit[[#Totals],[Winning Candidate]]-Audit[[#Totals],[Losing Candidate]]),
      0
)</f>
        <v>0</v>
      </c>
      <c r="AD1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 s="111">
        <f>IF(Audit[[#This Row],[Max Relative Error (ep)]] = 0, 0, Audit[[#This Row],[Max Relative Error (ep)]]/Audit[[#This Row],[Error Bound (up) - Max. possible relative overstatement]])</f>
        <v>0</v>
      </c>
      <c r="AJ1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8" s="111">
        <f t="shared" si="1"/>
        <v>1</v>
      </c>
      <c r="AL118" s="111">
        <f>PRODUCT($AK$5:AK118)</f>
        <v>8.962823818226312E-2</v>
      </c>
      <c r="AM118" s="109">
        <f>1 - [K-M P Value]</f>
        <v>0.91037176181773694</v>
      </c>
      <c r="AN118" s="111" t="str">
        <f>IF(Audit[[#This Row],[K-M P Value]]&gt;1-'General Info'!$B$16,"Continue", "Stop")</f>
        <v>Stop</v>
      </c>
      <c r="AO118" s="110" t="b">
        <f>IF(Audit[[#This Row],[Status - Continue or stop audit]] = "Continue", TRUE, IF(AN117 = "Continue", TRUE, FALSE))</f>
        <v>0</v>
      </c>
      <c r="AP118" s="110"/>
    </row>
    <row r="119" spans="1:42" ht="15" hidden="1" customHeight="1">
      <c r="A119" s="111" t="str">
        <f>'Sampling Data'!W109</f>
        <v/>
      </c>
      <c r="B119" s="112" t="str">
        <f>'Sampling Data'!A109</f>
        <v>BEREA -03-B</v>
      </c>
      <c r="C119" s="112">
        <f>'Sampling Data'!B109</f>
        <v>38</v>
      </c>
      <c r="D119" s="112">
        <f>'Sampling Data'!C109</f>
        <v>47</v>
      </c>
      <c r="E119" s="113">
        <f>'Sampling Data'!D109</f>
        <v>13</v>
      </c>
      <c r="F119" s="113">
        <f>'Sampling Data'!E109</f>
        <v>20</v>
      </c>
      <c r="G119" s="113">
        <f>'Sampling Data'!F109</f>
        <v>3</v>
      </c>
      <c r="H119" s="113">
        <f>'Sampling Data'!G109</f>
        <v>0</v>
      </c>
      <c r="I119" s="112">
        <f>'Sampling Data'!H109</f>
        <v>0</v>
      </c>
      <c r="J119" s="112">
        <f>'Sampling Data'!I109</f>
        <v>3</v>
      </c>
      <c r="K119" s="112">
        <f>'Sampling Data'!J109</f>
        <v>124</v>
      </c>
      <c r="L119" s="111">
        <f>'Sampling Data'!X109</f>
        <v>0</v>
      </c>
      <c r="M119" s="114"/>
      <c r="N119" s="114"/>
      <c r="O119" s="115"/>
      <c r="P119" s="115"/>
      <c r="Q119" s="116"/>
      <c r="R119" s="116"/>
      <c r="S119" s="111">
        <f>Audit[[#This Row],[Audit Losing Candidate]]-Audit[[#This Row],[Losing Candidate]]</f>
        <v>-38</v>
      </c>
      <c r="T119" s="111">
        <f>Audit[[#This Row],[Audit Winning Candidate]]-Audit[[#This Row],[Winning Candidate]]</f>
        <v>-47</v>
      </c>
      <c r="U119" s="111">
        <f>Audit[[#This Row],[Audit Candidate 3]]-Audit[[#This Row],[Candidate 3]]</f>
        <v>-13</v>
      </c>
      <c r="V119" s="111">
        <f>Audit[[#This Row],[Audit Candidate 4]]-Audit[[#This Row],[Candidate 4]]</f>
        <v>-20</v>
      </c>
      <c r="W119" s="111">
        <f>Audit[[#This Row],[Audit Candidate 5]]-Audit[[#This Row],[Candidate 5]]</f>
        <v>-3</v>
      </c>
      <c r="X119" s="111">
        <f>Audit[[#This Row],[Audit Candidate 6]]-Audit[[#This Row],[Candidate 6]]</f>
        <v>0</v>
      </c>
      <c r="Y119" s="111">
        <f>SUMIF(Audit[[#This Row],[Difference Loser]:[Difference Candidate 6]], "&gt;0")</f>
        <v>0</v>
      </c>
      <c r="Z119" s="111">
        <f>SUM(Audit[[#This Row],[Difference Loser]:[Difference Candidate 6]])</f>
        <v>-121</v>
      </c>
      <c r="AA119" s="111">
        <f>IF(Audit[[#This Row],[Times p Drawn - With Replacement]]&gt;0, IF(Audit[[#This Row],[Canceled Differences]]&lt;0, Audit[[#This Row],[Max Differences]]+ABS(Audit[[#This Row],[Canceled Differences]]), Audit[[#This Row],[Max Differences]]), 0)</f>
        <v>0</v>
      </c>
      <c r="AB119" s="111">
        <f>'Sampling Data'!P109</f>
        <v>8.1455169034786862E-3</v>
      </c>
      <c r="AC119" s="111">
        <f>IF(
      SUM(Audit[[#This Row],[Audit Losing Candidate]:[Audit Candidate 6]])
      &lt;&gt;0,
      (Audit[[#This Row],[Winning Candidate]]-Audit[[#This Row],[Losing Candidate]]-(Audit[[#This Row],[Audit Winning Candidate]]-Audit[[#This Row],[Audit Losing Candidate]]))/(Audit[[#Totals],[Winning Candidate]]-Audit[[#Totals],[Losing Candidate]]),
      0
)</f>
        <v>0</v>
      </c>
      <c r="AD1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 s="111">
        <f>IF(Audit[[#This Row],[Max Relative Error (ep)]] = 0, 0, Audit[[#This Row],[Max Relative Error (ep)]]/Audit[[#This Row],[Error Bound (up) - Max. possible relative overstatement]])</f>
        <v>0</v>
      </c>
      <c r="AJ1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9" s="111">
        <f t="shared" si="1"/>
        <v>1</v>
      </c>
      <c r="AL119" s="111">
        <f>PRODUCT($AK$5:AK119)</f>
        <v>8.962823818226312E-2</v>
      </c>
      <c r="AM119" s="109">
        <f>1 - [K-M P Value]</f>
        <v>0.91037176181773694</v>
      </c>
      <c r="AN119" s="111" t="str">
        <f>IF(Audit[[#This Row],[K-M P Value]]&gt;1-'General Info'!$B$16,"Continue", "Stop")</f>
        <v>Stop</v>
      </c>
      <c r="AO119" s="110" t="b">
        <f>IF(Audit[[#This Row],[Status - Continue or stop audit]] = "Continue", TRUE, IF(AN118 = "Continue", TRUE, FALSE))</f>
        <v>0</v>
      </c>
      <c r="AP119" s="110"/>
    </row>
    <row r="120" spans="1:42" ht="15" hidden="1" customHeight="1">
      <c r="A120" s="111" t="str">
        <f>'Sampling Data'!W110</f>
        <v/>
      </c>
      <c r="B120" s="112" t="str">
        <f>'Sampling Data'!A110</f>
        <v>BEREA -03-B - ABS</v>
      </c>
      <c r="C120" s="112">
        <f>'Sampling Data'!B110</f>
        <v>15</v>
      </c>
      <c r="D120" s="112">
        <f>'Sampling Data'!C110</f>
        <v>8</v>
      </c>
      <c r="E120" s="113">
        <f>'Sampling Data'!D110</f>
        <v>8</v>
      </c>
      <c r="F120" s="113">
        <f>'Sampling Data'!E110</f>
        <v>4</v>
      </c>
      <c r="G120" s="113">
        <f>'Sampling Data'!F110</f>
        <v>0</v>
      </c>
      <c r="H120" s="113">
        <f>'Sampling Data'!G110</f>
        <v>0</v>
      </c>
      <c r="I120" s="112">
        <f>'Sampling Data'!H110</f>
        <v>0</v>
      </c>
      <c r="J120" s="112">
        <f>'Sampling Data'!I110</f>
        <v>3</v>
      </c>
      <c r="K120" s="112">
        <f>'Sampling Data'!J110</f>
        <v>38</v>
      </c>
      <c r="L120" s="111">
        <f>'Sampling Data'!X110</f>
        <v>0</v>
      </c>
      <c r="M120" s="114"/>
      <c r="N120" s="114"/>
      <c r="O120" s="115"/>
      <c r="P120" s="115"/>
      <c r="Q120" s="116"/>
      <c r="R120" s="116"/>
      <c r="S120" s="111">
        <f>Audit[[#This Row],[Audit Losing Candidate]]-Audit[[#This Row],[Losing Candidate]]</f>
        <v>-15</v>
      </c>
      <c r="T120" s="111">
        <f>Audit[[#This Row],[Audit Winning Candidate]]-Audit[[#This Row],[Winning Candidate]]</f>
        <v>-8</v>
      </c>
      <c r="U120" s="111">
        <f>Audit[[#This Row],[Audit Candidate 3]]-Audit[[#This Row],[Candidate 3]]</f>
        <v>-8</v>
      </c>
      <c r="V120" s="111">
        <f>Audit[[#This Row],[Audit Candidate 4]]-Audit[[#This Row],[Candidate 4]]</f>
        <v>-4</v>
      </c>
      <c r="W120" s="111">
        <f>Audit[[#This Row],[Audit Candidate 5]]-Audit[[#This Row],[Candidate 5]]</f>
        <v>0</v>
      </c>
      <c r="X120" s="111">
        <f>Audit[[#This Row],[Audit Candidate 6]]-Audit[[#This Row],[Candidate 6]]</f>
        <v>0</v>
      </c>
      <c r="Y120" s="111">
        <f>SUMIF(Audit[[#This Row],[Difference Loser]:[Difference Candidate 6]], "&gt;0")</f>
        <v>0</v>
      </c>
      <c r="Z120" s="111">
        <f>SUM(Audit[[#This Row],[Difference Loser]:[Difference Candidate 6]])</f>
        <v>-35</v>
      </c>
      <c r="AA120" s="111">
        <f>IF(Audit[[#This Row],[Times p Drawn - With Replacement]]&gt;0, IF(Audit[[#This Row],[Canceled Differences]]&lt;0, Audit[[#This Row],[Max Differences]]+ABS(Audit[[#This Row],[Canceled Differences]]), Audit[[#This Row],[Max Differences]]), 0)</f>
        <v>0</v>
      </c>
      <c r="AB120" s="111">
        <f>'Sampling Data'!P110</f>
        <v>1.8985791278784908E-3</v>
      </c>
      <c r="AC120" s="111">
        <f>IF(
      SUM(Audit[[#This Row],[Audit Losing Candidate]:[Audit Candidate 6]])
      &lt;&gt;0,
      (Audit[[#This Row],[Winning Candidate]]-Audit[[#This Row],[Losing Candidate]]-(Audit[[#This Row],[Audit Winning Candidate]]-Audit[[#This Row],[Audit Losing Candidate]]))/(Audit[[#Totals],[Winning Candidate]]-Audit[[#Totals],[Losing Candidate]]),
      0
)</f>
        <v>0</v>
      </c>
      <c r="AD1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 s="111">
        <f>IF(Audit[[#This Row],[Max Relative Error (ep)]] = 0, 0, Audit[[#This Row],[Max Relative Error (ep)]]/Audit[[#This Row],[Error Bound (up) - Max. possible relative overstatement]])</f>
        <v>0</v>
      </c>
      <c r="AJ1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0" s="111">
        <f t="shared" si="1"/>
        <v>1</v>
      </c>
      <c r="AL120" s="111">
        <f>PRODUCT($AK$5:AK120)</f>
        <v>8.962823818226312E-2</v>
      </c>
      <c r="AM120" s="109">
        <f>1 - [K-M P Value]</f>
        <v>0.91037176181773694</v>
      </c>
      <c r="AN120" s="111" t="str">
        <f>IF(Audit[[#This Row],[K-M P Value]]&gt;1-'General Info'!$B$16,"Continue", "Stop")</f>
        <v>Stop</v>
      </c>
      <c r="AO120" s="110" t="b">
        <f>IF(Audit[[#This Row],[Status - Continue or stop audit]] = "Continue", TRUE, IF(AN119 = "Continue", TRUE, FALSE))</f>
        <v>0</v>
      </c>
      <c r="AP120" s="110"/>
    </row>
    <row r="121" spans="1:42" ht="15" hidden="1" customHeight="1">
      <c r="A121" s="111" t="str">
        <f>'Sampling Data'!W111</f>
        <v/>
      </c>
      <c r="B121" s="112" t="str">
        <f>'Sampling Data'!A111</f>
        <v>BEREA -03-C</v>
      </c>
      <c r="C121" s="112">
        <f>'Sampling Data'!B111</f>
        <v>7</v>
      </c>
      <c r="D121" s="112">
        <f>'Sampling Data'!C111</f>
        <v>13</v>
      </c>
      <c r="E121" s="113">
        <f>'Sampling Data'!D111</f>
        <v>4</v>
      </c>
      <c r="F121" s="113">
        <f>'Sampling Data'!E111</f>
        <v>2</v>
      </c>
      <c r="G121" s="113">
        <f>'Sampling Data'!F111</f>
        <v>0</v>
      </c>
      <c r="H121" s="113">
        <f>'Sampling Data'!G111</f>
        <v>0</v>
      </c>
      <c r="I121" s="112">
        <f>'Sampling Data'!H111</f>
        <v>0</v>
      </c>
      <c r="J121" s="112">
        <f>'Sampling Data'!I111</f>
        <v>0</v>
      </c>
      <c r="K121" s="112">
        <f>'Sampling Data'!J111</f>
        <v>26</v>
      </c>
      <c r="L121" s="111">
        <f>'Sampling Data'!X111</f>
        <v>0</v>
      </c>
      <c r="M121" s="114"/>
      <c r="N121" s="114"/>
      <c r="O121" s="115"/>
      <c r="P121" s="115"/>
      <c r="Q121" s="116"/>
      <c r="R121" s="116"/>
      <c r="S121" s="111">
        <f>Audit[[#This Row],[Audit Losing Candidate]]-Audit[[#This Row],[Losing Candidate]]</f>
        <v>-7</v>
      </c>
      <c r="T121" s="111">
        <f>Audit[[#This Row],[Audit Winning Candidate]]-Audit[[#This Row],[Winning Candidate]]</f>
        <v>-13</v>
      </c>
      <c r="U121" s="111">
        <f>Audit[[#This Row],[Audit Candidate 3]]-Audit[[#This Row],[Candidate 3]]</f>
        <v>-4</v>
      </c>
      <c r="V121" s="111">
        <f>Audit[[#This Row],[Audit Candidate 4]]-Audit[[#This Row],[Candidate 4]]</f>
        <v>-2</v>
      </c>
      <c r="W121" s="111">
        <f>Audit[[#This Row],[Audit Candidate 5]]-Audit[[#This Row],[Candidate 5]]</f>
        <v>0</v>
      </c>
      <c r="X121" s="111">
        <f>Audit[[#This Row],[Audit Candidate 6]]-Audit[[#This Row],[Candidate 6]]</f>
        <v>0</v>
      </c>
      <c r="Y121" s="111">
        <f>SUMIF(Audit[[#This Row],[Difference Loser]:[Difference Candidate 6]], "&gt;0")</f>
        <v>0</v>
      </c>
      <c r="Z121" s="111">
        <f>SUM(Audit[[#This Row],[Difference Loser]:[Difference Candidate 6]])</f>
        <v>-26</v>
      </c>
      <c r="AA121" s="111">
        <f>IF(Audit[[#This Row],[Times p Drawn - With Replacement]]&gt;0, IF(Audit[[#This Row],[Canceled Differences]]&lt;0, Audit[[#This Row],[Max Differences]]+ABS(Audit[[#This Row],[Canceled Differences]]), Audit[[#This Row],[Max Differences]]), 0)</f>
        <v>0</v>
      </c>
      <c r="AB121" s="111">
        <f>'Sampling Data'!P111</f>
        <v>1.9598236158745713E-3</v>
      </c>
      <c r="AC121" s="111">
        <f>IF(
      SUM(Audit[[#This Row],[Audit Losing Candidate]:[Audit Candidate 6]])
      &lt;&gt;0,
      (Audit[[#This Row],[Winning Candidate]]-Audit[[#This Row],[Losing Candidate]]-(Audit[[#This Row],[Audit Winning Candidate]]-Audit[[#This Row],[Audit Losing Candidate]]))/(Audit[[#Totals],[Winning Candidate]]-Audit[[#Totals],[Losing Candidate]]),
      0
)</f>
        <v>0</v>
      </c>
      <c r="AD1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 s="111">
        <f>IF(Audit[[#This Row],[Max Relative Error (ep)]] = 0, 0, Audit[[#This Row],[Max Relative Error (ep)]]/Audit[[#This Row],[Error Bound (up) - Max. possible relative overstatement]])</f>
        <v>0</v>
      </c>
      <c r="AJ1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1" s="111">
        <f t="shared" si="1"/>
        <v>1</v>
      </c>
      <c r="AL121" s="111">
        <f>PRODUCT($AK$5:AK121)</f>
        <v>8.962823818226312E-2</v>
      </c>
      <c r="AM121" s="109">
        <f>1 - [K-M P Value]</f>
        <v>0.91037176181773694</v>
      </c>
      <c r="AN121" s="111" t="str">
        <f>IF(Audit[[#This Row],[K-M P Value]]&gt;1-'General Info'!$B$16,"Continue", "Stop")</f>
        <v>Stop</v>
      </c>
      <c r="AO121" s="110" t="b">
        <f>IF(Audit[[#This Row],[Status - Continue or stop audit]] = "Continue", TRUE, IF(AN120 = "Continue", TRUE, FALSE))</f>
        <v>0</v>
      </c>
      <c r="AP121" s="110"/>
    </row>
    <row r="122" spans="1:42" ht="15" hidden="1" customHeight="1">
      <c r="A122" s="111" t="str">
        <f>'Sampling Data'!W112</f>
        <v/>
      </c>
      <c r="B122" s="112" t="str">
        <f>'Sampling Data'!A112</f>
        <v>BEREA -03-C - ABS</v>
      </c>
      <c r="C122" s="112">
        <f>'Sampling Data'!B112</f>
        <v>1</v>
      </c>
      <c r="D122" s="112">
        <f>'Sampling Data'!C112</f>
        <v>9</v>
      </c>
      <c r="E122" s="113">
        <f>'Sampling Data'!D112</f>
        <v>0</v>
      </c>
      <c r="F122" s="113">
        <f>'Sampling Data'!E112</f>
        <v>2</v>
      </c>
      <c r="G122" s="113">
        <f>'Sampling Data'!F112</f>
        <v>0</v>
      </c>
      <c r="H122" s="113">
        <f>'Sampling Data'!G112</f>
        <v>0</v>
      </c>
      <c r="I122" s="112">
        <f>'Sampling Data'!H112</f>
        <v>0</v>
      </c>
      <c r="J122" s="112">
        <f>'Sampling Data'!I112</f>
        <v>1</v>
      </c>
      <c r="K122" s="112">
        <f>'Sampling Data'!J112</f>
        <v>13</v>
      </c>
      <c r="L122" s="111">
        <f>'Sampling Data'!X112</f>
        <v>0</v>
      </c>
      <c r="M122" s="114"/>
      <c r="N122" s="114"/>
      <c r="O122" s="115"/>
      <c r="P122" s="115"/>
      <c r="Q122" s="116"/>
      <c r="R122" s="116"/>
      <c r="S122" s="111">
        <f>Audit[[#This Row],[Audit Losing Candidate]]-Audit[[#This Row],[Losing Candidate]]</f>
        <v>-1</v>
      </c>
      <c r="T122" s="111">
        <f>Audit[[#This Row],[Audit Winning Candidate]]-Audit[[#This Row],[Winning Candidate]]</f>
        <v>-9</v>
      </c>
      <c r="U122" s="111">
        <f>Audit[[#This Row],[Audit Candidate 3]]-Audit[[#This Row],[Candidate 3]]</f>
        <v>0</v>
      </c>
      <c r="V122" s="111">
        <f>Audit[[#This Row],[Audit Candidate 4]]-Audit[[#This Row],[Candidate 4]]</f>
        <v>-2</v>
      </c>
      <c r="W122" s="111">
        <f>Audit[[#This Row],[Audit Candidate 5]]-Audit[[#This Row],[Candidate 5]]</f>
        <v>0</v>
      </c>
      <c r="X122" s="111">
        <f>Audit[[#This Row],[Audit Candidate 6]]-Audit[[#This Row],[Candidate 6]]</f>
        <v>0</v>
      </c>
      <c r="Y122" s="111">
        <f>SUMIF(Audit[[#This Row],[Difference Loser]:[Difference Candidate 6]], "&gt;0")</f>
        <v>0</v>
      </c>
      <c r="Z122" s="111">
        <f>SUM(Audit[[#This Row],[Difference Loser]:[Difference Candidate 6]])</f>
        <v>-12</v>
      </c>
      <c r="AA122" s="111">
        <f>IF(Audit[[#This Row],[Times p Drawn - With Replacement]]&gt;0, IF(Audit[[#This Row],[Canceled Differences]]&lt;0, Audit[[#This Row],[Max Differences]]+ABS(Audit[[#This Row],[Canceled Differences]]), Audit[[#This Row],[Max Differences]]), 0)</f>
        <v>0</v>
      </c>
      <c r="AB122" s="111">
        <f>'Sampling Data'!P112</f>
        <v>1.2861342479176874E-3</v>
      </c>
      <c r="AC122" s="111">
        <f>IF(
      SUM(Audit[[#This Row],[Audit Losing Candidate]:[Audit Candidate 6]])
      &lt;&gt;0,
      (Audit[[#This Row],[Winning Candidate]]-Audit[[#This Row],[Losing Candidate]]-(Audit[[#This Row],[Audit Winning Candidate]]-Audit[[#This Row],[Audit Losing Candidate]]))/(Audit[[#Totals],[Winning Candidate]]-Audit[[#Totals],[Losing Candidate]]),
      0
)</f>
        <v>0</v>
      </c>
      <c r="AD1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 s="111">
        <f>IF(Audit[[#This Row],[Max Relative Error (ep)]] = 0, 0, Audit[[#This Row],[Max Relative Error (ep)]]/Audit[[#This Row],[Error Bound (up) - Max. possible relative overstatement]])</f>
        <v>0</v>
      </c>
      <c r="AJ1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2" s="111">
        <f t="shared" si="1"/>
        <v>1</v>
      </c>
      <c r="AL122" s="111">
        <f>PRODUCT($AK$5:AK122)</f>
        <v>8.962823818226312E-2</v>
      </c>
      <c r="AM122" s="109">
        <f>1 - [K-M P Value]</f>
        <v>0.91037176181773694</v>
      </c>
      <c r="AN122" s="111" t="str">
        <f>IF(Audit[[#This Row],[K-M P Value]]&gt;1-'General Info'!$B$16,"Continue", "Stop")</f>
        <v>Stop</v>
      </c>
      <c r="AO122" s="110" t="b">
        <f>IF(Audit[[#This Row],[Status - Continue or stop audit]] = "Continue", TRUE, IF(AN121 = "Continue", TRUE, FALSE))</f>
        <v>0</v>
      </c>
      <c r="AP122" s="110"/>
    </row>
    <row r="123" spans="1:42" ht="15" hidden="1" customHeight="1">
      <c r="A123" s="111" t="str">
        <f>'Sampling Data'!W113</f>
        <v/>
      </c>
      <c r="B123" s="112" t="str">
        <f>'Sampling Data'!A113</f>
        <v>BEREA -03-C.02</v>
      </c>
      <c r="C123" s="112">
        <f>'Sampling Data'!B113</f>
        <v>21</v>
      </c>
      <c r="D123" s="112">
        <f>'Sampling Data'!C113</f>
        <v>45</v>
      </c>
      <c r="E123" s="113">
        <f>'Sampling Data'!D113</f>
        <v>15</v>
      </c>
      <c r="F123" s="113">
        <f>'Sampling Data'!E113</f>
        <v>7</v>
      </c>
      <c r="G123" s="113">
        <f>'Sampling Data'!F113</f>
        <v>1</v>
      </c>
      <c r="H123" s="113">
        <f>'Sampling Data'!G113</f>
        <v>0</v>
      </c>
      <c r="I123" s="112">
        <f>'Sampling Data'!H113</f>
        <v>0</v>
      </c>
      <c r="J123" s="112">
        <f>'Sampling Data'!I113</f>
        <v>1</v>
      </c>
      <c r="K123" s="112">
        <f>'Sampling Data'!J113</f>
        <v>90</v>
      </c>
      <c r="L123" s="111">
        <f>'Sampling Data'!X113</f>
        <v>0</v>
      </c>
      <c r="M123" s="114"/>
      <c r="N123" s="114"/>
      <c r="O123" s="115"/>
      <c r="P123" s="115"/>
      <c r="Q123" s="116"/>
      <c r="R123" s="116"/>
      <c r="S123" s="111">
        <f>Audit[[#This Row],[Audit Losing Candidate]]-Audit[[#This Row],[Losing Candidate]]</f>
        <v>-21</v>
      </c>
      <c r="T123" s="111">
        <f>Audit[[#This Row],[Audit Winning Candidate]]-Audit[[#This Row],[Winning Candidate]]</f>
        <v>-45</v>
      </c>
      <c r="U123" s="111">
        <f>Audit[[#This Row],[Audit Candidate 3]]-Audit[[#This Row],[Candidate 3]]</f>
        <v>-15</v>
      </c>
      <c r="V123" s="111">
        <f>Audit[[#This Row],[Audit Candidate 4]]-Audit[[#This Row],[Candidate 4]]</f>
        <v>-7</v>
      </c>
      <c r="W123" s="111">
        <f>Audit[[#This Row],[Audit Candidate 5]]-Audit[[#This Row],[Candidate 5]]</f>
        <v>-1</v>
      </c>
      <c r="X123" s="111">
        <f>Audit[[#This Row],[Audit Candidate 6]]-Audit[[#This Row],[Candidate 6]]</f>
        <v>0</v>
      </c>
      <c r="Y123" s="111">
        <f>SUMIF(Audit[[#This Row],[Difference Loser]:[Difference Candidate 6]], "&gt;0")</f>
        <v>0</v>
      </c>
      <c r="Z123" s="111">
        <f>SUM(Audit[[#This Row],[Difference Loser]:[Difference Candidate 6]])</f>
        <v>-89</v>
      </c>
      <c r="AA123" s="111">
        <f>IF(Audit[[#This Row],[Times p Drawn - With Replacement]]&gt;0, IF(Audit[[#This Row],[Canceled Differences]]&lt;0, Audit[[#This Row],[Max Differences]]+ABS(Audit[[#This Row],[Canceled Differences]]), Audit[[#This Row],[Max Differences]]), 0)</f>
        <v>0</v>
      </c>
      <c r="AB123" s="111">
        <f>'Sampling Data'!P113</f>
        <v>6.9818716315531602E-3</v>
      </c>
      <c r="AC123" s="111">
        <f>IF(
      SUM(Audit[[#This Row],[Audit Losing Candidate]:[Audit Candidate 6]])
      &lt;&gt;0,
      (Audit[[#This Row],[Winning Candidate]]-Audit[[#This Row],[Losing Candidate]]-(Audit[[#This Row],[Audit Winning Candidate]]-Audit[[#This Row],[Audit Losing Candidate]]))/(Audit[[#Totals],[Winning Candidate]]-Audit[[#Totals],[Losing Candidate]]),
      0
)</f>
        <v>0</v>
      </c>
      <c r="AD1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 s="111">
        <f>IF(Audit[[#This Row],[Max Relative Error (ep)]] = 0, 0, Audit[[#This Row],[Max Relative Error (ep)]]/Audit[[#This Row],[Error Bound (up) - Max. possible relative overstatement]])</f>
        <v>0</v>
      </c>
      <c r="AJ1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3" s="111">
        <f t="shared" si="1"/>
        <v>1</v>
      </c>
      <c r="AL123" s="111">
        <f>PRODUCT($AK$5:AK123)</f>
        <v>8.962823818226312E-2</v>
      </c>
      <c r="AM123" s="109">
        <f>1 - [K-M P Value]</f>
        <v>0.91037176181773694</v>
      </c>
      <c r="AN123" s="111" t="str">
        <f>IF(Audit[[#This Row],[K-M P Value]]&gt;1-'General Info'!$B$16,"Continue", "Stop")</f>
        <v>Stop</v>
      </c>
      <c r="AO123" s="110" t="b">
        <f>IF(Audit[[#This Row],[Status - Continue or stop audit]] = "Continue", TRUE, IF(AN122 = "Continue", TRUE, FALSE))</f>
        <v>0</v>
      </c>
      <c r="AP123" s="110"/>
    </row>
    <row r="124" spans="1:42" ht="15" hidden="1" customHeight="1">
      <c r="A124" s="111" t="str">
        <f>'Sampling Data'!W114</f>
        <v/>
      </c>
      <c r="B124" s="112" t="str">
        <f>'Sampling Data'!A114</f>
        <v>BEREA -03-C.02 - ABS</v>
      </c>
      <c r="C124" s="112">
        <f>'Sampling Data'!B114</f>
        <v>21</v>
      </c>
      <c r="D124" s="112">
        <f>'Sampling Data'!C114</f>
        <v>26</v>
      </c>
      <c r="E124" s="113">
        <f>'Sampling Data'!D114</f>
        <v>2</v>
      </c>
      <c r="F124" s="113">
        <f>'Sampling Data'!E114</f>
        <v>2</v>
      </c>
      <c r="G124" s="113">
        <f>'Sampling Data'!F114</f>
        <v>0</v>
      </c>
      <c r="H124" s="113">
        <f>'Sampling Data'!G114</f>
        <v>0</v>
      </c>
      <c r="I124" s="112">
        <f>'Sampling Data'!H114</f>
        <v>0</v>
      </c>
      <c r="J124" s="112">
        <f>'Sampling Data'!I114</f>
        <v>5</v>
      </c>
      <c r="K124" s="112">
        <f>'Sampling Data'!J114</f>
        <v>56</v>
      </c>
      <c r="L124" s="111">
        <f>'Sampling Data'!X114</f>
        <v>0</v>
      </c>
      <c r="M124" s="114"/>
      <c r="N124" s="114"/>
      <c r="O124" s="115"/>
      <c r="P124" s="115"/>
      <c r="Q124" s="116"/>
      <c r="R124" s="116"/>
      <c r="S124" s="111">
        <f>Audit[[#This Row],[Audit Losing Candidate]]-Audit[[#This Row],[Losing Candidate]]</f>
        <v>-21</v>
      </c>
      <c r="T124" s="111">
        <f>Audit[[#This Row],[Audit Winning Candidate]]-Audit[[#This Row],[Winning Candidate]]</f>
        <v>-26</v>
      </c>
      <c r="U124" s="111">
        <f>Audit[[#This Row],[Audit Candidate 3]]-Audit[[#This Row],[Candidate 3]]</f>
        <v>-2</v>
      </c>
      <c r="V124" s="111">
        <f>Audit[[#This Row],[Audit Candidate 4]]-Audit[[#This Row],[Candidate 4]]</f>
        <v>-2</v>
      </c>
      <c r="W124" s="111">
        <f>Audit[[#This Row],[Audit Candidate 5]]-Audit[[#This Row],[Candidate 5]]</f>
        <v>0</v>
      </c>
      <c r="X124" s="111">
        <f>Audit[[#This Row],[Audit Candidate 6]]-Audit[[#This Row],[Candidate 6]]</f>
        <v>0</v>
      </c>
      <c r="Y124" s="111">
        <f>SUMIF(Audit[[#This Row],[Difference Loser]:[Difference Candidate 6]], "&gt;0")</f>
        <v>0</v>
      </c>
      <c r="Z124" s="111">
        <f>SUM(Audit[[#This Row],[Difference Loser]:[Difference Candidate 6]])</f>
        <v>-51</v>
      </c>
      <c r="AA124" s="111">
        <f>IF(Audit[[#This Row],[Times p Drawn - With Replacement]]&gt;0, IF(Audit[[#This Row],[Canceled Differences]]&lt;0, Audit[[#This Row],[Max Differences]]+ABS(Audit[[#This Row],[Canceled Differences]]), Audit[[#This Row],[Max Differences]]), 0)</f>
        <v>0</v>
      </c>
      <c r="AB124" s="111">
        <f>'Sampling Data'!P114</f>
        <v>3.7359137677609017E-3</v>
      </c>
      <c r="AC124" s="111">
        <f>IF(
      SUM(Audit[[#This Row],[Audit Losing Candidate]:[Audit Candidate 6]])
      &lt;&gt;0,
      (Audit[[#This Row],[Winning Candidate]]-Audit[[#This Row],[Losing Candidate]]-(Audit[[#This Row],[Audit Winning Candidate]]-Audit[[#This Row],[Audit Losing Candidate]]))/(Audit[[#Totals],[Winning Candidate]]-Audit[[#Totals],[Losing Candidate]]),
      0
)</f>
        <v>0</v>
      </c>
      <c r="AD1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 s="111">
        <f>IF(Audit[[#This Row],[Max Relative Error (ep)]] = 0, 0, Audit[[#This Row],[Max Relative Error (ep)]]/Audit[[#This Row],[Error Bound (up) - Max. possible relative overstatement]])</f>
        <v>0</v>
      </c>
      <c r="AJ1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4" s="111">
        <f t="shared" si="1"/>
        <v>1</v>
      </c>
      <c r="AL124" s="111">
        <f>PRODUCT($AK$5:AK124)</f>
        <v>8.962823818226312E-2</v>
      </c>
      <c r="AM124" s="109">
        <f>1 - [K-M P Value]</f>
        <v>0.91037176181773694</v>
      </c>
      <c r="AN124" s="111" t="str">
        <f>IF(Audit[[#This Row],[K-M P Value]]&gt;1-'General Info'!$B$16,"Continue", "Stop")</f>
        <v>Stop</v>
      </c>
      <c r="AO124" s="110" t="b">
        <f>IF(Audit[[#This Row],[Status - Continue or stop audit]] = "Continue", TRUE, IF(AN123 = "Continue", TRUE, FALSE))</f>
        <v>0</v>
      </c>
      <c r="AP124" s="110"/>
    </row>
    <row r="125" spans="1:42" ht="15" hidden="1" customHeight="1">
      <c r="A125" s="111" t="str">
        <f>'Sampling Data'!W115</f>
        <v/>
      </c>
      <c r="B125" s="112" t="str">
        <f>'Sampling Data'!A115</f>
        <v>BEREA -04-A</v>
      </c>
      <c r="C125" s="112">
        <f>'Sampling Data'!B115</f>
        <v>8</v>
      </c>
      <c r="D125" s="112">
        <f>'Sampling Data'!C115</f>
        <v>16</v>
      </c>
      <c r="E125" s="113">
        <f>'Sampling Data'!D115</f>
        <v>10</v>
      </c>
      <c r="F125" s="113">
        <f>'Sampling Data'!E115</f>
        <v>6</v>
      </c>
      <c r="G125" s="113">
        <f>'Sampling Data'!F115</f>
        <v>0</v>
      </c>
      <c r="H125" s="113">
        <f>'Sampling Data'!G115</f>
        <v>0</v>
      </c>
      <c r="I125" s="112">
        <f>'Sampling Data'!H115</f>
        <v>0</v>
      </c>
      <c r="J125" s="112">
        <f>'Sampling Data'!I115</f>
        <v>0</v>
      </c>
      <c r="K125" s="112">
        <f>'Sampling Data'!J115</f>
        <v>40</v>
      </c>
      <c r="L125" s="111">
        <f>'Sampling Data'!X115</f>
        <v>0</v>
      </c>
      <c r="M125" s="114"/>
      <c r="N125" s="114"/>
      <c r="O125" s="115"/>
      <c r="P125" s="115"/>
      <c r="Q125" s="116"/>
      <c r="R125" s="116"/>
      <c r="S125" s="111">
        <f>Audit[[#This Row],[Audit Losing Candidate]]-Audit[[#This Row],[Losing Candidate]]</f>
        <v>-8</v>
      </c>
      <c r="T125" s="111">
        <f>Audit[[#This Row],[Audit Winning Candidate]]-Audit[[#This Row],[Winning Candidate]]</f>
        <v>-16</v>
      </c>
      <c r="U125" s="111">
        <f>Audit[[#This Row],[Audit Candidate 3]]-Audit[[#This Row],[Candidate 3]]</f>
        <v>-10</v>
      </c>
      <c r="V125" s="111">
        <f>Audit[[#This Row],[Audit Candidate 4]]-Audit[[#This Row],[Candidate 4]]</f>
        <v>-6</v>
      </c>
      <c r="W125" s="111">
        <f>Audit[[#This Row],[Audit Candidate 5]]-Audit[[#This Row],[Candidate 5]]</f>
        <v>0</v>
      </c>
      <c r="X125" s="111">
        <f>Audit[[#This Row],[Audit Candidate 6]]-Audit[[#This Row],[Candidate 6]]</f>
        <v>0</v>
      </c>
      <c r="Y125" s="111">
        <f>SUMIF(Audit[[#This Row],[Difference Loser]:[Difference Candidate 6]], "&gt;0")</f>
        <v>0</v>
      </c>
      <c r="Z125" s="111">
        <f>SUM(Audit[[#This Row],[Difference Loser]:[Difference Candidate 6]])</f>
        <v>-40</v>
      </c>
      <c r="AA125" s="111">
        <f>IF(Audit[[#This Row],[Times p Drawn - With Replacement]]&gt;0, IF(Audit[[#This Row],[Canceled Differences]]&lt;0, Audit[[#This Row],[Max Differences]]+ABS(Audit[[#This Row],[Canceled Differences]]), Audit[[#This Row],[Max Differences]]), 0)</f>
        <v>0</v>
      </c>
      <c r="AB125" s="111">
        <f>'Sampling Data'!P115</f>
        <v>2.9397354238118569E-3</v>
      </c>
      <c r="AC125" s="111">
        <f>IF(
      SUM(Audit[[#This Row],[Audit Losing Candidate]:[Audit Candidate 6]])
      &lt;&gt;0,
      (Audit[[#This Row],[Winning Candidate]]-Audit[[#This Row],[Losing Candidate]]-(Audit[[#This Row],[Audit Winning Candidate]]-Audit[[#This Row],[Audit Losing Candidate]]))/(Audit[[#Totals],[Winning Candidate]]-Audit[[#Totals],[Losing Candidate]]),
      0
)</f>
        <v>0</v>
      </c>
      <c r="AD1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 s="111">
        <f>IF(Audit[[#This Row],[Max Relative Error (ep)]] = 0, 0, Audit[[#This Row],[Max Relative Error (ep)]]/Audit[[#This Row],[Error Bound (up) - Max. possible relative overstatement]])</f>
        <v>0</v>
      </c>
      <c r="AJ1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5" s="111">
        <f t="shared" si="1"/>
        <v>1</v>
      </c>
      <c r="AL125" s="111">
        <f>PRODUCT($AK$5:AK125)</f>
        <v>8.962823818226312E-2</v>
      </c>
      <c r="AM125" s="109">
        <f>1 - [K-M P Value]</f>
        <v>0.91037176181773694</v>
      </c>
      <c r="AN125" s="111" t="str">
        <f>IF(Audit[[#This Row],[K-M P Value]]&gt;1-'General Info'!$B$16,"Continue", "Stop")</f>
        <v>Stop</v>
      </c>
      <c r="AO125" s="110" t="b">
        <f>IF(Audit[[#This Row],[Status - Continue or stop audit]] = "Continue", TRUE, IF(AN124 = "Continue", TRUE, FALSE))</f>
        <v>0</v>
      </c>
      <c r="AP125" s="110"/>
    </row>
    <row r="126" spans="1:42" ht="15" hidden="1" customHeight="1">
      <c r="A126" s="111" t="str">
        <f>'Sampling Data'!W116</f>
        <v/>
      </c>
      <c r="B126" s="112" t="str">
        <f>'Sampling Data'!A116</f>
        <v>BEREA -04-A - ABS</v>
      </c>
      <c r="C126" s="112">
        <f>'Sampling Data'!B116</f>
        <v>1</v>
      </c>
      <c r="D126" s="112">
        <f>'Sampling Data'!C116</f>
        <v>3</v>
      </c>
      <c r="E126" s="113">
        <f>'Sampling Data'!D116</f>
        <v>1</v>
      </c>
      <c r="F126" s="113">
        <f>'Sampling Data'!E116</f>
        <v>1</v>
      </c>
      <c r="G126" s="113">
        <f>'Sampling Data'!F116</f>
        <v>0</v>
      </c>
      <c r="H126" s="113">
        <f>'Sampling Data'!G116</f>
        <v>0</v>
      </c>
      <c r="I126" s="112">
        <f>'Sampling Data'!H116</f>
        <v>0</v>
      </c>
      <c r="J126" s="112">
        <f>'Sampling Data'!I116</f>
        <v>1</v>
      </c>
      <c r="K126" s="112">
        <f>'Sampling Data'!J116</f>
        <v>7</v>
      </c>
      <c r="L126" s="111">
        <f>'Sampling Data'!X116</f>
        <v>0</v>
      </c>
      <c r="M126" s="114"/>
      <c r="N126" s="114"/>
      <c r="O126" s="115"/>
      <c r="P126" s="115"/>
      <c r="Q126" s="116"/>
      <c r="R126" s="116"/>
      <c r="S126" s="111">
        <f>Audit[[#This Row],[Audit Losing Candidate]]-Audit[[#This Row],[Losing Candidate]]</f>
        <v>-1</v>
      </c>
      <c r="T126" s="111">
        <f>Audit[[#This Row],[Audit Winning Candidate]]-Audit[[#This Row],[Winning Candidate]]</f>
        <v>-3</v>
      </c>
      <c r="U126" s="111">
        <f>Audit[[#This Row],[Audit Candidate 3]]-Audit[[#This Row],[Candidate 3]]</f>
        <v>-1</v>
      </c>
      <c r="V126" s="111">
        <f>Audit[[#This Row],[Audit Candidate 4]]-Audit[[#This Row],[Candidate 4]]</f>
        <v>-1</v>
      </c>
      <c r="W126" s="111">
        <f>Audit[[#This Row],[Audit Candidate 5]]-Audit[[#This Row],[Candidate 5]]</f>
        <v>0</v>
      </c>
      <c r="X126" s="111">
        <f>Audit[[#This Row],[Audit Candidate 6]]-Audit[[#This Row],[Candidate 6]]</f>
        <v>0</v>
      </c>
      <c r="Y126" s="111">
        <f>SUMIF(Audit[[#This Row],[Difference Loser]:[Difference Candidate 6]], "&gt;0")</f>
        <v>0</v>
      </c>
      <c r="Z126" s="111">
        <f>SUM(Audit[[#This Row],[Difference Loser]:[Difference Candidate 6]])</f>
        <v>-6</v>
      </c>
      <c r="AA126" s="111">
        <f>IF(Audit[[#This Row],[Times p Drawn - With Replacement]]&gt;0, IF(Audit[[#This Row],[Canceled Differences]]&lt;0, Audit[[#This Row],[Max Differences]]+ABS(Audit[[#This Row],[Canceled Differences]]), Audit[[#This Row],[Max Differences]]), 0)</f>
        <v>0</v>
      </c>
      <c r="AB126" s="111">
        <f>'Sampling Data'!P116</f>
        <v>5.5120039196472322E-4</v>
      </c>
      <c r="AC126" s="111">
        <f>IF(
      SUM(Audit[[#This Row],[Audit Losing Candidate]:[Audit Candidate 6]])
      &lt;&gt;0,
      (Audit[[#This Row],[Winning Candidate]]-Audit[[#This Row],[Losing Candidate]]-(Audit[[#This Row],[Audit Winning Candidate]]-Audit[[#This Row],[Audit Losing Candidate]]))/(Audit[[#Totals],[Winning Candidate]]-Audit[[#Totals],[Losing Candidate]]),
      0
)</f>
        <v>0</v>
      </c>
      <c r="AD1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 s="111">
        <f>IF(Audit[[#This Row],[Max Relative Error (ep)]] = 0, 0, Audit[[#This Row],[Max Relative Error (ep)]]/Audit[[#This Row],[Error Bound (up) - Max. possible relative overstatement]])</f>
        <v>0</v>
      </c>
      <c r="AJ1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6" s="111">
        <f t="shared" si="1"/>
        <v>1</v>
      </c>
      <c r="AL126" s="111">
        <f>PRODUCT($AK$5:AK126)</f>
        <v>8.962823818226312E-2</v>
      </c>
      <c r="AM126" s="109">
        <f>1 - [K-M P Value]</f>
        <v>0.91037176181773694</v>
      </c>
      <c r="AN126" s="111" t="str">
        <f>IF(Audit[[#This Row],[K-M P Value]]&gt;1-'General Info'!$B$16,"Continue", "Stop")</f>
        <v>Stop</v>
      </c>
      <c r="AO126" s="110" t="b">
        <f>IF(Audit[[#This Row],[Status - Continue or stop audit]] = "Continue", TRUE, IF(AN125 = "Continue", TRUE, FALSE))</f>
        <v>0</v>
      </c>
      <c r="AP126" s="110"/>
    </row>
    <row r="127" spans="1:42" ht="15" hidden="1" customHeight="1">
      <c r="A127" s="111" t="str">
        <f>'Sampling Data'!W117</f>
        <v/>
      </c>
      <c r="B127" s="112" t="str">
        <f>'Sampling Data'!A117</f>
        <v>BEREA -04-B</v>
      </c>
      <c r="C127" s="112">
        <f>'Sampling Data'!B117</f>
        <v>32</v>
      </c>
      <c r="D127" s="112">
        <f>'Sampling Data'!C117</f>
        <v>31</v>
      </c>
      <c r="E127" s="113">
        <f>'Sampling Data'!D117</f>
        <v>5</v>
      </c>
      <c r="F127" s="113">
        <f>'Sampling Data'!E117</f>
        <v>9</v>
      </c>
      <c r="G127" s="113">
        <f>'Sampling Data'!F117</f>
        <v>0</v>
      </c>
      <c r="H127" s="113">
        <f>'Sampling Data'!G117</f>
        <v>0</v>
      </c>
      <c r="I127" s="112">
        <f>'Sampling Data'!H117</f>
        <v>0</v>
      </c>
      <c r="J127" s="112">
        <f>'Sampling Data'!I117</f>
        <v>3</v>
      </c>
      <c r="K127" s="112">
        <f>'Sampling Data'!J117</f>
        <v>80</v>
      </c>
      <c r="L127" s="111">
        <f>'Sampling Data'!X117</f>
        <v>0</v>
      </c>
      <c r="M127" s="114"/>
      <c r="N127" s="114"/>
      <c r="O127" s="115"/>
      <c r="P127" s="115"/>
      <c r="Q127" s="116"/>
      <c r="R127" s="116"/>
      <c r="S127" s="111">
        <f>Audit[[#This Row],[Audit Losing Candidate]]-Audit[[#This Row],[Losing Candidate]]</f>
        <v>-32</v>
      </c>
      <c r="T127" s="111">
        <f>Audit[[#This Row],[Audit Winning Candidate]]-Audit[[#This Row],[Winning Candidate]]</f>
        <v>-31</v>
      </c>
      <c r="U127" s="111">
        <f>Audit[[#This Row],[Audit Candidate 3]]-Audit[[#This Row],[Candidate 3]]</f>
        <v>-5</v>
      </c>
      <c r="V127" s="111">
        <f>Audit[[#This Row],[Audit Candidate 4]]-Audit[[#This Row],[Candidate 4]]</f>
        <v>-9</v>
      </c>
      <c r="W127" s="111">
        <f>Audit[[#This Row],[Audit Candidate 5]]-Audit[[#This Row],[Candidate 5]]</f>
        <v>0</v>
      </c>
      <c r="X127" s="111">
        <f>Audit[[#This Row],[Audit Candidate 6]]-Audit[[#This Row],[Candidate 6]]</f>
        <v>0</v>
      </c>
      <c r="Y127" s="111">
        <f>SUMIF(Audit[[#This Row],[Difference Loser]:[Difference Candidate 6]], "&gt;0")</f>
        <v>0</v>
      </c>
      <c r="Z127" s="111">
        <f>SUM(Audit[[#This Row],[Difference Loser]:[Difference Candidate 6]])</f>
        <v>-77</v>
      </c>
      <c r="AA127" s="111">
        <f>IF(Audit[[#This Row],[Times p Drawn - With Replacement]]&gt;0, IF(Audit[[#This Row],[Canceled Differences]]&lt;0, Audit[[#This Row],[Max Differences]]+ABS(Audit[[#This Row],[Canceled Differences]]), Audit[[#This Row],[Max Differences]]), 0)</f>
        <v>0</v>
      </c>
      <c r="AB127" s="111">
        <f>'Sampling Data'!P117</f>
        <v>4.8383145516903477E-3</v>
      </c>
      <c r="AC127" s="111">
        <f>IF(
      SUM(Audit[[#This Row],[Audit Losing Candidate]:[Audit Candidate 6]])
      &lt;&gt;0,
      (Audit[[#This Row],[Winning Candidate]]-Audit[[#This Row],[Losing Candidate]]-(Audit[[#This Row],[Audit Winning Candidate]]-Audit[[#This Row],[Audit Losing Candidate]]))/(Audit[[#Totals],[Winning Candidate]]-Audit[[#Totals],[Losing Candidate]]),
      0
)</f>
        <v>0</v>
      </c>
      <c r="AD1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 s="111">
        <f>IF(Audit[[#This Row],[Max Relative Error (ep)]] = 0, 0, Audit[[#This Row],[Max Relative Error (ep)]]/Audit[[#This Row],[Error Bound (up) - Max. possible relative overstatement]])</f>
        <v>0</v>
      </c>
      <c r="AJ1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7" s="111">
        <f t="shared" si="1"/>
        <v>1</v>
      </c>
      <c r="AL127" s="111">
        <f>PRODUCT($AK$5:AK127)</f>
        <v>8.962823818226312E-2</v>
      </c>
      <c r="AM127" s="109">
        <f>1 - [K-M P Value]</f>
        <v>0.91037176181773694</v>
      </c>
      <c r="AN127" s="111" t="str">
        <f>IF(Audit[[#This Row],[K-M P Value]]&gt;1-'General Info'!$B$16,"Continue", "Stop")</f>
        <v>Stop</v>
      </c>
      <c r="AO127" s="110" t="b">
        <f>IF(Audit[[#This Row],[Status - Continue or stop audit]] = "Continue", TRUE, IF(AN126 = "Continue", TRUE, FALSE))</f>
        <v>0</v>
      </c>
      <c r="AP127" s="110"/>
    </row>
    <row r="128" spans="1:42" ht="15" hidden="1" customHeight="1">
      <c r="A128" s="111" t="str">
        <f>'Sampling Data'!W118</f>
        <v/>
      </c>
      <c r="B128" s="112" t="str">
        <f>'Sampling Data'!A118</f>
        <v>BEREA -04-B - ABS</v>
      </c>
      <c r="C128" s="112">
        <f>'Sampling Data'!B118</f>
        <v>11</v>
      </c>
      <c r="D128" s="112">
        <f>'Sampling Data'!C118</f>
        <v>17</v>
      </c>
      <c r="E128" s="113">
        <f>'Sampling Data'!D118</f>
        <v>5</v>
      </c>
      <c r="F128" s="113">
        <f>'Sampling Data'!E118</f>
        <v>1</v>
      </c>
      <c r="G128" s="113">
        <f>'Sampling Data'!F118</f>
        <v>0</v>
      </c>
      <c r="H128" s="113">
        <f>'Sampling Data'!G118</f>
        <v>0</v>
      </c>
      <c r="I128" s="112">
        <f>'Sampling Data'!H118</f>
        <v>0</v>
      </c>
      <c r="J128" s="112">
        <f>'Sampling Data'!I118</f>
        <v>0</v>
      </c>
      <c r="K128" s="112">
        <f>'Sampling Data'!J118</f>
        <v>34</v>
      </c>
      <c r="L128" s="111">
        <f>'Sampling Data'!X118</f>
        <v>0</v>
      </c>
      <c r="M128" s="114"/>
      <c r="N128" s="114"/>
      <c r="O128" s="115"/>
      <c r="P128" s="115"/>
      <c r="Q128" s="116"/>
      <c r="R128" s="116"/>
      <c r="S128" s="111">
        <f>Audit[[#This Row],[Audit Losing Candidate]]-Audit[[#This Row],[Losing Candidate]]</f>
        <v>-11</v>
      </c>
      <c r="T128" s="111">
        <f>Audit[[#This Row],[Audit Winning Candidate]]-Audit[[#This Row],[Winning Candidate]]</f>
        <v>-17</v>
      </c>
      <c r="U128" s="111">
        <f>Audit[[#This Row],[Audit Candidate 3]]-Audit[[#This Row],[Candidate 3]]</f>
        <v>-5</v>
      </c>
      <c r="V128" s="111">
        <f>Audit[[#This Row],[Audit Candidate 4]]-Audit[[#This Row],[Candidate 4]]</f>
        <v>-1</v>
      </c>
      <c r="W128" s="111">
        <f>Audit[[#This Row],[Audit Candidate 5]]-Audit[[#This Row],[Candidate 5]]</f>
        <v>0</v>
      </c>
      <c r="X128" s="111">
        <f>Audit[[#This Row],[Audit Candidate 6]]-Audit[[#This Row],[Candidate 6]]</f>
        <v>0</v>
      </c>
      <c r="Y128" s="111">
        <f>SUMIF(Audit[[#This Row],[Difference Loser]:[Difference Candidate 6]], "&gt;0")</f>
        <v>0</v>
      </c>
      <c r="Z128" s="111">
        <f>SUM(Audit[[#This Row],[Difference Loser]:[Difference Candidate 6]])</f>
        <v>-34</v>
      </c>
      <c r="AA128" s="111">
        <f>IF(Audit[[#This Row],[Times p Drawn - With Replacement]]&gt;0, IF(Audit[[#This Row],[Canceled Differences]]&lt;0, Audit[[#This Row],[Max Differences]]+ABS(Audit[[#This Row],[Canceled Differences]]), Audit[[#This Row],[Max Differences]]), 0)</f>
        <v>0</v>
      </c>
      <c r="AB128" s="111">
        <f>'Sampling Data'!P118</f>
        <v>2.4497795198432141E-3</v>
      </c>
      <c r="AC128" s="111">
        <f>IF(
      SUM(Audit[[#This Row],[Audit Losing Candidate]:[Audit Candidate 6]])
      &lt;&gt;0,
      (Audit[[#This Row],[Winning Candidate]]-Audit[[#This Row],[Losing Candidate]]-(Audit[[#This Row],[Audit Winning Candidate]]-Audit[[#This Row],[Audit Losing Candidate]]))/(Audit[[#Totals],[Winning Candidate]]-Audit[[#Totals],[Losing Candidate]]),
      0
)</f>
        <v>0</v>
      </c>
      <c r="AD1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 s="111">
        <f>IF(Audit[[#This Row],[Max Relative Error (ep)]] = 0, 0, Audit[[#This Row],[Max Relative Error (ep)]]/Audit[[#This Row],[Error Bound (up) - Max. possible relative overstatement]])</f>
        <v>0</v>
      </c>
      <c r="AJ1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8" s="111">
        <f t="shared" si="1"/>
        <v>1</v>
      </c>
      <c r="AL128" s="111">
        <f>PRODUCT($AK$5:AK128)</f>
        <v>8.962823818226312E-2</v>
      </c>
      <c r="AM128" s="109">
        <f>1 - [K-M P Value]</f>
        <v>0.91037176181773694</v>
      </c>
      <c r="AN128" s="111" t="str">
        <f>IF(Audit[[#This Row],[K-M P Value]]&gt;1-'General Info'!$B$16,"Continue", "Stop")</f>
        <v>Stop</v>
      </c>
      <c r="AO128" s="110" t="b">
        <f>IF(Audit[[#This Row],[Status - Continue or stop audit]] = "Continue", TRUE, IF(AN127 = "Continue", TRUE, FALSE))</f>
        <v>0</v>
      </c>
      <c r="AP128" s="110"/>
    </row>
    <row r="129" spans="1:42" ht="15" hidden="1" customHeight="1">
      <c r="A129" s="111" t="str">
        <f>'Sampling Data'!W119</f>
        <v/>
      </c>
      <c r="B129" s="112" t="str">
        <f>'Sampling Data'!A119</f>
        <v>BEREA -04-C</v>
      </c>
      <c r="C129" s="112">
        <f>'Sampling Data'!B119</f>
        <v>19</v>
      </c>
      <c r="D129" s="112">
        <f>'Sampling Data'!C119</f>
        <v>38</v>
      </c>
      <c r="E129" s="113">
        <f>'Sampling Data'!D119</f>
        <v>16</v>
      </c>
      <c r="F129" s="113">
        <f>'Sampling Data'!E119</f>
        <v>9</v>
      </c>
      <c r="G129" s="113">
        <f>'Sampling Data'!F119</f>
        <v>0</v>
      </c>
      <c r="H129" s="113">
        <f>'Sampling Data'!G119</f>
        <v>0</v>
      </c>
      <c r="I129" s="112">
        <f>'Sampling Data'!H119</f>
        <v>0</v>
      </c>
      <c r="J129" s="112">
        <f>'Sampling Data'!I119</f>
        <v>4</v>
      </c>
      <c r="K129" s="112">
        <f>'Sampling Data'!J119</f>
        <v>86</v>
      </c>
      <c r="L129" s="111">
        <f>'Sampling Data'!X119</f>
        <v>0</v>
      </c>
      <c r="M129" s="114"/>
      <c r="N129" s="114"/>
      <c r="O129" s="115"/>
      <c r="P129" s="115"/>
      <c r="Q129" s="116"/>
      <c r="R129" s="116"/>
      <c r="S129" s="111">
        <f>Audit[[#This Row],[Audit Losing Candidate]]-Audit[[#This Row],[Losing Candidate]]</f>
        <v>-19</v>
      </c>
      <c r="T129" s="111">
        <f>Audit[[#This Row],[Audit Winning Candidate]]-Audit[[#This Row],[Winning Candidate]]</f>
        <v>-38</v>
      </c>
      <c r="U129" s="111">
        <f>Audit[[#This Row],[Audit Candidate 3]]-Audit[[#This Row],[Candidate 3]]</f>
        <v>-16</v>
      </c>
      <c r="V129" s="111">
        <f>Audit[[#This Row],[Audit Candidate 4]]-Audit[[#This Row],[Candidate 4]]</f>
        <v>-9</v>
      </c>
      <c r="W129" s="111">
        <f>Audit[[#This Row],[Audit Candidate 5]]-Audit[[#This Row],[Candidate 5]]</f>
        <v>0</v>
      </c>
      <c r="X129" s="111">
        <f>Audit[[#This Row],[Audit Candidate 6]]-Audit[[#This Row],[Candidate 6]]</f>
        <v>0</v>
      </c>
      <c r="Y129" s="111">
        <f>SUMIF(Audit[[#This Row],[Difference Loser]:[Difference Candidate 6]], "&gt;0")</f>
        <v>0</v>
      </c>
      <c r="Z129" s="111">
        <f>SUM(Audit[[#This Row],[Difference Loser]:[Difference Candidate 6]])</f>
        <v>-82</v>
      </c>
      <c r="AA129" s="111">
        <f>IF(Audit[[#This Row],[Times p Drawn - With Replacement]]&gt;0, IF(Audit[[#This Row],[Canceled Differences]]&lt;0, Audit[[#This Row],[Max Differences]]+ABS(Audit[[#This Row],[Canceled Differences]]), Audit[[#This Row],[Max Differences]]), 0)</f>
        <v>0</v>
      </c>
      <c r="AB129" s="111">
        <f>'Sampling Data'!P119</f>
        <v>6.4306712395884374E-3</v>
      </c>
      <c r="AC129" s="111">
        <f>IF(
      SUM(Audit[[#This Row],[Audit Losing Candidate]:[Audit Candidate 6]])
      &lt;&gt;0,
      (Audit[[#This Row],[Winning Candidate]]-Audit[[#This Row],[Losing Candidate]]-(Audit[[#This Row],[Audit Winning Candidate]]-Audit[[#This Row],[Audit Losing Candidate]]))/(Audit[[#Totals],[Winning Candidate]]-Audit[[#Totals],[Losing Candidate]]),
      0
)</f>
        <v>0</v>
      </c>
      <c r="AD1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 s="111">
        <f>IF(Audit[[#This Row],[Max Relative Error (ep)]] = 0, 0, Audit[[#This Row],[Max Relative Error (ep)]]/Audit[[#This Row],[Error Bound (up) - Max. possible relative overstatement]])</f>
        <v>0</v>
      </c>
      <c r="AJ1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9" s="111">
        <f t="shared" si="1"/>
        <v>1</v>
      </c>
      <c r="AL129" s="111">
        <f>PRODUCT($AK$5:AK129)</f>
        <v>8.962823818226312E-2</v>
      </c>
      <c r="AM129" s="109">
        <f>1 - [K-M P Value]</f>
        <v>0.91037176181773694</v>
      </c>
      <c r="AN129" s="111" t="str">
        <f>IF(Audit[[#This Row],[K-M P Value]]&gt;1-'General Info'!$B$16,"Continue", "Stop")</f>
        <v>Stop</v>
      </c>
      <c r="AO129" s="110" t="b">
        <f>IF(Audit[[#This Row],[Status - Continue or stop audit]] = "Continue", TRUE, IF(AN128 = "Continue", TRUE, FALSE))</f>
        <v>0</v>
      </c>
      <c r="AP129" s="110"/>
    </row>
    <row r="130" spans="1:42" ht="15" hidden="1" customHeight="1">
      <c r="A130" s="111" t="str">
        <f>'Sampling Data'!W120</f>
        <v/>
      </c>
      <c r="B130" s="112" t="str">
        <f>'Sampling Data'!A120</f>
        <v>BEREA -04-C - ABS</v>
      </c>
      <c r="C130" s="112">
        <f>'Sampling Data'!B120</f>
        <v>10</v>
      </c>
      <c r="D130" s="112">
        <f>'Sampling Data'!C120</f>
        <v>7</v>
      </c>
      <c r="E130" s="113">
        <f>'Sampling Data'!D120</f>
        <v>3</v>
      </c>
      <c r="F130" s="113">
        <f>'Sampling Data'!E120</f>
        <v>2</v>
      </c>
      <c r="G130" s="113">
        <f>'Sampling Data'!F120</f>
        <v>0</v>
      </c>
      <c r="H130" s="113">
        <f>'Sampling Data'!G120</f>
        <v>1</v>
      </c>
      <c r="I130" s="112">
        <f>'Sampling Data'!H120</f>
        <v>0</v>
      </c>
      <c r="J130" s="112">
        <f>'Sampling Data'!I120</f>
        <v>1</v>
      </c>
      <c r="K130" s="112">
        <f>'Sampling Data'!J120</f>
        <v>24</v>
      </c>
      <c r="L130" s="111">
        <f>'Sampling Data'!X120</f>
        <v>0</v>
      </c>
      <c r="M130" s="114"/>
      <c r="N130" s="114"/>
      <c r="O130" s="115"/>
      <c r="P130" s="115"/>
      <c r="Q130" s="116"/>
      <c r="R130" s="116"/>
      <c r="S130" s="111">
        <f>Audit[[#This Row],[Audit Losing Candidate]]-Audit[[#This Row],[Losing Candidate]]</f>
        <v>-10</v>
      </c>
      <c r="T130" s="111">
        <f>Audit[[#This Row],[Audit Winning Candidate]]-Audit[[#This Row],[Winning Candidate]]</f>
        <v>-7</v>
      </c>
      <c r="U130" s="111">
        <f>Audit[[#This Row],[Audit Candidate 3]]-Audit[[#This Row],[Candidate 3]]</f>
        <v>-3</v>
      </c>
      <c r="V130" s="111">
        <f>Audit[[#This Row],[Audit Candidate 4]]-Audit[[#This Row],[Candidate 4]]</f>
        <v>-2</v>
      </c>
      <c r="W130" s="111">
        <f>Audit[[#This Row],[Audit Candidate 5]]-Audit[[#This Row],[Candidate 5]]</f>
        <v>0</v>
      </c>
      <c r="X130" s="111">
        <f>Audit[[#This Row],[Audit Candidate 6]]-Audit[[#This Row],[Candidate 6]]</f>
        <v>-1</v>
      </c>
      <c r="Y130" s="111">
        <f>SUMIF(Audit[[#This Row],[Difference Loser]:[Difference Candidate 6]], "&gt;0")</f>
        <v>0</v>
      </c>
      <c r="Z130" s="111">
        <f>SUM(Audit[[#This Row],[Difference Loser]:[Difference Candidate 6]])</f>
        <v>-23</v>
      </c>
      <c r="AA130" s="111">
        <f>IF(Audit[[#This Row],[Times p Drawn - With Replacement]]&gt;0, IF(Audit[[#This Row],[Canceled Differences]]&lt;0, Audit[[#This Row],[Max Differences]]+ABS(Audit[[#This Row],[Canceled Differences]]), Audit[[#This Row],[Max Differences]]), 0)</f>
        <v>0</v>
      </c>
      <c r="AB130" s="111">
        <f>'Sampling Data'!P120</f>
        <v>1.2861342479176874E-3</v>
      </c>
      <c r="AC130" s="111">
        <f>IF(
      SUM(Audit[[#This Row],[Audit Losing Candidate]:[Audit Candidate 6]])
      &lt;&gt;0,
      (Audit[[#This Row],[Winning Candidate]]-Audit[[#This Row],[Losing Candidate]]-(Audit[[#This Row],[Audit Winning Candidate]]-Audit[[#This Row],[Audit Losing Candidate]]))/(Audit[[#Totals],[Winning Candidate]]-Audit[[#Totals],[Losing Candidate]]),
      0
)</f>
        <v>0</v>
      </c>
      <c r="AD1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 s="111">
        <f>IF(Audit[[#This Row],[Max Relative Error (ep)]] = 0, 0, Audit[[#This Row],[Max Relative Error (ep)]]/Audit[[#This Row],[Error Bound (up) - Max. possible relative overstatement]])</f>
        <v>0</v>
      </c>
      <c r="AJ1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0" s="111">
        <f t="shared" si="1"/>
        <v>1</v>
      </c>
      <c r="AL130" s="111">
        <f>PRODUCT($AK$5:AK130)</f>
        <v>8.962823818226312E-2</v>
      </c>
      <c r="AM130" s="109">
        <f>1 - [K-M P Value]</f>
        <v>0.91037176181773694</v>
      </c>
      <c r="AN130" s="111" t="str">
        <f>IF(Audit[[#This Row],[K-M P Value]]&gt;1-'General Info'!$B$16,"Continue", "Stop")</f>
        <v>Stop</v>
      </c>
      <c r="AO130" s="110" t="b">
        <f>IF(Audit[[#This Row],[Status - Continue or stop audit]] = "Continue", TRUE, IF(AN129 = "Continue", TRUE, FALSE))</f>
        <v>0</v>
      </c>
      <c r="AP130" s="110"/>
    </row>
    <row r="131" spans="1:42" ht="15" hidden="1" customHeight="1">
      <c r="A131" s="111" t="str">
        <f>'Sampling Data'!W121</f>
        <v/>
      </c>
      <c r="B131" s="112" t="str">
        <f>'Sampling Data'!A121</f>
        <v>BEREA -05-A</v>
      </c>
      <c r="C131" s="112">
        <f>'Sampling Data'!B121</f>
        <v>33</v>
      </c>
      <c r="D131" s="112">
        <f>'Sampling Data'!C121</f>
        <v>48</v>
      </c>
      <c r="E131" s="113">
        <f>'Sampling Data'!D121</f>
        <v>14</v>
      </c>
      <c r="F131" s="113">
        <f>'Sampling Data'!E121</f>
        <v>5</v>
      </c>
      <c r="G131" s="113">
        <f>'Sampling Data'!F121</f>
        <v>0</v>
      </c>
      <c r="H131" s="113">
        <f>'Sampling Data'!G121</f>
        <v>0</v>
      </c>
      <c r="I131" s="112">
        <f>'Sampling Data'!H121</f>
        <v>0</v>
      </c>
      <c r="J131" s="112">
        <f>'Sampling Data'!I121</f>
        <v>3</v>
      </c>
      <c r="K131" s="112">
        <f>'Sampling Data'!J121</f>
        <v>103</v>
      </c>
      <c r="L131" s="111">
        <f>'Sampling Data'!X121</f>
        <v>0</v>
      </c>
      <c r="M131" s="114"/>
      <c r="N131" s="114"/>
      <c r="O131" s="115"/>
      <c r="P131" s="115"/>
      <c r="Q131" s="116"/>
      <c r="R131" s="116"/>
      <c r="S131" s="111">
        <f>Audit[[#This Row],[Audit Losing Candidate]]-Audit[[#This Row],[Losing Candidate]]</f>
        <v>-33</v>
      </c>
      <c r="T131" s="111">
        <f>Audit[[#This Row],[Audit Winning Candidate]]-Audit[[#This Row],[Winning Candidate]]</f>
        <v>-48</v>
      </c>
      <c r="U131" s="111">
        <f>Audit[[#This Row],[Audit Candidate 3]]-Audit[[#This Row],[Candidate 3]]</f>
        <v>-14</v>
      </c>
      <c r="V131" s="111">
        <f>Audit[[#This Row],[Audit Candidate 4]]-Audit[[#This Row],[Candidate 4]]</f>
        <v>-5</v>
      </c>
      <c r="W131" s="111">
        <f>Audit[[#This Row],[Audit Candidate 5]]-Audit[[#This Row],[Candidate 5]]</f>
        <v>0</v>
      </c>
      <c r="X131" s="111">
        <f>Audit[[#This Row],[Audit Candidate 6]]-Audit[[#This Row],[Candidate 6]]</f>
        <v>0</v>
      </c>
      <c r="Y131" s="111">
        <f>SUMIF(Audit[[#This Row],[Difference Loser]:[Difference Candidate 6]], "&gt;0")</f>
        <v>0</v>
      </c>
      <c r="Z131" s="111">
        <f>SUM(Audit[[#This Row],[Difference Loser]:[Difference Candidate 6]])</f>
        <v>-100</v>
      </c>
      <c r="AA131" s="111">
        <f>IF(Audit[[#This Row],[Times p Drawn - With Replacement]]&gt;0, IF(Audit[[#This Row],[Canceled Differences]]&lt;0, Audit[[#This Row],[Max Differences]]+ABS(Audit[[#This Row],[Canceled Differences]]), Audit[[#This Row],[Max Differences]]), 0)</f>
        <v>0</v>
      </c>
      <c r="AB131" s="111">
        <f>'Sampling Data'!P121</f>
        <v>7.2268495835374818E-3</v>
      </c>
      <c r="AC131" s="111">
        <f>IF(
      SUM(Audit[[#This Row],[Audit Losing Candidate]:[Audit Candidate 6]])
      &lt;&gt;0,
      (Audit[[#This Row],[Winning Candidate]]-Audit[[#This Row],[Losing Candidate]]-(Audit[[#This Row],[Audit Winning Candidate]]-Audit[[#This Row],[Audit Losing Candidate]]))/(Audit[[#Totals],[Winning Candidate]]-Audit[[#Totals],[Losing Candidate]]),
      0
)</f>
        <v>0</v>
      </c>
      <c r="AD1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 s="111">
        <f>IF(Audit[[#This Row],[Max Relative Error (ep)]] = 0, 0, Audit[[#This Row],[Max Relative Error (ep)]]/Audit[[#This Row],[Error Bound (up) - Max. possible relative overstatement]])</f>
        <v>0</v>
      </c>
      <c r="AJ1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1" s="111">
        <f t="shared" si="1"/>
        <v>1</v>
      </c>
      <c r="AL131" s="111">
        <f>PRODUCT($AK$5:AK131)</f>
        <v>8.962823818226312E-2</v>
      </c>
      <c r="AM131" s="109">
        <f>1 - [K-M P Value]</f>
        <v>0.91037176181773694</v>
      </c>
      <c r="AN131" s="111" t="str">
        <f>IF(Audit[[#This Row],[K-M P Value]]&gt;1-'General Info'!$B$16,"Continue", "Stop")</f>
        <v>Stop</v>
      </c>
      <c r="AO131" s="110" t="b">
        <f>IF(Audit[[#This Row],[Status - Continue or stop audit]] = "Continue", TRUE, IF(AN130 = "Continue", TRUE, FALSE))</f>
        <v>0</v>
      </c>
      <c r="AP131" s="110"/>
    </row>
    <row r="132" spans="1:42" ht="15" hidden="1" customHeight="1">
      <c r="A132" s="111" t="str">
        <f>'Sampling Data'!W122</f>
        <v/>
      </c>
      <c r="B132" s="112" t="str">
        <f>'Sampling Data'!A122</f>
        <v>BEREA -05-A - ABS</v>
      </c>
      <c r="C132" s="112">
        <f>'Sampling Data'!B122</f>
        <v>9</v>
      </c>
      <c r="D132" s="112">
        <f>'Sampling Data'!C122</f>
        <v>10</v>
      </c>
      <c r="E132" s="113">
        <f>'Sampling Data'!D122</f>
        <v>6</v>
      </c>
      <c r="F132" s="113">
        <f>'Sampling Data'!E122</f>
        <v>1</v>
      </c>
      <c r="G132" s="113">
        <f>'Sampling Data'!F122</f>
        <v>0</v>
      </c>
      <c r="H132" s="113">
        <f>'Sampling Data'!G122</f>
        <v>0</v>
      </c>
      <c r="I132" s="112">
        <f>'Sampling Data'!H122</f>
        <v>0</v>
      </c>
      <c r="J132" s="112">
        <f>'Sampling Data'!I122</f>
        <v>1</v>
      </c>
      <c r="K132" s="112">
        <f>'Sampling Data'!J122</f>
        <v>27</v>
      </c>
      <c r="L132" s="111">
        <f>'Sampling Data'!X122</f>
        <v>0</v>
      </c>
      <c r="M132" s="114"/>
      <c r="N132" s="114"/>
      <c r="O132" s="115"/>
      <c r="P132" s="115"/>
      <c r="Q132" s="116"/>
      <c r="R132" s="116"/>
      <c r="S132" s="111">
        <f>Audit[[#This Row],[Audit Losing Candidate]]-Audit[[#This Row],[Losing Candidate]]</f>
        <v>-9</v>
      </c>
      <c r="T132" s="111">
        <f>Audit[[#This Row],[Audit Winning Candidate]]-Audit[[#This Row],[Winning Candidate]]</f>
        <v>-10</v>
      </c>
      <c r="U132" s="111">
        <f>Audit[[#This Row],[Audit Candidate 3]]-Audit[[#This Row],[Candidate 3]]</f>
        <v>-6</v>
      </c>
      <c r="V132" s="111">
        <f>Audit[[#This Row],[Audit Candidate 4]]-Audit[[#This Row],[Candidate 4]]</f>
        <v>-1</v>
      </c>
      <c r="W132" s="111">
        <f>Audit[[#This Row],[Audit Candidate 5]]-Audit[[#This Row],[Candidate 5]]</f>
        <v>0</v>
      </c>
      <c r="X132" s="111">
        <f>Audit[[#This Row],[Audit Candidate 6]]-Audit[[#This Row],[Candidate 6]]</f>
        <v>0</v>
      </c>
      <c r="Y132" s="111">
        <f>SUMIF(Audit[[#This Row],[Difference Loser]:[Difference Candidate 6]], "&gt;0")</f>
        <v>0</v>
      </c>
      <c r="Z132" s="111">
        <f>SUM(Audit[[#This Row],[Difference Loser]:[Difference Candidate 6]])</f>
        <v>-26</v>
      </c>
      <c r="AA132" s="111">
        <f>IF(Audit[[#This Row],[Times p Drawn - With Replacement]]&gt;0, IF(Audit[[#This Row],[Canceled Differences]]&lt;0, Audit[[#This Row],[Max Differences]]+ABS(Audit[[#This Row],[Canceled Differences]]), Audit[[#This Row],[Max Differences]]), 0)</f>
        <v>0</v>
      </c>
      <c r="AB132" s="111">
        <f>'Sampling Data'!P122</f>
        <v>1.7148456638902498E-3</v>
      </c>
      <c r="AC132" s="111">
        <f>IF(
      SUM(Audit[[#This Row],[Audit Losing Candidate]:[Audit Candidate 6]])
      &lt;&gt;0,
      (Audit[[#This Row],[Winning Candidate]]-Audit[[#This Row],[Losing Candidate]]-(Audit[[#This Row],[Audit Winning Candidate]]-Audit[[#This Row],[Audit Losing Candidate]]))/(Audit[[#Totals],[Winning Candidate]]-Audit[[#Totals],[Losing Candidate]]),
      0
)</f>
        <v>0</v>
      </c>
      <c r="AD1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 s="111">
        <f>IF(Audit[[#This Row],[Max Relative Error (ep)]] = 0, 0, Audit[[#This Row],[Max Relative Error (ep)]]/Audit[[#This Row],[Error Bound (up) - Max. possible relative overstatement]])</f>
        <v>0</v>
      </c>
      <c r="AJ1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2" s="111">
        <f t="shared" si="1"/>
        <v>1</v>
      </c>
      <c r="AL132" s="111">
        <f>PRODUCT($AK$5:AK132)</f>
        <v>8.962823818226312E-2</v>
      </c>
      <c r="AM132" s="109">
        <f>1 - [K-M P Value]</f>
        <v>0.91037176181773694</v>
      </c>
      <c r="AN132" s="111" t="str">
        <f>IF(Audit[[#This Row],[K-M P Value]]&gt;1-'General Info'!$B$16,"Continue", "Stop")</f>
        <v>Stop</v>
      </c>
      <c r="AO132" s="110" t="b">
        <f>IF(Audit[[#This Row],[Status - Continue or stop audit]] = "Continue", TRUE, IF(AN131 = "Continue", TRUE, FALSE))</f>
        <v>0</v>
      </c>
      <c r="AP132" s="110"/>
    </row>
    <row r="133" spans="1:42" ht="15" hidden="1" customHeight="1">
      <c r="A133" s="111" t="str">
        <f>'Sampling Data'!W123</f>
        <v/>
      </c>
      <c r="B133" s="112" t="str">
        <f>'Sampling Data'!A123</f>
        <v>BEREA -05-B</v>
      </c>
      <c r="C133" s="112">
        <f>'Sampling Data'!B123</f>
        <v>16</v>
      </c>
      <c r="D133" s="112">
        <f>'Sampling Data'!C123</f>
        <v>8</v>
      </c>
      <c r="E133" s="113">
        <f>'Sampling Data'!D123</f>
        <v>7</v>
      </c>
      <c r="F133" s="113">
        <f>'Sampling Data'!E123</f>
        <v>3</v>
      </c>
      <c r="G133" s="113">
        <f>'Sampling Data'!F123</f>
        <v>0</v>
      </c>
      <c r="H133" s="113">
        <f>'Sampling Data'!G123</f>
        <v>0</v>
      </c>
      <c r="I133" s="112">
        <f>'Sampling Data'!H123</f>
        <v>0</v>
      </c>
      <c r="J133" s="112">
        <f>'Sampling Data'!I123</f>
        <v>0</v>
      </c>
      <c r="K133" s="112">
        <f>'Sampling Data'!J123</f>
        <v>34</v>
      </c>
      <c r="L133" s="111">
        <f>'Sampling Data'!X123</f>
        <v>0</v>
      </c>
      <c r="M133" s="114"/>
      <c r="N133" s="114"/>
      <c r="O133" s="115"/>
      <c r="P133" s="115"/>
      <c r="Q133" s="116"/>
      <c r="R133" s="116"/>
      <c r="S133" s="111">
        <f>Audit[[#This Row],[Audit Losing Candidate]]-Audit[[#This Row],[Losing Candidate]]</f>
        <v>-16</v>
      </c>
      <c r="T133" s="111">
        <f>Audit[[#This Row],[Audit Winning Candidate]]-Audit[[#This Row],[Winning Candidate]]</f>
        <v>-8</v>
      </c>
      <c r="U133" s="111">
        <f>Audit[[#This Row],[Audit Candidate 3]]-Audit[[#This Row],[Candidate 3]]</f>
        <v>-7</v>
      </c>
      <c r="V133" s="111">
        <f>Audit[[#This Row],[Audit Candidate 4]]-Audit[[#This Row],[Candidate 4]]</f>
        <v>-3</v>
      </c>
      <c r="W133" s="111">
        <f>Audit[[#This Row],[Audit Candidate 5]]-Audit[[#This Row],[Candidate 5]]</f>
        <v>0</v>
      </c>
      <c r="X133" s="111">
        <f>Audit[[#This Row],[Audit Candidate 6]]-Audit[[#This Row],[Candidate 6]]</f>
        <v>0</v>
      </c>
      <c r="Y133" s="111">
        <f>SUMIF(Audit[[#This Row],[Difference Loser]:[Difference Candidate 6]], "&gt;0")</f>
        <v>0</v>
      </c>
      <c r="Z133" s="111">
        <f>SUM(Audit[[#This Row],[Difference Loser]:[Difference Candidate 6]])</f>
        <v>-34</v>
      </c>
      <c r="AA133" s="111">
        <f>IF(Audit[[#This Row],[Times p Drawn - With Replacement]]&gt;0, IF(Audit[[#This Row],[Canceled Differences]]&lt;0, Audit[[#This Row],[Max Differences]]+ABS(Audit[[#This Row],[Canceled Differences]]), Audit[[#This Row],[Max Differences]]), 0)</f>
        <v>0</v>
      </c>
      <c r="AB133" s="111">
        <f>'Sampling Data'!P123</f>
        <v>1.5923566878980893E-3</v>
      </c>
      <c r="AC133" s="111">
        <f>IF(
      SUM(Audit[[#This Row],[Audit Losing Candidate]:[Audit Candidate 6]])
      &lt;&gt;0,
      (Audit[[#This Row],[Winning Candidate]]-Audit[[#This Row],[Losing Candidate]]-(Audit[[#This Row],[Audit Winning Candidate]]-Audit[[#This Row],[Audit Losing Candidate]]))/(Audit[[#Totals],[Winning Candidate]]-Audit[[#Totals],[Losing Candidate]]),
      0
)</f>
        <v>0</v>
      </c>
      <c r="AD1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 s="111">
        <f>IF(Audit[[#This Row],[Max Relative Error (ep)]] = 0, 0, Audit[[#This Row],[Max Relative Error (ep)]]/Audit[[#This Row],[Error Bound (up) - Max. possible relative overstatement]])</f>
        <v>0</v>
      </c>
      <c r="AJ1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3" s="111">
        <f t="shared" ref="AK133:AK196" si="2">IF(ISERR(POWER(AJ133,L133)), 0, POWER(AJ133,L133))</f>
        <v>1</v>
      </c>
      <c r="AL133" s="111">
        <f>PRODUCT($AK$5:AK133)</f>
        <v>8.962823818226312E-2</v>
      </c>
      <c r="AM133" s="109">
        <f>1 - [K-M P Value]</f>
        <v>0.91037176181773694</v>
      </c>
      <c r="AN133" s="111" t="str">
        <f>IF(Audit[[#This Row],[K-M P Value]]&gt;1-'General Info'!$B$16,"Continue", "Stop")</f>
        <v>Stop</v>
      </c>
      <c r="AO133" s="110" t="b">
        <f>IF(Audit[[#This Row],[Status - Continue or stop audit]] = "Continue", TRUE, IF(AN132 = "Continue", TRUE, FALSE))</f>
        <v>0</v>
      </c>
      <c r="AP133" s="110"/>
    </row>
    <row r="134" spans="1:42" ht="15" hidden="1" customHeight="1">
      <c r="A134" s="111" t="str">
        <f>'Sampling Data'!W124</f>
        <v/>
      </c>
      <c r="B134" s="112" t="str">
        <f>'Sampling Data'!A124</f>
        <v>BEREA -05-B - ABS</v>
      </c>
      <c r="C134" s="112">
        <f>'Sampling Data'!B124</f>
        <v>6</v>
      </c>
      <c r="D134" s="112">
        <f>'Sampling Data'!C124</f>
        <v>0</v>
      </c>
      <c r="E134" s="113">
        <f>'Sampling Data'!D124</f>
        <v>0</v>
      </c>
      <c r="F134" s="113">
        <f>'Sampling Data'!E124</f>
        <v>4</v>
      </c>
      <c r="G134" s="113">
        <f>'Sampling Data'!F124</f>
        <v>0</v>
      </c>
      <c r="H134" s="113">
        <f>'Sampling Data'!G124</f>
        <v>0</v>
      </c>
      <c r="I134" s="112">
        <f>'Sampling Data'!H124</f>
        <v>0</v>
      </c>
      <c r="J134" s="112">
        <f>'Sampling Data'!I124</f>
        <v>0</v>
      </c>
      <c r="K134" s="112">
        <f>'Sampling Data'!J124</f>
        <v>10</v>
      </c>
      <c r="L134" s="111">
        <f>'Sampling Data'!X124</f>
        <v>0</v>
      </c>
      <c r="M134" s="114"/>
      <c r="N134" s="114"/>
      <c r="O134" s="115"/>
      <c r="P134" s="115"/>
      <c r="Q134" s="116"/>
      <c r="R134" s="116"/>
      <c r="S134" s="111">
        <f>Audit[[#This Row],[Audit Losing Candidate]]-Audit[[#This Row],[Losing Candidate]]</f>
        <v>-6</v>
      </c>
      <c r="T134" s="111">
        <f>Audit[[#This Row],[Audit Winning Candidate]]-Audit[[#This Row],[Winning Candidate]]</f>
        <v>0</v>
      </c>
      <c r="U134" s="111">
        <f>Audit[[#This Row],[Audit Candidate 3]]-Audit[[#This Row],[Candidate 3]]</f>
        <v>0</v>
      </c>
      <c r="V134" s="111">
        <f>Audit[[#This Row],[Audit Candidate 4]]-Audit[[#This Row],[Candidate 4]]</f>
        <v>-4</v>
      </c>
      <c r="W134" s="111">
        <f>Audit[[#This Row],[Audit Candidate 5]]-Audit[[#This Row],[Candidate 5]]</f>
        <v>0</v>
      </c>
      <c r="X134" s="111">
        <f>Audit[[#This Row],[Audit Candidate 6]]-Audit[[#This Row],[Candidate 6]]</f>
        <v>0</v>
      </c>
      <c r="Y134" s="111">
        <f>SUMIF(Audit[[#This Row],[Difference Loser]:[Difference Candidate 6]], "&gt;0")</f>
        <v>0</v>
      </c>
      <c r="Z134" s="111">
        <f>SUM(Audit[[#This Row],[Difference Loser]:[Difference Candidate 6]])</f>
        <v>-10</v>
      </c>
      <c r="AA134" s="111">
        <f>IF(Audit[[#This Row],[Times p Drawn - With Replacement]]&gt;0, IF(Audit[[#This Row],[Canceled Differences]]&lt;0, Audit[[#This Row],[Max Differences]]+ABS(Audit[[#This Row],[Canceled Differences]]), Audit[[#This Row],[Max Differences]]), 0)</f>
        <v>0</v>
      </c>
      <c r="AB134" s="111">
        <f>'Sampling Data'!P124</f>
        <v>3.2261186566441915E-4</v>
      </c>
      <c r="AC134" s="111">
        <f>IF(
      SUM(Audit[[#This Row],[Audit Losing Candidate]:[Audit Candidate 6]])
      &lt;&gt;0,
      (Audit[[#This Row],[Winning Candidate]]-Audit[[#This Row],[Losing Candidate]]-(Audit[[#This Row],[Audit Winning Candidate]]-Audit[[#This Row],[Audit Losing Candidate]]))/(Audit[[#Totals],[Winning Candidate]]-Audit[[#Totals],[Losing Candidate]]),
      0
)</f>
        <v>0</v>
      </c>
      <c r="AD1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 s="111">
        <f>IF(Audit[[#This Row],[Max Relative Error (ep)]] = 0, 0, Audit[[#This Row],[Max Relative Error (ep)]]/Audit[[#This Row],[Error Bound (up) - Max. possible relative overstatement]])</f>
        <v>0</v>
      </c>
      <c r="AJ1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4" s="111">
        <f t="shared" si="2"/>
        <v>1</v>
      </c>
      <c r="AL134" s="111">
        <f>PRODUCT($AK$5:AK134)</f>
        <v>8.962823818226312E-2</v>
      </c>
      <c r="AM134" s="109">
        <f>1 - [K-M P Value]</f>
        <v>0.91037176181773694</v>
      </c>
      <c r="AN134" s="111" t="str">
        <f>IF(Audit[[#This Row],[K-M P Value]]&gt;1-'General Info'!$B$16,"Continue", "Stop")</f>
        <v>Stop</v>
      </c>
      <c r="AO134" s="110" t="b">
        <f>IF(Audit[[#This Row],[Status - Continue or stop audit]] = "Continue", TRUE, IF(AN133 = "Continue", TRUE, FALSE))</f>
        <v>0</v>
      </c>
      <c r="AP134" s="110"/>
    </row>
    <row r="135" spans="1:42" ht="15" hidden="1" customHeight="1">
      <c r="A135" s="111" t="str">
        <f>'Sampling Data'!W125</f>
        <v/>
      </c>
      <c r="B135" s="112" t="str">
        <f>'Sampling Data'!A125</f>
        <v>BEREA -05-B.02</v>
      </c>
      <c r="C135" s="112">
        <f>'Sampling Data'!B125</f>
        <v>11</v>
      </c>
      <c r="D135" s="112">
        <f>'Sampling Data'!C125</f>
        <v>12</v>
      </c>
      <c r="E135" s="113">
        <f>'Sampling Data'!D125</f>
        <v>4</v>
      </c>
      <c r="F135" s="113">
        <f>'Sampling Data'!E125</f>
        <v>11</v>
      </c>
      <c r="G135" s="113">
        <f>'Sampling Data'!F125</f>
        <v>0</v>
      </c>
      <c r="H135" s="113">
        <f>'Sampling Data'!G125</f>
        <v>0</v>
      </c>
      <c r="I135" s="112">
        <f>'Sampling Data'!H125</f>
        <v>0</v>
      </c>
      <c r="J135" s="112">
        <f>'Sampling Data'!I125</f>
        <v>0</v>
      </c>
      <c r="K135" s="112">
        <f>'Sampling Data'!J125</f>
        <v>38</v>
      </c>
      <c r="L135" s="111">
        <f>'Sampling Data'!X125</f>
        <v>0</v>
      </c>
      <c r="M135" s="114"/>
      <c r="N135" s="114"/>
      <c r="O135" s="115"/>
      <c r="P135" s="115"/>
      <c r="Q135" s="116"/>
      <c r="R135" s="116"/>
      <c r="S135" s="111">
        <f>Audit[[#This Row],[Audit Losing Candidate]]-Audit[[#This Row],[Losing Candidate]]</f>
        <v>-11</v>
      </c>
      <c r="T135" s="111">
        <f>Audit[[#This Row],[Audit Winning Candidate]]-Audit[[#This Row],[Winning Candidate]]</f>
        <v>-12</v>
      </c>
      <c r="U135" s="111">
        <f>Audit[[#This Row],[Audit Candidate 3]]-Audit[[#This Row],[Candidate 3]]</f>
        <v>-4</v>
      </c>
      <c r="V135" s="111">
        <f>Audit[[#This Row],[Audit Candidate 4]]-Audit[[#This Row],[Candidate 4]]</f>
        <v>-11</v>
      </c>
      <c r="W135" s="111">
        <f>Audit[[#This Row],[Audit Candidate 5]]-Audit[[#This Row],[Candidate 5]]</f>
        <v>0</v>
      </c>
      <c r="X135" s="111">
        <f>Audit[[#This Row],[Audit Candidate 6]]-Audit[[#This Row],[Candidate 6]]</f>
        <v>0</v>
      </c>
      <c r="Y135" s="111">
        <f>SUMIF(Audit[[#This Row],[Difference Loser]:[Difference Candidate 6]], "&gt;0")</f>
        <v>0</v>
      </c>
      <c r="Z135" s="111">
        <f>SUM(Audit[[#This Row],[Difference Loser]:[Difference Candidate 6]])</f>
        <v>-38</v>
      </c>
      <c r="AA135" s="111">
        <f>IF(Audit[[#This Row],[Times p Drawn - With Replacement]]&gt;0, IF(Audit[[#This Row],[Canceled Differences]]&lt;0, Audit[[#This Row],[Max Differences]]+ABS(Audit[[#This Row],[Canceled Differences]]), Audit[[#This Row],[Max Differences]]), 0)</f>
        <v>0</v>
      </c>
      <c r="AB135" s="111">
        <f>'Sampling Data'!P125</f>
        <v>2.3885350318471337E-3</v>
      </c>
      <c r="AC135" s="111">
        <f>IF(
      SUM(Audit[[#This Row],[Audit Losing Candidate]:[Audit Candidate 6]])
      &lt;&gt;0,
      (Audit[[#This Row],[Winning Candidate]]-Audit[[#This Row],[Losing Candidate]]-(Audit[[#This Row],[Audit Winning Candidate]]-Audit[[#This Row],[Audit Losing Candidate]]))/(Audit[[#Totals],[Winning Candidate]]-Audit[[#Totals],[Losing Candidate]]),
      0
)</f>
        <v>0</v>
      </c>
      <c r="AD1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 s="111">
        <f>IF(Audit[[#This Row],[Max Relative Error (ep)]] = 0, 0, Audit[[#This Row],[Max Relative Error (ep)]]/Audit[[#This Row],[Error Bound (up) - Max. possible relative overstatement]])</f>
        <v>0</v>
      </c>
      <c r="AJ1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5" s="111">
        <f t="shared" si="2"/>
        <v>1</v>
      </c>
      <c r="AL135" s="111">
        <f>PRODUCT($AK$5:AK135)</f>
        <v>8.962823818226312E-2</v>
      </c>
      <c r="AM135" s="109">
        <f>1 - [K-M P Value]</f>
        <v>0.91037176181773694</v>
      </c>
      <c r="AN135" s="111" t="str">
        <f>IF(Audit[[#This Row],[K-M P Value]]&gt;1-'General Info'!$B$16,"Continue", "Stop")</f>
        <v>Stop</v>
      </c>
      <c r="AO135" s="110" t="b">
        <f>IF(Audit[[#This Row],[Status - Continue or stop audit]] = "Continue", TRUE, IF(AN134 = "Continue", TRUE, FALSE))</f>
        <v>0</v>
      </c>
      <c r="AP135" s="110"/>
    </row>
    <row r="136" spans="1:42" ht="15" hidden="1" customHeight="1">
      <c r="A136" s="111" t="str">
        <f>'Sampling Data'!W126</f>
        <v/>
      </c>
      <c r="B136" s="112" t="str">
        <f>'Sampling Data'!A126</f>
        <v>BEREA -05-B.02 - ABS</v>
      </c>
      <c r="C136" s="112">
        <f>'Sampling Data'!B126</f>
        <v>1</v>
      </c>
      <c r="D136" s="112">
        <f>'Sampling Data'!C126</f>
        <v>4</v>
      </c>
      <c r="E136" s="113">
        <f>'Sampling Data'!D126</f>
        <v>1</v>
      </c>
      <c r="F136" s="113">
        <f>'Sampling Data'!E126</f>
        <v>0</v>
      </c>
      <c r="G136" s="113">
        <f>'Sampling Data'!F126</f>
        <v>0</v>
      </c>
      <c r="H136" s="113">
        <f>'Sampling Data'!G126</f>
        <v>0</v>
      </c>
      <c r="I136" s="112">
        <f>'Sampling Data'!H126</f>
        <v>0</v>
      </c>
      <c r="J136" s="112">
        <f>'Sampling Data'!I126</f>
        <v>0</v>
      </c>
      <c r="K136" s="112">
        <f>'Sampling Data'!J126</f>
        <v>6</v>
      </c>
      <c r="L136" s="111">
        <f>'Sampling Data'!X126</f>
        <v>0</v>
      </c>
      <c r="M136" s="114"/>
      <c r="N136" s="114"/>
      <c r="O136" s="115"/>
      <c r="P136" s="115"/>
      <c r="Q136" s="116"/>
      <c r="R136" s="116"/>
      <c r="S136" s="111">
        <f>Audit[[#This Row],[Audit Losing Candidate]]-Audit[[#This Row],[Losing Candidate]]</f>
        <v>-1</v>
      </c>
      <c r="T136" s="111">
        <f>Audit[[#This Row],[Audit Winning Candidate]]-Audit[[#This Row],[Winning Candidate]]</f>
        <v>-4</v>
      </c>
      <c r="U136" s="111">
        <f>Audit[[#This Row],[Audit Candidate 3]]-Audit[[#This Row],[Candidate 3]]</f>
        <v>-1</v>
      </c>
      <c r="V136" s="111">
        <f>Audit[[#This Row],[Audit Candidate 4]]-Audit[[#This Row],[Candidate 4]]</f>
        <v>0</v>
      </c>
      <c r="W136" s="111">
        <f>Audit[[#This Row],[Audit Candidate 5]]-Audit[[#This Row],[Candidate 5]]</f>
        <v>0</v>
      </c>
      <c r="X136" s="111">
        <f>Audit[[#This Row],[Audit Candidate 6]]-Audit[[#This Row],[Candidate 6]]</f>
        <v>0</v>
      </c>
      <c r="Y136" s="111">
        <f>SUMIF(Audit[[#This Row],[Difference Loser]:[Difference Candidate 6]], "&gt;0")</f>
        <v>0</v>
      </c>
      <c r="Z136" s="111">
        <f>SUM(Audit[[#This Row],[Difference Loser]:[Difference Candidate 6]])</f>
        <v>-6</v>
      </c>
      <c r="AA136" s="111">
        <f>IF(Audit[[#This Row],[Times p Drawn - With Replacement]]&gt;0, IF(Audit[[#This Row],[Canceled Differences]]&lt;0, Audit[[#This Row],[Max Differences]]+ABS(Audit[[#This Row],[Canceled Differences]]), Audit[[#This Row],[Max Differences]]), 0)</f>
        <v>0</v>
      </c>
      <c r="AB136" s="111">
        <f>'Sampling Data'!P126</f>
        <v>5.5120039196472322E-4</v>
      </c>
      <c r="AC136" s="111">
        <f>IF(
      SUM(Audit[[#This Row],[Audit Losing Candidate]:[Audit Candidate 6]])
      &lt;&gt;0,
      (Audit[[#This Row],[Winning Candidate]]-Audit[[#This Row],[Losing Candidate]]-(Audit[[#This Row],[Audit Winning Candidate]]-Audit[[#This Row],[Audit Losing Candidate]]))/(Audit[[#Totals],[Winning Candidate]]-Audit[[#Totals],[Losing Candidate]]),
      0
)</f>
        <v>0</v>
      </c>
      <c r="AD1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 s="111">
        <f>IF(Audit[[#This Row],[Max Relative Error (ep)]] = 0, 0, Audit[[#This Row],[Max Relative Error (ep)]]/Audit[[#This Row],[Error Bound (up) - Max. possible relative overstatement]])</f>
        <v>0</v>
      </c>
      <c r="AJ1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6" s="111">
        <f t="shared" si="2"/>
        <v>1</v>
      </c>
      <c r="AL136" s="111">
        <f>PRODUCT($AK$5:AK136)</f>
        <v>8.962823818226312E-2</v>
      </c>
      <c r="AM136" s="109">
        <f>1 - [K-M P Value]</f>
        <v>0.91037176181773694</v>
      </c>
      <c r="AN136" s="111" t="str">
        <f>IF(Audit[[#This Row],[K-M P Value]]&gt;1-'General Info'!$B$16,"Continue", "Stop")</f>
        <v>Stop</v>
      </c>
      <c r="AO136" s="110" t="b">
        <f>IF(Audit[[#This Row],[Status - Continue or stop audit]] = "Continue", TRUE, IF(AN135 = "Continue", TRUE, FALSE))</f>
        <v>0</v>
      </c>
      <c r="AP136" s="110"/>
    </row>
    <row r="137" spans="1:42" ht="15" hidden="1" customHeight="1">
      <c r="A137" s="111" t="str">
        <f>'Sampling Data'!W127</f>
        <v/>
      </c>
      <c r="B137" s="112" t="str">
        <f>'Sampling Data'!A127</f>
        <v>BEREA -05-C</v>
      </c>
      <c r="C137" s="112">
        <f>'Sampling Data'!B127</f>
        <v>16</v>
      </c>
      <c r="D137" s="112">
        <f>'Sampling Data'!C127</f>
        <v>12</v>
      </c>
      <c r="E137" s="113">
        <f>'Sampling Data'!D127</f>
        <v>6</v>
      </c>
      <c r="F137" s="113">
        <f>'Sampling Data'!E127</f>
        <v>6</v>
      </c>
      <c r="G137" s="113">
        <f>'Sampling Data'!F127</f>
        <v>0</v>
      </c>
      <c r="H137" s="113">
        <f>'Sampling Data'!G127</f>
        <v>1</v>
      </c>
      <c r="I137" s="112">
        <f>'Sampling Data'!H127</f>
        <v>0</v>
      </c>
      <c r="J137" s="112">
        <f>'Sampling Data'!I127</f>
        <v>2</v>
      </c>
      <c r="K137" s="112">
        <f>'Sampling Data'!J127</f>
        <v>43</v>
      </c>
      <c r="L137" s="111">
        <f>'Sampling Data'!X127</f>
        <v>0</v>
      </c>
      <c r="M137" s="114"/>
      <c r="N137" s="114"/>
      <c r="O137" s="115"/>
      <c r="P137" s="115"/>
      <c r="Q137" s="116"/>
      <c r="R137" s="116"/>
      <c r="S137" s="111">
        <f>Audit[[#This Row],[Audit Losing Candidate]]-Audit[[#This Row],[Losing Candidate]]</f>
        <v>-16</v>
      </c>
      <c r="T137" s="111">
        <f>Audit[[#This Row],[Audit Winning Candidate]]-Audit[[#This Row],[Winning Candidate]]</f>
        <v>-12</v>
      </c>
      <c r="U137" s="111">
        <f>Audit[[#This Row],[Audit Candidate 3]]-Audit[[#This Row],[Candidate 3]]</f>
        <v>-6</v>
      </c>
      <c r="V137" s="111">
        <f>Audit[[#This Row],[Audit Candidate 4]]-Audit[[#This Row],[Candidate 4]]</f>
        <v>-6</v>
      </c>
      <c r="W137" s="111">
        <f>Audit[[#This Row],[Audit Candidate 5]]-Audit[[#This Row],[Candidate 5]]</f>
        <v>0</v>
      </c>
      <c r="X137" s="111">
        <f>Audit[[#This Row],[Audit Candidate 6]]-Audit[[#This Row],[Candidate 6]]</f>
        <v>-1</v>
      </c>
      <c r="Y137" s="111">
        <f>SUMIF(Audit[[#This Row],[Difference Loser]:[Difference Candidate 6]], "&gt;0")</f>
        <v>0</v>
      </c>
      <c r="Z137" s="111">
        <f>SUM(Audit[[#This Row],[Difference Loser]:[Difference Candidate 6]])</f>
        <v>-41</v>
      </c>
      <c r="AA137" s="111">
        <f>IF(Audit[[#This Row],[Times p Drawn - With Replacement]]&gt;0, IF(Audit[[#This Row],[Canceled Differences]]&lt;0, Audit[[#This Row],[Max Differences]]+ABS(Audit[[#This Row],[Canceled Differences]]), Audit[[#This Row],[Max Differences]]), 0)</f>
        <v>0</v>
      </c>
      <c r="AB137" s="111">
        <f>'Sampling Data'!P127</f>
        <v>2.3885350318471337E-3</v>
      </c>
      <c r="AC137" s="111">
        <f>IF(
      SUM(Audit[[#This Row],[Audit Losing Candidate]:[Audit Candidate 6]])
      &lt;&gt;0,
      (Audit[[#This Row],[Winning Candidate]]-Audit[[#This Row],[Losing Candidate]]-(Audit[[#This Row],[Audit Winning Candidate]]-Audit[[#This Row],[Audit Losing Candidate]]))/(Audit[[#Totals],[Winning Candidate]]-Audit[[#Totals],[Losing Candidate]]),
      0
)</f>
        <v>0</v>
      </c>
      <c r="AD1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 s="111">
        <f>IF(Audit[[#This Row],[Max Relative Error (ep)]] = 0, 0, Audit[[#This Row],[Max Relative Error (ep)]]/Audit[[#This Row],[Error Bound (up) - Max. possible relative overstatement]])</f>
        <v>0</v>
      </c>
      <c r="AJ1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7" s="111">
        <f t="shared" si="2"/>
        <v>1</v>
      </c>
      <c r="AL137" s="111">
        <f>PRODUCT($AK$5:AK137)</f>
        <v>8.962823818226312E-2</v>
      </c>
      <c r="AM137" s="109">
        <f>1 - [K-M P Value]</f>
        <v>0.91037176181773694</v>
      </c>
      <c r="AN137" s="111" t="str">
        <f>IF(Audit[[#This Row],[K-M P Value]]&gt;1-'General Info'!$B$16,"Continue", "Stop")</f>
        <v>Stop</v>
      </c>
      <c r="AO137" s="110" t="b">
        <f>IF(Audit[[#This Row],[Status - Continue or stop audit]] = "Continue", TRUE, IF(AN136 = "Continue", TRUE, FALSE))</f>
        <v>0</v>
      </c>
      <c r="AP137" s="110"/>
    </row>
    <row r="138" spans="1:42" ht="15" hidden="1" customHeight="1">
      <c r="A138" s="111" t="str">
        <f>'Sampling Data'!W128</f>
        <v/>
      </c>
      <c r="B138" s="112" t="str">
        <f>'Sampling Data'!A128</f>
        <v>BEREA -05-C - ABS</v>
      </c>
      <c r="C138" s="112">
        <f>'Sampling Data'!B128</f>
        <v>4</v>
      </c>
      <c r="D138" s="112">
        <f>'Sampling Data'!C128</f>
        <v>4</v>
      </c>
      <c r="E138" s="113">
        <f>'Sampling Data'!D128</f>
        <v>0</v>
      </c>
      <c r="F138" s="113">
        <f>'Sampling Data'!E128</f>
        <v>2</v>
      </c>
      <c r="G138" s="113">
        <f>'Sampling Data'!F128</f>
        <v>0</v>
      </c>
      <c r="H138" s="113">
        <f>'Sampling Data'!G128</f>
        <v>0</v>
      </c>
      <c r="I138" s="112">
        <f>'Sampling Data'!H128</f>
        <v>0</v>
      </c>
      <c r="J138" s="112">
        <f>'Sampling Data'!I128</f>
        <v>0</v>
      </c>
      <c r="K138" s="112">
        <f>'Sampling Data'!J128</f>
        <v>10</v>
      </c>
      <c r="L138" s="111">
        <f>'Sampling Data'!X128</f>
        <v>0</v>
      </c>
      <c r="M138" s="114"/>
      <c r="N138" s="114"/>
      <c r="O138" s="115"/>
      <c r="P138" s="115"/>
      <c r="Q138" s="116"/>
      <c r="R138" s="116"/>
      <c r="S138" s="111">
        <f>Audit[[#This Row],[Audit Losing Candidate]]-Audit[[#This Row],[Losing Candidate]]</f>
        <v>-4</v>
      </c>
      <c r="T138" s="111">
        <f>Audit[[#This Row],[Audit Winning Candidate]]-Audit[[#This Row],[Winning Candidate]]</f>
        <v>-4</v>
      </c>
      <c r="U138" s="111">
        <f>Audit[[#This Row],[Audit Candidate 3]]-Audit[[#This Row],[Candidate 3]]</f>
        <v>0</v>
      </c>
      <c r="V138" s="111">
        <f>Audit[[#This Row],[Audit Candidate 4]]-Audit[[#This Row],[Candidate 4]]</f>
        <v>-2</v>
      </c>
      <c r="W138" s="111">
        <f>Audit[[#This Row],[Audit Candidate 5]]-Audit[[#This Row],[Candidate 5]]</f>
        <v>0</v>
      </c>
      <c r="X138" s="111">
        <f>Audit[[#This Row],[Audit Candidate 6]]-Audit[[#This Row],[Candidate 6]]</f>
        <v>0</v>
      </c>
      <c r="Y138" s="111">
        <f>SUMIF(Audit[[#This Row],[Difference Loser]:[Difference Candidate 6]], "&gt;0")</f>
        <v>0</v>
      </c>
      <c r="Z138" s="111">
        <f>SUM(Audit[[#This Row],[Difference Loser]:[Difference Candidate 6]])</f>
        <v>-10</v>
      </c>
      <c r="AA138" s="111">
        <f>IF(Audit[[#This Row],[Times p Drawn - With Replacement]]&gt;0, IF(Audit[[#This Row],[Canceled Differences]]&lt;0, Audit[[#This Row],[Max Differences]]+ABS(Audit[[#This Row],[Canceled Differences]]), Audit[[#This Row],[Max Differences]]), 0)</f>
        <v>0</v>
      </c>
      <c r="AB138" s="111">
        <f>'Sampling Data'!P128</f>
        <v>6.1244487996080352E-4</v>
      </c>
      <c r="AC138" s="111">
        <f>IF(
      SUM(Audit[[#This Row],[Audit Losing Candidate]:[Audit Candidate 6]])
      &lt;&gt;0,
      (Audit[[#This Row],[Winning Candidate]]-Audit[[#This Row],[Losing Candidate]]-(Audit[[#This Row],[Audit Winning Candidate]]-Audit[[#This Row],[Audit Losing Candidate]]))/(Audit[[#Totals],[Winning Candidate]]-Audit[[#Totals],[Losing Candidate]]),
      0
)</f>
        <v>0</v>
      </c>
      <c r="AD1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 s="111">
        <f>IF(Audit[[#This Row],[Max Relative Error (ep)]] = 0, 0, Audit[[#This Row],[Max Relative Error (ep)]]/Audit[[#This Row],[Error Bound (up) - Max. possible relative overstatement]])</f>
        <v>0</v>
      </c>
      <c r="AJ1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8" s="111">
        <f t="shared" si="2"/>
        <v>1</v>
      </c>
      <c r="AL138" s="111">
        <f>PRODUCT($AK$5:AK138)</f>
        <v>8.962823818226312E-2</v>
      </c>
      <c r="AM138" s="109">
        <f>1 - [K-M P Value]</f>
        <v>0.91037176181773694</v>
      </c>
      <c r="AN138" s="111" t="str">
        <f>IF(Audit[[#This Row],[K-M P Value]]&gt;1-'General Info'!$B$16,"Continue", "Stop")</f>
        <v>Stop</v>
      </c>
      <c r="AO138" s="110" t="b">
        <f>IF(Audit[[#This Row],[Status - Continue or stop audit]] = "Continue", TRUE, IF(AN137 = "Continue", TRUE, FALSE))</f>
        <v>0</v>
      </c>
      <c r="AP138" s="110"/>
    </row>
    <row r="139" spans="1:42" ht="15" hidden="1" customHeight="1">
      <c r="A139" s="111" t="str">
        <f>'Sampling Data'!W129</f>
        <v/>
      </c>
      <c r="B139" s="112" t="str">
        <f>'Sampling Data'!A129</f>
        <v>BEREA -05-C.02</v>
      </c>
      <c r="C139" s="112">
        <f>'Sampling Data'!B129</f>
        <v>19</v>
      </c>
      <c r="D139" s="112">
        <f>'Sampling Data'!C129</f>
        <v>32</v>
      </c>
      <c r="E139" s="113">
        <f>'Sampling Data'!D129</f>
        <v>17</v>
      </c>
      <c r="F139" s="113">
        <f>'Sampling Data'!E129</f>
        <v>7</v>
      </c>
      <c r="G139" s="113">
        <f>'Sampling Data'!F129</f>
        <v>1</v>
      </c>
      <c r="H139" s="113">
        <f>'Sampling Data'!G129</f>
        <v>3</v>
      </c>
      <c r="I139" s="112">
        <f>'Sampling Data'!H129</f>
        <v>0</v>
      </c>
      <c r="J139" s="112">
        <f>'Sampling Data'!I129</f>
        <v>3</v>
      </c>
      <c r="K139" s="112">
        <f>'Sampling Data'!J129</f>
        <v>82</v>
      </c>
      <c r="L139" s="111">
        <f>'Sampling Data'!X129</f>
        <v>0</v>
      </c>
      <c r="M139" s="114"/>
      <c r="N139" s="114"/>
      <c r="O139" s="115"/>
      <c r="P139" s="115"/>
      <c r="Q139" s="116"/>
      <c r="R139" s="116"/>
      <c r="S139" s="111">
        <f>Audit[[#This Row],[Audit Losing Candidate]]-Audit[[#This Row],[Losing Candidate]]</f>
        <v>-19</v>
      </c>
      <c r="T139" s="111">
        <f>Audit[[#This Row],[Audit Winning Candidate]]-Audit[[#This Row],[Winning Candidate]]</f>
        <v>-32</v>
      </c>
      <c r="U139" s="111">
        <f>Audit[[#This Row],[Audit Candidate 3]]-Audit[[#This Row],[Candidate 3]]</f>
        <v>-17</v>
      </c>
      <c r="V139" s="111">
        <f>Audit[[#This Row],[Audit Candidate 4]]-Audit[[#This Row],[Candidate 4]]</f>
        <v>-7</v>
      </c>
      <c r="W139" s="111">
        <f>Audit[[#This Row],[Audit Candidate 5]]-Audit[[#This Row],[Candidate 5]]</f>
        <v>-1</v>
      </c>
      <c r="X139" s="111">
        <f>Audit[[#This Row],[Audit Candidate 6]]-Audit[[#This Row],[Candidate 6]]</f>
        <v>-3</v>
      </c>
      <c r="Y139" s="111">
        <f>SUMIF(Audit[[#This Row],[Difference Loser]:[Difference Candidate 6]], "&gt;0")</f>
        <v>0</v>
      </c>
      <c r="Z139" s="111">
        <f>SUM(Audit[[#This Row],[Difference Loser]:[Difference Candidate 6]])</f>
        <v>-79</v>
      </c>
      <c r="AA139" s="111">
        <f>IF(Audit[[#This Row],[Times p Drawn - With Replacement]]&gt;0, IF(Audit[[#This Row],[Canceled Differences]]&lt;0, Audit[[#This Row],[Max Differences]]+ABS(Audit[[#This Row],[Canceled Differences]]), Audit[[#This Row],[Max Differences]]), 0)</f>
        <v>0</v>
      </c>
      <c r="AB139" s="111">
        <f>'Sampling Data'!P129</f>
        <v>5.8182263596276334E-3</v>
      </c>
      <c r="AC139" s="111">
        <f>IF(
      SUM(Audit[[#This Row],[Audit Losing Candidate]:[Audit Candidate 6]])
      &lt;&gt;0,
      (Audit[[#This Row],[Winning Candidate]]-Audit[[#This Row],[Losing Candidate]]-(Audit[[#This Row],[Audit Winning Candidate]]-Audit[[#This Row],[Audit Losing Candidate]]))/(Audit[[#Totals],[Winning Candidate]]-Audit[[#Totals],[Losing Candidate]]),
      0
)</f>
        <v>0</v>
      </c>
      <c r="AD1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 s="111">
        <f>IF(Audit[[#This Row],[Max Relative Error (ep)]] = 0, 0, Audit[[#This Row],[Max Relative Error (ep)]]/Audit[[#This Row],[Error Bound (up) - Max. possible relative overstatement]])</f>
        <v>0</v>
      </c>
      <c r="AJ1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9" s="111">
        <f t="shared" si="2"/>
        <v>1</v>
      </c>
      <c r="AL139" s="111">
        <f>PRODUCT($AK$5:AK139)</f>
        <v>8.962823818226312E-2</v>
      </c>
      <c r="AM139" s="109">
        <f>1 - [K-M P Value]</f>
        <v>0.91037176181773694</v>
      </c>
      <c r="AN139" s="111" t="str">
        <f>IF(Audit[[#This Row],[K-M P Value]]&gt;1-'General Info'!$B$16,"Continue", "Stop")</f>
        <v>Stop</v>
      </c>
      <c r="AO139" s="110" t="b">
        <f>IF(Audit[[#This Row],[Status - Continue or stop audit]] = "Continue", TRUE, IF(AN138 = "Continue", TRUE, FALSE))</f>
        <v>0</v>
      </c>
      <c r="AP139" s="110"/>
    </row>
    <row r="140" spans="1:42" ht="15" hidden="1" customHeight="1">
      <c r="A140" s="111" t="str">
        <f>'Sampling Data'!W130</f>
        <v/>
      </c>
      <c r="B140" s="112" t="str">
        <f>'Sampling Data'!A130</f>
        <v>BEREA -05-C.02 - ABS</v>
      </c>
      <c r="C140" s="112">
        <f>'Sampling Data'!B130</f>
        <v>7</v>
      </c>
      <c r="D140" s="112">
        <f>'Sampling Data'!C130</f>
        <v>9</v>
      </c>
      <c r="E140" s="113">
        <f>'Sampling Data'!D130</f>
        <v>1</v>
      </c>
      <c r="F140" s="113">
        <f>'Sampling Data'!E130</f>
        <v>4</v>
      </c>
      <c r="G140" s="113">
        <f>'Sampling Data'!F130</f>
        <v>1</v>
      </c>
      <c r="H140" s="113">
        <f>'Sampling Data'!G130</f>
        <v>0</v>
      </c>
      <c r="I140" s="112">
        <f>'Sampling Data'!H130</f>
        <v>0</v>
      </c>
      <c r="J140" s="112">
        <f>'Sampling Data'!I130</f>
        <v>0</v>
      </c>
      <c r="K140" s="112">
        <f>'Sampling Data'!J130</f>
        <v>22</v>
      </c>
      <c r="L140" s="111">
        <f>'Sampling Data'!X130</f>
        <v>0</v>
      </c>
      <c r="M140" s="114"/>
      <c r="N140" s="114"/>
      <c r="O140" s="115"/>
      <c r="P140" s="115"/>
      <c r="Q140" s="116"/>
      <c r="R140" s="116"/>
      <c r="S140" s="111">
        <f>Audit[[#This Row],[Audit Losing Candidate]]-Audit[[#This Row],[Losing Candidate]]</f>
        <v>-7</v>
      </c>
      <c r="T140" s="111">
        <f>Audit[[#This Row],[Audit Winning Candidate]]-Audit[[#This Row],[Winning Candidate]]</f>
        <v>-9</v>
      </c>
      <c r="U140" s="111">
        <f>Audit[[#This Row],[Audit Candidate 3]]-Audit[[#This Row],[Candidate 3]]</f>
        <v>-1</v>
      </c>
      <c r="V140" s="111">
        <f>Audit[[#This Row],[Audit Candidate 4]]-Audit[[#This Row],[Candidate 4]]</f>
        <v>-4</v>
      </c>
      <c r="W140" s="111">
        <f>Audit[[#This Row],[Audit Candidate 5]]-Audit[[#This Row],[Candidate 5]]</f>
        <v>-1</v>
      </c>
      <c r="X140" s="111">
        <f>Audit[[#This Row],[Audit Candidate 6]]-Audit[[#This Row],[Candidate 6]]</f>
        <v>0</v>
      </c>
      <c r="Y140" s="111">
        <f>SUMIF(Audit[[#This Row],[Difference Loser]:[Difference Candidate 6]], "&gt;0")</f>
        <v>0</v>
      </c>
      <c r="Z140" s="111">
        <f>SUM(Audit[[#This Row],[Difference Loser]:[Difference Candidate 6]])</f>
        <v>-22</v>
      </c>
      <c r="AA140" s="111">
        <f>IF(Audit[[#This Row],[Times p Drawn - With Replacement]]&gt;0, IF(Audit[[#This Row],[Canceled Differences]]&lt;0, Audit[[#This Row],[Max Differences]]+ABS(Audit[[#This Row],[Canceled Differences]]), Audit[[#This Row],[Max Differences]]), 0)</f>
        <v>0</v>
      </c>
      <c r="AB140" s="111">
        <f>'Sampling Data'!P130</f>
        <v>1.4698677119059284E-3</v>
      </c>
      <c r="AC140" s="111">
        <f>IF(
      SUM(Audit[[#This Row],[Audit Losing Candidate]:[Audit Candidate 6]])
      &lt;&gt;0,
      (Audit[[#This Row],[Winning Candidate]]-Audit[[#This Row],[Losing Candidate]]-(Audit[[#This Row],[Audit Winning Candidate]]-Audit[[#This Row],[Audit Losing Candidate]]))/(Audit[[#Totals],[Winning Candidate]]-Audit[[#Totals],[Losing Candidate]]),
      0
)</f>
        <v>0</v>
      </c>
      <c r="AD1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 s="111">
        <f>IF(Audit[[#This Row],[Max Relative Error (ep)]] = 0, 0, Audit[[#This Row],[Max Relative Error (ep)]]/Audit[[#This Row],[Error Bound (up) - Max. possible relative overstatement]])</f>
        <v>0</v>
      </c>
      <c r="AJ1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0" s="111">
        <f t="shared" si="2"/>
        <v>1</v>
      </c>
      <c r="AL140" s="111">
        <f>PRODUCT($AK$5:AK140)</f>
        <v>8.962823818226312E-2</v>
      </c>
      <c r="AM140" s="109">
        <f>1 - [K-M P Value]</f>
        <v>0.91037176181773694</v>
      </c>
      <c r="AN140" s="111" t="str">
        <f>IF(Audit[[#This Row],[K-M P Value]]&gt;1-'General Info'!$B$16,"Continue", "Stop")</f>
        <v>Stop</v>
      </c>
      <c r="AO140" s="110" t="b">
        <f>IF(Audit[[#This Row],[Status - Continue or stop audit]] = "Continue", TRUE, IF(AN139 = "Continue", TRUE, FALSE))</f>
        <v>0</v>
      </c>
      <c r="AP140" s="110"/>
    </row>
    <row r="141" spans="1:42" ht="15" hidden="1" customHeight="1">
      <c r="A141" s="111" t="str">
        <f>'Sampling Data'!W131</f>
        <v/>
      </c>
      <c r="B141" s="112" t="str">
        <f>'Sampling Data'!A131</f>
        <v>BRATENAHL -00-A</v>
      </c>
      <c r="C141" s="112">
        <f>'Sampling Data'!B131</f>
        <v>18</v>
      </c>
      <c r="D141" s="112">
        <f>'Sampling Data'!C131</f>
        <v>90</v>
      </c>
      <c r="E141" s="113">
        <f>'Sampling Data'!D131</f>
        <v>15</v>
      </c>
      <c r="F141" s="113">
        <f>'Sampling Data'!E131</f>
        <v>11</v>
      </c>
      <c r="G141" s="113">
        <f>'Sampling Data'!F131</f>
        <v>0</v>
      </c>
      <c r="H141" s="113">
        <f>'Sampling Data'!G131</f>
        <v>1</v>
      </c>
      <c r="I141" s="112">
        <f>'Sampling Data'!H131</f>
        <v>0</v>
      </c>
      <c r="J141" s="112">
        <f>'Sampling Data'!I131</f>
        <v>0</v>
      </c>
      <c r="K141" s="112">
        <f>'Sampling Data'!J131</f>
        <v>135</v>
      </c>
      <c r="L141" s="111">
        <f>'Sampling Data'!X131</f>
        <v>0</v>
      </c>
      <c r="M141" s="114"/>
      <c r="N141" s="114"/>
      <c r="O141" s="115"/>
      <c r="P141" s="115"/>
      <c r="Q141" s="116"/>
      <c r="R141" s="116"/>
      <c r="S141" s="111">
        <f>Audit[[#This Row],[Audit Losing Candidate]]-Audit[[#This Row],[Losing Candidate]]</f>
        <v>-18</v>
      </c>
      <c r="T141" s="111">
        <f>Audit[[#This Row],[Audit Winning Candidate]]-Audit[[#This Row],[Winning Candidate]]</f>
        <v>-90</v>
      </c>
      <c r="U141" s="111">
        <f>Audit[[#This Row],[Audit Candidate 3]]-Audit[[#This Row],[Candidate 3]]</f>
        <v>-15</v>
      </c>
      <c r="V141" s="111">
        <f>Audit[[#This Row],[Audit Candidate 4]]-Audit[[#This Row],[Candidate 4]]</f>
        <v>-11</v>
      </c>
      <c r="W141" s="111">
        <f>Audit[[#This Row],[Audit Candidate 5]]-Audit[[#This Row],[Candidate 5]]</f>
        <v>0</v>
      </c>
      <c r="X141" s="111">
        <f>Audit[[#This Row],[Audit Candidate 6]]-Audit[[#This Row],[Candidate 6]]</f>
        <v>-1</v>
      </c>
      <c r="Y141" s="111">
        <f>SUMIF(Audit[[#This Row],[Difference Loser]:[Difference Candidate 6]], "&gt;0")</f>
        <v>0</v>
      </c>
      <c r="Z141" s="111">
        <f>SUM(Audit[[#This Row],[Difference Loser]:[Difference Candidate 6]])</f>
        <v>-135</v>
      </c>
      <c r="AA141" s="111">
        <f>IF(Audit[[#This Row],[Times p Drawn - With Replacement]]&gt;0, IF(Audit[[#This Row],[Canceled Differences]]&lt;0, Audit[[#This Row],[Max Differences]]+ABS(Audit[[#This Row],[Canceled Differences]]), Audit[[#This Row],[Max Differences]]), 0)</f>
        <v>0</v>
      </c>
      <c r="AB141" s="111">
        <f>'Sampling Data'!P131</f>
        <v>1.2677609015188633E-2</v>
      </c>
      <c r="AC141" s="111">
        <f>IF(
      SUM(Audit[[#This Row],[Audit Losing Candidate]:[Audit Candidate 6]])
      &lt;&gt;0,
      (Audit[[#This Row],[Winning Candidate]]-Audit[[#This Row],[Losing Candidate]]-(Audit[[#This Row],[Audit Winning Candidate]]-Audit[[#This Row],[Audit Losing Candidate]]))/(Audit[[#Totals],[Winning Candidate]]-Audit[[#Totals],[Losing Candidate]]),
      0
)</f>
        <v>0</v>
      </c>
      <c r="AD1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 s="111">
        <f>IF(Audit[[#This Row],[Max Relative Error (ep)]] = 0, 0, Audit[[#This Row],[Max Relative Error (ep)]]/Audit[[#This Row],[Error Bound (up) - Max. possible relative overstatement]])</f>
        <v>0</v>
      </c>
      <c r="AJ1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1" s="111">
        <f t="shared" si="2"/>
        <v>1</v>
      </c>
      <c r="AL141" s="111">
        <f>PRODUCT($AK$5:AK141)</f>
        <v>8.962823818226312E-2</v>
      </c>
      <c r="AM141" s="109">
        <f>1 - [K-M P Value]</f>
        <v>0.91037176181773694</v>
      </c>
      <c r="AN141" s="111" t="str">
        <f>IF(Audit[[#This Row],[K-M P Value]]&gt;1-'General Info'!$B$16,"Continue", "Stop")</f>
        <v>Stop</v>
      </c>
      <c r="AO141" s="110" t="b">
        <f>IF(Audit[[#This Row],[Status - Continue or stop audit]] = "Continue", TRUE, IF(AN140 = "Continue", TRUE, FALSE))</f>
        <v>0</v>
      </c>
      <c r="AP141" s="110"/>
    </row>
    <row r="142" spans="1:42" ht="15" hidden="1" customHeight="1">
      <c r="A142" s="111" t="str">
        <f>'Sampling Data'!W132</f>
        <v/>
      </c>
      <c r="B142" s="112" t="str">
        <f>'Sampling Data'!A132</f>
        <v>BRATENAHL -00-A - ABS</v>
      </c>
      <c r="C142" s="112">
        <f>'Sampling Data'!B132</f>
        <v>20</v>
      </c>
      <c r="D142" s="112">
        <f>'Sampling Data'!C132</f>
        <v>28</v>
      </c>
      <c r="E142" s="113">
        <f>'Sampling Data'!D132</f>
        <v>8</v>
      </c>
      <c r="F142" s="113">
        <f>'Sampling Data'!E132</f>
        <v>4</v>
      </c>
      <c r="G142" s="113">
        <f>'Sampling Data'!F132</f>
        <v>0</v>
      </c>
      <c r="H142" s="113">
        <f>'Sampling Data'!G132</f>
        <v>0</v>
      </c>
      <c r="I142" s="112">
        <f>'Sampling Data'!H132</f>
        <v>0</v>
      </c>
      <c r="J142" s="112">
        <f>'Sampling Data'!I132</f>
        <v>2</v>
      </c>
      <c r="K142" s="112">
        <f>'Sampling Data'!J132</f>
        <v>62</v>
      </c>
      <c r="L142" s="111">
        <f>'Sampling Data'!X132</f>
        <v>0</v>
      </c>
      <c r="M142" s="114"/>
      <c r="N142" s="114"/>
      <c r="O142" s="115"/>
      <c r="P142" s="115"/>
      <c r="Q142" s="116"/>
      <c r="R142" s="116"/>
      <c r="S142" s="111">
        <f>Audit[[#This Row],[Audit Losing Candidate]]-Audit[[#This Row],[Losing Candidate]]</f>
        <v>-20</v>
      </c>
      <c r="T142" s="111">
        <f>Audit[[#This Row],[Audit Winning Candidate]]-Audit[[#This Row],[Winning Candidate]]</f>
        <v>-28</v>
      </c>
      <c r="U142" s="111">
        <f>Audit[[#This Row],[Audit Candidate 3]]-Audit[[#This Row],[Candidate 3]]</f>
        <v>-8</v>
      </c>
      <c r="V142" s="111">
        <f>Audit[[#This Row],[Audit Candidate 4]]-Audit[[#This Row],[Candidate 4]]</f>
        <v>-4</v>
      </c>
      <c r="W142" s="111">
        <f>Audit[[#This Row],[Audit Candidate 5]]-Audit[[#This Row],[Candidate 5]]</f>
        <v>0</v>
      </c>
      <c r="X142" s="111">
        <f>Audit[[#This Row],[Audit Candidate 6]]-Audit[[#This Row],[Candidate 6]]</f>
        <v>0</v>
      </c>
      <c r="Y142" s="111">
        <f>SUMIF(Audit[[#This Row],[Difference Loser]:[Difference Candidate 6]], "&gt;0")</f>
        <v>0</v>
      </c>
      <c r="Z142" s="111">
        <f>SUM(Audit[[#This Row],[Difference Loser]:[Difference Candidate 6]])</f>
        <v>-60</v>
      </c>
      <c r="AA142" s="111">
        <f>IF(Audit[[#This Row],[Times p Drawn - With Replacement]]&gt;0, IF(Audit[[#This Row],[Canceled Differences]]&lt;0, Audit[[#This Row],[Max Differences]]+ABS(Audit[[#This Row],[Canceled Differences]]), Audit[[#This Row],[Max Differences]]), 0)</f>
        <v>0</v>
      </c>
      <c r="AB142" s="111">
        <f>'Sampling Data'!P132</f>
        <v>4.2871141597256249E-3</v>
      </c>
      <c r="AC142" s="111">
        <f>IF(
      SUM(Audit[[#This Row],[Audit Losing Candidate]:[Audit Candidate 6]])
      &lt;&gt;0,
      (Audit[[#This Row],[Winning Candidate]]-Audit[[#This Row],[Losing Candidate]]-(Audit[[#This Row],[Audit Winning Candidate]]-Audit[[#This Row],[Audit Losing Candidate]]))/(Audit[[#Totals],[Winning Candidate]]-Audit[[#Totals],[Losing Candidate]]),
      0
)</f>
        <v>0</v>
      </c>
      <c r="AD1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 s="111">
        <f>IF(Audit[[#This Row],[Max Relative Error (ep)]] = 0, 0, Audit[[#This Row],[Max Relative Error (ep)]]/Audit[[#This Row],[Error Bound (up) - Max. possible relative overstatement]])</f>
        <v>0</v>
      </c>
      <c r="AJ1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2" s="111">
        <f t="shared" si="2"/>
        <v>1</v>
      </c>
      <c r="AL142" s="111">
        <f>PRODUCT($AK$5:AK142)</f>
        <v>8.962823818226312E-2</v>
      </c>
      <c r="AM142" s="109">
        <f>1 - [K-M P Value]</f>
        <v>0.91037176181773694</v>
      </c>
      <c r="AN142" s="111" t="str">
        <f>IF(Audit[[#This Row],[K-M P Value]]&gt;1-'General Info'!$B$16,"Continue", "Stop")</f>
        <v>Stop</v>
      </c>
      <c r="AO142" s="110" t="b">
        <f>IF(Audit[[#This Row],[Status - Continue or stop audit]] = "Continue", TRUE, IF(AN141 = "Continue", TRUE, FALSE))</f>
        <v>0</v>
      </c>
      <c r="AP142" s="110"/>
    </row>
    <row r="143" spans="1:42" ht="15" hidden="1" customHeight="1">
      <c r="A143" s="111" t="str">
        <f>'Sampling Data'!W133</f>
        <v/>
      </c>
      <c r="B143" s="112" t="str">
        <f>'Sampling Data'!A133</f>
        <v>BRECKSVILLE -00-A</v>
      </c>
      <c r="C143" s="112">
        <f>'Sampling Data'!B133</f>
        <v>39</v>
      </c>
      <c r="D143" s="112">
        <f>'Sampling Data'!C133</f>
        <v>67</v>
      </c>
      <c r="E143" s="113">
        <f>'Sampling Data'!D133</f>
        <v>18</v>
      </c>
      <c r="F143" s="113">
        <f>'Sampling Data'!E133</f>
        <v>13</v>
      </c>
      <c r="G143" s="113">
        <f>'Sampling Data'!F133</f>
        <v>2</v>
      </c>
      <c r="H143" s="113">
        <f>'Sampling Data'!G133</f>
        <v>1</v>
      </c>
      <c r="I143" s="112">
        <f>'Sampling Data'!H133</f>
        <v>0</v>
      </c>
      <c r="J143" s="112">
        <f>'Sampling Data'!I133</f>
        <v>0</v>
      </c>
      <c r="K143" s="112">
        <f>'Sampling Data'!J133</f>
        <v>140</v>
      </c>
      <c r="L143" s="111">
        <f>'Sampling Data'!X133</f>
        <v>0</v>
      </c>
      <c r="M143" s="114"/>
      <c r="N143" s="114"/>
      <c r="O143" s="115"/>
      <c r="P143" s="115"/>
      <c r="Q143" s="116"/>
      <c r="R143" s="116"/>
      <c r="S143" s="111">
        <f>Audit[[#This Row],[Audit Losing Candidate]]-Audit[[#This Row],[Losing Candidate]]</f>
        <v>-39</v>
      </c>
      <c r="T143" s="111">
        <f>Audit[[#This Row],[Audit Winning Candidate]]-Audit[[#This Row],[Winning Candidate]]</f>
        <v>-67</v>
      </c>
      <c r="U143" s="111">
        <f>Audit[[#This Row],[Audit Candidate 3]]-Audit[[#This Row],[Candidate 3]]</f>
        <v>-18</v>
      </c>
      <c r="V143" s="111">
        <f>Audit[[#This Row],[Audit Candidate 4]]-Audit[[#This Row],[Candidate 4]]</f>
        <v>-13</v>
      </c>
      <c r="W143" s="111">
        <f>Audit[[#This Row],[Audit Candidate 5]]-Audit[[#This Row],[Candidate 5]]</f>
        <v>-2</v>
      </c>
      <c r="X143" s="111">
        <f>Audit[[#This Row],[Audit Candidate 6]]-Audit[[#This Row],[Candidate 6]]</f>
        <v>-1</v>
      </c>
      <c r="Y143" s="111">
        <f>SUMIF(Audit[[#This Row],[Difference Loser]:[Difference Candidate 6]], "&gt;0")</f>
        <v>0</v>
      </c>
      <c r="Z143" s="111">
        <f>SUM(Audit[[#This Row],[Difference Loser]:[Difference Candidate 6]])</f>
        <v>-140</v>
      </c>
      <c r="AA143" s="111">
        <f>IF(Audit[[#This Row],[Times p Drawn - With Replacement]]&gt;0, IF(Audit[[#This Row],[Canceled Differences]]&lt;0, Audit[[#This Row],[Max Differences]]+ABS(Audit[[#This Row],[Canceled Differences]]), Audit[[#This Row],[Max Differences]]), 0)</f>
        <v>0</v>
      </c>
      <c r="AB143" s="111">
        <f>'Sampling Data'!P133</f>
        <v>1.02890739833415E-2</v>
      </c>
      <c r="AC143" s="111">
        <f>IF(
      SUM(Audit[[#This Row],[Audit Losing Candidate]:[Audit Candidate 6]])
      &lt;&gt;0,
      (Audit[[#This Row],[Winning Candidate]]-Audit[[#This Row],[Losing Candidate]]-(Audit[[#This Row],[Audit Winning Candidate]]-Audit[[#This Row],[Audit Losing Candidate]]))/(Audit[[#Totals],[Winning Candidate]]-Audit[[#Totals],[Losing Candidate]]),
      0
)</f>
        <v>0</v>
      </c>
      <c r="AD1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 s="111">
        <f>IF(Audit[[#This Row],[Max Relative Error (ep)]] = 0, 0, Audit[[#This Row],[Max Relative Error (ep)]]/Audit[[#This Row],[Error Bound (up) - Max. possible relative overstatement]])</f>
        <v>0</v>
      </c>
      <c r="AJ1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3" s="111">
        <f t="shared" si="2"/>
        <v>1</v>
      </c>
      <c r="AL143" s="111">
        <f>PRODUCT($AK$5:AK143)</f>
        <v>8.962823818226312E-2</v>
      </c>
      <c r="AM143" s="109">
        <f>1 - [K-M P Value]</f>
        <v>0.91037176181773694</v>
      </c>
      <c r="AN143" s="111" t="str">
        <f>IF(Audit[[#This Row],[K-M P Value]]&gt;1-'General Info'!$B$16,"Continue", "Stop")</f>
        <v>Stop</v>
      </c>
      <c r="AO143" s="110" t="b">
        <f>IF(Audit[[#This Row],[Status - Continue or stop audit]] = "Continue", TRUE, IF(AN142 = "Continue", TRUE, FALSE))</f>
        <v>0</v>
      </c>
      <c r="AP143" s="110"/>
    </row>
    <row r="144" spans="1:42" ht="15" hidden="1" customHeight="1">
      <c r="A144" s="111" t="str">
        <f>'Sampling Data'!W134</f>
        <v/>
      </c>
      <c r="B144" s="112" t="str">
        <f>'Sampling Data'!A134</f>
        <v>BRECKSVILLE -00-A - ABS</v>
      </c>
      <c r="C144" s="112">
        <f>'Sampling Data'!B134</f>
        <v>28</v>
      </c>
      <c r="D144" s="112">
        <f>'Sampling Data'!C134</f>
        <v>45</v>
      </c>
      <c r="E144" s="113">
        <f>'Sampling Data'!D134</f>
        <v>9</v>
      </c>
      <c r="F144" s="113">
        <f>'Sampling Data'!E134</f>
        <v>4</v>
      </c>
      <c r="G144" s="113">
        <f>'Sampling Data'!F134</f>
        <v>0</v>
      </c>
      <c r="H144" s="113">
        <f>'Sampling Data'!G134</f>
        <v>0</v>
      </c>
      <c r="I144" s="112">
        <f>'Sampling Data'!H134</f>
        <v>0</v>
      </c>
      <c r="J144" s="112">
        <f>'Sampling Data'!I134</f>
        <v>2</v>
      </c>
      <c r="K144" s="112">
        <f>'Sampling Data'!J134</f>
        <v>88</v>
      </c>
      <c r="L144" s="111">
        <f>'Sampling Data'!X134</f>
        <v>0</v>
      </c>
      <c r="M144" s="114"/>
      <c r="N144" s="114"/>
      <c r="O144" s="115"/>
      <c r="P144" s="115"/>
      <c r="Q144" s="116"/>
      <c r="R144" s="116"/>
      <c r="S144" s="111">
        <f>Audit[[#This Row],[Audit Losing Candidate]]-Audit[[#This Row],[Losing Candidate]]</f>
        <v>-28</v>
      </c>
      <c r="T144" s="111">
        <f>Audit[[#This Row],[Audit Winning Candidate]]-Audit[[#This Row],[Winning Candidate]]</f>
        <v>-45</v>
      </c>
      <c r="U144" s="111">
        <f>Audit[[#This Row],[Audit Candidate 3]]-Audit[[#This Row],[Candidate 3]]</f>
        <v>-9</v>
      </c>
      <c r="V144" s="111">
        <f>Audit[[#This Row],[Audit Candidate 4]]-Audit[[#This Row],[Candidate 4]]</f>
        <v>-4</v>
      </c>
      <c r="W144" s="111">
        <f>Audit[[#This Row],[Audit Candidate 5]]-Audit[[#This Row],[Candidate 5]]</f>
        <v>0</v>
      </c>
      <c r="X144" s="111">
        <f>Audit[[#This Row],[Audit Candidate 6]]-Audit[[#This Row],[Candidate 6]]</f>
        <v>0</v>
      </c>
      <c r="Y144" s="111">
        <f>SUMIF(Audit[[#This Row],[Difference Loser]:[Difference Candidate 6]], "&gt;0")</f>
        <v>0</v>
      </c>
      <c r="Z144" s="111">
        <f>SUM(Audit[[#This Row],[Difference Loser]:[Difference Candidate 6]])</f>
        <v>-86</v>
      </c>
      <c r="AA144" s="111">
        <f>IF(Audit[[#This Row],[Times p Drawn - With Replacement]]&gt;0, IF(Audit[[#This Row],[Canceled Differences]]&lt;0, Audit[[#This Row],[Max Differences]]+ABS(Audit[[#This Row],[Canceled Differences]]), Audit[[#This Row],[Max Differences]]), 0)</f>
        <v>0</v>
      </c>
      <c r="AB144" s="111">
        <f>'Sampling Data'!P134</f>
        <v>6.4306712395884374E-3</v>
      </c>
      <c r="AC144" s="111">
        <f>IF(
      SUM(Audit[[#This Row],[Audit Losing Candidate]:[Audit Candidate 6]])
      &lt;&gt;0,
      (Audit[[#This Row],[Winning Candidate]]-Audit[[#This Row],[Losing Candidate]]-(Audit[[#This Row],[Audit Winning Candidate]]-Audit[[#This Row],[Audit Losing Candidate]]))/(Audit[[#Totals],[Winning Candidate]]-Audit[[#Totals],[Losing Candidate]]),
      0
)</f>
        <v>0</v>
      </c>
      <c r="AD1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 s="111">
        <f>IF(Audit[[#This Row],[Max Relative Error (ep)]] = 0, 0, Audit[[#This Row],[Max Relative Error (ep)]]/Audit[[#This Row],[Error Bound (up) - Max. possible relative overstatement]])</f>
        <v>0</v>
      </c>
      <c r="AJ1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4" s="111">
        <f t="shared" si="2"/>
        <v>1</v>
      </c>
      <c r="AL144" s="111">
        <f>PRODUCT($AK$5:AK144)</f>
        <v>8.962823818226312E-2</v>
      </c>
      <c r="AM144" s="109">
        <f>1 - [K-M P Value]</f>
        <v>0.91037176181773694</v>
      </c>
      <c r="AN144" s="111" t="str">
        <f>IF(Audit[[#This Row],[K-M P Value]]&gt;1-'General Info'!$B$16,"Continue", "Stop")</f>
        <v>Stop</v>
      </c>
      <c r="AO144" s="110" t="b">
        <f>IF(Audit[[#This Row],[Status - Continue or stop audit]] = "Continue", TRUE, IF(AN143 = "Continue", TRUE, FALSE))</f>
        <v>0</v>
      </c>
      <c r="AP144" s="110"/>
    </row>
    <row r="145" spans="1:42" ht="15" hidden="1" customHeight="1">
      <c r="A145" s="111" t="str">
        <f>'Sampling Data'!W135</f>
        <v/>
      </c>
      <c r="B145" s="112" t="str">
        <f>'Sampling Data'!A135</f>
        <v>BRECKSVILLE -00-B</v>
      </c>
      <c r="C145" s="112">
        <f>'Sampling Data'!B135</f>
        <v>36</v>
      </c>
      <c r="D145" s="112">
        <f>'Sampling Data'!C135</f>
        <v>68</v>
      </c>
      <c r="E145" s="113">
        <f>'Sampling Data'!D135</f>
        <v>18</v>
      </c>
      <c r="F145" s="113">
        <f>'Sampling Data'!E135</f>
        <v>12</v>
      </c>
      <c r="G145" s="113">
        <f>'Sampling Data'!F135</f>
        <v>0</v>
      </c>
      <c r="H145" s="113">
        <f>'Sampling Data'!G135</f>
        <v>1</v>
      </c>
      <c r="I145" s="112">
        <f>'Sampling Data'!H135</f>
        <v>0</v>
      </c>
      <c r="J145" s="112">
        <f>'Sampling Data'!I135</f>
        <v>0</v>
      </c>
      <c r="K145" s="112">
        <f>'Sampling Data'!J135</f>
        <v>135</v>
      </c>
      <c r="L145" s="111">
        <f>'Sampling Data'!X135</f>
        <v>0</v>
      </c>
      <c r="M145" s="114"/>
      <c r="N145" s="114"/>
      <c r="O145" s="115"/>
      <c r="P145" s="115"/>
      <c r="Q145" s="116"/>
      <c r="R145" s="116"/>
      <c r="S145" s="111">
        <f>Audit[[#This Row],[Audit Losing Candidate]]-Audit[[#This Row],[Losing Candidate]]</f>
        <v>-36</v>
      </c>
      <c r="T145" s="111">
        <f>Audit[[#This Row],[Audit Winning Candidate]]-Audit[[#This Row],[Winning Candidate]]</f>
        <v>-68</v>
      </c>
      <c r="U145" s="111">
        <f>Audit[[#This Row],[Audit Candidate 3]]-Audit[[#This Row],[Candidate 3]]</f>
        <v>-18</v>
      </c>
      <c r="V145" s="111">
        <f>Audit[[#This Row],[Audit Candidate 4]]-Audit[[#This Row],[Candidate 4]]</f>
        <v>-12</v>
      </c>
      <c r="W145" s="111">
        <f>Audit[[#This Row],[Audit Candidate 5]]-Audit[[#This Row],[Candidate 5]]</f>
        <v>0</v>
      </c>
      <c r="X145" s="111">
        <f>Audit[[#This Row],[Audit Candidate 6]]-Audit[[#This Row],[Candidate 6]]</f>
        <v>-1</v>
      </c>
      <c r="Y145" s="111">
        <f>SUMIF(Audit[[#This Row],[Difference Loser]:[Difference Candidate 6]], "&gt;0")</f>
        <v>0</v>
      </c>
      <c r="Z145" s="111">
        <f>SUM(Audit[[#This Row],[Difference Loser]:[Difference Candidate 6]])</f>
        <v>-135</v>
      </c>
      <c r="AA145" s="111">
        <f>IF(Audit[[#This Row],[Times p Drawn - With Replacement]]&gt;0, IF(Audit[[#This Row],[Canceled Differences]]&lt;0, Audit[[#This Row],[Max Differences]]+ABS(Audit[[#This Row],[Canceled Differences]]), Audit[[#This Row],[Max Differences]]), 0)</f>
        <v>0</v>
      </c>
      <c r="AB145" s="111">
        <f>'Sampling Data'!P135</f>
        <v>1.0227829495345418E-2</v>
      </c>
      <c r="AC145" s="111">
        <f>IF(
      SUM(Audit[[#This Row],[Audit Losing Candidate]:[Audit Candidate 6]])
      &lt;&gt;0,
      (Audit[[#This Row],[Winning Candidate]]-Audit[[#This Row],[Losing Candidate]]-(Audit[[#This Row],[Audit Winning Candidate]]-Audit[[#This Row],[Audit Losing Candidate]]))/(Audit[[#Totals],[Winning Candidate]]-Audit[[#Totals],[Losing Candidate]]),
      0
)</f>
        <v>0</v>
      </c>
      <c r="AD1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 s="111">
        <f>IF(Audit[[#This Row],[Max Relative Error (ep)]] = 0, 0, Audit[[#This Row],[Max Relative Error (ep)]]/Audit[[#This Row],[Error Bound (up) - Max. possible relative overstatement]])</f>
        <v>0</v>
      </c>
      <c r="AJ1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5" s="111">
        <f t="shared" si="2"/>
        <v>1</v>
      </c>
      <c r="AL145" s="111">
        <f>PRODUCT($AK$5:AK145)</f>
        <v>8.962823818226312E-2</v>
      </c>
      <c r="AM145" s="109">
        <f>1 - [K-M P Value]</f>
        <v>0.91037176181773694</v>
      </c>
      <c r="AN145" s="111" t="str">
        <f>IF(Audit[[#This Row],[K-M P Value]]&gt;1-'General Info'!$B$16,"Continue", "Stop")</f>
        <v>Stop</v>
      </c>
      <c r="AO145" s="110" t="b">
        <f>IF(Audit[[#This Row],[Status - Continue or stop audit]] = "Continue", TRUE, IF(AN144 = "Continue", TRUE, FALSE))</f>
        <v>0</v>
      </c>
      <c r="AP145" s="110"/>
    </row>
    <row r="146" spans="1:42" ht="15" hidden="1" customHeight="1">
      <c r="A146" s="111" t="str">
        <f>'Sampling Data'!W136</f>
        <v/>
      </c>
      <c r="B146" s="112" t="str">
        <f>'Sampling Data'!A136</f>
        <v>BRECKSVILLE -00-B - ABS</v>
      </c>
      <c r="C146" s="112">
        <f>'Sampling Data'!B136</f>
        <v>10</v>
      </c>
      <c r="D146" s="112">
        <f>'Sampling Data'!C136</f>
        <v>37</v>
      </c>
      <c r="E146" s="113">
        <f>'Sampling Data'!D136</f>
        <v>3</v>
      </c>
      <c r="F146" s="113">
        <f>'Sampling Data'!E136</f>
        <v>1</v>
      </c>
      <c r="G146" s="113">
        <f>'Sampling Data'!F136</f>
        <v>1</v>
      </c>
      <c r="H146" s="113">
        <f>'Sampling Data'!G136</f>
        <v>0</v>
      </c>
      <c r="I146" s="112">
        <f>'Sampling Data'!H136</f>
        <v>0</v>
      </c>
      <c r="J146" s="112">
        <f>'Sampling Data'!I136</f>
        <v>0</v>
      </c>
      <c r="K146" s="112">
        <f>'Sampling Data'!J136</f>
        <v>52</v>
      </c>
      <c r="L146" s="111">
        <f>'Sampling Data'!X136</f>
        <v>0</v>
      </c>
      <c r="M146" s="114"/>
      <c r="N146" s="114"/>
      <c r="O146" s="115"/>
      <c r="P146" s="115"/>
      <c r="Q146" s="116"/>
      <c r="R146" s="116"/>
      <c r="S146" s="111">
        <f>Audit[[#This Row],[Audit Losing Candidate]]-Audit[[#This Row],[Losing Candidate]]</f>
        <v>-10</v>
      </c>
      <c r="T146" s="111">
        <f>Audit[[#This Row],[Audit Winning Candidate]]-Audit[[#This Row],[Winning Candidate]]</f>
        <v>-37</v>
      </c>
      <c r="U146" s="111">
        <f>Audit[[#This Row],[Audit Candidate 3]]-Audit[[#This Row],[Candidate 3]]</f>
        <v>-3</v>
      </c>
      <c r="V146" s="111">
        <f>Audit[[#This Row],[Audit Candidate 4]]-Audit[[#This Row],[Candidate 4]]</f>
        <v>-1</v>
      </c>
      <c r="W146" s="111">
        <f>Audit[[#This Row],[Audit Candidate 5]]-Audit[[#This Row],[Candidate 5]]</f>
        <v>-1</v>
      </c>
      <c r="X146" s="111">
        <f>Audit[[#This Row],[Audit Candidate 6]]-Audit[[#This Row],[Candidate 6]]</f>
        <v>0</v>
      </c>
      <c r="Y146" s="111">
        <f>SUMIF(Audit[[#This Row],[Difference Loser]:[Difference Candidate 6]], "&gt;0")</f>
        <v>0</v>
      </c>
      <c r="Z146" s="111">
        <f>SUM(Audit[[#This Row],[Difference Loser]:[Difference Candidate 6]])</f>
        <v>-52</v>
      </c>
      <c r="AA146" s="111">
        <f>IF(Audit[[#This Row],[Times p Drawn - With Replacement]]&gt;0, IF(Audit[[#This Row],[Canceled Differences]]&lt;0, Audit[[#This Row],[Max Differences]]+ABS(Audit[[#This Row],[Canceled Differences]]), Audit[[#This Row],[Max Differences]]), 0)</f>
        <v>0</v>
      </c>
      <c r="AB146" s="111">
        <f>'Sampling Data'!P136</f>
        <v>4.8383145516903477E-3</v>
      </c>
      <c r="AC146" s="111">
        <f>IF(
      SUM(Audit[[#This Row],[Audit Losing Candidate]:[Audit Candidate 6]])
      &lt;&gt;0,
      (Audit[[#This Row],[Winning Candidate]]-Audit[[#This Row],[Losing Candidate]]-(Audit[[#This Row],[Audit Winning Candidate]]-Audit[[#This Row],[Audit Losing Candidate]]))/(Audit[[#Totals],[Winning Candidate]]-Audit[[#Totals],[Losing Candidate]]),
      0
)</f>
        <v>0</v>
      </c>
      <c r="AD1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 s="111">
        <f>IF(Audit[[#This Row],[Max Relative Error (ep)]] = 0, 0, Audit[[#This Row],[Max Relative Error (ep)]]/Audit[[#This Row],[Error Bound (up) - Max. possible relative overstatement]])</f>
        <v>0</v>
      </c>
      <c r="AJ1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6" s="111">
        <f t="shared" si="2"/>
        <v>1</v>
      </c>
      <c r="AL146" s="111">
        <f>PRODUCT($AK$5:AK146)</f>
        <v>8.962823818226312E-2</v>
      </c>
      <c r="AM146" s="109">
        <f>1 - [K-M P Value]</f>
        <v>0.91037176181773694</v>
      </c>
      <c r="AN146" s="111" t="str">
        <f>IF(Audit[[#This Row],[K-M P Value]]&gt;1-'General Info'!$B$16,"Continue", "Stop")</f>
        <v>Stop</v>
      </c>
      <c r="AO146" s="110" t="b">
        <f>IF(Audit[[#This Row],[Status - Continue or stop audit]] = "Continue", TRUE, IF(AN145 = "Continue", TRUE, FALSE))</f>
        <v>0</v>
      </c>
      <c r="AP146" s="110"/>
    </row>
    <row r="147" spans="1:42" ht="15" hidden="1" customHeight="1">
      <c r="A147" s="111" t="str">
        <f>'Sampling Data'!W137</f>
        <v/>
      </c>
      <c r="B147" s="112" t="str">
        <f>'Sampling Data'!A137</f>
        <v>BRECKSVILLE -00-C</v>
      </c>
      <c r="C147" s="112">
        <f>'Sampling Data'!B137</f>
        <v>22</v>
      </c>
      <c r="D147" s="112">
        <f>'Sampling Data'!C137</f>
        <v>65</v>
      </c>
      <c r="E147" s="113">
        <f>'Sampling Data'!D137</f>
        <v>18</v>
      </c>
      <c r="F147" s="113">
        <f>'Sampling Data'!E137</f>
        <v>10</v>
      </c>
      <c r="G147" s="113">
        <f>'Sampling Data'!F137</f>
        <v>1</v>
      </c>
      <c r="H147" s="113">
        <f>'Sampling Data'!G137</f>
        <v>0</v>
      </c>
      <c r="I147" s="112">
        <f>'Sampling Data'!H137</f>
        <v>0</v>
      </c>
      <c r="J147" s="112">
        <f>'Sampling Data'!I137</f>
        <v>1</v>
      </c>
      <c r="K147" s="112">
        <f>'Sampling Data'!J137</f>
        <v>117</v>
      </c>
      <c r="L147" s="111">
        <f>'Sampling Data'!X137</f>
        <v>0</v>
      </c>
      <c r="M147" s="114"/>
      <c r="N147" s="114"/>
      <c r="O147" s="115"/>
      <c r="P147" s="115"/>
      <c r="Q147" s="116"/>
      <c r="R147" s="116"/>
      <c r="S147" s="111">
        <f>Audit[[#This Row],[Audit Losing Candidate]]-Audit[[#This Row],[Losing Candidate]]</f>
        <v>-22</v>
      </c>
      <c r="T147" s="111">
        <f>Audit[[#This Row],[Audit Winning Candidate]]-Audit[[#This Row],[Winning Candidate]]</f>
        <v>-65</v>
      </c>
      <c r="U147" s="111">
        <f>Audit[[#This Row],[Audit Candidate 3]]-Audit[[#This Row],[Candidate 3]]</f>
        <v>-18</v>
      </c>
      <c r="V147" s="111">
        <f>Audit[[#This Row],[Audit Candidate 4]]-Audit[[#This Row],[Candidate 4]]</f>
        <v>-10</v>
      </c>
      <c r="W147" s="111">
        <f>Audit[[#This Row],[Audit Candidate 5]]-Audit[[#This Row],[Candidate 5]]</f>
        <v>-1</v>
      </c>
      <c r="X147" s="111">
        <f>Audit[[#This Row],[Audit Candidate 6]]-Audit[[#This Row],[Candidate 6]]</f>
        <v>0</v>
      </c>
      <c r="Y147" s="111">
        <f>SUMIF(Audit[[#This Row],[Difference Loser]:[Difference Candidate 6]], "&gt;0")</f>
        <v>0</v>
      </c>
      <c r="Z147" s="111">
        <f>SUM(Audit[[#This Row],[Difference Loser]:[Difference Candidate 6]])</f>
        <v>-116</v>
      </c>
      <c r="AA147" s="111">
        <f>IF(Audit[[#This Row],[Times p Drawn - With Replacement]]&gt;0, IF(Audit[[#This Row],[Canceled Differences]]&lt;0, Audit[[#This Row],[Max Differences]]+ABS(Audit[[#This Row],[Canceled Differences]]), Audit[[#This Row],[Max Differences]]), 0)</f>
        <v>0</v>
      </c>
      <c r="AB147" s="111">
        <f>'Sampling Data'!P137</f>
        <v>9.7991180793728563E-3</v>
      </c>
      <c r="AC147" s="111">
        <f>IF(
      SUM(Audit[[#This Row],[Audit Losing Candidate]:[Audit Candidate 6]])
      &lt;&gt;0,
      (Audit[[#This Row],[Winning Candidate]]-Audit[[#This Row],[Losing Candidate]]-(Audit[[#This Row],[Audit Winning Candidate]]-Audit[[#This Row],[Audit Losing Candidate]]))/(Audit[[#Totals],[Winning Candidate]]-Audit[[#Totals],[Losing Candidate]]),
      0
)</f>
        <v>0</v>
      </c>
      <c r="AD1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 s="111">
        <f>IF(Audit[[#This Row],[Max Relative Error (ep)]] = 0, 0, Audit[[#This Row],[Max Relative Error (ep)]]/Audit[[#This Row],[Error Bound (up) - Max. possible relative overstatement]])</f>
        <v>0</v>
      </c>
      <c r="AJ1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7" s="111">
        <f t="shared" si="2"/>
        <v>1</v>
      </c>
      <c r="AL147" s="111">
        <f>PRODUCT($AK$5:AK147)</f>
        <v>8.962823818226312E-2</v>
      </c>
      <c r="AM147" s="109">
        <f>1 - [K-M P Value]</f>
        <v>0.91037176181773694</v>
      </c>
      <c r="AN147" s="111" t="str">
        <f>IF(Audit[[#This Row],[K-M P Value]]&gt;1-'General Info'!$B$16,"Continue", "Stop")</f>
        <v>Stop</v>
      </c>
      <c r="AO147" s="110" t="b">
        <f>IF(Audit[[#This Row],[Status - Continue or stop audit]] = "Continue", TRUE, IF(AN146 = "Continue", TRUE, FALSE))</f>
        <v>0</v>
      </c>
      <c r="AP147" s="110"/>
    </row>
    <row r="148" spans="1:42" ht="15" hidden="1" customHeight="1">
      <c r="A148" s="111" t="str">
        <f>'Sampling Data'!W138</f>
        <v/>
      </c>
      <c r="B148" s="112" t="str">
        <f>'Sampling Data'!A138</f>
        <v>BRECKSVILLE -00-C - ABS</v>
      </c>
      <c r="C148" s="112">
        <f>'Sampling Data'!B138</f>
        <v>23</v>
      </c>
      <c r="D148" s="112">
        <f>'Sampling Data'!C138</f>
        <v>23</v>
      </c>
      <c r="E148" s="113">
        <f>'Sampling Data'!D138</f>
        <v>7</v>
      </c>
      <c r="F148" s="113">
        <f>'Sampling Data'!E138</f>
        <v>8</v>
      </c>
      <c r="G148" s="113">
        <f>'Sampling Data'!F138</f>
        <v>1</v>
      </c>
      <c r="H148" s="113">
        <f>'Sampling Data'!G138</f>
        <v>1</v>
      </c>
      <c r="I148" s="112">
        <f>'Sampling Data'!H138</f>
        <v>0</v>
      </c>
      <c r="J148" s="112">
        <f>'Sampling Data'!I138</f>
        <v>0</v>
      </c>
      <c r="K148" s="112">
        <f>'Sampling Data'!J138</f>
        <v>63</v>
      </c>
      <c r="L148" s="111">
        <f>'Sampling Data'!X138</f>
        <v>0</v>
      </c>
      <c r="M148" s="114"/>
      <c r="N148" s="114"/>
      <c r="O148" s="115"/>
      <c r="P148" s="115"/>
      <c r="Q148" s="116"/>
      <c r="R148" s="116"/>
      <c r="S148" s="111">
        <f>Audit[[#This Row],[Audit Losing Candidate]]-Audit[[#This Row],[Losing Candidate]]</f>
        <v>-23</v>
      </c>
      <c r="T148" s="111">
        <f>Audit[[#This Row],[Audit Winning Candidate]]-Audit[[#This Row],[Winning Candidate]]</f>
        <v>-23</v>
      </c>
      <c r="U148" s="111">
        <f>Audit[[#This Row],[Audit Candidate 3]]-Audit[[#This Row],[Candidate 3]]</f>
        <v>-7</v>
      </c>
      <c r="V148" s="111">
        <f>Audit[[#This Row],[Audit Candidate 4]]-Audit[[#This Row],[Candidate 4]]</f>
        <v>-8</v>
      </c>
      <c r="W148" s="111">
        <f>Audit[[#This Row],[Audit Candidate 5]]-Audit[[#This Row],[Candidate 5]]</f>
        <v>-1</v>
      </c>
      <c r="X148" s="111">
        <f>Audit[[#This Row],[Audit Candidate 6]]-Audit[[#This Row],[Candidate 6]]</f>
        <v>-1</v>
      </c>
      <c r="Y148" s="111">
        <f>SUMIF(Audit[[#This Row],[Difference Loser]:[Difference Candidate 6]], "&gt;0")</f>
        <v>0</v>
      </c>
      <c r="Z148" s="111">
        <f>SUM(Audit[[#This Row],[Difference Loser]:[Difference Candidate 6]])</f>
        <v>-63</v>
      </c>
      <c r="AA148" s="111">
        <f>IF(Audit[[#This Row],[Times p Drawn - With Replacement]]&gt;0, IF(Audit[[#This Row],[Canceled Differences]]&lt;0, Audit[[#This Row],[Max Differences]]+ABS(Audit[[#This Row],[Canceled Differences]]), Audit[[#This Row],[Max Differences]]), 0)</f>
        <v>0</v>
      </c>
      <c r="AB148" s="111">
        <f>'Sampling Data'!P138</f>
        <v>3.8584027437530621E-3</v>
      </c>
      <c r="AC148" s="111">
        <f>IF(
      SUM(Audit[[#This Row],[Audit Losing Candidate]:[Audit Candidate 6]])
      &lt;&gt;0,
      (Audit[[#This Row],[Winning Candidate]]-Audit[[#This Row],[Losing Candidate]]-(Audit[[#This Row],[Audit Winning Candidate]]-Audit[[#This Row],[Audit Losing Candidate]]))/(Audit[[#Totals],[Winning Candidate]]-Audit[[#Totals],[Losing Candidate]]),
      0
)</f>
        <v>0</v>
      </c>
      <c r="AD1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 s="111">
        <f>IF(Audit[[#This Row],[Max Relative Error (ep)]] = 0, 0, Audit[[#This Row],[Max Relative Error (ep)]]/Audit[[#This Row],[Error Bound (up) - Max. possible relative overstatement]])</f>
        <v>0</v>
      </c>
      <c r="AJ1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8" s="111">
        <f t="shared" si="2"/>
        <v>1</v>
      </c>
      <c r="AL148" s="111">
        <f>PRODUCT($AK$5:AK148)</f>
        <v>8.962823818226312E-2</v>
      </c>
      <c r="AM148" s="109">
        <f>1 - [K-M P Value]</f>
        <v>0.91037176181773694</v>
      </c>
      <c r="AN148" s="111" t="str">
        <f>IF(Audit[[#This Row],[K-M P Value]]&gt;1-'General Info'!$B$16,"Continue", "Stop")</f>
        <v>Stop</v>
      </c>
      <c r="AO148" s="110" t="b">
        <f>IF(Audit[[#This Row],[Status - Continue or stop audit]] = "Continue", TRUE, IF(AN147 = "Continue", TRUE, FALSE))</f>
        <v>0</v>
      </c>
      <c r="AP148" s="110"/>
    </row>
    <row r="149" spans="1:42" ht="15" hidden="1" customHeight="1">
      <c r="A149" s="111" t="str">
        <f>'Sampling Data'!W139</f>
        <v/>
      </c>
      <c r="B149" s="112" t="str">
        <f>'Sampling Data'!A139</f>
        <v>BRECKSVILLE -00-D</v>
      </c>
      <c r="C149" s="112">
        <f>'Sampling Data'!B139</f>
        <v>24</v>
      </c>
      <c r="D149" s="112">
        <f>'Sampling Data'!C139</f>
        <v>58</v>
      </c>
      <c r="E149" s="113">
        <f>'Sampling Data'!D139</f>
        <v>15</v>
      </c>
      <c r="F149" s="113">
        <f>'Sampling Data'!E139</f>
        <v>10</v>
      </c>
      <c r="G149" s="113">
        <f>'Sampling Data'!F139</f>
        <v>0</v>
      </c>
      <c r="H149" s="113">
        <f>'Sampling Data'!G139</f>
        <v>1</v>
      </c>
      <c r="I149" s="112">
        <f>'Sampling Data'!H139</f>
        <v>0</v>
      </c>
      <c r="J149" s="112">
        <f>'Sampling Data'!I139</f>
        <v>2</v>
      </c>
      <c r="K149" s="112">
        <f>'Sampling Data'!J139</f>
        <v>110</v>
      </c>
      <c r="L149" s="111">
        <f>'Sampling Data'!X139</f>
        <v>0</v>
      </c>
      <c r="M149" s="114"/>
      <c r="N149" s="114"/>
      <c r="O149" s="115"/>
      <c r="P149" s="115"/>
      <c r="Q149" s="116"/>
      <c r="R149" s="116"/>
      <c r="S149" s="111">
        <f>Audit[[#This Row],[Audit Losing Candidate]]-Audit[[#This Row],[Losing Candidate]]</f>
        <v>-24</v>
      </c>
      <c r="T149" s="111">
        <f>Audit[[#This Row],[Audit Winning Candidate]]-Audit[[#This Row],[Winning Candidate]]</f>
        <v>-58</v>
      </c>
      <c r="U149" s="111">
        <f>Audit[[#This Row],[Audit Candidate 3]]-Audit[[#This Row],[Candidate 3]]</f>
        <v>-15</v>
      </c>
      <c r="V149" s="111">
        <f>Audit[[#This Row],[Audit Candidate 4]]-Audit[[#This Row],[Candidate 4]]</f>
        <v>-10</v>
      </c>
      <c r="W149" s="111">
        <f>Audit[[#This Row],[Audit Candidate 5]]-Audit[[#This Row],[Candidate 5]]</f>
        <v>0</v>
      </c>
      <c r="X149" s="111">
        <f>Audit[[#This Row],[Audit Candidate 6]]-Audit[[#This Row],[Candidate 6]]</f>
        <v>-1</v>
      </c>
      <c r="Y149" s="111">
        <f>SUMIF(Audit[[#This Row],[Difference Loser]:[Difference Candidate 6]], "&gt;0")</f>
        <v>0</v>
      </c>
      <c r="Z149" s="111">
        <f>SUM(Audit[[#This Row],[Difference Loser]:[Difference Candidate 6]])</f>
        <v>-108</v>
      </c>
      <c r="AA149" s="111">
        <f>IF(Audit[[#This Row],[Times p Drawn - With Replacement]]&gt;0, IF(Audit[[#This Row],[Canceled Differences]]&lt;0, Audit[[#This Row],[Max Differences]]+ABS(Audit[[#This Row],[Canceled Differences]]), Audit[[#This Row],[Max Differences]]), 0)</f>
        <v>0</v>
      </c>
      <c r="AB149" s="111">
        <f>'Sampling Data'!P139</f>
        <v>8.8192062714355715E-3</v>
      </c>
      <c r="AC149" s="111">
        <f>IF(
      SUM(Audit[[#This Row],[Audit Losing Candidate]:[Audit Candidate 6]])
      &lt;&gt;0,
      (Audit[[#This Row],[Winning Candidate]]-Audit[[#This Row],[Losing Candidate]]-(Audit[[#This Row],[Audit Winning Candidate]]-Audit[[#This Row],[Audit Losing Candidate]]))/(Audit[[#Totals],[Winning Candidate]]-Audit[[#Totals],[Losing Candidate]]),
      0
)</f>
        <v>0</v>
      </c>
      <c r="AD1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 s="111">
        <f>IF(Audit[[#This Row],[Max Relative Error (ep)]] = 0, 0, Audit[[#This Row],[Max Relative Error (ep)]]/Audit[[#This Row],[Error Bound (up) - Max. possible relative overstatement]])</f>
        <v>0</v>
      </c>
      <c r="AJ1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9" s="111">
        <f t="shared" si="2"/>
        <v>1</v>
      </c>
      <c r="AL149" s="111">
        <f>PRODUCT($AK$5:AK149)</f>
        <v>8.962823818226312E-2</v>
      </c>
      <c r="AM149" s="109">
        <f>1 - [K-M P Value]</f>
        <v>0.91037176181773694</v>
      </c>
      <c r="AN149" s="111" t="str">
        <f>IF(Audit[[#This Row],[K-M P Value]]&gt;1-'General Info'!$B$16,"Continue", "Stop")</f>
        <v>Stop</v>
      </c>
      <c r="AO149" s="110" t="b">
        <f>IF(Audit[[#This Row],[Status - Continue or stop audit]] = "Continue", TRUE, IF(AN148 = "Continue", TRUE, FALSE))</f>
        <v>0</v>
      </c>
      <c r="AP149" s="110"/>
    </row>
    <row r="150" spans="1:42" ht="15" hidden="1" customHeight="1">
      <c r="A150" s="111" t="str">
        <f>'Sampling Data'!W140</f>
        <v/>
      </c>
      <c r="B150" s="112" t="str">
        <f>'Sampling Data'!A140</f>
        <v>BRECKSVILLE -00-D - ABS</v>
      </c>
      <c r="C150" s="112">
        <f>'Sampling Data'!B140</f>
        <v>16</v>
      </c>
      <c r="D150" s="112">
        <f>'Sampling Data'!C140</f>
        <v>29</v>
      </c>
      <c r="E150" s="113">
        <f>'Sampling Data'!D140</f>
        <v>9</v>
      </c>
      <c r="F150" s="113">
        <f>'Sampling Data'!E140</f>
        <v>1</v>
      </c>
      <c r="G150" s="113">
        <f>'Sampling Data'!F140</f>
        <v>1</v>
      </c>
      <c r="H150" s="113">
        <f>'Sampling Data'!G140</f>
        <v>1</v>
      </c>
      <c r="I150" s="112">
        <f>'Sampling Data'!H140</f>
        <v>0</v>
      </c>
      <c r="J150" s="112">
        <f>'Sampling Data'!I140</f>
        <v>1</v>
      </c>
      <c r="K150" s="112">
        <f>'Sampling Data'!J140</f>
        <v>58</v>
      </c>
      <c r="L150" s="111">
        <f>'Sampling Data'!X140</f>
        <v>0</v>
      </c>
      <c r="M150" s="114"/>
      <c r="N150" s="114"/>
      <c r="O150" s="115"/>
      <c r="P150" s="115"/>
      <c r="Q150" s="116"/>
      <c r="R150" s="116"/>
      <c r="S150" s="111">
        <f>Audit[[#This Row],[Audit Losing Candidate]]-Audit[[#This Row],[Losing Candidate]]</f>
        <v>-16</v>
      </c>
      <c r="T150" s="111">
        <f>Audit[[#This Row],[Audit Winning Candidate]]-Audit[[#This Row],[Winning Candidate]]</f>
        <v>-29</v>
      </c>
      <c r="U150" s="111">
        <f>Audit[[#This Row],[Audit Candidate 3]]-Audit[[#This Row],[Candidate 3]]</f>
        <v>-9</v>
      </c>
      <c r="V150" s="111">
        <f>Audit[[#This Row],[Audit Candidate 4]]-Audit[[#This Row],[Candidate 4]]</f>
        <v>-1</v>
      </c>
      <c r="W150" s="111">
        <f>Audit[[#This Row],[Audit Candidate 5]]-Audit[[#This Row],[Candidate 5]]</f>
        <v>-1</v>
      </c>
      <c r="X150" s="111">
        <f>Audit[[#This Row],[Audit Candidate 6]]-Audit[[#This Row],[Candidate 6]]</f>
        <v>-1</v>
      </c>
      <c r="Y150" s="111">
        <f>SUMIF(Audit[[#This Row],[Difference Loser]:[Difference Candidate 6]], "&gt;0")</f>
        <v>0</v>
      </c>
      <c r="Z150" s="111">
        <f>SUM(Audit[[#This Row],[Difference Loser]:[Difference Candidate 6]])</f>
        <v>-57</v>
      </c>
      <c r="AA150" s="111">
        <f>IF(Audit[[#This Row],[Times p Drawn - With Replacement]]&gt;0, IF(Audit[[#This Row],[Canceled Differences]]&lt;0, Audit[[#This Row],[Max Differences]]+ABS(Audit[[#This Row],[Canceled Differences]]), Audit[[#This Row],[Max Differences]]), 0)</f>
        <v>0</v>
      </c>
      <c r="AB150" s="111">
        <f>'Sampling Data'!P140</f>
        <v>4.3483586477217053E-3</v>
      </c>
      <c r="AC150" s="111">
        <f>IF(
      SUM(Audit[[#This Row],[Audit Losing Candidate]:[Audit Candidate 6]])
      &lt;&gt;0,
      (Audit[[#This Row],[Winning Candidate]]-Audit[[#This Row],[Losing Candidate]]-(Audit[[#This Row],[Audit Winning Candidate]]-Audit[[#This Row],[Audit Losing Candidate]]))/(Audit[[#Totals],[Winning Candidate]]-Audit[[#Totals],[Losing Candidate]]),
      0
)</f>
        <v>0</v>
      </c>
      <c r="AD1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 s="111">
        <f>IF(Audit[[#This Row],[Max Relative Error (ep)]] = 0, 0, Audit[[#This Row],[Max Relative Error (ep)]]/Audit[[#This Row],[Error Bound (up) - Max. possible relative overstatement]])</f>
        <v>0</v>
      </c>
      <c r="AJ1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0" s="111">
        <f t="shared" si="2"/>
        <v>1</v>
      </c>
      <c r="AL150" s="111">
        <f>PRODUCT($AK$5:AK150)</f>
        <v>8.962823818226312E-2</v>
      </c>
      <c r="AM150" s="109">
        <f>1 - [K-M P Value]</f>
        <v>0.91037176181773694</v>
      </c>
      <c r="AN150" s="111" t="str">
        <f>IF(Audit[[#This Row],[K-M P Value]]&gt;1-'General Info'!$B$16,"Continue", "Stop")</f>
        <v>Stop</v>
      </c>
      <c r="AO150" s="110" t="b">
        <f>IF(Audit[[#This Row],[Status - Continue or stop audit]] = "Continue", TRUE, IF(AN149 = "Continue", TRUE, FALSE))</f>
        <v>0</v>
      </c>
      <c r="AP150" s="110"/>
    </row>
    <row r="151" spans="1:42" ht="15" hidden="1" customHeight="1">
      <c r="A151" s="111" t="str">
        <f>'Sampling Data'!W141</f>
        <v/>
      </c>
      <c r="B151" s="112" t="str">
        <f>'Sampling Data'!A141</f>
        <v>BRECKSVILLE -00-E</v>
      </c>
      <c r="C151" s="112">
        <f>'Sampling Data'!B141</f>
        <v>39</v>
      </c>
      <c r="D151" s="112">
        <f>'Sampling Data'!C141</f>
        <v>134</v>
      </c>
      <c r="E151" s="113">
        <f>'Sampling Data'!D141</f>
        <v>22</v>
      </c>
      <c r="F151" s="113">
        <f>'Sampling Data'!E141</f>
        <v>9</v>
      </c>
      <c r="G151" s="113">
        <f>'Sampling Data'!F141</f>
        <v>0</v>
      </c>
      <c r="H151" s="113">
        <f>'Sampling Data'!G141</f>
        <v>0</v>
      </c>
      <c r="I151" s="112">
        <f>'Sampling Data'!H141</f>
        <v>1</v>
      </c>
      <c r="J151" s="112">
        <f>'Sampling Data'!I141</f>
        <v>1</v>
      </c>
      <c r="K151" s="112">
        <f>'Sampling Data'!J141</f>
        <v>206</v>
      </c>
      <c r="L151" s="111">
        <f>'Sampling Data'!X141</f>
        <v>0</v>
      </c>
      <c r="M151" s="114"/>
      <c r="N151" s="114"/>
      <c r="O151" s="115"/>
      <c r="P151" s="115"/>
      <c r="Q151" s="116"/>
      <c r="R151" s="116"/>
      <c r="S151" s="111">
        <f>Audit[[#This Row],[Audit Losing Candidate]]-Audit[[#This Row],[Losing Candidate]]</f>
        <v>-39</v>
      </c>
      <c r="T151" s="111">
        <f>Audit[[#This Row],[Audit Winning Candidate]]-Audit[[#This Row],[Winning Candidate]]</f>
        <v>-134</v>
      </c>
      <c r="U151" s="111">
        <f>Audit[[#This Row],[Audit Candidate 3]]-Audit[[#This Row],[Candidate 3]]</f>
        <v>-22</v>
      </c>
      <c r="V151" s="111">
        <f>Audit[[#This Row],[Audit Candidate 4]]-Audit[[#This Row],[Candidate 4]]</f>
        <v>-9</v>
      </c>
      <c r="W151" s="111">
        <f>Audit[[#This Row],[Audit Candidate 5]]-Audit[[#This Row],[Candidate 5]]</f>
        <v>0</v>
      </c>
      <c r="X151" s="111">
        <f>Audit[[#This Row],[Audit Candidate 6]]-Audit[[#This Row],[Candidate 6]]</f>
        <v>0</v>
      </c>
      <c r="Y151" s="111">
        <f>SUMIF(Audit[[#This Row],[Difference Loser]:[Difference Candidate 6]], "&gt;0")</f>
        <v>0</v>
      </c>
      <c r="Z151" s="111">
        <f>SUM(Audit[[#This Row],[Difference Loser]:[Difference Candidate 6]])</f>
        <v>-204</v>
      </c>
      <c r="AA151" s="111">
        <f>IF(Audit[[#This Row],[Times p Drawn - With Replacement]]&gt;0, IF(Audit[[#This Row],[Canceled Differences]]&lt;0, Audit[[#This Row],[Max Differences]]+ABS(Audit[[#This Row],[Canceled Differences]]), Audit[[#This Row],[Max Differences]]), 0)</f>
        <v>0</v>
      </c>
      <c r="AB151" s="111">
        <f>'Sampling Data'!P141</f>
        <v>1.8434590886820187E-2</v>
      </c>
      <c r="AC151" s="111">
        <f>IF(
      SUM(Audit[[#This Row],[Audit Losing Candidate]:[Audit Candidate 6]])
      &lt;&gt;0,
      (Audit[[#This Row],[Winning Candidate]]-Audit[[#This Row],[Losing Candidate]]-(Audit[[#This Row],[Audit Winning Candidate]]-Audit[[#This Row],[Audit Losing Candidate]]))/(Audit[[#Totals],[Winning Candidate]]-Audit[[#Totals],[Losing Candidate]]),
      0
)</f>
        <v>0</v>
      </c>
      <c r="AD1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 s="111">
        <f>IF(Audit[[#This Row],[Max Relative Error (ep)]] = 0, 0, Audit[[#This Row],[Max Relative Error (ep)]]/Audit[[#This Row],[Error Bound (up) - Max. possible relative overstatement]])</f>
        <v>0</v>
      </c>
      <c r="AJ1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1" s="111">
        <f t="shared" si="2"/>
        <v>1</v>
      </c>
      <c r="AL151" s="111">
        <f>PRODUCT($AK$5:AK151)</f>
        <v>8.962823818226312E-2</v>
      </c>
      <c r="AM151" s="109">
        <f>1 - [K-M P Value]</f>
        <v>0.91037176181773694</v>
      </c>
      <c r="AN151" s="111" t="str">
        <f>IF(Audit[[#This Row],[K-M P Value]]&gt;1-'General Info'!$B$16,"Continue", "Stop")</f>
        <v>Stop</v>
      </c>
      <c r="AO151" s="110" t="b">
        <f>IF(Audit[[#This Row],[Status - Continue or stop audit]] = "Continue", TRUE, IF(AN150 = "Continue", TRUE, FALSE))</f>
        <v>0</v>
      </c>
      <c r="AP151" s="110"/>
    </row>
    <row r="152" spans="1:42" ht="15" hidden="1" customHeight="1">
      <c r="A152" s="111" t="str">
        <f>'Sampling Data'!W142</f>
        <v/>
      </c>
      <c r="B152" s="112" t="str">
        <f>'Sampling Data'!A142</f>
        <v>BRECKSVILLE -00-E - ABS</v>
      </c>
      <c r="C152" s="112">
        <f>'Sampling Data'!B142</f>
        <v>27</v>
      </c>
      <c r="D152" s="112">
        <f>'Sampling Data'!C142</f>
        <v>51</v>
      </c>
      <c r="E152" s="113">
        <f>'Sampling Data'!D142</f>
        <v>12</v>
      </c>
      <c r="F152" s="113">
        <f>'Sampling Data'!E142</f>
        <v>4</v>
      </c>
      <c r="G152" s="113">
        <f>'Sampling Data'!F142</f>
        <v>0</v>
      </c>
      <c r="H152" s="113">
        <f>'Sampling Data'!G142</f>
        <v>0</v>
      </c>
      <c r="I152" s="112">
        <f>'Sampling Data'!H142</f>
        <v>0</v>
      </c>
      <c r="J152" s="112">
        <f>'Sampling Data'!I142</f>
        <v>0</v>
      </c>
      <c r="K152" s="112">
        <f>'Sampling Data'!J142</f>
        <v>94</v>
      </c>
      <c r="L152" s="111">
        <f>'Sampling Data'!X142</f>
        <v>0</v>
      </c>
      <c r="M152" s="114"/>
      <c r="N152" s="114"/>
      <c r="O152" s="115"/>
      <c r="P152" s="115"/>
      <c r="Q152" s="116"/>
      <c r="R152" s="116"/>
      <c r="S152" s="111">
        <f>Audit[[#This Row],[Audit Losing Candidate]]-Audit[[#This Row],[Losing Candidate]]</f>
        <v>-27</v>
      </c>
      <c r="T152" s="111">
        <f>Audit[[#This Row],[Audit Winning Candidate]]-Audit[[#This Row],[Winning Candidate]]</f>
        <v>-51</v>
      </c>
      <c r="U152" s="111">
        <f>Audit[[#This Row],[Audit Candidate 3]]-Audit[[#This Row],[Candidate 3]]</f>
        <v>-12</v>
      </c>
      <c r="V152" s="111">
        <f>Audit[[#This Row],[Audit Candidate 4]]-Audit[[#This Row],[Candidate 4]]</f>
        <v>-4</v>
      </c>
      <c r="W152" s="111">
        <f>Audit[[#This Row],[Audit Candidate 5]]-Audit[[#This Row],[Candidate 5]]</f>
        <v>0</v>
      </c>
      <c r="X152" s="111">
        <f>Audit[[#This Row],[Audit Candidate 6]]-Audit[[#This Row],[Candidate 6]]</f>
        <v>0</v>
      </c>
      <c r="Y152" s="111">
        <f>SUMIF(Audit[[#This Row],[Difference Loser]:[Difference Candidate 6]], "&gt;0")</f>
        <v>0</v>
      </c>
      <c r="Z152" s="111">
        <f>SUM(Audit[[#This Row],[Difference Loser]:[Difference Candidate 6]])</f>
        <v>-94</v>
      </c>
      <c r="AA152" s="111">
        <f>IF(Audit[[#This Row],[Times p Drawn - With Replacement]]&gt;0, IF(Audit[[#This Row],[Canceled Differences]]&lt;0, Audit[[#This Row],[Max Differences]]+ABS(Audit[[#This Row],[Canceled Differences]]), Audit[[#This Row],[Max Differences]]), 0)</f>
        <v>0</v>
      </c>
      <c r="AB152" s="111">
        <f>'Sampling Data'!P142</f>
        <v>7.2268495835374818E-3</v>
      </c>
      <c r="AC152" s="111">
        <f>IF(
      SUM(Audit[[#This Row],[Audit Losing Candidate]:[Audit Candidate 6]])
      &lt;&gt;0,
      (Audit[[#This Row],[Winning Candidate]]-Audit[[#This Row],[Losing Candidate]]-(Audit[[#This Row],[Audit Winning Candidate]]-Audit[[#This Row],[Audit Losing Candidate]]))/(Audit[[#Totals],[Winning Candidate]]-Audit[[#Totals],[Losing Candidate]]),
      0
)</f>
        <v>0</v>
      </c>
      <c r="AD1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 s="111">
        <f>IF(Audit[[#This Row],[Max Relative Error (ep)]] = 0, 0, Audit[[#This Row],[Max Relative Error (ep)]]/Audit[[#This Row],[Error Bound (up) - Max. possible relative overstatement]])</f>
        <v>0</v>
      </c>
      <c r="AJ1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2" s="111">
        <f t="shared" si="2"/>
        <v>1</v>
      </c>
      <c r="AL152" s="111">
        <f>PRODUCT($AK$5:AK152)</f>
        <v>8.962823818226312E-2</v>
      </c>
      <c r="AM152" s="109">
        <f>1 - [K-M P Value]</f>
        <v>0.91037176181773694</v>
      </c>
      <c r="AN152" s="111" t="str">
        <f>IF(Audit[[#This Row],[K-M P Value]]&gt;1-'General Info'!$B$16,"Continue", "Stop")</f>
        <v>Stop</v>
      </c>
      <c r="AO152" s="110" t="b">
        <f>IF(Audit[[#This Row],[Status - Continue or stop audit]] = "Continue", TRUE, IF(AN151 = "Continue", TRUE, FALSE))</f>
        <v>0</v>
      </c>
      <c r="AP152" s="110"/>
    </row>
    <row r="153" spans="1:42" ht="15" hidden="1" customHeight="1">
      <c r="A153" s="111" t="str">
        <f>'Sampling Data'!W143</f>
        <v/>
      </c>
      <c r="B153" s="112" t="str">
        <f>'Sampling Data'!A143</f>
        <v>BRECKSVILLE -00-F</v>
      </c>
      <c r="C153" s="112">
        <f>'Sampling Data'!B143</f>
        <v>35</v>
      </c>
      <c r="D153" s="112">
        <f>'Sampling Data'!C143</f>
        <v>92</v>
      </c>
      <c r="E153" s="113">
        <f>'Sampling Data'!D143</f>
        <v>25</v>
      </c>
      <c r="F153" s="113">
        <f>'Sampling Data'!E143</f>
        <v>7</v>
      </c>
      <c r="G153" s="113">
        <f>'Sampling Data'!F143</f>
        <v>0</v>
      </c>
      <c r="H153" s="113">
        <f>'Sampling Data'!G143</f>
        <v>0</v>
      </c>
      <c r="I153" s="112">
        <f>'Sampling Data'!H143</f>
        <v>0</v>
      </c>
      <c r="J153" s="112">
        <f>'Sampling Data'!I143</f>
        <v>1</v>
      </c>
      <c r="K153" s="112">
        <f>'Sampling Data'!J143</f>
        <v>160</v>
      </c>
      <c r="L153" s="111">
        <f>'Sampling Data'!X143</f>
        <v>0</v>
      </c>
      <c r="M153" s="114"/>
      <c r="N153" s="114"/>
      <c r="O153" s="115"/>
      <c r="P153" s="115"/>
      <c r="Q153" s="116"/>
      <c r="R153" s="116"/>
      <c r="S153" s="111">
        <f>Audit[[#This Row],[Audit Losing Candidate]]-Audit[[#This Row],[Losing Candidate]]</f>
        <v>-35</v>
      </c>
      <c r="T153" s="111">
        <f>Audit[[#This Row],[Audit Winning Candidate]]-Audit[[#This Row],[Winning Candidate]]</f>
        <v>-92</v>
      </c>
      <c r="U153" s="111">
        <f>Audit[[#This Row],[Audit Candidate 3]]-Audit[[#This Row],[Candidate 3]]</f>
        <v>-25</v>
      </c>
      <c r="V153" s="111">
        <f>Audit[[#This Row],[Audit Candidate 4]]-Audit[[#This Row],[Candidate 4]]</f>
        <v>-7</v>
      </c>
      <c r="W153" s="111">
        <f>Audit[[#This Row],[Audit Candidate 5]]-Audit[[#This Row],[Candidate 5]]</f>
        <v>0</v>
      </c>
      <c r="X153" s="111">
        <f>Audit[[#This Row],[Audit Candidate 6]]-Audit[[#This Row],[Candidate 6]]</f>
        <v>0</v>
      </c>
      <c r="Y153" s="111">
        <f>SUMIF(Audit[[#This Row],[Difference Loser]:[Difference Candidate 6]], "&gt;0")</f>
        <v>0</v>
      </c>
      <c r="Z153" s="111">
        <f>SUM(Audit[[#This Row],[Difference Loser]:[Difference Candidate 6]])</f>
        <v>-159</v>
      </c>
      <c r="AA153" s="111">
        <f>IF(Audit[[#This Row],[Times p Drawn - With Replacement]]&gt;0, IF(Audit[[#This Row],[Canceled Differences]]&lt;0, Audit[[#This Row],[Max Differences]]+ABS(Audit[[#This Row],[Canceled Differences]]), Audit[[#This Row],[Max Differences]]), 0)</f>
        <v>0</v>
      </c>
      <c r="AB153" s="111">
        <f>'Sampling Data'!P143</f>
        <v>1.3290053895149437E-2</v>
      </c>
      <c r="AC153" s="111">
        <f>IF(
      SUM(Audit[[#This Row],[Audit Losing Candidate]:[Audit Candidate 6]])
      &lt;&gt;0,
      (Audit[[#This Row],[Winning Candidate]]-Audit[[#This Row],[Losing Candidate]]-(Audit[[#This Row],[Audit Winning Candidate]]-Audit[[#This Row],[Audit Losing Candidate]]))/(Audit[[#Totals],[Winning Candidate]]-Audit[[#Totals],[Losing Candidate]]),
      0
)</f>
        <v>0</v>
      </c>
      <c r="AD1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 s="111">
        <f>IF(Audit[[#This Row],[Max Relative Error (ep)]] = 0, 0, Audit[[#This Row],[Max Relative Error (ep)]]/Audit[[#This Row],[Error Bound (up) - Max. possible relative overstatement]])</f>
        <v>0</v>
      </c>
      <c r="AJ1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3" s="111">
        <f t="shared" si="2"/>
        <v>1</v>
      </c>
      <c r="AL153" s="111">
        <f>PRODUCT($AK$5:AK153)</f>
        <v>8.962823818226312E-2</v>
      </c>
      <c r="AM153" s="109">
        <f>1 - [K-M P Value]</f>
        <v>0.91037176181773694</v>
      </c>
      <c r="AN153" s="111" t="str">
        <f>IF(Audit[[#This Row],[K-M P Value]]&gt;1-'General Info'!$B$16,"Continue", "Stop")</f>
        <v>Stop</v>
      </c>
      <c r="AO153" s="110" t="b">
        <f>IF(Audit[[#This Row],[Status - Continue or stop audit]] = "Continue", TRUE, IF(AN152 = "Continue", TRUE, FALSE))</f>
        <v>0</v>
      </c>
      <c r="AP153" s="110"/>
    </row>
    <row r="154" spans="1:42" ht="15" hidden="1" customHeight="1">
      <c r="A154" s="111" t="str">
        <f>'Sampling Data'!W144</f>
        <v/>
      </c>
      <c r="B154" s="112" t="str">
        <f>'Sampling Data'!A144</f>
        <v>BRECKSVILLE -00-F - ABS</v>
      </c>
      <c r="C154" s="112">
        <f>'Sampling Data'!B144</f>
        <v>23</v>
      </c>
      <c r="D154" s="112">
        <f>'Sampling Data'!C144</f>
        <v>28</v>
      </c>
      <c r="E154" s="113">
        <f>'Sampling Data'!D144</f>
        <v>3</v>
      </c>
      <c r="F154" s="113">
        <f>'Sampling Data'!E144</f>
        <v>11</v>
      </c>
      <c r="G154" s="113">
        <f>'Sampling Data'!F144</f>
        <v>1</v>
      </c>
      <c r="H154" s="113">
        <f>'Sampling Data'!G144</f>
        <v>1</v>
      </c>
      <c r="I154" s="112">
        <f>'Sampling Data'!H144</f>
        <v>0</v>
      </c>
      <c r="J154" s="112">
        <f>'Sampling Data'!I144</f>
        <v>2</v>
      </c>
      <c r="K154" s="112">
        <f>'Sampling Data'!J144</f>
        <v>69</v>
      </c>
      <c r="L154" s="111">
        <f>'Sampling Data'!X144</f>
        <v>0</v>
      </c>
      <c r="M154" s="114"/>
      <c r="N154" s="114"/>
      <c r="O154" s="115"/>
      <c r="P154" s="115"/>
      <c r="Q154" s="116"/>
      <c r="R154" s="116"/>
      <c r="S154" s="111">
        <f>Audit[[#This Row],[Audit Losing Candidate]]-Audit[[#This Row],[Losing Candidate]]</f>
        <v>-23</v>
      </c>
      <c r="T154" s="111">
        <f>Audit[[#This Row],[Audit Winning Candidate]]-Audit[[#This Row],[Winning Candidate]]</f>
        <v>-28</v>
      </c>
      <c r="U154" s="111">
        <f>Audit[[#This Row],[Audit Candidate 3]]-Audit[[#This Row],[Candidate 3]]</f>
        <v>-3</v>
      </c>
      <c r="V154" s="111">
        <f>Audit[[#This Row],[Audit Candidate 4]]-Audit[[#This Row],[Candidate 4]]</f>
        <v>-11</v>
      </c>
      <c r="W154" s="111">
        <f>Audit[[#This Row],[Audit Candidate 5]]-Audit[[#This Row],[Candidate 5]]</f>
        <v>-1</v>
      </c>
      <c r="X154" s="111">
        <f>Audit[[#This Row],[Audit Candidate 6]]-Audit[[#This Row],[Candidate 6]]</f>
        <v>-1</v>
      </c>
      <c r="Y154" s="111">
        <f>SUMIF(Audit[[#This Row],[Difference Loser]:[Difference Candidate 6]], "&gt;0")</f>
        <v>0</v>
      </c>
      <c r="Z154" s="111">
        <f>SUM(Audit[[#This Row],[Difference Loser]:[Difference Candidate 6]])</f>
        <v>-67</v>
      </c>
      <c r="AA154" s="111">
        <f>IF(Audit[[#This Row],[Times p Drawn - With Replacement]]&gt;0, IF(Audit[[#This Row],[Canceled Differences]]&lt;0, Audit[[#This Row],[Max Differences]]+ABS(Audit[[#This Row],[Canceled Differences]]), Audit[[#This Row],[Max Differences]]), 0)</f>
        <v>0</v>
      </c>
      <c r="AB154" s="111">
        <f>'Sampling Data'!P144</f>
        <v>4.5320921117099457E-3</v>
      </c>
      <c r="AC154" s="111">
        <f>IF(
      SUM(Audit[[#This Row],[Audit Losing Candidate]:[Audit Candidate 6]])
      &lt;&gt;0,
      (Audit[[#This Row],[Winning Candidate]]-Audit[[#This Row],[Losing Candidate]]-(Audit[[#This Row],[Audit Winning Candidate]]-Audit[[#This Row],[Audit Losing Candidate]]))/(Audit[[#Totals],[Winning Candidate]]-Audit[[#Totals],[Losing Candidate]]),
      0
)</f>
        <v>0</v>
      </c>
      <c r="AD1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 s="111">
        <f>IF(Audit[[#This Row],[Max Relative Error (ep)]] = 0, 0, Audit[[#This Row],[Max Relative Error (ep)]]/Audit[[#This Row],[Error Bound (up) - Max. possible relative overstatement]])</f>
        <v>0</v>
      </c>
      <c r="AJ1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4" s="111">
        <f t="shared" si="2"/>
        <v>1</v>
      </c>
      <c r="AL154" s="111">
        <f>PRODUCT($AK$5:AK154)</f>
        <v>8.962823818226312E-2</v>
      </c>
      <c r="AM154" s="109">
        <f>1 - [K-M P Value]</f>
        <v>0.91037176181773694</v>
      </c>
      <c r="AN154" s="111" t="str">
        <f>IF(Audit[[#This Row],[K-M P Value]]&gt;1-'General Info'!$B$16,"Continue", "Stop")</f>
        <v>Stop</v>
      </c>
      <c r="AO154" s="110" t="b">
        <f>IF(Audit[[#This Row],[Status - Continue or stop audit]] = "Continue", TRUE, IF(AN153 = "Continue", TRUE, FALSE))</f>
        <v>0</v>
      </c>
      <c r="AP154" s="110"/>
    </row>
    <row r="155" spans="1:42" ht="15" hidden="1" customHeight="1">
      <c r="A155" s="111" t="str">
        <f>'Sampling Data'!W145</f>
        <v/>
      </c>
      <c r="B155" s="112" t="str">
        <f>'Sampling Data'!A145</f>
        <v>BRECKSVILLE -00-G</v>
      </c>
      <c r="C155" s="112">
        <f>'Sampling Data'!B145</f>
        <v>37</v>
      </c>
      <c r="D155" s="112">
        <f>'Sampling Data'!C145</f>
        <v>84</v>
      </c>
      <c r="E155" s="113">
        <f>'Sampling Data'!D145</f>
        <v>18</v>
      </c>
      <c r="F155" s="113">
        <f>'Sampling Data'!E145</f>
        <v>8</v>
      </c>
      <c r="G155" s="113">
        <f>'Sampling Data'!F145</f>
        <v>1</v>
      </c>
      <c r="H155" s="113">
        <f>'Sampling Data'!G145</f>
        <v>1</v>
      </c>
      <c r="I155" s="112">
        <f>'Sampling Data'!H145</f>
        <v>0</v>
      </c>
      <c r="J155" s="112">
        <f>'Sampling Data'!I145</f>
        <v>4</v>
      </c>
      <c r="K155" s="112">
        <f>'Sampling Data'!J145</f>
        <v>153</v>
      </c>
      <c r="L155" s="111">
        <f>'Sampling Data'!X145</f>
        <v>0</v>
      </c>
      <c r="M155" s="114"/>
      <c r="N155" s="114"/>
      <c r="O155" s="115"/>
      <c r="P155" s="115"/>
      <c r="Q155" s="116"/>
      <c r="R155" s="116"/>
      <c r="S155" s="111">
        <f>Audit[[#This Row],[Audit Losing Candidate]]-Audit[[#This Row],[Losing Candidate]]</f>
        <v>-37</v>
      </c>
      <c r="T155" s="111">
        <f>Audit[[#This Row],[Audit Winning Candidate]]-Audit[[#This Row],[Winning Candidate]]</f>
        <v>-84</v>
      </c>
      <c r="U155" s="111">
        <f>Audit[[#This Row],[Audit Candidate 3]]-Audit[[#This Row],[Candidate 3]]</f>
        <v>-18</v>
      </c>
      <c r="V155" s="111">
        <f>Audit[[#This Row],[Audit Candidate 4]]-Audit[[#This Row],[Candidate 4]]</f>
        <v>-8</v>
      </c>
      <c r="W155" s="111">
        <f>Audit[[#This Row],[Audit Candidate 5]]-Audit[[#This Row],[Candidate 5]]</f>
        <v>-1</v>
      </c>
      <c r="X155" s="111">
        <f>Audit[[#This Row],[Audit Candidate 6]]-Audit[[#This Row],[Candidate 6]]</f>
        <v>-1</v>
      </c>
      <c r="Y155" s="111">
        <f>SUMIF(Audit[[#This Row],[Difference Loser]:[Difference Candidate 6]], "&gt;0")</f>
        <v>0</v>
      </c>
      <c r="Z155" s="111">
        <f>SUM(Audit[[#This Row],[Difference Loser]:[Difference Candidate 6]])</f>
        <v>-149</v>
      </c>
      <c r="AA155" s="111">
        <f>IF(Audit[[#This Row],[Times p Drawn - With Replacement]]&gt;0, IF(Audit[[#This Row],[Canceled Differences]]&lt;0, Audit[[#This Row],[Max Differences]]+ABS(Audit[[#This Row],[Canceled Differences]]), Audit[[#This Row],[Max Differences]]), 0)</f>
        <v>0</v>
      </c>
      <c r="AB155" s="111">
        <f>'Sampling Data'!P145</f>
        <v>1.2248897599216071E-2</v>
      </c>
      <c r="AC155" s="111">
        <f>IF(
      SUM(Audit[[#This Row],[Audit Losing Candidate]:[Audit Candidate 6]])
      &lt;&gt;0,
      (Audit[[#This Row],[Winning Candidate]]-Audit[[#This Row],[Losing Candidate]]-(Audit[[#This Row],[Audit Winning Candidate]]-Audit[[#This Row],[Audit Losing Candidate]]))/(Audit[[#Totals],[Winning Candidate]]-Audit[[#Totals],[Losing Candidate]]),
      0
)</f>
        <v>0</v>
      </c>
      <c r="AD1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 s="111">
        <f>IF(Audit[[#This Row],[Max Relative Error (ep)]] = 0, 0, Audit[[#This Row],[Max Relative Error (ep)]]/Audit[[#This Row],[Error Bound (up) - Max. possible relative overstatement]])</f>
        <v>0</v>
      </c>
      <c r="AJ1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5" s="111">
        <f t="shared" si="2"/>
        <v>1</v>
      </c>
      <c r="AL155" s="111">
        <f>PRODUCT($AK$5:AK155)</f>
        <v>8.962823818226312E-2</v>
      </c>
      <c r="AM155" s="109">
        <f>1 - [K-M P Value]</f>
        <v>0.91037176181773694</v>
      </c>
      <c r="AN155" s="111" t="str">
        <f>IF(Audit[[#This Row],[K-M P Value]]&gt;1-'General Info'!$B$16,"Continue", "Stop")</f>
        <v>Stop</v>
      </c>
      <c r="AO155" s="110" t="b">
        <f>IF(Audit[[#This Row],[Status - Continue or stop audit]] = "Continue", TRUE, IF(AN154 = "Continue", TRUE, FALSE))</f>
        <v>0</v>
      </c>
      <c r="AP155" s="110"/>
    </row>
    <row r="156" spans="1:42" ht="15" hidden="1" customHeight="1">
      <c r="A156" s="111" t="str">
        <f>'Sampling Data'!W146</f>
        <v/>
      </c>
      <c r="B156" s="112" t="str">
        <f>'Sampling Data'!A146</f>
        <v>BRECKSVILLE -00-G - ABS</v>
      </c>
      <c r="C156" s="112">
        <f>'Sampling Data'!B146</f>
        <v>13</v>
      </c>
      <c r="D156" s="112">
        <f>'Sampling Data'!C146</f>
        <v>27</v>
      </c>
      <c r="E156" s="113">
        <f>'Sampling Data'!D146</f>
        <v>3</v>
      </c>
      <c r="F156" s="113">
        <f>'Sampling Data'!E146</f>
        <v>1</v>
      </c>
      <c r="G156" s="113">
        <f>'Sampling Data'!F146</f>
        <v>1</v>
      </c>
      <c r="H156" s="113">
        <f>'Sampling Data'!G146</f>
        <v>0</v>
      </c>
      <c r="I156" s="112">
        <f>'Sampling Data'!H146</f>
        <v>0</v>
      </c>
      <c r="J156" s="112">
        <f>'Sampling Data'!I146</f>
        <v>1</v>
      </c>
      <c r="K156" s="112">
        <f>'Sampling Data'!J146</f>
        <v>46</v>
      </c>
      <c r="L156" s="111">
        <f>'Sampling Data'!X146</f>
        <v>0</v>
      </c>
      <c r="M156" s="114"/>
      <c r="N156" s="114"/>
      <c r="O156" s="115"/>
      <c r="P156" s="115"/>
      <c r="Q156" s="116"/>
      <c r="R156" s="116"/>
      <c r="S156" s="111">
        <f>Audit[[#This Row],[Audit Losing Candidate]]-Audit[[#This Row],[Losing Candidate]]</f>
        <v>-13</v>
      </c>
      <c r="T156" s="111">
        <f>Audit[[#This Row],[Audit Winning Candidate]]-Audit[[#This Row],[Winning Candidate]]</f>
        <v>-27</v>
      </c>
      <c r="U156" s="111">
        <f>Audit[[#This Row],[Audit Candidate 3]]-Audit[[#This Row],[Candidate 3]]</f>
        <v>-3</v>
      </c>
      <c r="V156" s="111">
        <f>Audit[[#This Row],[Audit Candidate 4]]-Audit[[#This Row],[Candidate 4]]</f>
        <v>-1</v>
      </c>
      <c r="W156" s="111">
        <f>Audit[[#This Row],[Audit Candidate 5]]-Audit[[#This Row],[Candidate 5]]</f>
        <v>-1</v>
      </c>
      <c r="X156" s="111">
        <f>Audit[[#This Row],[Audit Candidate 6]]-Audit[[#This Row],[Candidate 6]]</f>
        <v>0</v>
      </c>
      <c r="Y156" s="111">
        <f>SUMIF(Audit[[#This Row],[Difference Loser]:[Difference Candidate 6]], "&gt;0")</f>
        <v>0</v>
      </c>
      <c r="Z156" s="111">
        <f>SUM(Audit[[#This Row],[Difference Loser]:[Difference Candidate 6]])</f>
        <v>-45</v>
      </c>
      <c r="AA156" s="111">
        <f>IF(Audit[[#This Row],[Times p Drawn - With Replacement]]&gt;0, IF(Audit[[#This Row],[Canceled Differences]]&lt;0, Audit[[#This Row],[Max Differences]]+ABS(Audit[[#This Row],[Canceled Differences]]), Audit[[#This Row],[Max Differences]]), 0)</f>
        <v>0</v>
      </c>
      <c r="AB156" s="111">
        <f>'Sampling Data'!P146</f>
        <v>3.6746692797648213E-3</v>
      </c>
      <c r="AC156" s="111">
        <f>IF(
      SUM(Audit[[#This Row],[Audit Losing Candidate]:[Audit Candidate 6]])
      &lt;&gt;0,
      (Audit[[#This Row],[Winning Candidate]]-Audit[[#This Row],[Losing Candidate]]-(Audit[[#This Row],[Audit Winning Candidate]]-Audit[[#This Row],[Audit Losing Candidate]]))/(Audit[[#Totals],[Winning Candidate]]-Audit[[#Totals],[Losing Candidate]]),
      0
)</f>
        <v>0</v>
      </c>
      <c r="AD1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 s="111">
        <f>IF(Audit[[#This Row],[Max Relative Error (ep)]] = 0, 0, Audit[[#This Row],[Max Relative Error (ep)]]/Audit[[#This Row],[Error Bound (up) - Max. possible relative overstatement]])</f>
        <v>0</v>
      </c>
      <c r="AJ1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6" s="111">
        <f t="shared" si="2"/>
        <v>1</v>
      </c>
      <c r="AL156" s="111">
        <f>PRODUCT($AK$5:AK156)</f>
        <v>8.962823818226312E-2</v>
      </c>
      <c r="AM156" s="109">
        <f>1 - [K-M P Value]</f>
        <v>0.91037176181773694</v>
      </c>
      <c r="AN156" s="111" t="str">
        <f>IF(Audit[[#This Row],[K-M P Value]]&gt;1-'General Info'!$B$16,"Continue", "Stop")</f>
        <v>Stop</v>
      </c>
      <c r="AO156" s="110" t="b">
        <f>IF(Audit[[#This Row],[Status - Continue or stop audit]] = "Continue", TRUE, IF(AN155 = "Continue", TRUE, FALSE))</f>
        <v>0</v>
      </c>
      <c r="AP156" s="110"/>
    </row>
    <row r="157" spans="1:42" ht="15" hidden="1" customHeight="1">
      <c r="A157" s="111" t="str">
        <f>'Sampling Data'!W147</f>
        <v/>
      </c>
      <c r="B157" s="112" t="str">
        <f>'Sampling Data'!A147</f>
        <v>BRECKSVILLE -00-H</v>
      </c>
      <c r="C157" s="112">
        <f>'Sampling Data'!B147</f>
        <v>43</v>
      </c>
      <c r="D157" s="112">
        <f>'Sampling Data'!C147</f>
        <v>73</v>
      </c>
      <c r="E157" s="113">
        <f>'Sampling Data'!D147</f>
        <v>13</v>
      </c>
      <c r="F157" s="113">
        <f>'Sampling Data'!E147</f>
        <v>6</v>
      </c>
      <c r="G157" s="113">
        <f>'Sampling Data'!F147</f>
        <v>1</v>
      </c>
      <c r="H157" s="113">
        <f>'Sampling Data'!G147</f>
        <v>0</v>
      </c>
      <c r="I157" s="112">
        <f>'Sampling Data'!H147</f>
        <v>0</v>
      </c>
      <c r="J157" s="112">
        <f>'Sampling Data'!I147</f>
        <v>1</v>
      </c>
      <c r="K157" s="112">
        <f>'Sampling Data'!J147</f>
        <v>137</v>
      </c>
      <c r="L157" s="111">
        <f>'Sampling Data'!X147</f>
        <v>0</v>
      </c>
      <c r="M157" s="114"/>
      <c r="N157" s="114"/>
      <c r="O157" s="115"/>
      <c r="P157" s="115"/>
      <c r="Q157" s="116"/>
      <c r="R157" s="116"/>
      <c r="S157" s="111">
        <f>Audit[[#This Row],[Audit Losing Candidate]]-Audit[[#This Row],[Losing Candidate]]</f>
        <v>-43</v>
      </c>
      <c r="T157" s="111">
        <f>Audit[[#This Row],[Audit Winning Candidate]]-Audit[[#This Row],[Winning Candidate]]</f>
        <v>-73</v>
      </c>
      <c r="U157" s="111">
        <f>Audit[[#This Row],[Audit Candidate 3]]-Audit[[#This Row],[Candidate 3]]</f>
        <v>-13</v>
      </c>
      <c r="V157" s="111">
        <f>Audit[[#This Row],[Audit Candidate 4]]-Audit[[#This Row],[Candidate 4]]</f>
        <v>-6</v>
      </c>
      <c r="W157" s="111">
        <f>Audit[[#This Row],[Audit Candidate 5]]-Audit[[#This Row],[Candidate 5]]</f>
        <v>-1</v>
      </c>
      <c r="X157" s="111">
        <f>Audit[[#This Row],[Audit Candidate 6]]-Audit[[#This Row],[Candidate 6]]</f>
        <v>0</v>
      </c>
      <c r="Y157" s="111">
        <f>SUMIF(Audit[[#This Row],[Difference Loser]:[Difference Candidate 6]], "&gt;0")</f>
        <v>0</v>
      </c>
      <c r="Z157" s="111">
        <f>SUM(Audit[[#This Row],[Difference Loser]:[Difference Candidate 6]])</f>
        <v>-136</v>
      </c>
      <c r="AA157" s="111">
        <f>IF(Audit[[#This Row],[Times p Drawn - With Replacement]]&gt;0, IF(Audit[[#This Row],[Canceled Differences]]&lt;0, Audit[[#This Row],[Max Differences]]+ABS(Audit[[#This Row],[Canceled Differences]]), Audit[[#This Row],[Max Differences]]), 0)</f>
        <v>0</v>
      </c>
      <c r="AB157" s="111">
        <f>'Sampling Data'!P147</f>
        <v>1.0227829495345418E-2</v>
      </c>
      <c r="AC157" s="111">
        <f>IF(
      SUM(Audit[[#This Row],[Audit Losing Candidate]:[Audit Candidate 6]])
      &lt;&gt;0,
      (Audit[[#This Row],[Winning Candidate]]-Audit[[#This Row],[Losing Candidate]]-(Audit[[#This Row],[Audit Winning Candidate]]-Audit[[#This Row],[Audit Losing Candidate]]))/(Audit[[#Totals],[Winning Candidate]]-Audit[[#Totals],[Losing Candidate]]),
      0
)</f>
        <v>0</v>
      </c>
      <c r="AD1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 s="111">
        <f>IF(Audit[[#This Row],[Max Relative Error (ep)]] = 0, 0, Audit[[#This Row],[Max Relative Error (ep)]]/Audit[[#This Row],[Error Bound (up) - Max. possible relative overstatement]])</f>
        <v>0</v>
      </c>
      <c r="AJ1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7" s="111">
        <f t="shared" si="2"/>
        <v>1</v>
      </c>
      <c r="AL157" s="111">
        <f>PRODUCT($AK$5:AK157)</f>
        <v>8.962823818226312E-2</v>
      </c>
      <c r="AM157" s="109">
        <f>1 - [K-M P Value]</f>
        <v>0.91037176181773694</v>
      </c>
      <c r="AN157" s="111" t="str">
        <f>IF(Audit[[#This Row],[K-M P Value]]&gt;1-'General Info'!$B$16,"Continue", "Stop")</f>
        <v>Stop</v>
      </c>
      <c r="AO157" s="110" t="b">
        <f>IF(Audit[[#This Row],[Status - Continue or stop audit]] = "Continue", TRUE, IF(AN156 = "Continue", TRUE, FALSE))</f>
        <v>0</v>
      </c>
      <c r="AP157" s="110"/>
    </row>
    <row r="158" spans="1:42" ht="15" hidden="1" customHeight="1">
      <c r="A158" s="111" t="str">
        <f>'Sampling Data'!W148</f>
        <v/>
      </c>
      <c r="B158" s="112" t="str">
        <f>'Sampling Data'!A148</f>
        <v>BRECKSVILLE -00-H - ABS</v>
      </c>
      <c r="C158" s="112">
        <f>'Sampling Data'!B148</f>
        <v>19</v>
      </c>
      <c r="D158" s="112">
        <f>'Sampling Data'!C148</f>
        <v>38</v>
      </c>
      <c r="E158" s="113">
        <f>'Sampling Data'!D148</f>
        <v>5</v>
      </c>
      <c r="F158" s="113">
        <f>'Sampling Data'!E148</f>
        <v>1</v>
      </c>
      <c r="G158" s="113">
        <f>'Sampling Data'!F148</f>
        <v>0</v>
      </c>
      <c r="H158" s="113">
        <f>'Sampling Data'!G148</f>
        <v>0</v>
      </c>
      <c r="I158" s="112">
        <f>'Sampling Data'!H148</f>
        <v>0</v>
      </c>
      <c r="J158" s="112">
        <f>'Sampling Data'!I148</f>
        <v>1</v>
      </c>
      <c r="K158" s="112">
        <f>'Sampling Data'!J148</f>
        <v>64</v>
      </c>
      <c r="L158" s="111">
        <f>'Sampling Data'!X148</f>
        <v>0</v>
      </c>
      <c r="M158" s="114"/>
      <c r="N158" s="114"/>
      <c r="O158" s="115"/>
      <c r="P158" s="115"/>
      <c r="Q158" s="116"/>
      <c r="R158" s="116"/>
      <c r="S158" s="111">
        <f>Audit[[#This Row],[Audit Losing Candidate]]-Audit[[#This Row],[Losing Candidate]]</f>
        <v>-19</v>
      </c>
      <c r="T158" s="111">
        <f>Audit[[#This Row],[Audit Winning Candidate]]-Audit[[#This Row],[Winning Candidate]]</f>
        <v>-38</v>
      </c>
      <c r="U158" s="111">
        <f>Audit[[#This Row],[Audit Candidate 3]]-Audit[[#This Row],[Candidate 3]]</f>
        <v>-5</v>
      </c>
      <c r="V158" s="111">
        <f>Audit[[#This Row],[Audit Candidate 4]]-Audit[[#This Row],[Candidate 4]]</f>
        <v>-1</v>
      </c>
      <c r="W158" s="111">
        <f>Audit[[#This Row],[Audit Candidate 5]]-Audit[[#This Row],[Candidate 5]]</f>
        <v>0</v>
      </c>
      <c r="X158" s="111">
        <f>Audit[[#This Row],[Audit Candidate 6]]-Audit[[#This Row],[Candidate 6]]</f>
        <v>0</v>
      </c>
      <c r="Y158" s="111">
        <f>SUMIF(Audit[[#This Row],[Difference Loser]:[Difference Candidate 6]], "&gt;0")</f>
        <v>0</v>
      </c>
      <c r="Z158" s="111">
        <f>SUM(Audit[[#This Row],[Difference Loser]:[Difference Candidate 6]])</f>
        <v>-63</v>
      </c>
      <c r="AA158" s="111">
        <f>IF(Audit[[#This Row],[Times p Drawn - With Replacement]]&gt;0, IF(Audit[[#This Row],[Canceled Differences]]&lt;0, Audit[[#This Row],[Max Differences]]+ABS(Audit[[#This Row],[Canceled Differences]]), Audit[[#This Row],[Max Differences]]), 0)</f>
        <v>0</v>
      </c>
      <c r="AB158" s="111">
        <f>'Sampling Data'!P148</f>
        <v>5.0832925036746694E-3</v>
      </c>
      <c r="AC158" s="111">
        <f>IF(
      SUM(Audit[[#This Row],[Audit Losing Candidate]:[Audit Candidate 6]])
      &lt;&gt;0,
      (Audit[[#This Row],[Winning Candidate]]-Audit[[#This Row],[Losing Candidate]]-(Audit[[#This Row],[Audit Winning Candidate]]-Audit[[#This Row],[Audit Losing Candidate]]))/(Audit[[#Totals],[Winning Candidate]]-Audit[[#Totals],[Losing Candidate]]),
      0
)</f>
        <v>0</v>
      </c>
      <c r="AD1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 s="111">
        <f>IF(Audit[[#This Row],[Max Relative Error (ep)]] = 0, 0, Audit[[#This Row],[Max Relative Error (ep)]]/Audit[[#This Row],[Error Bound (up) - Max. possible relative overstatement]])</f>
        <v>0</v>
      </c>
      <c r="AJ1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8" s="111">
        <f t="shared" si="2"/>
        <v>1</v>
      </c>
      <c r="AL158" s="111">
        <f>PRODUCT($AK$5:AK158)</f>
        <v>8.962823818226312E-2</v>
      </c>
      <c r="AM158" s="109">
        <f>1 - [K-M P Value]</f>
        <v>0.91037176181773694</v>
      </c>
      <c r="AN158" s="111" t="str">
        <f>IF(Audit[[#This Row],[K-M P Value]]&gt;1-'General Info'!$B$16,"Continue", "Stop")</f>
        <v>Stop</v>
      </c>
      <c r="AO158" s="110" t="b">
        <f>IF(Audit[[#This Row],[Status - Continue or stop audit]] = "Continue", TRUE, IF(AN157 = "Continue", TRUE, FALSE))</f>
        <v>0</v>
      </c>
      <c r="AP158" s="110"/>
    </row>
    <row r="159" spans="1:42" ht="15" hidden="1" customHeight="1">
      <c r="A159" s="111" t="str">
        <f>'Sampling Data'!W149</f>
        <v/>
      </c>
      <c r="B159" s="112" t="str">
        <f>'Sampling Data'!A149</f>
        <v>BRECKSVILLE -00-I</v>
      </c>
      <c r="C159" s="112">
        <f>'Sampling Data'!B149</f>
        <v>39</v>
      </c>
      <c r="D159" s="112">
        <f>'Sampling Data'!C149</f>
        <v>123</v>
      </c>
      <c r="E159" s="113">
        <f>'Sampling Data'!D149</f>
        <v>24</v>
      </c>
      <c r="F159" s="113">
        <f>'Sampling Data'!E149</f>
        <v>17</v>
      </c>
      <c r="G159" s="113">
        <f>'Sampling Data'!F149</f>
        <v>0</v>
      </c>
      <c r="H159" s="113">
        <f>'Sampling Data'!G149</f>
        <v>0</v>
      </c>
      <c r="I159" s="112">
        <f>'Sampling Data'!H149</f>
        <v>0</v>
      </c>
      <c r="J159" s="112">
        <f>'Sampling Data'!I149</f>
        <v>2</v>
      </c>
      <c r="K159" s="112">
        <f>'Sampling Data'!J149</f>
        <v>205</v>
      </c>
      <c r="L159" s="111">
        <f>'Sampling Data'!X149</f>
        <v>0</v>
      </c>
      <c r="M159" s="114"/>
      <c r="N159" s="114"/>
      <c r="O159" s="115"/>
      <c r="P159" s="115"/>
      <c r="Q159" s="116"/>
      <c r="R159" s="116"/>
      <c r="S159" s="111">
        <f>Audit[[#This Row],[Audit Losing Candidate]]-Audit[[#This Row],[Losing Candidate]]</f>
        <v>-39</v>
      </c>
      <c r="T159" s="111">
        <f>Audit[[#This Row],[Audit Winning Candidate]]-Audit[[#This Row],[Winning Candidate]]</f>
        <v>-123</v>
      </c>
      <c r="U159" s="111">
        <f>Audit[[#This Row],[Audit Candidate 3]]-Audit[[#This Row],[Candidate 3]]</f>
        <v>-24</v>
      </c>
      <c r="V159" s="111">
        <f>Audit[[#This Row],[Audit Candidate 4]]-Audit[[#This Row],[Candidate 4]]</f>
        <v>-17</v>
      </c>
      <c r="W159" s="111">
        <f>Audit[[#This Row],[Audit Candidate 5]]-Audit[[#This Row],[Candidate 5]]</f>
        <v>0</v>
      </c>
      <c r="X159" s="111">
        <f>Audit[[#This Row],[Audit Candidate 6]]-Audit[[#This Row],[Candidate 6]]</f>
        <v>0</v>
      </c>
      <c r="Y159" s="111">
        <f>SUMIF(Audit[[#This Row],[Difference Loser]:[Difference Candidate 6]], "&gt;0")</f>
        <v>0</v>
      </c>
      <c r="Z159" s="111">
        <f>SUM(Audit[[#This Row],[Difference Loser]:[Difference Candidate 6]])</f>
        <v>-203</v>
      </c>
      <c r="AA159" s="111">
        <f>IF(Audit[[#This Row],[Times p Drawn - With Replacement]]&gt;0, IF(Audit[[#This Row],[Canceled Differences]]&lt;0, Audit[[#This Row],[Max Differences]]+ABS(Audit[[#This Row],[Canceled Differences]]), Audit[[#This Row],[Max Differences]]), 0)</f>
        <v>0</v>
      </c>
      <c r="AB159" s="111">
        <f>'Sampling Data'!P149</f>
        <v>1.7699657030867223E-2</v>
      </c>
      <c r="AC159" s="111">
        <f>IF(
      SUM(Audit[[#This Row],[Audit Losing Candidate]:[Audit Candidate 6]])
      &lt;&gt;0,
      (Audit[[#This Row],[Winning Candidate]]-Audit[[#This Row],[Losing Candidate]]-(Audit[[#This Row],[Audit Winning Candidate]]-Audit[[#This Row],[Audit Losing Candidate]]))/(Audit[[#Totals],[Winning Candidate]]-Audit[[#Totals],[Losing Candidate]]),
      0
)</f>
        <v>0</v>
      </c>
      <c r="AD1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 s="111">
        <f>IF(Audit[[#This Row],[Max Relative Error (ep)]] = 0, 0, Audit[[#This Row],[Max Relative Error (ep)]]/Audit[[#This Row],[Error Bound (up) - Max. possible relative overstatement]])</f>
        <v>0</v>
      </c>
      <c r="AJ1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9" s="111">
        <f t="shared" si="2"/>
        <v>1</v>
      </c>
      <c r="AL159" s="111">
        <f>PRODUCT($AK$5:AK159)</f>
        <v>8.962823818226312E-2</v>
      </c>
      <c r="AM159" s="109">
        <f>1 - [K-M P Value]</f>
        <v>0.91037176181773694</v>
      </c>
      <c r="AN159" s="111" t="str">
        <f>IF(Audit[[#This Row],[K-M P Value]]&gt;1-'General Info'!$B$16,"Continue", "Stop")</f>
        <v>Stop</v>
      </c>
      <c r="AO159" s="110" t="b">
        <f>IF(Audit[[#This Row],[Status - Continue or stop audit]] = "Continue", TRUE, IF(AN158 = "Continue", TRUE, FALSE))</f>
        <v>0</v>
      </c>
      <c r="AP159" s="110"/>
    </row>
    <row r="160" spans="1:42" ht="15" hidden="1" customHeight="1">
      <c r="A160" s="111" t="str">
        <f>'Sampling Data'!W150</f>
        <v/>
      </c>
      <c r="B160" s="112" t="str">
        <f>'Sampling Data'!A150</f>
        <v>BRECKSVILLE -00-I - ABS</v>
      </c>
      <c r="C160" s="112">
        <f>'Sampling Data'!B150</f>
        <v>33</v>
      </c>
      <c r="D160" s="112">
        <f>'Sampling Data'!C150</f>
        <v>40</v>
      </c>
      <c r="E160" s="113">
        <f>'Sampling Data'!D150</f>
        <v>8</v>
      </c>
      <c r="F160" s="113">
        <f>'Sampling Data'!E150</f>
        <v>6</v>
      </c>
      <c r="G160" s="113">
        <f>'Sampling Data'!F150</f>
        <v>0</v>
      </c>
      <c r="H160" s="113">
        <f>'Sampling Data'!G150</f>
        <v>0</v>
      </c>
      <c r="I160" s="112">
        <f>'Sampling Data'!H150</f>
        <v>0</v>
      </c>
      <c r="J160" s="112">
        <f>'Sampling Data'!I150</f>
        <v>1</v>
      </c>
      <c r="K160" s="112">
        <f>'Sampling Data'!J150</f>
        <v>88</v>
      </c>
      <c r="L160" s="111">
        <f>'Sampling Data'!X150</f>
        <v>0</v>
      </c>
      <c r="M160" s="114"/>
      <c r="N160" s="114"/>
      <c r="O160" s="115"/>
      <c r="P160" s="115"/>
      <c r="Q160" s="116"/>
      <c r="R160" s="116"/>
      <c r="S160" s="111">
        <f>Audit[[#This Row],[Audit Losing Candidate]]-Audit[[#This Row],[Losing Candidate]]</f>
        <v>-33</v>
      </c>
      <c r="T160" s="111">
        <f>Audit[[#This Row],[Audit Winning Candidate]]-Audit[[#This Row],[Winning Candidate]]</f>
        <v>-40</v>
      </c>
      <c r="U160" s="111">
        <f>Audit[[#This Row],[Audit Candidate 3]]-Audit[[#This Row],[Candidate 3]]</f>
        <v>-8</v>
      </c>
      <c r="V160" s="111">
        <f>Audit[[#This Row],[Audit Candidate 4]]-Audit[[#This Row],[Candidate 4]]</f>
        <v>-6</v>
      </c>
      <c r="W160" s="111">
        <f>Audit[[#This Row],[Audit Candidate 5]]-Audit[[#This Row],[Candidate 5]]</f>
        <v>0</v>
      </c>
      <c r="X160" s="111">
        <f>Audit[[#This Row],[Audit Candidate 6]]-Audit[[#This Row],[Candidate 6]]</f>
        <v>0</v>
      </c>
      <c r="Y160" s="111">
        <f>SUMIF(Audit[[#This Row],[Difference Loser]:[Difference Candidate 6]], "&gt;0")</f>
        <v>0</v>
      </c>
      <c r="Z160" s="111">
        <f>SUM(Audit[[#This Row],[Difference Loser]:[Difference Candidate 6]])</f>
        <v>-87</v>
      </c>
      <c r="AA160" s="111">
        <f>IF(Audit[[#This Row],[Times p Drawn - With Replacement]]&gt;0, IF(Audit[[#This Row],[Canceled Differences]]&lt;0, Audit[[#This Row],[Max Differences]]+ABS(Audit[[#This Row],[Canceled Differences]]), Audit[[#This Row],[Max Differences]]), 0)</f>
        <v>0</v>
      </c>
      <c r="AB160" s="111">
        <f>'Sampling Data'!P150</f>
        <v>5.8182263596276334E-3</v>
      </c>
      <c r="AC160" s="111">
        <f>IF(
      SUM(Audit[[#This Row],[Audit Losing Candidate]:[Audit Candidate 6]])
      &lt;&gt;0,
      (Audit[[#This Row],[Winning Candidate]]-Audit[[#This Row],[Losing Candidate]]-(Audit[[#This Row],[Audit Winning Candidate]]-Audit[[#This Row],[Audit Losing Candidate]]))/(Audit[[#Totals],[Winning Candidate]]-Audit[[#Totals],[Losing Candidate]]),
      0
)</f>
        <v>0</v>
      </c>
      <c r="AD1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 s="111">
        <f>IF(Audit[[#This Row],[Max Relative Error (ep)]] = 0, 0, Audit[[#This Row],[Max Relative Error (ep)]]/Audit[[#This Row],[Error Bound (up) - Max. possible relative overstatement]])</f>
        <v>0</v>
      </c>
      <c r="AJ1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0" s="111">
        <f t="shared" si="2"/>
        <v>1</v>
      </c>
      <c r="AL160" s="111">
        <f>PRODUCT($AK$5:AK160)</f>
        <v>8.962823818226312E-2</v>
      </c>
      <c r="AM160" s="109">
        <f>1 - [K-M P Value]</f>
        <v>0.91037176181773694</v>
      </c>
      <c r="AN160" s="111" t="str">
        <f>IF(Audit[[#This Row],[K-M P Value]]&gt;1-'General Info'!$B$16,"Continue", "Stop")</f>
        <v>Stop</v>
      </c>
      <c r="AO160" s="110" t="b">
        <f>IF(Audit[[#This Row],[Status - Continue or stop audit]] = "Continue", TRUE, IF(AN159 = "Continue", TRUE, FALSE))</f>
        <v>0</v>
      </c>
      <c r="AP160" s="110"/>
    </row>
    <row r="161" spans="1:42" ht="15" hidden="1" customHeight="1">
      <c r="A161" s="111" t="str">
        <f>'Sampling Data'!W151</f>
        <v/>
      </c>
      <c r="B161" s="112" t="str">
        <f>'Sampling Data'!A151</f>
        <v>BRECKSVILLE -00-J</v>
      </c>
      <c r="C161" s="112">
        <f>'Sampling Data'!B151</f>
        <v>33</v>
      </c>
      <c r="D161" s="112">
        <f>'Sampling Data'!C151</f>
        <v>68</v>
      </c>
      <c r="E161" s="113">
        <f>'Sampling Data'!D151</f>
        <v>9</v>
      </c>
      <c r="F161" s="113">
        <f>'Sampling Data'!E151</f>
        <v>9</v>
      </c>
      <c r="G161" s="113">
        <f>'Sampling Data'!F151</f>
        <v>1</v>
      </c>
      <c r="H161" s="113">
        <f>'Sampling Data'!G151</f>
        <v>0</v>
      </c>
      <c r="I161" s="112">
        <f>'Sampling Data'!H151</f>
        <v>0</v>
      </c>
      <c r="J161" s="112">
        <f>'Sampling Data'!I151</f>
        <v>1</v>
      </c>
      <c r="K161" s="112">
        <f>'Sampling Data'!J151</f>
        <v>121</v>
      </c>
      <c r="L161" s="111">
        <f>'Sampling Data'!X151</f>
        <v>0</v>
      </c>
      <c r="M161" s="114"/>
      <c r="N161" s="114"/>
      <c r="O161" s="115"/>
      <c r="P161" s="115"/>
      <c r="Q161" s="116"/>
      <c r="R161" s="116"/>
      <c r="S161" s="111">
        <f>Audit[[#This Row],[Audit Losing Candidate]]-Audit[[#This Row],[Losing Candidate]]</f>
        <v>-33</v>
      </c>
      <c r="T161" s="111">
        <f>Audit[[#This Row],[Audit Winning Candidate]]-Audit[[#This Row],[Winning Candidate]]</f>
        <v>-68</v>
      </c>
      <c r="U161" s="111">
        <f>Audit[[#This Row],[Audit Candidate 3]]-Audit[[#This Row],[Candidate 3]]</f>
        <v>-9</v>
      </c>
      <c r="V161" s="111">
        <f>Audit[[#This Row],[Audit Candidate 4]]-Audit[[#This Row],[Candidate 4]]</f>
        <v>-9</v>
      </c>
      <c r="W161" s="111">
        <f>Audit[[#This Row],[Audit Candidate 5]]-Audit[[#This Row],[Candidate 5]]</f>
        <v>-1</v>
      </c>
      <c r="X161" s="111">
        <f>Audit[[#This Row],[Audit Candidate 6]]-Audit[[#This Row],[Candidate 6]]</f>
        <v>0</v>
      </c>
      <c r="Y161" s="111">
        <f>SUMIF(Audit[[#This Row],[Difference Loser]:[Difference Candidate 6]], "&gt;0")</f>
        <v>0</v>
      </c>
      <c r="Z161" s="111">
        <f>SUM(Audit[[#This Row],[Difference Loser]:[Difference Candidate 6]])</f>
        <v>-120</v>
      </c>
      <c r="AA161" s="111">
        <f>IF(Audit[[#This Row],[Times p Drawn - With Replacement]]&gt;0, IF(Audit[[#This Row],[Canceled Differences]]&lt;0, Audit[[#This Row],[Max Differences]]+ABS(Audit[[#This Row],[Canceled Differences]]), Audit[[#This Row],[Max Differences]]), 0)</f>
        <v>0</v>
      </c>
      <c r="AB161" s="111">
        <f>'Sampling Data'!P151</f>
        <v>9.5541401273885346E-3</v>
      </c>
      <c r="AC161" s="111">
        <f>IF(
      SUM(Audit[[#This Row],[Audit Losing Candidate]:[Audit Candidate 6]])
      &lt;&gt;0,
      (Audit[[#This Row],[Winning Candidate]]-Audit[[#This Row],[Losing Candidate]]-(Audit[[#This Row],[Audit Winning Candidate]]-Audit[[#This Row],[Audit Losing Candidate]]))/(Audit[[#Totals],[Winning Candidate]]-Audit[[#Totals],[Losing Candidate]]),
      0
)</f>
        <v>0</v>
      </c>
      <c r="AD1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 s="111">
        <f>IF(Audit[[#This Row],[Max Relative Error (ep)]] = 0, 0, Audit[[#This Row],[Max Relative Error (ep)]]/Audit[[#This Row],[Error Bound (up) - Max. possible relative overstatement]])</f>
        <v>0</v>
      </c>
      <c r="AJ1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1" s="111">
        <f t="shared" si="2"/>
        <v>1</v>
      </c>
      <c r="AL161" s="111">
        <f>PRODUCT($AK$5:AK161)</f>
        <v>8.962823818226312E-2</v>
      </c>
      <c r="AM161" s="109">
        <f>1 - [K-M P Value]</f>
        <v>0.91037176181773694</v>
      </c>
      <c r="AN161" s="111" t="str">
        <f>IF(Audit[[#This Row],[K-M P Value]]&gt;1-'General Info'!$B$16,"Continue", "Stop")</f>
        <v>Stop</v>
      </c>
      <c r="AO161" s="110" t="b">
        <f>IF(Audit[[#This Row],[Status - Continue or stop audit]] = "Continue", TRUE, IF(AN160 = "Continue", TRUE, FALSE))</f>
        <v>0</v>
      </c>
      <c r="AP161" s="110"/>
    </row>
    <row r="162" spans="1:42" ht="15" hidden="1" customHeight="1">
      <c r="A162" s="111" t="str">
        <f>'Sampling Data'!W152</f>
        <v/>
      </c>
      <c r="B162" s="112" t="str">
        <f>'Sampling Data'!A152</f>
        <v>BRECKSVILLE -00-J - ABS</v>
      </c>
      <c r="C162" s="112">
        <f>'Sampling Data'!B152</f>
        <v>26</v>
      </c>
      <c r="D162" s="112">
        <f>'Sampling Data'!C152</f>
        <v>35</v>
      </c>
      <c r="E162" s="113">
        <f>'Sampling Data'!D152</f>
        <v>4</v>
      </c>
      <c r="F162" s="113">
        <f>'Sampling Data'!E152</f>
        <v>5</v>
      </c>
      <c r="G162" s="113">
        <f>'Sampling Data'!F152</f>
        <v>1</v>
      </c>
      <c r="H162" s="113">
        <f>'Sampling Data'!G152</f>
        <v>0</v>
      </c>
      <c r="I162" s="112">
        <f>'Sampling Data'!H152</f>
        <v>0</v>
      </c>
      <c r="J162" s="112">
        <f>'Sampling Data'!I152</f>
        <v>1</v>
      </c>
      <c r="K162" s="112">
        <f>'Sampling Data'!J152</f>
        <v>72</v>
      </c>
      <c r="L162" s="111">
        <f>'Sampling Data'!X152</f>
        <v>0</v>
      </c>
      <c r="M162" s="114"/>
      <c r="N162" s="114"/>
      <c r="O162" s="115"/>
      <c r="P162" s="115"/>
      <c r="Q162" s="116"/>
      <c r="R162" s="116"/>
      <c r="S162" s="111">
        <f>Audit[[#This Row],[Audit Losing Candidate]]-Audit[[#This Row],[Losing Candidate]]</f>
        <v>-26</v>
      </c>
      <c r="T162" s="111">
        <f>Audit[[#This Row],[Audit Winning Candidate]]-Audit[[#This Row],[Winning Candidate]]</f>
        <v>-35</v>
      </c>
      <c r="U162" s="111">
        <f>Audit[[#This Row],[Audit Candidate 3]]-Audit[[#This Row],[Candidate 3]]</f>
        <v>-4</v>
      </c>
      <c r="V162" s="111">
        <f>Audit[[#This Row],[Audit Candidate 4]]-Audit[[#This Row],[Candidate 4]]</f>
        <v>-5</v>
      </c>
      <c r="W162" s="111">
        <f>Audit[[#This Row],[Audit Candidate 5]]-Audit[[#This Row],[Candidate 5]]</f>
        <v>-1</v>
      </c>
      <c r="X162" s="111">
        <f>Audit[[#This Row],[Audit Candidate 6]]-Audit[[#This Row],[Candidate 6]]</f>
        <v>0</v>
      </c>
      <c r="Y162" s="111">
        <f>SUMIF(Audit[[#This Row],[Difference Loser]:[Difference Candidate 6]], "&gt;0")</f>
        <v>0</v>
      </c>
      <c r="Z162" s="111">
        <f>SUM(Audit[[#This Row],[Difference Loser]:[Difference Candidate 6]])</f>
        <v>-71</v>
      </c>
      <c r="AA162" s="111">
        <f>IF(Audit[[#This Row],[Times p Drawn - With Replacement]]&gt;0, IF(Audit[[#This Row],[Canceled Differences]]&lt;0, Audit[[#This Row],[Max Differences]]+ABS(Audit[[#This Row],[Canceled Differences]]), Audit[[#This Row],[Max Differences]]), 0)</f>
        <v>0</v>
      </c>
      <c r="AB162" s="111">
        <f>'Sampling Data'!P152</f>
        <v>4.9608035276825085E-3</v>
      </c>
      <c r="AC162" s="111">
        <f>IF(
      SUM(Audit[[#This Row],[Audit Losing Candidate]:[Audit Candidate 6]])
      &lt;&gt;0,
      (Audit[[#This Row],[Winning Candidate]]-Audit[[#This Row],[Losing Candidate]]-(Audit[[#This Row],[Audit Winning Candidate]]-Audit[[#This Row],[Audit Losing Candidate]]))/(Audit[[#Totals],[Winning Candidate]]-Audit[[#Totals],[Losing Candidate]]),
      0
)</f>
        <v>0</v>
      </c>
      <c r="AD1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 s="111">
        <f>IF(Audit[[#This Row],[Max Relative Error (ep)]] = 0, 0, Audit[[#This Row],[Max Relative Error (ep)]]/Audit[[#This Row],[Error Bound (up) - Max. possible relative overstatement]])</f>
        <v>0</v>
      </c>
      <c r="AJ1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2" s="111">
        <f t="shared" si="2"/>
        <v>1</v>
      </c>
      <c r="AL162" s="111">
        <f>PRODUCT($AK$5:AK162)</f>
        <v>8.962823818226312E-2</v>
      </c>
      <c r="AM162" s="109">
        <f>1 - [K-M P Value]</f>
        <v>0.91037176181773694</v>
      </c>
      <c r="AN162" s="111" t="str">
        <f>IF(Audit[[#This Row],[K-M P Value]]&gt;1-'General Info'!$B$16,"Continue", "Stop")</f>
        <v>Stop</v>
      </c>
      <c r="AO162" s="110" t="b">
        <f>IF(Audit[[#This Row],[Status - Continue or stop audit]] = "Continue", TRUE, IF(AN161 = "Continue", TRUE, FALSE))</f>
        <v>0</v>
      </c>
      <c r="AP162" s="110"/>
    </row>
    <row r="163" spans="1:42" ht="15" hidden="1" customHeight="1">
      <c r="A163" s="111" t="str">
        <f>'Sampling Data'!W153</f>
        <v/>
      </c>
      <c r="B163" s="112" t="str">
        <f>'Sampling Data'!A153</f>
        <v>BRECKSVILLE -00-K</v>
      </c>
      <c r="C163" s="112">
        <f>'Sampling Data'!B153</f>
        <v>57</v>
      </c>
      <c r="D163" s="112">
        <f>'Sampling Data'!C153</f>
        <v>87</v>
      </c>
      <c r="E163" s="113">
        <f>'Sampling Data'!D153</f>
        <v>22</v>
      </c>
      <c r="F163" s="113">
        <f>'Sampling Data'!E153</f>
        <v>12</v>
      </c>
      <c r="G163" s="113">
        <f>'Sampling Data'!F153</f>
        <v>0</v>
      </c>
      <c r="H163" s="113">
        <f>'Sampling Data'!G153</f>
        <v>0</v>
      </c>
      <c r="I163" s="112">
        <f>'Sampling Data'!H153</f>
        <v>0</v>
      </c>
      <c r="J163" s="112">
        <f>'Sampling Data'!I153</f>
        <v>0</v>
      </c>
      <c r="K163" s="112">
        <f>'Sampling Data'!J153</f>
        <v>178</v>
      </c>
      <c r="L163" s="111">
        <f>'Sampling Data'!X153</f>
        <v>0</v>
      </c>
      <c r="M163" s="114"/>
      <c r="N163" s="114"/>
      <c r="O163" s="115"/>
      <c r="P163" s="115"/>
      <c r="Q163" s="116"/>
      <c r="R163" s="116"/>
      <c r="S163" s="111">
        <f>Audit[[#This Row],[Audit Losing Candidate]]-Audit[[#This Row],[Losing Candidate]]</f>
        <v>-57</v>
      </c>
      <c r="T163" s="111">
        <f>Audit[[#This Row],[Audit Winning Candidate]]-Audit[[#This Row],[Winning Candidate]]</f>
        <v>-87</v>
      </c>
      <c r="U163" s="111">
        <f>Audit[[#This Row],[Audit Candidate 3]]-Audit[[#This Row],[Candidate 3]]</f>
        <v>-22</v>
      </c>
      <c r="V163" s="111">
        <f>Audit[[#This Row],[Audit Candidate 4]]-Audit[[#This Row],[Candidate 4]]</f>
        <v>-12</v>
      </c>
      <c r="W163" s="111">
        <f>Audit[[#This Row],[Audit Candidate 5]]-Audit[[#This Row],[Candidate 5]]</f>
        <v>0</v>
      </c>
      <c r="X163" s="111">
        <f>Audit[[#This Row],[Audit Candidate 6]]-Audit[[#This Row],[Candidate 6]]</f>
        <v>0</v>
      </c>
      <c r="Y163" s="111">
        <f>SUMIF(Audit[[#This Row],[Difference Loser]:[Difference Candidate 6]], "&gt;0")</f>
        <v>0</v>
      </c>
      <c r="Z163" s="111">
        <f>SUM(Audit[[#This Row],[Difference Loser]:[Difference Candidate 6]])</f>
        <v>-178</v>
      </c>
      <c r="AA163" s="111">
        <f>IF(Audit[[#This Row],[Times p Drawn - With Replacement]]&gt;0, IF(Audit[[#This Row],[Canceled Differences]]&lt;0, Audit[[#This Row],[Max Differences]]+ABS(Audit[[#This Row],[Canceled Differences]]), Audit[[#This Row],[Max Differences]]), 0)</f>
        <v>0</v>
      </c>
      <c r="AB163" s="111">
        <f>'Sampling Data'!P153</f>
        <v>1.2738853503184714E-2</v>
      </c>
      <c r="AC163" s="111">
        <f>IF(
      SUM(Audit[[#This Row],[Audit Losing Candidate]:[Audit Candidate 6]])
      &lt;&gt;0,
      (Audit[[#This Row],[Winning Candidate]]-Audit[[#This Row],[Losing Candidate]]-(Audit[[#This Row],[Audit Winning Candidate]]-Audit[[#This Row],[Audit Losing Candidate]]))/(Audit[[#Totals],[Winning Candidate]]-Audit[[#Totals],[Losing Candidate]]),
      0
)</f>
        <v>0</v>
      </c>
      <c r="AD1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 s="111">
        <f>IF(Audit[[#This Row],[Max Relative Error (ep)]] = 0, 0, Audit[[#This Row],[Max Relative Error (ep)]]/Audit[[#This Row],[Error Bound (up) - Max. possible relative overstatement]])</f>
        <v>0</v>
      </c>
      <c r="AJ1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3" s="111">
        <f t="shared" si="2"/>
        <v>1</v>
      </c>
      <c r="AL163" s="111">
        <f>PRODUCT($AK$5:AK163)</f>
        <v>8.962823818226312E-2</v>
      </c>
      <c r="AM163" s="109">
        <f>1 - [K-M P Value]</f>
        <v>0.91037176181773694</v>
      </c>
      <c r="AN163" s="111" t="str">
        <f>IF(Audit[[#This Row],[K-M P Value]]&gt;1-'General Info'!$B$16,"Continue", "Stop")</f>
        <v>Stop</v>
      </c>
      <c r="AO163" s="110" t="b">
        <f>IF(Audit[[#This Row],[Status - Continue or stop audit]] = "Continue", TRUE, IF(AN162 = "Continue", TRUE, FALSE))</f>
        <v>0</v>
      </c>
      <c r="AP163" s="110"/>
    </row>
    <row r="164" spans="1:42" ht="15" hidden="1" customHeight="1">
      <c r="A164" s="111" t="str">
        <f>'Sampling Data'!W154</f>
        <v/>
      </c>
      <c r="B164" s="112" t="str">
        <f>'Sampling Data'!A154</f>
        <v>BRECKSVILLE -00-K - ABS</v>
      </c>
      <c r="C164" s="112">
        <f>'Sampling Data'!B154</f>
        <v>25</v>
      </c>
      <c r="D164" s="112">
        <f>'Sampling Data'!C154</f>
        <v>30</v>
      </c>
      <c r="E164" s="113">
        <f>'Sampling Data'!D154</f>
        <v>12</v>
      </c>
      <c r="F164" s="113">
        <f>'Sampling Data'!E154</f>
        <v>2</v>
      </c>
      <c r="G164" s="113">
        <f>'Sampling Data'!F154</f>
        <v>0</v>
      </c>
      <c r="H164" s="113">
        <f>'Sampling Data'!G154</f>
        <v>1</v>
      </c>
      <c r="I164" s="112">
        <f>'Sampling Data'!H154</f>
        <v>0</v>
      </c>
      <c r="J164" s="112">
        <f>'Sampling Data'!I154</f>
        <v>0</v>
      </c>
      <c r="K164" s="112">
        <f>'Sampling Data'!J154</f>
        <v>70</v>
      </c>
      <c r="L164" s="111">
        <f>'Sampling Data'!X154</f>
        <v>0</v>
      </c>
      <c r="M164" s="114"/>
      <c r="N164" s="114"/>
      <c r="O164" s="115"/>
      <c r="P164" s="115"/>
      <c r="Q164" s="116"/>
      <c r="R164" s="116"/>
      <c r="S164" s="111">
        <f>Audit[[#This Row],[Audit Losing Candidate]]-Audit[[#This Row],[Losing Candidate]]</f>
        <v>-25</v>
      </c>
      <c r="T164" s="111">
        <f>Audit[[#This Row],[Audit Winning Candidate]]-Audit[[#This Row],[Winning Candidate]]</f>
        <v>-30</v>
      </c>
      <c r="U164" s="111">
        <f>Audit[[#This Row],[Audit Candidate 3]]-Audit[[#This Row],[Candidate 3]]</f>
        <v>-12</v>
      </c>
      <c r="V164" s="111">
        <f>Audit[[#This Row],[Audit Candidate 4]]-Audit[[#This Row],[Candidate 4]]</f>
        <v>-2</v>
      </c>
      <c r="W164" s="111">
        <f>Audit[[#This Row],[Audit Candidate 5]]-Audit[[#This Row],[Candidate 5]]</f>
        <v>0</v>
      </c>
      <c r="X164" s="111">
        <f>Audit[[#This Row],[Audit Candidate 6]]-Audit[[#This Row],[Candidate 6]]</f>
        <v>-1</v>
      </c>
      <c r="Y164" s="111">
        <f>SUMIF(Audit[[#This Row],[Difference Loser]:[Difference Candidate 6]], "&gt;0")</f>
        <v>0</v>
      </c>
      <c r="Z164" s="111">
        <f>SUM(Audit[[#This Row],[Difference Loser]:[Difference Candidate 6]])</f>
        <v>-70</v>
      </c>
      <c r="AA164" s="111">
        <f>IF(Audit[[#This Row],[Times p Drawn - With Replacement]]&gt;0, IF(Audit[[#This Row],[Canceled Differences]]&lt;0, Audit[[#This Row],[Max Differences]]+ABS(Audit[[#This Row],[Canceled Differences]]), Audit[[#This Row],[Max Differences]]), 0)</f>
        <v>0</v>
      </c>
      <c r="AB164" s="111">
        <f>'Sampling Data'!P154</f>
        <v>4.5933365997060261E-3</v>
      </c>
      <c r="AC164" s="111">
        <f>IF(
      SUM(Audit[[#This Row],[Audit Losing Candidate]:[Audit Candidate 6]])
      &lt;&gt;0,
      (Audit[[#This Row],[Winning Candidate]]-Audit[[#This Row],[Losing Candidate]]-(Audit[[#This Row],[Audit Winning Candidate]]-Audit[[#This Row],[Audit Losing Candidate]]))/(Audit[[#Totals],[Winning Candidate]]-Audit[[#Totals],[Losing Candidate]]),
      0
)</f>
        <v>0</v>
      </c>
      <c r="AD1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 s="111">
        <f>IF(Audit[[#This Row],[Max Relative Error (ep)]] = 0, 0, Audit[[#This Row],[Max Relative Error (ep)]]/Audit[[#This Row],[Error Bound (up) - Max. possible relative overstatement]])</f>
        <v>0</v>
      </c>
      <c r="AJ1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4" s="111">
        <f t="shared" si="2"/>
        <v>1</v>
      </c>
      <c r="AL164" s="111">
        <f>PRODUCT($AK$5:AK164)</f>
        <v>8.962823818226312E-2</v>
      </c>
      <c r="AM164" s="109">
        <f>1 - [K-M P Value]</f>
        <v>0.91037176181773694</v>
      </c>
      <c r="AN164" s="111" t="str">
        <f>IF(Audit[[#This Row],[K-M P Value]]&gt;1-'General Info'!$B$16,"Continue", "Stop")</f>
        <v>Stop</v>
      </c>
      <c r="AO164" s="110" t="b">
        <f>IF(Audit[[#This Row],[Status - Continue or stop audit]] = "Continue", TRUE, IF(AN163 = "Continue", TRUE, FALSE))</f>
        <v>0</v>
      </c>
      <c r="AP164" s="110"/>
    </row>
    <row r="165" spans="1:42" ht="15" hidden="1" customHeight="1">
      <c r="A165" s="111" t="str">
        <f>'Sampling Data'!W155</f>
        <v/>
      </c>
      <c r="B165" s="112" t="str">
        <f>'Sampling Data'!A155</f>
        <v>BROADVIEW HEIGHTS -01-A</v>
      </c>
      <c r="C165" s="112">
        <f>'Sampling Data'!B155</f>
        <v>39</v>
      </c>
      <c r="D165" s="112">
        <f>'Sampling Data'!C155</f>
        <v>61</v>
      </c>
      <c r="E165" s="113">
        <f>'Sampling Data'!D155</f>
        <v>26</v>
      </c>
      <c r="F165" s="113">
        <f>'Sampling Data'!E155</f>
        <v>18</v>
      </c>
      <c r="G165" s="113">
        <f>'Sampling Data'!F155</f>
        <v>0</v>
      </c>
      <c r="H165" s="113">
        <f>'Sampling Data'!G155</f>
        <v>0</v>
      </c>
      <c r="I165" s="112">
        <f>'Sampling Data'!H155</f>
        <v>0</v>
      </c>
      <c r="J165" s="112">
        <f>'Sampling Data'!I155</f>
        <v>5</v>
      </c>
      <c r="K165" s="112">
        <f>'Sampling Data'!J155</f>
        <v>149</v>
      </c>
      <c r="L165" s="111">
        <f>'Sampling Data'!X155</f>
        <v>0</v>
      </c>
      <c r="M165" s="114"/>
      <c r="N165" s="114"/>
      <c r="O165" s="115"/>
      <c r="P165" s="115"/>
      <c r="Q165" s="116"/>
      <c r="R165" s="116"/>
      <c r="S165" s="111">
        <f>Audit[[#This Row],[Audit Losing Candidate]]-Audit[[#This Row],[Losing Candidate]]</f>
        <v>-39</v>
      </c>
      <c r="T165" s="111">
        <f>Audit[[#This Row],[Audit Winning Candidate]]-Audit[[#This Row],[Winning Candidate]]</f>
        <v>-61</v>
      </c>
      <c r="U165" s="111">
        <f>Audit[[#This Row],[Audit Candidate 3]]-Audit[[#This Row],[Candidate 3]]</f>
        <v>-26</v>
      </c>
      <c r="V165" s="111">
        <f>Audit[[#This Row],[Audit Candidate 4]]-Audit[[#This Row],[Candidate 4]]</f>
        <v>-18</v>
      </c>
      <c r="W165" s="111">
        <f>Audit[[#This Row],[Audit Candidate 5]]-Audit[[#This Row],[Candidate 5]]</f>
        <v>0</v>
      </c>
      <c r="X165" s="111">
        <f>Audit[[#This Row],[Audit Candidate 6]]-Audit[[#This Row],[Candidate 6]]</f>
        <v>0</v>
      </c>
      <c r="Y165" s="111">
        <f>SUMIF(Audit[[#This Row],[Difference Loser]:[Difference Candidate 6]], "&gt;0")</f>
        <v>0</v>
      </c>
      <c r="Z165" s="111">
        <f>SUM(Audit[[#This Row],[Difference Loser]:[Difference Candidate 6]])</f>
        <v>-144</v>
      </c>
      <c r="AA165" s="111">
        <f>IF(Audit[[#This Row],[Times p Drawn - With Replacement]]&gt;0, IF(Audit[[#This Row],[Canceled Differences]]&lt;0, Audit[[#This Row],[Max Differences]]+ABS(Audit[[#This Row],[Canceled Differences]]), Audit[[#This Row],[Max Differences]]), 0)</f>
        <v>0</v>
      </c>
      <c r="AB165" s="111">
        <f>'Sampling Data'!P155</f>
        <v>1.047280744732974E-2</v>
      </c>
      <c r="AC165" s="111">
        <f>IF(
      SUM(Audit[[#This Row],[Audit Losing Candidate]:[Audit Candidate 6]])
      &lt;&gt;0,
      (Audit[[#This Row],[Winning Candidate]]-Audit[[#This Row],[Losing Candidate]]-(Audit[[#This Row],[Audit Winning Candidate]]-Audit[[#This Row],[Audit Losing Candidate]]))/(Audit[[#Totals],[Winning Candidate]]-Audit[[#Totals],[Losing Candidate]]),
      0
)</f>
        <v>0</v>
      </c>
      <c r="AD1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 s="111">
        <f>IF(Audit[[#This Row],[Max Relative Error (ep)]] = 0, 0, Audit[[#This Row],[Max Relative Error (ep)]]/Audit[[#This Row],[Error Bound (up) - Max. possible relative overstatement]])</f>
        <v>0</v>
      </c>
      <c r="AJ1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5" s="111">
        <f t="shared" si="2"/>
        <v>1</v>
      </c>
      <c r="AL165" s="111">
        <f>PRODUCT($AK$5:AK165)</f>
        <v>8.962823818226312E-2</v>
      </c>
      <c r="AM165" s="109">
        <f>1 - [K-M P Value]</f>
        <v>0.91037176181773694</v>
      </c>
      <c r="AN165" s="111" t="str">
        <f>IF(Audit[[#This Row],[K-M P Value]]&gt;1-'General Info'!$B$16,"Continue", "Stop")</f>
        <v>Stop</v>
      </c>
      <c r="AO165" s="110" t="b">
        <f>IF(Audit[[#This Row],[Status - Continue or stop audit]] = "Continue", TRUE, IF(AN164 = "Continue", TRUE, FALSE))</f>
        <v>0</v>
      </c>
      <c r="AP165" s="110"/>
    </row>
    <row r="166" spans="1:42" ht="15" hidden="1" customHeight="1">
      <c r="A166" s="111" t="str">
        <f>'Sampling Data'!W156</f>
        <v/>
      </c>
      <c r="B166" s="112" t="str">
        <f>'Sampling Data'!A156</f>
        <v>BROADVIEW HEIGHTS -01-A - ABS</v>
      </c>
      <c r="C166" s="112">
        <f>'Sampling Data'!B156</f>
        <v>34</v>
      </c>
      <c r="D166" s="112">
        <f>'Sampling Data'!C156</f>
        <v>27</v>
      </c>
      <c r="E166" s="113">
        <f>'Sampling Data'!D156</f>
        <v>18</v>
      </c>
      <c r="F166" s="113">
        <f>'Sampling Data'!E156</f>
        <v>8</v>
      </c>
      <c r="G166" s="113">
        <f>'Sampling Data'!F156</f>
        <v>0</v>
      </c>
      <c r="H166" s="113">
        <f>'Sampling Data'!G156</f>
        <v>0</v>
      </c>
      <c r="I166" s="112">
        <f>'Sampling Data'!H156</f>
        <v>0</v>
      </c>
      <c r="J166" s="112">
        <f>'Sampling Data'!I156</f>
        <v>3</v>
      </c>
      <c r="K166" s="112">
        <f>'Sampling Data'!J156</f>
        <v>90</v>
      </c>
      <c r="L166" s="111">
        <f>'Sampling Data'!X156</f>
        <v>0</v>
      </c>
      <c r="M166" s="114"/>
      <c r="N166" s="114"/>
      <c r="O166" s="115"/>
      <c r="P166" s="115"/>
      <c r="Q166" s="116"/>
      <c r="R166" s="116"/>
      <c r="S166" s="111">
        <f>Audit[[#This Row],[Audit Losing Candidate]]-Audit[[#This Row],[Losing Candidate]]</f>
        <v>-34</v>
      </c>
      <c r="T166" s="111">
        <f>Audit[[#This Row],[Audit Winning Candidate]]-Audit[[#This Row],[Winning Candidate]]</f>
        <v>-27</v>
      </c>
      <c r="U166" s="111">
        <f>Audit[[#This Row],[Audit Candidate 3]]-Audit[[#This Row],[Candidate 3]]</f>
        <v>-18</v>
      </c>
      <c r="V166" s="111">
        <f>Audit[[#This Row],[Audit Candidate 4]]-Audit[[#This Row],[Candidate 4]]</f>
        <v>-8</v>
      </c>
      <c r="W166" s="111">
        <f>Audit[[#This Row],[Audit Candidate 5]]-Audit[[#This Row],[Candidate 5]]</f>
        <v>0</v>
      </c>
      <c r="X166" s="111">
        <f>Audit[[#This Row],[Audit Candidate 6]]-Audit[[#This Row],[Candidate 6]]</f>
        <v>0</v>
      </c>
      <c r="Y166" s="111">
        <f>SUMIF(Audit[[#This Row],[Difference Loser]:[Difference Candidate 6]], "&gt;0")</f>
        <v>0</v>
      </c>
      <c r="Z166" s="111">
        <f>SUM(Audit[[#This Row],[Difference Loser]:[Difference Candidate 6]])</f>
        <v>-87</v>
      </c>
      <c r="AA166" s="111">
        <f>IF(Audit[[#This Row],[Times p Drawn - With Replacement]]&gt;0, IF(Audit[[#This Row],[Canceled Differences]]&lt;0, Audit[[#This Row],[Max Differences]]+ABS(Audit[[#This Row],[Canceled Differences]]), Audit[[#This Row],[Max Differences]]), 0)</f>
        <v>0</v>
      </c>
      <c r="AB166" s="111">
        <f>'Sampling Data'!P156</f>
        <v>5.0832925036746694E-3</v>
      </c>
      <c r="AC166" s="111">
        <f>IF(
      SUM(Audit[[#This Row],[Audit Losing Candidate]:[Audit Candidate 6]])
      &lt;&gt;0,
      (Audit[[#This Row],[Winning Candidate]]-Audit[[#This Row],[Losing Candidate]]-(Audit[[#This Row],[Audit Winning Candidate]]-Audit[[#This Row],[Audit Losing Candidate]]))/(Audit[[#Totals],[Winning Candidate]]-Audit[[#Totals],[Losing Candidate]]),
      0
)</f>
        <v>0</v>
      </c>
      <c r="AD1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 s="111">
        <f>IF(Audit[[#This Row],[Max Relative Error (ep)]] = 0, 0, Audit[[#This Row],[Max Relative Error (ep)]]/Audit[[#This Row],[Error Bound (up) - Max. possible relative overstatement]])</f>
        <v>0</v>
      </c>
      <c r="AJ1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6" s="111">
        <f t="shared" si="2"/>
        <v>1</v>
      </c>
      <c r="AL166" s="111">
        <f>PRODUCT($AK$5:AK166)</f>
        <v>8.962823818226312E-2</v>
      </c>
      <c r="AM166" s="109">
        <f>1 - [K-M P Value]</f>
        <v>0.91037176181773694</v>
      </c>
      <c r="AN166" s="111" t="str">
        <f>IF(Audit[[#This Row],[K-M P Value]]&gt;1-'General Info'!$B$16,"Continue", "Stop")</f>
        <v>Stop</v>
      </c>
      <c r="AO166" s="110" t="b">
        <f>IF(Audit[[#This Row],[Status - Continue or stop audit]] = "Continue", TRUE, IF(AN165 = "Continue", TRUE, FALSE))</f>
        <v>0</v>
      </c>
      <c r="AP166" s="110"/>
    </row>
    <row r="167" spans="1:42" ht="15" hidden="1" customHeight="1">
      <c r="A167" s="111" t="str">
        <f>'Sampling Data'!W157</f>
        <v/>
      </c>
      <c r="B167" s="112" t="str">
        <f>'Sampling Data'!A157</f>
        <v>BROADVIEW HEIGHTS -01-B</v>
      </c>
      <c r="C167" s="112">
        <f>'Sampling Data'!B157</f>
        <v>21</v>
      </c>
      <c r="D167" s="112">
        <f>'Sampling Data'!C157</f>
        <v>41</v>
      </c>
      <c r="E167" s="113">
        <f>'Sampling Data'!D157</f>
        <v>16</v>
      </c>
      <c r="F167" s="113">
        <f>'Sampling Data'!E157</f>
        <v>3</v>
      </c>
      <c r="G167" s="113">
        <f>'Sampling Data'!F157</f>
        <v>0</v>
      </c>
      <c r="H167" s="113">
        <f>'Sampling Data'!G157</f>
        <v>1</v>
      </c>
      <c r="I167" s="112">
        <f>'Sampling Data'!H157</f>
        <v>0</v>
      </c>
      <c r="J167" s="112">
        <f>'Sampling Data'!I157</f>
        <v>1</v>
      </c>
      <c r="K167" s="112">
        <f>'Sampling Data'!J157</f>
        <v>83</v>
      </c>
      <c r="L167" s="111">
        <f>'Sampling Data'!X157</f>
        <v>0</v>
      </c>
      <c r="M167" s="114"/>
      <c r="N167" s="114"/>
      <c r="O167" s="115"/>
      <c r="P167" s="115"/>
      <c r="Q167" s="116"/>
      <c r="R167" s="116"/>
      <c r="S167" s="111">
        <f>Audit[[#This Row],[Audit Losing Candidate]]-Audit[[#This Row],[Losing Candidate]]</f>
        <v>-21</v>
      </c>
      <c r="T167" s="111">
        <f>Audit[[#This Row],[Audit Winning Candidate]]-Audit[[#This Row],[Winning Candidate]]</f>
        <v>-41</v>
      </c>
      <c r="U167" s="111">
        <f>Audit[[#This Row],[Audit Candidate 3]]-Audit[[#This Row],[Candidate 3]]</f>
        <v>-16</v>
      </c>
      <c r="V167" s="111">
        <f>Audit[[#This Row],[Audit Candidate 4]]-Audit[[#This Row],[Candidate 4]]</f>
        <v>-3</v>
      </c>
      <c r="W167" s="111">
        <f>Audit[[#This Row],[Audit Candidate 5]]-Audit[[#This Row],[Candidate 5]]</f>
        <v>0</v>
      </c>
      <c r="X167" s="111">
        <f>Audit[[#This Row],[Audit Candidate 6]]-Audit[[#This Row],[Candidate 6]]</f>
        <v>-1</v>
      </c>
      <c r="Y167" s="111">
        <f>SUMIF(Audit[[#This Row],[Difference Loser]:[Difference Candidate 6]], "&gt;0")</f>
        <v>0</v>
      </c>
      <c r="Z167" s="111">
        <f>SUM(Audit[[#This Row],[Difference Loser]:[Difference Candidate 6]])</f>
        <v>-82</v>
      </c>
      <c r="AA167" s="111">
        <f>IF(Audit[[#This Row],[Times p Drawn - With Replacement]]&gt;0, IF(Audit[[#This Row],[Canceled Differences]]&lt;0, Audit[[#This Row],[Max Differences]]+ABS(Audit[[#This Row],[Canceled Differences]]), Audit[[#This Row],[Max Differences]]), 0)</f>
        <v>0</v>
      </c>
      <c r="AB167" s="111">
        <f>'Sampling Data'!P157</f>
        <v>6.3081822635962766E-3</v>
      </c>
      <c r="AC167" s="111">
        <f>IF(
      SUM(Audit[[#This Row],[Audit Losing Candidate]:[Audit Candidate 6]])
      &lt;&gt;0,
      (Audit[[#This Row],[Winning Candidate]]-Audit[[#This Row],[Losing Candidate]]-(Audit[[#This Row],[Audit Winning Candidate]]-Audit[[#This Row],[Audit Losing Candidate]]))/(Audit[[#Totals],[Winning Candidate]]-Audit[[#Totals],[Losing Candidate]]),
      0
)</f>
        <v>0</v>
      </c>
      <c r="AD1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 s="111">
        <f>IF(Audit[[#This Row],[Max Relative Error (ep)]] = 0, 0, Audit[[#This Row],[Max Relative Error (ep)]]/Audit[[#This Row],[Error Bound (up) - Max. possible relative overstatement]])</f>
        <v>0</v>
      </c>
      <c r="AJ1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7" s="111">
        <f t="shared" si="2"/>
        <v>1</v>
      </c>
      <c r="AL167" s="111">
        <f>PRODUCT($AK$5:AK167)</f>
        <v>8.962823818226312E-2</v>
      </c>
      <c r="AM167" s="109">
        <f>1 - [K-M P Value]</f>
        <v>0.91037176181773694</v>
      </c>
      <c r="AN167" s="111" t="str">
        <f>IF(Audit[[#This Row],[K-M P Value]]&gt;1-'General Info'!$B$16,"Continue", "Stop")</f>
        <v>Stop</v>
      </c>
      <c r="AO167" s="110" t="b">
        <f>IF(Audit[[#This Row],[Status - Continue or stop audit]] = "Continue", TRUE, IF(AN166 = "Continue", TRUE, FALSE))</f>
        <v>0</v>
      </c>
      <c r="AP167" s="110"/>
    </row>
    <row r="168" spans="1:42" ht="15" hidden="1" customHeight="1">
      <c r="A168" s="111" t="str">
        <f>'Sampling Data'!W158</f>
        <v/>
      </c>
      <c r="B168" s="112" t="str">
        <f>'Sampling Data'!A158</f>
        <v>BROADVIEW HEIGHTS -01-B - ABS</v>
      </c>
      <c r="C168" s="112">
        <f>'Sampling Data'!B158</f>
        <v>20</v>
      </c>
      <c r="D168" s="112">
        <f>'Sampling Data'!C158</f>
        <v>23</v>
      </c>
      <c r="E168" s="113">
        <f>'Sampling Data'!D158</f>
        <v>7</v>
      </c>
      <c r="F168" s="113">
        <f>'Sampling Data'!E158</f>
        <v>5</v>
      </c>
      <c r="G168" s="113">
        <f>'Sampling Data'!F158</f>
        <v>0</v>
      </c>
      <c r="H168" s="113">
        <f>'Sampling Data'!G158</f>
        <v>0</v>
      </c>
      <c r="I168" s="112">
        <f>'Sampling Data'!H158</f>
        <v>0</v>
      </c>
      <c r="J168" s="112">
        <f>'Sampling Data'!I158</f>
        <v>3</v>
      </c>
      <c r="K168" s="112">
        <f>'Sampling Data'!J158</f>
        <v>58</v>
      </c>
      <c r="L168" s="111">
        <f>'Sampling Data'!X158</f>
        <v>0</v>
      </c>
      <c r="M168" s="114"/>
      <c r="N168" s="114"/>
      <c r="O168" s="115"/>
      <c r="P168" s="115"/>
      <c r="Q168" s="116"/>
      <c r="R168" s="116"/>
      <c r="S168" s="111">
        <f>Audit[[#This Row],[Audit Losing Candidate]]-Audit[[#This Row],[Losing Candidate]]</f>
        <v>-20</v>
      </c>
      <c r="T168" s="111">
        <f>Audit[[#This Row],[Audit Winning Candidate]]-Audit[[#This Row],[Winning Candidate]]</f>
        <v>-23</v>
      </c>
      <c r="U168" s="111">
        <f>Audit[[#This Row],[Audit Candidate 3]]-Audit[[#This Row],[Candidate 3]]</f>
        <v>-7</v>
      </c>
      <c r="V168" s="111">
        <f>Audit[[#This Row],[Audit Candidate 4]]-Audit[[#This Row],[Candidate 4]]</f>
        <v>-5</v>
      </c>
      <c r="W168" s="111">
        <f>Audit[[#This Row],[Audit Candidate 5]]-Audit[[#This Row],[Candidate 5]]</f>
        <v>0</v>
      </c>
      <c r="X168" s="111">
        <f>Audit[[#This Row],[Audit Candidate 6]]-Audit[[#This Row],[Candidate 6]]</f>
        <v>0</v>
      </c>
      <c r="Y168" s="111">
        <f>SUMIF(Audit[[#This Row],[Difference Loser]:[Difference Candidate 6]], "&gt;0")</f>
        <v>0</v>
      </c>
      <c r="Z168" s="111">
        <f>SUM(Audit[[#This Row],[Difference Loser]:[Difference Candidate 6]])</f>
        <v>-55</v>
      </c>
      <c r="AA168" s="111">
        <f>IF(Audit[[#This Row],[Times p Drawn - With Replacement]]&gt;0, IF(Audit[[#This Row],[Canceled Differences]]&lt;0, Audit[[#This Row],[Max Differences]]+ABS(Audit[[#This Row],[Canceled Differences]]), Audit[[#This Row],[Max Differences]]), 0)</f>
        <v>0</v>
      </c>
      <c r="AB168" s="111">
        <f>'Sampling Data'!P158</f>
        <v>3.7359137677609017E-3</v>
      </c>
      <c r="AC168" s="111">
        <f>IF(
      SUM(Audit[[#This Row],[Audit Losing Candidate]:[Audit Candidate 6]])
      &lt;&gt;0,
      (Audit[[#This Row],[Winning Candidate]]-Audit[[#This Row],[Losing Candidate]]-(Audit[[#This Row],[Audit Winning Candidate]]-Audit[[#This Row],[Audit Losing Candidate]]))/(Audit[[#Totals],[Winning Candidate]]-Audit[[#Totals],[Losing Candidate]]),
      0
)</f>
        <v>0</v>
      </c>
      <c r="AD1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 s="111">
        <f>IF(Audit[[#This Row],[Max Relative Error (ep)]] = 0, 0, Audit[[#This Row],[Max Relative Error (ep)]]/Audit[[#This Row],[Error Bound (up) - Max. possible relative overstatement]])</f>
        <v>0</v>
      </c>
      <c r="AJ1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8" s="111">
        <f t="shared" si="2"/>
        <v>1</v>
      </c>
      <c r="AL168" s="111">
        <f>PRODUCT($AK$5:AK168)</f>
        <v>8.962823818226312E-2</v>
      </c>
      <c r="AM168" s="109">
        <f>1 - [K-M P Value]</f>
        <v>0.91037176181773694</v>
      </c>
      <c r="AN168" s="111" t="str">
        <f>IF(Audit[[#This Row],[K-M P Value]]&gt;1-'General Info'!$B$16,"Continue", "Stop")</f>
        <v>Stop</v>
      </c>
      <c r="AO168" s="110" t="b">
        <f>IF(Audit[[#This Row],[Status - Continue or stop audit]] = "Continue", TRUE, IF(AN167 = "Continue", TRUE, FALSE))</f>
        <v>0</v>
      </c>
      <c r="AP168" s="110"/>
    </row>
    <row r="169" spans="1:42" ht="15" hidden="1" customHeight="1">
      <c r="A169" s="111" t="str">
        <f>'Sampling Data'!W159</f>
        <v/>
      </c>
      <c r="B169" s="112" t="str">
        <f>'Sampling Data'!A159</f>
        <v>BROADVIEW HEIGHTS -01-C</v>
      </c>
      <c r="C169" s="112">
        <f>'Sampling Data'!B159</f>
        <v>51</v>
      </c>
      <c r="D169" s="112">
        <f>'Sampling Data'!C159</f>
        <v>54</v>
      </c>
      <c r="E169" s="113">
        <f>'Sampling Data'!D159</f>
        <v>15</v>
      </c>
      <c r="F169" s="113">
        <f>'Sampling Data'!E159</f>
        <v>9</v>
      </c>
      <c r="G169" s="113">
        <f>'Sampling Data'!F159</f>
        <v>0</v>
      </c>
      <c r="H169" s="113">
        <f>'Sampling Data'!G159</f>
        <v>0</v>
      </c>
      <c r="I169" s="112">
        <f>'Sampling Data'!H159</f>
        <v>1</v>
      </c>
      <c r="J169" s="112">
        <f>'Sampling Data'!I159</f>
        <v>1</v>
      </c>
      <c r="K169" s="112">
        <f>'Sampling Data'!J159</f>
        <v>131</v>
      </c>
      <c r="L169" s="111">
        <f>'Sampling Data'!X159</f>
        <v>0</v>
      </c>
      <c r="M169" s="114"/>
      <c r="N169" s="114"/>
      <c r="O169" s="115"/>
      <c r="P169" s="115"/>
      <c r="Q169" s="116"/>
      <c r="R169" s="116"/>
      <c r="S169" s="111">
        <f>Audit[[#This Row],[Audit Losing Candidate]]-Audit[[#This Row],[Losing Candidate]]</f>
        <v>-51</v>
      </c>
      <c r="T169" s="111">
        <f>Audit[[#This Row],[Audit Winning Candidate]]-Audit[[#This Row],[Winning Candidate]]</f>
        <v>-54</v>
      </c>
      <c r="U169" s="111">
        <f>Audit[[#This Row],[Audit Candidate 3]]-Audit[[#This Row],[Candidate 3]]</f>
        <v>-15</v>
      </c>
      <c r="V169" s="111">
        <f>Audit[[#This Row],[Audit Candidate 4]]-Audit[[#This Row],[Candidate 4]]</f>
        <v>-9</v>
      </c>
      <c r="W169" s="111">
        <f>Audit[[#This Row],[Audit Candidate 5]]-Audit[[#This Row],[Candidate 5]]</f>
        <v>0</v>
      </c>
      <c r="X169" s="111">
        <f>Audit[[#This Row],[Audit Candidate 6]]-Audit[[#This Row],[Candidate 6]]</f>
        <v>0</v>
      </c>
      <c r="Y169" s="111">
        <f>SUMIF(Audit[[#This Row],[Difference Loser]:[Difference Candidate 6]], "&gt;0")</f>
        <v>0</v>
      </c>
      <c r="Z169" s="111">
        <f>SUM(Audit[[#This Row],[Difference Loser]:[Difference Candidate 6]])</f>
        <v>-129</v>
      </c>
      <c r="AA169" s="111">
        <f>IF(Audit[[#This Row],[Times p Drawn - With Replacement]]&gt;0, IF(Audit[[#This Row],[Canceled Differences]]&lt;0, Audit[[#This Row],[Max Differences]]+ABS(Audit[[#This Row],[Canceled Differences]]), Audit[[#This Row],[Max Differences]]), 0)</f>
        <v>0</v>
      </c>
      <c r="AB169" s="111">
        <f>'Sampling Data'!P159</f>
        <v>8.2067613914747675E-3</v>
      </c>
      <c r="AC169" s="111">
        <f>IF(
      SUM(Audit[[#This Row],[Audit Losing Candidate]:[Audit Candidate 6]])
      &lt;&gt;0,
      (Audit[[#This Row],[Winning Candidate]]-Audit[[#This Row],[Losing Candidate]]-(Audit[[#This Row],[Audit Winning Candidate]]-Audit[[#This Row],[Audit Losing Candidate]]))/(Audit[[#Totals],[Winning Candidate]]-Audit[[#Totals],[Losing Candidate]]),
      0
)</f>
        <v>0</v>
      </c>
      <c r="AD1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 s="111">
        <f>IF(Audit[[#This Row],[Max Relative Error (ep)]] = 0, 0, Audit[[#This Row],[Max Relative Error (ep)]]/Audit[[#This Row],[Error Bound (up) - Max. possible relative overstatement]])</f>
        <v>0</v>
      </c>
      <c r="AJ1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9" s="111">
        <f t="shared" si="2"/>
        <v>1</v>
      </c>
      <c r="AL169" s="111">
        <f>PRODUCT($AK$5:AK169)</f>
        <v>8.962823818226312E-2</v>
      </c>
      <c r="AM169" s="109">
        <f>1 - [K-M P Value]</f>
        <v>0.91037176181773694</v>
      </c>
      <c r="AN169" s="111" t="str">
        <f>IF(Audit[[#This Row],[K-M P Value]]&gt;1-'General Info'!$B$16,"Continue", "Stop")</f>
        <v>Stop</v>
      </c>
      <c r="AO169" s="110" t="b">
        <f>IF(Audit[[#This Row],[Status - Continue or stop audit]] = "Continue", TRUE, IF(AN168 = "Continue", TRUE, FALSE))</f>
        <v>0</v>
      </c>
      <c r="AP169" s="110"/>
    </row>
    <row r="170" spans="1:42" ht="15" hidden="1" customHeight="1">
      <c r="A170" s="111" t="str">
        <f>'Sampling Data'!W160</f>
        <v/>
      </c>
      <c r="B170" s="112" t="str">
        <f>'Sampling Data'!A160</f>
        <v>BROADVIEW HEIGHTS -01-C - ABS</v>
      </c>
      <c r="C170" s="112">
        <f>'Sampling Data'!B160</f>
        <v>22</v>
      </c>
      <c r="D170" s="112">
        <f>'Sampling Data'!C160</f>
        <v>32</v>
      </c>
      <c r="E170" s="113">
        <f>'Sampling Data'!D160</f>
        <v>11</v>
      </c>
      <c r="F170" s="113">
        <f>'Sampling Data'!E160</f>
        <v>5</v>
      </c>
      <c r="G170" s="113">
        <f>'Sampling Data'!F160</f>
        <v>1</v>
      </c>
      <c r="H170" s="113">
        <f>'Sampling Data'!G160</f>
        <v>0</v>
      </c>
      <c r="I170" s="112">
        <f>'Sampling Data'!H160</f>
        <v>0</v>
      </c>
      <c r="J170" s="112">
        <f>'Sampling Data'!I160</f>
        <v>1</v>
      </c>
      <c r="K170" s="112">
        <f>'Sampling Data'!J160</f>
        <v>72</v>
      </c>
      <c r="L170" s="111">
        <f>'Sampling Data'!X160</f>
        <v>0</v>
      </c>
      <c r="M170" s="114"/>
      <c r="N170" s="114"/>
      <c r="O170" s="115"/>
      <c r="P170" s="115"/>
      <c r="Q170" s="116"/>
      <c r="R170" s="116"/>
      <c r="S170" s="111">
        <f>Audit[[#This Row],[Audit Losing Candidate]]-Audit[[#This Row],[Losing Candidate]]</f>
        <v>-22</v>
      </c>
      <c r="T170" s="111">
        <f>Audit[[#This Row],[Audit Winning Candidate]]-Audit[[#This Row],[Winning Candidate]]</f>
        <v>-32</v>
      </c>
      <c r="U170" s="111">
        <f>Audit[[#This Row],[Audit Candidate 3]]-Audit[[#This Row],[Candidate 3]]</f>
        <v>-11</v>
      </c>
      <c r="V170" s="111">
        <f>Audit[[#This Row],[Audit Candidate 4]]-Audit[[#This Row],[Candidate 4]]</f>
        <v>-5</v>
      </c>
      <c r="W170" s="111">
        <f>Audit[[#This Row],[Audit Candidate 5]]-Audit[[#This Row],[Candidate 5]]</f>
        <v>-1</v>
      </c>
      <c r="X170" s="111">
        <f>Audit[[#This Row],[Audit Candidate 6]]-Audit[[#This Row],[Candidate 6]]</f>
        <v>0</v>
      </c>
      <c r="Y170" s="111">
        <f>SUMIF(Audit[[#This Row],[Difference Loser]:[Difference Candidate 6]], "&gt;0")</f>
        <v>0</v>
      </c>
      <c r="Z170" s="111">
        <f>SUM(Audit[[#This Row],[Difference Loser]:[Difference Candidate 6]])</f>
        <v>-71</v>
      </c>
      <c r="AA170" s="111">
        <f>IF(Audit[[#This Row],[Times p Drawn - With Replacement]]&gt;0, IF(Audit[[#This Row],[Canceled Differences]]&lt;0, Audit[[#This Row],[Max Differences]]+ABS(Audit[[#This Row],[Canceled Differences]]), Audit[[#This Row],[Max Differences]]), 0)</f>
        <v>0</v>
      </c>
      <c r="AB170" s="111">
        <f>'Sampling Data'!P160</f>
        <v>5.0220480156785889E-3</v>
      </c>
      <c r="AC170" s="111">
        <f>IF(
      SUM(Audit[[#This Row],[Audit Losing Candidate]:[Audit Candidate 6]])
      &lt;&gt;0,
      (Audit[[#This Row],[Winning Candidate]]-Audit[[#This Row],[Losing Candidate]]-(Audit[[#This Row],[Audit Winning Candidate]]-Audit[[#This Row],[Audit Losing Candidate]]))/(Audit[[#Totals],[Winning Candidate]]-Audit[[#Totals],[Losing Candidate]]),
      0
)</f>
        <v>0</v>
      </c>
      <c r="AD1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 s="111">
        <f>IF(Audit[[#This Row],[Max Relative Error (ep)]] = 0, 0, Audit[[#This Row],[Max Relative Error (ep)]]/Audit[[#This Row],[Error Bound (up) - Max. possible relative overstatement]])</f>
        <v>0</v>
      </c>
      <c r="AJ1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0" s="111">
        <f t="shared" si="2"/>
        <v>1</v>
      </c>
      <c r="AL170" s="111">
        <f>PRODUCT($AK$5:AK170)</f>
        <v>8.962823818226312E-2</v>
      </c>
      <c r="AM170" s="109">
        <f>1 - [K-M P Value]</f>
        <v>0.91037176181773694</v>
      </c>
      <c r="AN170" s="111" t="str">
        <f>IF(Audit[[#This Row],[K-M P Value]]&gt;1-'General Info'!$B$16,"Continue", "Stop")</f>
        <v>Stop</v>
      </c>
      <c r="AO170" s="110" t="b">
        <f>IF(Audit[[#This Row],[Status - Continue or stop audit]] = "Continue", TRUE, IF(AN169 = "Continue", TRUE, FALSE))</f>
        <v>0</v>
      </c>
      <c r="AP170" s="110"/>
    </row>
    <row r="171" spans="1:42" ht="15" hidden="1" customHeight="1">
      <c r="A171" s="111" t="str">
        <f>'Sampling Data'!W161</f>
        <v/>
      </c>
      <c r="B171" s="112" t="str">
        <f>'Sampling Data'!A161</f>
        <v>BROADVIEW HEIGHTS -02-A</v>
      </c>
      <c r="C171" s="112">
        <f>'Sampling Data'!B161</f>
        <v>45</v>
      </c>
      <c r="D171" s="112">
        <f>'Sampling Data'!C161</f>
        <v>48</v>
      </c>
      <c r="E171" s="113">
        <f>'Sampling Data'!D161</f>
        <v>18</v>
      </c>
      <c r="F171" s="113">
        <f>'Sampling Data'!E161</f>
        <v>25</v>
      </c>
      <c r="G171" s="113">
        <f>'Sampling Data'!F161</f>
        <v>2</v>
      </c>
      <c r="H171" s="113">
        <f>'Sampling Data'!G161</f>
        <v>0</v>
      </c>
      <c r="I171" s="112">
        <f>'Sampling Data'!H161</f>
        <v>0</v>
      </c>
      <c r="J171" s="112">
        <f>'Sampling Data'!I161</f>
        <v>1</v>
      </c>
      <c r="K171" s="112">
        <f>'Sampling Data'!J161</f>
        <v>139</v>
      </c>
      <c r="L171" s="111">
        <f>'Sampling Data'!X161</f>
        <v>0</v>
      </c>
      <c r="M171" s="114"/>
      <c r="N171" s="114"/>
      <c r="O171" s="115"/>
      <c r="P171" s="115"/>
      <c r="Q171" s="116"/>
      <c r="R171" s="116"/>
      <c r="S171" s="111">
        <f>Audit[[#This Row],[Audit Losing Candidate]]-Audit[[#This Row],[Losing Candidate]]</f>
        <v>-45</v>
      </c>
      <c r="T171" s="111">
        <f>Audit[[#This Row],[Audit Winning Candidate]]-Audit[[#This Row],[Winning Candidate]]</f>
        <v>-48</v>
      </c>
      <c r="U171" s="111">
        <f>Audit[[#This Row],[Audit Candidate 3]]-Audit[[#This Row],[Candidate 3]]</f>
        <v>-18</v>
      </c>
      <c r="V171" s="111">
        <f>Audit[[#This Row],[Audit Candidate 4]]-Audit[[#This Row],[Candidate 4]]</f>
        <v>-25</v>
      </c>
      <c r="W171" s="111">
        <f>Audit[[#This Row],[Audit Candidate 5]]-Audit[[#This Row],[Candidate 5]]</f>
        <v>-2</v>
      </c>
      <c r="X171" s="111">
        <f>Audit[[#This Row],[Audit Candidate 6]]-Audit[[#This Row],[Candidate 6]]</f>
        <v>0</v>
      </c>
      <c r="Y171" s="111">
        <f>SUMIF(Audit[[#This Row],[Difference Loser]:[Difference Candidate 6]], "&gt;0")</f>
        <v>0</v>
      </c>
      <c r="Z171" s="111">
        <f>SUM(Audit[[#This Row],[Difference Loser]:[Difference Candidate 6]])</f>
        <v>-138</v>
      </c>
      <c r="AA171" s="111">
        <f>IF(Audit[[#This Row],[Times p Drawn - With Replacement]]&gt;0, IF(Audit[[#This Row],[Canceled Differences]]&lt;0, Audit[[#This Row],[Max Differences]]+ABS(Audit[[#This Row],[Canceled Differences]]), Audit[[#This Row],[Max Differences]]), 0)</f>
        <v>0</v>
      </c>
      <c r="AB171" s="111">
        <f>'Sampling Data'!P161</f>
        <v>8.6967172954434107E-3</v>
      </c>
      <c r="AC171" s="111">
        <f>IF(
      SUM(Audit[[#This Row],[Audit Losing Candidate]:[Audit Candidate 6]])
      &lt;&gt;0,
      (Audit[[#This Row],[Winning Candidate]]-Audit[[#This Row],[Losing Candidate]]-(Audit[[#This Row],[Audit Winning Candidate]]-Audit[[#This Row],[Audit Losing Candidate]]))/(Audit[[#Totals],[Winning Candidate]]-Audit[[#Totals],[Losing Candidate]]),
      0
)</f>
        <v>0</v>
      </c>
      <c r="AD1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 s="111">
        <f>IF(Audit[[#This Row],[Max Relative Error (ep)]] = 0, 0, Audit[[#This Row],[Max Relative Error (ep)]]/Audit[[#This Row],[Error Bound (up) - Max. possible relative overstatement]])</f>
        <v>0</v>
      </c>
      <c r="AJ1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1" s="111">
        <f t="shared" si="2"/>
        <v>1</v>
      </c>
      <c r="AL171" s="111">
        <f>PRODUCT($AK$5:AK171)</f>
        <v>8.962823818226312E-2</v>
      </c>
      <c r="AM171" s="109">
        <f>1 - [K-M P Value]</f>
        <v>0.91037176181773694</v>
      </c>
      <c r="AN171" s="111" t="str">
        <f>IF(Audit[[#This Row],[K-M P Value]]&gt;1-'General Info'!$B$16,"Continue", "Stop")</f>
        <v>Stop</v>
      </c>
      <c r="AO171" s="110" t="b">
        <f>IF(Audit[[#This Row],[Status - Continue or stop audit]] = "Continue", TRUE, IF(AN170 = "Continue", TRUE, FALSE))</f>
        <v>0</v>
      </c>
      <c r="AP171" s="110"/>
    </row>
    <row r="172" spans="1:42" ht="15" hidden="1" customHeight="1">
      <c r="A172" s="111" t="str">
        <f>'Sampling Data'!W162</f>
        <v/>
      </c>
      <c r="B172" s="112" t="str">
        <f>'Sampling Data'!A162</f>
        <v>BROADVIEW HEIGHTS -02-A - ABS</v>
      </c>
      <c r="C172" s="112">
        <f>'Sampling Data'!B162</f>
        <v>31</v>
      </c>
      <c r="D172" s="112">
        <f>'Sampling Data'!C162</f>
        <v>27</v>
      </c>
      <c r="E172" s="113">
        <f>'Sampling Data'!D162</f>
        <v>9</v>
      </c>
      <c r="F172" s="113">
        <f>'Sampling Data'!E162</f>
        <v>1</v>
      </c>
      <c r="G172" s="113">
        <f>'Sampling Data'!F162</f>
        <v>0</v>
      </c>
      <c r="H172" s="113">
        <f>'Sampling Data'!G162</f>
        <v>0</v>
      </c>
      <c r="I172" s="112">
        <f>'Sampling Data'!H162</f>
        <v>0</v>
      </c>
      <c r="J172" s="112">
        <f>'Sampling Data'!I162</f>
        <v>2</v>
      </c>
      <c r="K172" s="112">
        <f>'Sampling Data'!J162</f>
        <v>70</v>
      </c>
      <c r="L172" s="111">
        <f>'Sampling Data'!X162</f>
        <v>0</v>
      </c>
      <c r="M172" s="114"/>
      <c r="N172" s="114"/>
      <c r="O172" s="115"/>
      <c r="P172" s="115"/>
      <c r="Q172" s="116"/>
      <c r="R172" s="116"/>
      <c r="S172" s="111">
        <f>Audit[[#This Row],[Audit Losing Candidate]]-Audit[[#This Row],[Losing Candidate]]</f>
        <v>-31</v>
      </c>
      <c r="T172" s="111">
        <f>Audit[[#This Row],[Audit Winning Candidate]]-Audit[[#This Row],[Winning Candidate]]</f>
        <v>-27</v>
      </c>
      <c r="U172" s="111">
        <f>Audit[[#This Row],[Audit Candidate 3]]-Audit[[#This Row],[Candidate 3]]</f>
        <v>-9</v>
      </c>
      <c r="V172" s="111">
        <f>Audit[[#This Row],[Audit Candidate 4]]-Audit[[#This Row],[Candidate 4]]</f>
        <v>-1</v>
      </c>
      <c r="W172" s="111">
        <f>Audit[[#This Row],[Audit Candidate 5]]-Audit[[#This Row],[Candidate 5]]</f>
        <v>0</v>
      </c>
      <c r="X172" s="111">
        <f>Audit[[#This Row],[Audit Candidate 6]]-Audit[[#This Row],[Candidate 6]]</f>
        <v>0</v>
      </c>
      <c r="Y172" s="111">
        <f>SUMIF(Audit[[#This Row],[Difference Loser]:[Difference Candidate 6]], "&gt;0")</f>
        <v>0</v>
      </c>
      <c r="Z172" s="111">
        <f>SUM(Audit[[#This Row],[Difference Loser]:[Difference Candidate 6]])</f>
        <v>-68</v>
      </c>
      <c r="AA172" s="111">
        <f>IF(Audit[[#This Row],[Times p Drawn - With Replacement]]&gt;0, IF(Audit[[#This Row],[Canceled Differences]]&lt;0, Audit[[#This Row],[Max Differences]]+ABS(Audit[[#This Row],[Canceled Differences]]), Audit[[#This Row],[Max Differences]]), 0)</f>
        <v>0</v>
      </c>
      <c r="AB172" s="111">
        <f>'Sampling Data'!P162</f>
        <v>4.0421362077413033E-3</v>
      </c>
      <c r="AC172" s="111">
        <f>IF(
      SUM(Audit[[#This Row],[Audit Losing Candidate]:[Audit Candidate 6]])
      &lt;&gt;0,
      (Audit[[#This Row],[Winning Candidate]]-Audit[[#This Row],[Losing Candidate]]-(Audit[[#This Row],[Audit Winning Candidate]]-Audit[[#This Row],[Audit Losing Candidate]]))/(Audit[[#Totals],[Winning Candidate]]-Audit[[#Totals],[Losing Candidate]]),
      0
)</f>
        <v>0</v>
      </c>
      <c r="AD1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 s="111">
        <f>IF(Audit[[#This Row],[Max Relative Error (ep)]] = 0, 0, Audit[[#This Row],[Max Relative Error (ep)]]/Audit[[#This Row],[Error Bound (up) - Max. possible relative overstatement]])</f>
        <v>0</v>
      </c>
      <c r="AJ1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2" s="111">
        <f t="shared" si="2"/>
        <v>1</v>
      </c>
      <c r="AL172" s="111">
        <f>PRODUCT($AK$5:AK172)</f>
        <v>8.962823818226312E-2</v>
      </c>
      <c r="AM172" s="109">
        <f>1 - [K-M P Value]</f>
        <v>0.91037176181773694</v>
      </c>
      <c r="AN172" s="111" t="str">
        <f>IF(Audit[[#This Row],[K-M P Value]]&gt;1-'General Info'!$B$16,"Continue", "Stop")</f>
        <v>Stop</v>
      </c>
      <c r="AO172" s="110" t="b">
        <f>IF(Audit[[#This Row],[Status - Continue or stop audit]] = "Continue", TRUE, IF(AN171 = "Continue", TRUE, FALSE))</f>
        <v>0</v>
      </c>
      <c r="AP172" s="110"/>
    </row>
    <row r="173" spans="1:42" ht="15" hidden="1" customHeight="1">
      <c r="A173" s="111" t="str">
        <f>'Sampling Data'!W163</f>
        <v/>
      </c>
      <c r="B173" s="112" t="str">
        <f>'Sampling Data'!A163</f>
        <v>BROADVIEW HEIGHTS -02-B</v>
      </c>
      <c r="C173" s="112">
        <f>'Sampling Data'!B163</f>
        <v>31</v>
      </c>
      <c r="D173" s="112">
        <f>'Sampling Data'!C163</f>
        <v>30</v>
      </c>
      <c r="E173" s="113">
        <f>'Sampling Data'!D163</f>
        <v>3</v>
      </c>
      <c r="F173" s="113">
        <f>'Sampling Data'!E163</f>
        <v>10</v>
      </c>
      <c r="G173" s="113">
        <f>'Sampling Data'!F163</f>
        <v>1</v>
      </c>
      <c r="H173" s="113">
        <f>'Sampling Data'!G163</f>
        <v>1</v>
      </c>
      <c r="I173" s="112">
        <f>'Sampling Data'!H163</f>
        <v>0</v>
      </c>
      <c r="J173" s="112">
        <f>'Sampling Data'!I163</f>
        <v>0</v>
      </c>
      <c r="K173" s="112">
        <f>'Sampling Data'!J163</f>
        <v>76</v>
      </c>
      <c r="L173" s="111">
        <f>'Sampling Data'!X163</f>
        <v>0</v>
      </c>
      <c r="M173" s="114"/>
      <c r="N173" s="114"/>
      <c r="O173" s="115"/>
      <c r="P173" s="115"/>
      <c r="Q173" s="116"/>
      <c r="R173" s="116"/>
      <c r="S173" s="111">
        <f>Audit[[#This Row],[Audit Losing Candidate]]-Audit[[#This Row],[Losing Candidate]]</f>
        <v>-31</v>
      </c>
      <c r="T173" s="111">
        <f>Audit[[#This Row],[Audit Winning Candidate]]-Audit[[#This Row],[Winning Candidate]]</f>
        <v>-30</v>
      </c>
      <c r="U173" s="111">
        <f>Audit[[#This Row],[Audit Candidate 3]]-Audit[[#This Row],[Candidate 3]]</f>
        <v>-3</v>
      </c>
      <c r="V173" s="111">
        <f>Audit[[#This Row],[Audit Candidate 4]]-Audit[[#This Row],[Candidate 4]]</f>
        <v>-10</v>
      </c>
      <c r="W173" s="111">
        <f>Audit[[#This Row],[Audit Candidate 5]]-Audit[[#This Row],[Candidate 5]]</f>
        <v>-1</v>
      </c>
      <c r="X173" s="111">
        <f>Audit[[#This Row],[Audit Candidate 6]]-Audit[[#This Row],[Candidate 6]]</f>
        <v>-1</v>
      </c>
      <c r="Y173" s="111">
        <f>SUMIF(Audit[[#This Row],[Difference Loser]:[Difference Candidate 6]], "&gt;0")</f>
        <v>0</v>
      </c>
      <c r="Z173" s="111">
        <f>SUM(Audit[[#This Row],[Difference Loser]:[Difference Candidate 6]])</f>
        <v>-76</v>
      </c>
      <c r="AA173" s="111">
        <f>IF(Audit[[#This Row],[Times p Drawn - With Replacement]]&gt;0, IF(Audit[[#This Row],[Canceled Differences]]&lt;0, Audit[[#This Row],[Max Differences]]+ABS(Audit[[#This Row],[Canceled Differences]]), Audit[[#This Row],[Max Differences]]), 0)</f>
        <v>0</v>
      </c>
      <c r="AB173" s="111">
        <f>'Sampling Data'!P163</f>
        <v>4.5933365997060261E-3</v>
      </c>
      <c r="AC173" s="111">
        <f>IF(
      SUM(Audit[[#This Row],[Audit Losing Candidate]:[Audit Candidate 6]])
      &lt;&gt;0,
      (Audit[[#This Row],[Winning Candidate]]-Audit[[#This Row],[Losing Candidate]]-(Audit[[#This Row],[Audit Winning Candidate]]-Audit[[#This Row],[Audit Losing Candidate]]))/(Audit[[#Totals],[Winning Candidate]]-Audit[[#Totals],[Losing Candidate]]),
      0
)</f>
        <v>0</v>
      </c>
      <c r="AD1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 s="111">
        <f>IF(Audit[[#This Row],[Max Relative Error (ep)]] = 0, 0, Audit[[#This Row],[Max Relative Error (ep)]]/Audit[[#This Row],[Error Bound (up) - Max. possible relative overstatement]])</f>
        <v>0</v>
      </c>
      <c r="AJ1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3" s="111">
        <f t="shared" si="2"/>
        <v>1</v>
      </c>
      <c r="AL173" s="111">
        <f>PRODUCT($AK$5:AK173)</f>
        <v>8.962823818226312E-2</v>
      </c>
      <c r="AM173" s="109">
        <f>1 - [K-M P Value]</f>
        <v>0.91037176181773694</v>
      </c>
      <c r="AN173" s="111" t="str">
        <f>IF(Audit[[#This Row],[K-M P Value]]&gt;1-'General Info'!$B$16,"Continue", "Stop")</f>
        <v>Stop</v>
      </c>
      <c r="AO173" s="110" t="b">
        <f>IF(Audit[[#This Row],[Status - Continue or stop audit]] = "Continue", TRUE, IF(AN172 = "Continue", TRUE, FALSE))</f>
        <v>0</v>
      </c>
      <c r="AP173" s="110"/>
    </row>
    <row r="174" spans="1:42" ht="15" hidden="1" customHeight="1">
      <c r="A174" s="111" t="str">
        <f>'Sampling Data'!W164</f>
        <v/>
      </c>
      <c r="B174" s="112" t="str">
        <f>'Sampling Data'!A164</f>
        <v>BROADVIEW HEIGHTS -02-B - ABS</v>
      </c>
      <c r="C174" s="112">
        <f>'Sampling Data'!B164</f>
        <v>18</v>
      </c>
      <c r="D174" s="112">
        <f>'Sampling Data'!C164</f>
        <v>13</v>
      </c>
      <c r="E174" s="113">
        <f>'Sampling Data'!D164</f>
        <v>7</v>
      </c>
      <c r="F174" s="113">
        <f>'Sampling Data'!E164</f>
        <v>9</v>
      </c>
      <c r="G174" s="113">
        <f>'Sampling Data'!F164</f>
        <v>1</v>
      </c>
      <c r="H174" s="113">
        <f>'Sampling Data'!G164</f>
        <v>0</v>
      </c>
      <c r="I174" s="112">
        <f>'Sampling Data'!H164</f>
        <v>0</v>
      </c>
      <c r="J174" s="112">
        <f>'Sampling Data'!I164</f>
        <v>1</v>
      </c>
      <c r="K174" s="112">
        <f>'Sampling Data'!J164</f>
        <v>49</v>
      </c>
      <c r="L174" s="111">
        <f>'Sampling Data'!X164</f>
        <v>0</v>
      </c>
      <c r="M174" s="114"/>
      <c r="N174" s="114"/>
      <c r="O174" s="115"/>
      <c r="P174" s="115"/>
      <c r="Q174" s="116"/>
      <c r="R174" s="116"/>
      <c r="S174" s="111">
        <f>Audit[[#This Row],[Audit Losing Candidate]]-Audit[[#This Row],[Losing Candidate]]</f>
        <v>-18</v>
      </c>
      <c r="T174" s="111">
        <f>Audit[[#This Row],[Audit Winning Candidate]]-Audit[[#This Row],[Winning Candidate]]</f>
        <v>-13</v>
      </c>
      <c r="U174" s="111">
        <f>Audit[[#This Row],[Audit Candidate 3]]-Audit[[#This Row],[Candidate 3]]</f>
        <v>-7</v>
      </c>
      <c r="V174" s="111">
        <f>Audit[[#This Row],[Audit Candidate 4]]-Audit[[#This Row],[Candidate 4]]</f>
        <v>-9</v>
      </c>
      <c r="W174" s="111">
        <f>Audit[[#This Row],[Audit Candidate 5]]-Audit[[#This Row],[Candidate 5]]</f>
        <v>-1</v>
      </c>
      <c r="X174" s="111">
        <f>Audit[[#This Row],[Audit Candidate 6]]-Audit[[#This Row],[Candidate 6]]</f>
        <v>0</v>
      </c>
      <c r="Y174" s="111">
        <f>SUMIF(Audit[[#This Row],[Difference Loser]:[Difference Candidate 6]], "&gt;0")</f>
        <v>0</v>
      </c>
      <c r="Z174" s="111">
        <f>SUM(Audit[[#This Row],[Difference Loser]:[Difference Candidate 6]])</f>
        <v>-48</v>
      </c>
      <c r="AA174" s="111">
        <f>IF(Audit[[#This Row],[Times p Drawn - With Replacement]]&gt;0, IF(Audit[[#This Row],[Canceled Differences]]&lt;0, Audit[[#This Row],[Max Differences]]+ABS(Audit[[#This Row],[Canceled Differences]]), Audit[[#This Row],[Max Differences]]), 0)</f>
        <v>0</v>
      </c>
      <c r="AB174" s="111">
        <f>'Sampling Data'!P164</f>
        <v>2.6947574718275357E-3</v>
      </c>
      <c r="AC174" s="111">
        <f>IF(
      SUM(Audit[[#This Row],[Audit Losing Candidate]:[Audit Candidate 6]])
      &lt;&gt;0,
      (Audit[[#This Row],[Winning Candidate]]-Audit[[#This Row],[Losing Candidate]]-(Audit[[#This Row],[Audit Winning Candidate]]-Audit[[#This Row],[Audit Losing Candidate]]))/(Audit[[#Totals],[Winning Candidate]]-Audit[[#Totals],[Losing Candidate]]),
      0
)</f>
        <v>0</v>
      </c>
      <c r="AD1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 s="111">
        <f>IF(Audit[[#This Row],[Max Relative Error (ep)]] = 0, 0, Audit[[#This Row],[Max Relative Error (ep)]]/Audit[[#This Row],[Error Bound (up) - Max. possible relative overstatement]])</f>
        <v>0</v>
      </c>
      <c r="AJ1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4" s="111">
        <f t="shared" si="2"/>
        <v>1</v>
      </c>
      <c r="AL174" s="111">
        <f>PRODUCT($AK$5:AK174)</f>
        <v>8.962823818226312E-2</v>
      </c>
      <c r="AM174" s="109">
        <f>1 - [K-M P Value]</f>
        <v>0.91037176181773694</v>
      </c>
      <c r="AN174" s="111" t="str">
        <f>IF(Audit[[#This Row],[K-M P Value]]&gt;1-'General Info'!$B$16,"Continue", "Stop")</f>
        <v>Stop</v>
      </c>
      <c r="AO174" s="110" t="b">
        <f>IF(Audit[[#This Row],[Status - Continue or stop audit]] = "Continue", TRUE, IF(AN173 = "Continue", TRUE, FALSE))</f>
        <v>0</v>
      </c>
      <c r="AP174" s="110"/>
    </row>
    <row r="175" spans="1:42" ht="15" hidden="1" customHeight="1">
      <c r="A175" s="111" t="str">
        <f>'Sampling Data'!W165</f>
        <v/>
      </c>
      <c r="B175" s="112" t="str">
        <f>'Sampling Data'!A165</f>
        <v>BROADVIEW HEIGHTS -02-C</v>
      </c>
      <c r="C175" s="112">
        <f>'Sampling Data'!B165</f>
        <v>35</v>
      </c>
      <c r="D175" s="112">
        <f>'Sampling Data'!C165</f>
        <v>77</v>
      </c>
      <c r="E175" s="113">
        <f>'Sampling Data'!D165</f>
        <v>17</v>
      </c>
      <c r="F175" s="113">
        <f>'Sampling Data'!E165</f>
        <v>11</v>
      </c>
      <c r="G175" s="113">
        <f>'Sampling Data'!F165</f>
        <v>0</v>
      </c>
      <c r="H175" s="113">
        <f>'Sampling Data'!G165</f>
        <v>0</v>
      </c>
      <c r="I175" s="112">
        <f>'Sampling Data'!H165</f>
        <v>0</v>
      </c>
      <c r="J175" s="112">
        <f>'Sampling Data'!I165</f>
        <v>2</v>
      </c>
      <c r="K175" s="112">
        <f>'Sampling Data'!J165</f>
        <v>142</v>
      </c>
      <c r="L175" s="111">
        <f>'Sampling Data'!X165</f>
        <v>0</v>
      </c>
      <c r="M175" s="114"/>
      <c r="N175" s="114"/>
      <c r="O175" s="115"/>
      <c r="P175" s="115"/>
      <c r="Q175" s="116"/>
      <c r="R175" s="116"/>
      <c r="S175" s="111">
        <f>Audit[[#This Row],[Audit Losing Candidate]]-Audit[[#This Row],[Losing Candidate]]</f>
        <v>-35</v>
      </c>
      <c r="T175" s="111">
        <f>Audit[[#This Row],[Audit Winning Candidate]]-Audit[[#This Row],[Winning Candidate]]</f>
        <v>-77</v>
      </c>
      <c r="U175" s="111">
        <f>Audit[[#This Row],[Audit Candidate 3]]-Audit[[#This Row],[Candidate 3]]</f>
        <v>-17</v>
      </c>
      <c r="V175" s="111">
        <f>Audit[[#This Row],[Audit Candidate 4]]-Audit[[#This Row],[Candidate 4]]</f>
        <v>-11</v>
      </c>
      <c r="W175" s="111">
        <f>Audit[[#This Row],[Audit Candidate 5]]-Audit[[#This Row],[Candidate 5]]</f>
        <v>0</v>
      </c>
      <c r="X175" s="111">
        <f>Audit[[#This Row],[Audit Candidate 6]]-Audit[[#This Row],[Candidate 6]]</f>
        <v>0</v>
      </c>
      <c r="Y175" s="111">
        <f>SUMIF(Audit[[#This Row],[Difference Loser]:[Difference Candidate 6]], "&gt;0")</f>
        <v>0</v>
      </c>
      <c r="Z175" s="111">
        <f>SUM(Audit[[#This Row],[Difference Loser]:[Difference Candidate 6]])</f>
        <v>-140</v>
      </c>
      <c r="AA175" s="111">
        <f>IF(Audit[[#This Row],[Times p Drawn - With Replacement]]&gt;0, IF(Audit[[#This Row],[Canceled Differences]]&lt;0, Audit[[#This Row],[Max Differences]]+ABS(Audit[[#This Row],[Canceled Differences]]), Audit[[#This Row],[Max Differences]]), 0)</f>
        <v>0</v>
      </c>
      <c r="AB175" s="111">
        <f>'Sampling Data'!P165</f>
        <v>1.1268985791278784E-2</v>
      </c>
      <c r="AC175" s="111">
        <f>IF(
      SUM(Audit[[#This Row],[Audit Losing Candidate]:[Audit Candidate 6]])
      &lt;&gt;0,
      (Audit[[#This Row],[Winning Candidate]]-Audit[[#This Row],[Losing Candidate]]-(Audit[[#This Row],[Audit Winning Candidate]]-Audit[[#This Row],[Audit Losing Candidate]]))/(Audit[[#Totals],[Winning Candidate]]-Audit[[#Totals],[Losing Candidate]]),
      0
)</f>
        <v>0</v>
      </c>
      <c r="AD1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 s="111">
        <f>IF(Audit[[#This Row],[Max Relative Error (ep)]] = 0, 0, Audit[[#This Row],[Max Relative Error (ep)]]/Audit[[#This Row],[Error Bound (up) - Max. possible relative overstatement]])</f>
        <v>0</v>
      </c>
      <c r="AJ1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5" s="111">
        <f t="shared" si="2"/>
        <v>1</v>
      </c>
      <c r="AL175" s="111">
        <f>PRODUCT($AK$5:AK175)</f>
        <v>8.962823818226312E-2</v>
      </c>
      <c r="AM175" s="109">
        <f>1 - [K-M P Value]</f>
        <v>0.91037176181773694</v>
      </c>
      <c r="AN175" s="111" t="str">
        <f>IF(Audit[[#This Row],[K-M P Value]]&gt;1-'General Info'!$B$16,"Continue", "Stop")</f>
        <v>Stop</v>
      </c>
      <c r="AO175" s="110" t="b">
        <f>IF(Audit[[#This Row],[Status - Continue or stop audit]] = "Continue", TRUE, IF(AN174 = "Continue", TRUE, FALSE))</f>
        <v>0</v>
      </c>
      <c r="AP175" s="110"/>
    </row>
    <row r="176" spans="1:42" ht="15" hidden="1" customHeight="1">
      <c r="A176" s="111" t="str">
        <f>'Sampling Data'!W166</f>
        <v/>
      </c>
      <c r="B176" s="112" t="str">
        <f>'Sampling Data'!A166</f>
        <v>BROADVIEW HEIGHTS -02-C - ABS</v>
      </c>
      <c r="C176" s="112">
        <f>'Sampling Data'!B166</f>
        <v>43</v>
      </c>
      <c r="D176" s="112">
        <f>'Sampling Data'!C166</f>
        <v>60</v>
      </c>
      <c r="E176" s="113">
        <f>'Sampling Data'!D166</f>
        <v>16</v>
      </c>
      <c r="F176" s="113">
        <f>'Sampling Data'!E166</f>
        <v>4</v>
      </c>
      <c r="G176" s="113">
        <f>'Sampling Data'!F166</f>
        <v>2</v>
      </c>
      <c r="H176" s="113">
        <f>'Sampling Data'!G166</f>
        <v>0</v>
      </c>
      <c r="I176" s="112">
        <f>'Sampling Data'!H166</f>
        <v>0</v>
      </c>
      <c r="J176" s="112">
        <f>'Sampling Data'!I166</f>
        <v>4</v>
      </c>
      <c r="K176" s="112">
        <f>'Sampling Data'!J166</f>
        <v>129</v>
      </c>
      <c r="L176" s="111">
        <f>'Sampling Data'!X166</f>
        <v>0</v>
      </c>
      <c r="M176" s="114"/>
      <c r="N176" s="114"/>
      <c r="O176" s="115"/>
      <c r="P176" s="115"/>
      <c r="Q176" s="116"/>
      <c r="R176" s="116"/>
      <c r="S176" s="111">
        <f>Audit[[#This Row],[Audit Losing Candidate]]-Audit[[#This Row],[Losing Candidate]]</f>
        <v>-43</v>
      </c>
      <c r="T176" s="111">
        <f>Audit[[#This Row],[Audit Winning Candidate]]-Audit[[#This Row],[Winning Candidate]]</f>
        <v>-60</v>
      </c>
      <c r="U176" s="111">
        <f>Audit[[#This Row],[Audit Candidate 3]]-Audit[[#This Row],[Candidate 3]]</f>
        <v>-16</v>
      </c>
      <c r="V176" s="111">
        <f>Audit[[#This Row],[Audit Candidate 4]]-Audit[[#This Row],[Candidate 4]]</f>
        <v>-4</v>
      </c>
      <c r="W176" s="111">
        <f>Audit[[#This Row],[Audit Candidate 5]]-Audit[[#This Row],[Candidate 5]]</f>
        <v>-2</v>
      </c>
      <c r="X176" s="111">
        <f>Audit[[#This Row],[Audit Candidate 6]]-Audit[[#This Row],[Candidate 6]]</f>
        <v>0</v>
      </c>
      <c r="Y176" s="111">
        <f>SUMIF(Audit[[#This Row],[Difference Loser]:[Difference Candidate 6]], "&gt;0")</f>
        <v>0</v>
      </c>
      <c r="Z176" s="111">
        <f>SUM(Audit[[#This Row],[Difference Loser]:[Difference Candidate 6]])</f>
        <v>-125</v>
      </c>
      <c r="AA176" s="111">
        <f>IF(Audit[[#This Row],[Times p Drawn - With Replacement]]&gt;0, IF(Audit[[#This Row],[Canceled Differences]]&lt;0, Audit[[#This Row],[Max Differences]]+ABS(Audit[[#This Row],[Canceled Differences]]), Audit[[#This Row],[Max Differences]]), 0)</f>
        <v>0</v>
      </c>
      <c r="AB176" s="111">
        <f>'Sampling Data'!P166</f>
        <v>8.9416952474277323E-3</v>
      </c>
      <c r="AC176" s="111">
        <f>IF(
      SUM(Audit[[#This Row],[Audit Losing Candidate]:[Audit Candidate 6]])
      &lt;&gt;0,
      (Audit[[#This Row],[Winning Candidate]]-Audit[[#This Row],[Losing Candidate]]-(Audit[[#This Row],[Audit Winning Candidate]]-Audit[[#This Row],[Audit Losing Candidate]]))/(Audit[[#Totals],[Winning Candidate]]-Audit[[#Totals],[Losing Candidate]]),
      0
)</f>
        <v>0</v>
      </c>
      <c r="AD1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 s="111">
        <f>IF(Audit[[#This Row],[Max Relative Error (ep)]] = 0, 0, Audit[[#This Row],[Max Relative Error (ep)]]/Audit[[#This Row],[Error Bound (up) - Max. possible relative overstatement]])</f>
        <v>0</v>
      </c>
      <c r="AJ1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6" s="111">
        <f t="shared" si="2"/>
        <v>1</v>
      </c>
      <c r="AL176" s="111">
        <f>PRODUCT($AK$5:AK176)</f>
        <v>8.962823818226312E-2</v>
      </c>
      <c r="AM176" s="109">
        <f>1 - [K-M P Value]</f>
        <v>0.91037176181773694</v>
      </c>
      <c r="AN176" s="111" t="str">
        <f>IF(Audit[[#This Row],[K-M P Value]]&gt;1-'General Info'!$B$16,"Continue", "Stop")</f>
        <v>Stop</v>
      </c>
      <c r="AO176" s="110" t="b">
        <f>IF(Audit[[#This Row],[Status - Continue or stop audit]] = "Continue", TRUE, IF(AN175 = "Continue", TRUE, FALSE))</f>
        <v>0</v>
      </c>
      <c r="AP176" s="110"/>
    </row>
    <row r="177" spans="1:42" ht="15" hidden="1" customHeight="1">
      <c r="A177" s="111" t="str">
        <f>'Sampling Data'!W167</f>
        <v/>
      </c>
      <c r="B177" s="112" t="str">
        <f>'Sampling Data'!A167</f>
        <v>BROADVIEW HEIGHTS -02-D</v>
      </c>
      <c r="C177" s="112">
        <f>'Sampling Data'!B167</f>
        <v>26</v>
      </c>
      <c r="D177" s="112">
        <f>'Sampling Data'!C167</f>
        <v>51</v>
      </c>
      <c r="E177" s="113">
        <f>'Sampling Data'!D167</f>
        <v>12</v>
      </c>
      <c r="F177" s="113">
        <f>'Sampling Data'!E167</f>
        <v>10</v>
      </c>
      <c r="G177" s="113">
        <f>'Sampling Data'!F167</f>
        <v>0</v>
      </c>
      <c r="H177" s="113">
        <f>'Sampling Data'!G167</f>
        <v>1</v>
      </c>
      <c r="I177" s="112">
        <f>'Sampling Data'!H167</f>
        <v>0</v>
      </c>
      <c r="J177" s="112">
        <f>'Sampling Data'!I167</f>
        <v>4</v>
      </c>
      <c r="K177" s="112">
        <f>'Sampling Data'!J167</f>
        <v>104</v>
      </c>
      <c r="L177" s="111">
        <f>'Sampling Data'!X167</f>
        <v>0</v>
      </c>
      <c r="M177" s="114"/>
      <c r="N177" s="114"/>
      <c r="O177" s="115"/>
      <c r="P177" s="115"/>
      <c r="Q177" s="116"/>
      <c r="R177" s="116"/>
      <c r="S177" s="111">
        <f>Audit[[#This Row],[Audit Losing Candidate]]-Audit[[#This Row],[Losing Candidate]]</f>
        <v>-26</v>
      </c>
      <c r="T177" s="111">
        <f>Audit[[#This Row],[Audit Winning Candidate]]-Audit[[#This Row],[Winning Candidate]]</f>
        <v>-51</v>
      </c>
      <c r="U177" s="111">
        <f>Audit[[#This Row],[Audit Candidate 3]]-Audit[[#This Row],[Candidate 3]]</f>
        <v>-12</v>
      </c>
      <c r="V177" s="111">
        <f>Audit[[#This Row],[Audit Candidate 4]]-Audit[[#This Row],[Candidate 4]]</f>
        <v>-10</v>
      </c>
      <c r="W177" s="111">
        <f>Audit[[#This Row],[Audit Candidate 5]]-Audit[[#This Row],[Candidate 5]]</f>
        <v>0</v>
      </c>
      <c r="X177" s="111">
        <f>Audit[[#This Row],[Audit Candidate 6]]-Audit[[#This Row],[Candidate 6]]</f>
        <v>-1</v>
      </c>
      <c r="Y177" s="111">
        <f>SUMIF(Audit[[#This Row],[Difference Loser]:[Difference Candidate 6]], "&gt;0")</f>
        <v>0</v>
      </c>
      <c r="Z177" s="111">
        <f>SUM(Audit[[#This Row],[Difference Loser]:[Difference Candidate 6]])</f>
        <v>-100</v>
      </c>
      <c r="AA177" s="111">
        <f>IF(Audit[[#This Row],[Times p Drawn - With Replacement]]&gt;0, IF(Audit[[#This Row],[Canceled Differences]]&lt;0, Audit[[#This Row],[Max Differences]]+ABS(Audit[[#This Row],[Canceled Differences]]), Audit[[#This Row],[Max Differences]]), 0)</f>
        <v>0</v>
      </c>
      <c r="AB177" s="111">
        <f>'Sampling Data'!P167</f>
        <v>7.9005389514943663E-3</v>
      </c>
      <c r="AC177" s="111">
        <f>IF(
      SUM(Audit[[#This Row],[Audit Losing Candidate]:[Audit Candidate 6]])
      &lt;&gt;0,
      (Audit[[#This Row],[Winning Candidate]]-Audit[[#This Row],[Losing Candidate]]-(Audit[[#This Row],[Audit Winning Candidate]]-Audit[[#This Row],[Audit Losing Candidate]]))/(Audit[[#Totals],[Winning Candidate]]-Audit[[#Totals],[Losing Candidate]]),
      0
)</f>
        <v>0</v>
      </c>
      <c r="AD1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 s="111">
        <f>IF(Audit[[#This Row],[Max Relative Error (ep)]] = 0, 0, Audit[[#This Row],[Max Relative Error (ep)]]/Audit[[#This Row],[Error Bound (up) - Max. possible relative overstatement]])</f>
        <v>0</v>
      </c>
      <c r="AJ1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7" s="111">
        <f t="shared" si="2"/>
        <v>1</v>
      </c>
      <c r="AL177" s="111">
        <f>PRODUCT($AK$5:AK177)</f>
        <v>8.962823818226312E-2</v>
      </c>
      <c r="AM177" s="109">
        <f>1 - [K-M P Value]</f>
        <v>0.91037176181773694</v>
      </c>
      <c r="AN177" s="111" t="str">
        <f>IF(Audit[[#This Row],[K-M P Value]]&gt;1-'General Info'!$B$16,"Continue", "Stop")</f>
        <v>Stop</v>
      </c>
      <c r="AO177" s="110" t="b">
        <f>IF(Audit[[#This Row],[Status - Continue or stop audit]] = "Continue", TRUE, IF(AN176 = "Continue", TRUE, FALSE))</f>
        <v>0</v>
      </c>
      <c r="AP177" s="110"/>
    </row>
    <row r="178" spans="1:42" ht="15" hidden="1" customHeight="1">
      <c r="A178" s="111" t="str">
        <f>'Sampling Data'!W168</f>
        <v/>
      </c>
      <c r="B178" s="112" t="str">
        <f>'Sampling Data'!A168</f>
        <v>BROADVIEW HEIGHTS -02-D - ABS</v>
      </c>
      <c r="C178" s="112">
        <f>'Sampling Data'!B168</f>
        <v>6</v>
      </c>
      <c r="D178" s="112">
        <f>'Sampling Data'!C168</f>
        <v>19</v>
      </c>
      <c r="E178" s="113">
        <f>'Sampling Data'!D168</f>
        <v>11</v>
      </c>
      <c r="F178" s="113">
        <f>'Sampling Data'!E168</f>
        <v>12</v>
      </c>
      <c r="G178" s="113">
        <f>'Sampling Data'!F168</f>
        <v>0</v>
      </c>
      <c r="H178" s="113">
        <f>'Sampling Data'!G168</f>
        <v>0</v>
      </c>
      <c r="I178" s="112">
        <f>'Sampling Data'!H168</f>
        <v>0</v>
      </c>
      <c r="J178" s="112">
        <f>'Sampling Data'!I168</f>
        <v>0</v>
      </c>
      <c r="K178" s="112">
        <f>'Sampling Data'!J168</f>
        <v>48</v>
      </c>
      <c r="L178" s="111">
        <f>'Sampling Data'!X168</f>
        <v>0</v>
      </c>
      <c r="M178" s="114"/>
      <c r="N178" s="114"/>
      <c r="O178" s="115"/>
      <c r="P178" s="115"/>
      <c r="Q178" s="116"/>
      <c r="R178" s="116"/>
      <c r="S178" s="111">
        <f>Audit[[#This Row],[Audit Losing Candidate]]-Audit[[#This Row],[Losing Candidate]]</f>
        <v>-6</v>
      </c>
      <c r="T178" s="111">
        <f>Audit[[#This Row],[Audit Winning Candidate]]-Audit[[#This Row],[Winning Candidate]]</f>
        <v>-19</v>
      </c>
      <c r="U178" s="111">
        <f>Audit[[#This Row],[Audit Candidate 3]]-Audit[[#This Row],[Candidate 3]]</f>
        <v>-11</v>
      </c>
      <c r="V178" s="111">
        <f>Audit[[#This Row],[Audit Candidate 4]]-Audit[[#This Row],[Candidate 4]]</f>
        <v>-12</v>
      </c>
      <c r="W178" s="111">
        <f>Audit[[#This Row],[Audit Candidate 5]]-Audit[[#This Row],[Candidate 5]]</f>
        <v>0</v>
      </c>
      <c r="X178" s="111">
        <f>Audit[[#This Row],[Audit Candidate 6]]-Audit[[#This Row],[Candidate 6]]</f>
        <v>0</v>
      </c>
      <c r="Y178" s="111">
        <f>SUMIF(Audit[[#This Row],[Difference Loser]:[Difference Candidate 6]], "&gt;0")</f>
        <v>0</v>
      </c>
      <c r="Z178" s="111">
        <f>SUM(Audit[[#This Row],[Difference Loser]:[Difference Candidate 6]])</f>
        <v>-48</v>
      </c>
      <c r="AA178" s="111">
        <f>IF(Audit[[#This Row],[Times p Drawn - With Replacement]]&gt;0, IF(Audit[[#This Row],[Canceled Differences]]&lt;0, Audit[[#This Row],[Max Differences]]+ABS(Audit[[#This Row],[Canceled Differences]]), Audit[[#This Row],[Max Differences]]), 0)</f>
        <v>0</v>
      </c>
      <c r="AB178" s="111">
        <f>'Sampling Data'!P168</f>
        <v>3.7359137677609017E-3</v>
      </c>
      <c r="AC178" s="111">
        <f>IF(
      SUM(Audit[[#This Row],[Audit Losing Candidate]:[Audit Candidate 6]])
      &lt;&gt;0,
      (Audit[[#This Row],[Winning Candidate]]-Audit[[#This Row],[Losing Candidate]]-(Audit[[#This Row],[Audit Winning Candidate]]-Audit[[#This Row],[Audit Losing Candidate]]))/(Audit[[#Totals],[Winning Candidate]]-Audit[[#Totals],[Losing Candidate]]),
      0
)</f>
        <v>0</v>
      </c>
      <c r="AD1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 s="111">
        <f>IF(Audit[[#This Row],[Max Relative Error (ep)]] = 0, 0, Audit[[#This Row],[Max Relative Error (ep)]]/Audit[[#This Row],[Error Bound (up) - Max. possible relative overstatement]])</f>
        <v>0</v>
      </c>
      <c r="AJ1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8" s="111">
        <f t="shared" si="2"/>
        <v>1</v>
      </c>
      <c r="AL178" s="111">
        <f>PRODUCT($AK$5:AK178)</f>
        <v>8.962823818226312E-2</v>
      </c>
      <c r="AM178" s="109">
        <f>1 - [K-M P Value]</f>
        <v>0.91037176181773694</v>
      </c>
      <c r="AN178" s="111" t="str">
        <f>IF(Audit[[#This Row],[K-M P Value]]&gt;1-'General Info'!$B$16,"Continue", "Stop")</f>
        <v>Stop</v>
      </c>
      <c r="AO178" s="110" t="b">
        <f>IF(Audit[[#This Row],[Status - Continue or stop audit]] = "Continue", TRUE, IF(AN177 = "Continue", TRUE, FALSE))</f>
        <v>0</v>
      </c>
      <c r="AP178" s="110"/>
    </row>
    <row r="179" spans="1:42" ht="15" hidden="1" customHeight="1">
      <c r="A179" s="111" t="str">
        <f>'Sampling Data'!W169</f>
        <v/>
      </c>
      <c r="B179" s="112" t="str">
        <f>'Sampling Data'!A169</f>
        <v>BROADVIEW HEIGHTS -03-A</v>
      </c>
      <c r="C179" s="112">
        <f>'Sampling Data'!B169</f>
        <v>14</v>
      </c>
      <c r="D179" s="112">
        <f>'Sampling Data'!C169</f>
        <v>37</v>
      </c>
      <c r="E179" s="113">
        <f>'Sampling Data'!D169</f>
        <v>11</v>
      </c>
      <c r="F179" s="113">
        <f>'Sampling Data'!E169</f>
        <v>3</v>
      </c>
      <c r="G179" s="113">
        <f>'Sampling Data'!F169</f>
        <v>0</v>
      </c>
      <c r="H179" s="113">
        <f>'Sampling Data'!G169</f>
        <v>0</v>
      </c>
      <c r="I179" s="112">
        <f>'Sampling Data'!H169</f>
        <v>0</v>
      </c>
      <c r="J179" s="112">
        <f>'Sampling Data'!I169</f>
        <v>0</v>
      </c>
      <c r="K179" s="112">
        <f>'Sampling Data'!J169</f>
        <v>65</v>
      </c>
      <c r="L179" s="111">
        <f>'Sampling Data'!X169</f>
        <v>0</v>
      </c>
      <c r="M179" s="114"/>
      <c r="N179" s="114"/>
      <c r="O179" s="115"/>
      <c r="P179" s="115"/>
      <c r="Q179" s="116"/>
      <c r="R179" s="116"/>
      <c r="S179" s="111">
        <f>Audit[[#This Row],[Audit Losing Candidate]]-Audit[[#This Row],[Losing Candidate]]</f>
        <v>-14</v>
      </c>
      <c r="T179" s="111">
        <f>Audit[[#This Row],[Audit Winning Candidate]]-Audit[[#This Row],[Winning Candidate]]</f>
        <v>-37</v>
      </c>
      <c r="U179" s="111">
        <f>Audit[[#This Row],[Audit Candidate 3]]-Audit[[#This Row],[Candidate 3]]</f>
        <v>-11</v>
      </c>
      <c r="V179" s="111">
        <f>Audit[[#This Row],[Audit Candidate 4]]-Audit[[#This Row],[Candidate 4]]</f>
        <v>-3</v>
      </c>
      <c r="W179" s="111">
        <f>Audit[[#This Row],[Audit Candidate 5]]-Audit[[#This Row],[Candidate 5]]</f>
        <v>0</v>
      </c>
      <c r="X179" s="111">
        <f>Audit[[#This Row],[Audit Candidate 6]]-Audit[[#This Row],[Candidate 6]]</f>
        <v>0</v>
      </c>
      <c r="Y179" s="111">
        <f>SUMIF(Audit[[#This Row],[Difference Loser]:[Difference Candidate 6]], "&gt;0")</f>
        <v>0</v>
      </c>
      <c r="Z179" s="111">
        <f>SUM(Audit[[#This Row],[Difference Loser]:[Difference Candidate 6]])</f>
        <v>-65</v>
      </c>
      <c r="AA179" s="111">
        <f>IF(Audit[[#This Row],[Times p Drawn - With Replacement]]&gt;0, IF(Audit[[#This Row],[Canceled Differences]]&lt;0, Audit[[#This Row],[Max Differences]]+ABS(Audit[[#This Row],[Canceled Differences]]), Audit[[#This Row],[Max Differences]]), 0)</f>
        <v>0</v>
      </c>
      <c r="AB179" s="111">
        <f>'Sampling Data'!P169</f>
        <v>5.3895149436550714E-3</v>
      </c>
      <c r="AC179" s="111">
        <f>IF(
      SUM(Audit[[#This Row],[Audit Losing Candidate]:[Audit Candidate 6]])
      &lt;&gt;0,
      (Audit[[#This Row],[Winning Candidate]]-Audit[[#This Row],[Losing Candidate]]-(Audit[[#This Row],[Audit Winning Candidate]]-Audit[[#This Row],[Audit Losing Candidate]]))/(Audit[[#Totals],[Winning Candidate]]-Audit[[#Totals],[Losing Candidate]]),
      0
)</f>
        <v>0</v>
      </c>
      <c r="AD1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 s="111">
        <f>IF(Audit[[#This Row],[Max Relative Error (ep)]] = 0, 0, Audit[[#This Row],[Max Relative Error (ep)]]/Audit[[#This Row],[Error Bound (up) - Max. possible relative overstatement]])</f>
        <v>0</v>
      </c>
      <c r="AJ1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9" s="111">
        <f t="shared" si="2"/>
        <v>1</v>
      </c>
      <c r="AL179" s="111">
        <f>PRODUCT($AK$5:AK179)</f>
        <v>8.962823818226312E-2</v>
      </c>
      <c r="AM179" s="109">
        <f>1 - [K-M P Value]</f>
        <v>0.91037176181773694</v>
      </c>
      <c r="AN179" s="111" t="str">
        <f>IF(Audit[[#This Row],[K-M P Value]]&gt;1-'General Info'!$B$16,"Continue", "Stop")</f>
        <v>Stop</v>
      </c>
      <c r="AO179" s="110" t="b">
        <f>IF(Audit[[#This Row],[Status - Continue or stop audit]] = "Continue", TRUE, IF(AN178 = "Continue", TRUE, FALSE))</f>
        <v>0</v>
      </c>
      <c r="AP179" s="110"/>
    </row>
    <row r="180" spans="1:42" ht="15" hidden="1" customHeight="1">
      <c r="A180" s="111" t="str">
        <f>'Sampling Data'!W170</f>
        <v/>
      </c>
      <c r="B180" s="112" t="str">
        <f>'Sampling Data'!A170</f>
        <v>BROADVIEW HEIGHTS -03-A - ABS</v>
      </c>
      <c r="C180" s="112">
        <f>'Sampling Data'!B170</f>
        <v>13</v>
      </c>
      <c r="D180" s="112">
        <f>'Sampling Data'!C170</f>
        <v>9</v>
      </c>
      <c r="E180" s="113">
        <f>'Sampling Data'!D170</f>
        <v>0</v>
      </c>
      <c r="F180" s="113">
        <f>'Sampling Data'!E170</f>
        <v>2</v>
      </c>
      <c r="G180" s="113">
        <f>'Sampling Data'!F170</f>
        <v>0</v>
      </c>
      <c r="H180" s="113">
        <f>'Sampling Data'!G170</f>
        <v>0</v>
      </c>
      <c r="I180" s="112">
        <f>'Sampling Data'!H170</f>
        <v>0</v>
      </c>
      <c r="J180" s="112">
        <f>'Sampling Data'!I170</f>
        <v>0</v>
      </c>
      <c r="K180" s="112">
        <f>'Sampling Data'!J170</f>
        <v>24</v>
      </c>
      <c r="L180" s="111">
        <f>'Sampling Data'!X170</f>
        <v>0</v>
      </c>
      <c r="M180" s="114"/>
      <c r="N180" s="114"/>
      <c r="O180" s="115"/>
      <c r="P180" s="115"/>
      <c r="Q180" s="116"/>
      <c r="R180" s="116"/>
      <c r="S180" s="111">
        <f>Audit[[#This Row],[Audit Losing Candidate]]-Audit[[#This Row],[Losing Candidate]]</f>
        <v>-13</v>
      </c>
      <c r="T180" s="111">
        <f>Audit[[#This Row],[Audit Winning Candidate]]-Audit[[#This Row],[Winning Candidate]]</f>
        <v>-9</v>
      </c>
      <c r="U180" s="111">
        <f>Audit[[#This Row],[Audit Candidate 3]]-Audit[[#This Row],[Candidate 3]]</f>
        <v>0</v>
      </c>
      <c r="V180" s="111">
        <f>Audit[[#This Row],[Audit Candidate 4]]-Audit[[#This Row],[Candidate 4]]</f>
        <v>-2</v>
      </c>
      <c r="W180" s="111">
        <f>Audit[[#This Row],[Audit Candidate 5]]-Audit[[#This Row],[Candidate 5]]</f>
        <v>0</v>
      </c>
      <c r="X180" s="111">
        <f>Audit[[#This Row],[Audit Candidate 6]]-Audit[[#This Row],[Candidate 6]]</f>
        <v>0</v>
      </c>
      <c r="Y180" s="111">
        <f>SUMIF(Audit[[#This Row],[Difference Loser]:[Difference Candidate 6]], "&gt;0")</f>
        <v>0</v>
      </c>
      <c r="Z180" s="111">
        <f>SUM(Audit[[#This Row],[Difference Loser]:[Difference Candidate 6]])</f>
        <v>-24</v>
      </c>
      <c r="AA180" s="111">
        <f>IF(Audit[[#This Row],[Times p Drawn - With Replacement]]&gt;0, IF(Audit[[#This Row],[Canceled Differences]]&lt;0, Audit[[#This Row],[Max Differences]]+ABS(Audit[[#This Row],[Canceled Differences]]), Audit[[#This Row],[Max Differences]]), 0)</f>
        <v>0</v>
      </c>
      <c r="AB180" s="111">
        <f>'Sampling Data'!P170</f>
        <v>1.224889759921607E-3</v>
      </c>
      <c r="AC180" s="111">
        <f>IF(
      SUM(Audit[[#This Row],[Audit Losing Candidate]:[Audit Candidate 6]])
      &lt;&gt;0,
      (Audit[[#This Row],[Winning Candidate]]-Audit[[#This Row],[Losing Candidate]]-(Audit[[#This Row],[Audit Winning Candidate]]-Audit[[#This Row],[Audit Losing Candidate]]))/(Audit[[#Totals],[Winning Candidate]]-Audit[[#Totals],[Losing Candidate]]),
      0
)</f>
        <v>0</v>
      </c>
      <c r="AD1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 s="111">
        <f>IF(Audit[[#This Row],[Max Relative Error (ep)]] = 0, 0, Audit[[#This Row],[Max Relative Error (ep)]]/Audit[[#This Row],[Error Bound (up) - Max. possible relative overstatement]])</f>
        <v>0</v>
      </c>
      <c r="AJ1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0" s="111">
        <f t="shared" si="2"/>
        <v>1</v>
      </c>
      <c r="AL180" s="111">
        <f>PRODUCT($AK$5:AK180)</f>
        <v>8.962823818226312E-2</v>
      </c>
      <c r="AM180" s="109">
        <f>1 - [K-M P Value]</f>
        <v>0.91037176181773694</v>
      </c>
      <c r="AN180" s="111" t="str">
        <f>IF(Audit[[#This Row],[K-M P Value]]&gt;1-'General Info'!$B$16,"Continue", "Stop")</f>
        <v>Stop</v>
      </c>
      <c r="AO180" s="110" t="b">
        <f>IF(Audit[[#This Row],[Status - Continue or stop audit]] = "Continue", TRUE, IF(AN179 = "Continue", TRUE, FALSE))</f>
        <v>0</v>
      </c>
      <c r="AP180" s="110"/>
    </row>
    <row r="181" spans="1:42" ht="15" hidden="1" customHeight="1">
      <c r="A181" s="111" t="str">
        <f>'Sampling Data'!W171</f>
        <v/>
      </c>
      <c r="B181" s="112" t="str">
        <f>'Sampling Data'!A171</f>
        <v>BROADVIEW HEIGHTS -03-B</v>
      </c>
      <c r="C181" s="112">
        <f>'Sampling Data'!B171</f>
        <v>19</v>
      </c>
      <c r="D181" s="112">
        <f>'Sampling Data'!C171</f>
        <v>38</v>
      </c>
      <c r="E181" s="113">
        <f>'Sampling Data'!D171</f>
        <v>14</v>
      </c>
      <c r="F181" s="113">
        <f>'Sampling Data'!E171</f>
        <v>2</v>
      </c>
      <c r="G181" s="113">
        <f>'Sampling Data'!F171</f>
        <v>0</v>
      </c>
      <c r="H181" s="113">
        <f>'Sampling Data'!G171</f>
        <v>0</v>
      </c>
      <c r="I181" s="112">
        <f>'Sampling Data'!H171</f>
        <v>0</v>
      </c>
      <c r="J181" s="112">
        <f>'Sampling Data'!I171</f>
        <v>1</v>
      </c>
      <c r="K181" s="112">
        <f>'Sampling Data'!J171</f>
        <v>74</v>
      </c>
      <c r="L181" s="111">
        <f>'Sampling Data'!X171</f>
        <v>0</v>
      </c>
      <c r="M181" s="114"/>
      <c r="N181" s="114"/>
      <c r="O181" s="115"/>
      <c r="P181" s="115"/>
      <c r="Q181" s="116"/>
      <c r="R181" s="116"/>
      <c r="S181" s="111">
        <f>Audit[[#This Row],[Audit Losing Candidate]]-Audit[[#This Row],[Losing Candidate]]</f>
        <v>-19</v>
      </c>
      <c r="T181" s="111">
        <f>Audit[[#This Row],[Audit Winning Candidate]]-Audit[[#This Row],[Winning Candidate]]</f>
        <v>-38</v>
      </c>
      <c r="U181" s="111">
        <f>Audit[[#This Row],[Audit Candidate 3]]-Audit[[#This Row],[Candidate 3]]</f>
        <v>-14</v>
      </c>
      <c r="V181" s="111">
        <f>Audit[[#This Row],[Audit Candidate 4]]-Audit[[#This Row],[Candidate 4]]</f>
        <v>-2</v>
      </c>
      <c r="W181" s="111">
        <f>Audit[[#This Row],[Audit Candidate 5]]-Audit[[#This Row],[Candidate 5]]</f>
        <v>0</v>
      </c>
      <c r="X181" s="111">
        <f>Audit[[#This Row],[Audit Candidate 6]]-Audit[[#This Row],[Candidate 6]]</f>
        <v>0</v>
      </c>
      <c r="Y181" s="111">
        <f>SUMIF(Audit[[#This Row],[Difference Loser]:[Difference Candidate 6]], "&gt;0")</f>
        <v>0</v>
      </c>
      <c r="Z181" s="111">
        <f>SUM(Audit[[#This Row],[Difference Loser]:[Difference Candidate 6]])</f>
        <v>-73</v>
      </c>
      <c r="AA181" s="111">
        <f>IF(Audit[[#This Row],[Times p Drawn - With Replacement]]&gt;0, IF(Audit[[#This Row],[Canceled Differences]]&lt;0, Audit[[#This Row],[Max Differences]]+ABS(Audit[[#This Row],[Canceled Differences]]), Audit[[#This Row],[Max Differences]]), 0)</f>
        <v>0</v>
      </c>
      <c r="AB181" s="111">
        <f>'Sampling Data'!P171</f>
        <v>5.6957373836354725E-3</v>
      </c>
      <c r="AC181" s="111">
        <f>IF(
      SUM(Audit[[#This Row],[Audit Losing Candidate]:[Audit Candidate 6]])
      &lt;&gt;0,
      (Audit[[#This Row],[Winning Candidate]]-Audit[[#This Row],[Losing Candidate]]-(Audit[[#This Row],[Audit Winning Candidate]]-Audit[[#This Row],[Audit Losing Candidate]]))/(Audit[[#Totals],[Winning Candidate]]-Audit[[#Totals],[Losing Candidate]]),
      0
)</f>
        <v>0</v>
      </c>
      <c r="AD1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 s="111">
        <f>IF(Audit[[#This Row],[Max Relative Error (ep)]] = 0, 0, Audit[[#This Row],[Max Relative Error (ep)]]/Audit[[#This Row],[Error Bound (up) - Max. possible relative overstatement]])</f>
        <v>0</v>
      </c>
      <c r="AJ1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1" s="111">
        <f t="shared" si="2"/>
        <v>1</v>
      </c>
      <c r="AL181" s="111">
        <f>PRODUCT($AK$5:AK181)</f>
        <v>8.962823818226312E-2</v>
      </c>
      <c r="AM181" s="109">
        <f>1 - [K-M P Value]</f>
        <v>0.91037176181773694</v>
      </c>
      <c r="AN181" s="111" t="str">
        <f>IF(Audit[[#This Row],[K-M P Value]]&gt;1-'General Info'!$B$16,"Continue", "Stop")</f>
        <v>Stop</v>
      </c>
      <c r="AO181" s="110" t="b">
        <f>IF(Audit[[#This Row],[Status - Continue or stop audit]] = "Continue", TRUE, IF(AN180 = "Continue", TRUE, FALSE))</f>
        <v>0</v>
      </c>
      <c r="AP181" s="110"/>
    </row>
    <row r="182" spans="1:42" ht="15" hidden="1" customHeight="1">
      <c r="A182" s="111" t="str">
        <f>'Sampling Data'!W172</f>
        <v/>
      </c>
      <c r="B182" s="112" t="str">
        <f>'Sampling Data'!A172</f>
        <v>BROADVIEW HEIGHTS -03-B - ABS</v>
      </c>
      <c r="C182" s="112">
        <f>'Sampling Data'!B172</f>
        <v>17</v>
      </c>
      <c r="D182" s="112">
        <f>'Sampling Data'!C172</f>
        <v>28</v>
      </c>
      <c r="E182" s="113">
        <f>'Sampling Data'!D172</f>
        <v>2</v>
      </c>
      <c r="F182" s="113">
        <f>'Sampling Data'!E172</f>
        <v>1</v>
      </c>
      <c r="G182" s="113">
        <f>'Sampling Data'!F172</f>
        <v>0</v>
      </c>
      <c r="H182" s="113">
        <f>'Sampling Data'!G172</f>
        <v>0</v>
      </c>
      <c r="I182" s="112">
        <f>'Sampling Data'!H172</f>
        <v>0</v>
      </c>
      <c r="J182" s="112">
        <f>'Sampling Data'!I172</f>
        <v>0</v>
      </c>
      <c r="K182" s="112">
        <f>'Sampling Data'!J172</f>
        <v>48</v>
      </c>
      <c r="L182" s="111">
        <f>'Sampling Data'!X172</f>
        <v>0</v>
      </c>
      <c r="M182" s="114"/>
      <c r="N182" s="114"/>
      <c r="O182" s="115"/>
      <c r="P182" s="115"/>
      <c r="Q182" s="116"/>
      <c r="R182" s="116"/>
      <c r="S182" s="111">
        <f>Audit[[#This Row],[Audit Losing Candidate]]-Audit[[#This Row],[Losing Candidate]]</f>
        <v>-17</v>
      </c>
      <c r="T182" s="111">
        <f>Audit[[#This Row],[Audit Winning Candidate]]-Audit[[#This Row],[Winning Candidate]]</f>
        <v>-28</v>
      </c>
      <c r="U182" s="111">
        <f>Audit[[#This Row],[Audit Candidate 3]]-Audit[[#This Row],[Candidate 3]]</f>
        <v>-2</v>
      </c>
      <c r="V182" s="111">
        <f>Audit[[#This Row],[Audit Candidate 4]]-Audit[[#This Row],[Candidate 4]]</f>
        <v>-1</v>
      </c>
      <c r="W182" s="111">
        <f>Audit[[#This Row],[Audit Candidate 5]]-Audit[[#This Row],[Candidate 5]]</f>
        <v>0</v>
      </c>
      <c r="X182" s="111">
        <f>Audit[[#This Row],[Audit Candidate 6]]-Audit[[#This Row],[Candidate 6]]</f>
        <v>0</v>
      </c>
      <c r="Y182" s="111">
        <f>SUMIF(Audit[[#This Row],[Difference Loser]:[Difference Candidate 6]], "&gt;0")</f>
        <v>0</v>
      </c>
      <c r="Z182" s="111">
        <f>SUM(Audit[[#This Row],[Difference Loser]:[Difference Candidate 6]])</f>
        <v>-48</v>
      </c>
      <c r="AA182" s="111">
        <f>IF(Audit[[#This Row],[Times p Drawn - With Replacement]]&gt;0, IF(Audit[[#This Row],[Canceled Differences]]&lt;0, Audit[[#This Row],[Max Differences]]+ABS(Audit[[#This Row],[Canceled Differences]]), Audit[[#This Row],[Max Differences]]), 0)</f>
        <v>0</v>
      </c>
      <c r="AB182" s="111">
        <f>'Sampling Data'!P172</f>
        <v>3.6134247917687409E-3</v>
      </c>
      <c r="AC182" s="111">
        <f>IF(
      SUM(Audit[[#This Row],[Audit Losing Candidate]:[Audit Candidate 6]])
      &lt;&gt;0,
      (Audit[[#This Row],[Winning Candidate]]-Audit[[#This Row],[Losing Candidate]]-(Audit[[#This Row],[Audit Winning Candidate]]-Audit[[#This Row],[Audit Losing Candidate]]))/(Audit[[#Totals],[Winning Candidate]]-Audit[[#Totals],[Losing Candidate]]),
      0
)</f>
        <v>0</v>
      </c>
      <c r="AD1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 s="111">
        <f>IF(Audit[[#This Row],[Max Relative Error (ep)]] = 0, 0, Audit[[#This Row],[Max Relative Error (ep)]]/Audit[[#This Row],[Error Bound (up) - Max. possible relative overstatement]])</f>
        <v>0</v>
      </c>
      <c r="AJ1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2" s="111">
        <f t="shared" si="2"/>
        <v>1</v>
      </c>
      <c r="AL182" s="111">
        <f>PRODUCT($AK$5:AK182)</f>
        <v>8.962823818226312E-2</v>
      </c>
      <c r="AM182" s="109">
        <f>1 - [K-M P Value]</f>
        <v>0.91037176181773694</v>
      </c>
      <c r="AN182" s="111" t="str">
        <f>IF(Audit[[#This Row],[K-M P Value]]&gt;1-'General Info'!$B$16,"Continue", "Stop")</f>
        <v>Stop</v>
      </c>
      <c r="AO182" s="110" t="b">
        <f>IF(Audit[[#This Row],[Status - Continue or stop audit]] = "Continue", TRUE, IF(AN181 = "Continue", TRUE, FALSE))</f>
        <v>0</v>
      </c>
      <c r="AP182" s="110"/>
    </row>
    <row r="183" spans="1:42" ht="15" hidden="1" customHeight="1">
      <c r="A183" s="111" t="str">
        <f>'Sampling Data'!W173</f>
        <v/>
      </c>
      <c r="B183" s="112" t="str">
        <f>'Sampling Data'!A173</f>
        <v>BROADVIEW HEIGHTS -03-C</v>
      </c>
      <c r="C183" s="112">
        <f>'Sampling Data'!B173</f>
        <v>68</v>
      </c>
      <c r="D183" s="112">
        <f>'Sampling Data'!C173</f>
        <v>79</v>
      </c>
      <c r="E183" s="113">
        <f>'Sampling Data'!D173</f>
        <v>21</v>
      </c>
      <c r="F183" s="113">
        <f>'Sampling Data'!E173</f>
        <v>13</v>
      </c>
      <c r="G183" s="113">
        <f>'Sampling Data'!F173</f>
        <v>0</v>
      </c>
      <c r="H183" s="113">
        <f>'Sampling Data'!G173</f>
        <v>1</v>
      </c>
      <c r="I183" s="112">
        <f>'Sampling Data'!H173</f>
        <v>0</v>
      </c>
      <c r="J183" s="112">
        <f>'Sampling Data'!I173</f>
        <v>1</v>
      </c>
      <c r="K183" s="112">
        <f>'Sampling Data'!J173</f>
        <v>183</v>
      </c>
      <c r="L183" s="111">
        <f>'Sampling Data'!X173</f>
        <v>0</v>
      </c>
      <c r="M183" s="114"/>
      <c r="N183" s="114"/>
      <c r="O183" s="115"/>
      <c r="P183" s="115"/>
      <c r="Q183" s="116"/>
      <c r="R183" s="116"/>
      <c r="S183" s="111">
        <f>Audit[[#This Row],[Audit Losing Candidate]]-Audit[[#This Row],[Losing Candidate]]</f>
        <v>-68</v>
      </c>
      <c r="T183" s="111">
        <f>Audit[[#This Row],[Audit Winning Candidate]]-Audit[[#This Row],[Winning Candidate]]</f>
        <v>-79</v>
      </c>
      <c r="U183" s="111">
        <f>Audit[[#This Row],[Audit Candidate 3]]-Audit[[#This Row],[Candidate 3]]</f>
        <v>-21</v>
      </c>
      <c r="V183" s="111">
        <f>Audit[[#This Row],[Audit Candidate 4]]-Audit[[#This Row],[Candidate 4]]</f>
        <v>-13</v>
      </c>
      <c r="W183" s="111">
        <f>Audit[[#This Row],[Audit Candidate 5]]-Audit[[#This Row],[Candidate 5]]</f>
        <v>0</v>
      </c>
      <c r="X183" s="111">
        <f>Audit[[#This Row],[Audit Candidate 6]]-Audit[[#This Row],[Candidate 6]]</f>
        <v>-1</v>
      </c>
      <c r="Y183" s="111">
        <f>SUMIF(Audit[[#This Row],[Difference Loser]:[Difference Candidate 6]], "&gt;0")</f>
        <v>0</v>
      </c>
      <c r="Z183" s="111">
        <f>SUM(Audit[[#This Row],[Difference Loser]:[Difference Candidate 6]])</f>
        <v>-182</v>
      </c>
      <c r="AA183" s="111">
        <f>IF(Audit[[#This Row],[Times p Drawn - With Replacement]]&gt;0, IF(Audit[[#This Row],[Canceled Differences]]&lt;0, Audit[[#This Row],[Max Differences]]+ABS(Audit[[#This Row],[Canceled Differences]]), Audit[[#This Row],[Max Differences]]), 0)</f>
        <v>0</v>
      </c>
      <c r="AB183" s="111">
        <f>'Sampling Data'!P173</f>
        <v>1.1881430671239588E-2</v>
      </c>
      <c r="AC183" s="111">
        <f>IF(
      SUM(Audit[[#This Row],[Audit Losing Candidate]:[Audit Candidate 6]])
      &lt;&gt;0,
      (Audit[[#This Row],[Winning Candidate]]-Audit[[#This Row],[Losing Candidate]]-(Audit[[#This Row],[Audit Winning Candidate]]-Audit[[#This Row],[Audit Losing Candidate]]))/(Audit[[#Totals],[Winning Candidate]]-Audit[[#Totals],[Losing Candidate]]),
      0
)</f>
        <v>0</v>
      </c>
      <c r="AD1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 s="111">
        <f>IF(Audit[[#This Row],[Max Relative Error (ep)]] = 0, 0, Audit[[#This Row],[Max Relative Error (ep)]]/Audit[[#This Row],[Error Bound (up) - Max. possible relative overstatement]])</f>
        <v>0</v>
      </c>
      <c r="AJ1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3" s="111">
        <f t="shared" si="2"/>
        <v>1</v>
      </c>
      <c r="AL183" s="111">
        <f>PRODUCT($AK$5:AK183)</f>
        <v>8.962823818226312E-2</v>
      </c>
      <c r="AM183" s="109">
        <f>1 - [K-M P Value]</f>
        <v>0.91037176181773694</v>
      </c>
      <c r="AN183" s="111" t="str">
        <f>IF(Audit[[#This Row],[K-M P Value]]&gt;1-'General Info'!$B$16,"Continue", "Stop")</f>
        <v>Stop</v>
      </c>
      <c r="AO183" s="110" t="b">
        <f>IF(Audit[[#This Row],[Status - Continue or stop audit]] = "Continue", TRUE, IF(AN182 = "Continue", TRUE, FALSE))</f>
        <v>0</v>
      </c>
      <c r="AP183" s="110"/>
    </row>
    <row r="184" spans="1:42" ht="15" hidden="1" customHeight="1">
      <c r="A184" s="111" t="str">
        <f>'Sampling Data'!W174</f>
        <v/>
      </c>
      <c r="B184" s="112" t="str">
        <f>'Sampling Data'!A174</f>
        <v>BROADVIEW HEIGHTS -03-C - ABS</v>
      </c>
      <c r="C184" s="112">
        <f>'Sampling Data'!B174</f>
        <v>33</v>
      </c>
      <c r="D184" s="112">
        <f>'Sampling Data'!C174</f>
        <v>34</v>
      </c>
      <c r="E184" s="113">
        <f>'Sampling Data'!D174</f>
        <v>8</v>
      </c>
      <c r="F184" s="113">
        <f>'Sampling Data'!E174</f>
        <v>9</v>
      </c>
      <c r="G184" s="113">
        <f>'Sampling Data'!F174</f>
        <v>0</v>
      </c>
      <c r="H184" s="113">
        <f>'Sampling Data'!G174</f>
        <v>0</v>
      </c>
      <c r="I184" s="112">
        <f>'Sampling Data'!H174</f>
        <v>0</v>
      </c>
      <c r="J184" s="112">
        <f>'Sampling Data'!I174</f>
        <v>1</v>
      </c>
      <c r="K184" s="112">
        <f>'Sampling Data'!J174</f>
        <v>85</v>
      </c>
      <c r="L184" s="111">
        <f>'Sampling Data'!X174</f>
        <v>0</v>
      </c>
      <c r="M184" s="114"/>
      <c r="N184" s="114"/>
      <c r="O184" s="115"/>
      <c r="P184" s="115"/>
      <c r="Q184" s="116"/>
      <c r="R184" s="116"/>
      <c r="S184" s="111">
        <f>Audit[[#This Row],[Audit Losing Candidate]]-Audit[[#This Row],[Losing Candidate]]</f>
        <v>-33</v>
      </c>
      <c r="T184" s="111">
        <f>Audit[[#This Row],[Audit Winning Candidate]]-Audit[[#This Row],[Winning Candidate]]</f>
        <v>-34</v>
      </c>
      <c r="U184" s="111">
        <f>Audit[[#This Row],[Audit Candidate 3]]-Audit[[#This Row],[Candidate 3]]</f>
        <v>-8</v>
      </c>
      <c r="V184" s="111">
        <f>Audit[[#This Row],[Audit Candidate 4]]-Audit[[#This Row],[Candidate 4]]</f>
        <v>-9</v>
      </c>
      <c r="W184" s="111">
        <f>Audit[[#This Row],[Audit Candidate 5]]-Audit[[#This Row],[Candidate 5]]</f>
        <v>0</v>
      </c>
      <c r="X184" s="111">
        <f>Audit[[#This Row],[Audit Candidate 6]]-Audit[[#This Row],[Candidate 6]]</f>
        <v>0</v>
      </c>
      <c r="Y184" s="111">
        <f>SUMIF(Audit[[#This Row],[Difference Loser]:[Difference Candidate 6]], "&gt;0")</f>
        <v>0</v>
      </c>
      <c r="Z184" s="111">
        <f>SUM(Audit[[#This Row],[Difference Loser]:[Difference Candidate 6]])</f>
        <v>-84</v>
      </c>
      <c r="AA184" s="111">
        <f>IF(Audit[[#This Row],[Times p Drawn - With Replacement]]&gt;0, IF(Audit[[#This Row],[Canceled Differences]]&lt;0, Audit[[#This Row],[Max Differences]]+ABS(Audit[[#This Row],[Canceled Differences]]), Audit[[#This Row],[Max Differences]]), 0)</f>
        <v>0</v>
      </c>
      <c r="AB184" s="111">
        <f>'Sampling Data'!P174</f>
        <v>5.2670259676629106E-3</v>
      </c>
      <c r="AC184" s="111">
        <f>IF(
      SUM(Audit[[#This Row],[Audit Losing Candidate]:[Audit Candidate 6]])
      &lt;&gt;0,
      (Audit[[#This Row],[Winning Candidate]]-Audit[[#This Row],[Losing Candidate]]-(Audit[[#This Row],[Audit Winning Candidate]]-Audit[[#This Row],[Audit Losing Candidate]]))/(Audit[[#Totals],[Winning Candidate]]-Audit[[#Totals],[Losing Candidate]]),
      0
)</f>
        <v>0</v>
      </c>
      <c r="AD1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 s="111">
        <f>IF(Audit[[#This Row],[Max Relative Error (ep)]] = 0, 0, Audit[[#This Row],[Max Relative Error (ep)]]/Audit[[#This Row],[Error Bound (up) - Max. possible relative overstatement]])</f>
        <v>0</v>
      </c>
      <c r="AJ1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4" s="111">
        <f t="shared" si="2"/>
        <v>1</v>
      </c>
      <c r="AL184" s="111">
        <f>PRODUCT($AK$5:AK184)</f>
        <v>8.962823818226312E-2</v>
      </c>
      <c r="AM184" s="109">
        <f>1 - [K-M P Value]</f>
        <v>0.91037176181773694</v>
      </c>
      <c r="AN184" s="111" t="str">
        <f>IF(Audit[[#This Row],[K-M P Value]]&gt;1-'General Info'!$B$16,"Continue", "Stop")</f>
        <v>Stop</v>
      </c>
      <c r="AO184" s="110" t="b">
        <f>IF(Audit[[#This Row],[Status - Continue or stop audit]] = "Continue", TRUE, IF(AN183 = "Continue", TRUE, FALSE))</f>
        <v>0</v>
      </c>
      <c r="AP184" s="110"/>
    </row>
    <row r="185" spans="1:42" ht="15" hidden="1" customHeight="1">
      <c r="A185" s="111" t="str">
        <f>'Sampling Data'!W175</f>
        <v/>
      </c>
      <c r="B185" s="112" t="str">
        <f>'Sampling Data'!A175</f>
        <v>BROADVIEW HEIGHTS -03-D</v>
      </c>
      <c r="C185" s="112">
        <f>'Sampling Data'!B175</f>
        <v>16</v>
      </c>
      <c r="D185" s="112">
        <f>'Sampling Data'!C175</f>
        <v>14</v>
      </c>
      <c r="E185" s="113">
        <f>'Sampling Data'!D175</f>
        <v>5</v>
      </c>
      <c r="F185" s="113">
        <f>'Sampling Data'!E175</f>
        <v>5</v>
      </c>
      <c r="G185" s="113">
        <f>'Sampling Data'!F175</f>
        <v>1</v>
      </c>
      <c r="H185" s="113">
        <f>'Sampling Data'!G175</f>
        <v>0</v>
      </c>
      <c r="I185" s="112">
        <f>'Sampling Data'!H175</f>
        <v>0</v>
      </c>
      <c r="J185" s="112">
        <f>'Sampling Data'!I175</f>
        <v>0</v>
      </c>
      <c r="K185" s="112">
        <f>'Sampling Data'!J175</f>
        <v>41</v>
      </c>
      <c r="L185" s="111">
        <f>'Sampling Data'!X175</f>
        <v>0</v>
      </c>
      <c r="M185" s="114"/>
      <c r="N185" s="114"/>
      <c r="O185" s="115"/>
      <c r="P185" s="115"/>
      <c r="Q185" s="116"/>
      <c r="R185" s="116"/>
      <c r="S185" s="111">
        <f>Audit[[#This Row],[Audit Losing Candidate]]-Audit[[#This Row],[Losing Candidate]]</f>
        <v>-16</v>
      </c>
      <c r="T185" s="111">
        <f>Audit[[#This Row],[Audit Winning Candidate]]-Audit[[#This Row],[Winning Candidate]]</f>
        <v>-14</v>
      </c>
      <c r="U185" s="111">
        <f>Audit[[#This Row],[Audit Candidate 3]]-Audit[[#This Row],[Candidate 3]]</f>
        <v>-5</v>
      </c>
      <c r="V185" s="111">
        <f>Audit[[#This Row],[Audit Candidate 4]]-Audit[[#This Row],[Candidate 4]]</f>
        <v>-5</v>
      </c>
      <c r="W185" s="111">
        <f>Audit[[#This Row],[Audit Candidate 5]]-Audit[[#This Row],[Candidate 5]]</f>
        <v>-1</v>
      </c>
      <c r="X185" s="111">
        <f>Audit[[#This Row],[Audit Candidate 6]]-Audit[[#This Row],[Candidate 6]]</f>
        <v>0</v>
      </c>
      <c r="Y185" s="111">
        <f>SUMIF(Audit[[#This Row],[Difference Loser]:[Difference Candidate 6]], "&gt;0")</f>
        <v>0</v>
      </c>
      <c r="Z185" s="111">
        <f>SUM(Audit[[#This Row],[Difference Loser]:[Difference Candidate 6]])</f>
        <v>-41</v>
      </c>
      <c r="AA185" s="111">
        <f>IF(Audit[[#This Row],[Times p Drawn - With Replacement]]&gt;0, IF(Audit[[#This Row],[Canceled Differences]]&lt;0, Audit[[#This Row],[Max Differences]]+ABS(Audit[[#This Row],[Canceled Differences]]), Audit[[#This Row],[Max Differences]]), 0)</f>
        <v>0</v>
      </c>
      <c r="AB185" s="111">
        <f>'Sampling Data'!P175</f>
        <v>2.3885350318471337E-3</v>
      </c>
      <c r="AC185" s="111">
        <f>IF(
      SUM(Audit[[#This Row],[Audit Losing Candidate]:[Audit Candidate 6]])
      &lt;&gt;0,
      (Audit[[#This Row],[Winning Candidate]]-Audit[[#This Row],[Losing Candidate]]-(Audit[[#This Row],[Audit Winning Candidate]]-Audit[[#This Row],[Audit Losing Candidate]]))/(Audit[[#Totals],[Winning Candidate]]-Audit[[#Totals],[Losing Candidate]]),
      0
)</f>
        <v>0</v>
      </c>
      <c r="AD1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 s="111">
        <f>IF(Audit[[#This Row],[Max Relative Error (ep)]] = 0, 0, Audit[[#This Row],[Max Relative Error (ep)]]/Audit[[#This Row],[Error Bound (up) - Max. possible relative overstatement]])</f>
        <v>0</v>
      </c>
      <c r="AJ1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5" s="111">
        <f t="shared" si="2"/>
        <v>1</v>
      </c>
      <c r="AL185" s="111">
        <f>PRODUCT($AK$5:AK185)</f>
        <v>8.962823818226312E-2</v>
      </c>
      <c r="AM185" s="109">
        <f>1 - [K-M P Value]</f>
        <v>0.91037176181773694</v>
      </c>
      <c r="AN185" s="111" t="str">
        <f>IF(Audit[[#This Row],[K-M P Value]]&gt;1-'General Info'!$B$16,"Continue", "Stop")</f>
        <v>Stop</v>
      </c>
      <c r="AO185" s="110" t="b">
        <f>IF(Audit[[#This Row],[Status - Continue or stop audit]] = "Continue", TRUE, IF(AN184 = "Continue", TRUE, FALSE))</f>
        <v>0</v>
      </c>
      <c r="AP185" s="110"/>
    </row>
    <row r="186" spans="1:42" ht="15" hidden="1" customHeight="1">
      <c r="A186" s="111" t="str">
        <f>'Sampling Data'!W176</f>
        <v/>
      </c>
      <c r="B186" s="112" t="str">
        <f>'Sampling Data'!A176</f>
        <v>BROADVIEW HEIGHTS -03-D - ABS</v>
      </c>
      <c r="C186" s="112">
        <f>'Sampling Data'!B176</f>
        <v>15</v>
      </c>
      <c r="D186" s="112">
        <f>'Sampling Data'!C176</f>
        <v>5</v>
      </c>
      <c r="E186" s="113">
        <f>'Sampling Data'!D176</f>
        <v>2</v>
      </c>
      <c r="F186" s="113">
        <f>'Sampling Data'!E176</f>
        <v>1</v>
      </c>
      <c r="G186" s="113">
        <f>'Sampling Data'!F176</f>
        <v>0</v>
      </c>
      <c r="H186" s="113">
        <f>'Sampling Data'!G176</f>
        <v>0</v>
      </c>
      <c r="I186" s="112">
        <f>'Sampling Data'!H176</f>
        <v>0</v>
      </c>
      <c r="J186" s="112">
        <f>'Sampling Data'!I176</f>
        <v>1</v>
      </c>
      <c r="K186" s="112">
        <f>'Sampling Data'!J176</f>
        <v>24</v>
      </c>
      <c r="L186" s="111">
        <f>'Sampling Data'!X176</f>
        <v>0</v>
      </c>
      <c r="M186" s="114"/>
      <c r="N186" s="114"/>
      <c r="O186" s="115"/>
      <c r="P186" s="115"/>
      <c r="Q186" s="116"/>
      <c r="R186" s="116"/>
      <c r="S186" s="111">
        <f>Audit[[#This Row],[Audit Losing Candidate]]-Audit[[#This Row],[Losing Candidate]]</f>
        <v>-15</v>
      </c>
      <c r="T186" s="111">
        <f>Audit[[#This Row],[Audit Winning Candidate]]-Audit[[#This Row],[Winning Candidate]]</f>
        <v>-5</v>
      </c>
      <c r="U186" s="111">
        <f>Audit[[#This Row],[Audit Candidate 3]]-Audit[[#This Row],[Candidate 3]]</f>
        <v>-2</v>
      </c>
      <c r="V186" s="111">
        <f>Audit[[#This Row],[Audit Candidate 4]]-Audit[[#This Row],[Candidate 4]]</f>
        <v>-1</v>
      </c>
      <c r="W186" s="111">
        <f>Audit[[#This Row],[Audit Candidate 5]]-Audit[[#This Row],[Candidate 5]]</f>
        <v>0</v>
      </c>
      <c r="X186" s="111">
        <f>Audit[[#This Row],[Audit Candidate 6]]-Audit[[#This Row],[Candidate 6]]</f>
        <v>0</v>
      </c>
      <c r="Y186" s="111">
        <f>SUMIF(Audit[[#This Row],[Difference Loser]:[Difference Candidate 6]], "&gt;0")</f>
        <v>0</v>
      </c>
      <c r="Z186" s="111">
        <f>SUM(Audit[[#This Row],[Difference Loser]:[Difference Candidate 6]])</f>
        <v>-23</v>
      </c>
      <c r="AA186" s="111">
        <f>IF(Audit[[#This Row],[Times p Drawn - With Replacement]]&gt;0, IF(Audit[[#This Row],[Canceled Differences]]&lt;0, Audit[[#This Row],[Max Differences]]+ABS(Audit[[#This Row],[Canceled Differences]]), Audit[[#This Row],[Max Differences]]), 0)</f>
        <v>0</v>
      </c>
      <c r="AB186" s="111">
        <f>'Sampling Data'!P176</f>
        <v>8.710520372939317E-4</v>
      </c>
      <c r="AC186" s="111">
        <f>IF(
      SUM(Audit[[#This Row],[Audit Losing Candidate]:[Audit Candidate 6]])
      &lt;&gt;0,
      (Audit[[#This Row],[Winning Candidate]]-Audit[[#This Row],[Losing Candidate]]-(Audit[[#This Row],[Audit Winning Candidate]]-Audit[[#This Row],[Audit Losing Candidate]]))/(Audit[[#Totals],[Winning Candidate]]-Audit[[#Totals],[Losing Candidate]]),
      0
)</f>
        <v>0</v>
      </c>
      <c r="AD1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 s="111">
        <f>IF(Audit[[#This Row],[Max Relative Error (ep)]] = 0, 0, Audit[[#This Row],[Max Relative Error (ep)]]/Audit[[#This Row],[Error Bound (up) - Max. possible relative overstatement]])</f>
        <v>0</v>
      </c>
      <c r="AJ1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6" s="111">
        <f t="shared" si="2"/>
        <v>1</v>
      </c>
      <c r="AL186" s="111">
        <f>PRODUCT($AK$5:AK186)</f>
        <v>8.962823818226312E-2</v>
      </c>
      <c r="AM186" s="109">
        <f>1 - [K-M P Value]</f>
        <v>0.91037176181773694</v>
      </c>
      <c r="AN186" s="111" t="str">
        <f>IF(Audit[[#This Row],[K-M P Value]]&gt;1-'General Info'!$B$16,"Continue", "Stop")</f>
        <v>Stop</v>
      </c>
      <c r="AO186" s="110" t="b">
        <f>IF(Audit[[#This Row],[Status - Continue or stop audit]] = "Continue", TRUE, IF(AN185 = "Continue", TRUE, FALSE))</f>
        <v>0</v>
      </c>
      <c r="AP186" s="110"/>
    </row>
    <row r="187" spans="1:42" ht="15" hidden="1" customHeight="1">
      <c r="A187" s="111" t="str">
        <f>'Sampling Data'!W177</f>
        <v/>
      </c>
      <c r="B187" s="112" t="str">
        <f>'Sampling Data'!A177</f>
        <v>BROADVIEW HEIGHTS -04-A</v>
      </c>
      <c r="C187" s="112">
        <f>'Sampling Data'!B177</f>
        <v>50</v>
      </c>
      <c r="D187" s="112">
        <f>'Sampling Data'!C177</f>
        <v>98</v>
      </c>
      <c r="E187" s="113">
        <f>'Sampling Data'!D177</f>
        <v>21</v>
      </c>
      <c r="F187" s="113">
        <f>'Sampling Data'!E177</f>
        <v>6</v>
      </c>
      <c r="G187" s="113">
        <f>'Sampling Data'!F177</f>
        <v>0</v>
      </c>
      <c r="H187" s="113">
        <f>'Sampling Data'!G177</f>
        <v>0</v>
      </c>
      <c r="I187" s="112">
        <f>'Sampling Data'!H177</f>
        <v>0</v>
      </c>
      <c r="J187" s="112">
        <f>'Sampling Data'!I177</f>
        <v>3</v>
      </c>
      <c r="K187" s="112">
        <f>'Sampling Data'!J177</f>
        <v>178</v>
      </c>
      <c r="L187" s="111">
        <f>'Sampling Data'!X177</f>
        <v>0</v>
      </c>
      <c r="M187" s="114"/>
      <c r="N187" s="114"/>
      <c r="O187" s="115"/>
      <c r="P187" s="115"/>
      <c r="Q187" s="116"/>
      <c r="R187" s="116"/>
      <c r="S187" s="111">
        <f>Audit[[#This Row],[Audit Losing Candidate]]-Audit[[#This Row],[Losing Candidate]]</f>
        <v>-50</v>
      </c>
      <c r="T187" s="111">
        <f>Audit[[#This Row],[Audit Winning Candidate]]-Audit[[#This Row],[Winning Candidate]]</f>
        <v>-98</v>
      </c>
      <c r="U187" s="111">
        <f>Audit[[#This Row],[Audit Candidate 3]]-Audit[[#This Row],[Candidate 3]]</f>
        <v>-21</v>
      </c>
      <c r="V187" s="111">
        <f>Audit[[#This Row],[Audit Candidate 4]]-Audit[[#This Row],[Candidate 4]]</f>
        <v>-6</v>
      </c>
      <c r="W187" s="111">
        <f>Audit[[#This Row],[Audit Candidate 5]]-Audit[[#This Row],[Candidate 5]]</f>
        <v>0</v>
      </c>
      <c r="X187" s="111">
        <f>Audit[[#This Row],[Audit Candidate 6]]-Audit[[#This Row],[Candidate 6]]</f>
        <v>0</v>
      </c>
      <c r="Y187" s="111">
        <f>SUMIF(Audit[[#This Row],[Difference Loser]:[Difference Candidate 6]], "&gt;0")</f>
        <v>0</v>
      </c>
      <c r="Z187" s="111">
        <f>SUM(Audit[[#This Row],[Difference Loser]:[Difference Candidate 6]])</f>
        <v>-175</v>
      </c>
      <c r="AA187" s="111">
        <f>IF(Audit[[#This Row],[Times p Drawn - With Replacement]]&gt;0, IF(Audit[[#This Row],[Canceled Differences]]&lt;0, Audit[[#This Row],[Max Differences]]+ABS(Audit[[#This Row],[Canceled Differences]]), Audit[[#This Row],[Max Differences]]), 0)</f>
        <v>0</v>
      </c>
      <c r="AB187" s="111">
        <f>'Sampling Data'!P177</f>
        <v>1.384125428711416E-2</v>
      </c>
      <c r="AC187" s="111">
        <f>IF(
      SUM(Audit[[#This Row],[Audit Losing Candidate]:[Audit Candidate 6]])
      &lt;&gt;0,
      (Audit[[#This Row],[Winning Candidate]]-Audit[[#This Row],[Losing Candidate]]-(Audit[[#This Row],[Audit Winning Candidate]]-Audit[[#This Row],[Audit Losing Candidate]]))/(Audit[[#Totals],[Winning Candidate]]-Audit[[#Totals],[Losing Candidate]]),
      0
)</f>
        <v>0</v>
      </c>
      <c r="AD1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 s="111">
        <f>IF(Audit[[#This Row],[Max Relative Error (ep)]] = 0, 0, Audit[[#This Row],[Max Relative Error (ep)]]/Audit[[#This Row],[Error Bound (up) - Max. possible relative overstatement]])</f>
        <v>0</v>
      </c>
      <c r="AJ1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7" s="111">
        <f t="shared" si="2"/>
        <v>1</v>
      </c>
      <c r="AL187" s="111">
        <f>PRODUCT($AK$5:AK187)</f>
        <v>8.962823818226312E-2</v>
      </c>
      <c r="AM187" s="109">
        <f>1 - [K-M P Value]</f>
        <v>0.91037176181773694</v>
      </c>
      <c r="AN187" s="111" t="str">
        <f>IF(Audit[[#This Row],[K-M P Value]]&gt;1-'General Info'!$B$16,"Continue", "Stop")</f>
        <v>Stop</v>
      </c>
      <c r="AO187" s="110" t="b">
        <f>IF(Audit[[#This Row],[Status - Continue or stop audit]] = "Continue", TRUE, IF(AN186 = "Continue", TRUE, FALSE))</f>
        <v>0</v>
      </c>
      <c r="AP187" s="110"/>
    </row>
    <row r="188" spans="1:42" ht="15" hidden="1" customHeight="1">
      <c r="A188" s="111" t="str">
        <f>'Sampling Data'!W178</f>
        <v/>
      </c>
      <c r="B188" s="112" t="str">
        <f>'Sampling Data'!A178</f>
        <v>BROADVIEW HEIGHTS -04-A - ABS</v>
      </c>
      <c r="C188" s="112">
        <f>'Sampling Data'!B178</f>
        <v>48</v>
      </c>
      <c r="D188" s="112">
        <f>'Sampling Data'!C178</f>
        <v>60</v>
      </c>
      <c r="E188" s="113">
        <f>'Sampling Data'!D178</f>
        <v>12</v>
      </c>
      <c r="F188" s="113">
        <f>'Sampling Data'!E178</f>
        <v>5</v>
      </c>
      <c r="G188" s="113">
        <f>'Sampling Data'!F178</f>
        <v>0</v>
      </c>
      <c r="H188" s="113">
        <f>'Sampling Data'!G178</f>
        <v>0</v>
      </c>
      <c r="I188" s="112">
        <f>'Sampling Data'!H178</f>
        <v>0</v>
      </c>
      <c r="J188" s="112">
        <f>'Sampling Data'!I178</f>
        <v>0</v>
      </c>
      <c r="K188" s="112">
        <f>'Sampling Data'!J178</f>
        <v>125</v>
      </c>
      <c r="L188" s="111">
        <f>'Sampling Data'!X178</f>
        <v>0</v>
      </c>
      <c r="M188" s="114"/>
      <c r="N188" s="114"/>
      <c r="O188" s="115"/>
      <c r="P188" s="115"/>
      <c r="Q188" s="116"/>
      <c r="R188" s="116"/>
      <c r="S188" s="111">
        <f>Audit[[#This Row],[Audit Losing Candidate]]-Audit[[#This Row],[Losing Candidate]]</f>
        <v>-48</v>
      </c>
      <c r="T188" s="111">
        <f>Audit[[#This Row],[Audit Winning Candidate]]-Audit[[#This Row],[Winning Candidate]]</f>
        <v>-60</v>
      </c>
      <c r="U188" s="111">
        <f>Audit[[#This Row],[Audit Candidate 3]]-Audit[[#This Row],[Candidate 3]]</f>
        <v>-12</v>
      </c>
      <c r="V188" s="111">
        <f>Audit[[#This Row],[Audit Candidate 4]]-Audit[[#This Row],[Candidate 4]]</f>
        <v>-5</v>
      </c>
      <c r="W188" s="111">
        <f>Audit[[#This Row],[Audit Candidate 5]]-Audit[[#This Row],[Candidate 5]]</f>
        <v>0</v>
      </c>
      <c r="X188" s="111">
        <f>Audit[[#This Row],[Audit Candidate 6]]-Audit[[#This Row],[Candidate 6]]</f>
        <v>0</v>
      </c>
      <c r="Y188" s="111">
        <f>SUMIF(Audit[[#This Row],[Difference Loser]:[Difference Candidate 6]], "&gt;0")</f>
        <v>0</v>
      </c>
      <c r="Z188" s="111">
        <f>SUM(Audit[[#This Row],[Difference Loser]:[Difference Candidate 6]])</f>
        <v>-125</v>
      </c>
      <c r="AA188" s="111">
        <f>IF(Audit[[#This Row],[Times p Drawn - With Replacement]]&gt;0, IF(Audit[[#This Row],[Canceled Differences]]&lt;0, Audit[[#This Row],[Max Differences]]+ABS(Audit[[#This Row],[Canceled Differences]]), Audit[[#This Row],[Max Differences]]), 0)</f>
        <v>0</v>
      </c>
      <c r="AB188" s="111">
        <f>'Sampling Data'!P178</f>
        <v>8.3904948554630078E-3</v>
      </c>
      <c r="AC188" s="111">
        <f>IF(
      SUM(Audit[[#This Row],[Audit Losing Candidate]:[Audit Candidate 6]])
      &lt;&gt;0,
      (Audit[[#This Row],[Winning Candidate]]-Audit[[#This Row],[Losing Candidate]]-(Audit[[#This Row],[Audit Winning Candidate]]-Audit[[#This Row],[Audit Losing Candidate]]))/(Audit[[#Totals],[Winning Candidate]]-Audit[[#Totals],[Losing Candidate]]),
      0
)</f>
        <v>0</v>
      </c>
      <c r="AD1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 s="111">
        <f>IF(Audit[[#This Row],[Max Relative Error (ep)]] = 0, 0, Audit[[#This Row],[Max Relative Error (ep)]]/Audit[[#This Row],[Error Bound (up) - Max. possible relative overstatement]])</f>
        <v>0</v>
      </c>
      <c r="AJ1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8" s="111">
        <f t="shared" si="2"/>
        <v>1</v>
      </c>
      <c r="AL188" s="111">
        <f>PRODUCT($AK$5:AK188)</f>
        <v>8.962823818226312E-2</v>
      </c>
      <c r="AM188" s="109">
        <f>1 - [K-M P Value]</f>
        <v>0.91037176181773694</v>
      </c>
      <c r="AN188" s="111" t="str">
        <f>IF(Audit[[#This Row],[K-M P Value]]&gt;1-'General Info'!$B$16,"Continue", "Stop")</f>
        <v>Stop</v>
      </c>
      <c r="AO188" s="110" t="b">
        <f>IF(Audit[[#This Row],[Status - Continue or stop audit]] = "Continue", TRUE, IF(AN187 = "Continue", TRUE, FALSE))</f>
        <v>0</v>
      </c>
      <c r="AP188" s="110"/>
    </row>
    <row r="189" spans="1:42" ht="15" hidden="1" customHeight="1">
      <c r="A189" s="111" t="str">
        <f>'Sampling Data'!W179</f>
        <v/>
      </c>
      <c r="B189" s="112" t="str">
        <f>'Sampling Data'!A179</f>
        <v>BROADVIEW HEIGHTS -04-B</v>
      </c>
      <c r="C189" s="112">
        <f>'Sampling Data'!B179</f>
        <v>7</v>
      </c>
      <c r="D189" s="112">
        <f>'Sampling Data'!C179</f>
        <v>9</v>
      </c>
      <c r="E189" s="113">
        <f>'Sampling Data'!D179</f>
        <v>0</v>
      </c>
      <c r="F189" s="113">
        <f>'Sampling Data'!E179</f>
        <v>8</v>
      </c>
      <c r="G189" s="113">
        <f>'Sampling Data'!F179</f>
        <v>0</v>
      </c>
      <c r="H189" s="113">
        <f>'Sampling Data'!G179</f>
        <v>0</v>
      </c>
      <c r="I189" s="112">
        <f>'Sampling Data'!H179</f>
        <v>0</v>
      </c>
      <c r="J189" s="112">
        <f>'Sampling Data'!I179</f>
        <v>0</v>
      </c>
      <c r="K189" s="112">
        <f>'Sampling Data'!J179</f>
        <v>24</v>
      </c>
      <c r="L189" s="111">
        <f>'Sampling Data'!X179</f>
        <v>0</v>
      </c>
      <c r="M189" s="114"/>
      <c r="N189" s="114"/>
      <c r="O189" s="115"/>
      <c r="P189" s="115"/>
      <c r="Q189" s="116"/>
      <c r="R189" s="116"/>
      <c r="S189" s="111">
        <f>Audit[[#This Row],[Audit Losing Candidate]]-Audit[[#This Row],[Losing Candidate]]</f>
        <v>-7</v>
      </c>
      <c r="T189" s="111">
        <f>Audit[[#This Row],[Audit Winning Candidate]]-Audit[[#This Row],[Winning Candidate]]</f>
        <v>-9</v>
      </c>
      <c r="U189" s="111">
        <f>Audit[[#This Row],[Audit Candidate 3]]-Audit[[#This Row],[Candidate 3]]</f>
        <v>0</v>
      </c>
      <c r="V189" s="111">
        <f>Audit[[#This Row],[Audit Candidate 4]]-Audit[[#This Row],[Candidate 4]]</f>
        <v>-8</v>
      </c>
      <c r="W189" s="111">
        <f>Audit[[#This Row],[Audit Candidate 5]]-Audit[[#This Row],[Candidate 5]]</f>
        <v>0</v>
      </c>
      <c r="X189" s="111">
        <f>Audit[[#This Row],[Audit Candidate 6]]-Audit[[#This Row],[Candidate 6]]</f>
        <v>0</v>
      </c>
      <c r="Y189" s="111">
        <f>SUMIF(Audit[[#This Row],[Difference Loser]:[Difference Candidate 6]], "&gt;0")</f>
        <v>0</v>
      </c>
      <c r="Z189" s="111">
        <f>SUM(Audit[[#This Row],[Difference Loser]:[Difference Candidate 6]])</f>
        <v>-24</v>
      </c>
      <c r="AA189" s="111">
        <f>IF(Audit[[#This Row],[Times p Drawn - With Replacement]]&gt;0, IF(Audit[[#This Row],[Canceled Differences]]&lt;0, Audit[[#This Row],[Max Differences]]+ABS(Audit[[#This Row],[Canceled Differences]]), Audit[[#This Row],[Max Differences]]), 0)</f>
        <v>0</v>
      </c>
      <c r="AB189" s="111">
        <f>'Sampling Data'!P179</f>
        <v>1.5923566878980893E-3</v>
      </c>
      <c r="AC189" s="111">
        <f>IF(
      SUM(Audit[[#This Row],[Audit Losing Candidate]:[Audit Candidate 6]])
      &lt;&gt;0,
      (Audit[[#This Row],[Winning Candidate]]-Audit[[#This Row],[Losing Candidate]]-(Audit[[#This Row],[Audit Winning Candidate]]-Audit[[#This Row],[Audit Losing Candidate]]))/(Audit[[#Totals],[Winning Candidate]]-Audit[[#Totals],[Losing Candidate]]),
      0
)</f>
        <v>0</v>
      </c>
      <c r="AD1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 s="111">
        <f>IF(Audit[[#This Row],[Max Relative Error (ep)]] = 0, 0, Audit[[#This Row],[Max Relative Error (ep)]]/Audit[[#This Row],[Error Bound (up) - Max. possible relative overstatement]])</f>
        <v>0</v>
      </c>
      <c r="AJ1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9" s="111">
        <f t="shared" si="2"/>
        <v>1</v>
      </c>
      <c r="AL189" s="111">
        <f>PRODUCT($AK$5:AK189)</f>
        <v>8.962823818226312E-2</v>
      </c>
      <c r="AM189" s="109">
        <f>1 - [K-M P Value]</f>
        <v>0.91037176181773694</v>
      </c>
      <c r="AN189" s="111" t="str">
        <f>IF(Audit[[#This Row],[K-M P Value]]&gt;1-'General Info'!$B$16,"Continue", "Stop")</f>
        <v>Stop</v>
      </c>
      <c r="AO189" s="110" t="b">
        <f>IF(Audit[[#This Row],[Status - Continue or stop audit]] = "Continue", TRUE, IF(AN188 = "Continue", TRUE, FALSE))</f>
        <v>0</v>
      </c>
      <c r="AP189" s="110"/>
    </row>
    <row r="190" spans="1:42" ht="15" hidden="1" customHeight="1">
      <c r="A190" s="111" t="str">
        <f>'Sampling Data'!W180</f>
        <v/>
      </c>
      <c r="B190" s="112" t="str">
        <f>'Sampling Data'!A180</f>
        <v>BROADVIEW HEIGHTS -04-B - ABS</v>
      </c>
      <c r="C190" s="112">
        <f>'Sampling Data'!B180</f>
        <v>2</v>
      </c>
      <c r="D190" s="112">
        <f>'Sampling Data'!C180</f>
        <v>2</v>
      </c>
      <c r="E190" s="113">
        <f>'Sampling Data'!D180</f>
        <v>1</v>
      </c>
      <c r="F190" s="113">
        <f>'Sampling Data'!E180</f>
        <v>0</v>
      </c>
      <c r="G190" s="113">
        <f>'Sampling Data'!F180</f>
        <v>0</v>
      </c>
      <c r="H190" s="113">
        <f>'Sampling Data'!G180</f>
        <v>0</v>
      </c>
      <c r="I190" s="112">
        <f>'Sampling Data'!H180</f>
        <v>0</v>
      </c>
      <c r="J190" s="112">
        <f>'Sampling Data'!I180</f>
        <v>0</v>
      </c>
      <c r="K190" s="112">
        <f>'Sampling Data'!J180</f>
        <v>5</v>
      </c>
      <c r="L190" s="111">
        <f>'Sampling Data'!X180</f>
        <v>0</v>
      </c>
      <c r="M190" s="114"/>
      <c r="N190" s="114"/>
      <c r="O190" s="115"/>
      <c r="P190" s="115"/>
      <c r="Q190" s="116"/>
      <c r="R190" s="116"/>
      <c r="S190" s="111">
        <f>Audit[[#This Row],[Audit Losing Candidate]]-Audit[[#This Row],[Losing Candidate]]</f>
        <v>-2</v>
      </c>
      <c r="T190" s="111">
        <f>Audit[[#This Row],[Audit Winning Candidate]]-Audit[[#This Row],[Winning Candidate]]</f>
        <v>-2</v>
      </c>
      <c r="U190" s="111">
        <f>Audit[[#This Row],[Audit Candidate 3]]-Audit[[#This Row],[Candidate 3]]</f>
        <v>-1</v>
      </c>
      <c r="V190" s="111">
        <f>Audit[[#This Row],[Audit Candidate 4]]-Audit[[#This Row],[Candidate 4]]</f>
        <v>0</v>
      </c>
      <c r="W190" s="111">
        <f>Audit[[#This Row],[Audit Candidate 5]]-Audit[[#This Row],[Candidate 5]]</f>
        <v>0</v>
      </c>
      <c r="X190" s="111">
        <f>Audit[[#This Row],[Audit Candidate 6]]-Audit[[#This Row],[Candidate 6]]</f>
        <v>0</v>
      </c>
      <c r="Y190" s="111">
        <f>SUMIF(Audit[[#This Row],[Difference Loser]:[Difference Candidate 6]], "&gt;0")</f>
        <v>0</v>
      </c>
      <c r="Z190" s="111">
        <f>SUM(Audit[[#This Row],[Difference Loser]:[Difference Candidate 6]])</f>
        <v>-5</v>
      </c>
      <c r="AA190" s="111">
        <f>IF(Audit[[#This Row],[Times p Drawn - With Replacement]]&gt;0, IF(Audit[[#This Row],[Canceled Differences]]&lt;0, Audit[[#This Row],[Max Differences]]+ABS(Audit[[#This Row],[Canceled Differences]]), Audit[[#This Row],[Max Differences]]), 0)</f>
        <v>0</v>
      </c>
      <c r="AB190" s="111">
        <f>'Sampling Data'!P180</f>
        <v>3.0622243998040176E-4</v>
      </c>
      <c r="AC190" s="111">
        <f>IF(
      SUM(Audit[[#This Row],[Audit Losing Candidate]:[Audit Candidate 6]])
      &lt;&gt;0,
      (Audit[[#This Row],[Winning Candidate]]-Audit[[#This Row],[Losing Candidate]]-(Audit[[#This Row],[Audit Winning Candidate]]-Audit[[#This Row],[Audit Losing Candidate]]))/(Audit[[#Totals],[Winning Candidate]]-Audit[[#Totals],[Losing Candidate]]),
      0
)</f>
        <v>0</v>
      </c>
      <c r="AD1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 s="111">
        <f>IF(Audit[[#This Row],[Max Relative Error (ep)]] = 0, 0, Audit[[#This Row],[Max Relative Error (ep)]]/Audit[[#This Row],[Error Bound (up) - Max. possible relative overstatement]])</f>
        <v>0</v>
      </c>
      <c r="AJ1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0" s="111">
        <f t="shared" si="2"/>
        <v>1</v>
      </c>
      <c r="AL190" s="111">
        <f>PRODUCT($AK$5:AK190)</f>
        <v>8.962823818226312E-2</v>
      </c>
      <c r="AM190" s="109">
        <f>1 - [K-M P Value]</f>
        <v>0.91037176181773694</v>
      </c>
      <c r="AN190" s="111" t="str">
        <f>IF(Audit[[#This Row],[K-M P Value]]&gt;1-'General Info'!$B$16,"Continue", "Stop")</f>
        <v>Stop</v>
      </c>
      <c r="AO190" s="110" t="b">
        <f>IF(Audit[[#This Row],[Status - Continue or stop audit]] = "Continue", TRUE, IF(AN189 = "Continue", TRUE, FALSE))</f>
        <v>0</v>
      </c>
      <c r="AP190" s="110"/>
    </row>
    <row r="191" spans="1:42" ht="15" hidden="1" customHeight="1">
      <c r="A191" s="111" t="str">
        <f>'Sampling Data'!W181</f>
        <v/>
      </c>
      <c r="B191" s="112" t="str">
        <f>'Sampling Data'!A181</f>
        <v>BROADVIEW HEIGHTS -04-C</v>
      </c>
      <c r="C191" s="112">
        <f>'Sampling Data'!B181</f>
        <v>26</v>
      </c>
      <c r="D191" s="112">
        <f>'Sampling Data'!C181</f>
        <v>38</v>
      </c>
      <c r="E191" s="113">
        <f>'Sampling Data'!D181</f>
        <v>2</v>
      </c>
      <c r="F191" s="113">
        <f>'Sampling Data'!E181</f>
        <v>14</v>
      </c>
      <c r="G191" s="113">
        <f>'Sampling Data'!F181</f>
        <v>0</v>
      </c>
      <c r="H191" s="113">
        <f>'Sampling Data'!G181</f>
        <v>0</v>
      </c>
      <c r="I191" s="112">
        <f>'Sampling Data'!H181</f>
        <v>0</v>
      </c>
      <c r="J191" s="112">
        <f>'Sampling Data'!I181</f>
        <v>1</v>
      </c>
      <c r="K191" s="112">
        <f>'Sampling Data'!J181</f>
        <v>81</v>
      </c>
      <c r="L191" s="111">
        <f>'Sampling Data'!X181</f>
        <v>0</v>
      </c>
      <c r="M191" s="114"/>
      <c r="N191" s="114"/>
      <c r="O191" s="115"/>
      <c r="P191" s="115"/>
      <c r="Q191" s="116"/>
      <c r="R191" s="116"/>
      <c r="S191" s="111">
        <f>Audit[[#This Row],[Audit Losing Candidate]]-Audit[[#This Row],[Losing Candidate]]</f>
        <v>-26</v>
      </c>
      <c r="T191" s="111">
        <f>Audit[[#This Row],[Audit Winning Candidate]]-Audit[[#This Row],[Winning Candidate]]</f>
        <v>-38</v>
      </c>
      <c r="U191" s="111">
        <f>Audit[[#This Row],[Audit Candidate 3]]-Audit[[#This Row],[Candidate 3]]</f>
        <v>-2</v>
      </c>
      <c r="V191" s="111">
        <f>Audit[[#This Row],[Audit Candidate 4]]-Audit[[#This Row],[Candidate 4]]</f>
        <v>-14</v>
      </c>
      <c r="W191" s="111">
        <f>Audit[[#This Row],[Audit Candidate 5]]-Audit[[#This Row],[Candidate 5]]</f>
        <v>0</v>
      </c>
      <c r="X191" s="111">
        <f>Audit[[#This Row],[Audit Candidate 6]]-Audit[[#This Row],[Candidate 6]]</f>
        <v>0</v>
      </c>
      <c r="Y191" s="111">
        <f>SUMIF(Audit[[#This Row],[Difference Loser]:[Difference Candidate 6]], "&gt;0")</f>
        <v>0</v>
      </c>
      <c r="Z191" s="111">
        <f>SUM(Audit[[#This Row],[Difference Loser]:[Difference Candidate 6]])</f>
        <v>-80</v>
      </c>
      <c r="AA191" s="111">
        <f>IF(Audit[[#This Row],[Times p Drawn - With Replacement]]&gt;0, IF(Audit[[#This Row],[Canceled Differences]]&lt;0, Audit[[#This Row],[Max Differences]]+ABS(Audit[[#This Row],[Canceled Differences]]), Audit[[#This Row],[Max Differences]]), 0)</f>
        <v>0</v>
      </c>
      <c r="AB191" s="111">
        <f>'Sampling Data'!P181</f>
        <v>5.6957373836354725E-3</v>
      </c>
      <c r="AC191" s="111">
        <f>IF(
      SUM(Audit[[#This Row],[Audit Losing Candidate]:[Audit Candidate 6]])
      &lt;&gt;0,
      (Audit[[#This Row],[Winning Candidate]]-Audit[[#This Row],[Losing Candidate]]-(Audit[[#This Row],[Audit Winning Candidate]]-Audit[[#This Row],[Audit Losing Candidate]]))/(Audit[[#Totals],[Winning Candidate]]-Audit[[#Totals],[Losing Candidate]]),
      0
)</f>
        <v>0</v>
      </c>
      <c r="AD1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 s="111">
        <f>IF(Audit[[#This Row],[Max Relative Error (ep)]] = 0, 0, Audit[[#This Row],[Max Relative Error (ep)]]/Audit[[#This Row],[Error Bound (up) - Max. possible relative overstatement]])</f>
        <v>0</v>
      </c>
      <c r="AJ1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1" s="111">
        <f t="shared" si="2"/>
        <v>1</v>
      </c>
      <c r="AL191" s="111">
        <f>PRODUCT($AK$5:AK191)</f>
        <v>8.962823818226312E-2</v>
      </c>
      <c r="AM191" s="109">
        <f>1 - [K-M P Value]</f>
        <v>0.91037176181773694</v>
      </c>
      <c r="AN191" s="111" t="str">
        <f>IF(Audit[[#This Row],[K-M P Value]]&gt;1-'General Info'!$B$16,"Continue", "Stop")</f>
        <v>Stop</v>
      </c>
      <c r="AO191" s="110" t="b">
        <f>IF(Audit[[#This Row],[Status - Continue or stop audit]] = "Continue", TRUE, IF(AN190 = "Continue", TRUE, FALSE))</f>
        <v>0</v>
      </c>
      <c r="AP191" s="110"/>
    </row>
    <row r="192" spans="1:42" ht="15" hidden="1" customHeight="1">
      <c r="A192" s="111" t="str">
        <f>'Sampling Data'!W182</f>
        <v/>
      </c>
      <c r="B192" s="112" t="str">
        <f>'Sampling Data'!A182</f>
        <v>BROADVIEW HEIGHTS -04-C - ABS</v>
      </c>
      <c r="C192" s="112">
        <f>'Sampling Data'!B182</f>
        <v>9</v>
      </c>
      <c r="D192" s="112">
        <f>'Sampling Data'!C182</f>
        <v>31</v>
      </c>
      <c r="E192" s="113">
        <f>'Sampling Data'!D182</f>
        <v>8</v>
      </c>
      <c r="F192" s="113">
        <f>'Sampling Data'!E182</f>
        <v>6</v>
      </c>
      <c r="G192" s="113">
        <f>'Sampling Data'!F182</f>
        <v>0</v>
      </c>
      <c r="H192" s="113">
        <f>'Sampling Data'!G182</f>
        <v>0</v>
      </c>
      <c r="I192" s="112">
        <f>'Sampling Data'!H182</f>
        <v>0</v>
      </c>
      <c r="J192" s="112">
        <f>'Sampling Data'!I182</f>
        <v>0</v>
      </c>
      <c r="K192" s="112">
        <f>'Sampling Data'!J182</f>
        <v>54</v>
      </c>
      <c r="L192" s="111">
        <f>'Sampling Data'!X182</f>
        <v>0</v>
      </c>
      <c r="M192" s="114"/>
      <c r="N192" s="114"/>
      <c r="O192" s="115"/>
      <c r="P192" s="115"/>
      <c r="Q192" s="116"/>
      <c r="R192" s="116"/>
      <c r="S192" s="111">
        <f>Audit[[#This Row],[Audit Losing Candidate]]-Audit[[#This Row],[Losing Candidate]]</f>
        <v>-9</v>
      </c>
      <c r="T192" s="111">
        <f>Audit[[#This Row],[Audit Winning Candidate]]-Audit[[#This Row],[Winning Candidate]]</f>
        <v>-31</v>
      </c>
      <c r="U192" s="111">
        <f>Audit[[#This Row],[Audit Candidate 3]]-Audit[[#This Row],[Candidate 3]]</f>
        <v>-8</v>
      </c>
      <c r="V192" s="111">
        <f>Audit[[#This Row],[Audit Candidate 4]]-Audit[[#This Row],[Candidate 4]]</f>
        <v>-6</v>
      </c>
      <c r="W192" s="111">
        <f>Audit[[#This Row],[Audit Candidate 5]]-Audit[[#This Row],[Candidate 5]]</f>
        <v>0</v>
      </c>
      <c r="X192" s="111">
        <f>Audit[[#This Row],[Audit Candidate 6]]-Audit[[#This Row],[Candidate 6]]</f>
        <v>0</v>
      </c>
      <c r="Y192" s="111">
        <f>SUMIF(Audit[[#This Row],[Difference Loser]:[Difference Candidate 6]], "&gt;0")</f>
        <v>0</v>
      </c>
      <c r="Z192" s="111">
        <f>SUM(Audit[[#This Row],[Difference Loser]:[Difference Candidate 6]])</f>
        <v>-54</v>
      </c>
      <c r="AA192" s="111">
        <f>IF(Audit[[#This Row],[Times p Drawn - With Replacement]]&gt;0, IF(Audit[[#This Row],[Canceled Differences]]&lt;0, Audit[[#This Row],[Max Differences]]+ABS(Audit[[#This Row],[Canceled Differences]]), Audit[[#This Row],[Max Differences]]), 0)</f>
        <v>0</v>
      </c>
      <c r="AB192" s="111">
        <f>'Sampling Data'!P182</f>
        <v>4.6545810877021065E-3</v>
      </c>
      <c r="AC192" s="111">
        <f>IF(
      SUM(Audit[[#This Row],[Audit Losing Candidate]:[Audit Candidate 6]])
      &lt;&gt;0,
      (Audit[[#This Row],[Winning Candidate]]-Audit[[#This Row],[Losing Candidate]]-(Audit[[#This Row],[Audit Winning Candidate]]-Audit[[#This Row],[Audit Losing Candidate]]))/(Audit[[#Totals],[Winning Candidate]]-Audit[[#Totals],[Losing Candidate]]),
      0
)</f>
        <v>0</v>
      </c>
      <c r="AD1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 s="111">
        <f>IF(Audit[[#This Row],[Max Relative Error (ep)]] = 0, 0, Audit[[#This Row],[Max Relative Error (ep)]]/Audit[[#This Row],[Error Bound (up) - Max. possible relative overstatement]])</f>
        <v>0</v>
      </c>
      <c r="AJ1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2" s="111">
        <f t="shared" si="2"/>
        <v>1</v>
      </c>
      <c r="AL192" s="111">
        <f>PRODUCT($AK$5:AK192)</f>
        <v>8.962823818226312E-2</v>
      </c>
      <c r="AM192" s="109">
        <f>1 - [K-M P Value]</f>
        <v>0.91037176181773694</v>
      </c>
      <c r="AN192" s="111" t="str">
        <f>IF(Audit[[#This Row],[K-M P Value]]&gt;1-'General Info'!$B$16,"Continue", "Stop")</f>
        <v>Stop</v>
      </c>
      <c r="AO192" s="110" t="b">
        <f>IF(Audit[[#This Row],[Status - Continue or stop audit]] = "Continue", TRUE, IF(AN191 = "Continue", TRUE, FALSE))</f>
        <v>0</v>
      </c>
      <c r="AP192" s="110"/>
    </row>
    <row r="193" spans="1:42" ht="15" hidden="1" customHeight="1">
      <c r="A193" s="111" t="str">
        <f>'Sampling Data'!W183</f>
        <v/>
      </c>
      <c r="B193" s="112" t="str">
        <f>'Sampling Data'!A183</f>
        <v>BROADVIEW HEIGHTS -04-D</v>
      </c>
      <c r="C193" s="112">
        <f>'Sampling Data'!B183</f>
        <v>46</v>
      </c>
      <c r="D193" s="112">
        <f>'Sampling Data'!C183</f>
        <v>63</v>
      </c>
      <c r="E193" s="113">
        <f>'Sampling Data'!D183</f>
        <v>21</v>
      </c>
      <c r="F193" s="113">
        <f>'Sampling Data'!E183</f>
        <v>6</v>
      </c>
      <c r="G193" s="113">
        <f>'Sampling Data'!F183</f>
        <v>1</v>
      </c>
      <c r="H193" s="113">
        <f>'Sampling Data'!G183</f>
        <v>0</v>
      </c>
      <c r="I193" s="112">
        <f>'Sampling Data'!H183</f>
        <v>0</v>
      </c>
      <c r="J193" s="112">
        <f>'Sampling Data'!I183</f>
        <v>0</v>
      </c>
      <c r="K193" s="112">
        <f>'Sampling Data'!J183</f>
        <v>137</v>
      </c>
      <c r="L193" s="111">
        <f>'Sampling Data'!X183</f>
        <v>0</v>
      </c>
      <c r="M193" s="114"/>
      <c r="N193" s="114"/>
      <c r="O193" s="115"/>
      <c r="P193" s="115"/>
      <c r="Q193" s="116"/>
      <c r="R193" s="116"/>
      <c r="S193" s="111">
        <f>Audit[[#This Row],[Audit Losing Candidate]]-Audit[[#This Row],[Losing Candidate]]</f>
        <v>-46</v>
      </c>
      <c r="T193" s="111">
        <f>Audit[[#This Row],[Audit Winning Candidate]]-Audit[[#This Row],[Winning Candidate]]</f>
        <v>-63</v>
      </c>
      <c r="U193" s="111">
        <f>Audit[[#This Row],[Audit Candidate 3]]-Audit[[#This Row],[Candidate 3]]</f>
        <v>-21</v>
      </c>
      <c r="V193" s="111">
        <f>Audit[[#This Row],[Audit Candidate 4]]-Audit[[#This Row],[Candidate 4]]</f>
        <v>-6</v>
      </c>
      <c r="W193" s="111">
        <f>Audit[[#This Row],[Audit Candidate 5]]-Audit[[#This Row],[Candidate 5]]</f>
        <v>-1</v>
      </c>
      <c r="X193" s="111">
        <f>Audit[[#This Row],[Audit Candidate 6]]-Audit[[#This Row],[Candidate 6]]</f>
        <v>0</v>
      </c>
      <c r="Y193" s="111">
        <f>SUMIF(Audit[[#This Row],[Difference Loser]:[Difference Candidate 6]], "&gt;0")</f>
        <v>0</v>
      </c>
      <c r="Z193" s="111">
        <f>SUM(Audit[[#This Row],[Difference Loser]:[Difference Candidate 6]])</f>
        <v>-137</v>
      </c>
      <c r="AA193" s="111">
        <f>IF(Audit[[#This Row],[Times p Drawn - With Replacement]]&gt;0, IF(Audit[[#This Row],[Canceled Differences]]&lt;0, Audit[[#This Row],[Max Differences]]+ABS(Audit[[#This Row],[Canceled Differences]]), Audit[[#This Row],[Max Differences]]), 0)</f>
        <v>0</v>
      </c>
      <c r="AB193" s="111">
        <f>'Sampling Data'!P183</f>
        <v>9.4316511513963738E-3</v>
      </c>
      <c r="AC193" s="111">
        <f>IF(
      SUM(Audit[[#This Row],[Audit Losing Candidate]:[Audit Candidate 6]])
      &lt;&gt;0,
      (Audit[[#This Row],[Winning Candidate]]-Audit[[#This Row],[Losing Candidate]]-(Audit[[#This Row],[Audit Winning Candidate]]-Audit[[#This Row],[Audit Losing Candidate]]))/(Audit[[#Totals],[Winning Candidate]]-Audit[[#Totals],[Losing Candidate]]),
      0
)</f>
        <v>0</v>
      </c>
      <c r="AD1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 s="111">
        <f>IF(Audit[[#This Row],[Max Relative Error (ep)]] = 0, 0, Audit[[#This Row],[Max Relative Error (ep)]]/Audit[[#This Row],[Error Bound (up) - Max. possible relative overstatement]])</f>
        <v>0</v>
      </c>
      <c r="AJ1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3" s="111">
        <f t="shared" si="2"/>
        <v>1</v>
      </c>
      <c r="AL193" s="111">
        <f>PRODUCT($AK$5:AK193)</f>
        <v>8.962823818226312E-2</v>
      </c>
      <c r="AM193" s="109">
        <f>1 - [K-M P Value]</f>
        <v>0.91037176181773694</v>
      </c>
      <c r="AN193" s="111" t="str">
        <f>IF(Audit[[#This Row],[K-M P Value]]&gt;1-'General Info'!$B$16,"Continue", "Stop")</f>
        <v>Stop</v>
      </c>
      <c r="AO193" s="110" t="b">
        <f>IF(Audit[[#This Row],[Status - Continue or stop audit]] = "Continue", TRUE, IF(AN192 = "Continue", TRUE, FALSE))</f>
        <v>0</v>
      </c>
      <c r="AP193" s="110"/>
    </row>
    <row r="194" spans="1:42" ht="15" hidden="1" customHeight="1">
      <c r="A194" s="111" t="str">
        <f>'Sampling Data'!W184</f>
        <v/>
      </c>
      <c r="B194" s="112" t="str">
        <f>'Sampling Data'!A184</f>
        <v>BROADVIEW HEIGHTS -04-D - ABS</v>
      </c>
      <c r="C194" s="112">
        <f>'Sampling Data'!B184</f>
        <v>22</v>
      </c>
      <c r="D194" s="112">
        <f>'Sampling Data'!C184</f>
        <v>39</v>
      </c>
      <c r="E194" s="113">
        <f>'Sampling Data'!D184</f>
        <v>20</v>
      </c>
      <c r="F194" s="113">
        <f>'Sampling Data'!E184</f>
        <v>2</v>
      </c>
      <c r="G194" s="113">
        <f>'Sampling Data'!F184</f>
        <v>0</v>
      </c>
      <c r="H194" s="113">
        <f>'Sampling Data'!G184</f>
        <v>0</v>
      </c>
      <c r="I194" s="112">
        <f>'Sampling Data'!H184</f>
        <v>0</v>
      </c>
      <c r="J194" s="112">
        <f>'Sampling Data'!I184</f>
        <v>0</v>
      </c>
      <c r="K194" s="112">
        <f>'Sampling Data'!J184</f>
        <v>83</v>
      </c>
      <c r="L194" s="111">
        <f>'Sampling Data'!X184</f>
        <v>0</v>
      </c>
      <c r="M194" s="114"/>
      <c r="N194" s="114"/>
      <c r="O194" s="115"/>
      <c r="P194" s="115"/>
      <c r="Q194" s="116"/>
      <c r="R194" s="116"/>
      <c r="S194" s="111">
        <f>Audit[[#This Row],[Audit Losing Candidate]]-Audit[[#This Row],[Losing Candidate]]</f>
        <v>-22</v>
      </c>
      <c r="T194" s="111">
        <f>Audit[[#This Row],[Audit Winning Candidate]]-Audit[[#This Row],[Winning Candidate]]</f>
        <v>-39</v>
      </c>
      <c r="U194" s="111">
        <f>Audit[[#This Row],[Audit Candidate 3]]-Audit[[#This Row],[Candidate 3]]</f>
        <v>-20</v>
      </c>
      <c r="V194" s="111">
        <f>Audit[[#This Row],[Audit Candidate 4]]-Audit[[#This Row],[Candidate 4]]</f>
        <v>-2</v>
      </c>
      <c r="W194" s="111">
        <f>Audit[[#This Row],[Audit Candidate 5]]-Audit[[#This Row],[Candidate 5]]</f>
        <v>0</v>
      </c>
      <c r="X194" s="111">
        <f>Audit[[#This Row],[Audit Candidate 6]]-Audit[[#This Row],[Candidate 6]]</f>
        <v>0</v>
      </c>
      <c r="Y194" s="111">
        <f>SUMIF(Audit[[#This Row],[Difference Loser]:[Difference Candidate 6]], "&gt;0")</f>
        <v>0</v>
      </c>
      <c r="Z194" s="111">
        <f>SUM(Audit[[#This Row],[Difference Loser]:[Difference Candidate 6]])</f>
        <v>-83</v>
      </c>
      <c r="AA194" s="111">
        <f>IF(Audit[[#This Row],[Times p Drawn - With Replacement]]&gt;0, IF(Audit[[#This Row],[Canceled Differences]]&lt;0, Audit[[#This Row],[Max Differences]]+ABS(Audit[[#This Row],[Canceled Differences]]), Audit[[#This Row],[Max Differences]]), 0)</f>
        <v>0</v>
      </c>
      <c r="AB194" s="111">
        <f>'Sampling Data'!P184</f>
        <v>6.1244487996080354E-3</v>
      </c>
      <c r="AC194" s="111">
        <f>IF(
      SUM(Audit[[#This Row],[Audit Losing Candidate]:[Audit Candidate 6]])
      &lt;&gt;0,
      (Audit[[#This Row],[Winning Candidate]]-Audit[[#This Row],[Losing Candidate]]-(Audit[[#This Row],[Audit Winning Candidate]]-Audit[[#This Row],[Audit Losing Candidate]]))/(Audit[[#Totals],[Winning Candidate]]-Audit[[#Totals],[Losing Candidate]]),
      0
)</f>
        <v>0</v>
      </c>
      <c r="AD1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 s="111">
        <f>IF(Audit[[#This Row],[Max Relative Error (ep)]] = 0, 0, Audit[[#This Row],[Max Relative Error (ep)]]/Audit[[#This Row],[Error Bound (up) - Max. possible relative overstatement]])</f>
        <v>0</v>
      </c>
      <c r="AJ1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4" s="111">
        <f t="shared" si="2"/>
        <v>1</v>
      </c>
      <c r="AL194" s="111">
        <f>PRODUCT($AK$5:AK194)</f>
        <v>8.962823818226312E-2</v>
      </c>
      <c r="AM194" s="109">
        <f>1 - [K-M P Value]</f>
        <v>0.91037176181773694</v>
      </c>
      <c r="AN194" s="111" t="str">
        <f>IF(Audit[[#This Row],[K-M P Value]]&gt;1-'General Info'!$B$16,"Continue", "Stop")</f>
        <v>Stop</v>
      </c>
      <c r="AO194" s="110" t="b">
        <f>IF(Audit[[#This Row],[Status - Continue or stop audit]] = "Continue", TRUE, IF(AN193 = "Continue", TRUE, FALSE))</f>
        <v>0</v>
      </c>
      <c r="AP194" s="110"/>
    </row>
    <row r="195" spans="1:42" ht="15" hidden="1" customHeight="1">
      <c r="A195" s="111" t="str">
        <f>'Sampling Data'!W185</f>
        <v/>
      </c>
      <c r="B195" s="112" t="str">
        <f>'Sampling Data'!A185</f>
        <v>BROOK PARK -01-A</v>
      </c>
      <c r="C195" s="112">
        <f>'Sampling Data'!B185</f>
        <v>17</v>
      </c>
      <c r="D195" s="112">
        <f>'Sampling Data'!C185</f>
        <v>41</v>
      </c>
      <c r="E195" s="113">
        <f>'Sampling Data'!D185</f>
        <v>6</v>
      </c>
      <c r="F195" s="113">
        <f>'Sampling Data'!E185</f>
        <v>7</v>
      </c>
      <c r="G195" s="113">
        <f>'Sampling Data'!F185</f>
        <v>0</v>
      </c>
      <c r="H195" s="113">
        <f>'Sampling Data'!G185</f>
        <v>1</v>
      </c>
      <c r="I195" s="112">
        <f>'Sampling Data'!H185</f>
        <v>0</v>
      </c>
      <c r="J195" s="112">
        <f>'Sampling Data'!I185</f>
        <v>0</v>
      </c>
      <c r="K195" s="112">
        <f>'Sampling Data'!J185</f>
        <v>72</v>
      </c>
      <c r="L195" s="111">
        <f>'Sampling Data'!X185</f>
        <v>0</v>
      </c>
      <c r="M195" s="114"/>
      <c r="N195" s="114"/>
      <c r="O195" s="115"/>
      <c r="P195" s="115"/>
      <c r="Q195" s="116"/>
      <c r="R195" s="116"/>
      <c r="S195" s="111">
        <f>Audit[[#This Row],[Audit Losing Candidate]]-Audit[[#This Row],[Losing Candidate]]</f>
        <v>-17</v>
      </c>
      <c r="T195" s="111">
        <f>Audit[[#This Row],[Audit Winning Candidate]]-Audit[[#This Row],[Winning Candidate]]</f>
        <v>-41</v>
      </c>
      <c r="U195" s="111">
        <f>Audit[[#This Row],[Audit Candidate 3]]-Audit[[#This Row],[Candidate 3]]</f>
        <v>-6</v>
      </c>
      <c r="V195" s="111">
        <f>Audit[[#This Row],[Audit Candidate 4]]-Audit[[#This Row],[Candidate 4]]</f>
        <v>-7</v>
      </c>
      <c r="W195" s="111">
        <f>Audit[[#This Row],[Audit Candidate 5]]-Audit[[#This Row],[Candidate 5]]</f>
        <v>0</v>
      </c>
      <c r="X195" s="111">
        <f>Audit[[#This Row],[Audit Candidate 6]]-Audit[[#This Row],[Candidate 6]]</f>
        <v>-1</v>
      </c>
      <c r="Y195" s="111">
        <f>SUMIF(Audit[[#This Row],[Difference Loser]:[Difference Candidate 6]], "&gt;0")</f>
        <v>0</v>
      </c>
      <c r="Z195" s="111">
        <f>SUM(Audit[[#This Row],[Difference Loser]:[Difference Candidate 6]])</f>
        <v>-72</v>
      </c>
      <c r="AA195" s="111">
        <f>IF(Audit[[#This Row],[Times p Drawn - With Replacement]]&gt;0, IF(Audit[[#This Row],[Canceled Differences]]&lt;0, Audit[[#This Row],[Max Differences]]+ABS(Audit[[#This Row],[Canceled Differences]]), Audit[[#This Row],[Max Differences]]), 0)</f>
        <v>0</v>
      </c>
      <c r="AB195" s="111">
        <f>'Sampling Data'!P185</f>
        <v>5.8794708476237138E-3</v>
      </c>
      <c r="AC195" s="111">
        <f>IF(
      SUM(Audit[[#This Row],[Audit Losing Candidate]:[Audit Candidate 6]])
      &lt;&gt;0,
      (Audit[[#This Row],[Winning Candidate]]-Audit[[#This Row],[Losing Candidate]]-(Audit[[#This Row],[Audit Winning Candidate]]-Audit[[#This Row],[Audit Losing Candidate]]))/(Audit[[#Totals],[Winning Candidate]]-Audit[[#Totals],[Losing Candidate]]),
      0
)</f>
        <v>0</v>
      </c>
      <c r="AD1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 s="111">
        <f>IF(Audit[[#This Row],[Max Relative Error (ep)]] = 0, 0, Audit[[#This Row],[Max Relative Error (ep)]]/Audit[[#This Row],[Error Bound (up) - Max. possible relative overstatement]])</f>
        <v>0</v>
      </c>
      <c r="AJ1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5" s="111">
        <f t="shared" si="2"/>
        <v>1</v>
      </c>
      <c r="AL195" s="111">
        <f>PRODUCT($AK$5:AK195)</f>
        <v>8.962823818226312E-2</v>
      </c>
      <c r="AM195" s="109">
        <f>1 - [K-M P Value]</f>
        <v>0.91037176181773694</v>
      </c>
      <c r="AN195" s="111" t="str">
        <f>IF(Audit[[#This Row],[K-M P Value]]&gt;1-'General Info'!$B$16,"Continue", "Stop")</f>
        <v>Stop</v>
      </c>
      <c r="AO195" s="110" t="b">
        <f>IF(Audit[[#This Row],[Status - Continue or stop audit]] = "Continue", TRUE, IF(AN194 = "Continue", TRUE, FALSE))</f>
        <v>0</v>
      </c>
      <c r="AP195" s="110"/>
    </row>
    <row r="196" spans="1:42" ht="15" hidden="1" customHeight="1">
      <c r="A196" s="111" t="str">
        <f>'Sampling Data'!W186</f>
        <v/>
      </c>
      <c r="B196" s="112" t="str">
        <f>'Sampling Data'!A186</f>
        <v>BROOK PARK -01-A - ABS</v>
      </c>
      <c r="C196" s="112">
        <f>'Sampling Data'!B186</f>
        <v>8</v>
      </c>
      <c r="D196" s="112">
        <f>'Sampling Data'!C186</f>
        <v>10</v>
      </c>
      <c r="E196" s="113">
        <f>'Sampling Data'!D186</f>
        <v>3</v>
      </c>
      <c r="F196" s="113">
        <f>'Sampling Data'!E186</f>
        <v>0</v>
      </c>
      <c r="G196" s="113">
        <f>'Sampling Data'!F186</f>
        <v>0</v>
      </c>
      <c r="H196" s="113">
        <f>'Sampling Data'!G186</f>
        <v>0</v>
      </c>
      <c r="I196" s="112">
        <f>'Sampling Data'!H186</f>
        <v>0</v>
      </c>
      <c r="J196" s="112">
        <f>'Sampling Data'!I186</f>
        <v>0</v>
      </c>
      <c r="K196" s="112">
        <f>'Sampling Data'!J186</f>
        <v>21</v>
      </c>
      <c r="L196" s="111">
        <f>'Sampling Data'!X186</f>
        <v>0</v>
      </c>
      <c r="M196" s="114"/>
      <c r="N196" s="114"/>
      <c r="O196" s="115"/>
      <c r="P196" s="115"/>
      <c r="Q196" s="116"/>
      <c r="R196" s="116"/>
      <c r="S196" s="111">
        <f>Audit[[#This Row],[Audit Losing Candidate]]-Audit[[#This Row],[Losing Candidate]]</f>
        <v>-8</v>
      </c>
      <c r="T196" s="111">
        <f>Audit[[#This Row],[Audit Winning Candidate]]-Audit[[#This Row],[Winning Candidate]]</f>
        <v>-10</v>
      </c>
      <c r="U196" s="111">
        <f>Audit[[#This Row],[Audit Candidate 3]]-Audit[[#This Row],[Candidate 3]]</f>
        <v>-3</v>
      </c>
      <c r="V196" s="111">
        <f>Audit[[#This Row],[Audit Candidate 4]]-Audit[[#This Row],[Candidate 4]]</f>
        <v>0</v>
      </c>
      <c r="W196" s="111">
        <f>Audit[[#This Row],[Audit Candidate 5]]-Audit[[#This Row],[Candidate 5]]</f>
        <v>0</v>
      </c>
      <c r="X196" s="111">
        <f>Audit[[#This Row],[Audit Candidate 6]]-Audit[[#This Row],[Candidate 6]]</f>
        <v>0</v>
      </c>
      <c r="Y196" s="111">
        <f>SUMIF(Audit[[#This Row],[Difference Loser]:[Difference Candidate 6]], "&gt;0")</f>
        <v>0</v>
      </c>
      <c r="Z196" s="111">
        <f>SUM(Audit[[#This Row],[Difference Loser]:[Difference Candidate 6]])</f>
        <v>-21</v>
      </c>
      <c r="AA196" s="111">
        <f>IF(Audit[[#This Row],[Times p Drawn - With Replacement]]&gt;0, IF(Audit[[#This Row],[Canceled Differences]]&lt;0, Audit[[#This Row],[Max Differences]]+ABS(Audit[[#This Row],[Canceled Differences]]), Audit[[#This Row],[Max Differences]]), 0)</f>
        <v>0</v>
      </c>
      <c r="AB196" s="111">
        <f>'Sampling Data'!P186</f>
        <v>1.408623223909848E-3</v>
      </c>
      <c r="AC196" s="111">
        <f>IF(
      SUM(Audit[[#This Row],[Audit Losing Candidate]:[Audit Candidate 6]])
      &lt;&gt;0,
      (Audit[[#This Row],[Winning Candidate]]-Audit[[#This Row],[Losing Candidate]]-(Audit[[#This Row],[Audit Winning Candidate]]-Audit[[#This Row],[Audit Losing Candidate]]))/(Audit[[#Totals],[Winning Candidate]]-Audit[[#Totals],[Losing Candidate]]),
      0
)</f>
        <v>0</v>
      </c>
      <c r="AD1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 s="111">
        <f>IF(Audit[[#This Row],[Max Relative Error (ep)]] = 0, 0, Audit[[#This Row],[Max Relative Error (ep)]]/Audit[[#This Row],[Error Bound (up) - Max. possible relative overstatement]])</f>
        <v>0</v>
      </c>
      <c r="AJ1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6" s="111">
        <f t="shared" si="2"/>
        <v>1</v>
      </c>
      <c r="AL196" s="111">
        <f>PRODUCT($AK$5:AK196)</f>
        <v>8.962823818226312E-2</v>
      </c>
      <c r="AM196" s="109">
        <f>1 - [K-M P Value]</f>
        <v>0.91037176181773694</v>
      </c>
      <c r="AN196" s="111" t="str">
        <f>IF(Audit[[#This Row],[K-M P Value]]&gt;1-'General Info'!$B$16,"Continue", "Stop")</f>
        <v>Stop</v>
      </c>
      <c r="AO196" s="110" t="b">
        <f>IF(Audit[[#This Row],[Status - Continue or stop audit]] = "Continue", TRUE, IF(AN195 = "Continue", TRUE, FALSE))</f>
        <v>0</v>
      </c>
      <c r="AP196" s="110"/>
    </row>
    <row r="197" spans="1:42" ht="15" hidden="1" customHeight="1">
      <c r="A197" s="111" t="str">
        <f>'Sampling Data'!W187</f>
        <v/>
      </c>
      <c r="B197" s="112" t="str">
        <f>'Sampling Data'!A187</f>
        <v>BROOK PARK -01-B</v>
      </c>
      <c r="C197" s="112">
        <f>'Sampling Data'!B187</f>
        <v>25</v>
      </c>
      <c r="D197" s="112">
        <f>'Sampling Data'!C187</f>
        <v>31</v>
      </c>
      <c r="E197" s="113">
        <f>'Sampling Data'!D187</f>
        <v>19</v>
      </c>
      <c r="F197" s="113">
        <f>'Sampling Data'!E187</f>
        <v>9</v>
      </c>
      <c r="G197" s="113">
        <f>'Sampling Data'!F187</f>
        <v>0</v>
      </c>
      <c r="H197" s="113">
        <f>'Sampling Data'!G187</f>
        <v>0</v>
      </c>
      <c r="I197" s="112">
        <f>'Sampling Data'!H187</f>
        <v>0</v>
      </c>
      <c r="J197" s="112">
        <f>'Sampling Data'!I187</f>
        <v>2</v>
      </c>
      <c r="K197" s="112">
        <f>'Sampling Data'!J187</f>
        <v>86</v>
      </c>
      <c r="L197" s="111">
        <f>'Sampling Data'!X187</f>
        <v>0</v>
      </c>
      <c r="M197" s="114"/>
      <c r="N197" s="114"/>
      <c r="O197" s="115"/>
      <c r="P197" s="115"/>
      <c r="Q197" s="116"/>
      <c r="R197" s="116"/>
      <c r="S197" s="111">
        <f>Audit[[#This Row],[Audit Losing Candidate]]-Audit[[#This Row],[Losing Candidate]]</f>
        <v>-25</v>
      </c>
      <c r="T197" s="111">
        <f>Audit[[#This Row],[Audit Winning Candidate]]-Audit[[#This Row],[Winning Candidate]]</f>
        <v>-31</v>
      </c>
      <c r="U197" s="111">
        <f>Audit[[#This Row],[Audit Candidate 3]]-Audit[[#This Row],[Candidate 3]]</f>
        <v>-19</v>
      </c>
      <c r="V197" s="111">
        <f>Audit[[#This Row],[Audit Candidate 4]]-Audit[[#This Row],[Candidate 4]]</f>
        <v>-9</v>
      </c>
      <c r="W197" s="111">
        <f>Audit[[#This Row],[Audit Candidate 5]]-Audit[[#This Row],[Candidate 5]]</f>
        <v>0</v>
      </c>
      <c r="X197" s="111">
        <f>Audit[[#This Row],[Audit Candidate 6]]-Audit[[#This Row],[Candidate 6]]</f>
        <v>0</v>
      </c>
      <c r="Y197" s="111">
        <f>SUMIF(Audit[[#This Row],[Difference Loser]:[Difference Candidate 6]], "&gt;0")</f>
        <v>0</v>
      </c>
      <c r="Z197" s="111">
        <f>SUM(Audit[[#This Row],[Difference Loser]:[Difference Candidate 6]])</f>
        <v>-84</v>
      </c>
      <c r="AA197" s="111">
        <f>IF(Audit[[#This Row],[Times p Drawn - With Replacement]]&gt;0, IF(Audit[[#This Row],[Canceled Differences]]&lt;0, Audit[[#This Row],[Max Differences]]+ABS(Audit[[#This Row],[Canceled Differences]]), Audit[[#This Row],[Max Differences]]), 0)</f>
        <v>0</v>
      </c>
      <c r="AB197" s="111">
        <f>'Sampling Data'!P187</f>
        <v>5.6344928956393921E-3</v>
      </c>
      <c r="AC197" s="111">
        <f>IF(
      SUM(Audit[[#This Row],[Audit Losing Candidate]:[Audit Candidate 6]])
      &lt;&gt;0,
      (Audit[[#This Row],[Winning Candidate]]-Audit[[#This Row],[Losing Candidate]]-(Audit[[#This Row],[Audit Winning Candidate]]-Audit[[#This Row],[Audit Losing Candidate]]))/(Audit[[#Totals],[Winning Candidate]]-Audit[[#Totals],[Losing Candidate]]),
      0
)</f>
        <v>0</v>
      </c>
      <c r="AD1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 s="111">
        <f>IF(Audit[[#This Row],[Max Relative Error (ep)]] = 0, 0, Audit[[#This Row],[Max Relative Error (ep)]]/Audit[[#This Row],[Error Bound (up) - Max. possible relative overstatement]])</f>
        <v>0</v>
      </c>
      <c r="AJ1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7" s="111">
        <f t="shared" ref="AK197:AK260" si="3">IF(ISERR(POWER(AJ197,L197)), 0, POWER(AJ197,L197))</f>
        <v>1</v>
      </c>
      <c r="AL197" s="111">
        <f>PRODUCT($AK$5:AK197)</f>
        <v>8.962823818226312E-2</v>
      </c>
      <c r="AM197" s="109">
        <f>1 - [K-M P Value]</f>
        <v>0.91037176181773694</v>
      </c>
      <c r="AN197" s="111" t="str">
        <f>IF(Audit[[#This Row],[K-M P Value]]&gt;1-'General Info'!$B$16,"Continue", "Stop")</f>
        <v>Stop</v>
      </c>
      <c r="AO197" s="110" t="b">
        <f>IF(Audit[[#This Row],[Status - Continue or stop audit]] = "Continue", TRUE, IF(AN196 = "Continue", TRUE, FALSE))</f>
        <v>0</v>
      </c>
      <c r="AP197" s="110"/>
    </row>
    <row r="198" spans="1:42" ht="15" hidden="1" customHeight="1">
      <c r="A198" s="111" t="str">
        <f>'Sampling Data'!W188</f>
        <v/>
      </c>
      <c r="B198" s="112" t="str">
        <f>'Sampling Data'!A188</f>
        <v>BROOK PARK -01-B - ABS</v>
      </c>
      <c r="C198" s="112">
        <f>'Sampling Data'!B188</f>
        <v>8</v>
      </c>
      <c r="D198" s="112">
        <f>'Sampling Data'!C188</f>
        <v>4</v>
      </c>
      <c r="E198" s="113">
        <f>'Sampling Data'!D188</f>
        <v>2</v>
      </c>
      <c r="F198" s="113">
        <f>'Sampling Data'!E188</f>
        <v>1</v>
      </c>
      <c r="G198" s="113">
        <f>'Sampling Data'!F188</f>
        <v>0</v>
      </c>
      <c r="H198" s="113">
        <f>'Sampling Data'!G188</f>
        <v>0</v>
      </c>
      <c r="I198" s="112">
        <f>'Sampling Data'!H188</f>
        <v>0</v>
      </c>
      <c r="J198" s="112">
        <f>'Sampling Data'!I188</f>
        <v>0</v>
      </c>
      <c r="K198" s="112">
        <f>'Sampling Data'!J188</f>
        <v>15</v>
      </c>
      <c r="L198" s="111">
        <f>'Sampling Data'!X188</f>
        <v>0</v>
      </c>
      <c r="M198" s="114"/>
      <c r="N198" s="114"/>
      <c r="O198" s="115"/>
      <c r="P198" s="115"/>
      <c r="Q198" s="116"/>
      <c r="R198" s="116"/>
      <c r="S198" s="111">
        <f>Audit[[#This Row],[Audit Losing Candidate]]-Audit[[#This Row],[Losing Candidate]]</f>
        <v>-8</v>
      </c>
      <c r="T198" s="111">
        <f>Audit[[#This Row],[Audit Winning Candidate]]-Audit[[#This Row],[Winning Candidate]]</f>
        <v>-4</v>
      </c>
      <c r="U198" s="111">
        <f>Audit[[#This Row],[Audit Candidate 3]]-Audit[[#This Row],[Candidate 3]]</f>
        <v>-2</v>
      </c>
      <c r="V198" s="111">
        <f>Audit[[#This Row],[Audit Candidate 4]]-Audit[[#This Row],[Candidate 4]]</f>
        <v>-1</v>
      </c>
      <c r="W198" s="111">
        <f>Audit[[#This Row],[Audit Candidate 5]]-Audit[[#This Row],[Candidate 5]]</f>
        <v>0</v>
      </c>
      <c r="X198" s="111">
        <f>Audit[[#This Row],[Audit Candidate 6]]-Audit[[#This Row],[Candidate 6]]</f>
        <v>0</v>
      </c>
      <c r="Y198" s="111">
        <f>SUMIF(Audit[[#This Row],[Difference Loser]:[Difference Candidate 6]], "&gt;0")</f>
        <v>0</v>
      </c>
      <c r="Z198" s="111">
        <f>SUM(Audit[[#This Row],[Difference Loser]:[Difference Candidate 6]])</f>
        <v>-15</v>
      </c>
      <c r="AA198" s="111">
        <f>IF(Audit[[#This Row],[Times p Drawn - With Replacement]]&gt;0, IF(Audit[[#This Row],[Canceled Differences]]&lt;0, Audit[[#This Row],[Max Differences]]+ABS(Audit[[#This Row],[Canceled Differences]]), Audit[[#This Row],[Max Differences]]), 0)</f>
        <v>0</v>
      </c>
      <c r="AB198" s="111">
        <f>'Sampling Data'!P188</f>
        <v>6.7368936795688392E-4</v>
      </c>
      <c r="AC198" s="111">
        <f>IF(
      SUM(Audit[[#This Row],[Audit Losing Candidate]:[Audit Candidate 6]])
      &lt;&gt;0,
      (Audit[[#This Row],[Winning Candidate]]-Audit[[#This Row],[Losing Candidate]]-(Audit[[#This Row],[Audit Winning Candidate]]-Audit[[#This Row],[Audit Losing Candidate]]))/(Audit[[#Totals],[Winning Candidate]]-Audit[[#Totals],[Losing Candidate]]),
      0
)</f>
        <v>0</v>
      </c>
      <c r="AD1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 s="111">
        <f>IF(Audit[[#This Row],[Max Relative Error (ep)]] = 0, 0, Audit[[#This Row],[Max Relative Error (ep)]]/Audit[[#This Row],[Error Bound (up) - Max. possible relative overstatement]])</f>
        <v>0</v>
      </c>
      <c r="AJ1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8" s="111">
        <f t="shared" si="3"/>
        <v>1</v>
      </c>
      <c r="AL198" s="111">
        <f>PRODUCT($AK$5:AK198)</f>
        <v>8.962823818226312E-2</v>
      </c>
      <c r="AM198" s="109">
        <f>1 - [K-M P Value]</f>
        <v>0.91037176181773694</v>
      </c>
      <c r="AN198" s="111" t="str">
        <f>IF(Audit[[#This Row],[K-M P Value]]&gt;1-'General Info'!$B$16,"Continue", "Stop")</f>
        <v>Stop</v>
      </c>
      <c r="AO198" s="110" t="b">
        <f>IF(Audit[[#This Row],[Status - Continue or stop audit]] = "Continue", TRUE, IF(AN197 = "Continue", TRUE, FALSE))</f>
        <v>0</v>
      </c>
      <c r="AP198" s="110"/>
    </row>
    <row r="199" spans="1:42" ht="15" hidden="1" customHeight="1">
      <c r="A199" s="111" t="str">
        <f>'Sampling Data'!W189</f>
        <v/>
      </c>
      <c r="B199" s="112" t="str">
        <f>'Sampling Data'!A189</f>
        <v>BROOK PARK -01-C</v>
      </c>
      <c r="C199" s="112">
        <f>'Sampling Data'!B189</f>
        <v>36</v>
      </c>
      <c r="D199" s="112">
        <f>'Sampling Data'!C189</f>
        <v>31</v>
      </c>
      <c r="E199" s="113">
        <f>'Sampling Data'!D189</f>
        <v>15</v>
      </c>
      <c r="F199" s="113">
        <f>'Sampling Data'!E189</f>
        <v>7</v>
      </c>
      <c r="G199" s="113">
        <f>'Sampling Data'!F189</f>
        <v>0</v>
      </c>
      <c r="H199" s="113">
        <f>'Sampling Data'!G189</f>
        <v>0</v>
      </c>
      <c r="I199" s="112">
        <f>'Sampling Data'!H189</f>
        <v>0</v>
      </c>
      <c r="J199" s="112">
        <f>'Sampling Data'!I189</f>
        <v>2</v>
      </c>
      <c r="K199" s="112">
        <f>'Sampling Data'!J189</f>
        <v>91</v>
      </c>
      <c r="L199" s="111">
        <f>'Sampling Data'!X189</f>
        <v>0</v>
      </c>
      <c r="M199" s="114"/>
      <c r="N199" s="114"/>
      <c r="O199" s="115"/>
      <c r="P199" s="115"/>
      <c r="Q199" s="116"/>
      <c r="R199" s="116"/>
      <c r="S199" s="111">
        <f>Audit[[#This Row],[Audit Losing Candidate]]-Audit[[#This Row],[Losing Candidate]]</f>
        <v>-36</v>
      </c>
      <c r="T199" s="111">
        <f>Audit[[#This Row],[Audit Winning Candidate]]-Audit[[#This Row],[Winning Candidate]]</f>
        <v>-31</v>
      </c>
      <c r="U199" s="111">
        <f>Audit[[#This Row],[Audit Candidate 3]]-Audit[[#This Row],[Candidate 3]]</f>
        <v>-15</v>
      </c>
      <c r="V199" s="111">
        <f>Audit[[#This Row],[Audit Candidate 4]]-Audit[[#This Row],[Candidate 4]]</f>
        <v>-7</v>
      </c>
      <c r="W199" s="111">
        <f>Audit[[#This Row],[Audit Candidate 5]]-Audit[[#This Row],[Candidate 5]]</f>
        <v>0</v>
      </c>
      <c r="X199" s="111">
        <f>Audit[[#This Row],[Audit Candidate 6]]-Audit[[#This Row],[Candidate 6]]</f>
        <v>0</v>
      </c>
      <c r="Y199" s="111">
        <f>SUMIF(Audit[[#This Row],[Difference Loser]:[Difference Candidate 6]], "&gt;0")</f>
        <v>0</v>
      </c>
      <c r="Z199" s="111">
        <f>SUM(Audit[[#This Row],[Difference Loser]:[Difference Candidate 6]])</f>
        <v>-89</v>
      </c>
      <c r="AA199" s="111">
        <f>IF(Audit[[#This Row],[Times p Drawn - With Replacement]]&gt;0, IF(Audit[[#This Row],[Canceled Differences]]&lt;0, Audit[[#This Row],[Max Differences]]+ABS(Audit[[#This Row],[Canceled Differences]]), Audit[[#This Row],[Max Differences]]), 0)</f>
        <v>0</v>
      </c>
      <c r="AB199" s="111">
        <f>'Sampling Data'!P189</f>
        <v>5.2670259676629106E-3</v>
      </c>
      <c r="AC199" s="111">
        <f>IF(
      SUM(Audit[[#This Row],[Audit Losing Candidate]:[Audit Candidate 6]])
      &lt;&gt;0,
      (Audit[[#This Row],[Winning Candidate]]-Audit[[#This Row],[Losing Candidate]]-(Audit[[#This Row],[Audit Winning Candidate]]-Audit[[#This Row],[Audit Losing Candidate]]))/(Audit[[#Totals],[Winning Candidate]]-Audit[[#Totals],[Losing Candidate]]),
      0
)</f>
        <v>0</v>
      </c>
      <c r="AD1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 s="111">
        <f>IF(Audit[[#This Row],[Max Relative Error (ep)]] = 0, 0, Audit[[#This Row],[Max Relative Error (ep)]]/Audit[[#This Row],[Error Bound (up) - Max. possible relative overstatement]])</f>
        <v>0</v>
      </c>
      <c r="AJ1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9" s="111">
        <f t="shared" si="3"/>
        <v>1</v>
      </c>
      <c r="AL199" s="111">
        <f>PRODUCT($AK$5:AK199)</f>
        <v>8.962823818226312E-2</v>
      </c>
      <c r="AM199" s="109">
        <f>1 - [K-M P Value]</f>
        <v>0.91037176181773694</v>
      </c>
      <c r="AN199" s="111" t="str">
        <f>IF(Audit[[#This Row],[K-M P Value]]&gt;1-'General Info'!$B$16,"Continue", "Stop")</f>
        <v>Stop</v>
      </c>
      <c r="AO199" s="110" t="b">
        <f>IF(Audit[[#This Row],[Status - Continue or stop audit]] = "Continue", TRUE, IF(AN198 = "Continue", TRUE, FALSE))</f>
        <v>0</v>
      </c>
      <c r="AP199" s="110"/>
    </row>
    <row r="200" spans="1:42" ht="15" hidden="1" customHeight="1">
      <c r="A200" s="111" t="str">
        <f>'Sampling Data'!W190</f>
        <v/>
      </c>
      <c r="B200" s="112" t="str">
        <f>'Sampling Data'!A190</f>
        <v>BROOK PARK -01-C - ABS</v>
      </c>
      <c r="C200" s="112">
        <f>'Sampling Data'!B190</f>
        <v>5</v>
      </c>
      <c r="D200" s="112">
        <f>'Sampling Data'!C190</f>
        <v>8</v>
      </c>
      <c r="E200" s="113">
        <f>'Sampling Data'!D190</f>
        <v>3</v>
      </c>
      <c r="F200" s="113">
        <f>'Sampling Data'!E190</f>
        <v>5</v>
      </c>
      <c r="G200" s="113">
        <f>'Sampling Data'!F190</f>
        <v>1</v>
      </c>
      <c r="H200" s="113">
        <f>'Sampling Data'!G190</f>
        <v>0</v>
      </c>
      <c r="I200" s="112">
        <f>'Sampling Data'!H190</f>
        <v>0</v>
      </c>
      <c r="J200" s="112">
        <f>'Sampling Data'!I190</f>
        <v>0</v>
      </c>
      <c r="K200" s="112">
        <f>'Sampling Data'!J190</f>
        <v>22</v>
      </c>
      <c r="L200" s="111">
        <f>'Sampling Data'!X190</f>
        <v>0</v>
      </c>
      <c r="M200" s="114"/>
      <c r="N200" s="114"/>
      <c r="O200" s="115"/>
      <c r="P200" s="115"/>
      <c r="Q200" s="116"/>
      <c r="R200" s="116"/>
      <c r="S200" s="111">
        <f>Audit[[#This Row],[Audit Losing Candidate]]-Audit[[#This Row],[Losing Candidate]]</f>
        <v>-5</v>
      </c>
      <c r="T200" s="111">
        <f>Audit[[#This Row],[Audit Winning Candidate]]-Audit[[#This Row],[Winning Candidate]]</f>
        <v>-8</v>
      </c>
      <c r="U200" s="111">
        <f>Audit[[#This Row],[Audit Candidate 3]]-Audit[[#This Row],[Candidate 3]]</f>
        <v>-3</v>
      </c>
      <c r="V200" s="111">
        <f>Audit[[#This Row],[Audit Candidate 4]]-Audit[[#This Row],[Candidate 4]]</f>
        <v>-5</v>
      </c>
      <c r="W200" s="111">
        <f>Audit[[#This Row],[Audit Candidate 5]]-Audit[[#This Row],[Candidate 5]]</f>
        <v>-1</v>
      </c>
      <c r="X200" s="111">
        <f>Audit[[#This Row],[Audit Candidate 6]]-Audit[[#This Row],[Candidate 6]]</f>
        <v>0</v>
      </c>
      <c r="Y200" s="111">
        <f>SUMIF(Audit[[#This Row],[Difference Loser]:[Difference Candidate 6]], "&gt;0")</f>
        <v>0</v>
      </c>
      <c r="Z200" s="111">
        <f>SUM(Audit[[#This Row],[Difference Loser]:[Difference Candidate 6]])</f>
        <v>-22</v>
      </c>
      <c r="AA200" s="111">
        <f>IF(Audit[[#This Row],[Times p Drawn - With Replacement]]&gt;0, IF(Audit[[#This Row],[Canceled Differences]]&lt;0, Audit[[#This Row],[Max Differences]]+ABS(Audit[[#This Row],[Canceled Differences]]), Audit[[#This Row],[Max Differences]]), 0)</f>
        <v>0</v>
      </c>
      <c r="AB200" s="111">
        <f>'Sampling Data'!P190</f>
        <v>1.5311121999020088E-3</v>
      </c>
      <c r="AC200" s="111">
        <f>IF(
      SUM(Audit[[#This Row],[Audit Losing Candidate]:[Audit Candidate 6]])
      &lt;&gt;0,
      (Audit[[#This Row],[Winning Candidate]]-Audit[[#This Row],[Losing Candidate]]-(Audit[[#This Row],[Audit Winning Candidate]]-Audit[[#This Row],[Audit Losing Candidate]]))/(Audit[[#Totals],[Winning Candidate]]-Audit[[#Totals],[Losing Candidate]]),
      0
)</f>
        <v>0</v>
      </c>
      <c r="AD2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 s="111">
        <f>IF(Audit[[#This Row],[Max Relative Error (ep)]] = 0, 0, Audit[[#This Row],[Max Relative Error (ep)]]/Audit[[#This Row],[Error Bound (up) - Max. possible relative overstatement]])</f>
        <v>0</v>
      </c>
      <c r="AJ2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0" s="111">
        <f t="shared" si="3"/>
        <v>1</v>
      </c>
      <c r="AL200" s="111">
        <f>PRODUCT($AK$5:AK200)</f>
        <v>8.962823818226312E-2</v>
      </c>
      <c r="AM200" s="109">
        <f>1 - [K-M P Value]</f>
        <v>0.91037176181773694</v>
      </c>
      <c r="AN200" s="111" t="str">
        <f>IF(Audit[[#This Row],[K-M P Value]]&gt;1-'General Info'!$B$16,"Continue", "Stop")</f>
        <v>Stop</v>
      </c>
      <c r="AO200" s="110" t="b">
        <f>IF(Audit[[#This Row],[Status - Continue or stop audit]] = "Continue", TRUE, IF(AN199 = "Continue", TRUE, FALSE))</f>
        <v>0</v>
      </c>
      <c r="AP200" s="110"/>
    </row>
    <row r="201" spans="1:42" ht="15" hidden="1" customHeight="1">
      <c r="A201" s="111" t="str">
        <f>'Sampling Data'!W191</f>
        <v/>
      </c>
      <c r="B201" s="112" t="str">
        <f>'Sampling Data'!A191</f>
        <v>BROOK PARK -02-A</v>
      </c>
      <c r="C201" s="112">
        <f>'Sampling Data'!B191</f>
        <v>8</v>
      </c>
      <c r="D201" s="112">
        <f>'Sampling Data'!C191</f>
        <v>20</v>
      </c>
      <c r="E201" s="113">
        <f>'Sampling Data'!D191</f>
        <v>15</v>
      </c>
      <c r="F201" s="113">
        <f>'Sampling Data'!E191</f>
        <v>7</v>
      </c>
      <c r="G201" s="113">
        <f>'Sampling Data'!F191</f>
        <v>0</v>
      </c>
      <c r="H201" s="113">
        <f>'Sampling Data'!G191</f>
        <v>0</v>
      </c>
      <c r="I201" s="112">
        <f>'Sampling Data'!H191</f>
        <v>0</v>
      </c>
      <c r="J201" s="112">
        <f>'Sampling Data'!I191</f>
        <v>1</v>
      </c>
      <c r="K201" s="112">
        <f>'Sampling Data'!J191</f>
        <v>51</v>
      </c>
      <c r="L201" s="111">
        <f>'Sampling Data'!X191</f>
        <v>0</v>
      </c>
      <c r="M201" s="114"/>
      <c r="N201" s="114"/>
      <c r="O201" s="115"/>
      <c r="P201" s="115"/>
      <c r="Q201" s="116"/>
      <c r="R201" s="116"/>
      <c r="S201" s="111">
        <f>Audit[[#This Row],[Audit Losing Candidate]]-Audit[[#This Row],[Losing Candidate]]</f>
        <v>-8</v>
      </c>
      <c r="T201" s="111">
        <f>Audit[[#This Row],[Audit Winning Candidate]]-Audit[[#This Row],[Winning Candidate]]</f>
        <v>-20</v>
      </c>
      <c r="U201" s="111">
        <f>Audit[[#This Row],[Audit Candidate 3]]-Audit[[#This Row],[Candidate 3]]</f>
        <v>-15</v>
      </c>
      <c r="V201" s="111">
        <f>Audit[[#This Row],[Audit Candidate 4]]-Audit[[#This Row],[Candidate 4]]</f>
        <v>-7</v>
      </c>
      <c r="W201" s="111">
        <f>Audit[[#This Row],[Audit Candidate 5]]-Audit[[#This Row],[Candidate 5]]</f>
        <v>0</v>
      </c>
      <c r="X201" s="111">
        <f>Audit[[#This Row],[Audit Candidate 6]]-Audit[[#This Row],[Candidate 6]]</f>
        <v>0</v>
      </c>
      <c r="Y201" s="111">
        <f>SUMIF(Audit[[#This Row],[Difference Loser]:[Difference Candidate 6]], "&gt;0")</f>
        <v>0</v>
      </c>
      <c r="Z201" s="111">
        <f>SUM(Audit[[#This Row],[Difference Loser]:[Difference Candidate 6]])</f>
        <v>-50</v>
      </c>
      <c r="AA201" s="111">
        <f>IF(Audit[[#This Row],[Times p Drawn - With Replacement]]&gt;0, IF(Audit[[#This Row],[Canceled Differences]]&lt;0, Audit[[#This Row],[Max Differences]]+ABS(Audit[[#This Row],[Canceled Differences]]), Audit[[#This Row],[Max Differences]]), 0)</f>
        <v>0</v>
      </c>
      <c r="AB201" s="111">
        <f>'Sampling Data'!P191</f>
        <v>3.8584027437530621E-3</v>
      </c>
      <c r="AC201" s="111">
        <f>IF(
      SUM(Audit[[#This Row],[Audit Losing Candidate]:[Audit Candidate 6]])
      &lt;&gt;0,
      (Audit[[#This Row],[Winning Candidate]]-Audit[[#This Row],[Losing Candidate]]-(Audit[[#This Row],[Audit Winning Candidate]]-Audit[[#This Row],[Audit Losing Candidate]]))/(Audit[[#Totals],[Winning Candidate]]-Audit[[#Totals],[Losing Candidate]]),
      0
)</f>
        <v>0</v>
      </c>
      <c r="AD2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 s="111">
        <f>IF(Audit[[#This Row],[Max Relative Error (ep)]] = 0, 0, Audit[[#This Row],[Max Relative Error (ep)]]/Audit[[#This Row],[Error Bound (up) - Max. possible relative overstatement]])</f>
        <v>0</v>
      </c>
      <c r="AJ2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1" s="111">
        <f t="shared" si="3"/>
        <v>1</v>
      </c>
      <c r="AL201" s="111">
        <f>PRODUCT($AK$5:AK201)</f>
        <v>8.962823818226312E-2</v>
      </c>
      <c r="AM201" s="109">
        <f>1 - [K-M P Value]</f>
        <v>0.91037176181773694</v>
      </c>
      <c r="AN201" s="111" t="str">
        <f>IF(Audit[[#This Row],[K-M P Value]]&gt;1-'General Info'!$B$16,"Continue", "Stop")</f>
        <v>Stop</v>
      </c>
      <c r="AO201" s="110" t="b">
        <f>IF(Audit[[#This Row],[Status - Continue or stop audit]] = "Continue", TRUE, IF(AN200 = "Continue", TRUE, FALSE))</f>
        <v>0</v>
      </c>
      <c r="AP201" s="110"/>
    </row>
    <row r="202" spans="1:42" ht="15" hidden="1" customHeight="1">
      <c r="A202" s="111" t="str">
        <f>'Sampling Data'!W192</f>
        <v/>
      </c>
      <c r="B202" s="112" t="str">
        <f>'Sampling Data'!A192</f>
        <v>BROOK PARK -02-A - ABS</v>
      </c>
      <c r="C202" s="112">
        <f>'Sampling Data'!B192</f>
        <v>7</v>
      </c>
      <c r="D202" s="112">
        <f>'Sampling Data'!C192</f>
        <v>11</v>
      </c>
      <c r="E202" s="113">
        <f>'Sampling Data'!D192</f>
        <v>3</v>
      </c>
      <c r="F202" s="113">
        <f>'Sampling Data'!E192</f>
        <v>4</v>
      </c>
      <c r="G202" s="113">
        <f>'Sampling Data'!F192</f>
        <v>0</v>
      </c>
      <c r="H202" s="113">
        <f>'Sampling Data'!G192</f>
        <v>0</v>
      </c>
      <c r="I202" s="112">
        <f>'Sampling Data'!H192</f>
        <v>0</v>
      </c>
      <c r="J202" s="112">
        <f>'Sampling Data'!I192</f>
        <v>0</v>
      </c>
      <c r="K202" s="112">
        <f>'Sampling Data'!J192</f>
        <v>25</v>
      </c>
      <c r="L202" s="111">
        <f>'Sampling Data'!X192</f>
        <v>0</v>
      </c>
      <c r="M202" s="114"/>
      <c r="N202" s="114"/>
      <c r="O202" s="115"/>
      <c r="P202" s="115"/>
      <c r="Q202" s="116"/>
      <c r="R202" s="116"/>
      <c r="S202" s="111">
        <f>Audit[[#This Row],[Audit Losing Candidate]]-Audit[[#This Row],[Losing Candidate]]</f>
        <v>-7</v>
      </c>
      <c r="T202" s="111">
        <f>Audit[[#This Row],[Audit Winning Candidate]]-Audit[[#This Row],[Winning Candidate]]</f>
        <v>-11</v>
      </c>
      <c r="U202" s="111">
        <f>Audit[[#This Row],[Audit Candidate 3]]-Audit[[#This Row],[Candidate 3]]</f>
        <v>-3</v>
      </c>
      <c r="V202" s="111">
        <f>Audit[[#This Row],[Audit Candidate 4]]-Audit[[#This Row],[Candidate 4]]</f>
        <v>-4</v>
      </c>
      <c r="W202" s="111">
        <f>Audit[[#This Row],[Audit Candidate 5]]-Audit[[#This Row],[Candidate 5]]</f>
        <v>0</v>
      </c>
      <c r="X202" s="111">
        <f>Audit[[#This Row],[Audit Candidate 6]]-Audit[[#This Row],[Candidate 6]]</f>
        <v>0</v>
      </c>
      <c r="Y202" s="111">
        <f>SUMIF(Audit[[#This Row],[Difference Loser]:[Difference Candidate 6]], "&gt;0")</f>
        <v>0</v>
      </c>
      <c r="Z202" s="111">
        <f>SUM(Audit[[#This Row],[Difference Loser]:[Difference Candidate 6]])</f>
        <v>-25</v>
      </c>
      <c r="AA202" s="111">
        <f>IF(Audit[[#This Row],[Times p Drawn - With Replacement]]&gt;0, IF(Audit[[#This Row],[Canceled Differences]]&lt;0, Audit[[#This Row],[Max Differences]]+ABS(Audit[[#This Row],[Canceled Differences]]), Audit[[#This Row],[Max Differences]]), 0)</f>
        <v>0</v>
      </c>
      <c r="AB202" s="111">
        <f>'Sampling Data'!P192</f>
        <v>1.7760901518863303E-3</v>
      </c>
      <c r="AC202" s="111">
        <f>IF(
      SUM(Audit[[#This Row],[Audit Losing Candidate]:[Audit Candidate 6]])
      &lt;&gt;0,
      (Audit[[#This Row],[Winning Candidate]]-Audit[[#This Row],[Losing Candidate]]-(Audit[[#This Row],[Audit Winning Candidate]]-Audit[[#This Row],[Audit Losing Candidate]]))/(Audit[[#Totals],[Winning Candidate]]-Audit[[#Totals],[Losing Candidate]]),
      0
)</f>
        <v>0</v>
      </c>
      <c r="AD2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 s="111">
        <f>IF(Audit[[#This Row],[Max Relative Error (ep)]] = 0, 0, Audit[[#This Row],[Max Relative Error (ep)]]/Audit[[#This Row],[Error Bound (up) - Max. possible relative overstatement]])</f>
        <v>0</v>
      </c>
      <c r="AJ2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2" s="111">
        <f t="shared" si="3"/>
        <v>1</v>
      </c>
      <c r="AL202" s="111">
        <f>PRODUCT($AK$5:AK202)</f>
        <v>8.962823818226312E-2</v>
      </c>
      <c r="AM202" s="109">
        <f>1 - [K-M P Value]</f>
        <v>0.91037176181773694</v>
      </c>
      <c r="AN202" s="111" t="str">
        <f>IF(Audit[[#This Row],[K-M P Value]]&gt;1-'General Info'!$B$16,"Continue", "Stop")</f>
        <v>Stop</v>
      </c>
      <c r="AO202" s="110" t="b">
        <f>IF(Audit[[#This Row],[Status - Continue or stop audit]] = "Continue", TRUE, IF(AN201 = "Continue", TRUE, FALSE))</f>
        <v>0</v>
      </c>
      <c r="AP202" s="110"/>
    </row>
    <row r="203" spans="1:42" ht="15" hidden="1" customHeight="1">
      <c r="A203" s="111" t="str">
        <f>'Sampling Data'!W193</f>
        <v/>
      </c>
      <c r="B203" s="112" t="str">
        <f>'Sampling Data'!A193</f>
        <v>BROOK PARK -02-B</v>
      </c>
      <c r="C203" s="112">
        <f>'Sampling Data'!B193</f>
        <v>32</v>
      </c>
      <c r="D203" s="112">
        <f>'Sampling Data'!C193</f>
        <v>36</v>
      </c>
      <c r="E203" s="113">
        <f>'Sampling Data'!D193</f>
        <v>7</v>
      </c>
      <c r="F203" s="113">
        <f>'Sampling Data'!E193</f>
        <v>4</v>
      </c>
      <c r="G203" s="113">
        <f>'Sampling Data'!F193</f>
        <v>0</v>
      </c>
      <c r="H203" s="113">
        <f>'Sampling Data'!G193</f>
        <v>0</v>
      </c>
      <c r="I203" s="112">
        <f>'Sampling Data'!H193</f>
        <v>0</v>
      </c>
      <c r="J203" s="112">
        <f>'Sampling Data'!I193</f>
        <v>4</v>
      </c>
      <c r="K203" s="112">
        <f>'Sampling Data'!J193</f>
        <v>83</v>
      </c>
      <c r="L203" s="111">
        <f>'Sampling Data'!X193</f>
        <v>0</v>
      </c>
      <c r="M203" s="114"/>
      <c r="N203" s="114"/>
      <c r="O203" s="115"/>
      <c r="P203" s="115"/>
      <c r="Q203" s="116"/>
      <c r="R203" s="116"/>
      <c r="S203" s="111">
        <f>Audit[[#This Row],[Audit Losing Candidate]]-Audit[[#This Row],[Losing Candidate]]</f>
        <v>-32</v>
      </c>
      <c r="T203" s="111">
        <f>Audit[[#This Row],[Audit Winning Candidate]]-Audit[[#This Row],[Winning Candidate]]</f>
        <v>-36</v>
      </c>
      <c r="U203" s="111">
        <f>Audit[[#This Row],[Audit Candidate 3]]-Audit[[#This Row],[Candidate 3]]</f>
        <v>-7</v>
      </c>
      <c r="V203" s="111">
        <f>Audit[[#This Row],[Audit Candidate 4]]-Audit[[#This Row],[Candidate 4]]</f>
        <v>-4</v>
      </c>
      <c r="W203" s="111">
        <f>Audit[[#This Row],[Audit Candidate 5]]-Audit[[#This Row],[Candidate 5]]</f>
        <v>0</v>
      </c>
      <c r="X203" s="111">
        <f>Audit[[#This Row],[Audit Candidate 6]]-Audit[[#This Row],[Candidate 6]]</f>
        <v>0</v>
      </c>
      <c r="Y203" s="111">
        <f>SUMIF(Audit[[#This Row],[Difference Loser]:[Difference Candidate 6]], "&gt;0")</f>
        <v>0</v>
      </c>
      <c r="Z203" s="111">
        <f>SUM(Audit[[#This Row],[Difference Loser]:[Difference Candidate 6]])</f>
        <v>-79</v>
      </c>
      <c r="AA203" s="111">
        <f>IF(Audit[[#This Row],[Times p Drawn - With Replacement]]&gt;0, IF(Audit[[#This Row],[Canceled Differences]]&lt;0, Audit[[#This Row],[Max Differences]]+ABS(Audit[[#This Row],[Canceled Differences]]), Audit[[#This Row],[Max Differences]]), 0)</f>
        <v>0</v>
      </c>
      <c r="AB203" s="111">
        <f>'Sampling Data'!P193</f>
        <v>5.328270455658991E-3</v>
      </c>
      <c r="AC203" s="111">
        <f>IF(
      SUM(Audit[[#This Row],[Audit Losing Candidate]:[Audit Candidate 6]])
      &lt;&gt;0,
      (Audit[[#This Row],[Winning Candidate]]-Audit[[#This Row],[Losing Candidate]]-(Audit[[#This Row],[Audit Winning Candidate]]-Audit[[#This Row],[Audit Losing Candidate]]))/(Audit[[#Totals],[Winning Candidate]]-Audit[[#Totals],[Losing Candidate]]),
      0
)</f>
        <v>0</v>
      </c>
      <c r="AD2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 s="111">
        <f>IF(Audit[[#This Row],[Max Relative Error (ep)]] = 0, 0, Audit[[#This Row],[Max Relative Error (ep)]]/Audit[[#This Row],[Error Bound (up) - Max. possible relative overstatement]])</f>
        <v>0</v>
      </c>
      <c r="AJ2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3" s="111">
        <f t="shared" si="3"/>
        <v>1</v>
      </c>
      <c r="AL203" s="111">
        <f>PRODUCT($AK$5:AK203)</f>
        <v>8.962823818226312E-2</v>
      </c>
      <c r="AM203" s="109">
        <f>1 - [K-M P Value]</f>
        <v>0.91037176181773694</v>
      </c>
      <c r="AN203" s="111" t="str">
        <f>IF(Audit[[#This Row],[K-M P Value]]&gt;1-'General Info'!$B$16,"Continue", "Stop")</f>
        <v>Stop</v>
      </c>
      <c r="AO203" s="110" t="b">
        <f>IF(Audit[[#This Row],[Status - Continue or stop audit]] = "Continue", TRUE, IF(AN202 = "Continue", TRUE, FALSE))</f>
        <v>0</v>
      </c>
      <c r="AP203" s="110"/>
    </row>
    <row r="204" spans="1:42" ht="15" hidden="1" customHeight="1">
      <c r="A204" s="111" t="str">
        <f>'Sampling Data'!W194</f>
        <v/>
      </c>
      <c r="B204" s="112" t="str">
        <f>'Sampling Data'!A194</f>
        <v>BROOK PARK -02-B - ABS</v>
      </c>
      <c r="C204" s="112">
        <f>'Sampling Data'!B194</f>
        <v>10</v>
      </c>
      <c r="D204" s="112">
        <f>'Sampling Data'!C194</f>
        <v>12</v>
      </c>
      <c r="E204" s="113">
        <f>'Sampling Data'!D194</f>
        <v>2</v>
      </c>
      <c r="F204" s="113">
        <f>'Sampling Data'!E194</f>
        <v>0</v>
      </c>
      <c r="G204" s="113">
        <f>'Sampling Data'!F194</f>
        <v>0</v>
      </c>
      <c r="H204" s="113">
        <f>'Sampling Data'!G194</f>
        <v>0</v>
      </c>
      <c r="I204" s="112">
        <f>'Sampling Data'!H194</f>
        <v>0</v>
      </c>
      <c r="J204" s="112">
        <f>'Sampling Data'!I194</f>
        <v>0</v>
      </c>
      <c r="K204" s="112">
        <f>'Sampling Data'!J194</f>
        <v>24</v>
      </c>
      <c r="L204" s="111">
        <f>'Sampling Data'!X194</f>
        <v>0</v>
      </c>
      <c r="M204" s="114"/>
      <c r="N204" s="114"/>
      <c r="O204" s="115"/>
      <c r="P204" s="115"/>
      <c r="Q204" s="116"/>
      <c r="R204" s="116"/>
      <c r="S204" s="111">
        <f>Audit[[#This Row],[Audit Losing Candidate]]-Audit[[#This Row],[Losing Candidate]]</f>
        <v>-10</v>
      </c>
      <c r="T204" s="111">
        <f>Audit[[#This Row],[Audit Winning Candidate]]-Audit[[#This Row],[Winning Candidate]]</f>
        <v>-12</v>
      </c>
      <c r="U204" s="111">
        <f>Audit[[#This Row],[Audit Candidate 3]]-Audit[[#This Row],[Candidate 3]]</f>
        <v>-2</v>
      </c>
      <c r="V204" s="111">
        <f>Audit[[#This Row],[Audit Candidate 4]]-Audit[[#This Row],[Candidate 4]]</f>
        <v>0</v>
      </c>
      <c r="W204" s="111">
        <f>Audit[[#This Row],[Audit Candidate 5]]-Audit[[#This Row],[Candidate 5]]</f>
        <v>0</v>
      </c>
      <c r="X204" s="111">
        <f>Audit[[#This Row],[Audit Candidate 6]]-Audit[[#This Row],[Candidate 6]]</f>
        <v>0</v>
      </c>
      <c r="Y204" s="111">
        <f>SUMIF(Audit[[#This Row],[Difference Loser]:[Difference Candidate 6]], "&gt;0")</f>
        <v>0</v>
      </c>
      <c r="Z204" s="111">
        <f>SUM(Audit[[#This Row],[Difference Loser]:[Difference Candidate 6]])</f>
        <v>-24</v>
      </c>
      <c r="AA204" s="111">
        <f>IF(Audit[[#This Row],[Times p Drawn - With Replacement]]&gt;0, IF(Audit[[#This Row],[Canceled Differences]]&lt;0, Audit[[#This Row],[Max Differences]]+ABS(Audit[[#This Row],[Canceled Differences]]), Audit[[#This Row],[Max Differences]]), 0)</f>
        <v>0</v>
      </c>
      <c r="AB204" s="111">
        <f>'Sampling Data'!P194</f>
        <v>1.5923566878980893E-3</v>
      </c>
      <c r="AC204" s="111">
        <f>IF(
      SUM(Audit[[#This Row],[Audit Losing Candidate]:[Audit Candidate 6]])
      &lt;&gt;0,
      (Audit[[#This Row],[Winning Candidate]]-Audit[[#This Row],[Losing Candidate]]-(Audit[[#This Row],[Audit Winning Candidate]]-Audit[[#This Row],[Audit Losing Candidate]]))/(Audit[[#Totals],[Winning Candidate]]-Audit[[#Totals],[Losing Candidate]]),
      0
)</f>
        <v>0</v>
      </c>
      <c r="AD2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 s="111">
        <f>IF(Audit[[#This Row],[Max Relative Error (ep)]] = 0, 0, Audit[[#This Row],[Max Relative Error (ep)]]/Audit[[#This Row],[Error Bound (up) - Max. possible relative overstatement]])</f>
        <v>0</v>
      </c>
      <c r="AJ2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4" s="111">
        <f t="shared" si="3"/>
        <v>1</v>
      </c>
      <c r="AL204" s="111">
        <f>PRODUCT($AK$5:AK204)</f>
        <v>8.962823818226312E-2</v>
      </c>
      <c r="AM204" s="109">
        <f>1 - [K-M P Value]</f>
        <v>0.91037176181773694</v>
      </c>
      <c r="AN204" s="111" t="str">
        <f>IF(Audit[[#This Row],[K-M P Value]]&gt;1-'General Info'!$B$16,"Continue", "Stop")</f>
        <v>Stop</v>
      </c>
      <c r="AO204" s="110" t="b">
        <f>IF(Audit[[#This Row],[Status - Continue or stop audit]] = "Continue", TRUE, IF(AN203 = "Continue", TRUE, FALSE))</f>
        <v>0</v>
      </c>
      <c r="AP204" s="110"/>
    </row>
    <row r="205" spans="1:42" ht="15" hidden="1" customHeight="1">
      <c r="A205" s="111" t="str">
        <f>'Sampling Data'!W195</f>
        <v/>
      </c>
      <c r="B205" s="112" t="str">
        <f>'Sampling Data'!A195</f>
        <v>BROOK PARK -02-C</v>
      </c>
      <c r="C205" s="112">
        <f>'Sampling Data'!B195</f>
        <v>19</v>
      </c>
      <c r="D205" s="112">
        <f>'Sampling Data'!C195</f>
        <v>19</v>
      </c>
      <c r="E205" s="113">
        <f>'Sampling Data'!D195</f>
        <v>10</v>
      </c>
      <c r="F205" s="113">
        <f>'Sampling Data'!E195</f>
        <v>7</v>
      </c>
      <c r="G205" s="113">
        <f>'Sampling Data'!F195</f>
        <v>0</v>
      </c>
      <c r="H205" s="113">
        <f>'Sampling Data'!G195</f>
        <v>0</v>
      </c>
      <c r="I205" s="112">
        <f>'Sampling Data'!H195</f>
        <v>0</v>
      </c>
      <c r="J205" s="112">
        <f>'Sampling Data'!I195</f>
        <v>2</v>
      </c>
      <c r="K205" s="112">
        <f>'Sampling Data'!J195</f>
        <v>57</v>
      </c>
      <c r="L205" s="111">
        <f>'Sampling Data'!X195</f>
        <v>0</v>
      </c>
      <c r="M205" s="114"/>
      <c r="N205" s="114"/>
      <c r="O205" s="115"/>
      <c r="P205" s="115"/>
      <c r="Q205" s="116"/>
      <c r="R205" s="116"/>
      <c r="S205" s="111">
        <f>Audit[[#This Row],[Audit Losing Candidate]]-Audit[[#This Row],[Losing Candidate]]</f>
        <v>-19</v>
      </c>
      <c r="T205" s="111">
        <f>Audit[[#This Row],[Audit Winning Candidate]]-Audit[[#This Row],[Winning Candidate]]</f>
        <v>-19</v>
      </c>
      <c r="U205" s="111">
        <f>Audit[[#This Row],[Audit Candidate 3]]-Audit[[#This Row],[Candidate 3]]</f>
        <v>-10</v>
      </c>
      <c r="V205" s="111">
        <f>Audit[[#This Row],[Audit Candidate 4]]-Audit[[#This Row],[Candidate 4]]</f>
        <v>-7</v>
      </c>
      <c r="W205" s="111">
        <f>Audit[[#This Row],[Audit Candidate 5]]-Audit[[#This Row],[Candidate 5]]</f>
        <v>0</v>
      </c>
      <c r="X205" s="111">
        <f>Audit[[#This Row],[Audit Candidate 6]]-Audit[[#This Row],[Candidate 6]]</f>
        <v>0</v>
      </c>
      <c r="Y205" s="111">
        <f>SUMIF(Audit[[#This Row],[Difference Loser]:[Difference Candidate 6]], "&gt;0")</f>
        <v>0</v>
      </c>
      <c r="Z205" s="111">
        <f>SUM(Audit[[#This Row],[Difference Loser]:[Difference Candidate 6]])</f>
        <v>-55</v>
      </c>
      <c r="AA205" s="111">
        <f>IF(Audit[[#This Row],[Times p Drawn - With Replacement]]&gt;0, IF(Audit[[#This Row],[Canceled Differences]]&lt;0, Audit[[#This Row],[Max Differences]]+ABS(Audit[[#This Row],[Canceled Differences]]), Audit[[#This Row],[Max Differences]]), 0)</f>
        <v>0</v>
      </c>
      <c r="AB205" s="111">
        <f>'Sampling Data'!P195</f>
        <v>3.4909358157765801E-3</v>
      </c>
      <c r="AC205" s="111">
        <f>IF(
      SUM(Audit[[#This Row],[Audit Losing Candidate]:[Audit Candidate 6]])
      &lt;&gt;0,
      (Audit[[#This Row],[Winning Candidate]]-Audit[[#This Row],[Losing Candidate]]-(Audit[[#This Row],[Audit Winning Candidate]]-Audit[[#This Row],[Audit Losing Candidate]]))/(Audit[[#Totals],[Winning Candidate]]-Audit[[#Totals],[Losing Candidate]]),
      0
)</f>
        <v>0</v>
      </c>
      <c r="AD2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 s="111">
        <f>IF(Audit[[#This Row],[Max Relative Error (ep)]] = 0, 0, Audit[[#This Row],[Max Relative Error (ep)]]/Audit[[#This Row],[Error Bound (up) - Max. possible relative overstatement]])</f>
        <v>0</v>
      </c>
      <c r="AJ2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5" s="111">
        <f t="shared" si="3"/>
        <v>1</v>
      </c>
      <c r="AL205" s="111">
        <f>PRODUCT($AK$5:AK205)</f>
        <v>8.962823818226312E-2</v>
      </c>
      <c r="AM205" s="109">
        <f>1 - [K-M P Value]</f>
        <v>0.91037176181773694</v>
      </c>
      <c r="AN205" s="111" t="str">
        <f>IF(Audit[[#This Row],[K-M P Value]]&gt;1-'General Info'!$B$16,"Continue", "Stop")</f>
        <v>Stop</v>
      </c>
      <c r="AO205" s="110" t="b">
        <f>IF(Audit[[#This Row],[Status - Continue or stop audit]] = "Continue", TRUE, IF(AN204 = "Continue", TRUE, FALSE))</f>
        <v>0</v>
      </c>
      <c r="AP205" s="110"/>
    </row>
    <row r="206" spans="1:42" ht="15" hidden="1" customHeight="1">
      <c r="A206" s="111" t="str">
        <f>'Sampling Data'!W196</f>
        <v/>
      </c>
      <c r="B206" s="112" t="str">
        <f>'Sampling Data'!A196</f>
        <v>BROOK PARK -02-C - ABS</v>
      </c>
      <c r="C206" s="112">
        <f>'Sampling Data'!B196</f>
        <v>18</v>
      </c>
      <c r="D206" s="112">
        <f>'Sampling Data'!C196</f>
        <v>13</v>
      </c>
      <c r="E206" s="113">
        <f>'Sampling Data'!D196</f>
        <v>7</v>
      </c>
      <c r="F206" s="113">
        <f>'Sampling Data'!E196</f>
        <v>0</v>
      </c>
      <c r="G206" s="113">
        <f>'Sampling Data'!F196</f>
        <v>1</v>
      </c>
      <c r="H206" s="113">
        <f>'Sampling Data'!G196</f>
        <v>0</v>
      </c>
      <c r="I206" s="112">
        <f>'Sampling Data'!H196</f>
        <v>0</v>
      </c>
      <c r="J206" s="112">
        <f>'Sampling Data'!I196</f>
        <v>0</v>
      </c>
      <c r="K206" s="112">
        <f>'Sampling Data'!J196</f>
        <v>39</v>
      </c>
      <c r="L206" s="111">
        <f>'Sampling Data'!X196</f>
        <v>0</v>
      </c>
      <c r="M206" s="114"/>
      <c r="N206" s="114"/>
      <c r="O206" s="115"/>
      <c r="P206" s="115"/>
      <c r="Q206" s="116"/>
      <c r="R206" s="116"/>
      <c r="S206" s="111">
        <f>Audit[[#This Row],[Audit Losing Candidate]]-Audit[[#This Row],[Losing Candidate]]</f>
        <v>-18</v>
      </c>
      <c r="T206" s="111">
        <f>Audit[[#This Row],[Audit Winning Candidate]]-Audit[[#This Row],[Winning Candidate]]</f>
        <v>-13</v>
      </c>
      <c r="U206" s="111">
        <f>Audit[[#This Row],[Audit Candidate 3]]-Audit[[#This Row],[Candidate 3]]</f>
        <v>-7</v>
      </c>
      <c r="V206" s="111">
        <f>Audit[[#This Row],[Audit Candidate 4]]-Audit[[#This Row],[Candidate 4]]</f>
        <v>0</v>
      </c>
      <c r="W206" s="111">
        <f>Audit[[#This Row],[Audit Candidate 5]]-Audit[[#This Row],[Candidate 5]]</f>
        <v>-1</v>
      </c>
      <c r="X206" s="111">
        <f>Audit[[#This Row],[Audit Candidate 6]]-Audit[[#This Row],[Candidate 6]]</f>
        <v>0</v>
      </c>
      <c r="Y206" s="111">
        <f>SUMIF(Audit[[#This Row],[Difference Loser]:[Difference Candidate 6]], "&gt;0")</f>
        <v>0</v>
      </c>
      <c r="Z206" s="111">
        <f>SUM(Audit[[#This Row],[Difference Loser]:[Difference Candidate 6]])</f>
        <v>-39</v>
      </c>
      <c r="AA206" s="111">
        <f>IF(Audit[[#This Row],[Times p Drawn - With Replacement]]&gt;0, IF(Audit[[#This Row],[Canceled Differences]]&lt;0, Audit[[#This Row],[Max Differences]]+ABS(Audit[[#This Row],[Canceled Differences]]), Audit[[#This Row],[Max Differences]]), 0)</f>
        <v>0</v>
      </c>
      <c r="AB206" s="111">
        <f>'Sampling Data'!P196</f>
        <v>2.0823125918667321E-3</v>
      </c>
      <c r="AC206" s="111">
        <f>IF(
      SUM(Audit[[#This Row],[Audit Losing Candidate]:[Audit Candidate 6]])
      &lt;&gt;0,
      (Audit[[#This Row],[Winning Candidate]]-Audit[[#This Row],[Losing Candidate]]-(Audit[[#This Row],[Audit Winning Candidate]]-Audit[[#This Row],[Audit Losing Candidate]]))/(Audit[[#Totals],[Winning Candidate]]-Audit[[#Totals],[Losing Candidate]]),
      0
)</f>
        <v>0</v>
      </c>
      <c r="AD2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 s="111">
        <f>IF(Audit[[#This Row],[Max Relative Error (ep)]] = 0, 0, Audit[[#This Row],[Max Relative Error (ep)]]/Audit[[#This Row],[Error Bound (up) - Max. possible relative overstatement]])</f>
        <v>0</v>
      </c>
      <c r="AJ2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6" s="111">
        <f t="shared" si="3"/>
        <v>1</v>
      </c>
      <c r="AL206" s="111">
        <f>PRODUCT($AK$5:AK206)</f>
        <v>8.962823818226312E-2</v>
      </c>
      <c r="AM206" s="109">
        <f>1 - [K-M P Value]</f>
        <v>0.91037176181773694</v>
      </c>
      <c r="AN206" s="111" t="str">
        <f>IF(Audit[[#This Row],[K-M P Value]]&gt;1-'General Info'!$B$16,"Continue", "Stop")</f>
        <v>Stop</v>
      </c>
      <c r="AO206" s="110" t="b">
        <f>IF(Audit[[#This Row],[Status - Continue or stop audit]] = "Continue", TRUE, IF(AN205 = "Continue", TRUE, FALSE))</f>
        <v>0</v>
      </c>
      <c r="AP206" s="110"/>
    </row>
    <row r="207" spans="1:42" ht="15" hidden="1" customHeight="1">
      <c r="A207" s="111" t="str">
        <f>'Sampling Data'!W197</f>
        <v/>
      </c>
      <c r="B207" s="112" t="str">
        <f>'Sampling Data'!A197</f>
        <v>BROOK PARK -02-D</v>
      </c>
      <c r="C207" s="112">
        <f>'Sampling Data'!B197</f>
        <v>10</v>
      </c>
      <c r="D207" s="112">
        <f>'Sampling Data'!C197</f>
        <v>6</v>
      </c>
      <c r="E207" s="113">
        <f>'Sampling Data'!D197</f>
        <v>6</v>
      </c>
      <c r="F207" s="113">
        <f>'Sampling Data'!E197</f>
        <v>4</v>
      </c>
      <c r="G207" s="113">
        <f>'Sampling Data'!F197</f>
        <v>0</v>
      </c>
      <c r="H207" s="113">
        <f>'Sampling Data'!G197</f>
        <v>0</v>
      </c>
      <c r="I207" s="112">
        <f>'Sampling Data'!H197</f>
        <v>0</v>
      </c>
      <c r="J207" s="112">
        <f>'Sampling Data'!I197</f>
        <v>1</v>
      </c>
      <c r="K207" s="112">
        <f>'Sampling Data'!J197</f>
        <v>27</v>
      </c>
      <c r="L207" s="111">
        <f>'Sampling Data'!X197</f>
        <v>0</v>
      </c>
      <c r="M207" s="114"/>
      <c r="N207" s="114"/>
      <c r="O207" s="115"/>
      <c r="P207" s="115"/>
      <c r="Q207" s="116"/>
      <c r="R207" s="116"/>
      <c r="S207" s="111">
        <f>Audit[[#This Row],[Audit Losing Candidate]]-Audit[[#This Row],[Losing Candidate]]</f>
        <v>-10</v>
      </c>
      <c r="T207" s="111">
        <f>Audit[[#This Row],[Audit Winning Candidate]]-Audit[[#This Row],[Winning Candidate]]</f>
        <v>-6</v>
      </c>
      <c r="U207" s="111">
        <f>Audit[[#This Row],[Audit Candidate 3]]-Audit[[#This Row],[Candidate 3]]</f>
        <v>-6</v>
      </c>
      <c r="V207" s="111">
        <f>Audit[[#This Row],[Audit Candidate 4]]-Audit[[#This Row],[Candidate 4]]</f>
        <v>-4</v>
      </c>
      <c r="W207" s="111">
        <f>Audit[[#This Row],[Audit Candidate 5]]-Audit[[#This Row],[Candidate 5]]</f>
        <v>0</v>
      </c>
      <c r="X207" s="111">
        <f>Audit[[#This Row],[Audit Candidate 6]]-Audit[[#This Row],[Candidate 6]]</f>
        <v>0</v>
      </c>
      <c r="Y207" s="111">
        <f>SUMIF(Audit[[#This Row],[Difference Loser]:[Difference Candidate 6]], "&gt;0")</f>
        <v>0</v>
      </c>
      <c r="Z207" s="111">
        <f>SUM(Audit[[#This Row],[Difference Loser]:[Difference Candidate 6]])</f>
        <v>-26</v>
      </c>
      <c r="AA207" s="111">
        <f>IF(Audit[[#This Row],[Times p Drawn - With Replacement]]&gt;0, IF(Audit[[#This Row],[Canceled Differences]]&lt;0, Audit[[#This Row],[Max Differences]]+ABS(Audit[[#This Row],[Canceled Differences]]), Audit[[#This Row],[Max Differences]]), 0)</f>
        <v>0</v>
      </c>
      <c r="AB207" s="111">
        <f>'Sampling Data'!P197</f>
        <v>1.408623223909848E-3</v>
      </c>
      <c r="AC207" s="111">
        <f>IF(
      SUM(Audit[[#This Row],[Audit Losing Candidate]:[Audit Candidate 6]])
      &lt;&gt;0,
      (Audit[[#This Row],[Winning Candidate]]-Audit[[#This Row],[Losing Candidate]]-(Audit[[#This Row],[Audit Winning Candidate]]-Audit[[#This Row],[Audit Losing Candidate]]))/(Audit[[#Totals],[Winning Candidate]]-Audit[[#Totals],[Losing Candidate]]),
      0
)</f>
        <v>0</v>
      </c>
      <c r="AD2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 s="111">
        <f>IF(Audit[[#This Row],[Max Relative Error (ep)]] = 0, 0, Audit[[#This Row],[Max Relative Error (ep)]]/Audit[[#This Row],[Error Bound (up) - Max. possible relative overstatement]])</f>
        <v>0</v>
      </c>
      <c r="AJ2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7" s="111">
        <f t="shared" si="3"/>
        <v>1</v>
      </c>
      <c r="AL207" s="111">
        <f>PRODUCT($AK$5:AK207)</f>
        <v>8.962823818226312E-2</v>
      </c>
      <c r="AM207" s="109">
        <f>1 - [K-M P Value]</f>
        <v>0.91037176181773694</v>
      </c>
      <c r="AN207" s="111" t="str">
        <f>IF(Audit[[#This Row],[K-M P Value]]&gt;1-'General Info'!$B$16,"Continue", "Stop")</f>
        <v>Stop</v>
      </c>
      <c r="AO207" s="110" t="b">
        <f>IF(Audit[[#This Row],[Status - Continue or stop audit]] = "Continue", TRUE, IF(AN206 = "Continue", TRUE, FALSE))</f>
        <v>0</v>
      </c>
      <c r="AP207" s="110"/>
    </row>
    <row r="208" spans="1:42" ht="15" hidden="1" customHeight="1">
      <c r="A208" s="111" t="str">
        <f>'Sampling Data'!W198</f>
        <v/>
      </c>
      <c r="B208" s="112" t="str">
        <f>'Sampling Data'!A198</f>
        <v>BROOK PARK -02-D - ABS</v>
      </c>
      <c r="C208" s="112">
        <f>'Sampling Data'!B198</f>
        <v>3</v>
      </c>
      <c r="D208" s="112">
        <f>'Sampling Data'!C198</f>
        <v>2</v>
      </c>
      <c r="E208" s="113">
        <f>'Sampling Data'!D198</f>
        <v>1</v>
      </c>
      <c r="F208" s="113">
        <f>'Sampling Data'!E198</f>
        <v>2</v>
      </c>
      <c r="G208" s="113">
        <f>'Sampling Data'!F198</f>
        <v>0</v>
      </c>
      <c r="H208" s="113">
        <f>'Sampling Data'!G198</f>
        <v>0</v>
      </c>
      <c r="I208" s="112">
        <f>'Sampling Data'!H198</f>
        <v>0</v>
      </c>
      <c r="J208" s="112">
        <f>'Sampling Data'!I198</f>
        <v>0</v>
      </c>
      <c r="K208" s="112">
        <f>'Sampling Data'!J198</f>
        <v>8</v>
      </c>
      <c r="L208" s="111">
        <f>'Sampling Data'!X198</f>
        <v>0</v>
      </c>
      <c r="M208" s="114"/>
      <c r="N208" s="114"/>
      <c r="O208" s="115"/>
      <c r="P208" s="115"/>
      <c r="Q208" s="116"/>
      <c r="R208" s="116"/>
      <c r="S208" s="111">
        <f>Audit[[#This Row],[Audit Losing Candidate]]-Audit[[#This Row],[Losing Candidate]]</f>
        <v>-3</v>
      </c>
      <c r="T208" s="111">
        <f>Audit[[#This Row],[Audit Winning Candidate]]-Audit[[#This Row],[Winning Candidate]]</f>
        <v>-2</v>
      </c>
      <c r="U208" s="111">
        <f>Audit[[#This Row],[Audit Candidate 3]]-Audit[[#This Row],[Candidate 3]]</f>
        <v>-1</v>
      </c>
      <c r="V208" s="111">
        <f>Audit[[#This Row],[Audit Candidate 4]]-Audit[[#This Row],[Candidate 4]]</f>
        <v>-2</v>
      </c>
      <c r="W208" s="111">
        <f>Audit[[#This Row],[Audit Candidate 5]]-Audit[[#This Row],[Candidate 5]]</f>
        <v>0</v>
      </c>
      <c r="X208" s="111">
        <f>Audit[[#This Row],[Audit Candidate 6]]-Audit[[#This Row],[Candidate 6]]</f>
        <v>0</v>
      </c>
      <c r="Y208" s="111">
        <f>SUMIF(Audit[[#This Row],[Difference Loser]:[Difference Candidate 6]], "&gt;0")</f>
        <v>0</v>
      </c>
      <c r="Z208" s="111">
        <f>SUM(Audit[[#This Row],[Difference Loser]:[Difference Candidate 6]])</f>
        <v>-8</v>
      </c>
      <c r="AA208" s="111">
        <f>IF(Audit[[#This Row],[Times p Drawn - With Replacement]]&gt;0, IF(Audit[[#This Row],[Canceled Differences]]&lt;0, Audit[[#This Row],[Max Differences]]+ABS(Audit[[#This Row],[Canceled Differences]]), Audit[[#This Row],[Max Differences]]), 0)</f>
        <v>0</v>
      </c>
      <c r="AB208" s="111">
        <f>'Sampling Data'!P198</f>
        <v>4.2871141597256246E-4</v>
      </c>
      <c r="AC208" s="111">
        <f>IF(
      SUM(Audit[[#This Row],[Audit Losing Candidate]:[Audit Candidate 6]])
      &lt;&gt;0,
      (Audit[[#This Row],[Winning Candidate]]-Audit[[#This Row],[Losing Candidate]]-(Audit[[#This Row],[Audit Winning Candidate]]-Audit[[#This Row],[Audit Losing Candidate]]))/(Audit[[#Totals],[Winning Candidate]]-Audit[[#Totals],[Losing Candidate]]),
      0
)</f>
        <v>0</v>
      </c>
      <c r="AD2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 s="111">
        <f>IF(Audit[[#This Row],[Max Relative Error (ep)]] = 0, 0, Audit[[#This Row],[Max Relative Error (ep)]]/Audit[[#This Row],[Error Bound (up) - Max. possible relative overstatement]])</f>
        <v>0</v>
      </c>
      <c r="AJ2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8" s="111">
        <f t="shared" si="3"/>
        <v>1</v>
      </c>
      <c r="AL208" s="111">
        <f>PRODUCT($AK$5:AK208)</f>
        <v>8.962823818226312E-2</v>
      </c>
      <c r="AM208" s="109">
        <f>1 - [K-M P Value]</f>
        <v>0.91037176181773694</v>
      </c>
      <c r="AN208" s="111" t="str">
        <f>IF(Audit[[#This Row],[K-M P Value]]&gt;1-'General Info'!$B$16,"Continue", "Stop")</f>
        <v>Stop</v>
      </c>
      <c r="AO208" s="110" t="b">
        <f>IF(Audit[[#This Row],[Status - Continue or stop audit]] = "Continue", TRUE, IF(AN207 = "Continue", TRUE, FALSE))</f>
        <v>0</v>
      </c>
      <c r="AP208" s="110"/>
    </row>
    <row r="209" spans="1:42" ht="15" hidden="1" customHeight="1">
      <c r="A209" s="111" t="str">
        <f>'Sampling Data'!W199</f>
        <v/>
      </c>
      <c r="B209" s="112" t="str">
        <f>'Sampling Data'!A199</f>
        <v>BROOK PARK -03-A</v>
      </c>
      <c r="C209" s="112">
        <f>'Sampling Data'!B199</f>
        <v>28</v>
      </c>
      <c r="D209" s="112">
        <f>'Sampling Data'!C199</f>
        <v>30</v>
      </c>
      <c r="E209" s="113">
        <f>'Sampling Data'!D199</f>
        <v>12</v>
      </c>
      <c r="F209" s="113">
        <f>'Sampling Data'!E199</f>
        <v>10</v>
      </c>
      <c r="G209" s="113">
        <f>'Sampling Data'!F199</f>
        <v>0</v>
      </c>
      <c r="H209" s="113">
        <f>'Sampling Data'!G199</f>
        <v>0</v>
      </c>
      <c r="I209" s="112">
        <f>'Sampling Data'!H199</f>
        <v>0</v>
      </c>
      <c r="J209" s="112">
        <f>'Sampling Data'!I199</f>
        <v>0</v>
      </c>
      <c r="K209" s="112">
        <f>'Sampling Data'!J199</f>
        <v>80</v>
      </c>
      <c r="L209" s="111">
        <f>'Sampling Data'!X199</f>
        <v>0</v>
      </c>
      <c r="M209" s="114"/>
      <c r="N209" s="114"/>
      <c r="O209" s="115"/>
      <c r="P209" s="115"/>
      <c r="Q209" s="116"/>
      <c r="R209" s="116"/>
      <c r="S209" s="111">
        <f>Audit[[#This Row],[Audit Losing Candidate]]-Audit[[#This Row],[Losing Candidate]]</f>
        <v>-28</v>
      </c>
      <c r="T209" s="111">
        <f>Audit[[#This Row],[Audit Winning Candidate]]-Audit[[#This Row],[Winning Candidate]]</f>
        <v>-30</v>
      </c>
      <c r="U209" s="111">
        <f>Audit[[#This Row],[Audit Candidate 3]]-Audit[[#This Row],[Candidate 3]]</f>
        <v>-12</v>
      </c>
      <c r="V209" s="111">
        <f>Audit[[#This Row],[Audit Candidate 4]]-Audit[[#This Row],[Candidate 4]]</f>
        <v>-10</v>
      </c>
      <c r="W209" s="111">
        <f>Audit[[#This Row],[Audit Candidate 5]]-Audit[[#This Row],[Candidate 5]]</f>
        <v>0</v>
      </c>
      <c r="X209" s="111">
        <f>Audit[[#This Row],[Audit Candidate 6]]-Audit[[#This Row],[Candidate 6]]</f>
        <v>0</v>
      </c>
      <c r="Y209" s="111">
        <f>SUMIF(Audit[[#This Row],[Difference Loser]:[Difference Candidate 6]], "&gt;0")</f>
        <v>0</v>
      </c>
      <c r="Z209" s="111">
        <f>SUM(Audit[[#This Row],[Difference Loser]:[Difference Candidate 6]])</f>
        <v>-80</v>
      </c>
      <c r="AA209" s="111">
        <f>IF(Audit[[#This Row],[Times p Drawn - With Replacement]]&gt;0, IF(Audit[[#This Row],[Canceled Differences]]&lt;0, Audit[[#This Row],[Max Differences]]+ABS(Audit[[#This Row],[Canceled Differences]]), Audit[[#This Row],[Max Differences]]), 0)</f>
        <v>0</v>
      </c>
      <c r="AB209" s="111">
        <f>'Sampling Data'!P199</f>
        <v>5.0220480156785889E-3</v>
      </c>
      <c r="AC209" s="111">
        <f>IF(
      SUM(Audit[[#This Row],[Audit Losing Candidate]:[Audit Candidate 6]])
      &lt;&gt;0,
      (Audit[[#This Row],[Winning Candidate]]-Audit[[#This Row],[Losing Candidate]]-(Audit[[#This Row],[Audit Winning Candidate]]-Audit[[#This Row],[Audit Losing Candidate]]))/(Audit[[#Totals],[Winning Candidate]]-Audit[[#Totals],[Losing Candidate]]),
      0
)</f>
        <v>0</v>
      </c>
      <c r="AD2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 s="111">
        <f>IF(Audit[[#This Row],[Max Relative Error (ep)]] = 0, 0, Audit[[#This Row],[Max Relative Error (ep)]]/Audit[[#This Row],[Error Bound (up) - Max. possible relative overstatement]])</f>
        <v>0</v>
      </c>
      <c r="AJ2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9" s="111">
        <f t="shared" si="3"/>
        <v>1</v>
      </c>
      <c r="AL209" s="111">
        <f>PRODUCT($AK$5:AK209)</f>
        <v>8.962823818226312E-2</v>
      </c>
      <c r="AM209" s="109">
        <f>1 - [K-M P Value]</f>
        <v>0.91037176181773694</v>
      </c>
      <c r="AN209" s="111" t="str">
        <f>IF(Audit[[#This Row],[K-M P Value]]&gt;1-'General Info'!$B$16,"Continue", "Stop")</f>
        <v>Stop</v>
      </c>
      <c r="AO209" s="110" t="b">
        <f>IF(Audit[[#This Row],[Status - Continue or stop audit]] = "Continue", TRUE, IF(AN208 = "Continue", TRUE, FALSE))</f>
        <v>0</v>
      </c>
      <c r="AP209" s="110"/>
    </row>
    <row r="210" spans="1:42" ht="15" hidden="1" customHeight="1">
      <c r="A210" s="111" t="str">
        <f>'Sampling Data'!W200</f>
        <v/>
      </c>
      <c r="B210" s="112" t="str">
        <f>'Sampling Data'!A200</f>
        <v>BROOK PARK -03-A - ABS</v>
      </c>
      <c r="C210" s="112">
        <f>'Sampling Data'!B200</f>
        <v>13</v>
      </c>
      <c r="D210" s="112">
        <f>'Sampling Data'!C200</f>
        <v>19</v>
      </c>
      <c r="E210" s="113">
        <f>'Sampling Data'!D200</f>
        <v>5</v>
      </c>
      <c r="F210" s="113">
        <f>'Sampling Data'!E200</f>
        <v>1</v>
      </c>
      <c r="G210" s="113">
        <f>'Sampling Data'!F200</f>
        <v>0</v>
      </c>
      <c r="H210" s="113">
        <f>'Sampling Data'!G200</f>
        <v>1</v>
      </c>
      <c r="I210" s="112">
        <f>'Sampling Data'!H200</f>
        <v>0</v>
      </c>
      <c r="J210" s="112">
        <f>'Sampling Data'!I200</f>
        <v>0</v>
      </c>
      <c r="K210" s="112">
        <f>'Sampling Data'!J200</f>
        <v>39</v>
      </c>
      <c r="L210" s="111">
        <f>'Sampling Data'!X200</f>
        <v>0</v>
      </c>
      <c r="M210" s="114"/>
      <c r="N210" s="114"/>
      <c r="O210" s="115"/>
      <c r="P210" s="115"/>
      <c r="Q210" s="116"/>
      <c r="R210" s="116"/>
      <c r="S210" s="111">
        <f>Audit[[#This Row],[Audit Losing Candidate]]-Audit[[#This Row],[Losing Candidate]]</f>
        <v>-13</v>
      </c>
      <c r="T210" s="111">
        <f>Audit[[#This Row],[Audit Winning Candidate]]-Audit[[#This Row],[Winning Candidate]]</f>
        <v>-19</v>
      </c>
      <c r="U210" s="111">
        <f>Audit[[#This Row],[Audit Candidate 3]]-Audit[[#This Row],[Candidate 3]]</f>
        <v>-5</v>
      </c>
      <c r="V210" s="111">
        <f>Audit[[#This Row],[Audit Candidate 4]]-Audit[[#This Row],[Candidate 4]]</f>
        <v>-1</v>
      </c>
      <c r="W210" s="111">
        <f>Audit[[#This Row],[Audit Candidate 5]]-Audit[[#This Row],[Candidate 5]]</f>
        <v>0</v>
      </c>
      <c r="X210" s="111">
        <f>Audit[[#This Row],[Audit Candidate 6]]-Audit[[#This Row],[Candidate 6]]</f>
        <v>-1</v>
      </c>
      <c r="Y210" s="111">
        <f>SUMIF(Audit[[#This Row],[Difference Loser]:[Difference Candidate 6]], "&gt;0")</f>
        <v>0</v>
      </c>
      <c r="Z210" s="111">
        <f>SUM(Audit[[#This Row],[Difference Loser]:[Difference Candidate 6]])</f>
        <v>-39</v>
      </c>
      <c r="AA210" s="111">
        <f>IF(Audit[[#This Row],[Times p Drawn - With Replacement]]&gt;0, IF(Audit[[#This Row],[Canceled Differences]]&lt;0, Audit[[#This Row],[Max Differences]]+ABS(Audit[[#This Row],[Canceled Differences]]), Audit[[#This Row],[Max Differences]]), 0)</f>
        <v>0</v>
      </c>
      <c r="AB210" s="111">
        <f>'Sampling Data'!P200</f>
        <v>2.7560019598236157E-3</v>
      </c>
      <c r="AC210" s="111">
        <f>IF(
      SUM(Audit[[#This Row],[Audit Losing Candidate]:[Audit Candidate 6]])
      &lt;&gt;0,
      (Audit[[#This Row],[Winning Candidate]]-Audit[[#This Row],[Losing Candidate]]-(Audit[[#This Row],[Audit Winning Candidate]]-Audit[[#This Row],[Audit Losing Candidate]]))/(Audit[[#Totals],[Winning Candidate]]-Audit[[#Totals],[Losing Candidate]]),
      0
)</f>
        <v>0</v>
      </c>
      <c r="AD2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 s="111">
        <f>IF(Audit[[#This Row],[Max Relative Error (ep)]] = 0, 0, Audit[[#This Row],[Max Relative Error (ep)]]/Audit[[#This Row],[Error Bound (up) - Max. possible relative overstatement]])</f>
        <v>0</v>
      </c>
      <c r="AJ2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0" s="111">
        <f t="shared" si="3"/>
        <v>1</v>
      </c>
      <c r="AL210" s="111">
        <f>PRODUCT($AK$5:AK210)</f>
        <v>8.962823818226312E-2</v>
      </c>
      <c r="AM210" s="109">
        <f>1 - [K-M P Value]</f>
        <v>0.91037176181773694</v>
      </c>
      <c r="AN210" s="111" t="str">
        <f>IF(Audit[[#This Row],[K-M P Value]]&gt;1-'General Info'!$B$16,"Continue", "Stop")</f>
        <v>Stop</v>
      </c>
      <c r="AO210" s="110" t="b">
        <f>IF(Audit[[#This Row],[Status - Continue or stop audit]] = "Continue", TRUE, IF(AN209 = "Continue", TRUE, FALSE))</f>
        <v>0</v>
      </c>
      <c r="AP210" s="110"/>
    </row>
    <row r="211" spans="1:42" ht="15" hidden="1" customHeight="1">
      <c r="A211" s="111" t="str">
        <f>'Sampling Data'!W201</f>
        <v/>
      </c>
      <c r="B211" s="112" t="str">
        <f>'Sampling Data'!A201</f>
        <v>BROOK PARK -03-B</v>
      </c>
      <c r="C211" s="112">
        <f>'Sampling Data'!B201</f>
        <v>43</v>
      </c>
      <c r="D211" s="112">
        <f>'Sampling Data'!C201</f>
        <v>29</v>
      </c>
      <c r="E211" s="113">
        <f>'Sampling Data'!D201</f>
        <v>22</v>
      </c>
      <c r="F211" s="113">
        <f>'Sampling Data'!E201</f>
        <v>8</v>
      </c>
      <c r="G211" s="113">
        <f>'Sampling Data'!F201</f>
        <v>2</v>
      </c>
      <c r="H211" s="113">
        <f>'Sampling Data'!G201</f>
        <v>0</v>
      </c>
      <c r="I211" s="112">
        <f>'Sampling Data'!H201</f>
        <v>0</v>
      </c>
      <c r="J211" s="112">
        <f>'Sampling Data'!I201</f>
        <v>1</v>
      </c>
      <c r="K211" s="112">
        <f>'Sampling Data'!J201</f>
        <v>105</v>
      </c>
      <c r="L211" s="111">
        <f>'Sampling Data'!X201</f>
        <v>0</v>
      </c>
      <c r="M211" s="114"/>
      <c r="N211" s="114"/>
      <c r="O211" s="115"/>
      <c r="P211" s="115"/>
      <c r="Q211" s="116"/>
      <c r="R211" s="116"/>
      <c r="S211" s="111">
        <f>Audit[[#This Row],[Audit Losing Candidate]]-Audit[[#This Row],[Losing Candidate]]</f>
        <v>-43</v>
      </c>
      <c r="T211" s="111">
        <f>Audit[[#This Row],[Audit Winning Candidate]]-Audit[[#This Row],[Winning Candidate]]</f>
        <v>-29</v>
      </c>
      <c r="U211" s="111">
        <f>Audit[[#This Row],[Audit Candidate 3]]-Audit[[#This Row],[Candidate 3]]</f>
        <v>-22</v>
      </c>
      <c r="V211" s="111">
        <f>Audit[[#This Row],[Audit Candidate 4]]-Audit[[#This Row],[Candidate 4]]</f>
        <v>-8</v>
      </c>
      <c r="W211" s="111">
        <f>Audit[[#This Row],[Audit Candidate 5]]-Audit[[#This Row],[Candidate 5]]</f>
        <v>-2</v>
      </c>
      <c r="X211" s="111">
        <f>Audit[[#This Row],[Audit Candidate 6]]-Audit[[#This Row],[Candidate 6]]</f>
        <v>0</v>
      </c>
      <c r="Y211" s="111">
        <f>SUMIF(Audit[[#This Row],[Difference Loser]:[Difference Candidate 6]], "&gt;0")</f>
        <v>0</v>
      </c>
      <c r="Z211" s="111">
        <f>SUM(Audit[[#This Row],[Difference Loser]:[Difference Candidate 6]])</f>
        <v>-104</v>
      </c>
      <c r="AA211" s="111">
        <f>IF(Audit[[#This Row],[Times p Drawn - With Replacement]]&gt;0, IF(Audit[[#This Row],[Canceled Differences]]&lt;0, Audit[[#This Row],[Max Differences]]+ABS(Audit[[#This Row],[Canceled Differences]]), Audit[[#This Row],[Max Differences]]), 0)</f>
        <v>0</v>
      </c>
      <c r="AB211" s="111">
        <f>'Sampling Data'!P201</f>
        <v>5.5732484076433117E-3</v>
      </c>
      <c r="AC211" s="111">
        <f>IF(
      SUM(Audit[[#This Row],[Audit Losing Candidate]:[Audit Candidate 6]])
      &lt;&gt;0,
      (Audit[[#This Row],[Winning Candidate]]-Audit[[#This Row],[Losing Candidate]]-(Audit[[#This Row],[Audit Winning Candidate]]-Audit[[#This Row],[Audit Losing Candidate]]))/(Audit[[#Totals],[Winning Candidate]]-Audit[[#Totals],[Losing Candidate]]),
      0
)</f>
        <v>0</v>
      </c>
      <c r="AD2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 s="111">
        <f>IF(Audit[[#This Row],[Max Relative Error (ep)]] = 0, 0, Audit[[#This Row],[Max Relative Error (ep)]]/Audit[[#This Row],[Error Bound (up) - Max. possible relative overstatement]])</f>
        <v>0</v>
      </c>
      <c r="AJ2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1" s="111">
        <f t="shared" si="3"/>
        <v>1</v>
      </c>
      <c r="AL211" s="111">
        <f>PRODUCT($AK$5:AK211)</f>
        <v>8.962823818226312E-2</v>
      </c>
      <c r="AM211" s="109">
        <f>1 - [K-M P Value]</f>
        <v>0.91037176181773694</v>
      </c>
      <c r="AN211" s="111" t="str">
        <f>IF(Audit[[#This Row],[K-M P Value]]&gt;1-'General Info'!$B$16,"Continue", "Stop")</f>
        <v>Stop</v>
      </c>
      <c r="AO211" s="110" t="b">
        <f>IF(Audit[[#This Row],[Status - Continue or stop audit]] = "Continue", TRUE, IF(AN210 = "Continue", TRUE, FALSE))</f>
        <v>0</v>
      </c>
      <c r="AP211" s="110"/>
    </row>
    <row r="212" spans="1:42" ht="15" hidden="1" customHeight="1">
      <c r="A212" s="111" t="str">
        <f>'Sampling Data'!W202</f>
        <v/>
      </c>
      <c r="B212" s="112" t="str">
        <f>'Sampling Data'!A202</f>
        <v>BROOK PARK -03-B - ABS</v>
      </c>
      <c r="C212" s="112">
        <f>'Sampling Data'!B202</f>
        <v>15</v>
      </c>
      <c r="D212" s="112">
        <f>'Sampling Data'!C202</f>
        <v>8</v>
      </c>
      <c r="E212" s="113">
        <f>'Sampling Data'!D202</f>
        <v>6</v>
      </c>
      <c r="F212" s="113">
        <f>'Sampling Data'!E202</f>
        <v>1</v>
      </c>
      <c r="G212" s="113">
        <f>'Sampling Data'!F202</f>
        <v>0</v>
      </c>
      <c r="H212" s="113">
        <f>'Sampling Data'!G202</f>
        <v>0</v>
      </c>
      <c r="I212" s="112">
        <f>'Sampling Data'!H202</f>
        <v>0</v>
      </c>
      <c r="J212" s="112">
        <f>'Sampling Data'!I202</f>
        <v>1</v>
      </c>
      <c r="K212" s="112">
        <f>'Sampling Data'!J202</f>
        <v>31</v>
      </c>
      <c r="L212" s="111">
        <f>'Sampling Data'!X202</f>
        <v>0</v>
      </c>
      <c r="M212" s="114"/>
      <c r="N212" s="114"/>
      <c r="O212" s="115"/>
      <c r="P212" s="115"/>
      <c r="Q212" s="116"/>
      <c r="R212" s="116"/>
      <c r="S212" s="111">
        <f>Audit[[#This Row],[Audit Losing Candidate]]-Audit[[#This Row],[Losing Candidate]]</f>
        <v>-15</v>
      </c>
      <c r="T212" s="111">
        <f>Audit[[#This Row],[Audit Winning Candidate]]-Audit[[#This Row],[Winning Candidate]]</f>
        <v>-8</v>
      </c>
      <c r="U212" s="111">
        <f>Audit[[#This Row],[Audit Candidate 3]]-Audit[[#This Row],[Candidate 3]]</f>
        <v>-6</v>
      </c>
      <c r="V212" s="111">
        <f>Audit[[#This Row],[Audit Candidate 4]]-Audit[[#This Row],[Candidate 4]]</f>
        <v>-1</v>
      </c>
      <c r="W212" s="111">
        <f>Audit[[#This Row],[Audit Candidate 5]]-Audit[[#This Row],[Candidate 5]]</f>
        <v>0</v>
      </c>
      <c r="X212" s="111">
        <f>Audit[[#This Row],[Audit Candidate 6]]-Audit[[#This Row],[Candidate 6]]</f>
        <v>0</v>
      </c>
      <c r="Y212" s="111">
        <f>SUMIF(Audit[[#This Row],[Difference Loser]:[Difference Candidate 6]], "&gt;0")</f>
        <v>0</v>
      </c>
      <c r="Z212" s="111">
        <f>SUM(Audit[[#This Row],[Difference Loser]:[Difference Candidate 6]])</f>
        <v>-30</v>
      </c>
      <c r="AA212" s="111">
        <f>IF(Audit[[#This Row],[Times p Drawn - With Replacement]]&gt;0, IF(Audit[[#This Row],[Canceled Differences]]&lt;0, Audit[[#This Row],[Max Differences]]+ABS(Audit[[#This Row],[Canceled Differences]]), Audit[[#This Row],[Max Differences]]), 0)</f>
        <v>0</v>
      </c>
      <c r="AB212" s="111">
        <f>'Sampling Data'!P202</f>
        <v>1.4698677119059284E-3</v>
      </c>
      <c r="AC212" s="111">
        <f>IF(
      SUM(Audit[[#This Row],[Audit Losing Candidate]:[Audit Candidate 6]])
      &lt;&gt;0,
      (Audit[[#This Row],[Winning Candidate]]-Audit[[#This Row],[Losing Candidate]]-(Audit[[#This Row],[Audit Winning Candidate]]-Audit[[#This Row],[Audit Losing Candidate]]))/(Audit[[#Totals],[Winning Candidate]]-Audit[[#Totals],[Losing Candidate]]),
      0
)</f>
        <v>0</v>
      </c>
      <c r="AD2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 s="111">
        <f>IF(Audit[[#This Row],[Max Relative Error (ep)]] = 0, 0, Audit[[#This Row],[Max Relative Error (ep)]]/Audit[[#This Row],[Error Bound (up) - Max. possible relative overstatement]])</f>
        <v>0</v>
      </c>
      <c r="AJ2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2" s="111">
        <f t="shared" si="3"/>
        <v>1</v>
      </c>
      <c r="AL212" s="111">
        <f>PRODUCT($AK$5:AK212)</f>
        <v>8.962823818226312E-2</v>
      </c>
      <c r="AM212" s="109">
        <f>1 - [K-M P Value]</f>
        <v>0.91037176181773694</v>
      </c>
      <c r="AN212" s="111" t="str">
        <f>IF(Audit[[#This Row],[K-M P Value]]&gt;1-'General Info'!$B$16,"Continue", "Stop")</f>
        <v>Stop</v>
      </c>
      <c r="AO212" s="110" t="b">
        <f>IF(Audit[[#This Row],[Status - Continue or stop audit]] = "Continue", TRUE, IF(AN211 = "Continue", TRUE, FALSE))</f>
        <v>0</v>
      </c>
      <c r="AP212" s="110"/>
    </row>
    <row r="213" spans="1:42" ht="15" hidden="1" customHeight="1">
      <c r="A213" s="111" t="str">
        <f>'Sampling Data'!W203</f>
        <v/>
      </c>
      <c r="B213" s="112" t="str">
        <f>'Sampling Data'!A203</f>
        <v>BROOK PARK -03-C</v>
      </c>
      <c r="C213" s="112">
        <f>'Sampling Data'!B203</f>
        <v>30</v>
      </c>
      <c r="D213" s="112">
        <f>'Sampling Data'!C203</f>
        <v>31</v>
      </c>
      <c r="E213" s="113">
        <f>'Sampling Data'!D203</f>
        <v>15</v>
      </c>
      <c r="F213" s="113">
        <f>'Sampling Data'!E203</f>
        <v>16</v>
      </c>
      <c r="G213" s="113">
        <f>'Sampling Data'!F203</f>
        <v>0</v>
      </c>
      <c r="H213" s="113">
        <f>'Sampling Data'!G203</f>
        <v>2</v>
      </c>
      <c r="I213" s="112">
        <f>'Sampling Data'!H203</f>
        <v>2</v>
      </c>
      <c r="J213" s="112">
        <f>'Sampling Data'!I203</f>
        <v>2</v>
      </c>
      <c r="K213" s="112">
        <f>'Sampling Data'!J203</f>
        <v>98</v>
      </c>
      <c r="L213" s="111">
        <f>'Sampling Data'!X203</f>
        <v>0</v>
      </c>
      <c r="M213" s="114"/>
      <c r="N213" s="114"/>
      <c r="O213" s="115"/>
      <c r="P213" s="115"/>
      <c r="Q213" s="116"/>
      <c r="R213" s="116"/>
      <c r="S213" s="111">
        <f>Audit[[#This Row],[Audit Losing Candidate]]-Audit[[#This Row],[Losing Candidate]]</f>
        <v>-30</v>
      </c>
      <c r="T213" s="111">
        <f>Audit[[#This Row],[Audit Winning Candidate]]-Audit[[#This Row],[Winning Candidate]]</f>
        <v>-31</v>
      </c>
      <c r="U213" s="111">
        <f>Audit[[#This Row],[Audit Candidate 3]]-Audit[[#This Row],[Candidate 3]]</f>
        <v>-15</v>
      </c>
      <c r="V213" s="111">
        <f>Audit[[#This Row],[Audit Candidate 4]]-Audit[[#This Row],[Candidate 4]]</f>
        <v>-16</v>
      </c>
      <c r="W213" s="111">
        <f>Audit[[#This Row],[Audit Candidate 5]]-Audit[[#This Row],[Candidate 5]]</f>
        <v>0</v>
      </c>
      <c r="X213" s="111">
        <f>Audit[[#This Row],[Audit Candidate 6]]-Audit[[#This Row],[Candidate 6]]</f>
        <v>-2</v>
      </c>
      <c r="Y213" s="111">
        <f>SUMIF(Audit[[#This Row],[Difference Loser]:[Difference Candidate 6]], "&gt;0")</f>
        <v>0</v>
      </c>
      <c r="Z213" s="111">
        <f>SUM(Audit[[#This Row],[Difference Loser]:[Difference Candidate 6]])</f>
        <v>-94</v>
      </c>
      <c r="AA213" s="111">
        <f>IF(Audit[[#This Row],[Times p Drawn - With Replacement]]&gt;0, IF(Audit[[#This Row],[Canceled Differences]]&lt;0, Audit[[#This Row],[Max Differences]]+ABS(Audit[[#This Row],[Canceled Differences]]), Audit[[#This Row],[Max Differences]]), 0)</f>
        <v>0</v>
      </c>
      <c r="AB213" s="111">
        <f>'Sampling Data'!P203</f>
        <v>6.063204311611955E-3</v>
      </c>
      <c r="AC213" s="111">
        <f>IF(
      SUM(Audit[[#This Row],[Audit Losing Candidate]:[Audit Candidate 6]])
      &lt;&gt;0,
      (Audit[[#This Row],[Winning Candidate]]-Audit[[#This Row],[Losing Candidate]]-(Audit[[#This Row],[Audit Winning Candidate]]-Audit[[#This Row],[Audit Losing Candidate]]))/(Audit[[#Totals],[Winning Candidate]]-Audit[[#Totals],[Losing Candidate]]),
      0
)</f>
        <v>0</v>
      </c>
      <c r="AD2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 s="111">
        <f>IF(Audit[[#This Row],[Max Relative Error (ep)]] = 0, 0, Audit[[#This Row],[Max Relative Error (ep)]]/Audit[[#This Row],[Error Bound (up) - Max. possible relative overstatement]])</f>
        <v>0</v>
      </c>
      <c r="AJ2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3" s="111">
        <f t="shared" si="3"/>
        <v>1</v>
      </c>
      <c r="AL213" s="111">
        <f>PRODUCT($AK$5:AK213)</f>
        <v>8.962823818226312E-2</v>
      </c>
      <c r="AM213" s="109">
        <f>1 - [K-M P Value]</f>
        <v>0.91037176181773694</v>
      </c>
      <c r="AN213" s="111" t="str">
        <f>IF(Audit[[#This Row],[K-M P Value]]&gt;1-'General Info'!$B$16,"Continue", "Stop")</f>
        <v>Stop</v>
      </c>
      <c r="AO213" s="110" t="b">
        <f>IF(Audit[[#This Row],[Status - Continue or stop audit]] = "Continue", TRUE, IF(AN212 = "Continue", TRUE, FALSE))</f>
        <v>0</v>
      </c>
      <c r="AP213" s="110"/>
    </row>
    <row r="214" spans="1:42" ht="15" hidden="1" customHeight="1">
      <c r="A214" s="111" t="str">
        <f>'Sampling Data'!W204</f>
        <v/>
      </c>
      <c r="B214" s="112" t="str">
        <f>'Sampling Data'!A204</f>
        <v>BROOK PARK -03-C - ABS</v>
      </c>
      <c r="C214" s="112">
        <f>'Sampling Data'!B204</f>
        <v>6</v>
      </c>
      <c r="D214" s="112">
        <f>'Sampling Data'!C204</f>
        <v>4</v>
      </c>
      <c r="E214" s="113">
        <f>'Sampling Data'!D204</f>
        <v>1</v>
      </c>
      <c r="F214" s="113">
        <f>'Sampling Data'!E204</f>
        <v>1</v>
      </c>
      <c r="G214" s="113">
        <f>'Sampling Data'!F204</f>
        <v>0</v>
      </c>
      <c r="H214" s="113">
        <f>'Sampling Data'!G204</f>
        <v>0</v>
      </c>
      <c r="I214" s="112">
        <f>'Sampling Data'!H204</f>
        <v>0</v>
      </c>
      <c r="J214" s="112">
        <f>'Sampling Data'!I204</f>
        <v>0</v>
      </c>
      <c r="K214" s="112">
        <f>'Sampling Data'!J204</f>
        <v>12</v>
      </c>
      <c r="L214" s="111">
        <f>'Sampling Data'!X204</f>
        <v>0</v>
      </c>
      <c r="M214" s="114"/>
      <c r="N214" s="114"/>
      <c r="O214" s="115"/>
      <c r="P214" s="115"/>
      <c r="Q214" s="116"/>
      <c r="R214" s="116"/>
      <c r="S214" s="111">
        <f>Audit[[#This Row],[Audit Losing Candidate]]-Audit[[#This Row],[Losing Candidate]]</f>
        <v>-6</v>
      </c>
      <c r="T214" s="111">
        <f>Audit[[#This Row],[Audit Winning Candidate]]-Audit[[#This Row],[Winning Candidate]]</f>
        <v>-4</v>
      </c>
      <c r="U214" s="111">
        <f>Audit[[#This Row],[Audit Candidate 3]]-Audit[[#This Row],[Candidate 3]]</f>
        <v>-1</v>
      </c>
      <c r="V214" s="111">
        <f>Audit[[#This Row],[Audit Candidate 4]]-Audit[[#This Row],[Candidate 4]]</f>
        <v>-1</v>
      </c>
      <c r="W214" s="111">
        <f>Audit[[#This Row],[Audit Candidate 5]]-Audit[[#This Row],[Candidate 5]]</f>
        <v>0</v>
      </c>
      <c r="X214" s="111">
        <f>Audit[[#This Row],[Audit Candidate 6]]-Audit[[#This Row],[Candidate 6]]</f>
        <v>0</v>
      </c>
      <c r="Y214" s="111">
        <f>SUMIF(Audit[[#This Row],[Difference Loser]:[Difference Candidate 6]], "&gt;0")</f>
        <v>0</v>
      </c>
      <c r="Z214" s="111">
        <f>SUM(Audit[[#This Row],[Difference Loser]:[Difference Candidate 6]])</f>
        <v>-12</v>
      </c>
      <c r="AA214" s="111">
        <f>IF(Audit[[#This Row],[Times p Drawn - With Replacement]]&gt;0, IF(Audit[[#This Row],[Canceled Differences]]&lt;0, Audit[[#This Row],[Max Differences]]+ABS(Audit[[#This Row],[Canceled Differences]]), Audit[[#This Row],[Max Differences]]), 0)</f>
        <v>0</v>
      </c>
      <c r="AB214" s="111">
        <f>'Sampling Data'!P204</f>
        <v>6.1244487996080352E-4</v>
      </c>
      <c r="AC214" s="111">
        <f>IF(
      SUM(Audit[[#This Row],[Audit Losing Candidate]:[Audit Candidate 6]])
      &lt;&gt;0,
      (Audit[[#This Row],[Winning Candidate]]-Audit[[#This Row],[Losing Candidate]]-(Audit[[#This Row],[Audit Winning Candidate]]-Audit[[#This Row],[Audit Losing Candidate]]))/(Audit[[#Totals],[Winning Candidate]]-Audit[[#Totals],[Losing Candidate]]),
      0
)</f>
        <v>0</v>
      </c>
      <c r="AD2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 s="111">
        <f>IF(Audit[[#This Row],[Max Relative Error (ep)]] = 0, 0, Audit[[#This Row],[Max Relative Error (ep)]]/Audit[[#This Row],[Error Bound (up) - Max. possible relative overstatement]])</f>
        <v>0</v>
      </c>
      <c r="AJ2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4" s="111">
        <f t="shared" si="3"/>
        <v>1</v>
      </c>
      <c r="AL214" s="111">
        <f>PRODUCT($AK$5:AK214)</f>
        <v>8.962823818226312E-2</v>
      </c>
      <c r="AM214" s="109">
        <f>1 - [K-M P Value]</f>
        <v>0.91037176181773694</v>
      </c>
      <c r="AN214" s="111" t="str">
        <f>IF(Audit[[#This Row],[K-M P Value]]&gt;1-'General Info'!$B$16,"Continue", "Stop")</f>
        <v>Stop</v>
      </c>
      <c r="AO214" s="110" t="b">
        <f>IF(Audit[[#This Row],[Status - Continue or stop audit]] = "Continue", TRUE, IF(AN213 = "Continue", TRUE, FALSE))</f>
        <v>0</v>
      </c>
      <c r="AP214" s="110"/>
    </row>
    <row r="215" spans="1:42" ht="15" hidden="1" customHeight="1">
      <c r="A215" s="111" t="str">
        <f>'Sampling Data'!W205</f>
        <v/>
      </c>
      <c r="B215" s="112" t="str">
        <f>'Sampling Data'!A205</f>
        <v>BROOK PARK -04-A</v>
      </c>
      <c r="C215" s="112">
        <f>'Sampling Data'!B205</f>
        <v>36</v>
      </c>
      <c r="D215" s="112">
        <f>'Sampling Data'!C205</f>
        <v>41</v>
      </c>
      <c r="E215" s="113">
        <f>'Sampling Data'!D205</f>
        <v>13</v>
      </c>
      <c r="F215" s="113">
        <f>'Sampling Data'!E205</f>
        <v>5</v>
      </c>
      <c r="G215" s="113">
        <f>'Sampling Data'!F205</f>
        <v>1</v>
      </c>
      <c r="H215" s="113">
        <f>'Sampling Data'!G205</f>
        <v>0</v>
      </c>
      <c r="I215" s="112">
        <f>'Sampling Data'!H205</f>
        <v>0</v>
      </c>
      <c r="J215" s="112">
        <f>'Sampling Data'!I205</f>
        <v>1</v>
      </c>
      <c r="K215" s="112">
        <f>'Sampling Data'!J205</f>
        <v>97</v>
      </c>
      <c r="L215" s="111">
        <f>'Sampling Data'!X205</f>
        <v>0</v>
      </c>
      <c r="M215" s="114"/>
      <c r="N215" s="114"/>
      <c r="O215" s="115"/>
      <c r="P215" s="115"/>
      <c r="Q215" s="116"/>
      <c r="R215" s="116"/>
      <c r="S215" s="111">
        <f>Audit[[#This Row],[Audit Losing Candidate]]-Audit[[#This Row],[Losing Candidate]]</f>
        <v>-36</v>
      </c>
      <c r="T215" s="111">
        <f>Audit[[#This Row],[Audit Winning Candidate]]-Audit[[#This Row],[Winning Candidate]]</f>
        <v>-41</v>
      </c>
      <c r="U215" s="111">
        <f>Audit[[#This Row],[Audit Candidate 3]]-Audit[[#This Row],[Candidate 3]]</f>
        <v>-13</v>
      </c>
      <c r="V215" s="111">
        <f>Audit[[#This Row],[Audit Candidate 4]]-Audit[[#This Row],[Candidate 4]]</f>
        <v>-5</v>
      </c>
      <c r="W215" s="111">
        <f>Audit[[#This Row],[Audit Candidate 5]]-Audit[[#This Row],[Candidate 5]]</f>
        <v>-1</v>
      </c>
      <c r="X215" s="111">
        <f>Audit[[#This Row],[Audit Candidate 6]]-Audit[[#This Row],[Candidate 6]]</f>
        <v>0</v>
      </c>
      <c r="Y215" s="111">
        <f>SUMIF(Audit[[#This Row],[Difference Loser]:[Difference Candidate 6]], "&gt;0")</f>
        <v>0</v>
      </c>
      <c r="Z215" s="111">
        <f>SUM(Audit[[#This Row],[Difference Loser]:[Difference Candidate 6]])</f>
        <v>-96</v>
      </c>
      <c r="AA215" s="111">
        <f>IF(Audit[[#This Row],[Times p Drawn - With Replacement]]&gt;0, IF(Audit[[#This Row],[Canceled Differences]]&lt;0, Audit[[#This Row],[Max Differences]]+ABS(Audit[[#This Row],[Canceled Differences]]), Audit[[#This Row],[Max Differences]]), 0)</f>
        <v>0</v>
      </c>
      <c r="AB215" s="111">
        <f>'Sampling Data'!P205</f>
        <v>6.2469377756001962E-3</v>
      </c>
      <c r="AC215" s="111">
        <f>IF(
      SUM(Audit[[#This Row],[Audit Losing Candidate]:[Audit Candidate 6]])
      &lt;&gt;0,
      (Audit[[#This Row],[Winning Candidate]]-Audit[[#This Row],[Losing Candidate]]-(Audit[[#This Row],[Audit Winning Candidate]]-Audit[[#This Row],[Audit Losing Candidate]]))/(Audit[[#Totals],[Winning Candidate]]-Audit[[#Totals],[Losing Candidate]]),
      0
)</f>
        <v>0</v>
      </c>
      <c r="AD2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 s="111">
        <f>IF(Audit[[#This Row],[Max Relative Error (ep)]] = 0, 0, Audit[[#This Row],[Max Relative Error (ep)]]/Audit[[#This Row],[Error Bound (up) - Max. possible relative overstatement]])</f>
        <v>0</v>
      </c>
      <c r="AJ2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5" s="111">
        <f t="shared" si="3"/>
        <v>1</v>
      </c>
      <c r="AL215" s="111">
        <f>PRODUCT($AK$5:AK215)</f>
        <v>8.962823818226312E-2</v>
      </c>
      <c r="AM215" s="109">
        <f>1 - [K-M P Value]</f>
        <v>0.91037176181773694</v>
      </c>
      <c r="AN215" s="111" t="str">
        <f>IF(Audit[[#This Row],[K-M P Value]]&gt;1-'General Info'!$B$16,"Continue", "Stop")</f>
        <v>Stop</v>
      </c>
      <c r="AO215" s="110" t="b">
        <f>IF(Audit[[#This Row],[Status - Continue or stop audit]] = "Continue", TRUE, IF(AN214 = "Continue", TRUE, FALSE))</f>
        <v>0</v>
      </c>
      <c r="AP215" s="110"/>
    </row>
    <row r="216" spans="1:42" ht="15" hidden="1" customHeight="1">
      <c r="A216" s="111" t="str">
        <f>'Sampling Data'!W206</f>
        <v/>
      </c>
      <c r="B216" s="112" t="str">
        <f>'Sampling Data'!A206</f>
        <v>BROOK PARK -04-A - ABS</v>
      </c>
      <c r="C216" s="112">
        <f>'Sampling Data'!B206</f>
        <v>16</v>
      </c>
      <c r="D216" s="112">
        <f>'Sampling Data'!C206</f>
        <v>14</v>
      </c>
      <c r="E216" s="113">
        <f>'Sampling Data'!D206</f>
        <v>6</v>
      </c>
      <c r="F216" s="113">
        <f>'Sampling Data'!E206</f>
        <v>4</v>
      </c>
      <c r="G216" s="113">
        <f>'Sampling Data'!F206</f>
        <v>1</v>
      </c>
      <c r="H216" s="113">
        <f>'Sampling Data'!G206</f>
        <v>0</v>
      </c>
      <c r="I216" s="112">
        <f>'Sampling Data'!H206</f>
        <v>0</v>
      </c>
      <c r="J216" s="112">
        <f>'Sampling Data'!I206</f>
        <v>0</v>
      </c>
      <c r="K216" s="112">
        <f>'Sampling Data'!J206</f>
        <v>41</v>
      </c>
      <c r="L216" s="111">
        <f>'Sampling Data'!X206</f>
        <v>0</v>
      </c>
      <c r="M216" s="114"/>
      <c r="N216" s="114"/>
      <c r="O216" s="115"/>
      <c r="P216" s="115"/>
      <c r="Q216" s="116"/>
      <c r="R216" s="116"/>
      <c r="S216" s="111">
        <f>Audit[[#This Row],[Audit Losing Candidate]]-Audit[[#This Row],[Losing Candidate]]</f>
        <v>-16</v>
      </c>
      <c r="T216" s="111">
        <f>Audit[[#This Row],[Audit Winning Candidate]]-Audit[[#This Row],[Winning Candidate]]</f>
        <v>-14</v>
      </c>
      <c r="U216" s="111">
        <f>Audit[[#This Row],[Audit Candidate 3]]-Audit[[#This Row],[Candidate 3]]</f>
        <v>-6</v>
      </c>
      <c r="V216" s="111">
        <f>Audit[[#This Row],[Audit Candidate 4]]-Audit[[#This Row],[Candidate 4]]</f>
        <v>-4</v>
      </c>
      <c r="W216" s="111">
        <f>Audit[[#This Row],[Audit Candidate 5]]-Audit[[#This Row],[Candidate 5]]</f>
        <v>-1</v>
      </c>
      <c r="X216" s="111">
        <f>Audit[[#This Row],[Audit Candidate 6]]-Audit[[#This Row],[Candidate 6]]</f>
        <v>0</v>
      </c>
      <c r="Y216" s="111">
        <f>SUMIF(Audit[[#This Row],[Difference Loser]:[Difference Candidate 6]], "&gt;0")</f>
        <v>0</v>
      </c>
      <c r="Z216" s="111">
        <f>SUM(Audit[[#This Row],[Difference Loser]:[Difference Candidate 6]])</f>
        <v>-41</v>
      </c>
      <c r="AA216" s="111">
        <f>IF(Audit[[#This Row],[Times p Drawn - With Replacement]]&gt;0, IF(Audit[[#This Row],[Canceled Differences]]&lt;0, Audit[[#This Row],[Max Differences]]+ABS(Audit[[#This Row],[Canceled Differences]]), Audit[[#This Row],[Max Differences]]), 0)</f>
        <v>0</v>
      </c>
      <c r="AB216" s="111">
        <f>'Sampling Data'!P206</f>
        <v>2.3885350318471337E-3</v>
      </c>
      <c r="AC216" s="111">
        <f>IF(
      SUM(Audit[[#This Row],[Audit Losing Candidate]:[Audit Candidate 6]])
      &lt;&gt;0,
      (Audit[[#This Row],[Winning Candidate]]-Audit[[#This Row],[Losing Candidate]]-(Audit[[#This Row],[Audit Winning Candidate]]-Audit[[#This Row],[Audit Losing Candidate]]))/(Audit[[#Totals],[Winning Candidate]]-Audit[[#Totals],[Losing Candidate]]),
      0
)</f>
        <v>0</v>
      </c>
      <c r="AD2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 s="111">
        <f>IF(Audit[[#This Row],[Max Relative Error (ep)]] = 0, 0, Audit[[#This Row],[Max Relative Error (ep)]]/Audit[[#This Row],[Error Bound (up) - Max. possible relative overstatement]])</f>
        <v>0</v>
      </c>
      <c r="AJ2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6" s="111">
        <f t="shared" si="3"/>
        <v>1</v>
      </c>
      <c r="AL216" s="111">
        <f>PRODUCT($AK$5:AK216)</f>
        <v>8.962823818226312E-2</v>
      </c>
      <c r="AM216" s="109">
        <f>1 - [K-M P Value]</f>
        <v>0.91037176181773694</v>
      </c>
      <c r="AN216" s="111" t="str">
        <f>IF(Audit[[#This Row],[K-M P Value]]&gt;1-'General Info'!$B$16,"Continue", "Stop")</f>
        <v>Stop</v>
      </c>
      <c r="AO216" s="110" t="b">
        <f>IF(Audit[[#This Row],[Status - Continue or stop audit]] = "Continue", TRUE, IF(AN215 = "Continue", TRUE, FALSE))</f>
        <v>0</v>
      </c>
      <c r="AP216" s="110"/>
    </row>
    <row r="217" spans="1:42" ht="15" hidden="1" customHeight="1">
      <c r="A217" s="111" t="str">
        <f>'Sampling Data'!W207</f>
        <v/>
      </c>
      <c r="B217" s="112" t="str">
        <f>'Sampling Data'!A207</f>
        <v>BROOK PARK -04-B</v>
      </c>
      <c r="C217" s="112">
        <f>'Sampling Data'!B207</f>
        <v>26</v>
      </c>
      <c r="D217" s="112">
        <f>'Sampling Data'!C207</f>
        <v>39</v>
      </c>
      <c r="E217" s="113">
        <f>'Sampling Data'!D207</f>
        <v>6</v>
      </c>
      <c r="F217" s="113">
        <f>'Sampling Data'!E207</f>
        <v>15</v>
      </c>
      <c r="G217" s="113">
        <f>'Sampling Data'!F207</f>
        <v>0</v>
      </c>
      <c r="H217" s="113">
        <f>'Sampling Data'!G207</f>
        <v>1</v>
      </c>
      <c r="I217" s="112">
        <f>'Sampling Data'!H207</f>
        <v>1</v>
      </c>
      <c r="J217" s="112">
        <f>'Sampling Data'!I207</f>
        <v>8</v>
      </c>
      <c r="K217" s="112">
        <f>'Sampling Data'!J207</f>
        <v>96</v>
      </c>
      <c r="L217" s="111">
        <f>'Sampling Data'!X207</f>
        <v>0</v>
      </c>
      <c r="M217" s="114"/>
      <c r="N217" s="114"/>
      <c r="O217" s="115"/>
      <c r="P217" s="115"/>
      <c r="Q217" s="116"/>
      <c r="R217" s="116"/>
      <c r="S217" s="111">
        <f>Audit[[#This Row],[Audit Losing Candidate]]-Audit[[#This Row],[Losing Candidate]]</f>
        <v>-26</v>
      </c>
      <c r="T217" s="111">
        <f>Audit[[#This Row],[Audit Winning Candidate]]-Audit[[#This Row],[Winning Candidate]]</f>
        <v>-39</v>
      </c>
      <c r="U217" s="111">
        <f>Audit[[#This Row],[Audit Candidate 3]]-Audit[[#This Row],[Candidate 3]]</f>
        <v>-6</v>
      </c>
      <c r="V217" s="111">
        <f>Audit[[#This Row],[Audit Candidate 4]]-Audit[[#This Row],[Candidate 4]]</f>
        <v>-15</v>
      </c>
      <c r="W217" s="111">
        <f>Audit[[#This Row],[Audit Candidate 5]]-Audit[[#This Row],[Candidate 5]]</f>
        <v>0</v>
      </c>
      <c r="X217" s="111">
        <f>Audit[[#This Row],[Audit Candidate 6]]-Audit[[#This Row],[Candidate 6]]</f>
        <v>-1</v>
      </c>
      <c r="Y217" s="111">
        <f>SUMIF(Audit[[#This Row],[Difference Loser]:[Difference Candidate 6]], "&gt;0")</f>
        <v>0</v>
      </c>
      <c r="Z217" s="111">
        <f>SUM(Audit[[#This Row],[Difference Loser]:[Difference Candidate 6]])</f>
        <v>-87</v>
      </c>
      <c r="AA217" s="111">
        <f>IF(Audit[[#This Row],[Times p Drawn - With Replacement]]&gt;0, IF(Audit[[#This Row],[Canceled Differences]]&lt;0, Audit[[#This Row],[Max Differences]]+ABS(Audit[[#This Row],[Canceled Differences]]), Audit[[#This Row],[Max Differences]]), 0)</f>
        <v>0</v>
      </c>
      <c r="AB217" s="111">
        <f>'Sampling Data'!P207</f>
        <v>6.6756491915727582E-3</v>
      </c>
      <c r="AC217" s="111">
        <f>IF(
      SUM(Audit[[#This Row],[Audit Losing Candidate]:[Audit Candidate 6]])
      &lt;&gt;0,
      (Audit[[#This Row],[Winning Candidate]]-Audit[[#This Row],[Losing Candidate]]-(Audit[[#This Row],[Audit Winning Candidate]]-Audit[[#This Row],[Audit Losing Candidate]]))/(Audit[[#Totals],[Winning Candidate]]-Audit[[#Totals],[Losing Candidate]]),
      0
)</f>
        <v>0</v>
      </c>
      <c r="AD2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7" s="111">
        <f>IF(Audit[[#This Row],[Max Relative Error (ep)]] = 0, 0, Audit[[#This Row],[Max Relative Error (ep)]]/Audit[[#This Row],[Error Bound (up) - Max. possible relative overstatement]])</f>
        <v>0</v>
      </c>
      <c r="AJ2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7" s="111">
        <f t="shared" si="3"/>
        <v>1</v>
      </c>
      <c r="AL217" s="111">
        <f>PRODUCT($AK$5:AK217)</f>
        <v>8.962823818226312E-2</v>
      </c>
      <c r="AM217" s="109">
        <f>1 - [K-M P Value]</f>
        <v>0.91037176181773694</v>
      </c>
      <c r="AN217" s="111" t="str">
        <f>IF(Audit[[#This Row],[K-M P Value]]&gt;1-'General Info'!$B$16,"Continue", "Stop")</f>
        <v>Stop</v>
      </c>
      <c r="AO217" s="110" t="b">
        <f>IF(Audit[[#This Row],[Status - Continue or stop audit]] = "Continue", TRUE, IF(AN216 = "Continue", TRUE, FALSE))</f>
        <v>0</v>
      </c>
      <c r="AP217" s="110"/>
    </row>
    <row r="218" spans="1:42" ht="15" hidden="1" customHeight="1">
      <c r="A218" s="111" t="str">
        <f>'Sampling Data'!W208</f>
        <v/>
      </c>
      <c r="B218" s="112" t="str">
        <f>'Sampling Data'!A208</f>
        <v>BROOK PARK -04-B - ABS</v>
      </c>
      <c r="C218" s="112">
        <f>'Sampling Data'!B208</f>
        <v>11</v>
      </c>
      <c r="D218" s="112">
        <f>'Sampling Data'!C208</f>
        <v>7</v>
      </c>
      <c r="E218" s="113">
        <f>'Sampling Data'!D208</f>
        <v>2</v>
      </c>
      <c r="F218" s="113">
        <f>'Sampling Data'!E208</f>
        <v>4</v>
      </c>
      <c r="G218" s="113">
        <f>'Sampling Data'!F208</f>
        <v>0</v>
      </c>
      <c r="H218" s="113">
        <f>'Sampling Data'!G208</f>
        <v>0</v>
      </c>
      <c r="I218" s="112">
        <f>'Sampling Data'!H208</f>
        <v>0</v>
      </c>
      <c r="J218" s="112">
        <f>'Sampling Data'!I208</f>
        <v>1</v>
      </c>
      <c r="K218" s="112">
        <f>'Sampling Data'!J208</f>
        <v>25</v>
      </c>
      <c r="L218" s="111">
        <f>'Sampling Data'!X208</f>
        <v>0</v>
      </c>
      <c r="M218" s="114"/>
      <c r="N218" s="114"/>
      <c r="O218" s="115"/>
      <c r="P218" s="115"/>
      <c r="Q218" s="116"/>
      <c r="R218" s="116"/>
      <c r="S218" s="111">
        <f>Audit[[#This Row],[Audit Losing Candidate]]-Audit[[#This Row],[Losing Candidate]]</f>
        <v>-11</v>
      </c>
      <c r="T218" s="111">
        <f>Audit[[#This Row],[Audit Winning Candidate]]-Audit[[#This Row],[Winning Candidate]]</f>
        <v>-7</v>
      </c>
      <c r="U218" s="111">
        <f>Audit[[#This Row],[Audit Candidate 3]]-Audit[[#This Row],[Candidate 3]]</f>
        <v>-2</v>
      </c>
      <c r="V218" s="111">
        <f>Audit[[#This Row],[Audit Candidate 4]]-Audit[[#This Row],[Candidate 4]]</f>
        <v>-4</v>
      </c>
      <c r="W218" s="111">
        <f>Audit[[#This Row],[Audit Candidate 5]]-Audit[[#This Row],[Candidate 5]]</f>
        <v>0</v>
      </c>
      <c r="X218" s="111">
        <f>Audit[[#This Row],[Audit Candidate 6]]-Audit[[#This Row],[Candidate 6]]</f>
        <v>0</v>
      </c>
      <c r="Y218" s="111">
        <f>SUMIF(Audit[[#This Row],[Difference Loser]:[Difference Candidate 6]], "&gt;0")</f>
        <v>0</v>
      </c>
      <c r="Z218" s="111">
        <f>SUM(Audit[[#This Row],[Difference Loser]:[Difference Candidate 6]])</f>
        <v>-24</v>
      </c>
      <c r="AA218" s="111">
        <f>IF(Audit[[#This Row],[Times p Drawn - With Replacement]]&gt;0, IF(Audit[[#This Row],[Canceled Differences]]&lt;0, Audit[[#This Row],[Max Differences]]+ABS(Audit[[#This Row],[Canceled Differences]]), Audit[[#This Row],[Max Differences]]), 0)</f>
        <v>0</v>
      </c>
      <c r="AB218" s="111">
        <f>'Sampling Data'!P208</f>
        <v>1.2861342479176874E-3</v>
      </c>
      <c r="AC218" s="111">
        <f>IF(
      SUM(Audit[[#This Row],[Audit Losing Candidate]:[Audit Candidate 6]])
      &lt;&gt;0,
      (Audit[[#This Row],[Winning Candidate]]-Audit[[#This Row],[Losing Candidate]]-(Audit[[#This Row],[Audit Winning Candidate]]-Audit[[#This Row],[Audit Losing Candidate]]))/(Audit[[#Totals],[Winning Candidate]]-Audit[[#Totals],[Losing Candidate]]),
      0
)</f>
        <v>0</v>
      </c>
      <c r="AD2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8" s="111">
        <f>IF(Audit[[#This Row],[Max Relative Error (ep)]] = 0, 0, Audit[[#This Row],[Max Relative Error (ep)]]/Audit[[#This Row],[Error Bound (up) - Max. possible relative overstatement]])</f>
        <v>0</v>
      </c>
      <c r="AJ2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8" s="111">
        <f t="shared" si="3"/>
        <v>1</v>
      </c>
      <c r="AL218" s="111">
        <f>PRODUCT($AK$5:AK218)</f>
        <v>8.962823818226312E-2</v>
      </c>
      <c r="AM218" s="109">
        <f>1 - [K-M P Value]</f>
        <v>0.91037176181773694</v>
      </c>
      <c r="AN218" s="111" t="str">
        <f>IF(Audit[[#This Row],[K-M P Value]]&gt;1-'General Info'!$B$16,"Continue", "Stop")</f>
        <v>Stop</v>
      </c>
      <c r="AO218" s="110" t="b">
        <f>IF(Audit[[#This Row],[Status - Continue or stop audit]] = "Continue", TRUE, IF(AN217 = "Continue", TRUE, FALSE))</f>
        <v>0</v>
      </c>
      <c r="AP218" s="110"/>
    </row>
    <row r="219" spans="1:42" ht="15" hidden="1" customHeight="1">
      <c r="A219" s="111" t="str">
        <f>'Sampling Data'!W209</f>
        <v/>
      </c>
      <c r="B219" s="112" t="str">
        <f>'Sampling Data'!A209</f>
        <v>BROOK PARK -04-C</v>
      </c>
      <c r="C219" s="112">
        <f>'Sampling Data'!B209</f>
        <v>31</v>
      </c>
      <c r="D219" s="112">
        <f>'Sampling Data'!C209</f>
        <v>39</v>
      </c>
      <c r="E219" s="113">
        <f>'Sampling Data'!D209</f>
        <v>12</v>
      </c>
      <c r="F219" s="113">
        <f>'Sampling Data'!E209</f>
        <v>7</v>
      </c>
      <c r="G219" s="113">
        <f>'Sampling Data'!F209</f>
        <v>0</v>
      </c>
      <c r="H219" s="113">
        <f>'Sampling Data'!G209</f>
        <v>0</v>
      </c>
      <c r="I219" s="112">
        <f>'Sampling Data'!H209</f>
        <v>0</v>
      </c>
      <c r="J219" s="112">
        <f>'Sampling Data'!I209</f>
        <v>0</v>
      </c>
      <c r="K219" s="112">
        <f>'Sampling Data'!J209</f>
        <v>89</v>
      </c>
      <c r="L219" s="111">
        <f>'Sampling Data'!X209</f>
        <v>0</v>
      </c>
      <c r="M219" s="114"/>
      <c r="N219" s="114"/>
      <c r="O219" s="115"/>
      <c r="P219" s="115"/>
      <c r="Q219" s="116"/>
      <c r="R219" s="116"/>
      <c r="S219" s="111">
        <f>Audit[[#This Row],[Audit Losing Candidate]]-Audit[[#This Row],[Losing Candidate]]</f>
        <v>-31</v>
      </c>
      <c r="T219" s="111">
        <f>Audit[[#This Row],[Audit Winning Candidate]]-Audit[[#This Row],[Winning Candidate]]</f>
        <v>-39</v>
      </c>
      <c r="U219" s="111">
        <f>Audit[[#This Row],[Audit Candidate 3]]-Audit[[#This Row],[Candidate 3]]</f>
        <v>-12</v>
      </c>
      <c r="V219" s="111">
        <f>Audit[[#This Row],[Audit Candidate 4]]-Audit[[#This Row],[Candidate 4]]</f>
        <v>-7</v>
      </c>
      <c r="W219" s="111">
        <f>Audit[[#This Row],[Audit Candidate 5]]-Audit[[#This Row],[Candidate 5]]</f>
        <v>0</v>
      </c>
      <c r="X219" s="111">
        <f>Audit[[#This Row],[Audit Candidate 6]]-Audit[[#This Row],[Candidate 6]]</f>
        <v>0</v>
      </c>
      <c r="Y219" s="111">
        <f>SUMIF(Audit[[#This Row],[Difference Loser]:[Difference Candidate 6]], "&gt;0")</f>
        <v>0</v>
      </c>
      <c r="Z219" s="111">
        <f>SUM(Audit[[#This Row],[Difference Loser]:[Difference Candidate 6]])</f>
        <v>-89</v>
      </c>
      <c r="AA219" s="111">
        <f>IF(Audit[[#This Row],[Times p Drawn - With Replacement]]&gt;0, IF(Audit[[#This Row],[Canceled Differences]]&lt;0, Audit[[#This Row],[Max Differences]]+ABS(Audit[[#This Row],[Canceled Differences]]), Audit[[#This Row],[Max Differences]]), 0)</f>
        <v>0</v>
      </c>
      <c r="AB219" s="111">
        <f>'Sampling Data'!P209</f>
        <v>5.9407153356197942E-3</v>
      </c>
      <c r="AC219" s="111">
        <f>IF(
      SUM(Audit[[#This Row],[Audit Losing Candidate]:[Audit Candidate 6]])
      &lt;&gt;0,
      (Audit[[#This Row],[Winning Candidate]]-Audit[[#This Row],[Losing Candidate]]-(Audit[[#This Row],[Audit Winning Candidate]]-Audit[[#This Row],[Audit Losing Candidate]]))/(Audit[[#Totals],[Winning Candidate]]-Audit[[#Totals],[Losing Candidate]]),
      0
)</f>
        <v>0</v>
      </c>
      <c r="AD2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9" s="111">
        <f>IF(Audit[[#This Row],[Max Relative Error (ep)]] = 0, 0, Audit[[#This Row],[Max Relative Error (ep)]]/Audit[[#This Row],[Error Bound (up) - Max. possible relative overstatement]])</f>
        <v>0</v>
      </c>
      <c r="AJ2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9" s="111">
        <f t="shared" si="3"/>
        <v>1</v>
      </c>
      <c r="AL219" s="111">
        <f>PRODUCT($AK$5:AK219)</f>
        <v>8.962823818226312E-2</v>
      </c>
      <c r="AM219" s="109">
        <f>1 - [K-M P Value]</f>
        <v>0.91037176181773694</v>
      </c>
      <c r="AN219" s="111" t="str">
        <f>IF(Audit[[#This Row],[K-M P Value]]&gt;1-'General Info'!$B$16,"Continue", "Stop")</f>
        <v>Stop</v>
      </c>
      <c r="AO219" s="110" t="b">
        <f>IF(Audit[[#This Row],[Status - Continue or stop audit]] = "Continue", TRUE, IF(AN218 = "Continue", TRUE, FALSE))</f>
        <v>0</v>
      </c>
      <c r="AP219" s="110"/>
    </row>
    <row r="220" spans="1:42" ht="15" hidden="1" customHeight="1">
      <c r="A220" s="111" t="str">
        <f>'Sampling Data'!W210</f>
        <v/>
      </c>
      <c r="B220" s="112" t="str">
        <f>'Sampling Data'!A210</f>
        <v>BROOK PARK -04-C - ABS</v>
      </c>
      <c r="C220" s="112">
        <f>'Sampling Data'!B210</f>
        <v>8</v>
      </c>
      <c r="D220" s="112">
        <f>'Sampling Data'!C210</f>
        <v>10</v>
      </c>
      <c r="E220" s="113">
        <f>'Sampling Data'!D210</f>
        <v>1</v>
      </c>
      <c r="F220" s="113">
        <f>'Sampling Data'!E210</f>
        <v>1</v>
      </c>
      <c r="G220" s="113">
        <f>'Sampling Data'!F210</f>
        <v>0</v>
      </c>
      <c r="H220" s="113">
        <f>'Sampling Data'!G210</f>
        <v>2</v>
      </c>
      <c r="I220" s="112">
        <f>'Sampling Data'!H210</f>
        <v>0</v>
      </c>
      <c r="J220" s="112">
        <f>'Sampling Data'!I210</f>
        <v>1</v>
      </c>
      <c r="K220" s="112">
        <f>'Sampling Data'!J210</f>
        <v>23</v>
      </c>
      <c r="L220" s="111">
        <f>'Sampling Data'!X210</f>
        <v>0</v>
      </c>
      <c r="M220" s="114"/>
      <c r="N220" s="114"/>
      <c r="O220" s="115"/>
      <c r="P220" s="115"/>
      <c r="Q220" s="116"/>
      <c r="R220" s="116"/>
      <c r="S220" s="111">
        <f>Audit[[#This Row],[Audit Losing Candidate]]-Audit[[#This Row],[Losing Candidate]]</f>
        <v>-8</v>
      </c>
      <c r="T220" s="111">
        <f>Audit[[#This Row],[Audit Winning Candidate]]-Audit[[#This Row],[Winning Candidate]]</f>
        <v>-10</v>
      </c>
      <c r="U220" s="111">
        <f>Audit[[#This Row],[Audit Candidate 3]]-Audit[[#This Row],[Candidate 3]]</f>
        <v>-1</v>
      </c>
      <c r="V220" s="111">
        <f>Audit[[#This Row],[Audit Candidate 4]]-Audit[[#This Row],[Candidate 4]]</f>
        <v>-1</v>
      </c>
      <c r="W220" s="111">
        <f>Audit[[#This Row],[Audit Candidate 5]]-Audit[[#This Row],[Candidate 5]]</f>
        <v>0</v>
      </c>
      <c r="X220" s="111">
        <f>Audit[[#This Row],[Audit Candidate 6]]-Audit[[#This Row],[Candidate 6]]</f>
        <v>-2</v>
      </c>
      <c r="Y220" s="111">
        <f>SUMIF(Audit[[#This Row],[Difference Loser]:[Difference Candidate 6]], "&gt;0")</f>
        <v>0</v>
      </c>
      <c r="Z220" s="111">
        <f>SUM(Audit[[#This Row],[Difference Loser]:[Difference Candidate 6]])</f>
        <v>-22</v>
      </c>
      <c r="AA220" s="111">
        <f>IF(Audit[[#This Row],[Times p Drawn - With Replacement]]&gt;0, IF(Audit[[#This Row],[Canceled Differences]]&lt;0, Audit[[#This Row],[Max Differences]]+ABS(Audit[[#This Row],[Canceled Differences]]), Audit[[#This Row],[Max Differences]]), 0)</f>
        <v>0</v>
      </c>
      <c r="AB220" s="111">
        <f>'Sampling Data'!P210</f>
        <v>1.5311121999020088E-3</v>
      </c>
      <c r="AC220" s="111">
        <f>IF(
      SUM(Audit[[#This Row],[Audit Losing Candidate]:[Audit Candidate 6]])
      &lt;&gt;0,
      (Audit[[#This Row],[Winning Candidate]]-Audit[[#This Row],[Losing Candidate]]-(Audit[[#This Row],[Audit Winning Candidate]]-Audit[[#This Row],[Audit Losing Candidate]]))/(Audit[[#Totals],[Winning Candidate]]-Audit[[#Totals],[Losing Candidate]]),
      0
)</f>
        <v>0</v>
      </c>
      <c r="AD2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0" s="111">
        <f>IF(Audit[[#This Row],[Max Relative Error (ep)]] = 0, 0, Audit[[#This Row],[Max Relative Error (ep)]]/Audit[[#This Row],[Error Bound (up) - Max. possible relative overstatement]])</f>
        <v>0</v>
      </c>
      <c r="AJ2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20" s="111">
        <f t="shared" si="3"/>
        <v>1</v>
      </c>
      <c r="AL220" s="111">
        <f>PRODUCT($AK$5:AK220)</f>
        <v>8.962823818226312E-2</v>
      </c>
      <c r="AM220" s="109">
        <f>1 - [K-M P Value]</f>
        <v>0.91037176181773694</v>
      </c>
      <c r="AN220" s="111" t="str">
        <f>IF(Audit[[#This Row],[K-M P Value]]&gt;1-'General Info'!$B$16,"Continue", "Stop")</f>
        <v>Stop</v>
      </c>
      <c r="AO220" s="110" t="b">
        <f>IF(Audit[[#This Row],[Status - Continue or stop audit]] = "Continue", TRUE, IF(AN219 = "Continue", TRUE, FALSE))</f>
        <v>0</v>
      </c>
      <c r="AP220" s="110"/>
    </row>
    <row r="221" spans="1:42" ht="15" hidden="1" customHeight="1">
      <c r="A221" s="111" t="str">
        <f>'Sampling Data'!W211</f>
        <v/>
      </c>
      <c r="B221" s="112" t="str">
        <f>'Sampling Data'!A211</f>
        <v>BROOKLYN -00-A</v>
      </c>
      <c r="C221" s="112">
        <f>'Sampling Data'!B211</f>
        <v>15</v>
      </c>
      <c r="D221" s="112">
        <f>'Sampling Data'!C211</f>
        <v>12</v>
      </c>
      <c r="E221" s="113">
        <f>'Sampling Data'!D211</f>
        <v>5</v>
      </c>
      <c r="F221" s="113">
        <f>'Sampling Data'!E211</f>
        <v>6</v>
      </c>
      <c r="G221" s="113">
        <f>'Sampling Data'!F211</f>
        <v>0</v>
      </c>
      <c r="H221" s="113">
        <f>'Sampling Data'!G211</f>
        <v>0</v>
      </c>
      <c r="I221" s="112">
        <f>'Sampling Data'!H211</f>
        <v>0</v>
      </c>
      <c r="J221" s="112">
        <f>'Sampling Data'!I211</f>
        <v>0</v>
      </c>
      <c r="K221" s="112">
        <f>'Sampling Data'!J211</f>
        <v>38</v>
      </c>
      <c r="L221" s="111">
        <f>'Sampling Data'!X211</f>
        <v>0</v>
      </c>
      <c r="M221" s="114"/>
      <c r="N221" s="114"/>
      <c r="O221" s="115"/>
      <c r="P221" s="115"/>
      <c r="Q221" s="116"/>
      <c r="R221" s="116"/>
      <c r="S221" s="111">
        <f>Audit[[#This Row],[Audit Losing Candidate]]-Audit[[#This Row],[Losing Candidate]]</f>
        <v>-15</v>
      </c>
      <c r="T221" s="111">
        <f>Audit[[#This Row],[Audit Winning Candidate]]-Audit[[#This Row],[Winning Candidate]]</f>
        <v>-12</v>
      </c>
      <c r="U221" s="111">
        <f>Audit[[#This Row],[Audit Candidate 3]]-Audit[[#This Row],[Candidate 3]]</f>
        <v>-5</v>
      </c>
      <c r="V221" s="111">
        <f>Audit[[#This Row],[Audit Candidate 4]]-Audit[[#This Row],[Candidate 4]]</f>
        <v>-6</v>
      </c>
      <c r="W221" s="111">
        <f>Audit[[#This Row],[Audit Candidate 5]]-Audit[[#This Row],[Candidate 5]]</f>
        <v>0</v>
      </c>
      <c r="X221" s="111">
        <f>Audit[[#This Row],[Audit Candidate 6]]-Audit[[#This Row],[Candidate 6]]</f>
        <v>0</v>
      </c>
      <c r="Y221" s="111">
        <f>SUMIF(Audit[[#This Row],[Difference Loser]:[Difference Candidate 6]], "&gt;0")</f>
        <v>0</v>
      </c>
      <c r="Z221" s="111">
        <f>SUM(Audit[[#This Row],[Difference Loser]:[Difference Candidate 6]])</f>
        <v>-38</v>
      </c>
      <c r="AA221" s="111">
        <f>IF(Audit[[#This Row],[Times p Drawn - With Replacement]]&gt;0, IF(Audit[[#This Row],[Canceled Differences]]&lt;0, Audit[[#This Row],[Max Differences]]+ABS(Audit[[#This Row],[Canceled Differences]]), Audit[[#This Row],[Max Differences]]), 0)</f>
        <v>0</v>
      </c>
      <c r="AB221" s="111">
        <f>'Sampling Data'!P211</f>
        <v>2.1435570798628125E-3</v>
      </c>
      <c r="AC221" s="111">
        <f>IF(
      SUM(Audit[[#This Row],[Audit Losing Candidate]:[Audit Candidate 6]])
      &lt;&gt;0,
      (Audit[[#This Row],[Winning Candidate]]-Audit[[#This Row],[Losing Candidate]]-(Audit[[#This Row],[Audit Winning Candidate]]-Audit[[#This Row],[Audit Losing Candidate]]))/(Audit[[#Totals],[Winning Candidate]]-Audit[[#Totals],[Losing Candidate]]),
      0
)</f>
        <v>0</v>
      </c>
      <c r="AD2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1" s="111">
        <f>IF(Audit[[#This Row],[Max Relative Error (ep)]] = 0, 0, Audit[[#This Row],[Max Relative Error (ep)]]/Audit[[#This Row],[Error Bound (up) - Max. possible relative overstatement]])</f>
        <v>0</v>
      </c>
      <c r="AJ2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21" s="111">
        <f t="shared" si="3"/>
        <v>1</v>
      </c>
      <c r="AL221" s="111">
        <f>PRODUCT($AK$5:AK221)</f>
        <v>8.962823818226312E-2</v>
      </c>
      <c r="AM221" s="109">
        <f>1 - [K-M P Value]</f>
        <v>0.91037176181773694</v>
      </c>
      <c r="AN221" s="111" t="str">
        <f>IF(Audit[[#This Row],[K-M P Value]]&gt;1-'General Info'!$B$16,"Continue", "Stop")</f>
        <v>Stop</v>
      </c>
      <c r="AO221" s="110" t="b">
        <f>IF(Audit[[#This Row],[Status - Continue or stop audit]] = "Continue", TRUE, IF(AN220 = "Continue", TRUE, FALSE))</f>
        <v>0</v>
      </c>
      <c r="AP221" s="110"/>
    </row>
    <row r="222" spans="1:42" ht="15" hidden="1" customHeight="1">
      <c r="A222" s="111" t="str">
        <f>'Sampling Data'!W212</f>
        <v/>
      </c>
      <c r="B222" s="112" t="str">
        <f>'Sampling Data'!A212</f>
        <v>BROOKLYN -00-A - ABS</v>
      </c>
      <c r="C222" s="112">
        <f>'Sampling Data'!B212</f>
        <v>4</v>
      </c>
      <c r="D222" s="112">
        <f>'Sampling Data'!C212</f>
        <v>2</v>
      </c>
      <c r="E222" s="113">
        <f>'Sampling Data'!D212</f>
        <v>2</v>
      </c>
      <c r="F222" s="113">
        <f>'Sampling Data'!E212</f>
        <v>1</v>
      </c>
      <c r="G222" s="113">
        <f>'Sampling Data'!F212</f>
        <v>0</v>
      </c>
      <c r="H222" s="113">
        <f>'Sampling Data'!G212</f>
        <v>0</v>
      </c>
      <c r="I222" s="112">
        <f>'Sampling Data'!H212</f>
        <v>0</v>
      </c>
      <c r="J222" s="112">
        <f>'Sampling Data'!I212</f>
        <v>0</v>
      </c>
      <c r="K222" s="112">
        <f>'Sampling Data'!J212</f>
        <v>9</v>
      </c>
      <c r="L222" s="111">
        <f>'Sampling Data'!X212</f>
        <v>0</v>
      </c>
      <c r="M222" s="114"/>
      <c r="N222" s="114"/>
      <c r="O222" s="115"/>
      <c r="P222" s="115"/>
      <c r="Q222" s="116"/>
      <c r="R222" s="116"/>
      <c r="S222" s="111">
        <f>Audit[[#This Row],[Audit Losing Candidate]]-Audit[[#This Row],[Losing Candidate]]</f>
        <v>-4</v>
      </c>
      <c r="T222" s="111">
        <f>Audit[[#This Row],[Audit Winning Candidate]]-Audit[[#This Row],[Winning Candidate]]</f>
        <v>-2</v>
      </c>
      <c r="U222" s="111">
        <f>Audit[[#This Row],[Audit Candidate 3]]-Audit[[#This Row],[Candidate 3]]</f>
        <v>-2</v>
      </c>
      <c r="V222" s="111">
        <f>Audit[[#This Row],[Audit Candidate 4]]-Audit[[#This Row],[Candidate 4]]</f>
        <v>-1</v>
      </c>
      <c r="W222" s="111">
        <f>Audit[[#This Row],[Audit Candidate 5]]-Audit[[#This Row],[Candidate 5]]</f>
        <v>0</v>
      </c>
      <c r="X222" s="111">
        <f>Audit[[#This Row],[Audit Candidate 6]]-Audit[[#This Row],[Candidate 6]]</f>
        <v>0</v>
      </c>
      <c r="Y222" s="111">
        <f>SUMIF(Audit[[#This Row],[Difference Loser]:[Difference Candidate 6]], "&gt;0")</f>
        <v>0</v>
      </c>
      <c r="Z222" s="111">
        <f>SUM(Audit[[#This Row],[Difference Loser]:[Difference Candidate 6]])</f>
        <v>-9</v>
      </c>
      <c r="AA222" s="111">
        <f>IF(Audit[[#This Row],[Times p Drawn - With Replacement]]&gt;0, IF(Audit[[#This Row],[Canceled Differences]]&lt;0, Audit[[#This Row],[Max Differences]]+ABS(Audit[[#This Row],[Canceled Differences]]), Audit[[#This Row],[Max Differences]]), 0)</f>
        <v>0</v>
      </c>
      <c r="AB222" s="111">
        <f>'Sampling Data'!P212</f>
        <v>4.2871141597256246E-4</v>
      </c>
      <c r="AC222" s="111">
        <f>IF(
      SUM(Audit[[#This Row],[Audit Losing Candidate]:[Audit Candidate 6]])
      &lt;&gt;0,
      (Audit[[#This Row],[Winning Candidate]]-Audit[[#This Row],[Losing Candidate]]-(Audit[[#This Row],[Audit Winning Candidate]]-Audit[[#This Row],[Audit Losing Candidate]]))/(Audit[[#Totals],[Winning Candidate]]-Audit[[#Totals],[Losing Candidate]]),
      0
)</f>
        <v>0</v>
      </c>
      <c r="AD2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2" s="111">
        <f>IF(Audit[[#This Row],[Max Relative Error (ep)]] = 0, 0, Audit[[#This Row],[Max Relative Error (ep)]]/Audit[[#This Row],[Error Bound (up) - Max. possible relative overstatement]])</f>
        <v>0</v>
      </c>
      <c r="AJ2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22" s="111">
        <f t="shared" si="3"/>
        <v>1</v>
      </c>
      <c r="AL222" s="111">
        <f>PRODUCT($AK$5:AK222)</f>
        <v>8.962823818226312E-2</v>
      </c>
      <c r="AM222" s="109">
        <f>1 - [K-M P Value]</f>
        <v>0.91037176181773694</v>
      </c>
      <c r="AN222" s="111" t="str">
        <f>IF(Audit[[#This Row],[K-M P Value]]&gt;1-'General Info'!$B$16,"Continue", "Stop")</f>
        <v>Stop</v>
      </c>
      <c r="AO222" s="110" t="b">
        <f>IF(Audit[[#This Row],[Status - Continue or stop audit]] = "Continue", TRUE, IF(AN221 = "Continue", TRUE, FALSE))</f>
        <v>0</v>
      </c>
      <c r="AP222" s="110"/>
    </row>
    <row r="223" spans="1:42" ht="15" hidden="1" customHeight="1">
      <c r="A223" s="111" t="str">
        <f>'Sampling Data'!W213</f>
        <v/>
      </c>
      <c r="B223" s="112" t="str">
        <f>'Sampling Data'!A213</f>
        <v>BROOKLYN -00-B</v>
      </c>
      <c r="C223" s="112">
        <f>'Sampling Data'!B213</f>
        <v>27</v>
      </c>
      <c r="D223" s="112">
        <f>'Sampling Data'!C213</f>
        <v>34</v>
      </c>
      <c r="E223" s="113">
        <f>'Sampling Data'!D213</f>
        <v>11</v>
      </c>
      <c r="F223" s="113">
        <f>'Sampling Data'!E213</f>
        <v>6</v>
      </c>
      <c r="G223" s="113">
        <f>'Sampling Data'!F213</f>
        <v>0</v>
      </c>
      <c r="H223" s="113">
        <f>'Sampling Data'!G213</f>
        <v>0</v>
      </c>
      <c r="I223" s="112">
        <f>'Sampling Data'!H213</f>
        <v>0</v>
      </c>
      <c r="J223" s="112">
        <f>'Sampling Data'!I213</f>
        <v>0</v>
      </c>
      <c r="K223" s="112">
        <f>'Sampling Data'!J213</f>
        <v>78</v>
      </c>
      <c r="L223" s="111">
        <f>'Sampling Data'!X213</f>
        <v>0</v>
      </c>
      <c r="M223" s="114"/>
      <c r="N223" s="114"/>
      <c r="O223" s="115"/>
      <c r="P223" s="115"/>
      <c r="Q223" s="116"/>
      <c r="R223" s="116"/>
      <c r="S223" s="111">
        <f>Audit[[#This Row],[Audit Losing Candidate]]-Audit[[#This Row],[Losing Candidate]]</f>
        <v>-27</v>
      </c>
      <c r="T223" s="111">
        <f>Audit[[#This Row],[Audit Winning Candidate]]-Audit[[#This Row],[Winning Candidate]]</f>
        <v>-34</v>
      </c>
      <c r="U223" s="111">
        <f>Audit[[#This Row],[Audit Candidate 3]]-Audit[[#This Row],[Candidate 3]]</f>
        <v>-11</v>
      </c>
      <c r="V223" s="111">
        <f>Audit[[#This Row],[Audit Candidate 4]]-Audit[[#This Row],[Candidate 4]]</f>
        <v>-6</v>
      </c>
      <c r="W223" s="111">
        <f>Audit[[#This Row],[Audit Candidate 5]]-Audit[[#This Row],[Candidate 5]]</f>
        <v>0</v>
      </c>
      <c r="X223" s="111">
        <f>Audit[[#This Row],[Audit Candidate 6]]-Audit[[#This Row],[Candidate 6]]</f>
        <v>0</v>
      </c>
      <c r="Y223" s="111">
        <f>SUMIF(Audit[[#This Row],[Difference Loser]:[Difference Candidate 6]], "&gt;0")</f>
        <v>0</v>
      </c>
      <c r="Z223" s="111">
        <f>SUM(Audit[[#This Row],[Difference Loser]:[Difference Candidate 6]])</f>
        <v>-78</v>
      </c>
      <c r="AA223" s="111">
        <f>IF(Audit[[#This Row],[Times p Drawn - With Replacement]]&gt;0, IF(Audit[[#This Row],[Canceled Differences]]&lt;0, Audit[[#This Row],[Max Differences]]+ABS(Audit[[#This Row],[Canceled Differences]]), Audit[[#This Row],[Max Differences]]), 0)</f>
        <v>0</v>
      </c>
      <c r="AB223" s="111">
        <f>'Sampling Data'!P213</f>
        <v>5.2057814796668302E-3</v>
      </c>
      <c r="AC223" s="111">
        <f>IF(
      SUM(Audit[[#This Row],[Audit Losing Candidate]:[Audit Candidate 6]])
      &lt;&gt;0,
      (Audit[[#This Row],[Winning Candidate]]-Audit[[#This Row],[Losing Candidate]]-(Audit[[#This Row],[Audit Winning Candidate]]-Audit[[#This Row],[Audit Losing Candidate]]))/(Audit[[#Totals],[Winning Candidate]]-Audit[[#Totals],[Losing Candidate]]),
      0
)</f>
        <v>0</v>
      </c>
      <c r="AD2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3" s="111">
        <f>IF(Audit[[#This Row],[Max Relative Error (ep)]] = 0, 0, Audit[[#This Row],[Max Relative Error (ep)]]/Audit[[#This Row],[Error Bound (up) - Max. possible relative overstatement]])</f>
        <v>0</v>
      </c>
      <c r="AJ2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23" s="111">
        <f t="shared" si="3"/>
        <v>1</v>
      </c>
      <c r="AL223" s="111">
        <f>PRODUCT($AK$5:AK223)</f>
        <v>8.962823818226312E-2</v>
      </c>
      <c r="AM223" s="109">
        <f>1 - [K-M P Value]</f>
        <v>0.91037176181773694</v>
      </c>
      <c r="AN223" s="111" t="str">
        <f>IF(Audit[[#This Row],[K-M P Value]]&gt;1-'General Info'!$B$16,"Continue", "Stop")</f>
        <v>Stop</v>
      </c>
      <c r="AO223" s="110" t="b">
        <f>IF(Audit[[#This Row],[Status - Continue or stop audit]] = "Continue", TRUE, IF(AN222 = "Continue", TRUE, FALSE))</f>
        <v>0</v>
      </c>
      <c r="AP223" s="110"/>
    </row>
    <row r="224" spans="1:42" ht="15" hidden="1" customHeight="1">
      <c r="A224" s="111" t="str">
        <f>'Sampling Data'!W214</f>
        <v/>
      </c>
      <c r="B224" s="112" t="str">
        <f>'Sampling Data'!A214</f>
        <v>BROOKLYN -00-B - ABS</v>
      </c>
      <c r="C224" s="112">
        <f>'Sampling Data'!B214</f>
        <v>17</v>
      </c>
      <c r="D224" s="112">
        <f>'Sampling Data'!C214</f>
        <v>13</v>
      </c>
      <c r="E224" s="113">
        <f>'Sampling Data'!D214</f>
        <v>6</v>
      </c>
      <c r="F224" s="113">
        <f>'Sampling Data'!E214</f>
        <v>1</v>
      </c>
      <c r="G224" s="113">
        <f>'Sampling Data'!F214</f>
        <v>0</v>
      </c>
      <c r="H224" s="113">
        <f>'Sampling Data'!G214</f>
        <v>0</v>
      </c>
      <c r="I224" s="112">
        <f>'Sampling Data'!H214</f>
        <v>0</v>
      </c>
      <c r="J224" s="112">
        <f>'Sampling Data'!I214</f>
        <v>1</v>
      </c>
      <c r="K224" s="112">
        <f>'Sampling Data'!J214</f>
        <v>38</v>
      </c>
      <c r="L224" s="111">
        <f>'Sampling Data'!X214</f>
        <v>0</v>
      </c>
      <c r="M224" s="114"/>
      <c r="N224" s="114"/>
      <c r="O224" s="115"/>
      <c r="P224" s="115"/>
      <c r="Q224" s="116"/>
      <c r="R224" s="116"/>
      <c r="S224" s="111">
        <f>Audit[[#This Row],[Audit Losing Candidate]]-Audit[[#This Row],[Losing Candidate]]</f>
        <v>-17</v>
      </c>
      <c r="T224" s="111">
        <f>Audit[[#This Row],[Audit Winning Candidate]]-Audit[[#This Row],[Winning Candidate]]</f>
        <v>-13</v>
      </c>
      <c r="U224" s="111">
        <f>Audit[[#This Row],[Audit Candidate 3]]-Audit[[#This Row],[Candidate 3]]</f>
        <v>-6</v>
      </c>
      <c r="V224" s="111">
        <f>Audit[[#This Row],[Audit Candidate 4]]-Audit[[#This Row],[Candidate 4]]</f>
        <v>-1</v>
      </c>
      <c r="W224" s="111">
        <f>Audit[[#This Row],[Audit Candidate 5]]-Audit[[#This Row],[Candidate 5]]</f>
        <v>0</v>
      </c>
      <c r="X224" s="111">
        <f>Audit[[#This Row],[Audit Candidate 6]]-Audit[[#This Row],[Candidate 6]]</f>
        <v>0</v>
      </c>
      <c r="Y224" s="111">
        <f>SUMIF(Audit[[#This Row],[Difference Loser]:[Difference Candidate 6]], "&gt;0")</f>
        <v>0</v>
      </c>
      <c r="Z224" s="111">
        <f>SUM(Audit[[#This Row],[Difference Loser]:[Difference Candidate 6]])</f>
        <v>-37</v>
      </c>
      <c r="AA224" s="111">
        <f>IF(Audit[[#This Row],[Times p Drawn - With Replacement]]&gt;0, IF(Audit[[#This Row],[Canceled Differences]]&lt;0, Audit[[#This Row],[Max Differences]]+ABS(Audit[[#This Row],[Canceled Differences]]), Audit[[#This Row],[Max Differences]]), 0)</f>
        <v>0</v>
      </c>
      <c r="AB224" s="111">
        <f>'Sampling Data'!P214</f>
        <v>2.0823125918667321E-3</v>
      </c>
      <c r="AC224" s="111">
        <f>IF(
      SUM(Audit[[#This Row],[Audit Losing Candidate]:[Audit Candidate 6]])
      &lt;&gt;0,
      (Audit[[#This Row],[Winning Candidate]]-Audit[[#This Row],[Losing Candidate]]-(Audit[[#This Row],[Audit Winning Candidate]]-Audit[[#This Row],[Audit Losing Candidate]]))/(Audit[[#Totals],[Winning Candidate]]-Audit[[#Totals],[Losing Candidate]]),
      0
)</f>
        <v>0</v>
      </c>
      <c r="AD2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4" s="111">
        <f>IF(Audit[[#This Row],[Max Relative Error (ep)]] = 0, 0, Audit[[#This Row],[Max Relative Error (ep)]]/Audit[[#This Row],[Error Bound (up) - Max. possible relative overstatement]])</f>
        <v>0</v>
      </c>
      <c r="AJ2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24" s="111">
        <f t="shared" si="3"/>
        <v>1</v>
      </c>
      <c r="AL224" s="111">
        <f>PRODUCT($AK$5:AK224)</f>
        <v>8.962823818226312E-2</v>
      </c>
      <c r="AM224" s="109">
        <f>1 - [K-M P Value]</f>
        <v>0.91037176181773694</v>
      </c>
      <c r="AN224" s="111" t="str">
        <f>IF(Audit[[#This Row],[K-M P Value]]&gt;1-'General Info'!$B$16,"Continue", "Stop")</f>
        <v>Stop</v>
      </c>
      <c r="AO224" s="110" t="b">
        <f>IF(Audit[[#This Row],[Status - Continue or stop audit]] = "Continue", TRUE, IF(AN223 = "Continue", TRUE, FALSE))</f>
        <v>0</v>
      </c>
      <c r="AP224" s="110"/>
    </row>
    <row r="225" spans="1:42" ht="15" hidden="1" customHeight="1">
      <c r="A225" s="111" t="str">
        <f>'Sampling Data'!W215</f>
        <v/>
      </c>
      <c r="B225" s="112" t="str">
        <f>'Sampling Data'!A215</f>
        <v>BROOKLYN -00-C</v>
      </c>
      <c r="C225" s="112">
        <f>'Sampling Data'!B215</f>
        <v>23</v>
      </c>
      <c r="D225" s="112">
        <f>'Sampling Data'!C215</f>
        <v>37</v>
      </c>
      <c r="E225" s="113">
        <f>'Sampling Data'!D215</f>
        <v>11</v>
      </c>
      <c r="F225" s="113">
        <f>'Sampling Data'!E215</f>
        <v>5</v>
      </c>
      <c r="G225" s="113">
        <f>'Sampling Data'!F215</f>
        <v>0</v>
      </c>
      <c r="H225" s="113">
        <f>'Sampling Data'!G215</f>
        <v>0</v>
      </c>
      <c r="I225" s="112">
        <f>'Sampling Data'!H215</f>
        <v>0</v>
      </c>
      <c r="J225" s="112">
        <f>'Sampling Data'!I215</f>
        <v>0</v>
      </c>
      <c r="K225" s="112">
        <f>'Sampling Data'!J215</f>
        <v>76</v>
      </c>
      <c r="L225" s="111">
        <f>'Sampling Data'!X215</f>
        <v>0</v>
      </c>
      <c r="M225" s="114"/>
      <c r="N225" s="114"/>
      <c r="O225" s="115"/>
      <c r="P225" s="115"/>
      <c r="Q225" s="116"/>
      <c r="R225" s="116"/>
      <c r="S225" s="111">
        <f>Audit[[#This Row],[Audit Losing Candidate]]-Audit[[#This Row],[Losing Candidate]]</f>
        <v>-23</v>
      </c>
      <c r="T225" s="111">
        <f>Audit[[#This Row],[Audit Winning Candidate]]-Audit[[#This Row],[Winning Candidate]]</f>
        <v>-37</v>
      </c>
      <c r="U225" s="111">
        <f>Audit[[#This Row],[Audit Candidate 3]]-Audit[[#This Row],[Candidate 3]]</f>
        <v>-11</v>
      </c>
      <c r="V225" s="111">
        <f>Audit[[#This Row],[Audit Candidate 4]]-Audit[[#This Row],[Candidate 4]]</f>
        <v>-5</v>
      </c>
      <c r="W225" s="111">
        <f>Audit[[#This Row],[Audit Candidate 5]]-Audit[[#This Row],[Candidate 5]]</f>
        <v>0</v>
      </c>
      <c r="X225" s="111">
        <f>Audit[[#This Row],[Audit Candidate 6]]-Audit[[#This Row],[Candidate 6]]</f>
        <v>0</v>
      </c>
      <c r="Y225" s="111">
        <f>SUMIF(Audit[[#This Row],[Difference Loser]:[Difference Candidate 6]], "&gt;0")</f>
        <v>0</v>
      </c>
      <c r="Z225" s="111">
        <f>SUM(Audit[[#This Row],[Difference Loser]:[Difference Candidate 6]])</f>
        <v>-76</v>
      </c>
      <c r="AA225" s="111">
        <f>IF(Audit[[#This Row],[Times p Drawn - With Replacement]]&gt;0, IF(Audit[[#This Row],[Canceled Differences]]&lt;0, Audit[[#This Row],[Max Differences]]+ABS(Audit[[#This Row],[Canceled Differences]]), Audit[[#This Row],[Max Differences]]), 0)</f>
        <v>0</v>
      </c>
      <c r="AB225" s="111">
        <f>'Sampling Data'!P215</f>
        <v>5.5120039196472313E-3</v>
      </c>
      <c r="AC225" s="111">
        <f>IF(
      SUM(Audit[[#This Row],[Audit Losing Candidate]:[Audit Candidate 6]])
      &lt;&gt;0,
      (Audit[[#This Row],[Winning Candidate]]-Audit[[#This Row],[Losing Candidate]]-(Audit[[#This Row],[Audit Winning Candidate]]-Audit[[#This Row],[Audit Losing Candidate]]))/(Audit[[#Totals],[Winning Candidate]]-Audit[[#Totals],[Losing Candidate]]),
      0
)</f>
        <v>0</v>
      </c>
      <c r="AD2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5" s="111">
        <f>IF(Audit[[#This Row],[Max Relative Error (ep)]] = 0, 0, Audit[[#This Row],[Max Relative Error (ep)]]/Audit[[#This Row],[Error Bound (up) - Max. possible relative overstatement]])</f>
        <v>0</v>
      </c>
      <c r="AJ2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25" s="111">
        <f t="shared" si="3"/>
        <v>1</v>
      </c>
      <c r="AL225" s="111">
        <f>PRODUCT($AK$5:AK225)</f>
        <v>8.962823818226312E-2</v>
      </c>
      <c r="AM225" s="109">
        <f>1 - [K-M P Value]</f>
        <v>0.91037176181773694</v>
      </c>
      <c r="AN225" s="111" t="str">
        <f>IF(Audit[[#This Row],[K-M P Value]]&gt;1-'General Info'!$B$16,"Continue", "Stop")</f>
        <v>Stop</v>
      </c>
      <c r="AO225" s="110" t="b">
        <f>IF(Audit[[#This Row],[Status - Continue or stop audit]] = "Continue", TRUE, IF(AN224 = "Continue", TRUE, FALSE))</f>
        <v>0</v>
      </c>
      <c r="AP225" s="110"/>
    </row>
    <row r="226" spans="1:42" ht="15" hidden="1" customHeight="1">
      <c r="A226" s="111" t="str">
        <f>'Sampling Data'!W216</f>
        <v/>
      </c>
      <c r="B226" s="112" t="str">
        <f>'Sampling Data'!A216</f>
        <v>BROOKLYN -00-C - ABS</v>
      </c>
      <c r="C226" s="112">
        <f>'Sampling Data'!B216</f>
        <v>12</v>
      </c>
      <c r="D226" s="112">
        <f>'Sampling Data'!C216</f>
        <v>17</v>
      </c>
      <c r="E226" s="113">
        <f>'Sampling Data'!D216</f>
        <v>8</v>
      </c>
      <c r="F226" s="113">
        <f>'Sampling Data'!E216</f>
        <v>0</v>
      </c>
      <c r="G226" s="113">
        <f>'Sampling Data'!F216</f>
        <v>0</v>
      </c>
      <c r="H226" s="113">
        <f>'Sampling Data'!G216</f>
        <v>0</v>
      </c>
      <c r="I226" s="112">
        <f>'Sampling Data'!H216</f>
        <v>0</v>
      </c>
      <c r="J226" s="112">
        <f>'Sampling Data'!I216</f>
        <v>1</v>
      </c>
      <c r="K226" s="112">
        <f>'Sampling Data'!J216</f>
        <v>38</v>
      </c>
      <c r="L226" s="111">
        <f>'Sampling Data'!X216</f>
        <v>0</v>
      </c>
      <c r="M226" s="114"/>
      <c r="N226" s="114"/>
      <c r="O226" s="115"/>
      <c r="P226" s="115"/>
      <c r="Q226" s="116"/>
      <c r="R226" s="116"/>
      <c r="S226" s="111">
        <f>Audit[[#This Row],[Audit Losing Candidate]]-Audit[[#This Row],[Losing Candidate]]</f>
        <v>-12</v>
      </c>
      <c r="T226" s="111">
        <f>Audit[[#This Row],[Audit Winning Candidate]]-Audit[[#This Row],[Winning Candidate]]</f>
        <v>-17</v>
      </c>
      <c r="U226" s="111">
        <f>Audit[[#This Row],[Audit Candidate 3]]-Audit[[#This Row],[Candidate 3]]</f>
        <v>-8</v>
      </c>
      <c r="V226" s="111">
        <f>Audit[[#This Row],[Audit Candidate 4]]-Audit[[#This Row],[Candidate 4]]</f>
        <v>0</v>
      </c>
      <c r="W226" s="111">
        <f>Audit[[#This Row],[Audit Candidate 5]]-Audit[[#This Row],[Candidate 5]]</f>
        <v>0</v>
      </c>
      <c r="X226" s="111">
        <f>Audit[[#This Row],[Audit Candidate 6]]-Audit[[#This Row],[Candidate 6]]</f>
        <v>0</v>
      </c>
      <c r="Y226" s="111">
        <f>SUMIF(Audit[[#This Row],[Difference Loser]:[Difference Candidate 6]], "&gt;0")</f>
        <v>0</v>
      </c>
      <c r="Z226" s="111">
        <f>SUM(Audit[[#This Row],[Difference Loser]:[Difference Candidate 6]])</f>
        <v>-37</v>
      </c>
      <c r="AA226" s="111">
        <f>IF(Audit[[#This Row],[Times p Drawn - With Replacement]]&gt;0, IF(Audit[[#This Row],[Canceled Differences]]&lt;0, Audit[[#This Row],[Max Differences]]+ABS(Audit[[#This Row],[Canceled Differences]]), Audit[[#This Row],[Max Differences]]), 0)</f>
        <v>0</v>
      </c>
      <c r="AB226" s="111">
        <f>'Sampling Data'!P216</f>
        <v>2.6335129838314553E-3</v>
      </c>
      <c r="AC226" s="111">
        <f>IF(
      SUM(Audit[[#This Row],[Audit Losing Candidate]:[Audit Candidate 6]])
      &lt;&gt;0,
      (Audit[[#This Row],[Winning Candidate]]-Audit[[#This Row],[Losing Candidate]]-(Audit[[#This Row],[Audit Winning Candidate]]-Audit[[#This Row],[Audit Losing Candidate]]))/(Audit[[#Totals],[Winning Candidate]]-Audit[[#Totals],[Losing Candidate]]),
      0
)</f>
        <v>0</v>
      </c>
      <c r="AD2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6" s="111">
        <f>IF(Audit[[#This Row],[Max Relative Error (ep)]] = 0, 0, Audit[[#This Row],[Max Relative Error (ep)]]/Audit[[#This Row],[Error Bound (up) - Max. possible relative overstatement]])</f>
        <v>0</v>
      </c>
      <c r="AJ2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26" s="111">
        <f t="shared" si="3"/>
        <v>1</v>
      </c>
      <c r="AL226" s="111">
        <f>PRODUCT($AK$5:AK226)</f>
        <v>8.962823818226312E-2</v>
      </c>
      <c r="AM226" s="109">
        <f>1 - [K-M P Value]</f>
        <v>0.91037176181773694</v>
      </c>
      <c r="AN226" s="111" t="str">
        <f>IF(Audit[[#This Row],[K-M P Value]]&gt;1-'General Info'!$B$16,"Continue", "Stop")</f>
        <v>Stop</v>
      </c>
      <c r="AO226" s="110" t="b">
        <f>IF(Audit[[#This Row],[Status - Continue or stop audit]] = "Continue", TRUE, IF(AN225 = "Continue", TRUE, FALSE))</f>
        <v>0</v>
      </c>
      <c r="AP226" s="110"/>
    </row>
    <row r="227" spans="1:42" ht="15" hidden="1" customHeight="1">
      <c r="A227" s="111" t="str">
        <f>'Sampling Data'!W217</f>
        <v/>
      </c>
      <c r="B227" s="112" t="str">
        <f>'Sampling Data'!A217</f>
        <v>BROOKLYN -00-D</v>
      </c>
      <c r="C227" s="112">
        <f>'Sampling Data'!B217</f>
        <v>22</v>
      </c>
      <c r="D227" s="112">
        <f>'Sampling Data'!C217</f>
        <v>11</v>
      </c>
      <c r="E227" s="113">
        <f>'Sampling Data'!D217</f>
        <v>10</v>
      </c>
      <c r="F227" s="113">
        <f>'Sampling Data'!E217</f>
        <v>7</v>
      </c>
      <c r="G227" s="113">
        <f>'Sampling Data'!F217</f>
        <v>0</v>
      </c>
      <c r="H227" s="113">
        <f>'Sampling Data'!G217</f>
        <v>1</v>
      </c>
      <c r="I227" s="112">
        <f>'Sampling Data'!H217</f>
        <v>0</v>
      </c>
      <c r="J227" s="112">
        <f>'Sampling Data'!I217</f>
        <v>0</v>
      </c>
      <c r="K227" s="112">
        <f>'Sampling Data'!J217</f>
        <v>51</v>
      </c>
      <c r="L227" s="111">
        <f>'Sampling Data'!X217</f>
        <v>0</v>
      </c>
      <c r="M227" s="114"/>
      <c r="N227" s="114"/>
      <c r="O227" s="115"/>
      <c r="P227" s="115"/>
      <c r="Q227" s="116"/>
      <c r="R227" s="116"/>
      <c r="S227" s="111">
        <f>Audit[[#This Row],[Audit Losing Candidate]]-Audit[[#This Row],[Losing Candidate]]</f>
        <v>-22</v>
      </c>
      <c r="T227" s="111">
        <f>Audit[[#This Row],[Audit Winning Candidate]]-Audit[[#This Row],[Winning Candidate]]</f>
        <v>-11</v>
      </c>
      <c r="U227" s="111">
        <f>Audit[[#This Row],[Audit Candidate 3]]-Audit[[#This Row],[Candidate 3]]</f>
        <v>-10</v>
      </c>
      <c r="V227" s="111">
        <f>Audit[[#This Row],[Audit Candidate 4]]-Audit[[#This Row],[Candidate 4]]</f>
        <v>-7</v>
      </c>
      <c r="W227" s="111">
        <f>Audit[[#This Row],[Audit Candidate 5]]-Audit[[#This Row],[Candidate 5]]</f>
        <v>0</v>
      </c>
      <c r="X227" s="111">
        <f>Audit[[#This Row],[Audit Candidate 6]]-Audit[[#This Row],[Candidate 6]]</f>
        <v>-1</v>
      </c>
      <c r="Y227" s="111">
        <f>SUMIF(Audit[[#This Row],[Difference Loser]:[Difference Candidate 6]], "&gt;0")</f>
        <v>0</v>
      </c>
      <c r="Z227" s="111">
        <f>SUM(Audit[[#This Row],[Difference Loser]:[Difference Candidate 6]])</f>
        <v>-51</v>
      </c>
      <c r="AA227" s="111">
        <f>IF(Audit[[#This Row],[Times p Drawn - With Replacement]]&gt;0, IF(Audit[[#This Row],[Canceled Differences]]&lt;0, Audit[[#This Row],[Max Differences]]+ABS(Audit[[#This Row],[Canceled Differences]]), Audit[[#This Row],[Max Differences]]), 0)</f>
        <v>0</v>
      </c>
      <c r="AB227" s="111">
        <f>'Sampling Data'!P217</f>
        <v>2.4497795198432141E-3</v>
      </c>
      <c r="AC227" s="111">
        <f>IF(
      SUM(Audit[[#This Row],[Audit Losing Candidate]:[Audit Candidate 6]])
      &lt;&gt;0,
      (Audit[[#This Row],[Winning Candidate]]-Audit[[#This Row],[Losing Candidate]]-(Audit[[#This Row],[Audit Winning Candidate]]-Audit[[#This Row],[Audit Losing Candidate]]))/(Audit[[#Totals],[Winning Candidate]]-Audit[[#Totals],[Losing Candidate]]),
      0
)</f>
        <v>0</v>
      </c>
      <c r="AD2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7" s="111">
        <f>IF(Audit[[#This Row],[Max Relative Error (ep)]] = 0, 0, Audit[[#This Row],[Max Relative Error (ep)]]/Audit[[#This Row],[Error Bound (up) - Max. possible relative overstatement]])</f>
        <v>0</v>
      </c>
      <c r="AJ2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27" s="111">
        <f t="shared" si="3"/>
        <v>1</v>
      </c>
      <c r="AL227" s="111">
        <f>PRODUCT($AK$5:AK227)</f>
        <v>8.962823818226312E-2</v>
      </c>
      <c r="AM227" s="109">
        <f>1 - [K-M P Value]</f>
        <v>0.91037176181773694</v>
      </c>
      <c r="AN227" s="111" t="str">
        <f>IF(Audit[[#This Row],[K-M P Value]]&gt;1-'General Info'!$B$16,"Continue", "Stop")</f>
        <v>Stop</v>
      </c>
      <c r="AO227" s="110" t="b">
        <f>IF(Audit[[#This Row],[Status - Continue or stop audit]] = "Continue", TRUE, IF(AN226 = "Continue", TRUE, FALSE))</f>
        <v>0</v>
      </c>
      <c r="AP227" s="110"/>
    </row>
    <row r="228" spans="1:42" ht="15" hidden="1" customHeight="1">
      <c r="A228" s="111" t="str">
        <f>'Sampling Data'!W218</f>
        <v/>
      </c>
      <c r="B228" s="112" t="str">
        <f>'Sampling Data'!A218</f>
        <v>BROOKLYN -00-D - ABS</v>
      </c>
      <c r="C228" s="112">
        <f>'Sampling Data'!B218</f>
        <v>14</v>
      </c>
      <c r="D228" s="112">
        <f>'Sampling Data'!C218</f>
        <v>9</v>
      </c>
      <c r="E228" s="113">
        <f>'Sampling Data'!D218</f>
        <v>4</v>
      </c>
      <c r="F228" s="113">
        <f>'Sampling Data'!E218</f>
        <v>2</v>
      </c>
      <c r="G228" s="113">
        <f>'Sampling Data'!F218</f>
        <v>0</v>
      </c>
      <c r="H228" s="113">
        <f>'Sampling Data'!G218</f>
        <v>0</v>
      </c>
      <c r="I228" s="112">
        <f>'Sampling Data'!H218</f>
        <v>0</v>
      </c>
      <c r="J228" s="112">
        <f>'Sampling Data'!I218</f>
        <v>0</v>
      </c>
      <c r="K228" s="112">
        <f>'Sampling Data'!J218</f>
        <v>29</v>
      </c>
      <c r="L228" s="111">
        <f>'Sampling Data'!X218</f>
        <v>0</v>
      </c>
      <c r="M228" s="114"/>
      <c r="N228" s="114"/>
      <c r="O228" s="115"/>
      <c r="P228" s="115"/>
      <c r="Q228" s="116"/>
      <c r="R228" s="116"/>
      <c r="S228" s="111">
        <f>Audit[[#This Row],[Audit Losing Candidate]]-Audit[[#This Row],[Losing Candidate]]</f>
        <v>-14</v>
      </c>
      <c r="T228" s="111">
        <f>Audit[[#This Row],[Audit Winning Candidate]]-Audit[[#This Row],[Winning Candidate]]</f>
        <v>-9</v>
      </c>
      <c r="U228" s="111">
        <f>Audit[[#This Row],[Audit Candidate 3]]-Audit[[#This Row],[Candidate 3]]</f>
        <v>-4</v>
      </c>
      <c r="V228" s="111">
        <f>Audit[[#This Row],[Audit Candidate 4]]-Audit[[#This Row],[Candidate 4]]</f>
        <v>-2</v>
      </c>
      <c r="W228" s="111">
        <f>Audit[[#This Row],[Audit Candidate 5]]-Audit[[#This Row],[Candidate 5]]</f>
        <v>0</v>
      </c>
      <c r="X228" s="111">
        <f>Audit[[#This Row],[Audit Candidate 6]]-Audit[[#This Row],[Candidate 6]]</f>
        <v>0</v>
      </c>
      <c r="Y228" s="111">
        <f>SUMIF(Audit[[#This Row],[Difference Loser]:[Difference Candidate 6]], "&gt;0")</f>
        <v>0</v>
      </c>
      <c r="Z228" s="111">
        <f>SUM(Audit[[#This Row],[Difference Loser]:[Difference Candidate 6]])</f>
        <v>-29</v>
      </c>
      <c r="AA228" s="111">
        <f>IF(Audit[[#This Row],[Times p Drawn - With Replacement]]&gt;0, IF(Audit[[#This Row],[Canceled Differences]]&lt;0, Audit[[#This Row],[Max Differences]]+ABS(Audit[[#This Row],[Canceled Differences]]), Audit[[#This Row],[Max Differences]]), 0)</f>
        <v>0</v>
      </c>
      <c r="AB228" s="111">
        <f>'Sampling Data'!P218</f>
        <v>1.4698677119059284E-3</v>
      </c>
      <c r="AC228" s="111">
        <f>IF(
      SUM(Audit[[#This Row],[Audit Losing Candidate]:[Audit Candidate 6]])
      &lt;&gt;0,
      (Audit[[#This Row],[Winning Candidate]]-Audit[[#This Row],[Losing Candidate]]-(Audit[[#This Row],[Audit Winning Candidate]]-Audit[[#This Row],[Audit Losing Candidate]]))/(Audit[[#Totals],[Winning Candidate]]-Audit[[#Totals],[Losing Candidate]]),
      0
)</f>
        <v>0</v>
      </c>
      <c r="AD2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8" s="111">
        <f>IF(Audit[[#This Row],[Max Relative Error (ep)]] = 0, 0, Audit[[#This Row],[Max Relative Error (ep)]]/Audit[[#This Row],[Error Bound (up) - Max. possible relative overstatement]])</f>
        <v>0</v>
      </c>
      <c r="AJ2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28" s="111">
        <f t="shared" si="3"/>
        <v>1</v>
      </c>
      <c r="AL228" s="111">
        <f>PRODUCT($AK$5:AK228)</f>
        <v>8.962823818226312E-2</v>
      </c>
      <c r="AM228" s="109">
        <f>1 - [K-M P Value]</f>
        <v>0.91037176181773694</v>
      </c>
      <c r="AN228" s="111" t="str">
        <f>IF(Audit[[#This Row],[K-M P Value]]&gt;1-'General Info'!$B$16,"Continue", "Stop")</f>
        <v>Stop</v>
      </c>
      <c r="AO228" s="110" t="b">
        <f>IF(Audit[[#This Row],[Status - Continue or stop audit]] = "Continue", TRUE, IF(AN227 = "Continue", TRUE, FALSE))</f>
        <v>0</v>
      </c>
      <c r="AP228" s="110"/>
    </row>
    <row r="229" spans="1:42" ht="15" hidden="1" customHeight="1">
      <c r="A229" s="111" t="str">
        <f>'Sampling Data'!W219</f>
        <v/>
      </c>
      <c r="B229" s="112" t="str">
        <f>'Sampling Data'!A219</f>
        <v>BROOKLYN -00-E</v>
      </c>
      <c r="C229" s="112">
        <f>'Sampling Data'!B219</f>
        <v>21</v>
      </c>
      <c r="D229" s="112">
        <f>'Sampling Data'!C219</f>
        <v>30</v>
      </c>
      <c r="E229" s="113">
        <f>'Sampling Data'!D219</f>
        <v>5</v>
      </c>
      <c r="F229" s="113">
        <f>'Sampling Data'!E219</f>
        <v>4</v>
      </c>
      <c r="G229" s="113">
        <f>'Sampling Data'!F219</f>
        <v>1</v>
      </c>
      <c r="H229" s="113">
        <f>'Sampling Data'!G219</f>
        <v>1</v>
      </c>
      <c r="I229" s="112">
        <f>'Sampling Data'!H219</f>
        <v>0</v>
      </c>
      <c r="J229" s="112">
        <f>'Sampling Data'!I219</f>
        <v>0</v>
      </c>
      <c r="K229" s="112">
        <f>'Sampling Data'!J219</f>
        <v>62</v>
      </c>
      <c r="L229" s="111">
        <f>'Sampling Data'!X219</f>
        <v>0</v>
      </c>
      <c r="M229" s="114"/>
      <c r="N229" s="114"/>
      <c r="O229" s="115"/>
      <c r="P229" s="115"/>
      <c r="Q229" s="116"/>
      <c r="R229" s="116"/>
      <c r="S229" s="111">
        <f>Audit[[#This Row],[Audit Losing Candidate]]-Audit[[#This Row],[Losing Candidate]]</f>
        <v>-21</v>
      </c>
      <c r="T229" s="111">
        <f>Audit[[#This Row],[Audit Winning Candidate]]-Audit[[#This Row],[Winning Candidate]]</f>
        <v>-30</v>
      </c>
      <c r="U229" s="111">
        <f>Audit[[#This Row],[Audit Candidate 3]]-Audit[[#This Row],[Candidate 3]]</f>
        <v>-5</v>
      </c>
      <c r="V229" s="111">
        <f>Audit[[#This Row],[Audit Candidate 4]]-Audit[[#This Row],[Candidate 4]]</f>
        <v>-4</v>
      </c>
      <c r="W229" s="111">
        <f>Audit[[#This Row],[Audit Candidate 5]]-Audit[[#This Row],[Candidate 5]]</f>
        <v>-1</v>
      </c>
      <c r="X229" s="111">
        <f>Audit[[#This Row],[Audit Candidate 6]]-Audit[[#This Row],[Candidate 6]]</f>
        <v>-1</v>
      </c>
      <c r="Y229" s="111">
        <f>SUMIF(Audit[[#This Row],[Difference Loser]:[Difference Candidate 6]], "&gt;0")</f>
        <v>0</v>
      </c>
      <c r="Z229" s="111">
        <f>SUM(Audit[[#This Row],[Difference Loser]:[Difference Candidate 6]])</f>
        <v>-62</v>
      </c>
      <c r="AA229" s="111">
        <f>IF(Audit[[#This Row],[Times p Drawn - With Replacement]]&gt;0, IF(Audit[[#This Row],[Canceled Differences]]&lt;0, Audit[[#This Row],[Max Differences]]+ABS(Audit[[#This Row],[Canceled Differences]]), Audit[[#This Row],[Max Differences]]), 0)</f>
        <v>0</v>
      </c>
      <c r="AB229" s="111">
        <f>'Sampling Data'!P219</f>
        <v>4.3483586477217053E-3</v>
      </c>
      <c r="AC229" s="111">
        <f>IF(
      SUM(Audit[[#This Row],[Audit Losing Candidate]:[Audit Candidate 6]])
      &lt;&gt;0,
      (Audit[[#This Row],[Winning Candidate]]-Audit[[#This Row],[Losing Candidate]]-(Audit[[#This Row],[Audit Winning Candidate]]-Audit[[#This Row],[Audit Losing Candidate]]))/(Audit[[#Totals],[Winning Candidate]]-Audit[[#Totals],[Losing Candidate]]),
      0
)</f>
        <v>0</v>
      </c>
      <c r="AD2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9" s="111">
        <f>IF(Audit[[#This Row],[Max Relative Error (ep)]] = 0, 0, Audit[[#This Row],[Max Relative Error (ep)]]/Audit[[#This Row],[Error Bound (up) - Max. possible relative overstatement]])</f>
        <v>0</v>
      </c>
      <c r="AJ2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29" s="111">
        <f t="shared" si="3"/>
        <v>1</v>
      </c>
      <c r="AL229" s="111">
        <f>PRODUCT($AK$5:AK229)</f>
        <v>8.962823818226312E-2</v>
      </c>
      <c r="AM229" s="109">
        <f>1 - [K-M P Value]</f>
        <v>0.91037176181773694</v>
      </c>
      <c r="AN229" s="111" t="str">
        <f>IF(Audit[[#This Row],[K-M P Value]]&gt;1-'General Info'!$B$16,"Continue", "Stop")</f>
        <v>Stop</v>
      </c>
      <c r="AO229" s="110" t="b">
        <f>IF(Audit[[#This Row],[Status - Continue or stop audit]] = "Continue", TRUE, IF(AN228 = "Continue", TRUE, FALSE))</f>
        <v>0</v>
      </c>
      <c r="AP229" s="110"/>
    </row>
    <row r="230" spans="1:42" ht="15" hidden="1" customHeight="1">
      <c r="A230" s="111" t="str">
        <f>'Sampling Data'!W220</f>
        <v/>
      </c>
      <c r="B230" s="112" t="str">
        <f>'Sampling Data'!A220</f>
        <v>BROOKLYN -00-E - ABS</v>
      </c>
      <c r="C230" s="112">
        <f>'Sampling Data'!B220</f>
        <v>6</v>
      </c>
      <c r="D230" s="112">
        <f>'Sampling Data'!C220</f>
        <v>3</v>
      </c>
      <c r="E230" s="113">
        <f>'Sampling Data'!D220</f>
        <v>3</v>
      </c>
      <c r="F230" s="113">
        <f>'Sampling Data'!E220</f>
        <v>1</v>
      </c>
      <c r="G230" s="113">
        <f>'Sampling Data'!F220</f>
        <v>0</v>
      </c>
      <c r="H230" s="113">
        <f>'Sampling Data'!G220</f>
        <v>0</v>
      </c>
      <c r="I230" s="112">
        <f>'Sampling Data'!H220</f>
        <v>0</v>
      </c>
      <c r="J230" s="112">
        <f>'Sampling Data'!I220</f>
        <v>0</v>
      </c>
      <c r="K230" s="112">
        <f>'Sampling Data'!J220</f>
        <v>13</v>
      </c>
      <c r="L230" s="111">
        <f>'Sampling Data'!X220</f>
        <v>0</v>
      </c>
      <c r="M230" s="114"/>
      <c r="N230" s="114"/>
      <c r="O230" s="115"/>
      <c r="P230" s="115"/>
      <c r="Q230" s="116"/>
      <c r="R230" s="116"/>
      <c r="S230" s="111">
        <f>Audit[[#This Row],[Audit Losing Candidate]]-Audit[[#This Row],[Losing Candidate]]</f>
        <v>-6</v>
      </c>
      <c r="T230" s="111">
        <f>Audit[[#This Row],[Audit Winning Candidate]]-Audit[[#This Row],[Winning Candidate]]</f>
        <v>-3</v>
      </c>
      <c r="U230" s="111">
        <f>Audit[[#This Row],[Audit Candidate 3]]-Audit[[#This Row],[Candidate 3]]</f>
        <v>-3</v>
      </c>
      <c r="V230" s="111">
        <f>Audit[[#This Row],[Audit Candidate 4]]-Audit[[#This Row],[Candidate 4]]</f>
        <v>-1</v>
      </c>
      <c r="W230" s="111">
        <f>Audit[[#This Row],[Audit Candidate 5]]-Audit[[#This Row],[Candidate 5]]</f>
        <v>0</v>
      </c>
      <c r="X230" s="111">
        <f>Audit[[#This Row],[Audit Candidate 6]]-Audit[[#This Row],[Candidate 6]]</f>
        <v>0</v>
      </c>
      <c r="Y230" s="111">
        <f>SUMIF(Audit[[#This Row],[Difference Loser]:[Difference Candidate 6]], "&gt;0")</f>
        <v>0</v>
      </c>
      <c r="Z230" s="111">
        <f>SUM(Audit[[#This Row],[Difference Loser]:[Difference Candidate 6]])</f>
        <v>-13</v>
      </c>
      <c r="AA230" s="111">
        <f>IF(Audit[[#This Row],[Times p Drawn - With Replacement]]&gt;0, IF(Audit[[#This Row],[Canceled Differences]]&lt;0, Audit[[#This Row],[Max Differences]]+ABS(Audit[[#This Row],[Canceled Differences]]), Audit[[#This Row],[Max Differences]]), 0)</f>
        <v>0</v>
      </c>
      <c r="AB230" s="111">
        <f>'Sampling Data'!P220</f>
        <v>6.1244487996080352E-4</v>
      </c>
      <c r="AC230" s="111">
        <f>IF(
      SUM(Audit[[#This Row],[Audit Losing Candidate]:[Audit Candidate 6]])
      &lt;&gt;0,
      (Audit[[#This Row],[Winning Candidate]]-Audit[[#This Row],[Losing Candidate]]-(Audit[[#This Row],[Audit Winning Candidate]]-Audit[[#This Row],[Audit Losing Candidate]]))/(Audit[[#Totals],[Winning Candidate]]-Audit[[#Totals],[Losing Candidate]]),
      0
)</f>
        <v>0</v>
      </c>
      <c r="AD2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0" s="111">
        <f>IF(Audit[[#This Row],[Max Relative Error (ep)]] = 0, 0, Audit[[#This Row],[Max Relative Error (ep)]]/Audit[[#This Row],[Error Bound (up) - Max. possible relative overstatement]])</f>
        <v>0</v>
      </c>
      <c r="AJ2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30" s="111">
        <f t="shared" si="3"/>
        <v>1</v>
      </c>
      <c r="AL230" s="111">
        <f>PRODUCT($AK$5:AK230)</f>
        <v>8.962823818226312E-2</v>
      </c>
      <c r="AM230" s="109">
        <f>1 - [K-M P Value]</f>
        <v>0.91037176181773694</v>
      </c>
      <c r="AN230" s="111" t="str">
        <f>IF(Audit[[#This Row],[K-M P Value]]&gt;1-'General Info'!$B$16,"Continue", "Stop")</f>
        <v>Stop</v>
      </c>
      <c r="AO230" s="110" t="b">
        <f>IF(Audit[[#This Row],[Status - Continue or stop audit]] = "Continue", TRUE, IF(AN229 = "Continue", TRUE, FALSE))</f>
        <v>0</v>
      </c>
      <c r="AP230" s="110"/>
    </row>
    <row r="231" spans="1:42" ht="15" hidden="1" customHeight="1">
      <c r="A231" s="111" t="str">
        <f>'Sampling Data'!W221</f>
        <v/>
      </c>
      <c r="B231" s="112" t="str">
        <f>'Sampling Data'!A221</f>
        <v>BROOKLYN -00-F</v>
      </c>
      <c r="C231" s="112">
        <f>'Sampling Data'!B221</f>
        <v>26</v>
      </c>
      <c r="D231" s="112">
        <f>'Sampling Data'!C221</f>
        <v>24</v>
      </c>
      <c r="E231" s="113">
        <f>'Sampling Data'!D221</f>
        <v>6</v>
      </c>
      <c r="F231" s="113">
        <f>'Sampling Data'!E221</f>
        <v>8</v>
      </c>
      <c r="G231" s="113">
        <f>'Sampling Data'!F221</f>
        <v>0</v>
      </c>
      <c r="H231" s="113">
        <f>'Sampling Data'!G221</f>
        <v>0</v>
      </c>
      <c r="I231" s="112">
        <f>'Sampling Data'!H221</f>
        <v>0</v>
      </c>
      <c r="J231" s="112">
        <f>'Sampling Data'!I221</f>
        <v>0</v>
      </c>
      <c r="K231" s="112">
        <f>'Sampling Data'!J221</f>
        <v>64</v>
      </c>
      <c r="L231" s="111">
        <f>'Sampling Data'!X221</f>
        <v>0</v>
      </c>
      <c r="M231" s="114"/>
      <c r="N231" s="114"/>
      <c r="O231" s="115"/>
      <c r="P231" s="115"/>
      <c r="Q231" s="116"/>
      <c r="R231" s="116"/>
      <c r="S231" s="111">
        <f>Audit[[#This Row],[Audit Losing Candidate]]-Audit[[#This Row],[Losing Candidate]]</f>
        <v>-26</v>
      </c>
      <c r="T231" s="111">
        <f>Audit[[#This Row],[Audit Winning Candidate]]-Audit[[#This Row],[Winning Candidate]]</f>
        <v>-24</v>
      </c>
      <c r="U231" s="111">
        <f>Audit[[#This Row],[Audit Candidate 3]]-Audit[[#This Row],[Candidate 3]]</f>
        <v>-6</v>
      </c>
      <c r="V231" s="111">
        <f>Audit[[#This Row],[Audit Candidate 4]]-Audit[[#This Row],[Candidate 4]]</f>
        <v>-8</v>
      </c>
      <c r="W231" s="111">
        <f>Audit[[#This Row],[Audit Candidate 5]]-Audit[[#This Row],[Candidate 5]]</f>
        <v>0</v>
      </c>
      <c r="X231" s="111">
        <f>Audit[[#This Row],[Audit Candidate 6]]-Audit[[#This Row],[Candidate 6]]</f>
        <v>0</v>
      </c>
      <c r="Y231" s="111">
        <f>SUMIF(Audit[[#This Row],[Difference Loser]:[Difference Candidate 6]], "&gt;0")</f>
        <v>0</v>
      </c>
      <c r="Z231" s="111">
        <f>SUM(Audit[[#This Row],[Difference Loser]:[Difference Candidate 6]])</f>
        <v>-64</v>
      </c>
      <c r="AA231" s="111">
        <f>IF(Audit[[#This Row],[Times p Drawn - With Replacement]]&gt;0, IF(Audit[[#This Row],[Canceled Differences]]&lt;0, Audit[[#This Row],[Max Differences]]+ABS(Audit[[#This Row],[Canceled Differences]]), Audit[[#This Row],[Max Differences]]), 0)</f>
        <v>0</v>
      </c>
      <c r="AB231" s="111">
        <f>'Sampling Data'!P221</f>
        <v>3.7971582557569817E-3</v>
      </c>
      <c r="AC231" s="111">
        <f>IF(
      SUM(Audit[[#This Row],[Audit Losing Candidate]:[Audit Candidate 6]])
      &lt;&gt;0,
      (Audit[[#This Row],[Winning Candidate]]-Audit[[#This Row],[Losing Candidate]]-(Audit[[#This Row],[Audit Winning Candidate]]-Audit[[#This Row],[Audit Losing Candidate]]))/(Audit[[#Totals],[Winning Candidate]]-Audit[[#Totals],[Losing Candidate]]),
      0
)</f>
        <v>0</v>
      </c>
      <c r="AD2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1" s="111">
        <f>IF(Audit[[#This Row],[Max Relative Error (ep)]] = 0, 0, Audit[[#This Row],[Max Relative Error (ep)]]/Audit[[#This Row],[Error Bound (up) - Max. possible relative overstatement]])</f>
        <v>0</v>
      </c>
      <c r="AJ2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31" s="111">
        <f t="shared" si="3"/>
        <v>1</v>
      </c>
      <c r="AL231" s="111">
        <f>PRODUCT($AK$5:AK231)</f>
        <v>8.962823818226312E-2</v>
      </c>
      <c r="AM231" s="109">
        <f>1 - [K-M P Value]</f>
        <v>0.91037176181773694</v>
      </c>
      <c r="AN231" s="111" t="str">
        <f>IF(Audit[[#This Row],[K-M P Value]]&gt;1-'General Info'!$B$16,"Continue", "Stop")</f>
        <v>Stop</v>
      </c>
      <c r="AO231" s="110" t="b">
        <f>IF(Audit[[#This Row],[Status - Continue or stop audit]] = "Continue", TRUE, IF(AN230 = "Continue", TRUE, FALSE))</f>
        <v>0</v>
      </c>
      <c r="AP231" s="110"/>
    </row>
    <row r="232" spans="1:42" ht="15" hidden="1" customHeight="1">
      <c r="A232" s="111" t="str">
        <f>'Sampling Data'!W222</f>
        <v/>
      </c>
      <c r="B232" s="112" t="str">
        <f>'Sampling Data'!A222</f>
        <v>BROOKLYN -00-F - ABS</v>
      </c>
      <c r="C232" s="112">
        <f>'Sampling Data'!B222</f>
        <v>8</v>
      </c>
      <c r="D232" s="112">
        <f>'Sampling Data'!C222</f>
        <v>2</v>
      </c>
      <c r="E232" s="113">
        <f>'Sampling Data'!D222</f>
        <v>3</v>
      </c>
      <c r="F232" s="113">
        <f>'Sampling Data'!E222</f>
        <v>0</v>
      </c>
      <c r="G232" s="113">
        <f>'Sampling Data'!F222</f>
        <v>0</v>
      </c>
      <c r="H232" s="113">
        <f>'Sampling Data'!G222</f>
        <v>0</v>
      </c>
      <c r="I232" s="112">
        <f>'Sampling Data'!H222</f>
        <v>0</v>
      </c>
      <c r="J232" s="112">
        <f>'Sampling Data'!I222</f>
        <v>0</v>
      </c>
      <c r="K232" s="112">
        <f>'Sampling Data'!J222</f>
        <v>13</v>
      </c>
      <c r="L232" s="111">
        <f>'Sampling Data'!X222</f>
        <v>0</v>
      </c>
      <c r="M232" s="114"/>
      <c r="N232" s="114"/>
      <c r="O232" s="115"/>
      <c r="P232" s="115"/>
      <c r="Q232" s="116"/>
      <c r="R232" s="116"/>
      <c r="S232" s="111">
        <f>Audit[[#This Row],[Audit Losing Candidate]]-Audit[[#This Row],[Losing Candidate]]</f>
        <v>-8</v>
      </c>
      <c r="T232" s="111">
        <f>Audit[[#This Row],[Audit Winning Candidate]]-Audit[[#This Row],[Winning Candidate]]</f>
        <v>-2</v>
      </c>
      <c r="U232" s="111">
        <f>Audit[[#This Row],[Audit Candidate 3]]-Audit[[#This Row],[Candidate 3]]</f>
        <v>-3</v>
      </c>
      <c r="V232" s="111">
        <f>Audit[[#This Row],[Audit Candidate 4]]-Audit[[#This Row],[Candidate 4]]</f>
        <v>0</v>
      </c>
      <c r="W232" s="111">
        <f>Audit[[#This Row],[Audit Candidate 5]]-Audit[[#This Row],[Candidate 5]]</f>
        <v>0</v>
      </c>
      <c r="X232" s="111">
        <f>Audit[[#This Row],[Audit Candidate 6]]-Audit[[#This Row],[Candidate 6]]</f>
        <v>0</v>
      </c>
      <c r="Y232" s="111">
        <f>SUMIF(Audit[[#This Row],[Difference Loser]:[Difference Candidate 6]], "&gt;0")</f>
        <v>0</v>
      </c>
      <c r="Z232" s="111">
        <f>SUM(Audit[[#This Row],[Difference Loser]:[Difference Candidate 6]])</f>
        <v>-13</v>
      </c>
      <c r="AA232" s="111">
        <f>IF(Audit[[#This Row],[Times p Drawn - With Replacement]]&gt;0, IF(Audit[[#This Row],[Canceled Differences]]&lt;0, Audit[[#This Row],[Max Differences]]+ABS(Audit[[#This Row],[Canceled Differences]]), Audit[[#This Row],[Max Differences]]), 0)</f>
        <v>0</v>
      </c>
      <c r="AB232" s="111">
        <f>'Sampling Data'!P222</f>
        <v>4.3848110146452689E-4</v>
      </c>
      <c r="AC232" s="111">
        <f>IF(
      SUM(Audit[[#This Row],[Audit Losing Candidate]:[Audit Candidate 6]])
      &lt;&gt;0,
      (Audit[[#This Row],[Winning Candidate]]-Audit[[#This Row],[Losing Candidate]]-(Audit[[#This Row],[Audit Winning Candidate]]-Audit[[#This Row],[Audit Losing Candidate]]))/(Audit[[#Totals],[Winning Candidate]]-Audit[[#Totals],[Losing Candidate]]),
      0
)</f>
        <v>0</v>
      </c>
      <c r="AD2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2" s="111">
        <f>IF(Audit[[#This Row],[Max Relative Error (ep)]] = 0, 0, Audit[[#This Row],[Max Relative Error (ep)]]/Audit[[#This Row],[Error Bound (up) - Max. possible relative overstatement]])</f>
        <v>0</v>
      </c>
      <c r="AJ2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32" s="111">
        <f t="shared" si="3"/>
        <v>1</v>
      </c>
      <c r="AL232" s="111">
        <f>PRODUCT($AK$5:AK232)</f>
        <v>8.962823818226312E-2</v>
      </c>
      <c r="AM232" s="109">
        <f>1 - [K-M P Value]</f>
        <v>0.91037176181773694</v>
      </c>
      <c r="AN232" s="111" t="str">
        <f>IF(Audit[[#This Row],[K-M P Value]]&gt;1-'General Info'!$B$16,"Continue", "Stop")</f>
        <v>Stop</v>
      </c>
      <c r="AO232" s="110" t="b">
        <f>IF(Audit[[#This Row],[Status - Continue or stop audit]] = "Continue", TRUE, IF(AN231 = "Continue", TRUE, FALSE))</f>
        <v>0</v>
      </c>
      <c r="AP232" s="110"/>
    </row>
    <row r="233" spans="1:42" ht="15" hidden="1" customHeight="1">
      <c r="A233" s="111" t="str">
        <f>'Sampling Data'!W223</f>
        <v/>
      </c>
      <c r="B233" s="112" t="str">
        <f>'Sampling Data'!A223</f>
        <v>BROOKLYN -00-G</v>
      </c>
      <c r="C233" s="112">
        <f>'Sampling Data'!B223</f>
        <v>20</v>
      </c>
      <c r="D233" s="112">
        <f>'Sampling Data'!C223</f>
        <v>26</v>
      </c>
      <c r="E233" s="113">
        <f>'Sampling Data'!D223</f>
        <v>9</v>
      </c>
      <c r="F233" s="113">
        <f>'Sampling Data'!E223</f>
        <v>6</v>
      </c>
      <c r="G233" s="113">
        <f>'Sampling Data'!F223</f>
        <v>0</v>
      </c>
      <c r="H233" s="113">
        <f>'Sampling Data'!G223</f>
        <v>1</v>
      </c>
      <c r="I233" s="112">
        <f>'Sampling Data'!H223</f>
        <v>0</v>
      </c>
      <c r="J233" s="112">
        <f>'Sampling Data'!I223</f>
        <v>0</v>
      </c>
      <c r="K233" s="112">
        <f>'Sampling Data'!J223</f>
        <v>62</v>
      </c>
      <c r="L233" s="111">
        <f>'Sampling Data'!X223</f>
        <v>0</v>
      </c>
      <c r="M233" s="114"/>
      <c r="N233" s="114"/>
      <c r="O233" s="115"/>
      <c r="P233" s="115"/>
      <c r="Q233" s="116"/>
      <c r="R233" s="116"/>
      <c r="S233" s="111">
        <f>Audit[[#This Row],[Audit Losing Candidate]]-Audit[[#This Row],[Losing Candidate]]</f>
        <v>-20</v>
      </c>
      <c r="T233" s="111">
        <f>Audit[[#This Row],[Audit Winning Candidate]]-Audit[[#This Row],[Winning Candidate]]</f>
        <v>-26</v>
      </c>
      <c r="U233" s="111">
        <f>Audit[[#This Row],[Audit Candidate 3]]-Audit[[#This Row],[Candidate 3]]</f>
        <v>-9</v>
      </c>
      <c r="V233" s="111">
        <f>Audit[[#This Row],[Audit Candidate 4]]-Audit[[#This Row],[Candidate 4]]</f>
        <v>-6</v>
      </c>
      <c r="W233" s="111">
        <f>Audit[[#This Row],[Audit Candidate 5]]-Audit[[#This Row],[Candidate 5]]</f>
        <v>0</v>
      </c>
      <c r="X233" s="111">
        <f>Audit[[#This Row],[Audit Candidate 6]]-Audit[[#This Row],[Candidate 6]]</f>
        <v>-1</v>
      </c>
      <c r="Y233" s="111">
        <f>SUMIF(Audit[[#This Row],[Difference Loser]:[Difference Candidate 6]], "&gt;0")</f>
        <v>0</v>
      </c>
      <c r="Z233" s="111">
        <f>SUM(Audit[[#This Row],[Difference Loser]:[Difference Candidate 6]])</f>
        <v>-62</v>
      </c>
      <c r="AA233" s="111">
        <f>IF(Audit[[#This Row],[Times p Drawn - With Replacement]]&gt;0, IF(Audit[[#This Row],[Canceled Differences]]&lt;0, Audit[[#This Row],[Max Differences]]+ABS(Audit[[#This Row],[Canceled Differences]]), Audit[[#This Row],[Max Differences]]), 0)</f>
        <v>0</v>
      </c>
      <c r="AB233" s="111">
        <f>'Sampling Data'!P223</f>
        <v>4.1646251837334641E-3</v>
      </c>
      <c r="AC233" s="111">
        <f>IF(
      SUM(Audit[[#This Row],[Audit Losing Candidate]:[Audit Candidate 6]])
      &lt;&gt;0,
      (Audit[[#This Row],[Winning Candidate]]-Audit[[#This Row],[Losing Candidate]]-(Audit[[#This Row],[Audit Winning Candidate]]-Audit[[#This Row],[Audit Losing Candidate]]))/(Audit[[#Totals],[Winning Candidate]]-Audit[[#Totals],[Losing Candidate]]),
      0
)</f>
        <v>0</v>
      </c>
      <c r="AD2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3" s="111">
        <f>IF(Audit[[#This Row],[Max Relative Error (ep)]] = 0, 0, Audit[[#This Row],[Max Relative Error (ep)]]/Audit[[#This Row],[Error Bound (up) - Max. possible relative overstatement]])</f>
        <v>0</v>
      </c>
      <c r="AJ2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33" s="111">
        <f t="shared" si="3"/>
        <v>1</v>
      </c>
      <c r="AL233" s="111">
        <f>PRODUCT($AK$5:AK233)</f>
        <v>8.962823818226312E-2</v>
      </c>
      <c r="AM233" s="109">
        <f>1 - [K-M P Value]</f>
        <v>0.91037176181773694</v>
      </c>
      <c r="AN233" s="111" t="str">
        <f>IF(Audit[[#This Row],[K-M P Value]]&gt;1-'General Info'!$B$16,"Continue", "Stop")</f>
        <v>Stop</v>
      </c>
      <c r="AO233" s="110" t="b">
        <f>IF(Audit[[#This Row],[Status - Continue or stop audit]] = "Continue", TRUE, IF(AN232 = "Continue", TRUE, FALSE))</f>
        <v>0</v>
      </c>
      <c r="AP233" s="110"/>
    </row>
    <row r="234" spans="1:42" ht="15" hidden="1" customHeight="1">
      <c r="A234" s="111" t="str">
        <f>'Sampling Data'!W224</f>
        <v/>
      </c>
      <c r="B234" s="112" t="str">
        <f>'Sampling Data'!A224</f>
        <v>BROOKLYN -00-G - ABS</v>
      </c>
      <c r="C234" s="112">
        <f>'Sampling Data'!B224</f>
        <v>21</v>
      </c>
      <c r="D234" s="112">
        <f>'Sampling Data'!C224</f>
        <v>6</v>
      </c>
      <c r="E234" s="113">
        <f>'Sampling Data'!D224</f>
        <v>5</v>
      </c>
      <c r="F234" s="113">
        <f>'Sampling Data'!E224</f>
        <v>1</v>
      </c>
      <c r="G234" s="113">
        <f>'Sampling Data'!F224</f>
        <v>0</v>
      </c>
      <c r="H234" s="113">
        <f>'Sampling Data'!G224</f>
        <v>0</v>
      </c>
      <c r="I234" s="112">
        <f>'Sampling Data'!H224</f>
        <v>0</v>
      </c>
      <c r="J234" s="112">
        <f>'Sampling Data'!I224</f>
        <v>0</v>
      </c>
      <c r="K234" s="112">
        <f>'Sampling Data'!J224</f>
        <v>33</v>
      </c>
      <c r="L234" s="111">
        <f>'Sampling Data'!X224</f>
        <v>0</v>
      </c>
      <c r="M234" s="114"/>
      <c r="N234" s="114"/>
      <c r="O234" s="115"/>
      <c r="P234" s="115"/>
      <c r="Q234" s="116"/>
      <c r="R234" s="116"/>
      <c r="S234" s="111">
        <f>Audit[[#This Row],[Audit Losing Candidate]]-Audit[[#This Row],[Losing Candidate]]</f>
        <v>-21</v>
      </c>
      <c r="T234" s="111">
        <f>Audit[[#This Row],[Audit Winning Candidate]]-Audit[[#This Row],[Winning Candidate]]</f>
        <v>-6</v>
      </c>
      <c r="U234" s="111">
        <f>Audit[[#This Row],[Audit Candidate 3]]-Audit[[#This Row],[Candidate 3]]</f>
        <v>-5</v>
      </c>
      <c r="V234" s="111">
        <f>Audit[[#This Row],[Audit Candidate 4]]-Audit[[#This Row],[Candidate 4]]</f>
        <v>-1</v>
      </c>
      <c r="W234" s="111">
        <f>Audit[[#This Row],[Audit Candidate 5]]-Audit[[#This Row],[Candidate 5]]</f>
        <v>0</v>
      </c>
      <c r="X234" s="111">
        <f>Audit[[#This Row],[Audit Candidate 6]]-Audit[[#This Row],[Candidate 6]]</f>
        <v>0</v>
      </c>
      <c r="Y234" s="111">
        <f>SUMIF(Audit[[#This Row],[Difference Loser]:[Difference Candidate 6]], "&gt;0")</f>
        <v>0</v>
      </c>
      <c r="Z234" s="111">
        <f>SUM(Audit[[#This Row],[Difference Loser]:[Difference Candidate 6]])</f>
        <v>-33</v>
      </c>
      <c r="AA234" s="111">
        <f>IF(Audit[[#This Row],[Times p Drawn - With Replacement]]&gt;0, IF(Audit[[#This Row],[Canceled Differences]]&lt;0, Audit[[#This Row],[Max Differences]]+ABS(Audit[[#This Row],[Canceled Differences]]), Audit[[#This Row],[Max Differences]]), 0)</f>
        <v>0</v>
      </c>
      <c r="AB234" s="111">
        <f>'Sampling Data'!P224</f>
        <v>1.1108187903768015E-3</v>
      </c>
      <c r="AC234" s="111">
        <f>IF(
      SUM(Audit[[#This Row],[Audit Losing Candidate]:[Audit Candidate 6]])
      &lt;&gt;0,
      (Audit[[#This Row],[Winning Candidate]]-Audit[[#This Row],[Losing Candidate]]-(Audit[[#This Row],[Audit Winning Candidate]]-Audit[[#This Row],[Audit Losing Candidate]]))/(Audit[[#Totals],[Winning Candidate]]-Audit[[#Totals],[Losing Candidate]]),
      0
)</f>
        <v>0</v>
      </c>
      <c r="AD2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4" s="111">
        <f>IF(Audit[[#This Row],[Max Relative Error (ep)]] = 0, 0, Audit[[#This Row],[Max Relative Error (ep)]]/Audit[[#This Row],[Error Bound (up) - Max. possible relative overstatement]])</f>
        <v>0</v>
      </c>
      <c r="AJ2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34" s="111">
        <f t="shared" si="3"/>
        <v>1</v>
      </c>
      <c r="AL234" s="111">
        <f>PRODUCT($AK$5:AK234)</f>
        <v>8.962823818226312E-2</v>
      </c>
      <c r="AM234" s="109">
        <f>1 - [K-M P Value]</f>
        <v>0.91037176181773694</v>
      </c>
      <c r="AN234" s="111" t="str">
        <f>IF(Audit[[#This Row],[K-M P Value]]&gt;1-'General Info'!$B$16,"Continue", "Stop")</f>
        <v>Stop</v>
      </c>
      <c r="AO234" s="110" t="b">
        <f>IF(Audit[[#This Row],[Status - Continue or stop audit]] = "Continue", TRUE, IF(AN233 = "Continue", TRUE, FALSE))</f>
        <v>0</v>
      </c>
      <c r="AP234" s="110"/>
    </row>
    <row r="235" spans="1:42" ht="15" hidden="1" customHeight="1">
      <c r="A235" s="111" t="str">
        <f>'Sampling Data'!W225</f>
        <v/>
      </c>
      <c r="B235" s="112" t="str">
        <f>'Sampling Data'!A225</f>
        <v>BROOKLYN -00-H</v>
      </c>
      <c r="C235" s="112">
        <f>'Sampling Data'!B225</f>
        <v>22</v>
      </c>
      <c r="D235" s="112">
        <f>'Sampling Data'!C225</f>
        <v>17</v>
      </c>
      <c r="E235" s="113">
        <f>'Sampling Data'!D225</f>
        <v>6</v>
      </c>
      <c r="F235" s="113">
        <f>'Sampling Data'!E225</f>
        <v>7</v>
      </c>
      <c r="G235" s="113">
        <f>'Sampling Data'!F225</f>
        <v>0</v>
      </c>
      <c r="H235" s="113">
        <f>'Sampling Data'!G225</f>
        <v>0</v>
      </c>
      <c r="I235" s="112">
        <f>'Sampling Data'!H225</f>
        <v>0</v>
      </c>
      <c r="J235" s="112">
        <f>'Sampling Data'!I225</f>
        <v>0</v>
      </c>
      <c r="K235" s="112">
        <f>'Sampling Data'!J225</f>
        <v>52</v>
      </c>
      <c r="L235" s="111">
        <f>'Sampling Data'!X225</f>
        <v>0</v>
      </c>
      <c r="M235" s="114"/>
      <c r="N235" s="114"/>
      <c r="O235" s="115"/>
      <c r="P235" s="115"/>
      <c r="Q235" s="116"/>
      <c r="R235" s="116"/>
      <c r="S235" s="111">
        <f>Audit[[#This Row],[Audit Losing Candidate]]-Audit[[#This Row],[Losing Candidate]]</f>
        <v>-22</v>
      </c>
      <c r="T235" s="111">
        <f>Audit[[#This Row],[Audit Winning Candidate]]-Audit[[#This Row],[Winning Candidate]]</f>
        <v>-17</v>
      </c>
      <c r="U235" s="111">
        <f>Audit[[#This Row],[Audit Candidate 3]]-Audit[[#This Row],[Candidate 3]]</f>
        <v>-6</v>
      </c>
      <c r="V235" s="111">
        <f>Audit[[#This Row],[Audit Candidate 4]]-Audit[[#This Row],[Candidate 4]]</f>
        <v>-7</v>
      </c>
      <c r="W235" s="111">
        <f>Audit[[#This Row],[Audit Candidate 5]]-Audit[[#This Row],[Candidate 5]]</f>
        <v>0</v>
      </c>
      <c r="X235" s="111">
        <f>Audit[[#This Row],[Audit Candidate 6]]-Audit[[#This Row],[Candidate 6]]</f>
        <v>0</v>
      </c>
      <c r="Y235" s="111">
        <f>SUMIF(Audit[[#This Row],[Difference Loser]:[Difference Candidate 6]], "&gt;0")</f>
        <v>0</v>
      </c>
      <c r="Z235" s="111">
        <f>SUM(Audit[[#This Row],[Difference Loser]:[Difference Candidate 6]])</f>
        <v>-52</v>
      </c>
      <c r="AA235" s="111">
        <f>IF(Audit[[#This Row],[Times p Drawn - With Replacement]]&gt;0, IF(Audit[[#This Row],[Canceled Differences]]&lt;0, Audit[[#This Row],[Max Differences]]+ABS(Audit[[#This Row],[Canceled Differences]]), Audit[[#This Row],[Max Differences]]), 0)</f>
        <v>0</v>
      </c>
      <c r="AB235" s="111">
        <f>'Sampling Data'!P225</f>
        <v>2.8784909358157765E-3</v>
      </c>
      <c r="AC235" s="111">
        <f>IF(
      SUM(Audit[[#This Row],[Audit Losing Candidate]:[Audit Candidate 6]])
      &lt;&gt;0,
      (Audit[[#This Row],[Winning Candidate]]-Audit[[#This Row],[Losing Candidate]]-(Audit[[#This Row],[Audit Winning Candidate]]-Audit[[#This Row],[Audit Losing Candidate]]))/(Audit[[#Totals],[Winning Candidate]]-Audit[[#Totals],[Losing Candidate]]),
      0
)</f>
        <v>0</v>
      </c>
      <c r="AD2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5" s="111">
        <f>IF(Audit[[#This Row],[Max Relative Error (ep)]] = 0, 0, Audit[[#This Row],[Max Relative Error (ep)]]/Audit[[#This Row],[Error Bound (up) - Max. possible relative overstatement]])</f>
        <v>0</v>
      </c>
      <c r="AJ2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35" s="111">
        <f t="shared" si="3"/>
        <v>1</v>
      </c>
      <c r="AL235" s="111">
        <f>PRODUCT($AK$5:AK235)</f>
        <v>8.962823818226312E-2</v>
      </c>
      <c r="AM235" s="109">
        <f>1 - [K-M P Value]</f>
        <v>0.91037176181773694</v>
      </c>
      <c r="AN235" s="111" t="str">
        <f>IF(Audit[[#This Row],[K-M P Value]]&gt;1-'General Info'!$B$16,"Continue", "Stop")</f>
        <v>Stop</v>
      </c>
      <c r="AO235" s="110" t="b">
        <f>IF(Audit[[#This Row],[Status - Continue or stop audit]] = "Continue", TRUE, IF(AN234 = "Continue", TRUE, FALSE))</f>
        <v>0</v>
      </c>
      <c r="AP235" s="110"/>
    </row>
    <row r="236" spans="1:42" ht="15" hidden="1" customHeight="1">
      <c r="A236" s="111" t="str">
        <f>'Sampling Data'!W226</f>
        <v/>
      </c>
      <c r="B236" s="112" t="str">
        <f>'Sampling Data'!A226</f>
        <v>BROOKLYN -00-H - ABS</v>
      </c>
      <c r="C236" s="112">
        <f>'Sampling Data'!B226</f>
        <v>12</v>
      </c>
      <c r="D236" s="112">
        <f>'Sampling Data'!C226</f>
        <v>0</v>
      </c>
      <c r="E236" s="113">
        <f>'Sampling Data'!D226</f>
        <v>7</v>
      </c>
      <c r="F236" s="113">
        <f>'Sampling Data'!E226</f>
        <v>2</v>
      </c>
      <c r="G236" s="113">
        <f>'Sampling Data'!F226</f>
        <v>0</v>
      </c>
      <c r="H236" s="113">
        <f>'Sampling Data'!G226</f>
        <v>0</v>
      </c>
      <c r="I236" s="112">
        <f>'Sampling Data'!H226</f>
        <v>0</v>
      </c>
      <c r="J236" s="112">
        <f>'Sampling Data'!I226</f>
        <v>0</v>
      </c>
      <c r="K236" s="112">
        <f>'Sampling Data'!J226</f>
        <v>21</v>
      </c>
      <c r="L236" s="111">
        <f>'Sampling Data'!X226</f>
        <v>0</v>
      </c>
      <c r="M236" s="114"/>
      <c r="N236" s="114"/>
      <c r="O236" s="115"/>
      <c r="P236" s="115"/>
      <c r="Q236" s="116"/>
      <c r="R236" s="116"/>
      <c r="S236" s="111">
        <f>Audit[[#This Row],[Audit Losing Candidate]]-Audit[[#This Row],[Losing Candidate]]</f>
        <v>-12</v>
      </c>
      <c r="T236" s="111">
        <f>Audit[[#This Row],[Audit Winning Candidate]]-Audit[[#This Row],[Winning Candidate]]</f>
        <v>0</v>
      </c>
      <c r="U236" s="111">
        <f>Audit[[#This Row],[Audit Candidate 3]]-Audit[[#This Row],[Candidate 3]]</f>
        <v>-7</v>
      </c>
      <c r="V236" s="111">
        <f>Audit[[#This Row],[Audit Candidate 4]]-Audit[[#This Row],[Candidate 4]]</f>
        <v>-2</v>
      </c>
      <c r="W236" s="111">
        <f>Audit[[#This Row],[Audit Candidate 5]]-Audit[[#This Row],[Candidate 5]]</f>
        <v>0</v>
      </c>
      <c r="X236" s="111">
        <f>Audit[[#This Row],[Audit Candidate 6]]-Audit[[#This Row],[Candidate 6]]</f>
        <v>0</v>
      </c>
      <c r="Y236" s="111">
        <f>SUMIF(Audit[[#This Row],[Difference Loser]:[Difference Candidate 6]], "&gt;0")</f>
        <v>0</v>
      </c>
      <c r="Z236" s="111">
        <f>SUM(Audit[[#This Row],[Difference Loser]:[Difference Candidate 6]])</f>
        <v>-21</v>
      </c>
      <c r="AA236" s="111">
        <f>IF(Audit[[#This Row],[Times p Drawn - With Replacement]]&gt;0, IF(Audit[[#This Row],[Canceled Differences]]&lt;0, Audit[[#This Row],[Max Differences]]+ABS(Audit[[#This Row],[Canceled Differences]]), Audit[[#This Row],[Max Differences]]), 0)</f>
        <v>0</v>
      </c>
      <c r="AB236" s="111">
        <f>'Sampling Data'!P226</f>
        <v>5.5540939518840076E-4</v>
      </c>
      <c r="AC236" s="111">
        <f>IF(
      SUM(Audit[[#This Row],[Audit Losing Candidate]:[Audit Candidate 6]])
      &lt;&gt;0,
      (Audit[[#This Row],[Winning Candidate]]-Audit[[#This Row],[Losing Candidate]]-(Audit[[#This Row],[Audit Winning Candidate]]-Audit[[#This Row],[Audit Losing Candidate]]))/(Audit[[#Totals],[Winning Candidate]]-Audit[[#Totals],[Losing Candidate]]),
      0
)</f>
        <v>0</v>
      </c>
      <c r="AD2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6" s="111">
        <f>IF(Audit[[#This Row],[Max Relative Error (ep)]] = 0, 0, Audit[[#This Row],[Max Relative Error (ep)]]/Audit[[#This Row],[Error Bound (up) - Max. possible relative overstatement]])</f>
        <v>0</v>
      </c>
      <c r="AJ2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36" s="111">
        <f t="shared" si="3"/>
        <v>1</v>
      </c>
      <c r="AL236" s="111">
        <f>PRODUCT($AK$5:AK236)</f>
        <v>8.962823818226312E-2</v>
      </c>
      <c r="AM236" s="109">
        <f>1 - [K-M P Value]</f>
        <v>0.91037176181773694</v>
      </c>
      <c r="AN236" s="111" t="str">
        <f>IF(Audit[[#This Row],[K-M P Value]]&gt;1-'General Info'!$B$16,"Continue", "Stop")</f>
        <v>Stop</v>
      </c>
      <c r="AO236" s="110" t="b">
        <f>IF(Audit[[#This Row],[Status - Continue or stop audit]] = "Continue", TRUE, IF(AN235 = "Continue", TRUE, FALSE))</f>
        <v>0</v>
      </c>
      <c r="AP236" s="110"/>
    </row>
    <row r="237" spans="1:42" ht="15" hidden="1" customHeight="1">
      <c r="A237" s="111" t="str">
        <f>'Sampling Data'!W227</f>
        <v/>
      </c>
      <c r="B237" s="112" t="str">
        <f>'Sampling Data'!A227</f>
        <v>BROOKLYN HEIGHTS -00-A</v>
      </c>
      <c r="C237" s="112">
        <f>'Sampling Data'!B227</f>
        <v>47</v>
      </c>
      <c r="D237" s="112">
        <f>'Sampling Data'!C227</f>
        <v>81</v>
      </c>
      <c r="E237" s="113">
        <f>'Sampling Data'!D227</f>
        <v>23</v>
      </c>
      <c r="F237" s="113">
        <f>'Sampling Data'!E227</f>
        <v>24</v>
      </c>
      <c r="G237" s="113">
        <f>'Sampling Data'!F227</f>
        <v>3</v>
      </c>
      <c r="H237" s="113">
        <f>'Sampling Data'!G227</f>
        <v>3</v>
      </c>
      <c r="I237" s="112">
        <f>'Sampling Data'!H227</f>
        <v>0</v>
      </c>
      <c r="J237" s="112">
        <f>'Sampling Data'!I227</f>
        <v>13</v>
      </c>
      <c r="K237" s="112">
        <f>'Sampling Data'!J227</f>
        <v>194</v>
      </c>
      <c r="L237" s="111">
        <f>'Sampling Data'!X227</f>
        <v>0</v>
      </c>
      <c r="M237" s="114"/>
      <c r="N237" s="114"/>
      <c r="O237" s="115"/>
      <c r="P237" s="115"/>
      <c r="Q237" s="116"/>
      <c r="R237" s="116"/>
      <c r="S237" s="111">
        <f>Audit[[#This Row],[Audit Losing Candidate]]-Audit[[#This Row],[Losing Candidate]]</f>
        <v>-47</v>
      </c>
      <c r="T237" s="111">
        <f>Audit[[#This Row],[Audit Winning Candidate]]-Audit[[#This Row],[Winning Candidate]]</f>
        <v>-81</v>
      </c>
      <c r="U237" s="111">
        <f>Audit[[#This Row],[Audit Candidate 3]]-Audit[[#This Row],[Candidate 3]]</f>
        <v>-23</v>
      </c>
      <c r="V237" s="111">
        <f>Audit[[#This Row],[Audit Candidate 4]]-Audit[[#This Row],[Candidate 4]]</f>
        <v>-24</v>
      </c>
      <c r="W237" s="111">
        <f>Audit[[#This Row],[Audit Candidate 5]]-Audit[[#This Row],[Candidate 5]]</f>
        <v>-3</v>
      </c>
      <c r="X237" s="111">
        <f>Audit[[#This Row],[Audit Candidate 6]]-Audit[[#This Row],[Candidate 6]]</f>
        <v>-3</v>
      </c>
      <c r="Y237" s="111">
        <f>SUMIF(Audit[[#This Row],[Difference Loser]:[Difference Candidate 6]], "&gt;0")</f>
        <v>0</v>
      </c>
      <c r="Z237" s="111">
        <f>SUM(Audit[[#This Row],[Difference Loser]:[Difference Candidate 6]])</f>
        <v>-181</v>
      </c>
      <c r="AA237" s="111">
        <f>IF(Audit[[#This Row],[Times p Drawn - With Replacement]]&gt;0, IF(Audit[[#This Row],[Canceled Differences]]&lt;0, Audit[[#This Row],[Max Differences]]+ABS(Audit[[#This Row],[Canceled Differences]]), Audit[[#This Row],[Max Differences]]), 0)</f>
        <v>0</v>
      </c>
      <c r="AB237" s="111">
        <f>'Sampling Data'!P227</f>
        <v>1.396374326310632E-2</v>
      </c>
      <c r="AC237" s="111">
        <f>IF(
      SUM(Audit[[#This Row],[Audit Losing Candidate]:[Audit Candidate 6]])
      &lt;&gt;0,
      (Audit[[#This Row],[Winning Candidate]]-Audit[[#This Row],[Losing Candidate]]-(Audit[[#This Row],[Audit Winning Candidate]]-Audit[[#This Row],[Audit Losing Candidate]]))/(Audit[[#Totals],[Winning Candidate]]-Audit[[#Totals],[Losing Candidate]]),
      0
)</f>
        <v>0</v>
      </c>
      <c r="AD2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7" s="111">
        <f>IF(Audit[[#This Row],[Max Relative Error (ep)]] = 0, 0, Audit[[#This Row],[Max Relative Error (ep)]]/Audit[[#This Row],[Error Bound (up) - Max. possible relative overstatement]])</f>
        <v>0</v>
      </c>
      <c r="AJ2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37" s="111">
        <f t="shared" si="3"/>
        <v>1</v>
      </c>
      <c r="AL237" s="111">
        <f>PRODUCT($AK$5:AK237)</f>
        <v>8.962823818226312E-2</v>
      </c>
      <c r="AM237" s="109">
        <f>1 - [K-M P Value]</f>
        <v>0.91037176181773694</v>
      </c>
      <c r="AN237" s="111" t="str">
        <f>IF(Audit[[#This Row],[K-M P Value]]&gt;1-'General Info'!$B$16,"Continue", "Stop")</f>
        <v>Stop</v>
      </c>
      <c r="AO237" s="110" t="b">
        <f>IF(Audit[[#This Row],[Status - Continue or stop audit]] = "Continue", TRUE, IF(AN236 = "Continue", TRUE, FALSE))</f>
        <v>0</v>
      </c>
      <c r="AP237" s="110"/>
    </row>
    <row r="238" spans="1:42" ht="15" hidden="1" customHeight="1">
      <c r="A238" s="111" t="str">
        <f>'Sampling Data'!W228</f>
        <v/>
      </c>
      <c r="B238" s="112" t="str">
        <f>'Sampling Data'!A228</f>
        <v>BROOKLYN HEIGHTS -00-A - ABS</v>
      </c>
      <c r="C238" s="112">
        <f>'Sampling Data'!B228</f>
        <v>24</v>
      </c>
      <c r="D238" s="112">
        <f>'Sampling Data'!C228</f>
        <v>43</v>
      </c>
      <c r="E238" s="113">
        <f>'Sampling Data'!D228</f>
        <v>9</v>
      </c>
      <c r="F238" s="113">
        <f>'Sampling Data'!E228</f>
        <v>1</v>
      </c>
      <c r="G238" s="113">
        <f>'Sampling Data'!F228</f>
        <v>0</v>
      </c>
      <c r="H238" s="113">
        <f>'Sampling Data'!G228</f>
        <v>1</v>
      </c>
      <c r="I238" s="112">
        <f>'Sampling Data'!H228</f>
        <v>0</v>
      </c>
      <c r="J238" s="112">
        <f>'Sampling Data'!I228</f>
        <v>4</v>
      </c>
      <c r="K238" s="112">
        <f>'Sampling Data'!J228</f>
        <v>82</v>
      </c>
      <c r="L238" s="111">
        <f>'Sampling Data'!X228</f>
        <v>0</v>
      </c>
      <c r="M238" s="114"/>
      <c r="N238" s="114"/>
      <c r="O238" s="115"/>
      <c r="P238" s="115"/>
      <c r="Q238" s="116"/>
      <c r="R238" s="116"/>
      <c r="S238" s="111">
        <f>Audit[[#This Row],[Audit Losing Candidate]]-Audit[[#This Row],[Losing Candidate]]</f>
        <v>-24</v>
      </c>
      <c r="T238" s="111">
        <f>Audit[[#This Row],[Audit Winning Candidate]]-Audit[[#This Row],[Winning Candidate]]</f>
        <v>-43</v>
      </c>
      <c r="U238" s="111">
        <f>Audit[[#This Row],[Audit Candidate 3]]-Audit[[#This Row],[Candidate 3]]</f>
        <v>-9</v>
      </c>
      <c r="V238" s="111">
        <f>Audit[[#This Row],[Audit Candidate 4]]-Audit[[#This Row],[Candidate 4]]</f>
        <v>-1</v>
      </c>
      <c r="W238" s="111">
        <f>Audit[[#This Row],[Audit Candidate 5]]-Audit[[#This Row],[Candidate 5]]</f>
        <v>0</v>
      </c>
      <c r="X238" s="111">
        <f>Audit[[#This Row],[Audit Candidate 6]]-Audit[[#This Row],[Candidate 6]]</f>
        <v>-1</v>
      </c>
      <c r="Y238" s="111">
        <f>SUMIF(Audit[[#This Row],[Difference Loser]:[Difference Candidate 6]], "&gt;0")</f>
        <v>0</v>
      </c>
      <c r="Z238" s="111">
        <f>SUM(Audit[[#This Row],[Difference Loser]:[Difference Candidate 6]])</f>
        <v>-78</v>
      </c>
      <c r="AA238" s="111">
        <f>IF(Audit[[#This Row],[Times p Drawn - With Replacement]]&gt;0, IF(Audit[[#This Row],[Canceled Differences]]&lt;0, Audit[[#This Row],[Max Differences]]+ABS(Audit[[#This Row],[Canceled Differences]]), Audit[[#This Row],[Max Differences]]), 0)</f>
        <v>0</v>
      </c>
      <c r="AB238" s="111">
        <f>'Sampling Data'!P228</f>
        <v>6.1856932876041158E-3</v>
      </c>
      <c r="AC238" s="111">
        <f>IF(
      SUM(Audit[[#This Row],[Audit Losing Candidate]:[Audit Candidate 6]])
      &lt;&gt;0,
      (Audit[[#This Row],[Winning Candidate]]-Audit[[#This Row],[Losing Candidate]]-(Audit[[#This Row],[Audit Winning Candidate]]-Audit[[#This Row],[Audit Losing Candidate]]))/(Audit[[#Totals],[Winning Candidate]]-Audit[[#Totals],[Losing Candidate]]),
      0
)</f>
        <v>0</v>
      </c>
      <c r="AD2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8" s="111">
        <f>IF(Audit[[#This Row],[Max Relative Error (ep)]] = 0, 0, Audit[[#This Row],[Max Relative Error (ep)]]/Audit[[#This Row],[Error Bound (up) - Max. possible relative overstatement]])</f>
        <v>0</v>
      </c>
      <c r="AJ2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38" s="111">
        <f t="shared" si="3"/>
        <v>1</v>
      </c>
      <c r="AL238" s="111">
        <f>PRODUCT($AK$5:AK238)</f>
        <v>8.962823818226312E-2</v>
      </c>
      <c r="AM238" s="109">
        <f>1 - [K-M P Value]</f>
        <v>0.91037176181773694</v>
      </c>
      <c r="AN238" s="111" t="str">
        <f>IF(Audit[[#This Row],[K-M P Value]]&gt;1-'General Info'!$B$16,"Continue", "Stop")</f>
        <v>Stop</v>
      </c>
      <c r="AO238" s="110" t="b">
        <f>IF(Audit[[#This Row],[Status - Continue or stop audit]] = "Continue", TRUE, IF(AN237 = "Continue", TRUE, FALSE))</f>
        <v>0</v>
      </c>
      <c r="AP238" s="110"/>
    </row>
    <row r="239" spans="1:42" ht="15" hidden="1" customHeight="1">
      <c r="A239" s="111" t="str">
        <f>'Sampling Data'!W229</f>
        <v/>
      </c>
      <c r="B239" s="112" t="str">
        <f>'Sampling Data'!A229</f>
        <v>CHAGRIN FALLS -00-A</v>
      </c>
      <c r="C239" s="112">
        <f>'Sampling Data'!B229</f>
        <v>29</v>
      </c>
      <c r="D239" s="112">
        <f>'Sampling Data'!C229</f>
        <v>96</v>
      </c>
      <c r="E239" s="113">
        <f>'Sampling Data'!D229</f>
        <v>22</v>
      </c>
      <c r="F239" s="113">
        <f>'Sampling Data'!E229</f>
        <v>12</v>
      </c>
      <c r="G239" s="113">
        <f>'Sampling Data'!F229</f>
        <v>0</v>
      </c>
      <c r="H239" s="113">
        <f>'Sampling Data'!G229</f>
        <v>0</v>
      </c>
      <c r="I239" s="112">
        <f>'Sampling Data'!H229</f>
        <v>0</v>
      </c>
      <c r="J239" s="112">
        <f>'Sampling Data'!I229</f>
        <v>1</v>
      </c>
      <c r="K239" s="112">
        <f>'Sampling Data'!J229</f>
        <v>160</v>
      </c>
      <c r="L239" s="111">
        <f>'Sampling Data'!X229</f>
        <v>0</v>
      </c>
      <c r="M239" s="114"/>
      <c r="N239" s="114"/>
      <c r="O239" s="115"/>
      <c r="P239" s="115"/>
      <c r="Q239" s="116"/>
      <c r="R239" s="116"/>
      <c r="S239" s="111">
        <f>Audit[[#This Row],[Audit Losing Candidate]]-Audit[[#This Row],[Losing Candidate]]</f>
        <v>-29</v>
      </c>
      <c r="T239" s="111">
        <f>Audit[[#This Row],[Audit Winning Candidate]]-Audit[[#This Row],[Winning Candidate]]</f>
        <v>-96</v>
      </c>
      <c r="U239" s="111">
        <f>Audit[[#This Row],[Audit Candidate 3]]-Audit[[#This Row],[Candidate 3]]</f>
        <v>-22</v>
      </c>
      <c r="V239" s="111">
        <f>Audit[[#This Row],[Audit Candidate 4]]-Audit[[#This Row],[Candidate 4]]</f>
        <v>-12</v>
      </c>
      <c r="W239" s="111">
        <f>Audit[[#This Row],[Audit Candidate 5]]-Audit[[#This Row],[Candidate 5]]</f>
        <v>0</v>
      </c>
      <c r="X239" s="111">
        <f>Audit[[#This Row],[Audit Candidate 6]]-Audit[[#This Row],[Candidate 6]]</f>
        <v>0</v>
      </c>
      <c r="Y239" s="111">
        <f>SUMIF(Audit[[#This Row],[Difference Loser]:[Difference Candidate 6]], "&gt;0")</f>
        <v>0</v>
      </c>
      <c r="Z239" s="111">
        <f>SUM(Audit[[#This Row],[Difference Loser]:[Difference Candidate 6]])</f>
        <v>-159</v>
      </c>
      <c r="AA239" s="111">
        <f>IF(Audit[[#This Row],[Times p Drawn - With Replacement]]&gt;0, IF(Audit[[#This Row],[Canceled Differences]]&lt;0, Audit[[#This Row],[Max Differences]]+ABS(Audit[[#This Row],[Canceled Differences]]), Audit[[#This Row],[Max Differences]]), 0)</f>
        <v>0</v>
      </c>
      <c r="AB239" s="111">
        <f>'Sampling Data'!P229</f>
        <v>1.3902498775110241E-2</v>
      </c>
      <c r="AC239" s="111">
        <f>IF(
      SUM(Audit[[#This Row],[Audit Losing Candidate]:[Audit Candidate 6]])
      &lt;&gt;0,
      (Audit[[#This Row],[Winning Candidate]]-Audit[[#This Row],[Losing Candidate]]-(Audit[[#This Row],[Audit Winning Candidate]]-Audit[[#This Row],[Audit Losing Candidate]]))/(Audit[[#Totals],[Winning Candidate]]-Audit[[#Totals],[Losing Candidate]]),
      0
)</f>
        <v>0</v>
      </c>
      <c r="AD2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9" s="111">
        <f>IF(Audit[[#This Row],[Max Relative Error (ep)]] = 0, 0, Audit[[#This Row],[Max Relative Error (ep)]]/Audit[[#This Row],[Error Bound (up) - Max. possible relative overstatement]])</f>
        <v>0</v>
      </c>
      <c r="AJ2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39" s="111">
        <f t="shared" si="3"/>
        <v>1</v>
      </c>
      <c r="AL239" s="111">
        <f>PRODUCT($AK$5:AK239)</f>
        <v>8.962823818226312E-2</v>
      </c>
      <c r="AM239" s="109">
        <f>1 - [K-M P Value]</f>
        <v>0.91037176181773694</v>
      </c>
      <c r="AN239" s="111" t="str">
        <f>IF(Audit[[#This Row],[K-M P Value]]&gt;1-'General Info'!$B$16,"Continue", "Stop")</f>
        <v>Stop</v>
      </c>
      <c r="AO239" s="110" t="b">
        <f>IF(Audit[[#This Row],[Status - Continue or stop audit]] = "Continue", TRUE, IF(AN238 = "Continue", TRUE, FALSE))</f>
        <v>0</v>
      </c>
      <c r="AP239" s="110"/>
    </row>
    <row r="240" spans="1:42" ht="15" hidden="1" customHeight="1">
      <c r="A240" s="111" t="str">
        <f>'Sampling Data'!W230</f>
        <v/>
      </c>
      <c r="B240" s="112" t="str">
        <f>'Sampling Data'!A230</f>
        <v>CHAGRIN FALLS -00-A - ABS</v>
      </c>
      <c r="C240" s="112">
        <f>'Sampling Data'!B230</f>
        <v>17</v>
      </c>
      <c r="D240" s="112">
        <f>'Sampling Data'!C230</f>
        <v>26</v>
      </c>
      <c r="E240" s="113">
        <f>'Sampling Data'!D230</f>
        <v>5</v>
      </c>
      <c r="F240" s="113">
        <f>'Sampling Data'!E230</f>
        <v>1</v>
      </c>
      <c r="G240" s="113">
        <f>'Sampling Data'!F230</f>
        <v>1</v>
      </c>
      <c r="H240" s="113">
        <f>'Sampling Data'!G230</f>
        <v>0</v>
      </c>
      <c r="I240" s="112">
        <f>'Sampling Data'!H230</f>
        <v>0</v>
      </c>
      <c r="J240" s="112">
        <f>'Sampling Data'!I230</f>
        <v>0</v>
      </c>
      <c r="K240" s="112">
        <f>'Sampling Data'!J230</f>
        <v>50</v>
      </c>
      <c r="L240" s="111">
        <f>'Sampling Data'!X230</f>
        <v>0</v>
      </c>
      <c r="M240" s="114"/>
      <c r="N240" s="114"/>
      <c r="O240" s="115"/>
      <c r="P240" s="115"/>
      <c r="Q240" s="116"/>
      <c r="R240" s="116"/>
      <c r="S240" s="111">
        <f>Audit[[#This Row],[Audit Losing Candidate]]-Audit[[#This Row],[Losing Candidate]]</f>
        <v>-17</v>
      </c>
      <c r="T240" s="111">
        <f>Audit[[#This Row],[Audit Winning Candidate]]-Audit[[#This Row],[Winning Candidate]]</f>
        <v>-26</v>
      </c>
      <c r="U240" s="111">
        <f>Audit[[#This Row],[Audit Candidate 3]]-Audit[[#This Row],[Candidate 3]]</f>
        <v>-5</v>
      </c>
      <c r="V240" s="111">
        <f>Audit[[#This Row],[Audit Candidate 4]]-Audit[[#This Row],[Candidate 4]]</f>
        <v>-1</v>
      </c>
      <c r="W240" s="111">
        <f>Audit[[#This Row],[Audit Candidate 5]]-Audit[[#This Row],[Candidate 5]]</f>
        <v>-1</v>
      </c>
      <c r="X240" s="111">
        <f>Audit[[#This Row],[Audit Candidate 6]]-Audit[[#This Row],[Candidate 6]]</f>
        <v>0</v>
      </c>
      <c r="Y240" s="111">
        <f>SUMIF(Audit[[#This Row],[Difference Loser]:[Difference Candidate 6]], "&gt;0")</f>
        <v>0</v>
      </c>
      <c r="Z240" s="111">
        <f>SUM(Audit[[#This Row],[Difference Loser]:[Difference Candidate 6]])</f>
        <v>-50</v>
      </c>
      <c r="AA240" s="111">
        <f>IF(Audit[[#This Row],[Times p Drawn - With Replacement]]&gt;0, IF(Audit[[#This Row],[Canceled Differences]]&lt;0, Audit[[#This Row],[Max Differences]]+ABS(Audit[[#This Row],[Canceled Differences]]), Audit[[#This Row],[Max Differences]]), 0)</f>
        <v>0</v>
      </c>
      <c r="AB240" s="111">
        <f>'Sampling Data'!P230</f>
        <v>3.6134247917687409E-3</v>
      </c>
      <c r="AC240" s="111">
        <f>IF(
      SUM(Audit[[#This Row],[Audit Losing Candidate]:[Audit Candidate 6]])
      &lt;&gt;0,
      (Audit[[#This Row],[Winning Candidate]]-Audit[[#This Row],[Losing Candidate]]-(Audit[[#This Row],[Audit Winning Candidate]]-Audit[[#This Row],[Audit Losing Candidate]]))/(Audit[[#Totals],[Winning Candidate]]-Audit[[#Totals],[Losing Candidate]]),
      0
)</f>
        <v>0</v>
      </c>
      <c r="AD2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0" s="111">
        <f>IF(Audit[[#This Row],[Max Relative Error (ep)]] = 0, 0, Audit[[#This Row],[Max Relative Error (ep)]]/Audit[[#This Row],[Error Bound (up) - Max. possible relative overstatement]])</f>
        <v>0</v>
      </c>
      <c r="AJ2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40" s="111">
        <f t="shared" si="3"/>
        <v>1</v>
      </c>
      <c r="AL240" s="111">
        <f>PRODUCT($AK$5:AK240)</f>
        <v>8.962823818226312E-2</v>
      </c>
      <c r="AM240" s="109">
        <f>1 - [K-M P Value]</f>
        <v>0.91037176181773694</v>
      </c>
      <c r="AN240" s="111" t="str">
        <f>IF(Audit[[#This Row],[K-M P Value]]&gt;1-'General Info'!$B$16,"Continue", "Stop")</f>
        <v>Stop</v>
      </c>
      <c r="AO240" s="110" t="b">
        <f>IF(Audit[[#This Row],[Status - Continue or stop audit]] = "Continue", TRUE, IF(AN239 = "Continue", TRUE, FALSE))</f>
        <v>0</v>
      </c>
      <c r="AP240" s="110"/>
    </row>
    <row r="241" spans="1:42" ht="15" hidden="1" customHeight="1">
      <c r="A241" s="111" t="str">
        <f>'Sampling Data'!W231</f>
        <v/>
      </c>
      <c r="B241" s="112" t="str">
        <f>'Sampling Data'!A231</f>
        <v>CHAGRIN FALLS -00-B</v>
      </c>
      <c r="C241" s="112">
        <f>'Sampling Data'!B231</f>
        <v>38</v>
      </c>
      <c r="D241" s="112">
        <f>'Sampling Data'!C231</f>
        <v>155</v>
      </c>
      <c r="E241" s="113">
        <f>'Sampling Data'!D231</f>
        <v>23</v>
      </c>
      <c r="F241" s="113">
        <f>'Sampling Data'!E231</f>
        <v>15</v>
      </c>
      <c r="G241" s="113">
        <f>'Sampling Data'!F231</f>
        <v>1</v>
      </c>
      <c r="H241" s="113">
        <f>'Sampling Data'!G231</f>
        <v>0</v>
      </c>
      <c r="I241" s="112">
        <f>'Sampling Data'!H231</f>
        <v>0</v>
      </c>
      <c r="J241" s="112">
        <f>'Sampling Data'!I231</f>
        <v>2</v>
      </c>
      <c r="K241" s="112">
        <f>'Sampling Data'!J231</f>
        <v>234</v>
      </c>
      <c r="L241" s="111">
        <f>'Sampling Data'!X231</f>
        <v>0</v>
      </c>
      <c r="M241" s="114"/>
      <c r="N241" s="114"/>
      <c r="O241" s="115"/>
      <c r="P241" s="115"/>
      <c r="Q241" s="116"/>
      <c r="R241" s="116"/>
      <c r="S241" s="111">
        <f>Audit[[#This Row],[Audit Losing Candidate]]-Audit[[#This Row],[Losing Candidate]]</f>
        <v>-38</v>
      </c>
      <c r="T241" s="111">
        <f>Audit[[#This Row],[Audit Winning Candidate]]-Audit[[#This Row],[Winning Candidate]]</f>
        <v>-155</v>
      </c>
      <c r="U241" s="111">
        <f>Audit[[#This Row],[Audit Candidate 3]]-Audit[[#This Row],[Candidate 3]]</f>
        <v>-23</v>
      </c>
      <c r="V241" s="111">
        <f>Audit[[#This Row],[Audit Candidate 4]]-Audit[[#This Row],[Candidate 4]]</f>
        <v>-15</v>
      </c>
      <c r="W241" s="111">
        <f>Audit[[#This Row],[Audit Candidate 5]]-Audit[[#This Row],[Candidate 5]]</f>
        <v>-1</v>
      </c>
      <c r="X241" s="111">
        <f>Audit[[#This Row],[Audit Candidate 6]]-Audit[[#This Row],[Candidate 6]]</f>
        <v>0</v>
      </c>
      <c r="Y241" s="111">
        <f>SUMIF(Audit[[#This Row],[Difference Loser]:[Difference Candidate 6]], "&gt;0")</f>
        <v>0</v>
      </c>
      <c r="Z241" s="111">
        <f>SUM(Audit[[#This Row],[Difference Loser]:[Difference Candidate 6]])</f>
        <v>-232</v>
      </c>
      <c r="AA241" s="111">
        <f>IF(Audit[[#This Row],[Times p Drawn - With Replacement]]&gt;0, IF(Audit[[#This Row],[Canceled Differences]]&lt;0, Audit[[#This Row],[Max Differences]]+ABS(Audit[[#This Row],[Canceled Differences]]), Audit[[#This Row],[Max Differences]]), 0)</f>
        <v>0</v>
      </c>
      <c r="AB241" s="111">
        <f>'Sampling Data'!P231</f>
        <v>2.1496815286624203E-2</v>
      </c>
      <c r="AC241" s="111">
        <f>IF(
      SUM(Audit[[#This Row],[Audit Losing Candidate]:[Audit Candidate 6]])
      &lt;&gt;0,
      (Audit[[#This Row],[Winning Candidate]]-Audit[[#This Row],[Losing Candidate]]-(Audit[[#This Row],[Audit Winning Candidate]]-Audit[[#This Row],[Audit Losing Candidate]]))/(Audit[[#Totals],[Winning Candidate]]-Audit[[#Totals],[Losing Candidate]]),
      0
)</f>
        <v>0</v>
      </c>
      <c r="AD2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1" s="111">
        <f>IF(Audit[[#This Row],[Max Relative Error (ep)]] = 0, 0, Audit[[#This Row],[Max Relative Error (ep)]]/Audit[[#This Row],[Error Bound (up) - Max. possible relative overstatement]])</f>
        <v>0</v>
      </c>
      <c r="AJ2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41" s="111">
        <f t="shared" si="3"/>
        <v>1</v>
      </c>
      <c r="AL241" s="111">
        <f>PRODUCT($AK$5:AK241)</f>
        <v>8.962823818226312E-2</v>
      </c>
      <c r="AM241" s="109">
        <f>1 - [K-M P Value]</f>
        <v>0.91037176181773694</v>
      </c>
      <c r="AN241" s="111" t="str">
        <f>IF(Audit[[#This Row],[K-M P Value]]&gt;1-'General Info'!$B$16,"Continue", "Stop")</f>
        <v>Stop</v>
      </c>
      <c r="AO241" s="110" t="b">
        <f>IF(Audit[[#This Row],[Status - Continue or stop audit]] = "Continue", TRUE, IF(AN240 = "Continue", TRUE, FALSE))</f>
        <v>0</v>
      </c>
      <c r="AP241" s="110"/>
    </row>
    <row r="242" spans="1:42" ht="15" hidden="1" customHeight="1">
      <c r="A242" s="111" t="str">
        <f>'Sampling Data'!W232</f>
        <v/>
      </c>
      <c r="B242" s="112" t="str">
        <f>'Sampling Data'!A232</f>
        <v>CHAGRIN FALLS -00-B - ABS</v>
      </c>
      <c r="C242" s="112">
        <f>'Sampling Data'!B232</f>
        <v>9</v>
      </c>
      <c r="D242" s="112">
        <f>'Sampling Data'!C232</f>
        <v>31</v>
      </c>
      <c r="E242" s="113">
        <f>'Sampling Data'!D232</f>
        <v>3</v>
      </c>
      <c r="F242" s="113">
        <f>'Sampling Data'!E232</f>
        <v>4</v>
      </c>
      <c r="G242" s="113">
        <f>'Sampling Data'!F232</f>
        <v>0</v>
      </c>
      <c r="H242" s="113">
        <f>'Sampling Data'!G232</f>
        <v>0</v>
      </c>
      <c r="I242" s="112">
        <f>'Sampling Data'!H232</f>
        <v>0</v>
      </c>
      <c r="J242" s="112">
        <f>'Sampling Data'!I232</f>
        <v>1</v>
      </c>
      <c r="K242" s="112">
        <f>'Sampling Data'!J232</f>
        <v>48</v>
      </c>
      <c r="L242" s="111">
        <f>'Sampling Data'!X232</f>
        <v>0</v>
      </c>
      <c r="M242" s="114"/>
      <c r="N242" s="114"/>
      <c r="O242" s="115"/>
      <c r="P242" s="115"/>
      <c r="Q242" s="116"/>
      <c r="R242" s="116"/>
      <c r="S242" s="111">
        <f>Audit[[#This Row],[Audit Losing Candidate]]-Audit[[#This Row],[Losing Candidate]]</f>
        <v>-9</v>
      </c>
      <c r="T242" s="111">
        <f>Audit[[#This Row],[Audit Winning Candidate]]-Audit[[#This Row],[Winning Candidate]]</f>
        <v>-31</v>
      </c>
      <c r="U242" s="111">
        <f>Audit[[#This Row],[Audit Candidate 3]]-Audit[[#This Row],[Candidate 3]]</f>
        <v>-3</v>
      </c>
      <c r="V242" s="111">
        <f>Audit[[#This Row],[Audit Candidate 4]]-Audit[[#This Row],[Candidate 4]]</f>
        <v>-4</v>
      </c>
      <c r="W242" s="111">
        <f>Audit[[#This Row],[Audit Candidate 5]]-Audit[[#This Row],[Candidate 5]]</f>
        <v>0</v>
      </c>
      <c r="X242" s="111">
        <f>Audit[[#This Row],[Audit Candidate 6]]-Audit[[#This Row],[Candidate 6]]</f>
        <v>0</v>
      </c>
      <c r="Y242" s="111">
        <f>SUMIF(Audit[[#This Row],[Difference Loser]:[Difference Candidate 6]], "&gt;0")</f>
        <v>0</v>
      </c>
      <c r="Z242" s="111">
        <f>SUM(Audit[[#This Row],[Difference Loser]:[Difference Candidate 6]])</f>
        <v>-47</v>
      </c>
      <c r="AA242" s="111">
        <f>IF(Audit[[#This Row],[Times p Drawn - With Replacement]]&gt;0, IF(Audit[[#This Row],[Canceled Differences]]&lt;0, Audit[[#This Row],[Max Differences]]+ABS(Audit[[#This Row],[Canceled Differences]]), Audit[[#This Row],[Max Differences]]), 0)</f>
        <v>0</v>
      </c>
      <c r="AB242" s="111">
        <f>'Sampling Data'!P232</f>
        <v>4.2871141597256249E-3</v>
      </c>
      <c r="AC242" s="111">
        <f>IF(
      SUM(Audit[[#This Row],[Audit Losing Candidate]:[Audit Candidate 6]])
      &lt;&gt;0,
      (Audit[[#This Row],[Winning Candidate]]-Audit[[#This Row],[Losing Candidate]]-(Audit[[#This Row],[Audit Winning Candidate]]-Audit[[#This Row],[Audit Losing Candidate]]))/(Audit[[#Totals],[Winning Candidate]]-Audit[[#Totals],[Losing Candidate]]),
      0
)</f>
        <v>0</v>
      </c>
      <c r="AD2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2" s="111">
        <f>IF(Audit[[#This Row],[Max Relative Error (ep)]] = 0, 0, Audit[[#This Row],[Max Relative Error (ep)]]/Audit[[#This Row],[Error Bound (up) - Max. possible relative overstatement]])</f>
        <v>0</v>
      </c>
      <c r="AJ2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42" s="111">
        <f t="shared" si="3"/>
        <v>1</v>
      </c>
      <c r="AL242" s="111">
        <f>PRODUCT($AK$5:AK242)</f>
        <v>8.962823818226312E-2</v>
      </c>
      <c r="AM242" s="109">
        <f>1 - [K-M P Value]</f>
        <v>0.91037176181773694</v>
      </c>
      <c r="AN242" s="111" t="str">
        <f>IF(Audit[[#This Row],[K-M P Value]]&gt;1-'General Info'!$B$16,"Continue", "Stop")</f>
        <v>Stop</v>
      </c>
      <c r="AO242" s="110" t="b">
        <f>IF(Audit[[#This Row],[Status - Continue or stop audit]] = "Continue", TRUE, IF(AN241 = "Continue", TRUE, FALSE))</f>
        <v>0</v>
      </c>
      <c r="AP242" s="110"/>
    </row>
    <row r="243" spans="1:42" ht="15" hidden="1" customHeight="1">
      <c r="A243" s="111" t="str">
        <f>'Sampling Data'!W233</f>
        <v/>
      </c>
      <c r="B243" s="112" t="str">
        <f>'Sampling Data'!A233</f>
        <v>CHAGRIN FALLS -00-C</v>
      </c>
      <c r="C243" s="112">
        <f>'Sampling Data'!B233</f>
        <v>13</v>
      </c>
      <c r="D243" s="112">
        <f>'Sampling Data'!C233</f>
        <v>59</v>
      </c>
      <c r="E243" s="113">
        <f>'Sampling Data'!D233</f>
        <v>13</v>
      </c>
      <c r="F243" s="113">
        <f>'Sampling Data'!E233</f>
        <v>8</v>
      </c>
      <c r="G243" s="113">
        <f>'Sampling Data'!F233</f>
        <v>2</v>
      </c>
      <c r="H243" s="113">
        <f>'Sampling Data'!G233</f>
        <v>1</v>
      </c>
      <c r="I243" s="112">
        <f>'Sampling Data'!H233</f>
        <v>0</v>
      </c>
      <c r="J243" s="112">
        <f>'Sampling Data'!I233</f>
        <v>5</v>
      </c>
      <c r="K243" s="112">
        <f>'Sampling Data'!J233</f>
        <v>101</v>
      </c>
      <c r="L243" s="111">
        <f>'Sampling Data'!X233</f>
        <v>0</v>
      </c>
      <c r="M243" s="114"/>
      <c r="N243" s="114"/>
      <c r="O243" s="115"/>
      <c r="P243" s="115"/>
      <c r="Q243" s="116"/>
      <c r="R243" s="116"/>
      <c r="S243" s="111">
        <f>Audit[[#This Row],[Audit Losing Candidate]]-Audit[[#This Row],[Losing Candidate]]</f>
        <v>-13</v>
      </c>
      <c r="T243" s="111">
        <f>Audit[[#This Row],[Audit Winning Candidate]]-Audit[[#This Row],[Winning Candidate]]</f>
        <v>-59</v>
      </c>
      <c r="U243" s="111">
        <f>Audit[[#This Row],[Audit Candidate 3]]-Audit[[#This Row],[Candidate 3]]</f>
        <v>-13</v>
      </c>
      <c r="V243" s="111">
        <f>Audit[[#This Row],[Audit Candidate 4]]-Audit[[#This Row],[Candidate 4]]</f>
        <v>-8</v>
      </c>
      <c r="W243" s="111">
        <f>Audit[[#This Row],[Audit Candidate 5]]-Audit[[#This Row],[Candidate 5]]</f>
        <v>-2</v>
      </c>
      <c r="X243" s="111">
        <f>Audit[[#This Row],[Audit Candidate 6]]-Audit[[#This Row],[Candidate 6]]</f>
        <v>-1</v>
      </c>
      <c r="Y243" s="111">
        <f>SUMIF(Audit[[#This Row],[Difference Loser]:[Difference Candidate 6]], "&gt;0")</f>
        <v>0</v>
      </c>
      <c r="Z243" s="111">
        <f>SUM(Audit[[#This Row],[Difference Loser]:[Difference Candidate 6]])</f>
        <v>-96</v>
      </c>
      <c r="AA243" s="111">
        <f>IF(Audit[[#This Row],[Times p Drawn - With Replacement]]&gt;0, IF(Audit[[#This Row],[Canceled Differences]]&lt;0, Audit[[#This Row],[Max Differences]]+ABS(Audit[[#This Row],[Canceled Differences]]), Audit[[#This Row],[Max Differences]]), 0)</f>
        <v>0</v>
      </c>
      <c r="AB243" s="111">
        <f>'Sampling Data'!P233</f>
        <v>9.0029397354238119E-3</v>
      </c>
      <c r="AC243" s="111">
        <f>IF(
      SUM(Audit[[#This Row],[Audit Losing Candidate]:[Audit Candidate 6]])
      &lt;&gt;0,
      (Audit[[#This Row],[Winning Candidate]]-Audit[[#This Row],[Losing Candidate]]-(Audit[[#This Row],[Audit Winning Candidate]]-Audit[[#This Row],[Audit Losing Candidate]]))/(Audit[[#Totals],[Winning Candidate]]-Audit[[#Totals],[Losing Candidate]]),
      0
)</f>
        <v>0</v>
      </c>
      <c r="AD2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3" s="111">
        <f>IF(Audit[[#This Row],[Max Relative Error (ep)]] = 0, 0, Audit[[#This Row],[Max Relative Error (ep)]]/Audit[[#This Row],[Error Bound (up) - Max. possible relative overstatement]])</f>
        <v>0</v>
      </c>
      <c r="AJ2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43" s="111">
        <f t="shared" si="3"/>
        <v>1</v>
      </c>
      <c r="AL243" s="111">
        <f>PRODUCT($AK$5:AK243)</f>
        <v>8.962823818226312E-2</v>
      </c>
      <c r="AM243" s="109">
        <f>1 - [K-M P Value]</f>
        <v>0.91037176181773694</v>
      </c>
      <c r="AN243" s="111" t="str">
        <f>IF(Audit[[#This Row],[K-M P Value]]&gt;1-'General Info'!$B$16,"Continue", "Stop")</f>
        <v>Stop</v>
      </c>
      <c r="AO243" s="110" t="b">
        <f>IF(Audit[[#This Row],[Status - Continue or stop audit]] = "Continue", TRUE, IF(AN242 = "Continue", TRUE, FALSE))</f>
        <v>0</v>
      </c>
      <c r="AP243" s="110"/>
    </row>
    <row r="244" spans="1:42" ht="15" hidden="1" customHeight="1">
      <c r="A244" s="111" t="str">
        <f>'Sampling Data'!W234</f>
        <v/>
      </c>
      <c r="B244" s="112" t="str">
        <f>'Sampling Data'!A234</f>
        <v>CHAGRIN FALLS -00-C - ABS</v>
      </c>
      <c r="C244" s="112">
        <f>'Sampling Data'!B234</f>
        <v>4</v>
      </c>
      <c r="D244" s="112">
        <f>'Sampling Data'!C234</f>
        <v>42</v>
      </c>
      <c r="E244" s="113">
        <f>'Sampling Data'!D234</f>
        <v>6</v>
      </c>
      <c r="F244" s="113">
        <f>'Sampling Data'!E234</f>
        <v>4</v>
      </c>
      <c r="G244" s="113">
        <f>'Sampling Data'!F234</f>
        <v>0</v>
      </c>
      <c r="H244" s="113">
        <f>'Sampling Data'!G234</f>
        <v>0</v>
      </c>
      <c r="I244" s="112">
        <f>'Sampling Data'!H234</f>
        <v>0</v>
      </c>
      <c r="J244" s="112">
        <f>'Sampling Data'!I234</f>
        <v>3</v>
      </c>
      <c r="K244" s="112">
        <f>'Sampling Data'!J234</f>
        <v>59</v>
      </c>
      <c r="L244" s="111">
        <f>'Sampling Data'!X234</f>
        <v>0</v>
      </c>
      <c r="M244" s="114"/>
      <c r="N244" s="114"/>
      <c r="O244" s="115"/>
      <c r="P244" s="115"/>
      <c r="Q244" s="116"/>
      <c r="R244" s="116"/>
      <c r="S244" s="111">
        <f>Audit[[#This Row],[Audit Losing Candidate]]-Audit[[#This Row],[Losing Candidate]]</f>
        <v>-4</v>
      </c>
      <c r="T244" s="111">
        <f>Audit[[#This Row],[Audit Winning Candidate]]-Audit[[#This Row],[Winning Candidate]]</f>
        <v>-42</v>
      </c>
      <c r="U244" s="111">
        <f>Audit[[#This Row],[Audit Candidate 3]]-Audit[[#This Row],[Candidate 3]]</f>
        <v>-6</v>
      </c>
      <c r="V244" s="111">
        <f>Audit[[#This Row],[Audit Candidate 4]]-Audit[[#This Row],[Candidate 4]]</f>
        <v>-4</v>
      </c>
      <c r="W244" s="111">
        <f>Audit[[#This Row],[Audit Candidate 5]]-Audit[[#This Row],[Candidate 5]]</f>
        <v>0</v>
      </c>
      <c r="X244" s="111">
        <f>Audit[[#This Row],[Audit Candidate 6]]-Audit[[#This Row],[Candidate 6]]</f>
        <v>0</v>
      </c>
      <c r="Y244" s="111">
        <f>SUMIF(Audit[[#This Row],[Difference Loser]:[Difference Candidate 6]], "&gt;0")</f>
        <v>0</v>
      </c>
      <c r="Z244" s="111">
        <f>SUM(Audit[[#This Row],[Difference Loser]:[Difference Candidate 6]])</f>
        <v>-56</v>
      </c>
      <c r="AA244" s="111">
        <f>IF(Audit[[#This Row],[Times p Drawn - With Replacement]]&gt;0, IF(Audit[[#This Row],[Canceled Differences]]&lt;0, Audit[[#This Row],[Max Differences]]+ABS(Audit[[#This Row],[Canceled Differences]]), Audit[[#This Row],[Max Differences]]), 0)</f>
        <v>0</v>
      </c>
      <c r="AB244" s="111">
        <f>'Sampling Data'!P234</f>
        <v>5.9407153356197942E-3</v>
      </c>
      <c r="AC244" s="111">
        <f>IF(
      SUM(Audit[[#This Row],[Audit Losing Candidate]:[Audit Candidate 6]])
      &lt;&gt;0,
      (Audit[[#This Row],[Winning Candidate]]-Audit[[#This Row],[Losing Candidate]]-(Audit[[#This Row],[Audit Winning Candidate]]-Audit[[#This Row],[Audit Losing Candidate]]))/(Audit[[#Totals],[Winning Candidate]]-Audit[[#Totals],[Losing Candidate]]),
      0
)</f>
        <v>0</v>
      </c>
      <c r="AD2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4" s="111">
        <f>IF(Audit[[#This Row],[Max Relative Error (ep)]] = 0, 0, Audit[[#This Row],[Max Relative Error (ep)]]/Audit[[#This Row],[Error Bound (up) - Max. possible relative overstatement]])</f>
        <v>0</v>
      </c>
      <c r="AJ2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44" s="111">
        <f t="shared" si="3"/>
        <v>1</v>
      </c>
      <c r="AL244" s="111">
        <f>PRODUCT($AK$5:AK244)</f>
        <v>8.962823818226312E-2</v>
      </c>
      <c r="AM244" s="109">
        <f>1 - [K-M P Value]</f>
        <v>0.91037176181773694</v>
      </c>
      <c r="AN244" s="111" t="str">
        <f>IF(Audit[[#This Row],[K-M P Value]]&gt;1-'General Info'!$B$16,"Continue", "Stop")</f>
        <v>Stop</v>
      </c>
      <c r="AO244" s="110" t="b">
        <f>IF(Audit[[#This Row],[Status - Continue or stop audit]] = "Continue", TRUE, IF(AN243 = "Continue", TRUE, FALSE))</f>
        <v>0</v>
      </c>
      <c r="AP244" s="110"/>
    </row>
    <row r="245" spans="1:42" ht="15" hidden="1" customHeight="1">
      <c r="A245" s="111" t="str">
        <f>'Sampling Data'!W235</f>
        <v/>
      </c>
      <c r="B245" s="112" t="str">
        <f>'Sampling Data'!A235</f>
        <v>CHAGRIN FALLS -00-D</v>
      </c>
      <c r="C245" s="112">
        <f>'Sampling Data'!B235</f>
        <v>40</v>
      </c>
      <c r="D245" s="112">
        <f>'Sampling Data'!C235</f>
        <v>119</v>
      </c>
      <c r="E245" s="113">
        <f>'Sampling Data'!D235</f>
        <v>24</v>
      </c>
      <c r="F245" s="113">
        <f>'Sampling Data'!E235</f>
        <v>11</v>
      </c>
      <c r="G245" s="113">
        <f>'Sampling Data'!F235</f>
        <v>4</v>
      </c>
      <c r="H245" s="113">
        <f>'Sampling Data'!G235</f>
        <v>0</v>
      </c>
      <c r="I245" s="112">
        <f>'Sampling Data'!H235</f>
        <v>0</v>
      </c>
      <c r="J245" s="112">
        <f>'Sampling Data'!I235</f>
        <v>3</v>
      </c>
      <c r="K245" s="112">
        <f>'Sampling Data'!J235</f>
        <v>201</v>
      </c>
      <c r="L245" s="111">
        <f>'Sampling Data'!X235</f>
        <v>0</v>
      </c>
      <c r="M245" s="114"/>
      <c r="N245" s="114"/>
      <c r="O245" s="115"/>
      <c r="P245" s="115"/>
      <c r="Q245" s="116"/>
      <c r="R245" s="116"/>
      <c r="S245" s="111">
        <f>Audit[[#This Row],[Audit Losing Candidate]]-Audit[[#This Row],[Losing Candidate]]</f>
        <v>-40</v>
      </c>
      <c r="T245" s="111">
        <f>Audit[[#This Row],[Audit Winning Candidate]]-Audit[[#This Row],[Winning Candidate]]</f>
        <v>-119</v>
      </c>
      <c r="U245" s="111">
        <f>Audit[[#This Row],[Audit Candidate 3]]-Audit[[#This Row],[Candidate 3]]</f>
        <v>-24</v>
      </c>
      <c r="V245" s="111">
        <f>Audit[[#This Row],[Audit Candidate 4]]-Audit[[#This Row],[Candidate 4]]</f>
        <v>-11</v>
      </c>
      <c r="W245" s="111">
        <f>Audit[[#This Row],[Audit Candidate 5]]-Audit[[#This Row],[Candidate 5]]</f>
        <v>-4</v>
      </c>
      <c r="X245" s="111">
        <f>Audit[[#This Row],[Audit Candidate 6]]-Audit[[#This Row],[Candidate 6]]</f>
        <v>0</v>
      </c>
      <c r="Y245" s="111">
        <f>SUMIF(Audit[[#This Row],[Difference Loser]:[Difference Candidate 6]], "&gt;0")</f>
        <v>0</v>
      </c>
      <c r="Z245" s="111">
        <f>SUM(Audit[[#This Row],[Difference Loser]:[Difference Candidate 6]])</f>
        <v>-198</v>
      </c>
      <c r="AA245" s="111">
        <f>IF(Audit[[#This Row],[Times p Drawn - With Replacement]]&gt;0, IF(Audit[[#This Row],[Canceled Differences]]&lt;0, Audit[[#This Row],[Max Differences]]+ABS(Audit[[#This Row],[Canceled Differences]]), Audit[[#This Row],[Max Differences]]), 0)</f>
        <v>0</v>
      </c>
      <c r="AB245" s="111">
        <f>'Sampling Data'!P235</f>
        <v>1.71484566389025E-2</v>
      </c>
      <c r="AC245" s="111">
        <f>IF(
      SUM(Audit[[#This Row],[Audit Losing Candidate]:[Audit Candidate 6]])
      &lt;&gt;0,
      (Audit[[#This Row],[Winning Candidate]]-Audit[[#This Row],[Losing Candidate]]-(Audit[[#This Row],[Audit Winning Candidate]]-Audit[[#This Row],[Audit Losing Candidate]]))/(Audit[[#Totals],[Winning Candidate]]-Audit[[#Totals],[Losing Candidate]]),
      0
)</f>
        <v>0</v>
      </c>
      <c r="AD2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5" s="111">
        <f>IF(Audit[[#This Row],[Max Relative Error (ep)]] = 0, 0, Audit[[#This Row],[Max Relative Error (ep)]]/Audit[[#This Row],[Error Bound (up) - Max. possible relative overstatement]])</f>
        <v>0</v>
      </c>
      <c r="AJ2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45" s="111">
        <f t="shared" si="3"/>
        <v>1</v>
      </c>
      <c r="AL245" s="111">
        <f>PRODUCT($AK$5:AK245)</f>
        <v>8.962823818226312E-2</v>
      </c>
      <c r="AM245" s="109">
        <f>1 - [K-M P Value]</f>
        <v>0.91037176181773694</v>
      </c>
      <c r="AN245" s="111" t="str">
        <f>IF(Audit[[#This Row],[K-M P Value]]&gt;1-'General Info'!$B$16,"Continue", "Stop")</f>
        <v>Stop</v>
      </c>
      <c r="AO245" s="110" t="b">
        <f>IF(Audit[[#This Row],[Status - Continue or stop audit]] = "Continue", TRUE, IF(AN244 = "Continue", TRUE, FALSE))</f>
        <v>0</v>
      </c>
      <c r="AP245" s="110"/>
    </row>
    <row r="246" spans="1:42" ht="15" hidden="1" customHeight="1">
      <c r="A246" s="111" t="str">
        <f>'Sampling Data'!W236</f>
        <v/>
      </c>
      <c r="B246" s="112" t="str">
        <f>'Sampling Data'!A236</f>
        <v>CHAGRIN FALLS -00-D - ABS</v>
      </c>
      <c r="C246" s="112">
        <f>'Sampling Data'!B236</f>
        <v>6</v>
      </c>
      <c r="D246" s="112">
        <f>'Sampling Data'!C236</f>
        <v>40</v>
      </c>
      <c r="E246" s="113">
        <f>'Sampling Data'!D236</f>
        <v>8</v>
      </c>
      <c r="F246" s="113">
        <f>'Sampling Data'!E236</f>
        <v>0</v>
      </c>
      <c r="G246" s="113">
        <f>'Sampling Data'!F236</f>
        <v>0</v>
      </c>
      <c r="H246" s="113">
        <f>'Sampling Data'!G236</f>
        <v>0</v>
      </c>
      <c r="I246" s="112">
        <f>'Sampling Data'!H236</f>
        <v>0</v>
      </c>
      <c r="J246" s="112">
        <f>'Sampling Data'!I236</f>
        <v>1</v>
      </c>
      <c r="K246" s="112">
        <f>'Sampling Data'!J236</f>
        <v>55</v>
      </c>
      <c r="L246" s="111">
        <f>'Sampling Data'!X236</f>
        <v>0</v>
      </c>
      <c r="M246" s="114"/>
      <c r="N246" s="114"/>
      <c r="O246" s="115"/>
      <c r="P246" s="115"/>
      <c r="Q246" s="116"/>
      <c r="R246" s="116"/>
      <c r="S246" s="111">
        <f>Audit[[#This Row],[Audit Losing Candidate]]-Audit[[#This Row],[Losing Candidate]]</f>
        <v>-6</v>
      </c>
      <c r="T246" s="111">
        <f>Audit[[#This Row],[Audit Winning Candidate]]-Audit[[#This Row],[Winning Candidate]]</f>
        <v>-40</v>
      </c>
      <c r="U246" s="111">
        <f>Audit[[#This Row],[Audit Candidate 3]]-Audit[[#This Row],[Candidate 3]]</f>
        <v>-8</v>
      </c>
      <c r="V246" s="111">
        <f>Audit[[#This Row],[Audit Candidate 4]]-Audit[[#This Row],[Candidate 4]]</f>
        <v>0</v>
      </c>
      <c r="W246" s="111">
        <f>Audit[[#This Row],[Audit Candidate 5]]-Audit[[#This Row],[Candidate 5]]</f>
        <v>0</v>
      </c>
      <c r="X246" s="111">
        <f>Audit[[#This Row],[Audit Candidate 6]]-Audit[[#This Row],[Candidate 6]]</f>
        <v>0</v>
      </c>
      <c r="Y246" s="111">
        <f>SUMIF(Audit[[#This Row],[Difference Loser]:[Difference Candidate 6]], "&gt;0")</f>
        <v>0</v>
      </c>
      <c r="Z246" s="111">
        <f>SUM(Audit[[#This Row],[Difference Loser]:[Difference Candidate 6]])</f>
        <v>-54</v>
      </c>
      <c r="AA246" s="111">
        <f>IF(Audit[[#This Row],[Times p Drawn - With Replacement]]&gt;0, IF(Audit[[#This Row],[Canceled Differences]]&lt;0, Audit[[#This Row],[Max Differences]]+ABS(Audit[[#This Row],[Canceled Differences]]), Audit[[#This Row],[Max Differences]]), 0)</f>
        <v>0</v>
      </c>
      <c r="AB246" s="111">
        <f>'Sampling Data'!P236</f>
        <v>5.4507594316511518E-3</v>
      </c>
      <c r="AC246" s="111">
        <f>IF(
      SUM(Audit[[#This Row],[Audit Losing Candidate]:[Audit Candidate 6]])
      &lt;&gt;0,
      (Audit[[#This Row],[Winning Candidate]]-Audit[[#This Row],[Losing Candidate]]-(Audit[[#This Row],[Audit Winning Candidate]]-Audit[[#This Row],[Audit Losing Candidate]]))/(Audit[[#Totals],[Winning Candidate]]-Audit[[#Totals],[Losing Candidate]]),
      0
)</f>
        <v>0</v>
      </c>
      <c r="AD2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6" s="111">
        <f>IF(Audit[[#This Row],[Max Relative Error (ep)]] = 0, 0, Audit[[#This Row],[Max Relative Error (ep)]]/Audit[[#This Row],[Error Bound (up) - Max. possible relative overstatement]])</f>
        <v>0</v>
      </c>
      <c r="AJ2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46" s="111">
        <f t="shared" si="3"/>
        <v>1</v>
      </c>
      <c r="AL246" s="111">
        <f>PRODUCT($AK$5:AK246)</f>
        <v>8.962823818226312E-2</v>
      </c>
      <c r="AM246" s="109">
        <f>1 - [K-M P Value]</f>
        <v>0.91037176181773694</v>
      </c>
      <c r="AN246" s="111" t="str">
        <f>IF(Audit[[#This Row],[K-M P Value]]&gt;1-'General Info'!$B$16,"Continue", "Stop")</f>
        <v>Stop</v>
      </c>
      <c r="AO246" s="110" t="b">
        <f>IF(Audit[[#This Row],[Status - Continue or stop audit]] = "Continue", TRUE, IF(AN245 = "Continue", TRUE, FALSE))</f>
        <v>0</v>
      </c>
      <c r="AP246" s="110"/>
    </row>
    <row r="247" spans="1:42" ht="15" hidden="1" customHeight="1">
      <c r="A247" s="111" t="str">
        <f>'Sampling Data'!W237</f>
        <v/>
      </c>
      <c r="B247" s="112" t="str">
        <f>'Sampling Data'!A237</f>
        <v>CHAGRIN FALLS TWP -00-A</v>
      </c>
      <c r="C247" s="112">
        <f>'Sampling Data'!B237</f>
        <v>5</v>
      </c>
      <c r="D247" s="112">
        <f>'Sampling Data'!C237</f>
        <v>15</v>
      </c>
      <c r="E247" s="113">
        <f>'Sampling Data'!D237</f>
        <v>0</v>
      </c>
      <c r="F247" s="113">
        <f>'Sampling Data'!E237</f>
        <v>3</v>
      </c>
      <c r="G247" s="113">
        <f>'Sampling Data'!F237</f>
        <v>0</v>
      </c>
      <c r="H247" s="113">
        <f>'Sampling Data'!G237</f>
        <v>0</v>
      </c>
      <c r="I247" s="112">
        <f>'Sampling Data'!H237</f>
        <v>0</v>
      </c>
      <c r="J247" s="112">
        <f>'Sampling Data'!I237</f>
        <v>0</v>
      </c>
      <c r="K247" s="112">
        <f>'Sampling Data'!J237</f>
        <v>23</v>
      </c>
      <c r="L247" s="111">
        <f>'Sampling Data'!X237</f>
        <v>0</v>
      </c>
      <c r="M247" s="114"/>
      <c r="N247" s="114"/>
      <c r="O247" s="115"/>
      <c r="P247" s="115"/>
      <c r="Q247" s="116"/>
      <c r="R247" s="116"/>
      <c r="S247" s="111">
        <f>Audit[[#This Row],[Audit Losing Candidate]]-Audit[[#This Row],[Losing Candidate]]</f>
        <v>-5</v>
      </c>
      <c r="T247" s="111">
        <f>Audit[[#This Row],[Audit Winning Candidate]]-Audit[[#This Row],[Winning Candidate]]</f>
        <v>-15</v>
      </c>
      <c r="U247" s="111">
        <f>Audit[[#This Row],[Audit Candidate 3]]-Audit[[#This Row],[Candidate 3]]</f>
        <v>0</v>
      </c>
      <c r="V247" s="111">
        <f>Audit[[#This Row],[Audit Candidate 4]]-Audit[[#This Row],[Candidate 4]]</f>
        <v>-3</v>
      </c>
      <c r="W247" s="111">
        <f>Audit[[#This Row],[Audit Candidate 5]]-Audit[[#This Row],[Candidate 5]]</f>
        <v>0</v>
      </c>
      <c r="X247" s="111">
        <f>Audit[[#This Row],[Audit Candidate 6]]-Audit[[#This Row],[Candidate 6]]</f>
        <v>0</v>
      </c>
      <c r="Y247" s="111">
        <f>SUMIF(Audit[[#This Row],[Difference Loser]:[Difference Candidate 6]], "&gt;0")</f>
        <v>0</v>
      </c>
      <c r="Z247" s="111">
        <f>SUM(Audit[[#This Row],[Difference Loser]:[Difference Candidate 6]])</f>
        <v>-23</v>
      </c>
      <c r="AA247" s="111">
        <f>IF(Audit[[#This Row],[Times p Drawn - With Replacement]]&gt;0, IF(Audit[[#This Row],[Canceled Differences]]&lt;0, Audit[[#This Row],[Max Differences]]+ABS(Audit[[#This Row],[Canceled Differences]]), Audit[[#This Row],[Max Differences]]), 0)</f>
        <v>0</v>
      </c>
      <c r="AB247" s="111">
        <f>'Sampling Data'!P237</f>
        <v>2.0210681038706517E-3</v>
      </c>
      <c r="AC247" s="111">
        <f>IF(
      SUM(Audit[[#This Row],[Audit Losing Candidate]:[Audit Candidate 6]])
      &lt;&gt;0,
      (Audit[[#This Row],[Winning Candidate]]-Audit[[#This Row],[Losing Candidate]]-(Audit[[#This Row],[Audit Winning Candidate]]-Audit[[#This Row],[Audit Losing Candidate]]))/(Audit[[#Totals],[Winning Candidate]]-Audit[[#Totals],[Losing Candidate]]),
      0
)</f>
        <v>0</v>
      </c>
      <c r="AD2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7" s="111">
        <f>IF(Audit[[#This Row],[Max Relative Error (ep)]] = 0, 0, Audit[[#This Row],[Max Relative Error (ep)]]/Audit[[#This Row],[Error Bound (up) - Max. possible relative overstatement]])</f>
        <v>0</v>
      </c>
      <c r="AJ2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47" s="111">
        <f t="shared" si="3"/>
        <v>1</v>
      </c>
      <c r="AL247" s="111">
        <f>PRODUCT($AK$5:AK247)</f>
        <v>8.962823818226312E-2</v>
      </c>
      <c r="AM247" s="109">
        <f>1 - [K-M P Value]</f>
        <v>0.91037176181773694</v>
      </c>
      <c r="AN247" s="111" t="str">
        <f>IF(Audit[[#This Row],[K-M P Value]]&gt;1-'General Info'!$B$16,"Continue", "Stop")</f>
        <v>Stop</v>
      </c>
      <c r="AO247" s="110" t="b">
        <f>IF(Audit[[#This Row],[Status - Continue or stop audit]] = "Continue", TRUE, IF(AN246 = "Continue", TRUE, FALSE))</f>
        <v>0</v>
      </c>
      <c r="AP247" s="110"/>
    </row>
    <row r="248" spans="1:42" ht="15" hidden="1" customHeight="1">
      <c r="A248" s="111" t="str">
        <f>'Sampling Data'!W238</f>
        <v/>
      </c>
      <c r="B248" s="112" t="str">
        <f>'Sampling Data'!A238</f>
        <v>CHAGRIN FALLS TWP -00-A - ABS</v>
      </c>
      <c r="C248" s="112">
        <f>'Sampling Data'!B238</f>
        <v>1</v>
      </c>
      <c r="D248" s="112">
        <f>'Sampling Data'!C238</f>
        <v>15</v>
      </c>
      <c r="E248" s="113">
        <f>'Sampling Data'!D238</f>
        <v>1</v>
      </c>
      <c r="F248" s="113">
        <f>'Sampling Data'!E238</f>
        <v>1</v>
      </c>
      <c r="G248" s="113">
        <f>'Sampling Data'!F238</f>
        <v>0</v>
      </c>
      <c r="H248" s="113">
        <f>'Sampling Data'!G238</f>
        <v>0</v>
      </c>
      <c r="I248" s="112">
        <f>'Sampling Data'!H238</f>
        <v>0</v>
      </c>
      <c r="J248" s="112">
        <f>'Sampling Data'!I238</f>
        <v>0</v>
      </c>
      <c r="K248" s="112">
        <f>'Sampling Data'!J238</f>
        <v>18</v>
      </c>
      <c r="L248" s="111">
        <f>'Sampling Data'!X238</f>
        <v>0</v>
      </c>
      <c r="M248" s="114"/>
      <c r="N248" s="114"/>
      <c r="O248" s="115"/>
      <c r="P248" s="115"/>
      <c r="Q248" s="116"/>
      <c r="R248" s="116"/>
      <c r="S248" s="111">
        <f>Audit[[#This Row],[Audit Losing Candidate]]-Audit[[#This Row],[Losing Candidate]]</f>
        <v>-1</v>
      </c>
      <c r="T248" s="111">
        <f>Audit[[#This Row],[Audit Winning Candidate]]-Audit[[#This Row],[Winning Candidate]]</f>
        <v>-15</v>
      </c>
      <c r="U248" s="111">
        <f>Audit[[#This Row],[Audit Candidate 3]]-Audit[[#This Row],[Candidate 3]]</f>
        <v>-1</v>
      </c>
      <c r="V248" s="111">
        <f>Audit[[#This Row],[Audit Candidate 4]]-Audit[[#This Row],[Candidate 4]]</f>
        <v>-1</v>
      </c>
      <c r="W248" s="111">
        <f>Audit[[#This Row],[Audit Candidate 5]]-Audit[[#This Row],[Candidate 5]]</f>
        <v>0</v>
      </c>
      <c r="X248" s="111">
        <f>Audit[[#This Row],[Audit Candidate 6]]-Audit[[#This Row],[Candidate 6]]</f>
        <v>0</v>
      </c>
      <c r="Y248" s="111">
        <f>SUMIF(Audit[[#This Row],[Difference Loser]:[Difference Candidate 6]], "&gt;0")</f>
        <v>0</v>
      </c>
      <c r="Z248" s="111">
        <f>SUM(Audit[[#This Row],[Difference Loser]:[Difference Candidate 6]])</f>
        <v>-18</v>
      </c>
      <c r="AA248" s="111">
        <f>IF(Audit[[#This Row],[Times p Drawn - With Replacement]]&gt;0, IF(Audit[[#This Row],[Canceled Differences]]&lt;0, Audit[[#This Row],[Max Differences]]+ABS(Audit[[#This Row],[Canceled Differences]]), Audit[[#This Row],[Max Differences]]), 0)</f>
        <v>0</v>
      </c>
      <c r="AB248" s="111">
        <f>'Sampling Data'!P238</f>
        <v>1.9598236158745713E-3</v>
      </c>
      <c r="AC248" s="111">
        <f>IF(
      SUM(Audit[[#This Row],[Audit Losing Candidate]:[Audit Candidate 6]])
      &lt;&gt;0,
      (Audit[[#This Row],[Winning Candidate]]-Audit[[#This Row],[Losing Candidate]]-(Audit[[#This Row],[Audit Winning Candidate]]-Audit[[#This Row],[Audit Losing Candidate]]))/(Audit[[#Totals],[Winning Candidate]]-Audit[[#Totals],[Losing Candidate]]),
      0
)</f>
        <v>0</v>
      </c>
      <c r="AD2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8" s="111">
        <f>IF(Audit[[#This Row],[Max Relative Error (ep)]] = 0, 0, Audit[[#This Row],[Max Relative Error (ep)]]/Audit[[#This Row],[Error Bound (up) - Max. possible relative overstatement]])</f>
        <v>0</v>
      </c>
      <c r="AJ2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48" s="111">
        <f t="shared" si="3"/>
        <v>1</v>
      </c>
      <c r="AL248" s="111">
        <f>PRODUCT($AK$5:AK248)</f>
        <v>8.962823818226312E-2</v>
      </c>
      <c r="AM248" s="109">
        <f>1 - [K-M P Value]</f>
        <v>0.91037176181773694</v>
      </c>
      <c r="AN248" s="111" t="str">
        <f>IF(Audit[[#This Row],[K-M P Value]]&gt;1-'General Info'!$B$16,"Continue", "Stop")</f>
        <v>Stop</v>
      </c>
      <c r="AO248" s="110" t="b">
        <f>IF(Audit[[#This Row],[Status - Continue or stop audit]] = "Continue", TRUE, IF(AN247 = "Continue", TRUE, FALSE))</f>
        <v>0</v>
      </c>
      <c r="AP248" s="110"/>
    </row>
    <row r="249" spans="1:42" ht="15" hidden="1" customHeight="1">
      <c r="A249" s="111" t="str">
        <f>'Sampling Data'!W239</f>
        <v/>
      </c>
      <c r="B249" s="112" t="str">
        <f>'Sampling Data'!A239</f>
        <v>CLEVELAND -01-A</v>
      </c>
      <c r="C249" s="112">
        <f>'Sampling Data'!B239</f>
        <v>0</v>
      </c>
      <c r="D249" s="112">
        <f>'Sampling Data'!C239</f>
        <v>1</v>
      </c>
      <c r="E249" s="113">
        <f>'Sampling Data'!D239</f>
        <v>0</v>
      </c>
      <c r="F249" s="113">
        <f>'Sampling Data'!E239</f>
        <v>0</v>
      </c>
      <c r="G249" s="113">
        <f>'Sampling Data'!F239</f>
        <v>0</v>
      </c>
      <c r="H249" s="113">
        <f>'Sampling Data'!G239</f>
        <v>0</v>
      </c>
      <c r="I249" s="112">
        <f>'Sampling Data'!H239</f>
        <v>0</v>
      </c>
      <c r="J249" s="112">
        <f>'Sampling Data'!I239</f>
        <v>1</v>
      </c>
      <c r="K249" s="112">
        <f>'Sampling Data'!J239</f>
        <v>2</v>
      </c>
      <c r="L249" s="111">
        <f>'Sampling Data'!X239</f>
        <v>0</v>
      </c>
      <c r="M249" s="114"/>
      <c r="N249" s="114"/>
      <c r="O249" s="115"/>
      <c r="P249" s="115"/>
      <c r="Q249" s="116"/>
      <c r="R249" s="116"/>
      <c r="S249" s="111">
        <f>Audit[[#This Row],[Audit Losing Candidate]]-Audit[[#This Row],[Losing Candidate]]</f>
        <v>0</v>
      </c>
      <c r="T249" s="111">
        <f>Audit[[#This Row],[Audit Winning Candidate]]-Audit[[#This Row],[Winning Candidate]]</f>
        <v>-1</v>
      </c>
      <c r="U249" s="111">
        <f>Audit[[#This Row],[Audit Candidate 3]]-Audit[[#This Row],[Candidate 3]]</f>
        <v>0</v>
      </c>
      <c r="V249" s="111">
        <f>Audit[[#This Row],[Audit Candidate 4]]-Audit[[#This Row],[Candidate 4]]</f>
        <v>0</v>
      </c>
      <c r="W249" s="111">
        <f>Audit[[#This Row],[Audit Candidate 5]]-Audit[[#This Row],[Candidate 5]]</f>
        <v>0</v>
      </c>
      <c r="X249" s="111">
        <f>Audit[[#This Row],[Audit Candidate 6]]-Audit[[#This Row],[Candidate 6]]</f>
        <v>0</v>
      </c>
      <c r="Y249" s="111">
        <f>SUMIF(Audit[[#This Row],[Difference Loser]:[Difference Candidate 6]], "&gt;0")</f>
        <v>0</v>
      </c>
      <c r="Z249" s="111">
        <f>SUM(Audit[[#This Row],[Difference Loser]:[Difference Candidate 6]])</f>
        <v>-1</v>
      </c>
      <c r="AA249" s="111">
        <f>IF(Audit[[#This Row],[Times p Drawn - With Replacement]]&gt;0, IF(Audit[[#This Row],[Canceled Differences]]&lt;0, Audit[[#This Row],[Max Differences]]+ABS(Audit[[#This Row],[Canceled Differences]]), Audit[[#This Row],[Max Differences]]), 0)</f>
        <v>0</v>
      </c>
      <c r="AB249" s="111">
        <f>'Sampling Data'!P239</f>
        <v>1.8373346398824106E-4</v>
      </c>
      <c r="AC249" s="111">
        <f>IF(
      SUM(Audit[[#This Row],[Audit Losing Candidate]:[Audit Candidate 6]])
      &lt;&gt;0,
      (Audit[[#This Row],[Winning Candidate]]-Audit[[#This Row],[Losing Candidate]]-(Audit[[#This Row],[Audit Winning Candidate]]-Audit[[#This Row],[Audit Losing Candidate]]))/(Audit[[#Totals],[Winning Candidate]]-Audit[[#Totals],[Losing Candidate]]),
      0
)</f>
        <v>0</v>
      </c>
      <c r="AD2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9" s="111">
        <f>IF(Audit[[#This Row],[Max Relative Error (ep)]] = 0, 0, Audit[[#This Row],[Max Relative Error (ep)]]/Audit[[#This Row],[Error Bound (up) - Max. possible relative overstatement]])</f>
        <v>0</v>
      </c>
      <c r="AJ2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49" s="111">
        <f t="shared" si="3"/>
        <v>1</v>
      </c>
      <c r="AL249" s="111">
        <f>PRODUCT($AK$5:AK249)</f>
        <v>8.962823818226312E-2</v>
      </c>
      <c r="AM249" s="109">
        <f>1 - [K-M P Value]</f>
        <v>0.91037176181773694</v>
      </c>
      <c r="AN249" s="111" t="str">
        <f>IF(Audit[[#This Row],[K-M P Value]]&gt;1-'General Info'!$B$16,"Continue", "Stop")</f>
        <v>Stop</v>
      </c>
      <c r="AO249" s="110" t="b">
        <f>IF(Audit[[#This Row],[Status - Continue or stop audit]] = "Continue", TRUE, IF(AN248 = "Continue", TRUE, FALSE))</f>
        <v>0</v>
      </c>
      <c r="AP249" s="110"/>
    </row>
    <row r="250" spans="1:42" ht="15" hidden="1" customHeight="1">
      <c r="A250" s="111" t="str">
        <f>'Sampling Data'!W240</f>
        <v/>
      </c>
      <c r="B250" s="112" t="str">
        <f>'Sampling Data'!A240</f>
        <v>CLEVELAND -01-A - ABS</v>
      </c>
      <c r="C250" s="112">
        <f>'Sampling Data'!B240</f>
        <v>0</v>
      </c>
      <c r="D250" s="112">
        <f>'Sampling Data'!C240</f>
        <v>0</v>
      </c>
      <c r="E250" s="113">
        <f>'Sampling Data'!D240</f>
        <v>0</v>
      </c>
      <c r="F250" s="113">
        <f>'Sampling Data'!E240</f>
        <v>0</v>
      </c>
      <c r="G250" s="113">
        <f>'Sampling Data'!F240</f>
        <v>0</v>
      </c>
      <c r="H250" s="113">
        <f>'Sampling Data'!G240</f>
        <v>0</v>
      </c>
      <c r="I250" s="112">
        <f>'Sampling Data'!H240</f>
        <v>0</v>
      </c>
      <c r="J250" s="112">
        <f>'Sampling Data'!I240</f>
        <v>0</v>
      </c>
      <c r="K250" s="112">
        <f>'Sampling Data'!J240</f>
        <v>0</v>
      </c>
      <c r="L250" s="111">
        <f>'Sampling Data'!X240</f>
        <v>0</v>
      </c>
      <c r="M250" s="114"/>
      <c r="N250" s="114"/>
      <c r="O250" s="115"/>
      <c r="P250" s="115"/>
      <c r="Q250" s="116"/>
      <c r="R250" s="116"/>
      <c r="S250" s="111">
        <f>Audit[[#This Row],[Audit Losing Candidate]]-Audit[[#This Row],[Losing Candidate]]</f>
        <v>0</v>
      </c>
      <c r="T250" s="111">
        <f>Audit[[#This Row],[Audit Winning Candidate]]-Audit[[#This Row],[Winning Candidate]]</f>
        <v>0</v>
      </c>
      <c r="U250" s="111">
        <f>Audit[[#This Row],[Audit Candidate 3]]-Audit[[#This Row],[Candidate 3]]</f>
        <v>0</v>
      </c>
      <c r="V250" s="111">
        <f>Audit[[#This Row],[Audit Candidate 4]]-Audit[[#This Row],[Candidate 4]]</f>
        <v>0</v>
      </c>
      <c r="W250" s="111">
        <f>Audit[[#This Row],[Audit Candidate 5]]-Audit[[#This Row],[Candidate 5]]</f>
        <v>0</v>
      </c>
      <c r="X250" s="111">
        <f>Audit[[#This Row],[Audit Candidate 6]]-Audit[[#This Row],[Candidate 6]]</f>
        <v>0</v>
      </c>
      <c r="Y250" s="111">
        <f>SUMIF(Audit[[#This Row],[Difference Loser]:[Difference Candidate 6]], "&gt;0")</f>
        <v>0</v>
      </c>
      <c r="Z250" s="111">
        <f>SUM(Audit[[#This Row],[Difference Loser]:[Difference Candidate 6]])</f>
        <v>0</v>
      </c>
      <c r="AA250" s="111">
        <f>IF(Audit[[#This Row],[Times p Drawn - With Replacement]]&gt;0, IF(Audit[[#This Row],[Canceled Differences]]&lt;0, Audit[[#This Row],[Max Differences]]+ABS(Audit[[#This Row],[Canceled Differences]]), Audit[[#This Row],[Max Differences]]), 0)</f>
        <v>0</v>
      </c>
      <c r="AB250" s="111">
        <f>'Sampling Data'!P240</f>
        <v>0</v>
      </c>
      <c r="AC250" s="111">
        <f>IF(
      SUM(Audit[[#This Row],[Audit Losing Candidate]:[Audit Candidate 6]])
      &lt;&gt;0,
      (Audit[[#This Row],[Winning Candidate]]-Audit[[#This Row],[Losing Candidate]]-(Audit[[#This Row],[Audit Winning Candidate]]-Audit[[#This Row],[Audit Losing Candidate]]))/(Audit[[#Totals],[Winning Candidate]]-Audit[[#Totals],[Losing Candidate]]),
      0
)</f>
        <v>0</v>
      </c>
      <c r="AD2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0" s="111">
        <f>IF(Audit[[#This Row],[Max Relative Error (ep)]] = 0, 0, Audit[[#This Row],[Max Relative Error (ep)]]/Audit[[#This Row],[Error Bound (up) - Max. possible relative overstatement]])</f>
        <v>0</v>
      </c>
      <c r="AJ2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50" s="111">
        <f t="shared" si="3"/>
        <v>1</v>
      </c>
      <c r="AL250" s="111">
        <f>PRODUCT($AK$5:AK250)</f>
        <v>8.962823818226312E-2</v>
      </c>
      <c r="AM250" s="109">
        <f>1 - [K-M P Value]</f>
        <v>0.91037176181773694</v>
      </c>
      <c r="AN250" s="111" t="str">
        <f>IF(Audit[[#This Row],[K-M P Value]]&gt;1-'General Info'!$B$16,"Continue", "Stop")</f>
        <v>Stop</v>
      </c>
      <c r="AO250" s="110" t="b">
        <f>IF(Audit[[#This Row],[Status - Continue or stop audit]] = "Continue", TRUE, IF(AN249 = "Continue", TRUE, FALSE))</f>
        <v>0</v>
      </c>
      <c r="AP250" s="110"/>
    </row>
    <row r="251" spans="1:42" ht="15" hidden="1" customHeight="1">
      <c r="A251" s="111" t="str">
        <f>'Sampling Data'!W241</f>
        <v/>
      </c>
      <c r="B251" s="112" t="str">
        <f>'Sampling Data'!A241</f>
        <v>CLEVELAND -01-B</v>
      </c>
      <c r="C251" s="112">
        <f>'Sampling Data'!B241</f>
        <v>1</v>
      </c>
      <c r="D251" s="112">
        <f>'Sampling Data'!C241</f>
        <v>1</v>
      </c>
      <c r="E251" s="113">
        <f>'Sampling Data'!D241</f>
        <v>0</v>
      </c>
      <c r="F251" s="113">
        <f>'Sampling Data'!E241</f>
        <v>1</v>
      </c>
      <c r="G251" s="113">
        <f>'Sampling Data'!F241</f>
        <v>0</v>
      </c>
      <c r="H251" s="113">
        <f>'Sampling Data'!G241</f>
        <v>0</v>
      </c>
      <c r="I251" s="112">
        <f>'Sampling Data'!H241</f>
        <v>0</v>
      </c>
      <c r="J251" s="112">
        <f>'Sampling Data'!I241</f>
        <v>0</v>
      </c>
      <c r="K251" s="112">
        <f>'Sampling Data'!J241</f>
        <v>3</v>
      </c>
      <c r="L251" s="111">
        <f>'Sampling Data'!X241</f>
        <v>0</v>
      </c>
      <c r="M251" s="114"/>
      <c r="N251" s="114"/>
      <c r="O251" s="115"/>
      <c r="P251" s="115"/>
      <c r="Q251" s="116"/>
      <c r="R251" s="116"/>
      <c r="S251" s="111">
        <f>Audit[[#This Row],[Audit Losing Candidate]]-Audit[[#This Row],[Losing Candidate]]</f>
        <v>-1</v>
      </c>
      <c r="T251" s="111">
        <f>Audit[[#This Row],[Audit Winning Candidate]]-Audit[[#This Row],[Winning Candidate]]</f>
        <v>-1</v>
      </c>
      <c r="U251" s="111">
        <f>Audit[[#This Row],[Audit Candidate 3]]-Audit[[#This Row],[Candidate 3]]</f>
        <v>0</v>
      </c>
      <c r="V251" s="111">
        <f>Audit[[#This Row],[Audit Candidate 4]]-Audit[[#This Row],[Candidate 4]]</f>
        <v>-1</v>
      </c>
      <c r="W251" s="111">
        <f>Audit[[#This Row],[Audit Candidate 5]]-Audit[[#This Row],[Candidate 5]]</f>
        <v>0</v>
      </c>
      <c r="X251" s="111">
        <f>Audit[[#This Row],[Audit Candidate 6]]-Audit[[#This Row],[Candidate 6]]</f>
        <v>0</v>
      </c>
      <c r="Y251" s="111">
        <f>SUMIF(Audit[[#This Row],[Difference Loser]:[Difference Candidate 6]], "&gt;0")</f>
        <v>0</v>
      </c>
      <c r="Z251" s="111">
        <f>SUM(Audit[[#This Row],[Difference Loser]:[Difference Candidate 6]])</f>
        <v>-3</v>
      </c>
      <c r="AA251" s="111">
        <f>IF(Audit[[#This Row],[Times p Drawn - With Replacement]]&gt;0, IF(Audit[[#This Row],[Canceled Differences]]&lt;0, Audit[[#This Row],[Max Differences]]+ABS(Audit[[#This Row],[Canceled Differences]]), Audit[[#This Row],[Max Differences]]), 0)</f>
        <v>0</v>
      </c>
      <c r="AB251" s="111">
        <f>'Sampling Data'!P241</f>
        <v>1.8373346398824106E-4</v>
      </c>
      <c r="AC251" s="111">
        <f>IF(
      SUM(Audit[[#This Row],[Audit Losing Candidate]:[Audit Candidate 6]])
      &lt;&gt;0,
      (Audit[[#This Row],[Winning Candidate]]-Audit[[#This Row],[Losing Candidate]]-(Audit[[#This Row],[Audit Winning Candidate]]-Audit[[#This Row],[Audit Losing Candidate]]))/(Audit[[#Totals],[Winning Candidate]]-Audit[[#Totals],[Losing Candidate]]),
      0
)</f>
        <v>0</v>
      </c>
      <c r="AD2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1" s="111">
        <f>IF(Audit[[#This Row],[Max Relative Error (ep)]] = 0, 0, Audit[[#This Row],[Max Relative Error (ep)]]/Audit[[#This Row],[Error Bound (up) - Max. possible relative overstatement]])</f>
        <v>0</v>
      </c>
      <c r="AJ2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51" s="111">
        <f t="shared" si="3"/>
        <v>1</v>
      </c>
      <c r="AL251" s="111">
        <f>PRODUCT($AK$5:AK251)</f>
        <v>8.962823818226312E-2</v>
      </c>
      <c r="AM251" s="109">
        <f>1 - [K-M P Value]</f>
        <v>0.91037176181773694</v>
      </c>
      <c r="AN251" s="111" t="str">
        <f>IF(Audit[[#This Row],[K-M P Value]]&gt;1-'General Info'!$B$16,"Continue", "Stop")</f>
        <v>Stop</v>
      </c>
      <c r="AO251" s="110" t="b">
        <f>IF(Audit[[#This Row],[Status - Continue or stop audit]] = "Continue", TRUE, IF(AN250 = "Continue", TRUE, FALSE))</f>
        <v>0</v>
      </c>
      <c r="AP251" s="110"/>
    </row>
    <row r="252" spans="1:42" ht="15" hidden="1" customHeight="1">
      <c r="A252" s="111" t="str">
        <f>'Sampling Data'!W242</f>
        <v/>
      </c>
      <c r="B252" s="112" t="str">
        <f>'Sampling Data'!A242</f>
        <v>CLEVELAND -01-B - ABS</v>
      </c>
      <c r="C252" s="112">
        <f>'Sampling Data'!B242</f>
        <v>0</v>
      </c>
      <c r="D252" s="112">
        <f>'Sampling Data'!C242</f>
        <v>0</v>
      </c>
      <c r="E252" s="113">
        <f>'Sampling Data'!D242</f>
        <v>0</v>
      </c>
      <c r="F252" s="113">
        <f>'Sampling Data'!E242</f>
        <v>0</v>
      </c>
      <c r="G252" s="113">
        <f>'Sampling Data'!F242</f>
        <v>0</v>
      </c>
      <c r="H252" s="113">
        <f>'Sampling Data'!G242</f>
        <v>0</v>
      </c>
      <c r="I252" s="112">
        <f>'Sampling Data'!H242</f>
        <v>0</v>
      </c>
      <c r="J252" s="112">
        <f>'Sampling Data'!I242</f>
        <v>0</v>
      </c>
      <c r="K252" s="112">
        <f>'Sampling Data'!J242</f>
        <v>0</v>
      </c>
      <c r="L252" s="111">
        <f>'Sampling Data'!X242</f>
        <v>0</v>
      </c>
      <c r="M252" s="114"/>
      <c r="N252" s="114"/>
      <c r="O252" s="115"/>
      <c r="P252" s="115"/>
      <c r="Q252" s="116"/>
      <c r="R252" s="116"/>
      <c r="S252" s="111">
        <f>Audit[[#This Row],[Audit Losing Candidate]]-Audit[[#This Row],[Losing Candidate]]</f>
        <v>0</v>
      </c>
      <c r="T252" s="111">
        <f>Audit[[#This Row],[Audit Winning Candidate]]-Audit[[#This Row],[Winning Candidate]]</f>
        <v>0</v>
      </c>
      <c r="U252" s="111">
        <f>Audit[[#This Row],[Audit Candidate 3]]-Audit[[#This Row],[Candidate 3]]</f>
        <v>0</v>
      </c>
      <c r="V252" s="111">
        <f>Audit[[#This Row],[Audit Candidate 4]]-Audit[[#This Row],[Candidate 4]]</f>
        <v>0</v>
      </c>
      <c r="W252" s="111">
        <f>Audit[[#This Row],[Audit Candidate 5]]-Audit[[#This Row],[Candidate 5]]</f>
        <v>0</v>
      </c>
      <c r="X252" s="111">
        <f>Audit[[#This Row],[Audit Candidate 6]]-Audit[[#This Row],[Candidate 6]]</f>
        <v>0</v>
      </c>
      <c r="Y252" s="111">
        <f>SUMIF(Audit[[#This Row],[Difference Loser]:[Difference Candidate 6]], "&gt;0")</f>
        <v>0</v>
      </c>
      <c r="Z252" s="111">
        <f>SUM(Audit[[#This Row],[Difference Loser]:[Difference Candidate 6]])</f>
        <v>0</v>
      </c>
      <c r="AA252" s="111">
        <f>IF(Audit[[#This Row],[Times p Drawn - With Replacement]]&gt;0, IF(Audit[[#This Row],[Canceled Differences]]&lt;0, Audit[[#This Row],[Max Differences]]+ABS(Audit[[#This Row],[Canceled Differences]]), Audit[[#This Row],[Max Differences]]), 0)</f>
        <v>0</v>
      </c>
      <c r="AB252" s="111">
        <f>'Sampling Data'!P242</f>
        <v>0</v>
      </c>
      <c r="AC252" s="111">
        <f>IF(
      SUM(Audit[[#This Row],[Audit Losing Candidate]:[Audit Candidate 6]])
      &lt;&gt;0,
      (Audit[[#This Row],[Winning Candidate]]-Audit[[#This Row],[Losing Candidate]]-(Audit[[#This Row],[Audit Winning Candidate]]-Audit[[#This Row],[Audit Losing Candidate]]))/(Audit[[#Totals],[Winning Candidate]]-Audit[[#Totals],[Losing Candidate]]),
      0
)</f>
        <v>0</v>
      </c>
      <c r="AD2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2" s="111">
        <f>IF(Audit[[#This Row],[Max Relative Error (ep)]] = 0, 0, Audit[[#This Row],[Max Relative Error (ep)]]/Audit[[#This Row],[Error Bound (up) - Max. possible relative overstatement]])</f>
        <v>0</v>
      </c>
      <c r="AJ2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52" s="111">
        <f t="shared" si="3"/>
        <v>1</v>
      </c>
      <c r="AL252" s="111">
        <f>PRODUCT($AK$5:AK252)</f>
        <v>8.962823818226312E-2</v>
      </c>
      <c r="AM252" s="109">
        <f>1 - [K-M P Value]</f>
        <v>0.91037176181773694</v>
      </c>
      <c r="AN252" s="111" t="str">
        <f>IF(Audit[[#This Row],[K-M P Value]]&gt;1-'General Info'!$B$16,"Continue", "Stop")</f>
        <v>Stop</v>
      </c>
      <c r="AO252" s="110" t="b">
        <f>IF(Audit[[#This Row],[Status - Continue or stop audit]] = "Continue", TRUE, IF(AN251 = "Continue", TRUE, FALSE))</f>
        <v>0</v>
      </c>
      <c r="AP252" s="110"/>
    </row>
    <row r="253" spans="1:42" ht="15" hidden="1" customHeight="1">
      <c r="A253" s="111" t="str">
        <f>'Sampling Data'!W243</f>
        <v/>
      </c>
      <c r="B253" s="112" t="str">
        <f>'Sampling Data'!A243</f>
        <v>CLEVELAND -01-C</v>
      </c>
      <c r="C253" s="112">
        <f>'Sampling Data'!B243</f>
        <v>1</v>
      </c>
      <c r="D253" s="112">
        <f>'Sampling Data'!C243</f>
        <v>1</v>
      </c>
      <c r="E253" s="113">
        <f>'Sampling Data'!D243</f>
        <v>0</v>
      </c>
      <c r="F253" s="113">
        <f>'Sampling Data'!E243</f>
        <v>0</v>
      </c>
      <c r="G253" s="113">
        <f>'Sampling Data'!F243</f>
        <v>0</v>
      </c>
      <c r="H253" s="113">
        <f>'Sampling Data'!G243</f>
        <v>1</v>
      </c>
      <c r="I253" s="112">
        <f>'Sampling Data'!H243</f>
        <v>0</v>
      </c>
      <c r="J253" s="112">
        <f>'Sampling Data'!I243</f>
        <v>0</v>
      </c>
      <c r="K253" s="112">
        <f>'Sampling Data'!J243</f>
        <v>3</v>
      </c>
      <c r="L253" s="111">
        <f>'Sampling Data'!X243</f>
        <v>0</v>
      </c>
      <c r="M253" s="114"/>
      <c r="N253" s="114"/>
      <c r="O253" s="115"/>
      <c r="P253" s="115"/>
      <c r="Q253" s="116"/>
      <c r="R253" s="116"/>
      <c r="S253" s="111">
        <f>Audit[[#This Row],[Audit Losing Candidate]]-Audit[[#This Row],[Losing Candidate]]</f>
        <v>-1</v>
      </c>
      <c r="T253" s="111">
        <f>Audit[[#This Row],[Audit Winning Candidate]]-Audit[[#This Row],[Winning Candidate]]</f>
        <v>-1</v>
      </c>
      <c r="U253" s="111">
        <f>Audit[[#This Row],[Audit Candidate 3]]-Audit[[#This Row],[Candidate 3]]</f>
        <v>0</v>
      </c>
      <c r="V253" s="111">
        <f>Audit[[#This Row],[Audit Candidate 4]]-Audit[[#This Row],[Candidate 4]]</f>
        <v>0</v>
      </c>
      <c r="W253" s="111">
        <f>Audit[[#This Row],[Audit Candidate 5]]-Audit[[#This Row],[Candidate 5]]</f>
        <v>0</v>
      </c>
      <c r="X253" s="111">
        <f>Audit[[#This Row],[Audit Candidate 6]]-Audit[[#This Row],[Candidate 6]]</f>
        <v>-1</v>
      </c>
      <c r="Y253" s="111">
        <f>SUMIF(Audit[[#This Row],[Difference Loser]:[Difference Candidate 6]], "&gt;0")</f>
        <v>0</v>
      </c>
      <c r="Z253" s="111">
        <f>SUM(Audit[[#This Row],[Difference Loser]:[Difference Candidate 6]])</f>
        <v>-3</v>
      </c>
      <c r="AA253" s="111">
        <f>IF(Audit[[#This Row],[Times p Drawn - With Replacement]]&gt;0, IF(Audit[[#This Row],[Canceled Differences]]&lt;0, Audit[[#This Row],[Max Differences]]+ABS(Audit[[#This Row],[Canceled Differences]]), Audit[[#This Row],[Max Differences]]), 0)</f>
        <v>0</v>
      </c>
      <c r="AB253" s="111">
        <f>'Sampling Data'!P243</f>
        <v>1.8373346398824106E-4</v>
      </c>
      <c r="AC253" s="111">
        <f>IF(
      SUM(Audit[[#This Row],[Audit Losing Candidate]:[Audit Candidate 6]])
      &lt;&gt;0,
      (Audit[[#This Row],[Winning Candidate]]-Audit[[#This Row],[Losing Candidate]]-(Audit[[#This Row],[Audit Winning Candidate]]-Audit[[#This Row],[Audit Losing Candidate]]))/(Audit[[#Totals],[Winning Candidate]]-Audit[[#Totals],[Losing Candidate]]),
      0
)</f>
        <v>0</v>
      </c>
      <c r="AD2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3" s="111">
        <f>IF(Audit[[#This Row],[Max Relative Error (ep)]] = 0, 0, Audit[[#This Row],[Max Relative Error (ep)]]/Audit[[#This Row],[Error Bound (up) - Max. possible relative overstatement]])</f>
        <v>0</v>
      </c>
      <c r="AJ2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53" s="111">
        <f t="shared" si="3"/>
        <v>1</v>
      </c>
      <c r="AL253" s="111">
        <f>PRODUCT($AK$5:AK253)</f>
        <v>8.962823818226312E-2</v>
      </c>
      <c r="AM253" s="109">
        <f>1 - [K-M P Value]</f>
        <v>0.91037176181773694</v>
      </c>
      <c r="AN253" s="111" t="str">
        <f>IF(Audit[[#This Row],[K-M P Value]]&gt;1-'General Info'!$B$16,"Continue", "Stop")</f>
        <v>Stop</v>
      </c>
      <c r="AO253" s="110" t="b">
        <f>IF(Audit[[#This Row],[Status - Continue or stop audit]] = "Continue", TRUE, IF(AN252 = "Continue", TRUE, FALSE))</f>
        <v>0</v>
      </c>
      <c r="AP253" s="110"/>
    </row>
    <row r="254" spans="1:42" ht="15" hidden="1" customHeight="1">
      <c r="A254" s="111" t="str">
        <f>'Sampling Data'!W244</f>
        <v/>
      </c>
      <c r="B254" s="112" t="str">
        <f>'Sampling Data'!A244</f>
        <v>CLEVELAND -01-C - ABS</v>
      </c>
      <c r="C254" s="112">
        <f>'Sampling Data'!B244</f>
        <v>0</v>
      </c>
      <c r="D254" s="112">
        <f>'Sampling Data'!C244</f>
        <v>0</v>
      </c>
      <c r="E254" s="113">
        <f>'Sampling Data'!D244</f>
        <v>0</v>
      </c>
      <c r="F254" s="113">
        <f>'Sampling Data'!E244</f>
        <v>0</v>
      </c>
      <c r="G254" s="113">
        <f>'Sampling Data'!F244</f>
        <v>0</v>
      </c>
      <c r="H254" s="113">
        <f>'Sampling Data'!G244</f>
        <v>0</v>
      </c>
      <c r="I254" s="112">
        <f>'Sampling Data'!H244</f>
        <v>0</v>
      </c>
      <c r="J254" s="112">
        <f>'Sampling Data'!I244</f>
        <v>0</v>
      </c>
      <c r="K254" s="112">
        <f>'Sampling Data'!J244</f>
        <v>0</v>
      </c>
      <c r="L254" s="111">
        <f>'Sampling Data'!X244</f>
        <v>0</v>
      </c>
      <c r="M254" s="114"/>
      <c r="N254" s="114"/>
      <c r="O254" s="115"/>
      <c r="P254" s="115"/>
      <c r="Q254" s="116"/>
      <c r="R254" s="116"/>
      <c r="S254" s="111">
        <f>Audit[[#This Row],[Audit Losing Candidate]]-Audit[[#This Row],[Losing Candidate]]</f>
        <v>0</v>
      </c>
      <c r="T254" s="111">
        <f>Audit[[#This Row],[Audit Winning Candidate]]-Audit[[#This Row],[Winning Candidate]]</f>
        <v>0</v>
      </c>
      <c r="U254" s="111">
        <f>Audit[[#This Row],[Audit Candidate 3]]-Audit[[#This Row],[Candidate 3]]</f>
        <v>0</v>
      </c>
      <c r="V254" s="111">
        <f>Audit[[#This Row],[Audit Candidate 4]]-Audit[[#This Row],[Candidate 4]]</f>
        <v>0</v>
      </c>
      <c r="W254" s="111">
        <f>Audit[[#This Row],[Audit Candidate 5]]-Audit[[#This Row],[Candidate 5]]</f>
        <v>0</v>
      </c>
      <c r="X254" s="111">
        <f>Audit[[#This Row],[Audit Candidate 6]]-Audit[[#This Row],[Candidate 6]]</f>
        <v>0</v>
      </c>
      <c r="Y254" s="111">
        <f>SUMIF(Audit[[#This Row],[Difference Loser]:[Difference Candidate 6]], "&gt;0")</f>
        <v>0</v>
      </c>
      <c r="Z254" s="111">
        <f>SUM(Audit[[#This Row],[Difference Loser]:[Difference Candidate 6]])</f>
        <v>0</v>
      </c>
      <c r="AA254" s="111">
        <f>IF(Audit[[#This Row],[Times p Drawn - With Replacement]]&gt;0, IF(Audit[[#This Row],[Canceled Differences]]&lt;0, Audit[[#This Row],[Max Differences]]+ABS(Audit[[#This Row],[Canceled Differences]]), Audit[[#This Row],[Max Differences]]), 0)</f>
        <v>0</v>
      </c>
      <c r="AB254" s="111">
        <f>'Sampling Data'!P244</f>
        <v>0</v>
      </c>
      <c r="AC254" s="111">
        <f>IF(
      SUM(Audit[[#This Row],[Audit Losing Candidate]:[Audit Candidate 6]])
      &lt;&gt;0,
      (Audit[[#This Row],[Winning Candidate]]-Audit[[#This Row],[Losing Candidate]]-(Audit[[#This Row],[Audit Winning Candidate]]-Audit[[#This Row],[Audit Losing Candidate]]))/(Audit[[#Totals],[Winning Candidate]]-Audit[[#Totals],[Losing Candidate]]),
      0
)</f>
        <v>0</v>
      </c>
      <c r="AD2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4" s="111">
        <f>IF(Audit[[#This Row],[Max Relative Error (ep)]] = 0, 0, Audit[[#This Row],[Max Relative Error (ep)]]/Audit[[#This Row],[Error Bound (up) - Max. possible relative overstatement]])</f>
        <v>0</v>
      </c>
      <c r="AJ2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54" s="111">
        <f t="shared" si="3"/>
        <v>1</v>
      </c>
      <c r="AL254" s="111">
        <f>PRODUCT($AK$5:AK254)</f>
        <v>8.962823818226312E-2</v>
      </c>
      <c r="AM254" s="109">
        <f>1 - [K-M P Value]</f>
        <v>0.91037176181773694</v>
      </c>
      <c r="AN254" s="111" t="str">
        <f>IF(Audit[[#This Row],[K-M P Value]]&gt;1-'General Info'!$B$16,"Continue", "Stop")</f>
        <v>Stop</v>
      </c>
      <c r="AO254" s="110" t="b">
        <f>IF(Audit[[#This Row],[Status - Continue or stop audit]] = "Continue", TRUE, IF(AN253 = "Continue", TRUE, FALSE))</f>
        <v>0</v>
      </c>
      <c r="AP254" s="110"/>
    </row>
    <row r="255" spans="1:42" ht="15" hidden="1" customHeight="1">
      <c r="A255" s="111" t="str">
        <f>'Sampling Data'!W245</f>
        <v/>
      </c>
      <c r="B255" s="112" t="str">
        <f>'Sampling Data'!A245</f>
        <v>CLEVELAND -01-D</v>
      </c>
      <c r="C255" s="112">
        <f>'Sampling Data'!B245</f>
        <v>0</v>
      </c>
      <c r="D255" s="112">
        <f>'Sampling Data'!C245</f>
        <v>0</v>
      </c>
      <c r="E255" s="113">
        <f>'Sampling Data'!D245</f>
        <v>0</v>
      </c>
      <c r="F255" s="113">
        <f>'Sampling Data'!E245</f>
        <v>0</v>
      </c>
      <c r="G255" s="113">
        <f>'Sampling Data'!F245</f>
        <v>0</v>
      </c>
      <c r="H255" s="113">
        <f>'Sampling Data'!G245</f>
        <v>0</v>
      </c>
      <c r="I255" s="112">
        <f>'Sampling Data'!H245</f>
        <v>0</v>
      </c>
      <c r="J255" s="112">
        <f>'Sampling Data'!I245</f>
        <v>0</v>
      </c>
      <c r="K255" s="112">
        <f>'Sampling Data'!J245</f>
        <v>0</v>
      </c>
      <c r="L255" s="111">
        <f>'Sampling Data'!X245</f>
        <v>0</v>
      </c>
      <c r="M255" s="114"/>
      <c r="N255" s="114"/>
      <c r="O255" s="115"/>
      <c r="P255" s="115"/>
      <c r="Q255" s="116"/>
      <c r="R255" s="116"/>
      <c r="S255" s="111">
        <f>Audit[[#This Row],[Audit Losing Candidate]]-Audit[[#This Row],[Losing Candidate]]</f>
        <v>0</v>
      </c>
      <c r="T255" s="111">
        <f>Audit[[#This Row],[Audit Winning Candidate]]-Audit[[#This Row],[Winning Candidate]]</f>
        <v>0</v>
      </c>
      <c r="U255" s="111">
        <f>Audit[[#This Row],[Audit Candidate 3]]-Audit[[#This Row],[Candidate 3]]</f>
        <v>0</v>
      </c>
      <c r="V255" s="111">
        <f>Audit[[#This Row],[Audit Candidate 4]]-Audit[[#This Row],[Candidate 4]]</f>
        <v>0</v>
      </c>
      <c r="W255" s="111">
        <f>Audit[[#This Row],[Audit Candidate 5]]-Audit[[#This Row],[Candidate 5]]</f>
        <v>0</v>
      </c>
      <c r="X255" s="111">
        <f>Audit[[#This Row],[Audit Candidate 6]]-Audit[[#This Row],[Candidate 6]]</f>
        <v>0</v>
      </c>
      <c r="Y255" s="111">
        <f>SUMIF(Audit[[#This Row],[Difference Loser]:[Difference Candidate 6]], "&gt;0")</f>
        <v>0</v>
      </c>
      <c r="Z255" s="111">
        <f>SUM(Audit[[#This Row],[Difference Loser]:[Difference Candidate 6]])</f>
        <v>0</v>
      </c>
      <c r="AA255" s="111">
        <f>IF(Audit[[#This Row],[Times p Drawn - With Replacement]]&gt;0, IF(Audit[[#This Row],[Canceled Differences]]&lt;0, Audit[[#This Row],[Max Differences]]+ABS(Audit[[#This Row],[Canceled Differences]]), Audit[[#This Row],[Max Differences]]), 0)</f>
        <v>0</v>
      </c>
      <c r="AB255" s="111">
        <f>'Sampling Data'!P245</f>
        <v>0</v>
      </c>
      <c r="AC255" s="111">
        <f>IF(
      SUM(Audit[[#This Row],[Audit Losing Candidate]:[Audit Candidate 6]])
      &lt;&gt;0,
      (Audit[[#This Row],[Winning Candidate]]-Audit[[#This Row],[Losing Candidate]]-(Audit[[#This Row],[Audit Winning Candidate]]-Audit[[#This Row],[Audit Losing Candidate]]))/(Audit[[#Totals],[Winning Candidate]]-Audit[[#Totals],[Losing Candidate]]),
      0
)</f>
        <v>0</v>
      </c>
      <c r="AD2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5" s="111">
        <f>IF(Audit[[#This Row],[Max Relative Error (ep)]] = 0, 0, Audit[[#This Row],[Max Relative Error (ep)]]/Audit[[#This Row],[Error Bound (up) - Max. possible relative overstatement]])</f>
        <v>0</v>
      </c>
      <c r="AJ2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55" s="111">
        <f t="shared" si="3"/>
        <v>1</v>
      </c>
      <c r="AL255" s="111">
        <f>PRODUCT($AK$5:AK255)</f>
        <v>8.962823818226312E-2</v>
      </c>
      <c r="AM255" s="109">
        <f>1 - [K-M P Value]</f>
        <v>0.91037176181773694</v>
      </c>
      <c r="AN255" s="111" t="str">
        <f>IF(Audit[[#This Row],[K-M P Value]]&gt;1-'General Info'!$B$16,"Continue", "Stop")</f>
        <v>Stop</v>
      </c>
      <c r="AO255" s="110" t="b">
        <f>IF(Audit[[#This Row],[Status - Continue or stop audit]] = "Continue", TRUE, IF(AN254 = "Continue", TRUE, FALSE))</f>
        <v>0</v>
      </c>
      <c r="AP255" s="110"/>
    </row>
    <row r="256" spans="1:42" ht="15" hidden="1" customHeight="1">
      <c r="A256" s="111" t="str">
        <f>'Sampling Data'!W246</f>
        <v/>
      </c>
      <c r="B256" s="112" t="str">
        <f>'Sampling Data'!A246</f>
        <v>CLEVELAND -01-D - ABS</v>
      </c>
      <c r="C256" s="112">
        <f>'Sampling Data'!B246</f>
        <v>0</v>
      </c>
      <c r="D256" s="112">
        <f>'Sampling Data'!C246</f>
        <v>0</v>
      </c>
      <c r="E256" s="113">
        <f>'Sampling Data'!D246</f>
        <v>0</v>
      </c>
      <c r="F256" s="113">
        <f>'Sampling Data'!E246</f>
        <v>0</v>
      </c>
      <c r="G256" s="113">
        <f>'Sampling Data'!F246</f>
        <v>0</v>
      </c>
      <c r="H256" s="113">
        <f>'Sampling Data'!G246</f>
        <v>0</v>
      </c>
      <c r="I256" s="112">
        <f>'Sampling Data'!H246</f>
        <v>0</v>
      </c>
      <c r="J256" s="112">
        <f>'Sampling Data'!I246</f>
        <v>0</v>
      </c>
      <c r="K256" s="112">
        <f>'Sampling Data'!J246</f>
        <v>0</v>
      </c>
      <c r="L256" s="111">
        <f>'Sampling Data'!X246</f>
        <v>0</v>
      </c>
      <c r="M256" s="114"/>
      <c r="N256" s="114"/>
      <c r="O256" s="115"/>
      <c r="P256" s="115"/>
      <c r="Q256" s="116"/>
      <c r="R256" s="116"/>
      <c r="S256" s="111">
        <f>Audit[[#This Row],[Audit Losing Candidate]]-Audit[[#This Row],[Losing Candidate]]</f>
        <v>0</v>
      </c>
      <c r="T256" s="111">
        <f>Audit[[#This Row],[Audit Winning Candidate]]-Audit[[#This Row],[Winning Candidate]]</f>
        <v>0</v>
      </c>
      <c r="U256" s="111">
        <f>Audit[[#This Row],[Audit Candidate 3]]-Audit[[#This Row],[Candidate 3]]</f>
        <v>0</v>
      </c>
      <c r="V256" s="111">
        <f>Audit[[#This Row],[Audit Candidate 4]]-Audit[[#This Row],[Candidate 4]]</f>
        <v>0</v>
      </c>
      <c r="W256" s="111">
        <f>Audit[[#This Row],[Audit Candidate 5]]-Audit[[#This Row],[Candidate 5]]</f>
        <v>0</v>
      </c>
      <c r="X256" s="111">
        <f>Audit[[#This Row],[Audit Candidate 6]]-Audit[[#This Row],[Candidate 6]]</f>
        <v>0</v>
      </c>
      <c r="Y256" s="111">
        <f>SUMIF(Audit[[#This Row],[Difference Loser]:[Difference Candidate 6]], "&gt;0")</f>
        <v>0</v>
      </c>
      <c r="Z256" s="111">
        <f>SUM(Audit[[#This Row],[Difference Loser]:[Difference Candidate 6]])</f>
        <v>0</v>
      </c>
      <c r="AA256" s="111">
        <f>IF(Audit[[#This Row],[Times p Drawn - With Replacement]]&gt;0, IF(Audit[[#This Row],[Canceled Differences]]&lt;0, Audit[[#This Row],[Max Differences]]+ABS(Audit[[#This Row],[Canceled Differences]]), Audit[[#This Row],[Max Differences]]), 0)</f>
        <v>0</v>
      </c>
      <c r="AB256" s="111">
        <f>'Sampling Data'!P246</f>
        <v>0</v>
      </c>
      <c r="AC256" s="111">
        <f>IF(
      SUM(Audit[[#This Row],[Audit Losing Candidate]:[Audit Candidate 6]])
      &lt;&gt;0,
      (Audit[[#This Row],[Winning Candidate]]-Audit[[#This Row],[Losing Candidate]]-(Audit[[#This Row],[Audit Winning Candidate]]-Audit[[#This Row],[Audit Losing Candidate]]))/(Audit[[#Totals],[Winning Candidate]]-Audit[[#Totals],[Losing Candidate]]),
      0
)</f>
        <v>0</v>
      </c>
      <c r="AD2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6" s="111">
        <f>IF(Audit[[#This Row],[Max Relative Error (ep)]] = 0, 0, Audit[[#This Row],[Max Relative Error (ep)]]/Audit[[#This Row],[Error Bound (up) - Max. possible relative overstatement]])</f>
        <v>0</v>
      </c>
      <c r="AJ2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56" s="111">
        <f t="shared" si="3"/>
        <v>1</v>
      </c>
      <c r="AL256" s="111">
        <f>PRODUCT($AK$5:AK256)</f>
        <v>8.962823818226312E-2</v>
      </c>
      <c r="AM256" s="109">
        <f>1 - [K-M P Value]</f>
        <v>0.91037176181773694</v>
      </c>
      <c r="AN256" s="111" t="str">
        <f>IF(Audit[[#This Row],[K-M P Value]]&gt;1-'General Info'!$B$16,"Continue", "Stop")</f>
        <v>Stop</v>
      </c>
      <c r="AO256" s="110" t="b">
        <f>IF(Audit[[#This Row],[Status - Continue or stop audit]] = "Continue", TRUE, IF(AN255 = "Continue", TRUE, FALSE))</f>
        <v>0</v>
      </c>
      <c r="AP256" s="110"/>
    </row>
    <row r="257" spans="1:42" ht="15" hidden="1" customHeight="1">
      <c r="A257" s="111" t="str">
        <f>'Sampling Data'!W247</f>
        <v/>
      </c>
      <c r="B257" s="112" t="str">
        <f>'Sampling Data'!A247</f>
        <v>CLEVELAND -01-E</v>
      </c>
      <c r="C257" s="112">
        <f>'Sampling Data'!B247</f>
        <v>0</v>
      </c>
      <c r="D257" s="112">
        <f>'Sampling Data'!C247</f>
        <v>0</v>
      </c>
      <c r="E257" s="113">
        <f>'Sampling Data'!D247</f>
        <v>0</v>
      </c>
      <c r="F257" s="113">
        <f>'Sampling Data'!E247</f>
        <v>0</v>
      </c>
      <c r="G257" s="113">
        <f>'Sampling Data'!F247</f>
        <v>0</v>
      </c>
      <c r="H257" s="113">
        <f>'Sampling Data'!G247</f>
        <v>0</v>
      </c>
      <c r="I257" s="112">
        <f>'Sampling Data'!H247</f>
        <v>0</v>
      </c>
      <c r="J257" s="112">
        <f>'Sampling Data'!I247</f>
        <v>0</v>
      </c>
      <c r="K257" s="112">
        <f>'Sampling Data'!J247</f>
        <v>0</v>
      </c>
      <c r="L257" s="111">
        <f>'Sampling Data'!X247</f>
        <v>0</v>
      </c>
      <c r="M257" s="114"/>
      <c r="N257" s="114"/>
      <c r="O257" s="115"/>
      <c r="P257" s="115"/>
      <c r="Q257" s="116"/>
      <c r="R257" s="116"/>
      <c r="S257" s="111">
        <f>Audit[[#This Row],[Audit Losing Candidate]]-Audit[[#This Row],[Losing Candidate]]</f>
        <v>0</v>
      </c>
      <c r="T257" s="111">
        <f>Audit[[#This Row],[Audit Winning Candidate]]-Audit[[#This Row],[Winning Candidate]]</f>
        <v>0</v>
      </c>
      <c r="U257" s="111">
        <f>Audit[[#This Row],[Audit Candidate 3]]-Audit[[#This Row],[Candidate 3]]</f>
        <v>0</v>
      </c>
      <c r="V257" s="111">
        <f>Audit[[#This Row],[Audit Candidate 4]]-Audit[[#This Row],[Candidate 4]]</f>
        <v>0</v>
      </c>
      <c r="W257" s="111">
        <f>Audit[[#This Row],[Audit Candidate 5]]-Audit[[#This Row],[Candidate 5]]</f>
        <v>0</v>
      </c>
      <c r="X257" s="111">
        <f>Audit[[#This Row],[Audit Candidate 6]]-Audit[[#This Row],[Candidate 6]]</f>
        <v>0</v>
      </c>
      <c r="Y257" s="111">
        <f>SUMIF(Audit[[#This Row],[Difference Loser]:[Difference Candidate 6]], "&gt;0")</f>
        <v>0</v>
      </c>
      <c r="Z257" s="111">
        <f>SUM(Audit[[#This Row],[Difference Loser]:[Difference Candidate 6]])</f>
        <v>0</v>
      </c>
      <c r="AA257" s="111">
        <f>IF(Audit[[#This Row],[Times p Drawn - With Replacement]]&gt;0, IF(Audit[[#This Row],[Canceled Differences]]&lt;0, Audit[[#This Row],[Max Differences]]+ABS(Audit[[#This Row],[Canceled Differences]]), Audit[[#This Row],[Max Differences]]), 0)</f>
        <v>0</v>
      </c>
      <c r="AB257" s="111">
        <f>'Sampling Data'!P247</f>
        <v>0</v>
      </c>
      <c r="AC257" s="111">
        <f>IF(
      SUM(Audit[[#This Row],[Audit Losing Candidate]:[Audit Candidate 6]])
      &lt;&gt;0,
      (Audit[[#This Row],[Winning Candidate]]-Audit[[#This Row],[Losing Candidate]]-(Audit[[#This Row],[Audit Winning Candidate]]-Audit[[#This Row],[Audit Losing Candidate]]))/(Audit[[#Totals],[Winning Candidate]]-Audit[[#Totals],[Losing Candidate]]),
      0
)</f>
        <v>0</v>
      </c>
      <c r="AD2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7" s="111">
        <f>IF(Audit[[#This Row],[Max Relative Error (ep)]] = 0, 0, Audit[[#This Row],[Max Relative Error (ep)]]/Audit[[#This Row],[Error Bound (up) - Max. possible relative overstatement]])</f>
        <v>0</v>
      </c>
      <c r="AJ2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57" s="111">
        <f t="shared" si="3"/>
        <v>1</v>
      </c>
      <c r="AL257" s="111">
        <f>PRODUCT($AK$5:AK257)</f>
        <v>8.962823818226312E-2</v>
      </c>
      <c r="AM257" s="109">
        <f>1 - [K-M P Value]</f>
        <v>0.91037176181773694</v>
      </c>
      <c r="AN257" s="111" t="str">
        <f>IF(Audit[[#This Row],[K-M P Value]]&gt;1-'General Info'!$B$16,"Continue", "Stop")</f>
        <v>Stop</v>
      </c>
      <c r="AO257" s="110" t="b">
        <f>IF(Audit[[#This Row],[Status - Continue or stop audit]] = "Continue", TRUE, IF(AN256 = "Continue", TRUE, FALSE))</f>
        <v>0</v>
      </c>
      <c r="AP257" s="110"/>
    </row>
    <row r="258" spans="1:42" ht="15" hidden="1" customHeight="1">
      <c r="A258" s="111" t="str">
        <f>'Sampling Data'!W248</f>
        <v/>
      </c>
      <c r="B258" s="112" t="str">
        <f>'Sampling Data'!A248</f>
        <v>CLEVELAND -01-E - ABS</v>
      </c>
      <c r="C258" s="112">
        <f>'Sampling Data'!B248</f>
        <v>0</v>
      </c>
      <c r="D258" s="112">
        <f>'Sampling Data'!C248</f>
        <v>1</v>
      </c>
      <c r="E258" s="113">
        <f>'Sampling Data'!D248</f>
        <v>0</v>
      </c>
      <c r="F258" s="113">
        <f>'Sampling Data'!E248</f>
        <v>1</v>
      </c>
      <c r="G258" s="113">
        <f>'Sampling Data'!F248</f>
        <v>0</v>
      </c>
      <c r="H258" s="113">
        <f>'Sampling Data'!G248</f>
        <v>1</v>
      </c>
      <c r="I258" s="112">
        <f>'Sampling Data'!H248</f>
        <v>0</v>
      </c>
      <c r="J258" s="112">
        <f>'Sampling Data'!I248</f>
        <v>0</v>
      </c>
      <c r="K258" s="112">
        <f>'Sampling Data'!J248</f>
        <v>3</v>
      </c>
      <c r="L258" s="111">
        <f>'Sampling Data'!X248</f>
        <v>0</v>
      </c>
      <c r="M258" s="114"/>
      <c r="N258" s="114"/>
      <c r="O258" s="115"/>
      <c r="P258" s="115"/>
      <c r="Q258" s="116"/>
      <c r="R258" s="116"/>
      <c r="S258" s="111">
        <f>Audit[[#This Row],[Audit Losing Candidate]]-Audit[[#This Row],[Losing Candidate]]</f>
        <v>0</v>
      </c>
      <c r="T258" s="111">
        <f>Audit[[#This Row],[Audit Winning Candidate]]-Audit[[#This Row],[Winning Candidate]]</f>
        <v>-1</v>
      </c>
      <c r="U258" s="111">
        <f>Audit[[#This Row],[Audit Candidate 3]]-Audit[[#This Row],[Candidate 3]]</f>
        <v>0</v>
      </c>
      <c r="V258" s="111">
        <f>Audit[[#This Row],[Audit Candidate 4]]-Audit[[#This Row],[Candidate 4]]</f>
        <v>-1</v>
      </c>
      <c r="W258" s="111">
        <f>Audit[[#This Row],[Audit Candidate 5]]-Audit[[#This Row],[Candidate 5]]</f>
        <v>0</v>
      </c>
      <c r="X258" s="111">
        <f>Audit[[#This Row],[Audit Candidate 6]]-Audit[[#This Row],[Candidate 6]]</f>
        <v>-1</v>
      </c>
      <c r="Y258" s="111">
        <f>SUMIF(Audit[[#This Row],[Difference Loser]:[Difference Candidate 6]], "&gt;0")</f>
        <v>0</v>
      </c>
      <c r="Z258" s="111">
        <f>SUM(Audit[[#This Row],[Difference Loser]:[Difference Candidate 6]])</f>
        <v>-3</v>
      </c>
      <c r="AA258" s="111">
        <f>IF(Audit[[#This Row],[Times p Drawn - With Replacement]]&gt;0, IF(Audit[[#This Row],[Canceled Differences]]&lt;0, Audit[[#This Row],[Max Differences]]+ABS(Audit[[#This Row],[Canceled Differences]]), Audit[[#This Row],[Max Differences]]), 0)</f>
        <v>0</v>
      </c>
      <c r="AB258" s="111">
        <f>'Sampling Data'!P248</f>
        <v>2.4497795198432141E-4</v>
      </c>
      <c r="AC258" s="111">
        <f>IF(
      SUM(Audit[[#This Row],[Audit Losing Candidate]:[Audit Candidate 6]])
      &lt;&gt;0,
      (Audit[[#This Row],[Winning Candidate]]-Audit[[#This Row],[Losing Candidate]]-(Audit[[#This Row],[Audit Winning Candidate]]-Audit[[#This Row],[Audit Losing Candidate]]))/(Audit[[#Totals],[Winning Candidate]]-Audit[[#Totals],[Losing Candidate]]),
      0
)</f>
        <v>0</v>
      </c>
      <c r="AD2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8" s="111">
        <f>IF(Audit[[#This Row],[Max Relative Error (ep)]] = 0, 0, Audit[[#This Row],[Max Relative Error (ep)]]/Audit[[#This Row],[Error Bound (up) - Max. possible relative overstatement]])</f>
        <v>0</v>
      </c>
      <c r="AJ2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58" s="111">
        <f t="shared" si="3"/>
        <v>1</v>
      </c>
      <c r="AL258" s="111">
        <f>PRODUCT($AK$5:AK258)</f>
        <v>8.962823818226312E-2</v>
      </c>
      <c r="AM258" s="109">
        <f>1 - [K-M P Value]</f>
        <v>0.91037176181773694</v>
      </c>
      <c r="AN258" s="111" t="str">
        <f>IF(Audit[[#This Row],[K-M P Value]]&gt;1-'General Info'!$B$16,"Continue", "Stop")</f>
        <v>Stop</v>
      </c>
      <c r="AO258" s="110" t="b">
        <f>IF(Audit[[#This Row],[Status - Continue or stop audit]] = "Continue", TRUE, IF(AN257 = "Continue", TRUE, FALSE))</f>
        <v>0</v>
      </c>
      <c r="AP258" s="110"/>
    </row>
    <row r="259" spans="1:42" ht="15" hidden="1" customHeight="1">
      <c r="A259" s="111" t="str">
        <f>'Sampling Data'!W249</f>
        <v/>
      </c>
      <c r="B259" s="112" t="str">
        <f>'Sampling Data'!A249</f>
        <v>CLEVELAND -01-F</v>
      </c>
      <c r="C259" s="112">
        <f>'Sampling Data'!B249</f>
        <v>0</v>
      </c>
      <c r="D259" s="112">
        <f>'Sampling Data'!C249</f>
        <v>0</v>
      </c>
      <c r="E259" s="113">
        <f>'Sampling Data'!D249</f>
        <v>0</v>
      </c>
      <c r="F259" s="113">
        <f>'Sampling Data'!E249</f>
        <v>0</v>
      </c>
      <c r="G259" s="113">
        <f>'Sampling Data'!F249</f>
        <v>0</v>
      </c>
      <c r="H259" s="113">
        <f>'Sampling Data'!G249</f>
        <v>0</v>
      </c>
      <c r="I259" s="112">
        <f>'Sampling Data'!H249</f>
        <v>0</v>
      </c>
      <c r="J259" s="112">
        <f>'Sampling Data'!I249</f>
        <v>0</v>
      </c>
      <c r="K259" s="112">
        <f>'Sampling Data'!J249</f>
        <v>0</v>
      </c>
      <c r="L259" s="111">
        <f>'Sampling Data'!X249</f>
        <v>0</v>
      </c>
      <c r="M259" s="114"/>
      <c r="N259" s="114"/>
      <c r="O259" s="115"/>
      <c r="P259" s="115"/>
      <c r="Q259" s="116"/>
      <c r="R259" s="116"/>
      <c r="S259" s="111">
        <f>Audit[[#This Row],[Audit Losing Candidate]]-Audit[[#This Row],[Losing Candidate]]</f>
        <v>0</v>
      </c>
      <c r="T259" s="111">
        <f>Audit[[#This Row],[Audit Winning Candidate]]-Audit[[#This Row],[Winning Candidate]]</f>
        <v>0</v>
      </c>
      <c r="U259" s="111">
        <f>Audit[[#This Row],[Audit Candidate 3]]-Audit[[#This Row],[Candidate 3]]</f>
        <v>0</v>
      </c>
      <c r="V259" s="111">
        <f>Audit[[#This Row],[Audit Candidate 4]]-Audit[[#This Row],[Candidate 4]]</f>
        <v>0</v>
      </c>
      <c r="W259" s="111">
        <f>Audit[[#This Row],[Audit Candidate 5]]-Audit[[#This Row],[Candidate 5]]</f>
        <v>0</v>
      </c>
      <c r="X259" s="111">
        <f>Audit[[#This Row],[Audit Candidate 6]]-Audit[[#This Row],[Candidate 6]]</f>
        <v>0</v>
      </c>
      <c r="Y259" s="111">
        <f>SUMIF(Audit[[#This Row],[Difference Loser]:[Difference Candidate 6]], "&gt;0")</f>
        <v>0</v>
      </c>
      <c r="Z259" s="111">
        <f>SUM(Audit[[#This Row],[Difference Loser]:[Difference Candidate 6]])</f>
        <v>0</v>
      </c>
      <c r="AA259" s="111">
        <f>IF(Audit[[#This Row],[Times p Drawn - With Replacement]]&gt;0, IF(Audit[[#This Row],[Canceled Differences]]&lt;0, Audit[[#This Row],[Max Differences]]+ABS(Audit[[#This Row],[Canceled Differences]]), Audit[[#This Row],[Max Differences]]), 0)</f>
        <v>0</v>
      </c>
      <c r="AB259" s="111">
        <f>'Sampling Data'!P249</f>
        <v>0</v>
      </c>
      <c r="AC259" s="111">
        <f>IF(
      SUM(Audit[[#This Row],[Audit Losing Candidate]:[Audit Candidate 6]])
      &lt;&gt;0,
      (Audit[[#This Row],[Winning Candidate]]-Audit[[#This Row],[Losing Candidate]]-(Audit[[#This Row],[Audit Winning Candidate]]-Audit[[#This Row],[Audit Losing Candidate]]))/(Audit[[#Totals],[Winning Candidate]]-Audit[[#Totals],[Losing Candidate]]),
      0
)</f>
        <v>0</v>
      </c>
      <c r="AD2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9" s="111">
        <f>IF(Audit[[#This Row],[Max Relative Error (ep)]] = 0, 0, Audit[[#This Row],[Max Relative Error (ep)]]/Audit[[#This Row],[Error Bound (up) - Max. possible relative overstatement]])</f>
        <v>0</v>
      </c>
      <c r="AJ2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59" s="111">
        <f t="shared" si="3"/>
        <v>1</v>
      </c>
      <c r="AL259" s="111">
        <f>PRODUCT($AK$5:AK259)</f>
        <v>8.962823818226312E-2</v>
      </c>
      <c r="AM259" s="109">
        <f>1 - [K-M P Value]</f>
        <v>0.91037176181773694</v>
      </c>
      <c r="AN259" s="111" t="str">
        <f>IF(Audit[[#This Row],[K-M P Value]]&gt;1-'General Info'!$B$16,"Continue", "Stop")</f>
        <v>Stop</v>
      </c>
      <c r="AO259" s="110" t="b">
        <f>IF(Audit[[#This Row],[Status - Continue or stop audit]] = "Continue", TRUE, IF(AN258 = "Continue", TRUE, FALSE))</f>
        <v>0</v>
      </c>
      <c r="AP259" s="110"/>
    </row>
    <row r="260" spans="1:42" ht="15" hidden="1" customHeight="1">
      <c r="A260" s="111" t="str">
        <f>'Sampling Data'!W250</f>
        <v/>
      </c>
      <c r="B260" s="112" t="str">
        <f>'Sampling Data'!A250</f>
        <v>CLEVELAND -01-F - ABS</v>
      </c>
      <c r="C260" s="112">
        <f>'Sampling Data'!B250</f>
        <v>0</v>
      </c>
      <c r="D260" s="112">
        <f>'Sampling Data'!C250</f>
        <v>0</v>
      </c>
      <c r="E260" s="113">
        <f>'Sampling Data'!D250</f>
        <v>0</v>
      </c>
      <c r="F260" s="113">
        <f>'Sampling Data'!E250</f>
        <v>0</v>
      </c>
      <c r="G260" s="113">
        <f>'Sampling Data'!F250</f>
        <v>0</v>
      </c>
      <c r="H260" s="113">
        <f>'Sampling Data'!G250</f>
        <v>0</v>
      </c>
      <c r="I260" s="112">
        <f>'Sampling Data'!H250</f>
        <v>0</v>
      </c>
      <c r="J260" s="112">
        <f>'Sampling Data'!I250</f>
        <v>0</v>
      </c>
      <c r="K260" s="112">
        <f>'Sampling Data'!J250</f>
        <v>0</v>
      </c>
      <c r="L260" s="111">
        <f>'Sampling Data'!X250</f>
        <v>0</v>
      </c>
      <c r="M260" s="114"/>
      <c r="N260" s="114"/>
      <c r="O260" s="115"/>
      <c r="P260" s="115"/>
      <c r="Q260" s="116"/>
      <c r="R260" s="116"/>
      <c r="S260" s="111">
        <f>Audit[[#This Row],[Audit Losing Candidate]]-Audit[[#This Row],[Losing Candidate]]</f>
        <v>0</v>
      </c>
      <c r="T260" s="111">
        <f>Audit[[#This Row],[Audit Winning Candidate]]-Audit[[#This Row],[Winning Candidate]]</f>
        <v>0</v>
      </c>
      <c r="U260" s="111">
        <f>Audit[[#This Row],[Audit Candidate 3]]-Audit[[#This Row],[Candidate 3]]</f>
        <v>0</v>
      </c>
      <c r="V260" s="111">
        <f>Audit[[#This Row],[Audit Candidate 4]]-Audit[[#This Row],[Candidate 4]]</f>
        <v>0</v>
      </c>
      <c r="W260" s="111">
        <f>Audit[[#This Row],[Audit Candidate 5]]-Audit[[#This Row],[Candidate 5]]</f>
        <v>0</v>
      </c>
      <c r="X260" s="111">
        <f>Audit[[#This Row],[Audit Candidate 6]]-Audit[[#This Row],[Candidate 6]]</f>
        <v>0</v>
      </c>
      <c r="Y260" s="111">
        <f>SUMIF(Audit[[#This Row],[Difference Loser]:[Difference Candidate 6]], "&gt;0")</f>
        <v>0</v>
      </c>
      <c r="Z260" s="111">
        <f>SUM(Audit[[#This Row],[Difference Loser]:[Difference Candidate 6]])</f>
        <v>0</v>
      </c>
      <c r="AA260" s="111">
        <f>IF(Audit[[#This Row],[Times p Drawn - With Replacement]]&gt;0, IF(Audit[[#This Row],[Canceled Differences]]&lt;0, Audit[[#This Row],[Max Differences]]+ABS(Audit[[#This Row],[Canceled Differences]]), Audit[[#This Row],[Max Differences]]), 0)</f>
        <v>0</v>
      </c>
      <c r="AB260" s="111">
        <f>'Sampling Data'!P250</f>
        <v>0</v>
      </c>
      <c r="AC260" s="111">
        <f>IF(
      SUM(Audit[[#This Row],[Audit Losing Candidate]:[Audit Candidate 6]])
      &lt;&gt;0,
      (Audit[[#This Row],[Winning Candidate]]-Audit[[#This Row],[Losing Candidate]]-(Audit[[#This Row],[Audit Winning Candidate]]-Audit[[#This Row],[Audit Losing Candidate]]))/(Audit[[#Totals],[Winning Candidate]]-Audit[[#Totals],[Losing Candidate]]),
      0
)</f>
        <v>0</v>
      </c>
      <c r="AD2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0" s="111">
        <f>IF(Audit[[#This Row],[Max Relative Error (ep)]] = 0, 0, Audit[[#This Row],[Max Relative Error (ep)]]/Audit[[#This Row],[Error Bound (up) - Max. possible relative overstatement]])</f>
        <v>0</v>
      </c>
      <c r="AJ2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60" s="111">
        <f t="shared" si="3"/>
        <v>1</v>
      </c>
      <c r="AL260" s="111">
        <f>PRODUCT($AK$5:AK260)</f>
        <v>8.962823818226312E-2</v>
      </c>
      <c r="AM260" s="109">
        <f>1 - [K-M P Value]</f>
        <v>0.91037176181773694</v>
      </c>
      <c r="AN260" s="111" t="str">
        <f>IF(Audit[[#This Row],[K-M P Value]]&gt;1-'General Info'!$B$16,"Continue", "Stop")</f>
        <v>Stop</v>
      </c>
      <c r="AO260" s="110" t="b">
        <f>IF(Audit[[#This Row],[Status - Continue or stop audit]] = "Continue", TRUE, IF(AN259 = "Continue", TRUE, FALSE))</f>
        <v>0</v>
      </c>
      <c r="AP260" s="110"/>
    </row>
    <row r="261" spans="1:42" ht="15" hidden="1" customHeight="1">
      <c r="A261" s="111" t="str">
        <f>'Sampling Data'!W251</f>
        <v/>
      </c>
      <c r="B261" s="112" t="str">
        <f>'Sampling Data'!A251</f>
        <v>CLEVELAND -01-G</v>
      </c>
      <c r="C261" s="112">
        <f>'Sampling Data'!B251</f>
        <v>0</v>
      </c>
      <c r="D261" s="112">
        <f>'Sampling Data'!C251</f>
        <v>0</v>
      </c>
      <c r="E261" s="113">
        <f>'Sampling Data'!D251</f>
        <v>0</v>
      </c>
      <c r="F261" s="113">
        <f>'Sampling Data'!E251</f>
        <v>0</v>
      </c>
      <c r="G261" s="113">
        <f>'Sampling Data'!F251</f>
        <v>0</v>
      </c>
      <c r="H261" s="113">
        <f>'Sampling Data'!G251</f>
        <v>0</v>
      </c>
      <c r="I261" s="112">
        <f>'Sampling Data'!H251</f>
        <v>0</v>
      </c>
      <c r="J261" s="112">
        <f>'Sampling Data'!I251</f>
        <v>1</v>
      </c>
      <c r="K261" s="112">
        <f>'Sampling Data'!J251</f>
        <v>1</v>
      </c>
      <c r="L261" s="111">
        <f>'Sampling Data'!X251</f>
        <v>0</v>
      </c>
      <c r="M261" s="114"/>
      <c r="N261" s="114"/>
      <c r="O261" s="115"/>
      <c r="P261" s="115"/>
      <c r="Q261" s="116"/>
      <c r="R261" s="116"/>
      <c r="S261" s="111">
        <f>Audit[[#This Row],[Audit Losing Candidate]]-Audit[[#This Row],[Losing Candidate]]</f>
        <v>0</v>
      </c>
      <c r="T261" s="111">
        <f>Audit[[#This Row],[Audit Winning Candidate]]-Audit[[#This Row],[Winning Candidate]]</f>
        <v>0</v>
      </c>
      <c r="U261" s="111">
        <f>Audit[[#This Row],[Audit Candidate 3]]-Audit[[#This Row],[Candidate 3]]</f>
        <v>0</v>
      </c>
      <c r="V261" s="111">
        <f>Audit[[#This Row],[Audit Candidate 4]]-Audit[[#This Row],[Candidate 4]]</f>
        <v>0</v>
      </c>
      <c r="W261" s="111">
        <f>Audit[[#This Row],[Audit Candidate 5]]-Audit[[#This Row],[Candidate 5]]</f>
        <v>0</v>
      </c>
      <c r="X261" s="111">
        <f>Audit[[#This Row],[Audit Candidate 6]]-Audit[[#This Row],[Candidate 6]]</f>
        <v>0</v>
      </c>
      <c r="Y261" s="111">
        <f>SUMIF(Audit[[#This Row],[Difference Loser]:[Difference Candidate 6]], "&gt;0")</f>
        <v>0</v>
      </c>
      <c r="Z261" s="111">
        <f>SUM(Audit[[#This Row],[Difference Loser]:[Difference Candidate 6]])</f>
        <v>0</v>
      </c>
      <c r="AA261" s="111">
        <f>IF(Audit[[#This Row],[Times p Drawn - With Replacement]]&gt;0, IF(Audit[[#This Row],[Canceled Differences]]&lt;0, Audit[[#This Row],[Max Differences]]+ABS(Audit[[#This Row],[Canceled Differences]]), Audit[[#This Row],[Max Differences]]), 0)</f>
        <v>0</v>
      </c>
      <c r="AB261" s="111">
        <f>'Sampling Data'!P251</f>
        <v>6.1244487996080352E-5</v>
      </c>
      <c r="AC261" s="111">
        <f>IF(
      SUM(Audit[[#This Row],[Audit Losing Candidate]:[Audit Candidate 6]])
      &lt;&gt;0,
      (Audit[[#This Row],[Winning Candidate]]-Audit[[#This Row],[Losing Candidate]]-(Audit[[#This Row],[Audit Winning Candidate]]-Audit[[#This Row],[Audit Losing Candidate]]))/(Audit[[#Totals],[Winning Candidate]]-Audit[[#Totals],[Losing Candidate]]),
      0
)</f>
        <v>0</v>
      </c>
      <c r="AD2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1" s="111">
        <f>IF(Audit[[#This Row],[Max Relative Error (ep)]] = 0, 0, Audit[[#This Row],[Max Relative Error (ep)]]/Audit[[#This Row],[Error Bound (up) - Max. possible relative overstatement]])</f>
        <v>0</v>
      </c>
      <c r="AJ2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61" s="111">
        <f t="shared" ref="AK261:AK324" si="4">IF(ISERR(POWER(AJ261,L261)), 0, POWER(AJ261,L261))</f>
        <v>1</v>
      </c>
      <c r="AL261" s="111">
        <f>PRODUCT($AK$5:AK261)</f>
        <v>8.962823818226312E-2</v>
      </c>
      <c r="AM261" s="109">
        <f>1 - [K-M P Value]</f>
        <v>0.91037176181773694</v>
      </c>
      <c r="AN261" s="111" t="str">
        <f>IF(Audit[[#This Row],[K-M P Value]]&gt;1-'General Info'!$B$16,"Continue", "Stop")</f>
        <v>Stop</v>
      </c>
      <c r="AO261" s="110" t="b">
        <f>IF(Audit[[#This Row],[Status - Continue or stop audit]] = "Continue", TRUE, IF(AN260 = "Continue", TRUE, FALSE))</f>
        <v>0</v>
      </c>
      <c r="AP261" s="110"/>
    </row>
    <row r="262" spans="1:42" ht="15" hidden="1" customHeight="1">
      <c r="A262" s="111" t="str">
        <f>'Sampling Data'!W252</f>
        <v/>
      </c>
      <c r="B262" s="112" t="str">
        <f>'Sampling Data'!A252</f>
        <v>CLEVELAND -01-G - ABS</v>
      </c>
      <c r="C262" s="112">
        <f>'Sampling Data'!B252</f>
        <v>1</v>
      </c>
      <c r="D262" s="112">
        <f>'Sampling Data'!C252</f>
        <v>1</v>
      </c>
      <c r="E262" s="113">
        <f>'Sampling Data'!D252</f>
        <v>0</v>
      </c>
      <c r="F262" s="113">
        <f>'Sampling Data'!E252</f>
        <v>0</v>
      </c>
      <c r="G262" s="113">
        <f>'Sampling Data'!F252</f>
        <v>0</v>
      </c>
      <c r="H262" s="113">
        <f>'Sampling Data'!G252</f>
        <v>0</v>
      </c>
      <c r="I262" s="112">
        <f>'Sampling Data'!H252</f>
        <v>0</v>
      </c>
      <c r="J262" s="112">
        <f>'Sampling Data'!I252</f>
        <v>0</v>
      </c>
      <c r="K262" s="112">
        <f>'Sampling Data'!J252</f>
        <v>2</v>
      </c>
      <c r="L262" s="111">
        <f>'Sampling Data'!X252</f>
        <v>0</v>
      </c>
      <c r="M262" s="114"/>
      <c r="N262" s="114"/>
      <c r="O262" s="115"/>
      <c r="P262" s="115"/>
      <c r="Q262" s="116"/>
      <c r="R262" s="116"/>
      <c r="S262" s="111">
        <f>Audit[[#This Row],[Audit Losing Candidate]]-Audit[[#This Row],[Losing Candidate]]</f>
        <v>-1</v>
      </c>
      <c r="T262" s="111">
        <f>Audit[[#This Row],[Audit Winning Candidate]]-Audit[[#This Row],[Winning Candidate]]</f>
        <v>-1</v>
      </c>
      <c r="U262" s="111">
        <f>Audit[[#This Row],[Audit Candidate 3]]-Audit[[#This Row],[Candidate 3]]</f>
        <v>0</v>
      </c>
      <c r="V262" s="111">
        <f>Audit[[#This Row],[Audit Candidate 4]]-Audit[[#This Row],[Candidate 4]]</f>
        <v>0</v>
      </c>
      <c r="W262" s="111">
        <f>Audit[[#This Row],[Audit Candidate 5]]-Audit[[#This Row],[Candidate 5]]</f>
        <v>0</v>
      </c>
      <c r="X262" s="111">
        <f>Audit[[#This Row],[Audit Candidate 6]]-Audit[[#This Row],[Candidate 6]]</f>
        <v>0</v>
      </c>
      <c r="Y262" s="111">
        <f>SUMIF(Audit[[#This Row],[Difference Loser]:[Difference Candidate 6]], "&gt;0")</f>
        <v>0</v>
      </c>
      <c r="Z262" s="111">
        <f>SUM(Audit[[#This Row],[Difference Loser]:[Difference Candidate 6]])</f>
        <v>-2</v>
      </c>
      <c r="AA262" s="111">
        <f>IF(Audit[[#This Row],[Times p Drawn - With Replacement]]&gt;0, IF(Audit[[#This Row],[Canceled Differences]]&lt;0, Audit[[#This Row],[Max Differences]]+ABS(Audit[[#This Row],[Canceled Differences]]), Audit[[#This Row],[Max Differences]]), 0)</f>
        <v>0</v>
      </c>
      <c r="AB262" s="111">
        <f>'Sampling Data'!P252</f>
        <v>1.224889759921607E-4</v>
      </c>
      <c r="AC262" s="111">
        <f>IF(
      SUM(Audit[[#This Row],[Audit Losing Candidate]:[Audit Candidate 6]])
      &lt;&gt;0,
      (Audit[[#This Row],[Winning Candidate]]-Audit[[#This Row],[Losing Candidate]]-(Audit[[#This Row],[Audit Winning Candidate]]-Audit[[#This Row],[Audit Losing Candidate]]))/(Audit[[#Totals],[Winning Candidate]]-Audit[[#Totals],[Losing Candidate]]),
      0
)</f>
        <v>0</v>
      </c>
      <c r="AD2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2" s="111">
        <f>IF(Audit[[#This Row],[Max Relative Error (ep)]] = 0, 0, Audit[[#This Row],[Max Relative Error (ep)]]/Audit[[#This Row],[Error Bound (up) - Max. possible relative overstatement]])</f>
        <v>0</v>
      </c>
      <c r="AJ2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62" s="111">
        <f t="shared" si="4"/>
        <v>1</v>
      </c>
      <c r="AL262" s="111">
        <f>PRODUCT($AK$5:AK262)</f>
        <v>8.962823818226312E-2</v>
      </c>
      <c r="AM262" s="109">
        <f>1 - [K-M P Value]</f>
        <v>0.91037176181773694</v>
      </c>
      <c r="AN262" s="111" t="str">
        <f>IF(Audit[[#This Row],[K-M P Value]]&gt;1-'General Info'!$B$16,"Continue", "Stop")</f>
        <v>Stop</v>
      </c>
      <c r="AO262" s="110" t="b">
        <f>IF(Audit[[#This Row],[Status - Continue or stop audit]] = "Continue", TRUE, IF(AN261 = "Continue", TRUE, FALSE))</f>
        <v>0</v>
      </c>
      <c r="AP262" s="110"/>
    </row>
    <row r="263" spans="1:42" ht="15" hidden="1" customHeight="1">
      <c r="A263" s="111" t="str">
        <f>'Sampling Data'!W253</f>
        <v/>
      </c>
      <c r="B263" s="112" t="str">
        <f>'Sampling Data'!A253</f>
        <v>CLEVELAND -01-H</v>
      </c>
      <c r="C263" s="112">
        <f>'Sampling Data'!B253</f>
        <v>1</v>
      </c>
      <c r="D263" s="112">
        <f>'Sampling Data'!C253</f>
        <v>0</v>
      </c>
      <c r="E263" s="113">
        <f>'Sampling Data'!D253</f>
        <v>0</v>
      </c>
      <c r="F263" s="113">
        <f>'Sampling Data'!E253</f>
        <v>0</v>
      </c>
      <c r="G263" s="113">
        <f>'Sampling Data'!F253</f>
        <v>0</v>
      </c>
      <c r="H263" s="113">
        <f>'Sampling Data'!G253</f>
        <v>0</v>
      </c>
      <c r="I263" s="112">
        <f>'Sampling Data'!H253</f>
        <v>0</v>
      </c>
      <c r="J263" s="112">
        <f>'Sampling Data'!I253</f>
        <v>2</v>
      </c>
      <c r="K263" s="112">
        <f>'Sampling Data'!J253</f>
        <v>3</v>
      </c>
      <c r="L263" s="111">
        <f>'Sampling Data'!X253</f>
        <v>0</v>
      </c>
      <c r="M263" s="114"/>
      <c r="N263" s="114"/>
      <c r="O263" s="115"/>
      <c r="P263" s="115"/>
      <c r="Q263" s="116"/>
      <c r="R263" s="116"/>
      <c r="S263" s="111">
        <f>Audit[[#This Row],[Audit Losing Candidate]]-Audit[[#This Row],[Losing Candidate]]</f>
        <v>-1</v>
      </c>
      <c r="T263" s="111">
        <f>Audit[[#This Row],[Audit Winning Candidate]]-Audit[[#This Row],[Winning Candidate]]</f>
        <v>0</v>
      </c>
      <c r="U263" s="111">
        <f>Audit[[#This Row],[Audit Candidate 3]]-Audit[[#This Row],[Candidate 3]]</f>
        <v>0</v>
      </c>
      <c r="V263" s="111">
        <f>Audit[[#This Row],[Audit Candidate 4]]-Audit[[#This Row],[Candidate 4]]</f>
        <v>0</v>
      </c>
      <c r="W263" s="111">
        <f>Audit[[#This Row],[Audit Candidate 5]]-Audit[[#This Row],[Candidate 5]]</f>
        <v>0</v>
      </c>
      <c r="X263" s="111">
        <f>Audit[[#This Row],[Audit Candidate 6]]-Audit[[#This Row],[Candidate 6]]</f>
        <v>0</v>
      </c>
      <c r="Y263" s="111">
        <f>SUMIF(Audit[[#This Row],[Difference Loser]:[Difference Candidate 6]], "&gt;0")</f>
        <v>0</v>
      </c>
      <c r="Z263" s="111">
        <f>SUM(Audit[[#This Row],[Difference Loser]:[Difference Candidate 6]])</f>
        <v>-1</v>
      </c>
      <c r="AA263" s="111">
        <f>IF(Audit[[#This Row],[Times p Drawn - With Replacement]]&gt;0, IF(Audit[[#This Row],[Canceled Differences]]&lt;0, Audit[[#This Row],[Max Differences]]+ABS(Audit[[#This Row],[Canceled Differences]]), Audit[[#This Row],[Max Differences]]), 0)</f>
        <v>0</v>
      </c>
      <c r="AB263" s="111">
        <f>'Sampling Data'!P253</f>
        <v>1.224889759921607E-4</v>
      </c>
      <c r="AC263" s="111">
        <f>IF(
      SUM(Audit[[#This Row],[Audit Losing Candidate]:[Audit Candidate 6]])
      &lt;&gt;0,
      (Audit[[#This Row],[Winning Candidate]]-Audit[[#This Row],[Losing Candidate]]-(Audit[[#This Row],[Audit Winning Candidate]]-Audit[[#This Row],[Audit Losing Candidate]]))/(Audit[[#Totals],[Winning Candidate]]-Audit[[#Totals],[Losing Candidate]]),
      0
)</f>
        <v>0</v>
      </c>
      <c r="AD2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3" s="111">
        <f>IF(Audit[[#This Row],[Max Relative Error (ep)]] = 0, 0, Audit[[#This Row],[Max Relative Error (ep)]]/Audit[[#This Row],[Error Bound (up) - Max. possible relative overstatement]])</f>
        <v>0</v>
      </c>
      <c r="AJ2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63" s="111">
        <f t="shared" si="4"/>
        <v>1</v>
      </c>
      <c r="AL263" s="111">
        <f>PRODUCT($AK$5:AK263)</f>
        <v>8.962823818226312E-2</v>
      </c>
      <c r="AM263" s="109">
        <f>1 - [K-M P Value]</f>
        <v>0.91037176181773694</v>
      </c>
      <c r="AN263" s="111" t="str">
        <f>IF(Audit[[#This Row],[K-M P Value]]&gt;1-'General Info'!$B$16,"Continue", "Stop")</f>
        <v>Stop</v>
      </c>
      <c r="AO263" s="110" t="b">
        <f>IF(Audit[[#This Row],[Status - Continue or stop audit]] = "Continue", TRUE, IF(AN262 = "Continue", TRUE, FALSE))</f>
        <v>0</v>
      </c>
      <c r="AP263" s="110"/>
    </row>
    <row r="264" spans="1:42" ht="15" hidden="1" customHeight="1">
      <c r="A264" s="111" t="str">
        <f>'Sampling Data'!W254</f>
        <v/>
      </c>
      <c r="B264" s="112" t="str">
        <f>'Sampling Data'!A254</f>
        <v>CLEVELAND -01-H - ABS</v>
      </c>
      <c r="C264" s="112">
        <f>'Sampling Data'!B254</f>
        <v>0</v>
      </c>
      <c r="D264" s="112">
        <f>'Sampling Data'!C254</f>
        <v>0</v>
      </c>
      <c r="E264" s="113">
        <f>'Sampling Data'!D254</f>
        <v>0</v>
      </c>
      <c r="F264" s="113">
        <f>'Sampling Data'!E254</f>
        <v>0</v>
      </c>
      <c r="G264" s="113">
        <f>'Sampling Data'!F254</f>
        <v>0</v>
      </c>
      <c r="H264" s="113">
        <f>'Sampling Data'!G254</f>
        <v>0</v>
      </c>
      <c r="I264" s="112">
        <f>'Sampling Data'!H254</f>
        <v>0</v>
      </c>
      <c r="J264" s="112">
        <f>'Sampling Data'!I254</f>
        <v>0</v>
      </c>
      <c r="K264" s="112">
        <f>'Sampling Data'!J254</f>
        <v>0</v>
      </c>
      <c r="L264" s="111">
        <f>'Sampling Data'!X254</f>
        <v>0</v>
      </c>
      <c r="M264" s="114"/>
      <c r="N264" s="114"/>
      <c r="O264" s="115"/>
      <c r="P264" s="115"/>
      <c r="Q264" s="116"/>
      <c r="R264" s="116"/>
      <c r="S264" s="111">
        <f>Audit[[#This Row],[Audit Losing Candidate]]-Audit[[#This Row],[Losing Candidate]]</f>
        <v>0</v>
      </c>
      <c r="T264" s="111">
        <f>Audit[[#This Row],[Audit Winning Candidate]]-Audit[[#This Row],[Winning Candidate]]</f>
        <v>0</v>
      </c>
      <c r="U264" s="111">
        <f>Audit[[#This Row],[Audit Candidate 3]]-Audit[[#This Row],[Candidate 3]]</f>
        <v>0</v>
      </c>
      <c r="V264" s="111">
        <f>Audit[[#This Row],[Audit Candidate 4]]-Audit[[#This Row],[Candidate 4]]</f>
        <v>0</v>
      </c>
      <c r="W264" s="111">
        <f>Audit[[#This Row],[Audit Candidate 5]]-Audit[[#This Row],[Candidate 5]]</f>
        <v>0</v>
      </c>
      <c r="X264" s="111">
        <f>Audit[[#This Row],[Audit Candidate 6]]-Audit[[#This Row],[Candidate 6]]</f>
        <v>0</v>
      </c>
      <c r="Y264" s="111">
        <f>SUMIF(Audit[[#This Row],[Difference Loser]:[Difference Candidate 6]], "&gt;0")</f>
        <v>0</v>
      </c>
      <c r="Z264" s="111">
        <f>SUM(Audit[[#This Row],[Difference Loser]:[Difference Candidate 6]])</f>
        <v>0</v>
      </c>
      <c r="AA264" s="111">
        <f>IF(Audit[[#This Row],[Times p Drawn - With Replacement]]&gt;0, IF(Audit[[#This Row],[Canceled Differences]]&lt;0, Audit[[#This Row],[Max Differences]]+ABS(Audit[[#This Row],[Canceled Differences]]), Audit[[#This Row],[Max Differences]]), 0)</f>
        <v>0</v>
      </c>
      <c r="AB264" s="111">
        <f>'Sampling Data'!P254</f>
        <v>0</v>
      </c>
      <c r="AC264" s="111">
        <f>IF(
      SUM(Audit[[#This Row],[Audit Losing Candidate]:[Audit Candidate 6]])
      &lt;&gt;0,
      (Audit[[#This Row],[Winning Candidate]]-Audit[[#This Row],[Losing Candidate]]-(Audit[[#This Row],[Audit Winning Candidate]]-Audit[[#This Row],[Audit Losing Candidate]]))/(Audit[[#Totals],[Winning Candidate]]-Audit[[#Totals],[Losing Candidate]]),
      0
)</f>
        <v>0</v>
      </c>
      <c r="AD2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4" s="111">
        <f>IF(Audit[[#This Row],[Max Relative Error (ep)]] = 0, 0, Audit[[#This Row],[Max Relative Error (ep)]]/Audit[[#This Row],[Error Bound (up) - Max. possible relative overstatement]])</f>
        <v>0</v>
      </c>
      <c r="AJ2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64" s="111">
        <f t="shared" si="4"/>
        <v>1</v>
      </c>
      <c r="AL264" s="111">
        <f>PRODUCT($AK$5:AK264)</f>
        <v>8.962823818226312E-2</v>
      </c>
      <c r="AM264" s="109">
        <f>1 - [K-M P Value]</f>
        <v>0.91037176181773694</v>
      </c>
      <c r="AN264" s="111" t="str">
        <f>IF(Audit[[#This Row],[K-M P Value]]&gt;1-'General Info'!$B$16,"Continue", "Stop")</f>
        <v>Stop</v>
      </c>
      <c r="AO264" s="110" t="b">
        <f>IF(Audit[[#This Row],[Status - Continue or stop audit]] = "Continue", TRUE, IF(AN263 = "Continue", TRUE, FALSE))</f>
        <v>0</v>
      </c>
      <c r="AP264" s="110"/>
    </row>
    <row r="265" spans="1:42" ht="15" hidden="1" customHeight="1">
      <c r="A265" s="111" t="str">
        <f>'Sampling Data'!W255</f>
        <v/>
      </c>
      <c r="B265" s="112" t="str">
        <f>'Sampling Data'!A255</f>
        <v>CLEVELAND -01-I</v>
      </c>
      <c r="C265" s="112">
        <f>'Sampling Data'!B255</f>
        <v>0</v>
      </c>
      <c r="D265" s="112">
        <f>'Sampling Data'!C255</f>
        <v>0</v>
      </c>
      <c r="E265" s="113">
        <f>'Sampling Data'!D255</f>
        <v>1</v>
      </c>
      <c r="F265" s="113">
        <f>'Sampling Data'!E255</f>
        <v>0</v>
      </c>
      <c r="G265" s="113">
        <f>'Sampling Data'!F255</f>
        <v>0</v>
      </c>
      <c r="H265" s="113">
        <f>'Sampling Data'!G255</f>
        <v>0</v>
      </c>
      <c r="I265" s="112">
        <f>'Sampling Data'!H255</f>
        <v>0</v>
      </c>
      <c r="J265" s="112">
        <f>'Sampling Data'!I255</f>
        <v>1</v>
      </c>
      <c r="K265" s="112">
        <f>'Sampling Data'!J255</f>
        <v>2</v>
      </c>
      <c r="L265" s="111">
        <f>'Sampling Data'!X255</f>
        <v>0</v>
      </c>
      <c r="M265" s="114"/>
      <c r="N265" s="114"/>
      <c r="O265" s="115"/>
      <c r="P265" s="115"/>
      <c r="Q265" s="116"/>
      <c r="R265" s="116"/>
      <c r="S265" s="111">
        <f>Audit[[#This Row],[Audit Losing Candidate]]-Audit[[#This Row],[Losing Candidate]]</f>
        <v>0</v>
      </c>
      <c r="T265" s="111">
        <f>Audit[[#This Row],[Audit Winning Candidate]]-Audit[[#This Row],[Winning Candidate]]</f>
        <v>0</v>
      </c>
      <c r="U265" s="111">
        <f>Audit[[#This Row],[Audit Candidate 3]]-Audit[[#This Row],[Candidate 3]]</f>
        <v>-1</v>
      </c>
      <c r="V265" s="111">
        <f>Audit[[#This Row],[Audit Candidate 4]]-Audit[[#This Row],[Candidate 4]]</f>
        <v>0</v>
      </c>
      <c r="W265" s="111">
        <f>Audit[[#This Row],[Audit Candidate 5]]-Audit[[#This Row],[Candidate 5]]</f>
        <v>0</v>
      </c>
      <c r="X265" s="111">
        <f>Audit[[#This Row],[Audit Candidate 6]]-Audit[[#This Row],[Candidate 6]]</f>
        <v>0</v>
      </c>
      <c r="Y265" s="111">
        <f>SUMIF(Audit[[#This Row],[Difference Loser]:[Difference Candidate 6]], "&gt;0")</f>
        <v>0</v>
      </c>
      <c r="Z265" s="111">
        <f>SUM(Audit[[#This Row],[Difference Loser]:[Difference Candidate 6]])</f>
        <v>-1</v>
      </c>
      <c r="AA265" s="111">
        <f>IF(Audit[[#This Row],[Times p Drawn - With Replacement]]&gt;0, IF(Audit[[#This Row],[Canceled Differences]]&lt;0, Audit[[#This Row],[Max Differences]]+ABS(Audit[[#This Row],[Canceled Differences]]), Audit[[#This Row],[Max Differences]]), 0)</f>
        <v>0</v>
      </c>
      <c r="AB265" s="111">
        <f>'Sampling Data'!P255</f>
        <v>1.224889759921607E-4</v>
      </c>
      <c r="AC265" s="111">
        <f>IF(
      SUM(Audit[[#This Row],[Audit Losing Candidate]:[Audit Candidate 6]])
      &lt;&gt;0,
      (Audit[[#This Row],[Winning Candidate]]-Audit[[#This Row],[Losing Candidate]]-(Audit[[#This Row],[Audit Winning Candidate]]-Audit[[#This Row],[Audit Losing Candidate]]))/(Audit[[#Totals],[Winning Candidate]]-Audit[[#Totals],[Losing Candidate]]),
      0
)</f>
        <v>0</v>
      </c>
      <c r="AD2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5" s="111">
        <f>IF(Audit[[#This Row],[Max Relative Error (ep)]] = 0, 0, Audit[[#This Row],[Max Relative Error (ep)]]/Audit[[#This Row],[Error Bound (up) - Max. possible relative overstatement]])</f>
        <v>0</v>
      </c>
      <c r="AJ2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65" s="111">
        <f t="shared" si="4"/>
        <v>1</v>
      </c>
      <c r="AL265" s="111">
        <f>PRODUCT($AK$5:AK265)</f>
        <v>8.962823818226312E-2</v>
      </c>
      <c r="AM265" s="109">
        <f>1 - [K-M P Value]</f>
        <v>0.91037176181773694</v>
      </c>
      <c r="AN265" s="111" t="str">
        <f>IF(Audit[[#This Row],[K-M P Value]]&gt;1-'General Info'!$B$16,"Continue", "Stop")</f>
        <v>Stop</v>
      </c>
      <c r="AO265" s="110" t="b">
        <f>IF(Audit[[#This Row],[Status - Continue or stop audit]] = "Continue", TRUE, IF(AN264 = "Continue", TRUE, FALSE))</f>
        <v>0</v>
      </c>
      <c r="AP265" s="110"/>
    </row>
    <row r="266" spans="1:42" ht="15" hidden="1" customHeight="1">
      <c r="A266" s="111" t="str">
        <f>'Sampling Data'!W256</f>
        <v/>
      </c>
      <c r="B266" s="112" t="str">
        <f>'Sampling Data'!A256</f>
        <v>CLEVELAND -01-I - ABS</v>
      </c>
      <c r="C266" s="112">
        <f>'Sampling Data'!B256</f>
        <v>0</v>
      </c>
      <c r="D266" s="112">
        <f>'Sampling Data'!C256</f>
        <v>0</v>
      </c>
      <c r="E266" s="113">
        <f>'Sampling Data'!D256</f>
        <v>0</v>
      </c>
      <c r="F266" s="113">
        <f>'Sampling Data'!E256</f>
        <v>0</v>
      </c>
      <c r="G266" s="113">
        <f>'Sampling Data'!F256</f>
        <v>0</v>
      </c>
      <c r="H266" s="113">
        <f>'Sampling Data'!G256</f>
        <v>0</v>
      </c>
      <c r="I266" s="112">
        <f>'Sampling Data'!H256</f>
        <v>0</v>
      </c>
      <c r="J266" s="112">
        <f>'Sampling Data'!I256</f>
        <v>0</v>
      </c>
      <c r="K266" s="112">
        <f>'Sampling Data'!J256</f>
        <v>0</v>
      </c>
      <c r="L266" s="111">
        <f>'Sampling Data'!X256</f>
        <v>0</v>
      </c>
      <c r="M266" s="114"/>
      <c r="N266" s="114"/>
      <c r="O266" s="115"/>
      <c r="P266" s="115"/>
      <c r="Q266" s="116"/>
      <c r="R266" s="116"/>
      <c r="S266" s="111">
        <f>Audit[[#This Row],[Audit Losing Candidate]]-Audit[[#This Row],[Losing Candidate]]</f>
        <v>0</v>
      </c>
      <c r="T266" s="111">
        <f>Audit[[#This Row],[Audit Winning Candidate]]-Audit[[#This Row],[Winning Candidate]]</f>
        <v>0</v>
      </c>
      <c r="U266" s="111">
        <f>Audit[[#This Row],[Audit Candidate 3]]-Audit[[#This Row],[Candidate 3]]</f>
        <v>0</v>
      </c>
      <c r="V266" s="111">
        <f>Audit[[#This Row],[Audit Candidate 4]]-Audit[[#This Row],[Candidate 4]]</f>
        <v>0</v>
      </c>
      <c r="W266" s="111">
        <f>Audit[[#This Row],[Audit Candidate 5]]-Audit[[#This Row],[Candidate 5]]</f>
        <v>0</v>
      </c>
      <c r="X266" s="111">
        <f>Audit[[#This Row],[Audit Candidate 6]]-Audit[[#This Row],[Candidate 6]]</f>
        <v>0</v>
      </c>
      <c r="Y266" s="111">
        <f>SUMIF(Audit[[#This Row],[Difference Loser]:[Difference Candidate 6]], "&gt;0")</f>
        <v>0</v>
      </c>
      <c r="Z266" s="111">
        <f>SUM(Audit[[#This Row],[Difference Loser]:[Difference Candidate 6]])</f>
        <v>0</v>
      </c>
      <c r="AA266" s="111">
        <f>IF(Audit[[#This Row],[Times p Drawn - With Replacement]]&gt;0, IF(Audit[[#This Row],[Canceled Differences]]&lt;0, Audit[[#This Row],[Max Differences]]+ABS(Audit[[#This Row],[Canceled Differences]]), Audit[[#This Row],[Max Differences]]), 0)</f>
        <v>0</v>
      </c>
      <c r="AB266" s="111">
        <f>'Sampling Data'!P256</f>
        <v>0</v>
      </c>
      <c r="AC266" s="111">
        <f>IF(
      SUM(Audit[[#This Row],[Audit Losing Candidate]:[Audit Candidate 6]])
      &lt;&gt;0,
      (Audit[[#This Row],[Winning Candidate]]-Audit[[#This Row],[Losing Candidate]]-(Audit[[#This Row],[Audit Winning Candidate]]-Audit[[#This Row],[Audit Losing Candidate]]))/(Audit[[#Totals],[Winning Candidate]]-Audit[[#Totals],[Losing Candidate]]),
      0
)</f>
        <v>0</v>
      </c>
      <c r="AD2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6" s="111">
        <f>IF(Audit[[#This Row],[Max Relative Error (ep)]] = 0, 0, Audit[[#This Row],[Max Relative Error (ep)]]/Audit[[#This Row],[Error Bound (up) - Max. possible relative overstatement]])</f>
        <v>0</v>
      </c>
      <c r="AJ2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66" s="111">
        <f t="shared" si="4"/>
        <v>1</v>
      </c>
      <c r="AL266" s="111">
        <f>PRODUCT($AK$5:AK266)</f>
        <v>8.962823818226312E-2</v>
      </c>
      <c r="AM266" s="109">
        <f>1 - [K-M P Value]</f>
        <v>0.91037176181773694</v>
      </c>
      <c r="AN266" s="111" t="str">
        <f>IF(Audit[[#This Row],[K-M P Value]]&gt;1-'General Info'!$B$16,"Continue", "Stop")</f>
        <v>Stop</v>
      </c>
      <c r="AO266" s="110" t="b">
        <f>IF(Audit[[#This Row],[Status - Continue or stop audit]] = "Continue", TRUE, IF(AN265 = "Continue", TRUE, FALSE))</f>
        <v>0</v>
      </c>
      <c r="AP266" s="110"/>
    </row>
    <row r="267" spans="1:42" ht="15" hidden="1" customHeight="1">
      <c r="A267" s="111" t="str">
        <f>'Sampling Data'!W257</f>
        <v/>
      </c>
      <c r="B267" s="112" t="str">
        <f>'Sampling Data'!A257</f>
        <v>CLEVELAND -01-J</v>
      </c>
      <c r="C267" s="112">
        <f>'Sampling Data'!B257</f>
        <v>0</v>
      </c>
      <c r="D267" s="112">
        <f>'Sampling Data'!C257</f>
        <v>1</v>
      </c>
      <c r="E267" s="113">
        <f>'Sampling Data'!D257</f>
        <v>1</v>
      </c>
      <c r="F267" s="113">
        <f>'Sampling Data'!E257</f>
        <v>0</v>
      </c>
      <c r="G267" s="113">
        <f>'Sampling Data'!F257</f>
        <v>0</v>
      </c>
      <c r="H267" s="113">
        <f>'Sampling Data'!G257</f>
        <v>0</v>
      </c>
      <c r="I267" s="112">
        <f>'Sampling Data'!H257</f>
        <v>0</v>
      </c>
      <c r="J267" s="112">
        <f>'Sampling Data'!I257</f>
        <v>0</v>
      </c>
      <c r="K267" s="112">
        <f>'Sampling Data'!J257</f>
        <v>2</v>
      </c>
      <c r="L267" s="111">
        <f>'Sampling Data'!X257</f>
        <v>0</v>
      </c>
      <c r="M267" s="114"/>
      <c r="N267" s="114"/>
      <c r="O267" s="115"/>
      <c r="P267" s="115"/>
      <c r="Q267" s="116"/>
      <c r="R267" s="116"/>
      <c r="S267" s="111">
        <f>Audit[[#This Row],[Audit Losing Candidate]]-Audit[[#This Row],[Losing Candidate]]</f>
        <v>0</v>
      </c>
      <c r="T267" s="111">
        <f>Audit[[#This Row],[Audit Winning Candidate]]-Audit[[#This Row],[Winning Candidate]]</f>
        <v>-1</v>
      </c>
      <c r="U267" s="111">
        <f>Audit[[#This Row],[Audit Candidate 3]]-Audit[[#This Row],[Candidate 3]]</f>
        <v>-1</v>
      </c>
      <c r="V267" s="111">
        <f>Audit[[#This Row],[Audit Candidate 4]]-Audit[[#This Row],[Candidate 4]]</f>
        <v>0</v>
      </c>
      <c r="W267" s="111">
        <f>Audit[[#This Row],[Audit Candidate 5]]-Audit[[#This Row],[Candidate 5]]</f>
        <v>0</v>
      </c>
      <c r="X267" s="111">
        <f>Audit[[#This Row],[Audit Candidate 6]]-Audit[[#This Row],[Candidate 6]]</f>
        <v>0</v>
      </c>
      <c r="Y267" s="111">
        <f>SUMIF(Audit[[#This Row],[Difference Loser]:[Difference Candidate 6]], "&gt;0")</f>
        <v>0</v>
      </c>
      <c r="Z267" s="111">
        <f>SUM(Audit[[#This Row],[Difference Loser]:[Difference Candidate 6]])</f>
        <v>-2</v>
      </c>
      <c r="AA267" s="111">
        <f>IF(Audit[[#This Row],[Times p Drawn - With Replacement]]&gt;0, IF(Audit[[#This Row],[Canceled Differences]]&lt;0, Audit[[#This Row],[Max Differences]]+ABS(Audit[[#This Row],[Canceled Differences]]), Audit[[#This Row],[Max Differences]]), 0)</f>
        <v>0</v>
      </c>
      <c r="AB267" s="111">
        <f>'Sampling Data'!P257</f>
        <v>1.8373346398824106E-4</v>
      </c>
      <c r="AC267" s="111">
        <f>IF(
      SUM(Audit[[#This Row],[Audit Losing Candidate]:[Audit Candidate 6]])
      &lt;&gt;0,
      (Audit[[#This Row],[Winning Candidate]]-Audit[[#This Row],[Losing Candidate]]-(Audit[[#This Row],[Audit Winning Candidate]]-Audit[[#This Row],[Audit Losing Candidate]]))/(Audit[[#Totals],[Winning Candidate]]-Audit[[#Totals],[Losing Candidate]]),
      0
)</f>
        <v>0</v>
      </c>
      <c r="AD2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7" s="111">
        <f>IF(Audit[[#This Row],[Max Relative Error (ep)]] = 0, 0, Audit[[#This Row],[Max Relative Error (ep)]]/Audit[[#This Row],[Error Bound (up) - Max. possible relative overstatement]])</f>
        <v>0</v>
      </c>
      <c r="AJ2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67" s="111">
        <f t="shared" si="4"/>
        <v>1</v>
      </c>
      <c r="AL267" s="111">
        <f>PRODUCT($AK$5:AK267)</f>
        <v>8.962823818226312E-2</v>
      </c>
      <c r="AM267" s="109">
        <f>1 - [K-M P Value]</f>
        <v>0.91037176181773694</v>
      </c>
      <c r="AN267" s="111" t="str">
        <f>IF(Audit[[#This Row],[K-M P Value]]&gt;1-'General Info'!$B$16,"Continue", "Stop")</f>
        <v>Stop</v>
      </c>
      <c r="AO267" s="110" t="b">
        <f>IF(Audit[[#This Row],[Status - Continue or stop audit]] = "Continue", TRUE, IF(AN266 = "Continue", TRUE, FALSE))</f>
        <v>0</v>
      </c>
      <c r="AP267" s="110"/>
    </row>
    <row r="268" spans="1:42" ht="15" hidden="1" customHeight="1">
      <c r="A268" s="111" t="str">
        <f>'Sampling Data'!W258</f>
        <v/>
      </c>
      <c r="B268" s="112" t="str">
        <f>'Sampling Data'!A258</f>
        <v>CLEVELAND -01-J - ABS</v>
      </c>
      <c r="C268" s="112">
        <f>'Sampling Data'!B258</f>
        <v>0</v>
      </c>
      <c r="D268" s="112">
        <f>'Sampling Data'!C258</f>
        <v>0</v>
      </c>
      <c r="E268" s="113">
        <f>'Sampling Data'!D258</f>
        <v>0</v>
      </c>
      <c r="F268" s="113">
        <f>'Sampling Data'!E258</f>
        <v>0</v>
      </c>
      <c r="G268" s="113">
        <f>'Sampling Data'!F258</f>
        <v>1</v>
      </c>
      <c r="H268" s="113">
        <f>'Sampling Data'!G258</f>
        <v>0</v>
      </c>
      <c r="I268" s="112">
        <f>'Sampling Data'!H258</f>
        <v>0</v>
      </c>
      <c r="J268" s="112">
        <f>'Sampling Data'!I258</f>
        <v>0</v>
      </c>
      <c r="K268" s="112">
        <f>'Sampling Data'!J258</f>
        <v>1</v>
      </c>
      <c r="L268" s="111">
        <f>'Sampling Data'!X258</f>
        <v>0</v>
      </c>
      <c r="M268" s="114"/>
      <c r="N268" s="114"/>
      <c r="O268" s="115"/>
      <c r="P268" s="115"/>
      <c r="Q268" s="116"/>
      <c r="R268" s="116"/>
      <c r="S268" s="111">
        <f>Audit[[#This Row],[Audit Losing Candidate]]-Audit[[#This Row],[Losing Candidate]]</f>
        <v>0</v>
      </c>
      <c r="T268" s="111">
        <f>Audit[[#This Row],[Audit Winning Candidate]]-Audit[[#This Row],[Winning Candidate]]</f>
        <v>0</v>
      </c>
      <c r="U268" s="111">
        <f>Audit[[#This Row],[Audit Candidate 3]]-Audit[[#This Row],[Candidate 3]]</f>
        <v>0</v>
      </c>
      <c r="V268" s="111">
        <f>Audit[[#This Row],[Audit Candidate 4]]-Audit[[#This Row],[Candidate 4]]</f>
        <v>0</v>
      </c>
      <c r="W268" s="111">
        <f>Audit[[#This Row],[Audit Candidate 5]]-Audit[[#This Row],[Candidate 5]]</f>
        <v>-1</v>
      </c>
      <c r="X268" s="111">
        <f>Audit[[#This Row],[Audit Candidate 6]]-Audit[[#This Row],[Candidate 6]]</f>
        <v>0</v>
      </c>
      <c r="Y268" s="111">
        <f>SUMIF(Audit[[#This Row],[Difference Loser]:[Difference Candidate 6]], "&gt;0")</f>
        <v>0</v>
      </c>
      <c r="Z268" s="111">
        <f>SUM(Audit[[#This Row],[Difference Loser]:[Difference Candidate 6]])</f>
        <v>-1</v>
      </c>
      <c r="AA268" s="111">
        <f>IF(Audit[[#This Row],[Times p Drawn - With Replacement]]&gt;0, IF(Audit[[#This Row],[Canceled Differences]]&lt;0, Audit[[#This Row],[Max Differences]]+ABS(Audit[[#This Row],[Canceled Differences]]), Audit[[#This Row],[Max Differences]]), 0)</f>
        <v>0</v>
      </c>
      <c r="AB268" s="111">
        <f>'Sampling Data'!P258</f>
        <v>6.1244487996080352E-5</v>
      </c>
      <c r="AC268" s="111">
        <f>IF(
      SUM(Audit[[#This Row],[Audit Losing Candidate]:[Audit Candidate 6]])
      &lt;&gt;0,
      (Audit[[#This Row],[Winning Candidate]]-Audit[[#This Row],[Losing Candidate]]-(Audit[[#This Row],[Audit Winning Candidate]]-Audit[[#This Row],[Audit Losing Candidate]]))/(Audit[[#Totals],[Winning Candidate]]-Audit[[#Totals],[Losing Candidate]]),
      0
)</f>
        <v>0</v>
      </c>
      <c r="AD2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8" s="111">
        <f>IF(Audit[[#This Row],[Max Relative Error (ep)]] = 0, 0, Audit[[#This Row],[Max Relative Error (ep)]]/Audit[[#This Row],[Error Bound (up) - Max. possible relative overstatement]])</f>
        <v>0</v>
      </c>
      <c r="AJ2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68" s="111">
        <f t="shared" si="4"/>
        <v>1</v>
      </c>
      <c r="AL268" s="111">
        <f>PRODUCT($AK$5:AK268)</f>
        <v>8.962823818226312E-2</v>
      </c>
      <c r="AM268" s="109">
        <f>1 - [K-M P Value]</f>
        <v>0.91037176181773694</v>
      </c>
      <c r="AN268" s="111" t="str">
        <f>IF(Audit[[#This Row],[K-M P Value]]&gt;1-'General Info'!$B$16,"Continue", "Stop")</f>
        <v>Stop</v>
      </c>
      <c r="AO268" s="110" t="b">
        <f>IF(Audit[[#This Row],[Status - Continue or stop audit]] = "Continue", TRUE, IF(AN267 = "Continue", TRUE, FALSE))</f>
        <v>0</v>
      </c>
      <c r="AP268" s="110"/>
    </row>
    <row r="269" spans="1:42" ht="15" hidden="1" customHeight="1">
      <c r="A269" s="111" t="str">
        <f>'Sampling Data'!W259</f>
        <v/>
      </c>
      <c r="B269" s="112" t="str">
        <f>'Sampling Data'!A259</f>
        <v>CLEVELAND -01-K</v>
      </c>
      <c r="C269" s="112">
        <f>'Sampling Data'!B259</f>
        <v>0</v>
      </c>
      <c r="D269" s="112">
        <f>'Sampling Data'!C259</f>
        <v>0</v>
      </c>
      <c r="E269" s="113">
        <f>'Sampling Data'!D259</f>
        <v>0</v>
      </c>
      <c r="F269" s="113">
        <f>'Sampling Data'!E259</f>
        <v>0</v>
      </c>
      <c r="G269" s="113">
        <f>'Sampling Data'!F259</f>
        <v>0</v>
      </c>
      <c r="H269" s="113">
        <f>'Sampling Data'!G259</f>
        <v>0</v>
      </c>
      <c r="I269" s="112">
        <f>'Sampling Data'!H259</f>
        <v>0</v>
      </c>
      <c r="J269" s="112">
        <f>'Sampling Data'!I259</f>
        <v>0</v>
      </c>
      <c r="K269" s="112">
        <f>'Sampling Data'!J259</f>
        <v>0</v>
      </c>
      <c r="L269" s="111">
        <f>'Sampling Data'!X259</f>
        <v>0</v>
      </c>
      <c r="M269" s="114"/>
      <c r="N269" s="114"/>
      <c r="O269" s="115"/>
      <c r="P269" s="115"/>
      <c r="Q269" s="116"/>
      <c r="R269" s="116"/>
      <c r="S269" s="111">
        <f>Audit[[#This Row],[Audit Losing Candidate]]-Audit[[#This Row],[Losing Candidate]]</f>
        <v>0</v>
      </c>
      <c r="T269" s="111">
        <f>Audit[[#This Row],[Audit Winning Candidate]]-Audit[[#This Row],[Winning Candidate]]</f>
        <v>0</v>
      </c>
      <c r="U269" s="111">
        <f>Audit[[#This Row],[Audit Candidate 3]]-Audit[[#This Row],[Candidate 3]]</f>
        <v>0</v>
      </c>
      <c r="V269" s="111">
        <f>Audit[[#This Row],[Audit Candidate 4]]-Audit[[#This Row],[Candidate 4]]</f>
        <v>0</v>
      </c>
      <c r="W269" s="111">
        <f>Audit[[#This Row],[Audit Candidate 5]]-Audit[[#This Row],[Candidate 5]]</f>
        <v>0</v>
      </c>
      <c r="X269" s="111">
        <f>Audit[[#This Row],[Audit Candidate 6]]-Audit[[#This Row],[Candidate 6]]</f>
        <v>0</v>
      </c>
      <c r="Y269" s="111">
        <f>SUMIF(Audit[[#This Row],[Difference Loser]:[Difference Candidate 6]], "&gt;0")</f>
        <v>0</v>
      </c>
      <c r="Z269" s="111">
        <f>SUM(Audit[[#This Row],[Difference Loser]:[Difference Candidate 6]])</f>
        <v>0</v>
      </c>
      <c r="AA269" s="111">
        <f>IF(Audit[[#This Row],[Times p Drawn - With Replacement]]&gt;0, IF(Audit[[#This Row],[Canceled Differences]]&lt;0, Audit[[#This Row],[Max Differences]]+ABS(Audit[[#This Row],[Canceled Differences]]), Audit[[#This Row],[Max Differences]]), 0)</f>
        <v>0</v>
      </c>
      <c r="AB269" s="111">
        <f>'Sampling Data'!P259</f>
        <v>0</v>
      </c>
      <c r="AC269" s="111">
        <f>IF(
      SUM(Audit[[#This Row],[Audit Losing Candidate]:[Audit Candidate 6]])
      &lt;&gt;0,
      (Audit[[#This Row],[Winning Candidate]]-Audit[[#This Row],[Losing Candidate]]-(Audit[[#This Row],[Audit Winning Candidate]]-Audit[[#This Row],[Audit Losing Candidate]]))/(Audit[[#Totals],[Winning Candidate]]-Audit[[#Totals],[Losing Candidate]]),
      0
)</f>
        <v>0</v>
      </c>
      <c r="AD2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9" s="111">
        <f>IF(Audit[[#This Row],[Max Relative Error (ep)]] = 0, 0, Audit[[#This Row],[Max Relative Error (ep)]]/Audit[[#This Row],[Error Bound (up) - Max. possible relative overstatement]])</f>
        <v>0</v>
      </c>
      <c r="AJ2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69" s="111">
        <f t="shared" si="4"/>
        <v>1</v>
      </c>
      <c r="AL269" s="111">
        <f>PRODUCT($AK$5:AK269)</f>
        <v>8.962823818226312E-2</v>
      </c>
      <c r="AM269" s="109">
        <f>1 - [K-M P Value]</f>
        <v>0.91037176181773694</v>
      </c>
      <c r="AN269" s="111" t="str">
        <f>IF(Audit[[#This Row],[K-M P Value]]&gt;1-'General Info'!$B$16,"Continue", "Stop")</f>
        <v>Stop</v>
      </c>
      <c r="AO269" s="110" t="b">
        <f>IF(Audit[[#This Row],[Status - Continue or stop audit]] = "Continue", TRUE, IF(AN268 = "Continue", TRUE, FALSE))</f>
        <v>0</v>
      </c>
      <c r="AP269" s="110"/>
    </row>
    <row r="270" spans="1:42" ht="15" hidden="1" customHeight="1">
      <c r="A270" s="111" t="str">
        <f>'Sampling Data'!W260</f>
        <v/>
      </c>
      <c r="B270" s="112" t="str">
        <f>'Sampling Data'!A260</f>
        <v>CLEVELAND -01-K - ABS</v>
      </c>
      <c r="C270" s="112">
        <f>'Sampling Data'!B260</f>
        <v>0</v>
      </c>
      <c r="D270" s="112">
        <f>'Sampling Data'!C260</f>
        <v>0</v>
      </c>
      <c r="E270" s="113">
        <f>'Sampling Data'!D260</f>
        <v>0</v>
      </c>
      <c r="F270" s="113">
        <f>'Sampling Data'!E260</f>
        <v>0</v>
      </c>
      <c r="G270" s="113">
        <f>'Sampling Data'!F260</f>
        <v>0</v>
      </c>
      <c r="H270" s="113">
        <f>'Sampling Data'!G260</f>
        <v>0</v>
      </c>
      <c r="I270" s="112">
        <f>'Sampling Data'!H260</f>
        <v>0</v>
      </c>
      <c r="J270" s="112">
        <f>'Sampling Data'!I260</f>
        <v>0</v>
      </c>
      <c r="K270" s="112">
        <f>'Sampling Data'!J260</f>
        <v>0</v>
      </c>
      <c r="L270" s="111">
        <f>'Sampling Data'!X260</f>
        <v>0</v>
      </c>
      <c r="M270" s="114"/>
      <c r="N270" s="114"/>
      <c r="O270" s="115"/>
      <c r="P270" s="115"/>
      <c r="Q270" s="116"/>
      <c r="R270" s="116"/>
      <c r="S270" s="111">
        <f>Audit[[#This Row],[Audit Losing Candidate]]-Audit[[#This Row],[Losing Candidate]]</f>
        <v>0</v>
      </c>
      <c r="T270" s="111">
        <f>Audit[[#This Row],[Audit Winning Candidate]]-Audit[[#This Row],[Winning Candidate]]</f>
        <v>0</v>
      </c>
      <c r="U270" s="111">
        <f>Audit[[#This Row],[Audit Candidate 3]]-Audit[[#This Row],[Candidate 3]]</f>
        <v>0</v>
      </c>
      <c r="V270" s="111">
        <f>Audit[[#This Row],[Audit Candidate 4]]-Audit[[#This Row],[Candidate 4]]</f>
        <v>0</v>
      </c>
      <c r="W270" s="111">
        <f>Audit[[#This Row],[Audit Candidate 5]]-Audit[[#This Row],[Candidate 5]]</f>
        <v>0</v>
      </c>
      <c r="X270" s="111">
        <f>Audit[[#This Row],[Audit Candidate 6]]-Audit[[#This Row],[Candidate 6]]</f>
        <v>0</v>
      </c>
      <c r="Y270" s="111">
        <f>SUMIF(Audit[[#This Row],[Difference Loser]:[Difference Candidate 6]], "&gt;0")</f>
        <v>0</v>
      </c>
      <c r="Z270" s="111">
        <f>SUM(Audit[[#This Row],[Difference Loser]:[Difference Candidate 6]])</f>
        <v>0</v>
      </c>
      <c r="AA270" s="111">
        <f>IF(Audit[[#This Row],[Times p Drawn - With Replacement]]&gt;0, IF(Audit[[#This Row],[Canceled Differences]]&lt;0, Audit[[#This Row],[Max Differences]]+ABS(Audit[[#This Row],[Canceled Differences]]), Audit[[#This Row],[Max Differences]]), 0)</f>
        <v>0</v>
      </c>
      <c r="AB270" s="111">
        <f>'Sampling Data'!P260</f>
        <v>0</v>
      </c>
      <c r="AC270" s="111">
        <f>IF(
      SUM(Audit[[#This Row],[Audit Losing Candidate]:[Audit Candidate 6]])
      &lt;&gt;0,
      (Audit[[#This Row],[Winning Candidate]]-Audit[[#This Row],[Losing Candidate]]-(Audit[[#This Row],[Audit Winning Candidate]]-Audit[[#This Row],[Audit Losing Candidate]]))/(Audit[[#Totals],[Winning Candidate]]-Audit[[#Totals],[Losing Candidate]]),
      0
)</f>
        <v>0</v>
      </c>
      <c r="AD2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0" s="111">
        <f>IF(Audit[[#This Row],[Max Relative Error (ep)]] = 0, 0, Audit[[#This Row],[Max Relative Error (ep)]]/Audit[[#This Row],[Error Bound (up) - Max. possible relative overstatement]])</f>
        <v>0</v>
      </c>
      <c r="AJ2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70" s="111">
        <f t="shared" si="4"/>
        <v>1</v>
      </c>
      <c r="AL270" s="111">
        <f>PRODUCT($AK$5:AK270)</f>
        <v>8.962823818226312E-2</v>
      </c>
      <c r="AM270" s="109">
        <f>1 - [K-M P Value]</f>
        <v>0.91037176181773694</v>
      </c>
      <c r="AN270" s="111" t="str">
        <f>IF(Audit[[#This Row],[K-M P Value]]&gt;1-'General Info'!$B$16,"Continue", "Stop")</f>
        <v>Stop</v>
      </c>
      <c r="AO270" s="110" t="b">
        <f>IF(Audit[[#This Row],[Status - Continue or stop audit]] = "Continue", TRUE, IF(AN269 = "Continue", TRUE, FALSE))</f>
        <v>0</v>
      </c>
      <c r="AP270" s="110"/>
    </row>
    <row r="271" spans="1:42" ht="15" hidden="1" customHeight="1">
      <c r="A271" s="111" t="str">
        <f>'Sampling Data'!W261</f>
        <v/>
      </c>
      <c r="B271" s="112" t="str">
        <f>'Sampling Data'!A261</f>
        <v>CLEVELAND -01-L</v>
      </c>
      <c r="C271" s="112">
        <f>'Sampling Data'!B261</f>
        <v>0</v>
      </c>
      <c r="D271" s="112">
        <f>'Sampling Data'!C261</f>
        <v>0</v>
      </c>
      <c r="E271" s="113">
        <f>'Sampling Data'!D261</f>
        <v>1</v>
      </c>
      <c r="F271" s="113">
        <f>'Sampling Data'!E261</f>
        <v>1</v>
      </c>
      <c r="G271" s="113">
        <f>'Sampling Data'!F261</f>
        <v>0</v>
      </c>
      <c r="H271" s="113">
        <f>'Sampling Data'!G261</f>
        <v>0</v>
      </c>
      <c r="I271" s="112">
        <f>'Sampling Data'!H261</f>
        <v>0</v>
      </c>
      <c r="J271" s="112">
        <f>'Sampling Data'!I261</f>
        <v>0</v>
      </c>
      <c r="K271" s="112">
        <f>'Sampling Data'!J261</f>
        <v>2</v>
      </c>
      <c r="L271" s="111">
        <f>'Sampling Data'!X261</f>
        <v>0</v>
      </c>
      <c r="M271" s="114"/>
      <c r="N271" s="114"/>
      <c r="O271" s="115"/>
      <c r="P271" s="115"/>
      <c r="Q271" s="116"/>
      <c r="R271" s="116"/>
      <c r="S271" s="111">
        <f>Audit[[#This Row],[Audit Losing Candidate]]-Audit[[#This Row],[Losing Candidate]]</f>
        <v>0</v>
      </c>
      <c r="T271" s="111">
        <f>Audit[[#This Row],[Audit Winning Candidate]]-Audit[[#This Row],[Winning Candidate]]</f>
        <v>0</v>
      </c>
      <c r="U271" s="111">
        <f>Audit[[#This Row],[Audit Candidate 3]]-Audit[[#This Row],[Candidate 3]]</f>
        <v>-1</v>
      </c>
      <c r="V271" s="111">
        <f>Audit[[#This Row],[Audit Candidate 4]]-Audit[[#This Row],[Candidate 4]]</f>
        <v>-1</v>
      </c>
      <c r="W271" s="111">
        <f>Audit[[#This Row],[Audit Candidate 5]]-Audit[[#This Row],[Candidate 5]]</f>
        <v>0</v>
      </c>
      <c r="X271" s="111">
        <f>Audit[[#This Row],[Audit Candidate 6]]-Audit[[#This Row],[Candidate 6]]</f>
        <v>0</v>
      </c>
      <c r="Y271" s="111">
        <f>SUMIF(Audit[[#This Row],[Difference Loser]:[Difference Candidate 6]], "&gt;0")</f>
        <v>0</v>
      </c>
      <c r="Z271" s="111">
        <f>SUM(Audit[[#This Row],[Difference Loser]:[Difference Candidate 6]])</f>
        <v>-2</v>
      </c>
      <c r="AA271" s="111">
        <f>IF(Audit[[#This Row],[Times p Drawn - With Replacement]]&gt;0, IF(Audit[[#This Row],[Canceled Differences]]&lt;0, Audit[[#This Row],[Max Differences]]+ABS(Audit[[#This Row],[Canceled Differences]]), Audit[[#This Row],[Max Differences]]), 0)</f>
        <v>0</v>
      </c>
      <c r="AB271" s="111">
        <f>'Sampling Data'!P261</f>
        <v>1.224889759921607E-4</v>
      </c>
      <c r="AC271" s="111">
        <f>IF(
      SUM(Audit[[#This Row],[Audit Losing Candidate]:[Audit Candidate 6]])
      &lt;&gt;0,
      (Audit[[#This Row],[Winning Candidate]]-Audit[[#This Row],[Losing Candidate]]-(Audit[[#This Row],[Audit Winning Candidate]]-Audit[[#This Row],[Audit Losing Candidate]]))/(Audit[[#Totals],[Winning Candidate]]-Audit[[#Totals],[Losing Candidate]]),
      0
)</f>
        <v>0</v>
      </c>
      <c r="AD2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1" s="111">
        <f>IF(Audit[[#This Row],[Max Relative Error (ep)]] = 0, 0, Audit[[#This Row],[Max Relative Error (ep)]]/Audit[[#This Row],[Error Bound (up) - Max. possible relative overstatement]])</f>
        <v>0</v>
      </c>
      <c r="AJ2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71" s="111">
        <f t="shared" si="4"/>
        <v>1</v>
      </c>
      <c r="AL271" s="111">
        <f>PRODUCT($AK$5:AK271)</f>
        <v>8.962823818226312E-2</v>
      </c>
      <c r="AM271" s="109">
        <f>1 - [K-M P Value]</f>
        <v>0.91037176181773694</v>
      </c>
      <c r="AN271" s="111" t="str">
        <f>IF(Audit[[#This Row],[K-M P Value]]&gt;1-'General Info'!$B$16,"Continue", "Stop")</f>
        <v>Stop</v>
      </c>
      <c r="AO271" s="110" t="b">
        <f>IF(Audit[[#This Row],[Status - Continue or stop audit]] = "Continue", TRUE, IF(AN270 = "Continue", TRUE, FALSE))</f>
        <v>0</v>
      </c>
      <c r="AP271" s="110"/>
    </row>
    <row r="272" spans="1:42" ht="15" hidden="1" customHeight="1">
      <c r="A272" s="111" t="str">
        <f>'Sampling Data'!W262</f>
        <v/>
      </c>
      <c r="B272" s="112" t="str">
        <f>'Sampling Data'!A262</f>
        <v>CLEVELAND -01-L - ABS</v>
      </c>
      <c r="C272" s="112">
        <f>'Sampling Data'!B262</f>
        <v>1</v>
      </c>
      <c r="D272" s="112">
        <f>'Sampling Data'!C262</f>
        <v>0</v>
      </c>
      <c r="E272" s="113">
        <f>'Sampling Data'!D262</f>
        <v>0</v>
      </c>
      <c r="F272" s="113">
        <f>'Sampling Data'!E262</f>
        <v>0</v>
      </c>
      <c r="G272" s="113">
        <f>'Sampling Data'!F262</f>
        <v>0</v>
      </c>
      <c r="H272" s="113">
        <f>'Sampling Data'!G262</f>
        <v>0</v>
      </c>
      <c r="I272" s="112">
        <f>'Sampling Data'!H262</f>
        <v>0</v>
      </c>
      <c r="J272" s="112">
        <f>'Sampling Data'!I262</f>
        <v>0</v>
      </c>
      <c r="K272" s="112">
        <f>'Sampling Data'!J262</f>
        <v>1</v>
      </c>
      <c r="L272" s="111">
        <f>'Sampling Data'!X262</f>
        <v>0</v>
      </c>
      <c r="M272" s="114"/>
      <c r="N272" s="114"/>
      <c r="O272" s="115"/>
      <c r="P272" s="115"/>
      <c r="Q272" s="116"/>
      <c r="R272" s="116"/>
      <c r="S272" s="111">
        <f>Audit[[#This Row],[Audit Losing Candidate]]-Audit[[#This Row],[Losing Candidate]]</f>
        <v>-1</v>
      </c>
      <c r="T272" s="111">
        <f>Audit[[#This Row],[Audit Winning Candidate]]-Audit[[#This Row],[Winning Candidate]]</f>
        <v>0</v>
      </c>
      <c r="U272" s="111">
        <f>Audit[[#This Row],[Audit Candidate 3]]-Audit[[#This Row],[Candidate 3]]</f>
        <v>0</v>
      </c>
      <c r="V272" s="111">
        <f>Audit[[#This Row],[Audit Candidate 4]]-Audit[[#This Row],[Candidate 4]]</f>
        <v>0</v>
      </c>
      <c r="W272" s="111">
        <f>Audit[[#This Row],[Audit Candidate 5]]-Audit[[#This Row],[Candidate 5]]</f>
        <v>0</v>
      </c>
      <c r="X272" s="111">
        <f>Audit[[#This Row],[Audit Candidate 6]]-Audit[[#This Row],[Candidate 6]]</f>
        <v>0</v>
      </c>
      <c r="Y272" s="111">
        <f>SUMIF(Audit[[#This Row],[Difference Loser]:[Difference Candidate 6]], "&gt;0")</f>
        <v>0</v>
      </c>
      <c r="Z272" s="111">
        <f>SUM(Audit[[#This Row],[Difference Loser]:[Difference Candidate 6]])</f>
        <v>-1</v>
      </c>
      <c r="AA272" s="111">
        <f>IF(Audit[[#This Row],[Times p Drawn - With Replacement]]&gt;0, IF(Audit[[#This Row],[Canceled Differences]]&lt;0, Audit[[#This Row],[Max Differences]]+ABS(Audit[[#This Row],[Canceled Differences]]), Audit[[#This Row],[Max Differences]]), 0)</f>
        <v>0</v>
      </c>
      <c r="AB272" s="111">
        <f>'Sampling Data'!P262</f>
        <v>3.2261186566441917E-5</v>
      </c>
      <c r="AC272" s="111">
        <f>IF(
      SUM(Audit[[#This Row],[Audit Losing Candidate]:[Audit Candidate 6]])
      &lt;&gt;0,
      (Audit[[#This Row],[Winning Candidate]]-Audit[[#This Row],[Losing Candidate]]-(Audit[[#This Row],[Audit Winning Candidate]]-Audit[[#This Row],[Audit Losing Candidate]]))/(Audit[[#Totals],[Winning Candidate]]-Audit[[#Totals],[Losing Candidate]]),
      0
)</f>
        <v>0</v>
      </c>
      <c r="AD2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2" s="111">
        <f>IF(Audit[[#This Row],[Max Relative Error (ep)]] = 0, 0, Audit[[#This Row],[Max Relative Error (ep)]]/Audit[[#This Row],[Error Bound (up) - Max. possible relative overstatement]])</f>
        <v>0</v>
      </c>
      <c r="AJ2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72" s="111">
        <f t="shared" si="4"/>
        <v>1</v>
      </c>
      <c r="AL272" s="111">
        <f>PRODUCT($AK$5:AK272)</f>
        <v>8.962823818226312E-2</v>
      </c>
      <c r="AM272" s="109">
        <f>1 - [K-M P Value]</f>
        <v>0.91037176181773694</v>
      </c>
      <c r="AN272" s="111" t="str">
        <f>IF(Audit[[#This Row],[K-M P Value]]&gt;1-'General Info'!$B$16,"Continue", "Stop")</f>
        <v>Stop</v>
      </c>
      <c r="AO272" s="110" t="b">
        <f>IF(Audit[[#This Row],[Status - Continue or stop audit]] = "Continue", TRUE, IF(AN271 = "Continue", TRUE, FALSE))</f>
        <v>0</v>
      </c>
      <c r="AP272" s="110"/>
    </row>
    <row r="273" spans="1:42" ht="15" hidden="1" customHeight="1">
      <c r="A273" s="111" t="str">
        <f>'Sampling Data'!W263</f>
        <v/>
      </c>
      <c r="B273" s="112" t="str">
        <f>'Sampling Data'!A263</f>
        <v>CLEVELAND -01-M</v>
      </c>
      <c r="C273" s="112">
        <f>'Sampling Data'!B263</f>
        <v>0</v>
      </c>
      <c r="D273" s="112">
        <f>'Sampling Data'!C263</f>
        <v>0</v>
      </c>
      <c r="E273" s="113">
        <f>'Sampling Data'!D263</f>
        <v>1</v>
      </c>
      <c r="F273" s="113">
        <f>'Sampling Data'!E263</f>
        <v>0</v>
      </c>
      <c r="G273" s="113">
        <f>'Sampling Data'!F263</f>
        <v>0</v>
      </c>
      <c r="H273" s="113">
        <f>'Sampling Data'!G263</f>
        <v>0</v>
      </c>
      <c r="I273" s="112">
        <f>'Sampling Data'!H263</f>
        <v>0</v>
      </c>
      <c r="J273" s="112">
        <f>'Sampling Data'!I263</f>
        <v>0</v>
      </c>
      <c r="K273" s="112">
        <f>'Sampling Data'!J263</f>
        <v>1</v>
      </c>
      <c r="L273" s="111">
        <f>'Sampling Data'!X263</f>
        <v>0</v>
      </c>
      <c r="M273" s="114"/>
      <c r="N273" s="114"/>
      <c r="O273" s="115"/>
      <c r="P273" s="115"/>
      <c r="Q273" s="116"/>
      <c r="R273" s="116"/>
      <c r="S273" s="111">
        <f>Audit[[#This Row],[Audit Losing Candidate]]-Audit[[#This Row],[Losing Candidate]]</f>
        <v>0</v>
      </c>
      <c r="T273" s="111">
        <f>Audit[[#This Row],[Audit Winning Candidate]]-Audit[[#This Row],[Winning Candidate]]</f>
        <v>0</v>
      </c>
      <c r="U273" s="111">
        <f>Audit[[#This Row],[Audit Candidate 3]]-Audit[[#This Row],[Candidate 3]]</f>
        <v>-1</v>
      </c>
      <c r="V273" s="111">
        <f>Audit[[#This Row],[Audit Candidate 4]]-Audit[[#This Row],[Candidate 4]]</f>
        <v>0</v>
      </c>
      <c r="W273" s="111">
        <f>Audit[[#This Row],[Audit Candidate 5]]-Audit[[#This Row],[Candidate 5]]</f>
        <v>0</v>
      </c>
      <c r="X273" s="111">
        <f>Audit[[#This Row],[Audit Candidate 6]]-Audit[[#This Row],[Candidate 6]]</f>
        <v>0</v>
      </c>
      <c r="Y273" s="111">
        <f>SUMIF(Audit[[#This Row],[Difference Loser]:[Difference Candidate 6]], "&gt;0")</f>
        <v>0</v>
      </c>
      <c r="Z273" s="111">
        <f>SUM(Audit[[#This Row],[Difference Loser]:[Difference Candidate 6]])</f>
        <v>-1</v>
      </c>
      <c r="AA273" s="111">
        <f>IF(Audit[[#This Row],[Times p Drawn - With Replacement]]&gt;0, IF(Audit[[#This Row],[Canceled Differences]]&lt;0, Audit[[#This Row],[Max Differences]]+ABS(Audit[[#This Row],[Canceled Differences]]), Audit[[#This Row],[Max Differences]]), 0)</f>
        <v>0</v>
      </c>
      <c r="AB273" s="111">
        <f>'Sampling Data'!P263</f>
        <v>6.1244487996080352E-5</v>
      </c>
      <c r="AC273" s="111">
        <f>IF(
      SUM(Audit[[#This Row],[Audit Losing Candidate]:[Audit Candidate 6]])
      &lt;&gt;0,
      (Audit[[#This Row],[Winning Candidate]]-Audit[[#This Row],[Losing Candidate]]-(Audit[[#This Row],[Audit Winning Candidate]]-Audit[[#This Row],[Audit Losing Candidate]]))/(Audit[[#Totals],[Winning Candidate]]-Audit[[#Totals],[Losing Candidate]]),
      0
)</f>
        <v>0</v>
      </c>
      <c r="AD2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3" s="111">
        <f>IF(Audit[[#This Row],[Max Relative Error (ep)]] = 0, 0, Audit[[#This Row],[Max Relative Error (ep)]]/Audit[[#This Row],[Error Bound (up) - Max. possible relative overstatement]])</f>
        <v>0</v>
      </c>
      <c r="AJ2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73" s="111">
        <f t="shared" si="4"/>
        <v>1</v>
      </c>
      <c r="AL273" s="111">
        <f>PRODUCT($AK$5:AK273)</f>
        <v>8.962823818226312E-2</v>
      </c>
      <c r="AM273" s="109">
        <f>1 - [K-M P Value]</f>
        <v>0.91037176181773694</v>
      </c>
      <c r="AN273" s="111" t="str">
        <f>IF(Audit[[#This Row],[K-M P Value]]&gt;1-'General Info'!$B$16,"Continue", "Stop")</f>
        <v>Stop</v>
      </c>
      <c r="AO273" s="110" t="b">
        <f>IF(Audit[[#This Row],[Status - Continue or stop audit]] = "Continue", TRUE, IF(AN272 = "Continue", TRUE, FALSE))</f>
        <v>0</v>
      </c>
      <c r="AP273" s="110"/>
    </row>
    <row r="274" spans="1:42" ht="15" hidden="1" customHeight="1">
      <c r="A274" s="111" t="str">
        <f>'Sampling Data'!W264</f>
        <v/>
      </c>
      <c r="B274" s="112" t="str">
        <f>'Sampling Data'!A264</f>
        <v>CLEVELAND -01-M - ABS</v>
      </c>
      <c r="C274" s="112">
        <f>'Sampling Data'!B264</f>
        <v>0</v>
      </c>
      <c r="D274" s="112">
        <f>'Sampling Data'!C264</f>
        <v>0</v>
      </c>
      <c r="E274" s="113">
        <f>'Sampling Data'!D264</f>
        <v>0</v>
      </c>
      <c r="F274" s="113">
        <f>'Sampling Data'!E264</f>
        <v>0</v>
      </c>
      <c r="G274" s="113">
        <f>'Sampling Data'!F264</f>
        <v>0</v>
      </c>
      <c r="H274" s="113">
        <f>'Sampling Data'!G264</f>
        <v>0</v>
      </c>
      <c r="I274" s="112">
        <f>'Sampling Data'!H264</f>
        <v>0</v>
      </c>
      <c r="J274" s="112">
        <f>'Sampling Data'!I264</f>
        <v>0</v>
      </c>
      <c r="K274" s="112">
        <f>'Sampling Data'!J264</f>
        <v>0</v>
      </c>
      <c r="L274" s="111">
        <f>'Sampling Data'!X264</f>
        <v>0</v>
      </c>
      <c r="M274" s="114"/>
      <c r="N274" s="114"/>
      <c r="O274" s="115"/>
      <c r="P274" s="115"/>
      <c r="Q274" s="116"/>
      <c r="R274" s="116"/>
      <c r="S274" s="111">
        <f>Audit[[#This Row],[Audit Losing Candidate]]-Audit[[#This Row],[Losing Candidate]]</f>
        <v>0</v>
      </c>
      <c r="T274" s="111">
        <f>Audit[[#This Row],[Audit Winning Candidate]]-Audit[[#This Row],[Winning Candidate]]</f>
        <v>0</v>
      </c>
      <c r="U274" s="111">
        <f>Audit[[#This Row],[Audit Candidate 3]]-Audit[[#This Row],[Candidate 3]]</f>
        <v>0</v>
      </c>
      <c r="V274" s="111">
        <f>Audit[[#This Row],[Audit Candidate 4]]-Audit[[#This Row],[Candidate 4]]</f>
        <v>0</v>
      </c>
      <c r="W274" s="111">
        <f>Audit[[#This Row],[Audit Candidate 5]]-Audit[[#This Row],[Candidate 5]]</f>
        <v>0</v>
      </c>
      <c r="X274" s="111">
        <f>Audit[[#This Row],[Audit Candidate 6]]-Audit[[#This Row],[Candidate 6]]</f>
        <v>0</v>
      </c>
      <c r="Y274" s="111">
        <f>SUMIF(Audit[[#This Row],[Difference Loser]:[Difference Candidate 6]], "&gt;0")</f>
        <v>0</v>
      </c>
      <c r="Z274" s="111">
        <f>SUM(Audit[[#This Row],[Difference Loser]:[Difference Candidate 6]])</f>
        <v>0</v>
      </c>
      <c r="AA274" s="111">
        <f>IF(Audit[[#This Row],[Times p Drawn - With Replacement]]&gt;0, IF(Audit[[#This Row],[Canceled Differences]]&lt;0, Audit[[#This Row],[Max Differences]]+ABS(Audit[[#This Row],[Canceled Differences]]), Audit[[#This Row],[Max Differences]]), 0)</f>
        <v>0</v>
      </c>
      <c r="AB274" s="111">
        <f>'Sampling Data'!P264</f>
        <v>0</v>
      </c>
      <c r="AC274" s="111">
        <f>IF(
      SUM(Audit[[#This Row],[Audit Losing Candidate]:[Audit Candidate 6]])
      &lt;&gt;0,
      (Audit[[#This Row],[Winning Candidate]]-Audit[[#This Row],[Losing Candidate]]-(Audit[[#This Row],[Audit Winning Candidate]]-Audit[[#This Row],[Audit Losing Candidate]]))/(Audit[[#Totals],[Winning Candidate]]-Audit[[#Totals],[Losing Candidate]]),
      0
)</f>
        <v>0</v>
      </c>
      <c r="AD2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4" s="111">
        <f>IF(Audit[[#This Row],[Max Relative Error (ep)]] = 0, 0, Audit[[#This Row],[Max Relative Error (ep)]]/Audit[[#This Row],[Error Bound (up) - Max. possible relative overstatement]])</f>
        <v>0</v>
      </c>
      <c r="AJ2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74" s="111">
        <f t="shared" si="4"/>
        <v>1</v>
      </c>
      <c r="AL274" s="111">
        <f>PRODUCT($AK$5:AK274)</f>
        <v>8.962823818226312E-2</v>
      </c>
      <c r="AM274" s="109">
        <f>1 - [K-M P Value]</f>
        <v>0.91037176181773694</v>
      </c>
      <c r="AN274" s="111" t="str">
        <f>IF(Audit[[#This Row],[K-M P Value]]&gt;1-'General Info'!$B$16,"Continue", "Stop")</f>
        <v>Stop</v>
      </c>
      <c r="AO274" s="110" t="b">
        <f>IF(Audit[[#This Row],[Status - Continue or stop audit]] = "Continue", TRUE, IF(AN273 = "Continue", TRUE, FALSE))</f>
        <v>0</v>
      </c>
      <c r="AP274" s="110"/>
    </row>
    <row r="275" spans="1:42" ht="15" hidden="1" customHeight="1">
      <c r="A275" s="111" t="str">
        <f>'Sampling Data'!W265</f>
        <v/>
      </c>
      <c r="B275" s="112" t="str">
        <f>'Sampling Data'!A265</f>
        <v>CLEVELAND -01-N</v>
      </c>
      <c r="C275" s="112">
        <f>'Sampling Data'!B265</f>
        <v>2</v>
      </c>
      <c r="D275" s="112">
        <f>'Sampling Data'!C265</f>
        <v>0</v>
      </c>
      <c r="E275" s="113">
        <f>'Sampling Data'!D265</f>
        <v>0</v>
      </c>
      <c r="F275" s="113">
        <f>'Sampling Data'!E265</f>
        <v>0</v>
      </c>
      <c r="G275" s="113">
        <f>'Sampling Data'!F265</f>
        <v>0</v>
      </c>
      <c r="H275" s="113">
        <f>'Sampling Data'!G265</f>
        <v>0</v>
      </c>
      <c r="I275" s="112">
        <f>'Sampling Data'!H265</f>
        <v>0</v>
      </c>
      <c r="J275" s="112">
        <f>'Sampling Data'!I265</f>
        <v>0</v>
      </c>
      <c r="K275" s="112">
        <f>'Sampling Data'!J265</f>
        <v>2</v>
      </c>
      <c r="L275" s="111">
        <f>'Sampling Data'!X265</f>
        <v>0</v>
      </c>
      <c r="M275" s="114"/>
      <c r="N275" s="114"/>
      <c r="O275" s="115"/>
      <c r="P275" s="115"/>
      <c r="Q275" s="116"/>
      <c r="R275" s="116"/>
      <c r="S275" s="111">
        <f>Audit[[#This Row],[Audit Losing Candidate]]-Audit[[#This Row],[Losing Candidate]]</f>
        <v>-2</v>
      </c>
      <c r="T275" s="111">
        <f>Audit[[#This Row],[Audit Winning Candidate]]-Audit[[#This Row],[Winning Candidate]]</f>
        <v>0</v>
      </c>
      <c r="U275" s="111">
        <f>Audit[[#This Row],[Audit Candidate 3]]-Audit[[#This Row],[Candidate 3]]</f>
        <v>0</v>
      </c>
      <c r="V275" s="111">
        <f>Audit[[#This Row],[Audit Candidate 4]]-Audit[[#This Row],[Candidate 4]]</f>
        <v>0</v>
      </c>
      <c r="W275" s="111">
        <f>Audit[[#This Row],[Audit Candidate 5]]-Audit[[#This Row],[Candidate 5]]</f>
        <v>0</v>
      </c>
      <c r="X275" s="111">
        <f>Audit[[#This Row],[Audit Candidate 6]]-Audit[[#This Row],[Candidate 6]]</f>
        <v>0</v>
      </c>
      <c r="Y275" s="111">
        <f>SUMIF(Audit[[#This Row],[Difference Loser]:[Difference Candidate 6]], "&gt;0")</f>
        <v>0</v>
      </c>
      <c r="Z275" s="111">
        <f>SUM(Audit[[#This Row],[Difference Loser]:[Difference Candidate 6]])</f>
        <v>-2</v>
      </c>
      <c r="AA275" s="111">
        <f>IF(Audit[[#This Row],[Times p Drawn - With Replacement]]&gt;0, IF(Audit[[#This Row],[Canceled Differences]]&lt;0, Audit[[#This Row],[Max Differences]]+ABS(Audit[[#This Row],[Canceled Differences]]), Audit[[#This Row],[Max Differences]]), 0)</f>
        <v>0</v>
      </c>
      <c r="AB275" s="111">
        <f>'Sampling Data'!P265</f>
        <v>6.4522373132883833E-5</v>
      </c>
      <c r="AC275" s="111">
        <f>IF(
      SUM(Audit[[#This Row],[Audit Losing Candidate]:[Audit Candidate 6]])
      &lt;&gt;0,
      (Audit[[#This Row],[Winning Candidate]]-Audit[[#This Row],[Losing Candidate]]-(Audit[[#This Row],[Audit Winning Candidate]]-Audit[[#This Row],[Audit Losing Candidate]]))/(Audit[[#Totals],[Winning Candidate]]-Audit[[#Totals],[Losing Candidate]]),
      0
)</f>
        <v>0</v>
      </c>
      <c r="AD2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5" s="111">
        <f>IF(Audit[[#This Row],[Max Relative Error (ep)]] = 0, 0, Audit[[#This Row],[Max Relative Error (ep)]]/Audit[[#This Row],[Error Bound (up) - Max. possible relative overstatement]])</f>
        <v>0</v>
      </c>
      <c r="AJ2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75" s="111">
        <f t="shared" si="4"/>
        <v>1</v>
      </c>
      <c r="AL275" s="111">
        <f>PRODUCT($AK$5:AK275)</f>
        <v>8.962823818226312E-2</v>
      </c>
      <c r="AM275" s="109">
        <f>1 - [K-M P Value]</f>
        <v>0.91037176181773694</v>
      </c>
      <c r="AN275" s="111" t="str">
        <f>IF(Audit[[#This Row],[K-M P Value]]&gt;1-'General Info'!$B$16,"Continue", "Stop")</f>
        <v>Stop</v>
      </c>
      <c r="AO275" s="110" t="b">
        <f>IF(Audit[[#This Row],[Status - Continue or stop audit]] = "Continue", TRUE, IF(AN274 = "Continue", TRUE, FALSE))</f>
        <v>0</v>
      </c>
      <c r="AP275" s="110"/>
    </row>
    <row r="276" spans="1:42" ht="15" hidden="1" customHeight="1">
      <c r="A276" s="111" t="str">
        <f>'Sampling Data'!W266</f>
        <v/>
      </c>
      <c r="B276" s="112" t="str">
        <f>'Sampling Data'!A266</f>
        <v>CLEVELAND -01-N - ABS</v>
      </c>
      <c r="C276" s="112">
        <f>'Sampling Data'!B266</f>
        <v>2</v>
      </c>
      <c r="D276" s="112">
        <f>'Sampling Data'!C266</f>
        <v>0</v>
      </c>
      <c r="E276" s="113">
        <f>'Sampling Data'!D266</f>
        <v>0</v>
      </c>
      <c r="F276" s="113">
        <f>'Sampling Data'!E266</f>
        <v>0</v>
      </c>
      <c r="G276" s="113">
        <f>'Sampling Data'!F266</f>
        <v>0</v>
      </c>
      <c r="H276" s="113">
        <f>'Sampling Data'!G266</f>
        <v>0</v>
      </c>
      <c r="I276" s="112">
        <f>'Sampling Data'!H266</f>
        <v>0</v>
      </c>
      <c r="J276" s="112">
        <f>'Sampling Data'!I266</f>
        <v>0</v>
      </c>
      <c r="K276" s="112">
        <f>'Sampling Data'!J266</f>
        <v>2</v>
      </c>
      <c r="L276" s="111">
        <f>'Sampling Data'!X266</f>
        <v>0</v>
      </c>
      <c r="M276" s="114"/>
      <c r="N276" s="114"/>
      <c r="O276" s="115"/>
      <c r="P276" s="115"/>
      <c r="Q276" s="116"/>
      <c r="R276" s="116"/>
      <c r="S276" s="111">
        <f>Audit[[#This Row],[Audit Losing Candidate]]-Audit[[#This Row],[Losing Candidate]]</f>
        <v>-2</v>
      </c>
      <c r="T276" s="111">
        <f>Audit[[#This Row],[Audit Winning Candidate]]-Audit[[#This Row],[Winning Candidate]]</f>
        <v>0</v>
      </c>
      <c r="U276" s="111">
        <f>Audit[[#This Row],[Audit Candidate 3]]-Audit[[#This Row],[Candidate 3]]</f>
        <v>0</v>
      </c>
      <c r="V276" s="111">
        <f>Audit[[#This Row],[Audit Candidate 4]]-Audit[[#This Row],[Candidate 4]]</f>
        <v>0</v>
      </c>
      <c r="W276" s="111">
        <f>Audit[[#This Row],[Audit Candidate 5]]-Audit[[#This Row],[Candidate 5]]</f>
        <v>0</v>
      </c>
      <c r="X276" s="111">
        <f>Audit[[#This Row],[Audit Candidate 6]]-Audit[[#This Row],[Candidate 6]]</f>
        <v>0</v>
      </c>
      <c r="Y276" s="111">
        <f>SUMIF(Audit[[#This Row],[Difference Loser]:[Difference Candidate 6]], "&gt;0")</f>
        <v>0</v>
      </c>
      <c r="Z276" s="111">
        <f>SUM(Audit[[#This Row],[Difference Loser]:[Difference Candidate 6]])</f>
        <v>-2</v>
      </c>
      <c r="AA276" s="111">
        <f>IF(Audit[[#This Row],[Times p Drawn - With Replacement]]&gt;0, IF(Audit[[#This Row],[Canceled Differences]]&lt;0, Audit[[#This Row],[Max Differences]]+ABS(Audit[[#This Row],[Canceled Differences]]), Audit[[#This Row],[Max Differences]]), 0)</f>
        <v>0</v>
      </c>
      <c r="AB276" s="111">
        <f>'Sampling Data'!P266</f>
        <v>6.4522373132883833E-5</v>
      </c>
      <c r="AC276" s="111">
        <f>IF(
      SUM(Audit[[#This Row],[Audit Losing Candidate]:[Audit Candidate 6]])
      &lt;&gt;0,
      (Audit[[#This Row],[Winning Candidate]]-Audit[[#This Row],[Losing Candidate]]-(Audit[[#This Row],[Audit Winning Candidate]]-Audit[[#This Row],[Audit Losing Candidate]]))/(Audit[[#Totals],[Winning Candidate]]-Audit[[#Totals],[Losing Candidate]]),
      0
)</f>
        <v>0</v>
      </c>
      <c r="AD2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6" s="111">
        <f>IF(Audit[[#This Row],[Max Relative Error (ep)]] = 0, 0, Audit[[#This Row],[Max Relative Error (ep)]]/Audit[[#This Row],[Error Bound (up) - Max. possible relative overstatement]])</f>
        <v>0</v>
      </c>
      <c r="AJ2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76" s="111">
        <f t="shared" si="4"/>
        <v>1</v>
      </c>
      <c r="AL276" s="111">
        <f>PRODUCT($AK$5:AK276)</f>
        <v>8.962823818226312E-2</v>
      </c>
      <c r="AM276" s="109">
        <f>1 - [K-M P Value]</f>
        <v>0.91037176181773694</v>
      </c>
      <c r="AN276" s="111" t="str">
        <f>IF(Audit[[#This Row],[K-M P Value]]&gt;1-'General Info'!$B$16,"Continue", "Stop")</f>
        <v>Stop</v>
      </c>
      <c r="AO276" s="110" t="b">
        <f>IF(Audit[[#This Row],[Status - Continue or stop audit]] = "Continue", TRUE, IF(AN275 = "Continue", TRUE, FALSE))</f>
        <v>0</v>
      </c>
      <c r="AP276" s="110"/>
    </row>
    <row r="277" spans="1:42" ht="15" hidden="1" customHeight="1">
      <c r="A277" s="111" t="str">
        <f>'Sampling Data'!W267</f>
        <v/>
      </c>
      <c r="B277" s="112" t="str">
        <f>'Sampling Data'!A267</f>
        <v>CLEVELAND -01-O</v>
      </c>
      <c r="C277" s="112">
        <f>'Sampling Data'!B267</f>
        <v>1</v>
      </c>
      <c r="D277" s="112">
        <f>'Sampling Data'!C267</f>
        <v>0</v>
      </c>
      <c r="E277" s="113">
        <f>'Sampling Data'!D267</f>
        <v>0</v>
      </c>
      <c r="F277" s="113">
        <f>'Sampling Data'!E267</f>
        <v>0</v>
      </c>
      <c r="G277" s="113">
        <f>'Sampling Data'!F267</f>
        <v>0</v>
      </c>
      <c r="H277" s="113">
        <f>'Sampling Data'!G267</f>
        <v>0</v>
      </c>
      <c r="I277" s="112">
        <f>'Sampling Data'!H267</f>
        <v>0</v>
      </c>
      <c r="J277" s="112">
        <f>'Sampling Data'!I267</f>
        <v>0</v>
      </c>
      <c r="K277" s="112">
        <f>'Sampling Data'!J267</f>
        <v>1</v>
      </c>
      <c r="L277" s="111">
        <f>'Sampling Data'!X267</f>
        <v>0</v>
      </c>
      <c r="M277" s="114"/>
      <c r="N277" s="114"/>
      <c r="O277" s="115"/>
      <c r="P277" s="115"/>
      <c r="Q277" s="116"/>
      <c r="R277" s="116"/>
      <c r="S277" s="111">
        <f>Audit[[#This Row],[Audit Losing Candidate]]-Audit[[#This Row],[Losing Candidate]]</f>
        <v>-1</v>
      </c>
      <c r="T277" s="111">
        <f>Audit[[#This Row],[Audit Winning Candidate]]-Audit[[#This Row],[Winning Candidate]]</f>
        <v>0</v>
      </c>
      <c r="U277" s="111">
        <f>Audit[[#This Row],[Audit Candidate 3]]-Audit[[#This Row],[Candidate 3]]</f>
        <v>0</v>
      </c>
      <c r="V277" s="111">
        <f>Audit[[#This Row],[Audit Candidate 4]]-Audit[[#This Row],[Candidate 4]]</f>
        <v>0</v>
      </c>
      <c r="W277" s="111">
        <f>Audit[[#This Row],[Audit Candidate 5]]-Audit[[#This Row],[Candidate 5]]</f>
        <v>0</v>
      </c>
      <c r="X277" s="111">
        <f>Audit[[#This Row],[Audit Candidate 6]]-Audit[[#This Row],[Candidate 6]]</f>
        <v>0</v>
      </c>
      <c r="Y277" s="111">
        <f>SUMIF(Audit[[#This Row],[Difference Loser]:[Difference Candidate 6]], "&gt;0")</f>
        <v>0</v>
      </c>
      <c r="Z277" s="111">
        <f>SUM(Audit[[#This Row],[Difference Loser]:[Difference Candidate 6]])</f>
        <v>-1</v>
      </c>
      <c r="AA277" s="111">
        <f>IF(Audit[[#This Row],[Times p Drawn - With Replacement]]&gt;0, IF(Audit[[#This Row],[Canceled Differences]]&lt;0, Audit[[#This Row],[Max Differences]]+ABS(Audit[[#This Row],[Canceled Differences]]), Audit[[#This Row],[Max Differences]]), 0)</f>
        <v>0</v>
      </c>
      <c r="AB277" s="111">
        <f>'Sampling Data'!P267</f>
        <v>3.2261186566441917E-5</v>
      </c>
      <c r="AC277" s="111">
        <f>IF(
      SUM(Audit[[#This Row],[Audit Losing Candidate]:[Audit Candidate 6]])
      &lt;&gt;0,
      (Audit[[#This Row],[Winning Candidate]]-Audit[[#This Row],[Losing Candidate]]-(Audit[[#This Row],[Audit Winning Candidate]]-Audit[[#This Row],[Audit Losing Candidate]]))/(Audit[[#Totals],[Winning Candidate]]-Audit[[#Totals],[Losing Candidate]]),
      0
)</f>
        <v>0</v>
      </c>
      <c r="AD2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7" s="111">
        <f>IF(Audit[[#This Row],[Max Relative Error (ep)]] = 0, 0, Audit[[#This Row],[Max Relative Error (ep)]]/Audit[[#This Row],[Error Bound (up) - Max. possible relative overstatement]])</f>
        <v>0</v>
      </c>
      <c r="AJ2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77" s="111">
        <f t="shared" si="4"/>
        <v>1</v>
      </c>
      <c r="AL277" s="111">
        <f>PRODUCT($AK$5:AK277)</f>
        <v>8.962823818226312E-2</v>
      </c>
      <c r="AM277" s="109">
        <f>1 - [K-M P Value]</f>
        <v>0.91037176181773694</v>
      </c>
      <c r="AN277" s="111" t="str">
        <f>IF(Audit[[#This Row],[K-M P Value]]&gt;1-'General Info'!$B$16,"Continue", "Stop")</f>
        <v>Stop</v>
      </c>
      <c r="AO277" s="110" t="b">
        <f>IF(Audit[[#This Row],[Status - Continue or stop audit]] = "Continue", TRUE, IF(AN276 = "Continue", TRUE, FALSE))</f>
        <v>0</v>
      </c>
      <c r="AP277" s="110"/>
    </row>
    <row r="278" spans="1:42" ht="15" hidden="1" customHeight="1">
      <c r="A278" s="111" t="str">
        <f>'Sampling Data'!W268</f>
        <v/>
      </c>
      <c r="B278" s="112" t="str">
        <f>'Sampling Data'!A268</f>
        <v>CLEVELAND -01-O - ABS</v>
      </c>
      <c r="C278" s="112">
        <f>'Sampling Data'!B268</f>
        <v>0</v>
      </c>
      <c r="D278" s="112">
        <f>'Sampling Data'!C268</f>
        <v>0</v>
      </c>
      <c r="E278" s="113">
        <f>'Sampling Data'!D268</f>
        <v>0</v>
      </c>
      <c r="F278" s="113">
        <f>'Sampling Data'!E268</f>
        <v>0</v>
      </c>
      <c r="G278" s="113">
        <f>'Sampling Data'!F268</f>
        <v>0</v>
      </c>
      <c r="H278" s="113">
        <f>'Sampling Data'!G268</f>
        <v>0</v>
      </c>
      <c r="I278" s="112">
        <f>'Sampling Data'!H268</f>
        <v>0</v>
      </c>
      <c r="J278" s="112">
        <f>'Sampling Data'!I268</f>
        <v>0</v>
      </c>
      <c r="K278" s="112">
        <f>'Sampling Data'!J268</f>
        <v>0</v>
      </c>
      <c r="L278" s="111">
        <f>'Sampling Data'!X268</f>
        <v>0</v>
      </c>
      <c r="M278" s="114"/>
      <c r="N278" s="114"/>
      <c r="O278" s="115"/>
      <c r="P278" s="115"/>
      <c r="Q278" s="116"/>
      <c r="R278" s="116"/>
      <c r="S278" s="111">
        <f>Audit[[#This Row],[Audit Losing Candidate]]-Audit[[#This Row],[Losing Candidate]]</f>
        <v>0</v>
      </c>
      <c r="T278" s="111">
        <f>Audit[[#This Row],[Audit Winning Candidate]]-Audit[[#This Row],[Winning Candidate]]</f>
        <v>0</v>
      </c>
      <c r="U278" s="111">
        <f>Audit[[#This Row],[Audit Candidate 3]]-Audit[[#This Row],[Candidate 3]]</f>
        <v>0</v>
      </c>
      <c r="V278" s="111">
        <f>Audit[[#This Row],[Audit Candidate 4]]-Audit[[#This Row],[Candidate 4]]</f>
        <v>0</v>
      </c>
      <c r="W278" s="111">
        <f>Audit[[#This Row],[Audit Candidate 5]]-Audit[[#This Row],[Candidate 5]]</f>
        <v>0</v>
      </c>
      <c r="X278" s="111">
        <f>Audit[[#This Row],[Audit Candidate 6]]-Audit[[#This Row],[Candidate 6]]</f>
        <v>0</v>
      </c>
      <c r="Y278" s="111">
        <f>SUMIF(Audit[[#This Row],[Difference Loser]:[Difference Candidate 6]], "&gt;0")</f>
        <v>0</v>
      </c>
      <c r="Z278" s="111">
        <f>SUM(Audit[[#This Row],[Difference Loser]:[Difference Candidate 6]])</f>
        <v>0</v>
      </c>
      <c r="AA278" s="111">
        <f>IF(Audit[[#This Row],[Times p Drawn - With Replacement]]&gt;0, IF(Audit[[#This Row],[Canceled Differences]]&lt;0, Audit[[#This Row],[Max Differences]]+ABS(Audit[[#This Row],[Canceled Differences]]), Audit[[#This Row],[Max Differences]]), 0)</f>
        <v>0</v>
      </c>
      <c r="AB278" s="111">
        <f>'Sampling Data'!P268</f>
        <v>0</v>
      </c>
      <c r="AC278" s="111">
        <f>IF(
      SUM(Audit[[#This Row],[Audit Losing Candidate]:[Audit Candidate 6]])
      &lt;&gt;0,
      (Audit[[#This Row],[Winning Candidate]]-Audit[[#This Row],[Losing Candidate]]-(Audit[[#This Row],[Audit Winning Candidate]]-Audit[[#This Row],[Audit Losing Candidate]]))/(Audit[[#Totals],[Winning Candidate]]-Audit[[#Totals],[Losing Candidate]]),
      0
)</f>
        <v>0</v>
      </c>
      <c r="AD2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8" s="111">
        <f>IF(Audit[[#This Row],[Max Relative Error (ep)]] = 0, 0, Audit[[#This Row],[Max Relative Error (ep)]]/Audit[[#This Row],[Error Bound (up) - Max. possible relative overstatement]])</f>
        <v>0</v>
      </c>
      <c r="AJ2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78" s="111">
        <f t="shared" si="4"/>
        <v>1</v>
      </c>
      <c r="AL278" s="111">
        <f>PRODUCT($AK$5:AK278)</f>
        <v>8.962823818226312E-2</v>
      </c>
      <c r="AM278" s="109">
        <f>1 - [K-M P Value]</f>
        <v>0.91037176181773694</v>
      </c>
      <c r="AN278" s="111" t="str">
        <f>IF(Audit[[#This Row],[K-M P Value]]&gt;1-'General Info'!$B$16,"Continue", "Stop")</f>
        <v>Stop</v>
      </c>
      <c r="AO278" s="110" t="b">
        <f>IF(Audit[[#This Row],[Status - Continue or stop audit]] = "Continue", TRUE, IF(AN277 = "Continue", TRUE, FALSE))</f>
        <v>0</v>
      </c>
      <c r="AP278" s="110"/>
    </row>
    <row r="279" spans="1:42" ht="15" hidden="1" customHeight="1">
      <c r="A279" s="111" t="str">
        <f>'Sampling Data'!W269</f>
        <v/>
      </c>
      <c r="B279" s="112" t="str">
        <f>'Sampling Data'!A269</f>
        <v>CLEVELAND -01-P</v>
      </c>
      <c r="C279" s="112">
        <f>'Sampling Data'!B269</f>
        <v>0</v>
      </c>
      <c r="D279" s="112">
        <f>'Sampling Data'!C269</f>
        <v>0</v>
      </c>
      <c r="E279" s="113">
        <f>'Sampling Data'!D269</f>
        <v>0</v>
      </c>
      <c r="F279" s="113">
        <f>'Sampling Data'!E269</f>
        <v>1</v>
      </c>
      <c r="G279" s="113">
        <f>'Sampling Data'!F269</f>
        <v>0</v>
      </c>
      <c r="H279" s="113">
        <f>'Sampling Data'!G269</f>
        <v>0</v>
      </c>
      <c r="I279" s="112">
        <f>'Sampling Data'!H269</f>
        <v>0</v>
      </c>
      <c r="J279" s="112">
        <f>'Sampling Data'!I269</f>
        <v>0</v>
      </c>
      <c r="K279" s="112">
        <f>'Sampling Data'!J269</f>
        <v>1</v>
      </c>
      <c r="L279" s="111">
        <f>'Sampling Data'!X269</f>
        <v>0</v>
      </c>
      <c r="M279" s="114"/>
      <c r="N279" s="114"/>
      <c r="O279" s="115"/>
      <c r="P279" s="115"/>
      <c r="Q279" s="116"/>
      <c r="R279" s="116"/>
      <c r="S279" s="111">
        <f>Audit[[#This Row],[Audit Losing Candidate]]-Audit[[#This Row],[Losing Candidate]]</f>
        <v>0</v>
      </c>
      <c r="T279" s="111">
        <f>Audit[[#This Row],[Audit Winning Candidate]]-Audit[[#This Row],[Winning Candidate]]</f>
        <v>0</v>
      </c>
      <c r="U279" s="111">
        <f>Audit[[#This Row],[Audit Candidate 3]]-Audit[[#This Row],[Candidate 3]]</f>
        <v>0</v>
      </c>
      <c r="V279" s="111">
        <f>Audit[[#This Row],[Audit Candidate 4]]-Audit[[#This Row],[Candidate 4]]</f>
        <v>-1</v>
      </c>
      <c r="W279" s="111">
        <f>Audit[[#This Row],[Audit Candidate 5]]-Audit[[#This Row],[Candidate 5]]</f>
        <v>0</v>
      </c>
      <c r="X279" s="111">
        <f>Audit[[#This Row],[Audit Candidate 6]]-Audit[[#This Row],[Candidate 6]]</f>
        <v>0</v>
      </c>
      <c r="Y279" s="111">
        <f>SUMIF(Audit[[#This Row],[Difference Loser]:[Difference Candidate 6]], "&gt;0")</f>
        <v>0</v>
      </c>
      <c r="Z279" s="111">
        <f>SUM(Audit[[#This Row],[Difference Loser]:[Difference Candidate 6]])</f>
        <v>-1</v>
      </c>
      <c r="AA279" s="111">
        <f>IF(Audit[[#This Row],[Times p Drawn - With Replacement]]&gt;0, IF(Audit[[#This Row],[Canceled Differences]]&lt;0, Audit[[#This Row],[Max Differences]]+ABS(Audit[[#This Row],[Canceled Differences]]), Audit[[#This Row],[Max Differences]]), 0)</f>
        <v>0</v>
      </c>
      <c r="AB279" s="111">
        <f>'Sampling Data'!P269</f>
        <v>6.1244487996080352E-5</v>
      </c>
      <c r="AC279" s="111">
        <f>IF(
      SUM(Audit[[#This Row],[Audit Losing Candidate]:[Audit Candidate 6]])
      &lt;&gt;0,
      (Audit[[#This Row],[Winning Candidate]]-Audit[[#This Row],[Losing Candidate]]-(Audit[[#This Row],[Audit Winning Candidate]]-Audit[[#This Row],[Audit Losing Candidate]]))/(Audit[[#Totals],[Winning Candidate]]-Audit[[#Totals],[Losing Candidate]]),
      0
)</f>
        <v>0</v>
      </c>
      <c r="AD2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9" s="111">
        <f>IF(Audit[[#This Row],[Max Relative Error (ep)]] = 0, 0, Audit[[#This Row],[Max Relative Error (ep)]]/Audit[[#This Row],[Error Bound (up) - Max. possible relative overstatement]])</f>
        <v>0</v>
      </c>
      <c r="AJ2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79" s="111">
        <f t="shared" si="4"/>
        <v>1</v>
      </c>
      <c r="AL279" s="111">
        <f>PRODUCT($AK$5:AK279)</f>
        <v>8.962823818226312E-2</v>
      </c>
      <c r="AM279" s="109">
        <f>1 - [K-M P Value]</f>
        <v>0.91037176181773694</v>
      </c>
      <c r="AN279" s="111" t="str">
        <f>IF(Audit[[#This Row],[K-M P Value]]&gt;1-'General Info'!$B$16,"Continue", "Stop")</f>
        <v>Stop</v>
      </c>
      <c r="AO279" s="110" t="b">
        <f>IF(Audit[[#This Row],[Status - Continue or stop audit]] = "Continue", TRUE, IF(AN278 = "Continue", TRUE, FALSE))</f>
        <v>0</v>
      </c>
      <c r="AP279" s="110"/>
    </row>
    <row r="280" spans="1:42" ht="15" hidden="1" customHeight="1">
      <c r="A280" s="111" t="str">
        <f>'Sampling Data'!W270</f>
        <v/>
      </c>
      <c r="B280" s="112" t="str">
        <f>'Sampling Data'!A270</f>
        <v>CLEVELAND -01-P - ABS</v>
      </c>
      <c r="C280" s="112">
        <f>'Sampling Data'!B270</f>
        <v>0</v>
      </c>
      <c r="D280" s="112">
        <f>'Sampling Data'!C270</f>
        <v>0</v>
      </c>
      <c r="E280" s="113">
        <f>'Sampling Data'!D270</f>
        <v>0</v>
      </c>
      <c r="F280" s="113">
        <f>'Sampling Data'!E270</f>
        <v>0</v>
      </c>
      <c r="G280" s="113">
        <f>'Sampling Data'!F270</f>
        <v>0</v>
      </c>
      <c r="H280" s="113">
        <f>'Sampling Data'!G270</f>
        <v>0</v>
      </c>
      <c r="I280" s="112">
        <f>'Sampling Data'!H270</f>
        <v>0</v>
      </c>
      <c r="J280" s="112">
        <f>'Sampling Data'!I270</f>
        <v>0</v>
      </c>
      <c r="K280" s="112">
        <f>'Sampling Data'!J270</f>
        <v>0</v>
      </c>
      <c r="L280" s="111">
        <f>'Sampling Data'!X270</f>
        <v>0</v>
      </c>
      <c r="M280" s="114"/>
      <c r="N280" s="114"/>
      <c r="O280" s="115"/>
      <c r="P280" s="115"/>
      <c r="Q280" s="116"/>
      <c r="R280" s="116"/>
      <c r="S280" s="111">
        <f>Audit[[#This Row],[Audit Losing Candidate]]-Audit[[#This Row],[Losing Candidate]]</f>
        <v>0</v>
      </c>
      <c r="T280" s="111">
        <f>Audit[[#This Row],[Audit Winning Candidate]]-Audit[[#This Row],[Winning Candidate]]</f>
        <v>0</v>
      </c>
      <c r="U280" s="111">
        <f>Audit[[#This Row],[Audit Candidate 3]]-Audit[[#This Row],[Candidate 3]]</f>
        <v>0</v>
      </c>
      <c r="V280" s="111">
        <f>Audit[[#This Row],[Audit Candidate 4]]-Audit[[#This Row],[Candidate 4]]</f>
        <v>0</v>
      </c>
      <c r="W280" s="111">
        <f>Audit[[#This Row],[Audit Candidate 5]]-Audit[[#This Row],[Candidate 5]]</f>
        <v>0</v>
      </c>
      <c r="X280" s="111">
        <f>Audit[[#This Row],[Audit Candidate 6]]-Audit[[#This Row],[Candidate 6]]</f>
        <v>0</v>
      </c>
      <c r="Y280" s="111">
        <f>SUMIF(Audit[[#This Row],[Difference Loser]:[Difference Candidate 6]], "&gt;0")</f>
        <v>0</v>
      </c>
      <c r="Z280" s="111">
        <f>SUM(Audit[[#This Row],[Difference Loser]:[Difference Candidate 6]])</f>
        <v>0</v>
      </c>
      <c r="AA280" s="111">
        <f>IF(Audit[[#This Row],[Times p Drawn - With Replacement]]&gt;0, IF(Audit[[#This Row],[Canceled Differences]]&lt;0, Audit[[#This Row],[Max Differences]]+ABS(Audit[[#This Row],[Canceled Differences]]), Audit[[#This Row],[Max Differences]]), 0)</f>
        <v>0</v>
      </c>
      <c r="AB280" s="111">
        <f>'Sampling Data'!P270</f>
        <v>0</v>
      </c>
      <c r="AC280" s="111">
        <f>IF(
      SUM(Audit[[#This Row],[Audit Losing Candidate]:[Audit Candidate 6]])
      &lt;&gt;0,
      (Audit[[#This Row],[Winning Candidate]]-Audit[[#This Row],[Losing Candidate]]-(Audit[[#This Row],[Audit Winning Candidate]]-Audit[[#This Row],[Audit Losing Candidate]]))/(Audit[[#Totals],[Winning Candidate]]-Audit[[#Totals],[Losing Candidate]]),
      0
)</f>
        <v>0</v>
      </c>
      <c r="AD2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0" s="111">
        <f>IF(Audit[[#This Row],[Max Relative Error (ep)]] = 0, 0, Audit[[#This Row],[Max Relative Error (ep)]]/Audit[[#This Row],[Error Bound (up) - Max. possible relative overstatement]])</f>
        <v>0</v>
      </c>
      <c r="AJ2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80" s="111">
        <f t="shared" si="4"/>
        <v>1</v>
      </c>
      <c r="AL280" s="111">
        <f>PRODUCT($AK$5:AK280)</f>
        <v>8.962823818226312E-2</v>
      </c>
      <c r="AM280" s="109">
        <f>1 - [K-M P Value]</f>
        <v>0.91037176181773694</v>
      </c>
      <c r="AN280" s="111" t="str">
        <f>IF(Audit[[#This Row],[K-M P Value]]&gt;1-'General Info'!$B$16,"Continue", "Stop")</f>
        <v>Stop</v>
      </c>
      <c r="AO280" s="110" t="b">
        <f>IF(Audit[[#This Row],[Status - Continue or stop audit]] = "Continue", TRUE, IF(AN279 = "Continue", TRUE, FALSE))</f>
        <v>0</v>
      </c>
      <c r="AP280" s="110"/>
    </row>
    <row r="281" spans="1:42" ht="15" hidden="1" customHeight="1">
      <c r="A281" s="111" t="str">
        <f>'Sampling Data'!W271</f>
        <v/>
      </c>
      <c r="B281" s="112" t="str">
        <f>'Sampling Data'!A271</f>
        <v>CLEVELAND -01-Q</v>
      </c>
      <c r="C281" s="112">
        <f>'Sampling Data'!B271</f>
        <v>1</v>
      </c>
      <c r="D281" s="112">
        <f>'Sampling Data'!C271</f>
        <v>0</v>
      </c>
      <c r="E281" s="113">
        <f>'Sampling Data'!D271</f>
        <v>1</v>
      </c>
      <c r="F281" s="113">
        <f>'Sampling Data'!E271</f>
        <v>0</v>
      </c>
      <c r="G281" s="113">
        <f>'Sampling Data'!F271</f>
        <v>0</v>
      </c>
      <c r="H281" s="113">
        <f>'Sampling Data'!G271</f>
        <v>0</v>
      </c>
      <c r="I281" s="112">
        <f>'Sampling Data'!H271</f>
        <v>0</v>
      </c>
      <c r="J281" s="112">
        <f>'Sampling Data'!I271</f>
        <v>0</v>
      </c>
      <c r="K281" s="112">
        <f>'Sampling Data'!J271</f>
        <v>2</v>
      </c>
      <c r="L281" s="111">
        <f>'Sampling Data'!X271</f>
        <v>0</v>
      </c>
      <c r="M281" s="114"/>
      <c r="N281" s="114"/>
      <c r="O281" s="115"/>
      <c r="P281" s="115"/>
      <c r="Q281" s="116"/>
      <c r="R281" s="116"/>
      <c r="S281" s="111">
        <f>Audit[[#This Row],[Audit Losing Candidate]]-Audit[[#This Row],[Losing Candidate]]</f>
        <v>-1</v>
      </c>
      <c r="T281" s="111">
        <f>Audit[[#This Row],[Audit Winning Candidate]]-Audit[[#This Row],[Winning Candidate]]</f>
        <v>0</v>
      </c>
      <c r="U281" s="111">
        <f>Audit[[#This Row],[Audit Candidate 3]]-Audit[[#This Row],[Candidate 3]]</f>
        <v>-1</v>
      </c>
      <c r="V281" s="111">
        <f>Audit[[#This Row],[Audit Candidate 4]]-Audit[[#This Row],[Candidate 4]]</f>
        <v>0</v>
      </c>
      <c r="W281" s="111">
        <f>Audit[[#This Row],[Audit Candidate 5]]-Audit[[#This Row],[Candidate 5]]</f>
        <v>0</v>
      </c>
      <c r="X281" s="111">
        <f>Audit[[#This Row],[Audit Candidate 6]]-Audit[[#This Row],[Candidate 6]]</f>
        <v>0</v>
      </c>
      <c r="Y281" s="111">
        <f>SUMIF(Audit[[#This Row],[Difference Loser]:[Difference Candidate 6]], "&gt;0")</f>
        <v>0</v>
      </c>
      <c r="Z281" s="111">
        <f>SUM(Audit[[#This Row],[Difference Loser]:[Difference Candidate 6]])</f>
        <v>-2</v>
      </c>
      <c r="AA281" s="111">
        <f>IF(Audit[[#This Row],[Times p Drawn - With Replacement]]&gt;0, IF(Audit[[#This Row],[Canceled Differences]]&lt;0, Audit[[#This Row],[Max Differences]]+ABS(Audit[[#This Row],[Canceled Differences]]), Audit[[#This Row],[Max Differences]]), 0)</f>
        <v>0</v>
      </c>
      <c r="AB281" s="111">
        <f>'Sampling Data'!P271</f>
        <v>6.1244487996080352E-5</v>
      </c>
      <c r="AC281" s="111">
        <f>IF(
      SUM(Audit[[#This Row],[Audit Losing Candidate]:[Audit Candidate 6]])
      &lt;&gt;0,
      (Audit[[#This Row],[Winning Candidate]]-Audit[[#This Row],[Losing Candidate]]-(Audit[[#This Row],[Audit Winning Candidate]]-Audit[[#This Row],[Audit Losing Candidate]]))/(Audit[[#Totals],[Winning Candidate]]-Audit[[#Totals],[Losing Candidate]]),
      0
)</f>
        <v>0</v>
      </c>
      <c r="AD2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1" s="111">
        <f>IF(Audit[[#This Row],[Max Relative Error (ep)]] = 0, 0, Audit[[#This Row],[Max Relative Error (ep)]]/Audit[[#This Row],[Error Bound (up) - Max. possible relative overstatement]])</f>
        <v>0</v>
      </c>
      <c r="AJ2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81" s="111">
        <f t="shared" si="4"/>
        <v>1</v>
      </c>
      <c r="AL281" s="111">
        <f>PRODUCT($AK$5:AK281)</f>
        <v>8.962823818226312E-2</v>
      </c>
      <c r="AM281" s="109">
        <f>1 - [K-M P Value]</f>
        <v>0.91037176181773694</v>
      </c>
      <c r="AN281" s="111" t="str">
        <f>IF(Audit[[#This Row],[K-M P Value]]&gt;1-'General Info'!$B$16,"Continue", "Stop")</f>
        <v>Stop</v>
      </c>
      <c r="AO281" s="110" t="b">
        <f>IF(Audit[[#This Row],[Status - Continue or stop audit]] = "Continue", TRUE, IF(AN280 = "Continue", TRUE, FALSE))</f>
        <v>0</v>
      </c>
      <c r="AP281" s="110"/>
    </row>
    <row r="282" spans="1:42" ht="15" hidden="1" customHeight="1">
      <c r="A282" s="111" t="str">
        <f>'Sampling Data'!W272</f>
        <v/>
      </c>
      <c r="B282" s="112" t="str">
        <f>'Sampling Data'!A272</f>
        <v>CLEVELAND -01-Q - ABS</v>
      </c>
      <c r="C282" s="112">
        <f>'Sampling Data'!B272</f>
        <v>0</v>
      </c>
      <c r="D282" s="112">
        <f>'Sampling Data'!C272</f>
        <v>1</v>
      </c>
      <c r="E282" s="113">
        <f>'Sampling Data'!D272</f>
        <v>0</v>
      </c>
      <c r="F282" s="113">
        <f>'Sampling Data'!E272</f>
        <v>0</v>
      </c>
      <c r="G282" s="113">
        <f>'Sampling Data'!F272</f>
        <v>0</v>
      </c>
      <c r="H282" s="113">
        <f>'Sampling Data'!G272</f>
        <v>0</v>
      </c>
      <c r="I282" s="112">
        <f>'Sampling Data'!H272</f>
        <v>0</v>
      </c>
      <c r="J282" s="112">
        <f>'Sampling Data'!I272</f>
        <v>0</v>
      </c>
      <c r="K282" s="112">
        <f>'Sampling Data'!J272</f>
        <v>1</v>
      </c>
      <c r="L282" s="111">
        <f>'Sampling Data'!X272</f>
        <v>0</v>
      </c>
      <c r="M282" s="114"/>
      <c r="N282" s="114"/>
      <c r="O282" s="115"/>
      <c r="P282" s="115"/>
      <c r="Q282" s="116"/>
      <c r="R282" s="116"/>
      <c r="S282" s="111">
        <f>Audit[[#This Row],[Audit Losing Candidate]]-Audit[[#This Row],[Losing Candidate]]</f>
        <v>0</v>
      </c>
      <c r="T282" s="111">
        <f>Audit[[#This Row],[Audit Winning Candidate]]-Audit[[#This Row],[Winning Candidate]]</f>
        <v>-1</v>
      </c>
      <c r="U282" s="111">
        <f>Audit[[#This Row],[Audit Candidate 3]]-Audit[[#This Row],[Candidate 3]]</f>
        <v>0</v>
      </c>
      <c r="V282" s="111">
        <f>Audit[[#This Row],[Audit Candidate 4]]-Audit[[#This Row],[Candidate 4]]</f>
        <v>0</v>
      </c>
      <c r="W282" s="111">
        <f>Audit[[#This Row],[Audit Candidate 5]]-Audit[[#This Row],[Candidate 5]]</f>
        <v>0</v>
      </c>
      <c r="X282" s="111">
        <f>Audit[[#This Row],[Audit Candidate 6]]-Audit[[#This Row],[Candidate 6]]</f>
        <v>0</v>
      </c>
      <c r="Y282" s="111">
        <f>SUMIF(Audit[[#This Row],[Difference Loser]:[Difference Candidate 6]], "&gt;0")</f>
        <v>0</v>
      </c>
      <c r="Z282" s="111">
        <f>SUM(Audit[[#This Row],[Difference Loser]:[Difference Candidate 6]])</f>
        <v>-1</v>
      </c>
      <c r="AA282" s="111">
        <f>IF(Audit[[#This Row],[Times p Drawn - With Replacement]]&gt;0, IF(Audit[[#This Row],[Canceled Differences]]&lt;0, Audit[[#This Row],[Max Differences]]+ABS(Audit[[#This Row],[Canceled Differences]]), Audit[[#This Row],[Max Differences]]), 0)</f>
        <v>0</v>
      </c>
      <c r="AB282" s="111">
        <f>'Sampling Data'!P272</f>
        <v>1.224889759921607E-4</v>
      </c>
      <c r="AC282" s="111">
        <f>IF(
      SUM(Audit[[#This Row],[Audit Losing Candidate]:[Audit Candidate 6]])
      &lt;&gt;0,
      (Audit[[#This Row],[Winning Candidate]]-Audit[[#This Row],[Losing Candidate]]-(Audit[[#This Row],[Audit Winning Candidate]]-Audit[[#This Row],[Audit Losing Candidate]]))/(Audit[[#Totals],[Winning Candidate]]-Audit[[#Totals],[Losing Candidate]]),
      0
)</f>
        <v>0</v>
      </c>
      <c r="AD2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2" s="111">
        <f>IF(Audit[[#This Row],[Max Relative Error (ep)]] = 0, 0, Audit[[#This Row],[Max Relative Error (ep)]]/Audit[[#This Row],[Error Bound (up) - Max. possible relative overstatement]])</f>
        <v>0</v>
      </c>
      <c r="AJ2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82" s="111">
        <f t="shared" si="4"/>
        <v>1</v>
      </c>
      <c r="AL282" s="111">
        <f>PRODUCT($AK$5:AK282)</f>
        <v>8.962823818226312E-2</v>
      </c>
      <c r="AM282" s="109">
        <f>1 - [K-M P Value]</f>
        <v>0.91037176181773694</v>
      </c>
      <c r="AN282" s="111" t="str">
        <f>IF(Audit[[#This Row],[K-M P Value]]&gt;1-'General Info'!$B$16,"Continue", "Stop")</f>
        <v>Stop</v>
      </c>
      <c r="AO282" s="110" t="b">
        <f>IF(Audit[[#This Row],[Status - Continue or stop audit]] = "Continue", TRUE, IF(AN281 = "Continue", TRUE, FALSE))</f>
        <v>0</v>
      </c>
      <c r="AP282" s="110"/>
    </row>
    <row r="283" spans="1:42" ht="15" hidden="1" customHeight="1">
      <c r="A283" s="111" t="str">
        <f>'Sampling Data'!W273</f>
        <v/>
      </c>
      <c r="B283" s="112" t="str">
        <f>'Sampling Data'!A273</f>
        <v>CLEVELAND -01-R</v>
      </c>
      <c r="C283" s="112">
        <f>'Sampling Data'!B273</f>
        <v>0</v>
      </c>
      <c r="D283" s="112">
        <f>'Sampling Data'!C273</f>
        <v>0</v>
      </c>
      <c r="E283" s="113">
        <f>'Sampling Data'!D273</f>
        <v>0</v>
      </c>
      <c r="F283" s="113">
        <f>'Sampling Data'!E273</f>
        <v>0</v>
      </c>
      <c r="G283" s="113">
        <f>'Sampling Data'!F273</f>
        <v>0</v>
      </c>
      <c r="H283" s="113">
        <f>'Sampling Data'!G273</f>
        <v>0</v>
      </c>
      <c r="I283" s="112">
        <f>'Sampling Data'!H273</f>
        <v>0</v>
      </c>
      <c r="J283" s="112">
        <f>'Sampling Data'!I273</f>
        <v>1</v>
      </c>
      <c r="K283" s="112">
        <f>'Sampling Data'!J273</f>
        <v>1</v>
      </c>
      <c r="L283" s="111">
        <f>'Sampling Data'!X273</f>
        <v>0</v>
      </c>
      <c r="M283" s="114"/>
      <c r="N283" s="114"/>
      <c r="O283" s="115"/>
      <c r="P283" s="115"/>
      <c r="Q283" s="116"/>
      <c r="R283" s="116"/>
      <c r="S283" s="111">
        <f>Audit[[#This Row],[Audit Losing Candidate]]-Audit[[#This Row],[Losing Candidate]]</f>
        <v>0</v>
      </c>
      <c r="T283" s="111">
        <f>Audit[[#This Row],[Audit Winning Candidate]]-Audit[[#This Row],[Winning Candidate]]</f>
        <v>0</v>
      </c>
      <c r="U283" s="111">
        <f>Audit[[#This Row],[Audit Candidate 3]]-Audit[[#This Row],[Candidate 3]]</f>
        <v>0</v>
      </c>
      <c r="V283" s="111">
        <f>Audit[[#This Row],[Audit Candidate 4]]-Audit[[#This Row],[Candidate 4]]</f>
        <v>0</v>
      </c>
      <c r="W283" s="111">
        <f>Audit[[#This Row],[Audit Candidate 5]]-Audit[[#This Row],[Candidate 5]]</f>
        <v>0</v>
      </c>
      <c r="X283" s="111">
        <f>Audit[[#This Row],[Audit Candidate 6]]-Audit[[#This Row],[Candidate 6]]</f>
        <v>0</v>
      </c>
      <c r="Y283" s="111">
        <f>SUMIF(Audit[[#This Row],[Difference Loser]:[Difference Candidate 6]], "&gt;0")</f>
        <v>0</v>
      </c>
      <c r="Z283" s="111">
        <f>SUM(Audit[[#This Row],[Difference Loser]:[Difference Candidate 6]])</f>
        <v>0</v>
      </c>
      <c r="AA283" s="111">
        <f>IF(Audit[[#This Row],[Times p Drawn - With Replacement]]&gt;0, IF(Audit[[#This Row],[Canceled Differences]]&lt;0, Audit[[#This Row],[Max Differences]]+ABS(Audit[[#This Row],[Canceled Differences]]), Audit[[#This Row],[Max Differences]]), 0)</f>
        <v>0</v>
      </c>
      <c r="AB283" s="111">
        <f>'Sampling Data'!P273</f>
        <v>6.1244487996080352E-5</v>
      </c>
      <c r="AC283" s="111">
        <f>IF(
      SUM(Audit[[#This Row],[Audit Losing Candidate]:[Audit Candidate 6]])
      &lt;&gt;0,
      (Audit[[#This Row],[Winning Candidate]]-Audit[[#This Row],[Losing Candidate]]-(Audit[[#This Row],[Audit Winning Candidate]]-Audit[[#This Row],[Audit Losing Candidate]]))/(Audit[[#Totals],[Winning Candidate]]-Audit[[#Totals],[Losing Candidate]]),
      0
)</f>
        <v>0</v>
      </c>
      <c r="AD2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3" s="111">
        <f>IF(Audit[[#This Row],[Max Relative Error (ep)]] = 0, 0, Audit[[#This Row],[Max Relative Error (ep)]]/Audit[[#This Row],[Error Bound (up) - Max. possible relative overstatement]])</f>
        <v>0</v>
      </c>
      <c r="AJ2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83" s="111">
        <f t="shared" si="4"/>
        <v>1</v>
      </c>
      <c r="AL283" s="111">
        <f>PRODUCT($AK$5:AK283)</f>
        <v>8.962823818226312E-2</v>
      </c>
      <c r="AM283" s="109">
        <f>1 - [K-M P Value]</f>
        <v>0.91037176181773694</v>
      </c>
      <c r="AN283" s="111" t="str">
        <f>IF(Audit[[#This Row],[K-M P Value]]&gt;1-'General Info'!$B$16,"Continue", "Stop")</f>
        <v>Stop</v>
      </c>
      <c r="AO283" s="110" t="b">
        <f>IF(Audit[[#This Row],[Status - Continue or stop audit]] = "Continue", TRUE, IF(AN282 = "Continue", TRUE, FALSE))</f>
        <v>0</v>
      </c>
      <c r="AP283" s="110"/>
    </row>
    <row r="284" spans="1:42" ht="15" hidden="1" customHeight="1">
      <c r="A284" s="111" t="str">
        <f>'Sampling Data'!W274</f>
        <v/>
      </c>
      <c r="B284" s="112" t="str">
        <f>'Sampling Data'!A274</f>
        <v>CLEVELAND -01-R - ABS</v>
      </c>
      <c r="C284" s="112">
        <f>'Sampling Data'!B274</f>
        <v>0</v>
      </c>
      <c r="D284" s="112">
        <f>'Sampling Data'!C274</f>
        <v>1</v>
      </c>
      <c r="E284" s="113">
        <f>'Sampling Data'!D274</f>
        <v>0</v>
      </c>
      <c r="F284" s="113">
        <f>'Sampling Data'!E274</f>
        <v>0</v>
      </c>
      <c r="G284" s="113">
        <f>'Sampling Data'!F274</f>
        <v>0</v>
      </c>
      <c r="H284" s="113">
        <f>'Sampling Data'!G274</f>
        <v>0</v>
      </c>
      <c r="I284" s="112">
        <f>'Sampling Data'!H274</f>
        <v>0</v>
      </c>
      <c r="J284" s="112">
        <f>'Sampling Data'!I274</f>
        <v>0</v>
      </c>
      <c r="K284" s="112">
        <f>'Sampling Data'!J274</f>
        <v>1</v>
      </c>
      <c r="L284" s="111">
        <f>'Sampling Data'!X274</f>
        <v>0</v>
      </c>
      <c r="M284" s="114"/>
      <c r="N284" s="114"/>
      <c r="O284" s="115"/>
      <c r="P284" s="115"/>
      <c r="Q284" s="116"/>
      <c r="R284" s="116"/>
      <c r="S284" s="111">
        <f>Audit[[#This Row],[Audit Losing Candidate]]-Audit[[#This Row],[Losing Candidate]]</f>
        <v>0</v>
      </c>
      <c r="T284" s="111">
        <f>Audit[[#This Row],[Audit Winning Candidate]]-Audit[[#This Row],[Winning Candidate]]</f>
        <v>-1</v>
      </c>
      <c r="U284" s="111">
        <f>Audit[[#This Row],[Audit Candidate 3]]-Audit[[#This Row],[Candidate 3]]</f>
        <v>0</v>
      </c>
      <c r="V284" s="111">
        <f>Audit[[#This Row],[Audit Candidate 4]]-Audit[[#This Row],[Candidate 4]]</f>
        <v>0</v>
      </c>
      <c r="W284" s="111">
        <f>Audit[[#This Row],[Audit Candidate 5]]-Audit[[#This Row],[Candidate 5]]</f>
        <v>0</v>
      </c>
      <c r="X284" s="111">
        <f>Audit[[#This Row],[Audit Candidate 6]]-Audit[[#This Row],[Candidate 6]]</f>
        <v>0</v>
      </c>
      <c r="Y284" s="111">
        <f>SUMIF(Audit[[#This Row],[Difference Loser]:[Difference Candidate 6]], "&gt;0")</f>
        <v>0</v>
      </c>
      <c r="Z284" s="111">
        <f>SUM(Audit[[#This Row],[Difference Loser]:[Difference Candidate 6]])</f>
        <v>-1</v>
      </c>
      <c r="AA284" s="111">
        <f>IF(Audit[[#This Row],[Times p Drawn - With Replacement]]&gt;0, IF(Audit[[#This Row],[Canceled Differences]]&lt;0, Audit[[#This Row],[Max Differences]]+ABS(Audit[[#This Row],[Canceled Differences]]), Audit[[#This Row],[Max Differences]]), 0)</f>
        <v>0</v>
      </c>
      <c r="AB284" s="111">
        <f>'Sampling Data'!P274</f>
        <v>1.224889759921607E-4</v>
      </c>
      <c r="AC284" s="111">
        <f>IF(
      SUM(Audit[[#This Row],[Audit Losing Candidate]:[Audit Candidate 6]])
      &lt;&gt;0,
      (Audit[[#This Row],[Winning Candidate]]-Audit[[#This Row],[Losing Candidate]]-(Audit[[#This Row],[Audit Winning Candidate]]-Audit[[#This Row],[Audit Losing Candidate]]))/(Audit[[#Totals],[Winning Candidate]]-Audit[[#Totals],[Losing Candidate]]),
      0
)</f>
        <v>0</v>
      </c>
      <c r="AD2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4" s="111">
        <f>IF(Audit[[#This Row],[Max Relative Error (ep)]] = 0, 0, Audit[[#This Row],[Max Relative Error (ep)]]/Audit[[#This Row],[Error Bound (up) - Max. possible relative overstatement]])</f>
        <v>0</v>
      </c>
      <c r="AJ2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84" s="111">
        <f t="shared" si="4"/>
        <v>1</v>
      </c>
      <c r="AL284" s="111">
        <f>PRODUCT($AK$5:AK284)</f>
        <v>8.962823818226312E-2</v>
      </c>
      <c r="AM284" s="109">
        <f>1 - [K-M P Value]</f>
        <v>0.91037176181773694</v>
      </c>
      <c r="AN284" s="111" t="str">
        <f>IF(Audit[[#This Row],[K-M P Value]]&gt;1-'General Info'!$B$16,"Continue", "Stop")</f>
        <v>Stop</v>
      </c>
      <c r="AO284" s="110" t="b">
        <f>IF(Audit[[#This Row],[Status - Continue or stop audit]] = "Continue", TRUE, IF(AN283 = "Continue", TRUE, FALSE))</f>
        <v>0</v>
      </c>
      <c r="AP284" s="110"/>
    </row>
    <row r="285" spans="1:42" ht="15" hidden="1" customHeight="1">
      <c r="A285" s="111" t="str">
        <f>'Sampling Data'!W275</f>
        <v/>
      </c>
      <c r="B285" s="112" t="str">
        <f>'Sampling Data'!A275</f>
        <v>CLEVELAND -01-S</v>
      </c>
      <c r="C285" s="112">
        <f>'Sampling Data'!B275</f>
        <v>0</v>
      </c>
      <c r="D285" s="112">
        <f>'Sampling Data'!C275</f>
        <v>0</v>
      </c>
      <c r="E285" s="113">
        <f>'Sampling Data'!D275</f>
        <v>0</v>
      </c>
      <c r="F285" s="113">
        <f>'Sampling Data'!E275</f>
        <v>0</v>
      </c>
      <c r="G285" s="113">
        <f>'Sampling Data'!F275</f>
        <v>0</v>
      </c>
      <c r="H285" s="113">
        <f>'Sampling Data'!G275</f>
        <v>0</v>
      </c>
      <c r="I285" s="112">
        <f>'Sampling Data'!H275</f>
        <v>0</v>
      </c>
      <c r="J285" s="112">
        <f>'Sampling Data'!I275</f>
        <v>0</v>
      </c>
      <c r="K285" s="112">
        <f>'Sampling Data'!J275</f>
        <v>0</v>
      </c>
      <c r="L285" s="111">
        <f>'Sampling Data'!X275</f>
        <v>0</v>
      </c>
      <c r="M285" s="114"/>
      <c r="N285" s="114"/>
      <c r="O285" s="115"/>
      <c r="P285" s="115"/>
      <c r="Q285" s="116"/>
      <c r="R285" s="116"/>
      <c r="S285" s="111">
        <f>Audit[[#This Row],[Audit Losing Candidate]]-Audit[[#This Row],[Losing Candidate]]</f>
        <v>0</v>
      </c>
      <c r="T285" s="111">
        <f>Audit[[#This Row],[Audit Winning Candidate]]-Audit[[#This Row],[Winning Candidate]]</f>
        <v>0</v>
      </c>
      <c r="U285" s="111">
        <f>Audit[[#This Row],[Audit Candidate 3]]-Audit[[#This Row],[Candidate 3]]</f>
        <v>0</v>
      </c>
      <c r="V285" s="111">
        <f>Audit[[#This Row],[Audit Candidate 4]]-Audit[[#This Row],[Candidate 4]]</f>
        <v>0</v>
      </c>
      <c r="W285" s="111">
        <f>Audit[[#This Row],[Audit Candidate 5]]-Audit[[#This Row],[Candidate 5]]</f>
        <v>0</v>
      </c>
      <c r="X285" s="111">
        <f>Audit[[#This Row],[Audit Candidate 6]]-Audit[[#This Row],[Candidate 6]]</f>
        <v>0</v>
      </c>
      <c r="Y285" s="111">
        <f>SUMIF(Audit[[#This Row],[Difference Loser]:[Difference Candidate 6]], "&gt;0")</f>
        <v>0</v>
      </c>
      <c r="Z285" s="111">
        <f>SUM(Audit[[#This Row],[Difference Loser]:[Difference Candidate 6]])</f>
        <v>0</v>
      </c>
      <c r="AA285" s="111">
        <f>IF(Audit[[#This Row],[Times p Drawn - With Replacement]]&gt;0, IF(Audit[[#This Row],[Canceled Differences]]&lt;0, Audit[[#This Row],[Max Differences]]+ABS(Audit[[#This Row],[Canceled Differences]]), Audit[[#This Row],[Max Differences]]), 0)</f>
        <v>0</v>
      </c>
      <c r="AB285" s="111">
        <f>'Sampling Data'!P275</f>
        <v>0</v>
      </c>
      <c r="AC285" s="111">
        <f>IF(
      SUM(Audit[[#This Row],[Audit Losing Candidate]:[Audit Candidate 6]])
      &lt;&gt;0,
      (Audit[[#This Row],[Winning Candidate]]-Audit[[#This Row],[Losing Candidate]]-(Audit[[#This Row],[Audit Winning Candidate]]-Audit[[#This Row],[Audit Losing Candidate]]))/(Audit[[#Totals],[Winning Candidate]]-Audit[[#Totals],[Losing Candidate]]),
      0
)</f>
        <v>0</v>
      </c>
      <c r="AD2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5" s="111">
        <f>IF(Audit[[#This Row],[Max Relative Error (ep)]] = 0, 0, Audit[[#This Row],[Max Relative Error (ep)]]/Audit[[#This Row],[Error Bound (up) - Max. possible relative overstatement]])</f>
        <v>0</v>
      </c>
      <c r="AJ2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85" s="111">
        <f t="shared" si="4"/>
        <v>1</v>
      </c>
      <c r="AL285" s="111">
        <f>PRODUCT($AK$5:AK285)</f>
        <v>8.962823818226312E-2</v>
      </c>
      <c r="AM285" s="109">
        <f>1 - [K-M P Value]</f>
        <v>0.91037176181773694</v>
      </c>
      <c r="AN285" s="111" t="str">
        <f>IF(Audit[[#This Row],[K-M P Value]]&gt;1-'General Info'!$B$16,"Continue", "Stop")</f>
        <v>Stop</v>
      </c>
      <c r="AO285" s="110" t="b">
        <f>IF(Audit[[#This Row],[Status - Continue or stop audit]] = "Continue", TRUE, IF(AN284 = "Continue", TRUE, FALSE))</f>
        <v>0</v>
      </c>
      <c r="AP285" s="110"/>
    </row>
    <row r="286" spans="1:42" ht="15" hidden="1" customHeight="1">
      <c r="A286" s="111" t="str">
        <f>'Sampling Data'!W276</f>
        <v/>
      </c>
      <c r="B286" s="112" t="str">
        <f>'Sampling Data'!A276</f>
        <v>CLEVELAND -01-S - ABS</v>
      </c>
      <c r="C286" s="112">
        <f>'Sampling Data'!B276</f>
        <v>0</v>
      </c>
      <c r="D286" s="112">
        <f>'Sampling Data'!C276</f>
        <v>0</v>
      </c>
      <c r="E286" s="113">
        <f>'Sampling Data'!D276</f>
        <v>0</v>
      </c>
      <c r="F286" s="113">
        <f>'Sampling Data'!E276</f>
        <v>0</v>
      </c>
      <c r="G286" s="113">
        <f>'Sampling Data'!F276</f>
        <v>0</v>
      </c>
      <c r="H286" s="113">
        <f>'Sampling Data'!G276</f>
        <v>0</v>
      </c>
      <c r="I286" s="112">
        <f>'Sampling Data'!H276</f>
        <v>0</v>
      </c>
      <c r="J286" s="112">
        <f>'Sampling Data'!I276</f>
        <v>0</v>
      </c>
      <c r="K286" s="112">
        <f>'Sampling Data'!J276</f>
        <v>0</v>
      </c>
      <c r="L286" s="111">
        <f>'Sampling Data'!X276</f>
        <v>0</v>
      </c>
      <c r="M286" s="114"/>
      <c r="N286" s="114"/>
      <c r="O286" s="115"/>
      <c r="P286" s="115"/>
      <c r="Q286" s="116"/>
      <c r="R286" s="116"/>
      <c r="S286" s="111">
        <f>Audit[[#This Row],[Audit Losing Candidate]]-Audit[[#This Row],[Losing Candidate]]</f>
        <v>0</v>
      </c>
      <c r="T286" s="111">
        <f>Audit[[#This Row],[Audit Winning Candidate]]-Audit[[#This Row],[Winning Candidate]]</f>
        <v>0</v>
      </c>
      <c r="U286" s="111">
        <f>Audit[[#This Row],[Audit Candidate 3]]-Audit[[#This Row],[Candidate 3]]</f>
        <v>0</v>
      </c>
      <c r="V286" s="111">
        <f>Audit[[#This Row],[Audit Candidate 4]]-Audit[[#This Row],[Candidate 4]]</f>
        <v>0</v>
      </c>
      <c r="W286" s="111">
        <f>Audit[[#This Row],[Audit Candidate 5]]-Audit[[#This Row],[Candidate 5]]</f>
        <v>0</v>
      </c>
      <c r="X286" s="111">
        <f>Audit[[#This Row],[Audit Candidate 6]]-Audit[[#This Row],[Candidate 6]]</f>
        <v>0</v>
      </c>
      <c r="Y286" s="111">
        <f>SUMIF(Audit[[#This Row],[Difference Loser]:[Difference Candidate 6]], "&gt;0")</f>
        <v>0</v>
      </c>
      <c r="Z286" s="111">
        <f>SUM(Audit[[#This Row],[Difference Loser]:[Difference Candidate 6]])</f>
        <v>0</v>
      </c>
      <c r="AA286" s="111">
        <f>IF(Audit[[#This Row],[Times p Drawn - With Replacement]]&gt;0, IF(Audit[[#This Row],[Canceled Differences]]&lt;0, Audit[[#This Row],[Max Differences]]+ABS(Audit[[#This Row],[Canceled Differences]]), Audit[[#This Row],[Max Differences]]), 0)</f>
        <v>0</v>
      </c>
      <c r="AB286" s="111">
        <f>'Sampling Data'!P276</f>
        <v>0</v>
      </c>
      <c r="AC286" s="111">
        <f>IF(
      SUM(Audit[[#This Row],[Audit Losing Candidate]:[Audit Candidate 6]])
      &lt;&gt;0,
      (Audit[[#This Row],[Winning Candidate]]-Audit[[#This Row],[Losing Candidate]]-(Audit[[#This Row],[Audit Winning Candidate]]-Audit[[#This Row],[Audit Losing Candidate]]))/(Audit[[#Totals],[Winning Candidate]]-Audit[[#Totals],[Losing Candidate]]),
      0
)</f>
        <v>0</v>
      </c>
      <c r="AD2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6" s="111">
        <f>IF(Audit[[#This Row],[Max Relative Error (ep)]] = 0, 0, Audit[[#This Row],[Max Relative Error (ep)]]/Audit[[#This Row],[Error Bound (up) - Max. possible relative overstatement]])</f>
        <v>0</v>
      </c>
      <c r="AJ2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86" s="111">
        <f t="shared" si="4"/>
        <v>1</v>
      </c>
      <c r="AL286" s="111">
        <f>PRODUCT($AK$5:AK286)</f>
        <v>8.962823818226312E-2</v>
      </c>
      <c r="AM286" s="109">
        <f>1 - [K-M P Value]</f>
        <v>0.91037176181773694</v>
      </c>
      <c r="AN286" s="111" t="str">
        <f>IF(Audit[[#This Row],[K-M P Value]]&gt;1-'General Info'!$B$16,"Continue", "Stop")</f>
        <v>Stop</v>
      </c>
      <c r="AO286" s="110" t="b">
        <f>IF(Audit[[#This Row],[Status - Continue or stop audit]] = "Continue", TRUE, IF(AN285 = "Continue", TRUE, FALSE))</f>
        <v>0</v>
      </c>
      <c r="AP286" s="110"/>
    </row>
    <row r="287" spans="1:42" ht="15" hidden="1" customHeight="1">
      <c r="A287" s="111" t="str">
        <f>'Sampling Data'!W277</f>
        <v/>
      </c>
      <c r="B287" s="112" t="str">
        <f>'Sampling Data'!A277</f>
        <v>CLEVELAND -01-T</v>
      </c>
      <c r="C287" s="112">
        <f>'Sampling Data'!B277</f>
        <v>1</v>
      </c>
      <c r="D287" s="112">
        <f>'Sampling Data'!C277</f>
        <v>0</v>
      </c>
      <c r="E287" s="113">
        <f>'Sampling Data'!D277</f>
        <v>1</v>
      </c>
      <c r="F287" s="113">
        <f>'Sampling Data'!E277</f>
        <v>0</v>
      </c>
      <c r="G287" s="113">
        <f>'Sampling Data'!F277</f>
        <v>0</v>
      </c>
      <c r="H287" s="113">
        <f>'Sampling Data'!G277</f>
        <v>0</v>
      </c>
      <c r="I287" s="112">
        <f>'Sampling Data'!H277</f>
        <v>0</v>
      </c>
      <c r="J287" s="112">
        <f>'Sampling Data'!I277</f>
        <v>0</v>
      </c>
      <c r="K287" s="112">
        <f>'Sampling Data'!J277</f>
        <v>2</v>
      </c>
      <c r="L287" s="111">
        <f>'Sampling Data'!X277</f>
        <v>0</v>
      </c>
      <c r="M287" s="114"/>
      <c r="N287" s="114"/>
      <c r="O287" s="115"/>
      <c r="P287" s="115"/>
      <c r="Q287" s="116"/>
      <c r="R287" s="116"/>
      <c r="S287" s="111">
        <f>Audit[[#This Row],[Audit Losing Candidate]]-Audit[[#This Row],[Losing Candidate]]</f>
        <v>-1</v>
      </c>
      <c r="T287" s="111">
        <f>Audit[[#This Row],[Audit Winning Candidate]]-Audit[[#This Row],[Winning Candidate]]</f>
        <v>0</v>
      </c>
      <c r="U287" s="111">
        <f>Audit[[#This Row],[Audit Candidate 3]]-Audit[[#This Row],[Candidate 3]]</f>
        <v>-1</v>
      </c>
      <c r="V287" s="111">
        <f>Audit[[#This Row],[Audit Candidate 4]]-Audit[[#This Row],[Candidate 4]]</f>
        <v>0</v>
      </c>
      <c r="W287" s="111">
        <f>Audit[[#This Row],[Audit Candidate 5]]-Audit[[#This Row],[Candidate 5]]</f>
        <v>0</v>
      </c>
      <c r="X287" s="111">
        <f>Audit[[#This Row],[Audit Candidate 6]]-Audit[[#This Row],[Candidate 6]]</f>
        <v>0</v>
      </c>
      <c r="Y287" s="111">
        <f>SUMIF(Audit[[#This Row],[Difference Loser]:[Difference Candidate 6]], "&gt;0")</f>
        <v>0</v>
      </c>
      <c r="Z287" s="111">
        <f>SUM(Audit[[#This Row],[Difference Loser]:[Difference Candidate 6]])</f>
        <v>-2</v>
      </c>
      <c r="AA287" s="111">
        <f>IF(Audit[[#This Row],[Times p Drawn - With Replacement]]&gt;0, IF(Audit[[#This Row],[Canceled Differences]]&lt;0, Audit[[#This Row],[Max Differences]]+ABS(Audit[[#This Row],[Canceled Differences]]), Audit[[#This Row],[Max Differences]]), 0)</f>
        <v>0</v>
      </c>
      <c r="AB287" s="111">
        <f>'Sampling Data'!P277</f>
        <v>6.1244487996080352E-5</v>
      </c>
      <c r="AC287" s="111">
        <f>IF(
      SUM(Audit[[#This Row],[Audit Losing Candidate]:[Audit Candidate 6]])
      &lt;&gt;0,
      (Audit[[#This Row],[Winning Candidate]]-Audit[[#This Row],[Losing Candidate]]-(Audit[[#This Row],[Audit Winning Candidate]]-Audit[[#This Row],[Audit Losing Candidate]]))/(Audit[[#Totals],[Winning Candidate]]-Audit[[#Totals],[Losing Candidate]]),
      0
)</f>
        <v>0</v>
      </c>
      <c r="AD2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7" s="111">
        <f>IF(Audit[[#This Row],[Max Relative Error (ep)]] = 0, 0, Audit[[#This Row],[Max Relative Error (ep)]]/Audit[[#This Row],[Error Bound (up) - Max. possible relative overstatement]])</f>
        <v>0</v>
      </c>
      <c r="AJ2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87" s="111">
        <f t="shared" si="4"/>
        <v>1</v>
      </c>
      <c r="AL287" s="111">
        <f>PRODUCT($AK$5:AK287)</f>
        <v>8.962823818226312E-2</v>
      </c>
      <c r="AM287" s="109">
        <f>1 - [K-M P Value]</f>
        <v>0.91037176181773694</v>
      </c>
      <c r="AN287" s="111" t="str">
        <f>IF(Audit[[#This Row],[K-M P Value]]&gt;1-'General Info'!$B$16,"Continue", "Stop")</f>
        <v>Stop</v>
      </c>
      <c r="AO287" s="110" t="b">
        <f>IF(Audit[[#This Row],[Status - Continue or stop audit]] = "Continue", TRUE, IF(AN286 = "Continue", TRUE, FALSE))</f>
        <v>0</v>
      </c>
      <c r="AP287" s="110"/>
    </row>
    <row r="288" spans="1:42" ht="15" hidden="1" customHeight="1">
      <c r="A288" s="111" t="str">
        <f>'Sampling Data'!W278</f>
        <v/>
      </c>
      <c r="B288" s="112" t="str">
        <f>'Sampling Data'!A278</f>
        <v>CLEVELAND -01-T - ABS</v>
      </c>
      <c r="C288" s="112">
        <f>'Sampling Data'!B278</f>
        <v>1</v>
      </c>
      <c r="D288" s="112">
        <f>'Sampling Data'!C278</f>
        <v>0</v>
      </c>
      <c r="E288" s="113">
        <f>'Sampling Data'!D278</f>
        <v>0</v>
      </c>
      <c r="F288" s="113">
        <f>'Sampling Data'!E278</f>
        <v>0</v>
      </c>
      <c r="G288" s="113">
        <f>'Sampling Data'!F278</f>
        <v>0</v>
      </c>
      <c r="H288" s="113">
        <f>'Sampling Data'!G278</f>
        <v>0</v>
      </c>
      <c r="I288" s="112">
        <f>'Sampling Data'!H278</f>
        <v>0</v>
      </c>
      <c r="J288" s="112">
        <f>'Sampling Data'!I278</f>
        <v>0</v>
      </c>
      <c r="K288" s="112">
        <f>'Sampling Data'!J278</f>
        <v>1</v>
      </c>
      <c r="L288" s="111">
        <f>'Sampling Data'!X278</f>
        <v>0</v>
      </c>
      <c r="M288" s="114"/>
      <c r="N288" s="114"/>
      <c r="O288" s="115"/>
      <c r="P288" s="115"/>
      <c r="Q288" s="116"/>
      <c r="R288" s="116"/>
      <c r="S288" s="111">
        <f>Audit[[#This Row],[Audit Losing Candidate]]-Audit[[#This Row],[Losing Candidate]]</f>
        <v>-1</v>
      </c>
      <c r="T288" s="111">
        <f>Audit[[#This Row],[Audit Winning Candidate]]-Audit[[#This Row],[Winning Candidate]]</f>
        <v>0</v>
      </c>
      <c r="U288" s="111">
        <f>Audit[[#This Row],[Audit Candidate 3]]-Audit[[#This Row],[Candidate 3]]</f>
        <v>0</v>
      </c>
      <c r="V288" s="111">
        <f>Audit[[#This Row],[Audit Candidate 4]]-Audit[[#This Row],[Candidate 4]]</f>
        <v>0</v>
      </c>
      <c r="W288" s="111">
        <f>Audit[[#This Row],[Audit Candidate 5]]-Audit[[#This Row],[Candidate 5]]</f>
        <v>0</v>
      </c>
      <c r="X288" s="111">
        <f>Audit[[#This Row],[Audit Candidate 6]]-Audit[[#This Row],[Candidate 6]]</f>
        <v>0</v>
      </c>
      <c r="Y288" s="111">
        <f>SUMIF(Audit[[#This Row],[Difference Loser]:[Difference Candidate 6]], "&gt;0")</f>
        <v>0</v>
      </c>
      <c r="Z288" s="111">
        <f>SUM(Audit[[#This Row],[Difference Loser]:[Difference Candidate 6]])</f>
        <v>-1</v>
      </c>
      <c r="AA288" s="111">
        <f>IF(Audit[[#This Row],[Times p Drawn - With Replacement]]&gt;0, IF(Audit[[#This Row],[Canceled Differences]]&lt;0, Audit[[#This Row],[Max Differences]]+ABS(Audit[[#This Row],[Canceled Differences]]), Audit[[#This Row],[Max Differences]]), 0)</f>
        <v>0</v>
      </c>
      <c r="AB288" s="111">
        <f>'Sampling Data'!P278</f>
        <v>3.2261186566441917E-5</v>
      </c>
      <c r="AC288" s="111">
        <f>IF(
      SUM(Audit[[#This Row],[Audit Losing Candidate]:[Audit Candidate 6]])
      &lt;&gt;0,
      (Audit[[#This Row],[Winning Candidate]]-Audit[[#This Row],[Losing Candidate]]-(Audit[[#This Row],[Audit Winning Candidate]]-Audit[[#This Row],[Audit Losing Candidate]]))/(Audit[[#Totals],[Winning Candidate]]-Audit[[#Totals],[Losing Candidate]]),
      0
)</f>
        <v>0</v>
      </c>
      <c r="AD2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8" s="111">
        <f>IF(Audit[[#This Row],[Max Relative Error (ep)]] = 0, 0, Audit[[#This Row],[Max Relative Error (ep)]]/Audit[[#This Row],[Error Bound (up) - Max. possible relative overstatement]])</f>
        <v>0</v>
      </c>
      <c r="AJ2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88" s="111">
        <f t="shared" si="4"/>
        <v>1</v>
      </c>
      <c r="AL288" s="111">
        <f>PRODUCT($AK$5:AK288)</f>
        <v>8.962823818226312E-2</v>
      </c>
      <c r="AM288" s="109">
        <f>1 - [K-M P Value]</f>
        <v>0.91037176181773694</v>
      </c>
      <c r="AN288" s="111" t="str">
        <f>IF(Audit[[#This Row],[K-M P Value]]&gt;1-'General Info'!$B$16,"Continue", "Stop")</f>
        <v>Stop</v>
      </c>
      <c r="AO288" s="110" t="b">
        <f>IF(Audit[[#This Row],[Status - Continue or stop audit]] = "Continue", TRUE, IF(AN287 = "Continue", TRUE, FALSE))</f>
        <v>0</v>
      </c>
      <c r="AP288" s="110"/>
    </row>
    <row r="289" spans="1:42" ht="15" hidden="1" customHeight="1">
      <c r="A289" s="111" t="str">
        <f>'Sampling Data'!W279</f>
        <v/>
      </c>
      <c r="B289" s="112" t="str">
        <f>'Sampling Data'!A279</f>
        <v>CLEVELAND -02-A</v>
      </c>
      <c r="C289" s="112">
        <f>'Sampling Data'!B279</f>
        <v>3</v>
      </c>
      <c r="D289" s="112">
        <f>'Sampling Data'!C279</f>
        <v>2</v>
      </c>
      <c r="E289" s="113">
        <f>'Sampling Data'!D279</f>
        <v>1</v>
      </c>
      <c r="F289" s="113">
        <f>'Sampling Data'!E279</f>
        <v>1</v>
      </c>
      <c r="G289" s="113">
        <f>'Sampling Data'!F279</f>
        <v>0</v>
      </c>
      <c r="H289" s="113">
        <f>'Sampling Data'!G279</f>
        <v>0</v>
      </c>
      <c r="I289" s="112">
        <f>'Sampling Data'!H279</f>
        <v>0</v>
      </c>
      <c r="J289" s="112">
        <f>'Sampling Data'!I279</f>
        <v>0</v>
      </c>
      <c r="K289" s="112">
        <f>'Sampling Data'!J279</f>
        <v>7</v>
      </c>
      <c r="L289" s="111">
        <f>'Sampling Data'!X279</f>
        <v>0</v>
      </c>
      <c r="M289" s="114"/>
      <c r="N289" s="114"/>
      <c r="O289" s="115"/>
      <c r="P289" s="115"/>
      <c r="Q289" s="116"/>
      <c r="R289" s="116"/>
      <c r="S289" s="111">
        <f>Audit[[#This Row],[Audit Losing Candidate]]-Audit[[#This Row],[Losing Candidate]]</f>
        <v>-3</v>
      </c>
      <c r="T289" s="111">
        <f>Audit[[#This Row],[Audit Winning Candidate]]-Audit[[#This Row],[Winning Candidate]]</f>
        <v>-2</v>
      </c>
      <c r="U289" s="111">
        <f>Audit[[#This Row],[Audit Candidate 3]]-Audit[[#This Row],[Candidate 3]]</f>
        <v>-1</v>
      </c>
      <c r="V289" s="111">
        <f>Audit[[#This Row],[Audit Candidate 4]]-Audit[[#This Row],[Candidate 4]]</f>
        <v>-1</v>
      </c>
      <c r="W289" s="111">
        <f>Audit[[#This Row],[Audit Candidate 5]]-Audit[[#This Row],[Candidate 5]]</f>
        <v>0</v>
      </c>
      <c r="X289" s="111">
        <f>Audit[[#This Row],[Audit Candidate 6]]-Audit[[#This Row],[Candidate 6]]</f>
        <v>0</v>
      </c>
      <c r="Y289" s="111">
        <f>SUMIF(Audit[[#This Row],[Difference Loser]:[Difference Candidate 6]], "&gt;0")</f>
        <v>0</v>
      </c>
      <c r="Z289" s="111">
        <f>SUM(Audit[[#This Row],[Difference Loser]:[Difference Candidate 6]])</f>
        <v>-7</v>
      </c>
      <c r="AA289" s="111">
        <f>IF(Audit[[#This Row],[Times p Drawn - With Replacement]]&gt;0, IF(Audit[[#This Row],[Canceled Differences]]&lt;0, Audit[[#This Row],[Max Differences]]+ABS(Audit[[#This Row],[Canceled Differences]]), Audit[[#This Row],[Max Differences]]), 0)</f>
        <v>0</v>
      </c>
      <c r="AB289" s="111">
        <f>'Sampling Data'!P279</f>
        <v>3.6746692797648211E-4</v>
      </c>
      <c r="AC289" s="111">
        <f>IF(
      SUM(Audit[[#This Row],[Audit Losing Candidate]:[Audit Candidate 6]])
      &lt;&gt;0,
      (Audit[[#This Row],[Winning Candidate]]-Audit[[#This Row],[Losing Candidate]]-(Audit[[#This Row],[Audit Winning Candidate]]-Audit[[#This Row],[Audit Losing Candidate]]))/(Audit[[#Totals],[Winning Candidate]]-Audit[[#Totals],[Losing Candidate]]),
      0
)</f>
        <v>0</v>
      </c>
      <c r="AD2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9" s="111">
        <f>IF(Audit[[#This Row],[Max Relative Error (ep)]] = 0, 0, Audit[[#This Row],[Max Relative Error (ep)]]/Audit[[#This Row],[Error Bound (up) - Max. possible relative overstatement]])</f>
        <v>0</v>
      </c>
      <c r="AJ2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89" s="111">
        <f t="shared" si="4"/>
        <v>1</v>
      </c>
      <c r="AL289" s="111">
        <f>PRODUCT($AK$5:AK289)</f>
        <v>8.962823818226312E-2</v>
      </c>
      <c r="AM289" s="109">
        <f>1 - [K-M P Value]</f>
        <v>0.91037176181773694</v>
      </c>
      <c r="AN289" s="111" t="str">
        <f>IF(Audit[[#This Row],[K-M P Value]]&gt;1-'General Info'!$B$16,"Continue", "Stop")</f>
        <v>Stop</v>
      </c>
      <c r="AO289" s="110" t="b">
        <f>IF(Audit[[#This Row],[Status - Continue or stop audit]] = "Continue", TRUE, IF(AN288 = "Continue", TRUE, FALSE))</f>
        <v>0</v>
      </c>
      <c r="AP289" s="110"/>
    </row>
    <row r="290" spans="1:42" ht="15" hidden="1" customHeight="1">
      <c r="A290" s="111" t="str">
        <f>'Sampling Data'!W280</f>
        <v/>
      </c>
      <c r="B290" s="112" t="str">
        <f>'Sampling Data'!A280</f>
        <v>CLEVELAND -02-A - ABS</v>
      </c>
      <c r="C290" s="112">
        <f>'Sampling Data'!B280</f>
        <v>1</v>
      </c>
      <c r="D290" s="112">
        <f>'Sampling Data'!C280</f>
        <v>0</v>
      </c>
      <c r="E290" s="113">
        <f>'Sampling Data'!D280</f>
        <v>0</v>
      </c>
      <c r="F290" s="113">
        <f>'Sampling Data'!E280</f>
        <v>0</v>
      </c>
      <c r="G290" s="113">
        <f>'Sampling Data'!F280</f>
        <v>0</v>
      </c>
      <c r="H290" s="113">
        <f>'Sampling Data'!G280</f>
        <v>0</v>
      </c>
      <c r="I290" s="112">
        <f>'Sampling Data'!H280</f>
        <v>0</v>
      </c>
      <c r="J290" s="112">
        <f>'Sampling Data'!I280</f>
        <v>0</v>
      </c>
      <c r="K290" s="112">
        <f>'Sampling Data'!J280</f>
        <v>1</v>
      </c>
      <c r="L290" s="111">
        <f>'Sampling Data'!X280</f>
        <v>0</v>
      </c>
      <c r="M290" s="114"/>
      <c r="N290" s="114"/>
      <c r="O290" s="115"/>
      <c r="P290" s="115"/>
      <c r="Q290" s="116"/>
      <c r="R290" s="116"/>
      <c r="S290" s="111">
        <f>Audit[[#This Row],[Audit Losing Candidate]]-Audit[[#This Row],[Losing Candidate]]</f>
        <v>-1</v>
      </c>
      <c r="T290" s="111">
        <f>Audit[[#This Row],[Audit Winning Candidate]]-Audit[[#This Row],[Winning Candidate]]</f>
        <v>0</v>
      </c>
      <c r="U290" s="111">
        <f>Audit[[#This Row],[Audit Candidate 3]]-Audit[[#This Row],[Candidate 3]]</f>
        <v>0</v>
      </c>
      <c r="V290" s="111">
        <f>Audit[[#This Row],[Audit Candidate 4]]-Audit[[#This Row],[Candidate 4]]</f>
        <v>0</v>
      </c>
      <c r="W290" s="111">
        <f>Audit[[#This Row],[Audit Candidate 5]]-Audit[[#This Row],[Candidate 5]]</f>
        <v>0</v>
      </c>
      <c r="X290" s="111">
        <f>Audit[[#This Row],[Audit Candidate 6]]-Audit[[#This Row],[Candidate 6]]</f>
        <v>0</v>
      </c>
      <c r="Y290" s="111">
        <f>SUMIF(Audit[[#This Row],[Difference Loser]:[Difference Candidate 6]], "&gt;0")</f>
        <v>0</v>
      </c>
      <c r="Z290" s="111">
        <f>SUM(Audit[[#This Row],[Difference Loser]:[Difference Candidate 6]])</f>
        <v>-1</v>
      </c>
      <c r="AA290" s="111">
        <f>IF(Audit[[#This Row],[Times p Drawn - With Replacement]]&gt;0, IF(Audit[[#This Row],[Canceled Differences]]&lt;0, Audit[[#This Row],[Max Differences]]+ABS(Audit[[#This Row],[Canceled Differences]]), Audit[[#This Row],[Max Differences]]), 0)</f>
        <v>0</v>
      </c>
      <c r="AB290" s="111">
        <f>'Sampling Data'!P280</f>
        <v>3.2261186566441917E-5</v>
      </c>
      <c r="AC290" s="111">
        <f>IF(
      SUM(Audit[[#This Row],[Audit Losing Candidate]:[Audit Candidate 6]])
      &lt;&gt;0,
      (Audit[[#This Row],[Winning Candidate]]-Audit[[#This Row],[Losing Candidate]]-(Audit[[#This Row],[Audit Winning Candidate]]-Audit[[#This Row],[Audit Losing Candidate]]))/(Audit[[#Totals],[Winning Candidate]]-Audit[[#Totals],[Losing Candidate]]),
      0
)</f>
        <v>0</v>
      </c>
      <c r="AD2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0" s="111">
        <f>IF(Audit[[#This Row],[Max Relative Error (ep)]] = 0, 0, Audit[[#This Row],[Max Relative Error (ep)]]/Audit[[#This Row],[Error Bound (up) - Max. possible relative overstatement]])</f>
        <v>0</v>
      </c>
      <c r="AJ2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90" s="111">
        <f t="shared" si="4"/>
        <v>1</v>
      </c>
      <c r="AL290" s="111">
        <f>PRODUCT($AK$5:AK290)</f>
        <v>8.962823818226312E-2</v>
      </c>
      <c r="AM290" s="109">
        <f>1 - [K-M P Value]</f>
        <v>0.91037176181773694</v>
      </c>
      <c r="AN290" s="111" t="str">
        <f>IF(Audit[[#This Row],[K-M P Value]]&gt;1-'General Info'!$B$16,"Continue", "Stop")</f>
        <v>Stop</v>
      </c>
      <c r="AO290" s="110" t="b">
        <f>IF(Audit[[#This Row],[Status - Continue or stop audit]] = "Continue", TRUE, IF(AN289 = "Continue", TRUE, FALSE))</f>
        <v>0</v>
      </c>
      <c r="AP290" s="110"/>
    </row>
    <row r="291" spans="1:42" ht="15" hidden="1" customHeight="1">
      <c r="A291" s="111" t="str">
        <f>'Sampling Data'!W281</f>
        <v/>
      </c>
      <c r="B291" s="112" t="str">
        <f>'Sampling Data'!A281</f>
        <v>CLEVELAND -02-B</v>
      </c>
      <c r="C291" s="112">
        <f>'Sampling Data'!B281</f>
        <v>5</v>
      </c>
      <c r="D291" s="112">
        <f>'Sampling Data'!C281</f>
        <v>1</v>
      </c>
      <c r="E291" s="113">
        <f>'Sampling Data'!D281</f>
        <v>0</v>
      </c>
      <c r="F291" s="113">
        <f>'Sampling Data'!E281</f>
        <v>2</v>
      </c>
      <c r="G291" s="113">
        <f>'Sampling Data'!F281</f>
        <v>0</v>
      </c>
      <c r="H291" s="113">
        <f>'Sampling Data'!G281</f>
        <v>0</v>
      </c>
      <c r="I291" s="112">
        <f>'Sampling Data'!H281</f>
        <v>0</v>
      </c>
      <c r="J291" s="112">
        <f>'Sampling Data'!I281</f>
        <v>0</v>
      </c>
      <c r="K291" s="112">
        <f>'Sampling Data'!J281</f>
        <v>8</v>
      </c>
      <c r="L291" s="111">
        <f>'Sampling Data'!X281</f>
        <v>0</v>
      </c>
      <c r="M291" s="114"/>
      <c r="N291" s="114"/>
      <c r="O291" s="115"/>
      <c r="P291" s="115"/>
      <c r="Q291" s="116"/>
      <c r="R291" s="116"/>
      <c r="S291" s="111">
        <f>Audit[[#This Row],[Audit Losing Candidate]]-Audit[[#This Row],[Losing Candidate]]</f>
        <v>-5</v>
      </c>
      <c r="T291" s="111">
        <f>Audit[[#This Row],[Audit Winning Candidate]]-Audit[[#This Row],[Winning Candidate]]</f>
        <v>-1</v>
      </c>
      <c r="U291" s="111">
        <f>Audit[[#This Row],[Audit Candidate 3]]-Audit[[#This Row],[Candidate 3]]</f>
        <v>0</v>
      </c>
      <c r="V291" s="111">
        <f>Audit[[#This Row],[Audit Candidate 4]]-Audit[[#This Row],[Candidate 4]]</f>
        <v>-2</v>
      </c>
      <c r="W291" s="111">
        <f>Audit[[#This Row],[Audit Candidate 5]]-Audit[[#This Row],[Candidate 5]]</f>
        <v>0</v>
      </c>
      <c r="X291" s="111">
        <f>Audit[[#This Row],[Audit Candidate 6]]-Audit[[#This Row],[Candidate 6]]</f>
        <v>0</v>
      </c>
      <c r="Y291" s="111">
        <f>SUMIF(Audit[[#This Row],[Difference Loser]:[Difference Candidate 6]], "&gt;0")</f>
        <v>0</v>
      </c>
      <c r="Z291" s="111">
        <f>SUM(Audit[[#This Row],[Difference Loser]:[Difference Candidate 6]])</f>
        <v>-8</v>
      </c>
      <c r="AA291" s="111">
        <f>IF(Audit[[#This Row],[Times p Drawn - With Replacement]]&gt;0, IF(Audit[[#This Row],[Canceled Differences]]&lt;0, Audit[[#This Row],[Max Differences]]+ABS(Audit[[#This Row],[Canceled Differences]]), Audit[[#This Row],[Max Differences]]), 0)</f>
        <v>0</v>
      </c>
      <c r="AB291" s="111">
        <f>'Sampling Data'!P281</f>
        <v>2.9035067909797722E-4</v>
      </c>
      <c r="AC291" s="111">
        <f>IF(
      SUM(Audit[[#This Row],[Audit Losing Candidate]:[Audit Candidate 6]])
      &lt;&gt;0,
      (Audit[[#This Row],[Winning Candidate]]-Audit[[#This Row],[Losing Candidate]]-(Audit[[#This Row],[Audit Winning Candidate]]-Audit[[#This Row],[Audit Losing Candidate]]))/(Audit[[#Totals],[Winning Candidate]]-Audit[[#Totals],[Losing Candidate]]),
      0
)</f>
        <v>0</v>
      </c>
      <c r="AD2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1" s="111">
        <f>IF(Audit[[#This Row],[Max Relative Error (ep)]] = 0, 0, Audit[[#This Row],[Max Relative Error (ep)]]/Audit[[#This Row],[Error Bound (up) - Max. possible relative overstatement]])</f>
        <v>0</v>
      </c>
      <c r="AJ2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91" s="111">
        <f t="shared" si="4"/>
        <v>1</v>
      </c>
      <c r="AL291" s="111">
        <f>PRODUCT($AK$5:AK291)</f>
        <v>8.962823818226312E-2</v>
      </c>
      <c r="AM291" s="109">
        <f>1 - [K-M P Value]</f>
        <v>0.91037176181773694</v>
      </c>
      <c r="AN291" s="111" t="str">
        <f>IF(Audit[[#This Row],[K-M P Value]]&gt;1-'General Info'!$B$16,"Continue", "Stop")</f>
        <v>Stop</v>
      </c>
      <c r="AO291" s="110" t="b">
        <f>IF(Audit[[#This Row],[Status - Continue or stop audit]] = "Continue", TRUE, IF(AN290 = "Continue", TRUE, FALSE))</f>
        <v>0</v>
      </c>
      <c r="AP291" s="110"/>
    </row>
    <row r="292" spans="1:42" ht="15" hidden="1" customHeight="1">
      <c r="A292" s="111" t="str">
        <f>'Sampling Data'!W282</f>
        <v/>
      </c>
      <c r="B292" s="112" t="str">
        <f>'Sampling Data'!A282</f>
        <v>CLEVELAND -02-B - ABS</v>
      </c>
      <c r="C292" s="112">
        <f>'Sampling Data'!B282</f>
        <v>2</v>
      </c>
      <c r="D292" s="112">
        <f>'Sampling Data'!C282</f>
        <v>4</v>
      </c>
      <c r="E292" s="113">
        <f>'Sampling Data'!D282</f>
        <v>0</v>
      </c>
      <c r="F292" s="113">
        <f>'Sampling Data'!E282</f>
        <v>2</v>
      </c>
      <c r="G292" s="113">
        <f>'Sampling Data'!F282</f>
        <v>0</v>
      </c>
      <c r="H292" s="113">
        <f>'Sampling Data'!G282</f>
        <v>0</v>
      </c>
      <c r="I292" s="112">
        <f>'Sampling Data'!H282</f>
        <v>0</v>
      </c>
      <c r="J292" s="112">
        <f>'Sampling Data'!I282</f>
        <v>0</v>
      </c>
      <c r="K292" s="112">
        <f>'Sampling Data'!J282</f>
        <v>8</v>
      </c>
      <c r="L292" s="111">
        <f>'Sampling Data'!X282</f>
        <v>0</v>
      </c>
      <c r="M292" s="114"/>
      <c r="N292" s="114"/>
      <c r="O292" s="115"/>
      <c r="P292" s="115"/>
      <c r="Q292" s="116"/>
      <c r="R292" s="116"/>
      <c r="S292" s="111">
        <f>Audit[[#This Row],[Audit Losing Candidate]]-Audit[[#This Row],[Losing Candidate]]</f>
        <v>-2</v>
      </c>
      <c r="T292" s="111">
        <f>Audit[[#This Row],[Audit Winning Candidate]]-Audit[[#This Row],[Winning Candidate]]</f>
        <v>-4</v>
      </c>
      <c r="U292" s="111">
        <f>Audit[[#This Row],[Audit Candidate 3]]-Audit[[#This Row],[Candidate 3]]</f>
        <v>0</v>
      </c>
      <c r="V292" s="111">
        <f>Audit[[#This Row],[Audit Candidate 4]]-Audit[[#This Row],[Candidate 4]]</f>
        <v>-2</v>
      </c>
      <c r="W292" s="111">
        <f>Audit[[#This Row],[Audit Candidate 5]]-Audit[[#This Row],[Candidate 5]]</f>
        <v>0</v>
      </c>
      <c r="X292" s="111">
        <f>Audit[[#This Row],[Audit Candidate 6]]-Audit[[#This Row],[Candidate 6]]</f>
        <v>0</v>
      </c>
      <c r="Y292" s="111">
        <f>SUMIF(Audit[[#This Row],[Difference Loser]:[Difference Candidate 6]], "&gt;0")</f>
        <v>0</v>
      </c>
      <c r="Z292" s="111">
        <f>SUM(Audit[[#This Row],[Difference Loser]:[Difference Candidate 6]])</f>
        <v>-8</v>
      </c>
      <c r="AA292" s="111">
        <f>IF(Audit[[#This Row],[Times p Drawn - With Replacement]]&gt;0, IF(Audit[[#This Row],[Canceled Differences]]&lt;0, Audit[[#This Row],[Max Differences]]+ABS(Audit[[#This Row],[Canceled Differences]]), Audit[[#This Row],[Max Differences]]), 0)</f>
        <v>0</v>
      </c>
      <c r="AB292" s="111">
        <f>'Sampling Data'!P282</f>
        <v>6.1244487996080352E-4</v>
      </c>
      <c r="AC292" s="111">
        <f>IF(
      SUM(Audit[[#This Row],[Audit Losing Candidate]:[Audit Candidate 6]])
      &lt;&gt;0,
      (Audit[[#This Row],[Winning Candidate]]-Audit[[#This Row],[Losing Candidate]]-(Audit[[#This Row],[Audit Winning Candidate]]-Audit[[#This Row],[Audit Losing Candidate]]))/(Audit[[#Totals],[Winning Candidate]]-Audit[[#Totals],[Losing Candidate]]),
      0
)</f>
        <v>0</v>
      </c>
      <c r="AD2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2" s="111">
        <f>IF(Audit[[#This Row],[Max Relative Error (ep)]] = 0, 0, Audit[[#This Row],[Max Relative Error (ep)]]/Audit[[#This Row],[Error Bound (up) - Max. possible relative overstatement]])</f>
        <v>0</v>
      </c>
      <c r="AJ2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92" s="111">
        <f t="shared" si="4"/>
        <v>1</v>
      </c>
      <c r="AL292" s="111">
        <f>PRODUCT($AK$5:AK292)</f>
        <v>8.962823818226312E-2</v>
      </c>
      <c r="AM292" s="109">
        <f>1 - [K-M P Value]</f>
        <v>0.91037176181773694</v>
      </c>
      <c r="AN292" s="111" t="str">
        <f>IF(Audit[[#This Row],[K-M P Value]]&gt;1-'General Info'!$B$16,"Continue", "Stop")</f>
        <v>Stop</v>
      </c>
      <c r="AO292" s="110" t="b">
        <f>IF(Audit[[#This Row],[Status - Continue or stop audit]] = "Continue", TRUE, IF(AN291 = "Continue", TRUE, FALSE))</f>
        <v>0</v>
      </c>
      <c r="AP292" s="110"/>
    </row>
    <row r="293" spans="1:42" ht="15" hidden="1" customHeight="1">
      <c r="A293" s="111" t="str">
        <f>'Sampling Data'!W283</f>
        <v/>
      </c>
      <c r="B293" s="112" t="str">
        <f>'Sampling Data'!A283</f>
        <v>CLEVELAND -02-C</v>
      </c>
      <c r="C293" s="112">
        <f>'Sampling Data'!B283</f>
        <v>2</v>
      </c>
      <c r="D293" s="112">
        <f>'Sampling Data'!C283</f>
        <v>1</v>
      </c>
      <c r="E293" s="113">
        <f>'Sampling Data'!D283</f>
        <v>1</v>
      </c>
      <c r="F293" s="113">
        <f>'Sampling Data'!E283</f>
        <v>1</v>
      </c>
      <c r="G293" s="113">
        <f>'Sampling Data'!F283</f>
        <v>0</v>
      </c>
      <c r="H293" s="113">
        <f>'Sampling Data'!G283</f>
        <v>0</v>
      </c>
      <c r="I293" s="112">
        <f>'Sampling Data'!H283</f>
        <v>0</v>
      </c>
      <c r="J293" s="112">
        <f>'Sampling Data'!I283</f>
        <v>0</v>
      </c>
      <c r="K293" s="112">
        <f>'Sampling Data'!J283</f>
        <v>5</v>
      </c>
      <c r="L293" s="111">
        <f>'Sampling Data'!X283</f>
        <v>0</v>
      </c>
      <c r="M293" s="114"/>
      <c r="N293" s="114"/>
      <c r="O293" s="115"/>
      <c r="P293" s="115"/>
      <c r="Q293" s="116"/>
      <c r="R293" s="116"/>
      <c r="S293" s="111">
        <f>Audit[[#This Row],[Audit Losing Candidate]]-Audit[[#This Row],[Losing Candidate]]</f>
        <v>-2</v>
      </c>
      <c r="T293" s="111">
        <f>Audit[[#This Row],[Audit Winning Candidate]]-Audit[[#This Row],[Winning Candidate]]</f>
        <v>-1</v>
      </c>
      <c r="U293" s="111">
        <f>Audit[[#This Row],[Audit Candidate 3]]-Audit[[#This Row],[Candidate 3]]</f>
        <v>-1</v>
      </c>
      <c r="V293" s="111">
        <f>Audit[[#This Row],[Audit Candidate 4]]-Audit[[#This Row],[Candidate 4]]</f>
        <v>-1</v>
      </c>
      <c r="W293" s="111">
        <f>Audit[[#This Row],[Audit Candidate 5]]-Audit[[#This Row],[Candidate 5]]</f>
        <v>0</v>
      </c>
      <c r="X293" s="111">
        <f>Audit[[#This Row],[Audit Candidate 6]]-Audit[[#This Row],[Candidate 6]]</f>
        <v>0</v>
      </c>
      <c r="Y293" s="111">
        <f>SUMIF(Audit[[#This Row],[Difference Loser]:[Difference Candidate 6]], "&gt;0")</f>
        <v>0</v>
      </c>
      <c r="Z293" s="111">
        <f>SUM(Audit[[#This Row],[Difference Loser]:[Difference Candidate 6]])</f>
        <v>-5</v>
      </c>
      <c r="AA293" s="111">
        <f>IF(Audit[[#This Row],[Times p Drawn - With Replacement]]&gt;0, IF(Audit[[#This Row],[Canceled Differences]]&lt;0, Audit[[#This Row],[Max Differences]]+ABS(Audit[[#This Row],[Canceled Differences]]), Audit[[#This Row],[Max Differences]]), 0)</f>
        <v>0</v>
      </c>
      <c r="AB293" s="111">
        <f>'Sampling Data'!P283</f>
        <v>2.4497795198432141E-4</v>
      </c>
      <c r="AC293" s="111">
        <f>IF(
      SUM(Audit[[#This Row],[Audit Losing Candidate]:[Audit Candidate 6]])
      &lt;&gt;0,
      (Audit[[#This Row],[Winning Candidate]]-Audit[[#This Row],[Losing Candidate]]-(Audit[[#This Row],[Audit Winning Candidate]]-Audit[[#This Row],[Audit Losing Candidate]]))/(Audit[[#Totals],[Winning Candidate]]-Audit[[#Totals],[Losing Candidate]]),
      0
)</f>
        <v>0</v>
      </c>
      <c r="AD2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3" s="111">
        <f>IF(Audit[[#This Row],[Max Relative Error (ep)]] = 0, 0, Audit[[#This Row],[Max Relative Error (ep)]]/Audit[[#This Row],[Error Bound (up) - Max. possible relative overstatement]])</f>
        <v>0</v>
      </c>
      <c r="AJ2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93" s="111">
        <f t="shared" si="4"/>
        <v>1</v>
      </c>
      <c r="AL293" s="111">
        <f>PRODUCT($AK$5:AK293)</f>
        <v>8.962823818226312E-2</v>
      </c>
      <c r="AM293" s="109">
        <f>1 - [K-M P Value]</f>
        <v>0.91037176181773694</v>
      </c>
      <c r="AN293" s="111" t="str">
        <f>IF(Audit[[#This Row],[K-M P Value]]&gt;1-'General Info'!$B$16,"Continue", "Stop")</f>
        <v>Stop</v>
      </c>
      <c r="AO293" s="110" t="b">
        <f>IF(Audit[[#This Row],[Status - Continue or stop audit]] = "Continue", TRUE, IF(AN292 = "Continue", TRUE, FALSE))</f>
        <v>0</v>
      </c>
      <c r="AP293" s="110"/>
    </row>
    <row r="294" spans="1:42" ht="15" hidden="1" customHeight="1">
      <c r="A294" s="111" t="str">
        <f>'Sampling Data'!W284</f>
        <v/>
      </c>
      <c r="B294" s="112" t="str">
        <f>'Sampling Data'!A284</f>
        <v>CLEVELAND -02-C - ABS</v>
      </c>
      <c r="C294" s="112">
        <f>'Sampling Data'!B284</f>
        <v>2</v>
      </c>
      <c r="D294" s="112">
        <f>'Sampling Data'!C284</f>
        <v>0</v>
      </c>
      <c r="E294" s="113">
        <f>'Sampling Data'!D284</f>
        <v>0</v>
      </c>
      <c r="F294" s="113">
        <f>'Sampling Data'!E284</f>
        <v>0</v>
      </c>
      <c r="G294" s="113">
        <f>'Sampling Data'!F284</f>
        <v>1</v>
      </c>
      <c r="H294" s="113">
        <f>'Sampling Data'!G284</f>
        <v>0</v>
      </c>
      <c r="I294" s="112">
        <f>'Sampling Data'!H284</f>
        <v>0</v>
      </c>
      <c r="J294" s="112">
        <f>'Sampling Data'!I284</f>
        <v>0</v>
      </c>
      <c r="K294" s="112">
        <f>'Sampling Data'!J284</f>
        <v>3</v>
      </c>
      <c r="L294" s="111">
        <f>'Sampling Data'!X284</f>
        <v>0</v>
      </c>
      <c r="M294" s="114"/>
      <c r="N294" s="114"/>
      <c r="O294" s="115"/>
      <c r="P294" s="115"/>
      <c r="Q294" s="116"/>
      <c r="R294" s="116"/>
      <c r="S294" s="111">
        <f>Audit[[#This Row],[Audit Losing Candidate]]-Audit[[#This Row],[Losing Candidate]]</f>
        <v>-2</v>
      </c>
      <c r="T294" s="111">
        <f>Audit[[#This Row],[Audit Winning Candidate]]-Audit[[#This Row],[Winning Candidate]]</f>
        <v>0</v>
      </c>
      <c r="U294" s="111">
        <f>Audit[[#This Row],[Audit Candidate 3]]-Audit[[#This Row],[Candidate 3]]</f>
        <v>0</v>
      </c>
      <c r="V294" s="111">
        <f>Audit[[#This Row],[Audit Candidate 4]]-Audit[[#This Row],[Candidate 4]]</f>
        <v>0</v>
      </c>
      <c r="W294" s="111">
        <f>Audit[[#This Row],[Audit Candidate 5]]-Audit[[#This Row],[Candidate 5]]</f>
        <v>-1</v>
      </c>
      <c r="X294" s="111">
        <f>Audit[[#This Row],[Audit Candidate 6]]-Audit[[#This Row],[Candidate 6]]</f>
        <v>0</v>
      </c>
      <c r="Y294" s="111">
        <f>SUMIF(Audit[[#This Row],[Difference Loser]:[Difference Candidate 6]], "&gt;0")</f>
        <v>0</v>
      </c>
      <c r="Z294" s="111">
        <f>SUM(Audit[[#This Row],[Difference Loser]:[Difference Candidate 6]])</f>
        <v>-3</v>
      </c>
      <c r="AA294" s="111">
        <f>IF(Audit[[#This Row],[Times p Drawn - With Replacement]]&gt;0, IF(Audit[[#This Row],[Canceled Differences]]&lt;0, Audit[[#This Row],[Max Differences]]+ABS(Audit[[#This Row],[Canceled Differences]]), Audit[[#This Row],[Max Differences]]), 0)</f>
        <v>0</v>
      </c>
      <c r="AB294" s="111">
        <f>'Sampling Data'!P284</f>
        <v>9.6783559699325743E-5</v>
      </c>
      <c r="AC294" s="111">
        <f>IF(
      SUM(Audit[[#This Row],[Audit Losing Candidate]:[Audit Candidate 6]])
      &lt;&gt;0,
      (Audit[[#This Row],[Winning Candidate]]-Audit[[#This Row],[Losing Candidate]]-(Audit[[#This Row],[Audit Winning Candidate]]-Audit[[#This Row],[Audit Losing Candidate]]))/(Audit[[#Totals],[Winning Candidate]]-Audit[[#Totals],[Losing Candidate]]),
      0
)</f>
        <v>0</v>
      </c>
      <c r="AD2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4" s="111">
        <f>IF(Audit[[#This Row],[Max Relative Error (ep)]] = 0, 0, Audit[[#This Row],[Max Relative Error (ep)]]/Audit[[#This Row],[Error Bound (up) - Max. possible relative overstatement]])</f>
        <v>0</v>
      </c>
      <c r="AJ2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94" s="111">
        <f t="shared" si="4"/>
        <v>1</v>
      </c>
      <c r="AL294" s="111">
        <f>PRODUCT($AK$5:AK294)</f>
        <v>8.962823818226312E-2</v>
      </c>
      <c r="AM294" s="109">
        <f>1 - [K-M P Value]</f>
        <v>0.91037176181773694</v>
      </c>
      <c r="AN294" s="111" t="str">
        <f>IF(Audit[[#This Row],[K-M P Value]]&gt;1-'General Info'!$B$16,"Continue", "Stop")</f>
        <v>Stop</v>
      </c>
      <c r="AO294" s="110" t="b">
        <f>IF(Audit[[#This Row],[Status - Continue or stop audit]] = "Continue", TRUE, IF(AN293 = "Continue", TRUE, FALSE))</f>
        <v>0</v>
      </c>
      <c r="AP294" s="110"/>
    </row>
    <row r="295" spans="1:42" ht="15" hidden="1" customHeight="1">
      <c r="A295" s="111" t="str">
        <f>'Sampling Data'!W285</f>
        <v/>
      </c>
      <c r="B295" s="112" t="str">
        <f>'Sampling Data'!A285</f>
        <v>CLEVELAND -02-D</v>
      </c>
      <c r="C295" s="112">
        <f>'Sampling Data'!B285</f>
        <v>22</v>
      </c>
      <c r="D295" s="112">
        <f>'Sampling Data'!C285</f>
        <v>21</v>
      </c>
      <c r="E295" s="113">
        <f>'Sampling Data'!D285</f>
        <v>8</v>
      </c>
      <c r="F295" s="113">
        <f>'Sampling Data'!E285</f>
        <v>4</v>
      </c>
      <c r="G295" s="113">
        <f>'Sampling Data'!F285</f>
        <v>0</v>
      </c>
      <c r="H295" s="113">
        <f>'Sampling Data'!G285</f>
        <v>1</v>
      </c>
      <c r="I295" s="112">
        <f>'Sampling Data'!H285</f>
        <v>0</v>
      </c>
      <c r="J295" s="112">
        <f>'Sampling Data'!I285</f>
        <v>0</v>
      </c>
      <c r="K295" s="112">
        <f>'Sampling Data'!J285</f>
        <v>56</v>
      </c>
      <c r="L295" s="111">
        <f>'Sampling Data'!X285</f>
        <v>0</v>
      </c>
      <c r="M295" s="114"/>
      <c r="N295" s="114"/>
      <c r="O295" s="115"/>
      <c r="P295" s="115"/>
      <c r="Q295" s="116"/>
      <c r="R295" s="116"/>
      <c r="S295" s="111">
        <f>Audit[[#This Row],[Audit Losing Candidate]]-Audit[[#This Row],[Losing Candidate]]</f>
        <v>-22</v>
      </c>
      <c r="T295" s="111">
        <f>Audit[[#This Row],[Audit Winning Candidate]]-Audit[[#This Row],[Winning Candidate]]</f>
        <v>-21</v>
      </c>
      <c r="U295" s="111">
        <f>Audit[[#This Row],[Audit Candidate 3]]-Audit[[#This Row],[Candidate 3]]</f>
        <v>-8</v>
      </c>
      <c r="V295" s="111">
        <f>Audit[[#This Row],[Audit Candidate 4]]-Audit[[#This Row],[Candidate 4]]</f>
        <v>-4</v>
      </c>
      <c r="W295" s="111">
        <f>Audit[[#This Row],[Audit Candidate 5]]-Audit[[#This Row],[Candidate 5]]</f>
        <v>0</v>
      </c>
      <c r="X295" s="111">
        <f>Audit[[#This Row],[Audit Candidate 6]]-Audit[[#This Row],[Candidate 6]]</f>
        <v>-1</v>
      </c>
      <c r="Y295" s="111">
        <f>SUMIF(Audit[[#This Row],[Difference Loser]:[Difference Candidate 6]], "&gt;0")</f>
        <v>0</v>
      </c>
      <c r="Z295" s="111">
        <f>SUM(Audit[[#This Row],[Difference Loser]:[Difference Candidate 6]])</f>
        <v>-56</v>
      </c>
      <c r="AA295" s="111">
        <f>IF(Audit[[#This Row],[Times p Drawn - With Replacement]]&gt;0, IF(Audit[[#This Row],[Canceled Differences]]&lt;0, Audit[[#This Row],[Max Differences]]+ABS(Audit[[#This Row],[Canceled Differences]]), Audit[[#This Row],[Max Differences]]), 0)</f>
        <v>0</v>
      </c>
      <c r="AB295" s="111">
        <f>'Sampling Data'!P285</f>
        <v>3.3684468397844193E-3</v>
      </c>
      <c r="AC295" s="111">
        <f>IF(
      SUM(Audit[[#This Row],[Audit Losing Candidate]:[Audit Candidate 6]])
      &lt;&gt;0,
      (Audit[[#This Row],[Winning Candidate]]-Audit[[#This Row],[Losing Candidate]]-(Audit[[#This Row],[Audit Winning Candidate]]-Audit[[#This Row],[Audit Losing Candidate]]))/(Audit[[#Totals],[Winning Candidate]]-Audit[[#Totals],[Losing Candidate]]),
      0
)</f>
        <v>0</v>
      </c>
      <c r="AD2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5" s="111">
        <f>IF(Audit[[#This Row],[Max Relative Error (ep)]] = 0, 0, Audit[[#This Row],[Max Relative Error (ep)]]/Audit[[#This Row],[Error Bound (up) - Max. possible relative overstatement]])</f>
        <v>0</v>
      </c>
      <c r="AJ2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95" s="111">
        <f t="shared" si="4"/>
        <v>1</v>
      </c>
      <c r="AL295" s="111">
        <f>PRODUCT($AK$5:AK295)</f>
        <v>8.962823818226312E-2</v>
      </c>
      <c r="AM295" s="109">
        <f>1 - [K-M P Value]</f>
        <v>0.91037176181773694</v>
      </c>
      <c r="AN295" s="111" t="str">
        <f>IF(Audit[[#This Row],[K-M P Value]]&gt;1-'General Info'!$B$16,"Continue", "Stop")</f>
        <v>Stop</v>
      </c>
      <c r="AO295" s="110" t="b">
        <f>IF(Audit[[#This Row],[Status - Continue or stop audit]] = "Continue", TRUE, IF(AN294 = "Continue", TRUE, FALSE))</f>
        <v>0</v>
      </c>
      <c r="AP295" s="110"/>
    </row>
    <row r="296" spans="1:42" ht="15" hidden="1" customHeight="1">
      <c r="A296" s="111" t="str">
        <f>'Sampling Data'!W286</f>
        <v/>
      </c>
      <c r="B296" s="112" t="str">
        <f>'Sampling Data'!A286</f>
        <v>CLEVELAND -02-D - ABS</v>
      </c>
      <c r="C296" s="112">
        <f>'Sampling Data'!B286</f>
        <v>4</v>
      </c>
      <c r="D296" s="112">
        <f>'Sampling Data'!C286</f>
        <v>3</v>
      </c>
      <c r="E296" s="113">
        <f>'Sampling Data'!D286</f>
        <v>2</v>
      </c>
      <c r="F296" s="113">
        <f>'Sampling Data'!E286</f>
        <v>1</v>
      </c>
      <c r="G296" s="113">
        <f>'Sampling Data'!F286</f>
        <v>0</v>
      </c>
      <c r="H296" s="113">
        <f>'Sampling Data'!G286</f>
        <v>0</v>
      </c>
      <c r="I296" s="112">
        <f>'Sampling Data'!H286</f>
        <v>0</v>
      </c>
      <c r="J296" s="112">
        <f>'Sampling Data'!I286</f>
        <v>0</v>
      </c>
      <c r="K296" s="112">
        <f>'Sampling Data'!J286</f>
        <v>10</v>
      </c>
      <c r="L296" s="111">
        <f>'Sampling Data'!X286</f>
        <v>0</v>
      </c>
      <c r="M296" s="114"/>
      <c r="N296" s="114"/>
      <c r="O296" s="115"/>
      <c r="P296" s="115"/>
      <c r="Q296" s="116"/>
      <c r="R296" s="116"/>
      <c r="S296" s="111">
        <f>Audit[[#This Row],[Audit Losing Candidate]]-Audit[[#This Row],[Losing Candidate]]</f>
        <v>-4</v>
      </c>
      <c r="T296" s="111">
        <f>Audit[[#This Row],[Audit Winning Candidate]]-Audit[[#This Row],[Winning Candidate]]</f>
        <v>-3</v>
      </c>
      <c r="U296" s="111">
        <f>Audit[[#This Row],[Audit Candidate 3]]-Audit[[#This Row],[Candidate 3]]</f>
        <v>-2</v>
      </c>
      <c r="V296" s="111">
        <f>Audit[[#This Row],[Audit Candidate 4]]-Audit[[#This Row],[Candidate 4]]</f>
        <v>-1</v>
      </c>
      <c r="W296" s="111">
        <f>Audit[[#This Row],[Audit Candidate 5]]-Audit[[#This Row],[Candidate 5]]</f>
        <v>0</v>
      </c>
      <c r="X296" s="111">
        <f>Audit[[#This Row],[Audit Candidate 6]]-Audit[[#This Row],[Candidate 6]]</f>
        <v>0</v>
      </c>
      <c r="Y296" s="111">
        <f>SUMIF(Audit[[#This Row],[Difference Loser]:[Difference Candidate 6]], "&gt;0")</f>
        <v>0</v>
      </c>
      <c r="Z296" s="111">
        <f>SUM(Audit[[#This Row],[Difference Loser]:[Difference Candidate 6]])</f>
        <v>-10</v>
      </c>
      <c r="AA296" s="111">
        <f>IF(Audit[[#This Row],[Times p Drawn - With Replacement]]&gt;0, IF(Audit[[#This Row],[Canceled Differences]]&lt;0, Audit[[#This Row],[Max Differences]]+ABS(Audit[[#This Row],[Canceled Differences]]), Audit[[#This Row],[Max Differences]]), 0)</f>
        <v>0</v>
      </c>
      <c r="AB296" s="111">
        <f>'Sampling Data'!P286</f>
        <v>5.5120039196472322E-4</v>
      </c>
      <c r="AC296" s="111">
        <f>IF(
      SUM(Audit[[#This Row],[Audit Losing Candidate]:[Audit Candidate 6]])
      &lt;&gt;0,
      (Audit[[#This Row],[Winning Candidate]]-Audit[[#This Row],[Losing Candidate]]-(Audit[[#This Row],[Audit Winning Candidate]]-Audit[[#This Row],[Audit Losing Candidate]]))/(Audit[[#Totals],[Winning Candidate]]-Audit[[#Totals],[Losing Candidate]]),
      0
)</f>
        <v>0</v>
      </c>
      <c r="AD2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6" s="111">
        <f>IF(Audit[[#This Row],[Max Relative Error (ep)]] = 0, 0, Audit[[#This Row],[Max Relative Error (ep)]]/Audit[[#This Row],[Error Bound (up) - Max. possible relative overstatement]])</f>
        <v>0</v>
      </c>
      <c r="AJ2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96" s="111">
        <f t="shared" si="4"/>
        <v>1</v>
      </c>
      <c r="AL296" s="111">
        <f>PRODUCT($AK$5:AK296)</f>
        <v>8.962823818226312E-2</v>
      </c>
      <c r="AM296" s="109">
        <f>1 - [K-M P Value]</f>
        <v>0.91037176181773694</v>
      </c>
      <c r="AN296" s="111" t="str">
        <f>IF(Audit[[#This Row],[K-M P Value]]&gt;1-'General Info'!$B$16,"Continue", "Stop")</f>
        <v>Stop</v>
      </c>
      <c r="AO296" s="110" t="b">
        <f>IF(Audit[[#This Row],[Status - Continue or stop audit]] = "Continue", TRUE, IF(AN295 = "Continue", TRUE, FALSE))</f>
        <v>0</v>
      </c>
      <c r="AP296" s="110"/>
    </row>
    <row r="297" spans="1:42" ht="15" hidden="1" customHeight="1">
      <c r="A297" s="111" t="str">
        <f>'Sampling Data'!W287</f>
        <v/>
      </c>
      <c r="B297" s="112" t="str">
        <f>'Sampling Data'!A287</f>
        <v>CLEVELAND -02-E</v>
      </c>
      <c r="C297" s="112">
        <f>'Sampling Data'!B287</f>
        <v>0</v>
      </c>
      <c r="D297" s="112">
        <f>'Sampling Data'!C287</f>
        <v>0</v>
      </c>
      <c r="E297" s="113">
        <f>'Sampling Data'!D287</f>
        <v>0</v>
      </c>
      <c r="F297" s="113">
        <f>'Sampling Data'!E287</f>
        <v>0</v>
      </c>
      <c r="G297" s="113">
        <f>'Sampling Data'!F287</f>
        <v>0</v>
      </c>
      <c r="H297" s="113">
        <f>'Sampling Data'!G287</f>
        <v>0</v>
      </c>
      <c r="I297" s="112">
        <f>'Sampling Data'!H287</f>
        <v>0</v>
      </c>
      <c r="J297" s="112">
        <f>'Sampling Data'!I287</f>
        <v>0</v>
      </c>
      <c r="K297" s="112">
        <f>'Sampling Data'!J287</f>
        <v>0</v>
      </c>
      <c r="L297" s="111">
        <f>'Sampling Data'!X287</f>
        <v>0</v>
      </c>
      <c r="M297" s="114"/>
      <c r="N297" s="114"/>
      <c r="O297" s="115"/>
      <c r="P297" s="115"/>
      <c r="Q297" s="116"/>
      <c r="R297" s="116"/>
      <c r="S297" s="111">
        <f>Audit[[#This Row],[Audit Losing Candidate]]-Audit[[#This Row],[Losing Candidate]]</f>
        <v>0</v>
      </c>
      <c r="T297" s="111">
        <f>Audit[[#This Row],[Audit Winning Candidate]]-Audit[[#This Row],[Winning Candidate]]</f>
        <v>0</v>
      </c>
      <c r="U297" s="111">
        <f>Audit[[#This Row],[Audit Candidate 3]]-Audit[[#This Row],[Candidate 3]]</f>
        <v>0</v>
      </c>
      <c r="V297" s="111">
        <f>Audit[[#This Row],[Audit Candidate 4]]-Audit[[#This Row],[Candidate 4]]</f>
        <v>0</v>
      </c>
      <c r="W297" s="111">
        <f>Audit[[#This Row],[Audit Candidate 5]]-Audit[[#This Row],[Candidate 5]]</f>
        <v>0</v>
      </c>
      <c r="X297" s="111">
        <f>Audit[[#This Row],[Audit Candidate 6]]-Audit[[#This Row],[Candidate 6]]</f>
        <v>0</v>
      </c>
      <c r="Y297" s="111">
        <f>SUMIF(Audit[[#This Row],[Difference Loser]:[Difference Candidate 6]], "&gt;0")</f>
        <v>0</v>
      </c>
      <c r="Z297" s="111">
        <f>SUM(Audit[[#This Row],[Difference Loser]:[Difference Candidate 6]])</f>
        <v>0</v>
      </c>
      <c r="AA297" s="111">
        <f>IF(Audit[[#This Row],[Times p Drawn - With Replacement]]&gt;0, IF(Audit[[#This Row],[Canceled Differences]]&lt;0, Audit[[#This Row],[Max Differences]]+ABS(Audit[[#This Row],[Canceled Differences]]), Audit[[#This Row],[Max Differences]]), 0)</f>
        <v>0</v>
      </c>
      <c r="AB297" s="111">
        <f>'Sampling Data'!P287</f>
        <v>0</v>
      </c>
      <c r="AC297" s="111">
        <f>IF(
      SUM(Audit[[#This Row],[Audit Losing Candidate]:[Audit Candidate 6]])
      &lt;&gt;0,
      (Audit[[#This Row],[Winning Candidate]]-Audit[[#This Row],[Losing Candidate]]-(Audit[[#This Row],[Audit Winning Candidate]]-Audit[[#This Row],[Audit Losing Candidate]]))/(Audit[[#Totals],[Winning Candidate]]-Audit[[#Totals],[Losing Candidate]]),
      0
)</f>
        <v>0</v>
      </c>
      <c r="AD2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7" s="111">
        <f>IF(Audit[[#This Row],[Max Relative Error (ep)]] = 0, 0, Audit[[#This Row],[Max Relative Error (ep)]]/Audit[[#This Row],[Error Bound (up) - Max. possible relative overstatement]])</f>
        <v>0</v>
      </c>
      <c r="AJ2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97" s="111">
        <f t="shared" si="4"/>
        <v>1</v>
      </c>
      <c r="AL297" s="111">
        <f>PRODUCT($AK$5:AK297)</f>
        <v>8.962823818226312E-2</v>
      </c>
      <c r="AM297" s="109">
        <f>1 - [K-M P Value]</f>
        <v>0.91037176181773694</v>
      </c>
      <c r="AN297" s="111" t="str">
        <f>IF(Audit[[#This Row],[K-M P Value]]&gt;1-'General Info'!$B$16,"Continue", "Stop")</f>
        <v>Stop</v>
      </c>
      <c r="AO297" s="110" t="b">
        <f>IF(Audit[[#This Row],[Status - Continue or stop audit]] = "Continue", TRUE, IF(AN296 = "Continue", TRUE, FALSE))</f>
        <v>0</v>
      </c>
      <c r="AP297" s="110"/>
    </row>
    <row r="298" spans="1:42" ht="15" hidden="1" customHeight="1">
      <c r="A298" s="111" t="str">
        <f>'Sampling Data'!W288</f>
        <v/>
      </c>
      <c r="B298" s="112" t="str">
        <f>'Sampling Data'!A288</f>
        <v>CLEVELAND -02-E - ABS</v>
      </c>
      <c r="C298" s="112">
        <f>'Sampling Data'!B288</f>
        <v>0</v>
      </c>
      <c r="D298" s="112">
        <f>'Sampling Data'!C288</f>
        <v>0</v>
      </c>
      <c r="E298" s="113">
        <f>'Sampling Data'!D288</f>
        <v>0</v>
      </c>
      <c r="F298" s="113">
        <f>'Sampling Data'!E288</f>
        <v>0</v>
      </c>
      <c r="G298" s="113">
        <f>'Sampling Data'!F288</f>
        <v>0</v>
      </c>
      <c r="H298" s="113">
        <f>'Sampling Data'!G288</f>
        <v>0</v>
      </c>
      <c r="I298" s="112">
        <f>'Sampling Data'!H288</f>
        <v>0</v>
      </c>
      <c r="J298" s="112">
        <f>'Sampling Data'!I288</f>
        <v>0</v>
      </c>
      <c r="K298" s="112">
        <f>'Sampling Data'!J288</f>
        <v>0</v>
      </c>
      <c r="L298" s="111">
        <f>'Sampling Data'!X288</f>
        <v>0</v>
      </c>
      <c r="M298" s="114"/>
      <c r="N298" s="114"/>
      <c r="O298" s="115"/>
      <c r="P298" s="115"/>
      <c r="Q298" s="116"/>
      <c r="R298" s="116"/>
      <c r="S298" s="111">
        <f>Audit[[#This Row],[Audit Losing Candidate]]-Audit[[#This Row],[Losing Candidate]]</f>
        <v>0</v>
      </c>
      <c r="T298" s="111">
        <f>Audit[[#This Row],[Audit Winning Candidate]]-Audit[[#This Row],[Winning Candidate]]</f>
        <v>0</v>
      </c>
      <c r="U298" s="111">
        <f>Audit[[#This Row],[Audit Candidate 3]]-Audit[[#This Row],[Candidate 3]]</f>
        <v>0</v>
      </c>
      <c r="V298" s="111">
        <f>Audit[[#This Row],[Audit Candidate 4]]-Audit[[#This Row],[Candidate 4]]</f>
        <v>0</v>
      </c>
      <c r="W298" s="111">
        <f>Audit[[#This Row],[Audit Candidate 5]]-Audit[[#This Row],[Candidate 5]]</f>
        <v>0</v>
      </c>
      <c r="X298" s="111">
        <f>Audit[[#This Row],[Audit Candidate 6]]-Audit[[#This Row],[Candidate 6]]</f>
        <v>0</v>
      </c>
      <c r="Y298" s="111">
        <f>SUMIF(Audit[[#This Row],[Difference Loser]:[Difference Candidate 6]], "&gt;0")</f>
        <v>0</v>
      </c>
      <c r="Z298" s="111">
        <f>SUM(Audit[[#This Row],[Difference Loser]:[Difference Candidate 6]])</f>
        <v>0</v>
      </c>
      <c r="AA298" s="111">
        <f>IF(Audit[[#This Row],[Times p Drawn - With Replacement]]&gt;0, IF(Audit[[#This Row],[Canceled Differences]]&lt;0, Audit[[#This Row],[Max Differences]]+ABS(Audit[[#This Row],[Canceled Differences]]), Audit[[#This Row],[Max Differences]]), 0)</f>
        <v>0</v>
      </c>
      <c r="AB298" s="111">
        <f>'Sampling Data'!P288</f>
        <v>0</v>
      </c>
      <c r="AC298" s="111">
        <f>IF(
      SUM(Audit[[#This Row],[Audit Losing Candidate]:[Audit Candidate 6]])
      &lt;&gt;0,
      (Audit[[#This Row],[Winning Candidate]]-Audit[[#This Row],[Losing Candidate]]-(Audit[[#This Row],[Audit Winning Candidate]]-Audit[[#This Row],[Audit Losing Candidate]]))/(Audit[[#Totals],[Winning Candidate]]-Audit[[#Totals],[Losing Candidate]]),
      0
)</f>
        <v>0</v>
      </c>
      <c r="AD2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8" s="111">
        <f>IF(Audit[[#This Row],[Max Relative Error (ep)]] = 0, 0, Audit[[#This Row],[Max Relative Error (ep)]]/Audit[[#This Row],[Error Bound (up) - Max. possible relative overstatement]])</f>
        <v>0</v>
      </c>
      <c r="AJ2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98" s="111">
        <f t="shared" si="4"/>
        <v>1</v>
      </c>
      <c r="AL298" s="111">
        <f>PRODUCT($AK$5:AK298)</f>
        <v>8.962823818226312E-2</v>
      </c>
      <c r="AM298" s="109">
        <f>1 - [K-M P Value]</f>
        <v>0.91037176181773694</v>
      </c>
      <c r="AN298" s="111" t="str">
        <f>IF(Audit[[#This Row],[K-M P Value]]&gt;1-'General Info'!$B$16,"Continue", "Stop")</f>
        <v>Stop</v>
      </c>
      <c r="AO298" s="110" t="b">
        <f>IF(Audit[[#This Row],[Status - Continue or stop audit]] = "Continue", TRUE, IF(AN297 = "Continue", TRUE, FALSE))</f>
        <v>0</v>
      </c>
      <c r="AP298" s="110"/>
    </row>
    <row r="299" spans="1:42" ht="15" hidden="1" customHeight="1">
      <c r="A299" s="111" t="str">
        <f>'Sampling Data'!W289</f>
        <v/>
      </c>
      <c r="B299" s="112" t="str">
        <f>'Sampling Data'!A289</f>
        <v>CLEVELAND -02-F</v>
      </c>
      <c r="C299" s="112">
        <f>'Sampling Data'!B289</f>
        <v>2</v>
      </c>
      <c r="D299" s="112">
        <f>'Sampling Data'!C289</f>
        <v>0</v>
      </c>
      <c r="E299" s="113">
        <f>'Sampling Data'!D289</f>
        <v>0</v>
      </c>
      <c r="F299" s="113">
        <f>'Sampling Data'!E289</f>
        <v>0</v>
      </c>
      <c r="G299" s="113">
        <f>'Sampling Data'!F289</f>
        <v>0</v>
      </c>
      <c r="H299" s="113">
        <f>'Sampling Data'!G289</f>
        <v>0</v>
      </c>
      <c r="I299" s="112">
        <f>'Sampling Data'!H289</f>
        <v>0</v>
      </c>
      <c r="J299" s="112">
        <f>'Sampling Data'!I289</f>
        <v>0</v>
      </c>
      <c r="K299" s="112">
        <f>'Sampling Data'!J289</f>
        <v>2</v>
      </c>
      <c r="L299" s="111">
        <f>'Sampling Data'!X289</f>
        <v>0</v>
      </c>
      <c r="M299" s="114"/>
      <c r="N299" s="114"/>
      <c r="O299" s="115"/>
      <c r="P299" s="115"/>
      <c r="Q299" s="116"/>
      <c r="R299" s="116"/>
      <c r="S299" s="111">
        <f>Audit[[#This Row],[Audit Losing Candidate]]-Audit[[#This Row],[Losing Candidate]]</f>
        <v>-2</v>
      </c>
      <c r="T299" s="111">
        <f>Audit[[#This Row],[Audit Winning Candidate]]-Audit[[#This Row],[Winning Candidate]]</f>
        <v>0</v>
      </c>
      <c r="U299" s="111">
        <f>Audit[[#This Row],[Audit Candidate 3]]-Audit[[#This Row],[Candidate 3]]</f>
        <v>0</v>
      </c>
      <c r="V299" s="111">
        <f>Audit[[#This Row],[Audit Candidate 4]]-Audit[[#This Row],[Candidate 4]]</f>
        <v>0</v>
      </c>
      <c r="W299" s="111">
        <f>Audit[[#This Row],[Audit Candidate 5]]-Audit[[#This Row],[Candidate 5]]</f>
        <v>0</v>
      </c>
      <c r="X299" s="111">
        <f>Audit[[#This Row],[Audit Candidate 6]]-Audit[[#This Row],[Candidate 6]]</f>
        <v>0</v>
      </c>
      <c r="Y299" s="111">
        <f>SUMIF(Audit[[#This Row],[Difference Loser]:[Difference Candidate 6]], "&gt;0")</f>
        <v>0</v>
      </c>
      <c r="Z299" s="111">
        <f>SUM(Audit[[#This Row],[Difference Loser]:[Difference Candidate 6]])</f>
        <v>-2</v>
      </c>
      <c r="AA299" s="111">
        <f>IF(Audit[[#This Row],[Times p Drawn - With Replacement]]&gt;0, IF(Audit[[#This Row],[Canceled Differences]]&lt;0, Audit[[#This Row],[Max Differences]]+ABS(Audit[[#This Row],[Canceled Differences]]), Audit[[#This Row],[Max Differences]]), 0)</f>
        <v>0</v>
      </c>
      <c r="AB299" s="111">
        <f>'Sampling Data'!P289</f>
        <v>6.4522373132883833E-5</v>
      </c>
      <c r="AC299" s="111">
        <f>IF(
      SUM(Audit[[#This Row],[Audit Losing Candidate]:[Audit Candidate 6]])
      &lt;&gt;0,
      (Audit[[#This Row],[Winning Candidate]]-Audit[[#This Row],[Losing Candidate]]-(Audit[[#This Row],[Audit Winning Candidate]]-Audit[[#This Row],[Audit Losing Candidate]]))/(Audit[[#Totals],[Winning Candidate]]-Audit[[#Totals],[Losing Candidate]]),
      0
)</f>
        <v>0</v>
      </c>
      <c r="AD2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9" s="111">
        <f>IF(Audit[[#This Row],[Max Relative Error (ep)]] = 0, 0, Audit[[#This Row],[Max Relative Error (ep)]]/Audit[[#This Row],[Error Bound (up) - Max. possible relative overstatement]])</f>
        <v>0</v>
      </c>
      <c r="AJ2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99" s="111">
        <f t="shared" si="4"/>
        <v>1</v>
      </c>
      <c r="AL299" s="111">
        <f>PRODUCT($AK$5:AK299)</f>
        <v>8.962823818226312E-2</v>
      </c>
      <c r="AM299" s="109">
        <f>1 - [K-M P Value]</f>
        <v>0.91037176181773694</v>
      </c>
      <c r="AN299" s="111" t="str">
        <f>IF(Audit[[#This Row],[K-M P Value]]&gt;1-'General Info'!$B$16,"Continue", "Stop")</f>
        <v>Stop</v>
      </c>
      <c r="AO299" s="110" t="b">
        <f>IF(Audit[[#This Row],[Status - Continue or stop audit]] = "Continue", TRUE, IF(AN298 = "Continue", TRUE, FALSE))</f>
        <v>0</v>
      </c>
      <c r="AP299" s="110"/>
    </row>
    <row r="300" spans="1:42" ht="15" hidden="1" customHeight="1">
      <c r="A300" s="111" t="str">
        <f>'Sampling Data'!W290</f>
        <v/>
      </c>
      <c r="B300" s="112" t="str">
        <f>'Sampling Data'!A290</f>
        <v>CLEVELAND -02-F - ABS</v>
      </c>
      <c r="C300" s="112">
        <f>'Sampling Data'!B290</f>
        <v>0</v>
      </c>
      <c r="D300" s="112">
        <f>'Sampling Data'!C290</f>
        <v>0</v>
      </c>
      <c r="E300" s="113">
        <f>'Sampling Data'!D290</f>
        <v>0</v>
      </c>
      <c r="F300" s="113">
        <f>'Sampling Data'!E290</f>
        <v>0</v>
      </c>
      <c r="G300" s="113">
        <f>'Sampling Data'!F290</f>
        <v>0</v>
      </c>
      <c r="H300" s="113">
        <f>'Sampling Data'!G290</f>
        <v>1</v>
      </c>
      <c r="I300" s="112">
        <f>'Sampling Data'!H290</f>
        <v>0</v>
      </c>
      <c r="J300" s="112">
        <f>'Sampling Data'!I290</f>
        <v>0</v>
      </c>
      <c r="K300" s="112">
        <f>'Sampling Data'!J290</f>
        <v>1</v>
      </c>
      <c r="L300" s="111">
        <f>'Sampling Data'!X290</f>
        <v>0</v>
      </c>
      <c r="M300" s="114"/>
      <c r="N300" s="114"/>
      <c r="O300" s="115"/>
      <c r="P300" s="115"/>
      <c r="Q300" s="116"/>
      <c r="R300" s="116"/>
      <c r="S300" s="111">
        <f>Audit[[#This Row],[Audit Losing Candidate]]-Audit[[#This Row],[Losing Candidate]]</f>
        <v>0</v>
      </c>
      <c r="T300" s="111">
        <f>Audit[[#This Row],[Audit Winning Candidate]]-Audit[[#This Row],[Winning Candidate]]</f>
        <v>0</v>
      </c>
      <c r="U300" s="111">
        <f>Audit[[#This Row],[Audit Candidate 3]]-Audit[[#This Row],[Candidate 3]]</f>
        <v>0</v>
      </c>
      <c r="V300" s="111">
        <f>Audit[[#This Row],[Audit Candidate 4]]-Audit[[#This Row],[Candidate 4]]</f>
        <v>0</v>
      </c>
      <c r="W300" s="111">
        <f>Audit[[#This Row],[Audit Candidate 5]]-Audit[[#This Row],[Candidate 5]]</f>
        <v>0</v>
      </c>
      <c r="X300" s="111">
        <f>Audit[[#This Row],[Audit Candidate 6]]-Audit[[#This Row],[Candidate 6]]</f>
        <v>-1</v>
      </c>
      <c r="Y300" s="111">
        <f>SUMIF(Audit[[#This Row],[Difference Loser]:[Difference Candidate 6]], "&gt;0")</f>
        <v>0</v>
      </c>
      <c r="Z300" s="111">
        <f>SUM(Audit[[#This Row],[Difference Loser]:[Difference Candidate 6]])</f>
        <v>-1</v>
      </c>
      <c r="AA300" s="111">
        <f>IF(Audit[[#This Row],[Times p Drawn - With Replacement]]&gt;0, IF(Audit[[#This Row],[Canceled Differences]]&lt;0, Audit[[#This Row],[Max Differences]]+ABS(Audit[[#This Row],[Canceled Differences]]), Audit[[#This Row],[Max Differences]]), 0)</f>
        <v>0</v>
      </c>
      <c r="AB300" s="111">
        <f>'Sampling Data'!P290</f>
        <v>6.1244487996080352E-5</v>
      </c>
      <c r="AC300" s="111">
        <f>IF(
      SUM(Audit[[#This Row],[Audit Losing Candidate]:[Audit Candidate 6]])
      &lt;&gt;0,
      (Audit[[#This Row],[Winning Candidate]]-Audit[[#This Row],[Losing Candidate]]-(Audit[[#This Row],[Audit Winning Candidate]]-Audit[[#This Row],[Audit Losing Candidate]]))/(Audit[[#Totals],[Winning Candidate]]-Audit[[#Totals],[Losing Candidate]]),
      0
)</f>
        <v>0</v>
      </c>
      <c r="AD3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0" s="111">
        <f>IF(Audit[[#This Row],[Max Relative Error (ep)]] = 0, 0, Audit[[#This Row],[Max Relative Error (ep)]]/Audit[[#This Row],[Error Bound (up) - Max. possible relative overstatement]])</f>
        <v>0</v>
      </c>
      <c r="AJ3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00" s="111">
        <f t="shared" si="4"/>
        <v>1</v>
      </c>
      <c r="AL300" s="111">
        <f>PRODUCT($AK$5:AK300)</f>
        <v>8.962823818226312E-2</v>
      </c>
      <c r="AM300" s="109">
        <f>1 - [K-M P Value]</f>
        <v>0.91037176181773694</v>
      </c>
      <c r="AN300" s="111" t="str">
        <f>IF(Audit[[#This Row],[K-M P Value]]&gt;1-'General Info'!$B$16,"Continue", "Stop")</f>
        <v>Stop</v>
      </c>
      <c r="AO300" s="110" t="b">
        <f>IF(Audit[[#This Row],[Status - Continue or stop audit]] = "Continue", TRUE, IF(AN299 = "Continue", TRUE, FALSE))</f>
        <v>0</v>
      </c>
      <c r="AP300" s="110"/>
    </row>
    <row r="301" spans="1:42" ht="15" hidden="1" customHeight="1">
      <c r="A301" s="111" t="str">
        <f>'Sampling Data'!W291</f>
        <v/>
      </c>
      <c r="B301" s="112" t="str">
        <f>'Sampling Data'!A291</f>
        <v>CLEVELAND -02-G</v>
      </c>
      <c r="C301" s="112">
        <f>'Sampling Data'!B291</f>
        <v>1</v>
      </c>
      <c r="D301" s="112">
        <f>'Sampling Data'!C291</f>
        <v>0</v>
      </c>
      <c r="E301" s="113">
        <f>'Sampling Data'!D291</f>
        <v>0</v>
      </c>
      <c r="F301" s="113">
        <f>'Sampling Data'!E291</f>
        <v>0</v>
      </c>
      <c r="G301" s="113">
        <f>'Sampling Data'!F291</f>
        <v>0</v>
      </c>
      <c r="H301" s="113">
        <f>'Sampling Data'!G291</f>
        <v>0</v>
      </c>
      <c r="I301" s="112">
        <f>'Sampling Data'!H291</f>
        <v>0</v>
      </c>
      <c r="J301" s="112">
        <f>'Sampling Data'!I291</f>
        <v>0</v>
      </c>
      <c r="K301" s="112">
        <f>'Sampling Data'!J291</f>
        <v>1</v>
      </c>
      <c r="L301" s="111">
        <f>'Sampling Data'!X291</f>
        <v>0</v>
      </c>
      <c r="M301" s="114"/>
      <c r="N301" s="114"/>
      <c r="O301" s="115"/>
      <c r="P301" s="115"/>
      <c r="Q301" s="116"/>
      <c r="R301" s="116"/>
      <c r="S301" s="111">
        <f>Audit[[#This Row],[Audit Losing Candidate]]-Audit[[#This Row],[Losing Candidate]]</f>
        <v>-1</v>
      </c>
      <c r="T301" s="111">
        <f>Audit[[#This Row],[Audit Winning Candidate]]-Audit[[#This Row],[Winning Candidate]]</f>
        <v>0</v>
      </c>
      <c r="U301" s="111">
        <f>Audit[[#This Row],[Audit Candidate 3]]-Audit[[#This Row],[Candidate 3]]</f>
        <v>0</v>
      </c>
      <c r="V301" s="111">
        <f>Audit[[#This Row],[Audit Candidate 4]]-Audit[[#This Row],[Candidate 4]]</f>
        <v>0</v>
      </c>
      <c r="W301" s="111">
        <f>Audit[[#This Row],[Audit Candidate 5]]-Audit[[#This Row],[Candidate 5]]</f>
        <v>0</v>
      </c>
      <c r="X301" s="111">
        <f>Audit[[#This Row],[Audit Candidate 6]]-Audit[[#This Row],[Candidate 6]]</f>
        <v>0</v>
      </c>
      <c r="Y301" s="111">
        <f>SUMIF(Audit[[#This Row],[Difference Loser]:[Difference Candidate 6]], "&gt;0")</f>
        <v>0</v>
      </c>
      <c r="Z301" s="111">
        <f>SUM(Audit[[#This Row],[Difference Loser]:[Difference Candidate 6]])</f>
        <v>-1</v>
      </c>
      <c r="AA301" s="111">
        <f>IF(Audit[[#This Row],[Times p Drawn - With Replacement]]&gt;0, IF(Audit[[#This Row],[Canceled Differences]]&lt;0, Audit[[#This Row],[Max Differences]]+ABS(Audit[[#This Row],[Canceled Differences]]), Audit[[#This Row],[Max Differences]]), 0)</f>
        <v>0</v>
      </c>
      <c r="AB301" s="111">
        <f>'Sampling Data'!P291</f>
        <v>3.2261186566441917E-5</v>
      </c>
      <c r="AC301" s="111">
        <f>IF(
      SUM(Audit[[#This Row],[Audit Losing Candidate]:[Audit Candidate 6]])
      &lt;&gt;0,
      (Audit[[#This Row],[Winning Candidate]]-Audit[[#This Row],[Losing Candidate]]-(Audit[[#This Row],[Audit Winning Candidate]]-Audit[[#This Row],[Audit Losing Candidate]]))/(Audit[[#Totals],[Winning Candidate]]-Audit[[#Totals],[Losing Candidate]]),
      0
)</f>
        <v>0</v>
      </c>
      <c r="AD3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1" s="111">
        <f>IF(Audit[[#This Row],[Max Relative Error (ep)]] = 0, 0, Audit[[#This Row],[Max Relative Error (ep)]]/Audit[[#This Row],[Error Bound (up) - Max. possible relative overstatement]])</f>
        <v>0</v>
      </c>
      <c r="AJ3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01" s="111">
        <f t="shared" si="4"/>
        <v>1</v>
      </c>
      <c r="AL301" s="111">
        <f>PRODUCT($AK$5:AK301)</f>
        <v>8.962823818226312E-2</v>
      </c>
      <c r="AM301" s="109">
        <f>1 - [K-M P Value]</f>
        <v>0.91037176181773694</v>
      </c>
      <c r="AN301" s="111" t="str">
        <f>IF(Audit[[#This Row],[K-M P Value]]&gt;1-'General Info'!$B$16,"Continue", "Stop")</f>
        <v>Stop</v>
      </c>
      <c r="AO301" s="110" t="b">
        <f>IF(Audit[[#This Row],[Status - Continue or stop audit]] = "Continue", TRUE, IF(AN300 = "Continue", TRUE, FALSE))</f>
        <v>0</v>
      </c>
      <c r="AP301" s="110"/>
    </row>
    <row r="302" spans="1:42" ht="15" hidden="1" customHeight="1">
      <c r="A302" s="111" t="str">
        <f>'Sampling Data'!W292</f>
        <v/>
      </c>
      <c r="B302" s="112" t="str">
        <f>'Sampling Data'!A292</f>
        <v>CLEVELAND -02-G - ABS</v>
      </c>
      <c r="C302" s="112">
        <f>'Sampling Data'!B292</f>
        <v>0</v>
      </c>
      <c r="D302" s="112">
        <f>'Sampling Data'!C292</f>
        <v>0</v>
      </c>
      <c r="E302" s="113">
        <f>'Sampling Data'!D292</f>
        <v>0</v>
      </c>
      <c r="F302" s="113">
        <f>'Sampling Data'!E292</f>
        <v>0</v>
      </c>
      <c r="G302" s="113">
        <f>'Sampling Data'!F292</f>
        <v>0</v>
      </c>
      <c r="H302" s="113">
        <f>'Sampling Data'!G292</f>
        <v>0</v>
      </c>
      <c r="I302" s="112">
        <f>'Sampling Data'!H292</f>
        <v>0</v>
      </c>
      <c r="J302" s="112">
        <f>'Sampling Data'!I292</f>
        <v>0</v>
      </c>
      <c r="K302" s="112">
        <f>'Sampling Data'!J292</f>
        <v>0</v>
      </c>
      <c r="L302" s="111">
        <f>'Sampling Data'!X292</f>
        <v>0</v>
      </c>
      <c r="M302" s="114"/>
      <c r="N302" s="114"/>
      <c r="O302" s="115"/>
      <c r="P302" s="115"/>
      <c r="Q302" s="116"/>
      <c r="R302" s="116"/>
      <c r="S302" s="111">
        <f>Audit[[#This Row],[Audit Losing Candidate]]-Audit[[#This Row],[Losing Candidate]]</f>
        <v>0</v>
      </c>
      <c r="T302" s="111">
        <f>Audit[[#This Row],[Audit Winning Candidate]]-Audit[[#This Row],[Winning Candidate]]</f>
        <v>0</v>
      </c>
      <c r="U302" s="111">
        <f>Audit[[#This Row],[Audit Candidate 3]]-Audit[[#This Row],[Candidate 3]]</f>
        <v>0</v>
      </c>
      <c r="V302" s="111">
        <f>Audit[[#This Row],[Audit Candidate 4]]-Audit[[#This Row],[Candidate 4]]</f>
        <v>0</v>
      </c>
      <c r="W302" s="111">
        <f>Audit[[#This Row],[Audit Candidate 5]]-Audit[[#This Row],[Candidate 5]]</f>
        <v>0</v>
      </c>
      <c r="X302" s="111">
        <f>Audit[[#This Row],[Audit Candidate 6]]-Audit[[#This Row],[Candidate 6]]</f>
        <v>0</v>
      </c>
      <c r="Y302" s="111">
        <f>SUMIF(Audit[[#This Row],[Difference Loser]:[Difference Candidate 6]], "&gt;0")</f>
        <v>0</v>
      </c>
      <c r="Z302" s="111">
        <f>SUM(Audit[[#This Row],[Difference Loser]:[Difference Candidate 6]])</f>
        <v>0</v>
      </c>
      <c r="AA302" s="111">
        <f>IF(Audit[[#This Row],[Times p Drawn - With Replacement]]&gt;0, IF(Audit[[#This Row],[Canceled Differences]]&lt;0, Audit[[#This Row],[Max Differences]]+ABS(Audit[[#This Row],[Canceled Differences]]), Audit[[#This Row],[Max Differences]]), 0)</f>
        <v>0</v>
      </c>
      <c r="AB302" s="111">
        <f>'Sampling Data'!P292</f>
        <v>0</v>
      </c>
      <c r="AC302" s="111">
        <f>IF(
      SUM(Audit[[#This Row],[Audit Losing Candidate]:[Audit Candidate 6]])
      &lt;&gt;0,
      (Audit[[#This Row],[Winning Candidate]]-Audit[[#This Row],[Losing Candidate]]-(Audit[[#This Row],[Audit Winning Candidate]]-Audit[[#This Row],[Audit Losing Candidate]]))/(Audit[[#Totals],[Winning Candidate]]-Audit[[#Totals],[Losing Candidate]]),
      0
)</f>
        <v>0</v>
      </c>
      <c r="AD3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2" s="111">
        <f>IF(Audit[[#This Row],[Max Relative Error (ep)]] = 0, 0, Audit[[#This Row],[Max Relative Error (ep)]]/Audit[[#This Row],[Error Bound (up) - Max. possible relative overstatement]])</f>
        <v>0</v>
      </c>
      <c r="AJ3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02" s="111">
        <f t="shared" si="4"/>
        <v>1</v>
      </c>
      <c r="AL302" s="111">
        <f>PRODUCT($AK$5:AK302)</f>
        <v>8.962823818226312E-2</v>
      </c>
      <c r="AM302" s="109">
        <f>1 - [K-M P Value]</f>
        <v>0.91037176181773694</v>
      </c>
      <c r="AN302" s="111" t="str">
        <f>IF(Audit[[#This Row],[K-M P Value]]&gt;1-'General Info'!$B$16,"Continue", "Stop")</f>
        <v>Stop</v>
      </c>
      <c r="AO302" s="110" t="b">
        <f>IF(Audit[[#This Row],[Status - Continue or stop audit]] = "Continue", TRUE, IF(AN301 = "Continue", TRUE, FALSE))</f>
        <v>0</v>
      </c>
      <c r="AP302" s="110"/>
    </row>
    <row r="303" spans="1:42" ht="15" hidden="1" customHeight="1">
      <c r="A303" s="111" t="str">
        <f>'Sampling Data'!W293</f>
        <v/>
      </c>
      <c r="B303" s="112" t="str">
        <f>'Sampling Data'!A293</f>
        <v>CLEVELAND -02-H</v>
      </c>
      <c r="C303" s="112">
        <f>'Sampling Data'!B293</f>
        <v>2</v>
      </c>
      <c r="D303" s="112">
        <f>'Sampling Data'!C293</f>
        <v>0</v>
      </c>
      <c r="E303" s="113">
        <f>'Sampling Data'!D293</f>
        <v>0</v>
      </c>
      <c r="F303" s="113">
        <f>'Sampling Data'!E293</f>
        <v>0</v>
      </c>
      <c r="G303" s="113">
        <f>'Sampling Data'!F293</f>
        <v>0</v>
      </c>
      <c r="H303" s="113">
        <f>'Sampling Data'!G293</f>
        <v>0</v>
      </c>
      <c r="I303" s="112">
        <f>'Sampling Data'!H293</f>
        <v>0</v>
      </c>
      <c r="J303" s="112">
        <f>'Sampling Data'!I293</f>
        <v>0</v>
      </c>
      <c r="K303" s="112">
        <f>'Sampling Data'!J293</f>
        <v>2</v>
      </c>
      <c r="L303" s="111">
        <f>'Sampling Data'!X293</f>
        <v>0</v>
      </c>
      <c r="M303" s="114"/>
      <c r="N303" s="114"/>
      <c r="O303" s="115"/>
      <c r="P303" s="115"/>
      <c r="Q303" s="116"/>
      <c r="R303" s="116"/>
      <c r="S303" s="111">
        <f>Audit[[#This Row],[Audit Losing Candidate]]-Audit[[#This Row],[Losing Candidate]]</f>
        <v>-2</v>
      </c>
      <c r="T303" s="111">
        <f>Audit[[#This Row],[Audit Winning Candidate]]-Audit[[#This Row],[Winning Candidate]]</f>
        <v>0</v>
      </c>
      <c r="U303" s="111">
        <f>Audit[[#This Row],[Audit Candidate 3]]-Audit[[#This Row],[Candidate 3]]</f>
        <v>0</v>
      </c>
      <c r="V303" s="111">
        <f>Audit[[#This Row],[Audit Candidate 4]]-Audit[[#This Row],[Candidate 4]]</f>
        <v>0</v>
      </c>
      <c r="W303" s="111">
        <f>Audit[[#This Row],[Audit Candidate 5]]-Audit[[#This Row],[Candidate 5]]</f>
        <v>0</v>
      </c>
      <c r="X303" s="111">
        <f>Audit[[#This Row],[Audit Candidate 6]]-Audit[[#This Row],[Candidate 6]]</f>
        <v>0</v>
      </c>
      <c r="Y303" s="111">
        <f>SUMIF(Audit[[#This Row],[Difference Loser]:[Difference Candidate 6]], "&gt;0")</f>
        <v>0</v>
      </c>
      <c r="Z303" s="111">
        <f>SUM(Audit[[#This Row],[Difference Loser]:[Difference Candidate 6]])</f>
        <v>-2</v>
      </c>
      <c r="AA303" s="111">
        <f>IF(Audit[[#This Row],[Times p Drawn - With Replacement]]&gt;0, IF(Audit[[#This Row],[Canceled Differences]]&lt;0, Audit[[#This Row],[Max Differences]]+ABS(Audit[[#This Row],[Canceled Differences]]), Audit[[#This Row],[Max Differences]]), 0)</f>
        <v>0</v>
      </c>
      <c r="AB303" s="111">
        <f>'Sampling Data'!P293</f>
        <v>6.4522373132883833E-5</v>
      </c>
      <c r="AC303" s="111">
        <f>IF(
      SUM(Audit[[#This Row],[Audit Losing Candidate]:[Audit Candidate 6]])
      &lt;&gt;0,
      (Audit[[#This Row],[Winning Candidate]]-Audit[[#This Row],[Losing Candidate]]-(Audit[[#This Row],[Audit Winning Candidate]]-Audit[[#This Row],[Audit Losing Candidate]]))/(Audit[[#Totals],[Winning Candidate]]-Audit[[#Totals],[Losing Candidate]]),
      0
)</f>
        <v>0</v>
      </c>
      <c r="AD3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3" s="111">
        <f>IF(Audit[[#This Row],[Max Relative Error (ep)]] = 0, 0, Audit[[#This Row],[Max Relative Error (ep)]]/Audit[[#This Row],[Error Bound (up) - Max. possible relative overstatement]])</f>
        <v>0</v>
      </c>
      <c r="AJ3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03" s="111">
        <f t="shared" si="4"/>
        <v>1</v>
      </c>
      <c r="AL303" s="111">
        <f>PRODUCT($AK$5:AK303)</f>
        <v>8.962823818226312E-2</v>
      </c>
      <c r="AM303" s="109">
        <f>1 - [K-M P Value]</f>
        <v>0.91037176181773694</v>
      </c>
      <c r="AN303" s="111" t="str">
        <f>IF(Audit[[#This Row],[K-M P Value]]&gt;1-'General Info'!$B$16,"Continue", "Stop")</f>
        <v>Stop</v>
      </c>
      <c r="AO303" s="110" t="b">
        <f>IF(Audit[[#This Row],[Status - Continue or stop audit]] = "Continue", TRUE, IF(AN302 = "Continue", TRUE, FALSE))</f>
        <v>0</v>
      </c>
      <c r="AP303" s="110"/>
    </row>
    <row r="304" spans="1:42" ht="15" hidden="1" customHeight="1">
      <c r="A304" s="111" t="str">
        <f>'Sampling Data'!W294</f>
        <v/>
      </c>
      <c r="B304" s="112" t="str">
        <f>'Sampling Data'!A294</f>
        <v>CLEVELAND -02-H - ABS</v>
      </c>
      <c r="C304" s="112">
        <f>'Sampling Data'!B294</f>
        <v>0</v>
      </c>
      <c r="D304" s="112">
        <f>'Sampling Data'!C294</f>
        <v>0</v>
      </c>
      <c r="E304" s="113">
        <f>'Sampling Data'!D294</f>
        <v>0</v>
      </c>
      <c r="F304" s="113">
        <f>'Sampling Data'!E294</f>
        <v>0</v>
      </c>
      <c r="G304" s="113">
        <f>'Sampling Data'!F294</f>
        <v>0</v>
      </c>
      <c r="H304" s="113">
        <f>'Sampling Data'!G294</f>
        <v>0</v>
      </c>
      <c r="I304" s="112">
        <f>'Sampling Data'!H294</f>
        <v>0</v>
      </c>
      <c r="J304" s="112">
        <f>'Sampling Data'!I294</f>
        <v>0</v>
      </c>
      <c r="K304" s="112">
        <f>'Sampling Data'!J294</f>
        <v>0</v>
      </c>
      <c r="L304" s="111">
        <f>'Sampling Data'!X294</f>
        <v>0</v>
      </c>
      <c r="M304" s="114"/>
      <c r="N304" s="114"/>
      <c r="O304" s="115"/>
      <c r="P304" s="115"/>
      <c r="Q304" s="116"/>
      <c r="R304" s="116"/>
      <c r="S304" s="111">
        <f>Audit[[#This Row],[Audit Losing Candidate]]-Audit[[#This Row],[Losing Candidate]]</f>
        <v>0</v>
      </c>
      <c r="T304" s="111">
        <f>Audit[[#This Row],[Audit Winning Candidate]]-Audit[[#This Row],[Winning Candidate]]</f>
        <v>0</v>
      </c>
      <c r="U304" s="111">
        <f>Audit[[#This Row],[Audit Candidate 3]]-Audit[[#This Row],[Candidate 3]]</f>
        <v>0</v>
      </c>
      <c r="V304" s="111">
        <f>Audit[[#This Row],[Audit Candidate 4]]-Audit[[#This Row],[Candidate 4]]</f>
        <v>0</v>
      </c>
      <c r="W304" s="111">
        <f>Audit[[#This Row],[Audit Candidate 5]]-Audit[[#This Row],[Candidate 5]]</f>
        <v>0</v>
      </c>
      <c r="X304" s="111">
        <f>Audit[[#This Row],[Audit Candidate 6]]-Audit[[#This Row],[Candidate 6]]</f>
        <v>0</v>
      </c>
      <c r="Y304" s="111">
        <f>SUMIF(Audit[[#This Row],[Difference Loser]:[Difference Candidate 6]], "&gt;0")</f>
        <v>0</v>
      </c>
      <c r="Z304" s="111">
        <f>SUM(Audit[[#This Row],[Difference Loser]:[Difference Candidate 6]])</f>
        <v>0</v>
      </c>
      <c r="AA304" s="111">
        <f>IF(Audit[[#This Row],[Times p Drawn - With Replacement]]&gt;0, IF(Audit[[#This Row],[Canceled Differences]]&lt;0, Audit[[#This Row],[Max Differences]]+ABS(Audit[[#This Row],[Canceled Differences]]), Audit[[#This Row],[Max Differences]]), 0)</f>
        <v>0</v>
      </c>
      <c r="AB304" s="111">
        <f>'Sampling Data'!P294</f>
        <v>0</v>
      </c>
      <c r="AC304" s="111">
        <f>IF(
      SUM(Audit[[#This Row],[Audit Losing Candidate]:[Audit Candidate 6]])
      &lt;&gt;0,
      (Audit[[#This Row],[Winning Candidate]]-Audit[[#This Row],[Losing Candidate]]-(Audit[[#This Row],[Audit Winning Candidate]]-Audit[[#This Row],[Audit Losing Candidate]]))/(Audit[[#Totals],[Winning Candidate]]-Audit[[#Totals],[Losing Candidate]]),
      0
)</f>
        <v>0</v>
      </c>
      <c r="AD3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4" s="111">
        <f>IF(Audit[[#This Row],[Max Relative Error (ep)]] = 0, 0, Audit[[#This Row],[Max Relative Error (ep)]]/Audit[[#This Row],[Error Bound (up) - Max. possible relative overstatement]])</f>
        <v>0</v>
      </c>
      <c r="AJ3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04" s="111">
        <f t="shared" si="4"/>
        <v>1</v>
      </c>
      <c r="AL304" s="111">
        <f>PRODUCT($AK$5:AK304)</f>
        <v>8.962823818226312E-2</v>
      </c>
      <c r="AM304" s="109">
        <f>1 - [K-M P Value]</f>
        <v>0.91037176181773694</v>
      </c>
      <c r="AN304" s="111" t="str">
        <f>IF(Audit[[#This Row],[K-M P Value]]&gt;1-'General Info'!$B$16,"Continue", "Stop")</f>
        <v>Stop</v>
      </c>
      <c r="AO304" s="110" t="b">
        <f>IF(Audit[[#This Row],[Status - Continue or stop audit]] = "Continue", TRUE, IF(AN303 = "Continue", TRUE, FALSE))</f>
        <v>0</v>
      </c>
      <c r="AP304" s="110"/>
    </row>
    <row r="305" spans="1:42" ht="15" hidden="1" customHeight="1">
      <c r="A305" s="111" t="str">
        <f>'Sampling Data'!W295</f>
        <v/>
      </c>
      <c r="B305" s="112" t="str">
        <f>'Sampling Data'!A295</f>
        <v>CLEVELAND -02-I</v>
      </c>
      <c r="C305" s="112">
        <f>'Sampling Data'!B295</f>
        <v>2</v>
      </c>
      <c r="D305" s="112">
        <f>'Sampling Data'!C295</f>
        <v>0</v>
      </c>
      <c r="E305" s="113">
        <f>'Sampling Data'!D295</f>
        <v>0</v>
      </c>
      <c r="F305" s="113">
        <f>'Sampling Data'!E295</f>
        <v>0</v>
      </c>
      <c r="G305" s="113">
        <f>'Sampling Data'!F295</f>
        <v>0</v>
      </c>
      <c r="H305" s="113">
        <f>'Sampling Data'!G295</f>
        <v>0</v>
      </c>
      <c r="I305" s="112">
        <f>'Sampling Data'!H295</f>
        <v>0</v>
      </c>
      <c r="J305" s="112">
        <f>'Sampling Data'!I295</f>
        <v>0</v>
      </c>
      <c r="K305" s="112">
        <f>'Sampling Data'!J295</f>
        <v>2</v>
      </c>
      <c r="L305" s="111">
        <f>'Sampling Data'!X295</f>
        <v>0</v>
      </c>
      <c r="M305" s="114"/>
      <c r="N305" s="114"/>
      <c r="O305" s="115"/>
      <c r="P305" s="115"/>
      <c r="Q305" s="116"/>
      <c r="R305" s="116"/>
      <c r="S305" s="111">
        <f>Audit[[#This Row],[Audit Losing Candidate]]-Audit[[#This Row],[Losing Candidate]]</f>
        <v>-2</v>
      </c>
      <c r="T305" s="111">
        <f>Audit[[#This Row],[Audit Winning Candidate]]-Audit[[#This Row],[Winning Candidate]]</f>
        <v>0</v>
      </c>
      <c r="U305" s="111">
        <f>Audit[[#This Row],[Audit Candidate 3]]-Audit[[#This Row],[Candidate 3]]</f>
        <v>0</v>
      </c>
      <c r="V305" s="111">
        <f>Audit[[#This Row],[Audit Candidate 4]]-Audit[[#This Row],[Candidate 4]]</f>
        <v>0</v>
      </c>
      <c r="W305" s="111">
        <f>Audit[[#This Row],[Audit Candidate 5]]-Audit[[#This Row],[Candidate 5]]</f>
        <v>0</v>
      </c>
      <c r="X305" s="111">
        <f>Audit[[#This Row],[Audit Candidate 6]]-Audit[[#This Row],[Candidate 6]]</f>
        <v>0</v>
      </c>
      <c r="Y305" s="111">
        <f>SUMIF(Audit[[#This Row],[Difference Loser]:[Difference Candidate 6]], "&gt;0")</f>
        <v>0</v>
      </c>
      <c r="Z305" s="111">
        <f>SUM(Audit[[#This Row],[Difference Loser]:[Difference Candidate 6]])</f>
        <v>-2</v>
      </c>
      <c r="AA305" s="111">
        <f>IF(Audit[[#This Row],[Times p Drawn - With Replacement]]&gt;0, IF(Audit[[#This Row],[Canceled Differences]]&lt;0, Audit[[#This Row],[Max Differences]]+ABS(Audit[[#This Row],[Canceled Differences]]), Audit[[#This Row],[Max Differences]]), 0)</f>
        <v>0</v>
      </c>
      <c r="AB305" s="111">
        <f>'Sampling Data'!P295</f>
        <v>6.4522373132883833E-5</v>
      </c>
      <c r="AC305" s="111">
        <f>IF(
      SUM(Audit[[#This Row],[Audit Losing Candidate]:[Audit Candidate 6]])
      &lt;&gt;0,
      (Audit[[#This Row],[Winning Candidate]]-Audit[[#This Row],[Losing Candidate]]-(Audit[[#This Row],[Audit Winning Candidate]]-Audit[[#This Row],[Audit Losing Candidate]]))/(Audit[[#Totals],[Winning Candidate]]-Audit[[#Totals],[Losing Candidate]]),
      0
)</f>
        <v>0</v>
      </c>
      <c r="AD3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5" s="111">
        <f>IF(Audit[[#This Row],[Max Relative Error (ep)]] = 0, 0, Audit[[#This Row],[Max Relative Error (ep)]]/Audit[[#This Row],[Error Bound (up) - Max. possible relative overstatement]])</f>
        <v>0</v>
      </c>
      <c r="AJ3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05" s="111">
        <f t="shared" si="4"/>
        <v>1</v>
      </c>
      <c r="AL305" s="111">
        <f>PRODUCT($AK$5:AK305)</f>
        <v>8.962823818226312E-2</v>
      </c>
      <c r="AM305" s="109">
        <f>1 - [K-M P Value]</f>
        <v>0.91037176181773694</v>
      </c>
      <c r="AN305" s="111" t="str">
        <f>IF(Audit[[#This Row],[K-M P Value]]&gt;1-'General Info'!$B$16,"Continue", "Stop")</f>
        <v>Stop</v>
      </c>
      <c r="AO305" s="110" t="b">
        <f>IF(Audit[[#This Row],[Status - Continue or stop audit]] = "Continue", TRUE, IF(AN304 = "Continue", TRUE, FALSE))</f>
        <v>0</v>
      </c>
      <c r="AP305" s="110"/>
    </row>
    <row r="306" spans="1:42" ht="15" hidden="1" customHeight="1">
      <c r="A306" s="111" t="str">
        <f>'Sampling Data'!W296</f>
        <v/>
      </c>
      <c r="B306" s="112" t="str">
        <f>'Sampling Data'!A296</f>
        <v>CLEVELAND -02-I - ABS</v>
      </c>
      <c r="C306" s="112">
        <f>'Sampling Data'!B296</f>
        <v>0</v>
      </c>
      <c r="D306" s="112">
        <f>'Sampling Data'!C296</f>
        <v>0</v>
      </c>
      <c r="E306" s="113">
        <f>'Sampling Data'!D296</f>
        <v>0</v>
      </c>
      <c r="F306" s="113">
        <f>'Sampling Data'!E296</f>
        <v>1</v>
      </c>
      <c r="G306" s="113">
        <f>'Sampling Data'!F296</f>
        <v>0</v>
      </c>
      <c r="H306" s="113">
        <f>'Sampling Data'!G296</f>
        <v>0</v>
      </c>
      <c r="I306" s="112">
        <f>'Sampling Data'!H296</f>
        <v>0</v>
      </c>
      <c r="J306" s="112">
        <f>'Sampling Data'!I296</f>
        <v>0</v>
      </c>
      <c r="K306" s="112">
        <f>'Sampling Data'!J296</f>
        <v>1</v>
      </c>
      <c r="L306" s="111">
        <f>'Sampling Data'!X296</f>
        <v>0</v>
      </c>
      <c r="M306" s="114"/>
      <c r="N306" s="114"/>
      <c r="O306" s="115"/>
      <c r="P306" s="115"/>
      <c r="Q306" s="116"/>
      <c r="R306" s="116"/>
      <c r="S306" s="111">
        <f>Audit[[#This Row],[Audit Losing Candidate]]-Audit[[#This Row],[Losing Candidate]]</f>
        <v>0</v>
      </c>
      <c r="T306" s="111">
        <f>Audit[[#This Row],[Audit Winning Candidate]]-Audit[[#This Row],[Winning Candidate]]</f>
        <v>0</v>
      </c>
      <c r="U306" s="111">
        <f>Audit[[#This Row],[Audit Candidate 3]]-Audit[[#This Row],[Candidate 3]]</f>
        <v>0</v>
      </c>
      <c r="V306" s="111">
        <f>Audit[[#This Row],[Audit Candidate 4]]-Audit[[#This Row],[Candidate 4]]</f>
        <v>-1</v>
      </c>
      <c r="W306" s="111">
        <f>Audit[[#This Row],[Audit Candidate 5]]-Audit[[#This Row],[Candidate 5]]</f>
        <v>0</v>
      </c>
      <c r="X306" s="111">
        <f>Audit[[#This Row],[Audit Candidate 6]]-Audit[[#This Row],[Candidate 6]]</f>
        <v>0</v>
      </c>
      <c r="Y306" s="111">
        <f>SUMIF(Audit[[#This Row],[Difference Loser]:[Difference Candidate 6]], "&gt;0")</f>
        <v>0</v>
      </c>
      <c r="Z306" s="111">
        <f>SUM(Audit[[#This Row],[Difference Loser]:[Difference Candidate 6]])</f>
        <v>-1</v>
      </c>
      <c r="AA306" s="111">
        <f>IF(Audit[[#This Row],[Times p Drawn - With Replacement]]&gt;0, IF(Audit[[#This Row],[Canceled Differences]]&lt;0, Audit[[#This Row],[Max Differences]]+ABS(Audit[[#This Row],[Canceled Differences]]), Audit[[#This Row],[Max Differences]]), 0)</f>
        <v>0</v>
      </c>
      <c r="AB306" s="111">
        <f>'Sampling Data'!P296</f>
        <v>6.1244487996080352E-5</v>
      </c>
      <c r="AC306" s="111">
        <f>IF(
      SUM(Audit[[#This Row],[Audit Losing Candidate]:[Audit Candidate 6]])
      &lt;&gt;0,
      (Audit[[#This Row],[Winning Candidate]]-Audit[[#This Row],[Losing Candidate]]-(Audit[[#This Row],[Audit Winning Candidate]]-Audit[[#This Row],[Audit Losing Candidate]]))/(Audit[[#Totals],[Winning Candidate]]-Audit[[#Totals],[Losing Candidate]]),
      0
)</f>
        <v>0</v>
      </c>
      <c r="AD3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6" s="111">
        <f>IF(Audit[[#This Row],[Max Relative Error (ep)]] = 0, 0, Audit[[#This Row],[Max Relative Error (ep)]]/Audit[[#This Row],[Error Bound (up) - Max. possible relative overstatement]])</f>
        <v>0</v>
      </c>
      <c r="AJ3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06" s="111">
        <f t="shared" si="4"/>
        <v>1</v>
      </c>
      <c r="AL306" s="111">
        <f>PRODUCT($AK$5:AK306)</f>
        <v>8.962823818226312E-2</v>
      </c>
      <c r="AM306" s="109">
        <f>1 - [K-M P Value]</f>
        <v>0.91037176181773694</v>
      </c>
      <c r="AN306" s="111" t="str">
        <f>IF(Audit[[#This Row],[K-M P Value]]&gt;1-'General Info'!$B$16,"Continue", "Stop")</f>
        <v>Stop</v>
      </c>
      <c r="AO306" s="110" t="b">
        <f>IF(Audit[[#This Row],[Status - Continue or stop audit]] = "Continue", TRUE, IF(AN305 = "Continue", TRUE, FALSE))</f>
        <v>0</v>
      </c>
      <c r="AP306" s="110"/>
    </row>
    <row r="307" spans="1:42" ht="15" hidden="1" customHeight="1">
      <c r="A307" s="111" t="str">
        <f>'Sampling Data'!W297</f>
        <v/>
      </c>
      <c r="B307" s="112" t="str">
        <f>'Sampling Data'!A297</f>
        <v>CLEVELAND -02-J</v>
      </c>
      <c r="C307" s="112">
        <f>'Sampling Data'!B297</f>
        <v>0</v>
      </c>
      <c r="D307" s="112">
        <f>'Sampling Data'!C297</f>
        <v>0</v>
      </c>
      <c r="E307" s="113">
        <f>'Sampling Data'!D297</f>
        <v>0</v>
      </c>
      <c r="F307" s="113">
        <f>'Sampling Data'!E297</f>
        <v>0</v>
      </c>
      <c r="G307" s="113">
        <f>'Sampling Data'!F297</f>
        <v>0</v>
      </c>
      <c r="H307" s="113">
        <f>'Sampling Data'!G297</f>
        <v>0</v>
      </c>
      <c r="I307" s="112">
        <f>'Sampling Data'!H297</f>
        <v>0</v>
      </c>
      <c r="J307" s="112">
        <f>'Sampling Data'!I297</f>
        <v>0</v>
      </c>
      <c r="K307" s="112">
        <f>'Sampling Data'!J297</f>
        <v>0</v>
      </c>
      <c r="L307" s="111">
        <f>'Sampling Data'!X297</f>
        <v>0</v>
      </c>
      <c r="M307" s="114"/>
      <c r="N307" s="114"/>
      <c r="O307" s="115"/>
      <c r="P307" s="115"/>
      <c r="Q307" s="116"/>
      <c r="R307" s="116"/>
      <c r="S307" s="111">
        <f>Audit[[#This Row],[Audit Losing Candidate]]-Audit[[#This Row],[Losing Candidate]]</f>
        <v>0</v>
      </c>
      <c r="T307" s="111">
        <f>Audit[[#This Row],[Audit Winning Candidate]]-Audit[[#This Row],[Winning Candidate]]</f>
        <v>0</v>
      </c>
      <c r="U307" s="111">
        <f>Audit[[#This Row],[Audit Candidate 3]]-Audit[[#This Row],[Candidate 3]]</f>
        <v>0</v>
      </c>
      <c r="V307" s="111">
        <f>Audit[[#This Row],[Audit Candidate 4]]-Audit[[#This Row],[Candidate 4]]</f>
        <v>0</v>
      </c>
      <c r="W307" s="111">
        <f>Audit[[#This Row],[Audit Candidate 5]]-Audit[[#This Row],[Candidate 5]]</f>
        <v>0</v>
      </c>
      <c r="X307" s="111">
        <f>Audit[[#This Row],[Audit Candidate 6]]-Audit[[#This Row],[Candidate 6]]</f>
        <v>0</v>
      </c>
      <c r="Y307" s="111">
        <f>SUMIF(Audit[[#This Row],[Difference Loser]:[Difference Candidate 6]], "&gt;0")</f>
        <v>0</v>
      </c>
      <c r="Z307" s="111">
        <f>SUM(Audit[[#This Row],[Difference Loser]:[Difference Candidate 6]])</f>
        <v>0</v>
      </c>
      <c r="AA307" s="111">
        <f>IF(Audit[[#This Row],[Times p Drawn - With Replacement]]&gt;0, IF(Audit[[#This Row],[Canceled Differences]]&lt;0, Audit[[#This Row],[Max Differences]]+ABS(Audit[[#This Row],[Canceled Differences]]), Audit[[#This Row],[Max Differences]]), 0)</f>
        <v>0</v>
      </c>
      <c r="AB307" s="111">
        <f>'Sampling Data'!P297</f>
        <v>0</v>
      </c>
      <c r="AC307" s="111">
        <f>IF(
      SUM(Audit[[#This Row],[Audit Losing Candidate]:[Audit Candidate 6]])
      &lt;&gt;0,
      (Audit[[#This Row],[Winning Candidate]]-Audit[[#This Row],[Losing Candidate]]-(Audit[[#This Row],[Audit Winning Candidate]]-Audit[[#This Row],[Audit Losing Candidate]]))/(Audit[[#Totals],[Winning Candidate]]-Audit[[#Totals],[Losing Candidate]]),
      0
)</f>
        <v>0</v>
      </c>
      <c r="AD3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7" s="111">
        <f>IF(Audit[[#This Row],[Max Relative Error (ep)]] = 0, 0, Audit[[#This Row],[Max Relative Error (ep)]]/Audit[[#This Row],[Error Bound (up) - Max. possible relative overstatement]])</f>
        <v>0</v>
      </c>
      <c r="AJ3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07" s="111">
        <f t="shared" si="4"/>
        <v>1</v>
      </c>
      <c r="AL307" s="111">
        <f>PRODUCT($AK$5:AK307)</f>
        <v>8.962823818226312E-2</v>
      </c>
      <c r="AM307" s="109">
        <f>1 - [K-M P Value]</f>
        <v>0.91037176181773694</v>
      </c>
      <c r="AN307" s="111" t="str">
        <f>IF(Audit[[#This Row],[K-M P Value]]&gt;1-'General Info'!$B$16,"Continue", "Stop")</f>
        <v>Stop</v>
      </c>
      <c r="AO307" s="110" t="b">
        <f>IF(Audit[[#This Row],[Status - Continue or stop audit]] = "Continue", TRUE, IF(AN306 = "Continue", TRUE, FALSE))</f>
        <v>0</v>
      </c>
      <c r="AP307" s="110"/>
    </row>
    <row r="308" spans="1:42" ht="15" hidden="1" customHeight="1">
      <c r="A308" s="111" t="str">
        <f>'Sampling Data'!W298</f>
        <v/>
      </c>
      <c r="B308" s="112" t="str">
        <f>'Sampling Data'!A298</f>
        <v>CLEVELAND -02-J - ABS</v>
      </c>
      <c r="C308" s="112">
        <f>'Sampling Data'!B298</f>
        <v>0</v>
      </c>
      <c r="D308" s="112">
        <f>'Sampling Data'!C298</f>
        <v>0</v>
      </c>
      <c r="E308" s="113">
        <f>'Sampling Data'!D298</f>
        <v>0</v>
      </c>
      <c r="F308" s="113">
        <f>'Sampling Data'!E298</f>
        <v>0</v>
      </c>
      <c r="G308" s="113">
        <f>'Sampling Data'!F298</f>
        <v>0</v>
      </c>
      <c r="H308" s="113">
        <f>'Sampling Data'!G298</f>
        <v>0</v>
      </c>
      <c r="I308" s="112">
        <f>'Sampling Data'!H298</f>
        <v>0</v>
      </c>
      <c r="J308" s="112">
        <f>'Sampling Data'!I298</f>
        <v>0</v>
      </c>
      <c r="K308" s="112">
        <f>'Sampling Data'!J298</f>
        <v>0</v>
      </c>
      <c r="L308" s="111">
        <f>'Sampling Data'!X298</f>
        <v>0</v>
      </c>
      <c r="M308" s="114"/>
      <c r="N308" s="114"/>
      <c r="O308" s="115"/>
      <c r="P308" s="115"/>
      <c r="Q308" s="116"/>
      <c r="R308" s="116"/>
      <c r="S308" s="111">
        <f>Audit[[#This Row],[Audit Losing Candidate]]-Audit[[#This Row],[Losing Candidate]]</f>
        <v>0</v>
      </c>
      <c r="T308" s="111">
        <f>Audit[[#This Row],[Audit Winning Candidate]]-Audit[[#This Row],[Winning Candidate]]</f>
        <v>0</v>
      </c>
      <c r="U308" s="111">
        <f>Audit[[#This Row],[Audit Candidate 3]]-Audit[[#This Row],[Candidate 3]]</f>
        <v>0</v>
      </c>
      <c r="V308" s="111">
        <f>Audit[[#This Row],[Audit Candidate 4]]-Audit[[#This Row],[Candidate 4]]</f>
        <v>0</v>
      </c>
      <c r="W308" s="111">
        <f>Audit[[#This Row],[Audit Candidate 5]]-Audit[[#This Row],[Candidate 5]]</f>
        <v>0</v>
      </c>
      <c r="X308" s="111">
        <f>Audit[[#This Row],[Audit Candidate 6]]-Audit[[#This Row],[Candidate 6]]</f>
        <v>0</v>
      </c>
      <c r="Y308" s="111">
        <f>SUMIF(Audit[[#This Row],[Difference Loser]:[Difference Candidate 6]], "&gt;0")</f>
        <v>0</v>
      </c>
      <c r="Z308" s="111">
        <f>SUM(Audit[[#This Row],[Difference Loser]:[Difference Candidate 6]])</f>
        <v>0</v>
      </c>
      <c r="AA308" s="111">
        <f>IF(Audit[[#This Row],[Times p Drawn - With Replacement]]&gt;0, IF(Audit[[#This Row],[Canceled Differences]]&lt;0, Audit[[#This Row],[Max Differences]]+ABS(Audit[[#This Row],[Canceled Differences]]), Audit[[#This Row],[Max Differences]]), 0)</f>
        <v>0</v>
      </c>
      <c r="AB308" s="111">
        <f>'Sampling Data'!P298</f>
        <v>0</v>
      </c>
      <c r="AC308" s="111">
        <f>IF(
      SUM(Audit[[#This Row],[Audit Losing Candidate]:[Audit Candidate 6]])
      &lt;&gt;0,
      (Audit[[#This Row],[Winning Candidate]]-Audit[[#This Row],[Losing Candidate]]-(Audit[[#This Row],[Audit Winning Candidate]]-Audit[[#This Row],[Audit Losing Candidate]]))/(Audit[[#Totals],[Winning Candidate]]-Audit[[#Totals],[Losing Candidate]]),
      0
)</f>
        <v>0</v>
      </c>
      <c r="AD3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8" s="111">
        <f>IF(Audit[[#This Row],[Max Relative Error (ep)]] = 0, 0, Audit[[#This Row],[Max Relative Error (ep)]]/Audit[[#This Row],[Error Bound (up) - Max. possible relative overstatement]])</f>
        <v>0</v>
      </c>
      <c r="AJ3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08" s="111">
        <f t="shared" si="4"/>
        <v>1</v>
      </c>
      <c r="AL308" s="111">
        <f>PRODUCT($AK$5:AK308)</f>
        <v>8.962823818226312E-2</v>
      </c>
      <c r="AM308" s="109">
        <f>1 - [K-M P Value]</f>
        <v>0.91037176181773694</v>
      </c>
      <c r="AN308" s="111" t="str">
        <f>IF(Audit[[#This Row],[K-M P Value]]&gt;1-'General Info'!$B$16,"Continue", "Stop")</f>
        <v>Stop</v>
      </c>
      <c r="AO308" s="110" t="b">
        <f>IF(Audit[[#This Row],[Status - Continue or stop audit]] = "Continue", TRUE, IF(AN307 = "Continue", TRUE, FALSE))</f>
        <v>0</v>
      </c>
      <c r="AP308" s="110"/>
    </row>
    <row r="309" spans="1:42" ht="15" hidden="1" customHeight="1">
      <c r="A309" s="111" t="str">
        <f>'Sampling Data'!W299</f>
        <v/>
      </c>
      <c r="B309" s="112" t="str">
        <f>'Sampling Data'!A299</f>
        <v>CLEVELAND -02-K</v>
      </c>
      <c r="C309" s="112">
        <f>'Sampling Data'!B299</f>
        <v>0</v>
      </c>
      <c r="D309" s="112">
        <f>'Sampling Data'!C299</f>
        <v>1</v>
      </c>
      <c r="E309" s="113">
        <f>'Sampling Data'!D299</f>
        <v>1</v>
      </c>
      <c r="F309" s="113">
        <f>'Sampling Data'!E299</f>
        <v>0</v>
      </c>
      <c r="G309" s="113">
        <f>'Sampling Data'!F299</f>
        <v>0</v>
      </c>
      <c r="H309" s="113">
        <f>'Sampling Data'!G299</f>
        <v>0</v>
      </c>
      <c r="I309" s="112">
        <f>'Sampling Data'!H299</f>
        <v>0</v>
      </c>
      <c r="J309" s="112">
        <f>'Sampling Data'!I299</f>
        <v>0</v>
      </c>
      <c r="K309" s="112">
        <f>'Sampling Data'!J299</f>
        <v>2</v>
      </c>
      <c r="L309" s="111">
        <f>'Sampling Data'!X299</f>
        <v>0</v>
      </c>
      <c r="M309" s="114"/>
      <c r="N309" s="114"/>
      <c r="O309" s="115"/>
      <c r="P309" s="115"/>
      <c r="Q309" s="116"/>
      <c r="R309" s="116"/>
      <c r="S309" s="111">
        <f>Audit[[#This Row],[Audit Losing Candidate]]-Audit[[#This Row],[Losing Candidate]]</f>
        <v>0</v>
      </c>
      <c r="T309" s="111">
        <f>Audit[[#This Row],[Audit Winning Candidate]]-Audit[[#This Row],[Winning Candidate]]</f>
        <v>-1</v>
      </c>
      <c r="U309" s="111">
        <f>Audit[[#This Row],[Audit Candidate 3]]-Audit[[#This Row],[Candidate 3]]</f>
        <v>-1</v>
      </c>
      <c r="V309" s="111">
        <f>Audit[[#This Row],[Audit Candidate 4]]-Audit[[#This Row],[Candidate 4]]</f>
        <v>0</v>
      </c>
      <c r="W309" s="111">
        <f>Audit[[#This Row],[Audit Candidate 5]]-Audit[[#This Row],[Candidate 5]]</f>
        <v>0</v>
      </c>
      <c r="X309" s="111">
        <f>Audit[[#This Row],[Audit Candidate 6]]-Audit[[#This Row],[Candidate 6]]</f>
        <v>0</v>
      </c>
      <c r="Y309" s="111">
        <f>SUMIF(Audit[[#This Row],[Difference Loser]:[Difference Candidate 6]], "&gt;0")</f>
        <v>0</v>
      </c>
      <c r="Z309" s="111">
        <f>SUM(Audit[[#This Row],[Difference Loser]:[Difference Candidate 6]])</f>
        <v>-2</v>
      </c>
      <c r="AA309" s="111">
        <f>IF(Audit[[#This Row],[Times p Drawn - With Replacement]]&gt;0, IF(Audit[[#This Row],[Canceled Differences]]&lt;0, Audit[[#This Row],[Max Differences]]+ABS(Audit[[#This Row],[Canceled Differences]]), Audit[[#This Row],[Max Differences]]), 0)</f>
        <v>0</v>
      </c>
      <c r="AB309" s="111">
        <f>'Sampling Data'!P299</f>
        <v>1.8373346398824106E-4</v>
      </c>
      <c r="AC309" s="111">
        <f>IF(
      SUM(Audit[[#This Row],[Audit Losing Candidate]:[Audit Candidate 6]])
      &lt;&gt;0,
      (Audit[[#This Row],[Winning Candidate]]-Audit[[#This Row],[Losing Candidate]]-(Audit[[#This Row],[Audit Winning Candidate]]-Audit[[#This Row],[Audit Losing Candidate]]))/(Audit[[#Totals],[Winning Candidate]]-Audit[[#Totals],[Losing Candidate]]),
      0
)</f>
        <v>0</v>
      </c>
      <c r="AD3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9" s="111">
        <f>IF(Audit[[#This Row],[Max Relative Error (ep)]] = 0, 0, Audit[[#This Row],[Max Relative Error (ep)]]/Audit[[#This Row],[Error Bound (up) - Max. possible relative overstatement]])</f>
        <v>0</v>
      </c>
      <c r="AJ3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09" s="111">
        <f t="shared" si="4"/>
        <v>1</v>
      </c>
      <c r="AL309" s="111">
        <f>PRODUCT($AK$5:AK309)</f>
        <v>8.962823818226312E-2</v>
      </c>
      <c r="AM309" s="109">
        <f>1 - [K-M P Value]</f>
        <v>0.91037176181773694</v>
      </c>
      <c r="AN309" s="111" t="str">
        <f>IF(Audit[[#This Row],[K-M P Value]]&gt;1-'General Info'!$B$16,"Continue", "Stop")</f>
        <v>Stop</v>
      </c>
      <c r="AO309" s="110" t="b">
        <f>IF(Audit[[#This Row],[Status - Continue or stop audit]] = "Continue", TRUE, IF(AN308 = "Continue", TRUE, FALSE))</f>
        <v>0</v>
      </c>
      <c r="AP309" s="110"/>
    </row>
    <row r="310" spans="1:42" ht="15" hidden="1" customHeight="1">
      <c r="A310" s="111" t="str">
        <f>'Sampling Data'!W300</f>
        <v/>
      </c>
      <c r="B310" s="112" t="str">
        <f>'Sampling Data'!A300</f>
        <v>CLEVELAND -02-K - ABS</v>
      </c>
      <c r="C310" s="112">
        <f>'Sampling Data'!B300</f>
        <v>1</v>
      </c>
      <c r="D310" s="112">
        <f>'Sampling Data'!C300</f>
        <v>0</v>
      </c>
      <c r="E310" s="113">
        <f>'Sampling Data'!D300</f>
        <v>0</v>
      </c>
      <c r="F310" s="113">
        <f>'Sampling Data'!E300</f>
        <v>0</v>
      </c>
      <c r="G310" s="113">
        <f>'Sampling Data'!F300</f>
        <v>0</v>
      </c>
      <c r="H310" s="113">
        <f>'Sampling Data'!G300</f>
        <v>0</v>
      </c>
      <c r="I310" s="112">
        <f>'Sampling Data'!H300</f>
        <v>0</v>
      </c>
      <c r="J310" s="112">
        <f>'Sampling Data'!I300</f>
        <v>0</v>
      </c>
      <c r="K310" s="112">
        <f>'Sampling Data'!J300</f>
        <v>1</v>
      </c>
      <c r="L310" s="111">
        <f>'Sampling Data'!X300</f>
        <v>0</v>
      </c>
      <c r="M310" s="114"/>
      <c r="N310" s="114"/>
      <c r="O310" s="115"/>
      <c r="P310" s="115"/>
      <c r="Q310" s="116"/>
      <c r="R310" s="116"/>
      <c r="S310" s="111">
        <f>Audit[[#This Row],[Audit Losing Candidate]]-Audit[[#This Row],[Losing Candidate]]</f>
        <v>-1</v>
      </c>
      <c r="T310" s="111">
        <f>Audit[[#This Row],[Audit Winning Candidate]]-Audit[[#This Row],[Winning Candidate]]</f>
        <v>0</v>
      </c>
      <c r="U310" s="111">
        <f>Audit[[#This Row],[Audit Candidate 3]]-Audit[[#This Row],[Candidate 3]]</f>
        <v>0</v>
      </c>
      <c r="V310" s="111">
        <f>Audit[[#This Row],[Audit Candidate 4]]-Audit[[#This Row],[Candidate 4]]</f>
        <v>0</v>
      </c>
      <c r="W310" s="111">
        <f>Audit[[#This Row],[Audit Candidate 5]]-Audit[[#This Row],[Candidate 5]]</f>
        <v>0</v>
      </c>
      <c r="X310" s="111">
        <f>Audit[[#This Row],[Audit Candidate 6]]-Audit[[#This Row],[Candidate 6]]</f>
        <v>0</v>
      </c>
      <c r="Y310" s="111">
        <f>SUMIF(Audit[[#This Row],[Difference Loser]:[Difference Candidate 6]], "&gt;0")</f>
        <v>0</v>
      </c>
      <c r="Z310" s="111">
        <f>SUM(Audit[[#This Row],[Difference Loser]:[Difference Candidate 6]])</f>
        <v>-1</v>
      </c>
      <c r="AA310" s="111">
        <f>IF(Audit[[#This Row],[Times p Drawn - With Replacement]]&gt;0, IF(Audit[[#This Row],[Canceled Differences]]&lt;0, Audit[[#This Row],[Max Differences]]+ABS(Audit[[#This Row],[Canceled Differences]]), Audit[[#This Row],[Max Differences]]), 0)</f>
        <v>0</v>
      </c>
      <c r="AB310" s="111">
        <f>'Sampling Data'!P300</f>
        <v>3.2261186566441917E-5</v>
      </c>
      <c r="AC310" s="111">
        <f>IF(
      SUM(Audit[[#This Row],[Audit Losing Candidate]:[Audit Candidate 6]])
      &lt;&gt;0,
      (Audit[[#This Row],[Winning Candidate]]-Audit[[#This Row],[Losing Candidate]]-(Audit[[#This Row],[Audit Winning Candidate]]-Audit[[#This Row],[Audit Losing Candidate]]))/(Audit[[#Totals],[Winning Candidate]]-Audit[[#Totals],[Losing Candidate]]),
      0
)</f>
        <v>0</v>
      </c>
      <c r="AD3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0" s="111">
        <f>IF(Audit[[#This Row],[Max Relative Error (ep)]] = 0, 0, Audit[[#This Row],[Max Relative Error (ep)]]/Audit[[#This Row],[Error Bound (up) - Max. possible relative overstatement]])</f>
        <v>0</v>
      </c>
      <c r="AJ3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10" s="111">
        <f t="shared" si="4"/>
        <v>1</v>
      </c>
      <c r="AL310" s="111">
        <f>PRODUCT($AK$5:AK310)</f>
        <v>8.962823818226312E-2</v>
      </c>
      <c r="AM310" s="109">
        <f>1 - [K-M P Value]</f>
        <v>0.91037176181773694</v>
      </c>
      <c r="AN310" s="111" t="str">
        <f>IF(Audit[[#This Row],[K-M P Value]]&gt;1-'General Info'!$B$16,"Continue", "Stop")</f>
        <v>Stop</v>
      </c>
      <c r="AO310" s="110" t="b">
        <f>IF(Audit[[#This Row],[Status - Continue or stop audit]] = "Continue", TRUE, IF(AN309 = "Continue", TRUE, FALSE))</f>
        <v>0</v>
      </c>
      <c r="AP310" s="110"/>
    </row>
    <row r="311" spans="1:42" ht="15" hidden="1" customHeight="1">
      <c r="A311" s="111" t="str">
        <f>'Sampling Data'!W301</f>
        <v/>
      </c>
      <c r="B311" s="112" t="str">
        <f>'Sampling Data'!A301</f>
        <v>CLEVELAND -02-L</v>
      </c>
      <c r="C311" s="112">
        <f>'Sampling Data'!B301</f>
        <v>0</v>
      </c>
      <c r="D311" s="112">
        <f>'Sampling Data'!C301</f>
        <v>0</v>
      </c>
      <c r="E311" s="113">
        <f>'Sampling Data'!D301</f>
        <v>0</v>
      </c>
      <c r="F311" s="113">
        <f>'Sampling Data'!E301</f>
        <v>0</v>
      </c>
      <c r="G311" s="113">
        <f>'Sampling Data'!F301</f>
        <v>0</v>
      </c>
      <c r="H311" s="113">
        <f>'Sampling Data'!G301</f>
        <v>0</v>
      </c>
      <c r="I311" s="112">
        <f>'Sampling Data'!H301</f>
        <v>0</v>
      </c>
      <c r="J311" s="112">
        <f>'Sampling Data'!I301</f>
        <v>0</v>
      </c>
      <c r="K311" s="112">
        <f>'Sampling Data'!J301</f>
        <v>0</v>
      </c>
      <c r="L311" s="111">
        <f>'Sampling Data'!X301</f>
        <v>0</v>
      </c>
      <c r="M311" s="114"/>
      <c r="N311" s="114"/>
      <c r="O311" s="115"/>
      <c r="P311" s="115"/>
      <c r="Q311" s="116"/>
      <c r="R311" s="116"/>
      <c r="S311" s="111">
        <f>Audit[[#This Row],[Audit Losing Candidate]]-Audit[[#This Row],[Losing Candidate]]</f>
        <v>0</v>
      </c>
      <c r="T311" s="111">
        <f>Audit[[#This Row],[Audit Winning Candidate]]-Audit[[#This Row],[Winning Candidate]]</f>
        <v>0</v>
      </c>
      <c r="U311" s="111">
        <f>Audit[[#This Row],[Audit Candidate 3]]-Audit[[#This Row],[Candidate 3]]</f>
        <v>0</v>
      </c>
      <c r="V311" s="111">
        <f>Audit[[#This Row],[Audit Candidate 4]]-Audit[[#This Row],[Candidate 4]]</f>
        <v>0</v>
      </c>
      <c r="W311" s="111">
        <f>Audit[[#This Row],[Audit Candidate 5]]-Audit[[#This Row],[Candidate 5]]</f>
        <v>0</v>
      </c>
      <c r="X311" s="111">
        <f>Audit[[#This Row],[Audit Candidate 6]]-Audit[[#This Row],[Candidate 6]]</f>
        <v>0</v>
      </c>
      <c r="Y311" s="111">
        <f>SUMIF(Audit[[#This Row],[Difference Loser]:[Difference Candidate 6]], "&gt;0")</f>
        <v>0</v>
      </c>
      <c r="Z311" s="111">
        <f>SUM(Audit[[#This Row],[Difference Loser]:[Difference Candidate 6]])</f>
        <v>0</v>
      </c>
      <c r="AA311" s="111">
        <f>IF(Audit[[#This Row],[Times p Drawn - With Replacement]]&gt;0, IF(Audit[[#This Row],[Canceled Differences]]&lt;0, Audit[[#This Row],[Max Differences]]+ABS(Audit[[#This Row],[Canceled Differences]]), Audit[[#This Row],[Max Differences]]), 0)</f>
        <v>0</v>
      </c>
      <c r="AB311" s="111">
        <f>'Sampling Data'!P301</f>
        <v>0</v>
      </c>
      <c r="AC311" s="111">
        <f>IF(
      SUM(Audit[[#This Row],[Audit Losing Candidate]:[Audit Candidate 6]])
      &lt;&gt;0,
      (Audit[[#This Row],[Winning Candidate]]-Audit[[#This Row],[Losing Candidate]]-(Audit[[#This Row],[Audit Winning Candidate]]-Audit[[#This Row],[Audit Losing Candidate]]))/(Audit[[#Totals],[Winning Candidate]]-Audit[[#Totals],[Losing Candidate]]),
      0
)</f>
        <v>0</v>
      </c>
      <c r="AD3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1" s="111">
        <f>IF(Audit[[#This Row],[Max Relative Error (ep)]] = 0, 0, Audit[[#This Row],[Max Relative Error (ep)]]/Audit[[#This Row],[Error Bound (up) - Max. possible relative overstatement]])</f>
        <v>0</v>
      </c>
      <c r="AJ3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11" s="111">
        <f t="shared" si="4"/>
        <v>1</v>
      </c>
      <c r="AL311" s="111">
        <f>PRODUCT($AK$5:AK311)</f>
        <v>8.962823818226312E-2</v>
      </c>
      <c r="AM311" s="109">
        <f>1 - [K-M P Value]</f>
        <v>0.91037176181773694</v>
      </c>
      <c r="AN311" s="111" t="str">
        <f>IF(Audit[[#This Row],[K-M P Value]]&gt;1-'General Info'!$B$16,"Continue", "Stop")</f>
        <v>Stop</v>
      </c>
      <c r="AO311" s="110" t="b">
        <f>IF(Audit[[#This Row],[Status - Continue or stop audit]] = "Continue", TRUE, IF(AN310 = "Continue", TRUE, FALSE))</f>
        <v>0</v>
      </c>
      <c r="AP311" s="110"/>
    </row>
    <row r="312" spans="1:42" ht="15" hidden="1" customHeight="1">
      <c r="A312" s="111" t="str">
        <f>'Sampling Data'!W302</f>
        <v/>
      </c>
      <c r="B312" s="112" t="str">
        <f>'Sampling Data'!A302</f>
        <v>CLEVELAND -02-L - ABS</v>
      </c>
      <c r="C312" s="112">
        <f>'Sampling Data'!B302</f>
        <v>0</v>
      </c>
      <c r="D312" s="112">
        <f>'Sampling Data'!C302</f>
        <v>0</v>
      </c>
      <c r="E312" s="113">
        <f>'Sampling Data'!D302</f>
        <v>1</v>
      </c>
      <c r="F312" s="113">
        <f>'Sampling Data'!E302</f>
        <v>0</v>
      </c>
      <c r="G312" s="113">
        <f>'Sampling Data'!F302</f>
        <v>0</v>
      </c>
      <c r="H312" s="113">
        <f>'Sampling Data'!G302</f>
        <v>0</v>
      </c>
      <c r="I312" s="112">
        <f>'Sampling Data'!H302</f>
        <v>0</v>
      </c>
      <c r="J312" s="112">
        <f>'Sampling Data'!I302</f>
        <v>0</v>
      </c>
      <c r="K312" s="112">
        <f>'Sampling Data'!J302</f>
        <v>1</v>
      </c>
      <c r="L312" s="111">
        <f>'Sampling Data'!X302</f>
        <v>0</v>
      </c>
      <c r="M312" s="114"/>
      <c r="N312" s="114"/>
      <c r="O312" s="115"/>
      <c r="P312" s="115"/>
      <c r="Q312" s="116"/>
      <c r="R312" s="116"/>
      <c r="S312" s="111">
        <f>Audit[[#This Row],[Audit Losing Candidate]]-Audit[[#This Row],[Losing Candidate]]</f>
        <v>0</v>
      </c>
      <c r="T312" s="111">
        <f>Audit[[#This Row],[Audit Winning Candidate]]-Audit[[#This Row],[Winning Candidate]]</f>
        <v>0</v>
      </c>
      <c r="U312" s="111">
        <f>Audit[[#This Row],[Audit Candidate 3]]-Audit[[#This Row],[Candidate 3]]</f>
        <v>-1</v>
      </c>
      <c r="V312" s="111">
        <f>Audit[[#This Row],[Audit Candidate 4]]-Audit[[#This Row],[Candidate 4]]</f>
        <v>0</v>
      </c>
      <c r="W312" s="111">
        <f>Audit[[#This Row],[Audit Candidate 5]]-Audit[[#This Row],[Candidate 5]]</f>
        <v>0</v>
      </c>
      <c r="X312" s="111">
        <f>Audit[[#This Row],[Audit Candidate 6]]-Audit[[#This Row],[Candidate 6]]</f>
        <v>0</v>
      </c>
      <c r="Y312" s="111">
        <f>SUMIF(Audit[[#This Row],[Difference Loser]:[Difference Candidate 6]], "&gt;0")</f>
        <v>0</v>
      </c>
      <c r="Z312" s="111">
        <f>SUM(Audit[[#This Row],[Difference Loser]:[Difference Candidate 6]])</f>
        <v>-1</v>
      </c>
      <c r="AA312" s="111">
        <f>IF(Audit[[#This Row],[Times p Drawn - With Replacement]]&gt;0, IF(Audit[[#This Row],[Canceled Differences]]&lt;0, Audit[[#This Row],[Max Differences]]+ABS(Audit[[#This Row],[Canceled Differences]]), Audit[[#This Row],[Max Differences]]), 0)</f>
        <v>0</v>
      </c>
      <c r="AB312" s="111">
        <f>'Sampling Data'!P302</f>
        <v>6.1244487996080352E-5</v>
      </c>
      <c r="AC312" s="111">
        <f>IF(
      SUM(Audit[[#This Row],[Audit Losing Candidate]:[Audit Candidate 6]])
      &lt;&gt;0,
      (Audit[[#This Row],[Winning Candidate]]-Audit[[#This Row],[Losing Candidate]]-(Audit[[#This Row],[Audit Winning Candidate]]-Audit[[#This Row],[Audit Losing Candidate]]))/(Audit[[#Totals],[Winning Candidate]]-Audit[[#Totals],[Losing Candidate]]),
      0
)</f>
        <v>0</v>
      </c>
      <c r="AD3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2" s="111">
        <f>IF(Audit[[#This Row],[Max Relative Error (ep)]] = 0, 0, Audit[[#This Row],[Max Relative Error (ep)]]/Audit[[#This Row],[Error Bound (up) - Max. possible relative overstatement]])</f>
        <v>0</v>
      </c>
      <c r="AJ3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12" s="111">
        <f t="shared" si="4"/>
        <v>1</v>
      </c>
      <c r="AL312" s="111">
        <f>PRODUCT($AK$5:AK312)</f>
        <v>8.962823818226312E-2</v>
      </c>
      <c r="AM312" s="109">
        <f>1 - [K-M P Value]</f>
        <v>0.91037176181773694</v>
      </c>
      <c r="AN312" s="111" t="str">
        <f>IF(Audit[[#This Row],[K-M P Value]]&gt;1-'General Info'!$B$16,"Continue", "Stop")</f>
        <v>Stop</v>
      </c>
      <c r="AO312" s="110" t="b">
        <f>IF(Audit[[#This Row],[Status - Continue or stop audit]] = "Continue", TRUE, IF(AN311 = "Continue", TRUE, FALSE))</f>
        <v>0</v>
      </c>
      <c r="AP312" s="110"/>
    </row>
    <row r="313" spans="1:42" ht="15" hidden="1" customHeight="1">
      <c r="A313" s="111" t="str">
        <f>'Sampling Data'!W303</f>
        <v/>
      </c>
      <c r="B313" s="112" t="str">
        <f>'Sampling Data'!A303</f>
        <v>CLEVELAND -02-M</v>
      </c>
      <c r="C313" s="112">
        <f>'Sampling Data'!B303</f>
        <v>1</v>
      </c>
      <c r="D313" s="112">
        <f>'Sampling Data'!C303</f>
        <v>0</v>
      </c>
      <c r="E313" s="113">
        <f>'Sampling Data'!D303</f>
        <v>0</v>
      </c>
      <c r="F313" s="113">
        <f>'Sampling Data'!E303</f>
        <v>0</v>
      </c>
      <c r="G313" s="113">
        <f>'Sampling Data'!F303</f>
        <v>1</v>
      </c>
      <c r="H313" s="113">
        <f>'Sampling Data'!G303</f>
        <v>0</v>
      </c>
      <c r="I313" s="112">
        <f>'Sampling Data'!H303</f>
        <v>0</v>
      </c>
      <c r="J313" s="112">
        <f>'Sampling Data'!I303</f>
        <v>0</v>
      </c>
      <c r="K313" s="112">
        <f>'Sampling Data'!J303</f>
        <v>2</v>
      </c>
      <c r="L313" s="111">
        <f>'Sampling Data'!X303</f>
        <v>0</v>
      </c>
      <c r="M313" s="114"/>
      <c r="N313" s="114"/>
      <c r="O313" s="115"/>
      <c r="P313" s="115"/>
      <c r="Q313" s="116"/>
      <c r="R313" s="116"/>
      <c r="S313" s="111">
        <f>Audit[[#This Row],[Audit Losing Candidate]]-Audit[[#This Row],[Losing Candidate]]</f>
        <v>-1</v>
      </c>
      <c r="T313" s="111">
        <f>Audit[[#This Row],[Audit Winning Candidate]]-Audit[[#This Row],[Winning Candidate]]</f>
        <v>0</v>
      </c>
      <c r="U313" s="111">
        <f>Audit[[#This Row],[Audit Candidate 3]]-Audit[[#This Row],[Candidate 3]]</f>
        <v>0</v>
      </c>
      <c r="V313" s="111">
        <f>Audit[[#This Row],[Audit Candidate 4]]-Audit[[#This Row],[Candidate 4]]</f>
        <v>0</v>
      </c>
      <c r="W313" s="111">
        <f>Audit[[#This Row],[Audit Candidate 5]]-Audit[[#This Row],[Candidate 5]]</f>
        <v>-1</v>
      </c>
      <c r="X313" s="111">
        <f>Audit[[#This Row],[Audit Candidate 6]]-Audit[[#This Row],[Candidate 6]]</f>
        <v>0</v>
      </c>
      <c r="Y313" s="111">
        <f>SUMIF(Audit[[#This Row],[Difference Loser]:[Difference Candidate 6]], "&gt;0")</f>
        <v>0</v>
      </c>
      <c r="Z313" s="111">
        <f>SUM(Audit[[#This Row],[Difference Loser]:[Difference Candidate 6]])</f>
        <v>-2</v>
      </c>
      <c r="AA313" s="111">
        <f>IF(Audit[[#This Row],[Times p Drawn - With Replacement]]&gt;0, IF(Audit[[#This Row],[Canceled Differences]]&lt;0, Audit[[#This Row],[Max Differences]]+ABS(Audit[[#This Row],[Canceled Differences]]), Audit[[#This Row],[Max Differences]]), 0)</f>
        <v>0</v>
      </c>
      <c r="AB313" s="111">
        <f>'Sampling Data'!P303</f>
        <v>6.4522373132883833E-5</v>
      </c>
      <c r="AC313" s="111">
        <f>IF(
      SUM(Audit[[#This Row],[Audit Losing Candidate]:[Audit Candidate 6]])
      &lt;&gt;0,
      (Audit[[#This Row],[Winning Candidate]]-Audit[[#This Row],[Losing Candidate]]-(Audit[[#This Row],[Audit Winning Candidate]]-Audit[[#This Row],[Audit Losing Candidate]]))/(Audit[[#Totals],[Winning Candidate]]-Audit[[#Totals],[Losing Candidate]]),
      0
)</f>
        <v>0</v>
      </c>
      <c r="AD3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3" s="111">
        <f>IF(Audit[[#This Row],[Max Relative Error (ep)]] = 0, 0, Audit[[#This Row],[Max Relative Error (ep)]]/Audit[[#This Row],[Error Bound (up) - Max. possible relative overstatement]])</f>
        <v>0</v>
      </c>
      <c r="AJ3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13" s="111">
        <f t="shared" si="4"/>
        <v>1</v>
      </c>
      <c r="AL313" s="111">
        <f>PRODUCT($AK$5:AK313)</f>
        <v>8.962823818226312E-2</v>
      </c>
      <c r="AM313" s="109">
        <f>1 - [K-M P Value]</f>
        <v>0.91037176181773694</v>
      </c>
      <c r="AN313" s="111" t="str">
        <f>IF(Audit[[#This Row],[K-M P Value]]&gt;1-'General Info'!$B$16,"Continue", "Stop")</f>
        <v>Stop</v>
      </c>
      <c r="AO313" s="110" t="b">
        <f>IF(Audit[[#This Row],[Status - Continue or stop audit]] = "Continue", TRUE, IF(AN312 = "Continue", TRUE, FALSE))</f>
        <v>0</v>
      </c>
      <c r="AP313" s="110"/>
    </row>
    <row r="314" spans="1:42" ht="15" hidden="1" customHeight="1">
      <c r="A314" s="111" t="str">
        <f>'Sampling Data'!W304</f>
        <v/>
      </c>
      <c r="B314" s="112" t="str">
        <f>'Sampling Data'!A304</f>
        <v>CLEVELAND -02-M - ABS</v>
      </c>
      <c r="C314" s="112">
        <f>'Sampling Data'!B304</f>
        <v>0</v>
      </c>
      <c r="D314" s="112">
        <f>'Sampling Data'!C304</f>
        <v>0</v>
      </c>
      <c r="E314" s="113">
        <f>'Sampling Data'!D304</f>
        <v>0</v>
      </c>
      <c r="F314" s="113">
        <f>'Sampling Data'!E304</f>
        <v>0</v>
      </c>
      <c r="G314" s="113">
        <f>'Sampling Data'!F304</f>
        <v>0</v>
      </c>
      <c r="H314" s="113">
        <f>'Sampling Data'!G304</f>
        <v>0</v>
      </c>
      <c r="I314" s="112">
        <f>'Sampling Data'!H304</f>
        <v>0</v>
      </c>
      <c r="J314" s="112">
        <f>'Sampling Data'!I304</f>
        <v>0</v>
      </c>
      <c r="K314" s="112">
        <f>'Sampling Data'!J304</f>
        <v>0</v>
      </c>
      <c r="L314" s="111">
        <f>'Sampling Data'!X304</f>
        <v>0</v>
      </c>
      <c r="M314" s="114"/>
      <c r="N314" s="114"/>
      <c r="O314" s="115"/>
      <c r="P314" s="115"/>
      <c r="Q314" s="116"/>
      <c r="R314" s="116"/>
      <c r="S314" s="111">
        <f>Audit[[#This Row],[Audit Losing Candidate]]-Audit[[#This Row],[Losing Candidate]]</f>
        <v>0</v>
      </c>
      <c r="T314" s="111">
        <f>Audit[[#This Row],[Audit Winning Candidate]]-Audit[[#This Row],[Winning Candidate]]</f>
        <v>0</v>
      </c>
      <c r="U314" s="111">
        <f>Audit[[#This Row],[Audit Candidate 3]]-Audit[[#This Row],[Candidate 3]]</f>
        <v>0</v>
      </c>
      <c r="V314" s="111">
        <f>Audit[[#This Row],[Audit Candidate 4]]-Audit[[#This Row],[Candidate 4]]</f>
        <v>0</v>
      </c>
      <c r="W314" s="111">
        <f>Audit[[#This Row],[Audit Candidate 5]]-Audit[[#This Row],[Candidate 5]]</f>
        <v>0</v>
      </c>
      <c r="X314" s="111">
        <f>Audit[[#This Row],[Audit Candidate 6]]-Audit[[#This Row],[Candidate 6]]</f>
        <v>0</v>
      </c>
      <c r="Y314" s="111">
        <f>SUMIF(Audit[[#This Row],[Difference Loser]:[Difference Candidate 6]], "&gt;0")</f>
        <v>0</v>
      </c>
      <c r="Z314" s="111">
        <f>SUM(Audit[[#This Row],[Difference Loser]:[Difference Candidate 6]])</f>
        <v>0</v>
      </c>
      <c r="AA314" s="111">
        <f>IF(Audit[[#This Row],[Times p Drawn - With Replacement]]&gt;0, IF(Audit[[#This Row],[Canceled Differences]]&lt;0, Audit[[#This Row],[Max Differences]]+ABS(Audit[[#This Row],[Canceled Differences]]), Audit[[#This Row],[Max Differences]]), 0)</f>
        <v>0</v>
      </c>
      <c r="AB314" s="111">
        <f>'Sampling Data'!P304</f>
        <v>0</v>
      </c>
      <c r="AC314" s="111">
        <f>IF(
      SUM(Audit[[#This Row],[Audit Losing Candidate]:[Audit Candidate 6]])
      &lt;&gt;0,
      (Audit[[#This Row],[Winning Candidate]]-Audit[[#This Row],[Losing Candidate]]-(Audit[[#This Row],[Audit Winning Candidate]]-Audit[[#This Row],[Audit Losing Candidate]]))/(Audit[[#Totals],[Winning Candidate]]-Audit[[#Totals],[Losing Candidate]]),
      0
)</f>
        <v>0</v>
      </c>
      <c r="AD3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4" s="111">
        <f>IF(Audit[[#This Row],[Max Relative Error (ep)]] = 0, 0, Audit[[#This Row],[Max Relative Error (ep)]]/Audit[[#This Row],[Error Bound (up) - Max. possible relative overstatement]])</f>
        <v>0</v>
      </c>
      <c r="AJ3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14" s="111">
        <f t="shared" si="4"/>
        <v>1</v>
      </c>
      <c r="AL314" s="111">
        <f>PRODUCT($AK$5:AK314)</f>
        <v>8.962823818226312E-2</v>
      </c>
      <c r="AM314" s="109">
        <f>1 - [K-M P Value]</f>
        <v>0.91037176181773694</v>
      </c>
      <c r="AN314" s="111" t="str">
        <f>IF(Audit[[#This Row],[K-M P Value]]&gt;1-'General Info'!$B$16,"Continue", "Stop")</f>
        <v>Stop</v>
      </c>
      <c r="AO314" s="110" t="b">
        <f>IF(Audit[[#This Row],[Status - Continue or stop audit]] = "Continue", TRUE, IF(AN313 = "Continue", TRUE, FALSE))</f>
        <v>0</v>
      </c>
      <c r="AP314" s="110"/>
    </row>
    <row r="315" spans="1:42" ht="15" hidden="1" customHeight="1">
      <c r="A315" s="111" t="str">
        <f>'Sampling Data'!W305</f>
        <v/>
      </c>
      <c r="B315" s="112" t="str">
        <f>'Sampling Data'!A305</f>
        <v>CLEVELAND -02-N</v>
      </c>
      <c r="C315" s="112">
        <f>'Sampling Data'!B305</f>
        <v>0</v>
      </c>
      <c r="D315" s="112">
        <f>'Sampling Data'!C305</f>
        <v>0</v>
      </c>
      <c r="E315" s="113">
        <f>'Sampling Data'!D305</f>
        <v>0</v>
      </c>
      <c r="F315" s="113">
        <f>'Sampling Data'!E305</f>
        <v>0</v>
      </c>
      <c r="G315" s="113">
        <f>'Sampling Data'!F305</f>
        <v>0</v>
      </c>
      <c r="H315" s="113">
        <f>'Sampling Data'!G305</f>
        <v>0</v>
      </c>
      <c r="I315" s="112">
        <f>'Sampling Data'!H305</f>
        <v>0</v>
      </c>
      <c r="J315" s="112">
        <f>'Sampling Data'!I305</f>
        <v>1</v>
      </c>
      <c r="K315" s="112">
        <f>'Sampling Data'!J305</f>
        <v>1</v>
      </c>
      <c r="L315" s="111">
        <f>'Sampling Data'!X305</f>
        <v>0</v>
      </c>
      <c r="M315" s="114"/>
      <c r="N315" s="114"/>
      <c r="O315" s="115"/>
      <c r="P315" s="115"/>
      <c r="Q315" s="116"/>
      <c r="R315" s="116"/>
      <c r="S315" s="111">
        <f>Audit[[#This Row],[Audit Losing Candidate]]-Audit[[#This Row],[Losing Candidate]]</f>
        <v>0</v>
      </c>
      <c r="T315" s="111">
        <f>Audit[[#This Row],[Audit Winning Candidate]]-Audit[[#This Row],[Winning Candidate]]</f>
        <v>0</v>
      </c>
      <c r="U315" s="111">
        <f>Audit[[#This Row],[Audit Candidate 3]]-Audit[[#This Row],[Candidate 3]]</f>
        <v>0</v>
      </c>
      <c r="V315" s="111">
        <f>Audit[[#This Row],[Audit Candidate 4]]-Audit[[#This Row],[Candidate 4]]</f>
        <v>0</v>
      </c>
      <c r="W315" s="111">
        <f>Audit[[#This Row],[Audit Candidate 5]]-Audit[[#This Row],[Candidate 5]]</f>
        <v>0</v>
      </c>
      <c r="X315" s="111">
        <f>Audit[[#This Row],[Audit Candidate 6]]-Audit[[#This Row],[Candidate 6]]</f>
        <v>0</v>
      </c>
      <c r="Y315" s="111">
        <f>SUMIF(Audit[[#This Row],[Difference Loser]:[Difference Candidate 6]], "&gt;0")</f>
        <v>0</v>
      </c>
      <c r="Z315" s="111">
        <f>SUM(Audit[[#This Row],[Difference Loser]:[Difference Candidate 6]])</f>
        <v>0</v>
      </c>
      <c r="AA315" s="111">
        <f>IF(Audit[[#This Row],[Times p Drawn - With Replacement]]&gt;0, IF(Audit[[#This Row],[Canceled Differences]]&lt;0, Audit[[#This Row],[Max Differences]]+ABS(Audit[[#This Row],[Canceled Differences]]), Audit[[#This Row],[Max Differences]]), 0)</f>
        <v>0</v>
      </c>
      <c r="AB315" s="111">
        <f>'Sampling Data'!P305</f>
        <v>6.1244487996080352E-5</v>
      </c>
      <c r="AC315" s="111">
        <f>IF(
      SUM(Audit[[#This Row],[Audit Losing Candidate]:[Audit Candidate 6]])
      &lt;&gt;0,
      (Audit[[#This Row],[Winning Candidate]]-Audit[[#This Row],[Losing Candidate]]-(Audit[[#This Row],[Audit Winning Candidate]]-Audit[[#This Row],[Audit Losing Candidate]]))/(Audit[[#Totals],[Winning Candidate]]-Audit[[#Totals],[Losing Candidate]]),
      0
)</f>
        <v>0</v>
      </c>
      <c r="AD3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5" s="111">
        <f>IF(Audit[[#This Row],[Max Relative Error (ep)]] = 0, 0, Audit[[#This Row],[Max Relative Error (ep)]]/Audit[[#This Row],[Error Bound (up) - Max. possible relative overstatement]])</f>
        <v>0</v>
      </c>
      <c r="AJ3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15" s="111">
        <f t="shared" si="4"/>
        <v>1</v>
      </c>
      <c r="AL315" s="111">
        <f>PRODUCT($AK$5:AK315)</f>
        <v>8.962823818226312E-2</v>
      </c>
      <c r="AM315" s="109">
        <f>1 - [K-M P Value]</f>
        <v>0.91037176181773694</v>
      </c>
      <c r="AN315" s="111" t="str">
        <f>IF(Audit[[#This Row],[K-M P Value]]&gt;1-'General Info'!$B$16,"Continue", "Stop")</f>
        <v>Stop</v>
      </c>
      <c r="AO315" s="110" t="b">
        <f>IF(Audit[[#This Row],[Status - Continue or stop audit]] = "Continue", TRUE, IF(AN314 = "Continue", TRUE, FALSE))</f>
        <v>0</v>
      </c>
      <c r="AP315" s="110"/>
    </row>
    <row r="316" spans="1:42" ht="15" hidden="1" customHeight="1">
      <c r="A316" s="111" t="str">
        <f>'Sampling Data'!W306</f>
        <v/>
      </c>
      <c r="B316" s="112" t="str">
        <f>'Sampling Data'!A306</f>
        <v>CLEVELAND -02-N - ABS</v>
      </c>
      <c r="C316" s="112">
        <f>'Sampling Data'!B306</f>
        <v>0</v>
      </c>
      <c r="D316" s="112">
        <f>'Sampling Data'!C306</f>
        <v>0</v>
      </c>
      <c r="E316" s="113">
        <f>'Sampling Data'!D306</f>
        <v>0</v>
      </c>
      <c r="F316" s="113">
        <f>'Sampling Data'!E306</f>
        <v>0</v>
      </c>
      <c r="G316" s="113">
        <f>'Sampling Data'!F306</f>
        <v>0</v>
      </c>
      <c r="H316" s="113">
        <f>'Sampling Data'!G306</f>
        <v>0</v>
      </c>
      <c r="I316" s="112">
        <f>'Sampling Data'!H306</f>
        <v>0</v>
      </c>
      <c r="J316" s="112">
        <f>'Sampling Data'!I306</f>
        <v>0</v>
      </c>
      <c r="K316" s="112">
        <f>'Sampling Data'!J306</f>
        <v>0</v>
      </c>
      <c r="L316" s="111">
        <f>'Sampling Data'!X306</f>
        <v>0</v>
      </c>
      <c r="M316" s="114"/>
      <c r="N316" s="114"/>
      <c r="O316" s="115"/>
      <c r="P316" s="115"/>
      <c r="Q316" s="116"/>
      <c r="R316" s="116"/>
      <c r="S316" s="111">
        <f>Audit[[#This Row],[Audit Losing Candidate]]-Audit[[#This Row],[Losing Candidate]]</f>
        <v>0</v>
      </c>
      <c r="T316" s="111">
        <f>Audit[[#This Row],[Audit Winning Candidate]]-Audit[[#This Row],[Winning Candidate]]</f>
        <v>0</v>
      </c>
      <c r="U316" s="111">
        <f>Audit[[#This Row],[Audit Candidate 3]]-Audit[[#This Row],[Candidate 3]]</f>
        <v>0</v>
      </c>
      <c r="V316" s="111">
        <f>Audit[[#This Row],[Audit Candidate 4]]-Audit[[#This Row],[Candidate 4]]</f>
        <v>0</v>
      </c>
      <c r="W316" s="111">
        <f>Audit[[#This Row],[Audit Candidate 5]]-Audit[[#This Row],[Candidate 5]]</f>
        <v>0</v>
      </c>
      <c r="X316" s="111">
        <f>Audit[[#This Row],[Audit Candidate 6]]-Audit[[#This Row],[Candidate 6]]</f>
        <v>0</v>
      </c>
      <c r="Y316" s="111">
        <f>SUMIF(Audit[[#This Row],[Difference Loser]:[Difference Candidate 6]], "&gt;0")</f>
        <v>0</v>
      </c>
      <c r="Z316" s="111">
        <f>SUM(Audit[[#This Row],[Difference Loser]:[Difference Candidate 6]])</f>
        <v>0</v>
      </c>
      <c r="AA316" s="111">
        <f>IF(Audit[[#This Row],[Times p Drawn - With Replacement]]&gt;0, IF(Audit[[#This Row],[Canceled Differences]]&lt;0, Audit[[#This Row],[Max Differences]]+ABS(Audit[[#This Row],[Canceled Differences]]), Audit[[#This Row],[Max Differences]]), 0)</f>
        <v>0</v>
      </c>
      <c r="AB316" s="111">
        <f>'Sampling Data'!P306</f>
        <v>0</v>
      </c>
      <c r="AC316" s="111">
        <f>IF(
      SUM(Audit[[#This Row],[Audit Losing Candidate]:[Audit Candidate 6]])
      &lt;&gt;0,
      (Audit[[#This Row],[Winning Candidate]]-Audit[[#This Row],[Losing Candidate]]-(Audit[[#This Row],[Audit Winning Candidate]]-Audit[[#This Row],[Audit Losing Candidate]]))/(Audit[[#Totals],[Winning Candidate]]-Audit[[#Totals],[Losing Candidate]]),
      0
)</f>
        <v>0</v>
      </c>
      <c r="AD3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6" s="111">
        <f>IF(Audit[[#This Row],[Max Relative Error (ep)]] = 0, 0, Audit[[#This Row],[Max Relative Error (ep)]]/Audit[[#This Row],[Error Bound (up) - Max. possible relative overstatement]])</f>
        <v>0</v>
      </c>
      <c r="AJ3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16" s="111">
        <f t="shared" si="4"/>
        <v>1</v>
      </c>
      <c r="AL316" s="111">
        <f>PRODUCT($AK$5:AK316)</f>
        <v>8.962823818226312E-2</v>
      </c>
      <c r="AM316" s="109">
        <f>1 - [K-M P Value]</f>
        <v>0.91037176181773694</v>
      </c>
      <c r="AN316" s="111" t="str">
        <f>IF(Audit[[#This Row],[K-M P Value]]&gt;1-'General Info'!$B$16,"Continue", "Stop")</f>
        <v>Stop</v>
      </c>
      <c r="AO316" s="110" t="b">
        <f>IF(Audit[[#This Row],[Status - Continue or stop audit]] = "Continue", TRUE, IF(AN315 = "Continue", TRUE, FALSE))</f>
        <v>0</v>
      </c>
      <c r="AP316" s="110"/>
    </row>
    <row r="317" spans="1:42" ht="15" hidden="1" customHeight="1">
      <c r="A317" s="111" t="str">
        <f>'Sampling Data'!W307</f>
        <v/>
      </c>
      <c r="B317" s="112" t="str">
        <f>'Sampling Data'!A307</f>
        <v>CLEVELAND -02-O</v>
      </c>
      <c r="C317" s="112">
        <f>'Sampling Data'!B307</f>
        <v>0</v>
      </c>
      <c r="D317" s="112">
        <f>'Sampling Data'!C307</f>
        <v>0</v>
      </c>
      <c r="E317" s="113">
        <f>'Sampling Data'!D307</f>
        <v>0</v>
      </c>
      <c r="F317" s="113">
        <f>'Sampling Data'!E307</f>
        <v>0</v>
      </c>
      <c r="G317" s="113">
        <f>'Sampling Data'!F307</f>
        <v>0</v>
      </c>
      <c r="H317" s="113">
        <f>'Sampling Data'!G307</f>
        <v>0</v>
      </c>
      <c r="I317" s="112">
        <f>'Sampling Data'!H307</f>
        <v>0</v>
      </c>
      <c r="J317" s="112">
        <f>'Sampling Data'!I307</f>
        <v>0</v>
      </c>
      <c r="K317" s="112">
        <f>'Sampling Data'!J307</f>
        <v>0</v>
      </c>
      <c r="L317" s="111">
        <f>'Sampling Data'!X307</f>
        <v>0</v>
      </c>
      <c r="M317" s="114"/>
      <c r="N317" s="114"/>
      <c r="O317" s="115"/>
      <c r="P317" s="115"/>
      <c r="Q317" s="116"/>
      <c r="R317" s="116"/>
      <c r="S317" s="111">
        <f>Audit[[#This Row],[Audit Losing Candidate]]-Audit[[#This Row],[Losing Candidate]]</f>
        <v>0</v>
      </c>
      <c r="T317" s="111">
        <f>Audit[[#This Row],[Audit Winning Candidate]]-Audit[[#This Row],[Winning Candidate]]</f>
        <v>0</v>
      </c>
      <c r="U317" s="111">
        <f>Audit[[#This Row],[Audit Candidate 3]]-Audit[[#This Row],[Candidate 3]]</f>
        <v>0</v>
      </c>
      <c r="V317" s="111">
        <f>Audit[[#This Row],[Audit Candidate 4]]-Audit[[#This Row],[Candidate 4]]</f>
        <v>0</v>
      </c>
      <c r="W317" s="111">
        <f>Audit[[#This Row],[Audit Candidate 5]]-Audit[[#This Row],[Candidate 5]]</f>
        <v>0</v>
      </c>
      <c r="X317" s="111">
        <f>Audit[[#This Row],[Audit Candidate 6]]-Audit[[#This Row],[Candidate 6]]</f>
        <v>0</v>
      </c>
      <c r="Y317" s="111">
        <f>SUMIF(Audit[[#This Row],[Difference Loser]:[Difference Candidate 6]], "&gt;0")</f>
        <v>0</v>
      </c>
      <c r="Z317" s="111">
        <f>SUM(Audit[[#This Row],[Difference Loser]:[Difference Candidate 6]])</f>
        <v>0</v>
      </c>
      <c r="AA317" s="111">
        <f>IF(Audit[[#This Row],[Times p Drawn - With Replacement]]&gt;0, IF(Audit[[#This Row],[Canceled Differences]]&lt;0, Audit[[#This Row],[Max Differences]]+ABS(Audit[[#This Row],[Canceled Differences]]), Audit[[#This Row],[Max Differences]]), 0)</f>
        <v>0</v>
      </c>
      <c r="AB317" s="111">
        <f>'Sampling Data'!P307</f>
        <v>0</v>
      </c>
      <c r="AC317" s="111">
        <f>IF(
      SUM(Audit[[#This Row],[Audit Losing Candidate]:[Audit Candidate 6]])
      &lt;&gt;0,
      (Audit[[#This Row],[Winning Candidate]]-Audit[[#This Row],[Losing Candidate]]-(Audit[[#This Row],[Audit Winning Candidate]]-Audit[[#This Row],[Audit Losing Candidate]]))/(Audit[[#Totals],[Winning Candidate]]-Audit[[#Totals],[Losing Candidate]]),
      0
)</f>
        <v>0</v>
      </c>
      <c r="AD3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7" s="111">
        <f>IF(Audit[[#This Row],[Max Relative Error (ep)]] = 0, 0, Audit[[#This Row],[Max Relative Error (ep)]]/Audit[[#This Row],[Error Bound (up) - Max. possible relative overstatement]])</f>
        <v>0</v>
      </c>
      <c r="AJ3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17" s="111">
        <f t="shared" si="4"/>
        <v>1</v>
      </c>
      <c r="AL317" s="111">
        <f>PRODUCT($AK$5:AK317)</f>
        <v>8.962823818226312E-2</v>
      </c>
      <c r="AM317" s="109">
        <f>1 - [K-M P Value]</f>
        <v>0.91037176181773694</v>
      </c>
      <c r="AN317" s="111" t="str">
        <f>IF(Audit[[#This Row],[K-M P Value]]&gt;1-'General Info'!$B$16,"Continue", "Stop")</f>
        <v>Stop</v>
      </c>
      <c r="AO317" s="110" t="b">
        <f>IF(Audit[[#This Row],[Status - Continue or stop audit]] = "Continue", TRUE, IF(AN316 = "Continue", TRUE, FALSE))</f>
        <v>0</v>
      </c>
      <c r="AP317" s="110"/>
    </row>
    <row r="318" spans="1:42" ht="15" hidden="1" customHeight="1">
      <c r="A318" s="111" t="str">
        <f>'Sampling Data'!W308</f>
        <v/>
      </c>
      <c r="B318" s="112" t="str">
        <f>'Sampling Data'!A308</f>
        <v>CLEVELAND -02-O - ABS</v>
      </c>
      <c r="C318" s="112">
        <f>'Sampling Data'!B308</f>
        <v>0</v>
      </c>
      <c r="D318" s="112">
        <f>'Sampling Data'!C308</f>
        <v>0</v>
      </c>
      <c r="E318" s="113">
        <f>'Sampling Data'!D308</f>
        <v>0</v>
      </c>
      <c r="F318" s="113">
        <f>'Sampling Data'!E308</f>
        <v>1</v>
      </c>
      <c r="G318" s="113">
        <f>'Sampling Data'!F308</f>
        <v>0</v>
      </c>
      <c r="H318" s="113">
        <f>'Sampling Data'!G308</f>
        <v>0</v>
      </c>
      <c r="I318" s="112">
        <f>'Sampling Data'!H308</f>
        <v>0</v>
      </c>
      <c r="J318" s="112">
        <f>'Sampling Data'!I308</f>
        <v>0</v>
      </c>
      <c r="K318" s="112">
        <f>'Sampling Data'!J308</f>
        <v>1</v>
      </c>
      <c r="L318" s="111">
        <f>'Sampling Data'!X308</f>
        <v>0</v>
      </c>
      <c r="M318" s="114"/>
      <c r="N318" s="114"/>
      <c r="O318" s="115"/>
      <c r="P318" s="115"/>
      <c r="Q318" s="116"/>
      <c r="R318" s="116"/>
      <c r="S318" s="111">
        <f>Audit[[#This Row],[Audit Losing Candidate]]-Audit[[#This Row],[Losing Candidate]]</f>
        <v>0</v>
      </c>
      <c r="T318" s="111">
        <f>Audit[[#This Row],[Audit Winning Candidate]]-Audit[[#This Row],[Winning Candidate]]</f>
        <v>0</v>
      </c>
      <c r="U318" s="111">
        <f>Audit[[#This Row],[Audit Candidate 3]]-Audit[[#This Row],[Candidate 3]]</f>
        <v>0</v>
      </c>
      <c r="V318" s="111">
        <f>Audit[[#This Row],[Audit Candidate 4]]-Audit[[#This Row],[Candidate 4]]</f>
        <v>-1</v>
      </c>
      <c r="W318" s="111">
        <f>Audit[[#This Row],[Audit Candidate 5]]-Audit[[#This Row],[Candidate 5]]</f>
        <v>0</v>
      </c>
      <c r="X318" s="111">
        <f>Audit[[#This Row],[Audit Candidate 6]]-Audit[[#This Row],[Candidate 6]]</f>
        <v>0</v>
      </c>
      <c r="Y318" s="111">
        <f>SUMIF(Audit[[#This Row],[Difference Loser]:[Difference Candidate 6]], "&gt;0")</f>
        <v>0</v>
      </c>
      <c r="Z318" s="111">
        <f>SUM(Audit[[#This Row],[Difference Loser]:[Difference Candidate 6]])</f>
        <v>-1</v>
      </c>
      <c r="AA318" s="111">
        <f>IF(Audit[[#This Row],[Times p Drawn - With Replacement]]&gt;0, IF(Audit[[#This Row],[Canceled Differences]]&lt;0, Audit[[#This Row],[Max Differences]]+ABS(Audit[[#This Row],[Canceled Differences]]), Audit[[#This Row],[Max Differences]]), 0)</f>
        <v>0</v>
      </c>
      <c r="AB318" s="111">
        <f>'Sampling Data'!P308</f>
        <v>6.1244487996080352E-5</v>
      </c>
      <c r="AC318" s="111">
        <f>IF(
      SUM(Audit[[#This Row],[Audit Losing Candidate]:[Audit Candidate 6]])
      &lt;&gt;0,
      (Audit[[#This Row],[Winning Candidate]]-Audit[[#This Row],[Losing Candidate]]-(Audit[[#This Row],[Audit Winning Candidate]]-Audit[[#This Row],[Audit Losing Candidate]]))/(Audit[[#Totals],[Winning Candidate]]-Audit[[#Totals],[Losing Candidate]]),
      0
)</f>
        <v>0</v>
      </c>
      <c r="AD3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8" s="111">
        <f>IF(Audit[[#This Row],[Max Relative Error (ep)]] = 0, 0, Audit[[#This Row],[Max Relative Error (ep)]]/Audit[[#This Row],[Error Bound (up) - Max. possible relative overstatement]])</f>
        <v>0</v>
      </c>
      <c r="AJ3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18" s="111">
        <f t="shared" si="4"/>
        <v>1</v>
      </c>
      <c r="AL318" s="111">
        <f>PRODUCT($AK$5:AK318)</f>
        <v>8.962823818226312E-2</v>
      </c>
      <c r="AM318" s="109">
        <f>1 - [K-M P Value]</f>
        <v>0.91037176181773694</v>
      </c>
      <c r="AN318" s="111" t="str">
        <f>IF(Audit[[#This Row],[K-M P Value]]&gt;1-'General Info'!$B$16,"Continue", "Stop")</f>
        <v>Stop</v>
      </c>
      <c r="AO318" s="110" t="b">
        <f>IF(Audit[[#This Row],[Status - Continue or stop audit]] = "Continue", TRUE, IF(AN317 = "Continue", TRUE, FALSE))</f>
        <v>0</v>
      </c>
      <c r="AP318" s="110"/>
    </row>
    <row r="319" spans="1:42" ht="15" hidden="1" customHeight="1">
      <c r="A319" s="111" t="str">
        <f>'Sampling Data'!W309</f>
        <v/>
      </c>
      <c r="B319" s="112" t="str">
        <f>'Sampling Data'!A309</f>
        <v>CLEVELAND -02-P</v>
      </c>
      <c r="C319" s="112">
        <f>'Sampling Data'!B309</f>
        <v>0</v>
      </c>
      <c r="D319" s="112">
        <f>'Sampling Data'!C309</f>
        <v>0</v>
      </c>
      <c r="E319" s="113">
        <f>'Sampling Data'!D309</f>
        <v>1</v>
      </c>
      <c r="F319" s="113">
        <f>'Sampling Data'!E309</f>
        <v>0</v>
      </c>
      <c r="G319" s="113">
        <f>'Sampling Data'!F309</f>
        <v>0</v>
      </c>
      <c r="H319" s="113">
        <f>'Sampling Data'!G309</f>
        <v>0</v>
      </c>
      <c r="I319" s="112">
        <f>'Sampling Data'!H309</f>
        <v>0</v>
      </c>
      <c r="J319" s="112">
        <f>'Sampling Data'!I309</f>
        <v>0</v>
      </c>
      <c r="K319" s="112">
        <f>'Sampling Data'!J309</f>
        <v>1</v>
      </c>
      <c r="L319" s="111">
        <f>'Sampling Data'!X309</f>
        <v>0</v>
      </c>
      <c r="M319" s="114"/>
      <c r="N319" s="114"/>
      <c r="O319" s="115"/>
      <c r="P319" s="115"/>
      <c r="Q319" s="116"/>
      <c r="R319" s="116"/>
      <c r="S319" s="111">
        <f>Audit[[#This Row],[Audit Losing Candidate]]-Audit[[#This Row],[Losing Candidate]]</f>
        <v>0</v>
      </c>
      <c r="T319" s="111">
        <f>Audit[[#This Row],[Audit Winning Candidate]]-Audit[[#This Row],[Winning Candidate]]</f>
        <v>0</v>
      </c>
      <c r="U319" s="111">
        <f>Audit[[#This Row],[Audit Candidate 3]]-Audit[[#This Row],[Candidate 3]]</f>
        <v>-1</v>
      </c>
      <c r="V319" s="111">
        <f>Audit[[#This Row],[Audit Candidate 4]]-Audit[[#This Row],[Candidate 4]]</f>
        <v>0</v>
      </c>
      <c r="W319" s="111">
        <f>Audit[[#This Row],[Audit Candidate 5]]-Audit[[#This Row],[Candidate 5]]</f>
        <v>0</v>
      </c>
      <c r="X319" s="111">
        <f>Audit[[#This Row],[Audit Candidate 6]]-Audit[[#This Row],[Candidate 6]]</f>
        <v>0</v>
      </c>
      <c r="Y319" s="111">
        <f>SUMIF(Audit[[#This Row],[Difference Loser]:[Difference Candidate 6]], "&gt;0")</f>
        <v>0</v>
      </c>
      <c r="Z319" s="111">
        <f>SUM(Audit[[#This Row],[Difference Loser]:[Difference Candidate 6]])</f>
        <v>-1</v>
      </c>
      <c r="AA319" s="111">
        <f>IF(Audit[[#This Row],[Times p Drawn - With Replacement]]&gt;0, IF(Audit[[#This Row],[Canceled Differences]]&lt;0, Audit[[#This Row],[Max Differences]]+ABS(Audit[[#This Row],[Canceled Differences]]), Audit[[#This Row],[Max Differences]]), 0)</f>
        <v>0</v>
      </c>
      <c r="AB319" s="111">
        <f>'Sampling Data'!P309</f>
        <v>6.1244487996080352E-5</v>
      </c>
      <c r="AC319" s="111">
        <f>IF(
      SUM(Audit[[#This Row],[Audit Losing Candidate]:[Audit Candidate 6]])
      &lt;&gt;0,
      (Audit[[#This Row],[Winning Candidate]]-Audit[[#This Row],[Losing Candidate]]-(Audit[[#This Row],[Audit Winning Candidate]]-Audit[[#This Row],[Audit Losing Candidate]]))/(Audit[[#Totals],[Winning Candidate]]-Audit[[#Totals],[Losing Candidate]]),
      0
)</f>
        <v>0</v>
      </c>
      <c r="AD3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9" s="111">
        <f>IF(Audit[[#This Row],[Max Relative Error (ep)]] = 0, 0, Audit[[#This Row],[Max Relative Error (ep)]]/Audit[[#This Row],[Error Bound (up) - Max. possible relative overstatement]])</f>
        <v>0</v>
      </c>
      <c r="AJ3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19" s="111">
        <f t="shared" si="4"/>
        <v>1</v>
      </c>
      <c r="AL319" s="111">
        <f>PRODUCT($AK$5:AK319)</f>
        <v>8.962823818226312E-2</v>
      </c>
      <c r="AM319" s="109">
        <f>1 - [K-M P Value]</f>
        <v>0.91037176181773694</v>
      </c>
      <c r="AN319" s="111" t="str">
        <f>IF(Audit[[#This Row],[K-M P Value]]&gt;1-'General Info'!$B$16,"Continue", "Stop")</f>
        <v>Stop</v>
      </c>
      <c r="AO319" s="110" t="b">
        <f>IF(Audit[[#This Row],[Status - Continue or stop audit]] = "Continue", TRUE, IF(AN318 = "Continue", TRUE, FALSE))</f>
        <v>0</v>
      </c>
      <c r="AP319" s="110"/>
    </row>
    <row r="320" spans="1:42" ht="15" hidden="1" customHeight="1">
      <c r="A320" s="111" t="str">
        <f>'Sampling Data'!W310</f>
        <v/>
      </c>
      <c r="B320" s="112" t="str">
        <f>'Sampling Data'!A310</f>
        <v>CLEVELAND -02-P - ABS</v>
      </c>
      <c r="C320" s="112">
        <f>'Sampling Data'!B310</f>
        <v>0</v>
      </c>
      <c r="D320" s="112">
        <f>'Sampling Data'!C310</f>
        <v>0</v>
      </c>
      <c r="E320" s="113">
        <f>'Sampling Data'!D310</f>
        <v>0</v>
      </c>
      <c r="F320" s="113">
        <f>'Sampling Data'!E310</f>
        <v>0</v>
      </c>
      <c r="G320" s="113">
        <f>'Sampling Data'!F310</f>
        <v>0</v>
      </c>
      <c r="H320" s="113">
        <f>'Sampling Data'!G310</f>
        <v>0</v>
      </c>
      <c r="I320" s="112">
        <f>'Sampling Data'!H310</f>
        <v>0</v>
      </c>
      <c r="J320" s="112">
        <f>'Sampling Data'!I310</f>
        <v>0</v>
      </c>
      <c r="K320" s="112">
        <f>'Sampling Data'!J310</f>
        <v>0</v>
      </c>
      <c r="L320" s="111">
        <f>'Sampling Data'!X310</f>
        <v>0</v>
      </c>
      <c r="M320" s="114"/>
      <c r="N320" s="114"/>
      <c r="O320" s="115"/>
      <c r="P320" s="115"/>
      <c r="Q320" s="116"/>
      <c r="R320" s="116"/>
      <c r="S320" s="111">
        <f>Audit[[#This Row],[Audit Losing Candidate]]-Audit[[#This Row],[Losing Candidate]]</f>
        <v>0</v>
      </c>
      <c r="T320" s="111">
        <f>Audit[[#This Row],[Audit Winning Candidate]]-Audit[[#This Row],[Winning Candidate]]</f>
        <v>0</v>
      </c>
      <c r="U320" s="111">
        <f>Audit[[#This Row],[Audit Candidate 3]]-Audit[[#This Row],[Candidate 3]]</f>
        <v>0</v>
      </c>
      <c r="V320" s="111">
        <f>Audit[[#This Row],[Audit Candidate 4]]-Audit[[#This Row],[Candidate 4]]</f>
        <v>0</v>
      </c>
      <c r="W320" s="111">
        <f>Audit[[#This Row],[Audit Candidate 5]]-Audit[[#This Row],[Candidate 5]]</f>
        <v>0</v>
      </c>
      <c r="X320" s="111">
        <f>Audit[[#This Row],[Audit Candidate 6]]-Audit[[#This Row],[Candidate 6]]</f>
        <v>0</v>
      </c>
      <c r="Y320" s="111">
        <f>SUMIF(Audit[[#This Row],[Difference Loser]:[Difference Candidate 6]], "&gt;0")</f>
        <v>0</v>
      </c>
      <c r="Z320" s="111">
        <f>SUM(Audit[[#This Row],[Difference Loser]:[Difference Candidate 6]])</f>
        <v>0</v>
      </c>
      <c r="AA320" s="111">
        <f>IF(Audit[[#This Row],[Times p Drawn - With Replacement]]&gt;0, IF(Audit[[#This Row],[Canceled Differences]]&lt;0, Audit[[#This Row],[Max Differences]]+ABS(Audit[[#This Row],[Canceled Differences]]), Audit[[#This Row],[Max Differences]]), 0)</f>
        <v>0</v>
      </c>
      <c r="AB320" s="111">
        <f>'Sampling Data'!P310</f>
        <v>0</v>
      </c>
      <c r="AC320" s="111">
        <f>IF(
      SUM(Audit[[#This Row],[Audit Losing Candidate]:[Audit Candidate 6]])
      &lt;&gt;0,
      (Audit[[#This Row],[Winning Candidate]]-Audit[[#This Row],[Losing Candidate]]-(Audit[[#This Row],[Audit Winning Candidate]]-Audit[[#This Row],[Audit Losing Candidate]]))/(Audit[[#Totals],[Winning Candidate]]-Audit[[#Totals],[Losing Candidate]]),
      0
)</f>
        <v>0</v>
      </c>
      <c r="AD3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0" s="111">
        <f>IF(Audit[[#This Row],[Max Relative Error (ep)]] = 0, 0, Audit[[#This Row],[Max Relative Error (ep)]]/Audit[[#This Row],[Error Bound (up) - Max. possible relative overstatement]])</f>
        <v>0</v>
      </c>
      <c r="AJ3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20" s="111">
        <f t="shared" si="4"/>
        <v>1</v>
      </c>
      <c r="AL320" s="111">
        <f>PRODUCT($AK$5:AK320)</f>
        <v>8.962823818226312E-2</v>
      </c>
      <c r="AM320" s="109">
        <f>1 - [K-M P Value]</f>
        <v>0.91037176181773694</v>
      </c>
      <c r="AN320" s="111" t="str">
        <f>IF(Audit[[#This Row],[K-M P Value]]&gt;1-'General Info'!$B$16,"Continue", "Stop")</f>
        <v>Stop</v>
      </c>
      <c r="AO320" s="110" t="b">
        <f>IF(Audit[[#This Row],[Status - Continue or stop audit]] = "Continue", TRUE, IF(AN319 = "Continue", TRUE, FALSE))</f>
        <v>0</v>
      </c>
      <c r="AP320" s="110"/>
    </row>
    <row r="321" spans="1:42" ht="15" hidden="1" customHeight="1">
      <c r="A321" s="111" t="str">
        <f>'Sampling Data'!W311</f>
        <v/>
      </c>
      <c r="B321" s="112" t="str">
        <f>'Sampling Data'!A311</f>
        <v>CLEVELAND -02-Q</v>
      </c>
      <c r="C321" s="112">
        <f>'Sampling Data'!B311</f>
        <v>1</v>
      </c>
      <c r="D321" s="112">
        <f>'Sampling Data'!C311</f>
        <v>0</v>
      </c>
      <c r="E321" s="113">
        <f>'Sampling Data'!D311</f>
        <v>0</v>
      </c>
      <c r="F321" s="113">
        <f>'Sampling Data'!E311</f>
        <v>0</v>
      </c>
      <c r="G321" s="113">
        <f>'Sampling Data'!F311</f>
        <v>0</v>
      </c>
      <c r="H321" s="113">
        <f>'Sampling Data'!G311</f>
        <v>0</v>
      </c>
      <c r="I321" s="112">
        <f>'Sampling Data'!H311</f>
        <v>0</v>
      </c>
      <c r="J321" s="112">
        <f>'Sampling Data'!I311</f>
        <v>0</v>
      </c>
      <c r="K321" s="112">
        <f>'Sampling Data'!J311</f>
        <v>1</v>
      </c>
      <c r="L321" s="111">
        <f>'Sampling Data'!X311</f>
        <v>0</v>
      </c>
      <c r="M321" s="114"/>
      <c r="N321" s="114"/>
      <c r="O321" s="115"/>
      <c r="P321" s="115"/>
      <c r="Q321" s="116"/>
      <c r="R321" s="116"/>
      <c r="S321" s="111">
        <f>Audit[[#This Row],[Audit Losing Candidate]]-Audit[[#This Row],[Losing Candidate]]</f>
        <v>-1</v>
      </c>
      <c r="T321" s="111">
        <f>Audit[[#This Row],[Audit Winning Candidate]]-Audit[[#This Row],[Winning Candidate]]</f>
        <v>0</v>
      </c>
      <c r="U321" s="111">
        <f>Audit[[#This Row],[Audit Candidate 3]]-Audit[[#This Row],[Candidate 3]]</f>
        <v>0</v>
      </c>
      <c r="V321" s="111">
        <f>Audit[[#This Row],[Audit Candidate 4]]-Audit[[#This Row],[Candidate 4]]</f>
        <v>0</v>
      </c>
      <c r="W321" s="111">
        <f>Audit[[#This Row],[Audit Candidate 5]]-Audit[[#This Row],[Candidate 5]]</f>
        <v>0</v>
      </c>
      <c r="X321" s="111">
        <f>Audit[[#This Row],[Audit Candidate 6]]-Audit[[#This Row],[Candidate 6]]</f>
        <v>0</v>
      </c>
      <c r="Y321" s="111">
        <f>SUMIF(Audit[[#This Row],[Difference Loser]:[Difference Candidate 6]], "&gt;0")</f>
        <v>0</v>
      </c>
      <c r="Z321" s="111">
        <f>SUM(Audit[[#This Row],[Difference Loser]:[Difference Candidate 6]])</f>
        <v>-1</v>
      </c>
      <c r="AA321" s="111">
        <f>IF(Audit[[#This Row],[Times p Drawn - With Replacement]]&gt;0, IF(Audit[[#This Row],[Canceled Differences]]&lt;0, Audit[[#This Row],[Max Differences]]+ABS(Audit[[#This Row],[Canceled Differences]]), Audit[[#This Row],[Max Differences]]), 0)</f>
        <v>0</v>
      </c>
      <c r="AB321" s="111">
        <f>'Sampling Data'!P311</f>
        <v>3.2261186566441917E-5</v>
      </c>
      <c r="AC321" s="111">
        <f>IF(
      SUM(Audit[[#This Row],[Audit Losing Candidate]:[Audit Candidate 6]])
      &lt;&gt;0,
      (Audit[[#This Row],[Winning Candidate]]-Audit[[#This Row],[Losing Candidate]]-(Audit[[#This Row],[Audit Winning Candidate]]-Audit[[#This Row],[Audit Losing Candidate]]))/(Audit[[#Totals],[Winning Candidate]]-Audit[[#Totals],[Losing Candidate]]),
      0
)</f>
        <v>0</v>
      </c>
      <c r="AD3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1" s="111">
        <f>IF(Audit[[#This Row],[Max Relative Error (ep)]] = 0, 0, Audit[[#This Row],[Max Relative Error (ep)]]/Audit[[#This Row],[Error Bound (up) - Max. possible relative overstatement]])</f>
        <v>0</v>
      </c>
      <c r="AJ3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21" s="111">
        <f t="shared" si="4"/>
        <v>1</v>
      </c>
      <c r="AL321" s="111">
        <f>PRODUCT($AK$5:AK321)</f>
        <v>8.962823818226312E-2</v>
      </c>
      <c r="AM321" s="109">
        <f>1 - [K-M P Value]</f>
        <v>0.91037176181773694</v>
      </c>
      <c r="AN321" s="111" t="str">
        <f>IF(Audit[[#This Row],[K-M P Value]]&gt;1-'General Info'!$B$16,"Continue", "Stop")</f>
        <v>Stop</v>
      </c>
      <c r="AO321" s="110" t="b">
        <f>IF(Audit[[#This Row],[Status - Continue or stop audit]] = "Continue", TRUE, IF(AN320 = "Continue", TRUE, FALSE))</f>
        <v>0</v>
      </c>
      <c r="AP321" s="110"/>
    </row>
    <row r="322" spans="1:42" ht="15" hidden="1" customHeight="1">
      <c r="A322" s="111" t="str">
        <f>'Sampling Data'!W312</f>
        <v/>
      </c>
      <c r="B322" s="112" t="str">
        <f>'Sampling Data'!A312</f>
        <v>CLEVELAND -02-Q - ABS</v>
      </c>
      <c r="C322" s="112">
        <f>'Sampling Data'!B312</f>
        <v>0</v>
      </c>
      <c r="D322" s="112">
        <f>'Sampling Data'!C312</f>
        <v>0</v>
      </c>
      <c r="E322" s="113">
        <f>'Sampling Data'!D312</f>
        <v>0</v>
      </c>
      <c r="F322" s="113">
        <f>'Sampling Data'!E312</f>
        <v>0</v>
      </c>
      <c r="G322" s="113">
        <f>'Sampling Data'!F312</f>
        <v>0</v>
      </c>
      <c r="H322" s="113">
        <f>'Sampling Data'!G312</f>
        <v>0</v>
      </c>
      <c r="I322" s="112">
        <f>'Sampling Data'!H312</f>
        <v>0</v>
      </c>
      <c r="J322" s="112">
        <f>'Sampling Data'!I312</f>
        <v>0</v>
      </c>
      <c r="K322" s="112">
        <f>'Sampling Data'!J312</f>
        <v>0</v>
      </c>
      <c r="L322" s="111">
        <f>'Sampling Data'!X312</f>
        <v>0</v>
      </c>
      <c r="M322" s="114"/>
      <c r="N322" s="114"/>
      <c r="O322" s="115"/>
      <c r="P322" s="115"/>
      <c r="Q322" s="116"/>
      <c r="R322" s="116"/>
      <c r="S322" s="111">
        <f>Audit[[#This Row],[Audit Losing Candidate]]-Audit[[#This Row],[Losing Candidate]]</f>
        <v>0</v>
      </c>
      <c r="T322" s="111">
        <f>Audit[[#This Row],[Audit Winning Candidate]]-Audit[[#This Row],[Winning Candidate]]</f>
        <v>0</v>
      </c>
      <c r="U322" s="111">
        <f>Audit[[#This Row],[Audit Candidate 3]]-Audit[[#This Row],[Candidate 3]]</f>
        <v>0</v>
      </c>
      <c r="V322" s="111">
        <f>Audit[[#This Row],[Audit Candidate 4]]-Audit[[#This Row],[Candidate 4]]</f>
        <v>0</v>
      </c>
      <c r="W322" s="111">
        <f>Audit[[#This Row],[Audit Candidate 5]]-Audit[[#This Row],[Candidate 5]]</f>
        <v>0</v>
      </c>
      <c r="X322" s="111">
        <f>Audit[[#This Row],[Audit Candidate 6]]-Audit[[#This Row],[Candidate 6]]</f>
        <v>0</v>
      </c>
      <c r="Y322" s="111">
        <f>SUMIF(Audit[[#This Row],[Difference Loser]:[Difference Candidate 6]], "&gt;0")</f>
        <v>0</v>
      </c>
      <c r="Z322" s="111">
        <f>SUM(Audit[[#This Row],[Difference Loser]:[Difference Candidate 6]])</f>
        <v>0</v>
      </c>
      <c r="AA322" s="111">
        <f>IF(Audit[[#This Row],[Times p Drawn - With Replacement]]&gt;0, IF(Audit[[#This Row],[Canceled Differences]]&lt;0, Audit[[#This Row],[Max Differences]]+ABS(Audit[[#This Row],[Canceled Differences]]), Audit[[#This Row],[Max Differences]]), 0)</f>
        <v>0</v>
      </c>
      <c r="AB322" s="111">
        <f>'Sampling Data'!P312</f>
        <v>0</v>
      </c>
      <c r="AC322" s="111">
        <f>IF(
      SUM(Audit[[#This Row],[Audit Losing Candidate]:[Audit Candidate 6]])
      &lt;&gt;0,
      (Audit[[#This Row],[Winning Candidate]]-Audit[[#This Row],[Losing Candidate]]-(Audit[[#This Row],[Audit Winning Candidate]]-Audit[[#This Row],[Audit Losing Candidate]]))/(Audit[[#Totals],[Winning Candidate]]-Audit[[#Totals],[Losing Candidate]]),
      0
)</f>
        <v>0</v>
      </c>
      <c r="AD3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2" s="111">
        <f>IF(Audit[[#This Row],[Max Relative Error (ep)]] = 0, 0, Audit[[#This Row],[Max Relative Error (ep)]]/Audit[[#This Row],[Error Bound (up) - Max. possible relative overstatement]])</f>
        <v>0</v>
      </c>
      <c r="AJ3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22" s="111">
        <f t="shared" si="4"/>
        <v>1</v>
      </c>
      <c r="AL322" s="111">
        <f>PRODUCT($AK$5:AK322)</f>
        <v>8.962823818226312E-2</v>
      </c>
      <c r="AM322" s="109">
        <f>1 - [K-M P Value]</f>
        <v>0.91037176181773694</v>
      </c>
      <c r="AN322" s="111" t="str">
        <f>IF(Audit[[#This Row],[K-M P Value]]&gt;1-'General Info'!$B$16,"Continue", "Stop")</f>
        <v>Stop</v>
      </c>
      <c r="AO322" s="110" t="b">
        <f>IF(Audit[[#This Row],[Status - Continue or stop audit]] = "Continue", TRUE, IF(AN321 = "Continue", TRUE, FALSE))</f>
        <v>0</v>
      </c>
      <c r="AP322" s="110"/>
    </row>
    <row r="323" spans="1:42" ht="15" hidden="1" customHeight="1">
      <c r="A323" s="111" t="str">
        <f>'Sampling Data'!W313</f>
        <v/>
      </c>
      <c r="B323" s="112" t="str">
        <f>'Sampling Data'!A313</f>
        <v>CLEVELAND -02-R</v>
      </c>
      <c r="C323" s="112">
        <f>'Sampling Data'!B313</f>
        <v>0</v>
      </c>
      <c r="D323" s="112">
        <f>'Sampling Data'!C313</f>
        <v>0</v>
      </c>
      <c r="E323" s="113">
        <f>'Sampling Data'!D313</f>
        <v>0</v>
      </c>
      <c r="F323" s="113">
        <f>'Sampling Data'!E313</f>
        <v>0</v>
      </c>
      <c r="G323" s="113">
        <f>'Sampling Data'!F313</f>
        <v>0</v>
      </c>
      <c r="H323" s="113">
        <f>'Sampling Data'!G313</f>
        <v>1</v>
      </c>
      <c r="I323" s="112">
        <f>'Sampling Data'!H313</f>
        <v>0</v>
      </c>
      <c r="J323" s="112">
        <f>'Sampling Data'!I313</f>
        <v>0</v>
      </c>
      <c r="K323" s="112">
        <f>'Sampling Data'!J313</f>
        <v>1</v>
      </c>
      <c r="L323" s="111">
        <f>'Sampling Data'!X313</f>
        <v>0</v>
      </c>
      <c r="M323" s="114"/>
      <c r="N323" s="114"/>
      <c r="O323" s="115"/>
      <c r="P323" s="115"/>
      <c r="Q323" s="116"/>
      <c r="R323" s="116"/>
      <c r="S323" s="111">
        <f>Audit[[#This Row],[Audit Losing Candidate]]-Audit[[#This Row],[Losing Candidate]]</f>
        <v>0</v>
      </c>
      <c r="T323" s="111">
        <f>Audit[[#This Row],[Audit Winning Candidate]]-Audit[[#This Row],[Winning Candidate]]</f>
        <v>0</v>
      </c>
      <c r="U323" s="111">
        <f>Audit[[#This Row],[Audit Candidate 3]]-Audit[[#This Row],[Candidate 3]]</f>
        <v>0</v>
      </c>
      <c r="V323" s="111">
        <f>Audit[[#This Row],[Audit Candidate 4]]-Audit[[#This Row],[Candidate 4]]</f>
        <v>0</v>
      </c>
      <c r="W323" s="111">
        <f>Audit[[#This Row],[Audit Candidate 5]]-Audit[[#This Row],[Candidate 5]]</f>
        <v>0</v>
      </c>
      <c r="X323" s="111">
        <f>Audit[[#This Row],[Audit Candidate 6]]-Audit[[#This Row],[Candidate 6]]</f>
        <v>-1</v>
      </c>
      <c r="Y323" s="111">
        <f>SUMIF(Audit[[#This Row],[Difference Loser]:[Difference Candidate 6]], "&gt;0")</f>
        <v>0</v>
      </c>
      <c r="Z323" s="111">
        <f>SUM(Audit[[#This Row],[Difference Loser]:[Difference Candidate 6]])</f>
        <v>-1</v>
      </c>
      <c r="AA323" s="111">
        <f>IF(Audit[[#This Row],[Times p Drawn - With Replacement]]&gt;0, IF(Audit[[#This Row],[Canceled Differences]]&lt;0, Audit[[#This Row],[Max Differences]]+ABS(Audit[[#This Row],[Canceled Differences]]), Audit[[#This Row],[Max Differences]]), 0)</f>
        <v>0</v>
      </c>
      <c r="AB323" s="111">
        <f>'Sampling Data'!P313</f>
        <v>6.1244487996080352E-5</v>
      </c>
      <c r="AC323" s="111">
        <f>IF(
      SUM(Audit[[#This Row],[Audit Losing Candidate]:[Audit Candidate 6]])
      &lt;&gt;0,
      (Audit[[#This Row],[Winning Candidate]]-Audit[[#This Row],[Losing Candidate]]-(Audit[[#This Row],[Audit Winning Candidate]]-Audit[[#This Row],[Audit Losing Candidate]]))/(Audit[[#Totals],[Winning Candidate]]-Audit[[#Totals],[Losing Candidate]]),
      0
)</f>
        <v>0</v>
      </c>
      <c r="AD3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3" s="111">
        <f>IF(Audit[[#This Row],[Max Relative Error (ep)]] = 0, 0, Audit[[#This Row],[Max Relative Error (ep)]]/Audit[[#This Row],[Error Bound (up) - Max. possible relative overstatement]])</f>
        <v>0</v>
      </c>
      <c r="AJ3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23" s="111">
        <f t="shared" si="4"/>
        <v>1</v>
      </c>
      <c r="AL323" s="111">
        <f>PRODUCT($AK$5:AK323)</f>
        <v>8.962823818226312E-2</v>
      </c>
      <c r="AM323" s="109">
        <f>1 - [K-M P Value]</f>
        <v>0.91037176181773694</v>
      </c>
      <c r="AN323" s="111" t="str">
        <f>IF(Audit[[#This Row],[K-M P Value]]&gt;1-'General Info'!$B$16,"Continue", "Stop")</f>
        <v>Stop</v>
      </c>
      <c r="AO323" s="110" t="b">
        <f>IF(Audit[[#This Row],[Status - Continue or stop audit]] = "Continue", TRUE, IF(AN322 = "Continue", TRUE, FALSE))</f>
        <v>0</v>
      </c>
      <c r="AP323" s="110"/>
    </row>
    <row r="324" spans="1:42" ht="15" hidden="1" customHeight="1">
      <c r="A324" s="111" t="str">
        <f>'Sampling Data'!W314</f>
        <v/>
      </c>
      <c r="B324" s="112" t="str">
        <f>'Sampling Data'!A314</f>
        <v>CLEVELAND -02-R - ABS</v>
      </c>
      <c r="C324" s="112">
        <f>'Sampling Data'!B314</f>
        <v>0</v>
      </c>
      <c r="D324" s="112">
        <f>'Sampling Data'!C314</f>
        <v>0</v>
      </c>
      <c r="E324" s="113">
        <f>'Sampling Data'!D314</f>
        <v>0</v>
      </c>
      <c r="F324" s="113">
        <f>'Sampling Data'!E314</f>
        <v>1</v>
      </c>
      <c r="G324" s="113">
        <f>'Sampling Data'!F314</f>
        <v>0</v>
      </c>
      <c r="H324" s="113">
        <f>'Sampling Data'!G314</f>
        <v>0</v>
      </c>
      <c r="I324" s="112">
        <f>'Sampling Data'!H314</f>
        <v>0</v>
      </c>
      <c r="J324" s="112">
        <f>'Sampling Data'!I314</f>
        <v>1</v>
      </c>
      <c r="K324" s="112">
        <f>'Sampling Data'!J314</f>
        <v>2</v>
      </c>
      <c r="L324" s="111">
        <f>'Sampling Data'!X314</f>
        <v>0</v>
      </c>
      <c r="M324" s="114"/>
      <c r="N324" s="114"/>
      <c r="O324" s="115"/>
      <c r="P324" s="115"/>
      <c r="Q324" s="116"/>
      <c r="R324" s="116"/>
      <c r="S324" s="111">
        <f>Audit[[#This Row],[Audit Losing Candidate]]-Audit[[#This Row],[Losing Candidate]]</f>
        <v>0</v>
      </c>
      <c r="T324" s="111">
        <f>Audit[[#This Row],[Audit Winning Candidate]]-Audit[[#This Row],[Winning Candidate]]</f>
        <v>0</v>
      </c>
      <c r="U324" s="111">
        <f>Audit[[#This Row],[Audit Candidate 3]]-Audit[[#This Row],[Candidate 3]]</f>
        <v>0</v>
      </c>
      <c r="V324" s="111">
        <f>Audit[[#This Row],[Audit Candidate 4]]-Audit[[#This Row],[Candidate 4]]</f>
        <v>-1</v>
      </c>
      <c r="W324" s="111">
        <f>Audit[[#This Row],[Audit Candidate 5]]-Audit[[#This Row],[Candidate 5]]</f>
        <v>0</v>
      </c>
      <c r="X324" s="111">
        <f>Audit[[#This Row],[Audit Candidate 6]]-Audit[[#This Row],[Candidate 6]]</f>
        <v>0</v>
      </c>
      <c r="Y324" s="111">
        <f>SUMIF(Audit[[#This Row],[Difference Loser]:[Difference Candidate 6]], "&gt;0")</f>
        <v>0</v>
      </c>
      <c r="Z324" s="111">
        <f>SUM(Audit[[#This Row],[Difference Loser]:[Difference Candidate 6]])</f>
        <v>-1</v>
      </c>
      <c r="AA324" s="111">
        <f>IF(Audit[[#This Row],[Times p Drawn - With Replacement]]&gt;0, IF(Audit[[#This Row],[Canceled Differences]]&lt;0, Audit[[#This Row],[Max Differences]]+ABS(Audit[[#This Row],[Canceled Differences]]), Audit[[#This Row],[Max Differences]]), 0)</f>
        <v>0</v>
      </c>
      <c r="AB324" s="111">
        <f>'Sampling Data'!P314</f>
        <v>1.224889759921607E-4</v>
      </c>
      <c r="AC324" s="111">
        <f>IF(
      SUM(Audit[[#This Row],[Audit Losing Candidate]:[Audit Candidate 6]])
      &lt;&gt;0,
      (Audit[[#This Row],[Winning Candidate]]-Audit[[#This Row],[Losing Candidate]]-(Audit[[#This Row],[Audit Winning Candidate]]-Audit[[#This Row],[Audit Losing Candidate]]))/(Audit[[#Totals],[Winning Candidate]]-Audit[[#Totals],[Losing Candidate]]),
      0
)</f>
        <v>0</v>
      </c>
      <c r="AD3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4" s="111">
        <f>IF(Audit[[#This Row],[Max Relative Error (ep)]] = 0, 0, Audit[[#This Row],[Max Relative Error (ep)]]/Audit[[#This Row],[Error Bound (up) - Max. possible relative overstatement]])</f>
        <v>0</v>
      </c>
      <c r="AJ3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24" s="111">
        <f t="shared" si="4"/>
        <v>1</v>
      </c>
      <c r="AL324" s="111">
        <f>PRODUCT($AK$5:AK324)</f>
        <v>8.962823818226312E-2</v>
      </c>
      <c r="AM324" s="109">
        <f>1 - [K-M P Value]</f>
        <v>0.91037176181773694</v>
      </c>
      <c r="AN324" s="111" t="str">
        <f>IF(Audit[[#This Row],[K-M P Value]]&gt;1-'General Info'!$B$16,"Continue", "Stop")</f>
        <v>Stop</v>
      </c>
      <c r="AO324" s="110" t="b">
        <f>IF(Audit[[#This Row],[Status - Continue or stop audit]] = "Continue", TRUE, IF(AN323 = "Continue", TRUE, FALSE))</f>
        <v>0</v>
      </c>
      <c r="AP324" s="110"/>
    </row>
    <row r="325" spans="1:42" ht="15" hidden="1" customHeight="1">
      <c r="A325" s="111" t="str">
        <f>'Sampling Data'!W315</f>
        <v/>
      </c>
      <c r="B325" s="112" t="str">
        <f>'Sampling Data'!A315</f>
        <v>CLEVELAND -02-S</v>
      </c>
      <c r="C325" s="112">
        <f>'Sampling Data'!B315</f>
        <v>0</v>
      </c>
      <c r="D325" s="112">
        <f>'Sampling Data'!C315</f>
        <v>0</v>
      </c>
      <c r="E325" s="113">
        <f>'Sampling Data'!D315</f>
        <v>0</v>
      </c>
      <c r="F325" s="113">
        <f>'Sampling Data'!E315</f>
        <v>0</v>
      </c>
      <c r="G325" s="113">
        <f>'Sampling Data'!F315</f>
        <v>0</v>
      </c>
      <c r="H325" s="113">
        <f>'Sampling Data'!G315</f>
        <v>0</v>
      </c>
      <c r="I325" s="112">
        <f>'Sampling Data'!H315</f>
        <v>0</v>
      </c>
      <c r="J325" s="112">
        <f>'Sampling Data'!I315</f>
        <v>0</v>
      </c>
      <c r="K325" s="112">
        <f>'Sampling Data'!J315</f>
        <v>0</v>
      </c>
      <c r="L325" s="111">
        <f>'Sampling Data'!X315</f>
        <v>0</v>
      </c>
      <c r="M325" s="114"/>
      <c r="N325" s="114"/>
      <c r="O325" s="115"/>
      <c r="P325" s="115"/>
      <c r="Q325" s="116"/>
      <c r="R325" s="116"/>
      <c r="S325" s="111">
        <f>Audit[[#This Row],[Audit Losing Candidate]]-Audit[[#This Row],[Losing Candidate]]</f>
        <v>0</v>
      </c>
      <c r="T325" s="111">
        <f>Audit[[#This Row],[Audit Winning Candidate]]-Audit[[#This Row],[Winning Candidate]]</f>
        <v>0</v>
      </c>
      <c r="U325" s="111">
        <f>Audit[[#This Row],[Audit Candidate 3]]-Audit[[#This Row],[Candidate 3]]</f>
        <v>0</v>
      </c>
      <c r="V325" s="111">
        <f>Audit[[#This Row],[Audit Candidate 4]]-Audit[[#This Row],[Candidate 4]]</f>
        <v>0</v>
      </c>
      <c r="W325" s="111">
        <f>Audit[[#This Row],[Audit Candidate 5]]-Audit[[#This Row],[Candidate 5]]</f>
        <v>0</v>
      </c>
      <c r="X325" s="111">
        <f>Audit[[#This Row],[Audit Candidate 6]]-Audit[[#This Row],[Candidate 6]]</f>
        <v>0</v>
      </c>
      <c r="Y325" s="111">
        <f>SUMIF(Audit[[#This Row],[Difference Loser]:[Difference Candidate 6]], "&gt;0")</f>
        <v>0</v>
      </c>
      <c r="Z325" s="111">
        <f>SUM(Audit[[#This Row],[Difference Loser]:[Difference Candidate 6]])</f>
        <v>0</v>
      </c>
      <c r="AA325" s="111">
        <f>IF(Audit[[#This Row],[Times p Drawn - With Replacement]]&gt;0, IF(Audit[[#This Row],[Canceled Differences]]&lt;0, Audit[[#This Row],[Max Differences]]+ABS(Audit[[#This Row],[Canceled Differences]]), Audit[[#This Row],[Max Differences]]), 0)</f>
        <v>0</v>
      </c>
      <c r="AB325" s="111">
        <f>'Sampling Data'!P315</f>
        <v>0</v>
      </c>
      <c r="AC325" s="111">
        <f>IF(
      SUM(Audit[[#This Row],[Audit Losing Candidate]:[Audit Candidate 6]])
      &lt;&gt;0,
      (Audit[[#This Row],[Winning Candidate]]-Audit[[#This Row],[Losing Candidate]]-(Audit[[#This Row],[Audit Winning Candidate]]-Audit[[#This Row],[Audit Losing Candidate]]))/(Audit[[#Totals],[Winning Candidate]]-Audit[[#Totals],[Losing Candidate]]),
      0
)</f>
        <v>0</v>
      </c>
      <c r="AD3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5" s="111">
        <f>IF(Audit[[#This Row],[Max Relative Error (ep)]] = 0, 0, Audit[[#This Row],[Max Relative Error (ep)]]/Audit[[#This Row],[Error Bound (up) - Max. possible relative overstatement]])</f>
        <v>0</v>
      </c>
      <c r="AJ3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25" s="111">
        <f t="shared" ref="AK325:AK388" si="5">IF(ISERR(POWER(AJ325,L325)), 0, POWER(AJ325,L325))</f>
        <v>1</v>
      </c>
      <c r="AL325" s="111">
        <f>PRODUCT($AK$5:AK325)</f>
        <v>8.962823818226312E-2</v>
      </c>
      <c r="AM325" s="109">
        <f>1 - [K-M P Value]</f>
        <v>0.91037176181773694</v>
      </c>
      <c r="AN325" s="111" t="str">
        <f>IF(Audit[[#This Row],[K-M P Value]]&gt;1-'General Info'!$B$16,"Continue", "Stop")</f>
        <v>Stop</v>
      </c>
      <c r="AO325" s="110" t="b">
        <f>IF(Audit[[#This Row],[Status - Continue or stop audit]] = "Continue", TRUE, IF(AN324 = "Continue", TRUE, FALSE))</f>
        <v>0</v>
      </c>
      <c r="AP325" s="110"/>
    </row>
    <row r="326" spans="1:42" ht="15" hidden="1" customHeight="1">
      <c r="A326" s="111" t="str">
        <f>'Sampling Data'!W316</f>
        <v/>
      </c>
      <c r="B326" s="112" t="str">
        <f>'Sampling Data'!A316</f>
        <v>CLEVELAND -02-S - ABS</v>
      </c>
      <c r="C326" s="112">
        <f>'Sampling Data'!B316</f>
        <v>0</v>
      </c>
      <c r="D326" s="112">
        <f>'Sampling Data'!C316</f>
        <v>0</v>
      </c>
      <c r="E326" s="113">
        <f>'Sampling Data'!D316</f>
        <v>0</v>
      </c>
      <c r="F326" s="113">
        <f>'Sampling Data'!E316</f>
        <v>0</v>
      </c>
      <c r="G326" s="113">
        <f>'Sampling Data'!F316</f>
        <v>0</v>
      </c>
      <c r="H326" s="113">
        <f>'Sampling Data'!G316</f>
        <v>0</v>
      </c>
      <c r="I326" s="112">
        <f>'Sampling Data'!H316</f>
        <v>0</v>
      </c>
      <c r="J326" s="112">
        <f>'Sampling Data'!I316</f>
        <v>0</v>
      </c>
      <c r="K326" s="112">
        <f>'Sampling Data'!J316</f>
        <v>0</v>
      </c>
      <c r="L326" s="111">
        <f>'Sampling Data'!X316</f>
        <v>0</v>
      </c>
      <c r="M326" s="114"/>
      <c r="N326" s="114"/>
      <c r="O326" s="115"/>
      <c r="P326" s="115"/>
      <c r="Q326" s="116"/>
      <c r="R326" s="116"/>
      <c r="S326" s="111">
        <f>Audit[[#This Row],[Audit Losing Candidate]]-Audit[[#This Row],[Losing Candidate]]</f>
        <v>0</v>
      </c>
      <c r="T326" s="111">
        <f>Audit[[#This Row],[Audit Winning Candidate]]-Audit[[#This Row],[Winning Candidate]]</f>
        <v>0</v>
      </c>
      <c r="U326" s="111">
        <f>Audit[[#This Row],[Audit Candidate 3]]-Audit[[#This Row],[Candidate 3]]</f>
        <v>0</v>
      </c>
      <c r="V326" s="111">
        <f>Audit[[#This Row],[Audit Candidate 4]]-Audit[[#This Row],[Candidate 4]]</f>
        <v>0</v>
      </c>
      <c r="W326" s="111">
        <f>Audit[[#This Row],[Audit Candidate 5]]-Audit[[#This Row],[Candidate 5]]</f>
        <v>0</v>
      </c>
      <c r="X326" s="111">
        <f>Audit[[#This Row],[Audit Candidate 6]]-Audit[[#This Row],[Candidate 6]]</f>
        <v>0</v>
      </c>
      <c r="Y326" s="111">
        <f>SUMIF(Audit[[#This Row],[Difference Loser]:[Difference Candidate 6]], "&gt;0")</f>
        <v>0</v>
      </c>
      <c r="Z326" s="111">
        <f>SUM(Audit[[#This Row],[Difference Loser]:[Difference Candidate 6]])</f>
        <v>0</v>
      </c>
      <c r="AA326" s="111">
        <f>IF(Audit[[#This Row],[Times p Drawn - With Replacement]]&gt;0, IF(Audit[[#This Row],[Canceled Differences]]&lt;0, Audit[[#This Row],[Max Differences]]+ABS(Audit[[#This Row],[Canceled Differences]]), Audit[[#This Row],[Max Differences]]), 0)</f>
        <v>0</v>
      </c>
      <c r="AB326" s="111">
        <f>'Sampling Data'!P316</f>
        <v>0</v>
      </c>
      <c r="AC326" s="111">
        <f>IF(
      SUM(Audit[[#This Row],[Audit Losing Candidate]:[Audit Candidate 6]])
      &lt;&gt;0,
      (Audit[[#This Row],[Winning Candidate]]-Audit[[#This Row],[Losing Candidate]]-(Audit[[#This Row],[Audit Winning Candidate]]-Audit[[#This Row],[Audit Losing Candidate]]))/(Audit[[#Totals],[Winning Candidate]]-Audit[[#Totals],[Losing Candidate]]),
      0
)</f>
        <v>0</v>
      </c>
      <c r="AD3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6" s="111">
        <f>IF(Audit[[#This Row],[Max Relative Error (ep)]] = 0, 0, Audit[[#This Row],[Max Relative Error (ep)]]/Audit[[#This Row],[Error Bound (up) - Max. possible relative overstatement]])</f>
        <v>0</v>
      </c>
      <c r="AJ3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26" s="111">
        <f t="shared" si="5"/>
        <v>1</v>
      </c>
      <c r="AL326" s="111">
        <f>PRODUCT($AK$5:AK326)</f>
        <v>8.962823818226312E-2</v>
      </c>
      <c r="AM326" s="109">
        <f>1 - [K-M P Value]</f>
        <v>0.91037176181773694</v>
      </c>
      <c r="AN326" s="111" t="str">
        <f>IF(Audit[[#This Row],[K-M P Value]]&gt;1-'General Info'!$B$16,"Continue", "Stop")</f>
        <v>Stop</v>
      </c>
      <c r="AO326" s="110" t="b">
        <f>IF(Audit[[#This Row],[Status - Continue or stop audit]] = "Continue", TRUE, IF(AN325 = "Continue", TRUE, FALSE))</f>
        <v>0</v>
      </c>
      <c r="AP326" s="110"/>
    </row>
    <row r="327" spans="1:42" ht="15" hidden="1" customHeight="1">
      <c r="A327" s="111" t="str">
        <f>'Sampling Data'!W317</f>
        <v/>
      </c>
      <c r="B327" s="112" t="str">
        <f>'Sampling Data'!A317</f>
        <v>CLEVELAND -03-A</v>
      </c>
      <c r="C327" s="112">
        <f>'Sampling Data'!B317</f>
        <v>0</v>
      </c>
      <c r="D327" s="112">
        <f>'Sampling Data'!C317</f>
        <v>0</v>
      </c>
      <c r="E327" s="113">
        <f>'Sampling Data'!D317</f>
        <v>0</v>
      </c>
      <c r="F327" s="113">
        <f>'Sampling Data'!E317</f>
        <v>0</v>
      </c>
      <c r="G327" s="113">
        <f>'Sampling Data'!F317</f>
        <v>0</v>
      </c>
      <c r="H327" s="113">
        <f>'Sampling Data'!G317</f>
        <v>0</v>
      </c>
      <c r="I327" s="112">
        <f>'Sampling Data'!H317</f>
        <v>0</v>
      </c>
      <c r="J327" s="112">
        <f>'Sampling Data'!I317</f>
        <v>0</v>
      </c>
      <c r="K327" s="112">
        <f>'Sampling Data'!J317</f>
        <v>0</v>
      </c>
      <c r="L327" s="111">
        <f>'Sampling Data'!X317</f>
        <v>0</v>
      </c>
      <c r="M327" s="114"/>
      <c r="N327" s="114"/>
      <c r="O327" s="115"/>
      <c r="P327" s="115"/>
      <c r="Q327" s="116"/>
      <c r="R327" s="116"/>
      <c r="S327" s="111">
        <f>Audit[[#This Row],[Audit Losing Candidate]]-Audit[[#This Row],[Losing Candidate]]</f>
        <v>0</v>
      </c>
      <c r="T327" s="111">
        <f>Audit[[#This Row],[Audit Winning Candidate]]-Audit[[#This Row],[Winning Candidate]]</f>
        <v>0</v>
      </c>
      <c r="U327" s="111">
        <f>Audit[[#This Row],[Audit Candidate 3]]-Audit[[#This Row],[Candidate 3]]</f>
        <v>0</v>
      </c>
      <c r="V327" s="111">
        <f>Audit[[#This Row],[Audit Candidate 4]]-Audit[[#This Row],[Candidate 4]]</f>
        <v>0</v>
      </c>
      <c r="W327" s="111">
        <f>Audit[[#This Row],[Audit Candidate 5]]-Audit[[#This Row],[Candidate 5]]</f>
        <v>0</v>
      </c>
      <c r="X327" s="111">
        <f>Audit[[#This Row],[Audit Candidate 6]]-Audit[[#This Row],[Candidate 6]]</f>
        <v>0</v>
      </c>
      <c r="Y327" s="111">
        <f>SUMIF(Audit[[#This Row],[Difference Loser]:[Difference Candidate 6]], "&gt;0")</f>
        <v>0</v>
      </c>
      <c r="Z327" s="111">
        <f>SUM(Audit[[#This Row],[Difference Loser]:[Difference Candidate 6]])</f>
        <v>0</v>
      </c>
      <c r="AA327" s="111">
        <f>IF(Audit[[#This Row],[Times p Drawn - With Replacement]]&gt;0, IF(Audit[[#This Row],[Canceled Differences]]&lt;0, Audit[[#This Row],[Max Differences]]+ABS(Audit[[#This Row],[Canceled Differences]]), Audit[[#This Row],[Max Differences]]), 0)</f>
        <v>0</v>
      </c>
      <c r="AB327" s="111">
        <f>'Sampling Data'!P317</f>
        <v>0</v>
      </c>
      <c r="AC327" s="111">
        <f>IF(
      SUM(Audit[[#This Row],[Audit Losing Candidate]:[Audit Candidate 6]])
      &lt;&gt;0,
      (Audit[[#This Row],[Winning Candidate]]-Audit[[#This Row],[Losing Candidate]]-(Audit[[#This Row],[Audit Winning Candidate]]-Audit[[#This Row],[Audit Losing Candidate]]))/(Audit[[#Totals],[Winning Candidate]]-Audit[[#Totals],[Losing Candidate]]),
      0
)</f>
        <v>0</v>
      </c>
      <c r="AD3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7" s="111">
        <f>IF(Audit[[#This Row],[Max Relative Error (ep)]] = 0, 0, Audit[[#This Row],[Max Relative Error (ep)]]/Audit[[#This Row],[Error Bound (up) - Max. possible relative overstatement]])</f>
        <v>0</v>
      </c>
      <c r="AJ3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27" s="111">
        <f t="shared" si="5"/>
        <v>1</v>
      </c>
      <c r="AL327" s="111">
        <f>PRODUCT($AK$5:AK327)</f>
        <v>8.962823818226312E-2</v>
      </c>
      <c r="AM327" s="109">
        <f>1 - [K-M P Value]</f>
        <v>0.91037176181773694</v>
      </c>
      <c r="AN327" s="111" t="str">
        <f>IF(Audit[[#This Row],[K-M P Value]]&gt;1-'General Info'!$B$16,"Continue", "Stop")</f>
        <v>Stop</v>
      </c>
      <c r="AO327" s="110" t="b">
        <f>IF(Audit[[#This Row],[Status - Continue or stop audit]] = "Continue", TRUE, IF(AN326 = "Continue", TRUE, FALSE))</f>
        <v>0</v>
      </c>
      <c r="AP327" s="110"/>
    </row>
    <row r="328" spans="1:42" ht="15" hidden="1" customHeight="1">
      <c r="A328" s="111" t="str">
        <f>'Sampling Data'!W318</f>
        <v/>
      </c>
      <c r="B328" s="112" t="str">
        <f>'Sampling Data'!A318</f>
        <v>CLEVELAND -03-A - ABS</v>
      </c>
      <c r="C328" s="112">
        <f>'Sampling Data'!B318</f>
        <v>0</v>
      </c>
      <c r="D328" s="112">
        <f>'Sampling Data'!C318</f>
        <v>0</v>
      </c>
      <c r="E328" s="113">
        <f>'Sampling Data'!D318</f>
        <v>0</v>
      </c>
      <c r="F328" s="113">
        <f>'Sampling Data'!E318</f>
        <v>0</v>
      </c>
      <c r="G328" s="113">
        <f>'Sampling Data'!F318</f>
        <v>0</v>
      </c>
      <c r="H328" s="113">
        <f>'Sampling Data'!G318</f>
        <v>0</v>
      </c>
      <c r="I328" s="112">
        <f>'Sampling Data'!H318</f>
        <v>0</v>
      </c>
      <c r="J328" s="112">
        <f>'Sampling Data'!I318</f>
        <v>0</v>
      </c>
      <c r="K328" s="112">
        <f>'Sampling Data'!J318</f>
        <v>0</v>
      </c>
      <c r="L328" s="111">
        <f>'Sampling Data'!X318</f>
        <v>0</v>
      </c>
      <c r="M328" s="114"/>
      <c r="N328" s="114"/>
      <c r="O328" s="115"/>
      <c r="P328" s="115"/>
      <c r="Q328" s="116"/>
      <c r="R328" s="116"/>
      <c r="S328" s="111">
        <f>Audit[[#This Row],[Audit Losing Candidate]]-Audit[[#This Row],[Losing Candidate]]</f>
        <v>0</v>
      </c>
      <c r="T328" s="111">
        <f>Audit[[#This Row],[Audit Winning Candidate]]-Audit[[#This Row],[Winning Candidate]]</f>
        <v>0</v>
      </c>
      <c r="U328" s="111">
        <f>Audit[[#This Row],[Audit Candidate 3]]-Audit[[#This Row],[Candidate 3]]</f>
        <v>0</v>
      </c>
      <c r="V328" s="111">
        <f>Audit[[#This Row],[Audit Candidate 4]]-Audit[[#This Row],[Candidate 4]]</f>
        <v>0</v>
      </c>
      <c r="W328" s="111">
        <f>Audit[[#This Row],[Audit Candidate 5]]-Audit[[#This Row],[Candidate 5]]</f>
        <v>0</v>
      </c>
      <c r="X328" s="111">
        <f>Audit[[#This Row],[Audit Candidate 6]]-Audit[[#This Row],[Candidate 6]]</f>
        <v>0</v>
      </c>
      <c r="Y328" s="111">
        <f>SUMIF(Audit[[#This Row],[Difference Loser]:[Difference Candidate 6]], "&gt;0")</f>
        <v>0</v>
      </c>
      <c r="Z328" s="111">
        <f>SUM(Audit[[#This Row],[Difference Loser]:[Difference Candidate 6]])</f>
        <v>0</v>
      </c>
      <c r="AA328" s="111">
        <f>IF(Audit[[#This Row],[Times p Drawn - With Replacement]]&gt;0, IF(Audit[[#This Row],[Canceled Differences]]&lt;0, Audit[[#This Row],[Max Differences]]+ABS(Audit[[#This Row],[Canceled Differences]]), Audit[[#This Row],[Max Differences]]), 0)</f>
        <v>0</v>
      </c>
      <c r="AB328" s="111">
        <f>'Sampling Data'!P318</f>
        <v>0</v>
      </c>
      <c r="AC328" s="111">
        <f>IF(
      SUM(Audit[[#This Row],[Audit Losing Candidate]:[Audit Candidate 6]])
      &lt;&gt;0,
      (Audit[[#This Row],[Winning Candidate]]-Audit[[#This Row],[Losing Candidate]]-(Audit[[#This Row],[Audit Winning Candidate]]-Audit[[#This Row],[Audit Losing Candidate]]))/(Audit[[#Totals],[Winning Candidate]]-Audit[[#Totals],[Losing Candidate]]),
      0
)</f>
        <v>0</v>
      </c>
      <c r="AD3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8" s="111">
        <f>IF(Audit[[#This Row],[Max Relative Error (ep)]] = 0, 0, Audit[[#This Row],[Max Relative Error (ep)]]/Audit[[#This Row],[Error Bound (up) - Max. possible relative overstatement]])</f>
        <v>0</v>
      </c>
      <c r="AJ3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28" s="111">
        <f t="shared" si="5"/>
        <v>1</v>
      </c>
      <c r="AL328" s="111">
        <f>PRODUCT($AK$5:AK328)</f>
        <v>8.962823818226312E-2</v>
      </c>
      <c r="AM328" s="109">
        <f>1 - [K-M P Value]</f>
        <v>0.91037176181773694</v>
      </c>
      <c r="AN328" s="111" t="str">
        <f>IF(Audit[[#This Row],[K-M P Value]]&gt;1-'General Info'!$B$16,"Continue", "Stop")</f>
        <v>Stop</v>
      </c>
      <c r="AO328" s="110" t="b">
        <f>IF(Audit[[#This Row],[Status - Continue or stop audit]] = "Continue", TRUE, IF(AN327 = "Continue", TRUE, FALSE))</f>
        <v>0</v>
      </c>
      <c r="AP328" s="110"/>
    </row>
    <row r="329" spans="1:42" ht="15" hidden="1" customHeight="1">
      <c r="A329" s="111" t="str">
        <f>'Sampling Data'!W319</f>
        <v/>
      </c>
      <c r="B329" s="112" t="str">
        <f>'Sampling Data'!A319</f>
        <v>CLEVELAND -03-B</v>
      </c>
      <c r="C329" s="112">
        <f>'Sampling Data'!B319</f>
        <v>1</v>
      </c>
      <c r="D329" s="112">
        <f>'Sampling Data'!C319</f>
        <v>7</v>
      </c>
      <c r="E329" s="113">
        <f>'Sampling Data'!D319</f>
        <v>4</v>
      </c>
      <c r="F329" s="113">
        <f>'Sampling Data'!E319</f>
        <v>6</v>
      </c>
      <c r="G329" s="113">
        <f>'Sampling Data'!F319</f>
        <v>0</v>
      </c>
      <c r="H329" s="113">
        <f>'Sampling Data'!G319</f>
        <v>0</v>
      </c>
      <c r="I329" s="112">
        <f>'Sampling Data'!H319</f>
        <v>0</v>
      </c>
      <c r="J329" s="112">
        <f>'Sampling Data'!I319</f>
        <v>0</v>
      </c>
      <c r="K329" s="112">
        <f>'Sampling Data'!J319</f>
        <v>18</v>
      </c>
      <c r="L329" s="111">
        <f>'Sampling Data'!X319</f>
        <v>0</v>
      </c>
      <c r="M329" s="114"/>
      <c r="N329" s="114"/>
      <c r="O329" s="115"/>
      <c r="P329" s="115"/>
      <c r="Q329" s="116"/>
      <c r="R329" s="116"/>
      <c r="S329" s="111">
        <f>Audit[[#This Row],[Audit Losing Candidate]]-Audit[[#This Row],[Losing Candidate]]</f>
        <v>-1</v>
      </c>
      <c r="T329" s="111">
        <f>Audit[[#This Row],[Audit Winning Candidate]]-Audit[[#This Row],[Winning Candidate]]</f>
        <v>-7</v>
      </c>
      <c r="U329" s="111">
        <f>Audit[[#This Row],[Audit Candidate 3]]-Audit[[#This Row],[Candidate 3]]</f>
        <v>-4</v>
      </c>
      <c r="V329" s="111">
        <f>Audit[[#This Row],[Audit Candidate 4]]-Audit[[#This Row],[Candidate 4]]</f>
        <v>-6</v>
      </c>
      <c r="W329" s="111">
        <f>Audit[[#This Row],[Audit Candidate 5]]-Audit[[#This Row],[Candidate 5]]</f>
        <v>0</v>
      </c>
      <c r="X329" s="111">
        <f>Audit[[#This Row],[Audit Candidate 6]]-Audit[[#This Row],[Candidate 6]]</f>
        <v>0</v>
      </c>
      <c r="Y329" s="111">
        <f>SUMIF(Audit[[#This Row],[Difference Loser]:[Difference Candidate 6]], "&gt;0")</f>
        <v>0</v>
      </c>
      <c r="Z329" s="111">
        <f>SUM(Audit[[#This Row],[Difference Loser]:[Difference Candidate 6]])</f>
        <v>-18</v>
      </c>
      <c r="AA329" s="111">
        <f>IF(Audit[[#This Row],[Times p Drawn - With Replacement]]&gt;0, IF(Audit[[#This Row],[Canceled Differences]]&lt;0, Audit[[#This Row],[Max Differences]]+ABS(Audit[[#This Row],[Canceled Differences]]), Audit[[#This Row],[Max Differences]]), 0)</f>
        <v>0</v>
      </c>
      <c r="AB329" s="111">
        <f>'Sampling Data'!P319</f>
        <v>1.4698677119059284E-3</v>
      </c>
      <c r="AC329" s="111">
        <f>IF(
      SUM(Audit[[#This Row],[Audit Losing Candidate]:[Audit Candidate 6]])
      &lt;&gt;0,
      (Audit[[#This Row],[Winning Candidate]]-Audit[[#This Row],[Losing Candidate]]-(Audit[[#This Row],[Audit Winning Candidate]]-Audit[[#This Row],[Audit Losing Candidate]]))/(Audit[[#Totals],[Winning Candidate]]-Audit[[#Totals],[Losing Candidate]]),
      0
)</f>
        <v>0</v>
      </c>
      <c r="AD3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9" s="111">
        <f>IF(Audit[[#This Row],[Max Relative Error (ep)]] = 0, 0, Audit[[#This Row],[Max Relative Error (ep)]]/Audit[[#This Row],[Error Bound (up) - Max. possible relative overstatement]])</f>
        <v>0</v>
      </c>
      <c r="AJ3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29" s="111">
        <f t="shared" si="5"/>
        <v>1</v>
      </c>
      <c r="AL329" s="111">
        <f>PRODUCT($AK$5:AK329)</f>
        <v>8.962823818226312E-2</v>
      </c>
      <c r="AM329" s="109">
        <f>1 - [K-M P Value]</f>
        <v>0.91037176181773694</v>
      </c>
      <c r="AN329" s="111" t="str">
        <f>IF(Audit[[#This Row],[K-M P Value]]&gt;1-'General Info'!$B$16,"Continue", "Stop")</f>
        <v>Stop</v>
      </c>
      <c r="AO329" s="110" t="b">
        <f>IF(Audit[[#This Row],[Status - Continue or stop audit]] = "Continue", TRUE, IF(AN328 = "Continue", TRUE, FALSE))</f>
        <v>0</v>
      </c>
      <c r="AP329" s="110"/>
    </row>
    <row r="330" spans="1:42" ht="15" hidden="1" customHeight="1">
      <c r="A330" s="111" t="str">
        <f>'Sampling Data'!W320</f>
        <v/>
      </c>
      <c r="B330" s="112" t="str">
        <f>'Sampling Data'!A320</f>
        <v>CLEVELAND -03-B - ABS</v>
      </c>
      <c r="C330" s="112">
        <f>'Sampling Data'!B320</f>
        <v>3</v>
      </c>
      <c r="D330" s="112">
        <f>'Sampling Data'!C320</f>
        <v>6</v>
      </c>
      <c r="E330" s="113">
        <f>'Sampling Data'!D320</f>
        <v>0</v>
      </c>
      <c r="F330" s="113">
        <f>'Sampling Data'!E320</f>
        <v>0</v>
      </c>
      <c r="G330" s="113">
        <f>'Sampling Data'!F320</f>
        <v>0</v>
      </c>
      <c r="H330" s="113">
        <f>'Sampling Data'!G320</f>
        <v>0</v>
      </c>
      <c r="I330" s="112">
        <f>'Sampling Data'!H320</f>
        <v>0</v>
      </c>
      <c r="J330" s="112">
        <f>'Sampling Data'!I320</f>
        <v>0</v>
      </c>
      <c r="K330" s="112">
        <f>'Sampling Data'!J320</f>
        <v>9</v>
      </c>
      <c r="L330" s="111">
        <f>'Sampling Data'!X320</f>
        <v>0</v>
      </c>
      <c r="M330" s="114"/>
      <c r="N330" s="114"/>
      <c r="O330" s="115"/>
      <c r="P330" s="115"/>
      <c r="Q330" s="116"/>
      <c r="R330" s="116"/>
      <c r="S330" s="111">
        <f>Audit[[#This Row],[Audit Losing Candidate]]-Audit[[#This Row],[Losing Candidate]]</f>
        <v>-3</v>
      </c>
      <c r="T330" s="111">
        <f>Audit[[#This Row],[Audit Winning Candidate]]-Audit[[#This Row],[Winning Candidate]]</f>
        <v>-6</v>
      </c>
      <c r="U330" s="111">
        <f>Audit[[#This Row],[Audit Candidate 3]]-Audit[[#This Row],[Candidate 3]]</f>
        <v>0</v>
      </c>
      <c r="V330" s="111">
        <f>Audit[[#This Row],[Audit Candidate 4]]-Audit[[#This Row],[Candidate 4]]</f>
        <v>0</v>
      </c>
      <c r="W330" s="111">
        <f>Audit[[#This Row],[Audit Candidate 5]]-Audit[[#This Row],[Candidate 5]]</f>
        <v>0</v>
      </c>
      <c r="X330" s="111">
        <f>Audit[[#This Row],[Audit Candidate 6]]-Audit[[#This Row],[Candidate 6]]</f>
        <v>0</v>
      </c>
      <c r="Y330" s="111">
        <f>SUMIF(Audit[[#This Row],[Difference Loser]:[Difference Candidate 6]], "&gt;0")</f>
        <v>0</v>
      </c>
      <c r="Z330" s="111">
        <f>SUM(Audit[[#This Row],[Difference Loser]:[Difference Candidate 6]])</f>
        <v>-9</v>
      </c>
      <c r="AA330" s="111">
        <f>IF(Audit[[#This Row],[Times p Drawn - With Replacement]]&gt;0, IF(Audit[[#This Row],[Canceled Differences]]&lt;0, Audit[[#This Row],[Max Differences]]+ABS(Audit[[#This Row],[Canceled Differences]]), Audit[[#This Row],[Max Differences]]), 0)</f>
        <v>0</v>
      </c>
      <c r="AB330" s="111">
        <f>'Sampling Data'!P320</f>
        <v>7.3493385595296422E-4</v>
      </c>
      <c r="AC330" s="111">
        <f>IF(
      SUM(Audit[[#This Row],[Audit Losing Candidate]:[Audit Candidate 6]])
      &lt;&gt;0,
      (Audit[[#This Row],[Winning Candidate]]-Audit[[#This Row],[Losing Candidate]]-(Audit[[#This Row],[Audit Winning Candidate]]-Audit[[#This Row],[Audit Losing Candidate]]))/(Audit[[#Totals],[Winning Candidate]]-Audit[[#Totals],[Losing Candidate]]),
      0
)</f>
        <v>0</v>
      </c>
      <c r="AD3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0" s="111">
        <f>IF(Audit[[#This Row],[Max Relative Error (ep)]] = 0, 0, Audit[[#This Row],[Max Relative Error (ep)]]/Audit[[#This Row],[Error Bound (up) - Max. possible relative overstatement]])</f>
        <v>0</v>
      </c>
      <c r="AJ3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30" s="111">
        <f t="shared" si="5"/>
        <v>1</v>
      </c>
      <c r="AL330" s="111">
        <f>PRODUCT($AK$5:AK330)</f>
        <v>8.962823818226312E-2</v>
      </c>
      <c r="AM330" s="109">
        <f>1 - [K-M P Value]</f>
        <v>0.91037176181773694</v>
      </c>
      <c r="AN330" s="111" t="str">
        <f>IF(Audit[[#This Row],[K-M P Value]]&gt;1-'General Info'!$B$16,"Continue", "Stop")</f>
        <v>Stop</v>
      </c>
      <c r="AO330" s="110" t="b">
        <f>IF(Audit[[#This Row],[Status - Continue or stop audit]] = "Continue", TRUE, IF(AN329 = "Continue", TRUE, FALSE))</f>
        <v>0</v>
      </c>
      <c r="AP330" s="110"/>
    </row>
    <row r="331" spans="1:42" ht="15" hidden="1" customHeight="1">
      <c r="A331" s="111" t="str">
        <f>'Sampling Data'!W321</f>
        <v/>
      </c>
      <c r="B331" s="112" t="str">
        <f>'Sampling Data'!A321</f>
        <v>CLEVELAND -03-C</v>
      </c>
      <c r="C331" s="112">
        <f>'Sampling Data'!B321</f>
        <v>9</v>
      </c>
      <c r="D331" s="112">
        <f>'Sampling Data'!C321</f>
        <v>9</v>
      </c>
      <c r="E331" s="113">
        <f>'Sampling Data'!D321</f>
        <v>0</v>
      </c>
      <c r="F331" s="113">
        <f>'Sampling Data'!E321</f>
        <v>4</v>
      </c>
      <c r="G331" s="113">
        <f>'Sampling Data'!F321</f>
        <v>0</v>
      </c>
      <c r="H331" s="113">
        <f>'Sampling Data'!G321</f>
        <v>0</v>
      </c>
      <c r="I331" s="112">
        <f>'Sampling Data'!H321</f>
        <v>0</v>
      </c>
      <c r="J331" s="112">
        <f>'Sampling Data'!I321</f>
        <v>0</v>
      </c>
      <c r="K331" s="112">
        <f>'Sampling Data'!J321</f>
        <v>22</v>
      </c>
      <c r="L331" s="111">
        <f>'Sampling Data'!X321</f>
        <v>0</v>
      </c>
      <c r="M331" s="114"/>
      <c r="N331" s="114"/>
      <c r="O331" s="115"/>
      <c r="P331" s="115"/>
      <c r="Q331" s="116"/>
      <c r="R331" s="116"/>
      <c r="S331" s="111">
        <f>Audit[[#This Row],[Audit Losing Candidate]]-Audit[[#This Row],[Losing Candidate]]</f>
        <v>-9</v>
      </c>
      <c r="T331" s="111">
        <f>Audit[[#This Row],[Audit Winning Candidate]]-Audit[[#This Row],[Winning Candidate]]</f>
        <v>-9</v>
      </c>
      <c r="U331" s="111">
        <f>Audit[[#This Row],[Audit Candidate 3]]-Audit[[#This Row],[Candidate 3]]</f>
        <v>0</v>
      </c>
      <c r="V331" s="111">
        <f>Audit[[#This Row],[Audit Candidate 4]]-Audit[[#This Row],[Candidate 4]]</f>
        <v>-4</v>
      </c>
      <c r="W331" s="111">
        <f>Audit[[#This Row],[Audit Candidate 5]]-Audit[[#This Row],[Candidate 5]]</f>
        <v>0</v>
      </c>
      <c r="X331" s="111">
        <f>Audit[[#This Row],[Audit Candidate 6]]-Audit[[#This Row],[Candidate 6]]</f>
        <v>0</v>
      </c>
      <c r="Y331" s="111">
        <f>SUMIF(Audit[[#This Row],[Difference Loser]:[Difference Candidate 6]], "&gt;0")</f>
        <v>0</v>
      </c>
      <c r="Z331" s="111">
        <f>SUM(Audit[[#This Row],[Difference Loser]:[Difference Candidate 6]])</f>
        <v>-22</v>
      </c>
      <c r="AA331" s="111">
        <f>IF(Audit[[#This Row],[Times p Drawn - With Replacement]]&gt;0, IF(Audit[[#This Row],[Canceled Differences]]&lt;0, Audit[[#This Row],[Max Differences]]+ABS(Audit[[#This Row],[Canceled Differences]]), Audit[[#This Row],[Max Differences]]), 0)</f>
        <v>0</v>
      </c>
      <c r="AB331" s="111">
        <f>'Sampling Data'!P321</f>
        <v>1.3473787359137678E-3</v>
      </c>
      <c r="AC331" s="111">
        <f>IF(
      SUM(Audit[[#This Row],[Audit Losing Candidate]:[Audit Candidate 6]])
      &lt;&gt;0,
      (Audit[[#This Row],[Winning Candidate]]-Audit[[#This Row],[Losing Candidate]]-(Audit[[#This Row],[Audit Winning Candidate]]-Audit[[#This Row],[Audit Losing Candidate]]))/(Audit[[#Totals],[Winning Candidate]]-Audit[[#Totals],[Losing Candidate]]),
      0
)</f>
        <v>0</v>
      </c>
      <c r="AD3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1" s="111">
        <f>IF(Audit[[#This Row],[Max Relative Error (ep)]] = 0, 0, Audit[[#This Row],[Max Relative Error (ep)]]/Audit[[#This Row],[Error Bound (up) - Max. possible relative overstatement]])</f>
        <v>0</v>
      </c>
      <c r="AJ3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31" s="111">
        <f t="shared" si="5"/>
        <v>1</v>
      </c>
      <c r="AL331" s="111">
        <f>PRODUCT($AK$5:AK331)</f>
        <v>8.962823818226312E-2</v>
      </c>
      <c r="AM331" s="109">
        <f>1 - [K-M P Value]</f>
        <v>0.91037176181773694</v>
      </c>
      <c r="AN331" s="111" t="str">
        <f>IF(Audit[[#This Row],[K-M P Value]]&gt;1-'General Info'!$B$16,"Continue", "Stop")</f>
        <v>Stop</v>
      </c>
      <c r="AO331" s="110" t="b">
        <f>IF(Audit[[#This Row],[Status - Continue or stop audit]] = "Continue", TRUE, IF(AN330 = "Continue", TRUE, FALSE))</f>
        <v>0</v>
      </c>
      <c r="AP331" s="110"/>
    </row>
    <row r="332" spans="1:42" ht="15" hidden="1" customHeight="1">
      <c r="A332" s="111" t="str">
        <f>'Sampling Data'!W322</f>
        <v/>
      </c>
      <c r="B332" s="112" t="str">
        <f>'Sampling Data'!A322</f>
        <v>CLEVELAND -03-C - ABS</v>
      </c>
      <c r="C332" s="112">
        <f>'Sampling Data'!B322</f>
        <v>0</v>
      </c>
      <c r="D332" s="112">
        <f>'Sampling Data'!C322</f>
        <v>2</v>
      </c>
      <c r="E332" s="113">
        <f>'Sampling Data'!D322</f>
        <v>0</v>
      </c>
      <c r="F332" s="113">
        <f>'Sampling Data'!E322</f>
        <v>1</v>
      </c>
      <c r="G332" s="113">
        <f>'Sampling Data'!F322</f>
        <v>0</v>
      </c>
      <c r="H332" s="113">
        <f>'Sampling Data'!G322</f>
        <v>0</v>
      </c>
      <c r="I332" s="112">
        <f>'Sampling Data'!H322</f>
        <v>0</v>
      </c>
      <c r="J332" s="112">
        <f>'Sampling Data'!I322</f>
        <v>0</v>
      </c>
      <c r="K332" s="112">
        <f>'Sampling Data'!J322</f>
        <v>3</v>
      </c>
      <c r="L332" s="111">
        <f>'Sampling Data'!X322</f>
        <v>0</v>
      </c>
      <c r="M332" s="114"/>
      <c r="N332" s="114"/>
      <c r="O332" s="115"/>
      <c r="P332" s="115"/>
      <c r="Q332" s="116"/>
      <c r="R332" s="116"/>
      <c r="S332" s="111">
        <f>Audit[[#This Row],[Audit Losing Candidate]]-Audit[[#This Row],[Losing Candidate]]</f>
        <v>0</v>
      </c>
      <c r="T332" s="111">
        <f>Audit[[#This Row],[Audit Winning Candidate]]-Audit[[#This Row],[Winning Candidate]]</f>
        <v>-2</v>
      </c>
      <c r="U332" s="111">
        <f>Audit[[#This Row],[Audit Candidate 3]]-Audit[[#This Row],[Candidate 3]]</f>
        <v>0</v>
      </c>
      <c r="V332" s="111">
        <f>Audit[[#This Row],[Audit Candidate 4]]-Audit[[#This Row],[Candidate 4]]</f>
        <v>-1</v>
      </c>
      <c r="W332" s="111">
        <f>Audit[[#This Row],[Audit Candidate 5]]-Audit[[#This Row],[Candidate 5]]</f>
        <v>0</v>
      </c>
      <c r="X332" s="111">
        <f>Audit[[#This Row],[Audit Candidate 6]]-Audit[[#This Row],[Candidate 6]]</f>
        <v>0</v>
      </c>
      <c r="Y332" s="111">
        <f>SUMIF(Audit[[#This Row],[Difference Loser]:[Difference Candidate 6]], "&gt;0")</f>
        <v>0</v>
      </c>
      <c r="Z332" s="111">
        <f>SUM(Audit[[#This Row],[Difference Loser]:[Difference Candidate 6]])</f>
        <v>-3</v>
      </c>
      <c r="AA332" s="111">
        <f>IF(Audit[[#This Row],[Times p Drawn - With Replacement]]&gt;0, IF(Audit[[#This Row],[Canceled Differences]]&lt;0, Audit[[#This Row],[Max Differences]]+ABS(Audit[[#This Row],[Canceled Differences]]), Audit[[#This Row],[Max Differences]]), 0)</f>
        <v>0</v>
      </c>
      <c r="AB332" s="111">
        <f>'Sampling Data'!P322</f>
        <v>3.0622243998040176E-4</v>
      </c>
      <c r="AC332" s="111">
        <f>IF(
      SUM(Audit[[#This Row],[Audit Losing Candidate]:[Audit Candidate 6]])
      &lt;&gt;0,
      (Audit[[#This Row],[Winning Candidate]]-Audit[[#This Row],[Losing Candidate]]-(Audit[[#This Row],[Audit Winning Candidate]]-Audit[[#This Row],[Audit Losing Candidate]]))/(Audit[[#Totals],[Winning Candidate]]-Audit[[#Totals],[Losing Candidate]]),
      0
)</f>
        <v>0</v>
      </c>
      <c r="AD3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2" s="111">
        <f>IF(Audit[[#This Row],[Max Relative Error (ep)]] = 0, 0, Audit[[#This Row],[Max Relative Error (ep)]]/Audit[[#This Row],[Error Bound (up) - Max. possible relative overstatement]])</f>
        <v>0</v>
      </c>
      <c r="AJ3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32" s="111">
        <f t="shared" si="5"/>
        <v>1</v>
      </c>
      <c r="AL332" s="111">
        <f>PRODUCT($AK$5:AK332)</f>
        <v>8.962823818226312E-2</v>
      </c>
      <c r="AM332" s="109">
        <f>1 - [K-M P Value]</f>
        <v>0.91037176181773694</v>
      </c>
      <c r="AN332" s="111" t="str">
        <f>IF(Audit[[#This Row],[K-M P Value]]&gt;1-'General Info'!$B$16,"Continue", "Stop")</f>
        <v>Stop</v>
      </c>
      <c r="AO332" s="110" t="b">
        <f>IF(Audit[[#This Row],[Status - Continue or stop audit]] = "Continue", TRUE, IF(AN331 = "Continue", TRUE, FALSE))</f>
        <v>0</v>
      </c>
      <c r="AP332" s="110"/>
    </row>
    <row r="333" spans="1:42" ht="15" hidden="1" customHeight="1">
      <c r="A333" s="111" t="str">
        <f>'Sampling Data'!W323</f>
        <v/>
      </c>
      <c r="B333" s="112" t="str">
        <f>'Sampling Data'!A323</f>
        <v>CLEVELAND -03-D</v>
      </c>
      <c r="C333" s="112">
        <f>'Sampling Data'!B323</f>
        <v>2</v>
      </c>
      <c r="D333" s="112">
        <f>'Sampling Data'!C323</f>
        <v>8</v>
      </c>
      <c r="E333" s="113">
        <f>'Sampling Data'!D323</f>
        <v>1</v>
      </c>
      <c r="F333" s="113">
        <f>'Sampling Data'!E323</f>
        <v>5</v>
      </c>
      <c r="G333" s="113">
        <f>'Sampling Data'!F323</f>
        <v>0</v>
      </c>
      <c r="H333" s="113">
        <f>'Sampling Data'!G323</f>
        <v>1</v>
      </c>
      <c r="I333" s="112">
        <f>'Sampling Data'!H323</f>
        <v>0</v>
      </c>
      <c r="J333" s="112">
        <f>'Sampling Data'!I323</f>
        <v>0</v>
      </c>
      <c r="K333" s="112">
        <f>'Sampling Data'!J323</f>
        <v>17</v>
      </c>
      <c r="L333" s="111">
        <f>'Sampling Data'!X323</f>
        <v>0</v>
      </c>
      <c r="M333" s="114"/>
      <c r="N333" s="114"/>
      <c r="O333" s="115"/>
      <c r="P333" s="115"/>
      <c r="Q333" s="116"/>
      <c r="R333" s="116"/>
      <c r="S333" s="111">
        <f>Audit[[#This Row],[Audit Losing Candidate]]-Audit[[#This Row],[Losing Candidate]]</f>
        <v>-2</v>
      </c>
      <c r="T333" s="111">
        <f>Audit[[#This Row],[Audit Winning Candidate]]-Audit[[#This Row],[Winning Candidate]]</f>
        <v>-8</v>
      </c>
      <c r="U333" s="111">
        <f>Audit[[#This Row],[Audit Candidate 3]]-Audit[[#This Row],[Candidate 3]]</f>
        <v>-1</v>
      </c>
      <c r="V333" s="111">
        <f>Audit[[#This Row],[Audit Candidate 4]]-Audit[[#This Row],[Candidate 4]]</f>
        <v>-5</v>
      </c>
      <c r="W333" s="111">
        <f>Audit[[#This Row],[Audit Candidate 5]]-Audit[[#This Row],[Candidate 5]]</f>
        <v>0</v>
      </c>
      <c r="X333" s="111">
        <f>Audit[[#This Row],[Audit Candidate 6]]-Audit[[#This Row],[Candidate 6]]</f>
        <v>-1</v>
      </c>
      <c r="Y333" s="111">
        <f>SUMIF(Audit[[#This Row],[Difference Loser]:[Difference Candidate 6]], "&gt;0")</f>
        <v>0</v>
      </c>
      <c r="Z333" s="111">
        <f>SUM(Audit[[#This Row],[Difference Loser]:[Difference Candidate 6]])</f>
        <v>-17</v>
      </c>
      <c r="AA333" s="111">
        <f>IF(Audit[[#This Row],[Times p Drawn - With Replacement]]&gt;0, IF(Audit[[#This Row],[Canceled Differences]]&lt;0, Audit[[#This Row],[Max Differences]]+ABS(Audit[[#This Row],[Canceled Differences]]), Audit[[#This Row],[Max Differences]]), 0)</f>
        <v>0</v>
      </c>
      <c r="AB333" s="111">
        <f>'Sampling Data'!P323</f>
        <v>1.408623223909848E-3</v>
      </c>
      <c r="AC333" s="111">
        <f>IF(
      SUM(Audit[[#This Row],[Audit Losing Candidate]:[Audit Candidate 6]])
      &lt;&gt;0,
      (Audit[[#This Row],[Winning Candidate]]-Audit[[#This Row],[Losing Candidate]]-(Audit[[#This Row],[Audit Winning Candidate]]-Audit[[#This Row],[Audit Losing Candidate]]))/(Audit[[#Totals],[Winning Candidate]]-Audit[[#Totals],[Losing Candidate]]),
      0
)</f>
        <v>0</v>
      </c>
      <c r="AD3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3" s="111">
        <f>IF(Audit[[#This Row],[Max Relative Error (ep)]] = 0, 0, Audit[[#This Row],[Max Relative Error (ep)]]/Audit[[#This Row],[Error Bound (up) - Max. possible relative overstatement]])</f>
        <v>0</v>
      </c>
      <c r="AJ3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33" s="111">
        <f t="shared" si="5"/>
        <v>1</v>
      </c>
      <c r="AL333" s="111">
        <f>PRODUCT($AK$5:AK333)</f>
        <v>8.962823818226312E-2</v>
      </c>
      <c r="AM333" s="109">
        <f>1 - [K-M P Value]</f>
        <v>0.91037176181773694</v>
      </c>
      <c r="AN333" s="111" t="str">
        <f>IF(Audit[[#This Row],[K-M P Value]]&gt;1-'General Info'!$B$16,"Continue", "Stop")</f>
        <v>Stop</v>
      </c>
      <c r="AO333" s="110" t="b">
        <f>IF(Audit[[#This Row],[Status - Continue or stop audit]] = "Continue", TRUE, IF(AN332 = "Continue", TRUE, FALSE))</f>
        <v>0</v>
      </c>
      <c r="AP333" s="110"/>
    </row>
    <row r="334" spans="1:42" ht="15" hidden="1" customHeight="1">
      <c r="A334" s="111" t="str">
        <f>'Sampling Data'!W324</f>
        <v/>
      </c>
      <c r="B334" s="112" t="str">
        <f>'Sampling Data'!A324</f>
        <v>CLEVELAND -03-D - ABS</v>
      </c>
      <c r="C334" s="112">
        <f>'Sampling Data'!B324</f>
        <v>1</v>
      </c>
      <c r="D334" s="112">
        <f>'Sampling Data'!C324</f>
        <v>3</v>
      </c>
      <c r="E334" s="113">
        <f>'Sampling Data'!D324</f>
        <v>3</v>
      </c>
      <c r="F334" s="113">
        <f>'Sampling Data'!E324</f>
        <v>2</v>
      </c>
      <c r="G334" s="113">
        <f>'Sampling Data'!F324</f>
        <v>1</v>
      </c>
      <c r="H334" s="113">
        <f>'Sampling Data'!G324</f>
        <v>0</v>
      </c>
      <c r="I334" s="112">
        <f>'Sampling Data'!H324</f>
        <v>0</v>
      </c>
      <c r="J334" s="112">
        <f>'Sampling Data'!I324</f>
        <v>0</v>
      </c>
      <c r="K334" s="112">
        <f>'Sampling Data'!J324</f>
        <v>10</v>
      </c>
      <c r="L334" s="111">
        <f>'Sampling Data'!X324</f>
        <v>0</v>
      </c>
      <c r="M334" s="114"/>
      <c r="N334" s="114"/>
      <c r="O334" s="115"/>
      <c r="P334" s="115"/>
      <c r="Q334" s="116"/>
      <c r="R334" s="116"/>
      <c r="S334" s="111">
        <f>Audit[[#This Row],[Audit Losing Candidate]]-Audit[[#This Row],[Losing Candidate]]</f>
        <v>-1</v>
      </c>
      <c r="T334" s="111">
        <f>Audit[[#This Row],[Audit Winning Candidate]]-Audit[[#This Row],[Winning Candidate]]</f>
        <v>-3</v>
      </c>
      <c r="U334" s="111">
        <f>Audit[[#This Row],[Audit Candidate 3]]-Audit[[#This Row],[Candidate 3]]</f>
        <v>-3</v>
      </c>
      <c r="V334" s="111">
        <f>Audit[[#This Row],[Audit Candidate 4]]-Audit[[#This Row],[Candidate 4]]</f>
        <v>-2</v>
      </c>
      <c r="W334" s="111">
        <f>Audit[[#This Row],[Audit Candidate 5]]-Audit[[#This Row],[Candidate 5]]</f>
        <v>-1</v>
      </c>
      <c r="X334" s="111">
        <f>Audit[[#This Row],[Audit Candidate 6]]-Audit[[#This Row],[Candidate 6]]</f>
        <v>0</v>
      </c>
      <c r="Y334" s="111">
        <f>SUMIF(Audit[[#This Row],[Difference Loser]:[Difference Candidate 6]], "&gt;0")</f>
        <v>0</v>
      </c>
      <c r="Z334" s="111">
        <f>SUM(Audit[[#This Row],[Difference Loser]:[Difference Candidate 6]])</f>
        <v>-10</v>
      </c>
      <c r="AA334" s="111">
        <f>IF(Audit[[#This Row],[Times p Drawn - With Replacement]]&gt;0, IF(Audit[[#This Row],[Canceled Differences]]&lt;0, Audit[[#This Row],[Max Differences]]+ABS(Audit[[#This Row],[Canceled Differences]]), Audit[[#This Row],[Max Differences]]), 0)</f>
        <v>0</v>
      </c>
      <c r="AB334" s="111">
        <f>'Sampling Data'!P324</f>
        <v>7.3493385595296422E-4</v>
      </c>
      <c r="AC334" s="111">
        <f>IF(
      SUM(Audit[[#This Row],[Audit Losing Candidate]:[Audit Candidate 6]])
      &lt;&gt;0,
      (Audit[[#This Row],[Winning Candidate]]-Audit[[#This Row],[Losing Candidate]]-(Audit[[#This Row],[Audit Winning Candidate]]-Audit[[#This Row],[Audit Losing Candidate]]))/(Audit[[#Totals],[Winning Candidate]]-Audit[[#Totals],[Losing Candidate]]),
      0
)</f>
        <v>0</v>
      </c>
      <c r="AD3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4" s="111">
        <f>IF(Audit[[#This Row],[Max Relative Error (ep)]] = 0, 0, Audit[[#This Row],[Max Relative Error (ep)]]/Audit[[#This Row],[Error Bound (up) - Max. possible relative overstatement]])</f>
        <v>0</v>
      </c>
      <c r="AJ3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34" s="111">
        <f t="shared" si="5"/>
        <v>1</v>
      </c>
      <c r="AL334" s="111">
        <f>PRODUCT($AK$5:AK334)</f>
        <v>8.962823818226312E-2</v>
      </c>
      <c r="AM334" s="109">
        <f>1 - [K-M P Value]</f>
        <v>0.91037176181773694</v>
      </c>
      <c r="AN334" s="111" t="str">
        <f>IF(Audit[[#This Row],[K-M P Value]]&gt;1-'General Info'!$B$16,"Continue", "Stop")</f>
        <v>Stop</v>
      </c>
      <c r="AO334" s="110" t="b">
        <f>IF(Audit[[#This Row],[Status - Continue or stop audit]] = "Continue", TRUE, IF(AN333 = "Continue", TRUE, FALSE))</f>
        <v>0</v>
      </c>
      <c r="AP334" s="110"/>
    </row>
    <row r="335" spans="1:42" ht="15" hidden="1" customHeight="1">
      <c r="A335" s="111" t="str">
        <f>'Sampling Data'!W325</f>
        <v/>
      </c>
      <c r="B335" s="112" t="str">
        <f>'Sampling Data'!A325</f>
        <v>CLEVELAND -03-E</v>
      </c>
      <c r="C335" s="112">
        <f>'Sampling Data'!B325</f>
        <v>3</v>
      </c>
      <c r="D335" s="112">
        <f>'Sampling Data'!C325</f>
        <v>3</v>
      </c>
      <c r="E335" s="113">
        <f>'Sampling Data'!D325</f>
        <v>2</v>
      </c>
      <c r="F335" s="113">
        <f>'Sampling Data'!E325</f>
        <v>1</v>
      </c>
      <c r="G335" s="113">
        <f>'Sampling Data'!F325</f>
        <v>0</v>
      </c>
      <c r="H335" s="113">
        <f>'Sampling Data'!G325</f>
        <v>0</v>
      </c>
      <c r="I335" s="112">
        <f>'Sampling Data'!H325</f>
        <v>0</v>
      </c>
      <c r="J335" s="112">
        <f>'Sampling Data'!I325</f>
        <v>0</v>
      </c>
      <c r="K335" s="112">
        <f>'Sampling Data'!J325</f>
        <v>9</v>
      </c>
      <c r="L335" s="111">
        <f>'Sampling Data'!X325</f>
        <v>0</v>
      </c>
      <c r="M335" s="114"/>
      <c r="N335" s="114"/>
      <c r="O335" s="115"/>
      <c r="P335" s="115"/>
      <c r="Q335" s="116"/>
      <c r="R335" s="116"/>
      <c r="S335" s="111">
        <f>Audit[[#This Row],[Audit Losing Candidate]]-Audit[[#This Row],[Losing Candidate]]</f>
        <v>-3</v>
      </c>
      <c r="T335" s="111">
        <f>Audit[[#This Row],[Audit Winning Candidate]]-Audit[[#This Row],[Winning Candidate]]</f>
        <v>-3</v>
      </c>
      <c r="U335" s="111">
        <f>Audit[[#This Row],[Audit Candidate 3]]-Audit[[#This Row],[Candidate 3]]</f>
        <v>-2</v>
      </c>
      <c r="V335" s="111">
        <f>Audit[[#This Row],[Audit Candidate 4]]-Audit[[#This Row],[Candidate 4]]</f>
        <v>-1</v>
      </c>
      <c r="W335" s="111">
        <f>Audit[[#This Row],[Audit Candidate 5]]-Audit[[#This Row],[Candidate 5]]</f>
        <v>0</v>
      </c>
      <c r="X335" s="111">
        <f>Audit[[#This Row],[Audit Candidate 6]]-Audit[[#This Row],[Candidate 6]]</f>
        <v>0</v>
      </c>
      <c r="Y335" s="111">
        <f>SUMIF(Audit[[#This Row],[Difference Loser]:[Difference Candidate 6]], "&gt;0")</f>
        <v>0</v>
      </c>
      <c r="Z335" s="111">
        <f>SUM(Audit[[#This Row],[Difference Loser]:[Difference Candidate 6]])</f>
        <v>-9</v>
      </c>
      <c r="AA335" s="111">
        <f>IF(Audit[[#This Row],[Times p Drawn - With Replacement]]&gt;0, IF(Audit[[#This Row],[Canceled Differences]]&lt;0, Audit[[#This Row],[Max Differences]]+ABS(Audit[[#This Row],[Canceled Differences]]), Audit[[#This Row],[Max Differences]]), 0)</f>
        <v>0</v>
      </c>
      <c r="AB335" s="111">
        <f>'Sampling Data'!P325</f>
        <v>5.5120039196472322E-4</v>
      </c>
      <c r="AC335" s="111">
        <f>IF(
      SUM(Audit[[#This Row],[Audit Losing Candidate]:[Audit Candidate 6]])
      &lt;&gt;0,
      (Audit[[#This Row],[Winning Candidate]]-Audit[[#This Row],[Losing Candidate]]-(Audit[[#This Row],[Audit Winning Candidate]]-Audit[[#This Row],[Audit Losing Candidate]]))/(Audit[[#Totals],[Winning Candidate]]-Audit[[#Totals],[Losing Candidate]]),
      0
)</f>
        <v>0</v>
      </c>
      <c r="AD3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5" s="111">
        <f>IF(Audit[[#This Row],[Max Relative Error (ep)]] = 0, 0, Audit[[#This Row],[Max Relative Error (ep)]]/Audit[[#This Row],[Error Bound (up) - Max. possible relative overstatement]])</f>
        <v>0</v>
      </c>
      <c r="AJ3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35" s="111">
        <f t="shared" si="5"/>
        <v>1</v>
      </c>
      <c r="AL335" s="111">
        <f>PRODUCT($AK$5:AK335)</f>
        <v>8.962823818226312E-2</v>
      </c>
      <c r="AM335" s="109">
        <f>1 - [K-M P Value]</f>
        <v>0.91037176181773694</v>
      </c>
      <c r="AN335" s="111" t="str">
        <f>IF(Audit[[#This Row],[K-M P Value]]&gt;1-'General Info'!$B$16,"Continue", "Stop")</f>
        <v>Stop</v>
      </c>
      <c r="AO335" s="110" t="b">
        <f>IF(Audit[[#This Row],[Status - Continue or stop audit]] = "Continue", TRUE, IF(AN334 = "Continue", TRUE, FALSE))</f>
        <v>0</v>
      </c>
      <c r="AP335" s="110"/>
    </row>
    <row r="336" spans="1:42" ht="15" hidden="1" customHeight="1">
      <c r="A336" s="111" t="str">
        <f>'Sampling Data'!W326</f>
        <v/>
      </c>
      <c r="B336" s="112" t="str">
        <f>'Sampling Data'!A326</f>
        <v>CLEVELAND -03-E - ABS</v>
      </c>
      <c r="C336" s="112">
        <f>'Sampling Data'!B326</f>
        <v>1</v>
      </c>
      <c r="D336" s="112">
        <f>'Sampling Data'!C326</f>
        <v>1</v>
      </c>
      <c r="E336" s="113">
        <f>'Sampling Data'!D326</f>
        <v>0</v>
      </c>
      <c r="F336" s="113">
        <f>'Sampling Data'!E326</f>
        <v>1</v>
      </c>
      <c r="G336" s="113">
        <f>'Sampling Data'!F326</f>
        <v>0</v>
      </c>
      <c r="H336" s="113">
        <f>'Sampling Data'!G326</f>
        <v>0</v>
      </c>
      <c r="I336" s="112">
        <f>'Sampling Data'!H326</f>
        <v>0</v>
      </c>
      <c r="J336" s="112">
        <f>'Sampling Data'!I326</f>
        <v>0</v>
      </c>
      <c r="K336" s="112">
        <f>'Sampling Data'!J326</f>
        <v>3</v>
      </c>
      <c r="L336" s="111">
        <f>'Sampling Data'!X326</f>
        <v>0</v>
      </c>
      <c r="M336" s="114"/>
      <c r="N336" s="114"/>
      <c r="O336" s="115"/>
      <c r="P336" s="115"/>
      <c r="Q336" s="116"/>
      <c r="R336" s="116"/>
      <c r="S336" s="111">
        <f>Audit[[#This Row],[Audit Losing Candidate]]-Audit[[#This Row],[Losing Candidate]]</f>
        <v>-1</v>
      </c>
      <c r="T336" s="111">
        <f>Audit[[#This Row],[Audit Winning Candidate]]-Audit[[#This Row],[Winning Candidate]]</f>
        <v>-1</v>
      </c>
      <c r="U336" s="111">
        <f>Audit[[#This Row],[Audit Candidate 3]]-Audit[[#This Row],[Candidate 3]]</f>
        <v>0</v>
      </c>
      <c r="V336" s="111">
        <f>Audit[[#This Row],[Audit Candidate 4]]-Audit[[#This Row],[Candidate 4]]</f>
        <v>-1</v>
      </c>
      <c r="W336" s="111">
        <f>Audit[[#This Row],[Audit Candidate 5]]-Audit[[#This Row],[Candidate 5]]</f>
        <v>0</v>
      </c>
      <c r="X336" s="111">
        <f>Audit[[#This Row],[Audit Candidate 6]]-Audit[[#This Row],[Candidate 6]]</f>
        <v>0</v>
      </c>
      <c r="Y336" s="111">
        <f>SUMIF(Audit[[#This Row],[Difference Loser]:[Difference Candidate 6]], "&gt;0")</f>
        <v>0</v>
      </c>
      <c r="Z336" s="111">
        <f>SUM(Audit[[#This Row],[Difference Loser]:[Difference Candidate 6]])</f>
        <v>-3</v>
      </c>
      <c r="AA336" s="111">
        <f>IF(Audit[[#This Row],[Times p Drawn - With Replacement]]&gt;0, IF(Audit[[#This Row],[Canceled Differences]]&lt;0, Audit[[#This Row],[Max Differences]]+ABS(Audit[[#This Row],[Canceled Differences]]), Audit[[#This Row],[Max Differences]]), 0)</f>
        <v>0</v>
      </c>
      <c r="AB336" s="111">
        <f>'Sampling Data'!P326</f>
        <v>1.8373346398824106E-4</v>
      </c>
      <c r="AC336" s="111">
        <f>IF(
      SUM(Audit[[#This Row],[Audit Losing Candidate]:[Audit Candidate 6]])
      &lt;&gt;0,
      (Audit[[#This Row],[Winning Candidate]]-Audit[[#This Row],[Losing Candidate]]-(Audit[[#This Row],[Audit Winning Candidate]]-Audit[[#This Row],[Audit Losing Candidate]]))/(Audit[[#Totals],[Winning Candidate]]-Audit[[#Totals],[Losing Candidate]]),
      0
)</f>
        <v>0</v>
      </c>
      <c r="AD3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6" s="111">
        <f>IF(Audit[[#This Row],[Max Relative Error (ep)]] = 0, 0, Audit[[#This Row],[Max Relative Error (ep)]]/Audit[[#This Row],[Error Bound (up) - Max. possible relative overstatement]])</f>
        <v>0</v>
      </c>
      <c r="AJ3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36" s="111">
        <f t="shared" si="5"/>
        <v>1</v>
      </c>
      <c r="AL336" s="111">
        <f>PRODUCT($AK$5:AK336)</f>
        <v>8.962823818226312E-2</v>
      </c>
      <c r="AM336" s="109">
        <f>1 - [K-M P Value]</f>
        <v>0.91037176181773694</v>
      </c>
      <c r="AN336" s="111" t="str">
        <f>IF(Audit[[#This Row],[K-M P Value]]&gt;1-'General Info'!$B$16,"Continue", "Stop")</f>
        <v>Stop</v>
      </c>
      <c r="AO336" s="110" t="b">
        <f>IF(Audit[[#This Row],[Status - Continue or stop audit]] = "Continue", TRUE, IF(AN335 = "Continue", TRUE, FALSE))</f>
        <v>0</v>
      </c>
      <c r="AP336" s="110"/>
    </row>
    <row r="337" spans="1:42" ht="15" hidden="1" customHeight="1">
      <c r="A337" s="111" t="str">
        <f>'Sampling Data'!W327</f>
        <v/>
      </c>
      <c r="B337" s="112" t="str">
        <f>'Sampling Data'!A327</f>
        <v>CLEVELAND -03-F</v>
      </c>
      <c r="C337" s="112">
        <f>'Sampling Data'!B327</f>
        <v>7</v>
      </c>
      <c r="D337" s="112">
        <f>'Sampling Data'!C327</f>
        <v>7</v>
      </c>
      <c r="E337" s="113">
        <f>'Sampling Data'!D327</f>
        <v>6</v>
      </c>
      <c r="F337" s="113">
        <f>'Sampling Data'!E327</f>
        <v>4</v>
      </c>
      <c r="G337" s="113">
        <f>'Sampling Data'!F327</f>
        <v>0</v>
      </c>
      <c r="H337" s="113">
        <f>'Sampling Data'!G327</f>
        <v>0</v>
      </c>
      <c r="I337" s="112">
        <f>'Sampling Data'!H327</f>
        <v>0</v>
      </c>
      <c r="J337" s="112">
        <f>'Sampling Data'!I327</f>
        <v>0</v>
      </c>
      <c r="K337" s="112">
        <f>'Sampling Data'!J327</f>
        <v>24</v>
      </c>
      <c r="L337" s="111">
        <f>'Sampling Data'!X327</f>
        <v>0</v>
      </c>
      <c r="M337" s="114"/>
      <c r="N337" s="114"/>
      <c r="O337" s="115"/>
      <c r="P337" s="115"/>
      <c r="Q337" s="116"/>
      <c r="R337" s="116"/>
      <c r="S337" s="111">
        <f>Audit[[#This Row],[Audit Losing Candidate]]-Audit[[#This Row],[Losing Candidate]]</f>
        <v>-7</v>
      </c>
      <c r="T337" s="111">
        <f>Audit[[#This Row],[Audit Winning Candidate]]-Audit[[#This Row],[Winning Candidate]]</f>
        <v>-7</v>
      </c>
      <c r="U337" s="111">
        <f>Audit[[#This Row],[Audit Candidate 3]]-Audit[[#This Row],[Candidate 3]]</f>
        <v>-6</v>
      </c>
      <c r="V337" s="111">
        <f>Audit[[#This Row],[Audit Candidate 4]]-Audit[[#This Row],[Candidate 4]]</f>
        <v>-4</v>
      </c>
      <c r="W337" s="111">
        <f>Audit[[#This Row],[Audit Candidate 5]]-Audit[[#This Row],[Candidate 5]]</f>
        <v>0</v>
      </c>
      <c r="X337" s="111">
        <f>Audit[[#This Row],[Audit Candidate 6]]-Audit[[#This Row],[Candidate 6]]</f>
        <v>0</v>
      </c>
      <c r="Y337" s="111">
        <f>SUMIF(Audit[[#This Row],[Difference Loser]:[Difference Candidate 6]], "&gt;0")</f>
        <v>0</v>
      </c>
      <c r="Z337" s="111">
        <f>SUM(Audit[[#This Row],[Difference Loser]:[Difference Candidate 6]])</f>
        <v>-24</v>
      </c>
      <c r="AA337" s="111">
        <f>IF(Audit[[#This Row],[Times p Drawn - With Replacement]]&gt;0, IF(Audit[[#This Row],[Canceled Differences]]&lt;0, Audit[[#This Row],[Max Differences]]+ABS(Audit[[#This Row],[Canceled Differences]]), Audit[[#This Row],[Max Differences]]), 0)</f>
        <v>0</v>
      </c>
      <c r="AB337" s="111">
        <f>'Sampling Data'!P327</f>
        <v>1.4698677119059284E-3</v>
      </c>
      <c r="AC337" s="111">
        <f>IF(
      SUM(Audit[[#This Row],[Audit Losing Candidate]:[Audit Candidate 6]])
      &lt;&gt;0,
      (Audit[[#This Row],[Winning Candidate]]-Audit[[#This Row],[Losing Candidate]]-(Audit[[#This Row],[Audit Winning Candidate]]-Audit[[#This Row],[Audit Losing Candidate]]))/(Audit[[#Totals],[Winning Candidate]]-Audit[[#Totals],[Losing Candidate]]),
      0
)</f>
        <v>0</v>
      </c>
      <c r="AD3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7" s="111">
        <f>IF(Audit[[#This Row],[Max Relative Error (ep)]] = 0, 0, Audit[[#This Row],[Max Relative Error (ep)]]/Audit[[#This Row],[Error Bound (up) - Max. possible relative overstatement]])</f>
        <v>0</v>
      </c>
      <c r="AJ3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37" s="111">
        <f t="shared" si="5"/>
        <v>1</v>
      </c>
      <c r="AL337" s="111">
        <f>PRODUCT($AK$5:AK337)</f>
        <v>8.962823818226312E-2</v>
      </c>
      <c r="AM337" s="109">
        <f>1 - [K-M P Value]</f>
        <v>0.91037176181773694</v>
      </c>
      <c r="AN337" s="111" t="str">
        <f>IF(Audit[[#This Row],[K-M P Value]]&gt;1-'General Info'!$B$16,"Continue", "Stop")</f>
        <v>Stop</v>
      </c>
      <c r="AO337" s="110" t="b">
        <f>IF(Audit[[#This Row],[Status - Continue or stop audit]] = "Continue", TRUE, IF(AN336 = "Continue", TRUE, FALSE))</f>
        <v>0</v>
      </c>
      <c r="AP337" s="110"/>
    </row>
    <row r="338" spans="1:42" ht="15" hidden="1" customHeight="1">
      <c r="A338" s="111" t="str">
        <f>'Sampling Data'!W328</f>
        <v/>
      </c>
      <c r="B338" s="112" t="str">
        <f>'Sampling Data'!A328</f>
        <v>CLEVELAND -03-F - ABS</v>
      </c>
      <c r="C338" s="112">
        <f>'Sampling Data'!B328</f>
        <v>3</v>
      </c>
      <c r="D338" s="112">
        <f>'Sampling Data'!C328</f>
        <v>5</v>
      </c>
      <c r="E338" s="113">
        <f>'Sampling Data'!D328</f>
        <v>1</v>
      </c>
      <c r="F338" s="113">
        <f>'Sampling Data'!E328</f>
        <v>8</v>
      </c>
      <c r="G338" s="113">
        <f>'Sampling Data'!F328</f>
        <v>0</v>
      </c>
      <c r="H338" s="113">
        <f>'Sampling Data'!G328</f>
        <v>0</v>
      </c>
      <c r="I338" s="112">
        <f>'Sampling Data'!H328</f>
        <v>0</v>
      </c>
      <c r="J338" s="112">
        <f>'Sampling Data'!I328</f>
        <v>0</v>
      </c>
      <c r="K338" s="112">
        <f>'Sampling Data'!J328</f>
        <v>17</v>
      </c>
      <c r="L338" s="111">
        <f>'Sampling Data'!X328</f>
        <v>0</v>
      </c>
      <c r="M338" s="114"/>
      <c r="N338" s="114"/>
      <c r="O338" s="115"/>
      <c r="P338" s="115"/>
      <c r="Q338" s="116"/>
      <c r="R338" s="116"/>
      <c r="S338" s="111">
        <f>Audit[[#This Row],[Audit Losing Candidate]]-Audit[[#This Row],[Losing Candidate]]</f>
        <v>-3</v>
      </c>
      <c r="T338" s="111">
        <f>Audit[[#This Row],[Audit Winning Candidate]]-Audit[[#This Row],[Winning Candidate]]</f>
        <v>-5</v>
      </c>
      <c r="U338" s="111">
        <f>Audit[[#This Row],[Audit Candidate 3]]-Audit[[#This Row],[Candidate 3]]</f>
        <v>-1</v>
      </c>
      <c r="V338" s="111">
        <f>Audit[[#This Row],[Audit Candidate 4]]-Audit[[#This Row],[Candidate 4]]</f>
        <v>-8</v>
      </c>
      <c r="W338" s="111">
        <f>Audit[[#This Row],[Audit Candidate 5]]-Audit[[#This Row],[Candidate 5]]</f>
        <v>0</v>
      </c>
      <c r="X338" s="111">
        <f>Audit[[#This Row],[Audit Candidate 6]]-Audit[[#This Row],[Candidate 6]]</f>
        <v>0</v>
      </c>
      <c r="Y338" s="111">
        <f>SUMIF(Audit[[#This Row],[Difference Loser]:[Difference Candidate 6]], "&gt;0")</f>
        <v>0</v>
      </c>
      <c r="Z338" s="111">
        <f>SUM(Audit[[#This Row],[Difference Loser]:[Difference Candidate 6]])</f>
        <v>-17</v>
      </c>
      <c r="AA338" s="111">
        <f>IF(Audit[[#This Row],[Times p Drawn - With Replacement]]&gt;0, IF(Audit[[#This Row],[Canceled Differences]]&lt;0, Audit[[#This Row],[Max Differences]]+ABS(Audit[[#This Row],[Canceled Differences]]), Audit[[#This Row],[Max Differences]]), 0)</f>
        <v>0</v>
      </c>
      <c r="AB338" s="111">
        <f>'Sampling Data'!P328</f>
        <v>1.1636452719255266E-3</v>
      </c>
      <c r="AC338" s="111">
        <f>IF(
      SUM(Audit[[#This Row],[Audit Losing Candidate]:[Audit Candidate 6]])
      &lt;&gt;0,
      (Audit[[#This Row],[Winning Candidate]]-Audit[[#This Row],[Losing Candidate]]-(Audit[[#This Row],[Audit Winning Candidate]]-Audit[[#This Row],[Audit Losing Candidate]]))/(Audit[[#Totals],[Winning Candidate]]-Audit[[#Totals],[Losing Candidate]]),
      0
)</f>
        <v>0</v>
      </c>
      <c r="AD3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8" s="111">
        <f>IF(Audit[[#This Row],[Max Relative Error (ep)]] = 0, 0, Audit[[#This Row],[Max Relative Error (ep)]]/Audit[[#This Row],[Error Bound (up) - Max. possible relative overstatement]])</f>
        <v>0</v>
      </c>
      <c r="AJ3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38" s="111">
        <f t="shared" si="5"/>
        <v>1</v>
      </c>
      <c r="AL338" s="111">
        <f>PRODUCT($AK$5:AK338)</f>
        <v>8.962823818226312E-2</v>
      </c>
      <c r="AM338" s="109">
        <f>1 - [K-M P Value]</f>
        <v>0.91037176181773694</v>
      </c>
      <c r="AN338" s="111" t="str">
        <f>IF(Audit[[#This Row],[K-M P Value]]&gt;1-'General Info'!$B$16,"Continue", "Stop")</f>
        <v>Stop</v>
      </c>
      <c r="AO338" s="110" t="b">
        <f>IF(Audit[[#This Row],[Status - Continue or stop audit]] = "Continue", TRUE, IF(AN337 = "Continue", TRUE, FALSE))</f>
        <v>0</v>
      </c>
      <c r="AP338" s="110"/>
    </row>
    <row r="339" spans="1:42" ht="15" hidden="1" customHeight="1">
      <c r="A339" s="111" t="str">
        <f>'Sampling Data'!W329</f>
        <v/>
      </c>
      <c r="B339" s="112" t="str">
        <f>'Sampling Data'!A329</f>
        <v>CLEVELAND -03-G</v>
      </c>
      <c r="C339" s="112">
        <f>'Sampling Data'!B329</f>
        <v>2</v>
      </c>
      <c r="D339" s="112">
        <f>'Sampling Data'!C329</f>
        <v>5</v>
      </c>
      <c r="E339" s="113">
        <f>'Sampling Data'!D329</f>
        <v>0</v>
      </c>
      <c r="F339" s="113">
        <f>'Sampling Data'!E329</f>
        <v>2</v>
      </c>
      <c r="G339" s="113">
        <f>'Sampling Data'!F329</f>
        <v>0</v>
      </c>
      <c r="H339" s="113">
        <f>'Sampling Data'!G329</f>
        <v>1</v>
      </c>
      <c r="I339" s="112">
        <f>'Sampling Data'!H329</f>
        <v>0</v>
      </c>
      <c r="J339" s="112">
        <f>'Sampling Data'!I329</f>
        <v>0</v>
      </c>
      <c r="K339" s="112">
        <f>'Sampling Data'!J329</f>
        <v>10</v>
      </c>
      <c r="L339" s="111">
        <f>'Sampling Data'!X329</f>
        <v>0</v>
      </c>
      <c r="M339" s="114"/>
      <c r="N339" s="114"/>
      <c r="O339" s="115"/>
      <c r="P339" s="115"/>
      <c r="Q339" s="116"/>
      <c r="R339" s="116"/>
      <c r="S339" s="111">
        <f>Audit[[#This Row],[Audit Losing Candidate]]-Audit[[#This Row],[Losing Candidate]]</f>
        <v>-2</v>
      </c>
      <c r="T339" s="111">
        <f>Audit[[#This Row],[Audit Winning Candidate]]-Audit[[#This Row],[Winning Candidate]]</f>
        <v>-5</v>
      </c>
      <c r="U339" s="111">
        <f>Audit[[#This Row],[Audit Candidate 3]]-Audit[[#This Row],[Candidate 3]]</f>
        <v>0</v>
      </c>
      <c r="V339" s="111">
        <f>Audit[[#This Row],[Audit Candidate 4]]-Audit[[#This Row],[Candidate 4]]</f>
        <v>-2</v>
      </c>
      <c r="W339" s="111">
        <f>Audit[[#This Row],[Audit Candidate 5]]-Audit[[#This Row],[Candidate 5]]</f>
        <v>0</v>
      </c>
      <c r="X339" s="111">
        <f>Audit[[#This Row],[Audit Candidate 6]]-Audit[[#This Row],[Candidate 6]]</f>
        <v>-1</v>
      </c>
      <c r="Y339" s="111">
        <f>SUMIF(Audit[[#This Row],[Difference Loser]:[Difference Candidate 6]], "&gt;0")</f>
        <v>0</v>
      </c>
      <c r="Z339" s="111">
        <f>SUM(Audit[[#This Row],[Difference Loser]:[Difference Candidate 6]])</f>
        <v>-10</v>
      </c>
      <c r="AA339" s="111">
        <f>IF(Audit[[#This Row],[Times p Drawn - With Replacement]]&gt;0, IF(Audit[[#This Row],[Canceled Differences]]&lt;0, Audit[[#This Row],[Max Differences]]+ABS(Audit[[#This Row],[Canceled Differences]]), Audit[[#This Row],[Max Differences]]), 0)</f>
        <v>0</v>
      </c>
      <c r="AB339" s="111">
        <f>'Sampling Data'!P329</f>
        <v>7.9617834394904463E-4</v>
      </c>
      <c r="AC339" s="111">
        <f>IF(
      SUM(Audit[[#This Row],[Audit Losing Candidate]:[Audit Candidate 6]])
      &lt;&gt;0,
      (Audit[[#This Row],[Winning Candidate]]-Audit[[#This Row],[Losing Candidate]]-(Audit[[#This Row],[Audit Winning Candidate]]-Audit[[#This Row],[Audit Losing Candidate]]))/(Audit[[#Totals],[Winning Candidate]]-Audit[[#Totals],[Losing Candidate]]),
      0
)</f>
        <v>0</v>
      </c>
      <c r="AD3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9" s="111">
        <f>IF(Audit[[#This Row],[Max Relative Error (ep)]] = 0, 0, Audit[[#This Row],[Max Relative Error (ep)]]/Audit[[#This Row],[Error Bound (up) - Max. possible relative overstatement]])</f>
        <v>0</v>
      </c>
      <c r="AJ3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39" s="111">
        <f t="shared" si="5"/>
        <v>1</v>
      </c>
      <c r="AL339" s="111">
        <f>PRODUCT($AK$5:AK339)</f>
        <v>8.962823818226312E-2</v>
      </c>
      <c r="AM339" s="109">
        <f>1 - [K-M P Value]</f>
        <v>0.91037176181773694</v>
      </c>
      <c r="AN339" s="111" t="str">
        <f>IF(Audit[[#This Row],[K-M P Value]]&gt;1-'General Info'!$B$16,"Continue", "Stop")</f>
        <v>Stop</v>
      </c>
      <c r="AO339" s="110" t="b">
        <f>IF(Audit[[#This Row],[Status - Continue or stop audit]] = "Continue", TRUE, IF(AN338 = "Continue", TRUE, FALSE))</f>
        <v>0</v>
      </c>
      <c r="AP339" s="110"/>
    </row>
    <row r="340" spans="1:42" ht="15" hidden="1" customHeight="1">
      <c r="A340" s="111" t="str">
        <f>'Sampling Data'!W330</f>
        <v/>
      </c>
      <c r="B340" s="112" t="str">
        <f>'Sampling Data'!A330</f>
        <v>CLEVELAND -03-G - ABS</v>
      </c>
      <c r="C340" s="112">
        <f>'Sampling Data'!B330</f>
        <v>0</v>
      </c>
      <c r="D340" s="112">
        <f>'Sampling Data'!C330</f>
        <v>3</v>
      </c>
      <c r="E340" s="113">
        <f>'Sampling Data'!D330</f>
        <v>0</v>
      </c>
      <c r="F340" s="113">
        <f>'Sampling Data'!E330</f>
        <v>0</v>
      </c>
      <c r="G340" s="113">
        <f>'Sampling Data'!F330</f>
        <v>0</v>
      </c>
      <c r="H340" s="113">
        <f>'Sampling Data'!G330</f>
        <v>0</v>
      </c>
      <c r="I340" s="112">
        <f>'Sampling Data'!H330</f>
        <v>0</v>
      </c>
      <c r="J340" s="112">
        <f>'Sampling Data'!I330</f>
        <v>0</v>
      </c>
      <c r="K340" s="112">
        <f>'Sampling Data'!J330</f>
        <v>3</v>
      </c>
      <c r="L340" s="111">
        <f>'Sampling Data'!X330</f>
        <v>0</v>
      </c>
      <c r="M340" s="114"/>
      <c r="N340" s="114"/>
      <c r="O340" s="115"/>
      <c r="P340" s="115"/>
      <c r="Q340" s="116"/>
      <c r="R340" s="116"/>
      <c r="S340" s="111">
        <f>Audit[[#This Row],[Audit Losing Candidate]]-Audit[[#This Row],[Losing Candidate]]</f>
        <v>0</v>
      </c>
      <c r="T340" s="111">
        <f>Audit[[#This Row],[Audit Winning Candidate]]-Audit[[#This Row],[Winning Candidate]]</f>
        <v>-3</v>
      </c>
      <c r="U340" s="111">
        <f>Audit[[#This Row],[Audit Candidate 3]]-Audit[[#This Row],[Candidate 3]]</f>
        <v>0</v>
      </c>
      <c r="V340" s="111">
        <f>Audit[[#This Row],[Audit Candidate 4]]-Audit[[#This Row],[Candidate 4]]</f>
        <v>0</v>
      </c>
      <c r="W340" s="111">
        <f>Audit[[#This Row],[Audit Candidate 5]]-Audit[[#This Row],[Candidate 5]]</f>
        <v>0</v>
      </c>
      <c r="X340" s="111">
        <f>Audit[[#This Row],[Audit Candidate 6]]-Audit[[#This Row],[Candidate 6]]</f>
        <v>0</v>
      </c>
      <c r="Y340" s="111">
        <f>SUMIF(Audit[[#This Row],[Difference Loser]:[Difference Candidate 6]], "&gt;0")</f>
        <v>0</v>
      </c>
      <c r="Z340" s="111">
        <f>SUM(Audit[[#This Row],[Difference Loser]:[Difference Candidate 6]])</f>
        <v>-3</v>
      </c>
      <c r="AA340" s="111">
        <f>IF(Audit[[#This Row],[Times p Drawn - With Replacement]]&gt;0, IF(Audit[[#This Row],[Canceled Differences]]&lt;0, Audit[[#This Row],[Max Differences]]+ABS(Audit[[#This Row],[Canceled Differences]]), Audit[[#This Row],[Max Differences]]), 0)</f>
        <v>0</v>
      </c>
      <c r="AB340" s="111">
        <f>'Sampling Data'!P330</f>
        <v>3.6746692797648211E-4</v>
      </c>
      <c r="AC340" s="111">
        <f>IF(
      SUM(Audit[[#This Row],[Audit Losing Candidate]:[Audit Candidate 6]])
      &lt;&gt;0,
      (Audit[[#This Row],[Winning Candidate]]-Audit[[#This Row],[Losing Candidate]]-(Audit[[#This Row],[Audit Winning Candidate]]-Audit[[#This Row],[Audit Losing Candidate]]))/(Audit[[#Totals],[Winning Candidate]]-Audit[[#Totals],[Losing Candidate]]),
      0
)</f>
        <v>0</v>
      </c>
      <c r="AD3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0" s="111">
        <f>IF(Audit[[#This Row],[Max Relative Error (ep)]] = 0, 0, Audit[[#This Row],[Max Relative Error (ep)]]/Audit[[#This Row],[Error Bound (up) - Max. possible relative overstatement]])</f>
        <v>0</v>
      </c>
      <c r="AJ3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40" s="111">
        <f t="shared" si="5"/>
        <v>1</v>
      </c>
      <c r="AL340" s="111">
        <f>PRODUCT($AK$5:AK340)</f>
        <v>8.962823818226312E-2</v>
      </c>
      <c r="AM340" s="109">
        <f>1 - [K-M P Value]</f>
        <v>0.91037176181773694</v>
      </c>
      <c r="AN340" s="111" t="str">
        <f>IF(Audit[[#This Row],[K-M P Value]]&gt;1-'General Info'!$B$16,"Continue", "Stop")</f>
        <v>Stop</v>
      </c>
      <c r="AO340" s="110" t="b">
        <f>IF(Audit[[#This Row],[Status - Continue or stop audit]] = "Continue", TRUE, IF(AN339 = "Continue", TRUE, FALSE))</f>
        <v>0</v>
      </c>
      <c r="AP340" s="110"/>
    </row>
    <row r="341" spans="1:42" ht="15" hidden="1" customHeight="1">
      <c r="A341" s="111" t="str">
        <f>'Sampling Data'!W331</f>
        <v/>
      </c>
      <c r="B341" s="112" t="str">
        <f>'Sampling Data'!A331</f>
        <v>CLEVELAND -03-H</v>
      </c>
      <c r="C341" s="112">
        <f>'Sampling Data'!B331</f>
        <v>4</v>
      </c>
      <c r="D341" s="112">
        <f>'Sampling Data'!C331</f>
        <v>8</v>
      </c>
      <c r="E341" s="113">
        <f>'Sampling Data'!D331</f>
        <v>3</v>
      </c>
      <c r="F341" s="113">
        <f>'Sampling Data'!E331</f>
        <v>4</v>
      </c>
      <c r="G341" s="113">
        <f>'Sampling Data'!F331</f>
        <v>1</v>
      </c>
      <c r="H341" s="113">
        <f>'Sampling Data'!G331</f>
        <v>0</v>
      </c>
      <c r="I341" s="112">
        <f>'Sampling Data'!H331</f>
        <v>0</v>
      </c>
      <c r="J341" s="112">
        <f>'Sampling Data'!I331</f>
        <v>0</v>
      </c>
      <c r="K341" s="112">
        <f>'Sampling Data'!J331</f>
        <v>20</v>
      </c>
      <c r="L341" s="111">
        <f>'Sampling Data'!X331</f>
        <v>0</v>
      </c>
      <c r="M341" s="114"/>
      <c r="N341" s="114"/>
      <c r="O341" s="115"/>
      <c r="P341" s="115"/>
      <c r="Q341" s="116"/>
      <c r="R341" s="116"/>
      <c r="S341" s="111">
        <f>Audit[[#This Row],[Audit Losing Candidate]]-Audit[[#This Row],[Losing Candidate]]</f>
        <v>-4</v>
      </c>
      <c r="T341" s="111">
        <f>Audit[[#This Row],[Audit Winning Candidate]]-Audit[[#This Row],[Winning Candidate]]</f>
        <v>-8</v>
      </c>
      <c r="U341" s="111">
        <f>Audit[[#This Row],[Audit Candidate 3]]-Audit[[#This Row],[Candidate 3]]</f>
        <v>-3</v>
      </c>
      <c r="V341" s="111">
        <f>Audit[[#This Row],[Audit Candidate 4]]-Audit[[#This Row],[Candidate 4]]</f>
        <v>-4</v>
      </c>
      <c r="W341" s="111">
        <f>Audit[[#This Row],[Audit Candidate 5]]-Audit[[#This Row],[Candidate 5]]</f>
        <v>-1</v>
      </c>
      <c r="X341" s="111">
        <f>Audit[[#This Row],[Audit Candidate 6]]-Audit[[#This Row],[Candidate 6]]</f>
        <v>0</v>
      </c>
      <c r="Y341" s="111">
        <f>SUMIF(Audit[[#This Row],[Difference Loser]:[Difference Candidate 6]], "&gt;0")</f>
        <v>0</v>
      </c>
      <c r="Z341" s="111">
        <f>SUM(Audit[[#This Row],[Difference Loser]:[Difference Candidate 6]])</f>
        <v>-20</v>
      </c>
      <c r="AA341" s="111">
        <f>IF(Audit[[#This Row],[Times p Drawn - With Replacement]]&gt;0, IF(Audit[[#This Row],[Canceled Differences]]&lt;0, Audit[[#This Row],[Max Differences]]+ABS(Audit[[#This Row],[Canceled Differences]]), Audit[[#This Row],[Max Differences]]), 0)</f>
        <v>0</v>
      </c>
      <c r="AB341" s="111">
        <f>'Sampling Data'!P331</f>
        <v>1.4698677119059284E-3</v>
      </c>
      <c r="AC341" s="111">
        <f>IF(
      SUM(Audit[[#This Row],[Audit Losing Candidate]:[Audit Candidate 6]])
      &lt;&gt;0,
      (Audit[[#This Row],[Winning Candidate]]-Audit[[#This Row],[Losing Candidate]]-(Audit[[#This Row],[Audit Winning Candidate]]-Audit[[#This Row],[Audit Losing Candidate]]))/(Audit[[#Totals],[Winning Candidate]]-Audit[[#Totals],[Losing Candidate]]),
      0
)</f>
        <v>0</v>
      </c>
      <c r="AD3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1" s="111">
        <f>IF(Audit[[#This Row],[Max Relative Error (ep)]] = 0, 0, Audit[[#This Row],[Max Relative Error (ep)]]/Audit[[#This Row],[Error Bound (up) - Max. possible relative overstatement]])</f>
        <v>0</v>
      </c>
      <c r="AJ3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41" s="111">
        <f t="shared" si="5"/>
        <v>1</v>
      </c>
      <c r="AL341" s="111">
        <f>PRODUCT($AK$5:AK341)</f>
        <v>8.962823818226312E-2</v>
      </c>
      <c r="AM341" s="109">
        <f>1 - [K-M P Value]</f>
        <v>0.91037176181773694</v>
      </c>
      <c r="AN341" s="111" t="str">
        <f>IF(Audit[[#This Row],[K-M P Value]]&gt;1-'General Info'!$B$16,"Continue", "Stop")</f>
        <v>Stop</v>
      </c>
      <c r="AO341" s="110" t="b">
        <f>IF(Audit[[#This Row],[Status - Continue or stop audit]] = "Continue", TRUE, IF(AN340 = "Continue", TRUE, FALSE))</f>
        <v>0</v>
      </c>
      <c r="AP341" s="110"/>
    </row>
    <row r="342" spans="1:42" ht="15" hidden="1" customHeight="1">
      <c r="A342" s="111" t="str">
        <f>'Sampling Data'!W332</f>
        <v/>
      </c>
      <c r="B342" s="112" t="str">
        <f>'Sampling Data'!A332</f>
        <v>CLEVELAND -03-H - ABS</v>
      </c>
      <c r="C342" s="112">
        <f>'Sampling Data'!B332</f>
        <v>1</v>
      </c>
      <c r="D342" s="112">
        <f>'Sampling Data'!C332</f>
        <v>2</v>
      </c>
      <c r="E342" s="113">
        <f>'Sampling Data'!D332</f>
        <v>0</v>
      </c>
      <c r="F342" s="113">
        <f>'Sampling Data'!E332</f>
        <v>1</v>
      </c>
      <c r="G342" s="113">
        <f>'Sampling Data'!F332</f>
        <v>0</v>
      </c>
      <c r="H342" s="113">
        <f>'Sampling Data'!G332</f>
        <v>0</v>
      </c>
      <c r="I342" s="112">
        <f>'Sampling Data'!H332</f>
        <v>0</v>
      </c>
      <c r="J342" s="112">
        <f>'Sampling Data'!I332</f>
        <v>2</v>
      </c>
      <c r="K342" s="112">
        <f>'Sampling Data'!J332</f>
        <v>6</v>
      </c>
      <c r="L342" s="111">
        <f>'Sampling Data'!X332</f>
        <v>0</v>
      </c>
      <c r="M342" s="114"/>
      <c r="N342" s="114"/>
      <c r="O342" s="115"/>
      <c r="P342" s="115"/>
      <c r="Q342" s="116"/>
      <c r="R342" s="116"/>
      <c r="S342" s="111">
        <f>Audit[[#This Row],[Audit Losing Candidate]]-Audit[[#This Row],[Losing Candidate]]</f>
        <v>-1</v>
      </c>
      <c r="T342" s="111">
        <f>Audit[[#This Row],[Audit Winning Candidate]]-Audit[[#This Row],[Winning Candidate]]</f>
        <v>-2</v>
      </c>
      <c r="U342" s="111">
        <f>Audit[[#This Row],[Audit Candidate 3]]-Audit[[#This Row],[Candidate 3]]</f>
        <v>0</v>
      </c>
      <c r="V342" s="111">
        <f>Audit[[#This Row],[Audit Candidate 4]]-Audit[[#This Row],[Candidate 4]]</f>
        <v>-1</v>
      </c>
      <c r="W342" s="111">
        <f>Audit[[#This Row],[Audit Candidate 5]]-Audit[[#This Row],[Candidate 5]]</f>
        <v>0</v>
      </c>
      <c r="X342" s="111">
        <f>Audit[[#This Row],[Audit Candidate 6]]-Audit[[#This Row],[Candidate 6]]</f>
        <v>0</v>
      </c>
      <c r="Y342" s="111">
        <f>SUMIF(Audit[[#This Row],[Difference Loser]:[Difference Candidate 6]], "&gt;0")</f>
        <v>0</v>
      </c>
      <c r="Z342" s="111">
        <f>SUM(Audit[[#This Row],[Difference Loser]:[Difference Candidate 6]])</f>
        <v>-4</v>
      </c>
      <c r="AA342" s="111">
        <f>IF(Audit[[#This Row],[Times p Drawn - With Replacement]]&gt;0, IF(Audit[[#This Row],[Canceled Differences]]&lt;0, Audit[[#This Row],[Max Differences]]+ABS(Audit[[#This Row],[Canceled Differences]]), Audit[[#This Row],[Max Differences]]), 0)</f>
        <v>0</v>
      </c>
      <c r="AB342" s="111">
        <f>'Sampling Data'!P332</f>
        <v>4.2871141597256246E-4</v>
      </c>
      <c r="AC342" s="111">
        <f>IF(
      SUM(Audit[[#This Row],[Audit Losing Candidate]:[Audit Candidate 6]])
      &lt;&gt;0,
      (Audit[[#This Row],[Winning Candidate]]-Audit[[#This Row],[Losing Candidate]]-(Audit[[#This Row],[Audit Winning Candidate]]-Audit[[#This Row],[Audit Losing Candidate]]))/(Audit[[#Totals],[Winning Candidate]]-Audit[[#Totals],[Losing Candidate]]),
      0
)</f>
        <v>0</v>
      </c>
      <c r="AD3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2" s="111">
        <f>IF(Audit[[#This Row],[Max Relative Error (ep)]] = 0, 0, Audit[[#This Row],[Max Relative Error (ep)]]/Audit[[#This Row],[Error Bound (up) - Max. possible relative overstatement]])</f>
        <v>0</v>
      </c>
      <c r="AJ3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42" s="111">
        <f t="shared" si="5"/>
        <v>1</v>
      </c>
      <c r="AL342" s="111">
        <f>PRODUCT($AK$5:AK342)</f>
        <v>8.962823818226312E-2</v>
      </c>
      <c r="AM342" s="109">
        <f>1 - [K-M P Value]</f>
        <v>0.91037176181773694</v>
      </c>
      <c r="AN342" s="111" t="str">
        <f>IF(Audit[[#This Row],[K-M P Value]]&gt;1-'General Info'!$B$16,"Continue", "Stop")</f>
        <v>Stop</v>
      </c>
      <c r="AO342" s="110" t="b">
        <f>IF(Audit[[#This Row],[Status - Continue or stop audit]] = "Continue", TRUE, IF(AN341 = "Continue", TRUE, FALSE))</f>
        <v>0</v>
      </c>
      <c r="AP342" s="110"/>
    </row>
    <row r="343" spans="1:42" ht="15" hidden="1" customHeight="1">
      <c r="A343" s="111" t="str">
        <f>'Sampling Data'!W333</f>
        <v/>
      </c>
      <c r="B343" s="112" t="str">
        <f>'Sampling Data'!A333</f>
        <v>CLEVELAND -03-I</v>
      </c>
      <c r="C343" s="112">
        <f>'Sampling Data'!B333</f>
        <v>2</v>
      </c>
      <c r="D343" s="112">
        <f>'Sampling Data'!C333</f>
        <v>12</v>
      </c>
      <c r="E343" s="113">
        <f>'Sampling Data'!D333</f>
        <v>6</v>
      </c>
      <c r="F343" s="113">
        <f>'Sampling Data'!E333</f>
        <v>4</v>
      </c>
      <c r="G343" s="113">
        <f>'Sampling Data'!F333</f>
        <v>2</v>
      </c>
      <c r="H343" s="113">
        <f>'Sampling Data'!G333</f>
        <v>0</v>
      </c>
      <c r="I343" s="112">
        <f>'Sampling Data'!H333</f>
        <v>0</v>
      </c>
      <c r="J343" s="112">
        <f>'Sampling Data'!I333</f>
        <v>0</v>
      </c>
      <c r="K343" s="112">
        <f>'Sampling Data'!J333</f>
        <v>26</v>
      </c>
      <c r="L343" s="111">
        <f>'Sampling Data'!X333</f>
        <v>0</v>
      </c>
      <c r="M343" s="114"/>
      <c r="N343" s="114"/>
      <c r="O343" s="115"/>
      <c r="P343" s="115"/>
      <c r="Q343" s="116"/>
      <c r="R343" s="116"/>
      <c r="S343" s="111">
        <f>Audit[[#This Row],[Audit Losing Candidate]]-Audit[[#This Row],[Losing Candidate]]</f>
        <v>-2</v>
      </c>
      <c r="T343" s="111">
        <f>Audit[[#This Row],[Audit Winning Candidate]]-Audit[[#This Row],[Winning Candidate]]</f>
        <v>-12</v>
      </c>
      <c r="U343" s="111">
        <f>Audit[[#This Row],[Audit Candidate 3]]-Audit[[#This Row],[Candidate 3]]</f>
        <v>-6</v>
      </c>
      <c r="V343" s="111">
        <f>Audit[[#This Row],[Audit Candidate 4]]-Audit[[#This Row],[Candidate 4]]</f>
        <v>-4</v>
      </c>
      <c r="W343" s="111">
        <f>Audit[[#This Row],[Audit Candidate 5]]-Audit[[#This Row],[Candidate 5]]</f>
        <v>-2</v>
      </c>
      <c r="X343" s="111">
        <f>Audit[[#This Row],[Audit Candidate 6]]-Audit[[#This Row],[Candidate 6]]</f>
        <v>0</v>
      </c>
      <c r="Y343" s="111">
        <f>SUMIF(Audit[[#This Row],[Difference Loser]:[Difference Candidate 6]], "&gt;0")</f>
        <v>0</v>
      </c>
      <c r="Z343" s="111">
        <f>SUM(Audit[[#This Row],[Difference Loser]:[Difference Candidate 6]])</f>
        <v>-26</v>
      </c>
      <c r="AA343" s="111">
        <f>IF(Audit[[#This Row],[Times p Drawn - With Replacement]]&gt;0, IF(Audit[[#This Row],[Canceled Differences]]&lt;0, Audit[[#This Row],[Max Differences]]+ABS(Audit[[#This Row],[Canceled Differences]]), Audit[[#This Row],[Max Differences]]), 0)</f>
        <v>0</v>
      </c>
      <c r="AB343" s="111">
        <f>'Sampling Data'!P333</f>
        <v>2.2048015678588929E-3</v>
      </c>
      <c r="AC343" s="111">
        <f>IF(
      SUM(Audit[[#This Row],[Audit Losing Candidate]:[Audit Candidate 6]])
      &lt;&gt;0,
      (Audit[[#This Row],[Winning Candidate]]-Audit[[#This Row],[Losing Candidate]]-(Audit[[#This Row],[Audit Winning Candidate]]-Audit[[#This Row],[Audit Losing Candidate]]))/(Audit[[#Totals],[Winning Candidate]]-Audit[[#Totals],[Losing Candidate]]),
      0
)</f>
        <v>0</v>
      </c>
      <c r="AD3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3" s="111">
        <f>IF(Audit[[#This Row],[Max Relative Error (ep)]] = 0, 0, Audit[[#This Row],[Max Relative Error (ep)]]/Audit[[#This Row],[Error Bound (up) - Max. possible relative overstatement]])</f>
        <v>0</v>
      </c>
      <c r="AJ3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43" s="111">
        <f t="shared" si="5"/>
        <v>1</v>
      </c>
      <c r="AL343" s="111">
        <f>PRODUCT($AK$5:AK343)</f>
        <v>8.962823818226312E-2</v>
      </c>
      <c r="AM343" s="109">
        <f>1 - [K-M P Value]</f>
        <v>0.91037176181773694</v>
      </c>
      <c r="AN343" s="111" t="str">
        <f>IF(Audit[[#This Row],[K-M P Value]]&gt;1-'General Info'!$B$16,"Continue", "Stop")</f>
        <v>Stop</v>
      </c>
      <c r="AO343" s="110" t="b">
        <f>IF(Audit[[#This Row],[Status - Continue or stop audit]] = "Continue", TRUE, IF(AN342 = "Continue", TRUE, FALSE))</f>
        <v>0</v>
      </c>
      <c r="AP343" s="110"/>
    </row>
    <row r="344" spans="1:42" ht="15" hidden="1" customHeight="1">
      <c r="A344" s="111" t="str">
        <f>'Sampling Data'!W334</f>
        <v/>
      </c>
      <c r="B344" s="112" t="str">
        <f>'Sampling Data'!A334</f>
        <v>CLEVELAND -03-I - ABS</v>
      </c>
      <c r="C344" s="112">
        <f>'Sampling Data'!B334</f>
        <v>1</v>
      </c>
      <c r="D344" s="112">
        <f>'Sampling Data'!C334</f>
        <v>5</v>
      </c>
      <c r="E344" s="113">
        <f>'Sampling Data'!D334</f>
        <v>0</v>
      </c>
      <c r="F344" s="113">
        <f>'Sampling Data'!E334</f>
        <v>2</v>
      </c>
      <c r="G344" s="113">
        <f>'Sampling Data'!F334</f>
        <v>0</v>
      </c>
      <c r="H344" s="113">
        <f>'Sampling Data'!G334</f>
        <v>0</v>
      </c>
      <c r="I344" s="112">
        <f>'Sampling Data'!H334</f>
        <v>0</v>
      </c>
      <c r="J344" s="112">
        <f>'Sampling Data'!I334</f>
        <v>0</v>
      </c>
      <c r="K344" s="112">
        <f>'Sampling Data'!J334</f>
        <v>8</v>
      </c>
      <c r="L344" s="111">
        <f>'Sampling Data'!X334</f>
        <v>0</v>
      </c>
      <c r="M344" s="114"/>
      <c r="N344" s="114"/>
      <c r="O344" s="115"/>
      <c r="P344" s="115"/>
      <c r="Q344" s="116"/>
      <c r="R344" s="116"/>
      <c r="S344" s="111">
        <f>Audit[[#This Row],[Audit Losing Candidate]]-Audit[[#This Row],[Losing Candidate]]</f>
        <v>-1</v>
      </c>
      <c r="T344" s="111">
        <f>Audit[[#This Row],[Audit Winning Candidate]]-Audit[[#This Row],[Winning Candidate]]</f>
        <v>-5</v>
      </c>
      <c r="U344" s="111">
        <f>Audit[[#This Row],[Audit Candidate 3]]-Audit[[#This Row],[Candidate 3]]</f>
        <v>0</v>
      </c>
      <c r="V344" s="111">
        <f>Audit[[#This Row],[Audit Candidate 4]]-Audit[[#This Row],[Candidate 4]]</f>
        <v>-2</v>
      </c>
      <c r="W344" s="111">
        <f>Audit[[#This Row],[Audit Candidate 5]]-Audit[[#This Row],[Candidate 5]]</f>
        <v>0</v>
      </c>
      <c r="X344" s="111">
        <f>Audit[[#This Row],[Audit Candidate 6]]-Audit[[#This Row],[Candidate 6]]</f>
        <v>0</v>
      </c>
      <c r="Y344" s="111">
        <f>SUMIF(Audit[[#This Row],[Difference Loser]:[Difference Candidate 6]], "&gt;0")</f>
        <v>0</v>
      </c>
      <c r="Z344" s="111">
        <f>SUM(Audit[[#This Row],[Difference Loser]:[Difference Candidate 6]])</f>
        <v>-8</v>
      </c>
      <c r="AA344" s="111">
        <f>IF(Audit[[#This Row],[Times p Drawn - With Replacement]]&gt;0, IF(Audit[[#This Row],[Canceled Differences]]&lt;0, Audit[[#This Row],[Max Differences]]+ABS(Audit[[#This Row],[Canceled Differences]]), Audit[[#This Row],[Max Differences]]), 0)</f>
        <v>0</v>
      </c>
      <c r="AB344" s="111">
        <f>'Sampling Data'!P334</f>
        <v>7.3493385595296422E-4</v>
      </c>
      <c r="AC344" s="111">
        <f>IF(
      SUM(Audit[[#This Row],[Audit Losing Candidate]:[Audit Candidate 6]])
      &lt;&gt;0,
      (Audit[[#This Row],[Winning Candidate]]-Audit[[#This Row],[Losing Candidate]]-(Audit[[#This Row],[Audit Winning Candidate]]-Audit[[#This Row],[Audit Losing Candidate]]))/(Audit[[#Totals],[Winning Candidate]]-Audit[[#Totals],[Losing Candidate]]),
      0
)</f>
        <v>0</v>
      </c>
      <c r="AD3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4" s="111">
        <f>IF(Audit[[#This Row],[Max Relative Error (ep)]] = 0, 0, Audit[[#This Row],[Max Relative Error (ep)]]/Audit[[#This Row],[Error Bound (up) - Max. possible relative overstatement]])</f>
        <v>0</v>
      </c>
      <c r="AJ3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44" s="111">
        <f t="shared" si="5"/>
        <v>1</v>
      </c>
      <c r="AL344" s="111">
        <f>PRODUCT($AK$5:AK344)</f>
        <v>8.962823818226312E-2</v>
      </c>
      <c r="AM344" s="109">
        <f>1 - [K-M P Value]</f>
        <v>0.91037176181773694</v>
      </c>
      <c r="AN344" s="111" t="str">
        <f>IF(Audit[[#This Row],[K-M P Value]]&gt;1-'General Info'!$B$16,"Continue", "Stop")</f>
        <v>Stop</v>
      </c>
      <c r="AO344" s="110" t="b">
        <f>IF(Audit[[#This Row],[Status - Continue or stop audit]] = "Continue", TRUE, IF(AN343 = "Continue", TRUE, FALSE))</f>
        <v>0</v>
      </c>
      <c r="AP344" s="110"/>
    </row>
    <row r="345" spans="1:42" ht="15" hidden="1" customHeight="1">
      <c r="A345" s="111" t="str">
        <f>'Sampling Data'!W335</f>
        <v/>
      </c>
      <c r="B345" s="112" t="str">
        <f>'Sampling Data'!A335</f>
        <v>CLEVELAND -03-J</v>
      </c>
      <c r="C345" s="112">
        <f>'Sampling Data'!B335</f>
        <v>12</v>
      </c>
      <c r="D345" s="112">
        <f>'Sampling Data'!C335</f>
        <v>19</v>
      </c>
      <c r="E345" s="113">
        <f>'Sampling Data'!D335</f>
        <v>6</v>
      </c>
      <c r="F345" s="113">
        <f>'Sampling Data'!E335</f>
        <v>4</v>
      </c>
      <c r="G345" s="113">
        <f>'Sampling Data'!F335</f>
        <v>0</v>
      </c>
      <c r="H345" s="113">
        <f>'Sampling Data'!G335</f>
        <v>0</v>
      </c>
      <c r="I345" s="112">
        <f>'Sampling Data'!H335</f>
        <v>0</v>
      </c>
      <c r="J345" s="112">
        <f>'Sampling Data'!I335</f>
        <v>0</v>
      </c>
      <c r="K345" s="112">
        <f>'Sampling Data'!J335</f>
        <v>41</v>
      </c>
      <c r="L345" s="111">
        <f>'Sampling Data'!X335</f>
        <v>0</v>
      </c>
      <c r="M345" s="114"/>
      <c r="N345" s="114"/>
      <c r="O345" s="115"/>
      <c r="P345" s="115"/>
      <c r="Q345" s="116"/>
      <c r="R345" s="116"/>
      <c r="S345" s="111">
        <f>Audit[[#This Row],[Audit Losing Candidate]]-Audit[[#This Row],[Losing Candidate]]</f>
        <v>-12</v>
      </c>
      <c r="T345" s="111">
        <f>Audit[[#This Row],[Audit Winning Candidate]]-Audit[[#This Row],[Winning Candidate]]</f>
        <v>-19</v>
      </c>
      <c r="U345" s="111">
        <f>Audit[[#This Row],[Audit Candidate 3]]-Audit[[#This Row],[Candidate 3]]</f>
        <v>-6</v>
      </c>
      <c r="V345" s="111">
        <f>Audit[[#This Row],[Audit Candidate 4]]-Audit[[#This Row],[Candidate 4]]</f>
        <v>-4</v>
      </c>
      <c r="W345" s="111">
        <f>Audit[[#This Row],[Audit Candidate 5]]-Audit[[#This Row],[Candidate 5]]</f>
        <v>0</v>
      </c>
      <c r="X345" s="111">
        <f>Audit[[#This Row],[Audit Candidate 6]]-Audit[[#This Row],[Candidate 6]]</f>
        <v>0</v>
      </c>
      <c r="Y345" s="111">
        <f>SUMIF(Audit[[#This Row],[Difference Loser]:[Difference Candidate 6]], "&gt;0")</f>
        <v>0</v>
      </c>
      <c r="Z345" s="111">
        <f>SUM(Audit[[#This Row],[Difference Loser]:[Difference Candidate 6]])</f>
        <v>-41</v>
      </c>
      <c r="AA345" s="111">
        <f>IF(Audit[[#This Row],[Times p Drawn - With Replacement]]&gt;0, IF(Audit[[#This Row],[Canceled Differences]]&lt;0, Audit[[#This Row],[Max Differences]]+ABS(Audit[[#This Row],[Canceled Differences]]), Audit[[#This Row],[Max Differences]]), 0)</f>
        <v>0</v>
      </c>
      <c r="AB345" s="111">
        <f>'Sampling Data'!P335</f>
        <v>2.9397354238118569E-3</v>
      </c>
      <c r="AC345" s="111">
        <f>IF(
      SUM(Audit[[#This Row],[Audit Losing Candidate]:[Audit Candidate 6]])
      &lt;&gt;0,
      (Audit[[#This Row],[Winning Candidate]]-Audit[[#This Row],[Losing Candidate]]-(Audit[[#This Row],[Audit Winning Candidate]]-Audit[[#This Row],[Audit Losing Candidate]]))/(Audit[[#Totals],[Winning Candidate]]-Audit[[#Totals],[Losing Candidate]]),
      0
)</f>
        <v>0</v>
      </c>
      <c r="AD3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5" s="111">
        <f>IF(Audit[[#This Row],[Max Relative Error (ep)]] = 0, 0, Audit[[#This Row],[Max Relative Error (ep)]]/Audit[[#This Row],[Error Bound (up) - Max. possible relative overstatement]])</f>
        <v>0</v>
      </c>
      <c r="AJ3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45" s="111">
        <f t="shared" si="5"/>
        <v>1</v>
      </c>
      <c r="AL345" s="111">
        <f>PRODUCT($AK$5:AK345)</f>
        <v>8.962823818226312E-2</v>
      </c>
      <c r="AM345" s="109">
        <f>1 - [K-M P Value]</f>
        <v>0.91037176181773694</v>
      </c>
      <c r="AN345" s="111" t="str">
        <f>IF(Audit[[#This Row],[K-M P Value]]&gt;1-'General Info'!$B$16,"Continue", "Stop")</f>
        <v>Stop</v>
      </c>
      <c r="AO345" s="110" t="b">
        <f>IF(Audit[[#This Row],[Status - Continue or stop audit]] = "Continue", TRUE, IF(AN344 = "Continue", TRUE, FALSE))</f>
        <v>0</v>
      </c>
      <c r="AP345" s="110"/>
    </row>
    <row r="346" spans="1:42" ht="15" hidden="1" customHeight="1">
      <c r="A346" s="111" t="str">
        <f>'Sampling Data'!W336</f>
        <v/>
      </c>
      <c r="B346" s="112" t="str">
        <f>'Sampling Data'!A336</f>
        <v>CLEVELAND -03-J - ABS</v>
      </c>
      <c r="C346" s="112">
        <f>'Sampling Data'!B336</f>
        <v>2</v>
      </c>
      <c r="D346" s="112">
        <f>'Sampling Data'!C336</f>
        <v>4</v>
      </c>
      <c r="E346" s="113">
        <f>'Sampling Data'!D336</f>
        <v>0</v>
      </c>
      <c r="F346" s="113">
        <f>'Sampling Data'!E336</f>
        <v>0</v>
      </c>
      <c r="G346" s="113">
        <f>'Sampling Data'!F336</f>
        <v>0</v>
      </c>
      <c r="H346" s="113">
        <f>'Sampling Data'!G336</f>
        <v>0</v>
      </c>
      <c r="I346" s="112">
        <f>'Sampling Data'!H336</f>
        <v>0</v>
      </c>
      <c r="J346" s="112">
        <f>'Sampling Data'!I336</f>
        <v>0</v>
      </c>
      <c r="K346" s="112">
        <f>'Sampling Data'!J336</f>
        <v>6</v>
      </c>
      <c r="L346" s="111">
        <f>'Sampling Data'!X336</f>
        <v>0</v>
      </c>
      <c r="M346" s="114"/>
      <c r="N346" s="114"/>
      <c r="O346" s="115"/>
      <c r="P346" s="115"/>
      <c r="Q346" s="116"/>
      <c r="R346" s="116"/>
      <c r="S346" s="111">
        <f>Audit[[#This Row],[Audit Losing Candidate]]-Audit[[#This Row],[Losing Candidate]]</f>
        <v>-2</v>
      </c>
      <c r="T346" s="111">
        <f>Audit[[#This Row],[Audit Winning Candidate]]-Audit[[#This Row],[Winning Candidate]]</f>
        <v>-4</v>
      </c>
      <c r="U346" s="111">
        <f>Audit[[#This Row],[Audit Candidate 3]]-Audit[[#This Row],[Candidate 3]]</f>
        <v>0</v>
      </c>
      <c r="V346" s="111">
        <f>Audit[[#This Row],[Audit Candidate 4]]-Audit[[#This Row],[Candidate 4]]</f>
        <v>0</v>
      </c>
      <c r="W346" s="111">
        <f>Audit[[#This Row],[Audit Candidate 5]]-Audit[[#This Row],[Candidate 5]]</f>
        <v>0</v>
      </c>
      <c r="X346" s="111">
        <f>Audit[[#This Row],[Audit Candidate 6]]-Audit[[#This Row],[Candidate 6]]</f>
        <v>0</v>
      </c>
      <c r="Y346" s="111">
        <f>SUMIF(Audit[[#This Row],[Difference Loser]:[Difference Candidate 6]], "&gt;0")</f>
        <v>0</v>
      </c>
      <c r="Z346" s="111">
        <f>SUM(Audit[[#This Row],[Difference Loser]:[Difference Candidate 6]])</f>
        <v>-6</v>
      </c>
      <c r="AA346" s="111">
        <f>IF(Audit[[#This Row],[Times p Drawn - With Replacement]]&gt;0, IF(Audit[[#This Row],[Canceled Differences]]&lt;0, Audit[[#This Row],[Max Differences]]+ABS(Audit[[#This Row],[Canceled Differences]]), Audit[[#This Row],[Max Differences]]), 0)</f>
        <v>0</v>
      </c>
      <c r="AB346" s="111">
        <f>'Sampling Data'!P336</f>
        <v>4.8995590396864281E-4</v>
      </c>
      <c r="AC346" s="111">
        <f>IF(
      SUM(Audit[[#This Row],[Audit Losing Candidate]:[Audit Candidate 6]])
      &lt;&gt;0,
      (Audit[[#This Row],[Winning Candidate]]-Audit[[#This Row],[Losing Candidate]]-(Audit[[#This Row],[Audit Winning Candidate]]-Audit[[#This Row],[Audit Losing Candidate]]))/(Audit[[#Totals],[Winning Candidate]]-Audit[[#Totals],[Losing Candidate]]),
      0
)</f>
        <v>0</v>
      </c>
      <c r="AD3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6" s="111">
        <f>IF(Audit[[#This Row],[Max Relative Error (ep)]] = 0, 0, Audit[[#This Row],[Max Relative Error (ep)]]/Audit[[#This Row],[Error Bound (up) - Max. possible relative overstatement]])</f>
        <v>0</v>
      </c>
      <c r="AJ3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46" s="111">
        <f t="shared" si="5"/>
        <v>1</v>
      </c>
      <c r="AL346" s="111">
        <f>PRODUCT($AK$5:AK346)</f>
        <v>8.962823818226312E-2</v>
      </c>
      <c r="AM346" s="109">
        <f>1 - [K-M P Value]</f>
        <v>0.91037176181773694</v>
      </c>
      <c r="AN346" s="111" t="str">
        <f>IF(Audit[[#This Row],[K-M P Value]]&gt;1-'General Info'!$B$16,"Continue", "Stop")</f>
        <v>Stop</v>
      </c>
      <c r="AO346" s="110" t="b">
        <f>IF(Audit[[#This Row],[Status - Continue or stop audit]] = "Continue", TRUE, IF(AN345 = "Continue", TRUE, FALSE))</f>
        <v>0</v>
      </c>
      <c r="AP346" s="110"/>
    </row>
    <row r="347" spans="1:42" ht="15" hidden="1" customHeight="1">
      <c r="A347" s="111" t="str">
        <f>'Sampling Data'!W337</f>
        <v/>
      </c>
      <c r="B347" s="112" t="str">
        <f>'Sampling Data'!A337</f>
        <v>CLEVELAND -03-K</v>
      </c>
      <c r="C347" s="112">
        <f>'Sampling Data'!B337</f>
        <v>2</v>
      </c>
      <c r="D347" s="112">
        <f>'Sampling Data'!C337</f>
        <v>6</v>
      </c>
      <c r="E347" s="113">
        <f>'Sampling Data'!D337</f>
        <v>2</v>
      </c>
      <c r="F347" s="113">
        <f>'Sampling Data'!E337</f>
        <v>1</v>
      </c>
      <c r="G347" s="113">
        <f>'Sampling Data'!F337</f>
        <v>0</v>
      </c>
      <c r="H347" s="113">
        <f>'Sampling Data'!G337</f>
        <v>0</v>
      </c>
      <c r="I347" s="112">
        <f>'Sampling Data'!H337</f>
        <v>0</v>
      </c>
      <c r="J347" s="112">
        <f>'Sampling Data'!I337</f>
        <v>0</v>
      </c>
      <c r="K347" s="112">
        <f>'Sampling Data'!J337</f>
        <v>11</v>
      </c>
      <c r="L347" s="111">
        <f>'Sampling Data'!X337</f>
        <v>0</v>
      </c>
      <c r="M347" s="114"/>
      <c r="N347" s="114"/>
      <c r="O347" s="115"/>
      <c r="P347" s="115"/>
      <c r="Q347" s="116"/>
      <c r="R347" s="116"/>
      <c r="S347" s="111">
        <f>Audit[[#This Row],[Audit Losing Candidate]]-Audit[[#This Row],[Losing Candidate]]</f>
        <v>-2</v>
      </c>
      <c r="T347" s="111">
        <f>Audit[[#This Row],[Audit Winning Candidate]]-Audit[[#This Row],[Winning Candidate]]</f>
        <v>-6</v>
      </c>
      <c r="U347" s="111">
        <f>Audit[[#This Row],[Audit Candidate 3]]-Audit[[#This Row],[Candidate 3]]</f>
        <v>-2</v>
      </c>
      <c r="V347" s="111">
        <f>Audit[[#This Row],[Audit Candidate 4]]-Audit[[#This Row],[Candidate 4]]</f>
        <v>-1</v>
      </c>
      <c r="W347" s="111">
        <f>Audit[[#This Row],[Audit Candidate 5]]-Audit[[#This Row],[Candidate 5]]</f>
        <v>0</v>
      </c>
      <c r="X347" s="111">
        <f>Audit[[#This Row],[Audit Candidate 6]]-Audit[[#This Row],[Candidate 6]]</f>
        <v>0</v>
      </c>
      <c r="Y347" s="111">
        <f>SUMIF(Audit[[#This Row],[Difference Loser]:[Difference Candidate 6]], "&gt;0")</f>
        <v>0</v>
      </c>
      <c r="Z347" s="111">
        <f>SUM(Audit[[#This Row],[Difference Loser]:[Difference Candidate 6]])</f>
        <v>-11</v>
      </c>
      <c r="AA347" s="111">
        <f>IF(Audit[[#This Row],[Times p Drawn - With Replacement]]&gt;0, IF(Audit[[#This Row],[Canceled Differences]]&lt;0, Audit[[#This Row],[Max Differences]]+ABS(Audit[[#This Row],[Canceled Differences]]), Audit[[#This Row],[Max Differences]]), 0)</f>
        <v>0</v>
      </c>
      <c r="AB347" s="111">
        <f>'Sampling Data'!P337</f>
        <v>9.1866731994120533E-4</v>
      </c>
      <c r="AC347" s="111">
        <f>IF(
      SUM(Audit[[#This Row],[Audit Losing Candidate]:[Audit Candidate 6]])
      &lt;&gt;0,
      (Audit[[#This Row],[Winning Candidate]]-Audit[[#This Row],[Losing Candidate]]-(Audit[[#This Row],[Audit Winning Candidate]]-Audit[[#This Row],[Audit Losing Candidate]]))/(Audit[[#Totals],[Winning Candidate]]-Audit[[#Totals],[Losing Candidate]]),
      0
)</f>
        <v>0</v>
      </c>
      <c r="AD3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7" s="111">
        <f>IF(Audit[[#This Row],[Max Relative Error (ep)]] = 0, 0, Audit[[#This Row],[Max Relative Error (ep)]]/Audit[[#This Row],[Error Bound (up) - Max. possible relative overstatement]])</f>
        <v>0</v>
      </c>
      <c r="AJ3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47" s="111">
        <f t="shared" si="5"/>
        <v>1</v>
      </c>
      <c r="AL347" s="111">
        <f>PRODUCT($AK$5:AK347)</f>
        <v>8.962823818226312E-2</v>
      </c>
      <c r="AM347" s="109">
        <f>1 - [K-M P Value]</f>
        <v>0.91037176181773694</v>
      </c>
      <c r="AN347" s="111" t="str">
        <f>IF(Audit[[#This Row],[K-M P Value]]&gt;1-'General Info'!$B$16,"Continue", "Stop")</f>
        <v>Stop</v>
      </c>
      <c r="AO347" s="110" t="b">
        <f>IF(Audit[[#This Row],[Status - Continue or stop audit]] = "Continue", TRUE, IF(AN346 = "Continue", TRUE, FALSE))</f>
        <v>0</v>
      </c>
      <c r="AP347" s="110"/>
    </row>
    <row r="348" spans="1:42" ht="15" hidden="1" customHeight="1">
      <c r="A348" s="111" t="str">
        <f>'Sampling Data'!W338</f>
        <v/>
      </c>
      <c r="B348" s="112" t="str">
        <f>'Sampling Data'!A338</f>
        <v>CLEVELAND -03-K - ABS</v>
      </c>
      <c r="C348" s="112">
        <f>'Sampling Data'!B338</f>
        <v>1</v>
      </c>
      <c r="D348" s="112">
        <f>'Sampling Data'!C338</f>
        <v>2</v>
      </c>
      <c r="E348" s="113">
        <f>'Sampling Data'!D338</f>
        <v>0</v>
      </c>
      <c r="F348" s="113">
        <f>'Sampling Data'!E338</f>
        <v>0</v>
      </c>
      <c r="G348" s="113">
        <f>'Sampling Data'!F338</f>
        <v>0</v>
      </c>
      <c r="H348" s="113">
        <f>'Sampling Data'!G338</f>
        <v>0</v>
      </c>
      <c r="I348" s="112">
        <f>'Sampling Data'!H338</f>
        <v>0</v>
      </c>
      <c r="J348" s="112">
        <f>'Sampling Data'!I338</f>
        <v>0</v>
      </c>
      <c r="K348" s="112">
        <f>'Sampling Data'!J338</f>
        <v>3</v>
      </c>
      <c r="L348" s="111">
        <f>'Sampling Data'!X338</f>
        <v>0</v>
      </c>
      <c r="M348" s="114"/>
      <c r="N348" s="114"/>
      <c r="O348" s="115"/>
      <c r="P348" s="115"/>
      <c r="Q348" s="116"/>
      <c r="R348" s="116"/>
      <c r="S348" s="111">
        <f>Audit[[#This Row],[Audit Losing Candidate]]-Audit[[#This Row],[Losing Candidate]]</f>
        <v>-1</v>
      </c>
      <c r="T348" s="111">
        <f>Audit[[#This Row],[Audit Winning Candidate]]-Audit[[#This Row],[Winning Candidate]]</f>
        <v>-2</v>
      </c>
      <c r="U348" s="111">
        <f>Audit[[#This Row],[Audit Candidate 3]]-Audit[[#This Row],[Candidate 3]]</f>
        <v>0</v>
      </c>
      <c r="V348" s="111">
        <f>Audit[[#This Row],[Audit Candidate 4]]-Audit[[#This Row],[Candidate 4]]</f>
        <v>0</v>
      </c>
      <c r="W348" s="111">
        <f>Audit[[#This Row],[Audit Candidate 5]]-Audit[[#This Row],[Candidate 5]]</f>
        <v>0</v>
      </c>
      <c r="X348" s="111">
        <f>Audit[[#This Row],[Audit Candidate 6]]-Audit[[#This Row],[Candidate 6]]</f>
        <v>0</v>
      </c>
      <c r="Y348" s="111">
        <f>SUMIF(Audit[[#This Row],[Difference Loser]:[Difference Candidate 6]], "&gt;0")</f>
        <v>0</v>
      </c>
      <c r="Z348" s="111">
        <f>SUM(Audit[[#This Row],[Difference Loser]:[Difference Candidate 6]])</f>
        <v>-3</v>
      </c>
      <c r="AA348" s="111">
        <f>IF(Audit[[#This Row],[Times p Drawn - With Replacement]]&gt;0, IF(Audit[[#This Row],[Canceled Differences]]&lt;0, Audit[[#This Row],[Max Differences]]+ABS(Audit[[#This Row],[Canceled Differences]]), Audit[[#This Row],[Max Differences]]), 0)</f>
        <v>0</v>
      </c>
      <c r="AB348" s="111">
        <f>'Sampling Data'!P338</f>
        <v>2.4497795198432141E-4</v>
      </c>
      <c r="AC348" s="111">
        <f>IF(
      SUM(Audit[[#This Row],[Audit Losing Candidate]:[Audit Candidate 6]])
      &lt;&gt;0,
      (Audit[[#This Row],[Winning Candidate]]-Audit[[#This Row],[Losing Candidate]]-(Audit[[#This Row],[Audit Winning Candidate]]-Audit[[#This Row],[Audit Losing Candidate]]))/(Audit[[#Totals],[Winning Candidate]]-Audit[[#Totals],[Losing Candidate]]),
      0
)</f>
        <v>0</v>
      </c>
      <c r="AD3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8" s="111">
        <f>IF(Audit[[#This Row],[Max Relative Error (ep)]] = 0, 0, Audit[[#This Row],[Max Relative Error (ep)]]/Audit[[#This Row],[Error Bound (up) - Max. possible relative overstatement]])</f>
        <v>0</v>
      </c>
      <c r="AJ3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48" s="111">
        <f t="shared" si="5"/>
        <v>1</v>
      </c>
      <c r="AL348" s="111">
        <f>PRODUCT($AK$5:AK348)</f>
        <v>8.962823818226312E-2</v>
      </c>
      <c r="AM348" s="109">
        <f>1 - [K-M P Value]</f>
        <v>0.91037176181773694</v>
      </c>
      <c r="AN348" s="111" t="str">
        <f>IF(Audit[[#This Row],[K-M P Value]]&gt;1-'General Info'!$B$16,"Continue", "Stop")</f>
        <v>Stop</v>
      </c>
      <c r="AO348" s="110" t="b">
        <f>IF(Audit[[#This Row],[Status - Continue or stop audit]] = "Continue", TRUE, IF(AN347 = "Continue", TRUE, FALSE))</f>
        <v>0</v>
      </c>
      <c r="AP348" s="110"/>
    </row>
    <row r="349" spans="1:42" ht="15" hidden="1" customHeight="1">
      <c r="A349" s="111" t="str">
        <f>'Sampling Data'!W339</f>
        <v/>
      </c>
      <c r="B349" s="112" t="str">
        <f>'Sampling Data'!A339</f>
        <v>CLEVELAND -03-L</v>
      </c>
      <c r="C349" s="112">
        <f>'Sampling Data'!B339</f>
        <v>0</v>
      </c>
      <c r="D349" s="112">
        <f>'Sampling Data'!C339</f>
        <v>2</v>
      </c>
      <c r="E349" s="113">
        <f>'Sampling Data'!D339</f>
        <v>0</v>
      </c>
      <c r="F349" s="113">
        <f>'Sampling Data'!E339</f>
        <v>1</v>
      </c>
      <c r="G349" s="113">
        <f>'Sampling Data'!F339</f>
        <v>0</v>
      </c>
      <c r="H349" s="113">
        <f>'Sampling Data'!G339</f>
        <v>0</v>
      </c>
      <c r="I349" s="112">
        <f>'Sampling Data'!H339</f>
        <v>0</v>
      </c>
      <c r="J349" s="112">
        <f>'Sampling Data'!I339</f>
        <v>0</v>
      </c>
      <c r="K349" s="112">
        <f>'Sampling Data'!J339</f>
        <v>3</v>
      </c>
      <c r="L349" s="111">
        <f>'Sampling Data'!X339</f>
        <v>0</v>
      </c>
      <c r="M349" s="114"/>
      <c r="N349" s="114"/>
      <c r="O349" s="115"/>
      <c r="P349" s="115"/>
      <c r="Q349" s="116"/>
      <c r="R349" s="116"/>
      <c r="S349" s="111">
        <f>Audit[[#This Row],[Audit Losing Candidate]]-Audit[[#This Row],[Losing Candidate]]</f>
        <v>0</v>
      </c>
      <c r="T349" s="111">
        <f>Audit[[#This Row],[Audit Winning Candidate]]-Audit[[#This Row],[Winning Candidate]]</f>
        <v>-2</v>
      </c>
      <c r="U349" s="111">
        <f>Audit[[#This Row],[Audit Candidate 3]]-Audit[[#This Row],[Candidate 3]]</f>
        <v>0</v>
      </c>
      <c r="V349" s="111">
        <f>Audit[[#This Row],[Audit Candidate 4]]-Audit[[#This Row],[Candidate 4]]</f>
        <v>-1</v>
      </c>
      <c r="W349" s="111">
        <f>Audit[[#This Row],[Audit Candidate 5]]-Audit[[#This Row],[Candidate 5]]</f>
        <v>0</v>
      </c>
      <c r="X349" s="111">
        <f>Audit[[#This Row],[Audit Candidate 6]]-Audit[[#This Row],[Candidate 6]]</f>
        <v>0</v>
      </c>
      <c r="Y349" s="111">
        <f>SUMIF(Audit[[#This Row],[Difference Loser]:[Difference Candidate 6]], "&gt;0")</f>
        <v>0</v>
      </c>
      <c r="Z349" s="111">
        <f>SUM(Audit[[#This Row],[Difference Loser]:[Difference Candidate 6]])</f>
        <v>-3</v>
      </c>
      <c r="AA349" s="111">
        <f>IF(Audit[[#This Row],[Times p Drawn - With Replacement]]&gt;0, IF(Audit[[#This Row],[Canceled Differences]]&lt;0, Audit[[#This Row],[Max Differences]]+ABS(Audit[[#This Row],[Canceled Differences]]), Audit[[#This Row],[Max Differences]]), 0)</f>
        <v>0</v>
      </c>
      <c r="AB349" s="111">
        <f>'Sampling Data'!P339</f>
        <v>3.0622243998040176E-4</v>
      </c>
      <c r="AC349" s="111">
        <f>IF(
      SUM(Audit[[#This Row],[Audit Losing Candidate]:[Audit Candidate 6]])
      &lt;&gt;0,
      (Audit[[#This Row],[Winning Candidate]]-Audit[[#This Row],[Losing Candidate]]-(Audit[[#This Row],[Audit Winning Candidate]]-Audit[[#This Row],[Audit Losing Candidate]]))/(Audit[[#Totals],[Winning Candidate]]-Audit[[#Totals],[Losing Candidate]]),
      0
)</f>
        <v>0</v>
      </c>
      <c r="AD3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9" s="111">
        <f>IF(Audit[[#This Row],[Max Relative Error (ep)]] = 0, 0, Audit[[#This Row],[Max Relative Error (ep)]]/Audit[[#This Row],[Error Bound (up) - Max. possible relative overstatement]])</f>
        <v>0</v>
      </c>
      <c r="AJ3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49" s="111">
        <f t="shared" si="5"/>
        <v>1</v>
      </c>
      <c r="AL349" s="111">
        <f>PRODUCT($AK$5:AK349)</f>
        <v>8.962823818226312E-2</v>
      </c>
      <c r="AM349" s="109">
        <f>1 - [K-M P Value]</f>
        <v>0.91037176181773694</v>
      </c>
      <c r="AN349" s="111" t="str">
        <f>IF(Audit[[#This Row],[K-M P Value]]&gt;1-'General Info'!$B$16,"Continue", "Stop")</f>
        <v>Stop</v>
      </c>
      <c r="AO349" s="110" t="b">
        <f>IF(Audit[[#This Row],[Status - Continue or stop audit]] = "Continue", TRUE, IF(AN348 = "Continue", TRUE, FALSE))</f>
        <v>0</v>
      </c>
      <c r="AP349" s="110"/>
    </row>
    <row r="350" spans="1:42" ht="15" hidden="1" customHeight="1">
      <c r="A350" s="111" t="str">
        <f>'Sampling Data'!W340</f>
        <v/>
      </c>
      <c r="B350" s="112" t="str">
        <f>'Sampling Data'!A340</f>
        <v>CLEVELAND -03-L - ABS</v>
      </c>
      <c r="C350" s="112">
        <f>'Sampling Data'!B340</f>
        <v>0</v>
      </c>
      <c r="D350" s="112">
        <f>'Sampling Data'!C340</f>
        <v>0</v>
      </c>
      <c r="E350" s="113">
        <f>'Sampling Data'!D340</f>
        <v>0</v>
      </c>
      <c r="F350" s="113">
        <f>'Sampling Data'!E340</f>
        <v>0</v>
      </c>
      <c r="G350" s="113">
        <f>'Sampling Data'!F340</f>
        <v>0</v>
      </c>
      <c r="H350" s="113">
        <f>'Sampling Data'!G340</f>
        <v>0</v>
      </c>
      <c r="I350" s="112">
        <f>'Sampling Data'!H340</f>
        <v>0</v>
      </c>
      <c r="J350" s="112">
        <f>'Sampling Data'!I340</f>
        <v>0</v>
      </c>
      <c r="K350" s="112">
        <f>'Sampling Data'!J340</f>
        <v>0</v>
      </c>
      <c r="L350" s="111">
        <f>'Sampling Data'!X340</f>
        <v>0</v>
      </c>
      <c r="M350" s="114"/>
      <c r="N350" s="114"/>
      <c r="O350" s="115"/>
      <c r="P350" s="115"/>
      <c r="Q350" s="116"/>
      <c r="R350" s="116"/>
      <c r="S350" s="111">
        <f>Audit[[#This Row],[Audit Losing Candidate]]-Audit[[#This Row],[Losing Candidate]]</f>
        <v>0</v>
      </c>
      <c r="T350" s="111">
        <f>Audit[[#This Row],[Audit Winning Candidate]]-Audit[[#This Row],[Winning Candidate]]</f>
        <v>0</v>
      </c>
      <c r="U350" s="111">
        <f>Audit[[#This Row],[Audit Candidate 3]]-Audit[[#This Row],[Candidate 3]]</f>
        <v>0</v>
      </c>
      <c r="V350" s="111">
        <f>Audit[[#This Row],[Audit Candidate 4]]-Audit[[#This Row],[Candidate 4]]</f>
        <v>0</v>
      </c>
      <c r="W350" s="111">
        <f>Audit[[#This Row],[Audit Candidate 5]]-Audit[[#This Row],[Candidate 5]]</f>
        <v>0</v>
      </c>
      <c r="X350" s="111">
        <f>Audit[[#This Row],[Audit Candidate 6]]-Audit[[#This Row],[Candidate 6]]</f>
        <v>0</v>
      </c>
      <c r="Y350" s="111">
        <f>SUMIF(Audit[[#This Row],[Difference Loser]:[Difference Candidate 6]], "&gt;0")</f>
        <v>0</v>
      </c>
      <c r="Z350" s="111">
        <f>SUM(Audit[[#This Row],[Difference Loser]:[Difference Candidate 6]])</f>
        <v>0</v>
      </c>
      <c r="AA350" s="111">
        <f>IF(Audit[[#This Row],[Times p Drawn - With Replacement]]&gt;0, IF(Audit[[#This Row],[Canceled Differences]]&lt;0, Audit[[#This Row],[Max Differences]]+ABS(Audit[[#This Row],[Canceled Differences]]), Audit[[#This Row],[Max Differences]]), 0)</f>
        <v>0</v>
      </c>
      <c r="AB350" s="111">
        <f>'Sampling Data'!P340</f>
        <v>0</v>
      </c>
      <c r="AC350" s="111">
        <f>IF(
      SUM(Audit[[#This Row],[Audit Losing Candidate]:[Audit Candidate 6]])
      &lt;&gt;0,
      (Audit[[#This Row],[Winning Candidate]]-Audit[[#This Row],[Losing Candidate]]-(Audit[[#This Row],[Audit Winning Candidate]]-Audit[[#This Row],[Audit Losing Candidate]]))/(Audit[[#Totals],[Winning Candidate]]-Audit[[#Totals],[Losing Candidate]]),
      0
)</f>
        <v>0</v>
      </c>
      <c r="AD3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0" s="111">
        <f>IF(Audit[[#This Row],[Max Relative Error (ep)]] = 0, 0, Audit[[#This Row],[Max Relative Error (ep)]]/Audit[[#This Row],[Error Bound (up) - Max. possible relative overstatement]])</f>
        <v>0</v>
      </c>
      <c r="AJ3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50" s="111">
        <f t="shared" si="5"/>
        <v>1</v>
      </c>
      <c r="AL350" s="111">
        <f>PRODUCT($AK$5:AK350)</f>
        <v>8.962823818226312E-2</v>
      </c>
      <c r="AM350" s="109">
        <f>1 - [K-M P Value]</f>
        <v>0.91037176181773694</v>
      </c>
      <c r="AN350" s="111" t="str">
        <f>IF(Audit[[#This Row],[K-M P Value]]&gt;1-'General Info'!$B$16,"Continue", "Stop")</f>
        <v>Stop</v>
      </c>
      <c r="AO350" s="110" t="b">
        <f>IF(Audit[[#This Row],[Status - Continue or stop audit]] = "Continue", TRUE, IF(AN349 = "Continue", TRUE, FALSE))</f>
        <v>0</v>
      </c>
      <c r="AP350" s="110"/>
    </row>
    <row r="351" spans="1:42" ht="15" hidden="1" customHeight="1">
      <c r="A351" s="111" t="str">
        <f>'Sampling Data'!W341</f>
        <v/>
      </c>
      <c r="B351" s="112" t="str">
        <f>'Sampling Data'!A341</f>
        <v>CLEVELAND -03-M</v>
      </c>
      <c r="C351" s="112">
        <f>'Sampling Data'!B341</f>
        <v>3</v>
      </c>
      <c r="D351" s="112">
        <f>'Sampling Data'!C341</f>
        <v>3</v>
      </c>
      <c r="E351" s="113">
        <f>'Sampling Data'!D341</f>
        <v>0</v>
      </c>
      <c r="F351" s="113">
        <f>'Sampling Data'!E341</f>
        <v>2</v>
      </c>
      <c r="G351" s="113">
        <f>'Sampling Data'!F341</f>
        <v>0</v>
      </c>
      <c r="H351" s="113">
        <f>'Sampling Data'!G341</f>
        <v>0</v>
      </c>
      <c r="I351" s="112">
        <f>'Sampling Data'!H341</f>
        <v>0</v>
      </c>
      <c r="J351" s="112">
        <f>'Sampling Data'!I341</f>
        <v>0</v>
      </c>
      <c r="K351" s="112">
        <f>'Sampling Data'!J341</f>
        <v>8</v>
      </c>
      <c r="L351" s="111">
        <f>'Sampling Data'!X341</f>
        <v>0</v>
      </c>
      <c r="M351" s="114"/>
      <c r="N351" s="114"/>
      <c r="O351" s="115"/>
      <c r="P351" s="115"/>
      <c r="Q351" s="116"/>
      <c r="R351" s="116"/>
      <c r="S351" s="111">
        <f>Audit[[#This Row],[Audit Losing Candidate]]-Audit[[#This Row],[Losing Candidate]]</f>
        <v>-3</v>
      </c>
      <c r="T351" s="111">
        <f>Audit[[#This Row],[Audit Winning Candidate]]-Audit[[#This Row],[Winning Candidate]]</f>
        <v>-3</v>
      </c>
      <c r="U351" s="111">
        <f>Audit[[#This Row],[Audit Candidate 3]]-Audit[[#This Row],[Candidate 3]]</f>
        <v>0</v>
      </c>
      <c r="V351" s="111">
        <f>Audit[[#This Row],[Audit Candidate 4]]-Audit[[#This Row],[Candidate 4]]</f>
        <v>-2</v>
      </c>
      <c r="W351" s="111">
        <f>Audit[[#This Row],[Audit Candidate 5]]-Audit[[#This Row],[Candidate 5]]</f>
        <v>0</v>
      </c>
      <c r="X351" s="111">
        <f>Audit[[#This Row],[Audit Candidate 6]]-Audit[[#This Row],[Candidate 6]]</f>
        <v>0</v>
      </c>
      <c r="Y351" s="111">
        <f>SUMIF(Audit[[#This Row],[Difference Loser]:[Difference Candidate 6]], "&gt;0")</f>
        <v>0</v>
      </c>
      <c r="Z351" s="111">
        <f>SUM(Audit[[#This Row],[Difference Loser]:[Difference Candidate 6]])</f>
        <v>-8</v>
      </c>
      <c r="AA351" s="111">
        <f>IF(Audit[[#This Row],[Times p Drawn - With Replacement]]&gt;0, IF(Audit[[#This Row],[Canceled Differences]]&lt;0, Audit[[#This Row],[Max Differences]]+ABS(Audit[[#This Row],[Canceled Differences]]), Audit[[#This Row],[Max Differences]]), 0)</f>
        <v>0</v>
      </c>
      <c r="AB351" s="111">
        <f>'Sampling Data'!P341</f>
        <v>4.8995590396864281E-4</v>
      </c>
      <c r="AC351" s="111">
        <f>IF(
      SUM(Audit[[#This Row],[Audit Losing Candidate]:[Audit Candidate 6]])
      &lt;&gt;0,
      (Audit[[#This Row],[Winning Candidate]]-Audit[[#This Row],[Losing Candidate]]-(Audit[[#This Row],[Audit Winning Candidate]]-Audit[[#This Row],[Audit Losing Candidate]]))/(Audit[[#Totals],[Winning Candidate]]-Audit[[#Totals],[Losing Candidate]]),
      0
)</f>
        <v>0</v>
      </c>
      <c r="AD3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1" s="111">
        <f>IF(Audit[[#This Row],[Max Relative Error (ep)]] = 0, 0, Audit[[#This Row],[Max Relative Error (ep)]]/Audit[[#This Row],[Error Bound (up) - Max. possible relative overstatement]])</f>
        <v>0</v>
      </c>
      <c r="AJ3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51" s="111">
        <f t="shared" si="5"/>
        <v>1</v>
      </c>
      <c r="AL351" s="111">
        <f>PRODUCT($AK$5:AK351)</f>
        <v>8.962823818226312E-2</v>
      </c>
      <c r="AM351" s="109">
        <f>1 - [K-M P Value]</f>
        <v>0.91037176181773694</v>
      </c>
      <c r="AN351" s="111" t="str">
        <f>IF(Audit[[#This Row],[K-M P Value]]&gt;1-'General Info'!$B$16,"Continue", "Stop")</f>
        <v>Stop</v>
      </c>
      <c r="AO351" s="110" t="b">
        <f>IF(Audit[[#This Row],[Status - Continue or stop audit]] = "Continue", TRUE, IF(AN350 = "Continue", TRUE, FALSE))</f>
        <v>0</v>
      </c>
      <c r="AP351" s="110"/>
    </row>
    <row r="352" spans="1:42" ht="15" hidden="1" customHeight="1">
      <c r="A352" s="111" t="str">
        <f>'Sampling Data'!W342</f>
        <v/>
      </c>
      <c r="B352" s="112" t="str">
        <f>'Sampling Data'!A342</f>
        <v>CLEVELAND -03-M - ABS</v>
      </c>
      <c r="C352" s="112">
        <f>'Sampling Data'!B342</f>
        <v>0</v>
      </c>
      <c r="D352" s="112">
        <f>'Sampling Data'!C342</f>
        <v>0</v>
      </c>
      <c r="E352" s="113">
        <f>'Sampling Data'!D342</f>
        <v>1</v>
      </c>
      <c r="F352" s="113">
        <f>'Sampling Data'!E342</f>
        <v>0</v>
      </c>
      <c r="G352" s="113">
        <f>'Sampling Data'!F342</f>
        <v>0</v>
      </c>
      <c r="H352" s="113">
        <f>'Sampling Data'!G342</f>
        <v>0</v>
      </c>
      <c r="I352" s="112">
        <f>'Sampling Data'!H342</f>
        <v>0</v>
      </c>
      <c r="J352" s="112">
        <f>'Sampling Data'!I342</f>
        <v>0</v>
      </c>
      <c r="K352" s="112">
        <f>'Sampling Data'!J342</f>
        <v>1</v>
      </c>
      <c r="L352" s="111">
        <f>'Sampling Data'!X342</f>
        <v>0</v>
      </c>
      <c r="M352" s="114"/>
      <c r="N352" s="114"/>
      <c r="O352" s="115"/>
      <c r="P352" s="115"/>
      <c r="Q352" s="116"/>
      <c r="R352" s="116"/>
      <c r="S352" s="111">
        <f>Audit[[#This Row],[Audit Losing Candidate]]-Audit[[#This Row],[Losing Candidate]]</f>
        <v>0</v>
      </c>
      <c r="T352" s="111">
        <f>Audit[[#This Row],[Audit Winning Candidate]]-Audit[[#This Row],[Winning Candidate]]</f>
        <v>0</v>
      </c>
      <c r="U352" s="111">
        <f>Audit[[#This Row],[Audit Candidate 3]]-Audit[[#This Row],[Candidate 3]]</f>
        <v>-1</v>
      </c>
      <c r="V352" s="111">
        <f>Audit[[#This Row],[Audit Candidate 4]]-Audit[[#This Row],[Candidate 4]]</f>
        <v>0</v>
      </c>
      <c r="W352" s="111">
        <f>Audit[[#This Row],[Audit Candidate 5]]-Audit[[#This Row],[Candidate 5]]</f>
        <v>0</v>
      </c>
      <c r="X352" s="111">
        <f>Audit[[#This Row],[Audit Candidate 6]]-Audit[[#This Row],[Candidate 6]]</f>
        <v>0</v>
      </c>
      <c r="Y352" s="111">
        <f>SUMIF(Audit[[#This Row],[Difference Loser]:[Difference Candidate 6]], "&gt;0")</f>
        <v>0</v>
      </c>
      <c r="Z352" s="111">
        <f>SUM(Audit[[#This Row],[Difference Loser]:[Difference Candidate 6]])</f>
        <v>-1</v>
      </c>
      <c r="AA352" s="111">
        <f>IF(Audit[[#This Row],[Times p Drawn - With Replacement]]&gt;0, IF(Audit[[#This Row],[Canceled Differences]]&lt;0, Audit[[#This Row],[Max Differences]]+ABS(Audit[[#This Row],[Canceled Differences]]), Audit[[#This Row],[Max Differences]]), 0)</f>
        <v>0</v>
      </c>
      <c r="AB352" s="111">
        <f>'Sampling Data'!P342</f>
        <v>6.1244487996080352E-5</v>
      </c>
      <c r="AC352" s="111">
        <f>IF(
      SUM(Audit[[#This Row],[Audit Losing Candidate]:[Audit Candidate 6]])
      &lt;&gt;0,
      (Audit[[#This Row],[Winning Candidate]]-Audit[[#This Row],[Losing Candidate]]-(Audit[[#This Row],[Audit Winning Candidate]]-Audit[[#This Row],[Audit Losing Candidate]]))/(Audit[[#Totals],[Winning Candidate]]-Audit[[#Totals],[Losing Candidate]]),
      0
)</f>
        <v>0</v>
      </c>
      <c r="AD3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2" s="111">
        <f>IF(Audit[[#This Row],[Max Relative Error (ep)]] = 0, 0, Audit[[#This Row],[Max Relative Error (ep)]]/Audit[[#This Row],[Error Bound (up) - Max. possible relative overstatement]])</f>
        <v>0</v>
      </c>
      <c r="AJ3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52" s="111">
        <f t="shared" si="5"/>
        <v>1</v>
      </c>
      <c r="AL352" s="111">
        <f>PRODUCT($AK$5:AK352)</f>
        <v>8.962823818226312E-2</v>
      </c>
      <c r="AM352" s="109">
        <f>1 - [K-M P Value]</f>
        <v>0.91037176181773694</v>
      </c>
      <c r="AN352" s="111" t="str">
        <f>IF(Audit[[#This Row],[K-M P Value]]&gt;1-'General Info'!$B$16,"Continue", "Stop")</f>
        <v>Stop</v>
      </c>
      <c r="AO352" s="110" t="b">
        <f>IF(Audit[[#This Row],[Status - Continue or stop audit]] = "Continue", TRUE, IF(AN351 = "Continue", TRUE, FALSE))</f>
        <v>0</v>
      </c>
      <c r="AP352" s="110"/>
    </row>
    <row r="353" spans="1:42" ht="15" hidden="1" customHeight="1">
      <c r="A353" s="111" t="str">
        <f>'Sampling Data'!W343</f>
        <v/>
      </c>
      <c r="B353" s="112" t="str">
        <f>'Sampling Data'!A343</f>
        <v>CLEVELAND -03-N</v>
      </c>
      <c r="C353" s="112">
        <f>'Sampling Data'!B343</f>
        <v>2</v>
      </c>
      <c r="D353" s="112">
        <f>'Sampling Data'!C343</f>
        <v>13</v>
      </c>
      <c r="E353" s="113">
        <f>'Sampling Data'!D343</f>
        <v>3</v>
      </c>
      <c r="F353" s="113">
        <f>'Sampling Data'!E343</f>
        <v>5</v>
      </c>
      <c r="G353" s="113">
        <f>'Sampling Data'!F343</f>
        <v>0</v>
      </c>
      <c r="H353" s="113">
        <f>'Sampling Data'!G343</f>
        <v>0</v>
      </c>
      <c r="I353" s="112">
        <f>'Sampling Data'!H343</f>
        <v>0</v>
      </c>
      <c r="J353" s="112">
        <f>'Sampling Data'!I343</f>
        <v>1</v>
      </c>
      <c r="K353" s="112">
        <f>'Sampling Data'!J343</f>
        <v>24</v>
      </c>
      <c r="L353" s="111">
        <f>'Sampling Data'!X343</f>
        <v>0</v>
      </c>
      <c r="M353" s="114"/>
      <c r="N353" s="114"/>
      <c r="O353" s="115"/>
      <c r="P353" s="115"/>
      <c r="Q353" s="116"/>
      <c r="R353" s="116"/>
      <c r="S353" s="111">
        <f>Audit[[#This Row],[Audit Losing Candidate]]-Audit[[#This Row],[Losing Candidate]]</f>
        <v>-2</v>
      </c>
      <c r="T353" s="111">
        <f>Audit[[#This Row],[Audit Winning Candidate]]-Audit[[#This Row],[Winning Candidate]]</f>
        <v>-13</v>
      </c>
      <c r="U353" s="111">
        <f>Audit[[#This Row],[Audit Candidate 3]]-Audit[[#This Row],[Candidate 3]]</f>
        <v>-3</v>
      </c>
      <c r="V353" s="111">
        <f>Audit[[#This Row],[Audit Candidate 4]]-Audit[[#This Row],[Candidate 4]]</f>
        <v>-5</v>
      </c>
      <c r="W353" s="111">
        <f>Audit[[#This Row],[Audit Candidate 5]]-Audit[[#This Row],[Candidate 5]]</f>
        <v>0</v>
      </c>
      <c r="X353" s="111">
        <f>Audit[[#This Row],[Audit Candidate 6]]-Audit[[#This Row],[Candidate 6]]</f>
        <v>0</v>
      </c>
      <c r="Y353" s="111">
        <f>SUMIF(Audit[[#This Row],[Difference Loser]:[Difference Candidate 6]], "&gt;0")</f>
        <v>0</v>
      </c>
      <c r="Z353" s="111">
        <f>SUM(Audit[[#This Row],[Difference Loser]:[Difference Candidate 6]])</f>
        <v>-23</v>
      </c>
      <c r="AA353" s="111">
        <f>IF(Audit[[#This Row],[Times p Drawn - With Replacement]]&gt;0, IF(Audit[[#This Row],[Canceled Differences]]&lt;0, Audit[[#This Row],[Max Differences]]+ABS(Audit[[#This Row],[Canceled Differences]]), Audit[[#This Row],[Max Differences]]), 0)</f>
        <v>0</v>
      </c>
      <c r="AB353" s="111">
        <f>'Sampling Data'!P343</f>
        <v>2.1435570798628125E-3</v>
      </c>
      <c r="AC353" s="111">
        <f>IF(
      SUM(Audit[[#This Row],[Audit Losing Candidate]:[Audit Candidate 6]])
      &lt;&gt;0,
      (Audit[[#This Row],[Winning Candidate]]-Audit[[#This Row],[Losing Candidate]]-(Audit[[#This Row],[Audit Winning Candidate]]-Audit[[#This Row],[Audit Losing Candidate]]))/(Audit[[#Totals],[Winning Candidate]]-Audit[[#Totals],[Losing Candidate]]),
      0
)</f>
        <v>0</v>
      </c>
      <c r="AD3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3" s="111">
        <f>IF(Audit[[#This Row],[Max Relative Error (ep)]] = 0, 0, Audit[[#This Row],[Max Relative Error (ep)]]/Audit[[#This Row],[Error Bound (up) - Max. possible relative overstatement]])</f>
        <v>0</v>
      </c>
      <c r="AJ3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53" s="111">
        <f t="shared" si="5"/>
        <v>1</v>
      </c>
      <c r="AL353" s="111">
        <f>PRODUCT($AK$5:AK353)</f>
        <v>8.962823818226312E-2</v>
      </c>
      <c r="AM353" s="109">
        <f>1 - [K-M P Value]</f>
        <v>0.91037176181773694</v>
      </c>
      <c r="AN353" s="111" t="str">
        <f>IF(Audit[[#This Row],[K-M P Value]]&gt;1-'General Info'!$B$16,"Continue", "Stop")</f>
        <v>Stop</v>
      </c>
      <c r="AO353" s="110" t="b">
        <f>IF(Audit[[#This Row],[Status - Continue or stop audit]] = "Continue", TRUE, IF(AN352 = "Continue", TRUE, FALSE))</f>
        <v>0</v>
      </c>
      <c r="AP353" s="110"/>
    </row>
    <row r="354" spans="1:42" ht="15" hidden="1" customHeight="1">
      <c r="A354" s="111" t="str">
        <f>'Sampling Data'!W344</f>
        <v/>
      </c>
      <c r="B354" s="112" t="str">
        <f>'Sampling Data'!A344</f>
        <v>CLEVELAND -03-N - ABS</v>
      </c>
      <c r="C354" s="112">
        <f>'Sampling Data'!B344</f>
        <v>3</v>
      </c>
      <c r="D354" s="112">
        <f>'Sampling Data'!C344</f>
        <v>4</v>
      </c>
      <c r="E354" s="113">
        <f>'Sampling Data'!D344</f>
        <v>1</v>
      </c>
      <c r="F354" s="113">
        <f>'Sampling Data'!E344</f>
        <v>1</v>
      </c>
      <c r="G354" s="113">
        <f>'Sampling Data'!F344</f>
        <v>0</v>
      </c>
      <c r="H354" s="113">
        <f>'Sampling Data'!G344</f>
        <v>0</v>
      </c>
      <c r="I354" s="112">
        <f>'Sampling Data'!H344</f>
        <v>0</v>
      </c>
      <c r="J354" s="112">
        <f>'Sampling Data'!I344</f>
        <v>0</v>
      </c>
      <c r="K354" s="112">
        <f>'Sampling Data'!J344</f>
        <v>9</v>
      </c>
      <c r="L354" s="111">
        <f>'Sampling Data'!X344</f>
        <v>0</v>
      </c>
      <c r="M354" s="114"/>
      <c r="N354" s="114"/>
      <c r="O354" s="115"/>
      <c r="P354" s="115"/>
      <c r="Q354" s="116"/>
      <c r="R354" s="116"/>
      <c r="S354" s="111">
        <f>Audit[[#This Row],[Audit Losing Candidate]]-Audit[[#This Row],[Losing Candidate]]</f>
        <v>-3</v>
      </c>
      <c r="T354" s="111">
        <f>Audit[[#This Row],[Audit Winning Candidate]]-Audit[[#This Row],[Winning Candidate]]</f>
        <v>-4</v>
      </c>
      <c r="U354" s="111">
        <f>Audit[[#This Row],[Audit Candidate 3]]-Audit[[#This Row],[Candidate 3]]</f>
        <v>-1</v>
      </c>
      <c r="V354" s="111">
        <f>Audit[[#This Row],[Audit Candidate 4]]-Audit[[#This Row],[Candidate 4]]</f>
        <v>-1</v>
      </c>
      <c r="W354" s="111">
        <f>Audit[[#This Row],[Audit Candidate 5]]-Audit[[#This Row],[Candidate 5]]</f>
        <v>0</v>
      </c>
      <c r="X354" s="111">
        <f>Audit[[#This Row],[Audit Candidate 6]]-Audit[[#This Row],[Candidate 6]]</f>
        <v>0</v>
      </c>
      <c r="Y354" s="111">
        <f>SUMIF(Audit[[#This Row],[Difference Loser]:[Difference Candidate 6]], "&gt;0")</f>
        <v>0</v>
      </c>
      <c r="Z354" s="111">
        <f>SUM(Audit[[#This Row],[Difference Loser]:[Difference Candidate 6]])</f>
        <v>-9</v>
      </c>
      <c r="AA354" s="111">
        <f>IF(Audit[[#This Row],[Times p Drawn - With Replacement]]&gt;0, IF(Audit[[#This Row],[Canceled Differences]]&lt;0, Audit[[#This Row],[Max Differences]]+ABS(Audit[[#This Row],[Canceled Differences]]), Audit[[#This Row],[Max Differences]]), 0)</f>
        <v>0</v>
      </c>
      <c r="AB354" s="111">
        <f>'Sampling Data'!P344</f>
        <v>6.1244487996080352E-4</v>
      </c>
      <c r="AC354" s="111">
        <f>IF(
      SUM(Audit[[#This Row],[Audit Losing Candidate]:[Audit Candidate 6]])
      &lt;&gt;0,
      (Audit[[#This Row],[Winning Candidate]]-Audit[[#This Row],[Losing Candidate]]-(Audit[[#This Row],[Audit Winning Candidate]]-Audit[[#This Row],[Audit Losing Candidate]]))/(Audit[[#Totals],[Winning Candidate]]-Audit[[#Totals],[Losing Candidate]]),
      0
)</f>
        <v>0</v>
      </c>
      <c r="AD3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4" s="111">
        <f>IF(Audit[[#This Row],[Max Relative Error (ep)]] = 0, 0, Audit[[#This Row],[Max Relative Error (ep)]]/Audit[[#This Row],[Error Bound (up) - Max. possible relative overstatement]])</f>
        <v>0</v>
      </c>
      <c r="AJ3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54" s="111">
        <f t="shared" si="5"/>
        <v>1</v>
      </c>
      <c r="AL354" s="111">
        <f>PRODUCT($AK$5:AK354)</f>
        <v>8.962823818226312E-2</v>
      </c>
      <c r="AM354" s="109">
        <f>1 - [K-M P Value]</f>
        <v>0.91037176181773694</v>
      </c>
      <c r="AN354" s="111" t="str">
        <f>IF(Audit[[#This Row],[K-M P Value]]&gt;1-'General Info'!$B$16,"Continue", "Stop")</f>
        <v>Stop</v>
      </c>
      <c r="AO354" s="110" t="b">
        <f>IF(Audit[[#This Row],[Status - Continue or stop audit]] = "Continue", TRUE, IF(AN353 = "Continue", TRUE, FALSE))</f>
        <v>0</v>
      </c>
      <c r="AP354" s="110"/>
    </row>
    <row r="355" spans="1:42" ht="15" hidden="1" customHeight="1">
      <c r="A355" s="111" t="str">
        <f>'Sampling Data'!W345</f>
        <v/>
      </c>
      <c r="B355" s="112" t="str">
        <f>'Sampling Data'!A345</f>
        <v>CLEVELAND -03-O</v>
      </c>
      <c r="C355" s="112">
        <f>'Sampling Data'!B345</f>
        <v>5</v>
      </c>
      <c r="D355" s="112">
        <f>'Sampling Data'!C345</f>
        <v>15</v>
      </c>
      <c r="E355" s="113">
        <f>'Sampling Data'!D345</f>
        <v>2</v>
      </c>
      <c r="F355" s="113">
        <f>'Sampling Data'!E345</f>
        <v>6</v>
      </c>
      <c r="G355" s="113">
        <f>'Sampling Data'!F345</f>
        <v>0</v>
      </c>
      <c r="H355" s="113">
        <f>'Sampling Data'!G345</f>
        <v>0</v>
      </c>
      <c r="I355" s="112">
        <f>'Sampling Data'!H345</f>
        <v>0</v>
      </c>
      <c r="J355" s="112">
        <f>'Sampling Data'!I345</f>
        <v>0</v>
      </c>
      <c r="K355" s="112">
        <f>'Sampling Data'!J345</f>
        <v>28</v>
      </c>
      <c r="L355" s="111">
        <f>'Sampling Data'!X345</f>
        <v>0</v>
      </c>
      <c r="M355" s="114"/>
      <c r="N355" s="114"/>
      <c r="O355" s="115"/>
      <c r="P355" s="115"/>
      <c r="Q355" s="116"/>
      <c r="R355" s="116"/>
      <c r="S355" s="111">
        <f>Audit[[#This Row],[Audit Losing Candidate]]-Audit[[#This Row],[Losing Candidate]]</f>
        <v>-5</v>
      </c>
      <c r="T355" s="111">
        <f>Audit[[#This Row],[Audit Winning Candidate]]-Audit[[#This Row],[Winning Candidate]]</f>
        <v>-15</v>
      </c>
      <c r="U355" s="111">
        <f>Audit[[#This Row],[Audit Candidate 3]]-Audit[[#This Row],[Candidate 3]]</f>
        <v>-2</v>
      </c>
      <c r="V355" s="111">
        <f>Audit[[#This Row],[Audit Candidate 4]]-Audit[[#This Row],[Candidate 4]]</f>
        <v>-6</v>
      </c>
      <c r="W355" s="111">
        <f>Audit[[#This Row],[Audit Candidate 5]]-Audit[[#This Row],[Candidate 5]]</f>
        <v>0</v>
      </c>
      <c r="X355" s="111">
        <f>Audit[[#This Row],[Audit Candidate 6]]-Audit[[#This Row],[Candidate 6]]</f>
        <v>0</v>
      </c>
      <c r="Y355" s="111">
        <f>SUMIF(Audit[[#This Row],[Difference Loser]:[Difference Candidate 6]], "&gt;0")</f>
        <v>0</v>
      </c>
      <c r="Z355" s="111">
        <f>SUM(Audit[[#This Row],[Difference Loser]:[Difference Candidate 6]])</f>
        <v>-28</v>
      </c>
      <c r="AA355" s="111">
        <f>IF(Audit[[#This Row],[Times p Drawn - With Replacement]]&gt;0, IF(Audit[[#This Row],[Canceled Differences]]&lt;0, Audit[[#This Row],[Max Differences]]+ABS(Audit[[#This Row],[Canceled Differences]]), Audit[[#This Row],[Max Differences]]), 0)</f>
        <v>0</v>
      </c>
      <c r="AB355" s="111">
        <f>'Sampling Data'!P345</f>
        <v>2.3272905438510533E-3</v>
      </c>
      <c r="AC355" s="111">
        <f>IF(
      SUM(Audit[[#This Row],[Audit Losing Candidate]:[Audit Candidate 6]])
      &lt;&gt;0,
      (Audit[[#This Row],[Winning Candidate]]-Audit[[#This Row],[Losing Candidate]]-(Audit[[#This Row],[Audit Winning Candidate]]-Audit[[#This Row],[Audit Losing Candidate]]))/(Audit[[#Totals],[Winning Candidate]]-Audit[[#Totals],[Losing Candidate]]),
      0
)</f>
        <v>0</v>
      </c>
      <c r="AD3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5" s="111">
        <f>IF(Audit[[#This Row],[Max Relative Error (ep)]] = 0, 0, Audit[[#This Row],[Max Relative Error (ep)]]/Audit[[#This Row],[Error Bound (up) - Max. possible relative overstatement]])</f>
        <v>0</v>
      </c>
      <c r="AJ3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55" s="111">
        <f t="shared" si="5"/>
        <v>1</v>
      </c>
      <c r="AL355" s="111">
        <f>PRODUCT($AK$5:AK355)</f>
        <v>8.962823818226312E-2</v>
      </c>
      <c r="AM355" s="109">
        <f>1 - [K-M P Value]</f>
        <v>0.91037176181773694</v>
      </c>
      <c r="AN355" s="111" t="str">
        <f>IF(Audit[[#This Row],[K-M P Value]]&gt;1-'General Info'!$B$16,"Continue", "Stop")</f>
        <v>Stop</v>
      </c>
      <c r="AO355" s="110" t="b">
        <f>IF(Audit[[#This Row],[Status - Continue or stop audit]] = "Continue", TRUE, IF(AN354 = "Continue", TRUE, FALSE))</f>
        <v>0</v>
      </c>
      <c r="AP355" s="110"/>
    </row>
    <row r="356" spans="1:42" ht="15" hidden="1" customHeight="1">
      <c r="A356" s="111" t="str">
        <f>'Sampling Data'!W346</f>
        <v/>
      </c>
      <c r="B356" s="112" t="str">
        <f>'Sampling Data'!A346</f>
        <v>CLEVELAND -03-O - ABS</v>
      </c>
      <c r="C356" s="112">
        <f>'Sampling Data'!B346</f>
        <v>1</v>
      </c>
      <c r="D356" s="112">
        <f>'Sampling Data'!C346</f>
        <v>4</v>
      </c>
      <c r="E356" s="113">
        <f>'Sampling Data'!D346</f>
        <v>0</v>
      </c>
      <c r="F356" s="113">
        <f>'Sampling Data'!E346</f>
        <v>2</v>
      </c>
      <c r="G356" s="113">
        <f>'Sampling Data'!F346</f>
        <v>0</v>
      </c>
      <c r="H356" s="113">
        <f>'Sampling Data'!G346</f>
        <v>0</v>
      </c>
      <c r="I356" s="112">
        <f>'Sampling Data'!H346</f>
        <v>0</v>
      </c>
      <c r="J356" s="112">
        <f>'Sampling Data'!I346</f>
        <v>0</v>
      </c>
      <c r="K356" s="112">
        <f>'Sampling Data'!J346</f>
        <v>7</v>
      </c>
      <c r="L356" s="111">
        <f>'Sampling Data'!X346</f>
        <v>0</v>
      </c>
      <c r="M356" s="114"/>
      <c r="N356" s="114"/>
      <c r="O356" s="115"/>
      <c r="P356" s="115"/>
      <c r="Q356" s="116"/>
      <c r="R356" s="116"/>
      <c r="S356" s="111">
        <f>Audit[[#This Row],[Audit Losing Candidate]]-Audit[[#This Row],[Losing Candidate]]</f>
        <v>-1</v>
      </c>
      <c r="T356" s="111">
        <f>Audit[[#This Row],[Audit Winning Candidate]]-Audit[[#This Row],[Winning Candidate]]</f>
        <v>-4</v>
      </c>
      <c r="U356" s="111">
        <f>Audit[[#This Row],[Audit Candidate 3]]-Audit[[#This Row],[Candidate 3]]</f>
        <v>0</v>
      </c>
      <c r="V356" s="111">
        <f>Audit[[#This Row],[Audit Candidate 4]]-Audit[[#This Row],[Candidate 4]]</f>
        <v>-2</v>
      </c>
      <c r="W356" s="111">
        <f>Audit[[#This Row],[Audit Candidate 5]]-Audit[[#This Row],[Candidate 5]]</f>
        <v>0</v>
      </c>
      <c r="X356" s="111">
        <f>Audit[[#This Row],[Audit Candidate 6]]-Audit[[#This Row],[Candidate 6]]</f>
        <v>0</v>
      </c>
      <c r="Y356" s="111">
        <f>SUMIF(Audit[[#This Row],[Difference Loser]:[Difference Candidate 6]], "&gt;0")</f>
        <v>0</v>
      </c>
      <c r="Z356" s="111">
        <f>SUM(Audit[[#This Row],[Difference Loser]:[Difference Candidate 6]])</f>
        <v>-7</v>
      </c>
      <c r="AA356" s="111">
        <f>IF(Audit[[#This Row],[Times p Drawn - With Replacement]]&gt;0, IF(Audit[[#This Row],[Canceled Differences]]&lt;0, Audit[[#This Row],[Max Differences]]+ABS(Audit[[#This Row],[Canceled Differences]]), Audit[[#This Row],[Max Differences]]), 0)</f>
        <v>0</v>
      </c>
      <c r="AB356" s="111">
        <f>'Sampling Data'!P346</f>
        <v>6.1244487996080352E-4</v>
      </c>
      <c r="AC356" s="111">
        <f>IF(
      SUM(Audit[[#This Row],[Audit Losing Candidate]:[Audit Candidate 6]])
      &lt;&gt;0,
      (Audit[[#This Row],[Winning Candidate]]-Audit[[#This Row],[Losing Candidate]]-(Audit[[#This Row],[Audit Winning Candidate]]-Audit[[#This Row],[Audit Losing Candidate]]))/(Audit[[#Totals],[Winning Candidate]]-Audit[[#Totals],[Losing Candidate]]),
      0
)</f>
        <v>0</v>
      </c>
      <c r="AD3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6" s="111">
        <f>IF(Audit[[#This Row],[Max Relative Error (ep)]] = 0, 0, Audit[[#This Row],[Max Relative Error (ep)]]/Audit[[#This Row],[Error Bound (up) - Max. possible relative overstatement]])</f>
        <v>0</v>
      </c>
      <c r="AJ3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56" s="111">
        <f t="shared" si="5"/>
        <v>1</v>
      </c>
      <c r="AL356" s="111">
        <f>PRODUCT($AK$5:AK356)</f>
        <v>8.962823818226312E-2</v>
      </c>
      <c r="AM356" s="109">
        <f>1 - [K-M P Value]</f>
        <v>0.91037176181773694</v>
      </c>
      <c r="AN356" s="111" t="str">
        <f>IF(Audit[[#This Row],[K-M P Value]]&gt;1-'General Info'!$B$16,"Continue", "Stop")</f>
        <v>Stop</v>
      </c>
      <c r="AO356" s="110" t="b">
        <f>IF(Audit[[#This Row],[Status - Continue or stop audit]] = "Continue", TRUE, IF(AN355 = "Continue", TRUE, FALSE))</f>
        <v>0</v>
      </c>
      <c r="AP356" s="110"/>
    </row>
    <row r="357" spans="1:42" ht="15" hidden="1" customHeight="1">
      <c r="A357" s="111" t="str">
        <f>'Sampling Data'!W347</f>
        <v/>
      </c>
      <c r="B357" s="112" t="str">
        <f>'Sampling Data'!A347</f>
        <v>CLEVELAND -03-P</v>
      </c>
      <c r="C357" s="112">
        <f>'Sampling Data'!B347</f>
        <v>7</v>
      </c>
      <c r="D357" s="112">
        <f>'Sampling Data'!C347</f>
        <v>4</v>
      </c>
      <c r="E357" s="113">
        <f>'Sampling Data'!D347</f>
        <v>0</v>
      </c>
      <c r="F357" s="113">
        <f>'Sampling Data'!E347</f>
        <v>1</v>
      </c>
      <c r="G357" s="113">
        <f>'Sampling Data'!F347</f>
        <v>0</v>
      </c>
      <c r="H357" s="113">
        <f>'Sampling Data'!G347</f>
        <v>0</v>
      </c>
      <c r="I357" s="112">
        <f>'Sampling Data'!H347</f>
        <v>0</v>
      </c>
      <c r="J357" s="112">
        <f>'Sampling Data'!I347</f>
        <v>0</v>
      </c>
      <c r="K357" s="112">
        <f>'Sampling Data'!J347</f>
        <v>12</v>
      </c>
      <c r="L357" s="111">
        <f>'Sampling Data'!X347</f>
        <v>0</v>
      </c>
      <c r="M357" s="114"/>
      <c r="N357" s="114"/>
      <c r="O357" s="115"/>
      <c r="P357" s="115"/>
      <c r="Q357" s="116"/>
      <c r="R357" s="116"/>
      <c r="S357" s="111">
        <f>Audit[[#This Row],[Audit Losing Candidate]]-Audit[[#This Row],[Losing Candidate]]</f>
        <v>-7</v>
      </c>
      <c r="T357" s="111">
        <f>Audit[[#This Row],[Audit Winning Candidate]]-Audit[[#This Row],[Winning Candidate]]</f>
        <v>-4</v>
      </c>
      <c r="U357" s="111">
        <f>Audit[[#This Row],[Audit Candidate 3]]-Audit[[#This Row],[Candidate 3]]</f>
        <v>0</v>
      </c>
      <c r="V357" s="111">
        <f>Audit[[#This Row],[Audit Candidate 4]]-Audit[[#This Row],[Candidate 4]]</f>
        <v>-1</v>
      </c>
      <c r="W357" s="111">
        <f>Audit[[#This Row],[Audit Candidate 5]]-Audit[[#This Row],[Candidate 5]]</f>
        <v>0</v>
      </c>
      <c r="X357" s="111">
        <f>Audit[[#This Row],[Audit Candidate 6]]-Audit[[#This Row],[Candidate 6]]</f>
        <v>0</v>
      </c>
      <c r="Y357" s="111">
        <f>SUMIF(Audit[[#This Row],[Difference Loser]:[Difference Candidate 6]], "&gt;0")</f>
        <v>0</v>
      </c>
      <c r="Z357" s="111">
        <f>SUM(Audit[[#This Row],[Difference Loser]:[Difference Candidate 6]])</f>
        <v>-12</v>
      </c>
      <c r="AA357" s="111">
        <f>IF(Audit[[#This Row],[Times p Drawn - With Replacement]]&gt;0, IF(Audit[[#This Row],[Canceled Differences]]&lt;0, Audit[[#This Row],[Max Differences]]+ABS(Audit[[#This Row],[Canceled Differences]]), Audit[[#This Row],[Max Differences]]), 0)</f>
        <v>0</v>
      </c>
      <c r="AB357" s="111">
        <f>'Sampling Data'!P347</f>
        <v>5.5120039196472322E-4</v>
      </c>
      <c r="AC357" s="111">
        <f>IF(
      SUM(Audit[[#This Row],[Audit Losing Candidate]:[Audit Candidate 6]])
      &lt;&gt;0,
      (Audit[[#This Row],[Winning Candidate]]-Audit[[#This Row],[Losing Candidate]]-(Audit[[#This Row],[Audit Winning Candidate]]-Audit[[#This Row],[Audit Losing Candidate]]))/(Audit[[#Totals],[Winning Candidate]]-Audit[[#Totals],[Losing Candidate]]),
      0
)</f>
        <v>0</v>
      </c>
      <c r="AD3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7" s="111">
        <f>IF(Audit[[#This Row],[Max Relative Error (ep)]] = 0, 0, Audit[[#This Row],[Max Relative Error (ep)]]/Audit[[#This Row],[Error Bound (up) - Max. possible relative overstatement]])</f>
        <v>0</v>
      </c>
      <c r="AJ3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57" s="111">
        <f t="shared" si="5"/>
        <v>1</v>
      </c>
      <c r="AL357" s="111">
        <f>PRODUCT($AK$5:AK357)</f>
        <v>8.962823818226312E-2</v>
      </c>
      <c r="AM357" s="109">
        <f>1 - [K-M P Value]</f>
        <v>0.91037176181773694</v>
      </c>
      <c r="AN357" s="111" t="str">
        <f>IF(Audit[[#This Row],[K-M P Value]]&gt;1-'General Info'!$B$16,"Continue", "Stop")</f>
        <v>Stop</v>
      </c>
      <c r="AO357" s="110" t="b">
        <f>IF(Audit[[#This Row],[Status - Continue or stop audit]] = "Continue", TRUE, IF(AN356 = "Continue", TRUE, FALSE))</f>
        <v>0</v>
      </c>
      <c r="AP357" s="110"/>
    </row>
    <row r="358" spans="1:42" ht="15" hidden="1" customHeight="1">
      <c r="A358" s="111" t="str">
        <f>'Sampling Data'!W348</f>
        <v/>
      </c>
      <c r="B358" s="112" t="str">
        <f>'Sampling Data'!A348</f>
        <v>CLEVELAND -03-P - ABS</v>
      </c>
      <c r="C358" s="112">
        <f>'Sampling Data'!B348</f>
        <v>0</v>
      </c>
      <c r="D358" s="112">
        <f>'Sampling Data'!C348</f>
        <v>1</v>
      </c>
      <c r="E358" s="113">
        <f>'Sampling Data'!D348</f>
        <v>0</v>
      </c>
      <c r="F358" s="113">
        <f>'Sampling Data'!E348</f>
        <v>3</v>
      </c>
      <c r="G358" s="113">
        <f>'Sampling Data'!F348</f>
        <v>0</v>
      </c>
      <c r="H358" s="113">
        <f>'Sampling Data'!G348</f>
        <v>0</v>
      </c>
      <c r="I358" s="112">
        <f>'Sampling Data'!H348</f>
        <v>0</v>
      </c>
      <c r="J358" s="112">
        <f>'Sampling Data'!I348</f>
        <v>0</v>
      </c>
      <c r="K358" s="112">
        <f>'Sampling Data'!J348</f>
        <v>4</v>
      </c>
      <c r="L358" s="111">
        <f>'Sampling Data'!X348</f>
        <v>0</v>
      </c>
      <c r="M358" s="114"/>
      <c r="N358" s="114"/>
      <c r="O358" s="115"/>
      <c r="P358" s="115"/>
      <c r="Q358" s="116"/>
      <c r="R358" s="116"/>
      <c r="S358" s="111">
        <f>Audit[[#This Row],[Audit Losing Candidate]]-Audit[[#This Row],[Losing Candidate]]</f>
        <v>0</v>
      </c>
      <c r="T358" s="111">
        <f>Audit[[#This Row],[Audit Winning Candidate]]-Audit[[#This Row],[Winning Candidate]]</f>
        <v>-1</v>
      </c>
      <c r="U358" s="111">
        <f>Audit[[#This Row],[Audit Candidate 3]]-Audit[[#This Row],[Candidate 3]]</f>
        <v>0</v>
      </c>
      <c r="V358" s="111">
        <f>Audit[[#This Row],[Audit Candidate 4]]-Audit[[#This Row],[Candidate 4]]</f>
        <v>-3</v>
      </c>
      <c r="W358" s="111">
        <f>Audit[[#This Row],[Audit Candidate 5]]-Audit[[#This Row],[Candidate 5]]</f>
        <v>0</v>
      </c>
      <c r="X358" s="111">
        <f>Audit[[#This Row],[Audit Candidate 6]]-Audit[[#This Row],[Candidate 6]]</f>
        <v>0</v>
      </c>
      <c r="Y358" s="111">
        <f>SUMIF(Audit[[#This Row],[Difference Loser]:[Difference Candidate 6]], "&gt;0")</f>
        <v>0</v>
      </c>
      <c r="Z358" s="111">
        <f>SUM(Audit[[#This Row],[Difference Loser]:[Difference Candidate 6]])</f>
        <v>-4</v>
      </c>
      <c r="AA358" s="111">
        <f>IF(Audit[[#This Row],[Times p Drawn - With Replacement]]&gt;0, IF(Audit[[#This Row],[Canceled Differences]]&lt;0, Audit[[#This Row],[Max Differences]]+ABS(Audit[[#This Row],[Canceled Differences]]), Audit[[#This Row],[Max Differences]]), 0)</f>
        <v>0</v>
      </c>
      <c r="AB358" s="111">
        <f>'Sampling Data'!P348</f>
        <v>3.0622243998040176E-4</v>
      </c>
      <c r="AC358" s="111">
        <f>IF(
      SUM(Audit[[#This Row],[Audit Losing Candidate]:[Audit Candidate 6]])
      &lt;&gt;0,
      (Audit[[#This Row],[Winning Candidate]]-Audit[[#This Row],[Losing Candidate]]-(Audit[[#This Row],[Audit Winning Candidate]]-Audit[[#This Row],[Audit Losing Candidate]]))/(Audit[[#Totals],[Winning Candidate]]-Audit[[#Totals],[Losing Candidate]]),
      0
)</f>
        <v>0</v>
      </c>
      <c r="AD3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8" s="111">
        <f>IF(Audit[[#This Row],[Max Relative Error (ep)]] = 0, 0, Audit[[#This Row],[Max Relative Error (ep)]]/Audit[[#This Row],[Error Bound (up) - Max. possible relative overstatement]])</f>
        <v>0</v>
      </c>
      <c r="AJ3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58" s="111">
        <f t="shared" si="5"/>
        <v>1</v>
      </c>
      <c r="AL358" s="111">
        <f>PRODUCT($AK$5:AK358)</f>
        <v>8.962823818226312E-2</v>
      </c>
      <c r="AM358" s="109">
        <f>1 - [K-M P Value]</f>
        <v>0.91037176181773694</v>
      </c>
      <c r="AN358" s="111" t="str">
        <f>IF(Audit[[#This Row],[K-M P Value]]&gt;1-'General Info'!$B$16,"Continue", "Stop")</f>
        <v>Stop</v>
      </c>
      <c r="AO358" s="110" t="b">
        <f>IF(Audit[[#This Row],[Status - Continue or stop audit]] = "Continue", TRUE, IF(AN357 = "Continue", TRUE, FALSE))</f>
        <v>0</v>
      </c>
      <c r="AP358" s="110"/>
    </row>
    <row r="359" spans="1:42" ht="15" hidden="1" customHeight="1">
      <c r="A359" s="111" t="str">
        <f>'Sampling Data'!W349</f>
        <v/>
      </c>
      <c r="B359" s="112" t="str">
        <f>'Sampling Data'!A349</f>
        <v>CLEVELAND -03-Q</v>
      </c>
      <c r="C359" s="112">
        <f>'Sampling Data'!B349</f>
        <v>1</v>
      </c>
      <c r="D359" s="112">
        <f>'Sampling Data'!C349</f>
        <v>1</v>
      </c>
      <c r="E359" s="113">
        <f>'Sampling Data'!D349</f>
        <v>0</v>
      </c>
      <c r="F359" s="113">
        <f>'Sampling Data'!E349</f>
        <v>0</v>
      </c>
      <c r="G359" s="113">
        <f>'Sampling Data'!F349</f>
        <v>0</v>
      </c>
      <c r="H359" s="113">
        <f>'Sampling Data'!G349</f>
        <v>0</v>
      </c>
      <c r="I359" s="112">
        <f>'Sampling Data'!H349</f>
        <v>0</v>
      </c>
      <c r="J359" s="112">
        <f>'Sampling Data'!I349</f>
        <v>0</v>
      </c>
      <c r="K359" s="112">
        <f>'Sampling Data'!J349</f>
        <v>2</v>
      </c>
      <c r="L359" s="111">
        <f>'Sampling Data'!X349</f>
        <v>0</v>
      </c>
      <c r="M359" s="114"/>
      <c r="N359" s="114"/>
      <c r="O359" s="115"/>
      <c r="P359" s="115"/>
      <c r="Q359" s="116"/>
      <c r="R359" s="116"/>
      <c r="S359" s="111">
        <f>Audit[[#This Row],[Audit Losing Candidate]]-Audit[[#This Row],[Losing Candidate]]</f>
        <v>-1</v>
      </c>
      <c r="T359" s="111">
        <f>Audit[[#This Row],[Audit Winning Candidate]]-Audit[[#This Row],[Winning Candidate]]</f>
        <v>-1</v>
      </c>
      <c r="U359" s="111">
        <f>Audit[[#This Row],[Audit Candidate 3]]-Audit[[#This Row],[Candidate 3]]</f>
        <v>0</v>
      </c>
      <c r="V359" s="111">
        <f>Audit[[#This Row],[Audit Candidate 4]]-Audit[[#This Row],[Candidate 4]]</f>
        <v>0</v>
      </c>
      <c r="W359" s="111">
        <f>Audit[[#This Row],[Audit Candidate 5]]-Audit[[#This Row],[Candidate 5]]</f>
        <v>0</v>
      </c>
      <c r="X359" s="111">
        <f>Audit[[#This Row],[Audit Candidate 6]]-Audit[[#This Row],[Candidate 6]]</f>
        <v>0</v>
      </c>
      <c r="Y359" s="111">
        <f>SUMIF(Audit[[#This Row],[Difference Loser]:[Difference Candidate 6]], "&gt;0")</f>
        <v>0</v>
      </c>
      <c r="Z359" s="111">
        <f>SUM(Audit[[#This Row],[Difference Loser]:[Difference Candidate 6]])</f>
        <v>-2</v>
      </c>
      <c r="AA359" s="111">
        <f>IF(Audit[[#This Row],[Times p Drawn - With Replacement]]&gt;0, IF(Audit[[#This Row],[Canceled Differences]]&lt;0, Audit[[#This Row],[Max Differences]]+ABS(Audit[[#This Row],[Canceled Differences]]), Audit[[#This Row],[Max Differences]]), 0)</f>
        <v>0</v>
      </c>
      <c r="AB359" s="111">
        <f>'Sampling Data'!P349</f>
        <v>1.224889759921607E-4</v>
      </c>
      <c r="AC359" s="111">
        <f>IF(
      SUM(Audit[[#This Row],[Audit Losing Candidate]:[Audit Candidate 6]])
      &lt;&gt;0,
      (Audit[[#This Row],[Winning Candidate]]-Audit[[#This Row],[Losing Candidate]]-(Audit[[#This Row],[Audit Winning Candidate]]-Audit[[#This Row],[Audit Losing Candidate]]))/(Audit[[#Totals],[Winning Candidate]]-Audit[[#Totals],[Losing Candidate]]),
      0
)</f>
        <v>0</v>
      </c>
      <c r="AD3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9" s="111">
        <f>IF(Audit[[#This Row],[Max Relative Error (ep)]] = 0, 0, Audit[[#This Row],[Max Relative Error (ep)]]/Audit[[#This Row],[Error Bound (up) - Max. possible relative overstatement]])</f>
        <v>0</v>
      </c>
      <c r="AJ3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59" s="111">
        <f t="shared" si="5"/>
        <v>1</v>
      </c>
      <c r="AL359" s="111">
        <f>PRODUCT($AK$5:AK359)</f>
        <v>8.962823818226312E-2</v>
      </c>
      <c r="AM359" s="109">
        <f>1 - [K-M P Value]</f>
        <v>0.91037176181773694</v>
      </c>
      <c r="AN359" s="111" t="str">
        <f>IF(Audit[[#This Row],[K-M P Value]]&gt;1-'General Info'!$B$16,"Continue", "Stop")</f>
        <v>Stop</v>
      </c>
      <c r="AO359" s="110" t="b">
        <f>IF(Audit[[#This Row],[Status - Continue or stop audit]] = "Continue", TRUE, IF(AN358 = "Continue", TRUE, FALSE))</f>
        <v>0</v>
      </c>
      <c r="AP359" s="110"/>
    </row>
    <row r="360" spans="1:42" ht="15" hidden="1" customHeight="1">
      <c r="A360" s="111" t="str">
        <f>'Sampling Data'!W350</f>
        <v/>
      </c>
      <c r="B360" s="112" t="str">
        <f>'Sampling Data'!A350</f>
        <v>CLEVELAND -03-Q - ABS</v>
      </c>
      <c r="C360" s="112">
        <f>'Sampling Data'!B350</f>
        <v>2</v>
      </c>
      <c r="D360" s="112">
        <f>'Sampling Data'!C350</f>
        <v>1</v>
      </c>
      <c r="E360" s="113">
        <f>'Sampling Data'!D350</f>
        <v>2</v>
      </c>
      <c r="F360" s="113">
        <f>'Sampling Data'!E350</f>
        <v>0</v>
      </c>
      <c r="G360" s="113">
        <f>'Sampling Data'!F350</f>
        <v>0</v>
      </c>
      <c r="H360" s="113">
        <f>'Sampling Data'!G350</f>
        <v>0</v>
      </c>
      <c r="I360" s="112">
        <f>'Sampling Data'!H350</f>
        <v>0</v>
      </c>
      <c r="J360" s="112">
        <f>'Sampling Data'!I350</f>
        <v>0</v>
      </c>
      <c r="K360" s="112">
        <f>'Sampling Data'!J350</f>
        <v>5</v>
      </c>
      <c r="L360" s="111">
        <f>'Sampling Data'!X350</f>
        <v>0</v>
      </c>
      <c r="M360" s="114"/>
      <c r="N360" s="114"/>
      <c r="O360" s="115"/>
      <c r="P360" s="115"/>
      <c r="Q360" s="116"/>
      <c r="R360" s="116"/>
      <c r="S360" s="111">
        <f>Audit[[#This Row],[Audit Losing Candidate]]-Audit[[#This Row],[Losing Candidate]]</f>
        <v>-2</v>
      </c>
      <c r="T360" s="111">
        <f>Audit[[#This Row],[Audit Winning Candidate]]-Audit[[#This Row],[Winning Candidate]]</f>
        <v>-1</v>
      </c>
      <c r="U360" s="111">
        <f>Audit[[#This Row],[Audit Candidate 3]]-Audit[[#This Row],[Candidate 3]]</f>
        <v>-2</v>
      </c>
      <c r="V360" s="111">
        <f>Audit[[#This Row],[Audit Candidate 4]]-Audit[[#This Row],[Candidate 4]]</f>
        <v>0</v>
      </c>
      <c r="W360" s="111">
        <f>Audit[[#This Row],[Audit Candidate 5]]-Audit[[#This Row],[Candidate 5]]</f>
        <v>0</v>
      </c>
      <c r="X360" s="111">
        <f>Audit[[#This Row],[Audit Candidate 6]]-Audit[[#This Row],[Candidate 6]]</f>
        <v>0</v>
      </c>
      <c r="Y360" s="111">
        <f>SUMIF(Audit[[#This Row],[Difference Loser]:[Difference Candidate 6]], "&gt;0")</f>
        <v>0</v>
      </c>
      <c r="Z360" s="111">
        <f>SUM(Audit[[#This Row],[Difference Loser]:[Difference Candidate 6]])</f>
        <v>-5</v>
      </c>
      <c r="AA360" s="111">
        <f>IF(Audit[[#This Row],[Times p Drawn - With Replacement]]&gt;0, IF(Audit[[#This Row],[Canceled Differences]]&lt;0, Audit[[#This Row],[Max Differences]]+ABS(Audit[[#This Row],[Canceled Differences]]), Audit[[#This Row],[Max Differences]]), 0)</f>
        <v>0</v>
      </c>
      <c r="AB360" s="111">
        <f>'Sampling Data'!P350</f>
        <v>2.4497795198432141E-4</v>
      </c>
      <c r="AC360" s="111">
        <f>IF(
      SUM(Audit[[#This Row],[Audit Losing Candidate]:[Audit Candidate 6]])
      &lt;&gt;0,
      (Audit[[#This Row],[Winning Candidate]]-Audit[[#This Row],[Losing Candidate]]-(Audit[[#This Row],[Audit Winning Candidate]]-Audit[[#This Row],[Audit Losing Candidate]]))/(Audit[[#Totals],[Winning Candidate]]-Audit[[#Totals],[Losing Candidate]]),
      0
)</f>
        <v>0</v>
      </c>
      <c r="AD3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0" s="111">
        <f>IF(Audit[[#This Row],[Max Relative Error (ep)]] = 0, 0, Audit[[#This Row],[Max Relative Error (ep)]]/Audit[[#This Row],[Error Bound (up) - Max. possible relative overstatement]])</f>
        <v>0</v>
      </c>
      <c r="AJ3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60" s="111">
        <f t="shared" si="5"/>
        <v>1</v>
      </c>
      <c r="AL360" s="111">
        <f>PRODUCT($AK$5:AK360)</f>
        <v>8.962823818226312E-2</v>
      </c>
      <c r="AM360" s="109">
        <f>1 - [K-M P Value]</f>
        <v>0.91037176181773694</v>
      </c>
      <c r="AN360" s="111" t="str">
        <f>IF(Audit[[#This Row],[K-M P Value]]&gt;1-'General Info'!$B$16,"Continue", "Stop")</f>
        <v>Stop</v>
      </c>
      <c r="AO360" s="110" t="b">
        <f>IF(Audit[[#This Row],[Status - Continue or stop audit]] = "Continue", TRUE, IF(AN359 = "Continue", TRUE, FALSE))</f>
        <v>0</v>
      </c>
      <c r="AP360" s="110"/>
    </row>
    <row r="361" spans="1:42" ht="15" hidden="1" customHeight="1">
      <c r="A361" s="111" t="str">
        <f>'Sampling Data'!W351</f>
        <v/>
      </c>
      <c r="B361" s="112" t="str">
        <f>'Sampling Data'!A351</f>
        <v>CLEVELAND -03-Q.02</v>
      </c>
      <c r="C361" s="112">
        <f>'Sampling Data'!B351</f>
        <v>0</v>
      </c>
      <c r="D361" s="112">
        <f>'Sampling Data'!C351</f>
        <v>1</v>
      </c>
      <c r="E361" s="113">
        <f>'Sampling Data'!D351</f>
        <v>0</v>
      </c>
      <c r="F361" s="113">
        <f>'Sampling Data'!E351</f>
        <v>0</v>
      </c>
      <c r="G361" s="113">
        <f>'Sampling Data'!F351</f>
        <v>0</v>
      </c>
      <c r="H361" s="113">
        <f>'Sampling Data'!G351</f>
        <v>0</v>
      </c>
      <c r="I361" s="112">
        <f>'Sampling Data'!H351</f>
        <v>0</v>
      </c>
      <c r="J361" s="112">
        <f>'Sampling Data'!I351</f>
        <v>0</v>
      </c>
      <c r="K361" s="112">
        <f>'Sampling Data'!J351</f>
        <v>1</v>
      </c>
      <c r="L361" s="111">
        <f>'Sampling Data'!X351</f>
        <v>0</v>
      </c>
      <c r="M361" s="114"/>
      <c r="N361" s="114"/>
      <c r="O361" s="115"/>
      <c r="P361" s="115"/>
      <c r="Q361" s="116"/>
      <c r="R361" s="116"/>
      <c r="S361" s="111">
        <f>Audit[[#This Row],[Audit Losing Candidate]]-Audit[[#This Row],[Losing Candidate]]</f>
        <v>0</v>
      </c>
      <c r="T361" s="111">
        <f>Audit[[#This Row],[Audit Winning Candidate]]-Audit[[#This Row],[Winning Candidate]]</f>
        <v>-1</v>
      </c>
      <c r="U361" s="111">
        <f>Audit[[#This Row],[Audit Candidate 3]]-Audit[[#This Row],[Candidate 3]]</f>
        <v>0</v>
      </c>
      <c r="V361" s="111">
        <f>Audit[[#This Row],[Audit Candidate 4]]-Audit[[#This Row],[Candidate 4]]</f>
        <v>0</v>
      </c>
      <c r="W361" s="111">
        <f>Audit[[#This Row],[Audit Candidate 5]]-Audit[[#This Row],[Candidate 5]]</f>
        <v>0</v>
      </c>
      <c r="X361" s="111">
        <f>Audit[[#This Row],[Audit Candidate 6]]-Audit[[#This Row],[Candidate 6]]</f>
        <v>0</v>
      </c>
      <c r="Y361" s="111">
        <f>SUMIF(Audit[[#This Row],[Difference Loser]:[Difference Candidate 6]], "&gt;0")</f>
        <v>0</v>
      </c>
      <c r="Z361" s="111">
        <f>SUM(Audit[[#This Row],[Difference Loser]:[Difference Candidate 6]])</f>
        <v>-1</v>
      </c>
      <c r="AA361" s="111">
        <f>IF(Audit[[#This Row],[Times p Drawn - With Replacement]]&gt;0, IF(Audit[[#This Row],[Canceled Differences]]&lt;0, Audit[[#This Row],[Max Differences]]+ABS(Audit[[#This Row],[Canceled Differences]]), Audit[[#This Row],[Max Differences]]), 0)</f>
        <v>0</v>
      </c>
      <c r="AB361" s="111">
        <f>'Sampling Data'!P351</f>
        <v>1.224889759921607E-4</v>
      </c>
      <c r="AC361" s="111">
        <f>IF(
      SUM(Audit[[#This Row],[Audit Losing Candidate]:[Audit Candidate 6]])
      &lt;&gt;0,
      (Audit[[#This Row],[Winning Candidate]]-Audit[[#This Row],[Losing Candidate]]-(Audit[[#This Row],[Audit Winning Candidate]]-Audit[[#This Row],[Audit Losing Candidate]]))/(Audit[[#Totals],[Winning Candidate]]-Audit[[#Totals],[Losing Candidate]]),
      0
)</f>
        <v>0</v>
      </c>
      <c r="AD3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1" s="111">
        <f>IF(Audit[[#This Row],[Max Relative Error (ep)]] = 0, 0, Audit[[#This Row],[Max Relative Error (ep)]]/Audit[[#This Row],[Error Bound (up) - Max. possible relative overstatement]])</f>
        <v>0</v>
      </c>
      <c r="AJ3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61" s="111">
        <f t="shared" si="5"/>
        <v>1</v>
      </c>
      <c r="AL361" s="111">
        <f>PRODUCT($AK$5:AK361)</f>
        <v>8.962823818226312E-2</v>
      </c>
      <c r="AM361" s="109">
        <f>1 - [K-M P Value]</f>
        <v>0.91037176181773694</v>
      </c>
      <c r="AN361" s="111" t="str">
        <f>IF(Audit[[#This Row],[K-M P Value]]&gt;1-'General Info'!$B$16,"Continue", "Stop")</f>
        <v>Stop</v>
      </c>
      <c r="AO361" s="110" t="b">
        <f>IF(Audit[[#This Row],[Status - Continue or stop audit]] = "Continue", TRUE, IF(AN360 = "Continue", TRUE, FALSE))</f>
        <v>0</v>
      </c>
      <c r="AP361" s="110"/>
    </row>
    <row r="362" spans="1:42" ht="15" hidden="1" customHeight="1">
      <c r="A362" s="111" t="str">
        <f>'Sampling Data'!W352</f>
        <v/>
      </c>
      <c r="B362" s="112" t="str">
        <f>'Sampling Data'!A352</f>
        <v>CLEVELAND -03-Q.02 - ABS</v>
      </c>
      <c r="C362" s="112">
        <f>'Sampling Data'!B352</f>
        <v>1</v>
      </c>
      <c r="D362" s="112">
        <f>'Sampling Data'!C352</f>
        <v>0</v>
      </c>
      <c r="E362" s="113">
        <f>'Sampling Data'!D352</f>
        <v>0</v>
      </c>
      <c r="F362" s="113">
        <f>'Sampling Data'!E352</f>
        <v>0</v>
      </c>
      <c r="G362" s="113">
        <f>'Sampling Data'!F352</f>
        <v>0</v>
      </c>
      <c r="H362" s="113">
        <f>'Sampling Data'!G352</f>
        <v>0</v>
      </c>
      <c r="I362" s="112">
        <f>'Sampling Data'!H352</f>
        <v>0</v>
      </c>
      <c r="J362" s="112">
        <f>'Sampling Data'!I352</f>
        <v>0</v>
      </c>
      <c r="K362" s="112">
        <f>'Sampling Data'!J352</f>
        <v>1</v>
      </c>
      <c r="L362" s="111">
        <f>'Sampling Data'!X352</f>
        <v>0</v>
      </c>
      <c r="M362" s="114"/>
      <c r="N362" s="114"/>
      <c r="O362" s="115"/>
      <c r="P362" s="115"/>
      <c r="Q362" s="116"/>
      <c r="R362" s="116"/>
      <c r="S362" s="111">
        <f>Audit[[#This Row],[Audit Losing Candidate]]-Audit[[#This Row],[Losing Candidate]]</f>
        <v>-1</v>
      </c>
      <c r="T362" s="111">
        <f>Audit[[#This Row],[Audit Winning Candidate]]-Audit[[#This Row],[Winning Candidate]]</f>
        <v>0</v>
      </c>
      <c r="U362" s="111">
        <f>Audit[[#This Row],[Audit Candidate 3]]-Audit[[#This Row],[Candidate 3]]</f>
        <v>0</v>
      </c>
      <c r="V362" s="111">
        <f>Audit[[#This Row],[Audit Candidate 4]]-Audit[[#This Row],[Candidate 4]]</f>
        <v>0</v>
      </c>
      <c r="W362" s="111">
        <f>Audit[[#This Row],[Audit Candidate 5]]-Audit[[#This Row],[Candidate 5]]</f>
        <v>0</v>
      </c>
      <c r="X362" s="111">
        <f>Audit[[#This Row],[Audit Candidate 6]]-Audit[[#This Row],[Candidate 6]]</f>
        <v>0</v>
      </c>
      <c r="Y362" s="111">
        <f>SUMIF(Audit[[#This Row],[Difference Loser]:[Difference Candidate 6]], "&gt;0")</f>
        <v>0</v>
      </c>
      <c r="Z362" s="111">
        <f>SUM(Audit[[#This Row],[Difference Loser]:[Difference Candidate 6]])</f>
        <v>-1</v>
      </c>
      <c r="AA362" s="111">
        <f>IF(Audit[[#This Row],[Times p Drawn - With Replacement]]&gt;0, IF(Audit[[#This Row],[Canceled Differences]]&lt;0, Audit[[#This Row],[Max Differences]]+ABS(Audit[[#This Row],[Canceled Differences]]), Audit[[#This Row],[Max Differences]]), 0)</f>
        <v>0</v>
      </c>
      <c r="AB362" s="111">
        <f>'Sampling Data'!P352</f>
        <v>3.2261186566441917E-5</v>
      </c>
      <c r="AC362" s="111">
        <f>IF(
      SUM(Audit[[#This Row],[Audit Losing Candidate]:[Audit Candidate 6]])
      &lt;&gt;0,
      (Audit[[#This Row],[Winning Candidate]]-Audit[[#This Row],[Losing Candidate]]-(Audit[[#This Row],[Audit Winning Candidate]]-Audit[[#This Row],[Audit Losing Candidate]]))/(Audit[[#Totals],[Winning Candidate]]-Audit[[#Totals],[Losing Candidate]]),
      0
)</f>
        <v>0</v>
      </c>
      <c r="AD3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2" s="111">
        <f>IF(Audit[[#This Row],[Max Relative Error (ep)]] = 0, 0, Audit[[#This Row],[Max Relative Error (ep)]]/Audit[[#This Row],[Error Bound (up) - Max. possible relative overstatement]])</f>
        <v>0</v>
      </c>
      <c r="AJ3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62" s="111">
        <f t="shared" si="5"/>
        <v>1</v>
      </c>
      <c r="AL362" s="111">
        <f>PRODUCT($AK$5:AK362)</f>
        <v>8.962823818226312E-2</v>
      </c>
      <c r="AM362" s="109">
        <f>1 - [K-M P Value]</f>
        <v>0.91037176181773694</v>
      </c>
      <c r="AN362" s="111" t="str">
        <f>IF(Audit[[#This Row],[K-M P Value]]&gt;1-'General Info'!$B$16,"Continue", "Stop")</f>
        <v>Stop</v>
      </c>
      <c r="AO362" s="110" t="b">
        <f>IF(Audit[[#This Row],[Status - Continue or stop audit]] = "Continue", TRUE, IF(AN361 = "Continue", TRUE, FALSE))</f>
        <v>0</v>
      </c>
      <c r="AP362" s="110"/>
    </row>
    <row r="363" spans="1:42" ht="15" hidden="1" customHeight="1">
      <c r="A363" s="111" t="str">
        <f>'Sampling Data'!W353</f>
        <v/>
      </c>
      <c r="B363" s="112" t="str">
        <f>'Sampling Data'!A353</f>
        <v>CLEVELAND -03-R</v>
      </c>
      <c r="C363" s="112">
        <f>'Sampling Data'!B353</f>
        <v>4</v>
      </c>
      <c r="D363" s="112">
        <f>'Sampling Data'!C353</f>
        <v>9</v>
      </c>
      <c r="E363" s="113">
        <f>'Sampling Data'!D353</f>
        <v>4</v>
      </c>
      <c r="F363" s="113">
        <f>'Sampling Data'!E353</f>
        <v>8</v>
      </c>
      <c r="G363" s="113">
        <f>'Sampling Data'!F353</f>
        <v>0</v>
      </c>
      <c r="H363" s="113">
        <f>'Sampling Data'!G353</f>
        <v>0</v>
      </c>
      <c r="I363" s="112">
        <f>'Sampling Data'!H353</f>
        <v>0</v>
      </c>
      <c r="J363" s="112">
        <f>'Sampling Data'!I353</f>
        <v>0</v>
      </c>
      <c r="K363" s="112">
        <f>'Sampling Data'!J353</f>
        <v>25</v>
      </c>
      <c r="L363" s="111">
        <f>'Sampling Data'!X353</f>
        <v>0</v>
      </c>
      <c r="M363" s="114"/>
      <c r="N363" s="114"/>
      <c r="O363" s="115"/>
      <c r="P363" s="115"/>
      <c r="Q363" s="116"/>
      <c r="R363" s="116"/>
      <c r="S363" s="111">
        <f>Audit[[#This Row],[Audit Losing Candidate]]-Audit[[#This Row],[Losing Candidate]]</f>
        <v>-4</v>
      </c>
      <c r="T363" s="111">
        <f>Audit[[#This Row],[Audit Winning Candidate]]-Audit[[#This Row],[Winning Candidate]]</f>
        <v>-9</v>
      </c>
      <c r="U363" s="111">
        <f>Audit[[#This Row],[Audit Candidate 3]]-Audit[[#This Row],[Candidate 3]]</f>
        <v>-4</v>
      </c>
      <c r="V363" s="111">
        <f>Audit[[#This Row],[Audit Candidate 4]]-Audit[[#This Row],[Candidate 4]]</f>
        <v>-8</v>
      </c>
      <c r="W363" s="111">
        <f>Audit[[#This Row],[Audit Candidate 5]]-Audit[[#This Row],[Candidate 5]]</f>
        <v>0</v>
      </c>
      <c r="X363" s="111">
        <f>Audit[[#This Row],[Audit Candidate 6]]-Audit[[#This Row],[Candidate 6]]</f>
        <v>0</v>
      </c>
      <c r="Y363" s="111">
        <f>SUMIF(Audit[[#This Row],[Difference Loser]:[Difference Candidate 6]], "&gt;0")</f>
        <v>0</v>
      </c>
      <c r="Z363" s="111">
        <f>SUM(Audit[[#This Row],[Difference Loser]:[Difference Candidate 6]])</f>
        <v>-25</v>
      </c>
      <c r="AA363" s="111">
        <f>IF(Audit[[#This Row],[Times p Drawn - With Replacement]]&gt;0, IF(Audit[[#This Row],[Canceled Differences]]&lt;0, Audit[[#This Row],[Max Differences]]+ABS(Audit[[#This Row],[Canceled Differences]]), Audit[[#This Row],[Max Differences]]), 0)</f>
        <v>0</v>
      </c>
      <c r="AB363" s="111">
        <f>'Sampling Data'!P353</f>
        <v>1.8373346398824107E-3</v>
      </c>
      <c r="AC363" s="111">
        <f>IF(
      SUM(Audit[[#This Row],[Audit Losing Candidate]:[Audit Candidate 6]])
      &lt;&gt;0,
      (Audit[[#This Row],[Winning Candidate]]-Audit[[#This Row],[Losing Candidate]]-(Audit[[#This Row],[Audit Winning Candidate]]-Audit[[#This Row],[Audit Losing Candidate]]))/(Audit[[#Totals],[Winning Candidate]]-Audit[[#Totals],[Losing Candidate]]),
      0
)</f>
        <v>0</v>
      </c>
      <c r="AD3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3" s="111">
        <f>IF(Audit[[#This Row],[Max Relative Error (ep)]] = 0, 0, Audit[[#This Row],[Max Relative Error (ep)]]/Audit[[#This Row],[Error Bound (up) - Max. possible relative overstatement]])</f>
        <v>0</v>
      </c>
      <c r="AJ3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63" s="111">
        <f t="shared" si="5"/>
        <v>1</v>
      </c>
      <c r="AL363" s="111">
        <f>PRODUCT($AK$5:AK363)</f>
        <v>8.962823818226312E-2</v>
      </c>
      <c r="AM363" s="109">
        <f>1 - [K-M P Value]</f>
        <v>0.91037176181773694</v>
      </c>
      <c r="AN363" s="111" t="str">
        <f>IF(Audit[[#This Row],[K-M P Value]]&gt;1-'General Info'!$B$16,"Continue", "Stop")</f>
        <v>Stop</v>
      </c>
      <c r="AO363" s="110" t="b">
        <f>IF(Audit[[#This Row],[Status - Continue or stop audit]] = "Continue", TRUE, IF(AN362 = "Continue", TRUE, FALSE))</f>
        <v>0</v>
      </c>
      <c r="AP363" s="110"/>
    </row>
    <row r="364" spans="1:42" ht="15" hidden="1" customHeight="1">
      <c r="A364" s="111" t="str">
        <f>'Sampling Data'!W354</f>
        <v/>
      </c>
      <c r="B364" s="112" t="str">
        <f>'Sampling Data'!A354</f>
        <v>CLEVELAND -03-R - ABS</v>
      </c>
      <c r="C364" s="112">
        <f>'Sampling Data'!B354</f>
        <v>1</v>
      </c>
      <c r="D364" s="112">
        <f>'Sampling Data'!C354</f>
        <v>1</v>
      </c>
      <c r="E364" s="113">
        <f>'Sampling Data'!D354</f>
        <v>4</v>
      </c>
      <c r="F364" s="113">
        <f>'Sampling Data'!E354</f>
        <v>0</v>
      </c>
      <c r="G364" s="113">
        <f>'Sampling Data'!F354</f>
        <v>0</v>
      </c>
      <c r="H364" s="113">
        <f>'Sampling Data'!G354</f>
        <v>0</v>
      </c>
      <c r="I364" s="112">
        <f>'Sampling Data'!H354</f>
        <v>0</v>
      </c>
      <c r="J364" s="112">
        <f>'Sampling Data'!I354</f>
        <v>0</v>
      </c>
      <c r="K364" s="112">
        <f>'Sampling Data'!J354</f>
        <v>6</v>
      </c>
      <c r="L364" s="111">
        <f>'Sampling Data'!X354</f>
        <v>0</v>
      </c>
      <c r="M364" s="114"/>
      <c r="N364" s="114"/>
      <c r="O364" s="115"/>
      <c r="P364" s="115"/>
      <c r="Q364" s="116"/>
      <c r="R364" s="116"/>
      <c r="S364" s="111">
        <f>Audit[[#This Row],[Audit Losing Candidate]]-Audit[[#This Row],[Losing Candidate]]</f>
        <v>-1</v>
      </c>
      <c r="T364" s="111">
        <f>Audit[[#This Row],[Audit Winning Candidate]]-Audit[[#This Row],[Winning Candidate]]</f>
        <v>-1</v>
      </c>
      <c r="U364" s="111">
        <f>Audit[[#This Row],[Audit Candidate 3]]-Audit[[#This Row],[Candidate 3]]</f>
        <v>-4</v>
      </c>
      <c r="V364" s="111">
        <f>Audit[[#This Row],[Audit Candidate 4]]-Audit[[#This Row],[Candidate 4]]</f>
        <v>0</v>
      </c>
      <c r="W364" s="111">
        <f>Audit[[#This Row],[Audit Candidate 5]]-Audit[[#This Row],[Candidate 5]]</f>
        <v>0</v>
      </c>
      <c r="X364" s="111">
        <f>Audit[[#This Row],[Audit Candidate 6]]-Audit[[#This Row],[Candidate 6]]</f>
        <v>0</v>
      </c>
      <c r="Y364" s="111">
        <f>SUMIF(Audit[[#This Row],[Difference Loser]:[Difference Candidate 6]], "&gt;0")</f>
        <v>0</v>
      </c>
      <c r="Z364" s="111">
        <f>SUM(Audit[[#This Row],[Difference Loser]:[Difference Candidate 6]])</f>
        <v>-6</v>
      </c>
      <c r="AA364" s="111">
        <f>IF(Audit[[#This Row],[Times p Drawn - With Replacement]]&gt;0, IF(Audit[[#This Row],[Canceled Differences]]&lt;0, Audit[[#This Row],[Max Differences]]+ABS(Audit[[#This Row],[Canceled Differences]]), Audit[[#This Row],[Max Differences]]), 0)</f>
        <v>0</v>
      </c>
      <c r="AB364" s="111">
        <f>'Sampling Data'!P354</f>
        <v>3.6746692797648211E-4</v>
      </c>
      <c r="AC364" s="111">
        <f>IF(
      SUM(Audit[[#This Row],[Audit Losing Candidate]:[Audit Candidate 6]])
      &lt;&gt;0,
      (Audit[[#This Row],[Winning Candidate]]-Audit[[#This Row],[Losing Candidate]]-(Audit[[#This Row],[Audit Winning Candidate]]-Audit[[#This Row],[Audit Losing Candidate]]))/(Audit[[#Totals],[Winning Candidate]]-Audit[[#Totals],[Losing Candidate]]),
      0
)</f>
        <v>0</v>
      </c>
      <c r="AD3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4" s="111">
        <f>IF(Audit[[#This Row],[Max Relative Error (ep)]] = 0, 0, Audit[[#This Row],[Max Relative Error (ep)]]/Audit[[#This Row],[Error Bound (up) - Max. possible relative overstatement]])</f>
        <v>0</v>
      </c>
      <c r="AJ3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64" s="111">
        <f t="shared" si="5"/>
        <v>1</v>
      </c>
      <c r="AL364" s="111">
        <f>PRODUCT($AK$5:AK364)</f>
        <v>8.962823818226312E-2</v>
      </c>
      <c r="AM364" s="109">
        <f>1 - [K-M P Value]</f>
        <v>0.91037176181773694</v>
      </c>
      <c r="AN364" s="111" t="str">
        <f>IF(Audit[[#This Row],[K-M P Value]]&gt;1-'General Info'!$B$16,"Continue", "Stop")</f>
        <v>Stop</v>
      </c>
      <c r="AO364" s="110" t="b">
        <f>IF(Audit[[#This Row],[Status - Continue or stop audit]] = "Continue", TRUE, IF(AN363 = "Continue", TRUE, FALSE))</f>
        <v>0</v>
      </c>
      <c r="AP364" s="110"/>
    </row>
    <row r="365" spans="1:42" ht="15" hidden="1" customHeight="1">
      <c r="A365" s="111" t="str">
        <f>'Sampling Data'!W355</f>
        <v/>
      </c>
      <c r="B365" s="112" t="str">
        <f>'Sampling Data'!A355</f>
        <v>CLEVELAND -03-R.02</v>
      </c>
      <c r="C365" s="112">
        <f>'Sampling Data'!B355</f>
        <v>0</v>
      </c>
      <c r="D365" s="112">
        <f>'Sampling Data'!C355</f>
        <v>0</v>
      </c>
      <c r="E365" s="113">
        <f>'Sampling Data'!D355</f>
        <v>0</v>
      </c>
      <c r="F365" s="113">
        <f>'Sampling Data'!E355</f>
        <v>0</v>
      </c>
      <c r="G365" s="113">
        <f>'Sampling Data'!F355</f>
        <v>0</v>
      </c>
      <c r="H365" s="113">
        <f>'Sampling Data'!G355</f>
        <v>0</v>
      </c>
      <c r="I365" s="112">
        <f>'Sampling Data'!H355</f>
        <v>0</v>
      </c>
      <c r="J365" s="112">
        <f>'Sampling Data'!I355</f>
        <v>0</v>
      </c>
      <c r="K365" s="112">
        <f>'Sampling Data'!J355</f>
        <v>0</v>
      </c>
      <c r="L365" s="111">
        <f>'Sampling Data'!X355</f>
        <v>0</v>
      </c>
      <c r="M365" s="114"/>
      <c r="N365" s="114"/>
      <c r="O365" s="115"/>
      <c r="P365" s="115"/>
      <c r="Q365" s="116"/>
      <c r="R365" s="116"/>
      <c r="S365" s="111">
        <f>Audit[[#This Row],[Audit Losing Candidate]]-Audit[[#This Row],[Losing Candidate]]</f>
        <v>0</v>
      </c>
      <c r="T365" s="111">
        <f>Audit[[#This Row],[Audit Winning Candidate]]-Audit[[#This Row],[Winning Candidate]]</f>
        <v>0</v>
      </c>
      <c r="U365" s="111">
        <f>Audit[[#This Row],[Audit Candidate 3]]-Audit[[#This Row],[Candidate 3]]</f>
        <v>0</v>
      </c>
      <c r="V365" s="111">
        <f>Audit[[#This Row],[Audit Candidate 4]]-Audit[[#This Row],[Candidate 4]]</f>
        <v>0</v>
      </c>
      <c r="W365" s="111">
        <f>Audit[[#This Row],[Audit Candidate 5]]-Audit[[#This Row],[Candidate 5]]</f>
        <v>0</v>
      </c>
      <c r="X365" s="111">
        <f>Audit[[#This Row],[Audit Candidate 6]]-Audit[[#This Row],[Candidate 6]]</f>
        <v>0</v>
      </c>
      <c r="Y365" s="111">
        <f>SUMIF(Audit[[#This Row],[Difference Loser]:[Difference Candidate 6]], "&gt;0")</f>
        <v>0</v>
      </c>
      <c r="Z365" s="111">
        <f>SUM(Audit[[#This Row],[Difference Loser]:[Difference Candidate 6]])</f>
        <v>0</v>
      </c>
      <c r="AA365" s="111">
        <f>IF(Audit[[#This Row],[Times p Drawn - With Replacement]]&gt;0, IF(Audit[[#This Row],[Canceled Differences]]&lt;0, Audit[[#This Row],[Max Differences]]+ABS(Audit[[#This Row],[Canceled Differences]]), Audit[[#This Row],[Max Differences]]), 0)</f>
        <v>0</v>
      </c>
      <c r="AB365" s="111">
        <f>'Sampling Data'!P355</f>
        <v>0</v>
      </c>
      <c r="AC365" s="111">
        <f>IF(
      SUM(Audit[[#This Row],[Audit Losing Candidate]:[Audit Candidate 6]])
      &lt;&gt;0,
      (Audit[[#This Row],[Winning Candidate]]-Audit[[#This Row],[Losing Candidate]]-(Audit[[#This Row],[Audit Winning Candidate]]-Audit[[#This Row],[Audit Losing Candidate]]))/(Audit[[#Totals],[Winning Candidate]]-Audit[[#Totals],[Losing Candidate]]),
      0
)</f>
        <v>0</v>
      </c>
      <c r="AD3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5" s="111">
        <f>IF(Audit[[#This Row],[Max Relative Error (ep)]] = 0, 0, Audit[[#This Row],[Max Relative Error (ep)]]/Audit[[#This Row],[Error Bound (up) - Max. possible relative overstatement]])</f>
        <v>0</v>
      </c>
      <c r="AJ3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65" s="111">
        <f t="shared" si="5"/>
        <v>1</v>
      </c>
      <c r="AL365" s="111">
        <f>PRODUCT($AK$5:AK365)</f>
        <v>8.962823818226312E-2</v>
      </c>
      <c r="AM365" s="109">
        <f>1 - [K-M P Value]</f>
        <v>0.91037176181773694</v>
      </c>
      <c r="AN365" s="111" t="str">
        <f>IF(Audit[[#This Row],[K-M P Value]]&gt;1-'General Info'!$B$16,"Continue", "Stop")</f>
        <v>Stop</v>
      </c>
      <c r="AO365" s="110" t="b">
        <f>IF(Audit[[#This Row],[Status - Continue or stop audit]] = "Continue", TRUE, IF(AN364 = "Continue", TRUE, FALSE))</f>
        <v>0</v>
      </c>
      <c r="AP365" s="110"/>
    </row>
    <row r="366" spans="1:42" ht="15" hidden="1" customHeight="1">
      <c r="A366" s="111" t="str">
        <f>'Sampling Data'!W356</f>
        <v/>
      </c>
      <c r="B366" s="112" t="str">
        <f>'Sampling Data'!A356</f>
        <v>CLEVELAND -03-R.02 - ABS</v>
      </c>
      <c r="C366" s="112">
        <f>'Sampling Data'!B356</f>
        <v>0</v>
      </c>
      <c r="D366" s="112">
        <f>'Sampling Data'!C356</f>
        <v>0</v>
      </c>
      <c r="E366" s="113">
        <f>'Sampling Data'!D356</f>
        <v>0</v>
      </c>
      <c r="F366" s="113">
        <f>'Sampling Data'!E356</f>
        <v>0</v>
      </c>
      <c r="G366" s="113">
        <f>'Sampling Data'!F356</f>
        <v>0</v>
      </c>
      <c r="H366" s="113">
        <f>'Sampling Data'!G356</f>
        <v>0</v>
      </c>
      <c r="I366" s="112">
        <f>'Sampling Data'!H356</f>
        <v>0</v>
      </c>
      <c r="J366" s="112">
        <f>'Sampling Data'!I356</f>
        <v>0</v>
      </c>
      <c r="K366" s="112">
        <f>'Sampling Data'!J356</f>
        <v>0</v>
      </c>
      <c r="L366" s="111">
        <f>'Sampling Data'!X356</f>
        <v>0</v>
      </c>
      <c r="M366" s="114"/>
      <c r="N366" s="114"/>
      <c r="O366" s="115"/>
      <c r="P366" s="115"/>
      <c r="Q366" s="116"/>
      <c r="R366" s="116"/>
      <c r="S366" s="111">
        <f>Audit[[#This Row],[Audit Losing Candidate]]-Audit[[#This Row],[Losing Candidate]]</f>
        <v>0</v>
      </c>
      <c r="T366" s="111">
        <f>Audit[[#This Row],[Audit Winning Candidate]]-Audit[[#This Row],[Winning Candidate]]</f>
        <v>0</v>
      </c>
      <c r="U366" s="111">
        <f>Audit[[#This Row],[Audit Candidate 3]]-Audit[[#This Row],[Candidate 3]]</f>
        <v>0</v>
      </c>
      <c r="V366" s="111">
        <f>Audit[[#This Row],[Audit Candidate 4]]-Audit[[#This Row],[Candidate 4]]</f>
        <v>0</v>
      </c>
      <c r="W366" s="111">
        <f>Audit[[#This Row],[Audit Candidate 5]]-Audit[[#This Row],[Candidate 5]]</f>
        <v>0</v>
      </c>
      <c r="X366" s="111">
        <f>Audit[[#This Row],[Audit Candidate 6]]-Audit[[#This Row],[Candidate 6]]</f>
        <v>0</v>
      </c>
      <c r="Y366" s="111">
        <f>SUMIF(Audit[[#This Row],[Difference Loser]:[Difference Candidate 6]], "&gt;0")</f>
        <v>0</v>
      </c>
      <c r="Z366" s="111">
        <f>SUM(Audit[[#This Row],[Difference Loser]:[Difference Candidate 6]])</f>
        <v>0</v>
      </c>
      <c r="AA366" s="111">
        <f>IF(Audit[[#This Row],[Times p Drawn - With Replacement]]&gt;0, IF(Audit[[#This Row],[Canceled Differences]]&lt;0, Audit[[#This Row],[Max Differences]]+ABS(Audit[[#This Row],[Canceled Differences]]), Audit[[#This Row],[Max Differences]]), 0)</f>
        <v>0</v>
      </c>
      <c r="AB366" s="111">
        <f>'Sampling Data'!P356</f>
        <v>0</v>
      </c>
      <c r="AC366" s="111">
        <f>IF(
      SUM(Audit[[#This Row],[Audit Losing Candidate]:[Audit Candidate 6]])
      &lt;&gt;0,
      (Audit[[#This Row],[Winning Candidate]]-Audit[[#This Row],[Losing Candidate]]-(Audit[[#This Row],[Audit Winning Candidate]]-Audit[[#This Row],[Audit Losing Candidate]]))/(Audit[[#Totals],[Winning Candidate]]-Audit[[#Totals],[Losing Candidate]]),
      0
)</f>
        <v>0</v>
      </c>
      <c r="AD3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6" s="111">
        <f>IF(Audit[[#This Row],[Max Relative Error (ep)]] = 0, 0, Audit[[#This Row],[Max Relative Error (ep)]]/Audit[[#This Row],[Error Bound (up) - Max. possible relative overstatement]])</f>
        <v>0</v>
      </c>
      <c r="AJ3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66" s="111">
        <f t="shared" si="5"/>
        <v>1</v>
      </c>
      <c r="AL366" s="111">
        <f>PRODUCT($AK$5:AK366)</f>
        <v>8.962823818226312E-2</v>
      </c>
      <c r="AM366" s="109">
        <f>1 - [K-M P Value]</f>
        <v>0.91037176181773694</v>
      </c>
      <c r="AN366" s="111" t="str">
        <f>IF(Audit[[#This Row],[K-M P Value]]&gt;1-'General Info'!$B$16,"Continue", "Stop")</f>
        <v>Stop</v>
      </c>
      <c r="AO366" s="110" t="b">
        <f>IF(Audit[[#This Row],[Status - Continue or stop audit]] = "Continue", TRUE, IF(AN365 = "Continue", TRUE, FALSE))</f>
        <v>0</v>
      </c>
      <c r="AP366" s="110"/>
    </row>
    <row r="367" spans="1:42" ht="15" hidden="1" customHeight="1">
      <c r="A367" s="111" t="str">
        <f>'Sampling Data'!W357</f>
        <v/>
      </c>
      <c r="B367" s="112" t="str">
        <f>'Sampling Data'!A357</f>
        <v>CLEVELAND -03-S</v>
      </c>
      <c r="C367" s="112">
        <f>'Sampling Data'!B357</f>
        <v>10</v>
      </c>
      <c r="D367" s="112">
        <f>'Sampling Data'!C357</f>
        <v>22</v>
      </c>
      <c r="E367" s="113">
        <f>'Sampling Data'!D357</f>
        <v>5</v>
      </c>
      <c r="F367" s="113">
        <f>'Sampling Data'!E357</f>
        <v>6</v>
      </c>
      <c r="G367" s="113">
        <f>'Sampling Data'!F357</f>
        <v>0</v>
      </c>
      <c r="H367" s="113">
        <f>'Sampling Data'!G357</f>
        <v>1</v>
      </c>
      <c r="I367" s="112">
        <f>'Sampling Data'!H357</f>
        <v>0</v>
      </c>
      <c r="J367" s="112">
        <f>'Sampling Data'!I357</f>
        <v>0</v>
      </c>
      <c r="K367" s="112">
        <f>'Sampling Data'!J357</f>
        <v>44</v>
      </c>
      <c r="L367" s="111">
        <f>'Sampling Data'!X357</f>
        <v>0</v>
      </c>
      <c r="M367" s="114"/>
      <c r="N367" s="114"/>
      <c r="O367" s="115"/>
      <c r="P367" s="115"/>
      <c r="Q367" s="116"/>
      <c r="R367" s="116"/>
      <c r="S367" s="111">
        <f>Audit[[#This Row],[Audit Losing Candidate]]-Audit[[#This Row],[Losing Candidate]]</f>
        <v>-10</v>
      </c>
      <c r="T367" s="111">
        <f>Audit[[#This Row],[Audit Winning Candidate]]-Audit[[#This Row],[Winning Candidate]]</f>
        <v>-22</v>
      </c>
      <c r="U367" s="111">
        <f>Audit[[#This Row],[Audit Candidate 3]]-Audit[[#This Row],[Candidate 3]]</f>
        <v>-5</v>
      </c>
      <c r="V367" s="111">
        <f>Audit[[#This Row],[Audit Candidate 4]]-Audit[[#This Row],[Candidate 4]]</f>
        <v>-6</v>
      </c>
      <c r="W367" s="111">
        <f>Audit[[#This Row],[Audit Candidate 5]]-Audit[[#This Row],[Candidate 5]]</f>
        <v>0</v>
      </c>
      <c r="X367" s="111">
        <f>Audit[[#This Row],[Audit Candidate 6]]-Audit[[#This Row],[Candidate 6]]</f>
        <v>-1</v>
      </c>
      <c r="Y367" s="111">
        <f>SUMIF(Audit[[#This Row],[Difference Loser]:[Difference Candidate 6]], "&gt;0")</f>
        <v>0</v>
      </c>
      <c r="Z367" s="111">
        <f>SUM(Audit[[#This Row],[Difference Loser]:[Difference Candidate 6]])</f>
        <v>-44</v>
      </c>
      <c r="AA367" s="111">
        <f>IF(Audit[[#This Row],[Times p Drawn - With Replacement]]&gt;0, IF(Audit[[#This Row],[Canceled Differences]]&lt;0, Audit[[#This Row],[Max Differences]]+ABS(Audit[[#This Row],[Canceled Differences]]), Audit[[#This Row],[Max Differences]]), 0)</f>
        <v>0</v>
      </c>
      <c r="AB367" s="111">
        <f>'Sampling Data'!P357</f>
        <v>3.4296913277804997E-3</v>
      </c>
      <c r="AC367" s="111">
        <f>IF(
      SUM(Audit[[#This Row],[Audit Losing Candidate]:[Audit Candidate 6]])
      &lt;&gt;0,
      (Audit[[#This Row],[Winning Candidate]]-Audit[[#This Row],[Losing Candidate]]-(Audit[[#This Row],[Audit Winning Candidate]]-Audit[[#This Row],[Audit Losing Candidate]]))/(Audit[[#Totals],[Winning Candidate]]-Audit[[#Totals],[Losing Candidate]]),
      0
)</f>
        <v>0</v>
      </c>
      <c r="AD3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7" s="111">
        <f>IF(Audit[[#This Row],[Max Relative Error (ep)]] = 0, 0, Audit[[#This Row],[Max Relative Error (ep)]]/Audit[[#This Row],[Error Bound (up) - Max. possible relative overstatement]])</f>
        <v>0</v>
      </c>
      <c r="AJ3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67" s="111">
        <f t="shared" si="5"/>
        <v>1</v>
      </c>
      <c r="AL367" s="111">
        <f>PRODUCT($AK$5:AK367)</f>
        <v>8.962823818226312E-2</v>
      </c>
      <c r="AM367" s="109">
        <f>1 - [K-M P Value]</f>
        <v>0.91037176181773694</v>
      </c>
      <c r="AN367" s="111" t="str">
        <f>IF(Audit[[#This Row],[K-M P Value]]&gt;1-'General Info'!$B$16,"Continue", "Stop")</f>
        <v>Stop</v>
      </c>
      <c r="AO367" s="110" t="b">
        <f>IF(Audit[[#This Row],[Status - Continue or stop audit]] = "Continue", TRUE, IF(AN366 = "Continue", TRUE, FALSE))</f>
        <v>0</v>
      </c>
      <c r="AP367" s="110"/>
    </row>
    <row r="368" spans="1:42" ht="15" hidden="1" customHeight="1">
      <c r="A368" s="111" t="str">
        <f>'Sampling Data'!W358</f>
        <v/>
      </c>
      <c r="B368" s="112" t="str">
        <f>'Sampling Data'!A358</f>
        <v>CLEVELAND -03-S - ABS</v>
      </c>
      <c r="C368" s="112">
        <f>'Sampling Data'!B358</f>
        <v>4</v>
      </c>
      <c r="D368" s="112">
        <f>'Sampling Data'!C358</f>
        <v>1</v>
      </c>
      <c r="E368" s="113">
        <f>'Sampling Data'!D358</f>
        <v>0</v>
      </c>
      <c r="F368" s="113">
        <f>'Sampling Data'!E358</f>
        <v>1</v>
      </c>
      <c r="G368" s="113">
        <f>'Sampling Data'!F358</f>
        <v>0</v>
      </c>
      <c r="H368" s="113">
        <f>'Sampling Data'!G358</f>
        <v>0</v>
      </c>
      <c r="I368" s="112">
        <f>'Sampling Data'!H358</f>
        <v>0</v>
      </c>
      <c r="J368" s="112">
        <f>'Sampling Data'!I358</f>
        <v>0</v>
      </c>
      <c r="K368" s="112">
        <f>'Sampling Data'!J358</f>
        <v>6</v>
      </c>
      <c r="L368" s="111">
        <f>'Sampling Data'!X358</f>
        <v>0</v>
      </c>
      <c r="M368" s="114"/>
      <c r="N368" s="114"/>
      <c r="O368" s="115"/>
      <c r="P368" s="115"/>
      <c r="Q368" s="116"/>
      <c r="R368" s="116"/>
      <c r="S368" s="111">
        <f>Audit[[#This Row],[Audit Losing Candidate]]-Audit[[#This Row],[Losing Candidate]]</f>
        <v>-4</v>
      </c>
      <c r="T368" s="111">
        <f>Audit[[#This Row],[Audit Winning Candidate]]-Audit[[#This Row],[Winning Candidate]]</f>
        <v>-1</v>
      </c>
      <c r="U368" s="111">
        <f>Audit[[#This Row],[Audit Candidate 3]]-Audit[[#This Row],[Candidate 3]]</f>
        <v>0</v>
      </c>
      <c r="V368" s="111">
        <f>Audit[[#This Row],[Audit Candidate 4]]-Audit[[#This Row],[Candidate 4]]</f>
        <v>-1</v>
      </c>
      <c r="W368" s="111">
        <f>Audit[[#This Row],[Audit Candidate 5]]-Audit[[#This Row],[Candidate 5]]</f>
        <v>0</v>
      </c>
      <c r="X368" s="111">
        <f>Audit[[#This Row],[Audit Candidate 6]]-Audit[[#This Row],[Candidate 6]]</f>
        <v>0</v>
      </c>
      <c r="Y368" s="111">
        <f>SUMIF(Audit[[#This Row],[Difference Loser]:[Difference Candidate 6]], "&gt;0")</f>
        <v>0</v>
      </c>
      <c r="Z368" s="111">
        <f>SUM(Audit[[#This Row],[Difference Loser]:[Difference Candidate 6]])</f>
        <v>-6</v>
      </c>
      <c r="AA368" s="111">
        <f>IF(Audit[[#This Row],[Times p Drawn - With Replacement]]&gt;0, IF(Audit[[#This Row],[Canceled Differences]]&lt;0, Audit[[#This Row],[Max Differences]]+ABS(Audit[[#This Row],[Canceled Differences]]), Audit[[#This Row],[Max Differences]]), 0)</f>
        <v>0</v>
      </c>
      <c r="AB368" s="111">
        <f>'Sampling Data'!P358</f>
        <v>2.258283059650934E-4</v>
      </c>
      <c r="AC368" s="111">
        <f>IF(
      SUM(Audit[[#This Row],[Audit Losing Candidate]:[Audit Candidate 6]])
      &lt;&gt;0,
      (Audit[[#This Row],[Winning Candidate]]-Audit[[#This Row],[Losing Candidate]]-(Audit[[#This Row],[Audit Winning Candidate]]-Audit[[#This Row],[Audit Losing Candidate]]))/(Audit[[#Totals],[Winning Candidate]]-Audit[[#Totals],[Losing Candidate]]),
      0
)</f>
        <v>0</v>
      </c>
      <c r="AD3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8" s="111">
        <f>IF(Audit[[#This Row],[Max Relative Error (ep)]] = 0, 0, Audit[[#This Row],[Max Relative Error (ep)]]/Audit[[#This Row],[Error Bound (up) - Max. possible relative overstatement]])</f>
        <v>0</v>
      </c>
      <c r="AJ3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68" s="111">
        <f t="shared" si="5"/>
        <v>1</v>
      </c>
      <c r="AL368" s="111">
        <f>PRODUCT($AK$5:AK368)</f>
        <v>8.962823818226312E-2</v>
      </c>
      <c r="AM368" s="109">
        <f>1 - [K-M P Value]</f>
        <v>0.91037176181773694</v>
      </c>
      <c r="AN368" s="111" t="str">
        <f>IF(Audit[[#This Row],[K-M P Value]]&gt;1-'General Info'!$B$16,"Continue", "Stop")</f>
        <v>Stop</v>
      </c>
      <c r="AO368" s="110" t="b">
        <f>IF(Audit[[#This Row],[Status - Continue or stop audit]] = "Continue", TRUE, IF(AN367 = "Continue", TRUE, FALSE))</f>
        <v>0</v>
      </c>
      <c r="AP368" s="110"/>
    </row>
    <row r="369" spans="1:42" ht="15" hidden="1" customHeight="1">
      <c r="A369" s="111" t="str">
        <f>'Sampling Data'!W359</f>
        <v/>
      </c>
      <c r="B369" s="112" t="str">
        <f>'Sampling Data'!A359</f>
        <v>CLEVELAND -03-T</v>
      </c>
      <c r="C369" s="112">
        <f>'Sampling Data'!B359</f>
        <v>18</v>
      </c>
      <c r="D369" s="112">
        <f>'Sampling Data'!C359</f>
        <v>13</v>
      </c>
      <c r="E369" s="113">
        <f>'Sampling Data'!D359</f>
        <v>7</v>
      </c>
      <c r="F369" s="113">
        <f>'Sampling Data'!E359</f>
        <v>6</v>
      </c>
      <c r="G369" s="113">
        <f>'Sampling Data'!F359</f>
        <v>0</v>
      </c>
      <c r="H369" s="113">
        <f>'Sampling Data'!G359</f>
        <v>0</v>
      </c>
      <c r="I369" s="112">
        <f>'Sampling Data'!H359</f>
        <v>0</v>
      </c>
      <c r="J369" s="112">
        <f>'Sampling Data'!I359</f>
        <v>0</v>
      </c>
      <c r="K369" s="112">
        <f>'Sampling Data'!J359</f>
        <v>44</v>
      </c>
      <c r="L369" s="111">
        <f>'Sampling Data'!X359</f>
        <v>0</v>
      </c>
      <c r="M369" s="114"/>
      <c r="N369" s="114"/>
      <c r="O369" s="115"/>
      <c r="P369" s="115"/>
      <c r="Q369" s="116"/>
      <c r="R369" s="116"/>
      <c r="S369" s="111">
        <f>Audit[[#This Row],[Audit Losing Candidate]]-Audit[[#This Row],[Losing Candidate]]</f>
        <v>-18</v>
      </c>
      <c r="T369" s="111">
        <f>Audit[[#This Row],[Audit Winning Candidate]]-Audit[[#This Row],[Winning Candidate]]</f>
        <v>-13</v>
      </c>
      <c r="U369" s="111">
        <f>Audit[[#This Row],[Audit Candidate 3]]-Audit[[#This Row],[Candidate 3]]</f>
        <v>-7</v>
      </c>
      <c r="V369" s="111">
        <f>Audit[[#This Row],[Audit Candidate 4]]-Audit[[#This Row],[Candidate 4]]</f>
        <v>-6</v>
      </c>
      <c r="W369" s="111">
        <f>Audit[[#This Row],[Audit Candidate 5]]-Audit[[#This Row],[Candidate 5]]</f>
        <v>0</v>
      </c>
      <c r="X369" s="111">
        <f>Audit[[#This Row],[Audit Candidate 6]]-Audit[[#This Row],[Candidate 6]]</f>
        <v>0</v>
      </c>
      <c r="Y369" s="111">
        <f>SUMIF(Audit[[#This Row],[Difference Loser]:[Difference Candidate 6]], "&gt;0")</f>
        <v>0</v>
      </c>
      <c r="Z369" s="111">
        <f>SUM(Audit[[#This Row],[Difference Loser]:[Difference Candidate 6]])</f>
        <v>-44</v>
      </c>
      <c r="AA369" s="111">
        <f>IF(Audit[[#This Row],[Times p Drawn - With Replacement]]&gt;0, IF(Audit[[#This Row],[Canceled Differences]]&lt;0, Audit[[#This Row],[Max Differences]]+ABS(Audit[[#This Row],[Canceled Differences]]), Audit[[#This Row],[Max Differences]]), 0)</f>
        <v>0</v>
      </c>
      <c r="AB369" s="111">
        <f>'Sampling Data'!P359</f>
        <v>2.3885350318471337E-3</v>
      </c>
      <c r="AC369" s="111">
        <f>IF(
      SUM(Audit[[#This Row],[Audit Losing Candidate]:[Audit Candidate 6]])
      &lt;&gt;0,
      (Audit[[#This Row],[Winning Candidate]]-Audit[[#This Row],[Losing Candidate]]-(Audit[[#This Row],[Audit Winning Candidate]]-Audit[[#This Row],[Audit Losing Candidate]]))/(Audit[[#Totals],[Winning Candidate]]-Audit[[#Totals],[Losing Candidate]]),
      0
)</f>
        <v>0</v>
      </c>
      <c r="AD3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9" s="111">
        <f>IF(Audit[[#This Row],[Max Relative Error (ep)]] = 0, 0, Audit[[#This Row],[Max Relative Error (ep)]]/Audit[[#This Row],[Error Bound (up) - Max. possible relative overstatement]])</f>
        <v>0</v>
      </c>
      <c r="AJ3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69" s="111">
        <f t="shared" si="5"/>
        <v>1</v>
      </c>
      <c r="AL369" s="111">
        <f>PRODUCT($AK$5:AK369)</f>
        <v>8.962823818226312E-2</v>
      </c>
      <c r="AM369" s="109">
        <f>1 - [K-M P Value]</f>
        <v>0.91037176181773694</v>
      </c>
      <c r="AN369" s="111" t="str">
        <f>IF(Audit[[#This Row],[K-M P Value]]&gt;1-'General Info'!$B$16,"Continue", "Stop")</f>
        <v>Stop</v>
      </c>
      <c r="AO369" s="110" t="b">
        <f>IF(Audit[[#This Row],[Status - Continue or stop audit]] = "Continue", TRUE, IF(AN368 = "Continue", TRUE, FALSE))</f>
        <v>0</v>
      </c>
      <c r="AP369" s="110"/>
    </row>
    <row r="370" spans="1:42" ht="15" hidden="1" customHeight="1">
      <c r="A370" s="111" t="str">
        <f>'Sampling Data'!W360</f>
        <v/>
      </c>
      <c r="B370" s="112" t="str">
        <f>'Sampling Data'!A360</f>
        <v>CLEVELAND -03-T - ABS</v>
      </c>
      <c r="C370" s="112">
        <f>'Sampling Data'!B360</f>
        <v>6</v>
      </c>
      <c r="D370" s="112">
        <f>'Sampling Data'!C360</f>
        <v>3</v>
      </c>
      <c r="E370" s="113">
        <f>'Sampling Data'!D360</f>
        <v>0</v>
      </c>
      <c r="F370" s="113">
        <f>'Sampling Data'!E360</f>
        <v>0</v>
      </c>
      <c r="G370" s="113">
        <f>'Sampling Data'!F360</f>
        <v>0</v>
      </c>
      <c r="H370" s="113">
        <f>'Sampling Data'!G360</f>
        <v>0</v>
      </c>
      <c r="I370" s="112">
        <f>'Sampling Data'!H360</f>
        <v>0</v>
      </c>
      <c r="J370" s="112">
        <f>'Sampling Data'!I360</f>
        <v>0</v>
      </c>
      <c r="K370" s="112">
        <f>'Sampling Data'!J360</f>
        <v>9</v>
      </c>
      <c r="L370" s="111">
        <f>'Sampling Data'!X360</f>
        <v>0</v>
      </c>
      <c r="M370" s="114"/>
      <c r="N370" s="114"/>
      <c r="O370" s="115"/>
      <c r="P370" s="115"/>
      <c r="Q370" s="116"/>
      <c r="R370" s="116"/>
      <c r="S370" s="111">
        <f>Audit[[#This Row],[Audit Losing Candidate]]-Audit[[#This Row],[Losing Candidate]]</f>
        <v>-6</v>
      </c>
      <c r="T370" s="111">
        <f>Audit[[#This Row],[Audit Winning Candidate]]-Audit[[#This Row],[Winning Candidate]]</f>
        <v>-3</v>
      </c>
      <c r="U370" s="111">
        <f>Audit[[#This Row],[Audit Candidate 3]]-Audit[[#This Row],[Candidate 3]]</f>
        <v>0</v>
      </c>
      <c r="V370" s="111">
        <f>Audit[[#This Row],[Audit Candidate 4]]-Audit[[#This Row],[Candidate 4]]</f>
        <v>0</v>
      </c>
      <c r="W370" s="111">
        <f>Audit[[#This Row],[Audit Candidate 5]]-Audit[[#This Row],[Candidate 5]]</f>
        <v>0</v>
      </c>
      <c r="X370" s="111">
        <f>Audit[[#This Row],[Audit Candidate 6]]-Audit[[#This Row],[Candidate 6]]</f>
        <v>0</v>
      </c>
      <c r="Y370" s="111">
        <f>SUMIF(Audit[[#This Row],[Difference Loser]:[Difference Candidate 6]], "&gt;0")</f>
        <v>0</v>
      </c>
      <c r="Z370" s="111">
        <f>SUM(Audit[[#This Row],[Difference Loser]:[Difference Candidate 6]])</f>
        <v>-9</v>
      </c>
      <c r="AA370" s="111">
        <f>IF(Audit[[#This Row],[Times p Drawn - With Replacement]]&gt;0, IF(Audit[[#This Row],[Canceled Differences]]&lt;0, Audit[[#This Row],[Max Differences]]+ABS(Audit[[#This Row],[Canceled Differences]]), Audit[[#This Row],[Max Differences]]), 0)</f>
        <v>0</v>
      </c>
      <c r="AB370" s="111">
        <f>'Sampling Data'!P360</f>
        <v>3.8713423879730297E-4</v>
      </c>
      <c r="AC370" s="111">
        <f>IF(
      SUM(Audit[[#This Row],[Audit Losing Candidate]:[Audit Candidate 6]])
      &lt;&gt;0,
      (Audit[[#This Row],[Winning Candidate]]-Audit[[#This Row],[Losing Candidate]]-(Audit[[#This Row],[Audit Winning Candidate]]-Audit[[#This Row],[Audit Losing Candidate]]))/(Audit[[#Totals],[Winning Candidate]]-Audit[[#Totals],[Losing Candidate]]),
      0
)</f>
        <v>0</v>
      </c>
      <c r="AD3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0" s="111">
        <f>IF(Audit[[#This Row],[Max Relative Error (ep)]] = 0, 0, Audit[[#This Row],[Max Relative Error (ep)]]/Audit[[#This Row],[Error Bound (up) - Max. possible relative overstatement]])</f>
        <v>0</v>
      </c>
      <c r="AJ3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70" s="111">
        <f t="shared" si="5"/>
        <v>1</v>
      </c>
      <c r="AL370" s="111">
        <f>PRODUCT($AK$5:AK370)</f>
        <v>8.962823818226312E-2</v>
      </c>
      <c r="AM370" s="109">
        <f>1 - [K-M P Value]</f>
        <v>0.91037176181773694</v>
      </c>
      <c r="AN370" s="111" t="str">
        <f>IF(Audit[[#This Row],[K-M P Value]]&gt;1-'General Info'!$B$16,"Continue", "Stop")</f>
        <v>Stop</v>
      </c>
      <c r="AO370" s="110" t="b">
        <f>IF(Audit[[#This Row],[Status - Continue or stop audit]] = "Continue", TRUE, IF(AN369 = "Continue", TRUE, FALSE))</f>
        <v>0</v>
      </c>
      <c r="AP370" s="110"/>
    </row>
    <row r="371" spans="1:42" ht="15" hidden="1" customHeight="1">
      <c r="A371" s="111" t="str">
        <f>'Sampling Data'!W361</f>
        <v/>
      </c>
      <c r="B371" s="112" t="str">
        <f>'Sampling Data'!A361</f>
        <v>CLEVELAND -03-U</v>
      </c>
      <c r="C371" s="112">
        <f>'Sampling Data'!B361</f>
        <v>3</v>
      </c>
      <c r="D371" s="112">
        <f>'Sampling Data'!C361</f>
        <v>16</v>
      </c>
      <c r="E371" s="113">
        <f>'Sampling Data'!D361</f>
        <v>3</v>
      </c>
      <c r="F371" s="113">
        <f>'Sampling Data'!E361</f>
        <v>2</v>
      </c>
      <c r="G371" s="113">
        <f>'Sampling Data'!F361</f>
        <v>0</v>
      </c>
      <c r="H371" s="113">
        <f>'Sampling Data'!G361</f>
        <v>0</v>
      </c>
      <c r="I371" s="112">
        <f>'Sampling Data'!H361</f>
        <v>0</v>
      </c>
      <c r="J371" s="112">
        <f>'Sampling Data'!I361</f>
        <v>0</v>
      </c>
      <c r="K371" s="112">
        <f>'Sampling Data'!J361</f>
        <v>24</v>
      </c>
      <c r="L371" s="111">
        <f>'Sampling Data'!X361</f>
        <v>0</v>
      </c>
      <c r="M371" s="114"/>
      <c r="N371" s="114"/>
      <c r="O371" s="115"/>
      <c r="P371" s="115"/>
      <c r="Q371" s="116"/>
      <c r="R371" s="116"/>
      <c r="S371" s="111">
        <f>Audit[[#This Row],[Audit Losing Candidate]]-Audit[[#This Row],[Losing Candidate]]</f>
        <v>-3</v>
      </c>
      <c r="T371" s="111">
        <f>Audit[[#This Row],[Audit Winning Candidate]]-Audit[[#This Row],[Winning Candidate]]</f>
        <v>-16</v>
      </c>
      <c r="U371" s="111">
        <f>Audit[[#This Row],[Audit Candidate 3]]-Audit[[#This Row],[Candidate 3]]</f>
        <v>-3</v>
      </c>
      <c r="V371" s="111">
        <f>Audit[[#This Row],[Audit Candidate 4]]-Audit[[#This Row],[Candidate 4]]</f>
        <v>-2</v>
      </c>
      <c r="W371" s="111">
        <f>Audit[[#This Row],[Audit Candidate 5]]-Audit[[#This Row],[Candidate 5]]</f>
        <v>0</v>
      </c>
      <c r="X371" s="111">
        <f>Audit[[#This Row],[Audit Candidate 6]]-Audit[[#This Row],[Candidate 6]]</f>
        <v>0</v>
      </c>
      <c r="Y371" s="111">
        <f>SUMIF(Audit[[#This Row],[Difference Loser]:[Difference Candidate 6]], "&gt;0")</f>
        <v>0</v>
      </c>
      <c r="Z371" s="111">
        <f>SUM(Audit[[#This Row],[Difference Loser]:[Difference Candidate 6]])</f>
        <v>-24</v>
      </c>
      <c r="AA371" s="111">
        <f>IF(Audit[[#This Row],[Times p Drawn - With Replacement]]&gt;0, IF(Audit[[#This Row],[Canceled Differences]]&lt;0, Audit[[#This Row],[Max Differences]]+ABS(Audit[[#This Row],[Canceled Differences]]), Audit[[#This Row],[Max Differences]]), 0)</f>
        <v>0</v>
      </c>
      <c r="AB371" s="111">
        <f>'Sampling Data'!P361</f>
        <v>2.2660460558549728E-3</v>
      </c>
      <c r="AC371" s="111">
        <f>IF(
      SUM(Audit[[#This Row],[Audit Losing Candidate]:[Audit Candidate 6]])
      &lt;&gt;0,
      (Audit[[#This Row],[Winning Candidate]]-Audit[[#This Row],[Losing Candidate]]-(Audit[[#This Row],[Audit Winning Candidate]]-Audit[[#This Row],[Audit Losing Candidate]]))/(Audit[[#Totals],[Winning Candidate]]-Audit[[#Totals],[Losing Candidate]]),
      0
)</f>
        <v>0</v>
      </c>
      <c r="AD3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1" s="111">
        <f>IF(Audit[[#This Row],[Max Relative Error (ep)]] = 0, 0, Audit[[#This Row],[Max Relative Error (ep)]]/Audit[[#This Row],[Error Bound (up) - Max. possible relative overstatement]])</f>
        <v>0</v>
      </c>
      <c r="AJ3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71" s="111">
        <f t="shared" si="5"/>
        <v>1</v>
      </c>
      <c r="AL371" s="111">
        <f>PRODUCT($AK$5:AK371)</f>
        <v>8.962823818226312E-2</v>
      </c>
      <c r="AM371" s="109">
        <f>1 - [K-M P Value]</f>
        <v>0.91037176181773694</v>
      </c>
      <c r="AN371" s="111" t="str">
        <f>IF(Audit[[#This Row],[K-M P Value]]&gt;1-'General Info'!$B$16,"Continue", "Stop")</f>
        <v>Stop</v>
      </c>
      <c r="AO371" s="110" t="b">
        <f>IF(Audit[[#This Row],[Status - Continue or stop audit]] = "Continue", TRUE, IF(AN370 = "Continue", TRUE, FALSE))</f>
        <v>0</v>
      </c>
      <c r="AP371" s="110"/>
    </row>
    <row r="372" spans="1:42" ht="15" hidden="1" customHeight="1">
      <c r="A372" s="111" t="str">
        <f>'Sampling Data'!W362</f>
        <v/>
      </c>
      <c r="B372" s="112" t="str">
        <f>'Sampling Data'!A362</f>
        <v>CLEVELAND -03-U - ABS</v>
      </c>
      <c r="C372" s="112">
        <f>'Sampling Data'!B362</f>
        <v>0</v>
      </c>
      <c r="D372" s="112">
        <f>'Sampling Data'!C362</f>
        <v>4</v>
      </c>
      <c r="E372" s="113">
        <f>'Sampling Data'!D362</f>
        <v>0</v>
      </c>
      <c r="F372" s="113">
        <f>'Sampling Data'!E362</f>
        <v>1</v>
      </c>
      <c r="G372" s="113">
        <f>'Sampling Data'!F362</f>
        <v>0</v>
      </c>
      <c r="H372" s="113">
        <f>'Sampling Data'!G362</f>
        <v>0</v>
      </c>
      <c r="I372" s="112">
        <f>'Sampling Data'!H362</f>
        <v>0</v>
      </c>
      <c r="J372" s="112">
        <f>'Sampling Data'!I362</f>
        <v>0</v>
      </c>
      <c r="K372" s="112">
        <f>'Sampling Data'!J362</f>
        <v>5</v>
      </c>
      <c r="L372" s="111">
        <f>'Sampling Data'!X362</f>
        <v>0</v>
      </c>
      <c r="M372" s="114"/>
      <c r="N372" s="114"/>
      <c r="O372" s="115"/>
      <c r="P372" s="115"/>
      <c r="Q372" s="116"/>
      <c r="R372" s="116"/>
      <c r="S372" s="111">
        <f>Audit[[#This Row],[Audit Losing Candidate]]-Audit[[#This Row],[Losing Candidate]]</f>
        <v>0</v>
      </c>
      <c r="T372" s="111">
        <f>Audit[[#This Row],[Audit Winning Candidate]]-Audit[[#This Row],[Winning Candidate]]</f>
        <v>-4</v>
      </c>
      <c r="U372" s="111">
        <f>Audit[[#This Row],[Audit Candidate 3]]-Audit[[#This Row],[Candidate 3]]</f>
        <v>0</v>
      </c>
      <c r="V372" s="111">
        <f>Audit[[#This Row],[Audit Candidate 4]]-Audit[[#This Row],[Candidate 4]]</f>
        <v>-1</v>
      </c>
      <c r="W372" s="111">
        <f>Audit[[#This Row],[Audit Candidate 5]]-Audit[[#This Row],[Candidate 5]]</f>
        <v>0</v>
      </c>
      <c r="X372" s="111">
        <f>Audit[[#This Row],[Audit Candidate 6]]-Audit[[#This Row],[Candidate 6]]</f>
        <v>0</v>
      </c>
      <c r="Y372" s="111">
        <f>SUMIF(Audit[[#This Row],[Difference Loser]:[Difference Candidate 6]], "&gt;0")</f>
        <v>0</v>
      </c>
      <c r="Z372" s="111">
        <f>SUM(Audit[[#This Row],[Difference Loser]:[Difference Candidate 6]])</f>
        <v>-5</v>
      </c>
      <c r="AA372" s="111">
        <f>IF(Audit[[#This Row],[Times p Drawn - With Replacement]]&gt;0, IF(Audit[[#This Row],[Canceled Differences]]&lt;0, Audit[[#This Row],[Max Differences]]+ABS(Audit[[#This Row],[Canceled Differences]]), Audit[[#This Row],[Max Differences]]), 0)</f>
        <v>0</v>
      </c>
      <c r="AB372" s="111">
        <f>'Sampling Data'!P362</f>
        <v>5.5120039196472322E-4</v>
      </c>
      <c r="AC372" s="111">
        <f>IF(
      SUM(Audit[[#This Row],[Audit Losing Candidate]:[Audit Candidate 6]])
      &lt;&gt;0,
      (Audit[[#This Row],[Winning Candidate]]-Audit[[#This Row],[Losing Candidate]]-(Audit[[#This Row],[Audit Winning Candidate]]-Audit[[#This Row],[Audit Losing Candidate]]))/(Audit[[#Totals],[Winning Candidate]]-Audit[[#Totals],[Losing Candidate]]),
      0
)</f>
        <v>0</v>
      </c>
      <c r="AD3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2" s="111">
        <f>IF(Audit[[#This Row],[Max Relative Error (ep)]] = 0, 0, Audit[[#This Row],[Max Relative Error (ep)]]/Audit[[#This Row],[Error Bound (up) - Max. possible relative overstatement]])</f>
        <v>0</v>
      </c>
      <c r="AJ3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72" s="111">
        <f t="shared" si="5"/>
        <v>1</v>
      </c>
      <c r="AL372" s="111">
        <f>PRODUCT($AK$5:AK372)</f>
        <v>8.962823818226312E-2</v>
      </c>
      <c r="AM372" s="109">
        <f>1 - [K-M P Value]</f>
        <v>0.91037176181773694</v>
      </c>
      <c r="AN372" s="111" t="str">
        <f>IF(Audit[[#This Row],[K-M P Value]]&gt;1-'General Info'!$B$16,"Continue", "Stop")</f>
        <v>Stop</v>
      </c>
      <c r="AO372" s="110" t="b">
        <f>IF(Audit[[#This Row],[Status - Continue or stop audit]] = "Continue", TRUE, IF(AN371 = "Continue", TRUE, FALSE))</f>
        <v>0</v>
      </c>
      <c r="AP372" s="110"/>
    </row>
    <row r="373" spans="1:42" ht="15" hidden="1" customHeight="1">
      <c r="A373" s="111" t="str">
        <f>'Sampling Data'!W363</f>
        <v/>
      </c>
      <c r="B373" s="112" t="str">
        <f>'Sampling Data'!A363</f>
        <v>CLEVELAND -03-V</v>
      </c>
      <c r="C373" s="112">
        <f>'Sampling Data'!B363</f>
        <v>1</v>
      </c>
      <c r="D373" s="112">
        <f>'Sampling Data'!C363</f>
        <v>2</v>
      </c>
      <c r="E373" s="113">
        <f>'Sampling Data'!D363</f>
        <v>1</v>
      </c>
      <c r="F373" s="113">
        <f>'Sampling Data'!E363</f>
        <v>1</v>
      </c>
      <c r="G373" s="113">
        <f>'Sampling Data'!F363</f>
        <v>0</v>
      </c>
      <c r="H373" s="113">
        <f>'Sampling Data'!G363</f>
        <v>0</v>
      </c>
      <c r="I373" s="112">
        <f>'Sampling Data'!H363</f>
        <v>0</v>
      </c>
      <c r="J373" s="112">
        <f>'Sampling Data'!I363</f>
        <v>0</v>
      </c>
      <c r="K373" s="112">
        <f>'Sampling Data'!J363</f>
        <v>5</v>
      </c>
      <c r="L373" s="111">
        <f>'Sampling Data'!X363</f>
        <v>0</v>
      </c>
      <c r="M373" s="114"/>
      <c r="N373" s="114"/>
      <c r="O373" s="115"/>
      <c r="P373" s="115"/>
      <c r="Q373" s="116"/>
      <c r="R373" s="116"/>
      <c r="S373" s="111">
        <f>Audit[[#This Row],[Audit Losing Candidate]]-Audit[[#This Row],[Losing Candidate]]</f>
        <v>-1</v>
      </c>
      <c r="T373" s="111">
        <f>Audit[[#This Row],[Audit Winning Candidate]]-Audit[[#This Row],[Winning Candidate]]</f>
        <v>-2</v>
      </c>
      <c r="U373" s="111">
        <f>Audit[[#This Row],[Audit Candidate 3]]-Audit[[#This Row],[Candidate 3]]</f>
        <v>-1</v>
      </c>
      <c r="V373" s="111">
        <f>Audit[[#This Row],[Audit Candidate 4]]-Audit[[#This Row],[Candidate 4]]</f>
        <v>-1</v>
      </c>
      <c r="W373" s="111">
        <f>Audit[[#This Row],[Audit Candidate 5]]-Audit[[#This Row],[Candidate 5]]</f>
        <v>0</v>
      </c>
      <c r="X373" s="111">
        <f>Audit[[#This Row],[Audit Candidate 6]]-Audit[[#This Row],[Candidate 6]]</f>
        <v>0</v>
      </c>
      <c r="Y373" s="111">
        <f>SUMIF(Audit[[#This Row],[Difference Loser]:[Difference Candidate 6]], "&gt;0")</f>
        <v>0</v>
      </c>
      <c r="Z373" s="111">
        <f>SUM(Audit[[#This Row],[Difference Loser]:[Difference Candidate 6]])</f>
        <v>-5</v>
      </c>
      <c r="AA373" s="111">
        <f>IF(Audit[[#This Row],[Times p Drawn - With Replacement]]&gt;0, IF(Audit[[#This Row],[Canceled Differences]]&lt;0, Audit[[#This Row],[Max Differences]]+ABS(Audit[[#This Row],[Canceled Differences]]), Audit[[#This Row],[Max Differences]]), 0)</f>
        <v>0</v>
      </c>
      <c r="AB373" s="111">
        <f>'Sampling Data'!P363</f>
        <v>3.6746692797648211E-4</v>
      </c>
      <c r="AC373" s="111">
        <f>IF(
      SUM(Audit[[#This Row],[Audit Losing Candidate]:[Audit Candidate 6]])
      &lt;&gt;0,
      (Audit[[#This Row],[Winning Candidate]]-Audit[[#This Row],[Losing Candidate]]-(Audit[[#This Row],[Audit Winning Candidate]]-Audit[[#This Row],[Audit Losing Candidate]]))/(Audit[[#Totals],[Winning Candidate]]-Audit[[#Totals],[Losing Candidate]]),
      0
)</f>
        <v>0</v>
      </c>
      <c r="AD3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3" s="111">
        <f>IF(Audit[[#This Row],[Max Relative Error (ep)]] = 0, 0, Audit[[#This Row],[Max Relative Error (ep)]]/Audit[[#This Row],[Error Bound (up) - Max. possible relative overstatement]])</f>
        <v>0</v>
      </c>
      <c r="AJ3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73" s="111">
        <f t="shared" si="5"/>
        <v>1</v>
      </c>
      <c r="AL373" s="111">
        <f>PRODUCT($AK$5:AK373)</f>
        <v>8.962823818226312E-2</v>
      </c>
      <c r="AM373" s="109">
        <f>1 - [K-M P Value]</f>
        <v>0.91037176181773694</v>
      </c>
      <c r="AN373" s="111" t="str">
        <f>IF(Audit[[#This Row],[K-M P Value]]&gt;1-'General Info'!$B$16,"Continue", "Stop")</f>
        <v>Stop</v>
      </c>
      <c r="AO373" s="110" t="b">
        <f>IF(Audit[[#This Row],[Status - Continue or stop audit]] = "Continue", TRUE, IF(AN372 = "Continue", TRUE, FALSE))</f>
        <v>0</v>
      </c>
      <c r="AP373" s="110"/>
    </row>
    <row r="374" spans="1:42" ht="15" hidden="1" customHeight="1">
      <c r="A374" s="111" t="str">
        <f>'Sampling Data'!W364</f>
        <v/>
      </c>
      <c r="B374" s="112" t="str">
        <f>'Sampling Data'!A364</f>
        <v>CLEVELAND -03-V - ABS</v>
      </c>
      <c r="C374" s="112">
        <f>'Sampling Data'!B364</f>
        <v>0</v>
      </c>
      <c r="D374" s="112">
        <f>'Sampling Data'!C364</f>
        <v>1</v>
      </c>
      <c r="E374" s="113">
        <f>'Sampling Data'!D364</f>
        <v>0</v>
      </c>
      <c r="F374" s="113">
        <f>'Sampling Data'!E364</f>
        <v>0</v>
      </c>
      <c r="G374" s="113">
        <f>'Sampling Data'!F364</f>
        <v>0</v>
      </c>
      <c r="H374" s="113">
        <f>'Sampling Data'!G364</f>
        <v>0</v>
      </c>
      <c r="I374" s="112">
        <f>'Sampling Data'!H364</f>
        <v>0</v>
      </c>
      <c r="J374" s="112">
        <f>'Sampling Data'!I364</f>
        <v>0</v>
      </c>
      <c r="K374" s="112">
        <f>'Sampling Data'!J364</f>
        <v>1</v>
      </c>
      <c r="L374" s="111">
        <f>'Sampling Data'!X364</f>
        <v>0</v>
      </c>
      <c r="M374" s="114"/>
      <c r="N374" s="114"/>
      <c r="O374" s="115"/>
      <c r="P374" s="115"/>
      <c r="Q374" s="116"/>
      <c r="R374" s="116"/>
      <c r="S374" s="111">
        <f>Audit[[#This Row],[Audit Losing Candidate]]-Audit[[#This Row],[Losing Candidate]]</f>
        <v>0</v>
      </c>
      <c r="T374" s="111">
        <f>Audit[[#This Row],[Audit Winning Candidate]]-Audit[[#This Row],[Winning Candidate]]</f>
        <v>-1</v>
      </c>
      <c r="U374" s="111">
        <f>Audit[[#This Row],[Audit Candidate 3]]-Audit[[#This Row],[Candidate 3]]</f>
        <v>0</v>
      </c>
      <c r="V374" s="111">
        <f>Audit[[#This Row],[Audit Candidate 4]]-Audit[[#This Row],[Candidate 4]]</f>
        <v>0</v>
      </c>
      <c r="W374" s="111">
        <f>Audit[[#This Row],[Audit Candidate 5]]-Audit[[#This Row],[Candidate 5]]</f>
        <v>0</v>
      </c>
      <c r="X374" s="111">
        <f>Audit[[#This Row],[Audit Candidate 6]]-Audit[[#This Row],[Candidate 6]]</f>
        <v>0</v>
      </c>
      <c r="Y374" s="111">
        <f>SUMIF(Audit[[#This Row],[Difference Loser]:[Difference Candidate 6]], "&gt;0")</f>
        <v>0</v>
      </c>
      <c r="Z374" s="111">
        <f>SUM(Audit[[#This Row],[Difference Loser]:[Difference Candidate 6]])</f>
        <v>-1</v>
      </c>
      <c r="AA374" s="111">
        <f>IF(Audit[[#This Row],[Times p Drawn - With Replacement]]&gt;0, IF(Audit[[#This Row],[Canceled Differences]]&lt;0, Audit[[#This Row],[Max Differences]]+ABS(Audit[[#This Row],[Canceled Differences]]), Audit[[#This Row],[Max Differences]]), 0)</f>
        <v>0</v>
      </c>
      <c r="AB374" s="111">
        <f>'Sampling Data'!P364</f>
        <v>1.224889759921607E-4</v>
      </c>
      <c r="AC374" s="111">
        <f>IF(
      SUM(Audit[[#This Row],[Audit Losing Candidate]:[Audit Candidate 6]])
      &lt;&gt;0,
      (Audit[[#This Row],[Winning Candidate]]-Audit[[#This Row],[Losing Candidate]]-(Audit[[#This Row],[Audit Winning Candidate]]-Audit[[#This Row],[Audit Losing Candidate]]))/(Audit[[#Totals],[Winning Candidate]]-Audit[[#Totals],[Losing Candidate]]),
      0
)</f>
        <v>0</v>
      </c>
      <c r="AD3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4" s="111">
        <f>IF(Audit[[#This Row],[Max Relative Error (ep)]] = 0, 0, Audit[[#This Row],[Max Relative Error (ep)]]/Audit[[#This Row],[Error Bound (up) - Max. possible relative overstatement]])</f>
        <v>0</v>
      </c>
      <c r="AJ3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74" s="111">
        <f t="shared" si="5"/>
        <v>1</v>
      </c>
      <c r="AL374" s="111">
        <f>PRODUCT($AK$5:AK374)</f>
        <v>8.962823818226312E-2</v>
      </c>
      <c r="AM374" s="109">
        <f>1 - [K-M P Value]</f>
        <v>0.91037176181773694</v>
      </c>
      <c r="AN374" s="111" t="str">
        <f>IF(Audit[[#This Row],[K-M P Value]]&gt;1-'General Info'!$B$16,"Continue", "Stop")</f>
        <v>Stop</v>
      </c>
      <c r="AO374" s="110" t="b">
        <f>IF(Audit[[#This Row],[Status - Continue or stop audit]] = "Continue", TRUE, IF(AN373 = "Continue", TRUE, FALSE))</f>
        <v>0</v>
      </c>
      <c r="AP374" s="110"/>
    </row>
    <row r="375" spans="1:42" ht="15" hidden="1" customHeight="1">
      <c r="A375" s="111" t="str">
        <f>'Sampling Data'!W365</f>
        <v/>
      </c>
      <c r="B375" s="112" t="str">
        <f>'Sampling Data'!A365</f>
        <v>CLEVELAND -04-A</v>
      </c>
      <c r="C375" s="112">
        <f>'Sampling Data'!B365</f>
        <v>3</v>
      </c>
      <c r="D375" s="112">
        <f>'Sampling Data'!C365</f>
        <v>1</v>
      </c>
      <c r="E375" s="113">
        <f>'Sampling Data'!D365</f>
        <v>0</v>
      </c>
      <c r="F375" s="113">
        <f>'Sampling Data'!E365</f>
        <v>0</v>
      </c>
      <c r="G375" s="113">
        <f>'Sampling Data'!F365</f>
        <v>0</v>
      </c>
      <c r="H375" s="113">
        <f>'Sampling Data'!G365</f>
        <v>0</v>
      </c>
      <c r="I375" s="112">
        <f>'Sampling Data'!H365</f>
        <v>0</v>
      </c>
      <c r="J375" s="112">
        <f>'Sampling Data'!I365</f>
        <v>1</v>
      </c>
      <c r="K375" s="112">
        <f>'Sampling Data'!J365</f>
        <v>5</v>
      </c>
      <c r="L375" s="111">
        <f>'Sampling Data'!X365</f>
        <v>0</v>
      </c>
      <c r="M375" s="114"/>
      <c r="N375" s="114"/>
      <c r="O375" s="115"/>
      <c r="P375" s="115"/>
      <c r="Q375" s="116"/>
      <c r="R375" s="116"/>
      <c r="S375" s="111">
        <f>Audit[[#This Row],[Audit Losing Candidate]]-Audit[[#This Row],[Losing Candidate]]</f>
        <v>-3</v>
      </c>
      <c r="T375" s="111">
        <f>Audit[[#This Row],[Audit Winning Candidate]]-Audit[[#This Row],[Winning Candidate]]</f>
        <v>-1</v>
      </c>
      <c r="U375" s="111">
        <f>Audit[[#This Row],[Audit Candidate 3]]-Audit[[#This Row],[Candidate 3]]</f>
        <v>0</v>
      </c>
      <c r="V375" s="111">
        <f>Audit[[#This Row],[Audit Candidate 4]]-Audit[[#This Row],[Candidate 4]]</f>
        <v>0</v>
      </c>
      <c r="W375" s="111">
        <f>Audit[[#This Row],[Audit Candidate 5]]-Audit[[#This Row],[Candidate 5]]</f>
        <v>0</v>
      </c>
      <c r="X375" s="111">
        <f>Audit[[#This Row],[Audit Candidate 6]]-Audit[[#This Row],[Candidate 6]]</f>
        <v>0</v>
      </c>
      <c r="Y375" s="111">
        <f>SUMIF(Audit[[#This Row],[Difference Loser]:[Difference Candidate 6]], "&gt;0")</f>
        <v>0</v>
      </c>
      <c r="Z375" s="111">
        <f>SUM(Audit[[#This Row],[Difference Loser]:[Difference Candidate 6]])</f>
        <v>-4</v>
      </c>
      <c r="AA375" s="111">
        <f>IF(Audit[[#This Row],[Times p Drawn - With Replacement]]&gt;0, IF(Audit[[#This Row],[Canceled Differences]]&lt;0, Audit[[#This Row],[Max Differences]]+ABS(Audit[[#This Row],[Canceled Differences]]), Audit[[#This Row],[Max Differences]]), 0)</f>
        <v>0</v>
      </c>
      <c r="AB375" s="111">
        <f>'Sampling Data'!P365</f>
        <v>1.9356711939865149E-4</v>
      </c>
      <c r="AC375" s="111">
        <f>IF(
      SUM(Audit[[#This Row],[Audit Losing Candidate]:[Audit Candidate 6]])
      &lt;&gt;0,
      (Audit[[#This Row],[Winning Candidate]]-Audit[[#This Row],[Losing Candidate]]-(Audit[[#This Row],[Audit Winning Candidate]]-Audit[[#This Row],[Audit Losing Candidate]]))/(Audit[[#Totals],[Winning Candidate]]-Audit[[#Totals],[Losing Candidate]]),
      0
)</f>
        <v>0</v>
      </c>
      <c r="AD3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5" s="111">
        <f>IF(Audit[[#This Row],[Max Relative Error (ep)]] = 0, 0, Audit[[#This Row],[Max Relative Error (ep)]]/Audit[[#This Row],[Error Bound (up) - Max. possible relative overstatement]])</f>
        <v>0</v>
      </c>
      <c r="AJ3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75" s="111">
        <f t="shared" si="5"/>
        <v>1</v>
      </c>
      <c r="AL375" s="111">
        <f>PRODUCT($AK$5:AK375)</f>
        <v>8.962823818226312E-2</v>
      </c>
      <c r="AM375" s="109">
        <f>1 - [K-M P Value]</f>
        <v>0.91037176181773694</v>
      </c>
      <c r="AN375" s="111" t="str">
        <f>IF(Audit[[#This Row],[K-M P Value]]&gt;1-'General Info'!$B$16,"Continue", "Stop")</f>
        <v>Stop</v>
      </c>
      <c r="AO375" s="110" t="b">
        <f>IF(Audit[[#This Row],[Status - Continue or stop audit]] = "Continue", TRUE, IF(AN374 = "Continue", TRUE, FALSE))</f>
        <v>0</v>
      </c>
      <c r="AP375" s="110"/>
    </row>
    <row r="376" spans="1:42" ht="15" hidden="1" customHeight="1">
      <c r="A376" s="111" t="str">
        <f>'Sampling Data'!W366</f>
        <v/>
      </c>
      <c r="B376" s="112" t="str">
        <f>'Sampling Data'!A366</f>
        <v>CLEVELAND -04-A - ABS</v>
      </c>
      <c r="C376" s="112">
        <f>'Sampling Data'!B366</f>
        <v>8</v>
      </c>
      <c r="D376" s="112">
        <f>'Sampling Data'!C366</f>
        <v>2</v>
      </c>
      <c r="E376" s="113">
        <f>'Sampling Data'!D366</f>
        <v>0</v>
      </c>
      <c r="F376" s="113">
        <f>'Sampling Data'!E366</f>
        <v>0</v>
      </c>
      <c r="G376" s="113">
        <f>'Sampling Data'!F366</f>
        <v>0</v>
      </c>
      <c r="H376" s="113">
        <f>'Sampling Data'!G366</f>
        <v>0</v>
      </c>
      <c r="I376" s="112">
        <f>'Sampling Data'!H366</f>
        <v>0</v>
      </c>
      <c r="J376" s="112">
        <f>'Sampling Data'!I366</f>
        <v>1</v>
      </c>
      <c r="K376" s="112">
        <f>'Sampling Data'!J366</f>
        <v>11</v>
      </c>
      <c r="L376" s="111">
        <f>'Sampling Data'!X366</f>
        <v>0</v>
      </c>
      <c r="M376" s="114"/>
      <c r="N376" s="114"/>
      <c r="O376" s="115"/>
      <c r="P376" s="115"/>
      <c r="Q376" s="116"/>
      <c r="R376" s="116"/>
      <c r="S376" s="111">
        <f>Audit[[#This Row],[Audit Losing Candidate]]-Audit[[#This Row],[Losing Candidate]]</f>
        <v>-8</v>
      </c>
      <c r="T376" s="111">
        <f>Audit[[#This Row],[Audit Winning Candidate]]-Audit[[#This Row],[Winning Candidate]]</f>
        <v>-2</v>
      </c>
      <c r="U376" s="111">
        <f>Audit[[#This Row],[Audit Candidate 3]]-Audit[[#This Row],[Candidate 3]]</f>
        <v>0</v>
      </c>
      <c r="V376" s="111">
        <f>Audit[[#This Row],[Audit Candidate 4]]-Audit[[#This Row],[Candidate 4]]</f>
        <v>0</v>
      </c>
      <c r="W376" s="111">
        <f>Audit[[#This Row],[Audit Candidate 5]]-Audit[[#This Row],[Candidate 5]]</f>
        <v>0</v>
      </c>
      <c r="X376" s="111">
        <f>Audit[[#This Row],[Audit Candidate 6]]-Audit[[#This Row],[Candidate 6]]</f>
        <v>0</v>
      </c>
      <c r="Y376" s="111">
        <f>SUMIF(Audit[[#This Row],[Difference Loser]:[Difference Candidate 6]], "&gt;0")</f>
        <v>0</v>
      </c>
      <c r="Z376" s="111">
        <f>SUM(Audit[[#This Row],[Difference Loser]:[Difference Candidate 6]])</f>
        <v>-10</v>
      </c>
      <c r="AA376" s="111">
        <f>IF(Audit[[#This Row],[Times p Drawn - With Replacement]]&gt;0, IF(Audit[[#This Row],[Canceled Differences]]&lt;0, Audit[[#This Row],[Max Differences]]+ABS(Audit[[#This Row],[Canceled Differences]]), Audit[[#This Row],[Max Differences]]), 0)</f>
        <v>0</v>
      </c>
      <c r="AB376" s="111">
        <f>'Sampling Data'!P366</f>
        <v>4.1939542536374486E-4</v>
      </c>
      <c r="AC376" s="111">
        <f>IF(
      SUM(Audit[[#This Row],[Audit Losing Candidate]:[Audit Candidate 6]])
      &lt;&gt;0,
      (Audit[[#This Row],[Winning Candidate]]-Audit[[#This Row],[Losing Candidate]]-(Audit[[#This Row],[Audit Winning Candidate]]-Audit[[#This Row],[Audit Losing Candidate]]))/(Audit[[#Totals],[Winning Candidate]]-Audit[[#Totals],[Losing Candidate]]),
      0
)</f>
        <v>0</v>
      </c>
      <c r="AD3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6" s="111">
        <f>IF(Audit[[#This Row],[Max Relative Error (ep)]] = 0, 0, Audit[[#This Row],[Max Relative Error (ep)]]/Audit[[#This Row],[Error Bound (up) - Max. possible relative overstatement]])</f>
        <v>0</v>
      </c>
      <c r="AJ3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76" s="111">
        <f t="shared" si="5"/>
        <v>1</v>
      </c>
      <c r="AL376" s="111">
        <f>PRODUCT($AK$5:AK376)</f>
        <v>8.962823818226312E-2</v>
      </c>
      <c r="AM376" s="109">
        <f>1 - [K-M P Value]</f>
        <v>0.91037176181773694</v>
      </c>
      <c r="AN376" s="111" t="str">
        <f>IF(Audit[[#This Row],[K-M P Value]]&gt;1-'General Info'!$B$16,"Continue", "Stop")</f>
        <v>Stop</v>
      </c>
      <c r="AO376" s="110" t="b">
        <f>IF(Audit[[#This Row],[Status - Continue or stop audit]] = "Continue", TRUE, IF(AN375 = "Continue", TRUE, FALSE))</f>
        <v>0</v>
      </c>
      <c r="AP376" s="110"/>
    </row>
    <row r="377" spans="1:42" ht="15" hidden="1" customHeight="1">
      <c r="A377" s="111" t="str">
        <f>'Sampling Data'!W367</f>
        <v/>
      </c>
      <c r="B377" s="112" t="str">
        <f>'Sampling Data'!A367</f>
        <v>CLEVELAND -04-B</v>
      </c>
      <c r="C377" s="112">
        <f>'Sampling Data'!B367</f>
        <v>4</v>
      </c>
      <c r="D377" s="112">
        <f>'Sampling Data'!C367</f>
        <v>2</v>
      </c>
      <c r="E377" s="113">
        <f>'Sampling Data'!D367</f>
        <v>1</v>
      </c>
      <c r="F377" s="113">
        <f>'Sampling Data'!E367</f>
        <v>0</v>
      </c>
      <c r="G377" s="113">
        <f>'Sampling Data'!F367</f>
        <v>0</v>
      </c>
      <c r="H377" s="113">
        <f>'Sampling Data'!G367</f>
        <v>0</v>
      </c>
      <c r="I377" s="112">
        <f>'Sampling Data'!H367</f>
        <v>0</v>
      </c>
      <c r="J377" s="112">
        <f>'Sampling Data'!I367</f>
        <v>2</v>
      </c>
      <c r="K377" s="112">
        <f>'Sampling Data'!J367</f>
        <v>9</v>
      </c>
      <c r="L377" s="111">
        <f>'Sampling Data'!X367</f>
        <v>0</v>
      </c>
      <c r="M377" s="114"/>
      <c r="N377" s="114"/>
      <c r="O377" s="115"/>
      <c r="P377" s="115"/>
      <c r="Q377" s="116"/>
      <c r="R377" s="116"/>
      <c r="S377" s="111">
        <f>Audit[[#This Row],[Audit Losing Candidate]]-Audit[[#This Row],[Losing Candidate]]</f>
        <v>-4</v>
      </c>
      <c r="T377" s="111">
        <f>Audit[[#This Row],[Audit Winning Candidate]]-Audit[[#This Row],[Winning Candidate]]</f>
        <v>-2</v>
      </c>
      <c r="U377" s="111">
        <f>Audit[[#This Row],[Audit Candidate 3]]-Audit[[#This Row],[Candidate 3]]</f>
        <v>-1</v>
      </c>
      <c r="V377" s="111">
        <f>Audit[[#This Row],[Audit Candidate 4]]-Audit[[#This Row],[Candidate 4]]</f>
        <v>0</v>
      </c>
      <c r="W377" s="111">
        <f>Audit[[#This Row],[Audit Candidate 5]]-Audit[[#This Row],[Candidate 5]]</f>
        <v>0</v>
      </c>
      <c r="X377" s="111">
        <f>Audit[[#This Row],[Audit Candidate 6]]-Audit[[#This Row],[Candidate 6]]</f>
        <v>0</v>
      </c>
      <c r="Y377" s="111">
        <f>SUMIF(Audit[[#This Row],[Difference Loser]:[Difference Candidate 6]], "&gt;0")</f>
        <v>0</v>
      </c>
      <c r="Z377" s="111">
        <f>SUM(Audit[[#This Row],[Difference Loser]:[Difference Candidate 6]])</f>
        <v>-7</v>
      </c>
      <c r="AA377" s="111">
        <f>IF(Audit[[#This Row],[Times p Drawn - With Replacement]]&gt;0, IF(Audit[[#This Row],[Canceled Differences]]&lt;0, Audit[[#This Row],[Max Differences]]+ABS(Audit[[#This Row],[Canceled Differences]]), Audit[[#This Row],[Max Differences]]), 0)</f>
        <v>0</v>
      </c>
      <c r="AB377" s="111">
        <f>'Sampling Data'!P367</f>
        <v>4.2871141597256246E-4</v>
      </c>
      <c r="AC377" s="111">
        <f>IF(
      SUM(Audit[[#This Row],[Audit Losing Candidate]:[Audit Candidate 6]])
      &lt;&gt;0,
      (Audit[[#This Row],[Winning Candidate]]-Audit[[#This Row],[Losing Candidate]]-(Audit[[#This Row],[Audit Winning Candidate]]-Audit[[#This Row],[Audit Losing Candidate]]))/(Audit[[#Totals],[Winning Candidate]]-Audit[[#Totals],[Losing Candidate]]),
      0
)</f>
        <v>0</v>
      </c>
      <c r="AD3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7" s="111">
        <f>IF(Audit[[#This Row],[Max Relative Error (ep)]] = 0, 0, Audit[[#This Row],[Max Relative Error (ep)]]/Audit[[#This Row],[Error Bound (up) - Max. possible relative overstatement]])</f>
        <v>0</v>
      </c>
      <c r="AJ3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77" s="111">
        <f t="shared" si="5"/>
        <v>1</v>
      </c>
      <c r="AL377" s="111">
        <f>PRODUCT($AK$5:AK377)</f>
        <v>8.962823818226312E-2</v>
      </c>
      <c r="AM377" s="109">
        <f>1 - [K-M P Value]</f>
        <v>0.91037176181773694</v>
      </c>
      <c r="AN377" s="111" t="str">
        <f>IF(Audit[[#This Row],[K-M P Value]]&gt;1-'General Info'!$B$16,"Continue", "Stop")</f>
        <v>Stop</v>
      </c>
      <c r="AO377" s="110" t="b">
        <f>IF(Audit[[#This Row],[Status - Continue or stop audit]] = "Continue", TRUE, IF(AN376 = "Continue", TRUE, FALSE))</f>
        <v>0</v>
      </c>
      <c r="AP377" s="110"/>
    </row>
    <row r="378" spans="1:42" ht="15" hidden="1" customHeight="1">
      <c r="A378" s="111" t="str">
        <f>'Sampling Data'!W368</f>
        <v/>
      </c>
      <c r="B378" s="112" t="str">
        <f>'Sampling Data'!A368</f>
        <v>CLEVELAND -04-B - ABS</v>
      </c>
      <c r="C378" s="112">
        <f>'Sampling Data'!B368</f>
        <v>1</v>
      </c>
      <c r="D378" s="112">
        <f>'Sampling Data'!C368</f>
        <v>3</v>
      </c>
      <c r="E378" s="113">
        <f>'Sampling Data'!D368</f>
        <v>0</v>
      </c>
      <c r="F378" s="113">
        <f>'Sampling Data'!E368</f>
        <v>0</v>
      </c>
      <c r="G378" s="113">
        <f>'Sampling Data'!F368</f>
        <v>1</v>
      </c>
      <c r="H378" s="113">
        <f>'Sampling Data'!G368</f>
        <v>0</v>
      </c>
      <c r="I378" s="112">
        <f>'Sampling Data'!H368</f>
        <v>0</v>
      </c>
      <c r="J378" s="112">
        <f>'Sampling Data'!I368</f>
        <v>1</v>
      </c>
      <c r="K378" s="112">
        <f>'Sampling Data'!J368</f>
        <v>6</v>
      </c>
      <c r="L378" s="111">
        <f>'Sampling Data'!X368</f>
        <v>0</v>
      </c>
      <c r="M378" s="114"/>
      <c r="N378" s="114"/>
      <c r="O378" s="115"/>
      <c r="P378" s="115"/>
      <c r="Q378" s="116"/>
      <c r="R378" s="116"/>
      <c r="S378" s="111">
        <f>Audit[[#This Row],[Audit Losing Candidate]]-Audit[[#This Row],[Losing Candidate]]</f>
        <v>-1</v>
      </c>
      <c r="T378" s="111">
        <f>Audit[[#This Row],[Audit Winning Candidate]]-Audit[[#This Row],[Winning Candidate]]</f>
        <v>-3</v>
      </c>
      <c r="U378" s="111">
        <f>Audit[[#This Row],[Audit Candidate 3]]-Audit[[#This Row],[Candidate 3]]</f>
        <v>0</v>
      </c>
      <c r="V378" s="111">
        <f>Audit[[#This Row],[Audit Candidate 4]]-Audit[[#This Row],[Candidate 4]]</f>
        <v>0</v>
      </c>
      <c r="W378" s="111">
        <f>Audit[[#This Row],[Audit Candidate 5]]-Audit[[#This Row],[Candidate 5]]</f>
        <v>-1</v>
      </c>
      <c r="X378" s="111">
        <f>Audit[[#This Row],[Audit Candidate 6]]-Audit[[#This Row],[Candidate 6]]</f>
        <v>0</v>
      </c>
      <c r="Y378" s="111">
        <f>SUMIF(Audit[[#This Row],[Difference Loser]:[Difference Candidate 6]], "&gt;0")</f>
        <v>0</v>
      </c>
      <c r="Z378" s="111">
        <f>SUM(Audit[[#This Row],[Difference Loser]:[Difference Candidate 6]])</f>
        <v>-5</v>
      </c>
      <c r="AA378" s="111">
        <f>IF(Audit[[#This Row],[Times p Drawn - With Replacement]]&gt;0, IF(Audit[[#This Row],[Canceled Differences]]&lt;0, Audit[[#This Row],[Max Differences]]+ABS(Audit[[#This Row],[Canceled Differences]]), Audit[[#This Row],[Max Differences]]), 0)</f>
        <v>0</v>
      </c>
      <c r="AB378" s="111">
        <f>'Sampling Data'!P368</f>
        <v>4.8995590396864281E-4</v>
      </c>
      <c r="AC378" s="111">
        <f>IF(
      SUM(Audit[[#This Row],[Audit Losing Candidate]:[Audit Candidate 6]])
      &lt;&gt;0,
      (Audit[[#This Row],[Winning Candidate]]-Audit[[#This Row],[Losing Candidate]]-(Audit[[#This Row],[Audit Winning Candidate]]-Audit[[#This Row],[Audit Losing Candidate]]))/(Audit[[#Totals],[Winning Candidate]]-Audit[[#Totals],[Losing Candidate]]),
      0
)</f>
        <v>0</v>
      </c>
      <c r="AD3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8" s="111">
        <f>IF(Audit[[#This Row],[Max Relative Error (ep)]] = 0, 0, Audit[[#This Row],[Max Relative Error (ep)]]/Audit[[#This Row],[Error Bound (up) - Max. possible relative overstatement]])</f>
        <v>0</v>
      </c>
      <c r="AJ3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78" s="111">
        <f t="shared" si="5"/>
        <v>1</v>
      </c>
      <c r="AL378" s="111">
        <f>PRODUCT($AK$5:AK378)</f>
        <v>8.962823818226312E-2</v>
      </c>
      <c r="AM378" s="109">
        <f>1 - [K-M P Value]</f>
        <v>0.91037176181773694</v>
      </c>
      <c r="AN378" s="111" t="str">
        <f>IF(Audit[[#This Row],[K-M P Value]]&gt;1-'General Info'!$B$16,"Continue", "Stop")</f>
        <v>Stop</v>
      </c>
      <c r="AO378" s="110" t="b">
        <f>IF(Audit[[#This Row],[Status - Continue or stop audit]] = "Continue", TRUE, IF(AN377 = "Continue", TRUE, FALSE))</f>
        <v>0</v>
      </c>
      <c r="AP378" s="110"/>
    </row>
    <row r="379" spans="1:42" ht="15" hidden="1" customHeight="1">
      <c r="A379" s="111" t="str">
        <f>'Sampling Data'!W369</f>
        <v/>
      </c>
      <c r="B379" s="112" t="str">
        <f>'Sampling Data'!A369</f>
        <v>CLEVELAND -04-C</v>
      </c>
      <c r="C379" s="112">
        <f>'Sampling Data'!B369</f>
        <v>1</v>
      </c>
      <c r="D379" s="112">
        <f>'Sampling Data'!C369</f>
        <v>1</v>
      </c>
      <c r="E379" s="113">
        <f>'Sampling Data'!D369</f>
        <v>0</v>
      </c>
      <c r="F379" s="113">
        <f>'Sampling Data'!E369</f>
        <v>0</v>
      </c>
      <c r="G379" s="113">
        <f>'Sampling Data'!F369</f>
        <v>0</v>
      </c>
      <c r="H379" s="113">
        <f>'Sampling Data'!G369</f>
        <v>0</v>
      </c>
      <c r="I379" s="112">
        <f>'Sampling Data'!H369</f>
        <v>0</v>
      </c>
      <c r="J379" s="112">
        <f>'Sampling Data'!I369</f>
        <v>0</v>
      </c>
      <c r="K379" s="112">
        <f>'Sampling Data'!J369</f>
        <v>2</v>
      </c>
      <c r="L379" s="111">
        <f>'Sampling Data'!X369</f>
        <v>0</v>
      </c>
      <c r="M379" s="114"/>
      <c r="N379" s="114"/>
      <c r="O379" s="115"/>
      <c r="P379" s="115"/>
      <c r="Q379" s="116"/>
      <c r="R379" s="116"/>
      <c r="S379" s="111">
        <f>Audit[[#This Row],[Audit Losing Candidate]]-Audit[[#This Row],[Losing Candidate]]</f>
        <v>-1</v>
      </c>
      <c r="T379" s="111">
        <f>Audit[[#This Row],[Audit Winning Candidate]]-Audit[[#This Row],[Winning Candidate]]</f>
        <v>-1</v>
      </c>
      <c r="U379" s="111">
        <f>Audit[[#This Row],[Audit Candidate 3]]-Audit[[#This Row],[Candidate 3]]</f>
        <v>0</v>
      </c>
      <c r="V379" s="111">
        <f>Audit[[#This Row],[Audit Candidate 4]]-Audit[[#This Row],[Candidate 4]]</f>
        <v>0</v>
      </c>
      <c r="W379" s="111">
        <f>Audit[[#This Row],[Audit Candidate 5]]-Audit[[#This Row],[Candidate 5]]</f>
        <v>0</v>
      </c>
      <c r="X379" s="111">
        <f>Audit[[#This Row],[Audit Candidate 6]]-Audit[[#This Row],[Candidate 6]]</f>
        <v>0</v>
      </c>
      <c r="Y379" s="111">
        <f>SUMIF(Audit[[#This Row],[Difference Loser]:[Difference Candidate 6]], "&gt;0")</f>
        <v>0</v>
      </c>
      <c r="Z379" s="111">
        <f>SUM(Audit[[#This Row],[Difference Loser]:[Difference Candidate 6]])</f>
        <v>-2</v>
      </c>
      <c r="AA379" s="111">
        <f>IF(Audit[[#This Row],[Times p Drawn - With Replacement]]&gt;0, IF(Audit[[#This Row],[Canceled Differences]]&lt;0, Audit[[#This Row],[Max Differences]]+ABS(Audit[[#This Row],[Canceled Differences]]), Audit[[#This Row],[Max Differences]]), 0)</f>
        <v>0</v>
      </c>
      <c r="AB379" s="111">
        <f>'Sampling Data'!P369</f>
        <v>1.224889759921607E-4</v>
      </c>
      <c r="AC379" s="111">
        <f>IF(
      SUM(Audit[[#This Row],[Audit Losing Candidate]:[Audit Candidate 6]])
      &lt;&gt;0,
      (Audit[[#This Row],[Winning Candidate]]-Audit[[#This Row],[Losing Candidate]]-(Audit[[#This Row],[Audit Winning Candidate]]-Audit[[#This Row],[Audit Losing Candidate]]))/(Audit[[#Totals],[Winning Candidate]]-Audit[[#Totals],[Losing Candidate]]),
      0
)</f>
        <v>0</v>
      </c>
      <c r="AD3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9" s="111">
        <f>IF(Audit[[#This Row],[Max Relative Error (ep)]] = 0, 0, Audit[[#This Row],[Max Relative Error (ep)]]/Audit[[#This Row],[Error Bound (up) - Max. possible relative overstatement]])</f>
        <v>0</v>
      </c>
      <c r="AJ3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79" s="111">
        <f t="shared" si="5"/>
        <v>1</v>
      </c>
      <c r="AL379" s="111">
        <f>PRODUCT($AK$5:AK379)</f>
        <v>8.962823818226312E-2</v>
      </c>
      <c r="AM379" s="109">
        <f>1 - [K-M P Value]</f>
        <v>0.91037176181773694</v>
      </c>
      <c r="AN379" s="111" t="str">
        <f>IF(Audit[[#This Row],[K-M P Value]]&gt;1-'General Info'!$B$16,"Continue", "Stop")</f>
        <v>Stop</v>
      </c>
      <c r="AO379" s="110" t="b">
        <f>IF(Audit[[#This Row],[Status - Continue or stop audit]] = "Continue", TRUE, IF(AN378 = "Continue", TRUE, FALSE))</f>
        <v>0</v>
      </c>
      <c r="AP379" s="110"/>
    </row>
    <row r="380" spans="1:42" ht="15" hidden="1" customHeight="1">
      <c r="A380" s="111" t="str">
        <f>'Sampling Data'!W370</f>
        <v/>
      </c>
      <c r="B380" s="112" t="str">
        <f>'Sampling Data'!A370</f>
        <v>CLEVELAND -04-C - ABS</v>
      </c>
      <c r="C380" s="112">
        <f>'Sampling Data'!B370</f>
        <v>0</v>
      </c>
      <c r="D380" s="112">
        <f>'Sampling Data'!C370</f>
        <v>0</v>
      </c>
      <c r="E380" s="113">
        <f>'Sampling Data'!D370</f>
        <v>0</v>
      </c>
      <c r="F380" s="113">
        <f>'Sampling Data'!E370</f>
        <v>0</v>
      </c>
      <c r="G380" s="113">
        <f>'Sampling Data'!F370</f>
        <v>0</v>
      </c>
      <c r="H380" s="113">
        <f>'Sampling Data'!G370</f>
        <v>0</v>
      </c>
      <c r="I380" s="112">
        <f>'Sampling Data'!H370</f>
        <v>0</v>
      </c>
      <c r="J380" s="112">
        <f>'Sampling Data'!I370</f>
        <v>0</v>
      </c>
      <c r="K380" s="112">
        <f>'Sampling Data'!J370</f>
        <v>0</v>
      </c>
      <c r="L380" s="111">
        <f>'Sampling Data'!X370</f>
        <v>0</v>
      </c>
      <c r="M380" s="114"/>
      <c r="N380" s="114"/>
      <c r="O380" s="115"/>
      <c r="P380" s="115"/>
      <c r="Q380" s="116"/>
      <c r="R380" s="116"/>
      <c r="S380" s="111">
        <f>Audit[[#This Row],[Audit Losing Candidate]]-Audit[[#This Row],[Losing Candidate]]</f>
        <v>0</v>
      </c>
      <c r="T380" s="111">
        <f>Audit[[#This Row],[Audit Winning Candidate]]-Audit[[#This Row],[Winning Candidate]]</f>
        <v>0</v>
      </c>
      <c r="U380" s="111">
        <f>Audit[[#This Row],[Audit Candidate 3]]-Audit[[#This Row],[Candidate 3]]</f>
        <v>0</v>
      </c>
      <c r="V380" s="111">
        <f>Audit[[#This Row],[Audit Candidate 4]]-Audit[[#This Row],[Candidate 4]]</f>
        <v>0</v>
      </c>
      <c r="W380" s="111">
        <f>Audit[[#This Row],[Audit Candidate 5]]-Audit[[#This Row],[Candidate 5]]</f>
        <v>0</v>
      </c>
      <c r="X380" s="111">
        <f>Audit[[#This Row],[Audit Candidate 6]]-Audit[[#This Row],[Candidate 6]]</f>
        <v>0</v>
      </c>
      <c r="Y380" s="111">
        <f>SUMIF(Audit[[#This Row],[Difference Loser]:[Difference Candidate 6]], "&gt;0")</f>
        <v>0</v>
      </c>
      <c r="Z380" s="111">
        <f>SUM(Audit[[#This Row],[Difference Loser]:[Difference Candidate 6]])</f>
        <v>0</v>
      </c>
      <c r="AA380" s="111">
        <f>IF(Audit[[#This Row],[Times p Drawn - With Replacement]]&gt;0, IF(Audit[[#This Row],[Canceled Differences]]&lt;0, Audit[[#This Row],[Max Differences]]+ABS(Audit[[#This Row],[Canceled Differences]]), Audit[[#This Row],[Max Differences]]), 0)</f>
        <v>0</v>
      </c>
      <c r="AB380" s="111">
        <f>'Sampling Data'!P370</f>
        <v>0</v>
      </c>
      <c r="AC380" s="111">
        <f>IF(
      SUM(Audit[[#This Row],[Audit Losing Candidate]:[Audit Candidate 6]])
      &lt;&gt;0,
      (Audit[[#This Row],[Winning Candidate]]-Audit[[#This Row],[Losing Candidate]]-(Audit[[#This Row],[Audit Winning Candidate]]-Audit[[#This Row],[Audit Losing Candidate]]))/(Audit[[#Totals],[Winning Candidate]]-Audit[[#Totals],[Losing Candidate]]),
      0
)</f>
        <v>0</v>
      </c>
      <c r="AD3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0" s="111">
        <f>IF(Audit[[#This Row],[Max Relative Error (ep)]] = 0, 0, Audit[[#This Row],[Max Relative Error (ep)]]/Audit[[#This Row],[Error Bound (up) - Max. possible relative overstatement]])</f>
        <v>0</v>
      </c>
      <c r="AJ3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80" s="111">
        <f t="shared" si="5"/>
        <v>1</v>
      </c>
      <c r="AL380" s="111">
        <f>PRODUCT($AK$5:AK380)</f>
        <v>8.962823818226312E-2</v>
      </c>
      <c r="AM380" s="109">
        <f>1 - [K-M P Value]</f>
        <v>0.91037176181773694</v>
      </c>
      <c r="AN380" s="111" t="str">
        <f>IF(Audit[[#This Row],[K-M P Value]]&gt;1-'General Info'!$B$16,"Continue", "Stop")</f>
        <v>Stop</v>
      </c>
      <c r="AO380" s="110" t="b">
        <f>IF(Audit[[#This Row],[Status - Continue or stop audit]] = "Continue", TRUE, IF(AN379 = "Continue", TRUE, FALSE))</f>
        <v>0</v>
      </c>
      <c r="AP380" s="110"/>
    </row>
    <row r="381" spans="1:42" ht="15" hidden="1" customHeight="1">
      <c r="A381" s="111" t="str">
        <f>'Sampling Data'!W371</f>
        <v/>
      </c>
      <c r="B381" s="112" t="str">
        <f>'Sampling Data'!A371</f>
        <v>CLEVELAND -04-D</v>
      </c>
      <c r="C381" s="112">
        <f>'Sampling Data'!B371</f>
        <v>0</v>
      </c>
      <c r="D381" s="112">
        <f>'Sampling Data'!C371</f>
        <v>1</v>
      </c>
      <c r="E381" s="113">
        <f>'Sampling Data'!D371</f>
        <v>0</v>
      </c>
      <c r="F381" s="113">
        <f>'Sampling Data'!E371</f>
        <v>0</v>
      </c>
      <c r="G381" s="113">
        <f>'Sampling Data'!F371</f>
        <v>0</v>
      </c>
      <c r="H381" s="113">
        <f>'Sampling Data'!G371</f>
        <v>0</v>
      </c>
      <c r="I381" s="112">
        <f>'Sampling Data'!H371</f>
        <v>0</v>
      </c>
      <c r="J381" s="112">
        <f>'Sampling Data'!I371</f>
        <v>1</v>
      </c>
      <c r="K381" s="112">
        <f>'Sampling Data'!J371</f>
        <v>2</v>
      </c>
      <c r="L381" s="111">
        <f>'Sampling Data'!X371</f>
        <v>0</v>
      </c>
      <c r="M381" s="114"/>
      <c r="N381" s="114"/>
      <c r="O381" s="115"/>
      <c r="P381" s="115"/>
      <c r="Q381" s="116"/>
      <c r="R381" s="116"/>
      <c r="S381" s="111">
        <f>Audit[[#This Row],[Audit Losing Candidate]]-Audit[[#This Row],[Losing Candidate]]</f>
        <v>0</v>
      </c>
      <c r="T381" s="111">
        <f>Audit[[#This Row],[Audit Winning Candidate]]-Audit[[#This Row],[Winning Candidate]]</f>
        <v>-1</v>
      </c>
      <c r="U381" s="111">
        <f>Audit[[#This Row],[Audit Candidate 3]]-Audit[[#This Row],[Candidate 3]]</f>
        <v>0</v>
      </c>
      <c r="V381" s="111">
        <f>Audit[[#This Row],[Audit Candidate 4]]-Audit[[#This Row],[Candidate 4]]</f>
        <v>0</v>
      </c>
      <c r="W381" s="111">
        <f>Audit[[#This Row],[Audit Candidate 5]]-Audit[[#This Row],[Candidate 5]]</f>
        <v>0</v>
      </c>
      <c r="X381" s="111">
        <f>Audit[[#This Row],[Audit Candidate 6]]-Audit[[#This Row],[Candidate 6]]</f>
        <v>0</v>
      </c>
      <c r="Y381" s="111">
        <f>SUMIF(Audit[[#This Row],[Difference Loser]:[Difference Candidate 6]], "&gt;0")</f>
        <v>0</v>
      </c>
      <c r="Z381" s="111">
        <f>SUM(Audit[[#This Row],[Difference Loser]:[Difference Candidate 6]])</f>
        <v>-1</v>
      </c>
      <c r="AA381" s="111">
        <f>IF(Audit[[#This Row],[Times p Drawn - With Replacement]]&gt;0, IF(Audit[[#This Row],[Canceled Differences]]&lt;0, Audit[[#This Row],[Max Differences]]+ABS(Audit[[#This Row],[Canceled Differences]]), Audit[[#This Row],[Max Differences]]), 0)</f>
        <v>0</v>
      </c>
      <c r="AB381" s="111">
        <f>'Sampling Data'!P371</f>
        <v>1.8373346398824106E-4</v>
      </c>
      <c r="AC381" s="111">
        <f>IF(
      SUM(Audit[[#This Row],[Audit Losing Candidate]:[Audit Candidate 6]])
      &lt;&gt;0,
      (Audit[[#This Row],[Winning Candidate]]-Audit[[#This Row],[Losing Candidate]]-(Audit[[#This Row],[Audit Winning Candidate]]-Audit[[#This Row],[Audit Losing Candidate]]))/(Audit[[#Totals],[Winning Candidate]]-Audit[[#Totals],[Losing Candidate]]),
      0
)</f>
        <v>0</v>
      </c>
      <c r="AD3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1" s="111">
        <f>IF(Audit[[#This Row],[Max Relative Error (ep)]] = 0, 0, Audit[[#This Row],[Max Relative Error (ep)]]/Audit[[#This Row],[Error Bound (up) - Max. possible relative overstatement]])</f>
        <v>0</v>
      </c>
      <c r="AJ3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81" s="111">
        <f t="shared" si="5"/>
        <v>1</v>
      </c>
      <c r="AL381" s="111">
        <f>PRODUCT($AK$5:AK381)</f>
        <v>8.962823818226312E-2</v>
      </c>
      <c r="AM381" s="109">
        <f>1 - [K-M P Value]</f>
        <v>0.91037176181773694</v>
      </c>
      <c r="AN381" s="111" t="str">
        <f>IF(Audit[[#This Row],[K-M P Value]]&gt;1-'General Info'!$B$16,"Continue", "Stop")</f>
        <v>Stop</v>
      </c>
      <c r="AO381" s="110" t="b">
        <f>IF(Audit[[#This Row],[Status - Continue or stop audit]] = "Continue", TRUE, IF(AN380 = "Continue", TRUE, FALSE))</f>
        <v>0</v>
      </c>
      <c r="AP381" s="110"/>
    </row>
    <row r="382" spans="1:42" ht="15" hidden="1" customHeight="1">
      <c r="A382" s="111" t="str">
        <f>'Sampling Data'!W372</f>
        <v/>
      </c>
      <c r="B382" s="112" t="str">
        <f>'Sampling Data'!A372</f>
        <v>CLEVELAND -04-D - ABS</v>
      </c>
      <c r="C382" s="112">
        <f>'Sampling Data'!B372</f>
        <v>0</v>
      </c>
      <c r="D382" s="112">
        <f>'Sampling Data'!C372</f>
        <v>0</v>
      </c>
      <c r="E382" s="113">
        <f>'Sampling Data'!D372</f>
        <v>0</v>
      </c>
      <c r="F382" s="113">
        <f>'Sampling Data'!E372</f>
        <v>0</v>
      </c>
      <c r="G382" s="113">
        <f>'Sampling Data'!F372</f>
        <v>0</v>
      </c>
      <c r="H382" s="113">
        <f>'Sampling Data'!G372</f>
        <v>0</v>
      </c>
      <c r="I382" s="112">
        <f>'Sampling Data'!H372</f>
        <v>0</v>
      </c>
      <c r="J382" s="112">
        <f>'Sampling Data'!I372</f>
        <v>0</v>
      </c>
      <c r="K382" s="112">
        <f>'Sampling Data'!J372</f>
        <v>0</v>
      </c>
      <c r="L382" s="111">
        <f>'Sampling Data'!X372</f>
        <v>0</v>
      </c>
      <c r="M382" s="114"/>
      <c r="N382" s="114"/>
      <c r="O382" s="115"/>
      <c r="P382" s="115"/>
      <c r="Q382" s="116"/>
      <c r="R382" s="116"/>
      <c r="S382" s="111">
        <f>Audit[[#This Row],[Audit Losing Candidate]]-Audit[[#This Row],[Losing Candidate]]</f>
        <v>0</v>
      </c>
      <c r="T382" s="111">
        <f>Audit[[#This Row],[Audit Winning Candidate]]-Audit[[#This Row],[Winning Candidate]]</f>
        <v>0</v>
      </c>
      <c r="U382" s="111">
        <f>Audit[[#This Row],[Audit Candidate 3]]-Audit[[#This Row],[Candidate 3]]</f>
        <v>0</v>
      </c>
      <c r="V382" s="111">
        <f>Audit[[#This Row],[Audit Candidate 4]]-Audit[[#This Row],[Candidate 4]]</f>
        <v>0</v>
      </c>
      <c r="W382" s="111">
        <f>Audit[[#This Row],[Audit Candidate 5]]-Audit[[#This Row],[Candidate 5]]</f>
        <v>0</v>
      </c>
      <c r="X382" s="111">
        <f>Audit[[#This Row],[Audit Candidate 6]]-Audit[[#This Row],[Candidate 6]]</f>
        <v>0</v>
      </c>
      <c r="Y382" s="111">
        <f>SUMIF(Audit[[#This Row],[Difference Loser]:[Difference Candidate 6]], "&gt;0")</f>
        <v>0</v>
      </c>
      <c r="Z382" s="111">
        <f>SUM(Audit[[#This Row],[Difference Loser]:[Difference Candidate 6]])</f>
        <v>0</v>
      </c>
      <c r="AA382" s="111">
        <f>IF(Audit[[#This Row],[Times p Drawn - With Replacement]]&gt;0, IF(Audit[[#This Row],[Canceled Differences]]&lt;0, Audit[[#This Row],[Max Differences]]+ABS(Audit[[#This Row],[Canceled Differences]]), Audit[[#This Row],[Max Differences]]), 0)</f>
        <v>0</v>
      </c>
      <c r="AB382" s="111">
        <f>'Sampling Data'!P372</f>
        <v>0</v>
      </c>
      <c r="AC382" s="111">
        <f>IF(
      SUM(Audit[[#This Row],[Audit Losing Candidate]:[Audit Candidate 6]])
      &lt;&gt;0,
      (Audit[[#This Row],[Winning Candidate]]-Audit[[#This Row],[Losing Candidate]]-(Audit[[#This Row],[Audit Winning Candidate]]-Audit[[#This Row],[Audit Losing Candidate]]))/(Audit[[#Totals],[Winning Candidate]]-Audit[[#Totals],[Losing Candidate]]),
      0
)</f>
        <v>0</v>
      </c>
      <c r="AD3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2" s="111">
        <f>IF(Audit[[#This Row],[Max Relative Error (ep)]] = 0, 0, Audit[[#This Row],[Max Relative Error (ep)]]/Audit[[#This Row],[Error Bound (up) - Max. possible relative overstatement]])</f>
        <v>0</v>
      </c>
      <c r="AJ3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82" s="111">
        <f t="shared" si="5"/>
        <v>1</v>
      </c>
      <c r="AL382" s="111">
        <f>PRODUCT($AK$5:AK382)</f>
        <v>8.962823818226312E-2</v>
      </c>
      <c r="AM382" s="109">
        <f>1 - [K-M P Value]</f>
        <v>0.91037176181773694</v>
      </c>
      <c r="AN382" s="111" t="str">
        <f>IF(Audit[[#This Row],[K-M P Value]]&gt;1-'General Info'!$B$16,"Continue", "Stop")</f>
        <v>Stop</v>
      </c>
      <c r="AO382" s="110" t="b">
        <f>IF(Audit[[#This Row],[Status - Continue or stop audit]] = "Continue", TRUE, IF(AN381 = "Continue", TRUE, FALSE))</f>
        <v>0</v>
      </c>
      <c r="AP382" s="110"/>
    </row>
    <row r="383" spans="1:42" ht="15" hidden="1" customHeight="1">
      <c r="A383" s="111" t="str">
        <f>'Sampling Data'!W373</f>
        <v/>
      </c>
      <c r="B383" s="112" t="str">
        <f>'Sampling Data'!A373</f>
        <v>CLEVELAND -04-E</v>
      </c>
      <c r="C383" s="112">
        <f>'Sampling Data'!B373</f>
        <v>0</v>
      </c>
      <c r="D383" s="112">
        <f>'Sampling Data'!C373</f>
        <v>0</v>
      </c>
      <c r="E383" s="113">
        <f>'Sampling Data'!D373</f>
        <v>0</v>
      </c>
      <c r="F383" s="113">
        <f>'Sampling Data'!E373</f>
        <v>0</v>
      </c>
      <c r="G383" s="113">
        <f>'Sampling Data'!F373</f>
        <v>0</v>
      </c>
      <c r="H383" s="113">
        <f>'Sampling Data'!G373</f>
        <v>0</v>
      </c>
      <c r="I383" s="112">
        <f>'Sampling Data'!H373</f>
        <v>0</v>
      </c>
      <c r="J383" s="112">
        <f>'Sampling Data'!I373</f>
        <v>1</v>
      </c>
      <c r="K383" s="112">
        <f>'Sampling Data'!J373</f>
        <v>1</v>
      </c>
      <c r="L383" s="111">
        <f>'Sampling Data'!X373</f>
        <v>0</v>
      </c>
      <c r="M383" s="114"/>
      <c r="N383" s="114"/>
      <c r="O383" s="115"/>
      <c r="P383" s="115"/>
      <c r="Q383" s="116"/>
      <c r="R383" s="116"/>
      <c r="S383" s="111">
        <f>Audit[[#This Row],[Audit Losing Candidate]]-Audit[[#This Row],[Losing Candidate]]</f>
        <v>0</v>
      </c>
      <c r="T383" s="111">
        <f>Audit[[#This Row],[Audit Winning Candidate]]-Audit[[#This Row],[Winning Candidate]]</f>
        <v>0</v>
      </c>
      <c r="U383" s="111">
        <f>Audit[[#This Row],[Audit Candidate 3]]-Audit[[#This Row],[Candidate 3]]</f>
        <v>0</v>
      </c>
      <c r="V383" s="111">
        <f>Audit[[#This Row],[Audit Candidate 4]]-Audit[[#This Row],[Candidate 4]]</f>
        <v>0</v>
      </c>
      <c r="W383" s="111">
        <f>Audit[[#This Row],[Audit Candidate 5]]-Audit[[#This Row],[Candidate 5]]</f>
        <v>0</v>
      </c>
      <c r="X383" s="111">
        <f>Audit[[#This Row],[Audit Candidate 6]]-Audit[[#This Row],[Candidate 6]]</f>
        <v>0</v>
      </c>
      <c r="Y383" s="111">
        <f>SUMIF(Audit[[#This Row],[Difference Loser]:[Difference Candidate 6]], "&gt;0")</f>
        <v>0</v>
      </c>
      <c r="Z383" s="111">
        <f>SUM(Audit[[#This Row],[Difference Loser]:[Difference Candidate 6]])</f>
        <v>0</v>
      </c>
      <c r="AA383" s="111">
        <f>IF(Audit[[#This Row],[Times p Drawn - With Replacement]]&gt;0, IF(Audit[[#This Row],[Canceled Differences]]&lt;0, Audit[[#This Row],[Max Differences]]+ABS(Audit[[#This Row],[Canceled Differences]]), Audit[[#This Row],[Max Differences]]), 0)</f>
        <v>0</v>
      </c>
      <c r="AB383" s="111">
        <f>'Sampling Data'!P373</f>
        <v>6.1244487996080352E-5</v>
      </c>
      <c r="AC383" s="111">
        <f>IF(
      SUM(Audit[[#This Row],[Audit Losing Candidate]:[Audit Candidate 6]])
      &lt;&gt;0,
      (Audit[[#This Row],[Winning Candidate]]-Audit[[#This Row],[Losing Candidate]]-(Audit[[#This Row],[Audit Winning Candidate]]-Audit[[#This Row],[Audit Losing Candidate]]))/(Audit[[#Totals],[Winning Candidate]]-Audit[[#Totals],[Losing Candidate]]),
      0
)</f>
        <v>0</v>
      </c>
      <c r="AD3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3" s="111">
        <f>IF(Audit[[#This Row],[Max Relative Error (ep)]] = 0, 0, Audit[[#This Row],[Max Relative Error (ep)]]/Audit[[#This Row],[Error Bound (up) - Max. possible relative overstatement]])</f>
        <v>0</v>
      </c>
      <c r="AJ3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83" s="111">
        <f t="shared" si="5"/>
        <v>1</v>
      </c>
      <c r="AL383" s="111">
        <f>PRODUCT($AK$5:AK383)</f>
        <v>8.962823818226312E-2</v>
      </c>
      <c r="AM383" s="109">
        <f>1 - [K-M P Value]</f>
        <v>0.91037176181773694</v>
      </c>
      <c r="AN383" s="111" t="str">
        <f>IF(Audit[[#This Row],[K-M P Value]]&gt;1-'General Info'!$B$16,"Continue", "Stop")</f>
        <v>Stop</v>
      </c>
      <c r="AO383" s="110" t="b">
        <f>IF(Audit[[#This Row],[Status - Continue or stop audit]] = "Continue", TRUE, IF(AN382 = "Continue", TRUE, FALSE))</f>
        <v>0</v>
      </c>
      <c r="AP383" s="110"/>
    </row>
    <row r="384" spans="1:42" ht="15" hidden="1" customHeight="1">
      <c r="A384" s="111" t="str">
        <f>'Sampling Data'!W374</f>
        <v/>
      </c>
      <c r="B384" s="112" t="str">
        <f>'Sampling Data'!A374</f>
        <v>CLEVELAND -04-E - ABS</v>
      </c>
      <c r="C384" s="112">
        <f>'Sampling Data'!B374</f>
        <v>0</v>
      </c>
      <c r="D384" s="112">
        <f>'Sampling Data'!C374</f>
        <v>0</v>
      </c>
      <c r="E384" s="113">
        <f>'Sampling Data'!D374</f>
        <v>0</v>
      </c>
      <c r="F384" s="113">
        <f>'Sampling Data'!E374</f>
        <v>0</v>
      </c>
      <c r="G384" s="113">
        <f>'Sampling Data'!F374</f>
        <v>0</v>
      </c>
      <c r="H384" s="113">
        <f>'Sampling Data'!G374</f>
        <v>0</v>
      </c>
      <c r="I384" s="112">
        <f>'Sampling Data'!H374</f>
        <v>0</v>
      </c>
      <c r="J384" s="112">
        <f>'Sampling Data'!I374</f>
        <v>0</v>
      </c>
      <c r="K384" s="112">
        <f>'Sampling Data'!J374</f>
        <v>0</v>
      </c>
      <c r="L384" s="111">
        <f>'Sampling Data'!X374</f>
        <v>0</v>
      </c>
      <c r="M384" s="114"/>
      <c r="N384" s="114"/>
      <c r="O384" s="115"/>
      <c r="P384" s="115"/>
      <c r="Q384" s="116"/>
      <c r="R384" s="116"/>
      <c r="S384" s="111">
        <f>Audit[[#This Row],[Audit Losing Candidate]]-Audit[[#This Row],[Losing Candidate]]</f>
        <v>0</v>
      </c>
      <c r="T384" s="111">
        <f>Audit[[#This Row],[Audit Winning Candidate]]-Audit[[#This Row],[Winning Candidate]]</f>
        <v>0</v>
      </c>
      <c r="U384" s="111">
        <f>Audit[[#This Row],[Audit Candidate 3]]-Audit[[#This Row],[Candidate 3]]</f>
        <v>0</v>
      </c>
      <c r="V384" s="111">
        <f>Audit[[#This Row],[Audit Candidate 4]]-Audit[[#This Row],[Candidate 4]]</f>
        <v>0</v>
      </c>
      <c r="W384" s="111">
        <f>Audit[[#This Row],[Audit Candidate 5]]-Audit[[#This Row],[Candidate 5]]</f>
        <v>0</v>
      </c>
      <c r="X384" s="111">
        <f>Audit[[#This Row],[Audit Candidate 6]]-Audit[[#This Row],[Candidate 6]]</f>
        <v>0</v>
      </c>
      <c r="Y384" s="111">
        <f>SUMIF(Audit[[#This Row],[Difference Loser]:[Difference Candidate 6]], "&gt;0")</f>
        <v>0</v>
      </c>
      <c r="Z384" s="111">
        <f>SUM(Audit[[#This Row],[Difference Loser]:[Difference Candidate 6]])</f>
        <v>0</v>
      </c>
      <c r="AA384" s="111">
        <f>IF(Audit[[#This Row],[Times p Drawn - With Replacement]]&gt;0, IF(Audit[[#This Row],[Canceled Differences]]&lt;0, Audit[[#This Row],[Max Differences]]+ABS(Audit[[#This Row],[Canceled Differences]]), Audit[[#This Row],[Max Differences]]), 0)</f>
        <v>0</v>
      </c>
      <c r="AB384" s="111">
        <f>'Sampling Data'!P374</f>
        <v>0</v>
      </c>
      <c r="AC384" s="111">
        <f>IF(
      SUM(Audit[[#This Row],[Audit Losing Candidate]:[Audit Candidate 6]])
      &lt;&gt;0,
      (Audit[[#This Row],[Winning Candidate]]-Audit[[#This Row],[Losing Candidate]]-(Audit[[#This Row],[Audit Winning Candidate]]-Audit[[#This Row],[Audit Losing Candidate]]))/(Audit[[#Totals],[Winning Candidate]]-Audit[[#Totals],[Losing Candidate]]),
      0
)</f>
        <v>0</v>
      </c>
      <c r="AD3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4" s="111">
        <f>IF(Audit[[#This Row],[Max Relative Error (ep)]] = 0, 0, Audit[[#This Row],[Max Relative Error (ep)]]/Audit[[#This Row],[Error Bound (up) - Max. possible relative overstatement]])</f>
        <v>0</v>
      </c>
      <c r="AJ3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84" s="111">
        <f t="shared" si="5"/>
        <v>1</v>
      </c>
      <c r="AL384" s="111">
        <f>PRODUCT($AK$5:AK384)</f>
        <v>8.962823818226312E-2</v>
      </c>
      <c r="AM384" s="109">
        <f>1 - [K-M P Value]</f>
        <v>0.91037176181773694</v>
      </c>
      <c r="AN384" s="111" t="str">
        <f>IF(Audit[[#This Row],[K-M P Value]]&gt;1-'General Info'!$B$16,"Continue", "Stop")</f>
        <v>Stop</v>
      </c>
      <c r="AO384" s="110" t="b">
        <f>IF(Audit[[#This Row],[Status - Continue or stop audit]] = "Continue", TRUE, IF(AN383 = "Continue", TRUE, FALSE))</f>
        <v>0</v>
      </c>
      <c r="AP384" s="110"/>
    </row>
    <row r="385" spans="1:42" ht="15" hidden="1" customHeight="1">
      <c r="A385" s="111" t="str">
        <f>'Sampling Data'!W375</f>
        <v/>
      </c>
      <c r="B385" s="112" t="str">
        <f>'Sampling Data'!A375</f>
        <v>CLEVELAND -04-F</v>
      </c>
      <c r="C385" s="112">
        <f>'Sampling Data'!B375</f>
        <v>0</v>
      </c>
      <c r="D385" s="112">
        <f>'Sampling Data'!C375</f>
        <v>0</v>
      </c>
      <c r="E385" s="113">
        <f>'Sampling Data'!D375</f>
        <v>1</v>
      </c>
      <c r="F385" s="113">
        <f>'Sampling Data'!E375</f>
        <v>0</v>
      </c>
      <c r="G385" s="113">
        <f>'Sampling Data'!F375</f>
        <v>0</v>
      </c>
      <c r="H385" s="113">
        <f>'Sampling Data'!G375</f>
        <v>0</v>
      </c>
      <c r="I385" s="112">
        <f>'Sampling Data'!H375</f>
        <v>0</v>
      </c>
      <c r="J385" s="112">
        <f>'Sampling Data'!I375</f>
        <v>0</v>
      </c>
      <c r="K385" s="112">
        <f>'Sampling Data'!J375</f>
        <v>1</v>
      </c>
      <c r="L385" s="111">
        <f>'Sampling Data'!X375</f>
        <v>0</v>
      </c>
      <c r="M385" s="114"/>
      <c r="N385" s="114"/>
      <c r="O385" s="115"/>
      <c r="P385" s="115"/>
      <c r="Q385" s="116"/>
      <c r="R385" s="116"/>
      <c r="S385" s="111">
        <f>Audit[[#This Row],[Audit Losing Candidate]]-Audit[[#This Row],[Losing Candidate]]</f>
        <v>0</v>
      </c>
      <c r="T385" s="111">
        <f>Audit[[#This Row],[Audit Winning Candidate]]-Audit[[#This Row],[Winning Candidate]]</f>
        <v>0</v>
      </c>
      <c r="U385" s="111">
        <f>Audit[[#This Row],[Audit Candidate 3]]-Audit[[#This Row],[Candidate 3]]</f>
        <v>-1</v>
      </c>
      <c r="V385" s="111">
        <f>Audit[[#This Row],[Audit Candidate 4]]-Audit[[#This Row],[Candidate 4]]</f>
        <v>0</v>
      </c>
      <c r="W385" s="111">
        <f>Audit[[#This Row],[Audit Candidate 5]]-Audit[[#This Row],[Candidate 5]]</f>
        <v>0</v>
      </c>
      <c r="X385" s="111">
        <f>Audit[[#This Row],[Audit Candidate 6]]-Audit[[#This Row],[Candidate 6]]</f>
        <v>0</v>
      </c>
      <c r="Y385" s="111">
        <f>SUMIF(Audit[[#This Row],[Difference Loser]:[Difference Candidate 6]], "&gt;0")</f>
        <v>0</v>
      </c>
      <c r="Z385" s="111">
        <f>SUM(Audit[[#This Row],[Difference Loser]:[Difference Candidate 6]])</f>
        <v>-1</v>
      </c>
      <c r="AA385" s="111">
        <f>IF(Audit[[#This Row],[Times p Drawn - With Replacement]]&gt;0, IF(Audit[[#This Row],[Canceled Differences]]&lt;0, Audit[[#This Row],[Max Differences]]+ABS(Audit[[#This Row],[Canceled Differences]]), Audit[[#This Row],[Max Differences]]), 0)</f>
        <v>0</v>
      </c>
      <c r="AB385" s="111">
        <f>'Sampling Data'!P375</f>
        <v>6.1244487996080352E-5</v>
      </c>
      <c r="AC385" s="111">
        <f>IF(
      SUM(Audit[[#This Row],[Audit Losing Candidate]:[Audit Candidate 6]])
      &lt;&gt;0,
      (Audit[[#This Row],[Winning Candidate]]-Audit[[#This Row],[Losing Candidate]]-(Audit[[#This Row],[Audit Winning Candidate]]-Audit[[#This Row],[Audit Losing Candidate]]))/(Audit[[#Totals],[Winning Candidate]]-Audit[[#Totals],[Losing Candidate]]),
      0
)</f>
        <v>0</v>
      </c>
      <c r="AD3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5" s="111">
        <f>IF(Audit[[#This Row],[Max Relative Error (ep)]] = 0, 0, Audit[[#This Row],[Max Relative Error (ep)]]/Audit[[#This Row],[Error Bound (up) - Max. possible relative overstatement]])</f>
        <v>0</v>
      </c>
      <c r="AJ3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85" s="111">
        <f t="shared" si="5"/>
        <v>1</v>
      </c>
      <c r="AL385" s="111">
        <f>PRODUCT($AK$5:AK385)</f>
        <v>8.962823818226312E-2</v>
      </c>
      <c r="AM385" s="109">
        <f>1 - [K-M P Value]</f>
        <v>0.91037176181773694</v>
      </c>
      <c r="AN385" s="111" t="str">
        <f>IF(Audit[[#This Row],[K-M P Value]]&gt;1-'General Info'!$B$16,"Continue", "Stop")</f>
        <v>Stop</v>
      </c>
      <c r="AO385" s="110" t="b">
        <f>IF(Audit[[#This Row],[Status - Continue or stop audit]] = "Continue", TRUE, IF(AN384 = "Continue", TRUE, FALSE))</f>
        <v>0</v>
      </c>
      <c r="AP385" s="110"/>
    </row>
    <row r="386" spans="1:42" ht="15" hidden="1" customHeight="1">
      <c r="A386" s="111" t="str">
        <f>'Sampling Data'!W376</f>
        <v/>
      </c>
      <c r="B386" s="112" t="str">
        <f>'Sampling Data'!A376</f>
        <v>CLEVELAND -04-F - ABS</v>
      </c>
      <c r="C386" s="112">
        <f>'Sampling Data'!B376</f>
        <v>0</v>
      </c>
      <c r="D386" s="112">
        <f>'Sampling Data'!C376</f>
        <v>1</v>
      </c>
      <c r="E386" s="113">
        <f>'Sampling Data'!D376</f>
        <v>0</v>
      </c>
      <c r="F386" s="113">
        <f>'Sampling Data'!E376</f>
        <v>0</v>
      </c>
      <c r="G386" s="113">
        <f>'Sampling Data'!F376</f>
        <v>0</v>
      </c>
      <c r="H386" s="113">
        <f>'Sampling Data'!G376</f>
        <v>0</v>
      </c>
      <c r="I386" s="112">
        <f>'Sampling Data'!H376</f>
        <v>0</v>
      </c>
      <c r="J386" s="112">
        <f>'Sampling Data'!I376</f>
        <v>2</v>
      </c>
      <c r="K386" s="112">
        <f>'Sampling Data'!J376</f>
        <v>3</v>
      </c>
      <c r="L386" s="111">
        <f>'Sampling Data'!X376</f>
        <v>0</v>
      </c>
      <c r="M386" s="114"/>
      <c r="N386" s="114"/>
      <c r="O386" s="115"/>
      <c r="P386" s="115"/>
      <c r="Q386" s="116"/>
      <c r="R386" s="116"/>
      <c r="S386" s="111">
        <f>Audit[[#This Row],[Audit Losing Candidate]]-Audit[[#This Row],[Losing Candidate]]</f>
        <v>0</v>
      </c>
      <c r="T386" s="111">
        <f>Audit[[#This Row],[Audit Winning Candidate]]-Audit[[#This Row],[Winning Candidate]]</f>
        <v>-1</v>
      </c>
      <c r="U386" s="111">
        <f>Audit[[#This Row],[Audit Candidate 3]]-Audit[[#This Row],[Candidate 3]]</f>
        <v>0</v>
      </c>
      <c r="V386" s="111">
        <f>Audit[[#This Row],[Audit Candidate 4]]-Audit[[#This Row],[Candidate 4]]</f>
        <v>0</v>
      </c>
      <c r="W386" s="111">
        <f>Audit[[#This Row],[Audit Candidate 5]]-Audit[[#This Row],[Candidate 5]]</f>
        <v>0</v>
      </c>
      <c r="X386" s="111">
        <f>Audit[[#This Row],[Audit Candidate 6]]-Audit[[#This Row],[Candidate 6]]</f>
        <v>0</v>
      </c>
      <c r="Y386" s="111">
        <f>SUMIF(Audit[[#This Row],[Difference Loser]:[Difference Candidate 6]], "&gt;0")</f>
        <v>0</v>
      </c>
      <c r="Z386" s="111">
        <f>SUM(Audit[[#This Row],[Difference Loser]:[Difference Candidate 6]])</f>
        <v>-1</v>
      </c>
      <c r="AA386" s="111">
        <f>IF(Audit[[#This Row],[Times p Drawn - With Replacement]]&gt;0, IF(Audit[[#This Row],[Canceled Differences]]&lt;0, Audit[[#This Row],[Max Differences]]+ABS(Audit[[#This Row],[Canceled Differences]]), Audit[[#This Row],[Max Differences]]), 0)</f>
        <v>0</v>
      </c>
      <c r="AB386" s="111">
        <f>'Sampling Data'!P376</f>
        <v>2.4497795198432141E-4</v>
      </c>
      <c r="AC386" s="111">
        <f>IF(
      SUM(Audit[[#This Row],[Audit Losing Candidate]:[Audit Candidate 6]])
      &lt;&gt;0,
      (Audit[[#This Row],[Winning Candidate]]-Audit[[#This Row],[Losing Candidate]]-(Audit[[#This Row],[Audit Winning Candidate]]-Audit[[#This Row],[Audit Losing Candidate]]))/(Audit[[#Totals],[Winning Candidate]]-Audit[[#Totals],[Losing Candidate]]),
      0
)</f>
        <v>0</v>
      </c>
      <c r="AD3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6" s="111">
        <f>IF(Audit[[#This Row],[Max Relative Error (ep)]] = 0, 0, Audit[[#This Row],[Max Relative Error (ep)]]/Audit[[#This Row],[Error Bound (up) - Max. possible relative overstatement]])</f>
        <v>0</v>
      </c>
      <c r="AJ3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86" s="111">
        <f t="shared" si="5"/>
        <v>1</v>
      </c>
      <c r="AL386" s="111">
        <f>PRODUCT($AK$5:AK386)</f>
        <v>8.962823818226312E-2</v>
      </c>
      <c r="AM386" s="109">
        <f>1 - [K-M P Value]</f>
        <v>0.91037176181773694</v>
      </c>
      <c r="AN386" s="111" t="str">
        <f>IF(Audit[[#This Row],[K-M P Value]]&gt;1-'General Info'!$B$16,"Continue", "Stop")</f>
        <v>Stop</v>
      </c>
      <c r="AO386" s="110" t="b">
        <f>IF(Audit[[#This Row],[Status - Continue or stop audit]] = "Continue", TRUE, IF(AN385 = "Continue", TRUE, FALSE))</f>
        <v>0</v>
      </c>
      <c r="AP386" s="110"/>
    </row>
    <row r="387" spans="1:42" ht="15" hidden="1" customHeight="1">
      <c r="A387" s="111" t="str">
        <f>'Sampling Data'!W377</f>
        <v/>
      </c>
      <c r="B387" s="112" t="str">
        <f>'Sampling Data'!A377</f>
        <v>CLEVELAND -04-G</v>
      </c>
      <c r="C387" s="112">
        <f>'Sampling Data'!B377</f>
        <v>0</v>
      </c>
      <c r="D387" s="112">
        <f>'Sampling Data'!C377</f>
        <v>0</v>
      </c>
      <c r="E387" s="113">
        <f>'Sampling Data'!D377</f>
        <v>0</v>
      </c>
      <c r="F387" s="113">
        <f>'Sampling Data'!E377</f>
        <v>0</v>
      </c>
      <c r="G387" s="113">
        <f>'Sampling Data'!F377</f>
        <v>0</v>
      </c>
      <c r="H387" s="113">
        <f>'Sampling Data'!G377</f>
        <v>0</v>
      </c>
      <c r="I387" s="112">
        <f>'Sampling Data'!H377</f>
        <v>0</v>
      </c>
      <c r="J387" s="112">
        <f>'Sampling Data'!I377</f>
        <v>0</v>
      </c>
      <c r="K387" s="112">
        <f>'Sampling Data'!J377</f>
        <v>0</v>
      </c>
      <c r="L387" s="111">
        <f>'Sampling Data'!X377</f>
        <v>0</v>
      </c>
      <c r="M387" s="114"/>
      <c r="N387" s="114"/>
      <c r="O387" s="115"/>
      <c r="P387" s="115"/>
      <c r="Q387" s="116"/>
      <c r="R387" s="116"/>
      <c r="S387" s="111">
        <f>Audit[[#This Row],[Audit Losing Candidate]]-Audit[[#This Row],[Losing Candidate]]</f>
        <v>0</v>
      </c>
      <c r="T387" s="111">
        <f>Audit[[#This Row],[Audit Winning Candidate]]-Audit[[#This Row],[Winning Candidate]]</f>
        <v>0</v>
      </c>
      <c r="U387" s="111">
        <f>Audit[[#This Row],[Audit Candidate 3]]-Audit[[#This Row],[Candidate 3]]</f>
        <v>0</v>
      </c>
      <c r="V387" s="111">
        <f>Audit[[#This Row],[Audit Candidate 4]]-Audit[[#This Row],[Candidate 4]]</f>
        <v>0</v>
      </c>
      <c r="W387" s="111">
        <f>Audit[[#This Row],[Audit Candidate 5]]-Audit[[#This Row],[Candidate 5]]</f>
        <v>0</v>
      </c>
      <c r="X387" s="111">
        <f>Audit[[#This Row],[Audit Candidate 6]]-Audit[[#This Row],[Candidate 6]]</f>
        <v>0</v>
      </c>
      <c r="Y387" s="111">
        <f>SUMIF(Audit[[#This Row],[Difference Loser]:[Difference Candidate 6]], "&gt;0")</f>
        <v>0</v>
      </c>
      <c r="Z387" s="111">
        <f>SUM(Audit[[#This Row],[Difference Loser]:[Difference Candidate 6]])</f>
        <v>0</v>
      </c>
      <c r="AA387" s="111">
        <f>IF(Audit[[#This Row],[Times p Drawn - With Replacement]]&gt;0, IF(Audit[[#This Row],[Canceled Differences]]&lt;0, Audit[[#This Row],[Max Differences]]+ABS(Audit[[#This Row],[Canceled Differences]]), Audit[[#This Row],[Max Differences]]), 0)</f>
        <v>0</v>
      </c>
      <c r="AB387" s="111">
        <f>'Sampling Data'!P377</f>
        <v>0</v>
      </c>
      <c r="AC387" s="111">
        <f>IF(
      SUM(Audit[[#This Row],[Audit Losing Candidate]:[Audit Candidate 6]])
      &lt;&gt;0,
      (Audit[[#This Row],[Winning Candidate]]-Audit[[#This Row],[Losing Candidate]]-(Audit[[#This Row],[Audit Winning Candidate]]-Audit[[#This Row],[Audit Losing Candidate]]))/(Audit[[#Totals],[Winning Candidate]]-Audit[[#Totals],[Losing Candidate]]),
      0
)</f>
        <v>0</v>
      </c>
      <c r="AD3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7" s="111">
        <f>IF(Audit[[#This Row],[Max Relative Error (ep)]] = 0, 0, Audit[[#This Row],[Max Relative Error (ep)]]/Audit[[#This Row],[Error Bound (up) - Max. possible relative overstatement]])</f>
        <v>0</v>
      </c>
      <c r="AJ3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87" s="111">
        <f t="shared" si="5"/>
        <v>1</v>
      </c>
      <c r="AL387" s="111">
        <f>PRODUCT($AK$5:AK387)</f>
        <v>8.962823818226312E-2</v>
      </c>
      <c r="AM387" s="109">
        <f>1 - [K-M P Value]</f>
        <v>0.91037176181773694</v>
      </c>
      <c r="AN387" s="111" t="str">
        <f>IF(Audit[[#This Row],[K-M P Value]]&gt;1-'General Info'!$B$16,"Continue", "Stop")</f>
        <v>Stop</v>
      </c>
      <c r="AO387" s="110" t="b">
        <f>IF(Audit[[#This Row],[Status - Continue or stop audit]] = "Continue", TRUE, IF(AN386 = "Continue", TRUE, FALSE))</f>
        <v>0</v>
      </c>
      <c r="AP387" s="110"/>
    </row>
    <row r="388" spans="1:42" ht="15" hidden="1" customHeight="1">
      <c r="A388" s="111" t="str">
        <f>'Sampling Data'!W378</f>
        <v/>
      </c>
      <c r="B388" s="112" t="str">
        <f>'Sampling Data'!A378</f>
        <v>CLEVELAND -04-G - ABS</v>
      </c>
      <c r="C388" s="112">
        <f>'Sampling Data'!B378</f>
        <v>1</v>
      </c>
      <c r="D388" s="112">
        <f>'Sampling Data'!C378</f>
        <v>0</v>
      </c>
      <c r="E388" s="113">
        <f>'Sampling Data'!D378</f>
        <v>0</v>
      </c>
      <c r="F388" s="113">
        <f>'Sampling Data'!E378</f>
        <v>0</v>
      </c>
      <c r="G388" s="113">
        <f>'Sampling Data'!F378</f>
        <v>0</v>
      </c>
      <c r="H388" s="113">
        <f>'Sampling Data'!G378</f>
        <v>0</v>
      </c>
      <c r="I388" s="112">
        <f>'Sampling Data'!H378</f>
        <v>0</v>
      </c>
      <c r="J388" s="112">
        <f>'Sampling Data'!I378</f>
        <v>0</v>
      </c>
      <c r="K388" s="112">
        <f>'Sampling Data'!J378</f>
        <v>1</v>
      </c>
      <c r="L388" s="111">
        <f>'Sampling Data'!X378</f>
        <v>0</v>
      </c>
      <c r="M388" s="114"/>
      <c r="N388" s="114"/>
      <c r="O388" s="115"/>
      <c r="P388" s="115"/>
      <c r="Q388" s="116"/>
      <c r="R388" s="116"/>
      <c r="S388" s="111">
        <f>Audit[[#This Row],[Audit Losing Candidate]]-Audit[[#This Row],[Losing Candidate]]</f>
        <v>-1</v>
      </c>
      <c r="T388" s="111">
        <f>Audit[[#This Row],[Audit Winning Candidate]]-Audit[[#This Row],[Winning Candidate]]</f>
        <v>0</v>
      </c>
      <c r="U388" s="111">
        <f>Audit[[#This Row],[Audit Candidate 3]]-Audit[[#This Row],[Candidate 3]]</f>
        <v>0</v>
      </c>
      <c r="V388" s="111">
        <f>Audit[[#This Row],[Audit Candidate 4]]-Audit[[#This Row],[Candidate 4]]</f>
        <v>0</v>
      </c>
      <c r="W388" s="111">
        <f>Audit[[#This Row],[Audit Candidate 5]]-Audit[[#This Row],[Candidate 5]]</f>
        <v>0</v>
      </c>
      <c r="X388" s="111">
        <f>Audit[[#This Row],[Audit Candidate 6]]-Audit[[#This Row],[Candidate 6]]</f>
        <v>0</v>
      </c>
      <c r="Y388" s="111">
        <f>SUMIF(Audit[[#This Row],[Difference Loser]:[Difference Candidate 6]], "&gt;0")</f>
        <v>0</v>
      </c>
      <c r="Z388" s="111">
        <f>SUM(Audit[[#This Row],[Difference Loser]:[Difference Candidate 6]])</f>
        <v>-1</v>
      </c>
      <c r="AA388" s="111">
        <f>IF(Audit[[#This Row],[Times p Drawn - With Replacement]]&gt;0, IF(Audit[[#This Row],[Canceled Differences]]&lt;0, Audit[[#This Row],[Max Differences]]+ABS(Audit[[#This Row],[Canceled Differences]]), Audit[[#This Row],[Max Differences]]), 0)</f>
        <v>0</v>
      </c>
      <c r="AB388" s="111">
        <f>'Sampling Data'!P378</f>
        <v>3.2261186566441917E-5</v>
      </c>
      <c r="AC388" s="111">
        <f>IF(
      SUM(Audit[[#This Row],[Audit Losing Candidate]:[Audit Candidate 6]])
      &lt;&gt;0,
      (Audit[[#This Row],[Winning Candidate]]-Audit[[#This Row],[Losing Candidate]]-(Audit[[#This Row],[Audit Winning Candidate]]-Audit[[#This Row],[Audit Losing Candidate]]))/(Audit[[#Totals],[Winning Candidate]]-Audit[[#Totals],[Losing Candidate]]),
      0
)</f>
        <v>0</v>
      </c>
      <c r="AD3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8" s="111">
        <f>IF(Audit[[#This Row],[Max Relative Error (ep)]] = 0, 0, Audit[[#This Row],[Max Relative Error (ep)]]/Audit[[#This Row],[Error Bound (up) - Max. possible relative overstatement]])</f>
        <v>0</v>
      </c>
      <c r="AJ3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88" s="111">
        <f t="shared" si="5"/>
        <v>1</v>
      </c>
      <c r="AL388" s="111">
        <f>PRODUCT($AK$5:AK388)</f>
        <v>8.962823818226312E-2</v>
      </c>
      <c r="AM388" s="109">
        <f>1 - [K-M P Value]</f>
        <v>0.91037176181773694</v>
      </c>
      <c r="AN388" s="111" t="str">
        <f>IF(Audit[[#This Row],[K-M P Value]]&gt;1-'General Info'!$B$16,"Continue", "Stop")</f>
        <v>Stop</v>
      </c>
      <c r="AO388" s="110" t="b">
        <f>IF(Audit[[#This Row],[Status - Continue or stop audit]] = "Continue", TRUE, IF(AN387 = "Continue", TRUE, FALSE))</f>
        <v>0</v>
      </c>
      <c r="AP388" s="110"/>
    </row>
    <row r="389" spans="1:42" ht="15" hidden="1" customHeight="1">
      <c r="A389" s="111" t="str">
        <f>'Sampling Data'!W379</f>
        <v/>
      </c>
      <c r="B389" s="112" t="str">
        <f>'Sampling Data'!A379</f>
        <v>CLEVELAND -04-H</v>
      </c>
      <c r="C389" s="112">
        <f>'Sampling Data'!B379</f>
        <v>1</v>
      </c>
      <c r="D389" s="112">
        <f>'Sampling Data'!C379</f>
        <v>0</v>
      </c>
      <c r="E389" s="113">
        <f>'Sampling Data'!D379</f>
        <v>0</v>
      </c>
      <c r="F389" s="113">
        <f>'Sampling Data'!E379</f>
        <v>0</v>
      </c>
      <c r="G389" s="113">
        <f>'Sampling Data'!F379</f>
        <v>0</v>
      </c>
      <c r="H389" s="113">
        <f>'Sampling Data'!G379</f>
        <v>0</v>
      </c>
      <c r="I389" s="112">
        <f>'Sampling Data'!H379</f>
        <v>0</v>
      </c>
      <c r="J389" s="112">
        <f>'Sampling Data'!I379</f>
        <v>0</v>
      </c>
      <c r="K389" s="112">
        <f>'Sampling Data'!J379</f>
        <v>1</v>
      </c>
      <c r="L389" s="111">
        <f>'Sampling Data'!X379</f>
        <v>0</v>
      </c>
      <c r="M389" s="114"/>
      <c r="N389" s="114"/>
      <c r="O389" s="115"/>
      <c r="P389" s="115"/>
      <c r="Q389" s="116"/>
      <c r="R389" s="116"/>
      <c r="S389" s="111">
        <f>Audit[[#This Row],[Audit Losing Candidate]]-Audit[[#This Row],[Losing Candidate]]</f>
        <v>-1</v>
      </c>
      <c r="T389" s="111">
        <f>Audit[[#This Row],[Audit Winning Candidate]]-Audit[[#This Row],[Winning Candidate]]</f>
        <v>0</v>
      </c>
      <c r="U389" s="111">
        <f>Audit[[#This Row],[Audit Candidate 3]]-Audit[[#This Row],[Candidate 3]]</f>
        <v>0</v>
      </c>
      <c r="V389" s="111">
        <f>Audit[[#This Row],[Audit Candidate 4]]-Audit[[#This Row],[Candidate 4]]</f>
        <v>0</v>
      </c>
      <c r="W389" s="111">
        <f>Audit[[#This Row],[Audit Candidate 5]]-Audit[[#This Row],[Candidate 5]]</f>
        <v>0</v>
      </c>
      <c r="X389" s="111">
        <f>Audit[[#This Row],[Audit Candidate 6]]-Audit[[#This Row],[Candidate 6]]</f>
        <v>0</v>
      </c>
      <c r="Y389" s="111">
        <f>SUMIF(Audit[[#This Row],[Difference Loser]:[Difference Candidate 6]], "&gt;0")</f>
        <v>0</v>
      </c>
      <c r="Z389" s="111">
        <f>SUM(Audit[[#This Row],[Difference Loser]:[Difference Candidate 6]])</f>
        <v>-1</v>
      </c>
      <c r="AA389" s="111">
        <f>IF(Audit[[#This Row],[Times p Drawn - With Replacement]]&gt;0, IF(Audit[[#This Row],[Canceled Differences]]&lt;0, Audit[[#This Row],[Max Differences]]+ABS(Audit[[#This Row],[Canceled Differences]]), Audit[[#This Row],[Max Differences]]), 0)</f>
        <v>0</v>
      </c>
      <c r="AB389" s="111">
        <f>'Sampling Data'!P379</f>
        <v>3.2261186566441917E-5</v>
      </c>
      <c r="AC389" s="111">
        <f>IF(
      SUM(Audit[[#This Row],[Audit Losing Candidate]:[Audit Candidate 6]])
      &lt;&gt;0,
      (Audit[[#This Row],[Winning Candidate]]-Audit[[#This Row],[Losing Candidate]]-(Audit[[#This Row],[Audit Winning Candidate]]-Audit[[#This Row],[Audit Losing Candidate]]))/(Audit[[#Totals],[Winning Candidate]]-Audit[[#Totals],[Losing Candidate]]),
      0
)</f>
        <v>0</v>
      </c>
      <c r="AD3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9" s="111">
        <f>IF(Audit[[#This Row],[Max Relative Error (ep)]] = 0, 0, Audit[[#This Row],[Max Relative Error (ep)]]/Audit[[#This Row],[Error Bound (up) - Max. possible relative overstatement]])</f>
        <v>0</v>
      </c>
      <c r="AJ3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89" s="111">
        <f t="shared" ref="AK389:AK452" si="6">IF(ISERR(POWER(AJ389,L389)), 0, POWER(AJ389,L389))</f>
        <v>1</v>
      </c>
      <c r="AL389" s="111">
        <f>PRODUCT($AK$5:AK389)</f>
        <v>8.962823818226312E-2</v>
      </c>
      <c r="AM389" s="109">
        <f>1 - [K-M P Value]</f>
        <v>0.91037176181773694</v>
      </c>
      <c r="AN389" s="111" t="str">
        <f>IF(Audit[[#This Row],[K-M P Value]]&gt;1-'General Info'!$B$16,"Continue", "Stop")</f>
        <v>Stop</v>
      </c>
      <c r="AO389" s="110" t="b">
        <f>IF(Audit[[#This Row],[Status - Continue or stop audit]] = "Continue", TRUE, IF(AN388 = "Continue", TRUE, FALSE))</f>
        <v>0</v>
      </c>
      <c r="AP389" s="110"/>
    </row>
    <row r="390" spans="1:42" ht="15" hidden="1" customHeight="1">
      <c r="A390" s="111" t="str">
        <f>'Sampling Data'!W380</f>
        <v/>
      </c>
      <c r="B390" s="112" t="str">
        <f>'Sampling Data'!A380</f>
        <v>CLEVELAND -04-H - ABS</v>
      </c>
      <c r="C390" s="112">
        <f>'Sampling Data'!B380</f>
        <v>0</v>
      </c>
      <c r="D390" s="112">
        <f>'Sampling Data'!C380</f>
        <v>0</v>
      </c>
      <c r="E390" s="113">
        <f>'Sampling Data'!D380</f>
        <v>0</v>
      </c>
      <c r="F390" s="113">
        <f>'Sampling Data'!E380</f>
        <v>0</v>
      </c>
      <c r="G390" s="113">
        <f>'Sampling Data'!F380</f>
        <v>0</v>
      </c>
      <c r="H390" s="113">
        <f>'Sampling Data'!G380</f>
        <v>0</v>
      </c>
      <c r="I390" s="112">
        <f>'Sampling Data'!H380</f>
        <v>0</v>
      </c>
      <c r="J390" s="112">
        <f>'Sampling Data'!I380</f>
        <v>0</v>
      </c>
      <c r="K390" s="112">
        <f>'Sampling Data'!J380</f>
        <v>0</v>
      </c>
      <c r="L390" s="111">
        <f>'Sampling Data'!X380</f>
        <v>0</v>
      </c>
      <c r="M390" s="114"/>
      <c r="N390" s="114"/>
      <c r="O390" s="115"/>
      <c r="P390" s="115"/>
      <c r="Q390" s="116"/>
      <c r="R390" s="116"/>
      <c r="S390" s="111">
        <f>Audit[[#This Row],[Audit Losing Candidate]]-Audit[[#This Row],[Losing Candidate]]</f>
        <v>0</v>
      </c>
      <c r="T390" s="111">
        <f>Audit[[#This Row],[Audit Winning Candidate]]-Audit[[#This Row],[Winning Candidate]]</f>
        <v>0</v>
      </c>
      <c r="U390" s="111">
        <f>Audit[[#This Row],[Audit Candidate 3]]-Audit[[#This Row],[Candidate 3]]</f>
        <v>0</v>
      </c>
      <c r="V390" s="111">
        <f>Audit[[#This Row],[Audit Candidate 4]]-Audit[[#This Row],[Candidate 4]]</f>
        <v>0</v>
      </c>
      <c r="W390" s="111">
        <f>Audit[[#This Row],[Audit Candidate 5]]-Audit[[#This Row],[Candidate 5]]</f>
        <v>0</v>
      </c>
      <c r="X390" s="111">
        <f>Audit[[#This Row],[Audit Candidate 6]]-Audit[[#This Row],[Candidate 6]]</f>
        <v>0</v>
      </c>
      <c r="Y390" s="111">
        <f>SUMIF(Audit[[#This Row],[Difference Loser]:[Difference Candidate 6]], "&gt;0")</f>
        <v>0</v>
      </c>
      <c r="Z390" s="111">
        <f>SUM(Audit[[#This Row],[Difference Loser]:[Difference Candidate 6]])</f>
        <v>0</v>
      </c>
      <c r="AA390" s="111">
        <f>IF(Audit[[#This Row],[Times p Drawn - With Replacement]]&gt;0, IF(Audit[[#This Row],[Canceled Differences]]&lt;0, Audit[[#This Row],[Max Differences]]+ABS(Audit[[#This Row],[Canceled Differences]]), Audit[[#This Row],[Max Differences]]), 0)</f>
        <v>0</v>
      </c>
      <c r="AB390" s="111">
        <f>'Sampling Data'!P380</f>
        <v>0</v>
      </c>
      <c r="AC390" s="111">
        <f>IF(
      SUM(Audit[[#This Row],[Audit Losing Candidate]:[Audit Candidate 6]])
      &lt;&gt;0,
      (Audit[[#This Row],[Winning Candidate]]-Audit[[#This Row],[Losing Candidate]]-(Audit[[#This Row],[Audit Winning Candidate]]-Audit[[#This Row],[Audit Losing Candidate]]))/(Audit[[#Totals],[Winning Candidate]]-Audit[[#Totals],[Losing Candidate]]),
      0
)</f>
        <v>0</v>
      </c>
      <c r="AD3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0" s="111">
        <f>IF(Audit[[#This Row],[Max Relative Error (ep)]] = 0, 0, Audit[[#This Row],[Max Relative Error (ep)]]/Audit[[#This Row],[Error Bound (up) - Max. possible relative overstatement]])</f>
        <v>0</v>
      </c>
      <c r="AJ3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90" s="111">
        <f t="shared" si="6"/>
        <v>1</v>
      </c>
      <c r="AL390" s="111">
        <f>PRODUCT($AK$5:AK390)</f>
        <v>8.962823818226312E-2</v>
      </c>
      <c r="AM390" s="109">
        <f>1 - [K-M P Value]</f>
        <v>0.91037176181773694</v>
      </c>
      <c r="AN390" s="111" t="str">
        <f>IF(Audit[[#This Row],[K-M P Value]]&gt;1-'General Info'!$B$16,"Continue", "Stop")</f>
        <v>Stop</v>
      </c>
      <c r="AO390" s="110" t="b">
        <f>IF(Audit[[#This Row],[Status - Continue or stop audit]] = "Continue", TRUE, IF(AN389 = "Continue", TRUE, FALSE))</f>
        <v>0</v>
      </c>
      <c r="AP390" s="110"/>
    </row>
    <row r="391" spans="1:42" ht="15" hidden="1" customHeight="1">
      <c r="A391" s="111" t="str">
        <f>'Sampling Data'!W381</f>
        <v/>
      </c>
      <c r="B391" s="112" t="str">
        <f>'Sampling Data'!A381</f>
        <v>CLEVELAND -04-I</v>
      </c>
      <c r="C391" s="112">
        <f>'Sampling Data'!B381</f>
        <v>0</v>
      </c>
      <c r="D391" s="112">
        <f>'Sampling Data'!C381</f>
        <v>0</v>
      </c>
      <c r="E391" s="113">
        <f>'Sampling Data'!D381</f>
        <v>0</v>
      </c>
      <c r="F391" s="113">
        <f>'Sampling Data'!E381</f>
        <v>0</v>
      </c>
      <c r="G391" s="113">
        <f>'Sampling Data'!F381</f>
        <v>0</v>
      </c>
      <c r="H391" s="113">
        <f>'Sampling Data'!G381</f>
        <v>0</v>
      </c>
      <c r="I391" s="112">
        <f>'Sampling Data'!H381</f>
        <v>0</v>
      </c>
      <c r="J391" s="112">
        <f>'Sampling Data'!I381</f>
        <v>0</v>
      </c>
      <c r="K391" s="112">
        <f>'Sampling Data'!J381</f>
        <v>0</v>
      </c>
      <c r="L391" s="111">
        <f>'Sampling Data'!X381</f>
        <v>0</v>
      </c>
      <c r="M391" s="114"/>
      <c r="N391" s="114"/>
      <c r="O391" s="115"/>
      <c r="P391" s="115"/>
      <c r="Q391" s="116"/>
      <c r="R391" s="116"/>
      <c r="S391" s="111">
        <f>Audit[[#This Row],[Audit Losing Candidate]]-Audit[[#This Row],[Losing Candidate]]</f>
        <v>0</v>
      </c>
      <c r="T391" s="111">
        <f>Audit[[#This Row],[Audit Winning Candidate]]-Audit[[#This Row],[Winning Candidate]]</f>
        <v>0</v>
      </c>
      <c r="U391" s="111">
        <f>Audit[[#This Row],[Audit Candidate 3]]-Audit[[#This Row],[Candidate 3]]</f>
        <v>0</v>
      </c>
      <c r="V391" s="111">
        <f>Audit[[#This Row],[Audit Candidate 4]]-Audit[[#This Row],[Candidate 4]]</f>
        <v>0</v>
      </c>
      <c r="W391" s="111">
        <f>Audit[[#This Row],[Audit Candidate 5]]-Audit[[#This Row],[Candidate 5]]</f>
        <v>0</v>
      </c>
      <c r="X391" s="111">
        <f>Audit[[#This Row],[Audit Candidate 6]]-Audit[[#This Row],[Candidate 6]]</f>
        <v>0</v>
      </c>
      <c r="Y391" s="111">
        <f>SUMIF(Audit[[#This Row],[Difference Loser]:[Difference Candidate 6]], "&gt;0")</f>
        <v>0</v>
      </c>
      <c r="Z391" s="111">
        <f>SUM(Audit[[#This Row],[Difference Loser]:[Difference Candidate 6]])</f>
        <v>0</v>
      </c>
      <c r="AA391" s="111">
        <f>IF(Audit[[#This Row],[Times p Drawn - With Replacement]]&gt;0, IF(Audit[[#This Row],[Canceled Differences]]&lt;0, Audit[[#This Row],[Max Differences]]+ABS(Audit[[#This Row],[Canceled Differences]]), Audit[[#This Row],[Max Differences]]), 0)</f>
        <v>0</v>
      </c>
      <c r="AB391" s="111">
        <f>'Sampling Data'!P381</f>
        <v>0</v>
      </c>
      <c r="AC391" s="111">
        <f>IF(
      SUM(Audit[[#This Row],[Audit Losing Candidate]:[Audit Candidate 6]])
      &lt;&gt;0,
      (Audit[[#This Row],[Winning Candidate]]-Audit[[#This Row],[Losing Candidate]]-(Audit[[#This Row],[Audit Winning Candidate]]-Audit[[#This Row],[Audit Losing Candidate]]))/(Audit[[#Totals],[Winning Candidate]]-Audit[[#Totals],[Losing Candidate]]),
      0
)</f>
        <v>0</v>
      </c>
      <c r="AD3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1" s="111">
        <f>IF(Audit[[#This Row],[Max Relative Error (ep)]] = 0, 0, Audit[[#This Row],[Max Relative Error (ep)]]/Audit[[#This Row],[Error Bound (up) - Max. possible relative overstatement]])</f>
        <v>0</v>
      </c>
      <c r="AJ3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91" s="111">
        <f t="shared" si="6"/>
        <v>1</v>
      </c>
      <c r="AL391" s="111">
        <f>PRODUCT($AK$5:AK391)</f>
        <v>8.962823818226312E-2</v>
      </c>
      <c r="AM391" s="109">
        <f>1 - [K-M P Value]</f>
        <v>0.91037176181773694</v>
      </c>
      <c r="AN391" s="111" t="str">
        <f>IF(Audit[[#This Row],[K-M P Value]]&gt;1-'General Info'!$B$16,"Continue", "Stop")</f>
        <v>Stop</v>
      </c>
      <c r="AO391" s="110" t="b">
        <f>IF(Audit[[#This Row],[Status - Continue or stop audit]] = "Continue", TRUE, IF(AN390 = "Continue", TRUE, FALSE))</f>
        <v>0</v>
      </c>
      <c r="AP391" s="110"/>
    </row>
    <row r="392" spans="1:42" ht="15" hidden="1" customHeight="1">
      <c r="A392" s="111" t="str">
        <f>'Sampling Data'!W382</f>
        <v/>
      </c>
      <c r="B392" s="112" t="str">
        <f>'Sampling Data'!A382</f>
        <v>CLEVELAND -04-I - ABS</v>
      </c>
      <c r="C392" s="112">
        <f>'Sampling Data'!B382</f>
        <v>0</v>
      </c>
      <c r="D392" s="112">
        <f>'Sampling Data'!C382</f>
        <v>0</v>
      </c>
      <c r="E392" s="113">
        <f>'Sampling Data'!D382</f>
        <v>0</v>
      </c>
      <c r="F392" s="113">
        <f>'Sampling Data'!E382</f>
        <v>0</v>
      </c>
      <c r="G392" s="113">
        <f>'Sampling Data'!F382</f>
        <v>0</v>
      </c>
      <c r="H392" s="113">
        <f>'Sampling Data'!G382</f>
        <v>0</v>
      </c>
      <c r="I392" s="112">
        <f>'Sampling Data'!H382</f>
        <v>0</v>
      </c>
      <c r="J392" s="112">
        <f>'Sampling Data'!I382</f>
        <v>1</v>
      </c>
      <c r="K392" s="112">
        <f>'Sampling Data'!J382</f>
        <v>1</v>
      </c>
      <c r="L392" s="111">
        <f>'Sampling Data'!X382</f>
        <v>0</v>
      </c>
      <c r="M392" s="114"/>
      <c r="N392" s="114"/>
      <c r="O392" s="115"/>
      <c r="P392" s="115"/>
      <c r="Q392" s="116"/>
      <c r="R392" s="116"/>
      <c r="S392" s="111">
        <f>Audit[[#This Row],[Audit Losing Candidate]]-Audit[[#This Row],[Losing Candidate]]</f>
        <v>0</v>
      </c>
      <c r="T392" s="111">
        <f>Audit[[#This Row],[Audit Winning Candidate]]-Audit[[#This Row],[Winning Candidate]]</f>
        <v>0</v>
      </c>
      <c r="U392" s="111">
        <f>Audit[[#This Row],[Audit Candidate 3]]-Audit[[#This Row],[Candidate 3]]</f>
        <v>0</v>
      </c>
      <c r="V392" s="111">
        <f>Audit[[#This Row],[Audit Candidate 4]]-Audit[[#This Row],[Candidate 4]]</f>
        <v>0</v>
      </c>
      <c r="W392" s="111">
        <f>Audit[[#This Row],[Audit Candidate 5]]-Audit[[#This Row],[Candidate 5]]</f>
        <v>0</v>
      </c>
      <c r="X392" s="111">
        <f>Audit[[#This Row],[Audit Candidate 6]]-Audit[[#This Row],[Candidate 6]]</f>
        <v>0</v>
      </c>
      <c r="Y392" s="111">
        <f>SUMIF(Audit[[#This Row],[Difference Loser]:[Difference Candidate 6]], "&gt;0")</f>
        <v>0</v>
      </c>
      <c r="Z392" s="111">
        <f>SUM(Audit[[#This Row],[Difference Loser]:[Difference Candidate 6]])</f>
        <v>0</v>
      </c>
      <c r="AA392" s="111">
        <f>IF(Audit[[#This Row],[Times p Drawn - With Replacement]]&gt;0, IF(Audit[[#This Row],[Canceled Differences]]&lt;0, Audit[[#This Row],[Max Differences]]+ABS(Audit[[#This Row],[Canceled Differences]]), Audit[[#This Row],[Max Differences]]), 0)</f>
        <v>0</v>
      </c>
      <c r="AB392" s="111">
        <f>'Sampling Data'!P382</f>
        <v>6.1244487996080352E-5</v>
      </c>
      <c r="AC392" s="111">
        <f>IF(
      SUM(Audit[[#This Row],[Audit Losing Candidate]:[Audit Candidate 6]])
      &lt;&gt;0,
      (Audit[[#This Row],[Winning Candidate]]-Audit[[#This Row],[Losing Candidate]]-(Audit[[#This Row],[Audit Winning Candidate]]-Audit[[#This Row],[Audit Losing Candidate]]))/(Audit[[#Totals],[Winning Candidate]]-Audit[[#Totals],[Losing Candidate]]),
      0
)</f>
        <v>0</v>
      </c>
      <c r="AD3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2" s="111">
        <f>IF(Audit[[#This Row],[Max Relative Error (ep)]] = 0, 0, Audit[[#This Row],[Max Relative Error (ep)]]/Audit[[#This Row],[Error Bound (up) - Max. possible relative overstatement]])</f>
        <v>0</v>
      </c>
      <c r="AJ3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92" s="111">
        <f t="shared" si="6"/>
        <v>1</v>
      </c>
      <c r="AL392" s="111">
        <f>PRODUCT($AK$5:AK392)</f>
        <v>8.962823818226312E-2</v>
      </c>
      <c r="AM392" s="109">
        <f>1 - [K-M P Value]</f>
        <v>0.91037176181773694</v>
      </c>
      <c r="AN392" s="111" t="str">
        <f>IF(Audit[[#This Row],[K-M P Value]]&gt;1-'General Info'!$B$16,"Continue", "Stop")</f>
        <v>Stop</v>
      </c>
      <c r="AO392" s="110" t="b">
        <f>IF(Audit[[#This Row],[Status - Continue or stop audit]] = "Continue", TRUE, IF(AN391 = "Continue", TRUE, FALSE))</f>
        <v>0</v>
      </c>
      <c r="AP392" s="110"/>
    </row>
    <row r="393" spans="1:42" ht="15" hidden="1" customHeight="1">
      <c r="A393" s="111" t="str">
        <f>'Sampling Data'!W383</f>
        <v/>
      </c>
      <c r="B393" s="112" t="str">
        <f>'Sampling Data'!A383</f>
        <v>CLEVELAND -04-J</v>
      </c>
      <c r="C393" s="112">
        <f>'Sampling Data'!B383</f>
        <v>0</v>
      </c>
      <c r="D393" s="112">
        <f>'Sampling Data'!C383</f>
        <v>0</v>
      </c>
      <c r="E393" s="113">
        <f>'Sampling Data'!D383</f>
        <v>1</v>
      </c>
      <c r="F393" s="113">
        <f>'Sampling Data'!E383</f>
        <v>1</v>
      </c>
      <c r="G393" s="113">
        <f>'Sampling Data'!F383</f>
        <v>0</v>
      </c>
      <c r="H393" s="113">
        <f>'Sampling Data'!G383</f>
        <v>0</v>
      </c>
      <c r="I393" s="112">
        <f>'Sampling Data'!H383</f>
        <v>0</v>
      </c>
      <c r="J393" s="112">
        <f>'Sampling Data'!I383</f>
        <v>0</v>
      </c>
      <c r="K393" s="112">
        <f>'Sampling Data'!J383</f>
        <v>2</v>
      </c>
      <c r="L393" s="111">
        <f>'Sampling Data'!X383</f>
        <v>0</v>
      </c>
      <c r="M393" s="114"/>
      <c r="N393" s="114"/>
      <c r="O393" s="115"/>
      <c r="P393" s="115"/>
      <c r="Q393" s="116"/>
      <c r="R393" s="116"/>
      <c r="S393" s="111">
        <f>Audit[[#This Row],[Audit Losing Candidate]]-Audit[[#This Row],[Losing Candidate]]</f>
        <v>0</v>
      </c>
      <c r="T393" s="111">
        <f>Audit[[#This Row],[Audit Winning Candidate]]-Audit[[#This Row],[Winning Candidate]]</f>
        <v>0</v>
      </c>
      <c r="U393" s="111">
        <f>Audit[[#This Row],[Audit Candidate 3]]-Audit[[#This Row],[Candidate 3]]</f>
        <v>-1</v>
      </c>
      <c r="V393" s="111">
        <f>Audit[[#This Row],[Audit Candidate 4]]-Audit[[#This Row],[Candidate 4]]</f>
        <v>-1</v>
      </c>
      <c r="W393" s="111">
        <f>Audit[[#This Row],[Audit Candidate 5]]-Audit[[#This Row],[Candidate 5]]</f>
        <v>0</v>
      </c>
      <c r="X393" s="111">
        <f>Audit[[#This Row],[Audit Candidate 6]]-Audit[[#This Row],[Candidate 6]]</f>
        <v>0</v>
      </c>
      <c r="Y393" s="111">
        <f>SUMIF(Audit[[#This Row],[Difference Loser]:[Difference Candidate 6]], "&gt;0")</f>
        <v>0</v>
      </c>
      <c r="Z393" s="111">
        <f>SUM(Audit[[#This Row],[Difference Loser]:[Difference Candidate 6]])</f>
        <v>-2</v>
      </c>
      <c r="AA393" s="111">
        <f>IF(Audit[[#This Row],[Times p Drawn - With Replacement]]&gt;0, IF(Audit[[#This Row],[Canceled Differences]]&lt;0, Audit[[#This Row],[Max Differences]]+ABS(Audit[[#This Row],[Canceled Differences]]), Audit[[#This Row],[Max Differences]]), 0)</f>
        <v>0</v>
      </c>
      <c r="AB393" s="111">
        <f>'Sampling Data'!P383</f>
        <v>1.224889759921607E-4</v>
      </c>
      <c r="AC393" s="111">
        <f>IF(
      SUM(Audit[[#This Row],[Audit Losing Candidate]:[Audit Candidate 6]])
      &lt;&gt;0,
      (Audit[[#This Row],[Winning Candidate]]-Audit[[#This Row],[Losing Candidate]]-(Audit[[#This Row],[Audit Winning Candidate]]-Audit[[#This Row],[Audit Losing Candidate]]))/(Audit[[#Totals],[Winning Candidate]]-Audit[[#Totals],[Losing Candidate]]),
      0
)</f>
        <v>0</v>
      </c>
      <c r="AD3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3" s="111">
        <f>IF(Audit[[#This Row],[Max Relative Error (ep)]] = 0, 0, Audit[[#This Row],[Max Relative Error (ep)]]/Audit[[#This Row],[Error Bound (up) - Max. possible relative overstatement]])</f>
        <v>0</v>
      </c>
      <c r="AJ3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93" s="111">
        <f t="shared" si="6"/>
        <v>1</v>
      </c>
      <c r="AL393" s="111">
        <f>PRODUCT($AK$5:AK393)</f>
        <v>8.962823818226312E-2</v>
      </c>
      <c r="AM393" s="109">
        <f>1 - [K-M P Value]</f>
        <v>0.91037176181773694</v>
      </c>
      <c r="AN393" s="111" t="str">
        <f>IF(Audit[[#This Row],[K-M P Value]]&gt;1-'General Info'!$B$16,"Continue", "Stop")</f>
        <v>Stop</v>
      </c>
      <c r="AO393" s="110" t="b">
        <f>IF(Audit[[#This Row],[Status - Continue or stop audit]] = "Continue", TRUE, IF(AN392 = "Continue", TRUE, FALSE))</f>
        <v>0</v>
      </c>
      <c r="AP393" s="110"/>
    </row>
    <row r="394" spans="1:42" ht="15" hidden="1" customHeight="1">
      <c r="A394" s="111" t="str">
        <f>'Sampling Data'!W384</f>
        <v/>
      </c>
      <c r="B394" s="112" t="str">
        <f>'Sampling Data'!A384</f>
        <v>CLEVELAND -04-J - ABS</v>
      </c>
      <c r="C394" s="112">
        <f>'Sampling Data'!B384</f>
        <v>0</v>
      </c>
      <c r="D394" s="112">
        <f>'Sampling Data'!C384</f>
        <v>0</v>
      </c>
      <c r="E394" s="113">
        <f>'Sampling Data'!D384</f>
        <v>0</v>
      </c>
      <c r="F394" s="113">
        <f>'Sampling Data'!E384</f>
        <v>0</v>
      </c>
      <c r="G394" s="113">
        <f>'Sampling Data'!F384</f>
        <v>0</v>
      </c>
      <c r="H394" s="113">
        <f>'Sampling Data'!G384</f>
        <v>0</v>
      </c>
      <c r="I394" s="112">
        <f>'Sampling Data'!H384</f>
        <v>0</v>
      </c>
      <c r="J394" s="112">
        <f>'Sampling Data'!I384</f>
        <v>1</v>
      </c>
      <c r="K394" s="112">
        <f>'Sampling Data'!J384</f>
        <v>1</v>
      </c>
      <c r="L394" s="111">
        <f>'Sampling Data'!X384</f>
        <v>0</v>
      </c>
      <c r="M394" s="114"/>
      <c r="N394" s="114"/>
      <c r="O394" s="115"/>
      <c r="P394" s="115"/>
      <c r="Q394" s="116"/>
      <c r="R394" s="116"/>
      <c r="S394" s="111">
        <f>Audit[[#This Row],[Audit Losing Candidate]]-Audit[[#This Row],[Losing Candidate]]</f>
        <v>0</v>
      </c>
      <c r="T394" s="111">
        <f>Audit[[#This Row],[Audit Winning Candidate]]-Audit[[#This Row],[Winning Candidate]]</f>
        <v>0</v>
      </c>
      <c r="U394" s="111">
        <f>Audit[[#This Row],[Audit Candidate 3]]-Audit[[#This Row],[Candidate 3]]</f>
        <v>0</v>
      </c>
      <c r="V394" s="111">
        <f>Audit[[#This Row],[Audit Candidate 4]]-Audit[[#This Row],[Candidate 4]]</f>
        <v>0</v>
      </c>
      <c r="W394" s="111">
        <f>Audit[[#This Row],[Audit Candidate 5]]-Audit[[#This Row],[Candidate 5]]</f>
        <v>0</v>
      </c>
      <c r="X394" s="111">
        <f>Audit[[#This Row],[Audit Candidate 6]]-Audit[[#This Row],[Candidate 6]]</f>
        <v>0</v>
      </c>
      <c r="Y394" s="111">
        <f>SUMIF(Audit[[#This Row],[Difference Loser]:[Difference Candidate 6]], "&gt;0")</f>
        <v>0</v>
      </c>
      <c r="Z394" s="111">
        <f>SUM(Audit[[#This Row],[Difference Loser]:[Difference Candidate 6]])</f>
        <v>0</v>
      </c>
      <c r="AA394" s="111">
        <f>IF(Audit[[#This Row],[Times p Drawn - With Replacement]]&gt;0, IF(Audit[[#This Row],[Canceled Differences]]&lt;0, Audit[[#This Row],[Max Differences]]+ABS(Audit[[#This Row],[Canceled Differences]]), Audit[[#This Row],[Max Differences]]), 0)</f>
        <v>0</v>
      </c>
      <c r="AB394" s="111">
        <f>'Sampling Data'!P384</f>
        <v>6.1244487996080352E-5</v>
      </c>
      <c r="AC394" s="111">
        <f>IF(
      SUM(Audit[[#This Row],[Audit Losing Candidate]:[Audit Candidate 6]])
      &lt;&gt;0,
      (Audit[[#This Row],[Winning Candidate]]-Audit[[#This Row],[Losing Candidate]]-(Audit[[#This Row],[Audit Winning Candidate]]-Audit[[#This Row],[Audit Losing Candidate]]))/(Audit[[#Totals],[Winning Candidate]]-Audit[[#Totals],[Losing Candidate]]),
      0
)</f>
        <v>0</v>
      </c>
      <c r="AD3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4" s="111">
        <f>IF(Audit[[#This Row],[Max Relative Error (ep)]] = 0, 0, Audit[[#This Row],[Max Relative Error (ep)]]/Audit[[#This Row],[Error Bound (up) - Max. possible relative overstatement]])</f>
        <v>0</v>
      </c>
      <c r="AJ3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94" s="111">
        <f t="shared" si="6"/>
        <v>1</v>
      </c>
      <c r="AL394" s="111">
        <f>PRODUCT($AK$5:AK394)</f>
        <v>8.962823818226312E-2</v>
      </c>
      <c r="AM394" s="109">
        <f>1 - [K-M P Value]</f>
        <v>0.91037176181773694</v>
      </c>
      <c r="AN394" s="111" t="str">
        <f>IF(Audit[[#This Row],[K-M P Value]]&gt;1-'General Info'!$B$16,"Continue", "Stop")</f>
        <v>Stop</v>
      </c>
      <c r="AO394" s="110" t="b">
        <f>IF(Audit[[#This Row],[Status - Continue or stop audit]] = "Continue", TRUE, IF(AN393 = "Continue", TRUE, FALSE))</f>
        <v>0</v>
      </c>
      <c r="AP394" s="110"/>
    </row>
    <row r="395" spans="1:42" ht="15" hidden="1" customHeight="1">
      <c r="A395" s="111" t="str">
        <f>'Sampling Data'!W385</f>
        <v/>
      </c>
      <c r="B395" s="112" t="str">
        <f>'Sampling Data'!A385</f>
        <v>CLEVELAND -04-K</v>
      </c>
      <c r="C395" s="112">
        <f>'Sampling Data'!B385</f>
        <v>2</v>
      </c>
      <c r="D395" s="112">
        <f>'Sampling Data'!C385</f>
        <v>0</v>
      </c>
      <c r="E395" s="113">
        <f>'Sampling Data'!D385</f>
        <v>0</v>
      </c>
      <c r="F395" s="113">
        <f>'Sampling Data'!E385</f>
        <v>0</v>
      </c>
      <c r="G395" s="113">
        <f>'Sampling Data'!F385</f>
        <v>0</v>
      </c>
      <c r="H395" s="113">
        <f>'Sampling Data'!G385</f>
        <v>0</v>
      </c>
      <c r="I395" s="112">
        <f>'Sampling Data'!H385</f>
        <v>0</v>
      </c>
      <c r="J395" s="112">
        <f>'Sampling Data'!I385</f>
        <v>0</v>
      </c>
      <c r="K395" s="112">
        <f>'Sampling Data'!J385</f>
        <v>2</v>
      </c>
      <c r="L395" s="111">
        <f>'Sampling Data'!X385</f>
        <v>0</v>
      </c>
      <c r="M395" s="114"/>
      <c r="N395" s="114"/>
      <c r="O395" s="115"/>
      <c r="P395" s="115"/>
      <c r="Q395" s="116"/>
      <c r="R395" s="116"/>
      <c r="S395" s="111">
        <f>Audit[[#This Row],[Audit Losing Candidate]]-Audit[[#This Row],[Losing Candidate]]</f>
        <v>-2</v>
      </c>
      <c r="T395" s="111">
        <f>Audit[[#This Row],[Audit Winning Candidate]]-Audit[[#This Row],[Winning Candidate]]</f>
        <v>0</v>
      </c>
      <c r="U395" s="111">
        <f>Audit[[#This Row],[Audit Candidate 3]]-Audit[[#This Row],[Candidate 3]]</f>
        <v>0</v>
      </c>
      <c r="V395" s="111">
        <f>Audit[[#This Row],[Audit Candidate 4]]-Audit[[#This Row],[Candidate 4]]</f>
        <v>0</v>
      </c>
      <c r="W395" s="111">
        <f>Audit[[#This Row],[Audit Candidate 5]]-Audit[[#This Row],[Candidate 5]]</f>
        <v>0</v>
      </c>
      <c r="X395" s="111">
        <f>Audit[[#This Row],[Audit Candidate 6]]-Audit[[#This Row],[Candidate 6]]</f>
        <v>0</v>
      </c>
      <c r="Y395" s="111">
        <f>SUMIF(Audit[[#This Row],[Difference Loser]:[Difference Candidate 6]], "&gt;0")</f>
        <v>0</v>
      </c>
      <c r="Z395" s="111">
        <f>SUM(Audit[[#This Row],[Difference Loser]:[Difference Candidate 6]])</f>
        <v>-2</v>
      </c>
      <c r="AA395" s="111">
        <f>IF(Audit[[#This Row],[Times p Drawn - With Replacement]]&gt;0, IF(Audit[[#This Row],[Canceled Differences]]&lt;0, Audit[[#This Row],[Max Differences]]+ABS(Audit[[#This Row],[Canceled Differences]]), Audit[[#This Row],[Max Differences]]), 0)</f>
        <v>0</v>
      </c>
      <c r="AB395" s="111">
        <f>'Sampling Data'!P385</f>
        <v>6.4522373132883833E-5</v>
      </c>
      <c r="AC395" s="111">
        <f>IF(
      SUM(Audit[[#This Row],[Audit Losing Candidate]:[Audit Candidate 6]])
      &lt;&gt;0,
      (Audit[[#This Row],[Winning Candidate]]-Audit[[#This Row],[Losing Candidate]]-(Audit[[#This Row],[Audit Winning Candidate]]-Audit[[#This Row],[Audit Losing Candidate]]))/(Audit[[#Totals],[Winning Candidate]]-Audit[[#Totals],[Losing Candidate]]),
      0
)</f>
        <v>0</v>
      </c>
      <c r="AD3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5" s="111">
        <f>IF(Audit[[#This Row],[Max Relative Error (ep)]] = 0, 0, Audit[[#This Row],[Max Relative Error (ep)]]/Audit[[#This Row],[Error Bound (up) - Max. possible relative overstatement]])</f>
        <v>0</v>
      </c>
      <c r="AJ3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95" s="111">
        <f t="shared" si="6"/>
        <v>1</v>
      </c>
      <c r="AL395" s="111">
        <f>PRODUCT($AK$5:AK395)</f>
        <v>8.962823818226312E-2</v>
      </c>
      <c r="AM395" s="109">
        <f>1 - [K-M P Value]</f>
        <v>0.91037176181773694</v>
      </c>
      <c r="AN395" s="111" t="str">
        <f>IF(Audit[[#This Row],[K-M P Value]]&gt;1-'General Info'!$B$16,"Continue", "Stop")</f>
        <v>Stop</v>
      </c>
      <c r="AO395" s="110" t="b">
        <f>IF(Audit[[#This Row],[Status - Continue or stop audit]] = "Continue", TRUE, IF(AN394 = "Continue", TRUE, FALSE))</f>
        <v>0</v>
      </c>
      <c r="AP395" s="110"/>
    </row>
    <row r="396" spans="1:42" ht="15" hidden="1" customHeight="1">
      <c r="A396" s="111" t="str">
        <f>'Sampling Data'!W386</f>
        <v/>
      </c>
      <c r="B396" s="112" t="str">
        <f>'Sampling Data'!A386</f>
        <v>CLEVELAND -04-K - ABS</v>
      </c>
      <c r="C396" s="112">
        <f>'Sampling Data'!B386</f>
        <v>0</v>
      </c>
      <c r="D396" s="112">
        <f>'Sampling Data'!C386</f>
        <v>0</v>
      </c>
      <c r="E396" s="113">
        <f>'Sampling Data'!D386</f>
        <v>0</v>
      </c>
      <c r="F396" s="113">
        <f>'Sampling Data'!E386</f>
        <v>1</v>
      </c>
      <c r="G396" s="113">
        <f>'Sampling Data'!F386</f>
        <v>0</v>
      </c>
      <c r="H396" s="113">
        <f>'Sampling Data'!G386</f>
        <v>0</v>
      </c>
      <c r="I396" s="112">
        <f>'Sampling Data'!H386</f>
        <v>0</v>
      </c>
      <c r="J396" s="112">
        <f>'Sampling Data'!I386</f>
        <v>0</v>
      </c>
      <c r="K396" s="112">
        <f>'Sampling Data'!J386</f>
        <v>1</v>
      </c>
      <c r="L396" s="111">
        <f>'Sampling Data'!X386</f>
        <v>0</v>
      </c>
      <c r="M396" s="114"/>
      <c r="N396" s="114"/>
      <c r="O396" s="115"/>
      <c r="P396" s="115"/>
      <c r="Q396" s="116"/>
      <c r="R396" s="116"/>
      <c r="S396" s="111">
        <f>Audit[[#This Row],[Audit Losing Candidate]]-Audit[[#This Row],[Losing Candidate]]</f>
        <v>0</v>
      </c>
      <c r="T396" s="111">
        <f>Audit[[#This Row],[Audit Winning Candidate]]-Audit[[#This Row],[Winning Candidate]]</f>
        <v>0</v>
      </c>
      <c r="U396" s="111">
        <f>Audit[[#This Row],[Audit Candidate 3]]-Audit[[#This Row],[Candidate 3]]</f>
        <v>0</v>
      </c>
      <c r="V396" s="111">
        <f>Audit[[#This Row],[Audit Candidate 4]]-Audit[[#This Row],[Candidate 4]]</f>
        <v>-1</v>
      </c>
      <c r="W396" s="111">
        <f>Audit[[#This Row],[Audit Candidate 5]]-Audit[[#This Row],[Candidate 5]]</f>
        <v>0</v>
      </c>
      <c r="X396" s="111">
        <f>Audit[[#This Row],[Audit Candidate 6]]-Audit[[#This Row],[Candidate 6]]</f>
        <v>0</v>
      </c>
      <c r="Y396" s="111">
        <f>SUMIF(Audit[[#This Row],[Difference Loser]:[Difference Candidate 6]], "&gt;0")</f>
        <v>0</v>
      </c>
      <c r="Z396" s="111">
        <f>SUM(Audit[[#This Row],[Difference Loser]:[Difference Candidate 6]])</f>
        <v>-1</v>
      </c>
      <c r="AA396" s="111">
        <f>IF(Audit[[#This Row],[Times p Drawn - With Replacement]]&gt;0, IF(Audit[[#This Row],[Canceled Differences]]&lt;0, Audit[[#This Row],[Max Differences]]+ABS(Audit[[#This Row],[Canceled Differences]]), Audit[[#This Row],[Max Differences]]), 0)</f>
        <v>0</v>
      </c>
      <c r="AB396" s="111">
        <f>'Sampling Data'!P386</f>
        <v>6.1244487996080352E-5</v>
      </c>
      <c r="AC396" s="111">
        <f>IF(
      SUM(Audit[[#This Row],[Audit Losing Candidate]:[Audit Candidate 6]])
      &lt;&gt;0,
      (Audit[[#This Row],[Winning Candidate]]-Audit[[#This Row],[Losing Candidate]]-(Audit[[#This Row],[Audit Winning Candidate]]-Audit[[#This Row],[Audit Losing Candidate]]))/(Audit[[#Totals],[Winning Candidate]]-Audit[[#Totals],[Losing Candidate]]),
      0
)</f>
        <v>0</v>
      </c>
      <c r="AD3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6" s="111">
        <f>IF(Audit[[#This Row],[Max Relative Error (ep)]] = 0, 0, Audit[[#This Row],[Max Relative Error (ep)]]/Audit[[#This Row],[Error Bound (up) - Max. possible relative overstatement]])</f>
        <v>0</v>
      </c>
      <c r="AJ3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96" s="111">
        <f t="shared" si="6"/>
        <v>1</v>
      </c>
      <c r="AL396" s="111">
        <f>PRODUCT($AK$5:AK396)</f>
        <v>8.962823818226312E-2</v>
      </c>
      <c r="AM396" s="109">
        <f>1 - [K-M P Value]</f>
        <v>0.91037176181773694</v>
      </c>
      <c r="AN396" s="111" t="str">
        <f>IF(Audit[[#This Row],[K-M P Value]]&gt;1-'General Info'!$B$16,"Continue", "Stop")</f>
        <v>Stop</v>
      </c>
      <c r="AO396" s="110" t="b">
        <f>IF(Audit[[#This Row],[Status - Continue or stop audit]] = "Continue", TRUE, IF(AN395 = "Continue", TRUE, FALSE))</f>
        <v>0</v>
      </c>
      <c r="AP396" s="110"/>
    </row>
    <row r="397" spans="1:42" ht="15" hidden="1" customHeight="1">
      <c r="A397" s="111" t="str">
        <f>'Sampling Data'!W387</f>
        <v/>
      </c>
      <c r="B397" s="112" t="str">
        <f>'Sampling Data'!A387</f>
        <v>CLEVELAND -04-L</v>
      </c>
      <c r="C397" s="112">
        <f>'Sampling Data'!B387</f>
        <v>0</v>
      </c>
      <c r="D397" s="112">
        <f>'Sampling Data'!C387</f>
        <v>0</v>
      </c>
      <c r="E397" s="113">
        <f>'Sampling Data'!D387</f>
        <v>0</v>
      </c>
      <c r="F397" s="113">
        <f>'Sampling Data'!E387</f>
        <v>0</v>
      </c>
      <c r="G397" s="113">
        <f>'Sampling Data'!F387</f>
        <v>0</v>
      </c>
      <c r="H397" s="113">
        <f>'Sampling Data'!G387</f>
        <v>1</v>
      </c>
      <c r="I397" s="112">
        <f>'Sampling Data'!H387</f>
        <v>0</v>
      </c>
      <c r="J397" s="112">
        <f>'Sampling Data'!I387</f>
        <v>0</v>
      </c>
      <c r="K397" s="112">
        <f>'Sampling Data'!J387</f>
        <v>1</v>
      </c>
      <c r="L397" s="111">
        <f>'Sampling Data'!X387</f>
        <v>0</v>
      </c>
      <c r="M397" s="114"/>
      <c r="N397" s="114"/>
      <c r="O397" s="115"/>
      <c r="P397" s="115"/>
      <c r="Q397" s="116"/>
      <c r="R397" s="116"/>
      <c r="S397" s="111">
        <f>Audit[[#This Row],[Audit Losing Candidate]]-Audit[[#This Row],[Losing Candidate]]</f>
        <v>0</v>
      </c>
      <c r="T397" s="111">
        <f>Audit[[#This Row],[Audit Winning Candidate]]-Audit[[#This Row],[Winning Candidate]]</f>
        <v>0</v>
      </c>
      <c r="U397" s="111">
        <f>Audit[[#This Row],[Audit Candidate 3]]-Audit[[#This Row],[Candidate 3]]</f>
        <v>0</v>
      </c>
      <c r="V397" s="111">
        <f>Audit[[#This Row],[Audit Candidate 4]]-Audit[[#This Row],[Candidate 4]]</f>
        <v>0</v>
      </c>
      <c r="W397" s="111">
        <f>Audit[[#This Row],[Audit Candidate 5]]-Audit[[#This Row],[Candidate 5]]</f>
        <v>0</v>
      </c>
      <c r="X397" s="111">
        <f>Audit[[#This Row],[Audit Candidate 6]]-Audit[[#This Row],[Candidate 6]]</f>
        <v>-1</v>
      </c>
      <c r="Y397" s="111">
        <f>SUMIF(Audit[[#This Row],[Difference Loser]:[Difference Candidate 6]], "&gt;0")</f>
        <v>0</v>
      </c>
      <c r="Z397" s="111">
        <f>SUM(Audit[[#This Row],[Difference Loser]:[Difference Candidate 6]])</f>
        <v>-1</v>
      </c>
      <c r="AA397" s="111">
        <f>IF(Audit[[#This Row],[Times p Drawn - With Replacement]]&gt;0, IF(Audit[[#This Row],[Canceled Differences]]&lt;0, Audit[[#This Row],[Max Differences]]+ABS(Audit[[#This Row],[Canceled Differences]]), Audit[[#This Row],[Max Differences]]), 0)</f>
        <v>0</v>
      </c>
      <c r="AB397" s="111">
        <f>'Sampling Data'!P387</f>
        <v>6.1244487996080352E-5</v>
      </c>
      <c r="AC397" s="111">
        <f>IF(
      SUM(Audit[[#This Row],[Audit Losing Candidate]:[Audit Candidate 6]])
      &lt;&gt;0,
      (Audit[[#This Row],[Winning Candidate]]-Audit[[#This Row],[Losing Candidate]]-(Audit[[#This Row],[Audit Winning Candidate]]-Audit[[#This Row],[Audit Losing Candidate]]))/(Audit[[#Totals],[Winning Candidate]]-Audit[[#Totals],[Losing Candidate]]),
      0
)</f>
        <v>0</v>
      </c>
      <c r="AD3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7" s="111">
        <f>IF(Audit[[#This Row],[Max Relative Error (ep)]] = 0, 0, Audit[[#This Row],[Max Relative Error (ep)]]/Audit[[#This Row],[Error Bound (up) - Max. possible relative overstatement]])</f>
        <v>0</v>
      </c>
      <c r="AJ3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97" s="111">
        <f t="shared" si="6"/>
        <v>1</v>
      </c>
      <c r="AL397" s="111">
        <f>PRODUCT($AK$5:AK397)</f>
        <v>8.962823818226312E-2</v>
      </c>
      <c r="AM397" s="109">
        <f>1 - [K-M P Value]</f>
        <v>0.91037176181773694</v>
      </c>
      <c r="AN397" s="111" t="str">
        <f>IF(Audit[[#This Row],[K-M P Value]]&gt;1-'General Info'!$B$16,"Continue", "Stop")</f>
        <v>Stop</v>
      </c>
      <c r="AO397" s="110" t="b">
        <f>IF(Audit[[#This Row],[Status - Continue or stop audit]] = "Continue", TRUE, IF(AN396 = "Continue", TRUE, FALSE))</f>
        <v>0</v>
      </c>
      <c r="AP397" s="110"/>
    </row>
    <row r="398" spans="1:42" ht="15" hidden="1" customHeight="1">
      <c r="A398" s="111" t="str">
        <f>'Sampling Data'!W388</f>
        <v/>
      </c>
      <c r="B398" s="112" t="str">
        <f>'Sampling Data'!A388</f>
        <v>CLEVELAND -04-L - ABS</v>
      </c>
      <c r="C398" s="112">
        <f>'Sampling Data'!B388</f>
        <v>0</v>
      </c>
      <c r="D398" s="112">
        <f>'Sampling Data'!C388</f>
        <v>0</v>
      </c>
      <c r="E398" s="113">
        <f>'Sampling Data'!D388</f>
        <v>0</v>
      </c>
      <c r="F398" s="113">
        <f>'Sampling Data'!E388</f>
        <v>0</v>
      </c>
      <c r="G398" s="113">
        <f>'Sampling Data'!F388</f>
        <v>0</v>
      </c>
      <c r="H398" s="113">
        <f>'Sampling Data'!G388</f>
        <v>0</v>
      </c>
      <c r="I398" s="112">
        <f>'Sampling Data'!H388</f>
        <v>0</v>
      </c>
      <c r="J398" s="112">
        <f>'Sampling Data'!I388</f>
        <v>0</v>
      </c>
      <c r="K398" s="112">
        <f>'Sampling Data'!J388</f>
        <v>0</v>
      </c>
      <c r="L398" s="111">
        <f>'Sampling Data'!X388</f>
        <v>0</v>
      </c>
      <c r="M398" s="114"/>
      <c r="N398" s="114"/>
      <c r="O398" s="115"/>
      <c r="P398" s="115"/>
      <c r="Q398" s="116"/>
      <c r="R398" s="116"/>
      <c r="S398" s="111">
        <f>Audit[[#This Row],[Audit Losing Candidate]]-Audit[[#This Row],[Losing Candidate]]</f>
        <v>0</v>
      </c>
      <c r="T398" s="111">
        <f>Audit[[#This Row],[Audit Winning Candidate]]-Audit[[#This Row],[Winning Candidate]]</f>
        <v>0</v>
      </c>
      <c r="U398" s="111">
        <f>Audit[[#This Row],[Audit Candidate 3]]-Audit[[#This Row],[Candidate 3]]</f>
        <v>0</v>
      </c>
      <c r="V398" s="111">
        <f>Audit[[#This Row],[Audit Candidate 4]]-Audit[[#This Row],[Candidate 4]]</f>
        <v>0</v>
      </c>
      <c r="W398" s="111">
        <f>Audit[[#This Row],[Audit Candidate 5]]-Audit[[#This Row],[Candidate 5]]</f>
        <v>0</v>
      </c>
      <c r="X398" s="111">
        <f>Audit[[#This Row],[Audit Candidate 6]]-Audit[[#This Row],[Candidate 6]]</f>
        <v>0</v>
      </c>
      <c r="Y398" s="111">
        <f>SUMIF(Audit[[#This Row],[Difference Loser]:[Difference Candidate 6]], "&gt;0")</f>
        <v>0</v>
      </c>
      <c r="Z398" s="111">
        <f>SUM(Audit[[#This Row],[Difference Loser]:[Difference Candidate 6]])</f>
        <v>0</v>
      </c>
      <c r="AA398" s="111">
        <f>IF(Audit[[#This Row],[Times p Drawn - With Replacement]]&gt;0, IF(Audit[[#This Row],[Canceled Differences]]&lt;0, Audit[[#This Row],[Max Differences]]+ABS(Audit[[#This Row],[Canceled Differences]]), Audit[[#This Row],[Max Differences]]), 0)</f>
        <v>0</v>
      </c>
      <c r="AB398" s="111">
        <f>'Sampling Data'!P388</f>
        <v>0</v>
      </c>
      <c r="AC398" s="111">
        <f>IF(
      SUM(Audit[[#This Row],[Audit Losing Candidate]:[Audit Candidate 6]])
      &lt;&gt;0,
      (Audit[[#This Row],[Winning Candidate]]-Audit[[#This Row],[Losing Candidate]]-(Audit[[#This Row],[Audit Winning Candidate]]-Audit[[#This Row],[Audit Losing Candidate]]))/(Audit[[#Totals],[Winning Candidate]]-Audit[[#Totals],[Losing Candidate]]),
      0
)</f>
        <v>0</v>
      </c>
      <c r="AD3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8" s="111">
        <f>IF(Audit[[#This Row],[Max Relative Error (ep)]] = 0, 0, Audit[[#This Row],[Max Relative Error (ep)]]/Audit[[#This Row],[Error Bound (up) - Max. possible relative overstatement]])</f>
        <v>0</v>
      </c>
      <c r="AJ3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98" s="111">
        <f t="shared" si="6"/>
        <v>1</v>
      </c>
      <c r="AL398" s="111">
        <f>PRODUCT($AK$5:AK398)</f>
        <v>8.962823818226312E-2</v>
      </c>
      <c r="AM398" s="109">
        <f>1 - [K-M P Value]</f>
        <v>0.91037176181773694</v>
      </c>
      <c r="AN398" s="111" t="str">
        <f>IF(Audit[[#This Row],[K-M P Value]]&gt;1-'General Info'!$B$16,"Continue", "Stop")</f>
        <v>Stop</v>
      </c>
      <c r="AO398" s="110" t="b">
        <f>IF(Audit[[#This Row],[Status - Continue or stop audit]] = "Continue", TRUE, IF(AN397 = "Continue", TRUE, FALSE))</f>
        <v>0</v>
      </c>
      <c r="AP398" s="110"/>
    </row>
    <row r="399" spans="1:42" ht="15" hidden="1" customHeight="1">
      <c r="A399" s="111" t="str">
        <f>'Sampling Data'!W389</f>
        <v/>
      </c>
      <c r="B399" s="112" t="str">
        <f>'Sampling Data'!A389</f>
        <v>CLEVELAND -04-M</v>
      </c>
      <c r="C399" s="112">
        <f>'Sampling Data'!B389</f>
        <v>0</v>
      </c>
      <c r="D399" s="112">
        <f>'Sampling Data'!C389</f>
        <v>0</v>
      </c>
      <c r="E399" s="113">
        <f>'Sampling Data'!D389</f>
        <v>0</v>
      </c>
      <c r="F399" s="113">
        <f>'Sampling Data'!E389</f>
        <v>0</v>
      </c>
      <c r="G399" s="113">
        <f>'Sampling Data'!F389</f>
        <v>0</v>
      </c>
      <c r="H399" s="113">
        <f>'Sampling Data'!G389</f>
        <v>0</v>
      </c>
      <c r="I399" s="112">
        <f>'Sampling Data'!H389</f>
        <v>0</v>
      </c>
      <c r="J399" s="112">
        <f>'Sampling Data'!I389</f>
        <v>0</v>
      </c>
      <c r="K399" s="112">
        <f>'Sampling Data'!J389</f>
        <v>0</v>
      </c>
      <c r="L399" s="111">
        <f>'Sampling Data'!X389</f>
        <v>0</v>
      </c>
      <c r="M399" s="114"/>
      <c r="N399" s="114"/>
      <c r="O399" s="115"/>
      <c r="P399" s="115"/>
      <c r="Q399" s="116"/>
      <c r="R399" s="116"/>
      <c r="S399" s="111">
        <f>Audit[[#This Row],[Audit Losing Candidate]]-Audit[[#This Row],[Losing Candidate]]</f>
        <v>0</v>
      </c>
      <c r="T399" s="111">
        <f>Audit[[#This Row],[Audit Winning Candidate]]-Audit[[#This Row],[Winning Candidate]]</f>
        <v>0</v>
      </c>
      <c r="U399" s="111">
        <f>Audit[[#This Row],[Audit Candidate 3]]-Audit[[#This Row],[Candidate 3]]</f>
        <v>0</v>
      </c>
      <c r="V399" s="111">
        <f>Audit[[#This Row],[Audit Candidate 4]]-Audit[[#This Row],[Candidate 4]]</f>
        <v>0</v>
      </c>
      <c r="W399" s="111">
        <f>Audit[[#This Row],[Audit Candidate 5]]-Audit[[#This Row],[Candidate 5]]</f>
        <v>0</v>
      </c>
      <c r="X399" s="111">
        <f>Audit[[#This Row],[Audit Candidate 6]]-Audit[[#This Row],[Candidate 6]]</f>
        <v>0</v>
      </c>
      <c r="Y399" s="111">
        <f>SUMIF(Audit[[#This Row],[Difference Loser]:[Difference Candidate 6]], "&gt;0")</f>
        <v>0</v>
      </c>
      <c r="Z399" s="111">
        <f>SUM(Audit[[#This Row],[Difference Loser]:[Difference Candidate 6]])</f>
        <v>0</v>
      </c>
      <c r="AA399" s="111">
        <f>IF(Audit[[#This Row],[Times p Drawn - With Replacement]]&gt;0, IF(Audit[[#This Row],[Canceled Differences]]&lt;0, Audit[[#This Row],[Max Differences]]+ABS(Audit[[#This Row],[Canceled Differences]]), Audit[[#This Row],[Max Differences]]), 0)</f>
        <v>0</v>
      </c>
      <c r="AB399" s="111">
        <f>'Sampling Data'!P389</f>
        <v>0</v>
      </c>
      <c r="AC399" s="111">
        <f>IF(
      SUM(Audit[[#This Row],[Audit Losing Candidate]:[Audit Candidate 6]])
      &lt;&gt;0,
      (Audit[[#This Row],[Winning Candidate]]-Audit[[#This Row],[Losing Candidate]]-(Audit[[#This Row],[Audit Winning Candidate]]-Audit[[#This Row],[Audit Losing Candidate]]))/(Audit[[#Totals],[Winning Candidate]]-Audit[[#Totals],[Losing Candidate]]),
      0
)</f>
        <v>0</v>
      </c>
      <c r="AD3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9" s="111">
        <f>IF(Audit[[#This Row],[Max Relative Error (ep)]] = 0, 0, Audit[[#This Row],[Max Relative Error (ep)]]/Audit[[#This Row],[Error Bound (up) - Max. possible relative overstatement]])</f>
        <v>0</v>
      </c>
      <c r="AJ3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399" s="111">
        <f t="shared" si="6"/>
        <v>1</v>
      </c>
      <c r="AL399" s="111">
        <f>PRODUCT($AK$5:AK399)</f>
        <v>8.962823818226312E-2</v>
      </c>
      <c r="AM399" s="109">
        <f>1 - [K-M P Value]</f>
        <v>0.91037176181773694</v>
      </c>
      <c r="AN399" s="111" t="str">
        <f>IF(Audit[[#This Row],[K-M P Value]]&gt;1-'General Info'!$B$16,"Continue", "Stop")</f>
        <v>Stop</v>
      </c>
      <c r="AO399" s="110" t="b">
        <f>IF(Audit[[#This Row],[Status - Continue or stop audit]] = "Continue", TRUE, IF(AN398 = "Continue", TRUE, FALSE))</f>
        <v>0</v>
      </c>
      <c r="AP399" s="110"/>
    </row>
    <row r="400" spans="1:42" ht="15" hidden="1" customHeight="1">
      <c r="A400" s="111" t="str">
        <f>'Sampling Data'!W390</f>
        <v/>
      </c>
      <c r="B400" s="112" t="str">
        <f>'Sampling Data'!A390</f>
        <v>CLEVELAND -04-M - ABS</v>
      </c>
      <c r="C400" s="112">
        <f>'Sampling Data'!B390</f>
        <v>0</v>
      </c>
      <c r="D400" s="112">
        <f>'Sampling Data'!C390</f>
        <v>0</v>
      </c>
      <c r="E400" s="113">
        <f>'Sampling Data'!D390</f>
        <v>1</v>
      </c>
      <c r="F400" s="113">
        <f>'Sampling Data'!E390</f>
        <v>0</v>
      </c>
      <c r="G400" s="113">
        <f>'Sampling Data'!F390</f>
        <v>1</v>
      </c>
      <c r="H400" s="113">
        <f>'Sampling Data'!G390</f>
        <v>0</v>
      </c>
      <c r="I400" s="112">
        <f>'Sampling Data'!H390</f>
        <v>0</v>
      </c>
      <c r="J400" s="112">
        <f>'Sampling Data'!I390</f>
        <v>0</v>
      </c>
      <c r="K400" s="112">
        <f>'Sampling Data'!J390</f>
        <v>2</v>
      </c>
      <c r="L400" s="111">
        <f>'Sampling Data'!X390</f>
        <v>0</v>
      </c>
      <c r="M400" s="114"/>
      <c r="N400" s="114"/>
      <c r="O400" s="115"/>
      <c r="P400" s="115"/>
      <c r="Q400" s="116"/>
      <c r="R400" s="116"/>
      <c r="S400" s="111">
        <f>Audit[[#This Row],[Audit Losing Candidate]]-Audit[[#This Row],[Losing Candidate]]</f>
        <v>0</v>
      </c>
      <c r="T400" s="111">
        <f>Audit[[#This Row],[Audit Winning Candidate]]-Audit[[#This Row],[Winning Candidate]]</f>
        <v>0</v>
      </c>
      <c r="U400" s="111">
        <f>Audit[[#This Row],[Audit Candidate 3]]-Audit[[#This Row],[Candidate 3]]</f>
        <v>-1</v>
      </c>
      <c r="V400" s="111">
        <f>Audit[[#This Row],[Audit Candidate 4]]-Audit[[#This Row],[Candidate 4]]</f>
        <v>0</v>
      </c>
      <c r="W400" s="111">
        <f>Audit[[#This Row],[Audit Candidate 5]]-Audit[[#This Row],[Candidate 5]]</f>
        <v>-1</v>
      </c>
      <c r="X400" s="111">
        <f>Audit[[#This Row],[Audit Candidate 6]]-Audit[[#This Row],[Candidate 6]]</f>
        <v>0</v>
      </c>
      <c r="Y400" s="111">
        <f>SUMIF(Audit[[#This Row],[Difference Loser]:[Difference Candidate 6]], "&gt;0")</f>
        <v>0</v>
      </c>
      <c r="Z400" s="111">
        <f>SUM(Audit[[#This Row],[Difference Loser]:[Difference Candidate 6]])</f>
        <v>-2</v>
      </c>
      <c r="AA400" s="111">
        <f>IF(Audit[[#This Row],[Times p Drawn - With Replacement]]&gt;0, IF(Audit[[#This Row],[Canceled Differences]]&lt;0, Audit[[#This Row],[Max Differences]]+ABS(Audit[[#This Row],[Canceled Differences]]), Audit[[#This Row],[Max Differences]]), 0)</f>
        <v>0</v>
      </c>
      <c r="AB400" s="111">
        <f>'Sampling Data'!P390</f>
        <v>1.224889759921607E-4</v>
      </c>
      <c r="AC400" s="111">
        <f>IF(
      SUM(Audit[[#This Row],[Audit Losing Candidate]:[Audit Candidate 6]])
      &lt;&gt;0,
      (Audit[[#This Row],[Winning Candidate]]-Audit[[#This Row],[Losing Candidate]]-(Audit[[#This Row],[Audit Winning Candidate]]-Audit[[#This Row],[Audit Losing Candidate]]))/(Audit[[#Totals],[Winning Candidate]]-Audit[[#Totals],[Losing Candidate]]),
      0
)</f>
        <v>0</v>
      </c>
      <c r="AD4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0" s="111">
        <f>IF(Audit[[#This Row],[Max Relative Error (ep)]] = 0, 0, Audit[[#This Row],[Max Relative Error (ep)]]/Audit[[#This Row],[Error Bound (up) - Max. possible relative overstatement]])</f>
        <v>0</v>
      </c>
      <c r="AJ4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00" s="111">
        <f t="shared" si="6"/>
        <v>1</v>
      </c>
      <c r="AL400" s="111">
        <f>PRODUCT($AK$5:AK400)</f>
        <v>8.962823818226312E-2</v>
      </c>
      <c r="AM400" s="109">
        <f>1 - [K-M P Value]</f>
        <v>0.91037176181773694</v>
      </c>
      <c r="AN400" s="111" t="str">
        <f>IF(Audit[[#This Row],[K-M P Value]]&gt;1-'General Info'!$B$16,"Continue", "Stop")</f>
        <v>Stop</v>
      </c>
      <c r="AO400" s="110" t="b">
        <f>IF(Audit[[#This Row],[Status - Continue or stop audit]] = "Continue", TRUE, IF(AN399 = "Continue", TRUE, FALSE))</f>
        <v>0</v>
      </c>
      <c r="AP400" s="110"/>
    </row>
    <row r="401" spans="1:42" ht="15" hidden="1" customHeight="1">
      <c r="A401" s="111" t="str">
        <f>'Sampling Data'!W391</f>
        <v/>
      </c>
      <c r="B401" s="112" t="str">
        <f>'Sampling Data'!A391</f>
        <v>CLEVELAND -04-N</v>
      </c>
      <c r="C401" s="112">
        <f>'Sampling Data'!B391</f>
        <v>0</v>
      </c>
      <c r="D401" s="112">
        <f>'Sampling Data'!C391</f>
        <v>0</v>
      </c>
      <c r="E401" s="113">
        <f>'Sampling Data'!D391</f>
        <v>0</v>
      </c>
      <c r="F401" s="113">
        <f>'Sampling Data'!E391</f>
        <v>0</v>
      </c>
      <c r="G401" s="113">
        <f>'Sampling Data'!F391</f>
        <v>0</v>
      </c>
      <c r="H401" s="113">
        <f>'Sampling Data'!G391</f>
        <v>0</v>
      </c>
      <c r="I401" s="112">
        <f>'Sampling Data'!H391</f>
        <v>0</v>
      </c>
      <c r="J401" s="112">
        <f>'Sampling Data'!I391</f>
        <v>0</v>
      </c>
      <c r="K401" s="112">
        <f>'Sampling Data'!J391</f>
        <v>0</v>
      </c>
      <c r="L401" s="111">
        <f>'Sampling Data'!X391</f>
        <v>0</v>
      </c>
      <c r="M401" s="114"/>
      <c r="N401" s="114"/>
      <c r="O401" s="115"/>
      <c r="P401" s="115"/>
      <c r="Q401" s="116"/>
      <c r="R401" s="116"/>
      <c r="S401" s="111">
        <f>Audit[[#This Row],[Audit Losing Candidate]]-Audit[[#This Row],[Losing Candidate]]</f>
        <v>0</v>
      </c>
      <c r="T401" s="111">
        <f>Audit[[#This Row],[Audit Winning Candidate]]-Audit[[#This Row],[Winning Candidate]]</f>
        <v>0</v>
      </c>
      <c r="U401" s="111">
        <f>Audit[[#This Row],[Audit Candidate 3]]-Audit[[#This Row],[Candidate 3]]</f>
        <v>0</v>
      </c>
      <c r="V401" s="111">
        <f>Audit[[#This Row],[Audit Candidate 4]]-Audit[[#This Row],[Candidate 4]]</f>
        <v>0</v>
      </c>
      <c r="W401" s="111">
        <f>Audit[[#This Row],[Audit Candidate 5]]-Audit[[#This Row],[Candidate 5]]</f>
        <v>0</v>
      </c>
      <c r="X401" s="111">
        <f>Audit[[#This Row],[Audit Candidate 6]]-Audit[[#This Row],[Candidate 6]]</f>
        <v>0</v>
      </c>
      <c r="Y401" s="111">
        <f>SUMIF(Audit[[#This Row],[Difference Loser]:[Difference Candidate 6]], "&gt;0")</f>
        <v>0</v>
      </c>
      <c r="Z401" s="111">
        <f>SUM(Audit[[#This Row],[Difference Loser]:[Difference Candidate 6]])</f>
        <v>0</v>
      </c>
      <c r="AA401" s="111">
        <f>IF(Audit[[#This Row],[Times p Drawn - With Replacement]]&gt;0, IF(Audit[[#This Row],[Canceled Differences]]&lt;0, Audit[[#This Row],[Max Differences]]+ABS(Audit[[#This Row],[Canceled Differences]]), Audit[[#This Row],[Max Differences]]), 0)</f>
        <v>0</v>
      </c>
      <c r="AB401" s="111">
        <f>'Sampling Data'!P391</f>
        <v>0</v>
      </c>
      <c r="AC401" s="111">
        <f>IF(
      SUM(Audit[[#This Row],[Audit Losing Candidate]:[Audit Candidate 6]])
      &lt;&gt;0,
      (Audit[[#This Row],[Winning Candidate]]-Audit[[#This Row],[Losing Candidate]]-(Audit[[#This Row],[Audit Winning Candidate]]-Audit[[#This Row],[Audit Losing Candidate]]))/(Audit[[#Totals],[Winning Candidate]]-Audit[[#Totals],[Losing Candidate]]),
      0
)</f>
        <v>0</v>
      </c>
      <c r="AD4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1" s="111">
        <f>IF(Audit[[#This Row],[Max Relative Error (ep)]] = 0, 0, Audit[[#This Row],[Max Relative Error (ep)]]/Audit[[#This Row],[Error Bound (up) - Max. possible relative overstatement]])</f>
        <v>0</v>
      </c>
      <c r="AJ4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01" s="111">
        <f t="shared" si="6"/>
        <v>1</v>
      </c>
      <c r="AL401" s="111">
        <f>PRODUCT($AK$5:AK401)</f>
        <v>8.962823818226312E-2</v>
      </c>
      <c r="AM401" s="109">
        <f>1 - [K-M P Value]</f>
        <v>0.91037176181773694</v>
      </c>
      <c r="AN401" s="111" t="str">
        <f>IF(Audit[[#This Row],[K-M P Value]]&gt;1-'General Info'!$B$16,"Continue", "Stop")</f>
        <v>Stop</v>
      </c>
      <c r="AO401" s="110" t="b">
        <f>IF(Audit[[#This Row],[Status - Continue or stop audit]] = "Continue", TRUE, IF(AN400 = "Continue", TRUE, FALSE))</f>
        <v>0</v>
      </c>
      <c r="AP401" s="110"/>
    </row>
    <row r="402" spans="1:42" ht="15" hidden="1" customHeight="1">
      <c r="A402" s="111" t="str">
        <f>'Sampling Data'!W392</f>
        <v/>
      </c>
      <c r="B402" s="112" t="str">
        <f>'Sampling Data'!A392</f>
        <v>CLEVELAND -04-N - ABS</v>
      </c>
      <c r="C402" s="112">
        <f>'Sampling Data'!B392</f>
        <v>0</v>
      </c>
      <c r="D402" s="112">
        <f>'Sampling Data'!C392</f>
        <v>0</v>
      </c>
      <c r="E402" s="113">
        <f>'Sampling Data'!D392</f>
        <v>0</v>
      </c>
      <c r="F402" s="113">
        <f>'Sampling Data'!E392</f>
        <v>1</v>
      </c>
      <c r="G402" s="113">
        <f>'Sampling Data'!F392</f>
        <v>0</v>
      </c>
      <c r="H402" s="113">
        <f>'Sampling Data'!G392</f>
        <v>0</v>
      </c>
      <c r="I402" s="112">
        <f>'Sampling Data'!H392</f>
        <v>0</v>
      </c>
      <c r="J402" s="112">
        <f>'Sampling Data'!I392</f>
        <v>0</v>
      </c>
      <c r="K402" s="112">
        <f>'Sampling Data'!J392</f>
        <v>1</v>
      </c>
      <c r="L402" s="111">
        <f>'Sampling Data'!X392</f>
        <v>0</v>
      </c>
      <c r="M402" s="114"/>
      <c r="N402" s="114"/>
      <c r="O402" s="115"/>
      <c r="P402" s="115"/>
      <c r="Q402" s="116"/>
      <c r="R402" s="116"/>
      <c r="S402" s="111">
        <f>Audit[[#This Row],[Audit Losing Candidate]]-Audit[[#This Row],[Losing Candidate]]</f>
        <v>0</v>
      </c>
      <c r="T402" s="111">
        <f>Audit[[#This Row],[Audit Winning Candidate]]-Audit[[#This Row],[Winning Candidate]]</f>
        <v>0</v>
      </c>
      <c r="U402" s="111">
        <f>Audit[[#This Row],[Audit Candidate 3]]-Audit[[#This Row],[Candidate 3]]</f>
        <v>0</v>
      </c>
      <c r="V402" s="111">
        <f>Audit[[#This Row],[Audit Candidate 4]]-Audit[[#This Row],[Candidate 4]]</f>
        <v>-1</v>
      </c>
      <c r="W402" s="111">
        <f>Audit[[#This Row],[Audit Candidate 5]]-Audit[[#This Row],[Candidate 5]]</f>
        <v>0</v>
      </c>
      <c r="X402" s="111">
        <f>Audit[[#This Row],[Audit Candidate 6]]-Audit[[#This Row],[Candidate 6]]</f>
        <v>0</v>
      </c>
      <c r="Y402" s="111">
        <f>SUMIF(Audit[[#This Row],[Difference Loser]:[Difference Candidate 6]], "&gt;0")</f>
        <v>0</v>
      </c>
      <c r="Z402" s="111">
        <f>SUM(Audit[[#This Row],[Difference Loser]:[Difference Candidate 6]])</f>
        <v>-1</v>
      </c>
      <c r="AA402" s="111">
        <f>IF(Audit[[#This Row],[Times p Drawn - With Replacement]]&gt;0, IF(Audit[[#This Row],[Canceled Differences]]&lt;0, Audit[[#This Row],[Max Differences]]+ABS(Audit[[#This Row],[Canceled Differences]]), Audit[[#This Row],[Max Differences]]), 0)</f>
        <v>0</v>
      </c>
      <c r="AB402" s="111">
        <f>'Sampling Data'!P392</f>
        <v>6.1244487996080352E-5</v>
      </c>
      <c r="AC402" s="111">
        <f>IF(
      SUM(Audit[[#This Row],[Audit Losing Candidate]:[Audit Candidate 6]])
      &lt;&gt;0,
      (Audit[[#This Row],[Winning Candidate]]-Audit[[#This Row],[Losing Candidate]]-(Audit[[#This Row],[Audit Winning Candidate]]-Audit[[#This Row],[Audit Losing Candidate]]))/(Audit[[#Totals],[Winning Candidate]]-Audit[[#Totals],[Losing Candidate]]),
      0
)</f>
        <v>0</v>
      </c>
      <c r="AD4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2" s="111">
        <f>IF(Audit[[#This Row],[Max Relative Error (ep)]] = 0, 0, Audit[[#This Row],[Max Relative Error (ep)]]/Audit[[#This Row],[Error Bound (up) - Max. possible relative overstatement]])</f>
        <v>0</v>
      </c>
      <c r="AJ4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02" s="111">
        <f t="shared" si="6"/>
        <v>1</v>
      </c>
      <c r="AL402" s="111">
        <f>PRODUCT($AK$5:AK402)</f>
        <v>8.962823818226312E-2</v>
      </c>
      <c r="AM402" s="109">
        <f>1 - [K-M P Value]</f>
        <v>0.91037176181773694</v>
      </c>
      <c r="AN402" s="111" t="str">
        <f>IF(Audit[[#This Row],[K-M P Value]]&gt;1-'General Info'!$B$16,"Continue", "Stop")</f>
        <v>Stop</v>
      </c>
      <c r="AO402" s="110" t="b">
        <f>IF(Audit[[#This Row],[Status - Continue or stop audit]] = "Continue", TRUE, IF(AN401 = "Continue", TRUE, FALSE))</f>
        <v>0</v>
      </c>
      <c r="AP402" s="110"/>
    </row>
    <row r="403" spans="1:42" ht="15" hidden="1" customHeight="1">
      <c r="A403" s="111" t="str">
        <f>'Sampling Data'!W393</f>
        <v/>
      </c>
      <c r="B403" s="112" t="str">
        <f>'Sampling Data'!A393</f>
        <v>CLEVELAND -04-O</v>
      </c>
      <c r="C403" s="112">
        <f>'Sampling Data'!B393</f>
        <v>0</v>
      </c>
      <c r="D403" s="112">
        <f>'Sampling Data'!C393</f>
        <v>0</v>
      </c>
      <c r="E403" s="113">
        <f>'Sampling Data'!D393</f>
        <v>0</v>
      </c>
      <c r="F403" s="113">
        <f>'Sampling Data'!E393</f>
        <v>0</v>
      </c>
      <c r="G403" s="113">
        <f>'Sampling Data'!F393</f>
        <v>0</v>
      </c>
      <c r="H403" s="113">
        <f>'Sampling Data'!G393</f>
        <v>0</v>
      </c>
      <c r="I403" s="112">
        <f>'Sampling Data'!H393</f>
        <v>0</v>
      </c>
      <c r="J403" s="112">
        <f>'Sampling Data'!I393</f>
        <v>0</v>
      </c>
      <c r="K403" s="112">
        <f>'Sampling Data'!J393</f>
        <v>0</v>
      </c>
      <c r="L403" s="111">
        <f>'Sampling Data'!X393</f>
        <v>0</v>
      </c>
      <c r="M403" s="114"/>
      <c r="N403" s="114"/>
      <c r="O403" s="115"/>
      <c r="P403" s="115"/>
      <c r="Q403" s="116"/>
      <c r="R403" s="116"/>
      <c r="S403" s="111">
        <f>Audit[[#This Row],[Audit Losing Candidate]]-Audit[[#This Row],[Losing Candidate]]</f>
        <v>0</v>
      </c>
      <c r="T403" s="111">
        <f>Audit[[#This Row],[Audit Winning Candidate]]-Audit[[#This Row],[Winning Candidate]]</f>
        <v>0</v>
      </c>
      <c r="U403" s="111">
        <f>Audit[[#This Row],[Audit Candidate 3]]-Audit[[#This Row],[Candidate 3]]</f>
        <v>0</v>
      </c>
      <c r="V403" s="111">
        <f>Audit[[#This Row],[Audit Candidate 4]]-Audit[[#This Row],[Candidate 4]]</f>
        <v>0</v>
      </c>
      <c r="W403" s="111">
        <f>Audit[[#This Row],[Audit Candidate 5]]-Audit[[#This Row],[Candidate 5]]</f>
        <v>0</v>
      </c>
      <c r="X403" s="111">
        <f>Audit[[#This Row],[Audit Candidate 6]]-Audit[[#This Row],[Candidate 6]]</f>
        <v>0</v>
      </c>
      <c r="Y403" s="111">
        <f>SUMIF(Audit[[#This Row],[Difference Loser]:[Difference Candidate 6]], "&gt;0")</f>
        <v>0</v>
      </c>
      <c r="Z403" s="111">
        <f>SUM(Audit[[#This Row],[Difference Loser]:[Difference Candidate 6]])</f>
        <v>0</v>
      </c>
      <c r="AA403" s="111">
        <f>IF(Audit[[#This Row],[Times p Drawn - With Replacement]]&gt;0, IF(Audit[[#This Row],[Canceled Differences]]&lt;0, Audit[[#This Row],[Max Differences]]+ABS(Audit[[#This Row],[Canceled Differences]]), Audit[[#This Row],[Max Differences]]), 0)</f>
        <v>0</v>
      </c>
      <c r="AB403" s="111">
        <f>'Sampling Data'!P393</f>
        <v>0</v>
      </c>
      <c r="AC403" s="111">
        <f>IF(
      SUM(Audit[[#This Row],[Audit Losing Candidate]:[Audit Candidate 6]])
      &lt;&gt;0,
      (Audit[[#This Row],[Winning Candidate]]-Audit[[#This Row],[Losing Candidate]]-(Audit[[#This Row],[Audit Winning Candidate]]-Audit[[#This Row],[Audit Losing Candidate]]))/(Audit[[#Totals],[Winning Candidate]]-Audit[[#Totals],[Losing Candidate]]),
      0
)</f>
        <v>0</v>
      </c>
      <c r="AD4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3" s="111">
        <f>IF(Audit[[#This Row],[Max Relative Error (ep)]] = 0, 0, Audit[[#This Row],[Max Relative Error (ep)]]/Audit[[#This Row],[Error Bound (up) - Max. possible relative overstatement]])</f>
        <v>0</v>
      </c>
      <c r="AJ4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03" s="111">
        <f t="shared" si="6"/>
        <v>1</v>
      </c>
      <c r="AL403" s="111">
        <f>PRODUCT($AK$5:AK403)</f>
        <v>8.962823818226312E-2</v>
      </c>
      <c r="AM403" s="109">
        <f>1 - [K-M P Value]</f>
        <v>0.91037176181773694</v>
      </c>
      <c r="AN403" s="111" t="str">
        <f>IF(Audit[[#This Row],[K-M P Value]]&gt;1-'General Info'!$B$16,"Continue", "Stop")</f>
        <v>Stop</v>
      </c>
      <c r="AO403" s="110" t="b">
        <f>IF(Audit[[#This Row],[Status - Continue or stop audit]] = "Continue", TRUE, IF(AN402 = "Continue", TRUE, FALSE))</f>
        <v>0</v>
      </c>
      <c r="AP403" s="110"/>
    </row>
    <row r="404" spans="1:42" ht="15" hidden="1" customHeight="1">
      <c r="A404" s="111" t="str">
        <f>'Sampling Data'!W394</f>
        <v/>
      </c>
      <c r="B404" s="112" t="str">
        <f>'Sampling Data'!A394</f>
        <v>CLEVELAND -04-O - ABS</v>
      </c>
      <c r="C404" s="112">
        <f>'Sampling Data'!B394</f>
        <v>0</v>
      </c>
      <c r="D404" s="112">
        <f>'Sampling Data'!C394</f>
        <v>0</v>
      </c>
      <c r="E404" s="113">
        <f>'Sampling Data'!D394</f>
        <v>1</v>
      </c>
      <c r="F404" s="113">
        <f>'Sampling Data'!E394</f>
        <v>0</v>
      </c>
      <c r="G404" s="113">
        <f>'Sampling Data'!F394</f>
        <v>0</v>
      </c>
      <c r="H404" s="113">
        <f>'Sampling Data'!G394</f>
        <v>0</v>
      </c>
      <c r="I404" s="112">
        <f>'Sampling Data'!H394</f>
        <v>0</v>
      </c>
      <c r="J404" s="112">
        <f>'Sampling Data'!I394</f>
        <v>0</v>
      </c>
      <c r="K404" s="112">
        <f>'Sampling Data'!J394</f>
        <v>1</v>
      </c>
      <c r="L404" s="111">
        <f>'Sampling Data'!X394</f>
        <v>0</v>
      </c>
      <c r="M404" s="114"/>
      <c r="N404" s="114"/>
      <c r="O404" s="115"/>
      <c r="P404" s="115"/>
      <c r="Q404" s="116"/>
      <c r="R404" s="116"/>
      <c r="S404" s="111">
        <f>Audit[[#This Row],[Audit Losing Candidate]]-Audit[[#This Row],[Losing Candidate]]</f>
        <v>0</v>
      </c>
      <c r="T404" s="111">
        <f>Audit[[#This Row],[Audit Winning Candidate]]-Audit[[#This Row],[Winning Candidate]]</f>
        <v>0</v>
      </c>
      <c r="U404" s="111">
        <f>Audit[[#This Row],[Audit Candidate 3]]-Audit[[#This Row],[Candidate 3]]</f>
        <v>-1</v>
      </c>
      <c r="V404" s="111">
        <f>Audit[[#This Row],[Audit Candidate 4]]-Audit[[#This Row],[Candidate 4]]</f>
        <v>0</v>
      </c>
      <c r="W404" s="111">
        <f>Audit[[#This Row],[Audit Candidate 5]]-Audit[[#This Row],[Candidate 5]]</f>
        <v>0</v>
      </c>
      <c r="X404" s="111">
        <f>Audit[[#This Row],[Audit Candidate 6]]-Audit[[#This Row],[Candidate 6]]</f>
        <v>0</v>
      </c>
      <c r="Y404" s="111">
        <f>SUMIF(Audit[[#This Row],[Difference Loser]:[Difference Candidate 6]], "&gt;0")</f>
        <v>0</v>
      </c>
      <c r="Z404" s="111">
        <f>SUM(Audit[[#This Row],[Difference Loser]:[Difference Candidate 6]])</f>
        <v>-1</v>
      </c>
      <c r="AA404" s="111">
        <f>IF(Audit[[#This Row],[Times p Drawn - With Replacement]]&gt;0, IF(Audit[[#This Row],[Canceled Differences]]&lt;0, Audit[[#This Row],[Max Differences]]+ABS(Audit[[#This Row],[Canceled Differences]]), Audit[[#This Row],[Max Differences]]), 0)</f>
        <v>0</v>
      </c>
      <c r="AB404" s="111">
        <f>'Sampling Data'!P394</f>
        <v>6.1244487996080352E-5</v>
      </c>
      <c r="AC404" s="111">
        <f>IF(
      SUM(Audit[[#This Row],[Audit Losing Candidate]:[Audit Candidate 6]])
      &lt;&gt;0,
      (Audit[[#This Row],[Winning Candidate]]-Audit[[#This Row],[Losing Candidate]]-(Audit[[#This Row],[Audit Winning Candidate]]-Audit[[#This Row],[Audit Losing Candidate]]))/(Audit[[#Totals],[Winning Candidate]]-Audit[[#Totals],[Losing Candidate]]),
      0
)</f>
        <v>0</v>
      </c>
      <c r="AD4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4" s="111">
        <f>IF(Audit[[#This Row],[Max Relative Error (ep)]] = 0, 0, Audit[[#This Row],[Max Relative Error (ep)]]/Audit[[#This Row],[Error Bound (up) - Max. possible relative overstatement]])</f>
        <v>0</v>
      </c>
      <c r="AJ4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04" s="111">
        <f t="shared" si="6"/>
        <v>1</v>
      </c>
      <c r="AL404" s="111">
        <f>PRODUCT($AK$5:AK404)</f>
        <v>8.962823818226312E-2</v>
      </c>
      <c r="AM404" s="109">
        <f>1 - [K-M P Value]</f>
        <v>0.91037176181773694</v>
      </c>
      <c r="AN404" s="111" t="str">
        <f>IF(Audit[[#This Row],[K-M P Value]]&gt;1-'General Info'!$B$16,"Continue", "Stop")</f>
        <v>Stop</v>
      </c>
      <c r="AO404" s="110" t="b">
        <f>IF(Audit[[#This Row],[Status - Continue or stop audit]] = "Continue", TRUE, IF(AN403 = "Continue", TRUE, FALSE))</f>
        <v>0</v>
      </c>
      <c r="AP404" s="110"/>
    </row>
    <row r="405" spans="1:42" ht="15" hidden="1" customHeight="1">
      <c r="A405" s="111" t="str">
        <f>'Sampling Data'!W395</f>
        <v/>
      </c>
      <c r="B405" s="112" t="str">
        <f>'Sampling Data'!A395</f>
        <v>CLEVELAND -04-P</v>
      </c>
      <c r="C405" s="112">
        <f>'Sampling Data'!B395</f>
        <v>0</v>
      </c>
      <c r="D405" s="112">
        <f>'Sampling Data'!C395</f>
        <v>0</v>
      </c>
      <c r="E405" s="113">
        <f>'Sampling Data'!D395</f>
        <v>0</v>
      </c>
      <c r="F405" s="113">
        <f>'Sampling Data'!E395</f>
        <v>0</v>
      </c>
      <c r="G405" s="113">
        <f>'Sampling Data'!F395</f>
        <v>0</v>
      </c>
      <c r="H405" s="113">
        <f>'Sampling Data'!G395</f>
        <v>0</v>
      </c>
      <c r="I405" s="112">
        <f>'Sampling Data'!H395</f>
        <v>0</v>
      </c>
      <c r="J405" s="112">
        <f>'Sampling Data'!I395</f>
        <v>0</v>
      </c>
      <c r="K405" s="112">
        <f>'Sampling Data'!J395</f>
        <v>0</v>
      </c>
      <c r="L405" s="111">
        <f>'Sampling Data'!X395</f>
        <v>0</v>
      </c>
      <c r="M405" s="114"/>
      <c r="N405" s="114"/>
      <c r="O405" s="115"/>
      <c r="P405" s="115"/>
      <c r="Q405" s="116"/>
      <c r="R405" s="116"/>
      <c r="S405" s="111">
        <f>Audit[[#This Row],[Audit Losing Candidate]]-Audit[[#This Row],[Losing Candidate]]</f>
        <v>0</v>
      </c>
      <c r="T405" s="111">
        <f>Audit[[#This Row],[Audit Winning Candidate]]-Audit[[#This Row],[Winning Candidate]]</f>
        <v>0</v>
      </c>
      <c r="U405" s="111">
        <f>Audit[[#This Row],[Audit Candidate 3]]-Audit[[#This Row],[Candidate 3]]</f>
        <v>0</v>
      </c>
      <c r="V405" s="111">
        <f>Audit[[#This Row],[Audit Candidate 4]]-Audit[[#This Row],[Candidate 4]]</f>
        <v>0</v>
      </c>
      <c r="W405" s="111">
        <f>Audit[[#This Row],[Audit Candidate 5]]-Audit[[#This Row],[Candidate 5]]</f>
        <v>0</v>
      </c>
      <c r="X405" s="111">
        <f>Audit[[#This Row],[Audit Candidate 6]]-Audit[[#This Row],[Candidate 6]]</f>
        <v>0</v>
      </c>
      <c r="Y405" s="111">
        <f>SUMIF(Audit[[#This Row],[Difference Loser]:[Difference Candidate 6]], "&gt;0")</f>
        <v>0</v>
      </c>
      <c r="Z405" s="111">
        <f>SUM(Audit[[#This Row],[Difference Loser]:[Difference Candidate 6]])</f>
        <v>0</v>
      </c>
      <c r="AA405" s="111">
        <f>IF(Audit[[#This Row],[Times p Drawn - With Replacement]]&gt;0, IF(Audit[[#This Row],[Canceled Differences]]&lt;0, Audit[[#This Row],[Max Differences]]+ABS(Audit[[#This Row],[Canceled Differences]]), Audit[[#This Row],[Max Differences]]), 0)</f>
        <v>0</v>
      </c>
      <c r="AB405" s="111">
        <f>'Sampling Data'!P395</f>
        <v>0</v>
      </c>
      <c r="AC405" s="111">
        <f>IF(
      SUM(Audit[[#This Row],[Audit Losing Candidate]:[Audit Candidate 6]])
      &lt;&gt;0,
      (Audit[[#This Row],[Winning Candidate]]-Audit[[#This Row],[Losing Candidate]]-(Audit[[#This Row],[Audit Winning Candidate]]-Audit[[#This Row],[Audit Losing Candidate]]))/(Audit[[#Totals],[Winning Candidate]]-Audit[[#Totals],[Losing Candidate]]),
      0
)</f>
        <v>0</v>
      </c>
      <c r="AD4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5" s="111">
        <f>IF(Audit[[#This Row],[Max Relative Error (ep)]] = 0, 0, Audit[[#This Row],[Max Relative Error (ep)]]/Audit[[#This Row],[Error Bound (up) - Max. possible relative overstatement]])</f>
        <v>0</v>
      </c>
      <c r="AJ4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05" s="111">
        <f t="shared" si="6"/>
        <v>1</v>
      </c>
      <c r="AL405" s="111">
        <f>PRODUCT($AK$5:AK405)</f>
        <v>8.962823818226312E-2</v>
      </c>
      <c r="AM405" s="109">
        <f>1 - [K-M P Value]</f>
        <v>0.91037176181773694</v>
      </c>
      <c r="AN405" s="111" t="str">
        <f>IF(Audit[[#This Row],[K-M P Value]]&gt;1-'General Info'!$B$16,"Continue", "Stop")</f>
        <v>Stop</v>
      </c>
      <c r="AO405" s="110" t="b">
        <f>IF(Audit[[#This Row],[Status - Continue or stop audit]] = "Continue", TRUE, IF(AN404 = "Continue", TRUE, FALSE))</f>
        <v>0</v>
      </c>
      <c r="AP405" s="110"/>
    </row>
    <row r="406" spans="1:42" ht="15" hidden="1" customHeight="1">
      <c r="A406" s="111" t="str">
        <f>'Sampling Data'!W396</f>
        <v/>
      </c>
      <c r="B406" s="112" t="str">
        <f>'Sampling Data'!A396</f>
        <v>CLEVELAND -04-P - ABS</v>
      </c>
      <c r="C406" s="112">
        <f>'Sampling Data'!B396</f>
        <v>1</v>
      </c>
      <c r="D406" s="112">
        <f>'Sampling Data'!C396</f>
        <v>0</v>
      </c>
      <c r="E406" s="113">
        <f>'Sampling Data'!D396</f>
        <v>0</v>
      </c>
      <c r="F406" s="113">
        <f>'Sampling Data'!E396</f>
        <v>0</v>
      </c>
      <c r="G406" s="113">
        <f>'Sampling Data'!F396</f>
        <v>0</v>
      </c>
      <c r="H406" s="113">
        <f>'Sampling Data'!G396</f>
        <v>0</v>
      </c>
      <c r="I406" s="112">
        <f>'Sampling Data'!H396</f>
        <v>0</v>
      </c>
      <c r="J406" s="112">
        <f>'Sampling Data'!I396</f>
        <v>0</v>
      </c>
      <c r="K406" s="112">
        <f>'Sampling Data'!J396</f>
        <v>1</v>
      </c>
      <c r="L406" s="111">
        <f>'Sampling Data'!X396</f>
        <v>0</v>
      </c>
      <c r="M406" s="114"/>
      <c r="N406" s="114"/>
      <c r="O406" s="115"/>
      <c r="P406" s="115"/>
      <c r="Q406" s="116"/>
      <c r="R406" s="116"/>
      <c r="S406" s="111">
        <f>Audit[[#This Row],[Audit Losing Candidate]]-Audit[[#This Row],[Losing Candidate]]</f>
        <v>-1</v>
      </c>
      <c r="T406" s="111">
        <f>Audit[[#This Row],[Audit Winning Candidate]]-Audit[[#This Row],[Winning Candidate]]</f>
        <v>0</v>
      </c>
      <c r="U406" s="111">
        <f>Audit[[#This Row],[Audit Candidate 3]]-Audit[[#This Row],[Candidate 3]]</f>
        <v>0</v>
      </c>
      <c r="V406" s="111">
        <f>Audit[[#This Row],[Audit Candidate 4]]-Audit[[#This Row],[Candidate 4]]</f>
        <v>0</v>
      </c>
      <c r="W406" s="111">
        <f>Audit[[#This Row],[Audit Candidate 5]]-Audit[[#This Row],[Candidate 5]]</f>
        <v>0</v>
      </c>
      <c r="X406" s="111">
        <f>Audit[[#This Row],[Audit Candidate 6]]-Audit[[#This Row],[Candidate 6]]</f>
        <v>0</v>
      </c>
      <c r="Y406" s="111">
        <f>SUMIF(Audit[[#This Row],[Difference Loser]:[Difference Candidate 6]], "&gt;0")</f>
        <v>0</v>
      </c>
      <c r="Z406" s="111">
        <f>SUM(Audit[[#This Row],[Difference Loser]:[Difference Candidate 6]])</f>
        <v>-1</v>
      </c>
      <c r="AA406" s="111">
        <f>IF(Audit[[#This Row],[Times p Drawn - With Replacement]]&gt;0, IF(Audit[[#This Row],[Canceled Differences]]&lt;0, Audit[[#This Row],[Max Differences]]+ABS(Audit[[#This Row],[Canceled Differences]]), Audit[[#This Row],[Max Differences]]), 0)</f>
        <v>0</v>
      </c>
      <c r="AB406" s="111">
        <f>'Sampling Data'!P396</f>
        <v>3.2261186566441917E-5</v>
      </c>
      <c r="AC406" s="111">
        <f>IF(
      SUM(Audit[[#This Row],[Audit Losing Candidate]:[Audit Candidate 6]])
      &lt;&gt;0,
      (Audit[[#This Row],[Winning Candidate]]-Audit[[#This Row],[Losing Candidate]]-(Audit[[#This Row],[Audit Winning Candidate]]-Audit[[#This Row],[Audit Losing Candidate]]))/(Audit[[#Totals],[Winning Candidate]]-Audit[[#Totals],[Losing Candidate]]),
      0
)</f>
        <v>0</v>
      </c>
      <c r="AD4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6" s="111">
        <f>IF(Audit[[#This Row],[Max Relative Error (ep)]] = 0, 0, Audit[[#This Row],[Max Relative Error (ep)]]/Audit[[#This Row],[Error Bound (up) - Max. possible relative overstatement]])</f>
        <v>0</v>
      </c>
      <c r="AJ4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06" s="111">
        <f t="shared" si="6"/>
        <v>1</v>
      </c>
      <c r="AL406" s="111">
        <f>PRODUCT($AK$5:AK406)</f>
        <v>8.962823818226312E-2</v>
      </c>
      <c r="AM406" s="109">
        <f>1 - [K-M P Value]</f>
        <v>0.91037176181773694</v>
      </c>
      <c r="AN406" s="111" t="str">
        <f>IF(Audit[[#This Row],[K-M P Value]]&gt;1-'General Info'!$B$16,"Continue", "Stop")</f>
        <v>Stop</v>
      </c>
      <c r="AO406" s="110" t="b">
        <f>IF(Audit[[#This Row],[Status - Continue or stop audit]] = "Continue", TRUE, IF(AN405 = "Continue", TRUE, FALSE))</f>
        <v>0</v>
      </c>
      <c r="AP406" s="110"/>
    </row>
    <row r="407" spans="1:42" ht="15" hidden="1" customHeight="1">
      <c r="A407" s="111" t="str">
        <f>'Sampling Data'!W397</f>
        <v/>
      </c>
      <c r="B407" s="112" t="str">
        <f>'Sampling Data'!A397</f>
        <v>CLEVELAND -04-Q</v>
      </c>
      <c r="C407" s="112">
        <f>'Sampling Data'!B397</f>
        <v>6</v>
      </c>
      <c r="D407" s="112">
        <f>'Sampling Data'!C397</f>
        <v>15</v>
      </c>
      <c r="E407" s="113">
        <f>'Sampling Data'!D397</f>
        <v>1</v>
      </c>
      <c r="F407" s="113">
        <f>'Sampling Data'!E397</f>
        <v>1</v>
      </c>
      <c r="G407" s="113">
        <f>'Sampling Data'!F397</f>
        <v>0</v>
      </c>
      <c r="H407" s="113">
        <f>'Sampling Data'!G397</f>
        <v>0</v>
      </c>
      <c r="I407" s="112">
        <f>'Sampling Data'!H397</f>
        <v>0</v>
      </c>
      <c r="J407" s="112">
        <f>'Sampling Data'!I397</f>
        <v>0</v>
      </c>
      <c r="K407" s="112">
        <f>'Sampling Data'!J397</f>
        <v>23</v>
      </c>
      <c r="L407" s="111">
        <f>'Sampling Data'!X397</f>
        <v>0</v>
      </c>
      <c r="M407" s="114"/>
      <c r="N407" s="114"/>
      <c r="O407" s="115"/>
      <c r="P407" s="115"/>
      <c r="Q407" s="116"/>
      <c r="R407" s="116"/>
      <c r="S407" s="111">
        <f>Audit[[#This Row],[Audit Losing Candidate]]-Audit[[#This Row],[Losing Candidate]]</f>
        <v>-6</v>
      </c>
      <c r="T407" s="111">
        <f>Audit[[#This Row],[Audit Winning Candidate]]-Audit[[#This Row],[Winning Candidate]]</f>
        <v>-15</v>
      </c>
      <c r="U407" s="111">
        <f>Audit[[#This Row],[Audit Candidate 3]]-Audit[[#This Row],[Candidate 3]]</f>
        <v>-1</v>
      </c>
      <c r="V407" s="111">
        <f>Audit[[#This Row],[Audit Candidate 4]]-Audit[[#This Row],[Candidate 4]]</f>
        <v>-1</v>
      </c>
      <c r="W407" s="111">
        <f>Audit[[#This Row],[Audit Candidate 5]]-Audit[[#This Row],[Candidate 5]]</f>
        <v>0</v>
      </c>
      <c r="X407" s="111">
        <f>Audit[[#This Row],[Audit Candidate 6]]-Audit[[#This Row],[Candidate 6]]</f>
        <v>0</v>
      </c>
      <c r="Y407" s="111">
        <f>SUMIF(Audit[[#This Row],[Difference Loser]:[Difference Candidate 6]], "&gt;0")</f>
        <v>0</v>
      </c>
      <c r="Z407" s="111">
        <f>SUM(Audit[[#This Row],[Difference Loser]:[Difference Candidate 6]])</f>
        <v>-23</v>
      </c>
      <c r="AA407" s="111">
        <f>IF(Audit[[#This Row],[Times p Drawn - With Replacement]]&gt;0, IF(Audit[[#This Row],[Canceled Differences]]&lt;0, Audit[[#This Row],[Max Differences]]+ABS(Audit[[#This Row],[Canceled Differences]]), Audit[[#This Row],[Max Differences]]), 0)</f>
        <v>0</v>
      </c>
      <c r="AB407" s="111">
        <f>'Sampling Data'!P397</f>
        <v>1.9598236158745713E-3</v>
      </c>
      <c r="AC407" s="111">
        <f>IF(
      SUM(Audit[[#This Row],[Audit Losing Candidate]:[Audit Candidate 6]])
      &lt;&gt;0,
      (Audit[[#This Row],[Winning Candidate]]-Audit[[#This Row],[Losing Candidate]]-(Audit[[#This Row],[Audit Winning Candidate]]-Audit[[#This Row],[Audit Losing Candidate]]))/(Audit[[#Totals],[Winning Candidate]]-Audit[[#Totals],[Losing Candidate]]),
      0
)</f>
        <v>0</v>
      </c>
      <c r="AD4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7" s="111">
        <f>IF(Audit[[#This Row],[Max Relative Error (ep)]] = 0, 0, Audit[[#This Row],[Max Relative Error (ep)]]/Audit[[#This Row],[Error Bound (up) - Max. possible relative overstatement]])</f>
        <v>0</v>
      </c>
      <c r="AJ4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07" s="111">
        <f t="shared" si="6"/>
        <v>1</v>
      </c>
      <c r="AL407" s="111">
        <f>PRODUCT($AK$5:AK407)</f>
        <v>8.962823818226312E-2</v>
      </c>
      <c r="AM407" s="109">
        <f>1 - [K-M P Value]</f>
        <v>0.91037176181773694</v>
      </c>
      <c r="AN407" s="111" t="str">
        <f>IF(Audit[[#This Row],[K-M P Value]]&gt;1-'General Info'!$B$16,"Continue", "Stop")</f>
        <v>Stop</v>
      </c>
      <c r="AO407" s="110" t="b">
        <f>IF(Audit[[#This Row],[Status - Continue or stop audit]] = "Continue", TRUE, IF(AN406 = "Continue", TRUE, FALSE))</f>
        <v>0</v>
      </c>
      <c r="AP407" s="110"/>
    </row>
    <row r="408" spans="1:42" ht="15" hidden="1" customHeight="1">
      <c r="A408" s="111" t="str">
        <f>'Sampling Data'!W398</f>
        <v/>
      </c>
      <c r="B408" s="112" t="str">
        <f>'Sampling Data'!A398</f>
        <v>CLEVELAND -04-Q - ABS</v>
      </c>
      <c r="C408" s="112">
        <f>'Sampling Data'!B398</f>
        <v>6</v>
      </c>
      <c r="D408" s="112">
        <f>'Sampling Data'!C398</f>
        <v>24</v>
      </c>
      <c r="E408" s="113">
        <f>'Sampling Data'!D398</f>
        <v>1</v>
      </c>
      <c r="F408" s="113">
        <f>'Sampling Data'!E398</f>
        <v>1</v>
      </c>
      <c r="G408" s="113">
        <f>'Sampling Data'!F398</f>
        <v>0</v>
      </c>
      <c r="H408" s="113">
        <f>'Sampling Data'!G398</f>
        <v>0</v>
      </c>
      <c r="I408" s="112">
        <f>'Sampling Data'!H398</f>
        <v>0</v>
      </c>
      <c r="J408" s="112">
        <f>'Sampling Data'!I398</f>
        <v>0</v>
      </c>
      <c r="K408" s="112">
        <f>'Sampling Data'!J398</f>
        <v>32</v>
      </c>
      <c r="L408" s="111">
        <f>'Sampling Data'!X398</f>
        <v>0</v>
      </c>
      <c r="M408" s="114"/>
      <c r="N408" s="114"/>
      <c r="O408" s="115"/>
      <c r="P408" s="115"/>
      <c r="Q408" s="116"/>
      <c r="R408" s="116"/>
      <c r="S408" s="111">
        <f>Audit[[#This Row],[Audit Losing Candidate]]-Audit[[#This Row],[Losing Candidate]]</f>
        <v>-6</v>
      </c>
      <c r="T408" s="111">
        <f>Audit[[#This Row],[Audit Winning Candidate]]-Audit[[#This Row],[Winning Candidate]]</f>
        <v>-24</v>
      </c>
      <c r="U408" s="111">
        <f>Audit[[#This Row],[Audit Candidate 3]]-Audit[[#This Row],[Candidate 3]]</f>
        <v>-1</v>
      </c>
      <c r="V408" s="111">
        <f>Audit[[#This Row],[Audit Candidate 4]]-Audit[[#This Row],[Candidate 4]]</f>
        <v>-1</v>
      </c>
      <c r="W408" s="111">
        <f>Audit[[#This Row],[Audit Candidate 5]]-Audit[[#This Row],[Candidate 5]]</f>
        <v>0</v>
      </c>
      <c r="X408" s="111">
        <f>Audit[[#This Row],[Audit Candidate 6]]-Audit[[#This Row],[Candidate 6]]</f>
        <v>0</v>
      </c>
      <c r="Y408" s="111">
        <f>SUMIF(Audit[[#This Row],[Difference Loser]:[Difference Candidate 6]], "&gt;0")</f>
        <v>0</v>
      </c>
      <c r="Z408" s="111">
        <f>SUM(Audit[[#This Row],[Difference Loser]:[Difference Candidate 6]])</f>
        <v>-32</v>
      </c>
      <c r="AA408" s="111">
        <f>IF(Audit[[#This Row],[Times p Drawn - With Replacement]]&gt;0, IF(Audit[[#This Row],[Canceled Differences]]&lt;0, Audit[[#This Row],[Max Differences]]+ABS(Audit[[#This Row],[Canceled Differences]]), Audit[[#This Row],[Max Differences]]), 0)</f>
        <v>0</v>
      </c>
      <c r="AB408" s="111">
        <f>'Sampling Data'!P398</f>
        <v>3.0622243998040177E-3</v>
      </c>
      <c r="AC408" s="111">
        <f>IF(
      SUM(Audit[[#This Row],[Audit Losing Candidate]:[Audit Candidate 6]])
      &lt;&gt;0,
      (Audit[[#This Row],[Winning Candidate]]-Audit[[#This Row],[Losing Candidate]]-(Audit[[#This Row],[Audit Winning Candidate]]-Audit[[#This Row],[Audit Losing Candidate]]))/(Audit[[#Totals],[Winning Candidate]]-Audit[[#Totals],[Losing Candidate]]),
      0
)</f>
        <v>0</v>
      </c>
      <c r="AD4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8" s="111">
        <f>IF(Audit[[#This Row],[Max Relative Error (ep)]] = 0, 0, Audit[[#This Row],[Max Relative Error (ep)]]/Audit[[#This Row],[Error Bound (up) - Max. possible relative overstatement]])</f>
        <v>0</v>
      </c>
      <c r="AJ4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08" s="111">
        <f t="shared" si="6"/>
        <v>1</v>
      </c>
      <c r="AL408" s="111">
        <f>PRODUCT($AK$5:AK408)</f>
        <v>8.962823818226312E-2</v>
      </c>
      <c r="AM408" s="109">
        <f>1 - [K-M P Value]</f>
        <v>0.91037176181773694</v>
      </c>
      <c r="AN408" s="111" t="str">
        <f>IF(Audit[[#This Row],[K-M P Value]]&gt;1-'General Info'!$B$16,"Continue", "Stop")</f>
        <v>Stop</v>
      </c>
      <c r="AO408" s="110" t="b">
        <f>IF(Audit[[#This Row],[Status - Continue or stop audit]] = "Continue", TRUE, IF(AN407 = "Continue", TRUE, FALSE))</f>
        <v>0</v>
      </c>
      <c r="AP408" s="110"/>
    </row>
    <row r="409" spans="1:42" ht="15" hidden="1" customHeight="1">
      <c r="A409" s="111" t="str">
        <f>'Sampling Data'!W399</f>
        <v/>
      </c>
      <c r="B409" s="112" t="str">
        <f>'Sampling Data'!A399</f>
        <v>CLEVELAND -04-R</v>
      </c>
      <c r="C409" s="112">
        <f>'Sampling Data'!B399</f>
        <v>2</v>
      </c>
      <c r="D409" s="112">
        <f>'Sampling Data'!C399</f>
        <v>4</v>
      </c>
      <c r="E409" s="113">
        <f>'Sampling Data'!D399</f>
        <v>2</v>
      </c>
      <c r="F409" s="113">
        <f>'Sampling Data'!E399</f>
        <v>2</v>
      </c>
      <c r="G409" s="113">
        <f>'Sampling Data'!F399</f>
        <v>0</v>
      </c>
      <c r="H409" s="113">
        <f>'Sampling Data'!G399</f>
        <v>0</v>
      </c>
      <c r="I409" s="112">
        <f>'Sampling Data'!H399</f>
        <v>0</v>
      </c>
      <c r="J409" s="112">
        <f>'Sampling Data'!I399</f>
        <v>0</v>
      </c>
      <c r="K409" s="112">
        <f>'Sampling Data'!J399</f>
        <v>10</v>
      </c>
      <c r="L409" s="111">
        <f>'Sampling Data'!X399</f>
        <v>0</v>
      </c>
      <c r="M409" s="114"/>
      <c r="N409" s="114"/>
      <c r="O409" s="115"/>
      <c r="P409" s="115"/>
      <c r="Q409" s="116"/>
      <c r="R409" s="116"/>
      <c r="S409" s="111">
        <f>Audit[[#This Row],[Audit Losing Candidate]]-Audit[[#This Row],[Losing Candidate]]</f>
        <v>-2</v>
      </c>
      <c r="T409" s="111">
        <f>Audit[[#This Row],[Audit Winning Candidate]]-Audit[[#This Row],[Winning Candidate]]</f>
        <v>-4</v>
      </c>
      <c r="U409" s="111">
        <f>Audit[[#This Row],[Audit Candidate 3]]-Audit[[#This Row],[Candidate 3]]</f>
        <v>-2</v>
      </c>
      <c r="V409" s="111">
        <f>Audit[[#This Row],[Audit Candidate 4]]-Audit[[#This Row],[Candidate 4]]</f>
        <v>-2</v>
      </c>
      <c r="W409" s="111">
        <f>Audit[[#This Row],[Audit Candidate 5]]-Audit[[#This Row],[Candidate 5]]</f>
        <v>0</v>
      </c>
      <c r="X409" s="111">
        <f>Audit[[#This Row],[Audit Candidate 6]]-Audit[[#This Row],[Candidate 6]]</f>
        <v>0</v>
      </c>
      <c r="Y409" s="111">
        <f>SUMIF(Audit[[#This Row],[Difference Loser]:[Difference Candidate 6]], "&gt;0")</f>
        <v>0</v>
      </c>
      <c r="Z409" s="111">
        <f>SUM(Audit[[#This Row],[Difference Loser]:[Difference Candidate 6]])</f>
        <v>-10</v>
      </c>
      <c r="AA409" s="111">
        <f>IF(Audit[[#This Row],[Times p Drawn - With Replacement]]&gt;0, IF(Audit[[#This Row],[Canceled Differences]]&lt;0, Audit[[#This Row],[Max Differences]]+ABS(Audit[[#This Row],[Canceled Differences]]), Audit[[#This Row],[Max Differences]]), 0)</f>
        <v>0</v>
      </c>
      <c r="AB409" s="111">
        <f>'Sampling Data'!P399</f>
        <v>7.3493385595296422E-4</v>
      </c>
      <c r="AC409" s="111">
        <f>IF(
      SUM(Audit[[#This Row],[Audit Losing Candidate]:[Audit Candidate 6]])
      &lt;&gt;0,
      (Audit[[#This Row],[Winning Candidate]]-Audit[[#This Row],[Losing Candidate]]-(Audit[[#This Row],[Audit Winning Candidate]]-Audit[[#This Row],[Audit Losing Candidate]]))/(Audit[[#Totals],[Winning Candidate]]-Audit[[#Totals],[Losing Candidate]]),
      0
)</f>
        <v>0</v>
      </c>
      <c r="AD4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9" s="111">
        <f>IF(Audit[[#This Row],[Max Relative Error (ep)]] = 0, 0, Audit[[#This Row],[Max Relative Error (ep)]]/Audit[[#This Row],[Error Bound (up) - Max. possible relative overstatement]])</f>
        <v>0</v>
      </c>
      <c r="AJ4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09" s="111">
        <f t="shared" si="6"/>
        <v>1</v>
      </c>
      <c r="AL409" s="111">
        <f>PRODUCT($AK$5:AK409)</f>
        <v>8.962823818226312E-2</v>
      </c>
      <c r="AM409" s="109">
        <f>1 - [K-M P Value]</f>
        <v>0.91037176181773694</v>
      </c>
      <c r="AN409" s="111" t="str">
        <f>IF(Audit[[#This Row],[K-M P Value]]&gt;1-'General Info'!$B$16,"Continue", "Stop")</f>
        <v>Stop</v>
      </c>
      <c r="AO409" s="110" t="b">
        <f>IF(Audit[[#This Row],[Status - Continue or stop audit]] = "Continue", TRUE, IF(AN408 = "Continue", TRUE, FALSE))</f>
        <v>0</v>
      </c>
      <c r="AP409" s="110"/>
    </row>
    <row r="410" spans="1:42" ht="15" hidden="1" customHeight="1">
      <c r="A410" s="111" t="str">
        <f>'Sampling Data'!W400</f>
        <v/>
      </c>
      <c r="B410" s="112" t="str">
        <f>'Sampling Data'!A400</f>
        <v>CLEVELAND -04-R - ABS</v>
      </c>
      <c r="C410" s="112">
        <f>'Sampling Data'!B400</f>
        <v>1</v>
      </c>
      <c r="D410" s="112">
        <f>'Sampling Data'!C400</f>
        <v>2</v>
      </c>
      <c r="E410" s="113">
        <f>'Sampling Data'!D400</f>
        <v>0</v>
      </c>
      <c r="F410" s="113">
        <f>'Sampling Data'!E400</f>
        <v>0</v>
      </c>
      <c r="G410" s="113">
        <f>'Sampling Data'!F400</f>
        <v>1</v>
      </c>
      <c r="H410" s="113">
        <f>'Sampling Data'!G400</f>
        <v>0</v>
      </c>
      <c r="I410" s="112">
        <f>'Sampling Data'!H400</f>
        <v>0</v>
      </c>
      <c r="J410" s="112">
        <f>'Sampling Data'!I400</f>
        <v>0</v>
      </c>
      <c r="K410" s="112">
        <f>'Sampling Data'!J400</f>
        <v>4</v>
      </c>
      <c r="L410" s="111">
        <f>'Sampling Data'!X400</f>
        <v>0</v>
      </c>
      <c r="M410" s="114"/>
      <c r="N410" s="114"/>
      <c r="O410" s="115"/>
      <c r="P410" s="115"/>
      <c r="Q410" s="116"/>
      <c r="R410" s="116"/>
      <c r="S410" s="111">
        <f>Audit[[#This Row],[Audit Losing Candidate]]-Audit[[#This Row],[Losing Candidate]]</f>
        <v>-1</v>
      </c>
      <c r="T410" s="111">
        <f>Audit[[#This Row],[Audit Winning Candidate]]-Audit[[#This Row],[Winning Candidate]]</f>
        <v>-2</v>
      </c>
      <c r="U410" s="111">
        <f>Audit[[#This Row],[Audit Candidate 3]]-Audit[[#This Row],[Candidate 3]]</f>
        <v>0</v>
      </c>
      <c r="V410" s="111">
        <f>Audit[[#This Row],[Audit Candidate 4]]-Audit[[#This Row],[Candidate 4]]</f>
        <v>0</v>
      </c>
      <c r="W410" s="111">
        <f>Audit[[#This Row],[Audit Candidate 5]]-Audit[[#This Row],[Candidate 5]]</f>
        <v>-1</v>
      </c>
      <c r="X410" s="111">
        <f>Audit[[#This Row],[Audit Candidate 6]]-Audit[[#This Row],[Candidate 6]]</f>
        <v>0</v>
      </c>
      <c r="Y410" s="111">
        <f>SUMIF(Audit[[#This Row],[Difference Loser]:[Difference Candidate 6]], "&gt;0")</f>
        <v>0</v>
      </c>
      <c r="Z410" s="111">
        <f>SUM(Audit[[#This Row],[Difference Loser]:[Difference Candidate 6]])</f>
        <v>-4</v>
      </c>
      <c r="AA410" s="111">
        <f>IF(Audit[[#This Row],[Times p Drawn - With Replacement]]&gt;0, IF(Audit[[#This Row],[Canceled Differences]]&lt;0, Audit[[#This Row],[Max Differences]]+ABS(Audit[[#This Row],[Canceled Differences]]), Audit[[#This Row],[Max Differences]]), 0)</f>
        <v>0</v>
      </c>
      <c r="AB410" s="111">
        <f>'Sampling Data'!P400</f>
        <v>3.0622243998040176E-4</v>
      </c>
      <c r="AC410" s="111">
        <f>IF(
      SUM(Audit[[#This Row],[Audit Losing Candidate]:[Audit Candidate 6]])
      &lt;&gt;0,
      (Audit[[#This Row],[Winning Candidate]]-Audit[[#This Row],[Losing Candidate]]-(Audit[[#This Row],[Audit Winning Candidate]]-Audit[[#This Row],[Audit Losing Candidate]]))/(Audit[[#Totals],[Winning Candidate]]-Audit[[#Totals],[Losing Candidate]]),
      0
)</f>
        <v>0</v>
      </c>
      <c r="AD4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0" s="111">
        <f>IF(Audit[[#This Row],[Max Relative Error (ep)]] = 0, 0, Audit[[#This Row],[Max Relative Error (ep)]]/Audit[[#This Row],[Error Bound (up) - Max. possible relative overstatement]])</f>
        <v>0</v>
      </c>
      <c r="AJ4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10" s="111">
        <f t="shared" si="6"/>
        <v>1</v>
      </c>
      <c r="AL410" s="111">
        <f>PRODUCT($AK$5:AK410)</f>
        <v>8.962823818226312E-2</v>
      </c>
      <c r="AM410" s="109">
        <f>1 - [K-M P Value]</f>
        <v>0.91037176181773694</v>
      </c>
      <c r="AN410" s="111" t="str">
        <f>IF(Audit[[#This Row],[K-M P Value]]&gt;1-'General Info'!$B$16,"Continue", "Stop")</f>
        <v>Stop</v>
      </c>
      <c r="AO410" s="110" t="b">
        <f>IF(Audit[[#This Row],[Status - Continue or stop audit]] = "Continue", TRUE, IF(AN409 = "Continue", TRUE, FALSE))</f>
        <v>0</v>
      </c>
      <c r="AP410" s="110"/>
    </row>
    <row r="411" spans="1:42" ht="15" hidden="1" customHeight="1">
      <c r="A411" s="111" t="str">
        <f>'Sampling Data'!W401</f>
        <v/>
      </c>
      <c r="B411" s="112" t="str">
        <f>'Sampling Data'!A401</f>
        <v>CLEVELAND -04-S</v>
      </c>
      <c r="C411" s="112">
        <f>'Sampling Data'!B401</f>
        <v>0</v>
      </c>
      <c r="D411" s="112">
        <f>'Sampling Data'!C401</f>
        <v>0</v>
      </c>
      <c r="E411" s="113">
        <f>'Sampling Data'!D401</f>
        <v>0</v>
      </c>
      <c r="F411" s="113">
        <f>'Sampling Data'!E401</f>
        <v>0</v>
      </c>
      <c r="G411" s="113">
        <f>'Sampling Data'!F401</f>
        <v>0</v>
      </c>
      <c r="H411" s="113">
        <f>'Sampling Data'!G401</f>
        <v>0</v>
      </c>
      <c r="I411" s="112">
        <f>'Sampling Data'!H401</f>
        <v>0</v>
      </c>
      <c r="J411" s="112">
        <f>'Sampling Data'!I401</f>
        <v>0</v>
      </c>
      <c r="K411" s="112">
        <f>'Sampling Data'!J401</f>
        <v>0</v>
      </c>
      <c r="L411" s="111">
        <f>'Sampling Data'!X401</f>
        <v>0</v>
      </c>
      <c r="M411" s="114"/>
      <c r="N411" s="114"/>
      <c r="O411" s="115"/>
      <c r="P411" s="115"/>
      <c r="Q411" s="116"/>
      <c r="R411" s="116"/>
      <c r="S411" s="111">
        <f>Audit[[#This Row],[Audit Losing Candidate]]-Audit[[#This Row],[Losing Candidate]]</f>
        <v>0</v>
      </c>
      <c r="T411" s="111">
        <f>Audit[[#This Row],[Audit Winning Candidate]]-Audit[[#This Row],[Winning Candidate]]</f>
        <v>0</v>
      </c>
      <c r="U411" s="111">
        <f>Audit[[#This Row],[Audit Candidate 3]]-Audit[[#This Row],[Candidate 3]]</f>
        <v>0</v>
      </c>
      <c r="V411" s="111">
        <f>Audit[[#This Row],[Audit Candidate 4]]-Audit[[#This Row],[Candidate 4]]</f>
        <v>0</v>
      </c>
      <c r="W411" s="111">
        <f>Audit[[#This Row],[Audit Candidate 5]]-Audit[[#This Row],[Candidate 5]]</f>
        <v>0</v>
      </c>
      <c r="X411" s="111">
        <f>Audit[[#This Row],[Audit Candidate 6]]-Audit[[#This Row],[Candidate 6]]</f>
        <v>0</v>
      </c>
      <c r="Y411" s="111">
        <f>SUMIF(Audit[[#This Row],[Difference Loser]:[Difference Candidate 6]], "&gt;0")</f>
        <v>0</v>
      </c>
      <c r="Z411" s="111">
        <f>SUM(Audit[[#This Row],[Difference Loser]:[Difference Candidate 6]])</f>
        <v>0</v>
      </c>
      <c r="AA411" s="111">
        <f>IF(Audit[[#This Row],[Times p Drawn - With Replacement]]&gt;0, IF(Audit[[#This Row],[Canceled Differences]]&lt;0, Audit[[#This Row],[Max Differences]]+ABS(Audit[[#This Row],[Canceled Differences]]), Audit[[#This Row],[Max Differences]]), 0)</f>
        <v>0</v>
      </c>
      <c r="AB411" s="111">
        <f>'Sampling Data'!P401</f>
        <v>0</v>
      </c>
      <c r="AC411" s="111">
        <f>IF(
      SUM(Audit[[#This Row],[Audit Losing Candidate]:[Audit Candidate 6]])
      &lt;&gt;0,
      (Audit[[#This Row],[Winning Candidate]]-Audit[[#This Row],[Losing Candidate]]-(Audit[[#This Row],[Audit Winning Candidate]]-Audit[[#This Row],[Audit Losing Candidate]]))/(Audit[[#Totals],[Winning Candidate]]-Audit[[#Totals],[Losing Candidate]]),
      0
)</f>
        <v>0</v>
      </c>
      <c r="AD4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1" s="111">
        <f>IF(Audit[[#This Row],[Max Relative Error (ep)]] = 0, 0, Audit[[#This Row],[Max Relative Error (ep)]]/Audit[[#This Row],[Error Bound (up) - Max. possible relative overstatement]])</f>
        <v>0</v>
      </c>
      <c r="AJ4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11" s="111">
        <f t="shared" si="6"/>
        <v>1</v>
      </c>
      <c r="AL411" s="111">
        <f>PRODUCT($AK$5:AK411)</f>
        <v>8.962823818226312E-2</v>
      </c>
      <c r="AM411" s="109">
        <f>1 - [K-M P Value]</f>
        <v>0.91037176181773694</v>
      </c>
      <c r="AN411" s="111" t="str">
        <f>IF(Audit[[#This Row],[K-M P Value]]&gt;1-'General Info'!$B$16,"Continue", "Stop")</f>
        <v>Stop</v>
      </c>
      <c r="AO411" s="110" t="b">
        <f>IF(Audit[[#This Row],[Status - Continue or stop audit]] = "Continue", TRUE, IF(AN410 = "Continue", TRUE, FALSE))</f>
        <v>0</v>
      </c>
      <c r="AP411" s="110"/>
    </row>
    <row r="412" spans="1:42" ht="15" hidden="1" customHeight="1">
      <c r="A412" s="111" t="str">
        <f>'Sampling Data'!W402</f>
        <v/>
      </c>
      <c r="B412" s="112" t="str">
        <f>'Sampling Data'!A402</f>
        <v>CLEVELAND -04-S - ABS</v>
      </c>
      <c r="C412" s="112">
        <f>'Sampling Data'!B402</f>
        <v>1</v>
      </c>
      <c r="D412" s="112">
        <f>'Sampling Data'!C402</f>
        <v>1</v>
      </c>
      <c r="E412" s="113">
        <f>'Sampling Data'!D402</f>
        <v>0</v>
      </c>
      <c r="F412" s="113">
        <f>'Sampling Data'!E402</f>
        <v>1</v>
      </c>
      <c r="G412" s="113">
        <f>'Sampling Data'!F402</f>
        <v>0</v>
      </c>
      <c r="H412" s="113">
        <f>'Sampling Data'!G402</f>
        <v>0</v>
      </c>
      <c r="I412" s="112">
        <f>'Sampling Data'!H402</f>
        <v>0</v>
      </c>
      <c r="J412" s="112">
        <f>'Sampling Data'!I402</f>
        <v>0</v>
      </c>
      <c r="K412" s="112">
        <f>'Sampling Data'!J402</f>
        <v>3</v>
      </c>
      <c r="L412" s="111">
        <f>'Sampling Data'!X402</f>
        <v>0</v>
      </c>
      <c r="M412" s="114"/>
      <c r="N412" s="114"/>
      <c r="O412" s="115"/>
      <c r="P412" s="115"/>
      <c r="Q412" s="116"/>
      <c r="R412" s="116"/>
      <c r="S412" s="111">
        <f>Audit[[#This Row],[Audit Losing Candidate]]-Audit[[#This Row],[Losing Candidate]]</f>
        <v>-1</v>
      </c>
      <c r="T412" s="111">
        <f>Audit[[#This Row],[Audit Winning Candidate]]-Audit[[#This Row],[Winning Candidate]]</f>
        <v>-1</v>
      </c>
      <c r="U412" s="111">
        <f>Audit[[#This Row],[Audit Candidate 3]]-Audit[[#This Row],[Candidate 3]]</f>
        <v>0</v>
      </c>
      <c r="V412" s="111">
        <f>Audit[[#This Row],[Audit Candidate 4]]-Audit[[#This Row],[Candidate 4]]</f>
        <v>-1</v>
      </c>
      <c r="W412" s="111">
        <f>Audit[[#This Row],[Audit Candidate 5]]-Audit[[#This Row],[Candidate 5]]</f>
        <v>0</v>
      </c>
      <c r="X412" s="111">
        <f>Audit[[#This Row],[Audit Candidate 6]]-Audit[[#This Row],[Candidate 6]]</f>
        <v>0</v>
      </c>
      <c r="Y412" s="111">
        <f>SUMIF(Audit[[#This Row],[Difference Loser]:[Difference Candidate 6]], "&gt;0")</f>
        <v>0</v>
      </c>
      <c r="Z412" s="111">
        <f>SUM(Audit[[#This Row],[Difference Loser]:[Difference Candidate 6]])</f>
        <v>-3</v>
      </c>
      <c r="AA412" s="111">
        <f>IF(Audit[[#This Row],[Times p Drawn - With Replacement]]&gt;0, IF(Audit[[#This Row],[Canceled Differences]]&lt;0, Audit[[#This Row],[Max Differences]]+ABS(Audit[[#This Row],[Canceled Differences]]), Audit[[#This Row],[Max Differences]]), 0)</f>
        <v>0</v>
      </c>
      <c r="AB412" s="111">
        <f>'Sampling Data'!P402</f>
        <v>1.8373346398824106E-4</v>
      </c>
      <c r="AC412" s="111">
        <f>IF(
      SUM(Audit[[#This Row],[Audit Losing Candidate]:[Audit Candidate 6]])
      &lt;&gt;0,
      (Audit[[#This Row],[Winning Candidate]]-Audit[[#This Row],[Losing Candidate]]-(Audit[[#This Row],[Audit Winning Candidate]]-Audit[[#This Row],[Audit Losing Candidate]]))/(Audit[[#Totals],[Winning Candidate]]-Audit[[#Totals],[Losing Candidate]]),
      0
)</f>
        <v>0</v>
      </c>
      <c r="AD4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2" s="111">
        <f>IF(Audit[[#This Row],[Max Relative Error (ep)]] = 0, 0, Audit[[#This Row],[Max Relative Error (ep)]]/Audit[[#This Row],[Error Bound (up) - Max. possible relative overstatement]])</f>
        <v>0</v>
      </c>
      <c r="AJ4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12" s="111">
        <f t="shared" si="6"/>
        <v>1</v>
      </c>
      <c r="AL412" s="111">
        <f>PRODUCT($AK$5:AK412)</f>
        <v>8.962823818226312E-2</v>
      </c>
      <c r="AM412" s="109">
        <f>1 - [K-M P Value]</f>
        <v>0.91037176181773694</v>
      </c>
      <c r="AN412" s="111" t="str">
        <f>IF(Audit[[#This Row],[K-M P Value]]&gt;1-'General Info'!$B$16,"Continue", "Stop")</f>
        <v>Stop</v>
      </c>
      <c r="AO412" s="110" t="b">
        <f>IF(Audit[[#This Row],[Status - Continue or stop audit]] = "Continue", TRUE, IF(AN411 = "Continue", TRUE, FALSE))</f>
        <v>0</v>
      </c>
      <c r="AP412" s="110"/>
    </row>
    <row r="413" spans="1:42" ht="15" hidden="1" customHeight="1">
      <c r="A413" s="111" t="str">
        <f>'Sampling Data'!W403</f>
        <v/>
      </c>
      <c r="B413" s="112" t="str">
        <f>'Sampling Data'!A403</f>
        <v>CLEVELAND -05-A</v>
      </c>
      <c r="C413" s="112">
        <f>'Sampling Data'!B403</f>
        <v>0</v>
      </c>
      <c r="D413" s="112">
        <f>'Sampling Data'!C403</f>
        <v>0</v>
      </c>
      <c r="E413" s="113">
        <f>'Sampling Data'!D403</f>
        <v>0</v>
      </c>
      <c r="F413" s="113">
        <f>'Sampling Data'!E403</f>
        <v>0</v>
      </c>
      <c r="G413" s="113">
        <f>'Sampling Data'!F403</f>
        <v>0</v>
      </c>
      <c r="H413" s="113">
        <f>'Sampling Data'!G403</f>
        <v>0</v>
      </c>
      <c r="I413" s="112">
        <f>'Sampling Data'!H403</f>
        <v>0</v>
      </c>
      <c r="J413" s="112">
        <f>'Sampling Data'!I403</f>
        <v>0</v>
      </c>
      <c r="K413" s="112">
        <f>'Sampling Data'!J403</f>
        <v>0</v>
      </c>
      <c r="L413" s="111">
        <f>'Sampling Data'!X403</f>
        <v>0</v>
      </c>
      <c r="M413" s="114"/>
      <c r="N413" s="114"/>
      <c r="O413" s="115"/>
      <c r="P413" s="115"/>
      <c r="Q413" s="116"/>
      <c r="R413" s="116"/>
      <c r="S413" s="111">
        <f>Audit[[#This Row],[Audit Losing Candidate]]-Audit[[#This Row],[Losing Candidate]]</f>
        <v>0</v>
      </c>
      <c r="T413" s="111">
        <f>Audit[[#This Row],[Audit Winning Candidate]]-Audit[[#This Row],[Winning Candidate]]</f>
        <v>0</v>
      </c>
      <c r="U413" s="111">
        <f>Audit[[#This Row],[Audit Candidate 3]]-Audit[[#This Row],[Candidate 3]]</f>
        <v>0</v>
      </c>
      <c r="V413" s="111">
        <f>Audit[[#This Row],[Audit Candidate 4]]-Audit[[#This Row],[Candidate 4]]</f>
        <v>0</v>
      </c>
      <c r="W413" s="111">
        <f>Audit[[#This Row],[Audit Candidate 5]]-Audit[[#This Row],[Candidate 5]]</f>
        <v>0</v>
      </c>
      <c r="X413" s="111">
        <f>Audit[[#This Row],[Audit Candidate 6]]-Audit[[#This Row],[Candidate 6]]</f>
        <v>0</v>
      </c>
      <c r="Y413" s="111">
        <f>SUMIF(Audit[[#This Row],[Difference Loser]:[Difference Candidate 6]], "&gt;0")</f>
        <v>0</v>
      </c>
      <c r="Z413" s="111">
        <f>SUM(Audit[[#This Row],[Difference Loser]:[Difference Candidate 6]])</f>
        <v>0</v>
      </c>
      <c r="AA413" s="111">
        <f>IF(Audit[[#This Row],[Times p Drawn - With Replacement]]&gt;0, IF(Audit[[#This Row],[Canceled Differences]]&lt;0, Audit[[#This Row],[Max Differences]]+ABS(Audit[[#This Row],[Canceled Differences]]), Audit[[#This Row],[Max Differences]]), 0)</f>
        <v>0</v>
      </c>
      <c r="AB413" s="111">
        <f>'Sampling Data'!P403</f>
        <v>0</v>
      </c>
      <c r="AC413" s="111">
        <f>IF(
      SUM(Audit[[#This Row],[Audit Losing Candidate]:[Audit Candidate 6]])
      &lt;&gt;0,
      (Audit[[#This Row],[Winning Candidate]]-Audit[[#This Row],[Losing Candidate]]-(Audit[[#This Row],[Audit Winning Candidate]]-Audit[[#This Row],[Audit Losing Candidate]]))/(Audit[[#Totals],[Winning Candidate]]-Audit[[#Totals],[Losing Candidate]]),
      0
)</f>
        <v>0</v>
      </c>
      <c r="AD4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3" s="111">
        <f>IF(Audit[[#This Row],[Max Relative Error (ep)]] = 0, 0, Audit[[#This Row],[Max Relative Error (ep)]]/Audit[[#This Row],[Error Bound (up) - Max. possible relative overstatement]])</f>
        <v>0</v>
      </c>
      <c r="AJ4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13" s="111">
        <f t="shared" si="6"/>
        <v>1</v>
      </c>
      <c r="AL413" s="111">
        <f>PRODUCT($AK$5:AK413)</f>
        <v>8.962823818226312E-2</v>
      </c>
      <c r="AM413" s="109">
        <f>1 - [K-M P Value]</f>
        <v>0.91037176181773694</v>
      </c>
      <c r="AN413" s="111" t="str">
        <f>IF(Audit[[#This Row],[K-M P Value]]&gt;1-'General Info'!$B$16,"Continue", "Stop")</f>
        <v>Stop</v>
      </c>
      <c r="AO413" s="110" t="b">
        <f>IF(Audit[[#This Row],[Status - Continue or stop audit]] = "Continue", TRUE, IF(AN412 = "Continue", TRUE, FALSE))</f>
        <v>0</v>
      </c>
      <c r="AP413" s="110"/>
    </row>
    <row r="414" spans="1:42" ht="15" hidden="1" customHeight="1">
      <c r="A414" s="111" t="str">
        <f>'Sampling Data'!W404</f>
        <v/>
      </c>
      <c r="B414" s="112" t="str">
        <f>'Sampling Data'!A404</f>
        <v>CLEVELAND -05-A - ABS</v>
      </c>
      <c r="C414" s="112">
        <f>'Sampling Data'!B404</f>
        <v>0</v>
      </c>
      <c r="D414" s="112">
        <f>'Sampling Data'!C404</f>
        <v>0</v>
      </c>
      <c r="E414" s="113">
        <f>'Sampling Data'!D404</f>
        <v>0</v>
      </c>
      <c r="F414" s="113">
        <f>'Sampling Data'!E404</f>
        <v>0</v>
      </c>
      <c r="G414" s="113">
        <f>'Sampling Data'!F404</f>
        <v>0</v>
      </c>
      <c r="H414" s="113">
        <f>'Sampling Data'!G404</f>
        <v>0</v>
      </c>
      <c r="I414" s="112">
        <f>'Sampling Data'!H404</f>
        <v>0</v>
      </c>
      <c r="J414" s="112">
        <f>'Sampling Data'!I404</f>
        <v>0</v>
      </c>
      <c r="K414" s="112">
        <f>'Sampling Data'!J404</f>
        <v>0</v>
      </c>
      <c r="L414" s="111">
        <f>'Sampling Data'!X404</f>
        <v>0</v>
      </c>
      <c r="M414" s="114"/>
      <c r="N414" s="114"/>
      <c r="O414" s="115"/>
      <c r="P414" s="115"/>
      <c r="Q414" s="116"/>
      <c r="R414" s="116"/>
      <c r="S414" s="111">
        <f>Audit[[#This Row],[Audit Losing Candidate]]-Audit[[#This Row],[Losing Candidate]]</f>
        <v>0</v>
      </c>
      <c r="T414" s="111">
        <f>Audit[[#This Row],[Audit Winning Candidate]]-Audit[[#This Row],[Winning Candidate]]</f>
        <v>0</v>
      </c>
      <c r="U414" s="111">
        <f>Audit[[#This Row],[Audit Candidate 3]]-Audit[[#This Row],[Candidate 3]]</f>
        <v>0</v>
      </c>
      <c r="V414" s="111">
        <f>Audit[[#This Row],[Audit Candidate 4]]-Audit[[#This Row],[Candidate 4]]</f>
        <v>0</v>
      </c>
      <c r="W414" s="111">
        <f>Audit[[#This Row],[Audit Candidate 5]]-Audit[[#This Row],[Candidate 5]]</f>
        <v>0</v>
      </c>
      <c r="X414" s="111">
        <f>Audit[[#This Row],[Audit Candidate 6]]-Audit[[#This Row],[Candidate 6]]</f>
        <v>0</v>
      </c>
      <c r="Y414" s="111">
        <f>SUMIF(Audit[[#This Row],[Difference Loser]:[Difference Candidate 6]], "&gt;0")</f>
        <v>0</v>
      </c>
      <c r="Z414" s="111">
        <f>SUM(Audit[[#This Row],[Difference Loser]:[Difference Candidate 6]])</f>
        <v>0</v>
      </c>
      <c r="AA414" s="111">
        <f>IF(Audit[[#This Row],[Times p Drawn - With Replacement]]&gt;0, IF(Audit[[#This Row],[Canceled Differences]]&lt;0, Audit[[#This Row],[Max Differences]]+ABS(Audit[[#This Row],[Canceled Differences]]), Audit[[#This Row],[Max Differences]]), 0)</f>
        <v>0</v>
      </c>
      <c r="AB414" s="111">
        <f>'Sampling Data'!P404</f>
        <v>0</v>
      </c>
      <c r="AC414" s="111">
        <f>IF(
      SUM(Audit[[#This Row],[Audit Losing Candidate]:[Audit Candidate 6]])
      &lt;&gt;0,
      (Audit[[#This Row],[Winning Candidate]]-Audit[[#This Row],[Losing Candidate]]-(Audit[[#This Row],[Audit Winning Candidate]]-Audit[[#This Row],[Audit Losing Candidate]]))/(Audit[[#Totals],[Winning Candidate]]-Audit[[#Totals],[Losing Candidate]]),
      0
)</f>
        <v>0</v>
      </c>
      <c r="AD4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4" s="111">
        <f>IF(Audit[[#This Row],[Max Relative Error (ep)]] = 0, 0, Audit[[#This Row],[Max Relative Error (ep)]]/Audit[[#This Row],[Error Bound (up) - Max. possible relative overstatement]])</f>
        <v>0</v>
      </c>
      <c r="AJ4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14" s="111">
        <f t="shared" si="6"/>
        <v>1</v>
      </c>
      <c r="AL414" s="111">
        <f>PRODUCT($AK$5:AK414)</f>
        <v>8.962823818226312E-2</v>
      </c>
      <c r="AM414" s="109">
        <f>1 - [K-M P Value]</f>
        <v>0.91037176181773694</v>
      </c>
      <c r="AN414" s="111" t="str">
        <f>IF(Audit[[#This Row],[K-M P Value]]&gt;1-'General Info'!$B$16,"Continue", "Stop")</f>
        <v>Stop</v>
      </c>
      <c r="AO414" s="110" t="b">
        <f>IF(Audit[[#This Row],[Status - Continue or stop audit]] = "Continue", TRUE, IF(AN413 = "Continue", TRUE, FALSE))</f>
        <v>0</v>
      </c>
      <c r="AP414" s="110"/>
    </row>
    <row r="415" spans="1:42" ht="15" hidden="1" customHeight="1">
      <c r="A415" s="111" t="str">
        <f>'Sampling Data'!W405</f>
        <v/>
      </c>
      <c r="B415" s="112" t="str">
        <f>'Sampling Data'!A405</f>
        <v>CLEVELAND -05-B</v>
      </c>
      <c r="C415" s="112">
        <f>'Sampling Data'!B405</f>
        <v>4</v>
      </c>
      <c r="D415" s="112">
        <f>'Sampling Data'!C405</f>
        <v>2</v>
      </c>
      <c r="E415" s="113">
        <f>'Sampling Data'!D405</f>
        <v>0</v>
      </c>
      <c r="F415" s="113">
        <f>'Sampling Data'!E405</f>
        <v>0</v>
      </c>
      <c r="G415" s="113">
        <f>'Sampling Data'!F405</f>
        <v>0</v>
      </c>
      <c r="H415" s="113">
        <f>'Sampling Data'!G405</f>
        <v>0</v>
      </c>
      <c r="I415" s="112">
        <f>'Sampling Data'!H405</f>
        <v>0</v>
      </c>
      <c r="J415" s="112">
        <f>'Sampling Data'!I405</f>
        <v>0</v>
      </c>
      <c r="K415" s="112">
        <f>'Sampling Data'!J405</f>
        <v>6</v>
      </c>
      <c r="L415" s="111">
        <f>'Sampling Data'!X405</f>
        <v>0</v>
      </c>
      <c r="M415" s="114"/>
      <c r="N415" s="114"/>
      <c r="O415" s="115"/>
      <c r="P415" s="115"/>
      <c r="Q415" s="116"/>
      <c r="R415" s="116"/>
      <c r="S415" s="111">
        <f>Audit[[#This Row],[Audit Losing Candidate]]-Audit[[#This Row],[Losing Candidate]]</f>
        <v>-4</v>
      </c>
      <c r="T415" s="111">
        <f>Audit[[#This Row],[Audit Winning Candidate]]-Audit[[#This Row],[Winning Candidate]]</f>
        <v>-2</v>
      </c>
      <c r="U415" s="111">
        <f>Audit[[#This Row],[Audit Candidate 3]]-Audit[[#This Row],[Candidate 3]]</f>
        <v>0</v>
      </c>
      <c r="V415" s="111">
        <f>Audit[[#This Row],[Audit Candidate 4]]-Audit[[#This Row],[Candidate 4]]</f>
        <v>0</v>
      </c>
      <c r="W415" s="111">
        <f>Audit[[#This Row],[Audit Candidate 5]]-Audit[[#This Row],[Candidate 5]]</f>
        <v>0</v>
      </c>
      <c r="X415" s="111">
        <f>Audit[[#This Row],[Audit Candidate 6]]-Audit[[#This Row],[Candidate 6]]</f>
        <v>0</v>
      </c>
      <c r="Y415" s="111">
        <f>SUMIF(Audit[[#This Row],[Difference Loser]:[Difference Candidate 6]], "&gt;0")</f>
        <v>0</v>
      </c>
      <c r="Z415" s="111">
        <f>SUM(Audit[[#This Row],[Difference Loser]:[Difference Candidate 6]])</f>
        <v>-6</v>
      </c>
      <c r="AA415" s="111">
        <f>IF(Audit[[#This Row],[Times p Drawn - With Replacement]]&gt;0, IF(Audit[[#This Row],[Canceled Differences]]&lt;0, Audit[[#This Row],[Max Differences]]+ABS(Audit[[#This Row],[Canceled Differences]]), Audit[[#This Row],[Max Differences]]), 0)</f>
        <v>0</v>
      </c>
      <c r="AB415" s="111">
        <f>'Sampling Data'!P405</f>
        <v>2.5808949253153533E-4</v>
      </c>
      <c r="AC415" s="111">
        <f>IF(
      SUM(Audit[[#This Row],[Audit Losing Candidate]:[Audit Candidate 6]])
      &lt;&gt;0,
      (Audit[[#This Row],[Winning Candidate]]-Audit[[#This Row],[Losing Candidate]]-(Audit[[#This Row],[Audit Winning Candidate]]-Audit[[#This Row],[Audit Losing Candidate]]))/(Audit[[#Totals],[Winning Candidate]]-Audit[[#Totals],[Losing Candidate]]),
      0
)</f>
        <v>0</v>
      </c>
      <c r="AD4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5" s="111">
        <f>IF(Audit[[#This Row],[Max Relative Error (ep)]] = 0, 0, Audit[[#This Row],[Max Relative Error (ep)]]/Audit[[#This Row],[Error Bound (up) - Max. possible relative overstatement]])</f>
        <v>0</v>
      </c>
      <c r="AJ4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15" s="111">
        <f t="shared" si="6"/>
        <v>1</v>
      </c>
      <c r="AL415" s="111">
        <f>PRODUCT($AK$5:AK415)</f>
        <v>8.962823818226312E-2</v>
      </c>
      <c r="AM415" s="109">
        <f>1 - [K-M P Value]</f>
        <v>0.91037176181773694</v>
      </c>
      <c r="AN415" s="111" t="str">
        <f>IF(Audit[[#This Row],[K-M P Value]]&gt;1-'General Info'!$B$16,"Continue", "Stop")</f>
        <v>Stop</v>
      </c>
      <c r="AO415" s="110" t="b">
        <f>IF(Audit[[#This Row],[Status - Continue or stop audit]] = "Continue", TRUE, IF(AN414 = "Continue", TRUE, FALSE))</f>
        <v>0</v>
      </c>
      <c r="AP415" s="110"/>
    </row>
    <row r="416" spans="1:42" ht="15" hidden="1" customHeight="1">
      <c r="A416" s="111" t="str">
        <f>'Sampling Data'!W406</f>
        <v/>
      </c>
      <c r="B416" s="112" t="str">
        <f>'Sampling Data'!A406</f>
        <v>CLEVELAND -05-B - ABS</v>
      </c>
      <c r="C416" s="112">
        <f>'Sampling Data'!B406</f>
        <v>1</v>
      </c>
      <c r="D416" s="112">
        <f>'Sampling Data'!C406</f>
        <v>0</v>
      </c>
      <c r="E416" s="113">
        <f>'Sampling Data'!D406</f>
        <v>0</v>
      </c>
      <c r="F416" s="113">
        <f>'Sampling Data'!E406</f>
        <v>0</v>
      </c>
      <c r="G416" s="113">
        <f>'Sampling Data'!F406</f>
        <v>0</v>
      </c>
      <c r="H416" s="113">
        <f>'Sampling Data'!G406</f>
        <v>0</v>
      </c>
      <c r="I416" s="112">
        <f>'Sampling Data'!H406</f>
        <v>0</v>
      </c>
      <c r="J416" s="112">
        <f>'Sampling Data'!I406</f>
        <v>0</v>
      </c>
      <c r="K416" s="112">
        <f>'Sampling Data'!J406</f>
        <v>1</v>
      </c>
      <c r="L416" s="111">
        <f>'Sampling Data'!X406</f>
        <v>0</v>
      </c>
      <c r="M416" s="114"/>
      <c r="N416" s="114"/>
      <c r="O416" s="115"/>
      <c r="P416" s="115"/>
      <c r="Q416" s="116"/>
      <c r="R416" s="116"/>
      <c r="S416" s="111">
        <f>Audit[[#This Row],[Audit Losing Candidate]]-Audit[[#This Row],[Losing Candidate]]</f>
        <v>-1</v>
      </c>
      <c r="T416" s="111">
        <f>Audit[[#This Row],[Audit Winning Candidate]]-Audit[[#This Row],[Winning Candidate]]</f>
        <v>0</v>
      </c>
      <c r="U416" s="111">
        <f>Audit[[#This Row],[Audit Candidate 3]]-Audit[[#This Row],[Candidate 3]]</f>
        <v>0</v>
      </c>
      <c r="V416" s="111">
        <f>Audit[[#This Row],[Audit Candidate 4]]-Audit[[#This Row],[Candidate 4]]</f>
        <v>0</v>
      </c>
      <c r="W416" s="111">
        <f>Audit[[#This Row],[Audit Candidate 5]]-Audit[[#This Row],[Candidate 5]]</f>
        <v>0</v>
      </c>
      <c r="X416" s="111">
        <f>Audit[[#This Row],[Audit Candidate 6]]-Audit[[#This Row],[Candidate 6]]</f>
        <v>0</v>
      </c>
      <c r="Y416" s="111">
        <f>SUMIF(Audit[[#This Row],[Difference Loser]:[Difference Candidate 6]], "&gt;0")</f>
        <v>0</v>
      </c>
      <c r="Z416" s="111">
        <f>SUM(Audit[[#This Row],[Difference Loser]:[Difference Candidate 6]])</f>
        <v>-1</v>
      </c>
      <c r="AA416" s="111">
        <f>IF(Audit[[#This Row],[Times p Drawn - With Replacement]]&gt;0, IF(Audit[[#This Row],[Canceled Differences]]&lt;0, Audit[[#This Row],[Max Differences]]+ABS(Audit[[#This Row],[Canceled Differences]]), Audit[[#This Row],[Max Differences]]), 0)</f>
        <v>0</v>
      </c>
      <c r="AB416" s="111">
        <f>'Sampling Data'!P406</f>
        <v>3.2261186566441917E-5</v>
      </c>
      <c r="AC416" s="111">
        <f>IF(
      SUM(Audit[[#This Row],[Audit Losing Candidate]:[Audit Candidate 6]])
      &lt;&gt;0,
      (Audit[[#This Row],[Winning Candidate]]-Audit[[#This Row],[Losing Candidate]]-(Audit[[#This Row],[Audit Winning Candidate]]-Audit[[#This Row],[Audit Losing Candidate]]))/(Audit[[#Totals],[Winning Candidate]]-Audit[[#Totals],[Losing Candidate]]),
      0
)</f>
        <v>0</v>
      </c>
      <c r="AD4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6" s="111">
        <f>IF(Audit[[#This Row],[Max Relative Error (ep)]] = 0, 0, Audit[[#This Row],[Max Relative Error (ep)]]/Audit[[#This Row],[Error Bound (up) - Max. possible relative overstatement]])</f>
        <v>0</v>
      </c>
      <c r="AJ4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16" s="111">
        <f t="shared" si="6"/>
        <v>1</v>
      </c>
      <c r="AL416" s="111">
        <f>PRODUCT($AK$5:AK416)</f>
        <v>8.962823818226312E-2</v>
      </c>
      <c r="AM416" s="109">
        <f>1 - [K-M P Value]</f>
        <v>0.91037176181773694</v>
      </c>
      <c r="AN416" s="111" t="str">
        <f>IF(Audit[[#This Row],[K-M P Value]]&gt;1-'General Info'!$B$16,"Continue", "Stop")</f>
        <v>Stop</v>
      </c>
      <c r="AO416" s="110" t="b">
        <f>IF(Audit[[#This Row],[Status - Continue or stop audit]] = "Continue", TRUE, IF(AN415 = "Continue", TRUE, FALSE))</f>
        <v>0</v>
      </c>
      <c r="AP416" s="110"/>
    </row>
    <row r="417" spans="1:42" ht="15" hidden="1" customHeight="1">
      <c r="A417" s="111" t="str">
        <f>'Sampling Data'!W407</f>
        <v/>
      </c>
      <c r="B417" s="112" t="str">
        <f>'Sampling Data'!A407</f>
        <v>CLEVELAND -05-C</v>
      </c>
      <c r="C417" s="112">
        <f>'Sampling Data'!B407</f>
        <v>1</v>
      </c>
      <c r="D417" s="112">
        <f>'Sampling Data'!C407</f>
        <v>1</v>
      </c>
      <c r="E417" s="113">
        <f>'Sampling Data'!D407</f>
        <v>0</v>
      </c>
      <c r="F417" s="113">
        <f>'Sampling Data'!E407</f>
        <v>0</v>
      </c>
      <c r="G417" s="113">
        <f>'Sampling Data'!F407</f>
        <v>0</v>
      </c>
      <c r="H417" s="113">
        <f>'Sampling Data'!G407</f>
        <v>0</v>
      </c>
      <c r="I417" s="112">
        <f>'Sampling Data'!H407</f>
        <v>0</v>
      </c>
      <c r="J417" s="112">
        <f>'Sampling Data'!I407</f>
        <v>0</v>
      </c>
      <c r="K417" s="112">
        <f>'Sampling Data'!J407</f>
        <v>2</v>
      </c>
      <c r="L417" s="111">
        <f>'Sampling Data'!X407</f>
        <v>0</v>
      </c>
      <c r="M417" s="114"/>
      <c r="N417" s="114"/>
      <c r="O417" s="115"/>
      <c r="P417" s="115"/>
      <c r="Q417" s="116"/>
      <c r="R417" s="116"/>
      <c r="S417" s="111">
        <f>Audit[[#This Row],[Audit Losing Candidate]]-Audit[[#This Row],[Losing Candidate]]</f>
        <v>-1</v>
      </c>
      <c r="T417" s="111">
        <f>Audit[[#This Row],[Audit Winning Candidate]]-Audit[[#This Row],[Winning Candidate]]</f>
        <v>-1</v>
      </c>
      <c r="U417" s="111">
        <f>Audit[[#This Row],[Audit Candidate 3]]-Audit[[#This Row],[Candidate 3]]</f>
        <v>0</v>
      </c>
      <c r="V417" s="111">
        <f>Audit[[#This Row],[Audit Candidate 4]]-Audit[[#This Row],[Candidate 4]]</f>
        <v>0</v>
      </c>
      <c r="W417" s="111">
        <f>Audit[[#This Row],[Audit Candidate 5]]-Audit[[#This Row],[Candidate 5]]</f>
        <v>0</v>
      </c>
      <c r="X417" s="111">
        <f>Audit[[#This Row],[Audit Candidate 6]]-Audit[[#This Row],[Candidate 6]]</f>
        <v>0</v>
      </c>
      <c r="Y417" s="111">
        <f>SUMIF(Audit[[#This Row],[Difference Loser]:[Difference Candidate 6]], "&gt;0")</f>
        <v>0</v>
      </c>
      <c r="Z417" s="111">
        <f>SUM(Audit[[#This Row],[Difference Loser]:[Difference Candidate 6]])</f>
        <v>-2</v>
      </c>
      <c r="AA417" s="111">
        <f>IF(Audit[[#This Row],[Times p Drawn - With Replacement]]&gt;0, IF(Audit[[#This Row],[Canceled Differences]]&lt;0, Audit[[#This Row],[Max Differences]]+ABS(Audit[[#This Row],[Canceled Differences]]), Audit[[#This Row],[Max Differences]]), 0)</f>
        <v>0</v>
      </c>
      <c r="AB417" s="111">
        <f>'Sampling Data'!P407</f>
        <v>1.224889759921607E-4</v>
      </c>
      <c r="AC417" s="111">
        <f>IF(
      SUM(Audit[[#This Row],[Audit Losing Candidate]:[Audit Candidate 6]])
      &lt;&gt;0,
      (Audit[[#This Row],[Winning Candidate]]-Audit[[#This Row],[Losing Candidate]]-(Audit[[#This Row],[Audit Winning Candidate]]-Audit[[#This Row],[Audit Losing Candidate]]))/(Audit[[#Totals],[Winning Candidate]]-Audit[[#Totals],[Losing Candidate]]),
      0
)</f>
        <v>0</v>
      </c>
      <c r="AD4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7" s="111">
        <f>IF(Audit[[#This Row],[Max Relative Error (ep)]] = 0, 0, Audit[[#This Row],[Max Relative Error (ep)]]/Audit[[#This Row],[Error Bound (up) - Max. possible relative overstatement]])</f>
        <v>0</v>
      </c>
      <c r="AJ4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17" s="111">
        <f t="shared" si="6"/>
        <v>1</v>
      </c>
      <c r="AL417" s="111">
        <f>PRODUCT($AK$5:AK417)</f>
        <v>8.962823818226312E-2</v>
      </c>
      <c r="AM417" s="109">
        <f>1 - [K-M P Value]</f>
        <v>0.91037176181773694</v>
      </c>
      <c r="AN417" s="111" t="str">
        <f>IF(Audit[[#This Row],[K-M P Value]]&gt;1-'General Info'!$B$16,"Continue", "Stop")</f>
        <v>Stop</v>
      </c>
      <c r="AO417" s="110" t="b">
        <f>IF(Audit[[#This Row],[Status - Continue or stop audit]] = "Continue", TRUE, IF(AN416 = "Continue", TRUE, FALSE))</f>
        <v>0</v>
      </c>
      <c r="AP417" s="110"/>
    </row>
    <row r="418" spans="1:42" ht="15" hidden="1" customHeight="1">
      <c r="A418" s="111" t="str">
        <f>'Sampling Data'!W408</f>
        <v/>
      </c>
      <c r="B418" s="112" t="str">
        <f>'Sampling Data'!A408</f>
        <v>CLEVELAND -05-C - ABS</v>
      </c>
      <c r="C418" s="112">
        <f>'Sampling Data'!B408</f>
        <v>2</v>
      </c>
      <c r="D418" s="112">
        <f>'Sampling Data'!C408</f>
        <v>0</v>
      </c>
      <c r="E418" s="113">
        <f>'Sampling Data'!D408</f>
        <v>0</v>
      </c>
      <c r="F418" s="113">
        <f>'Sampling Data'!E408</f>
        <v>0</v>
      </c>
      <c r="G418" s="113">
        <f>'Sampling Data'!F408</f>
        <v>0</v>
      </c>
      <c r="H418" s="113">
        <f>'Sampling Data'!G408</f>
        <v>0</v>
      </c>
      <c r="I418" s="112">
        <f>'Sampling Data'!H408</f>
        <v>0</v>
      </c>
      <c r="J418" s="112">
        <f>'Sampling Data'!I408</f>
        <v>0</v>
      </c>
      <c r="K418" s="112">
        <f>'Sampling Data'!J408</f>
        <v>2</v>
      </c>
      <c r="L418" s="111">
        <f>'Sampling Data'!X408</f>
        <v>0</v>
      </c>
      <c r="M418" s="114"/>
      <c r="N418" s="114"/>
      <c r="O418" s="115"/>
      <c r="P418" s="115"/>
      <c r="Q418" s="116"/>
      <c r="R418" s="116"/>
      <c r="S418" s="111">
        <f>Audit[[#This Row],[Audit Losing Candidate]]-Audit[[#This Row],[Losing Candidate]]</f>
        <v>-2</v>
      </c>
      <c r="T418" s="111">
        <f>Audit[[#This Row],[Audit Winning Candidate]]-Audit[[#This Row],[Winning Candidate]]</f>
        <v>0</v>
      </c>
      <c r="U418" s="111">
        <f>Audit[[#This Row],[Audit Candidate 3]]-Audit[[#This Row],[Candidate 3]]</f>
        <v>0</v>
      </c>
      <c r="V418" s="111">
        <f>Audit[[#This Row],[Audit Candidate 4]]-Audit[[#This Row],[Candidate 4]]</f>
        <v>0</v>
      </c>
      <c r="W418" s="111">
        <f>Audit[[#This Row],[Audit Candidate 5]]-Audit[[#This Row],[Candidate 5]]</f>
        <v>0</v>
      </c>
      <c r="X418" s="111">
        <f>Audit[[#This Row],[Audit Candidate 6]]-Audit[[#This Row],[Candidate 6]]</f>
        <v>0</v>
      </c>
      <c r="Y418" s="111">
        <f>SUMIF(Audit[[#This Row],[Difference Loser]:[Difference Candidate 6]], "&gt;0")</f>
        <v>0</v>
      </c>
      <c r="Z418" s="111">
        <f>SUM(Audit[[#This Row],[Difference Loser]:[Difference Candidate 6]])</f>
        <v>-2</v>
      </c>
      <c r="AA418" s="111">
        <f>IF(Audit[[#This Row],[Times p Drawn - With Replacement]]&gt;0, IF(Audit[[#This Row],[Canceled Differences]]&lt;0, Audit[[#This Row],[Max Differences]]+ABS(Audit[[#This Row],[Canceled Differences]]), Audit[[#This Row],[Max Differences]]), 0)</f>
        <v>0</v>
      </c>
      <c r="AB418" s="111">
        <f>'Sampling Data'!P408</f>
        <v>6.4522373132883833E-5</v>
      </c>
      <c r="AC418" s="111">
        <f>IF(
      SUM(Audit[[#This Row],[Audit Losing Candidate]:[Audit Candidate 6]])
      &lt;&gt;0,
      (Audit[[#This Row],[Winning Candidate]]-Audit[[#This Row],[Losing Candidate]]-(Audit[[#This Row],[Audit Winning Candidate]]-Audit[[#This Row],[Audit Losing Candidate]]))/(Audit[[#Totals],[Winning Candidate]]-Audit[[#Totals],[Losing Candidate]]),
      0
)</f>
        <v>0</v>
      </c>
      <c r="AD4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8" s="111">
        <f>IF(Audit[[#This Row],[Max Relative Error (ep)]] = 0, 0, Audit[[#This Row],[Max Relative Error (ep)]]/Audit[[#This Row],[Error Bound (up) - Max. possible relative overstatement]])</f>
        <v>0</v>
      </c>
      <c r="AJ4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18" s="111">
        <f t="shared" si="6"/>
        <v>1</v>
      </c>
      <c r="AL418" s="111">
        <f>PRODUCT($AK$5:AK418)</f>
        <v>8.962823818226312E-2</v>
      </c>
      <c r="AM418" s="109">
        <f>1 - [K-M P Value]</f>
        <v>0.91037176181773694</v>
      </c>
      <c r="AN418" s="111" t="str">
        <f>IF(Audit[[#This Row],[K-M P Value]]&gt;1-'General Info'!$B$16,"Continue", "Stop")</f>
        <v>Stop</v>
      </c>
      <c r="AO418" s="110" t="b">
        <f>IF(Audit[[#This Row],[Status - Continue or stop audit]] = "Continue", TRUE, IF(AN417 = "Continue", TRUE, FALSE))</f>
        <v>0</v>
      </c>
      <c r="AP418" s="110"/>
    </row>
    <row r="419" spans="1:42" ht="15" hidden="1" customHeight="1">
      <c r="A419" s="111" t="str">
        <f>'Sampling Data'!W409</f>
        <v/>
      </c>
      <c r="B419" s="112" t="str">
        <f>'Sampling Data'!A409</f>
        <v>CLEVELAND -05-D</v>
      </c>
      <c r="C419" s="112">
        <f>'Sampling Data'!B409</f>
        <v>0</v>
      </c>
      <c r="D419" s="112">
        <f>'Sampling Data'!C409</f>
        <v>0</v>
      </c>
      <c r="E419" s="113">
        <f>'Sampling Data'!D409</f>
        <v>0</v>
      </c>
      <c r="F419" s="113">
        <f>'Sampling Data'!E409</f>
        <v>0</v>
      </c>
      <c r="G419" s="113">
        <f>'Sampling Data'!F409</f>
        <v>0</v>
      </c>
      <c r="H419" s="113">
        <f>'Sampling Data'!G409</f>
        <v>0</v>
      </c>
      <c r="I419" s="112">
        <f>'Sampling Data'!H409</f>
        <v>0</v>
      </c>
      <c r="J419" s="112">
        <f>'Sampling Data'!I409</f>
        <v>0</v>
      </c>
      <c r="K419" s="112">
        <f>'Sampling Data'!J409</f>
        <v>0</v>
      </c>
      <c r="L419" s="111">
        <f>'Sampling Data'!X409</f>
        <v>0</v>
      </c>
      <c r="M419" s="114"/>
      <c r="N419" s="114"/>
      <c r="O419" s="115"/>
      <c r="P419" s="115"/>
      <c r="Q419" s="116"/>
      <c r="R419" s="116"/>
      <c r="S419" s="111">
        <f>Audit[[#This Row],[Audit Losing Candidate]]-Audit[[#This Row],[Losing Candidate]]</f>
        <v>0</v>
      </c>
      <c r="T419" s="111">
        <f>Audit[[#This Row],[Audit Winning Candidate]]-Audit[[#This Row],[Winning Candidate]]</f>
        <v>0</v>
      </c>
      <c r="U419" s="111">
        <f>Audit[[#This Row],[Audit Candidate 3]]-Audit[[#This Row],[Candidate 3]]</f>
        <v>0</v>
      </c>
      <c r="V419" s="111">
        <f>Audit[[#This Row],[Audit Candidate 4]]-Audit[[#This Row],[Candidate 4]]</f>
        <v>0</v>
      </c>
      <c r="W419" s="111">
        <f>Audit[[#This Row],[Audit Candidate 5]]-Audit[[#This Row],[Candidate 5]]</f>
        <v>0</v>
      </c>
      <c r="X419" s="111">
        <f>Audit[[#This Row],[Audit Candidate 6]]-Audit[[#This Row],[Candidate 6]]</f>
        <v>0</v>
      </c>
      <c r="Y419" s="111">
        <f>SUMIF(Audit[[#This Row],[Difference Loser]:[Difference Candidate 6]], "&gt;0")</f>
        <v>0</v>
      </c>
      <c r="Z419" s="111">
        <f>SUM(Audit[[#This Row],[Difference Loser]:[Difference Candidate 6]])</f>
        <v>0</v>
      </c>
      <c r="AA419" s="111">
        <f>IF(Audit[[#This Row],[Times p Drawn - With Replacement]]&gt;0, IF(Audit[[#This Row],[Canceled Differences]]&lt;0, Audit[[#This Row],[Max Differences]]+ABS(Audit[[#This Row],[Canceled Differences]]), Audit[[#This Row],[Max Differences]]), 0)</f>
        <v>0</v>
      </c>
      <c r="AB419" s="111">
        <f>'Sampling Data'!P409</f>
        <v>0</v>
      </c>
      <c r="AC419" s="111">
        <f>IF(
      SUM(Audit[[#This Row],[Audit Losing Candidate]:[Audit Candidate 6]])
      &lt;&gt;0,
      (Audit[[#This Row],[Winning Candidate]]-Audit[[#This Row],[Losing Candidate]]-(Audit[[#This Row],[Audit Winning Candidate]]-Audit[[#This Row],[Audit Losing Candidate]]))/(Audit[[#Totals],[Winning Candidate]]-Audit[[#Totals],[Losing Candidate]]),
      0
)</f>
        <v>0</v>
      </c>
      <c r="AD4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9" s="111">
        <f>IF(Audit[[#This Row],[Max Relative Error (ep)]] = 0, 0, Audit[[#This Row],[Max Relative Error (ep)]]/Audit[[#This Row],[Error Bound (up) - Max. possible relative overstatement]])</f>
        <v>0</v>
      </c>
      <c r="AJ4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19" s="111">
        <f t="shared" si="6"/>
        <v>1</v>
      </c>
      <c r="AL419" s="111">
        <f>PRODUCT($AK$5:AK419)</f>
        <v>8.962823818226312E-2</v>
      </c>
      <c r="AM419" s="109">
        <f>1 - [K-M P Value]</f>
        <v>0.91037176181773694</v>
      </c>
      <c r="AN419" s="111" t="str">
        <f>IF(Audit[[#This Row],[K-M P Value]]&gt;1-'General Info'!$B$16,"Continue", "Stop")</f>
        <v>Stop</v>
      </c>
      <c r="AO419" s="110" t="b">
        <f>IF(Audit[[#This Row],[Status - Continue or stop audit]] = "Continue", TRUE, IF(AN418 = "Continue", TRUE, FALSE))</f>
        <v>0</v>
      </c>
      <c r="AP419" s="110"/>
    </row>
    <row r="420" spans="1:42" ht="15" hidden="1" customHeight="1">
      <c r="A420" s="111" t="str">
        <f>'Sampling Data'!W410</f>
        <v/>
      </c>
      <c r="B420" s="112" t="str">
        <f>'Sampling Data'!A410</f>
        <v>CLEVELAND -05-D - ABS</v>
      </c>
      <c r="C420" s="112">
        <f>'Sampling Data'!B410</f>
        <v>0</v>
      </c>
      <c r="D420" s="112">
        <f>'Sampling Data'!C410</f>
        <v>0</v>
      </c>
      <c r="E420" s="113">
        <f>'Sampling Data'!D410</f>
        <v>0</v>
      </c>
      <c r="F420" s="113">
        <f>'Sampling Data'!E410</f>
        <v>0</v>
      </c>
      <c r="G420" s="113">
        <f>'Sampling Data'!F410</f>
        <v>0</v>
      </c>
      <c r="H420" s="113">
        <f>'Sampling Data'!G410</f>
        <v>0</v>
      </c>
      <c r="I420" s="112">
        <f>'Sampling Data'!H410</f>
        <v>0</v>
      </c>
      <c r="J420" s="112">
        <f>'Sampling Data'!I410</f>
        <v>0</v>
      </c>
      <c r="K420" s="112">
        <f>'Sampling Data'!J410</f>
        <v>0</v>
      </c>
      <c r="L420" s="111">
        <f>'Sampling Data'!X410</f>
        <v>0</v>
      </c>
      <c r="M420" s="114"/>
      <c r="N420" s="114"/>
      <c r="O420" s="115"/>
      <c r="P420" s="115"/>
      <c r="Q420" s="116"/>
      <c r="R420" s="116"/>
      <c r="S420" s="111">
        <f>Audit[[#This Row],[Audit Losing Candidate]]-Audit[[#This Row],[Losing Candidate]]</f>
        <v>0</v>
      </c>
      <c r="T420" s="111">
        <f>Audit[[#This Row],[Audit Winning Candidate]]-Audit[[#This Row],[Winning Candidate]]</f>
        <v>0</v>
      </c>
      <c r="U420" s="111">
        <f>Audit[[#This Row],[Audit Candidate 3]]-Audit[[#This Row],[Candidate 3]]</f>
        <v>0</v>
      </c>
      <c r="V420" s="111">
        <f>Audit[[#This Row],[Audit Candidate 4]]-Audit[[#This Row],[Candidate 4]]</f>
        <v>0</v>
      </c>
      <c r="W420" s="111">
        <f>Audit[[#This Row],[Audit Candidate 5]]-Audit[[#This Row],[Candidate 5]]</f>
        <v>0</v>
      </c>
      <c r="X420" s="111">
        <f>Audit[[#This Row],[Audit Candidate 6]]-Audit[[#This Row],[Candidate 6]]</f>
        <v>0</v>
      </c>
      <c r="Y420" s="111">
        <f>SUMIF(Audit[[#This Row],[Difference Loser]:[Difference Candidate 6]], "&gt;0")</f>
        <v>0</v>
      </c>
      <c r="Z420" s="111">
        <f>SUM(Audit[[#This Row],[Difference Loser]:[Difference Candidate 6]])</f>
        <v>0</v>
      </c>
      <c r="AA420" s="111">
        <f>IF(Audit[[#This Row],[Times p Drawn - With Replacement]]&gt;0, IF(Audit[[#This Row],[Canceled Differences]]&lt;0, Audit[[#This Row],[Max Differences]]+ABS(Audit[[#This Row],[Canceled Differences]]), Audit[[#This Row],[Max Differences]]), 0)</f>
        <v>0</v>
      </c>
      <c r="AB420" s="111">
        <f>'Sampling Data'!P410</f>
        <v>0</v>
      </c>
      <c r="AC420" s="111">
        <f>IF(
      SUM(Audit[[#This Row],[Audit Losing Candidate]:[Audit Candidate 6]])
      &lt;&gt;0,
      (Audit[[#This Row],[Winning Candidate]]-Audit[[#This Row],[Losing Candidate]]-(Audit[[#This Row],[Audit Winning Candidate]]-Audit[[#This Row],[Audit Losing Candidate]]))/(Audit[[#Totals],[Winning Candidate]]-Audit[[#Totals],[Losing Candidate]]),
      0
)</f>
        <v>0</v>
      </c>
      <c r="AD4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0" s="111">
        <f>IF(Audit[[#This Row],[Max Relative Error (ep)]] = 0, 0, Audit[[#This Row],[Max Relative Error (ep)]]/Audit[[#This Row],[Error Bound (up) - Max. possible relative overstatement]])</f>
        <v>0</v>
      </c>
      <c r="AJ4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20" s="111">
        <f t="shared" si="6"/>
        <v>1</v>
      </c>
      <c r="AL420" s="111">
        <f>PRODUCT($AK$5:AK420)</f>
        <v>8.962823818226312E-2</v>
      </c>
      <c r="AM420" s="109">
        <f>1 - [K-M P Value]</f>
        <v>0.91037176181773694</v>
      </c>
      <c r="AN420" s="111" t="str">
        <f>IF(Audit[[#This Row],[K-M P Value]]&gt;1-'General Info'!$B$16,"Continue", "Stop")</f>
        <v>Stop</v>
      </c>
      <c r="AO420" s="110" t="b">
        <f>IF(Audit[[#This Row],[Status - Continue or stop audit]] = "Continue", TRUE, IF(AN419 = "Continue", TRUE, FALSE))</f>
        <v>0</v>
      </c>
      <c r="AP420" s="110"/>
    </row>
    <row r="421" spans="1:42" ht="15" hidden="1" customHeight="1">
      <c r="A421" s="111" t="str">
        <f>'Sampling Data'!W411</f>
        <v/>
      </c>
      <c r="B421" s="112" t="str">
        <f>'Sampling Data'!A411</f>
        <v>CLEVELAND -05-E</v>
      </c>
      <c r="C421" s="112">
        <f>'Sampling Data'!B411</f>
        <v>0</v>
      </c>
      <c r="D421" s="112">
        <f>'Sampling Data'!C411</f>
        <v>0</v>
      </c>
      <c r="E421" s="113">
        <f>'Sampling Data'!D411</f>
        <v>0</v>
      </c>
      <c r="F421" s="113">
        <f>'Sampling Data'!E411</f>
        <v>0</v>
      </c>
      <c r="G421" s="113">
        <f>'Sampling Data'!F411</f>
        <v>0</v>
      </c>
      <c r="H421" s="113">
        <f>'Sampling Data'!G411</f>
        <v>0</v>
      </c>
      <c r="I421" s="112">
        <f>'Sampling Data'!H411</f>
        <v>0</v>
      </c>
      <c r="J421" s="112">
        <f>'Sampling Data'!I411</f>
        <v>0</v>
      </c>
      <c r="K421" s="112">
        <f>'Sampling Data'!J411</f>
        <v>0</v>
      </c>
      <c r="L421" s="111">
        <f>'Sampling Data'!X411</f>
        <v>0</v>
      </c>
      <c r="M421" s="114"/>
      <c r="N421" s="114"/>
      <c r="O421" s="115"/>
      <c r="P421" s="115"/>
      <c r="Q421" s="116"/>
      <c r="R421" s="116"/>
      <c r="S421" s="111">
        <f>Audit[[#This Row],[Audit Losing Candidate]]-Audit[[#This Row],[Losing Candidate]]</f>
        <v>0</v>
      </c>
      <c r="T421" s="111">
        <f>Audit[[#This Row],[Audit Winning Candidate]]-Audit[[#This Row],[Winning Candidate]]</f>
        <v>0</v>
      </c>
      <c r="U421" s="111">
        <f>Audit[[#This Row],[Audit Candidate 3]]-Audit[[#This Row],[Candidate 3]]</f>
        <v>0</v>
      </c>
      <c r="V421" s="111">
        <f>Audit[[#This Row],[Audit Candidate 4]]-Audit[[#This Row],[Candidate 4]]</f>
        <v>0</v>
      </c>
      <c r="W421" s="111">
        <f>Audit[[#This Row],[Audit Candidate 5]]-Audit[[#This Row],[Candidate 5]]</f>
        <v>0</v>
      </c>
      <c r="X421" s="111">
        <f>Audit[[#This Row],[Audit Candidate 6]]-Audit[[#This Row],[Candidate 6]]</f>
        <v>0</v>
      </c>
      <c r="Y421" s="111">
        <f>SUMIF(Audit[[#This Row],[Difference Loser]:[Difference Candidate 6]], "&gt;0")</f>
        <v>0</v>
      </c>
      <c r="Z421" s="111">
        <f>SUM(Audit[[#This Row],[Difference Loser]:[Difference Candidate 6]])</f>
        <v>0</v>
      </c>
      <c r="AA421" s="111">
        <f>IF(Audit[[#This Row],[Times p Drawn - With Replacement]]&gt;0, IF(Audit[[#This Row],[Canceled Differences]]&lt;0, Audit[[#This Row],[Max Differences]]+ABS(Audit[[#This Row],[Canceled Differences]]), Audit[[#This Row],[Max Differences]]), 0)</f>
        <v>0</v>
      </c>
      <c r="AB421" s="111">
        <f>'Sampling Data'!P411</f>
        <v>0</v>
      </c>
      <c r="AC421" s="111">
        <f>IF(
      SUM(Audit[[#This Row],[Audit Losing Candidate]:[Audit Candidate 6]])
      &lt;&gt;0,
      (Audit[[#This Row],[Winning Candidate]]-Audit[[#This Row],[Losing Candidate]]-(Audit[[#This Row],[Audit Winning Candidate]]-Audit[[#This Row],[Audit Losing Candidate]]))/(Audit[[#Totals],[Winning Candidate]]-Audit[[#Totals],[Losing Candidate]]),
      0
)</f>
        <v>0</v>
      </c>
      <c r="AD4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1" s="111">
        <f>IF(Audit[[#This Row],[Max Relative Error (ep)]] = 0, 0, Audit[[#This Row],[Max Relative Error (ep)]]/Audit[[#This Row],[Error Bound (up) - Max. possible relative overstatement]])</f>
        <v>0</v>
      </c>
      <c r="AJ4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21" s="111">
        <f t="shared" si="6"/>
        <v>1</v>
      </c>
      <c r="AL421" s="111">
        <f>PRODUCT($AK$5:AK421)</f>
        <v>8.962823818226312E-2</v>
      </c>
      <c r="AM421" s="109">
        <f>1 - [K-M P Value]</f>
        <v>0.91037176181773694</v>
      </c>
      <c r="AN421" s="111" t="str">
        <f>IF(Audit[[#This Row],[K-M P Value]]&gt;1-'General Info'!$B$16,"Continue", "Stop")</f>
        <v>Stop</v>
      </c>
      <c r="AO421" s="110" t="b">
        <f>IF(Audit[[#This Row],[Status - Continue or stop audit]] = "Continue", TRUE, IF(AN420 = "Continue", TRUE, FALSE))</f>
        <v>0</v>
      </c>
      <c r="AP421" s="110"/>
    </row>
    <row r="422" spans="1:42" ht="15" hidden="1" customHeight="1">
      <c r="A422" s="111" t="str">
        <f>'Sampling Data'!W412</f>
        <v/>
      </c>
      <c r="B422" s="112" t="str">
        <f>'Sampling Data'!A412</f>
        <v>CLEVELAND -05-E - ABS</v>
      </c>
      <c r="C422" s="112">
        <f>'Sampling Data'!B412</f>
        <v>0</v>
      </c>
      <c r="D422" s="112">
        <f>'Sampling Data'!C412</f>
        <v>0</v>
      </c>
      <c r="E422" s="113">
        <f>'Sampling Data'!D412</f>
        <v>0</v>
      </c>
      <c r="F422" s="113">
        <f>'Sampling Data'!E412</f>
        <v>0</v>
      </c>
      <c r="G422" s="113">
        <f>'Sampling Data'!F412</f>
        <v>0</v>
      </c>
      <c r="H422" s="113">
        <f>'Sampling Data'!G412</f>
        <v>0</v>
      </c>
      <c r="I422" s="112">
        <f>'Sampling Data'!H412</f>
        <v>0</v>
      </c>
      <c r="J422" s="112">
        <f>'Sampling Data'!I412</f>
        <v>0</v>
      </c>
      <c r="K422" s="112">
        <f>'Sampling Data'!J412</f>
        <v>0</v>
      </c>
      <c r="L422" s="111">
        <f>'Sampling Data'!X412</f>
        <v>0</v>
      </c>
      <c r="M422" s="114"/>
      <c r="N422" s="114"/>
      <c r="O422" s="115"/>
      <c r="P422" s="115"/>
      <c r="Q422" s="116"/>
      <c r="R422" s="116"/>
      <c r="S422" s="111">
        <f>Audit[[#This Row],[Audit Losing Candidate]]-Audit[[#This Row],[Losing Candidate]]</f>
        <v>0</v>
      </c>
      <c r="T422" s="111">
        <f>Audit[[#This Row],[Audit Winning Candidate]]-Audit[[#This Row],[Winning Candidate]]</f>
        <v>0</v>
      </c>
      <c r="U422" s="111">
        <f>Audit[[#This Row],[Audit Candidate 3]]-Audit[[#This Row],[Candidate 3]]</f>
        <v>0</v>
      </c>
      <c r="V422" s="111">
        <f>Audit[[#This Row],[Audit Candidate 4]]-Audit[[#This Row],[Candidate 4]]</f>
        <v>0</v>
      </c>
      <c r="W422" s="111">
        <f>Audit[[#This Row],[Audit Candidate 5]]-Audit[[#This Row],[Candidate 5]]</f>
        <v>0</v>
      </c>
      <c r="X422" s="111">
        <f>Audit[[#This Row],[Audit Candidate 6]]-Audit[[#This Row],[Candidate 6]]</f>
        <v>0</v>
      </c>
      <c r="Y422" s="111">
        <f>SUMIF(Audit[[#This Row],[Difference Loser]:[Difference Candidate 6]], "&gt;0")</f>
        <v>0</v>
      </c>
      <c r="Z422" s="111">
        <f>SUM(Audit[[#This Row],[Difference Loser]:[Difference Candidate 6]])</f>
        <v>0</v>
      </c>
      <c r="AA422" s="111">
        <f>IF(Audit[[#This Row],[Times p Drawn - With Replacement]]&gt;0, IF(Audit[[#This Row],[Canceled Differences]]&lt;0, Audit[[#This Row],[Max Differences]]+ABS(Audit[[#This Row],[Canceled Differences]]), Audit[[#This Row],[Max Differences]]), 0)</f>
        <v>0</v>
      </c>
      <c r="AB422" s="111">
        <f>'Sampling Data'!P412</f>
        <v>0</v>
      </c>
      <c r="AC422" s="111">
        <f>IF(
      SUM(Audit[[#This Row],[Audit Losing Candidate]:[Audit Candidate 6]])
      &lt;&gt;0,
      (Audit[[#This Row],[Winning Candidate]]-Audit[[#This Row],[Losing Candidate]]-(Audit[[#This Row],[Audit Winning Candidate]]-Audit[[#This Row],[Audit Losing Candidate]]))/(Audit[[#Totals],[Winning Candidate]]-Audit[[#Totals],[Losing Candidate]]),
      0
)</f>
        <v>0</v>
      </c>
      <c r="AD4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2" s="111">
        <f>IF(Audit[[#This Row],[Max Relative Error (ep)]] = 0, 0, Audit[[#This Row],[Max Relative Error (ep)]]/Audit[[#This Row],[Error Bound (up) - Max. possible relative overstatement]])</f>
        <v>0</v>
      </c>
      <c r="AJ4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22" s="111">
        <f t="shared" si="6"/>
        <v>1</v>
      </c>
      <c r="AL422" s="111">
        <f>PRODUCT($AK$5:AK422)</f>
        <v>8.962823818226312E-2</v>
      </c>
      <c r="AM422" s="109">
        <f>1 - [K-M P Value]</f>
        <v>0.91037176181773694</v>
      </c>
      <c r="AN422" s="111" t="str">
        <f>IF(Audit[[#This Row],[K-M P Value]]&gt;1-'General Info'!$B$16,"Continue", "Stop")</f>
        <v>Stop</v>
      </c>
      <c r="AO422" s="110" t="b">
        <f>IF(Audit[[#This Row],[Status - Continue or stop audit]] = "Continue", TRUE, IF(AN421 = "Continue", TRUE, FALSE))</f>
        <v>0</v>
      </c>
      <c r="AP422" s="110"/>
    </row>
    <row r="423" spans="1:42" ht="15" hidden="1" customHeight="1">
      <c r="A423" s="111" t="str">
        <f>'Sampling Data'!W413</f>
        <v/>
      </c>
      <c r="B423" s="112" t="str">
        <f>'Sampling Data'!A413</f>
        <v>CLEVELAND -05-F</v>
      </c>
      <c r="C423" s="112">
        <f>'Sampling Data'!B413</f>
        <v>0</v>
      </c>
      <c r="D423" s="112">
        <f>'Sampling Data'!C413</f>
        <v>0</v>
      </c>
      <c r="E423" s="113">
        <f>'Sampling Data'!D413</f>
        <v>0</v>
      </c>
      <c r="F423" s="113">
        <f>'Sampling Data'!E413</f>
        <v>0</v>
      </c>
      <c r="G423" s="113">
        <f>'Sampling Data'!F413</f>
        <v>0</v>
      </c>
      <c r="H423" s="113">
        <f>'Sampling Data'!G413</f>
        <v>0</v>
      </c>
      <c r="I423" s="112">
        <f>'Sampling Data'!H413</f>
        <v>0</v>
      </c>
      <c r="J423" s="112">
        <f>'Sampling Data'!I413</f>
        <v>0</v>
      </c>
      <c r="K423" s="112">
        <f>'Sampling Data'!J413</f>
        <v>0</v>
      </c>
      <c r="L423" s="111">
        <f>'Sampling Data'!X413</f>
        <v>0</v>
      </c>
      <c r="M423" s="114"/>
      <c r="N423" s="114"/>
      <c r="O423" s="115"/>
      <c r="P423" s="115"/>
      <c r="Q423" s="116"/>
      <c r="R423" s="116"/>
      <c r="S423" s="111">
        <f>Audit[[#This Row],[Audit Losing Candidate]]-Audit[[#This Row],[Losing Candidate]]</f>
        <v>0</v>
      </c>
      <c r="T423" s="111">
        <f>Audit[[#This Row],[Audit Winning Candidate]]-Audit[[#This Row],[Winning Candidate]]</f>
        <v>0</v>
      </c>
      <c r="U423" s="111">
        <f>Audit[[#This Row],[Audit Candidate 3]]-Audit[[#This Row],[Candidate 3]]</f>
        <v>0</v>
      </c>
      <c r="V423" s="111">
        <f>Audit[[#This Row],[Audit Candidate 4]]-Audit[[#This Row],[Candidate 4]]</f>
        <v>0</v>
      </c>
      <c r="W423" s="111">
        <f>Audit[[#This Row],[Audit Candidate 5]]-Audit[[#This Row],[Candidate 5]]</f>
        <v>0</v>
      </c>
      <c r="X423" s="111">
        <f>Audit[[#This Row],[Audit Candidate 6]]-Audit[[#This Row],[Candidate 6]]</f>
        <v>0</v>
      </c>
      <c r="Y423" s="111">
        <f>SUMIF(Audit[[#This Row],[Difference Loser]:[Difference Candidate 6]], "&gt;0")</f>
        <v>0</v>
      </c>
      <c r="Z423" s="111">
        <f>SUM(Audit[[#This Row],[Difference Loser]:[Difference Candidate 6]])</f>
        <v>0</v>
      </c>
      <c r="AA423" s="111">
        <f>IF(Audit[[#This Row],[Times p Drawn - With Replacement]]&gt;0, IF(Audit[[#This Row],[Canceled Differences]]&lt;0, Audit[[#This Row],[Max Differences]]+ABS(Audit[[#This Row],[Canceled Differences]]), Audit[[#This Row],[Max Differences]]), 0)</f>
        <v>0</v>
      </c>
      <c r="AB423" s="111">
        <f>'Sampling Data'!P413</f>
        <v>0</v>
      </c>
      <c r="AC423" s="111">
        <f>IF(
      SUM(Audit[[#This Row],[Audit Losing Candidate]:[Audit Candidate 6]])
      &lt;&gt;0,
      (Audit[[#This Row],[Winning Candidate]]-Audit[[#This Row],[Losing Candidate]]-(Audit[[#This Row],[Audit Winning Candidate]]-Audit[[#This Row],[Audit Losing Candidate]]))/(Audit[[#Totals],[Winning Candidate]]-Audit[[#Totals],[Losing Candidate]]),
      0
)</f>
        <v>0</v>
      </c>
      <c r="AD4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3" s="111">
        <f>IF(Audit[[#This Row],[Max Relative Error (ep)]] = 0, 0, Audit[[#This Row],[Max Relative Error (ep)]]/Audit[[#This Row],[Error Bound (up) - Max. possible relative overstatement]])</f>
        <v>0</v>
      </c>
      <c r="AJ4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23" s="111">
        <f t="shared" si="6"/>
        <v>1</v>
      </c>
      <c r="AL423" s="111">
        <f>PRODUCT($AK$5:AK423)</f>
        <v>8.962823818226312E-2</v>
      </c>
      <c r="AM423" s="109">
        <f>1 - [K-M P Value]</f>
        <v>0.91037176181773694</v>
      </c>
      <c r="AN423" s="111" t="str">
        <f>IF(Audit[[#This Row],[K-M P Value]]&gt;1-'General Info'!$B$16,"Continue", "Stop")</f>
        <v>Stop</v>
      </c>
      <c r="AO423" s="110" t="b">
        <f>IF(Audit[[#This Row],[Status - Continue or stop audit]] = "Continue", TRUE, IF(AN422 = "Continue", TRUE, FALSE))</f>
        <v>0</v>
      </c>
      <c r="AP423" s="110"/>
    </row>
    <row r="424" spans="1:42" ht="15" hidden="1" customHeight="1">
      <c r="A424" s="111" t="str">
        <f>'Sampling Data'!W414</f>
        <v/>
      </c>
      <c r="B424" s="112" t="str">
        <f>'Sampling Data'!A414</f>
        <v>CLEVELAND -05-F - ABS</v>
      </c>
      <c r="C424" s="112">
        <f>'Sampling Data'!B414</f>
        <v>0</v>
      </c>
      <c r="D424" s="112">
        <f>'Sampling Data'!C414</f>
        <v>0</v>
      </c>
      <c r="E424" s="113">
        <f>'Sampling Data'!D414</f>
        <v>0</v>
      </c>
      <c r="F424" s="113">
        <f>'Sampling Data'!E414</f>
        <v>0</v>
      </c>
      <c r="G424" s="113">
        <f>'Sampling Data'!F414</f>
        <v>0</v>
      </c>
      <c r="H424" s="113">
        <f>'Sampling Data'!G414</f>
        <v>0</v>
      </c>
      <c r="I424" s="112">
        <f>'Sampling Data'!H414</f>
        <v>0</v>
      </c>
      <c r="J424" s="112">
        <f>'Sampling Data'!I414</f>
        <v>0</v>
      </c>
      <c r="K424" s="112">
        <f>'Sampling Data'!J414</f>
        <v>0</v>
      </c>
      <c r="L424" s="111">
        <f>'Sampling Data'!X414</f>
        <v>0</v>
      </c>
      <c r="M424" s="114"/>
      <c r="N424" s="114"/>
      <c r="O424" s="115"/>
      <c r="P424" s="115"/>
      <c r="Q424" s="116"/>
      <c r="R424" s="116"/>
      <c r="S424" s="111">
        <f>Audit[[#This Row],[Audit Losing Candidate]]-Audit[[#This Row],[Losing Candidate]]</f>
        <v>0</v>
      </c>
      <c r="T424" s="111">
        <f>Audit[[#This Row],[Audit Winning Candidate]]-Audit[[#This Row],[Winning Candidate]]</f>
        <v>0</v>
      </c>
      <c r="U424" s="111">
        <f>Audit[[#This Row],[Audit Candidate 3]]-Audit[[#This Row],[Candidate 3]]</f>
        <v>0</v>
      </c>
      <c r="V424" s="111">
        <f>Audit[[#This Row],[Audit Candidate 4]]-Audit[[#This Row],[Candidate 4]]</f>
        <v>0</v>
      </c>
      <c r="W424" s="111">
        <f>Audit[[#This Row],[Audit Candidate 5]]-Audit[[#This Row],[Candidate 5]]</f>
        <v>0</v>
      </c>
      <c r="X424" s="111">
        <f>Audit[[#This Row],[Audit Candidate 6]]-Audit[[#This Row],[Candidate 6]]</f>
        <v>0</v>
      </c>
      <c r="Y424" s="111">
        <f>SUMIF(Audit[[#This Row],[Difference Loser]:[Difference Candidate 6]], "&gt;0")</f>
        <v>0</v>
      </c>
      <c r="Z424" s="111">
        <f>SUM(Audit[[#This Row],[Difference Loser]:[Difference Candidate 6]])</f>
        <v>0</v>
      </c>
      <c r="AA424" s="111">
        <f>IF(Audit[[#This Row],[Times p Drawn - With Replacement]]&gt;0, IF(Audit[[#This Row],[Canceled Differences]]&lt;0, Audit[[#This Row],[Max Differences]]+ABS(Audit[[#This Row],[Canceled Differences]]), Audit[[#This Row],[Max Differences]]), 0)</f>
        <v>0</v>
      </c>
      <c r="AB424" s="111">
        <f>'Sampling Data'!P414</f>
        <v>0</v>
      </c>
      <c r="AC424" s="111">
        <f>IF(
      SUM(Audit[[#This Row],[Audit Losing Candidate]:[Audit Candidate 6]])
      &lt;&gt;0,
      (Audit[[#This Row],[Winning Candidate]]-Audit[[#This Row],[Losing Candidate]]-(Audit[[#This Row],[Audit Winning Candidate]]-Audit[[#This Row],[Audit Losing Candidate]]))/(Audit[[#Totals],[Winning Candidate]]-Audit[[#Totals],[Losing Candidate]]),
      0
)</f>
        <v>0</v>
      </c>
      <c r="AD4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4" s="111">
        <f>IF(Audit[[#This Row],[Max Relative Error (ep)]] = 0, 0, Audit[[#This Row],[Max Relative Error (ep)]]/Audit[[#This Row],[Error Bound (up) - Max. possible relative overstatement]])</f>
        <v>0</v>
      </c>
      <c r="AJ4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24" s="111">
        <f t="shared" si="6"/>
        <v>1</v>
      </c>
      <c r="AL424" s="111">
        <f>PRODUCT($AK$5:AK424)</f>
        <v>8.962823818226312E-2</v>
      </c>
      <c r="AM424" s="109">
        <f>1 - [K-M P Value]</f>
        <v>0.91037176181773694</v>
      </c>
      <c r="AN424" s="111" t="str">
        <f>IF(Audit[[#This Row],[K-M P Value]]&gt;1-'General Info'!$B$16,"Continue", "Stop")</f>
        <v>Stop</v>
      </c>
      <c r="AO424" s="110" t="b">
        <f>IF(Audit[[#This Row],[Status - Continue or stop audit]] = "Continue", TRUE, IF(AN423 = "Continue", TRUE, FALSE))</f>
        <v>0</v>
      </c>
      <c r="AP424" s="110"/>
    </row>
    <row r="425" spans="1:42" ht="15" hidden="1" customHeight="1">
      <c r="A425" s="111" t="str">
        <f>'Sampling Data'!W415</f>
        <v/>
      </c>
      <c r="B425" s="112" t="str">
        <f>'Sampling Data'!A415</f>
        <v>CLEVELAND -05-G</v>
      </c>
      <c r="C425" s="112">
        <f>'Sampling Data'!B415</f>
        <v>0</v>
      </c>
      <c r="D425" s="112">
        <f>'Sampling Data'!C415</f>
        <v>0</v>
      </c>
      <c r="E425" s="113">
        <f>'Sampling Data'!D415</f>
        <v>0</v>
      </c>
      <c r="F425" s="113">
        <f>'Sampling Data'!E415</f>
        <v>0</v>
      </c>
      <c r="G425" s="113">
        <f>'Sampling Data'!F415</f>
        <v>0</v>
      </c>
      <c r="H425" s="113">
        <f>'Sampling Data'!G415</f>
        <v>0</v>
      </c>
      <c r="I425" s="112">
        <f>'Sampling Data'!H415</f>
        <v>0</v>
      </c>
      <c r="J425" s="112">
        <f>'Sampling Data'!I415</f>
        <v>0</v>
      </c>
      <c r="K425" s="112">
        <f>'Sampling Data'!J415</f>
        <v>0</v>
      </c>
      <c r="L425" s="111">
        <f>'Sampling Data'!X415</f>
        <v>0</v>
      </c>
      <c r="M425" s="114"/>
      <c r="N425" s="114"/>
      <c r="O425" s="115"/>
      <c r="P425" s="115"/>
      <c r="Q425" s="116"/>
      <c r="R425" s="116"/>
      <c r="S425" s="111">
        <f>Audit[[#This Row],[Audit Losing Candidate]]-Audit[[#This Row],[Losing Candidate]]</f>
        <v>0</v>
      </c>
      <c r="T425" s="111">
        <f>Audit[[#This Row],[Audit Winning Candidate]]-Audit[[#This Row],[Winning Candidate]]</f>
        <v>0</v>
      </c>
      <c r="U425" s="111">
        <f>Audit[[#This Row],[Audit Candidate 3]]-Audit[[#This Row],[Candidate 3]]</f>
        <v>0</v>
      </c>
      <c r="V425" s="111">
        <f>Audit[[#This Row],[Audit Candidate 4]]-Audit[[#This Row],[Candidate 4]]</f>
        <v>0</v>
      </c>
      <c r="W425" s="111">
        <f>Audit[[#This Row],[Audit Candidate 5]]-Audit[[#This Row],[Candidate 5]]</f>
        <v>0</v>
      </c>
      <c r="X425" s="111">
        <f>Audit[[#This Row],[Audit Candidate 6]]-Audit[[#This Row],[Candidate 6]]</f>
        <v>0</v>
      </c>
      <c r="Y425" s="111">
        <f>SUMIF(Audit[[#This Row],[Difference Loser]:[Difference Candidate 6]], "&gt;0")</f>
        <v>0</v>
      </c>
      <c r="Z425" s="111">
        <f>SUM(Audit[[#This Row],[Difference Loser]:[Difference Candidate 6]])</f>
        <v>0</v>
      </c>
      <c r="AA425" s="111">
        <f>IF(Audit[[#This Row],[Times p Drawn - With Replacement]]&gt;0, IF(Audit[[#This Row],[Canceled Differences]]&lt;0, Audit[[#This Row],[Max Differences]]+ABS(Audit[[#This Row],[Canceled Differences]]), Audit[[#This Row],[Max Differences]]), 0)</f>
        <v>0</v>
      </c>
      <c r="AB425" s="111">
        <f>'Sampling Data'!P415</f>
        <v>0</v>
      </c>
      <c r="AC425" s="111">
        <f>IF(
      SUM(Audit[[#This Row],[Audit Losing Candidate]:[Audit Candidate 6]])
      &lt;&gt;0,
      (Audit[[#This Row],[Winning Candidate]]-Audit[[#This Row],[Losing Candidate]]-(Audit[[#This Row],[Audit Winning Candidate]]-Audit[[#This Row],[Audit Losing Candidate]]))/(Audit[[#Totals],[Winning Candidate]]-Audit[[#Totals],[Losing Candidate]]),
      0
)</f>
        <v>0</v>
      </c>
      <c r="AD4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5" s="111">
        <f>IF(Audit[[#This Row],[Max Relative Error (ep)]] = 0, 0, Audit[[#This Row],[Max Relative Error (ep)]]/Audit[[#This Row],[Error Bound (up) - Max. possible relative overstatement]])</f>
        <v>0</v>
      </c>
      <c r="AJ4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25" s="111">
        <f t="shared" si="6"/>
        <v>1</v>
      </c>
      <c r="AL425" s="111">
        <f>PRODUCT($AK$5:AK425)</f>
        <v>8.962823818226312E-2</v>
      </c>
      <c r="AM425" s="109">
        <f>1 - [K-M P Value]</f>
        <v>0.91037176181773694</v>
      </c>
      <c r="AN425" s="111" t="str">
        <f>IF(Audit[[#This Row],[K-M P Value]]&gt;1-'General Info'!$B$16,"Continue", "Stop")</f>
        <v>Stop</v>
      </c>
      <c r="AO425" s="110" t="b">
        <f>IF(Audit[[#This Row],[Status - Continue or stop audit]] = "Continue", TRUE, IF(AN424 = "Continue", TRUE, FALSE))</f>
        <v>0</v>
      </c>
      <c r="AP425" s="110"/>
    </row>
    <row r="426" spans="1:42" ht="15" hidden="1" customHeight="1">
      <c r="A426" s="111" t="str">
        <f>'Sampling Data'!W416</f>
        <v/>
      </c>
      <c r="B426" s="112" t="str">
        <f>'Sampling Data'!A416</f>
        <v>CLEVELAND -05-G - ABS</v>
      </c>
      <c r="C426" s="112">
        <f>'Sampling Data'!B416</f>
        <v>0</v>
      </c>
      <c r="D426" s="112">
        <f>'Sampling Data'!C416</f>
        <v>0</v>
      </c>
      <c r="E426" s="113">
        <f>'Sampling Data'!D416</f>
        <v>0</v>
      </c>
      <c r="F426" s="113">
        <f>'Sampling Data'!E416</f>
        <v>0</v>
      </c>
      <c r="G426" s="113">
        <f>'Sampling Data'!F416</f>
        <v>0</v>
      </c>
      <c r="H426" s="113">
        <f>'Sampling Data'!G416</f>
        <v>0</v>
      </c>
      <c r="I426" s="112">
        <f>'Sampling Data'!H416</f>
        <v>0</v>
      </c>
      <c r="J426" s="112">
        <f>'Sampling Data'!I416</f>
        <v>1</v>
      </c>
      <c r="K426" s="112">
        <f>'Sampling Data'!J416</f>
        <v>1</v>
      </c>
      <c r="L426" s="111">
        <f>'Sampling Data'!X416</f>
        <v>0</v>
      </c>
      <c r="M426" s="114"/>
      <c r="N426" s="114"/>
      <c r="O426" s="115"/>
      <c r="P426" s="115"/>
      <c r="Q426" s="116"/>
      <c r="R426" s="116"/>
      <c r="S426" s="111">
        <f>Audit[[#This Row],[Audit Losing Candidate]]-Audit[[#This Row],[Losing Candidate]]</f>
        <v>0</v>
      </c>
      <c r="T426" s="111">
        <f>Audit[[#This Row],[Audit Winning Candidate]]-Audit[[#This Row],[Winning Candidate]]</f>
        <v>0</v>
      </c>
      <c r="U426" s="111">
        <f>Audit[[#This Row],[Audit Candidate 3]]-Audit[[#This Row],[Candidate 3]]</f>
        <v>0</v>
      </c>
      <c r="V426" s="111">
        <f>Audit[[#This Row],[Audit Candidate 4]]-Audit[[#This Row],[Candidate 4]]</f>
        <v>0</v>
      </c>
      <c r="W426" s="111">
        <f>Audit[[#This Row],[Audit Candidate 5]]-Audit[[#This Row],[Candidate 5]]</f>
        <v>0</v>
      </c>
      <c r="X426" s="111">
        <f>Audit[[#This Row],[Audit Candidate 6]]-Audit[[#This Row],[Candidate 6]]</f>
        <v>0</v>
      </c>
      <c r="Y426" s="111">
        <f>SUMIF(Audit[[#This Row],[Difference Loser]:[Difference Candidate 6]], "&gt;0")</f>
        <v>0</v>
      </c>
      <c r="Z426" s="111">
        <f>SUM(Audit[[#This Row],[Difference Loser]:[Difference Candidate 6]])</f>
        <v>0</v>
      </c>
      <c r="AA426" s="111">
        <f>IF(Audit[[#This Row],[Times p Drawn - With Replacement]]&gt;0, IF(Audit[[#This Row],[Canceled Differences]]&lt;0, Audit[[#This Row],[Max Differences]]+ABS(Audit[[#This Row],[Canceled Differences]]), Audit[[#This Row],[Max Differences]]), 0)</f>
        <v>0</v>
      </c>
      <c r="AB426" s="111">
        <f>'Sampling Data'!P416</f>
        <v>6.1244487996080352E-5</v>
      </c>
      <c r="AC426" s="111">
        <f>IF(
      SUM(Audit[[#This Row],[Audit Losing Candidate]:[Audit Candidate 6]])
      &lt;&gt;0,
      (Audit[[#This Row],[Winning Candidate]]-Audit[[#This Row],[Losing Candidate]]-(Audit[[#This Row],[Audit Winning Candidate]]-Audit[[#This Row],[Audit Losing Candidate]]))/(Audit[[#Totals],[Winning Candidate]]-Audit[[#Totals],[Losing Candidate]]),
      0
)</f>
        <v>0</v>
      </c>
      <c r="AD4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6" s="111">
        <f>IF(Audit[[#This Row],[Max Relative Error (ep)]] = 0, 0, Audit[[#This Row],[Max Relative Error (ep)]]/Audit[[#This Row],[Error Bound (up) - Max. possible relative overstatement]])</f>
        <v>0</v>
      </c>
      <c r="AJ4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26" s="111">
        <f t="shared" si="6"/>
        <v>1</v>
      </c>
      <c r="AL426" s="111">
        <f>PRODUCT($AK$5:AK426)</f>
        <v>8.962823818226312E-2</v>
      </c>
      <c r="AM426" s="109">
        <f>1 - [K-M P Value]</f>
        <v>0.91037176181773694</v>
      </c>
      <c r="AN426" s="111" t="str">
        <f>IF(Audit[[#This Row],[K-M P Value]]&gt;1-'General Info'!$B$16,"Continue", "Stop")</f>
        <v>Stop</v>
      </c>
      <c r="AO426" s="110" t="b">
        <f>IF(Audit[[#This Row],[Status - Continue or stop audit]] = "Continue", TRUE, IF(AN425 = "Continue", TRUE, FALSE))</f>
        <v>0</v>
      </c>
      <c r="AP426" s="110"/>
    </row>
    <row r="427" spans="1:42" ht="15" hidden="1" customHeight="1">
      <c r="A427" s="111" t="str">
        <f>'Sampling Data'!W417</f>
        <v/>
      </c>
      <c r="B427" s="112" t="str">
        <f>'Sampling Data'!A417</f>
        <v>CLEVELAND -05-H</v>
      </c>
      <c r="C427" s="112">
        <f>'Sampling Data'!B417</f>
        <v>1</v>
      </c>
      <c r="D427" s="112">
        <f>'Sampling Data'!C417</f>
        <v>0</v>
      </c>
      <c r="E427" s="113">
        <f>'Sampling Data'!D417</f>
        <v>0</v>
      </c>
      <c r="F427" s="113">
        <f>'Sampling Data'!E417</f>
        <v>0</v>
      </c>
      <c r="G427" s="113">
        <f>'Sampling Data'!F417</f>
        <v>0</v>
      </c>
      <c r="H427" s="113">
        <f>'Sampling Data'!G417</f>
        <v>0</v>
      </c>
      <c r="I427" s="112">
        <f>'Sampling Data'!H417</f>
        <v>0</v>
      </c>
      <c r="J427" s="112">
        <f>'Sampling Data'!I417</f>
        <v>0</v>
      </c>
      <c r="K427" s="112">
        <f>'Sampling Data'!J417</f>
        <v>1</v>
      </c>
      <c r="L427" s="111">
        <f>'Sampling Data'!X417</f>
        <v>0</v>
      </c>
      <c r="M427" s="114"/>
      <c r="N427" s="114"/>
      <c r="O427" s="115"/>
      <c r="P427" s="115"/>
      <c r="Q427" s="116"/>
      <c r="R427" s="116"/>
      <c r="S427" s="111">
        <f>Audit[[#This Row],[Audit Losing Candidate]]-Audit[[#This Row],[Losing Candidate]]</f>
        <v>-1</v>
      </c>
      <c r="T427" s="111">
        <f>Audit[[#This Row],[Audit Winning Candidate]]-Audit[[#This Row],[Winning Candidate]]</f>
        <v>0</v>
      </c>
      <c r="U427" s="111">
        <f>Audit[[#This Row],[Audit Candidate 3]]-Audit[[#This Row],[Candidate 3]]</f>
        <v>0</v>
      </c>
      <c r="V427" s="111">
        <f>Audit[[#This Row],[Audit Candidate 4]]-Audit[[#This Row],[Candidate 4]]</f>
        <v>0</v>
      </c>
      <c r="W427" s="111">
        <f>Audit[[#This Row],[Audit Candidate 5]]-Audit[[#This Row],[Candidate 5]]</f>
        <v>0</v>
      </c>
      <c r="X427" s="111">
        <f>Audit[[#This Row],[Audit Candidate 6]]-Audit[[#This Row],[Candidate 6]]</f>
        <v>0</v>
      </c>
      <c r="Y427" s="111">
        <f>SUMIF(Audit[[#This Row],[Difference Loser]:[Difference Candidate 6]], "&gt;0")</f>
        <v>0</v>
      </c>
      <c r="Z427" s="111">
        <f>SUM(Audit[[#This Row],[Difference Loser]:[Difference Candidate 6]])</f>
        <v>-1</v>
      </c>
      <c r="AA427" s="111">
        <f>IF(Audit[[#This Row],[Times p Drawn - With Replacement]]&gt;0, IF(Audit[[#This Row],[Canceled Differences]]&lt;0, Audit[[#This Row],[Max Differences]]+ABS(Audit[[#This Row],[Canceled Differences]]), Audit[[#This Row],[Max Differences]]), 0)</f>
        <v>0</v>
      </c>
      <c r="AB427" s="111">
        <f>'Sampling Data'!P417</f>
        <v>3.2261186566441917E-5</v>
      </c>
      <c r="AC427" s="111">
        <f>IF(
      SUM(Audit[[#This Row],[Audit Losing Candidate]:[Audit Candidate 6]])
      &lt;&gt;0,
      (Audit[[#This Row],[Winning Candidate]]-Audit[[#This Row],[Losing Candidate]]-(Audit[[#This Row],[Audit Winning Candidate]]-Audit[[#This Row],[Audit Losing Candidate]]))/(Audit[[#Totals],[Winning Candidate]]-Audit[[#Totals],[Losing Candidate]]),
      0
)</f>
        <v>0</v>
      </c>
      <c r="AD4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7" s="111">
        <f>IF(Audit[[#This Row],[Max Relative Error (ep)]] = 0, 0, Audit[[#This Row],[Max Relative Error (ep)]]/Audit[[#This Row],[Error Bound (up) - Max. possible relative overstatement]])</f>
        <v>0</v>
      </c>
      <c r="AJ4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27" s="111">
        <f t="shared" si="6"/>
        <v>1</v>
      </c>
      <c r="AL427" s="111">
        <f>PRODUCT($AK$5:AK427)</f>
        <v>8.962823818226312E-2</v>
      </c>
      <c r="AM427" s="109">
        <f>1 - [K-M P Value]</f>
        <v>0.91037176181773694</v>
      </c>
      <c r="AN427" s="111" t="str">
        <f>IF(Audit[[#This Row],[K-M P Value]]&gt;1-'General Info'!$B$16,"Continue", "Stop")</f>
        <v>Stop</v>
      </c>
      <c r="AO427" s="110" t="b">
        <f>IF(Audit[[#This Row],[Status - Continue or stop audit]] = "Continue", TRUE, IF(AN426 = "Continue", TRUE, FALSE))</f>
        <v>0</v>
      </c>
      <c r="AP427" s="110"/>
    </row>
    <row r="428" spans="1:42" ht="15" hidden="1" customHeight="1">
      <c r="A428" s="111" t="str">
        <f>'Sampling Data'!W418</f>
        <v/>
      </c>
      <c r="B428" s="112" t="str">
        <f>'Sampling Data'!A418</f>
        <v>CLEVELAND -05-H - ABS</v>
      </c>
      <c r="C428" s="112">
        <f>'Sampling Data'!B418</f>
        <v>0</v>
      </c>
      <c r="D428" s="112">
        <f>'Sampling Data'!C418</f>
        <v>0</v>
      </c>
      <c r="E428" s="113">
        <f>'Sampling Data'!D418</f>
        <v>0</v>
      </c>
      <c r="F428" s="113">
        <f>'Sampling Data'!E418</f>
        <v>1</v>
      </c>
      <c r="G428" s="113">
        <f>'Sampling Data'!F418</f>
        <v>2</v>
      </c>
      <c r="H428" s="113">
        <f>'Sampling Data'!G418</f>
        <v>0</v>
      </c>
      <c r="I428" s="112">
        <f>'Sampling Data'!H418</f>
        <v>0</v>
      </c>
      <c r="J428" s="112">
        <f>'Sampling Data'!I418</f>
        <v>0</v>
      </c>
      <c r="K428" s="112">
        <f>'Sampling Data'!J418</f>
        <v>3</v>
      </c>
      <c r="L428" s="111">
        <f>'Sampling Data'!X418</f>
        <v>0</v>
      </c>
      <c r="M428" s="114"/>
      <c r="N428" s="114"/>
      <c r="O428" s="115"/>
      <c r="P428" s="115"/>
      <c r="Q428" s="116"/>
      <c r="R428" s="116"/>
      <c r="S428" s="111">
        <f>Audit[[#This Row],[Audit Losing Candidate]]-Audit[[#This Row],[Losing Candidate]]</f>
        <v>0</v>
      </c>
      <c r="T428" s="111">
        <f>Audit[[#This Row],[Audit Winning Candidate]]-Audit[[#This Row],[Winning Candidate]]</f>
        <v>0</v>
      </c>
      <c r="U428" s="111">
        <f>Audit[[#This Row],[Audit Candidate 3]]-Audit[[#This Row],[Candidate 3]]</f>
        <v>0</v>
      </c>
      <c r="V428" s="111">
        <f>Audit[[#This Row],[Audit Candidate 4]]-Audit[[#This Row],[Candidate 4]]</f>
        <v>-1</v>
      </c>
      <c r="W428" s="111">
        <f>Audit[[#This Row],[Audit Candidate 5]]-Audit[[#This Row],[Candidate 5]]</f>
        <v>-2</v>
      </c>
      <c r="X428" s="111">
        <f>Audit[[#This Row],[Audit Candidate 6]]-Audit[[#This Row],[Candidate 6]]</f>
        <v>0</v>
      </c>
      <c r="Y428" s="111">
        <f>SUMIF(Audit[[#This Row],[Difference Loser]:[Difference Candidate 6]], "&gt;0")</f>
        <v>0</v>
      </c>
      <c r="Z428" s="111">
        <f>SUM(Audit[[#This Row],[Difference Loser]:[Difference Candidate 6]])</f>
        <v>-3</v>
      </c>
      <c r="AA428" s="111">
        <f>IF(Audit[[#This Row],[Times p Drawn - With Replacement]]&gt;0, IF(Audit[[#This Row],[Canceled Differences]]&lt;0, Audit[[#This Row],[Max Differences]]+ABS(Audit[[#This Row],[Canceled Differences]]), Audit[[#This Row],[Max Differences]]), 0)</f>
        <v>0</v>
      </c>
      <c r="AB428" s="111">
        <f>'Sampling Data'!P418</f>
        <v>1.8373346398824106E-4</v>
      </c>
      <c r="AC428" s="111">
        <f>IF(
      SUM(Audit[[#This Row],[Audit Losing Candidate]:[Audit Candidate 6]])
      &lt;&gt;0,
      (Audit[[#This Row],[Winning Candidate]]-Audit[[#This Row],[Losing Candidate]]-(Audit[[#This Row],[Audit Winning Candidate]]-Audit[[#This Row],[Audit Losing Candidate]]))/(Audit[[#Totals],[Winning Candidate]]-Audit[[#Totals],[Losing Candidate]]),
      0
)</f>
        <v>0</v>
      </c>
      <c r="AD4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8" s="111">
        <f>IF(Audit[[#This Row],[Max Relative Error (ep)]] = 0, 0, Audit[[#This Row],[Max Relative Error (ep)]]/Audit[[#This Row],[Error Bound (up) - Max. possible relative overstatement]])</f>
        <v>0</v>
      </c>
      <c r="AJ4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28" s="111">
        <f t="shared" si="6"/>
        <v>1</v>
      </c>
      <c r="AL428" s="111">
        <f>PRODUCT($AK$5:AK428)</f>
        <v>8.962823818226312E-2</v>
      </c>
      <c r="AM428" s="109">
        <f>1 - [K-M P Value]</f>
        <v>0.91037176181773694</v>
      </c>
      <c r="AN428" s="111" t="str">
        <f>IF(Audit[[#This Row],[K-M P Value]]&gt;1-'General Info'!$B$16,"Continue", "Stop")</f>
        <v>Stop</v>
      </c>
      <c r="AO428" s="110" t="b">
        <f>IF(Audit[[#This Row],[Status - Continue or stop audit]] = "Continue", TRUE, IF(AN427 = "Continue", TRUE, FALSE))</f>
        <v>0</v>
      </c>
      <c r="AP428" s="110"/>
    </row>
    <row r="429" spans="1:42" ht="15" hidden="1" customHeight="1">
      <c r="A429" s="111" t="str">
        <f>'Sampling Data'!W419</f>
        <v/>
      </c>
      <c r="B429" s="112" t="str">
        <f>'Sampling Data'!A419</f>
        <v>CLEVELAND -05-I</v>
      </c>
      <c r="C429" s="112">
        <f>'Sampling Data'!B419</f>
        <v>1</v>
      </c>
      <c r="D429" s="112">
        <f>'Sampling Data'!C419</f>
        <v>1</v>
      </c>
      <c r="E429" s="113">
        <f>'Sampling Data'!D419</f>
        <v>0</v>
      </c>
      <c r="F429" s="113">
        <f>'Sampling Data'!E419</f>
        <v>2</v>
      </c>
      <c r="G429" s="113">
        <f>'Sampling Data'!F419</f>
        <v>0</v>
      </c>
      <c r="H429" s="113">
        <f>'Sampling Data'!G419</f>
        <v>0</v>
      </c>
      <c r="I429" s="112">
        <f>'Sampling Data'!H419</f>
        <v>0</v>
      </c>
      <c r="J429" s="112">
        <f>'Sampling Data'!I419</f>
        <v>0</v>
      </c>
      <c r="K429" s="112">
        <f>'Sampling Data'!J419</f>
        <v>4</v>
      </c>
      <c r="L429" s="111">
        <f>'Sampling Data'!X419</f>
        <v>0</v>
      </c>
      <c r="M429" s="114"/>
      <c r="N429" s="114"/>
      <c r="O429" s="115"/>
      <c r="P429" s="115"/>
      <c r="Q429" s="116"/>
      <c r="R429" s="116"/>
      <c r="S429" s="111">
        <f>Audit[[#This Row],[Audit Losing Candidate]]-Audit[[#This Row],[Losing Candidate]]</f>
        <v>-1</v>
      </c>
      <c r="T429" s="111">
        <f>Audit[[#This Row],[Audit Winning Candidate]]-Audit[[#This Row],[Winning Candidate]]</f>
        <v>-1</v>
      </c>
      <c r="U429" s="111">
        <f>Audit[[#This Row],[Audit Candidate 3]]-Audit[[#This Row],[Candidate 3]]</f>
        <v>0</v>
      </c>
      <c r="V429" s="111">
        <f>Audit[[#This Row],[Audit Candidate 4]]-Audit[[#This Row],[Candidate 4]]</f>
        <v>-2</v>
      </c>
      <c r="W429" s="111">
        <f>Audit[[#This Row],[Audit Candidate 5]]-Audit[[#This Row],[Candidate 5]]</f>
        <v>0</v>
      </c>
      <c r="X429" s="111">
        <f>Audit[[#This Row],[Audit Candidate 6]]-Audit[[#This Row],[Candidate 6]]</f>
        <v>0</v>
      </c>
      <c r="Y429" s="111">
        <f>SUMIF(Audit[[#This Row],[Difference Loser]:[Difference Candidate 6]], "&gt;0")</f>
        <v>0</v>
      </c>
      <c r="Z429" s="111">
        <f>SUM(Audit[[#This Row],[Difference Loser]:[Difference Candidate 6]])</f>
        <v>-4</v>
      </c>
      <c r="AA429" s="111">
        <f>IF(Audit[[#This Row],[Times p Drawn - With Replacement]]&gt;0, IF(Audit[[#This Row],[Canceled Differences]]&lt;0, Audit[[#This Row],[Max Differences]]+ABS(Audit[[#This Row],[Canceled Differences]]), Audit[[#This Row],[Max Differences]]), 0)</f>
        <v>0</v>
      </c>
      <c r="AB429" s="111">
        <f>'Sampling Data'!P419</f>
        <v>2.4497795198432141E-4</v>
      </c>
      <c r="AC429" s="111">
        <f>IF(
      SUM(Audit[[#This Row],[Audit Losing Candidate]:[Audit Candidate 6]])
      &lt;&gt;0,
      (Audit[[#This Row],[Winning Candidate]]-Audit[[#This Row],[Losing Candidate]]-(Audit[[#This Row],[Audit Winning Candidate]]-Audit[[#This Row],[Audit Losing Candidate]]))/(Audit[[#Totals],[Winning Candidate]]-Audit[[#Totals],[Losing Candidate]]),
      0
)</f>
        <v>0</v>
      </c>
      <c r="AD4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9" s="111">
        <f>IF(Audit[[#This Row],[Max Relative Error (ep)]] = 0, 0, Audit[[#This Row],[Max Relative Error (ep)]]/Audit[[#This Row],[Error Bound (up) - Max. possible relative overstatement]])</f>
        <v>0</v>
      </c>
      <c r="AJ4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29" s="111">
        <f t="shared" si="6"/>
        <v>1</v>
      </c>
      <c r="AL429" s="111">
        <f>PRODUCT($AK$5:AK429)</f>
        <v>8.962823818226312E-2</v>
      </c>
      <c r="AM429" s="109">
        <f>1 - [K-M P Value]</f>
        <v>0.91037176181773694</v>
      </c>
      <c r="AN429" s="111" t="str">
        <f>IF(Audit[[#This Row],[K-M P Value]]&gt;1-'General Info'!$B$16,"Continue", "Stop")</f>
        <v>Stop</v>
      </c>
      <c r="AO429" s="110" t="b">
        <f>IF(Audit[[#This Row],[Status - Continue or stop audit]] = "Continue", TRUE, IF(AN428 = "Continue", TRUE, FALSE))</f>
        <v>0</v>
      </c>
      <c r="AP429" s="110"/>
    </row>
    <row r="430" spans="1:42" ht="15" hidden="1" customHeight="1">
      <c r="A430" s="111" t="str">
        <f>'Sampling Data'!W420</f>
        <v/>
      </c>
      <c r="B430" s="112" t="str">
        <f>'Sampling Data'!A420</f>
        <v>CLEVELAND -05-I - ABS</v>
      </c>
      <c r="C430" s="112">
        <f>'Sampling Data'!B420</f>
        <v>0</v>
      </c>
      <c r="D430" s="112">
        <f>'Sampling Data'!C420</f>
        <v>1</v>
      </c>
      <c r="E430" s="113">
        <f>'Sampling Data'!D420</f>
        <v>0</v>
      </c>
      <c r="F430" s="113">
        <f>'Sampling Data'!E420</f>
        <v>0</v>
      </c>
      <c r="G430" s="113">
        <f>'Sampling Data'!F420</f>
        <v>0</v>
      </c>
      <c r="H430" s="113">
        <f>'Sampling Data'!G420</f>
        <v>0</v>
      </c>
      <c r="I430" s="112">
        <f>'Sampling Data'!H420</f>
        <v>0</v>
      </c>
      <c r="J430" s="112">
        <f>'Sampling Data'!I420</f>
        <v>0</v>
      </c>
      <c r="K430" s="112">
        <f>'Sampling Data'!J420</f>
        <v>1</v>
      </c>
      <c r="L430" s="111">
        <f>'Sampling Data'!X420</f>
        <v>0</v>
      </c>
      <c r="M430" s="114"/>
      <c r="N430" s="114"/>
      <c r="O430" s="115"/>
      <c r="P430" s="115"/>
      <c r="Q430" s="116"/>
      <c r="R430" s="116"/>
      <c r="S430" s="111">
        <f>Audit[[#This Row],[Audit Losing Candidate]]-Audit[[#This Row],[Losing Candidate]]</f>
        <v>0</v>
      </c>
      <c r="T430" s="111">
        <f>Audit[[#This Row],[Audit Winning Candidate]]-Audit[[#This Row],[Winning Candidate]]</f>
        <v>-1</v>
      </c>
      <c r="U430" s="111">
        <f>Audit[[#This Row],[Audit Candidate 3]]-Audit[[#This Row],[Candidate 3]]</f>
        <v>0</v>
      </c>
      <c r="V430" s="111">
        <f>Audit[[#This Row],[Audit Candidate 4]]-Audit[[#This Row],[Candidate 4]]</f>
        <v>0</v>
      </c>
      <c r="W430" s="111">
        <f>Audit[[#This Row],[Audit Candidate 5]]-Audit[[#This Row],[Candidate 5]]</f>
        <v>0</v>
      </c>
      <c r="X430" s="111">
        <f>Audit[[#This Row],[Audit Candidate 6]]-Audit[[#This Row],[Candidate 6]]</f>
        <v>0</v>
      </c>
      <c r="Y430" s="111">
        <f>SUMIF(Audit[[#This Row],[Difference Loser]:[Difference Candidate 6]], "&gt;0")</f>
        <v>0</v>
      </c>
      <c r="Z430" s="111">
        <f>SUM(Audit[[#This Row],[Difference Loser]:[Difference Candidate 6]])</f>
        <v>-1</v>
      </c>
      <c r="AA430" s="111">
        <f>IF(Audit[[#This Row],[Times p Drawn - With Replacement]]&gt;0, IF(Audit[[#This Row],[Canceled Differences]]&lt;0, Audit[[#This Row],[Max Differences]]+ABS(Audit[[#This Row],[Canceled Differences]]), Audit[[#This Row],[Max Differences]]), 0)</f>
        <v>0</v>
      </c>
      <c r="AB430" s="111">
        <f>'Sampling Data'!P420</f>
        <v>1.224889759921607E-4</v>
      </c>
      <c r="AC430" s="111">
        <f>IF(
      SUM(Audit[[#This Row],[Audit Losing Candidate]:[Audit Candidate 6]])
      &lt;&gt;0,
      (Audit[[#This Row],[Winning Candidate]]-Audit[[#This Row],[Losing Candidate]]-(Audit[[#This Row],[Audit Winning Candidate]]-Audit[[#This Row],[Audit Losing Candidate]]))/(Audit[[#Totals],[Winning Candidate]]-Audit[[#Totals],[Losing Candidate]]),
      0
)</f>
        <v>0</v>
      </c>
      <c r="AD4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0" s="111">
        <f>IF(Audit[[#This Row],[Max Relative Error (ep)]] = 0, 0, Audit[[#This Row],[Max Relative Error (ep)]]/Audit[[#This Row],[Error Bound (up) - Max. possible relative overstatement]])</f>
        <v>0</v>
      </c>
      <c r="AJ4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30" s="111">
        <f t="shared" si="6"/>
        <v>1</v>
      </c>
      <c r="AL430" s="111">
        <f>PRODUCT($AK$5:AK430)</f>
        <v>8.962823818226312E-2</v>
      </c>
      <c r="AM430" s="109">
        <f>1 - [K-M P Value]</f>
        <v>0.91037176181773694</v>
      </c>
      <c r="AN430" s="111" t="str">
        <f>IF(Audit[[#This Row],[K-M P Value]]&gt;1-'General Info'!$B$16,"Continue", "Stop")</f>
        <v>Stop</v>
      </c>
      <c r="AO430" s="110" t="b">
        <f>IF(Audit[[#This Row],[Status - Continue or stop audit]] = "Continue", TRUE, IF(AN429 = "Continue", TRUE, FALSE))</f>
        <v>0</v>
      </c>
      <c r="AP430" s="110"/>
    </row>
    <row r="431" spans="1:42" ht="15" hidden="1" customHeight="1">
      <c r="A431" s="111" t="str">
        <f>'Sampling Data'!W421</f>
        <v/>
      </c>
      <c r="B431" s="112" t="str">
        <f>'Sampling Data'!A421</f>
        <v>CLEVELAND -05-J</v>
      </c>
      <c r="C431" s="112">
        <f>'Sampling Data'!B421</f>
        <v>1</v>
      </c>
      <c r="D431" s="112">
        <f>'Sampling Data'!C421</f>
        <v>0</v>
      </c>
      <c r="E431" s="113">
        <f>'Sampling Data'!D421</f>
        <v>0</v>
      </c>
      <c r="F431" s="113">
        <f>'Sampling Data'!E421</f>
        <v>0</v>
      </c>
      <c r="G431" s="113">
        <f>'Sampling Data'!F421</f>
        <v>0</v>
      </c>
      <c r="H431" s="113">
        <f>'Sampling Data'!G421</f>
        <v>0</v>
      </c>
      <c r="I431" s="112">
        <f>'Sampling Data'!H421</f>
        <v>0</v>
      </c>
      <c r="J431" s="112">
        <f>'Sampling Data'!I421</f>
        <v>0</v>
      </c>
      <c r="K431" s="112">
        <f>'Sampling Data'!J421</f>
        <v>1</v>
      </c>
      <c r="L431" s="111">
        <f>'Sampling Data'!X421</f>
        <v>0</v>
      </c>
      <c r="M431" s="114"/>
      <c r="N431" s="114"/>
      <c r="O431" s="115"/>
      <c r="P431" s="115"/>
      <c r="Q431" s="116"/>
      <c r="R431" s="116"/>
      <c r="S431" s="111">
        <f>Audit[[#This Row],[Audit Losing Candidate]]-Audit[[#This Row],[Losing Candidate]]</f>
        <v>-1</v>
      </c>
      <c r="T431" s="111">
        <f>Audit[[#This Row],[Audit Winning Candidate]]-Audit[[#This Row],[Winning Candidate]]</f>
        <v>0</v>
      </c>
      <c r="U431" s="111">
        <f>Audit[[#This Row],[Audit Candidate 3]]-Audit[[#This Row],[Candidate 3]]</f>
        <v>0</v>
      </c>
      <c r="V431" s="111">
        <f>Audit[[#This Row],[Audit Candidate 4]]-Audit[[#This Row],[Candidate 4]]</f>
        <v>0</v>
      </c>
      <c r="W431" s="111">
        <f>Audit[[#This Row],[Audit Candidate 5]]-Audit[[#This Row],[Candidate 5]]</f>
        <v>0</v>
      </c>
      <c r="X431" s="111">
        <f>Audit[[#This Row],[Audit Candidate 6]]-Audit[[#This Row],[Candidate 6]]</f>
        <v>0</v>
      </c>
      <c r="Y431" s="111">
        <f>SUMIF(Audit[[#This Row],[Difference Loser]:[Difference Candidate 6]], "&gt;0")</f>
        <v>0</v>
      </c>
      <c r="Z431" s="111">
        <f>SUM(Audit[[#This Row],[Difference Loser]:[Difference Candidate 6]])</f>
        <v>-1</v>
      </c>
      <c r="AA431" s="111">
        <f>IF(Audit[[#This Row],[Times p Drawn - With Replacement]]&gt;0, IF(Audit[[#This Row],[Canceled Differences]]&lt;0, Audit[[#This Row],[Max Differences]]+ABS(Audit[[#This Row],[Canceled Differences]]), Audit[[#This Row],[Max Differences]]), 0)</f>
        <v>0</v>
      </c>
      <c r="AB431" s="111">
        <f>'Sampling Data'!P421</f>
        <v>3.2261186566441917E-5</v>
      </c>
      <c r="AC431" s="111">
        <f>IF(
      SUM(Audit[[#This Row],[Audit Losing Candidate]:[Audit Candidate 6]])
      &lt;&gt;0,
      (Audit[[#This Row],[Winning Candidate]]-Audit[[#This Row],[Losing Candidate]]-(Audit[[#This Row],[Audit Winning Candidate]]-Audit[[#This Row],[Audit Losing Candidate]]))/(Audit[[#Totals],[Winning Candidate]]-Audit[[#Totals],[Losing Candidate]]),
      0
)</f>
        <v>0</v>
      </c>
      <c r="AD4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1" s="111">
        <f>IF(Audit[[#This Row],[Max Relative Error (ep)]] = 0, 0, Audit[[#This Row],[Max Relative Error (ep)]]/Audit[[#This Row],[Error Bound (up) - Max. possible relative overstatement]])</f>
        <v>0</v>
      </c>
      <c r="AJ4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31" s="111">
        <f t="shared" si="6"/>
        <v>1</v>
      </c>
      <c r="AL431" s="111">
        <f>PRODUCT($AK$5:AK431)</f>
        <v>8.962823818226312E-2</v>
      </c>
      <c r="AM431" s="109">
        <f>1 - [K-M P Value]</f>
        <v>0.91037176181773694</v>
      </c>
      <c r="AN431" s="111" t="str">
        <f>IF(Audit[[#This Row],[K-M P Value]]&gt;1-'General Info'!$B$16,"Continue", "Stop")</f>
        <v>Stop</v>
      </c>
      <c r="AO431" s="110" t="b">
        <f>IF(Audit[[#This Row],[Status - Continue or stop audit]] = "Continue", TRUE, IF(AN430 = "Continue", TRUE, FALSE))</f>
        <v>0</v>
      </c>
      <c r="AP431" s="110"/>
    </row>
    <row r="432" spans="1:42" ht="15" hidden="1" customHeight="1">
      <c r="A432" s="111" t="str">
        <f>'Sampling Data'!W422</f>
        <v/>
      </c>
      <c r="B432" s="112" t="str">
        <f>'Sampling Data'!A422</f>
        <v>CLEVELAND -05-J - ABS</v>
      </c>
      <c r="C432" s="112">
        <f>'Sampling Data'!B422</f>
        <v>1</v>
      </c>
      <c r="D432" s="112">
        <f>'Sampling Data'!C422</f>
        <v>0</v>
      </c>
      <c r="E432" s="113">
        <f>'Sampling Data'!D422</f>
        <v>1</v>
      </c>
      <c r="F432" s="113">
        <f>'Sampling Data'!E422</f>
        <v>0</v>
      </c>
      <c r="G432" s="113">
        <f>'Sampling Data'!F422</f>
        <v>0</v>
      </c>
      <c r="H432" s="113">
        <f>'Sampling Data'!G422</f>
        <v>0</v>
      </c>
      <c r="I432" s="112">
        <f>'Sampling Data'!H422</f>
        <v>0</v>
      </c>
      <c r="J432" s="112">
        <f>'Sampling Data'!I422</f>
        <v>0</v>
      </c>
      <c r="K432" s="112">
        <f>'Sampling Data'!J422</f>
        <v>2</v>
      </c>
      <c r="L432" s="111">
        <f>'Sampling Data'!X422</f>
        <v>0</v>
      </c>
      <c r="M432" s="114"/>
      <c r="N432" s="114"/>
      <c r="O432" s="115"/>
      <c r="P432" s="115"/>
      <c r="Q432" s="116"/>
      <c r="R432" s="116"/>
      <c r="S432" s="111">
        <f>Audit[[#This Row],[Audit Losing Candidate]]-Audit[[#This Row],[Losing Candidate]]</f>
        <v>-1</v>
      </c>
      <c r="T432" s="111">
        <f>Audit[[#This Row],[Audit Winning Candidate]]-Audit[[#This Row],[Winning Candidate]]</f>
        <v>0</v>
      </c>
      <c r="U432" s="111">
        <f>Audit[[#This Row],[Audit Candidate 3]]-Audit[[#This Row],[Candidate 3]]</f>
        <v>-1</v>
      </c>
      <c r="V432" s="111">
        <f>Audit[[#This Row],[Audit Candidate 4]]-Audit[[#This Row],[Candidate 4]]</f>
        <v>0</v>
      </c>
      <c r="W432" s="111">
        <f>Audit[[#This Row],[Audit Candidate 5]]-Audit[[#This Row],[Candidate 5]]</f>
        <v>0</v>
      </c>
      <c r="X432" s="111">
        <f>Audit[[#This Row],[Audit Candidate 6]]-Audit[[#This Row],[Candidate 6]]</f>
        <v>0</v>
      </c>
      <c r="Y432" s="111">
        <f>SUMIF(Audit[[#This Row],[Difference Loser]:[Difference Candidate 6]], "&gt;0")</f>
        <v>0</v>
      </c>
      <c r="Z432" s="111">
        <f>SUM(Audit[[#This Row],[Difference Loser]:[Difference Candidate 6]])</f>
        <v>-2</v>
      </c>
      <c r="AA432" s="111">
        <f>IF(Audit[[#This Row],[Times p Drawn - With Replacement]]&gt;0, IF(Audit[[#This Row],[Canceled Differences]]&lt;0, Audit[[#This Row],[Max Differences]]+ABS(Audit[[#This Row],[Canceled Differences]]), Audit[[#This Row],[Max Differences]]), 0)</f>
        <v>0</v>
      </c>
      <c r="AB432" s="111">
        <f>'Sampling Data'!P422</f>
        <v>6.1244487996080352E-5</v>
      </c>
      <c r="AC432" s="111">
        <f>IF(
      SUM(Audit[[#This Row],[Audit Losing Candidate]:[Audit Candidate 6]])
      &lt;&gt;0,
      (Audit[[#This Row],[Winning Candidate]]-Audit[[#This Row],[Losing Candidate]]-(Audit[[#This Row],[Audit Winning Candidate]]-Audit[[#This Row],[Audit Losing Candidate]]))/(Audit[[#Totals],[Winning Candidate]]-Audit[[#Totals],[Losing Candidate]]),
      0
)</f>
        <v>0</v>
      </c>
      <c r="AD4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2" s="111">
        <f>IF(Audit[[#This Row],[Max Relative Error (ep)]] = 0, 0, Audit[[#This Row],[Max Relative Error (ep)]]/Audit[[#This Row],[Error Bound (up) - Max. possible relative overstatement]])</f>
        <v>0</v>
      </c>
      <c r="AJ4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32" s="111">
        <f t="shared" si="6"/>
        <v>1</v>
      </c>
      <c r="AL432" s="111">
        <f>PRODUCT($AK$5:AK432)</f>
        <v>8.962823818226312E-2</v>
      </c>
      <c r="AM432" s="109">
        <f>1 - [K-M P Value]</f>
        <v>0.91037176181773694</v>
      </c>
      <c r="AN432" s="111" t="str">
        <f>IF(Audit[[#This Row],[K-M P Value]]&gt;1-'General Info'!$B$16,"Continue", "Stop")</f>
        <v>Stop</v>
      </c>
      <c r="AO432" s="110" t="b">
        <f>IF(Audit[[#This Row],[Status - Continue or stop audit]] = "Continue", TRUE, IF(AN431 = "Continue", TRUE, FALSE))</f>
        <v>0</v>
      </c>
      <c r="AP432" s="110"/>
    </row>
    <row r="433" spans="1:42" ht="15" hidden="1" customHeight="1">
      <c r="A433" s="111" t="str">
        <f>'Sampling Data'!W423</f>
        <v/>
      </c>
      <c r="B433" s="112" t="str">
        <f>'Sampling Data'!A423</f>
        <v>CLEVELAND -05-K</v>
      </c>
      <c r="C433" s="112">
        <f>'Sampling Data'!B423</f>
        <v>0</v>
      </c>
      <c r="D433" s="112">
        <f>'Sampling Data'!C423</f>
        <v>0</v>
      </c>
      <c r="E433" s="113">
        <f>'Sampling Data'!D423</f>
        <v>0</v>
      </c>
      <c r="F433" s="113">
        <f>'Sampling Data'!E423</f>
        <v>0</v>
      </c>
      <c r="G433" s="113">
        <f>'Sampling Data'!F423</f>
        <v>0</v>
      </c>
      <c r="H433" s="113">
        <f>'Sampling Data'!G423</f>
        <v>0</v>
      </c>
      <c r="I433" s="112">
        <f>'Sampling Data'!H423</f>
        <v>0</v>
      </c>
      <c r="J433" s="112">
        <f>'Sampling Data'!I423</f>
        <v>0</v>
      </c>
      <c r="K433" s="112">
        <f>'Sampling Data'!J423</f>
        <v>0</v>
      </c>
      <c r="L433" s="111">
        <f>'Sampling Data'!X423</f>
        <v>0</v>
      </c>
      <c r="M433" s="114"/>
      <c r="N433" s="114"/>
      <c r="O433" s="115"/>
      <c r="P433" s="115"/>
      <c r="Q433" s="116"/>
      <c r="R433" s="116"/>
      <c r="S433" s="111">
        <f>Audit[[#This Row],[Audit Losing Candidate]]-Audit[[#This Row],[Losing Candidate]]</f>
        <v>0</v>
      </c>
      <c r="T433" s="111">
        <f>Audit[[#This Row],[Audit Winning Candidate]]-Audit[[#This Row],[Winning Candidate]]</f>
        <v>0</v>
      </c>
      <c r="U433" s="111">
        <f>Audit[[#This Row],[Audit Candidate 3]]-Audit[[#This Row],[Candidate 3]]</f>
        <v>0</v>
      </c>
      <c r="V433" s="111">
        <f>Audit[[#This Row],[Audit Candidate 4]]-Audit[[#This Row],[Candidate 4]]</f>
        <v>0</v>
      </c>
      <c r="W433" s="111">
        <f>Audit[[#This Row],[Audit Candidate 5]]-Audit[[#This Row],[Candidate 5]]</f>
        <v>0</v>
      </c>
      <c r="X433" s="111">
        <f>Audit[[#This Row],[Audit Candidate 6]]-Audit[[#This Row],[Candidate 6]]</f>
        <v>0</v>
      </c>
      <c r="Y433" s="111">
        <f>SUMIF(Audit[[#This Row],[Difference Loser]:[Difference Candidate 6]], "&gt;0")</f>
        <v>0</v>
      </c>
      <c r="Z433" s="111">
        <f>SUM(Audit[[#This Row],[Difference Loser]:[Difference Candidate 6]])</f>
        <v>0</v>
      </c>
      <c r="AA433" s="111">
        <f>IF(Audit[[#This Row],[Times p Drawn - With Replacement]]&gt;0, IF(Audit[[#This Row],[Canceled Differences]]&lt;0, Audit[[#This Row],[Max Differences]]+ABS(Audit[[#This Row],[Canceled Differences]]), Audit[[#This Row],[Max Differences]]), 0)</f>
        <v>0</v>
      </c>
      <c r="AB433" s="111">
        <f>'Sampling Data'!P423</f>
        <v>0</v>
      </c>
      <c r="AC433" s="111">
        <f>IF(
      SUM(Audit[[#This Row],[Audit Losing Candidate]:[Audit Candidate 6]])
      &lt;&gt;0,
      (Audit[[#This Row],[Winning Candidate]]-Audit[[#This Row],[Losing Candidate]]-(Audit[[#This Row],[Audit Winning Candidate]]-Audit[[#This Row],[Audit Losing Candidate]]))/(Audit[[#Totals],[Winning Candidate]]-Audit[[#Totals],[Losing Candidate]]),
      0
)</f>
        <v>0</v>
      </c>
      <c r="AD4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3" s="111">
        <f>IF(Audit[[#This Row],[Max Relative Error (ep)]] = 0, 0, Audit[[#This Row],[Max Relative Error (ep)]]/Audit[[#This Row],[Error Bound (up) - Max. possible relative overstatement]])</f>
        <v>0</v>
      </c>
      <c r="AJ4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33" s="111">
        <f t="shared" si="6"/>
        <v>1</v>
      </c>
      <c r="AL433" s="111">
        <f>PRODUCT($AK$5:AK433)</f>
        <v>8.962823818226312E-2</v>
      </c>
      <c r="AM433" s="109">
        <f>1 - [K-M P Value]</f>
        <v>0.91037176181773694</v>
      </c>
      <c r="AN433" s="111" t="str">
        <f>IF(Audit[[#This Row],[K-M P Value]]&gt;1-'General Info'!$B$16,"Continue", "Stop")</f>
        <v>Stop</v>
      </c>
      <c r="AO433" s="110" t="b">
        <f>IF(Audit[[#This Row],[Status - Continue or stop audit]] = "Continue", TRUE, IF(AN432 = "Continue", TRUE, FALSE))</f>
        <v>0</v>
      </c>
      <c r="AP433" s="110"/>
    </row>
    <row r="434" spans="1:42" ht="15" hidden="1" customHeight="1">
      <c r="A434" s="111" t="str">
        <f>'Sampling Data'!W424</f>
        <v/>
      </c>
      <c r="B434" s="112" t="str">
        <f>'Sampling Data'!A424</f>
        <v>CLEVELAND -05-K - ABS</v>
      </c>
      <c r="C434" s="112">
        <f>'Sampling Data'!B424</f>
        <v>0</v>
      </c>
      <c r="D434" s="112">
        <f>'Sampling Data'!C424</f>
        <v>0</v>
      </c>
      <c r="E434" s="113">
        <f>'Sampling Data'!D424</f>
        <v>0</v>
      </c>
      <c r="F434" s="113">
        <f>'Sampling Data'!E424</f>
        <v>0</v>
      </c>
      <c r="G434" s="113">
        <f>'Sampling Data'!F424</f>
        <v>0</v>
      </c>
      <c r="H434" s="113">
        <f>'Sampling Data'!G424</f>
        <v>0</v>
      </c>
      <c r="I434" s="112">
        <f>'Sampling Data'!H424</f>
        <v>0</v>
      </c>
      <c r="J434" s="112">
        <f>'Sampling Data'!I424</f>
        <v>0</v>
      </c>
      <c r="K434" s="112">
        <f>'Sampling Data'!J424</f>
        <v>0</v>
      </c>
      <c r="L434" s="111">
        <f>'Sampling Data'!X424</f>
        <v>0</v>
      </c>
      <c r="M434" s="114"/>
      <c r="N434" s="114"/>
      <c r="O434" s="115"/>
      <c r="P434" s="115"/>
      <c r="Q434" s="116"/>
      <c r="R434" s="116"/>
      <c r="S434" s="111">
        <f>Audit[[#This Row],[Audit Losing Candidate]]-Audit[[#This Row],[Losing Candidate]]</f>
        <v>0</v>
      </c>
      <c r="T434" s="111">
        <f>Audit[[#This Row],[Audit Winning Candidate]]-Audit[[#This Row],[Winning Candidate]]</f>
        <v>0</v>
      </c>
      <c r="U434" s="111">
        <f>Audit[[#This Row],[Audit Candidate 3]]-Audit[[#This Row],[Candidate 3]]</f>
        <v>0</v>
      </c>
      <c r="V434" s="111">
        <f>Audit[[#This Row],[Audit Candidate 4]]-Audit[[#This Row],[Candidate 4]]</f>
        <v>0</v>
      </c>
      <c r="W434" s="111">
        <f>Audit[[#This Row],[Audit Candidate 5]]-Audit[[#This Row],[Candidate 5]]</f>
        <v>0</v>
      </c>
      <c r="X434" s="111">
        <f>Audit[[#This Row],[Audit Candidate 6]]-Audit[[#This Row],[Candidate 6]]</f>
        <v>0</v>
      </c>
      <c r="Y434" s="111">
        <f>SUMIF(Audit[[#This Row],[Difference Loser]:[Difference Candidate 6]], "&gt;0")</f>
        <v>0</v>
      </c>
      <c r="Z434" s="111">
        <f>SUM(Audit[[#This Row],[Difference Loser]:[Difference Candidate 6]])</f>
        <v>0</v>
      </c>
      <c r="AA434" s="111">
        <f>IF(Audit[[#This Row],[Times p Drawn - With Replacement]]&gt;0, IF(Audit[[#This Row],[Canceled Differences]]&lt;0, Audit[[#This Row],[Max Differences]]+ABS(Audit[[#This Row],[Canceled Differences]]), Audit[[#This Row],[Max Differences]]), 0)</f>
        <v>0</v>
      </c>
      <c r="AB434" s="111">
        <f>'Sampling Data'!P424</f>
        <v>0</v>
      </c>
      <c r="AC434" s="111">
        <f>IF(
      SUM(Audit[[#This Row],[Audit Losing Candidate]:[Audit Candidate 6]])
      &lt;&gt;0,
      (Audit[[#This Row],[Winning Candidate]]-Audit[[#This Row],[Losing Candidate]]-(Audit[[#This Row],[Audit Winning Candidate]]-Audit[[#This Row],[Audit Losing Candidate]]))/(Audit[[#Totals],[Winning Candidate]]-Audit[[#Totals],[Losing Candidate]]),
      0
)</f>
        <v>0</v>
      </c>
      <c r="AD4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4" s="111">
        <f>IF(Audit[[#This Row],[Max Relative Error (ep)]] = 0, 0, Audit[[#This Row],[Max Relative Error (ep)]]/Audit[[#This Row],[Error Bound (up) - Max. possible relative overstatement]])</f>
        <v>0</v>
      </c>
      <c r="AJ4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34" s="111">
        <f t="shared" si="6"/>
        <v>1</v>
      </c>
      <c r="AL434" s="111">
        <f>PRODUCT($AK$5:AK434)</f>
        <v>8.962823818226312E-2</v>
      </c>
      <c r="AM434" s="109">
        <f>1 - [K-M P Value]</f>
        <v>0.91037176181773694</v>
      </c>
      <c r="AN434" s="111" t="str">
        <f>IF(Audit[[#This Row],[K-M P Value]]&gt;1-'General Info'!$B$16,"Continue", "Stop")</f>
        <v>Stop</v>
      </c>
      <c r="AO434" s="110" t="b">
        <f>IF(Audit[[#This Row],[Status - Continue or stop audit]] = "Continue", TRUE, IF(AN433 = "Continue", TRUE, FALSE))</f>
        <v>0</v>
      </c>
      <c r="AP434" s="110"/>
    </row>
    <row r="435" spans="1:42" ht="15" hidden="1" customHeight="1">
      <c r="A435" s="111" t="str">
        <f>'Sampling Data'!W425</f>
        <v/>
      </c>
      <c r="B435" s="112" t="str">
        <f>'Sampling Data'!A425</f>
        <v>CLEVELAND -05-L</v>
      </c>
      <c r="C435" s="112">
        <f>'Sampling Data'!B425</f>
        <v>0</v>
      </c>
      <c r="D435" s="112">
        <f>'Sampling Data'!C425</f>
        <v>0</v>
      </c>
      <c r="E435" s="113">
        <f>'Sampling Data'!D425</f>
        <v>1</v>
      </c>
      <c r="F435" s="113">
        <f>'Sampling Data'!E425</f>
        <v>0</v>
      </c>
      <c r="G435" s="113">
        <f>'Sampling Data'!F425</f>
        <v>0</v>
      </c>
      <c r="H435" s="113">
        <f>'Sampling Data'!G425</f>
        <v>0</v>
      </c>
      <c r="I435" s="112">
        <f>'Sampling Data'!H425</f>
        <v>0</v>
      </c>
      <c r="J435" s="112">
        <f>'Sampling Data'!I425</f>
        <v>0</v>
      </c>
      <c r="K435" s="112">
        <f>'Sampling Data'!J425</f>
        <v>1</v>
      </c>
      <c r="L435" s="111">
        <f>'Sampling Data'!X425</f>
        <v>0</v>
      </c>
      <c r="M435" s="114"/>
      <c r="N435" s="114"/>
      <c r="O435" s="115"/>
      <c r="P435" s="115"/>
      <c r="Q435" s="116"/>
      <c r="R435" s="116"/>
      <c r="S435" s="111">
        <f>Audit[[#This Row],[Audit Losing Candidate]]-Audit[[#This Row],[Losing Candidate]]</f>
        <v>0</v>
      </c>
      <c r="T435" s="111">
        <f>Audit[[#This Row],[Audit Winning Candidate]]-Audit[[#This Row],[Winning Candidate]]</f>
        <v>0</v>
      </c>
      <c r="U435" s="111">
        <f>Audit[[#This Row],[Audit Candidate 3]]-Audit[[#This Row],[Candidate 3]]</f>
        <v>-1</v>
      </c>
      <c r="V435" s="111">
        <f>Audit[[#This Row],[Audit Candidate 4]]-Audit[[#This Row],[Candidate 4]]</f>
        <v>0</v>
      </c>
      <c r="W435" s="111">
        <f>Audit[[#This Row],[Audit Candidate 5]]-Audit[[#This Row],[Candidate 5]]</f>
        <v>0</v>
      </c>
      <c r="X435" s="111">
        <f>Audit[[#This Row],[Audit Candidate 6]]-Audit[[#This Row],[Candidate 6]]</f>
        <v>0</v>
      </c>
      <c r="Y435" s="111">
        <f>SUMIF(Audit[[#This Row],[Difference Loser]:[Difference Candidate 6]], "&gt;0")</f>
        <v>0</v>
      </c>
      <c r="Z435" s="111">
        <f>SUM(Audit[[#This Row],[Difference Loser]:[Difference Candidate 6]])</f>
        <v>-1</v>
      </c>
      <c r="AA435" s="111">
        <f>IF(Audit[[#This Row],[Times p Drawn - With Replacement]]&gt;0, IF(Audit[[#This Row],[Canceled Differences]]&lt;0, Audit[[#This Row],[Max Differences]]+ABS(Audit[[#This Row],[Canceled Differences]]), Audit[[#This Row],[Max Differences]]), 0)</f>
        <v>0</v>
      </c>
      <c r="AB435" s="111">
        <f>'Sampling Data'!P425</f>
        <v>6.1244487996080352E-5</v>
      </c>
      <c r="AC435" s="111">
        <f>IF(
      SUM(Audit[[#This Row],[Audit Losing Candidate]:[Audit Candidate 6]])
      &lt;&gt;0,
      (Audit[[#This Row],[Winning Candidate]]-Audit[[#This Row],[Losing Candidate]]-(Audit[[#This Row],[Audit Winning Candidate]]-Audit[[#This Row],[Audit Losing Candidate]]))/(Audit[[#Totals],[Winning Candidate]]-Audit[[#Totals],[Losing Candidate]]),
      0
)</f>
        <v>0</v>
      </c>
      <c r="AD4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5" s="111">
        <f>IF(Audit[[#This Row],[Max Relative Error (ep)]] = 0, 0, Audit[[#This Row],[Max Relative Error (ep)]]/Audit[[#This Row],[Error Bound (up) - Max. possible relative overstatement]])</f>
        <v>0</v>
      </c>
      <c r="AJ4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35" s="111">
        <f t="shared" si="6"/>
        <v>1</v>
      </c>
      <c r="AL435" s="111">
        <f>PRODUCT($AK$5:AK435)</f>
        <v>8.962823818226312E-2</v>
      </c>
      <c r="AM435" s="109">
        <f>1 - [K-M P Value]</f>
        <v>0.91037176181773694</v>
      </c>
      <c r="AN435" s="111" t="str">
        <f>IF(Audit[[#This Row],[K-M P Value]]&gt;1-'General Info'!$B$16,"Continue", "Stop")</f>
        <v>Stop</v>
      </c>
      <c r="AO435" s="110" t="b">
        <f>IF(Audit[[#This Row],[Status - Continue or stop audit]] = "Continue", TRUE, IF(AN434 = "Continue", TRUE, FALSE))</f>
        <v>0</v>
      </c>
      <c r="AP435" s="110"/>
    </row>
    <row r="436" spans="1:42" ht="15" hidden="1" customHeight="1">
      <c r="A436" s="111" t="str">
        <f>'Sampling Data'!W426</f>
        <v/>
      </c>
      <c r="B436" s="112" t="str">
        <f>'Sampling Data'!A426</f>
        <v>CLEVELAND -05-L - ABS</v>
      </c>
      <c r="C436" s="112">
        <f>'Sampling Data'!B426</f>
        <v>0</v>
      </c>
      <c r="D436" s="112">
        <f>'Sampling Data'!C426</f>
        <v>0</v>
      </c>
      <c r="E436" s="113">
        <f>'Sampling Data'!D426</f>
        <v>0</v>
      </c>
      <c r="F436" s="113">
        <f>'Sampling Data'!E426</f>
        <v>0</v>
      </c>
      <c r="G436" s="113">
        <f>'Sampling Data'!F426</f>
        <v>0</v>
      </c>
      <c r="H436" s="113">
        <f>'Sampling Data'!G426</f>
        <v>0</v>
      </c>
      <c r="I436" s="112">
        <f>'Sampling Data'!H426</f>
        <v>0</v>
      </c>
      <c r="J436" s="112">
        <f>'Sampling Data'!I426</f>
        <v>0</v>
      </c>
      <c r="K436" s="112">
        <f>'Sampling Data'!J426</f>
        <v>0</v>
      </c>
      <c r="L436" s="111">
        <f>'Sampling Data'!X426</f>
        <v>0</v>
      </c>
      <c r="M436" s="114"/>
      <c r="N436" s="114"/>
      <c r="O436" s="115"/>
      <c r="P436" s="115"/>
      <c r="Q436" s="116"/>
      <c r="R436" s="116"/>
      <c r="S436" s="111">
        <f>Audit[[#This Row],[Audit Losing Candidate]]-Audit[[#This Row],[Losing Candidate]]</f>
        <v>0</v>
      </c>
      <c r="T436" s="111">
        <f>Audit[[#This Row],[Audit Winning Candidate]]-Audit[[#This Row],[Winning Candidate]]</f>
        <v>0</v>
      </c>
      <c r="U436" s="111">
        <f>Audit[[#This Row],[Audit Candidate 3]]-Audit[[#This Row],[Candidate 3]]</f>
        <v>0</v>
      </c>
      <c r="V436" s="111">
        <f>Audit[[#This Row],[Audit Candidate 4]]-Audit[[#This Row],[Candidate 4]]</f>
        <v>0</v>
      </c>
      <c r="W436" s="111">
        <f>Audit[[#This Row],[Audit Candidate 5]]-Audit[[#This Row],[Candidate 5]]</f>
        <v>0</v>
      </c>
      <c r="X436" s="111">
        <f>Audit[[#This Row],[Audit Candidate 6]]-Audit[[#This Row],[Candidate 6]]</f>
        <v>0</v>
      </c>
      <c r="Y436" s="111">
        <f>SUMIF(Audit[[#This Row],[Difference Loser]:[Difference Candidate 6]], "&gt;0")</f>
        <v>0</v>
      </c>
      <c r="Z436" s="111">
        <f>SUM(Audit[[#This Row],[Difference Loser]:[Difference Candidate 6]])</f>
        <v>0</v>
      </c>
      <c r="AA436" s="111">
        <f>IF(Audit[[#This Row],[Times p Drawn - With Replacement]]&gt;0, IF(Audit[[#This Row],[Canceled Differences]]&lt;0, Audit[[#This Row],[Max Differences]]+ABS(Audit[[#This Row],[Canceled Differences]]), Audit[[#This Row],[Max Differences]]), 0)</f>
        <v>0</v>
      </c>
      <c r="AB436" s="111">
        <f>'Sampling Data'!P426</f>
        <v>0</v>
      </c>
      <c r="AC436" s="111">
        <f>IF(
      SUM(Audit[[#This Row],[Audit Losing Candidate]:[Audit Candidate 6]])
      &lt;&gt;0,
      (Audit[[#This Row],[Winning Candidate]]-Audit[[#This Row],[Losing Candidate]]-(Audit[[#This Row],[Audit Winning Candidate]]-Audit[[#This Row],[Audit Losing Candidate]]))/(Audit[[#Totals],[Winning Candidate]]-Audit[[#Totals],[Losing Candidate]]),
      0
)</f>
        <v>0</v>
      </c>
      <c r="AD4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6" s="111">
        <f>IF(Audit[[#This Row],[Max Relative Error (ep)]] = 0, 0, Audit[[#This Row],[Max Relative Error (ep)]]/Audit[[#This Row],[Error Bound (up) - Max. possible relative overstatement]])</f>
        <v>0</v>
      </c>
      <c r="AJ4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36" s="111">
        <f t="shared" si="6"/>
        <v>1</v>
      </c>
      <c r="AL436" s="111">
        <f>PRODUCT($AK$5:AK436)</f>
        <v>8.962823818226312E-2</v>
      </c>
      <c r="AM436" s="109">
        <f>1 - [K-M P Value]</f>
        <v>0.91037176181773694</v>
      </c>
      <c r="AN436" s="111" t="str">
        <f>IF(Audit[[#This Row],[K-M P Value]]&gt;1-'General Info'!$B$16,"Continue", "Stop")</f>
        <v>Stop</v>
      </c>
      <c r="AO436" s="110" t="b">
        <f>IF(Audit[[#This Row],[Status - Continue or stop audit]] = "Continue", TRUE, IF(AN435 = "Continue", TRUE, FALSE))</f>
        <v>0</v>
      </c>
      <c r="AP436" s="110"/>
    </row>
    <row r="437" spans="1:42" ht="15" hidden="1" customHeight="1">
      <c r="A437" s="111" t="str">
        <f>'Sampling Data'!W427</f>
        <v/>
      </c>
      <c r="B437" s="112" t="str">
        <f>'Sampling Data'!A427</f>
        <v>CLEVELAND -05-M</v>
      </c>
      <c r="C437" s="112">
        <f>'Sampling Data'!B427</f>
        <v>1</v>
      </c>
      <c r="D437" s="112">
        <f>'Sampling Data'!C427</f>
        <v>0</v>
      </c>
      <c r="E437" s="113">
        <f>'Sampling Data'!D427</f>
        <v>0</v>
      </c>
      <c r="F437" s="113">
        <f>'Sampling Data'!E427</f>
        <v>0</v>
      </c>
      <c r="G437" s="113">
        <f>'Sampling Data'!F427</f>
        <v>0</v>
      </c>
      <c r="H437" s="113">
        <f>'Sampling Data'!G427</f>
        <v>0</v>
      </c>
      <c r="I437" s="112">
        <f>'Sampling Data'!H427</f>
        <v>0</v>
      </c>
      <c r="J437" s="112">
        <f>'Sampling Data'!I427</f>
        <v>0</v>
      </c>
      <c r="K437" s="112">
        <f>'Sampling Data'!J427</f>
        <v>1</v>
      </c>
      <c r="L437" s="111">
        <f>'Sampling Data'!X427</f>
        <v>0</v>
      </c>
      <c r="M437" s="114"/>
      <c r="N437" s="114"/>
      <c r="O437" s="115"/>
      <c r="P437" s="115"/>
      <c r="Q437" s="116"/>
      <c r="R437" s="116"/>
      <c r="S437" s="111">
        <f>Audit[[#This Row],[Audit Losing Candidate]]-Audit[[#This Row],[Losing Candidate]]</f>
        <v>-1</v>
      </c>
      <c r="T437" s="111">
        <f>Audit[[#This Row],[Audit Winning Candidate]]-Audit[[#This Row],[Winning Candidate]]</f>
        <v>0</v>
      </c>
      <c r="U437" s="111">
        <f>Audit[[#This Row],[Audit Candidate 3]]-Audit[[#This Row],[Candidate 3]]</f>
        <v>0</v>
      </c>
      <c r="V437" s="111">
        <f>Audit[[#This Row],[Audit Candidate 4]]-Audit[[#This Row],[Candidate 4]]</f>
        <v>0</v>
      </c>
      <c r="W437" s="111">
        <f>Audit[[#This Row],[Audit Candidate 5]]-Audit[[#This Row],[Candidate 5]]</f>
        <v>0</v>
      </c>
      <c r="X437" s="111">
        <f>Audit[[#This Row],[Audit Candidate 6]]-Audit[[#This Row],[Candidate 6]]</f>
        <v>0</v>
      </c>
      <c r="Y437" s="111">
        <f>SUMIF(Audit[[#This Row],[Difference Loser]:[Difference Candidate 6]], "&gt;0")</f>
        <v>0</v>
      </c>
      <c r="Z437" s="111">
        <f>SUM(Audit[[#This Row],[Difference Loser]:[Difference Candidate 6]])</f>
        <v>-1</v>
      </c>
      <c r="AA437" s="111">
        <f>IF(Audit[[#This Row],[Times p Drawn - With Replacement]]&gt;0, IF(Audit[[#This Row],[Canceled Differences]]&lt;0, Audit[[#This Row],[Max Differences]]+ABS(Audit[[#This Row],[Canceled Differences]]), Audit[[#This Row],[Max Differences]]), 0)</f>
        <v>0</v>
      </c>
      <c r="AB437" s="111">
        <f>'Sampling Data'!P427</f>
        <v>3.2261186566441917E-5</v>
      </c>
      <c r="AC437" s="111">
        <f>IF(
      SUM(Audit[[#This Row],[Audit Losing Candidate]:[Audit Candidate 6]])
      &lt;&gt;0,
      (Audit[[#This Row],[Winning Candidate]]-Audit[[#This Row],[Losing Candidate]]-(Audit[[#This Row],[Audit Winning Candidate]]-Audit[[#This Row],[Audit Losing Candidate]]))/(Audit[[#Totals],[Winning Candidate]]-Audit[[#Totals],[Losing Candidate]]),
      0
)</f>
        <v>0</v>
      </c>
      <c r="AD4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7" s="111">
        <f>IF(Audit[[#This Row],[Max Relative Error (ep)]] = 0, 0, Audit[[#This Row],[Max Relative Error (ep)]]/Audit[[#This Row],[Error Bound (up) - Max. possible relative overstatement]])</f>
        <v>0</v>
      </c>
      <c r="AJ4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37" s="111">
        <f t="shared" si="6"/>
        <v>1</v>
      </c>
      <c r="AL437" s="111">
        <f>PRODUCT($AK$5:AK437)</f>
        <v>8.962823818226312E-2</v>
      </c>
      <c r="AM437" s="109">
        <f>1 - [K-M P Value]</f>
        <v>0.91037176181773694</v>
      </c>
      <c r="AN437" s="111" t="str">
        <f>IF(Audit[[#This Row],[K-M P Value]]&gt;1-'General Info'!$B$16,"Continue", "Stop")</f>
        <v>Stop</v>
      </c>
      <c r="AO437" s="110" t="b">
        <f>IF(Audit[[#This Row],[Status - Continue or stop audit]] = "Continue", TRUE, IF(AN436 = "Continue", TRUE, FALSE))</f>
        <v>0</v>
      </c>
      <c r="AP437" s="110"/>
    </row>
    <row r="438" spans="1:42" ht="15" hidden="1" customHeight="1">
      <c r="A438" s="111" t="str">
        <f>'Sampling Data'!W428</f>
        <v/>
      </c>
      <c r="B438" s="112" t="str">
        <f>'Sampling Data'!A428</f>
        <v>CLEVELAND -05-M - ABS</v>
      </c>
      <c r="C438" s="112">
        <f>'Sampling Data'!B428</f>
        <v>0</v>
      </c>
      <c r="D438" s="112">
        <f>'Sampling Data'!C428</f>
        <v>0</v>
      </c>
      <c r="E438" s="113">
        <f>'Sampling Data'!D428</f>
        <v>0</v>
      </c>
      <c r="F438" s="113">
        <f>'Sampling Data'!E428</f>
        <v>0</v>
      </c>
      <c r="G438" s="113">
        <f>'Sampling Data'!F428</f>
        <v>0</v>
      </c>
      <c r="H438" s="113">
        <f>'Sampling Data'!G428</f>
        <v>0</v>
      </c>
      <c r="I438" s="112">
        <f>'Sampling Data'!H428</f>
        <v>0</v>
      </c>
      <c r="J438" s="112">
        <f>'Sampling Data'!I428</f>
        <v>1</v>
      </c>
      <c r="K438" s="112">
        <f>'Sampling Data'!J428</f>
        <v>1</v>
      </c>
      <c r="L438" s="111">
        <f>'Sampling Data'!X428</f>
        <v>0</v>
      </c>
      <c r="M438" s="114"/>
      <c r="N438" s="114"/>
      <c r="O438" s="115"/>
      <c r="P438" s="115"/>
      <c r="Q438" s="116"/>
      <c r="R438" s="116"/>
      <c r="S438" s="111">
        <f>Audit[[#This Row],[Audit Losing Candidate]]-Audit[[#This Row],[Losing Candidate]]</f>
        <v>0</v>
      </c>
      <c r="T438" s="111">
        <f>Audit[[#This Row],[Audit Winning Candidate]]-Audit[[#This Row],[Winning Candidate]]</f>
        <v>0</v>
      </c>
      <c r="U438" s="111">
        <f>Audit[[#This Row],[Audit Candidate 3]]-Audit[[#This Row],[Candidate 3]]</f>
        <v>0</v>
      </c>
      <c r="V438" s="111">
        <f>Audit[[#This Row],[Audit Candidate 4]]-Audit[[#This Row],[Candidate 4]]</f>
        <v>0</v>
      </c>
      <c r="W438" s="111">
        <f>Audit[[#This Row],[Audit Candidate 5]]-Audit[[#This Row],[Candidate 5]]</f>
        <v>0</v>
      </c>
      <c r="X438" s="111">
        <f>Audit[[#This Row],[Audit Candidate 6]]-Audit[[#This Row],[Candidate 6]]</f>
        <v>0</v>
      </c>
      <c r="Y438" s="111">
        <f>SUMIF(Audit[[#This Row],[Difference Loser]:[Difference Candidate 6]], "&gt;0")</f>
        <v>0</v>
      </c>
      <c r="Z438" s="111">
        <f>SUM(Audit[[#This Row],[Difference Loser]:[Difference Candidate 6]])</f>
        <v>0</v>
      </c>
      <c r="AA438" s="111">
        <f>IF(Audit[[#This Row],[Times p Drawn - With Replacement]]&gt;0, IF(Audit[[#This Row],[Canceled Differences]]&lt;0, Audit[[#This Row],[Max Differences]]+ABS(Audit[[#This Row],[Canceled Differences]]), Audit[[#This Row],[Max Differences]]), 0)</f>
        <v>0</v>
      </c>
      <c r="AB438" s="111">
        <f>'Sampling Data'!P428</f>
        <v>6.1244487996080352E-5</v>
      </c>
      <c r="AC438" s="111">
        <f>IF(
      SUM(Audit[[#This Row],[Audit Losing Candidate]:[Audit Candidate 6]])
      &lt;&gt;0,
      (Audit[[#This Row],[Winning Candidate]]-Audit[[#This Row],[Losing Candidate]]-(Audit[[#This Row],[Audit Winning Candidate]]-Audit[[#This Row],[Audit Losing Candidate]]))/(Audit[[#Totals],[Winning Candidate]]-Audit[[#Totals],[Losing Candidate]]),
      0
)</f>
        <v>0</v>
      </c>
      <c r="AD4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8" s="111">
        <f>IF(Audit[[#This Row],[Max Relative Error (ep)]] = 0, 0, Audit[[#This Row],[Max Relative Error (ep)]]/Audit[[#This Row],[Error Bound (up) - Max. possible relative overstatement]])</f>
        <v>0</v>
      </c>
      <c r="AJ4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38" s="111">
        <f t="shared" si="6"/>
        <v>1</v>
      </c>
      <c r="AL438" s="111">
        <f>PRODUCT($AK$5:AK438)</f>
        <v>8.962823818226312E-2</v>
      </c>
      <c r="AM438" s="109">
        <f>1 - [K-M P Value]</f>
        <v>0.91037176181773694</v>
      </c>
      <c r="AN438" s="111" t="str">
        <f>IF(Audit[[#This Row],[K-M P Value]]&gt;1-'General Info'!$B$16,"Continue", "Stop")</f>
        <v>Stop</v>
      </c>
      <c r="AO438" s="110" t="b">
        <f>IF(Audit[[#This Row],[Status - Continue or stop audit]] = "Continue", TRUE, IF(AN437 = "Continue", TRUE, FALSE))</f>
        <v>0</v>
      </c>
      <c r="AP438" s="110"/>
    </row>
    <row r="439" spans="1:42" ht="15" hidden="1" customHeight="1">
      <c r="A439" s="111" t="str">
        <f>'Sampling Data'!W429</f>
        <v/>
      </c>
      <c r="B439" s="112" t="str">
        <f>'Sampling Data'!A429</f>
        <v>CLEVELAND -05-N</v>
      </c>
      <c r="C439" s="112">
        <f>'Sampling Data'!B429</f>
        <v>0</v>
      </c>
      <c r="D439" s="112">
        <f>'Sampling Data'!C429</f>
        <v>0</v>
      </c>
      <c r="E439" s="113">
        <f>'Sampling Data'!D429</f>
        <v>0</v>
      </c>
      <c r="F439" s="113">
        <f>'Sampling Data'!E429</f>
        <v>0</v>
      </c>
      <c r="G439" s="113">
        <f>'Sampling Data'!F429</f>
        <v>0</v>
      </c>
      <c r="H439" s="113">
        <f>'Sampling Data'!G429</f>
        <v>0</v>
      </c>
      <c r="I439" s="112">
        <f>'Sampling Data'!H429</f>
        <v>0</v>
      </c>
      <c r="J439" s="112">
        <f>'Sampling Data'!I429</f>
        <v>0</v>
      </c>
      <c r="K439" s="112">
        <f>'Sampling Data'!J429</f>
        <v>0</v>
      </c>
      <c r="L439" s="111">
        <f>'Sampling Data'!X429</f>
        <v>0</v>
      </c>
      <c r="M439" s="114"/>
      <c r="N439" s="114"/>
      <c r="O439" s="115"/>
      <c r="P439" s="115"/>
      <c r="Q439" s="116"/>
      <c r="R439" s="116"/>
      <c r="S439" s="111">
        <f>Audit[[#This Row],[Audit Losing Candidate]]-Audit[[#This Row],[Losing Candidate]]</f>
        <v>0</v>
      </c>
      <c r="T439" s="111">
        <f>Audit[[#This Row],[Audit Winning Candidate]]-Audit[[#This Row],[Winning Candidate]]</f>
        <v>0</v>
      </c>
      <c r="U439" s="111">
        <f>Audit[[#This Row],[Audit Candidate 3]]-Audit[[#This Row],[Candidate 3]]</f>
        <v>0</v>
      </c>
      <c r="V439" s="111">
        <f>Audit[[#This Row],[Audit Candidate 4]]-Audit[[#This Row],[Candidate 4]]</f>
        <v>0</v>
      </c>
      <c r="W439" s="111">
        <f>Audit[[#This Row],[Audit Candidate 5]]-Audit[[#This Row],[Candidate 5]]</f>
        <v>0</v>
      </c>
      <c r="X439" s="111">
        <f>Audit[[#This Row],[Audit Candidate 6]]-Audit[[#This Row],[Candidate 6]]</f>
        <v>0</v>
      </c>
      <c r="Y439" s="111">
        <f>SUMIF(Audit[[#This Row],[Difference Loser]:[Difference Candidate 6]], "&gt;0")</f>
        <v>0</v>
      </c>
      <c r="Z439" s="111">
        <f>SUM(Audit[[#This Row],[Difference Loser]:[Difference Candidate 6]])</f>
        <v>0</v>
      </c>
      <c r="AA439" s="111">
        <f>IF(Audit[[#This Row],[Times p Drawn - With Replacement]]&gt;0, IF(Audit[[#This Row],[Canceled Differences]]&lt;0, Audit[[#This Row],[Max Differences]]+ABS(Audit[[#This Row],[Canceled Differences]]), Audit[[#This Row],[Max Differences]]), 0)</f>
        <v>0</v>
      </c>
      <c r="AB439" s="111">
        <f>'Sampling Data'!P429</f>
        <v>0</v>
      </c>
      <c r="AC439" s="111">
        <f>IF(
      SUM(Audit[[#This Row],[Audit Losing Candidate]:[Audit Candidate 6]])
      &lt;&gt;0,
      (Audit[[#This Row],[Winning Candidate]]-Audit[[#This Row],[Losing Candidate]]-(Audit[[#This Row],[Audit Winning Candidate]]-Audit[[#This Row],[Audit Losing Candidate]]))/(Audit[[#Totals],[Winning Candidate]]-Audit[[#Totals],[Losing Candidate]]),
      0
)</f>
        <v>0</v>
      </c>
      <c r="AD4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9" s="111">
        <f>IF(Audit[[#This Row],[Max Relative Error (ep)]] = 0, 0, Audit[[#This Row],[Max Relative Error (ep)]]/Audit[[#This Row],[Error Bound (up) - Max. possible relative overstatement]])</f>
        <v>0</v>
      </c>
      <c r="AJ4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39" s="111">
        <f t="shared" si="6"/>
        <v>1</v>
      </c>
      <c r="AL439" s="111">
        <f>PRODUCT($AK$5:AK439)</f>
        <v>8.962823818226312E-2</v>
      </c>
      <c r="AM439" s="109">
        <f>1 - [K-M P Value]</f>
        <v>0.91037176181773694</v>
      </c>
      <c r="AN439" s="111" t="str">
        <f>IF(Audit[[#This Row],[K-M P Value]]&gt;1-'General Info'!$B$16,"Continue", "Stop")</f>
        <v>Stop</v>
      </c>
      <c r="AO439" s="110" t="b">
        <f>IF(Audit[[#This Row],[Status - Continue or stop audit]] = "Continue", TRUE, IF(AN438 = "Continue", TRUE, FALSE))</f>
        <v>0</v>
      </c>
      <c r="AP439" s="110"/>
    </row>
    <row r="440" spans="1:42" ht="15" hidden="1" customHeight="1">
      <c r="A440" s="111" t="str">
        <f>'Sampling Data'!W430</f>
        <v/>
      </c>
      <c r="B440" s="112" t="str">
        <f>'Sampling Data'!A430</f>
        <v>CLEVELAND -05-N - ABS</v>
      </c>
      <c r="C440" s="112">
        <f>'Sampling Data'!B430</f>
        <v>0</v>
      </c>
      <c r="D440" s="112">
        <f>'Sampling Data'!C430</f>
        <v>1</v>
      </c>
      <c r="E440" s="113">
        <f>'Sampling Data'!D430</f>
        <v>0</v>
      </c>
      <c r="F440" s="113">
        <f>'Sampling Data'!E430</f>
        <v>1</v>
      </c>
      <c r="G440" s="113">
        <f>'Sampling Data'!F430</f>
        <v>0</v>
      </c>
      <c r="H440" s="113">
        <f>'Sampling Data'!G430</f>
        <v>0</v>
      </c>
      <c r="I440" s="112">
        <f>'Sampling Data'!H430</f>
        <v>0</v>
      </c>
      <c r="J440" s="112">
        <f>'Sampling Data'!I430</f>
        <v>1</v>
      </c>
      <c r="K440" s="112">
        <f>'Sampling Data'!J430</f>
        <v>3</v>
      </c>
      <c r="L440" s="111">
        <f>'Sampling Data'!X430</f>
        <v>0</v>
      </c>
      <c r="M440" s="114"/>
      <c r="N440" s="114"/>
      <c r="O440" s="115"/>
      <c r="P440" s="115"/>
      <c r="Q440" s="116"/>
      <c r="R440" s="116"/>
      <c r="S440" s="111">
        <f>Audit[[#This Row],[Audit Losing Candidate]]-Audit[[#This Row],[Losing Candidate]]</f>
        <v>0</v>
      </c>
      <c r="T440" s="111">
        <f>Audit[[#This Row],[Audit Winning Candidate]]-Audit[[#This Row],[Winning Candidate]]</f>
        <v>-1</v>
      </c>
      <c r="U440" s="111">
        <f>Audit[[#This Row],[Audit Candidate 3]]-Audit[[#This Row],[Candidate 3]]</f>
        <v>0</v>
      </c>
      <c r="V440" s="111">
        <f>Audit[[#This Row],[Audit Candidate 4]]-Audit[[#This Row],[Candidate 4]]</f>
        <v>-1</v>
      </c>
      <c r="W440" s="111">
        <f>Audit[[#This Row],[Audit Candidate 5]]-Audit[[#This Row],[Candidate 5]]</f>
        <v>0</v>
      </c>
      <c r="X440" s="111">
        <f>Audit[[#This Row],[Audit Candidate 6]]-Audit[[#This Row],[Candidate 6]]</f>
        <v>0</v>
      </c>
      <c r="Y440" s="111">
        <f>SUMIF(Audit[[#This Row],[Difference Loser]:[Difference Candidate 6]], "&gt;0")</f>
        <v>0</v>
      </c>
      <c r="Z440" s="111">
        <f>SUM(Audit[[#This Row],[Difference Loser]:[Difference Candidate 6]])</f>
        <v>-2</v>
      </c>
      <c r="AA440" s="111">
        <f>IF(Audit[[#This Row],[Times p Drawn - With Replacement]]&gt;0, IF(Audit[[#This Row],[Canceled Differences]]&lt;0, Audit[[#This Row],[Max Differences]]+ABS(Audit[[#This Row],[Canceled Differences]]), Audit[[#This Row],[Max Differences]]), 0)</f>
        <v>0</v>
      </c>
      <c r="AB440" s="111">
        <f>'Sampling Data'!P430</f>
        <v>2.4497795198432141E-4</v>
      </c>
      <c r="AC440" s="111">
        <f>IF(
      SUM(Audit[[#This Row],[Audit Losing Candidate]:[Audit Candidate 6]])
      &lt;&gt;0,
      (Audit[[#This Row],[Winning Candidate]]-Audit[[#This Row],[Losing Candidate]]-(Audit[[#This Row],[Audit Winning Candidate]]-Audit[[#This Row],[Audit Losing Candidate]]))/(Audit[[#Totals],[Winning Candidate]]-Audit[[#Totals],[Losing Candidate]]),
      0
)</f>
        <v>0</v>
      </c>
      <c r="AD4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0" s="111">
        <f>IF(Audit[[#This Row],[Max Relative Error (ep)]] = 0, 0, Audit[[#This Row],[Max Relative Error (ep)]]/Audit[[#This Row],[Error Bound (up) - Max. possible relative overstatement]])</f>
        <v>0</v>
      </c>
      <c r="AJ4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40" s="111">
        <f t="shared" si="6"/>
        <v>1</v>
      </c>
      <c r="AL440" s="111">
        <f>PRODUCT($AK$5:AK440)</f>
        <v>8.962823818226312E-2</v>
      </c>
      <c r="AM440" s="109">
        <f>1 - [K-M P Value]</f>
        <v>0.91037176181773694</v>
      </c>
      <c r="AN440" s="111" t="str">
        <f>IF(Audit[[#This Row],[K-M P Value]]&gt;1-'General Info'!$B$16,"Continue", "Stop")</f>
        <v>Stop</v>
      </c>
      <c r="AO440" s="110" t="b">
        <f>IF(Audit[[#This Row],[Status - Continue or stop audit]] = "Continue", TRUE, IF(AN439 = "Continue", TRUE, FALSE))</f>
        <v>0</v>
      </c>
      <c r="AP440" s="110"/>
    </row>
    <row r="441" spans="1:42" ht="15" hidden="1" customHeight="1">
      <c r="A441" s="111" t="str">
        <f>'Sampling Data'!W431</f>
        <v/>
      </c>
      <c r="B441" s="112" t="str">
        <f>'Sampling Data'!A431</f>
        <v>CLEVELAND -05-O</v>
      </c>
      <c r="C441" s="112">
        <f>'Sampling Data'!B431</f>
        <v>0</v>
      </c>
      <c r="D441" s="112">
        <f>'Sampling Data'!C431</f>
        <v>2</v>
      </c>
      <c r="E441" s="113">
        <f>'Sampling Data'!D431</f>
        <v>0</v>
      </c>
      <c r="F441" s="113">
        <f>'Sampling Data'!E431</f>
        <v>0</v>
      </c>
      <c r="G441" s="113">
        <f>'Sampling Data'!F431</f>
        <v>0</v>
      </c>
      <c r="H441" s="113">
        <f>'Sampling Data'!G431</f>
        <v>0</v>
      </c>
      <c r="I441" s="112">
        <f>'Sampling Data'!H431</f>
        <v>0</v>
      </c>
      <c r="J441" s="112">
        <f>'Sampling Data'!I431</f>
        <v>1</v>
      </c>
      <c r="K441" s="112">
        <f>'Sampling Data'!J431</f>
        <v>3</v>
      </c>
      <c r="L441" s="111">
        <f>'Sampling Data'!X431</f>
        <v>0</v>
      </c>
      <c r="M441" s="114"/>
      <c r="N441" s="114"/>
      <c r="O441" s="115"/>
      <c r="P441" s="115"/>
      <c r="Q441" s="116"/>
      <c r="R441" s="116"/>
      <c r="S441" s="111">
        <f>Audit[[#This Row],[Audit Losing Candidate]]-Audit[[#This Row],[Losing Candidate]]</f>
        <v>0</v>
      </c>
      <c r="T441" s="111">
        <f>Audit[[#This Row],[Audit Winning Candidate]]-Audit[[#This Row],[Winning Candidate]]</f>
        <v>-2</v>
      </c>
      <c r="U441" s="111">
        <f>Audit[[#This Row],[Audit Candidate 3]]-Audit[[#This Row],[Candidate 3]]</f>
        <v>0</v>
      </c>
      <c r="V441" s="111">
        <f>Audit[[#This Row],[Audit Candidate 4]]-Audit[[#This Row],[Candidate 4]]</f>
        <v>0</v>
      </c>
      <c r="W441" s="111">
        <f>Audit[[#This Row],[Audit Candidate 5]]-Audit[[#This Row],[Candidate 5]]</f>
        <v>0</v>
      </c>
      <c r="X441" s="111">
        <f>Audit[[#This Row],[Audit Candidate 6]]-Audit[[#This Row],[Candidate 6]]</f>
        <v>0</v>
      </c>
      <c r="Y441" s="111">
        <f>SUMIF(Audit[[#This Row],[Difference Loser]:[Difference Candidate 6]], "&gt;0")</f>
        <v>0</v>
      </c>
      <c r="Z441" s="111">
        <f>SUM(Audit[[#This Row],[Difference Loser]:[Difference Candidate 6]])</f>
        <v>-2</v>
      </c>
      <c r="AA441" s="111">
        <f>IF(Audit[[#This Row],[Times p Drawn - With Replacement]]&gt;0, IF(Audit[[#This Row],[Canceled Differences]]&lt;0, Audit[[#This Row],[Max Differences]]+ABS(Audit[[#This Row],[Canceled Differences]]), Audit[[#This Row],[Max Differences]]), 0)</f>
        <v>0</v>
      </c>
      <c r="AB441" s="111">
        <f>'Sampling Data'!P431</f>
        <v>3.0622243998040176E-4</v>
      </c>
      <c r="AC441" s="111">
        <f>IF(
      SUM(Audit[[#This Row],[Audit Losing Candidate]:[Audit Candidate 6]])
      &lt;&gt;0,
      (Audit[[#This Row],[Winning Candidate]]-Audit[[#This Row],[Losing Candidate]]-(Audit[[#This Row],[Audit Winning Candidate]]-Audit[[#This Row],[Audit Losing Candidate]]))/(Audit[[#Totals],[Winning Candidate]]-Audit[[#Totals],[Losing Candidate]]),
      0
)</f>
        <v>0</v>
      </c>
      <c r="AD4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1" s="111">
        <f>IF(Audit[[#This Row],[Max Relative Error (ep)]] = 0, 0, Audit[[#This Row],[Max Relative Error (ep)]]/Audit[[#This Row],[Error Bound (up) - Max. possible relative overstatement]])</f>
        <v>0</v>
      </c>
      <c r="AJ4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41" s="111">
        <f t="shared" si="6"/>
        <v>1</v>
      </c>
      <c r="AL441" s="111">
        <f>PRODUCT($AK$5:AK441)</f>
        <v>8.962823818226312E-2</v>
      </c>
      <c r="AM441" s="109">
        <f>1 - [K-M P Value]</f>
        <v>0.91037176181773694</v>
      </c>
      <c r="AN441" s="111" t="str">
        <f>IF(Audit[[#This Row],[K-M P Value]]&gt;1-'General Info'!$B$16,"Continue", "Stop")</f>
        <v>Stop</v>
      </c>
      <c r="AO441" s="110" t="b">
        <f>IF(Audit[[#This Row],[Status - Continue or stop audit]] = "Continue", TRUE, IF(AN440 = "Continue", TRUE, FALSE))</f>
        <v>0</v>
      </c>
      <c r="AP441" s="110"/>
    </row>
    <row r="442" spans="1:42" ht="15" hidden="1" customHeight="1">
      <c r="A442" s="111" t="str">
        <f>'Sampling Data'!W432</f>
        <v/>
      </c>
      <c r="B442" s="112" t="str">
        <f>'Sampling Data'!A432</f>
        <v>CLEVELAND -05-O - ABS</v>
      </c>
      <c r="C442" s="112">
        <f>'Sampling Data'!B432</f>
        <v>0</v>
      </c>
      <c r="D442" s="112">
        <f>'Sampling Data'!C432</f>
        <v>0</v>
      </c>
      <c r="E442" s="113">
        <f>'Sampling Data'!D432</f>
        <v>0</v>
      </c>
      <c r="F442" s="113">
        <f>'Sampling Data'!E432</f>
        <v>0</v>
      </c>
      <c r="G442" s="113">
        <f>'Sampling Data'!F432</f>
        <v>0</v>
      </c>
      <c r="H442" s="113">
        <f>'Sampling Data'!G432</f>
        <v>0</v>
      </c>
      <c r="I442" s="112">
        <f>'Sampling Data'!H432</f>
        <v>0</v>
      </c>
      <c r="J442" s="112">
        <f>'Sampling Data'!I432</f>
        <v>0</v>
      </c>
      <c r="K442" s="112">
        <f>'Sampling Data'!J432</f>
        <v>0</v>
      </c>
      <c r="L442" s="111">
        <f>'Sampling Data'!X432</f>
        <v>0</v>
      </c>
      <c r="M442" s="114"/>
      <c r="N442" s="114"/>
      <c r="O442" s="115"/>
      <c r="P442" s="115"/>
      <c r="Q442" s="116"/>
      <c r="R442" s="116"/>
      <c r="S442" s="111">
        <f>Audit[[#This Row],[Audit Losing Candidate]]-Audit[[#This Row],[Losing Candidate]]</f>
        <v>0</v>
      </c>
      <c r="T442" s="111">
        <f>Audit[[#This Row],[Audit Winning Candidate]]-Audit[[#This Row],[Winning Candidate]]</f>
        <v>0</v>
      </c>
      <c r="U442" s="111">
        <f>Audit[[#This Row],[Audit Candidate 3]]-Audit[[#This Row],[Candidate 3]]</f>
        <v>0</v>
      </c>
      <c r="V442" s="111">
        <f>Audit[[#This Row],[Audit Candidate 4]]-Audit[[#This Row],[Candidate 4]]</f>
        <v>0</v>
      </c>
      <c r="W442" s="111">
        <f>Audit[[#This Row],[Audit Candidate 5]]-Audit[[#This Row],[Candidate 5]]</f>
        <v>0</v>
      </c>
      <c r="X442" s="111">
        <f>Audit[[#This Row],[Audit Candidate 6]]-Audit[[#This Row],[Candidate 6]]</f>
        <v>0</v>
      </c>
      <c r="Y442" s="111">
        <f>SUMIF(Audit[[#This Row],[Difference Loser]:[Difference Candidate 6]], "&gt;0")</f>
        <v>0</v>
      </c>
      <c r="Z442" s="111">
        <f>SUM(Audit[[#This Row],[Difference Loser]:[Difference Candidate 6]])</f>
        <v>0</v>
      </c>
      <c r="AA442" s="111">
        <f>IF(Audit[[#This Row],[Times p Drawn - With Replacement]]&gt;0, IF(Audit[[#This Row],[Canceled Differences]]&lt;0, Audit[[#This Row],[Max Differences]]+ABS(Audit[[#This Row],[Canceled Differences]]), Audit[[#This Row],[Max Differences]]), 0)</f>
        <v>0</v>
      </c>
      <c r="AB442" s="111">
        <f>'Sampling Data'!P432</f>
        <v>0</v>
      </c>
      <c r="AC442" s="111">
        <f>IF(
      SUM(Audit[[#This Row],[Audit Losing Candidate]:[Audit Candidate 6]])
      &lt;&gt;0,
      (Audit[[#This Row],[Winning Candidate]]-Audit[[#This Row],[Losing Candidate]]-(Audit[[#This Row],[Audit Winning Candidate]]-Audit[[#This Row],[Audit Losing Candidate]]))/(Audit[[#Totals],[Winning Candidate]]-Audit[[#Totals],[Losing Candidate]]),
      0
)</f>
        <v>0</v>
      </c>
      <c r="AD4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2" s="111">
        <f>IF(Audit[[#This Row],[Max Relative Error (ep)]] = 0, 0, Audit[[#This Row],[Max Relative Error (ep)]]/Audit[[#This Row],[Error Bound (up) - Max. possible relative overstatement]])</f>
        <v>0</v>
      </c>
      <c r="AJ4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42" s="111">
        <f t="shared" si="6"/>
        <v>1</v>
      </c>
      <c r="AL442" s="111">
        <f>PRODUCT($AK$5:AK442)</f>
        <v>8.962823818226312E-2</v>
      </c>
      <c r="AM442" s="109">
        <f>1 - [K-M P Value]</f>
        <v>0.91037176181773694</v>
      </c>
      <c r="AN442" s="111" t="str">
        <f>IF(Audit[[#This Row],[K-M P Value]]&gt;1-'General Info'!$B$16,"Continue", "Stop")</f>
        <v>Stop</v>
      </c>
      <c r="AO442" s="110" t="b">
        <f>IF(Audit[[#This Row],[Status - Continue or stop audit]] = "Continue", TRUE, IF(AN441 = "Continue", TRUE, FALSE))</f>
        <v>0</v>
      </c>
      <c r="AP442" s="110"/>
    </row>
    <row r="443" spans="1:42" ht="15" hidden="1" customHeight="1">
      <c r="A443" s="111" t="str">
        <f>'Sampling Data'!W433</f>
        <v/>
      </c>
      <c r="B443" s="112" t="str">
        <f>'Sampling Data'!A433</f>
        <v>CLEVELAND -05-P</v>
      </c>
      <c r="C443" s="112">
        <f>'Sampling Data'!B433</f>
        <v>1</v>
      </c>
      <c r="D443" s="112">
        <f>'Sampling Data'!C433</f>
        <v>0</v>
      </c>
      <c r="E443" s="113">
        <f>'Sampling Data'!D433</f>
        <v>0</v>
      </c>
      <c r="F443" s="113">
        <f>'Sampling Data'!E433</f>
        <v>0</v>
      </c>
      <c r="G443" s="113">
        <f>'Sampling Data'!F433</f>
        <v>0</v>
      </c>
      <c r="H443" s="113">
        <f>'Sampling Data'!G433</f>
        <v>0</v>
      </c>
      <c r="I443" s="112">
        <f>'Sampling Data'!H433</f>
        <v>0</v>
      </c>
      <c r="J443" s="112">
        <f>'Sampling Data'!I433</f>
        <v>0</v>
      </c>
      <c r="K443" s="112">
        <f>'Sampling Data'!J433</f>
        <v>1</v>
      </c>
      <c r="L443" s="111">
        <f>'Sampling Data'!X433</f>
        <v>0</v>
      </c>
      <c r="M443" s="114"/>
      <c r="N443" s="114"/>
      <c r="O443" s="115"/>
      <c r="P443" s="115"/>
      <c r="Q443" s="116"/>
      <c r="R443" s="116"/>
      <c r="S443" s="111">
        <f>Audit[[#This Row],[Audit Losing Candidate]]-Audit[[#This Row],[Losing Candidate]]</f>
        <v>-1</v>
      </c>
      <c r="T443" s="111">
        <f>Audit[[#This Row],[Audit Winning Candidate]]-Audit[[#This Row],[Winning Candidate]]</f>
        <v>0</v>
      </c>
      <c r="U443" s="111">
        <f>Audit[[#This Row],[Audit Candidate 3]]-Audit[[#This Row],[Candidate 3]]</f>
        <v>0</v>
      </c>
      <c r="V443" s="111">
        <f>Audit[[#This Row],[Audit Candidate 4]]-Audit[[#This Row],[Candidate 4]]</f>
        <v>0</v>
      </c>
      <c r="W443" s="111">
        <f>Audit[[#This Row],[Audit Candidate 5]]-Audit[[#This Row],[Candidate 5]]</f>
        <v>0</v>
      </c>
      <c r="X443" s="111">
        <f>Audit[[#This Row],[Audit Candidate 6]]-Audit[[#This Row],[Candidate 6]]</f>
        <v>0</v>
      </c>
      <c r="Y443" s="111">
        <f>SUMIF(Audit[[#This Row],[Difference Loser]:[Difference Candidate 6]], "&gt;0")</f>
        <v>0</v>
      </c>
      <c r="Z443" s="111">
        <f>SUM(Audit[[#This Row],[Difference Loser]:[Difference Candidate 6]])</f>
        <v>-1</v>
      </c>
      <c r="AA443" s="111">
        <f>IF(Audit[[#This Row],[Times p Drawn - With Replacement]]&gt;0, IF(Audit[[#This Row],[Canceled Differences]]&lt;0, Audit[[#This Row],[Max Differences]]+ABS(Audit[[#This Row],[Canceled Differences]]), Audit[[#This Row],[Max Differences]]), 0)</f>
        <v>0</v>
      </c>
      <c r="AB443" s="111">
        <f>'Sampling Data'!P433</f>
        <v>3.2261186566441917E-5</v>
      </c>
      <c r="AC443" s="111">
        <f>IF(
      SUM(Audit[[#This Row],[Audit Losing Candidate]:[Audit Candidate 6]])
      &lt;&gt;0,
      (Audit[[#This Row],[Winning Candidate]]-Audit[[#This Row],[Losing Candidate]]-(Audit[[#This Row],[Audit Winning Candidate]]-Audit[[#This Row],[Audit Losing Candidate]]))/(Audit[[#Totals],[Winning Candidate]]-Audit[[#Totals],[Losing Candidate]]),
      0
)</f>
        <v>0</v>
      </c>
      <c r="AD4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3" s="111">
        <f>IF(Audit[[#This Row],[Max Relative Error (ep)]] = 0, 0, Audit[[#This Row],[Max Relative Error (ep)]]/Audit[[#This Row],[Error Bound (up) - Max. possible relative overstatement]])</f>
        <v>0</v>
      </c>
      <c r="AJ4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43" s="111">
        <f t="shared" si="6"/>
        <v>1</v>
      </c>
      <c r="AL443" s="111">
        <f>PRODUCT($AK$5:AK443)</f>
        <v>8.962823818226312E-2</v>
      </c>
      <c r="AM443" s="109">
        <f>1 - [K-M P Value]</f>
        <v>0.91037176181773694</v>
      </c>
      <c r="AN443" s="111" t="str">
        <f>IF(Audit[[#This Row],[K-M P Value]]&gt;1-'General Info'!$B$16,"Continue", "Stop")</f>
        <v>Stop</v>
      </c>
      <c r="AO443" s="110" t="b">
        <f>IF(Audit[[#This Row],[Status - Continue or stop audit]] = "Continue", TRUE, IF(AN442 = "Continue", TRUE, FALSE))</f>
        <v>0</v>
      </c>
      <c r="AP443" s="110"/>
    </row>
    <row r="444" spans="1:42" ht="15" hidden="1" customHeight="1">
      <c r="A444" s="111" t="str">
        <f>'Sampling Data'!W434</f>
        <v/>
      </c>
      <c r="B444" s="112" t="str">
        <f>'Sampling Data'!A434</f>
        <v>CLEVELAND -05-P - ABS</v>
      </c>
      <c r="C444" s="112">
        <f>'Sampling Data'!B434</f>
        <v>0</v>
      </c>
      <c r="D444" s="112">
        <f>'Sampling Data'!C434</f>
        <v>3</v>
      </c>
      <c r="E444" s="113">
        <f>'Sampling Data'!D434</f>
        <v>1</v>
      </c>
      <c r="F444" s="113">
        <f>'Sampling Data'!E434</f>
        <v>0</v>
      </c>
      <c r="G444" s="113">
        <f>'Sampling Data'!F434</f>
        <v>0</v>
      </c>
      <c r="H444" s="113">
        <f>'Sampling Data'!G434</f>
        <v>0</v>
      </c>
      <c r="I444" s="112">
        <f>'Sampling Data'!H434</f>
        <v>0</v>
      </c>
      <c r="J444" s="112">
        <f>'Sampling Data'!I434</f>
        <v>0</v>
      </c>
      <c r="K444" s="112">
        <f>'Sampling Data'!J434</f>
        <v>4</v>
      </c>
      <c r="L444" s="111">
        <f>'Sampling Data'!X434</f>
        <v>0</v>
      </c>
      <c r="M444" s="114"/>
      <c r="N444" s="114"/>
      <c r="O444" s="115"/>
      <c r="P444" s="115"/>
      <c r="Q444" s="116"/>
      <c r="R444" s="116"/>
      <c r="S444" s="111">
        <f>Audit[[#This Row],[Audit Losing Candidate]]-Audit[[#This Row],[Losing Candidate]]</f>
        <v>0</v>
      </c>
      <c r="T444" s="111">
        <f>Audit[[#This Row],[Audit Winning Candidate]]-Audit[[#This Row],[Winning Candidate]]</f>
        <v>-3</v>
      </c>
      <c r="U444" s="111">
        <f>Audit[[#This Row],[Audit Candidate 3]]-Audit[[#This Row],[Candidate 3]]</f>
        <v>-1</v>
      </c>
      <c r="V444" s="111">
        <f>Audit[[#This Row],[Audit Candidate 4]]-Audit[[#This Row],[Candidate 4]]</f>
        <v>0</v>
      </c>
      <c r="W444" s="111">
        <f>Audit[[#This Row],[Audit Candidate 5]]-Audit[[#This Row],[Candidate 5]]</f>
        <v>0</v>
      </c>
      <c r="X444" s="111">
        <f>Audit[[#This Row],[Audit Candidate 6]]-Audit[[#This Row],[Candidate 6]]</f>
        <v>0</v>
      </c>
      <c r="Y444" s="111">
        <f>SUMIF(Audit[[#This Row],[Difference Loser]:[Difference Candidate 6]], "&gt;0")</f>
        <v>0</v>
      </c>
      <c r="Z444" s="111">
        <f>SUM(Audit[[#This Row],[Difference Loser]:[Difference Candidate 6]])</f>
        <v>-4</v>
      </c>
      <c r="AA444" s="111">
        <f>IF(Audit[[#This Row],[Times p Drawn - With Replacement]]&gt;0, IF(Audit[[#This Row],[Canceled Differences]]&lt;0, Audit[[#This Row],[Max Differences]]+ABS(Audit[[#This Row],[Canceled Differences]]), Audit[[#This Row],[Max Differences]]), 0)</f>
        <v>0</v>
      </c>
      <c r="AB444" s="111">
        <f>'Sampling Data'!P434</f>
        <v>4.2871141597256246E-4</v>
      </c>
      <c r="AC444" s="111">
        <f>IF(
      SUM(Audit[[#This Row],[Audit Losing Candidate]:[Audit Candidate 6]])
      &lt;&gt;0,
      (Audit[[#This Row],[Winning Candidate]]-Audit[[#This Row],[Losing Candidate]]-(Audit[[#This Row],[Audit Winning Candidate]]-Audit[[#This Row],[Audit Losing Candidate]]))/(Audit[[#Totals],[Winning Candidate]]-Audit[[#Totals],[Losing Candidate]]),
      0
)</f>
        <v>0</v>
      </c>
      <c r="AD4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4" s="111">
        <f>IF(Audit[[#This Row],[Max Relative Error (ep)]] = 0, 0, Audit[[#This Row],[Max Relative Error (ep)]]/Audit[[#This Row],[Error Bound (up) - Max. possible relative overstatement]])</f>
        <v>0</v>
      </c>
      <c r="AJ4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44" s="111">
        <f t="shared" si="6"/>
        <v>1</v>
      </c>
      <c r="AL444" s="111">
        <f>PRODUCT($AK$5:AK444)</f>
        <v>8.962823818226312E-2</v>
      </c>
      <c r="AM444" s="109">
        <f>1 - [K-M P Value]</f>
        <v>0.91037176181773694</v>
      </c>
      <c r="AN444" s="111" t="str">
        <f>IF(Audit[[#This Row],[K-M P Value]]&gt;1-'General Info'!$B$16,"Continue", "Stop")</f>
        <v>Stop</v>
      </c>
      <c r="AO444" s="110" t="b">
        <f>IF(Audit[[#This Row],[Status - Continue or stop audit]] = "Continue", TRUE, IF(AN443 = "Continue", TRUE, FALSE))</f>
        <v>0</v>
      </c>
      <c r="AP444" s="110"/>
    </row>
    <row r="445" spans="1:42" ht="15" hidden="1" customHeight="1">
      <c r="A445" s="111" t="str">
        <f>'Sampling Data'!W435</f>
        <v/>
      </c>
      <c r="B445" s="112" t="str">
        <f>'Sampling Data'!A435</f>
        <v>CLEVELAND -05-Q</v>
      </c>
      <c r="C445" s="112">
        <f>'Sampling Data'!B435</f>
        <v>0</v>
      </c>
      <c r="D445" s="112">
        <f>'Sampling Data'!C435</f>
        <v>0</v>
      </c>
      <c r="E445" s="113">
        <f>'Sampling Data'!D435</f>
        <v>0</v>
      </c>
      <c r="F445" s="113">
        <f>'Sampling Data'!E435</f>
        <v>0</v>
      </c>
      <c r="G445" s="113">
        <f>'Sampling Data'!F435</f>
        <v>0</v>
      </c>
      <c r="H445" s="113">
        <f>'Sampling Data'!G435</f>
        <v>0</v>
      </c>
      <c r="I445" s="112">
        <f>'Sampling Data'!H435</f>
        <v>0</v>
      </c>
      <c r="J445" s="112">
        <f>'Sampling Data'!I435</f>
        <v>0</v>
      </c>
      <c r="K445" s="112">
        <f>'Sampling Data'!J435</f>
        <v>0</v>
      </c>
      <c r="L445" s="111">
        <f>'Sampling Data'!X435</f>
        <v>0</v>
      </c>
      <c r="M445" s="114"/>
      <c r="N445" s="114"/>
      <c r="O445" s="115"/>
      <c r="P445" s="115"/>
      <c r="Q445" s="116"/>
      <c r="R445" s="116"/>
      <c r="S445" s="111">
        <f>Audit[[#This Row],[Audit Losing Candidate]]-Audit[[#This Row],[Losing Candidate]]</f>
        <v>0</v>
      </c>
      <c r="T445" s="111">
        <f>Audit[[#This Row],[Audit Winning Candidate]]-Audit[[#This Row],[Winning Candidate]]</f>
        <v>0</v>
      </c>
      <c r="U445" s="111">
        <f>Audit[[#This Row],[Audit Candidate 3]]-Audit[[#This Row],[Candidate 3]]</f>
        <v>0</v>
      </c>
      <c r="V445" s="111">
        <f>Audit[[#This Row],[Audit Candidate 4]]-Audit[[#This Row],[Candidate 4]]</f>
        <v>0</v>
      </c>
      <c r="W445" s="111">
        <f>Audit[[#This Row],[Audit Candidate 5]]-Audit[[#This Row],[Candidate 5]]</f>
        <v>0</v>
      </c>
      <c r="X445" s="111">
        <f>Audit[[#This Row],[Audit Candidate 6]]-Audit[[#This Row],[Candidate 6]]</f>
        <v>0</v>
      </c>
      <c r="Y445" s="111">
        <f>SUMIF(Audit[[#This Row],[Difference Loser]:[Difference Candidate 6]], "&gt;0")</f>
        <v>0</v>
      </c>
      <c r="Z445" s="111">
        <f>SUM(Audit[[#This Row],[Difference Loser]:[Difference Candidate 6]])</f>
        <v>0</v>
      </c>
      <c r="AA445" s="111">
        <f>IF(Audit[[#This Row],[Times p Drawn - With Replacement]]&gt;0, IF(Audit[[#This Row],[Canceled Differences]]&lt;0, Audit[[#This Row],[Max Differences]]+ABS(Audit[[#This Row],[Canceled Differences]]), Audit[[#This Row],[Max Differences]]), 0)</f>
        <v>0</v>
      </c>
      <c r="AB445" s="111">
        <f>'Sampling Data'!P435</f>
        <v>0</v>
      </c>
      <c r="AC445" s="111">
        <f>IF(
      SUM(Audit[[#This Row],[Audit Losing Candidate]:[Audit Candidate 6]])
      &lt;&gt;0,
      (Audit[[#This Row],[Winning Candidate]]-Audit[[#This Row],[Losing Candidate]]-(Audit[[#This Row],[Audit Winning Candidate]]-Audit[[#This Row],[Audit Losing Candidate]]))/(Audit[[#Totals],[Winning Candidate]]-Audit[[#Totals],[Losing Candidate]]),
      0
)</f>
        <v>0</v>
      </c>
      <c r="AD4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5" s="111">
        <f>IF(Audit[[#This Row],[Max Relative Error (ep)]] = 0, 0, Audit[[#This Row],[Max Relative Error (ep)]]/Audit[[#This Row],[Error Bound (up) - Max. possible relative overstatement]])</f>
        <v>0</v>
      </c>
      <c r="AJ4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45" s="111">
        <f t="shared" si="6"/>
        <v>1</v>
      </c>
      <c r="AL445" s="111">
        <f>PRODUCT($AK$5:AK445)</f>
        <v>8.962823818226312E-2</v>
      </c>
      <c r="AM445" s="109">
        <f>1 - [K-M P Value]</f>
        <v>0.91037176181773694</v>
      </c>
      <c r="AN445" s="111" t="str">
        <f>IF(Audit[[#This Row],[K-M P Value]]&gt;1-'General Info'!$B$16,"Continue", "Stop")</f>
        <v>Stop</v>
      </c>
      <c r="AO445" s="110" t="b">
        <f>IF(Audit[[#This Row],[Status - Continue or stop audit]] = "Continue", TRUE, IF(AN444 = "Continue", TRUE, FALSE))</f>
        <v>0</v>
      </c>
      <c r="AP445" s="110"/>
    </row>
    <row r="446" spans="1:42" ht="15" hidden="1" customHeight="1">
      <c r="A446" s="111" t="str">
        <f>'Sampling Data'!W436</f>
        <v/>
      </c>
      <c r="B446" s="112" t="str">
        <f>'Sampling Data'!A436</f>
        <v>CLEVELAND -05-Q - ABS</v>
      </c>
      <c r="C446" s="112">
        <f>'Sampling Data'!B436</f>
        <v>0</v>
      </c>
      <c r="D446" s="112">
        <f>'Sampling Data'!C436</f>
        <v>0</v>
      </c>
      <c r="E446" s="113">
        <f>'Sampling Data'!D436</f>
        <v>0</v>
      </c>
      <c r="F446" s="113">
        <f>'Sampling Data'!E436</f>
        <v>0</v>
      </c>
      <c r="G446" s="113">
        <f>'Sampling Data'!F436</f>
        <v>0</v>
      </c>
      <c r="H446" s="113">
        <f>'Sampling Data'!G436</f>
        <v>0</v>
      </c>
      <c r="I446" s="112">
        <f>'Sampling Data'!H436</f>
        <v>0</v>
      </c>
      <c r="J446" s="112">
        <f>'Sampling Data'!I436</f>
        <v>0</v>
      </c>
      <c r="K446" s="112">
        <f>'Sampling Data'!J436</f>
        <v>0</v>
      </c>
      <c r="L446" s="111">
        <f>'Sampling Data'!X436</f>
        <v>0</v>
      </c>
      <c r="M446" s="114"/>
      <c r="N446" s="114"/>
      <c r="O446" s="115"/>
      <c r="P446" s="115"/>
      <c r="Q446" s="116"/>
      <c r="R446" s="116"/>
      <c r="S446" s="111">
        <f>Audit[[#This Row],[Audit Losing Candidate]]-Audit[[#This Row],[Losing Candidate]]</f>
        <v>0</v>
      </c>
      <c r="T446" s="111">
        <f>Audit[[#This Row],[Audit Winning Candidate]]-Audit[[#This Row],[Winning Candidate]]</f>
        <v>0</v>
      </c>
      <c r="U446" s="111">
        <f>Audit[[#This Row],[Audit Candidate 3]]-Audit[[#This Row],[Candidate 3]]</f>
        <v>0</v>
      </c>
      <c r="V446" s="111">
        <f>Audit[[#This Row],[Audit Candidate 4]]-Audit[[#This Row],[Candidate 4]]</f>
        <v>0</v>
      </c>
      <c r="W446" s="111">
        <f>Audit[[#This Row],[Audit Candidate 5]]-Audit[[#This Row],[Candidate 5]]</f>
        <v>0</v>
      </c>
      <c r="X446" s="111">
        <f>Audit[[#This Row],[Audit Candidate 6]]-Audit[[#This Row],[Candidate 6]]</f>
        <v>0</v>
      </c>
      <c r="Y446" s="111">
        <f>SUMIF(Audit[[#This Row],[Difference Loser]:[Difference Candidate 6]], "&gt;0")</f>
        <v>0</v>
      </c>
      <c r="Z446" s="111">
        <f>SUM(Audit[[#This Row],[Difference Loser]:[Difference Candidate 6]])</f>
        <v>0</v>
      </c>
      <c r="AA446" s="111">
        <f>IF(Audit[[#This Row],[Times p Drawn - With Replacement]]&gt;0, IF(Audit[[#This Row],[Canceled Differences]]&lt;0, Audit[[#This Row],[Max Differences]]+ABS(Audit[[#This Row],[Canceled Differences]]), Audit[[#This Row],[Max Differences]]), 0)</f>
        <v>0</v>
      </c>
      <c r="AB446" s="111">
        <f>'Sampling Data'!P436</f>
        <v>0</v>
      </c>
      <c r="AC446" s="111">
        <f>IF(
      SUM(Audit[[#This Row],[Audit Losing Candidate]:[Audit Candidate 6]])
      &lt;&gt;0,
      (Audit[[#This Row],[Winning Candidate]]-Audit[[#This Row],[Losing Candidate]]-(Audit[[#This Row],[Audit Winning Candidate]]-Audit[[#This Row],[Audit Losing Candidate]]))/(Audit[[#Totals],[Winning Candidate]]-Audit[[#Totals],[Losing Candidate]]),
      0
)</f>
        <v>0</v>
      </c>
      <c r="AD4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6" s="111">
        <f>IF(Audit[[#This Row],[Max Relative Error (ep)]] = 0, 0, Audit[[#This Row],[Max Relative Error (ep)]]/Audit[[#This Row],[Error Bound (up) - Max. possible relative overstatement]])</f>
        <v>0</v>
      </c>
      <c r="AJ4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46" s="111">
        <f t="shared" si="6"/>
        <v>1</v>
      </c>
      <c r="AL446" s="111">
        <f>PRODUCT($AK$5:AK446)</f>
        <v>8.962823818226312E-2</v>
      </c>
      <c r="AM446" s="109">
        <f>1 - [K-M P Value]</f>
        <v>0.91037176181773694</v>
      </c>
      <c r="AN446" s="111" t="str">
        <f>IF(Audit[[#This Row],[K-M P Value]]&gt;1-'General Info'!$B$16,"Continue", "Stop")</f>
        <v>Stop</v>
      </c>
      <c r="AO446" s="110" t="b">
        <f>IF(Audit[[#This Row],[Status - Continue or stop audit]] = "Continue", TRUE, IF(AN445 = "Continue", TRUE, FALSE))</f>
        <v>0</v>
      </c>
      <c r="AP446" s="110"/>
    </row>
    <row r="447" spans="1:42" ht="15" hidden="1" customHeight="1">
      <c r="A447" s="111" t="str">
        <f>'Sampling Data'!W437</f>
        <v/>
      </c>
      <c r="B447" s="112" t="str">
        <f>'Sampling Data'!A437</f>
        <v>CLEVELAND -05-R</v>
      </c>
      <c r="C447" s="112">
        <f>'Sampling Data'!B437</f>
        <v>0</v>
      </c>
      <c r="D447" s="112">
        <f>'Sampling Data'!C437</f>
        <v>1</v>
      </c>
      <c r="E447" s="113">
        <f>'Sampling Data'!D437</f>
        <v>0</v>
      </c>
      <c r="F447" s="113">
        <f>'Sampling Data'!E437</f>
        <v>0</v>
      </c>
      <c r="G447" s="113">
        <f>'Sampling Data'!F437</f>
        <v>0</v>
      </c>
      <c r="H447" s="113">
        <f>'Sampling Data'!G437</f>
        <v>0</v>
      </c>
      <c r="I447" s="112">
        <f>'Sampling Data'!H437</f>
        <v>0</v>
      </c>
      <c r="J447" s="112">
        <f>'Sampling Data'!I437</f>
        <v>0</v>
      </c>
      <c r="K447" s="112">
        <f>'Sampling Data'!J437</f>
        <v>1</v>
      </c>
      <c r="L447" s="111">
        <f>'Sampling Data'!X437</f>
        <v>0</v>
      </c>
      <c r="M447" s="114"/>
      <c r="N447" s="114"/>
      <c r="O447" s="115"/>
      <c r="P447" s="115"/>
      <c r="Q447" s="116"/>
      <c r="R447" s="116"/>
      <c r="S447" s="111">
        <f>Audit[[#This Row],[Audit Losing Candidate]]-Audit[[#This Row],[Losing Candidate]]</f>
        <v>0</v>
      </c>
      <c r="T447" s="111">
        <f>Audit[[#This Row],[Audit Winning Candidate]]-Audit[[#This Row],[Winning Candidate]]</f>
        <v>-1</v>
      </c>
      <c r="U447" s="111">
        <f>Audit[[#This Row],[Audit Candidate 3]]-Audit[[#This Row],[Candidate 3]]</f>
        <v>0</v>
      </c>
      <c r="V447" s="111">
        <f>Audit[[#This Row],[Audit Candidate 4]]-Audit[[#This Row],[Candidate 4]]</f>
        <v>0</v>
      </c>
      <c r="W447" s="111">
        <f>Audit[[#This Row],[Audit Candidate 5]]-Audit[[#This Row],[Candidate 5]]</f>
        <v>0</v>
      </c>
      <c r="X447" s="111">
        <f>Audit[[#This Row],[Audit Candidate 6]]-Audit[[#This Row],[Candidate 6]]</f>
        <v>0</v>
      </c>
      <c r="Y447" s="111">
        <f>SUMIF(Audit[[#This Row],[Difference Loser]:[Difference Candidate 6]], "&gt;0")</f>
        <v>0</v>
      </c>
      <c r="Z447" s="111">
        <f>SUM(Audit[[#This Row],[Difference Loser]:[Difference Candidate 6]])</f>
        <v>-1</v>
      </c>
      <c r="AA447" s="111">
        <f>IF(Audit[[#This Row],[Times p Drawn - With Replacement]]&gt;0, IF(Audit[[#This Row],[Canceled Differences]]&lt;0, Audit[[#This Row],[Max Differences]]+ABS(Audit[[#This Row],[Canceled Differences]]), Audit[[#This Row],[Max Differences]]), 0)</f>
        <v>0</v>
      </c>
      <c r="AB447" s="111">
        <f>'Sampling Data'!P437</f>
        <v>1.224889759921607E-4</v>
      </c>
      <c r="AC447" s="111">
        <f>IF(
      SUM(Audit[[#This Row],[Audit Losing Candidate]:[Audit Candidate 6]])
      &lt;&gt;0,
      (Audit[[#This Row],[Winning Candidate]]-Audit[[#This Row],[Losing Candidate]]-(Audit[[#This Row],[Audit Winning Candidate]]-Audit[[#This Row],[Audit Losing Candidate]]))/(Audit[[#Totals],[Winning Candidate]]-Audit[[#Totals],[Losing Candidate]]),
      0
)</f>
        <v>0</v>
      </c>
      <c r="AD4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7" s="111">
        <f>IF(Audit[[#This Row],[Max Relative Error (ep)]] = 0, 0, Audit[[#This Row],[Max Relative Error (ep)]]/Audit[[#This Row],[Error Bound (up) - Max. possible relative overstatement]])</f>
        <v>0</v>
      </c>
      <c r="AJ4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47" s="111">
        <f t="shared" si="6"/>
        <v>1</v>
      </c>
      <c r="AL447" s="111">
        <f>PRODUCT($AK$5:AK447)</f>
        <v>8.962823818226312E-2</v>
      </c>
      <c r="AM447" s="109">
        <f>1 - [K-M P Value]</f>
        <v>0.91037176181773694</v>
      </c>
      <c r="AN447" s="111" t="str">
        <f>IF(Audit[[#This Row],[K-M P Value]]&gt;1-'General Info'!$B$16,"Continue", "Stop")</f>
        <v>Stop</v>
      </c>
      <c r="AO447" s="110" t="b">
        <f>IF(Audit[[#This Row],[Status - Continue or stop audit]] = "Continue", TRUE, IF(AN446 = "Continue", TRUE, FALSE))</f>
        <v>0</v>
      </c>
      <c r="AP447" s="110"/>
    </row>
    <row r="448" spans="1:42" ht="15" hidden="1" customHeight="1">
      <c r="A448" s="111" t="str">
        <f>'Sampling Data'!W438</f>
        <v/>
      </c>
      <c r="B448" s="112" t="str">
        <f>'Sampling Data'!A438</f>
        <v>CLEVELAND -05-R - ABS</v>
      </c>
      <c r="C448" s="112">
        <f>'Sampling Data'!B438</f>
        <v>0</v>
      </c>
      <c r="D448" s="112">
        <f>'Sampling Data'!C438</f>
        <v>0</v>
      </c>
      <c r="E448" s="113">
        <f>'Sampling Data'!D438</f>
        <v>0</v>
      </c>
      <c r="F448" s="113">
        <f>'Sampling Data'!E438</f>
        <v>0</v>
      </c>
      <c r="G448" s="113">
        <f>'Sampling Data'!F438</f>
        <v>0</v>
      </c>
      <c r="H448" s="113">
        <f>'Sampling Data'!G438</f>
        <v>0</v>
      </c>
      <c r="I448" s="112">
        <f>'Sampling Data'!H438</f>
        <v>0</v>
      </c>
      <c r="J448" s="112">
        <f>'Sampling Data'!I438</f>
        <v>0</v>
      </c>
      <c r="K448" s="112">
        <f>'Sampling Data'!J438</f>
        <v>0</v>
      </c>
      <c r="L448" s="111">
        <f>'Sampling Data'!X438</f>
        <v>0</v>
      </c>
      <c r="M448" s="114"/>
      <c r="N448" s="114"/>
      <c r="O448" s="115"/>
      <c r="P448" s="115"/>
      <c r="Q448" s="116"/>
      <c r="R448" s="116"/>
      <c r="S448" s="111">
        <f>Audit[[#This Row],[Audit Losing Candidate]]-Audit[[#This Row],[Losing Candidate]]</f>
        <v>0</v>
      </c>
      <c r="T448" s="111">
        <f>Audit[[#This Row],[Audit Winning Candidate]]-Audit[[#This Row],[Winning Candidate]]</f>
        <v>0</v>
      </c>
      <c r="U448" s="111">
        <f>Audit[[#This Row],[Audit Candidate 3]]-Audit[[#This Row],[Candidate 3]]</f>
        <v>0</v>
      </c>
      <c r="V448" s="111">
        <f>Audit[[#This Row],[Audit Candidate 4]]-Audit[[#This Row],[Candidate 4]]</f>
        <v>0</v>
      </c>
      <c r="W448" s="111">
        <f>Audit[[#This Row],[Audit Candidate 5]]-Audit[[#This Row],[Candidate 5]]</f>
        <v>0</v>
      </c>
      <c r="X448" s="111">
        <f>Audit[[#This Row],[Audit Candidate 6]]-Audit[[#This Row],[Candidate 6]]</f>
        <v>0</v>
      </c>
      <c r="Y448" s="111">
        <f>SUMIF(Audit[[#This Row],[Difference Loser]:[Difference Candidate 6]], "&gt;0")</f>
        <v>0</v>
      </c>
      <c r="Z448" s="111">
        <f>SUM(Audit[[#This Row],[Difference Loser]:[Difference Candidate 6]])</f>
        <v>0</v>
      </c>
      <c r="AA448" s="111">
        <f>IF(Audit[[#This Row],[Times p Drawn - With Replacement]]&gt;0, IF(Audit[[#This Row],[Canceled Differences]]&lt;0, Audit[[#This Row],[Max Differences]]+ABS(Audit[[#This Row],[Canceled Differences]]), Audit[[#This Row],[Max Differences]]), 0)</f>
        <v>0</v>
      </c>
      <c r="AB448" s="111">
        <f>'Sampling Data'!P438</f>
        <v>0</v>
      </c>
      <c r="AC448" s="111">
        <f>IF(
      SUM(Audit[[#This Row],[Audit Losing Candidate]:[Audit Candidate 6]])
      &lt;&gt;0,
      (Audit[[#This Row],[Winning Candidate]]-Audit[[#This Row],[Losing Candidate]]-(Audit[[#This Row],[Audit Winning Candidate]]-Audit[[#This Row],[Audit Losing Candidate]]))/(Audit[[#Totals],[Winning Candidate]]-Audit[[#Totals],[Losing Candidate]]),
      0
)</f>
        <v>0</v>
      </c>
      <c r="AD4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8" s="111">
        <f>IF(Audit[[#This Row],[Max Relative Error (ep)]] = 0, 0, Audit[[#This Row],[Max Relative Error (ep)]]/Audit[[#This Row],[Error Bound (up) - Max. possible relative overstatement]])</f>
        <v>0</v>
      </c>
      <c r="AJ4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48" s="111">
        <f t="shared" si="6"/>
        <v>1</v>
      </c>
      <c r="AL448" s="111">
        <f>PRODUCT($AK$5:AK448)</f>
        <v>8.962823818226312E-2</v>
      </c>
      <c r="AM448" s="109">
        <f>1 - [K-M P Value]</f>
        <v>0.91037176181773694</v>
      </c>
      <c r="AN448" s="111" t="str">
        <f>IF(Audit[[#This Row],[K-M P Value]]&gt;1-'General Info'!$B$16,"Continue", "Stop")</f>
        <v>Stop</v>
      </c>
      <c r="AO448" s="110" t="b">
        <f>IF(Audit[[#This Row],[Status - Continue or stop audit]] = "Continue", TRUE, IF(AN447 = "Continue", TRUE, FALSE))</f>
        <v>0</v>
      </c>
      <c r="AP448" s="110"/>
    </row>
    <row r="449" spans="1:42" ht="15" hidden="1" customHeight="1">
      <c r="A449" s="111" t="str">
        <f>'Sampling Data'!W439</f>
        <v/>
      </c>
      <c r="B449" s="112" t="str">
        <f>'Sampling Data'!A439</f>
        <v>CLEVELAND -05-S</v>
      </c>
      <c r="C449" s="112">
        <f>'Sampling Data'!B439</f>
        <v>2</v>
      </c>
      <c r="D449" s="112">
        <f>'Sampling Data'!C439</f>
        <v>1</v>
      </c>
      <c r="E449" s="113">
        <f>'Sampling Data'!D439</f>
        <v>0</v>
      </c>
      <c r="F449" s="113">
        <f>'Sampling Data'!E439</f>
        <v>0</v>
      </c>
      <c r="G449" s="113">
        <f>'Sampling Data'!F439</f>
        <v>0</v>
      </c>
      <c r="H449" s="113">
        <f>'Sampling Data'!G439</f>
        <v>0</v>
      </c>
      <c r="I449" s="112">
        <f>'Sampling Data'!H439</f>
        <v>0</v>
      </c>
      <c r="J449" s="112">
        <f>'Sampling Data'!I439</f>
        <v>0</v>
      </c>
      <c r="K449" s="112">
        <f>'Sampling Data'!J439</f>
        <v>3</v>
      </c>
      <c r="L449" s="111">
        <f>'Sampling Data'!X439</f>
        <v>0</v>
      </c>
      <c r="M449" s="114"/>
      <c r="N449" s="114"/>
      <c r="O449" s="115"/>
      <c r="P449" s="115"/>
      <c r="Q449" s="116"/>
      <c r="R449" s="116"/>
      <c r="S449" s="111">
        <f>Audit[[#This Row],[Audit Losing Candidate]]-Audit[[#This Row],[Losing Candidate]]</f>
        <v>-2</v>
      </c>
      <c r="T449" s="111">
        <f>Audit[[#This Row],[Audit Winning Candidate]]-Audit[[#This Row],[Winning Candidate]]</f>
        <v>-1</v>
      </c>
      <c r="U449" s="111">
        <f>Audit[[#This Row],[Audit Candidate 3]]-Audit[[#This Row],[Candidate 3]]</f>
        <v>0</v>
      </c>
      <c r="V449" s="111">
        <f>Audit[[#This Row],[Audit Candidate 4]]-Audit[[#This Row],[Candidate 4]]</f>
        <v>0</v>
      </c>
      <c r="W449" s="111">
        <f>Audit[[#This Row],[Audit Candidate 5]]-Audit[[#This Row],[Candidate 5]]</f>
        <v>0</v>
      </c>
      <c r="X449" s="111">
        <f>Audit[[#This Row],[Audit Candidate 6]]-Audit[[#This Row],[Candidate 6]]</f>
        <v>0</v>
      </c>
      <c r="Y449" s="111">
        <f>SUMIF(Audit[[#This Row],[Difference Loser]:[Difference Candidate 6]], "&gt;0")</f>
        <v>0</v>
      </c>
      <c r="Z449" s="111">
        <f>SUM(Audit[[#This Row],[Difference Loser]:[Difference Candidate 6]])</f>
        <v>-3</v>
      </c>
      <c r="AA449" s="111">
        <f>IF(Audit[[#This Row],[Times p Drawn - With Replacement]]&gt;0, IF(Audit[[#This Row],[Canceled Differences]]&lt;0, Audit[[#This Row],[Max Differences]]+ABS(Audit[[#This Row],[Canceled Differences]]), Audit[[#This Row],[Max Differences]]), 0)</f>
        <v>0</v>
      </c>
      <c r="AB449" s="111">
        <f>'Sampling Data'!P439</f>
        <v>1.2904474626576767E-4</v>
      </c>
      <c r="AC449" s="111">
        <f>IF(
      SUM(Audit[[#This Row],[Audit Losing Candidate]:[Audit Candidate 6]])
      &lt;&gt;0,
      (Audit[[#This Row],[Winning Candidate]]-Audit[[#This Row],[Losing Candidate]]-(Audit[[#This Row],[Audit Winning Candidate]]-Audit[[#This Row],[Audit Losing Candidate]]))/(Audit[[#Totals],[Winning Candidate]]-Audit[[#Totals],[Losing Candidate]]),
      0
)</f>
        <v>0</v>
      </c>
      <c r="AD4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9" s="111">
        <f>IF(Audit[[#This Row],[Max Relative Error (ep)]] = 0, 0, Audit[[#This Row],[Max Relative Error (ep)]]/Audit[[#This Row],[Error Bound (up) - Max. possible relative overstatement]])</f>
        <v>0</v>
      </c>
      <c r="AJ4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49" s="111">
        <f t="shared" si="6"/>
        <v>1</v>
      </c>
      <c r="AL449" s="111">
        <f>PRODUCT($AK$5:AK449)</f>
        <v>8.962823818226312E-2</v>
      </c>
      <c r="AM449" s="109">
        <f>1 - [K-M P Value]</f>
        <v>0.91037176181773694</v>
      </c>
      <c r="AN449" s="111" t="str">
        <f>IF(Audit[[#This Row],[K-M P Value]]&gt;1-'General Info'!$B$16,"Continue", "Stop")</f>
        <v>Stop</v>
      </c>
      <c r="AO449" s="110" t="b">
        <f>IF(Audit[[#This Row],[Status - Continue or stop audit]] = "Continue", TRUE, IF(AN448 = "Continue", TRUE, FALSE))</f>
        <v>0</v>
      </c>
      <c r="AP449" s="110"/>
    </row>
    <row r="450" spans="1:42" ht="15" hidden="1" customHeight="1">
      <c r="A450" s="111" t="str">
        <f>'Sampling Data'!W440</f>
        <v/>
      </c>
      <c r="B450" s="112" t="str">
        <f>'Sampling Data'!A440</f>
        <v>CLEVELAND -05-S - ABS</v>
      </c>
      <c r="C450" s="112">
        <f>'Sampling Data'!B440</f>
        <v>0</v>
      </c>
      <c r="D450" s="112">
        <f>'Sampling Data'!C440</f>
        <v>0</v>
      </c>
      <c r="E450" s="113">
        <f>'Sampling Data'!D440</f>
        <v>0</v>
      </c>
      <c r="F450" s="113">
        <f>'Sampling Data'!E440</f>
        <v>0</v>
      </c>
      <c r="G450" s="113">
        <f>'Sampling Data'!F440</f>
        <v>0</v>
      </c>
      <c r="H450" s="113">
        <f>'Sampling Data'!G440</f>
        <v>0</v>
      </c>
      <c r="I450" s="112">
        <f>'Sampling Data'!H440</f>
        <v>0</v>
      </c>
      <c r="J450" s="112">
        <f>'Sampling Data'!I440</f>
        <v>0</v>
      </c>
      <c r="K450" s="112">
        <f>'Sampling Data'!J440</f>
        <v>0</v>
      </c>
      <c r="L450" s="111">
        <f>'Sampling Data'!X440</f>
        <v>0</v>
      </c>
      <c r="M450" s="114"/>
      <c r="N450" s="114"/>
      <c r="O450" s="115"/>
      <c r="P450" s="115"/>
      <c r="Q450" s="116"/>
      <c r="R450" s="116"/>
      <c r="S450" s="111">
        <f>Audit[[#This Row],[Audit Losing Candidate]]-Audit[[#This Row],[Losing Candidate]]</f>
        <v>0</v>
      </c>
      <c r="T450" s="111">
        <f>Audit[[#This Row],[Audit Winning Candidate]]-Audit[[#This Row],[Winning Candidate]]</f>
        <v>0</v>
      </c>
      <c r="U450" s="111">
        <f>Audit[[#This Row],[Audit Candidate 3]]-Audit[[#This Row],[Candidate 3]]</f>
        <v>0</v>
      </c>
      <c r="V450" s="111">
        <f>Audit[[#This Row],[Audit Candidate 4]]-Audit[[#This Row],[Candidate 4]]</f>
        <v>0</v>
      </c>
      <c r="W450" s="111">
        <f>Audit[[#This Row],[Audit Candidate 5]]-Audit[[#This Row],[Candidate 5]]</f>
        <v>0</v>
      </c>
      <c r="X450" s="111">
        <f>Audit[[#This Row],[Audit Candidate 6]]-Audit[[#This Row],[Candidate 6]]</f>
        <v>0</v>
      </c>
      <c r="Y450" s="111">
        <f>SUMIF(Audit[[#This Row],[Difference Loser]:[Difference Candidate 6]], "&gt;0")</f>
        <v>0</v>
      </c>
      <c r="Z450" s="111">
        <f>SUM(Audit[[#This Row],[Difference Loser]:[Difference Candidate 6]])</f>
        <v>0</v>
      </c>
      <c r="AA450" s="111">
        <f>IF(Audit[[#This Row],[Times p Drawn - With Replacement]]&gt;0, IF(Audit[[#This Row],[Canceled Differences]]&lt;0, Audit[[#This Row],[Max Differences]]+ABS(Audit[[#This Row],[Canceled Differences]]), Audit[[#This Row],[Max Differences]]), 0)</f>
        <v>0</v>
      </c>
      <c r="AB450" s="111">
        <f>'Sampling Data'!P440</f>
        <v>0</v>
      </c>
      <c r="AC450" s="111">
        <f>IF(
      SUM(Audit[[#This Row],[Audit Losing Candidate]:[Audit Candidate 6]])
      &lt;&gt;0,
      (Audit[[#This Row],[Winning Candidate]]-Audit[[#This Row],[Losing Candidate]]-(Audit[[#This Row],[Audit Winning Candidate]]-Audit[[#This Row],[Audit Losing Candidate]]))/(Audit[[#Totals],[Winning Candidate]]-Audit[[#Totals],[Losing Candidate]]),
      0
)</f>
        <v>0</v>
      </c>
      <c r="AD4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0" s="111">
        <f>IF(Audit[[#This Row],[Max Relative Error (ep)]] = 0, 0, Audit[[#This Row],[Max Relative Error (ep)]]/Audit[[#This Row],[Error Bound (up) - Max. possible relative overstatement]])</f>
        <v>0</v>
      </c>
      <c r="AJ4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50" s="111">
        <f t="shared" si="6"/>
        <v>1</v>
      </c>
      <c r="AL450" s="111">
        <f>PRODUCT($AK$5:AK450)</f>
        <v>8.962823818226312E-2</v>
      </c>
      <c r="AM450" s="109">
        <f>1 - [K-M P Value]</f>
        <v>0.91037176181773694</v>
      </c>
      <c r="AN450" s="111" t="str">
        <f>IF(Audit[[#This Row],[K-M P Value]]&gt;1-'General Info'!$B$16,"Continue", "Stop")</f>
        <v>Stop</v>
      </c>
      <c r="AO450" s="110" t="b">
        <f>IF(Audit[[#This Row],[Status - Continue or stop audit]] = "Continue", TRUE, IF(AN449 = "Continue", TRUE, FALSE))</f>
        <v>0</v>
      </c>
      <c r="AP450" s="110"/>
    </row>
    <row r="451" spans="1:42" ht="15" hidden="1" customHeight="1">
      <c r="A451" s="111" t="str">
        <f>'Sampling Data'!W441</f>
        <v/>
      </c>
      <c r="B451" s="112" t="str">
        <f>'Sampling Data'!A441</f>
        <v>CLEVELAND -05-T</v>
      </c>
      <c r="C451" s="112">
        <f>'Sampling Data'!B441</f>
        <v>0</v>
      </c>
      <c r="D451" s="112">
        <f>'Sampling Data'!C441</f>
        <v>0</v>
      </c>
      <c r="E451" s="113">
        <f>'Sampling Data'!D441</f>
        <v>0</v>
      </c>
      <c r="F451" s="113">
        <f>'Sampling Data'!E441</f>
        <v>0</v>
      </c>
      <c r="G451" s="113">
        <f>'Sampling Data'!F441</f>
        <v>0</v>
      </c>
      <c r="H451" s="113">
        <f>'Sampling Data'!G441</f>
        <v>0</v>
      </c>
      <c r="I451" s="112">
        <f>'Sampling Data'!H441</f>
        <v>0</v>
      </c>
      <c r="J451" s="112">
        <f>'Sampling Data'!I441</f>
        <v>0</v>
      </c>
      <c r="K451" s="112">
        <f>'Sampling Data'!J441</f>
        <v>0</v>
      </c>
      <c r="L451" s="111">
        <f>'Sampling Data'!X441</f>
        <v>0</v>
      </c>
      <c r="M451" s="114"/>
      <c r="N451" s="114"/>
      <c r="O451" s="115"/>
      <c r="P451" s="115"/>
      <c r="Q451" s="116"/>
      <c r="R451" s="116"/>
      <c r="S451" s="111">
        <f>Audit[[#This Row],[Audit Losing Candidate]]-Audit[[#This Row],[Losing Candidate]]</f>
        <v>0</v>
      </c>
      <c r="T451" s="111">
        <f>Audit[[#This Row],[Audit Winning Candidate]]-Audit[[#This Row],[Winning Candidate]]</f>
        <v>0</v>
      </c>
      <c r="U451" s="111">
        <f>Audit[[#This Row],[Audit Candidate 3]]-Audit[[#This Row],[Candidate 3]]</f>
        <v>0</v>
      </c>
      <c r="V451" s="111">
        <f>Audit[[#This Row],[Audit Candidate 4]]-Audit[[#This Row],[Candidate 4]]</f>
        <v>0</v>
      </c>
      <c r="W451" s="111">
        <f>Audit[[#This Row],[Audit Candidate 5]]-Audit[[#This Row],[Candidate 5]]</f>
        <v>0</v>
      </c>
      <c r="X451" s="111">
        <f>Audit[[#This Row],[Audit Candidate 6]]-Audit[[#This Row],[Candidate 6]]</f>
        <v>0</v>
      </c>
      <c r="Y451" s="111">
        <f>SUMIF(Audit[[#This Row],[Difference Loser]:[Difference Candidate 6]], "&gt;0")</f>
        <v>0</v>
      </c>
      <c r="Z451" s="111">
        <f>SUM(Audit[[#This Row],[Difference Loser]:[Difference Candidate 6]])</f>
        <v>0</v>
      </c>
      <c r="AA451" s="111">
        <f>IF(Audit[[#This Row],[Times p Drawn - With Replacement]]&gt;0, IF(Audit[[#This Row],[Canceled Differences]]&lt;0, Audit[[#This Row],[Max Differences]]+ABS(Audit[[#This Row],[Canceled Differences]]), Audit[[#This Row],[Max Differences]]), 0)</f>
        <v>0</v>
      </c>
      <c r="AB451" s="111">
        <f>'Sampling Data'!P441</f>
        <v>0</v>
      </c>
      <c r="AC451" s="111">
        <f>IF(
      SUM(Audit[[#This Row],[Audit Losing Candidate]:[Audit Candidate 6]])
      &lt;&gt;0,
      (Audit[[#This Row],[Winning Candidate]]-Audit[[#This Row],[Losing Candidate]]-(Audit[[#This Row],[Audit Winning Candidate]]-Audit[[#This Row],[Audit Losing Candidate]]))/(Audit[[#Totals],[Winning Candidate]]-Audit[[#Totals],[Losing Candidate]]),
      0
)</f>
        <v>0</v>
      </c>
      <c r="AD4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1" s="111">
        <f>IF(Audit[[#This Row],[Max Relative Error (ep)]] = 0, 0, Audit[[#This Row],[Max Relative Error (ep)]]/Audit[[#This Row],[Error Bound (up) - Max. possible relative overstatement]])</f>
        <v>0</v>
      </c>
      <c r="AJ4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51" s="111">
        <f t="shared" si="6"/>
        <v>1</v>
      </c>
      <c r="AL451" s="111">
        <f>PRODUCT($AK$5:AK451)</f>
        <v>8.962823818226312E-2</v>
      </c>
      <c r="AM451" s="109">
        <f>1 - [K-M P Value]</f>
        <v>0.91037176181773694</v>
      </c>
      <c r="AN451" s="111" t="str">
        <f>IF(Audit[[#This Row],[K-M P Value]]&gt;1-'General Info'!$B$16,"Continue", "Stop")</f>
        <v>Stop</v>
      </c>
      <c r="AO451" s="110" t="b">
        <f>IF(Audit[[#This Row],[Status - Continue or stop audit]] = "Continue", TRUE, IF(AN450 = "Continue", TRUE, FALSE))</f>
        <v>0</v>
      </c>
      <c r="AP451" s="110"/>
    </row>
    <row r="452" spans="1:42" ht="15" hidden="1" customHeight="1">
      <c r="A452" s="111" t="str">
        <f>'Sampling Data'!W442</f>
        <v/>
      </c>
      <c r="B452" s="112" t="str">
        <f>'Sampling Data'!A442</f>
        <v>CLEVELAND -05-T - ABS</v>
      </c>
      <c r="C452" s="112">
        <f>'Sampling Data'!B442</f>
        <v>0</v>
      </c>
      <c r="D452" s="112">
        <f>'Sampling Data'!C442</f>
        <v>0</v>
      </c>
      <c r="E452" s="113">
        <f>'Sampling Data'!D442</f>
        <v>0</v>
      </c>
      <c r="F452" s="113">
        <f>'Sampling Data'!E442</f>
        <v>0</v>
      </c>
      <c r="G452" s="113">
        <f>'Sampling Data'!F442</f>
        <v>0</v>
      </c>
      <c r="H452" s="113">
        <f>'Sampling Data'!G442</f>
        <v>0</v>
      </c>
      <c r="I452" s="112">
        <f>'Sampling Data'!H442</f>
        <v>0</v>
      </c>
      <c r="J452" s="112">
        <f>'Sampling Data'!I442</f>
        <v>0</v>
      </c>
      <c r="K452" s="112">
        <f>'Sampling Data'!J442</f>
        <v>0</v>
      </c>
      <c r="L452" s="111">
        <f>'Sampling Data'!X442</f>
        <v>0</v>
      </c>
      <c r="M452" s="114"/>
      <c r="N452" s="114"/>
      <c r="O452" s="115"/>
      <c r="P452" s="115"/>
      <c r="Q452" s="116"/>
      <c r="R452" s="116"/>
      <c r="S452" s="111">
        <f>Audit[[#This Row],[Audit Losing Candidate]]-Audit[[#This Row],[Losing Candidate]]</f>
        <v>0</v>
      </c>
      <c r="T452" s="111">
        <f>Audit[[#This Row],[Audit Winning Candidate]]-Audit[[#This Row],[Winning Candidate]]</f>
        <v>0</v>
      </c>
      <c r="U452" s="111">
        <f>Audit[[#This Row],[Audit Candidate 3]]-Audit[[#This Row],[Candidate 3]]</f>
        <v>0</v>
      </c>
      <c r="V452" s="111">
        <f>Audit[[#This Row],[Audit Candidate 4]]-Audit[[#This Row],[Candidate 4]]</f>
        <v>0</v>
      </c>
      <c r="W452" s="111">
        <f>Audit[[#This Row],[Audit Candidate 5]]-Audit[[#This Row],[Candidate 5]]</f>
        <v>0</v>
      </c>
      <c r="X452" s="111">
        <f>Audit[[#This Row],[Audit Candidate 6]]-Audit[[#This Row],[Candidate 6]]</f>
        <v>0</v>
      </c>
      <c r="Y452" s="111">
        <f>SUMIF(Audit[[#This Row],[Difference Loser]:[Difference Candidate 6]], "&gt;0")</f>
        <v>0</v>
      </c>
      <c r="Z452" s="111">
        <f>SUM(Audit[[#This Row],[Difference Loser]:[Difference Candidate 6]])</f>
        <v>0</v>
      </c>
      <c r="AA452" s="111">
        <f>IF(Audit[[#This Row],[Times p Drawn - With Replacement]]&gt;0, IF(Audit[[#This Row],[Canceled Differences]]&lt;0, Audit[[#This Row],[Max Differences]]+ABS(Audit[[#This Row],[Canceled Differences]]), Audit[[#This Row],[Max Differences]]), 0)</f>
        <v>0</v>
      </c>
      <c r="AB452" s="111">
        <f>'Sampling Data'!P442</f>
        <v>0</v>
      </c>
      <c r="AC452" s="111">
        <f>IF(
      SUM(Audit[[#This Row],[Audit Losing Candidate]:[Audit Candidate 6]])
      &lt;&gt;0,
      (Audit[[#This Row],[Winning Candidate]]-Audit[[#This Row],[Losing Candidate]]-(Audit[[#This Row],[Audit Winning Candidate]]-Audit[[#This Row],[Audit Losing Candidate]]))/(Audit[[#Totals],[Winning Candidate]]-Audit[[#Totals],[Losing Candidate]]),
      0
)</f>
        <v>0</v>
      </c>
      <c r="AD4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2" s="111">
        <f>IF(Audit[[#This Row],[Max Relative Error (ep)]] = 0, 0, Audit[[#This Row],[Max Relative Error (ep)]]/Audit[[#This Row],[Error Bound (up) - Max. possible relative overstatement]])</f>
        <v>0</v>
      </c>
      <c r="AJ4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52" s="111">
        <f t="shared" si="6"/>
        <v>1</v>
      </c>
      <c r="AL452" s="111">
        <f>PRODUCT($AK$5:AK452)</f>
        <v>8.962823818226312E-2</v>
      </c>
      <c r="AM452" s="109">
        <f>1 - [K-M P Value]</f>
        <v>0.91037176181773694</v>
      </c>
      <c r="AN452" s="111" t="str">
        <f>IF(Audit[[#This Row],[K-M P Value]]&gt;1-'General Info'!$B$16,"Continue", "Stop")</f>
        <v>Stop</v>
      </c>
      <c r="AO452" s="110" t="b">
        <f>IF(Audit[[#This Row],[Status - Continue or stop audit]] = "Continue", TRUE, IF(AN451 = "Continue", TRUE, FALSE))</f>
        <v>0</v>
      </c>
      <c r="AP452" s="110"/>
    </row>
    <row r="453" spans="1:42" ht="15" hidden="1" customHeight="1">
      <c r="A453" s="111" t="str">
        <f>'Sampling Data'!W443</f>
        <v/>
      </c>
      <c r="B453" s="112" t="str">
        <f>'Sampling Data'!A443</f>
        <v>CLEVELAND -05-U</v>
      </c>
      <c r="C453" s="112">
        <f>'Sampling Data'!B443</f>
        <v>4</v>
      </c>
      <c r="D453" s="112">
        <f>'Sampling Data'!C443</f>
        <v>0</v>
      </c>
      <c r="E453" s="113">
        <f>'Sampling Data'!D443</f>
        <v>1</v>
      </c>
      <c r="F453" s="113">
        <f>'Sampling Data'!E443</f>
        <v>1</v>
      </c>
      <c r="G453" s="113">
        <f>'Sampling Data'!F443</f>
        <v>0</v>
      </c>
      <c r="H453" s="113">
        <f>'Sampling Data'!G443</f>
        <v>0</v>
      </c>
      <c r="I453" s="112">
        <f>'Sampling Data'!H443</f>
        <v>0</v>
      </c>
      <c r="J453" s="112">
        <f>'Sampling Data'!I443</f>
        <v>0</v>
      </c>
      <c r="K453" s="112">
        <f>'Sampling Data'!J443</f>
        <v>6</v>
      </c>
      <c r="L453" s="111">
        <f>'Sampling Data'!X443</f>
        <v>0</v>
      </c>
      <c r="M453" s="114"/>
      <c r="N453" s="114"/>
      <c r="O453" s="115"/>
      <c r="P453" s="115"/>
      <c r="Q453" s="116"/>
      <c r="R453" s="116"/>
      <c r="S453" s="111">
        <f>Audit[[#This Row],[Audit Losing Candidate]]-Audit[[#This Row],[Losing Candidate]]</f>
        <v>-4</v>
      </c>
      <c r="T453" s="111">
        <f>Audit[[#This Row],[Audit Winning Candidate]]-Audit[[#This Row],[Winning Candidate]]</f>
        <v>0</v>
      </c>
      <c r="U453" s="111">
        <f>Audit[[#This Row],[Audit Candidate 3]]-Audit[[#This Row],[Candidate 3]]</f>
        <v>-1</v>
      </c>
      <c r="V453" s="111">
        <f>Audit[[#This Row],[Audit Candidate 4]]-Audit[[#This Row],[Candidate 4]]</f>
        <v>-1</v>
      </c>
      <c r="W453" s="111">
        <f>Audit[[#This Row],[Audit Candidate 5]]-Audit[[#This Row],[Candidate 5]]</f>
        <v>0</v>
      </c>
      <c r="X453" s="111">
        <f>Audit[[#This Row],[Audit Candidate 6]]-Audit[[#This Row],[Candidate 6]]</f>
        <v>0</v>
      </c>
      <c r="Y453" s="111">
        <f>SUMIF(Audit[[#This Row],[Difference Loser]:[Difference Candidate 6]], "&gt;0")</f>
        <v>0</v>
      </c>
      <c r="Z453" s="111">
        <f>SUM(Audit[[#This Row],[Difference Loser]:[Difference Candidate 6]])</f>
        <v>-6</v>
      </c>
      <c r="AA453" s="111">
        <f>IF(Audit[[#This Row],[Times p Drawn - With Replacement]]&gt;0, IF(Audit[[#This Row],[Canceled Differences]]&lt;0, Audit[[#This Row],[Max Differences]]+ABS(Audit[[#This Row],[Canceled Differences]]), Audit[[#This Row],[Max Differences]]), 0)</f>
        <v>0</v>
      </c>
      <c r="AB453" s="111">
        <f>'Sampling Data'!P443</f>
        <v>1.6130593283220958E-4</v>
      </c>
      <c r="AC453" s="111">
        <f>IF(
      SUM(Audit[[#This Row],[Audit Losing Candidate]:[Audit Candidate 6]])
      &lt;&gt;0,
      (Audit[[#This Row],[Winning Candidate]]-Audit[[#This Row],[Losing Candidate]]-(Audit[[#This Row],[Audit Winning Candidate]]-Audit[[#This Row],[Audit Losing Candidate]]))/(Audit[[#Totals],[Winning Candidate]]-Audit[[#Totals],[Losing Candidate]]),
      0
)</f>
        <v>0</v>
      </c>
      <c r="AD4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3" s="111">
        <f>IF(Audit[[#This Row],[Max Relative Error (ep)]] = 0, 0, Audit[[#This Row],[Max Relative Error (ep)]]/Audit[[#This Row],[Error Bound (up) - Max. possible relative overstatement]])</f>
        <v>0</v>
      </c>
      <c r="AJ4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53" s="111">
        <f t="shared" ref="AK453:AK516" si="7">IF(ISERR(POWER(AJ453,L453)), 0, POWER(AJ453,L453))</f>
        <v>1</v>
      </c>
      <c r="AL453" s="111">
        <f>PRODUCT($AK$5:AK453)</f>
        <v>8.962823818226312E-2</v>
      </c>
      <c r="AM453" s="109">
        <f>1 - [K-M P Value]</f>
        <v>0.91037176181773694</v>
      </c>
      <c r="AN453" s="111" t="str">
        <f>IF(Audit[[#This Row],[K-M P Value]]&gt;1-'General Info'!$B$16,"Continue", "Stop")</f>
        <v>Stop</v>
      </c>
      <c r="AO453" s="110" t="b">
        <f>IF(Audit[[#This Row],[Status - Continue or stop audit]] = "Continue", TRUE, IF(AN452 = "Continue", TRUE, FALSE))</f>
        <v>0</v>
      </c>
      <c r="AP453" s="110"/>
    </row>
    <row r="454" spans="1:42" ht="15" hidden="1" customHeight="1">
      <c r="A454" s="111" t="str">
        <f>'Sampling Data'!W444</f>
        <v/>
      </c>
      <c r="B454" s="112" t="str">
        <f>'Sampling Data'!A444</f>
        <v>CLEVELAND -05-U - ABS</v>
      </c>
      <c r="C454" s="112">
        <f>'Sampling Data'!B444</f>
        <v>0</v>
      </c>
      <c r="D454" s="112">
        <f>'Sampling Data'!C444</f>
        <v>0</v>
      </c>
      <c r="E454" s="113">
        <f>'Sampling Data'!D444</f>
        <v>0</v>
      </c>
      <c r="F454" s="113">
        <f>'Sampling Data'!E444</f>
        <v>0</v>
      </c>
      <c r="G454" s="113">
        <f>'Sampling Data'!F444</f>
        <v>0</v>
      </c>
      <c r="H454" s="113">
        <f>'Sampling Data'!G444</f>
        <v>0</v>
      </c>
      <c r="I454" s="112">
        <f>'Sampling Data'!H444</f>
        <v>0</v>
      </c>
      <c r="J454" s="112">
        <f>'Sampling Data'!I444</f>
        <v>0</v>
      </c>
      <c r="K454" s="112">
        <f>'Sampling Data'!J444</f>
        <v>0</v>
      </c>
      <c r="L454" s="111">
        <f>'Sampling Data'!X444</f>
        <v>0</v>
      </c>
      <c r="M454" s="114"/>
      <c r="N454" s="114"/>
      <c r="O454" s="115"/>
      <c r="P454" s="115"/>
      <c r="Q454" s="116"/>
      <c r="R454" s="116"/>
      <c r="S454" s="111">
        <f>Audit[[#This Row],[Audit Losing Candidate]]-Audit[[#This Row],[Losing Candidate]]</f>
        <v>0</v>
      </c>
      <c r="T454" s="111">
        <f>Audit[[#This Row],[Audit Winning Candidate]]-Audit[[#This Row],[Winning Candidate]]</f>
        <v>0</v>
      </c>
      <c r="U454" s="111">
        <f>Audit[[#This Row],[Audit Candidate 3]]-Audit[[#This Row],[Candidate 3]]</f>
        <v>0</v>
      </c>
      <c r="V454" s="111">
        <f>Audit[[#This Row],[Audit Candidate 4]]-Audit[[#This Row],[Candidate 4]]</f>
        <v>0</v>
      </c>
      <c r="W454" s="111">
        <f>Audit[[#This Row],[Audit Candidate 5]]-Audit[[#This Row],[Candidate 5]]</f>
        <v>0</v>
      </c>
      <c r="X454" s="111">
        <f>Audit[[#This Row],[Audit Candidate 6]]-Audit[[#This Row],[Candidate 6]]</f>
        <v>0</v>
      </c>
      <c r="Y454" s="111">
        <f>SUMIF(Audit[[#This Row],[Difference Loser]:[Difference Candidate 6]], "&gt;0")</f>
        <v>0</v>
      </c>
      <c r="Z454" s="111">
        <f>SUM(Audit[[#This Row],[Difference Loser]:[Difference Candidate 6]])</f>
        <v>0</v>
      </c>
      <c r="AA454" s="111">
        <f>IF(Audit[[#This Row],[Times p Drawn - With Replacement]]&gt;0, IF(Audit[[#This Row],[Canceled Differences]]&lt;0, Audit[[#This Row],[Max Differences]]+ABS(Audit[[#This Row],[Canceled Differences]]), Audit[[#This Row],[Max Differences]]), 0)</f>
        <v>0</v>
      </c>
      <c r="AB454" s="111">
        <f>'Sampling Data'!P444</f>
        <v>0</v>
      </c>
      <c r="AC454" s="111">
        <f>IF(
      SUM(Audit[[#This Row],[Audit Losing Candidate]:[Audit Candidate 6]])
      &lt;&gt;0,
      (Audit[[#This Row],[Winning Candidate]]-Audit[[#This Row],[Losing Candidate]]-(Audit[[#This Row],[Audit Winning Candidate]]-Audit[[#This Row],[Audit Losing Candidate]]))/(Audit[[#Totals],[Winning Candidate]]-Audit[[#Totals],[Losing Candidate]]),
      0
)</f>
        <v>0</v>
      </c>
      <c r="AD4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4" s="111">
        <f>IF(Audit[[#This Row],[Max Relative Error (ep)]] = 0, 0, Audit[[#This Row],[Max Relative Error (ep)]]/Audit[[#This Row],[Error Bound (up) - Max. possible relative overstatement]])</f>
        <v>0</v>
      </c>
      <c r="AJ4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54" s="111">
        <f t="shared" si="7"/>
        <v>1</v>
      </c>
      <c r="AL454" s="111">
        <f>PRODUCT($AK$5:AK454)</f>
        <v>8.962823818226312E-2</v>
      </c>
      <c r="AM454" s="109">
        <f>1 - [K-M P Value]</f>
        <v>0.91037176181773694</v>
      </c>
      <c r="AN454" s="111" t="str">
        <f>IF(Audit[[#This Row],[K-M P Value]]&gt;1-'General Info'!$B$16,"Continue", "Stop")</f>
        <v>Stop</v>
      </c>
      <c r="AO454" s="110" t="b">
        <f>IF(Audit[[#This Row],[Status - Continue or stop audit]] = "Continue", TRUE, IF(AN453 = "Continue", TRUE, FALSE))</f>
        <v>0</v>
      </c>
      <c r="AP454" s="110"/>
    </row>
    <row r="455" spans="1:42" ht="15" hidden="1" customHeight="1">
      <c r="A455" s="111" t="str">
        <f>'Sampling Data'!W445</f>
        <v/>
      </c>
      <c r="B455" s="112" t="str">
        <f>'Sampling Data'!A445</f>
        <v>CLEVELAND -06-A</v>
      </c>
      <c r="C455" s="112">
        <f>'Sampling Data'!B445</f>
        <v>0</v>
      </c>
      <c r="D455" s="112">
        <f>'Sampling Data'!C445</f>
        <v>0</v>
      </c>
      <c r="E455" s="113">
        <f>'Sampling Data'!D445</f>
        <v>0</v>
      </c>
      <c r="F455" s="113">
        <f>'Sampling Data'!E445</f>
        <v>1</v>
      </c>
      <c r="G455" s="113">
        <f>'Sampling Data'!F445</f>
        <v>0</v>
      </c>
      <c r="H455" s="113">
        <f>'Sampling Data'!G445</f>
        <v>0</v>
      </c>
      <c r="I455" s="112">
        <f>'Sampling Data'!H445</f>
        <v>0</v>
      </c>
      <c r="J455" s="112">
        <f>'Sampling Data'!I445</f>
        <v>0</v>
      </c>
      <c r="K455" s="112">
        <f>'Sampling Data'!J445</f>
        <v>1</v>
      </c>
      <c r="L455" s="111">
        <f>'Sampling Data'!X445</f>
        <v>0</v>
      </c>
      <c r="M455" s="114"/>
      <c r="N455" s="114"/>
      <c r="O455" s="115"/>
      <c r="P455" s="115"/>
      <c r="Q455" s="116"/>
      <c r="R455" s="116"/>
      <c r="S455" s="111">
        <f>Audit[[#This Row],[Audit Losing Candidate]]-Audit[[#This Row],[Losing Candidate]]</f>
        <v>0</v>
      </c>
      <c r="T455" s="111">
        <f>Audit[[#This Row],[Audit Winning Candidate]]-Audit[[#This Row],[Winning Candidate]]</f>
        <v>0</v>
      </c>
      <c r="U455" s="111">
        <f>Audit[[#This Row],[Audit Candidate 3]]-Audit[[#This Row],[Candidate 3]]</f>
        <v>0</v>
      </c>
      <c r="V455" s="111">
        <f>Audit[[#This Row],[Audit Candidate 4]]-Audit[[#This Row],[Candidate 4]]</f>
        <v>-1</v>
      </c>
      <c r="W455" s="111">
        <f>Audit[[#This Row],[Audit Candidate 5]]-Audit[[#This Row],[Candidate 5]]</f>
        <v>0</v>
      </c>
      <c r="X455" s="111">
        <f>Audit[[#This Row],[Audit Candidate 6]]-Audit[[#This Row],[Candidate 6]]</f>
        <v>0</v>
      </c>
      <c r="Y455" s="111">
        <f>SUMIF(Audit[[#This Row],[Difference Loser]:[Difference Candidate 6]], "&gt;0")</f>
        <v>0</v>
      </c>
      <c r="Z455" s="111">
        <f>SUM(Audit[[#This Row],[Difference Loser]:[Difference Candidate 6]])</f>
        <v>-1</v>
      </c>
      <c r="AA455" s="111">
        <f>IF(Audit[[#This Row],[Times p Drawn - With Replacement]]&gt;0, IF(Audit[[#This Row],[Canceled Differences]]&lt;0, Audit[[#This Row],[Max Differences]]+ABS(Audit[[#This Row],[Canceled Differences]]), Audit[[#This Row],[Max Differences]]), 0)</f>
        <v>0</v>
      </c>
      <c r="AB455" s="111">
        <f>'Sampling Data'!P445</f>
        <v>6.1244487996080352E-5</v>
      </c>
      <c r="AC455" s="111">
        <f>IF(
      SUM(Audit[[#This Row],[Audit Losing Candidate]:[Audit Candidate 6]])
      &lt;&gt;0,
      (Audit[[#This Row],[Winning Candidate]]-Audit[[#This Row],[Losing Candidate]]-(Audit[[#This Row],[Audit Winning Candidate]]-Audit[[#This Row],[Audit Losing Candidate]]))/(Audit[[#Totals],[Winning Candidate]]-Audit[[#Totals],[Losing Candidate]]),
      0
)</f>
        <v>0</v>
      </c>
      <c r="AD4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5" s="111">
        <f>IF(Audit[[#This Row],[Max Relative Error (ep)]] = 0, 0, Audit[[#This Row],[Max Relative Error (ep)]]/Audit[[#This Row],[Error Bound (up) - Max. possible relative overstatement]])</f>
        <v>0</v>
      </c>
      <c r="AJ4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55" s="111">
        <f t="shared" si="7"/>
        <v>1</v>
      </c>
      <c r="AL455" s="111">
        <f>PRODUCT($AK$5:AK455)</f>
        <v>8.962823818226312E-2</v>
      </c>
      <c r="AM455" s="109">
        <f>1 - [K-M P Value]</f>
        <v>0.91037176181773694</v>
      </c>
      <c r="AN455" s="111" t="str">
        <f>IF(Audit[[#This Row],[K-M P Value]]&gt;1-'General Info'!$B$16,"Continue", "Stop")</f>
        <v>Stop</v>
      </c>
      <c r="AO455" s="110" t="b">
        <f>IF(Audit[[#This Row],[Status - Continue or stop audit]] = "Continue", TRUE, IF(AN454 = "Continue", TRUE, FALSE))</f>
        <v>0</v>
      </c>
      <c r="AP455" s="110"/>
    </row>
    <row r="456" spans="1:42" ht="15" hidden="1" customHeight="1">
      <c r="A456" s="111" t="str">
        <f>'Sampling Data'!W446</f>
        <v/>
      </c>
      <c r="B456" s="112" t="str">
        <f>'Sampling Data'!A446</f>
        <v>CLEVELAND -06-A - ABS</v>
      </c>
      <c r="C456" s="112">
        <f>'Sampling Data'!B446</f>
        <v>0</v>
      </c>
      <c r="D456" s="112">
        <f>'Sampling Data'!C446</f>
        <v>1</v>
      </c>
      <c r="E456" s="113">
        <f>'Sampling Data'!D446</f>
        <v>0</v>
      </c>
      <c r="F456" s="113">
        <f>'Sampling Data'!E446</f>
        <v>0</v>
      </c>
      <c r="G456" s="113">
        <f>'Sampling Data'!F446</f>
        <v>0</v>
      </c>
      <c r="H456" s="113">
        <f>'Sampling Data'!G446</f>
        <v>0</v>
      </c>
      <c r="I456" s="112">
        <f>'Sampling Data'!H446</f>
        <v>0</v>
      </c>
      <c r="J456" s="112">
        <f>'Sampling Data'!I446</f>
        <v>0</v>
      </c>
      <c r="K456" s="112">
        <f>'Sampling Data'!J446</f>
        <v>1</v>
      </c>
      <c r="L456" s="111">
        <f>'Sampling Data'!X446</f>
        <v>0</v>
      </c>
      <c r="M456" s="114"/>
      <c r="N456" s="114"/>
      <c r="O456" s="115"/>
      <c r="P456" s="115"/>
      <c r="Q456" s="116"/>
      <c r="R456" s="116"/>
      <c r="S456" s="111">
        <f>Audit[[#This Row],[Audit Losing Candidate]]-Audit[[#This Row],[Losing Candidate]]</f>
        <v>0</v>
      </c>
      <c r="T456" s="111">
        <f>Audit[[#This Row],[Audit Winning Candidate]]-Audit[[#This Row],[Winning Candidate]]</f>
        <v>-1</v>
      </c>
      <c r="U456" s="111">
        <f>Audit[[#This Row],[Audit Candidate 3]]-Audit[[#This Row],[Candidate 3]]</f>
        <v>0</v>
      </c>
      <c r="V456" s="111">
        <f>Audit[[#This Row],[Audit Candidate 4]]-Audit[[#This Row],[Candidate 4]]</f>
        <v>0</v>
      </c>
      <c r="W456" s="111">
        <f>Audit[[#This Row],[Audit Candidate 5]]-Audit[[#This Row],[Candidate 5]]</f>
        <v>0</v>
      </c>
      <c r="X456" s="111">
        <f>Audit[[#This Row],[Audit Candidate 6]]-Audit[[#This Row],[Candidate 6]]</f>
        <v>0</v>
      </c>
      <c r="Y456" s="111">
        <f>SUMIF(Audit[[#This Row],[Difference Loser]:[Difference Candidate 6]], "&gt;0")</f>
        <v>0</v>
      </c>
      <c r="Z456" s="111">
        <f>SUM(Audit[[#This Row],[Difference Loser]:[Difference Candidate 6]])</f>
        <v>-1</v>
      </c>
      <c r="AA456" s="111">
        <f>IF(Audit[[#This Row],[Times p Drawn - With Replacement]]&gt;0, IF(Audit[[#This Row],[Canceled Differences]]&lt;0, Audit[[#This Row],[Max Differences]]+ABS(Audit[[#This Row],[Canceled Differences]]), Audit[[#This Row],[Max Differences]]), 0)</f>
        <v>0</v>
      </c>
      <c r="AB456" s="111">
        <f>'Sampling Data'!P446</f>
        <v>1.224889759921607E-4</v>
      </c>
      <c r="AC456" s="111">
        <f>IF(
      SUM(Audit[[#This Row],[Audit Losing Candidate]:[Audit Candidate 6]])
      &lt;&gt;0,
      (Audit[[#This Row],[Winning Candidate]]-Audit[[#This Row],[Losing Candidate]]-(Audit[[#This Row],[Audit Winning Candidate]]-Audit[[#This Row],[Audit Losing Candidate]]))/(Audit[[#Totals],[Winning Candidate]]-Audit[[#Totals],[Losing Candidate]]),
      0
)</f>
        <v>0</v>
      </c>
      <c r="AD4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6" s="111">
        <f>IF(Audit[[#This Row],[Max Relative Error (ep)]] = 0, 0, Audit[[#This Row],[Max Relative Error (ep)]]/Audit[[#This Row],[Error Bound (up) - Max. possible relative overstatement]])</f>
        <v>0</v>
      </c>
      <c r="AJ4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56" s="111">
        <f t="shared" si="7"/>
        <v>1</v>
      </c>
      <c r="AL456" s="111">
        <f>PRODUCT($AK$5:AK456)</f>
        <v>8.962823818226312E-2</v>
      </c>
      <c r="AM456" s="109">
        <f>1 - [K-M P Value]</f>
        <v>0.91037176181773694</v>
      </c>
      <c r="AN456" s="111" t="str">
        <f>IF(Audit[[#This Row],[K-M P Value]]&gt;1-'General Info'!$B$16,"Continue", "Stop")</f>
        <v>Stop</v>
      </c>
      <c r="AO456" s="110" t="b">
        <f>IF(Audit[[#This Row],[Status - Continue or stop audit]] = "Continue", TRUE, IF(AN455 = "Continue", TRUE, FALSE))</f>
        <v>0</v>
      </c>
      <c r="AP456" s="110"/>
    </row>
    <row r="457" spans="1:42" ht="15" hidden="1" customHeight="1">
      <c r="A457" s="111" t="str">
        <f>'Sampling Data'!W447</f>
        <v/>
      </c>
      <c r="B457" s="112" t="str">
        <f>'Sampling Data'!A447</f>
        <v>CLEVELAND -06-B</v>
      </c>
      <c r="C457" s="112">
        <f>'Sampling Data'!B447</f>
        <v>0</v>
      </c>
      <c r="D457" s="112">
        <f>'Sampling Data'!C447</f>
        <v>0</v>
      </c>
      <c r="E457" s="113">
        <f>'Sampling Data'!D447</f>
        <v>0</v>
      </c>
      <c r="F457" s="113">
        <f>'Sampling Data'!E447</f>
        <v>0</v>
      </c>
      <c r="G457" s="113">
        <f>'Sampling Data'!F447</f>
        <v>0</v>
      </c>
      <c r="H457" s="113">
        <f>'Sampling Data'!G447</f>
        <v>0</v>
      </c>
      <c r="I457" s="112">
        <f>'Sampling Data'!H447</f>
        <v>0</v>
      </c>
      <c r="J457" s="112">
        <f>'Sampling Data'!I447</f>
        <v>0</v>
      </c>
      <c r="K457" s="112">
        <f>'Sampling Data'!J447</f>
        <v>0</v>
      </c>
      <c r="L457" s="111">
        <f>'Sampling Data'!X447</f>
        <v>0</v>
      </c>
      <c r="M457" s="114"/>
      <c r="N457" s="114"/>
      <c r="O457" s="115"/>
      <c r="P457" s="115"/>
      <c r="Q457" s="116"/>
      <c r="R457" s="116"/>
      <c r="S457" s="111">
        <f>Audit[[#This Row],[Audit Losing Candidate]]-Audit[[#This Row],[Losing Candidate]]</f>
        <v>0</v>
      </c>
      <c r="T457" s="111">
        <f>Audit[[#This Row],[Audit Winning Candidate]]-Audit[[#This Row],[Winning Candidate]]</f>
        <v>0</v>
      </c>
      <c r="U457" s="111">
        <f>Audit[[#This Row],[Audit Candidate 3]]-Audit[[#This Row],[Candidate 3]]</f>
        <v>0</v>
      </c>
      <c r="V457" s="111">
        <f>Audit[[#This Row],[Audit Candidate 4]]-Audit[[#This Row],[Candidate 4]]</f>
        <v>0</v>
      </c>
      <c r="W457" s="111">
        <f>Audit[[#This Row],[Audit Candidate 5]]-Audit[[#This Row],[Candidate 5]]</f>
        <v>0</v>
      </c>
      <c r="X457" s="111">
        <f>Audit[[#This Row],[Audit Candidate 6]]-Audit[[#This Row],[Candidate 6]]</f>
        <v>0</v>
      </c>
      <c r="Y457" s="111">
        <f>SUMIF(Audit[[#This Row],[Difference Loser]:[Difference Candidate 6]], "&gt;0")</f>
        <v>0</v>
      </c>
      <c r="Z457" s="111">
        <f>SUM(Audit[[#This Row],[Difference Loser]:[Difference Candidate 6]])</f>
        <v>0</v>
      </c>
      <c r="AA457" s="111">
        <f>IF(Audit[[#This Row],[Times p Drawn - With Replacement]]&gt;0, IF(Audit[[#This Row],[Canceled Differences]]&lt;0, Audit[[#This Row],[Max Differences]]+ABS(Audit[[#This Row],[Canceled Differences]]), Audit[[#This Row],[Max Differences]]), 0)</f>
        <v>0</v>
      </c>
      <c r="AB457" s="111">
        <f>'Sampling Data'!P447</f>
        <v>0</v>
      </c>
      <c r="AC457" s="111">
        <f>IF(
      SUM(Audit[[#This Row],[Audit Losing Candidate]:[Audit Candidate 6]])
      &lt;&gt;0,
      (Audit[[#This Row],[Winning Candidate]]-Audit[[#This Row],[Losing Candidate]]-(Audit[[#This Row],[Audit Winning Candidate]]-Audit[[#This Row],[Audit Losing Candidate]]))/(Audit[[#Totals],[Winning Candidate]]-Audit[[#Totals],[Losing Candidate]]),
      0
)</f>
        <v>0</v>
      </c>
      <c r="AD4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7" s="111">
        <f>IF(Audit[[#This Row],[Max Relative Error (ep)]] = 0, 0, Audit[[#This Row],[Max Relative Error (ep)]]/Audit[[#This Row],[Error Bound (up) - Max. possible relative overstatement]])</f>
        <v>0</v>
      </c>
      <c r="AJ4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57" s="111">
        <f t="shared" si="7"/>
        <v>1</v>
      </c>
      <c r="AL457" s="111">
        <f>PRODUCT($AK$5:AK457)</f>
        <v>8.962823818226312E-2</v>
      </c>
      <c r="AM457" s="109">
        <f>1 - [K-M P Value]</f>
        <v>0.91037176181773694</v>
      </c>
      <c r="AN457" s="111" t="str">
        <f>IF(Audit[[#This Row],[K-M P Value]]&gt;1-'General Info'!$B$16,"Continue", "Stop")</f>
        <v>Stop</v>
      </c>
      <c r="AO457" s="110" t="b">
        <f>IF(Audit[[#This Row],[Status - Continue or stop audit]] = "Continue", TRUE, IF(AN456 = "Continue", TRUE, FALSE))</f>
        <v>0</v>
      </c>
      <c r="AP457" s="110"/>
    </row>
    <row r="458" spans="1:42" ht="15" hidden="1" customHeight="1">
      <c r="A458" s="111" t="str">
        <f>'Sampling Data'!W448</f>
        <v/>
      </c>
      <c r="B458" s="112" t="str">
        <f>'Sampling Data'!A448</f>
        <v>CLEVELAND -06-B - ABS</v>
      </c>
      <c r="C458" s="112">
        <f>'Sampling Data'!B448</f>
        <v>0</v>
      </c>
      <c r="D458" s="112">
        <f>'Sampling Data'!C448</f>
        <v>1</v>
      </c>
      <c r="E458" s="113">
        <f>'Sampling Data'!D448</f>
        <v>0</v>
      </c>
      <c r="F458" s="113">
        <f>'Sampling Data'!E448</f>
        <v>0</v>
      </c>
      <c r="G458" s="113">
        <f>'Sampling Data'!F448</f>
        <v>0</v>
      </c>
      <c r="H458" s="113">
        <f>'Sampling Data'!G448</f>
        <v>0</v>
      </c>
      <c r="I458" s="112">
        <f>'Sampling Data'!H448</f>
        <v>0</v>
      </c>
      <c r="J458" s="112">
        <f>'Sampling Data'!I448</f>
        <v>1</v>
      </c>
      <c r="K458" s="112">
        <f>'Sampling Data'!J448</f>
        <v>2</v>
      </c>
      <c r="L458" s="111">
        <f>'Sampling Data'!X448</f>
        <v>0</v>
      </c>
      <c r="M458" s="114"/>
      <c r="N458" s="114"/>
      <c r="O458" s="115"/>
      <c r="P458" s="115"/>
      <c r="Q458" s="116"/>
      <c r="R458" s="116"/>
      <c r="S458" s="111">
        <f>Audit[[#This Row],[Audit Losing Candidate]]-Audit[[#This Row],[Losing Candidate]]</f>
        <v>0</v>
      </c>
      <c r="T458" s="111">
        <f>Audit[[#This Row],[Audit Winning Candidate]]-Audit[[#This Row],[Winning Candidate]]</f>
        <v>-1</v>
      </c>
      <c r="U458" s="111">
        <f>Audit[[#This Row],[Audit Candidate 3]]-Audit[[#This Row],[Candidate 3]]</f>
        <v>0</v>
      </c>
      <c r="V458" s="111">
        <f>Audit[[#This Row],[Audit Candidate 4]]-Audit[[#This Row],[Candidate 4]]</f>
        <v>0</v>
      </c>
      <c r="W458" s="111">
        <f>Audit[[#This Row],[Audit Candidate 5]]-Audit[[#This Row],[Candidate 5]]</f>
        <v>0</v>
      </c>
      <c r="X458" s="111">
        <f>Audit[[#This Row],[Audit Candidate 6]]-Audit[[#This Row],[Candidate 6]]</f>
        <v>0</v>
      </c>
      <c r="Y458" s="111">
        <f>SUMIF(Audit[[#This Row],[Difference Loser]:[Difference Candidate 6]], "&gt;0")</f>
        <v>0</v>
      </c>
      <c r="Z458" s="111">
        <f>SUM(Audit[[#This Row],[Difference Loser]:[Difference Candidate 6]])</f>
        <v>-1</v>
      </c>
      <c r="AA458" s="111">
        <f>IF(Audit[[#This Row],[Times p Drawn - With Replacement]]&gt;0, IF(Audit[[#This Row],[Canceled Differences]]&lt;0, Audit[[#This Row],[Max Differences]]+ABS(Audit[[#This Row],[Canceled Differences]]), Audit[[#This Row],[Max Differences]]), 0)</f>
        <v>0</v>
      </c>
      <c r="AB458" s="111">
        <f>'Sampling Data'!P448</f>
        <v>1.8373346398824106E-4</v>
      </c>
      <c r="AC458" s="111">
        <f>IF(
      SUM(Audit[[#This Row],[Audit Losing Candidate]:[Audit Candidate 6]])
      &lt;&gt;0,
      (Audit[[#This Row],[Winning Candidate]]-Audit[[#This Row],[Losing Candidate]]-(Audit[[#This Row],[Audit Winning Candidate]]-Audit[[#This Row],[Audit Losing Candidate]]))/(Audit[[#Totals],[Winning Candidate]]-Audit[[#Totals],[Losing Candidate]]),
      0
)</f>
        <v>0</v>
      </c>
      <c r="AD4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8" s="111">
        <f>IF(Audit[[#This Row],[Max Relative Error (ep)]] = 0, 0, Audit[[#This Row],[Max Relative Error (ep)]]/Audit[[#This Row],[Error Bound (up) - Max. possible relative overstatement]])</f>
        <v>0</v>
      </c>
      <c r="AJ4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58" s="111">
        <f t="shared" si="7"/>
        <v>1</v>
      </c>
      <c r="AL458" s="111">
        <f>PRODUCT($AK$5:AK458)</f>
        <v>8.962823818226312E-2</v>
      </c>
      <c r="AM458" s="109">
        <f>1 - [K-M P Value]</f>
        <v>0.91037176181773694</v>
      </c>
      <c r="AN458" s="111" t="str">
        <f>IF(Audit[[#This Row],[K-M P Value]]&gt;1-'General Info'!$B$16,"Continue", "Stop")</f>
        <v>Stop</v>
      </c>
      <c r="AO458" s="110" t="b">
        <f>IF(Audit[[#This Row],[Status - Continue or stop audit]] = "Continue", TRUE, IF(AN457 = "Continue", TRUE, FALSE))</f>
        <v>0</v>
      </c>
      <c r="AP458" s="110"/>
    </row>
    <row r="459" spans="1:42" ht="15" hidden="1" customHeight="1">
      <c r="A459" s="111" t="str">
        <f>'Sampling Data'!W449</f>
        <v/>
      </c>
      <c r="B459" s="112" t="str">
        <f>'Sampling Data'!A449</f>
        <v>CLEVELAND -06-C</v>
      </c>
      <c r="C459" s="112">
        <f>'Sampling Data'!B449</f>
        <v>0</v>
      </c>
      <c r="D459" s="112">
        <f>'Sampling Data'!C449</f>
        <v>0</v>
      </c>
      <c r="E459" s="113">
        <f>'Sampling Data'!D449</f>
        <v>0</v>
      </c>
      <c r="F459" s="113">
        <f>'Sampling Data'!E449</f>
        <v>0</v>
      </c>
      <c r="G459" s="113">
        <f>'Sampling Data'!F449</f>
        <v>0</v>
      </c>
      <c r="H459" s="113">
        <f>'Sampling Data'!G449</f>
        <v>0</v>
      </c>
      <c r="I459" s="112">
        <f>'Sampling Data'!H449</f>
        <v>0</v>
      </c>
      <c r="J459" s="112">
        <f>'Sampling Data'!I449</f>
        <v>0</v>
      </c>
      <c r="K459" s="112">
        <f>'Sampling Data'!J449</f>
        <v>0</v>
      </c>
      <c r="L459" s="111">
        <f>'Sampling Data'!X449</f>
        <v>0</v>
      </c>
      <c r="M459" s="114"/>
      <c r="N459" s="114"/>
      <c r="O459" s="115"/>
      <c r="P459" s="115"/>
      <c r="Q459" s="116"/>
      <c r="R459" s="116"/>
      <c r="S459" s="111">
        <f>Audit[[#This Row],[Audit Losing Candidate]]-Audit[[#This Row],[Losing Candidate]]</f>
        <v>0</v>
      </c>
      <c r="T459" s="111">
        <f>Audit[[#This Row],[Audit Winning Candidate]]-Audit[[#This Row],[Winning Candidate]]</f>
        <v>0</v>
      </c>
      <c r="U459" s="111">
        <f>Audit[[#This Row],[Audit Candidate 3]]-Audit[[#This Row],[Candidate 3]]</f>
        <v>0</v>
      </c>
      <c r="V459" s="111">
        <f>Audit[[#This Row],[Audit Candidate 4]]-Audit[[#This Row],[Candidate 4]]</f>
        <v>0</v>
      </c>
      <c r="W459" s="111">
        <f>Audit[[#This Row],[Audit Candidate 5]]-Audit[[#This Row],[Candidate 5]]</f>
        <v>0</v>
      </c>
      <c r="X459" s="111">
        <f>Audit[[#This Row],[Audit Candidate 6]]-Audit[[#This Row],[Candidate 6]]</f>
        <v>0</v>
      </c>
      <c r="Y459" s="111">
        <f>SUMIF(Audit[[#This Row],[Difference Loser]:[Difference Candidate 6]], "&gt;0")</f>
        <v>0</v>
      </c>
      <c r="Z459" s="111">
        <f>SUM(Audit[[#This Row],[Difference Loser]:[Difference Candidate 6]])</f>
        <v>0</v>
      </c>
      <c r="AA459" s="111">
        <f>IF(Audit[[#This Row],[Times p Drawn - With Replacement]]&gt;0, IF(Audit[[#This Row],[Canceled Differences]]&lt;0, Audit[[#This Row],[Max Differences]]+ABS(Audit[[#This Row],[Canceled Differences]]), Audit[[#This Row],[Max Differences]]), 0)</f>
        <v>0</v>
      </c>
      <c r="AB459" s="111">
        <f>'Sampling Data'!P449</f>
        <v>0</v>
      </c>
      <c r="AC459" s="111">
        <f>IF(
      SUM(Audit[[#This Row],[Audit Losing Candidate]:[Audit Candidate 6]])
      &lt;&gt;0,
      (Audit[[#This Row],[Winning Candidate]]-Audit[[#This Row],[Losing Candidate]]-(Audit[[#This Row],[Audit Winning Candidate]]-Audit[[#This Row],[Audit Losing Candidate]]))/(Audit[[#Totals],[Winning Candidate]]-Audit[[#Totals],[Losing Candidate]]),
      0
)</f>
        <v>0</v>
      </c>
      <c r="AD4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9" s="111">
        <f>IF(Audit[[#This Row],[Max Relative Error (ep)]] = 0, 0, Audit[[#This Row],[Max Relative Error (ep)]]/Audit[[#This Row],[Error Bound (up) - Max. possible relative overstatement]])</f>
        <v>0</v>
      </c>
      <c r="AJ4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59" s="111">
        <f t="shared" si="7"/>
        <v>1</v>
      </c>
      <c r="AL459" s="111">
        <f>PRODUCT($AK$5:AK459)</f>
        <v>8.962823818226312E-2</v>
      </c>
      <c r="AM459" s="109">
        <f>1 - [K-M P Value]</f>
        <v>0.91037176181773694</v>
      </c>
      <c r="AN459" s="111" t="str">
        <f>IF(Audit[[#This Row],[K-M P Value]]&gt;1-'General Info'!$B$16,"Continue", "Stop")</f>
        <v>Stop</v>
      </c>
      <c r="AO459" s="110" t="b">
        <f>IF(Audit[[#This Row],[Status - Continue or stop audit]] = "Continue", TRUE, IF(AN458 = "Continue", TRUE, FALSE))</f>
        <v>0</v>
      </c>
      <c r="AP459" s="110"/>
    </row>
    <row r="460" spans="1:42" ht="15" hidden="1" customHeight="1">
      <c r="A460" s="111" t="str">
        <f>'Sampling Data'!W450</f>
        <v/>
      </c>
      <c r="B460" s="112" t="str">
        <f>'Sampling Data'!A450</f>
        <v>CLEVELAND -06-C - ABS</v>
      </c>
      <c r="C460" s="112">
        <f>'Sampling Data'!B450</f>
        <v>2</v>
      </c>
      <c r="D460" s="112">
        <f>'Sampling Data'!C450</f>
        <v>0</v>
      </c>
      <c r="E460" s="113">
        <f>'Sampling Data'!D450</f>
        <v>0</v>
      </c>
      <c r="F460" s="113">
        <f>'Sampling Data'!E450</f>
        <v>0</v>
      </c>
      <c r="G460" s="113">
        <f>'Sampling Data'!F450</f>
        <v>0</v>
      </c>
      <c r="H460" s="113">
        <f>'Sampling Data'!G450</f>
        <v>0</v>
      </c>
      <c r="I460" s="112">
        <f>'Sampling Data'!H450</f>
        <v>0</v>
      </c>
      <c r="J460" s="112">
        <f>'Sampling Data'!I450</f>
        <v>0</v>
      </c>
      <c r="K460" s="112">
        <f>'Sampling Data'!J450</f>
        <v>2</v>
      </c>
      <c r="L460" s="111">
        <f>'Sampling Data'!X450</f>
        <v>0</v>
      </c>
      <c r="M460" s="114"/>
      <c r="N460" s="114"/>
      <c r="O460" s="115"/>
      <c r="P460" s="115"/>
      <c r="Q460" s="116"/>
      <c r="R460" s="116"/>
      <c r="S460" s="111">
        <f>Audit[[#This Row],[Audit Losing Candidate]]-Audit[[#This Row],[Losing Candidate]]</f>
        <v>-2</v>
      </c>
      <c r="T460" s="111">
        <f>Audit[[#This Row],[Audit Winning Candidate]]-Audit[[#This Row],[Winning Candidate]]</f>
        <v>0</v>
      </c>
      <c r="U460" s="111">
        <f>Audit[[#This Row],[Audit Candidate 3]]-Audit[[#This Row],[Candidate 3]]</f>
        <v>0</v>
      </c>
      <c r="V460" s="111">
        <f>Audit[[#This Row],[Audit Candidate 4]]-Audit[[#This Row],[Candidate 4]]</f>
        <v>0</v>
      </c>
      <c r="W460" s="111">
        <f>Audit[[#This Row],[Audit Candidate 5]]-Audit[[#This Row],[Candidate 5]]</f>
        <v>0</v>
      </c>
      <c r="X460" s="111">
        <f>Audit[[#This Row],[Audit Candidate 6]]-Audit[[#This Row],[Candidate 6]]</f>
        <v>0</v>
      </c>
      <c r="Y460" s="111">
        <f>SUMIF(Audit[[#This Row],[Difference Loser]:[Difference Candidate 6]], "&gt;0")</f>
        <v>0</v>
      </c>
      <c r="Z460" s="111">
        <f>SUM(Audit[[#This Row],[Difference Loser]:[Difference Candidate 6]])</f>
        <v>-2</v>
      </c>
      <c r="AA460" s="111">
        <f>IF(Audit[[#This Row],[Times p Drawn - With Replacement]]&gt;0, IF(Audit[[#This Row],[Canceled Differences]]&lt;0, Audit[[#This Row],[Max Differences]]+ABS(Audit[[#This Row],[Canceled Differences]]), Audit[[#This Row],[Max Differences]]), 0)</f>
        <v>0</v>
      </c>
      <c r="AB460" s="111">
        <f>'Sampling Data'!P450</f>
        <v>6.4522373132883833E-5</v>
      </c>
      <c r="AC460" s="111">
        <f>IF(
      SUM(Audit[[#This Row],[Audit Losing Candidate]:[Audit Candidate 6]])
      &lt;&gt;0,
      (Audit[[#This Row],[Winning Candidate]]-Audit[[#This Row],[Losing Candidate]]-(Audit[[#This Row],[Audit Winning Candidate]]-Audit[[#This Row],[Audit Losing Candidate]]))/(Audit[[#Totals],[Winning Candidate]]-Audit[[#Totals],[Losing Candidate]]),
      0
)</f>
        <v>0</v>
      </c>
      <c r="AD4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0" s="111">
        <f>IF(Audit[[#This Row],[Max Relative Error (ep)]] = 0, 0, Audit[[#This Row],[Max Relative Error (ep)]]/Audit[[#This Row],[Error Bound (up) - Max. possible relative overstatement]])</f>
        <v>0</v>
      </c>
      <c r="AJ4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60" s="111">
        <f t="shared" si="7"/>
        <v>1</v>
      </c>
      <c r="AL460" s="111">
        <f>PRODUCT($AK$5:AK460)</f>
        <v>8.962823818226312E-2</v>
      </c>
      <c r="AM460" s="109">
        <f>1 - [K-M P Value]</f>
        <v>0.91037176181773694</v>
      </c>
      <c r="AN460" s="111" t="str">
        <f>IF(Audit[[#This Row],[K-M P Value]]&gt;1-'General Info'!$B$16,"Continue", "Stop")</f>
        <v>Stop</v>
      </c>
      <c r="AO460" s="110" t="b">
        <f>IF(Audit[[#This Row],[Status - Continue or stop audit]] = "Continue", TRUE, IF(AN459 = "Continue", TRUE, FALSE))</f>
        <v>0</v>
      </c>
      <c r="AP460" s="110"/>
    </row>
    <row r="461" spans="1:42" ht="15" hidden="1" customHeight="1">
      <c r="A461" s="111" t="str">
        <f>'Sampling Data'!W451</f>
        <v/>
      </c>
      <c r="B461" s="112" t="str">
        <f>'Sampling Data'!A451</f>
        <v>CLEVELAND -06-D</v>
      </c>
      <c r="C461" s="112">
        <f>'Sampling Data'!B451</f>
        <v>0</v>
      </c>
      <c r="D461" s="112">
        <f>'Sampling Data'!C451</f>
        <v>0</v>
      </c>
      <c r="E461" s="113">
        <f>'Sampling Data'!D451</f>
        <v>0</v>
      </c>
      <c r="F461" s="113">
        <f>'Sampling Data'!E451</f>
        <v>0</v>
      </c>
      <c r="G461" s="113">
        <f>'Sampling Data'!F451</f>
        <v>0</v>
      </c>
      <c r="H461" s="113">
        <f>'Sampling Data'!G451</f>
        <v>0</v>
      </c>
      <c r="I461" s="112">
        <f>'Sampling Data'!H451</f>
        <v>0</v>
      </c>
      <c r="J461" s="112">
        <f>'Sampling Data'!I451</f>
        <v>0</v>
      </c>
      <c r="K461" s="112">
        <f>'Sampling Data'!J451</f>
        <v>0</v>
      </c>
      <c r="L461" s="111">
        <f>'Sampling Data'!X451</f>
        <v>0</v>
      </c>
      <c r="M461" s="114"/>
      <c r="N461" s="114"/>
      <c r="O461" s="115"/>
      <c r="P461" s="115"/>
      <c r="Q461" s="116"/>
      <c r="R461" s="116"/>
      <c r="S461" s="111">
        <f>Audit[[#This Row],[Audit Losing Candidate]]-Audit[[#This Row],[Losing Candidate]]</f>
        <v>0</v>
      </c>
      <c r="T461" s="111">
        <f>Audit[[#This Row],[Audit Winning Candidate]]-Audit[[#This Row],[Winning Candidate]]</f>
        <v>0</v>
      </c>
      <c r="U461" s="111">
        <f>Audit[[#This Row],[Audit Candidate 3]]-Audit[[#This Row],[Candidate 3]]</f>
        <v>0</v>
      </c>
      <c r="V461" s="111">
        <f>Audit[[#This Row],[Audit Candidate 4]]-Audit[[#This Row],[Candidate 4]]</f>
        <v>0</v>
      </c>
      <c r="W461" s="111">
        <f>Audit[[#This Row],[Audit Candidate 5]]-Audit[[#This Row],[Candidate 5]]</f>
        <v>0</v>
      </c>
      <c r="X461" s="111">
        <f>Audit[[#This Row],[Audit Candidate 6]]-Audit[[#This Row],[Candidate 6]]</f>
        <v>0</v>
      </c>
      <c r="Y461" s="111">
        <f>SUMIF(Audit[[#This Row],[Difference Loser]:[Difference Candidate 6]], "&gt;0")</f>
        <v>0</v>
      </c>
      <c r="Z461" s="111">
        <f>SUM(Audit[[#This Row],[Difference Loser]:[Difference Candidate 6]])</f>
        <v>0</v>
      </c>
      <c r="AA461" s="111">
        <f>IF(Audit[[#This Row],[Times p Drawn - With Replacement]]&gt;0, IF(Audit[[#This Row],[Canceled Differences]]&lt;0, Audit[[#This Row],[Max Differences]]+ABS(Audit[[#This Row],[Canceled Differences]]), Audit[[#This Row],[Max Differences]]), 0)</f>
        <v>0</v>
      </c>
      <c r="AB461" s="111">
        <f>'Sampling Data'!P451</f>
        <v>0</v>
      </c>
      <c r="AC461" s="111">
        <f>IF(
      SUM(Audit[[#This Row],[Audit Losing Candidate]:[Audit Candidate 6]])
      &lt;&gt;0,
      (Audit[[#This Row],[Winning Candidate]]-Audit[[#This Row],[Losing Candidate]]-(Audit[[#This Row],[Audit Winning Candidate]]-Audit[[#This Row],[Audit Losing Candidate]]))/(Audit[[#Totals],[Winning Candidate]]-Audit[[#Totals],[Losing Candidate]]),
      0
)</f>
        <v>0</v>
      </c>
      <c r="AD4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1" s="111">
        <f>IF(Audit[[#This Row],[Max Relative Error (ep)]] = 0, 0, Audit[[#This Row],[Max Relative Error (ep)]]/Audit[[#This Row],[Error Bound (up) - Max. possible relative overstatement]])</f>
        <v>0</v>
      </c>
      <c r="AJ4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61" s="111">
        <f t="shared" si="7"/>
        <v>1</v>
      </c>
      <c r="AL461" s="111">
        <f>PRODUCT($AK$5:AK461)</f>
        <v>8.962823818226312E-2</v>
      </c>
      <c r="AM461" s="109">
        <f>1 - [K-M P Value]</f>
        <v>0.91037176181773694</v>
      </c>
      <c r="AN461" s="111" t="str">
        <f>IF(Audit[[#This Row],[K-M P Value]]&gt;1-'General Info'!$B$16,"Continue", "Stop")</f>
        <v>Stop</v>
      </c>
      <c r="AO461" s="110" t="b">
        <f>IF(Audit[[#This Row],[Status - Continue or stop audit]] = "Continue", TRUE, IF(AN460 = "Continue", TRUE, FALSE))</f>
        <v>0</v>
      </c>
      <c r="AP461" s="110"/>
    </row>
    <row r="462" spans="1:42" ht="15" hidden="1" customHeight="1">
      <c r="A462" s="111" t="str">
        <f>'Sampling Data'!W452</f>
        <v/>
      </c>
      <c r="B462" s="112" t="str">
        <f>'Sampling Data'!A452</f>
        <v>CLEVELAND -06-D - ABS</v>
      </c>
      <c r="C462" s="112">
        <f>'Sampling Data'!B452</f>
        <v>0</v>
      </c>
      <c r="D462" s="112">
        <f>'Sampling Data'!C452</f>
        <v>0</v>
      </c>
      <c r="E462" s="113">
        <f>'Sampling Data'!D452</f>
        <v>0</v>
      </c>
      <c r="F462" s="113">
        <f>'Sampling Data'!E452</f>
        <v>0</v>
      </c>
      <c r="G462" s="113">
        <f>'Sampling Data'!F452</f>
        <v>0</v>
      </c>
      <c r="H462" s="113">
        <f>'Sampling Data'!G452</f>
        <v>0</v>
      </c>
      <c r="I462" s="112">
        <f>'Sampling Data'!H452</f>
        <v>0</v>
      </c>
      <c r="J462" s="112">
        <f>'Sampling Data'!I452</f>
        <v>1</v>
      </c>
      <c r="K462" s="112">
        <f>'Sampling Data'!J452</f>
        <v>1</v>
      </c>
      <c r="L462" s="111">
        <f>'Sampling Data'!X452</f>
        <v>0</v>
      </c>
      <c r="M462" s="114"/>
      <c r="N462" s="114"/>
      <c r="O462" s="115"/>
      <c r="P462" s="115"/>
      <c r="Q462" s="116"/>
      <c r="R462" s="116"/>
      <c r="S462" s="111">
        <f>Audit[[#This Row],[Audit Losing Candidate]]-Audit[[#This Row],[Losing Candidate]]</f>
        <v>0</v>
      </c>
      <c r="T462" s="111">
        <f>Audit[[#This Row],[Audit Winning Candidate]]-Audit[[#This Row],[Winning Candidate]]</f>
        <v>0</v>
      </c>
      <c r="U462" s="111">
        <f>Audit[[#This Row],[Audit Candidate 3]]-Audit[[#This Row],[Candidate 3]]</f>
        <v>0</v>
      </c>
      <c r="V462" s="111">
        <f>Audit[[#This Row],[Audit Candidate 4]]-Audit[[#This Row],[Candidate 4]]</f>
        <v>0</v>
      </c>
      <c r="W462" s="111">
        <f>Audit[[#This Row],[Audit Candidate 5]]-Audit[[#This Row],[Candidate 5]]</f>
        <v>0</v>
      </c>
      <c r="X462" s="111">
        <f>Audit[[#This Row],[Audit Candidate 6]]-Audit[[#This Row],[Candidate 6]]</f>
        <v>0</v>
      </c>
      <c r="Y462" s="111">
        <f>SUMIF(Audit[[#This Row],[Difference Loser]:[Difference Candidate 6]], "&gt;0")</f>
        <v>0</v>
      </c>
      <c r="Z462" s="111">
        <f>SUM(Audit[[#This Row],[Difference Loser]:[Difference Candidate 6]])</f>
        <v>0</v>
      </c>
      <c r="AA462" s="111">
        <f>IF(Audit[[#This Row],[Times p Drawn - With Replacement]]&gt;0, IF(Audit[[#This Row],[Canceled Differences]]&lt;0, Audit[[#This Row],[Max Differences]]+ABS(Audit[[#This Row],[Canceled Differences]]), Audit[[#This Row],[Max Differences]]), 0)</f>
        <v>0</v>
      </c>
      <c r="AB462" s="111">
        <f>'Sampling Data'!P452</f>
        <v>6.1244487996080352E-5</v>
      </c>
      <c r="AC462" s="111">
        <f>IF(
      SUM(Audit[[#This Row],[Audit Losing Candidate]:[Audit Candidate 6]])
      &lt;&gt;0,
      (Audit[[#This Row],[Winning Candidate]]-Audit[[#This Row],[Losing Candidate]]-(Audit[[#This Row],[Audit Winning Candidate]]-Audit[[#This Row],[Audit Losing Candidate]]))/(Audit[[#Totals],[Winning Candidate]]-Audit[[#Totals],[Losing Candidate]]),
      0
)</f>
        <v>0</v>
      </c>
      <c r="AD4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2" s="111">
        <f>IF(Audit[[#This Row],[Max Relative Error (ep)]] = 0, 0, Audit[[#This Row],[Max Relative Error (ep)]]/Audit[[#This Row],[Error Bound (up) - Max. possible relative overstatement]])</f>
        <v>0</v>
      </c>
      <c r="AJ4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62" s="111">
        <f t="shared" si="7"/>
        <v>1</v>
      </c>
      <c r="AL462" s="111">
        <f>PRODUCT($AK$5:AK462)</f>
        <v>8.962823818226312E-2</v>
      </c>
      <c r="AM462" s="109">
        <f>1 - [K-M P Value]</f>
        <v>0.91037176181773694</v>
      </c>
      <c r="AN462" s="111" t="str">
        <f>IF(Audit[[#This Row],[K-M P Value]]&gt;1-'General Info'!$B$16,"Continue", "Stop")</f>
        <v>Stop</v>
      </c>
      <c r="AO462" s="110" t="b">
        <f>IF(Audit[[#This Row],[Status - Continue or stop audit]] = "Continue", TRUE, IF(AN461 = "Continue", TRUE, FALSE))</f>
        <v>0</v>
      </c>
      <c r="AP462" s="110"/>
    </row>
    <row r="463" spans="1:42" ht="15" hidden="1" customHeight="1">
      <c r="A463" s="111" t="str">
        <f>'Sampling Data'!W453</f>
        <v/>
      </c>
      <c r="B463" s="112" t="str">
        <f>'Sampling Data'!A453</f>
        <v>CLEVELAND -06-E</v>
      </c>
      <c r="C463" s="112">
        <f>'Sampling Data'!B453</f>
        <v>0</v>
      </c>
      <c r="D463" s="112">
        <f>'Sampling Data'!C453</f>
        <v>0</v>
      </c>
      <c r="E463" s="113">
        <f>'Sampling Data'!D453</f>
        <v>0</v>
      </c>
      <c r="F463" s="113">
        <f>'Sampling Data'!E453</f>
        <v>0</v>
      </c>
      <c r="G463" s="113">
        <f>'Sampling Data'!F453</f>
        <v>0</v>
      </c>
      <c r="H463" s="113">
        <f>'Sampling Data'!G453</f>
        <v>0</v>
      </c>
      <c r="I463" s="112">
        <f>'Sampling Data'!H453</f>
        <v>0</v>
      </c>
      <c r="J463" s="112">
        <f>'Sampling Data'!I453</f>
        <v>0</v>
      </c>
      <c r="K463" s="112">
        <f>'Sampling Data'!J453</f>
        <v>0</v>
      </c>
      <c r="L463" s="111">
        <f>'Sampling Data'!X453</f>
        <v>0</v>
      </c>
      <c r="M463" s="114"/>
      <c r="N463" s="114"/>
      <c r="O463" s="115"/>
      <c r="P463" s="115"/>
      <c r="Q463" s="116"/>
      <c r="R463" s="116"/>
      <c r="S463" s="111">
        <f>Audit[[#This Row],[Audit Losing Candidate]]-Audit[[#This Row],[Losing Candidate]]</f>
        <v>0</v>
      </c>
      <c r="T463" s="111">
        <f>Audit[[#This Row],[Audit Winning Candidate]]-Audit[[#This Row],[Winning Candidate]]</f>
        <v>0</v>
      </c>
      <c r="U463" s="111">
        <f>Audit[[#This Row],[Audit Candidate 3]]-Audit[[#This Row],[Candidate 3]]</f>
        <v>0</v>
      </c>
      <c r="V463" s="111">
        <f>Audit[[#This Row],[Audit Candidate 4]]-Audit[[#This Row],[Candidate 4]]</f>
        <v>0</v>
      </c>
      <c r="W463" s="111">
        <f>Audit[[#This Row],[Audit Candidate 5]]-Audit[[#This Row],[Candidate 5]]</f>
        <v>0</v>
      </c>
      <c r="X463" s="111">
        <f>Audit[[#This Row],[Audit Candidate 6]]-Audit[[#This Row],[Candidate 6]]</f>
        <v>0</v>
      </c>
      <c r="Y463" s="111">
        <f>SUMIF(Audit[[#This Row],[Difference Loser]:[Difference Candidate 6]], "&gt;0")</f>
        <v>0</v>
      </c>
      <c r="Z463" s="111">
        <f>SUM(Audit[[#This Row],[Difference Loser]:[Difference Candidate 6]])</f>
        <v>0</v>
      </c>
      <c r="AA463" s="111">
        <f>IF(Audit[[#This Row],[Times p Drawn - With Replacement]]&gt;0, IF(Audit[[#This Row],[Canceled Differences]]&lt;0, Audit[[#This Row],[Max Differences]]+ABS(Audit[[#This Row],[Canceled Differences]]), Audit[[#This Row],[Max Differences]]), 0)</f>
        <v>0</v>
      </c>
      <c r="AB463" s="111">
        <f>'Sampling Data'!P453</f>
        <v>0</v>
      </c>
      <c r="AC463" s="111">
        <f>IF(
      SUM(Audit[[#This Row],[Audit Losing Candidate]:[Audit Candidate 6]])
      &lt;&gt;0,
      (Audit[[#This Row],[Winning Candidate]]-Audit[[#This Row],[Losing Candidate]]-(Audit[[#This Row],[Audit Winning Candidate]]-Audit[[#This Row],[Audit Losing Candidate]]))/(Audit[[#Totals],[Winning Candidate]]-Audit[[#Totals],[Losing Candidate]]),
      0
)</f>
        <v>0</v>
      </c>
      <c r="AD4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3" s="111">
        <f>IF(Audit[[#This Row],[Max Relative Error (ep)]] = 0, 0, Audit[[#This Row],[Max Relative Error (ep)]]/Audit[[#This Row],[Error Bound (up) - Max. possible relative overstatement]])</f>
        <v>0</v>
      </c>
      <c r="AJ4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63" s="111">
        <f t="shared" si="7"/>
        <v>1</v>
      </c>
      <c r="AL463" s="111">
        <f>PRODUCT($AK$5:AK463)</f>
        <v>8.962823818226312E-2</v>
      </c>
      <c r="AM463" s="109">
        <f>1 - [K-M P Value]</f>
        <v>0.91037176181773694</v>
      </c>
      <c r="AN463" s="111" t="str">
        <f>IF(Audit[[#This Row],[K-M P Value]]&gt;1-'General Info'!$B$16,"Continue", "Stop")</f>
        <v>Stop</v>
      </c>
      <c r="AO463" s="110" t="b">
        <f>IF(Audit[[#This Row],[Status - Continue or stop audit]] = "Continue", TRUE, IF(AN462 = "Continue", TRUE, FALSE))</f>
        <v>0</v>
      </c>
      <c r="AP463" s="110"/>
    </row>
    <row r="464" spans="1:42" ht="15" hidden="1" customHeight="1">
      <c r="A464" s="111" t="str">
        <f>'Sampling Data'!W454</f>
        <v/>
      </c>
      <c r="B464" s="112" t="str">
        <f>'Sampling Data'!A454</f>
        <v>CLEVELAND -06-E - ABS</v>
      </c>
      <c r="C464" s="112">
        <f>'Sampling Data'!B454</f>
        <v>0</v>
      </c>
      <c r="D464" s="112">
        <f>'Sampling Data'!C454</f>
        <v>0</v>
      </c>
      <c r="E464" s="113">
        <f>'Sampling Data'!D454</f>
        <v>0</v>
      </c>
      <c r="F464" s="113">
        <f>'Sampling Data'!E454</f>
        <v>0</v>
      </c>
      <c r="G464" s="113">
        <f>'Sampling Data'!F454</f>
        <v>0</v>
      </c>
      <c r="H464" s="113">
        <f>'Sampling Data'!G454</f>
        <v>0</v>
      </c>
      <c r="I464" s="112">
        <f>'Sampling Data'!H454</f>
        <v>0</v>
      </c>
      <c r="J464" s="112">
        <f>'Sampling Data'!I454</f>
        <v>0</v>
      </c>
      <c r="K464" s="112">
        <f>'Sampling Data'!J454</f>
        <v>0</v>
      </c>
      <c r="L464" s="111">
        <f>'Sampling Data'!X454</f>
        <v>0</v>
      </c>
      <c r="M464" s="114"/>
      <c r="N464" s="114"/>
      <c r="O464" s="115"/>
      <c r="P464" s="115"/>
      <c r="Q464" s="116"/>
      <c r="R464" s="116"/>
      <c r="S464" s="111">
        <f>Audit[[#This Row],[Audit Losing Candidate]]-Audit[[#This Row],[Losing Candidate]]</f>
        <v>0</v>
      </c>
      <c r="T464" s="111">
        <f>Audit[[#This Row],[Audit Winning Candidate]]-Audit[[#This Row],[Winning Candidate]]</f>
        <v>0</v>
      </c>
      <c r="U464" s="111">
        <f>Audit[[#This Row],[Audit Candidate 3]]-Audit[[#This Row],[Candidate 3]]</f>
        <v>0</v>
      </c>
      <c r="V464" s="111">
        <f>Audit[[#This Row],[Audit Candidate 4]]-Audit[[#This Row],[Candidate 4]]</f>
        <v>0</v>
      </c>
      <c r="W464" s="111">
        <f>Audit[[#This Row],[Audit Candidate 5]]-Audit[[#This Row],[Candidate 5]]</f>
        <v>0</v>
      </c>
      <c r="X464" s="111">
        <f>Audit[[#This Row],[Audit Candidate 6]]-Audit[[#This Row],[Candidate 6]]</f>
        <v>0</v>
      </c>
      <c r="Y464" s="111">
        <f>SUMIF(Audit[[#This Row],[Difference Loser]:[Difference Candidate 6]], "&gt;0")</f>
        <v>0</v>
      </c>
      <c r="Z464" s="111">
        <f>SUM(Audit[[#This Row],[Difference Loser]:[Difference Candidate 6]])</f>
        <v>0</v>
      </c>
      <c r="AA464" s="111">
        <f>IF(Audit[[#This Row],[Times p Drawn - With Replacement]]&gt;0, IF(Audit[[#This Row],[Canceled Differences]]&lt;0, Audit[[#This Row],[Max Differences]]+ABS(Audit[[#This Row],[Canceled Differences]]), Audit[[#This Row],[Max Differences]]), 0)</f>
        <v>0</v>
      </c>
      <c r="AB464" s="111">
        <f>'Sampling Data'!P454</f>
        <v>0</v>
      </c>
      <c r="AC464" s="111">
        <f>IF(
      SUM(Audit[[#This Row],[Audit Losing Candidate]:[Audit Candidate 6]])
      &lt;&gt;0,
      (Audit[[#This Row],[Winning Candidate]]-Audit[[#This Row],[Losing Candidate]]-(Audit[[#This Row],[Audit Winning Candidate]]-Audit[[#This Row],[Audit Losing Candidate]]))/(Audit[[#Totals],[Winning Candidate]]-Audit[[#Totals],[Losing Candidate]]),
      0
)</f>
        <v>0</v>
      </c>
      <c r="AD4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4" s="111">
        <f>IF(Audit[[#This Row],[Max Relative Error (ep)]] = 0, 0, Audit[[#This Row],[Max Relative Error (ep)]]/Audit[[#This Row],[Error Bound (up) - Max. possible relative overstatement]])</f>
        <v>0</v>
      </c>
      <c r="AJ4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64" s="111">
        <f t="shared" si="7"/>
        <v>1</v>
      </c>
      <c r="AL464" s="111">
        <f>PRODUCT($AK$5:AK464)</f>
        <v>8.962823818226312E-2</v>
      </c>
      <c r="AM464" s="109">
        <f>1 - [K-M P Value]</f>
        <v>0.91037176181773694</v>
      </c>
      <c r="AN464" s="111" t="str">
        <f>IF(Audit[[#This Row],[K-M P Value]]&gt;1-'General Info'!$B$16,"Continue", "Stop")</f>
        <v>Stop</v>
      </c>
      <c r="AO464" s="110" t="b">
        <f>IF(Audit[[#This Row],[Status - Continue or stop audit]] = "Continue", TRUE, IF(AN463 = "Continue", TRUE, FALSE))</f>
        <v>0</v>
      </c>
      <c r="AP464" s="110"/>
    </row>
    <row r="465" spans="1:42" ht="15" hidden="1" customHeight="1">
      <c r="A465" s="111" t="str">
        <f>'Sampling Data'!W455</f>
        <v/>
      </c>
      <c r="B465" s="112" t="str">
        <f>'Sampling Data'!A455</f>
        <v>CLEVELAND -06-F</v>
      </c>
      <c r="C465" s="112">
        <f>'Sampling Data'!B455</f>
        <v>0</v>
      </c>
      <c r="D465" s="112">
        <f>'Sampling Data'!C455</f>
        <v>1</v>
      </c>
      <c r="E465" s="113">
        <f>'Sampling Data'!D455</f>
        <v>0</v>
      </c>
      <c r="F465" s="113">
        <f>'Sampling Data'!E455</f>
        <v>0</v>
      </c>
      <c r="G465" s="113">
        <f>'Sampling Data'!F455</f>
        <v>0</v>
      </c>
      <c r="H465" s="113">
        <f>'Sampling Data'!G455</f>
        <v>0</v>
      </c>
      <c r="I465" s="112">
        <f>'Sampling Data'!H455</f>
        <v>0</v>
      </c>
      <c r="J465" s="112">
        <f>'Sampling Data'!I455</f>
        <v>0</v>
      </c>
      <c r="K465" s="112">
        <f>'Sampling Data'!J455</f>
        <v>1</v>
      </c>
      <c r="L465" s="111">
        <f>'Sampling Data'!X455</f>
        <v>0</v>
      </c>
      <c r="M465" s="114"/>
      <c r="N465" s="114"/>
      <c r="O465" s="115"/>
      <c r="P465" s="115"/>
      <c r="Q465" s="116"/>
      <c r="R465" s="116"/>
      <c r="S465" s="111">
        <f>Audit[[#This Row],[Audit Losing Candidate]]-Audit[[#This Row],[Losing Candidate]]</f>
        <v>0</v>
      </c>
      <c r="T465" s="111">
        <f>Audit[[#This Row],[Audit Winning Candidate]]-Audit[[#This Row],[Winning Candidate]]</f>
        <v>-1</v>
      </c>
      <c r="U465" s="111">
        <f>Audit[[#This Row],[Audit Candidate 3]]-Audit[[#This Row],[Candidate 3]]</f>
        <v>0</v>
      </c>
      <c r="V465" s="111">
        <f>Audit[[#This Row],[Audit Candidate 4]]-Audit[[#This Row],[Candidate 4]]</f>
        <v>0</v>
      </c>
      <c r="W465" s="111">
        <f>Audit[[#This Row],[Audit Candidate 5]]-Audit[[#This Row],[Candidate 5]]</f>
        <v>0</v>
      </c>
      <c r="X465" s="111">
        <f>Audit[[#This Row],[Audit Candidate 6]]-Audit[[#This Row],[Candidate 6]]</f>
        <v>0</v>
      </c>
      <c r="Y465" s="111">
        <f>SUMIF(Audit[[#This Row],[Difference Loser]:[Difference Candidate 6]], "&gt;0")</f>
        <v>0</v>
      </c>
      <c r="Z465" s="111">
        <f>SUM(Audit[[#This Row],[Difference Loser]:[Difference Candidate 6]])</f>
        <v>-1</v>
      </c>
      <c r="AA465" s="111">
        <f>IF(Audit[[#This Row],[Times p Drawn - With Replacement]]&gt;0, IF(Audit[[#This Row],[Canceled Differences]]&lt;0, Audit[[#This Row],[Max Differences]]+ABS(Audit[[#This Row],[Canceled Differences]]), Audit[[#This Row],[Max Differences]]), 0)</f>
        <v>0</v>
      </c>
      <c r="AB465" s="111">
        <f>'Sampling Data'!P455</f>
        <v>1.224889759921607E-4</v>
      </c>
      <c r="AC465" s="111">
        <f>IF(
      SUM(Audit[[#This Row],[Audit Losing Candidate]:[Audit Candidate 6]])
      &lt;&gt;0,
      (Audit[[#This Row],[Winning Candidate]]-Audit[[#This Row],[Losing Candidate]]-(Audit[[#This Row],[Audit Winning Candidate]]-Audit[[#This Row],[Audit Losing Candidate]]))/(Audit[[#Totals],[Winning Candidate]]-Audit[[#Totals],[Losing Candidate]]),
      0
)</f>
        <v>0</v>
      </c>
      <c r="AD4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5" s="111">
        <f>IF(Audit[[#This Row],[Max Relative Error (ep)]] = 0, 0, Audit[[#This Row],[Max Relative Error (ep)]]/Audit[[#This Row],[Error Bound (up) - Max. possible relative overstatement]])</f>
        <v>0</v>
      </c>
      <c r="AJ4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65" s="111">
        <f t="shared" si="7"/>
        <v>1</v>
      </c>
      <c r="AL465" s="111">
        <f>PRODUCT($AK$5:AK465)</f>
        <v>8.962823818226312E-2</v>
      </c>
      <c r="AM465" s="109">
        <f>1 - [K-M P Value]</f>
        <v>0.91037176181773694</v>
      </c>
      <c r="AN465" s="111" t="str">
        <f>IF(Audit[[#This Row],[K-M P Value]]&gt;1-'General Info'!$B$16,"Continue", "Stop")</f>
        <v>Stop</v>
      </c>
      <c r="AO465" s="110" t="b">
        <f>IF(Audit[[#This Row],[Status - Continue or stop audit]] = "Continue", TRUE, IF(AN464 = "Continue", TRUE, FALSE))</f>
        <v>0</v>
      </c>
      <c r="AP465" s="110"/>
    </row>
    <row r="466" spans="1:42" ht="15" hidden="1" customHeight="1">
      <c r="A466" s="111" t="str">
        <f>'Sampling Data'!W456</f>
        <v/>
      </c>
      <c r="B466" s="112" t="str">
        <f>'Sampling Data'!A456</f>
        <v>CLEVELAND -06-F - ABS</v>
      </c>
      <c r="C466" s="112">
        <f>'Sampling Data'!B456</f>
        <v>0</v>
      </c>
      <c r="D466" s="112">
        <f>'Sampling Data'!C456</f>
        <v>0</v>
      </c>
      <c r="E466" s="113">
        <f>'Sampling Data'!D456</f>
        <v>0</v>
      </c>
      <c r="F466" s="113">
        <f>'Sampling Data'!E456</f>
        <v>1</v>
      </c>
      <c r="G466" s="113">
        <f>'Sampling Data'!F456</f>
        <v>0</v>
      </c>
      <c r="H466" s="113">
        <f>'Sampling Data'!G456</f>
        <v>0</v>
      </c>
      <c r="I466" s="112">
        <f>'Sampling Data'!H456</f>
        <v>0</v>
      </c>
      <c r="J466" s="112">
        <f>'Sampling Data'!I456</f>
        <v>0</v>
      </c>
      <c r="K466" s="112">
        <f>'Sampling Data'!J456</f>
        <v>1</v>
      </c>
      <c r="L466" s="111">
        <f>'Sampling Data'!X456</f>
        <v>0</v>
      </c>
      <c r="M466" s="114"/>
      <c r="N466" s="114"/>
      <c r="O466" s="115"/>
      <c r="P466" s="115"/>
      <c r="Q466" s="116"/>
      <c r="R466" s="116"/>
      <c r="S466" s="111">
        <f>Audit[[#This Row],[Audit Losing Candidate]]-Audit[[#This Row],[Losing Candidate]]</f>
        <v>0</v>
      </c>
      <c r="T466" s="111">
        <f>Audit[[#This Row],[Audit Winning Candidate]]-Audit[[#This Row],[Winning Candidate]]</f>
        <v>0</v>
      </c>
      <c r="U466" s="111">
        <f>Audit[[#This Row],[Audit Candidate 3]]-Audit[[#This Row],[Candidate 3]]</f>
        <v>0</v>
      </c>
      <c r="V466" s="111">
        <f>Audit[[#This Row],[Audit Candidate 4]]-Audit[[#This Row],[Candidate 4]]</f>
        <v>-1</v>
      </c>
      <c r="W466" s="111">
        <f>Audit[[#This Row],[Audit Candidate 5]]-Audit[[#This Row],[Candidate 5]]</f>
        <v>0</v>
      </c>
      <c r="X466" s="111">
        <f>Audit[[#This Row],[Audit Candidate 6]]-Audit[[#This Row],[Candidate 6]]</f>
        <v>0</v>
      </c>
      <c r="Y466" s="111">
        <f>SUMIF(Audit[[#This Row],[Difference Loser]:[Difference Candidate 6]], "&gt;0")</f>
        <v>0</v>
      </c>
      <c r="Z466" s="111">
        <f>SUM(Audit[[#This Row],[Difference Loser]:[Difference Candidate 6]])</f>
        <v>-1</v>
      </c>
      <c r="AA466" s="111">
        <f>IF(Audit[[#This Row],[Times p Drawn - With Replacement]]&gt;0, IF(Audit[[#This Row],[Canceled Differences]]&lt;0, Audit[[#This Row],[Max Differences]]+ABS(Audit[[#This Row],[Canceled Differences]]), Audit[[#This Row],[Max Differences]]), 0)</f>
        <v>0</v>
      </c>
      <c r="AB466" s="111">
        <f>'Sampling Data'!P456</f>
        <v>6.1244487996080352E-5</v>
      </c>
      <c r="AC466" s="111">
        <f>IF(
      SUM(Audit[[#This Row],[Audit Losing Candidate]:[Audit Candidate 6]])
      &lt;&gt;0,
      (Audit[[#This Row],[Winning Candidate]]-Audit[[#This Row],[Losing Candidate]]-(Audit[[#This Row],[Audit Winning Candidate]]-Audit[[#This Row],[Audit Losing Candidate]]))/(Audit[[#Totals],[Winning Candidate]]-Audit[[#Totals],[Losing Candidate]]),
      0
)</f>
        <v>0</v>
      </c>
      <c r="AD4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6" s="111">
        <f>IF(Audit[[#This Row],[Max Relative Error (ep)]] = 0, 0, Audit[[#This Row],[Max Relative Error (ep)]]/Audit[[#This Row],[Error Bound (up) - Max. possible relative overstatement]])</f>
        <v>0</v>
      </c>
      <c r="AJ4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66" s="111">
        <f t="shared" si="7"/>
        <v>1</v>
      </c>
      <c r="AL466" s="111">
        <f>PRODUCT($AK$5:AK466)</f>
        <v>8.962823818226312E-2</v>
      </c>
      <c r="AM466" s="109">
        <f>1 - [K-M P Value]</f>
        <v>0.91037176181773694</v>
      </c>
      <c r="AN466" s="111" t="str">
        <f>IF(Audit[[#This Row],[K-M P Value]]&gt;1-'General Info'!$B$16,"Continue", "Stop")</f>
        <v>Stop</v>
      </c>
      <c r="AO466" s="110" t="b">
        <f>IF(Audit[[#This Row],[Status - Continue or stop audit]] = "Continue", TRUE, IF(AN465 = "Continue", TRUE, FALSE))</f>
        <v>0</v>
      </c>
      <c r="AP466" s="110"/>
    </row>
    <row r="467" spans="1:42" ht="15" hidden="1" customHeight="1">
      <c r="A467" s="111" t="str">
        <f>'Sampling Data'!W457</f>
        <v/>
      </c>
      <c r="B467" s="112" t="str">
        <f>'Sampling Data'!A457</f>
        <v>CLEVELAND -06-G</v>
      </c>
      <c r="C467" s="112">
        <f>'Sampling Data'!B457</f>
        <v>0</v>
      </c>
      <c r="D467" s="112">
        <f>'Sampling Data'!C457</f>
        <v>0</v>
      </c>
      <c r="E467" s="113">
        <f>'Sampling Data'!D457</f>
        <v>0</v>
      </c>
      <c r="F467" s="113">
        <f>'Sampling Data'!E457</f>
        <v>0</v>
      </c>
      <c r="G467" s="113">
        <f>'Sampling Data'!F457</f>
        <v>0</v>
      </c>
      <c r="H467" s="113">
        <f>'Sampling Data'!G457</f>
        <v>1</v>
      </c>
      <c r="I467" s="112">
        <f>'Sampling Data'!H457</f>
        <v>0</v>
      </c>
      <c r="J467" s="112">
        <f>'Sampling Data'!I457</f>
        <v>0</v>
      </c>
      <c r="K467" s="112">
        <f>'Sampling Data'!J457</f>
        <v>1</v>
      </c>
      <c r="L467" s="111">
        <f>'Sampling Data'!X457</f>
        <v>0</v>
      </c>
      <c r="M467" s="114"/>
      <c r="N467" s="114"/>
      <c r="O467" s="115"/>
      <c r="P467" s="115"/>
      <c r="Q467" s="116"/>
      <c r="R467" s="116"/>
      <c r="S467" s="111">
        <f>Audit[[#This Row],[Audit Losing Candidate]]-Audit[[#This Row],[Losing Candidate]]</f>
        <v>0</v>
      </c>
      <c r="T467" s="111">
        <f>Audit[[#This Row],[Audit Winning Candidate]]-Audit[[#This Row],[Winning Candidate]]</f>
        <v>0</v>
      </c>
      <c r="U467" s="111">
        <f>Audit[[#This Row],[Audit Candidate 3]]-Audit[[#This Row],[Candidate 3]]</f>
        <v>0</v>
      </c>
      <c r="V467" s="111">
        <f>Audit[[#This Row],[Audit Candidate 4]]-Audit[[#This Row],[Candidate 4]]</f>
        <v>0</v>
      </c>
      <c r="W467" s="111">
        <f>Audit[[#This Row],[Audit Candidate 5]]-Audit[[#This Row],[Candidate 5]]</f>
        <v>0</v>
      </c>
      <c r="X467" s="111">
        <f>Audit[[#This Row],[Audit Candidate 6]]-Audit[[#This Row],[Candidate 6]]</f>
        <v>-1</v>
      </c>
      <c r="Y467" s="111">
        <f>SUMIF(Audit[[#This Row],[Difference Loser]:[Difference Candidate 6]], "&gt;0")</f>
        <v>0</v>
      </c>
      <c r="Z467" s="111">
        <f>SUM(Audit[[#This Row],[Difference Loser]:[Difference Candidate 6]])</f>
        <v>-1</v>
      </c>
      <c r="AA467" s="111">
        <f>IF(Audit[[#This Row],[Times p Drawn - With Replacement]]&gt;0, IF(Audit[[#This Row],[Canceled Differences]]&lt;0, Audit[[#This Row],[Max Differences]]+ABS(Audit[[#This Row],[Canceled Differences]]), Audit[[#This Row],[Max Differences]]), 0)</f>
        <v>0</v>
      </c>
      <c r="AB467" s="111">
        <f>'Sampling Data'!P457</f>
        <v>6.1244487996080352E-5</v>
      </c>
      <c r="AC467" s="111">
        <f>IF(
      SUM(Audit[[#This Row],[Audit Losing Candidate]:[Audit Candidate 6]])
      &lt;&gt;0,
      (Audit[[#This Row],[Winning Candidate]]-Audit[[#This Row],[Losing Candidate]]-(Audit[[#This Row],[Audit Winning Candidate]]-Audit[[#This Row],[Audit Losing Candidate]]))/(Audit[[#Totals],[Winning Candidate]]-Audit[[#Totals],[Losing Candidate]]),
      0
)</f>
        <v>0</v>
      </c>
      <c r="AD4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7" s="111">
        <f>IF(Audit[[#This Row],[Max Relative Error (ep)]] = 0, 0, Audit[[#This Row],[Max Relative Error (ep)]]/Audit[[#This Row],[Error Bound (up) - Max. possible relative overstatement]])</f>
        <v>0</v>
      </c>
      <c r="AJ4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67" s="111">
        <f t="shared" si="7"/>
        <v>1</v>
      </c>
      <c r="AL467" s="111">
        <f>PRODUCT($AK$5:AK467)</f>
        <v>8.962823818226312E-2</v>
      </c>
      <c r="AM467" s="109">
        <f>1 - [K-M P Value]</f>
        <v>0.91037176181773694</v>
      </c>
      <c r="AN467" s="111" t="str">
        <f>IF(Audit[[#This Row],[K-M P Value]]&gt;1-'General Info'!$B$16,"Continue", "Stop")</f>
        <v>Stop</v>
      </c>
      <c r="AO467" s="110" t="b">
        <f>IF(Audit[[#This Row],[Status - Continue or stop audit]] = "Continue", TRUE, IF(AN466 = "Continue", TRUE, FALSE))</f>
        <v>0</v>
      </c>
      <c r="AP467" s="110"/>
    </row>
    <row r="468" spans="1:42" ht="15" hidden="1" customHeight="1">
      <c r="A468" s="111" t="str">
        <f>'Sampling Data'!W458</f>
        <v/>
      </c>
      <c r="B468" s="112" t="str">
        <f>'Sampling Data'!A458</f>
        <v>CLEVELAND -06-G - ABS</v>
      </c>
      <c r="C468" s="112">
        <f>'Sampling Data'!B458</f>
        <v>0</v>
      </c>
      <c r="D468" s="112">
        <f>'Sampling Data'!C458</f>
        <v>0</v>
      </c>
      <c r="E468" s="113">
        <f>'Sampling Data'!D458</f>
        <v>0</v>
      </c>
      <c r="F468" s="113">
        <f>'Sampling Data'!E458</f>
        <v>0</v>
      </c>
      <c r="G468" s="113">
        <f>'Sampling Data'!F458</f>
        <v>0</v>
      </c>
      <c r="H468" s="113">
        <f>'Sampling Data'!G458</f>
        <v>0</v>
      </c>
      <c r="I468" s="112">
        <f>'Sampling Data'!H458</f>
        <v>0</v>
      </c>
      <c r="J468" s="112">
        <f>'Sampling Data'!I458</f>
        <v>0</v>
      </c>
      <c r="K468" s="112">
        <f>'Sampling Data'!J458</f>
        <v>0</v>
      </c>
      <c r="L468" s="111">
        <f>'Sampling Data'!X458</f>
        <v>0</v>
      </c>
      <c r="M468" s="114"/>
      <c r="N468" s="114"/>
      <c r="O468" s="115"/>
      <c r="P468" s="115"/>
      <c r="Q468" s="116"/>
      <c r="R468" s="116"/>
      <c r="S468" s="111">
        <f>Audit[[#This Row],[Audit Losing Candidate]]-Audit[[#This Row],[Losing Candidate]]</f>
        <v>0</v>
      </c>
      <c r="T468" s="111">
        <f>Audit[[#This Row],[Audit Winning Candidate]]-Audit[[#This Row],[Winning Candidate]]</f>
        <v>0</v>
      </c>
      <c r="U468" s="111">
        <f>Audit[[#This Row],[Audit Candidate 3]]-Audit[[#This Row],[Candidate 3]]</f>
        <v>0</v>
      </c>
      <c r="V468" s="111">
        <f>Audit[[#This Row],[Audit Candidate 4]]-Audit[[#This Row],[Candidate 4]]</f>
        <v>0</v>
      </c>
      <c r="W468" s="111">
        <f>Audit[[#This Row],[Audit Candidate 5]]-Audit[[#This Row],[Candidate 5]]</f>
        <v>0</v>
      </c>
      <c r="X468" s="111">
        <f>Audit[[#This Row],[Audit Candidate 6]]-Audit[[#This Row],[Candidate 6]]</f>
        <v>0</v>
      </c>
      <c r="Y468" s="111">
        <f>SUMIF(Audit[[#This Row],[Difference Loser]:[Difference Candidate 6]], "&gt;0")</f>
        <v>0</v>
      </c>
      <c r="Z468" s="111">
        <f>SUM(Audit[[#This Row],[Difference Loser]:[Difference Candidate 6]])</f>
        <v>0</v>
      </c>
      <c r="AA468" s="111">
        <f>IF(Audit[[#This Row],[Times p Drawn - With Replacement]]&gt;0, IF(Audit[[#This Row],[Canceled Differences]]&lt;0, Audit[[#This Row],[Max Differences]]+ABS(Audit[[#This Row],[Canceled Differences]]), Audit[[#This Row],[Max Differences]]), 0)</f>
        <v>0</v>
      </c>
      <c r="AB468" s="111">
        <f>'Sampling Data'!P458</f>
        <v>0</v>
      </c>
      <c r="AC468" s="111">
        <f>IF(
      SUM(Audit[[#This Row],[Audit Losing Candidate]:[Audit Candidate 6]])
      &lt;&gt;0,
      (Audit[[#This Row],[Winning Candidate]]-Audit[[#This Row],[Losing Candidate]]-(Audit[[#This Row],[Audit Winning Candidate]]-Audit[[#This Row],[Audit Losing Candidate]]))/(Audit[[#Totals],[Winning Candidate]]-Audit[[#Totals],[Losing Candidate]]),
      0
)</f>
        <v>0</v>
      </c>
      <c r="AD4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8" s="111">
        <f>IF(Audit[[#This Row],[Max Relative Error (ep)]] = 0, 0, Audit[[#This Row],[Max Relative Error (ep)]]/Audit[[#This Row],[Error Bound (up) - Max. possible relative overstatement]])</f>
        <v>0</v>
      </c>
      <c r="AJ4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68" s="111">
        <f t="shared" si="7"/>
        <v>1</v>
      </c>
      <c r="AL468" s="111">
        <f>PRODUCT($AK$5:AK468)</f>
        <v>8.962823818226312E-2</v>
      </c>
      <c r="AM468" s="109">
        <f>1 - [K-M P Value]</f>
        <v>0.91037176181773694</v>
      </c>
      <c r="AN468" s="111" t="str">
        <f>IF(Audit[[#This Row],[K-M P Value]]&gt;1-'General Info'!$B$16,"Continue", "Stop")</f>
        <v>Stop</v>
      </c>
      <c r="AO468" s="110" t="b">
        <f>IF(Audit[[#This Row],[Status - Continue or stop audit]] = "Continue", TRUE, IF(AN467 = "Continue", TRUE, FALSE))</f>
        <v>0</v>
      </c>
      <c r="AP468" s="110"/>
    </row>
    <row r="469" spans="1:42" ht="15" hidden="1" customHeight="1">
      <c r="A469" s="111" t="str">
        <f>'Sampling Data'!W459</f>
        <v/>
      </c>
      <c r="B469" s="112" t="str">
        <f>'Sampling Data'!A459</f>
        <v>CLEVELAND -06-H</v>
      </c>
      <c r="C469" s="112">
        <f>'Sampling Data'!B459</f>
        <v>0</v>
      </c>
      <c r="D469" s="112">
        <f>'Sampling Data'!C459</f>
        <v>0</v>
      </c>
      <c r="E469" s="113">
        <f>'Sampling Data'!D459</f>
        <v>0</v>
      </c>
      <c r="F469" s="113">
        <f>'Sampling Data'!E459</f>
        <v>1</v>
      </c>
      <c r="G469" s="113">
        <f>'Sampling Data'!F459</f>
        <v>0</v>
      </c>
      <c r="H469" s="113">
        <f>'Sampling Data'!G459</f>
        <v>0</v>
      </c>
      <c r="I469" s="112">
        <f>'Sampling Data'!H459</f>
        <v>0</v>
      </c>
      <c r="J469" s="112">
        <f>'Sampling Data'!I459</f>
        <v>0</v>
      </c>
      <c r="K469" s="112">
        <f>'Sampling Data'!J459</f>
        <v>1</v>
      </c>
      <c r="L469" s="111">
        <f>'Sampling Data'!X459</f>
        <v>0</v>
      </c>
      <c r="M469" s="114"/>
      <c r="N469" s="114"/>
      <c r="O469" s="115"/>
      <c r="P469" s="115"/>
      <c r="Q469" s="116"/>
      <c r="R469" s="116"/>
      <c r="S469" s="111">
        <f>Audit[[#This Row],[Audit Losing Candidate]]-Audit[[#This Row],[Losing Candidate]]</f>
        <v>0</v>
      </c>
      <c r="T469" s="111">
        <f>Audit[[#This Row],[Audit Winning Candidate]]-Audit[[#This Row],[Winning Candidate]]</f>
        <v>0</v>
      </c>
      <c r="U469" s="111">
        <f>Audit[[#This Row],[Audit Candidate 3]]-Audit[[#This Row],[Candidate 3]]</f>
        <v>0</v>
      </c>
      <c r="V469" s="111">
        <f>Audit[[#This Row],[Audit Candidate 4]]-Audit[[#This Row],[Candidate 4]]</f>
        <v>-1</v>
      </c>
      <c r="W469" s="111">
        <f>Audit[[#This Row],[Audit Candidate 5]]-Audit[[#This Row],[Candidate 5]]</f>
        <v>0</v>
      </c>
      <c r="X469" s="111">
        <f>Audit[[#This Row],[Audit Candidate 6]]-Audit[[#This Row],[Candidate 6]]</f>
        <v>0</v>
      </c>
      <c r="Y469" s="111">
        <f>SUMIF(Audit[[#This Row],[Difference Loser]:[Difference Candidate 6]], "&gt;0")</f>
        <v>0</v>
      </c>
      <c r="Z469" s="111">
        <f>SUM(Audit[[#This Row],[Difference Loser]:[Difference Candidate 6]])</f>
        <v>-1</v>
      </c>
      <c r="AA469" s="111">
        <f>IF(Audit[[#This Row],[Times p Drawn - With Replacement]]&gt;0, IF(Audit[[#This Row],[Canceled Differences]]&lt;0, Audit[[#This Row],[Max Differences]]+ABS(Audit[[#This Row],[Canceled Differences]]), Audit[[#This Row],[Max Differences]]), 0)</f>
        <v>0</v>
      </c>
      <c r="AB469" s="111">
        <f>'Sampling Data'!P459</f>
        <v>6.1244487996080352E-5</v>
      </c>
      <c r="AC469" s="111">
        <f>IF(
      SUM(Audit[[#This Row],[Audit Losing Candidate]:[Audit Candidate 6]])
      &lt;&gt;0,
      (Audit[[#This Row],[Winning Candidate]]-Audit[[#This Row],[Losing Candidate]]-(Audit[[#This Row],[Audit Winning Candidate]]-Audit[[#This Row],[Audit Losing Candidate]]))/(Audit[[#Totals],[Winning Candidate]]-Audit[[#Totals],[Losing Candidate]]),
      0
)</f>
        <v>0</v>
      </c>
      <c r="AD4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9" s="111">
        <f>IF(Audit[[#This Row],[Max Relative Error (ep)]] = 0, 0, Audit[[#This Row],[Max Relative Error (ep)]]/Audit[[#This Row],[Error Bound (up) - Max. possible relative overstatement]])</f>
        <v>0</v>
      </c>
      <c r="AJ4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69" s="111">
        <f t="shared" si="7"/>
        <v>1</v>
      </c>
      <c r="AL469" s="111">
        <f>PRODUCT($AK$5:AK469)</f>
        <v>8.962823818226312E-2</v>
      </c>
      <c r="AM469" s="109">
        <f>1 - [K-M P Value]</f>
        <v>0.91037176181773694</v>
      </c>
      <c r="AN469" s="111" t="str">
        <f>IF(Audit[[#This Row],[K-M P Value]]&gt;1-'General Info'!$B$16,"Continue", "Stop")</f>
        <v>Stop</v>
      </c>
      <c r="AO469" s="110" t="b">
        <f>IF(Audit[[#This Row],[Status - Continue or stop audit]] = "Continue", TRUE, IF(AN468 = "Continue", TRUE, FALSE))</f>
        <v>0</v>
      </c>
      <c r="AP469" s="110"/>
    </row>
    <row r="470" spans="1:42" ht="15" hidden="1" customHeight="1">
      <c r="A470" s="111" t="str">
        <f>'Sampling Data'!W460</f>
        <v/>
      </c>
      <c r="B470" s="112" t="str">
        <f>'Sampling Data'!A460</f>
        <v>CLEVELAND -06-H - ABS</v>
      </c>
      <c r="C470" s="112">
        <f>'Sampling Data'!B460</f>
        <v>2</v>
      </c>
      <c r="D470" s="112">
        <f>'Sampling Data'!C460</f>
        <v>1</v>
      </c>
      <c r="E470" s="113">
        <f>'Sampling Data'!D460</f>
        <v>0</v>
      </c>
      <c r="F470" s="113">
        <f>'Sampling Data'!E460</f>
        <v>0</v>
      </c>
      <c r="G470" s="113">
        <f>'Sampling Data'!F460</f>
        <v>0</v>
      </c>
      <c r="H470" s="113">
        <f>'Sampling Data'!G460</f>
        <v>0</v>
      </c>
      <c r="I470" s="112">
        <f>'Sampling Data'!H460</f>
        <v>0</v>
      </c>
      <c r="J470" s="112">
        <f>'Sampling Data'!I460</f>
        <v>0</v>
      </c>
      <c r="K470" s="112">
        <f>'Sampling Data'!J460</f>
        <v>3</v>
      </c>
      <c r="L470" s="111">
        <f>'Sampling Data'!X460</f>
        <v>0</v>
      </c>
      <c r="M470" s="114"/>
      <c r="N470" s="114"/>
      <c r="O470" s="115"/>
      <c r="P470" s="115"/>
      <c r="Q470" s="116"/>
      <c r="R470" s="116"/>
      <c r="S470" s="111">
        <f>Audit[[#This Row],[Audit Losing Candidate]]-Audit[[#This Row],[Losing Candidate]]</f>
        <v>-2</v>
      </c>
      <c r="T470" s="111">
        <f>Audit[[#This Row],[Audit Winning Candidate]]-Audit[[#This Row],[Winning Candidate]]</f>
        <v>-1</v>
      </c>
      <c r="U470" s="111">
        <f>Audit[[#This Row],[Audit Candidate 3]]-Audit[[#This Row],[Candidate 3]]</f>
        <v>0</v>
      </c>
      <c r="V470" s="111">
        <f>Audit[[#This Row],[Audit Candidate 4]]-Audit[[#This Row],[Candidate 4]]</f>
        <v>0</v>
      </c>
      <c r="W470" s="111">
        <f>Audit[[#This Row],[Audit Candidate 5]]-Audit[[#This Row],[Candidate 5]]</f>
        <v>0</v>
      </c>
      <c r="X470" s="111">
        <f>Audit[[#This Row],[Audit Candidate 6]]-Audit[[#This Row],[Candidate 6]]</f>
        <v>0</v>
      </c>
      <c r="Y470" s="111">
        <f>SUMIF(Audit[[#This Row],[Difference Loser]:[Difference Candidate 6]], "&gt;0")</f>
        <v>0</v>
      </c>
      <c r="Z470" s="111">
        <f>SUM(Audit[[#This Row],[Difference Loser]:[Difference Candidate 6]])</f>
        <v>-3</v>
      </c>
      <c r="AA470" s="111">
        <f>IF(Audit[[#This Row],[Times p Drawn - With Replacement]]&gt;0, IF(Audit[[#This Row],[Canceled Differences]]&lt;0, Audit[[#This Row],[Max Differences]]+ABS(Audit[[#This Row],[Canceled Differences]]), Audit[[#This Row],[Max Differences]]), 0)</f>
        <v>0</v>
      </c>
      <c r="AB470" s="111">
        <f>'Sampling Data'!P460</f>
        <v>1.2904474626576767E-4</v>
      </c>
      <c r="AC470" s="111">
        <f>IF(
      SUM(Audit[[#This Row],[Audit Losing Candidate]:[Audit Candidate 6]])
      &lt;&gt;0,
      (Audit[[#This Row],[Winning Candidate]]-Audit[[#This Row],[Losing Candidate]]-(Audit[[#This Row],[Audit Winning Candidate]]-Audit[[#This Row],[Audit Losing Candidate]]))/(Audit[[#Totals],[Winning Candidate]]-Audit[[#Totals],[Losing Candidate]]),
      0
)</f>
        <v>0</v>
      </c>
      <c r="AD4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0" s="111">
        <f>IF(Audit[[#This Row],[Max Relative Error (ep)]] = 0, 0, Audit[[#This Row],[Max Relative Error (ep)]]/Audit[[#This Row],[Error Bound (up) - Max. possible relative overstatement]])</f>
        <v>0</v>
      </c>
      <c r="AJ4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70" s="111">
        <f t="shared" si="7"/>
        <v>1</v>
      </c>
      <c r="AL470" s="111">
        <f>PRODUCT($AK$5:AK470)</f>
        <v>8.962823818226312E-2</v>
      </c>
      <c r="AM470" s="109">
        <f>1 - [K-M P Value]</f>
        <v>0.91037176181773694</v>
      </c>
      <c r="AN470" s="111" t="str">
        <f>IF(Audit[[#This Row],[K-M P Value]]&gt;1-'General Info'!$B$16,"Continue", "Stop")</f>
        <v>Stop</v>
      </c>
      <c r="AO470" s="110" t="b">
        <f>IF(Audit[[#This Row],[Status - Continue or stop audit]] = "Continue", TRUE, IF(AN469 = "Continue", TRUE, FALSE))</f>
        <v>0</v>
      </c>
      <c r="AP470" s="110"/>
    </row>
    <row r="471" spans="1:42" ht="15" hidden="1" customHeight="1">
      <c r="A471" s="111" t="str">
        <f>'Sampling Data'!W461</f>
        <v/>
      </c>
      <c r="B471" s="112" t="str">
        <f>'Sampling Data'!A461</f>
        <v>CLEVELAND -06-I</v>
      </c>
      <c r="C471" s="112">
        <f>'Sampling Data'!B461</f>
        <v>0</v>
      </c>
      <c r="D471" s="112">
        <f>'Sampling Data'!C461</f>
        <v>0</v>
      </c>
      <c r="E471" s="113">
        <f>'Sampling Data'!D461</f>
        <v>0</v>
      </c>
      <c r="F471" s="113">
        <f>'Sampling Data'!E461</f>
        <v>0</v>
      </c>
      <c r="G471" s="113">
        <f>'Sampling Data'!F461</f>
        <v>0</v>
      </c>
      <c r="H471" s="113">
        <f>'Sampling Data'!G461</f>
        <v>0</v>
      </c>
      <c r="I471" s="112">
        <f>'Sampling Data'!H461</f>
        <v>0</v>
      </c>
      <c r="J471" s="112">
        <f>'Sampling Data'!I461</f>
        <v>0</v>
      </c>
      <c r="K471" s="112">
        <f>'Sampling Data'!J461</f>
        <v>0</v>
      </c>
      <c r="L471" s="111">
        <f>'Sampling Data'!X461</f>
        <v>0</v>
      </c>
      <c r="M471" s="114"/>
      <c r="N471" s="114"/>
      <c r="O471" s="115"/>
      <c r="P471" s="115"/>
      <c r="Q471" s="116"/>
      <c r="R471" s="116"/>
      <c r="S471" s="111">
        <f>Audit[[#This Row],[Audit Losing Candidate]]-Audit[[#This Row],[Losing Candidate]]</f>
        <v>0</v>
      </c>
      <c r="T471" s="111">
        <f>Audit[[#This Row],[Audit Winning Candidate]]-Audit[[#This Row],[Winning Candidate]]</f>
        <v>0</v>
      </c>
      <c r="U471" s="111">
        <f>Audit[[#This Row],[Audit Candidate 3]]-Audit[[#This Row],[Candidate 3]]</f>
        <v>0</v>
      </c>
      <c r="V471" s="111">
        <f>Audit[[#This Row],[Audit Candidate 4]]-Audit[[#This Row],[Candidate 4]]</f>
        <v>0</v>
      </c>
      <c r="W471" s="111">
        <f>Audit[[#This Row],[Audit Candidate 5]]-Audit[[#This Row],[Candidate 5]]</f>
        <v>0</v>
      </c>
      <c r="X471" s="111">
        <f>Audit[[#This Row],[Audit Candidate 6]]-Audit[[#This Row],[Candidate 6]]</f>
        <v>0</v>
      </c>
      <c r="Y471" s="111">
        <f>SUMIF(Audit[[#This Row],[Difference Loser]:[Difference Candidate 6]], "&gt;0")</f>
        <v>0</v>
      </c>
      <c r="Z471" s="111">
        <f>SUM(Audit[[#This Row],[Difference Loser]:[Difference Candidate 6]])</f>
        <v>0</v>
      </c>
      <c r="AA471" s="111">
        <f>IF(Audit[[#This Row],[Times p Drawn - With Replacement]]&gt;0, IF(Audit[[#This Row],[Canceled Differences]]&lt;0, Audit[[#This Row],[Max Differences]]+ABS(Audit[[#This Row],[Canceled Differences]]), Audit[[#This Row],[Max Differences]]), 0)</f>
        <v>0</v>
      </c>
      <c r="AB471" s="111">
        <f>'Sampling Data'!P461</f>
        <v>0</v>
      </c>
      <c r="AC471" s="111">
        <f>IF(
      SUM(Audit[[#This Row],[Audit Losing Candidate]:[Audit Candidate 6]])
      &lt;&gt;0,
      (Audit[[#This Row],[Winning Candidate]]-Audit[[#This Row],[Losing Candidate]]-(Audit[[#This Row],[Audit Winning Candidate]]-Audit[[#This Row],[Audit Losing Candidate]]))/(Audit[[#Totals],[Winning Candidate]]-Audit[[#Totals],[Losing Candidate]]),
      0
)</f>
        <v>0</v>
      </c>
      <c r="AD4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1" s="111">
        <f>IF(Audit[[#This Row],[Max Relative Error (ep)]] = 0, 0, Audit[[#This Row],[Max Relative Error (ep)]]/Audit[[#This Row],[Error Bound (up) - Max. possible relative overstatement]])</f>
        <v>0</v>
      </c>
      <c r="AJ4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71" s="111">
        <f t="shared" si="7"/>
        <v>1</v>
      </c>
      <c r="AL471" s="111">
        <f>PRODUCT($AK$5:AK471)</f>
        <v>8.962823818226312E-2</v>
      </c>
      <c r="AM471" s="109">
        <f>1 - [K-M P Value]</f>
        <v>0.91037176181773694</v>
      </c>
      <c r="AN471" s="111" t="str">
        <f>IF(Audit[[#This Row],[K-M P Value]]&gt;1-'General Info'!$B$16,"Continue", "Stop")</f>
        <v>Stop</v>
      </c>
      <c r="AO471" s="110" t="b">
        <f>IF(Audit[[#This Row],[Status - Continue or stop audit]] = "Continue", TRUE, IF(AN470 = "Continue", TRUE, FALSE))</f>
        <v>0</v>
      </c>
      <c r="AP471" s="110"/>
    </row>
    <row r="472" spans="1:42" ht="15" hidden="1" customHeight="1">
      <c r="A472" s="111" t="str">
        <f>'Sampling Data'!W462</f>
        <v/>
      </c>
      <c r="B472" s="112" t="str">
        <f>'Sampling Data'!A462</f>
        <v>CLEVELAND -06-I - ABS</v>
      </c>
      <c r="C472" s="112">
        <f>'Sampling Data'!B462</f>
        <v>1</v>
      </c>
      <c r="D472" s="112">
        <f>'Sampling Data'!C462</f>
        <v>0</v>
      </c>
      <c r="E472" s="113">
        <f>'Sampling Data'!D462</f>
        <v>2</v>
      </c>
      <c r="F472" s="113">
        <f>'Sampling Data'!E462</f>
        <v>0</v>
      </c>
      <c r="G472" s="113">
        <f>'Sampling Data'!F462</f>
        <v>0</v>
      </c>
      <c r="H472" s="113">
        <f>'Sampling Data'!G462</f>
        <v>0</v>
      </c>
      <c r="I472" s="112">
        <f>'Sampling Data'!H462</f>
        <v>0</v>
      </c>
      <c r="J472" s="112">
        <f>'Sampling Data'!I462</f>
        <v>0</v>
      </c>
      <c r="K472" s="112">
        <f>'Sampling Data'!J462</f>
        <v>3</v>
      </c>
      <c r="L472" s="111">
        <f>'Sampling Data'!X462</f>
        <v>0</v>
      </c>
      <c r="M472" s="114"/>
      <c r="N472" s="114"/>
      <c r="O472" s="115"/>
      <c r="P472" s="115"/>
      <c r="Q472" s="116"/>
      <c r="R472" s="116"/>
      <c r="S472" s="111">
        <f>Audit[[#This Row],[Audit Losing Candidate]]-Audit[[#This Row],[Losing Candidate]]</f>
        <v>-1</v>
      </c>
      <c r="T472" s="111">
        <f>Audit[[#This Row],[Audit Winning Candidate]]-Audit[[#This Row],[Winning Candidate]]</f>
        <v>0</v>
      </c>
      <c r="U472" s="111">
        <f>Audit[[#This Row],[Audit Candidate 3]]-Audit[[#This Row],[Candidate 3]]</f>
        <v>-2</v>
      </c>
      <c r="V472" s="111">
        <f>Audit[[#This Row],[Audit Candidate 4]]-Audit[[#This Row],[Candidate 4]]</f>
        <v>0</v>
      </c>
      <c r="W472" s="111">
        <f>Audit[[#This Row],[Audit Candidate 5]]-Audit[[#This Row],[Candidate 5]]</f>
        <v>0</v>
      </c>
      <c r="X472" s="111">
        <f>Audit[[#This Row],[Audit Candidate 6]]-Audit[[#This Row],[Candidate 6]]</f>
        <v>0</v>
      </c>
      <c r="Y472" s="111">
        <f>SUMIF(Audit[[#This Row],[Difference Loser]:[Difference Candidate 6]], "&gt;0")</f>
        <v>0</v>
      </c>
      <c r="Z472" s="111">
        <f>SUM(Audit[[#This Row],[Difference Loser]:[Difference Candidate 6]])</f>
        <v>-3</v>
      </c>
      <c r="AA472" s="111">
        <f>IF(Audit[[#This Row],[Times p Drawn - With Replacement]]&gt;0, IF(Audit[[#This Row],[Canceled Differences]]&lt;0, Audit[[#This Row],[Max Differences]]+ABS(Audit[[#This Row],[Canceled Differences]]), Audit[[#This Row],[Max Differences]]), 0)</f>
        <v>0</v>
      </c>
      <c r="AB472" s="111">
        <f>'Sampling Data'!P462</f>
        <v>1.224889759921607E-4</v>
      </c>
      <c r="AC472" s="111">
        <f>IF(
      SUM(Audit[[#This Row],[Audit Losing Candidate]:[Audit Candidate 6]])
      &lt;&gt;0,
      (Audit[[#This Row],[Winning Candidate]]-Audit[[#This Row],[Losing Candidate]]-(Audit[[#This Row],[Audit Winning Candidate]]-Audit[[#This Row],[Audit Losing Candidate]]))/(Audit[[#Totals],[Winning Candidate]]-Audit[[#Totals],[Losing Candidate]]),
      0
)</f>
        <v>0</v>
      </c>
      <c r="AD4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2" s="111">
        <f>IF(Audit[[#This Row],[Max Relative Error (ep)]] = 0, 0, Audit[[#This Row],[Max Relative Error (ep)]]/Audit[[#This Row],[Error Bound (up) - Max. possible relative overstatement]])</f>
        <v>0</v>
      </c>
      <c r="AJ4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72" s="111">
        <f t="shared" si="7"/>
        <v>1</v>
      </c>
      <c r="AL472" s="111">
        <f>PRODUCT($AK$5:AK472)</f>
        <v>8.962823818226312E-2</v>
      </c>
      <c r="AM472" s="109">
        <f>1 - [K-M P Value]</f>
        <v>0.91037176181773694</v>
      </c>
      <c r="AN472" s="111" t="str">
        <f>IF(Audit[[#This Row],[K-M P Value]]&gt;1-'General Info'!$B$16,"Continue", "Stop")</f>
        <v>Stop</v>
      </c>
      <c r="AO472" s="110" t="b">
        <f>IF(Audit[[#This Row],[Status - Continue or stop audit]] = "Continue", TRUE, IF(AN471 = "Continue", TRUE, FALSE))</f>
        <v>0</v>
      </c>
      <c r="AP472" s="110"/>
    </row>
    <row r="473" spans="1:42" ht="15" hidden="1" customHeight="1">
      <c r="A473" s="111" t="str">
        <f>'Sampling Data'!W463</f>
        <v/>
      </c>
      <c r="B473" s="112" t="str">
        <f>'Sampling Data'!A463</f>
        <v>CLEVELAND -06-J</v>
      </c>
      <c r="C473" s="112">
        <f>'Sampling Data'!B463</f>
        <v>1</v>
      </c>
      <c r="D473" s="112">
        <f>'Sampling Data'!C463</f>
        <v>0</v>
      </c>
      <c r="E473" s="113">
        <f>'Sampling Data'!D463</f>
        <v>0</v>
      </c>
      <c r="F473" s="113">
        <f>'Sampling Data'!E463</f>
        <v>0</v>
      </c>
      <c r="G473" s="113">
        <f>'Sampling Data'!F463</f>
        <v>0</v>
      </c>
      <c r="H473" s="113">
        <f>'Sampling Data'!G463</f>
        <v>0</v>
      </c>
      <c r="I473" s="112">
        <f>'Sampling Data'!H463</f>
        <v>0</v>
      </c>
      <c r="J473" s="112">
        <f>'Sampling Data'!I463</f>
        <v>0</v>
      </c>
      <c r="K473" s="112">
        <f>'Sampling Data'!J463</f>
        <v>1</v>
      </c>
      <c r="L473" s="111">
        <f>'Sampling Data'!X463</f>
        <v>0</v>
      </c>
      <c r="M473" s="114"/>
      <c r="N473" s="114"/>
      <c r="O473" s="115"/>
      <c r="P473" s="115"/>
      <c r="Q473" s="116"/>
      <c r="R473" s="116"/>
      <c r="S473" s="111">
        <f>Audit[[#This Row],[Audit Losing Candidate]]-Audit[[#This Row],[Losing Candidate]]</f>
        <v>-1</v>
      </c>
      <c r="T473" s="111">
        <f>Audit[[#This Row],[Audit Winning Candidate]]-Audit[[#This Row],[Winning Candidate]]</f>
        <v>0</v>
      </c>
      <c r="U473" s="111">
        <f>Audit[[#This Row],[Audit Candidate 3]]-Audit[[#This Row],[Candidate 3]]</f>
        <v>0</v>
      </c>
      <c r="V473" s="111">
        <f>Audit[[#This Row],[Audit Candidate 4]]-Audit[[#This Row],[Candidate 4]]</f>
        <v>0</v>
      </c>
      <c r="W473" s="111">
        <f>Audit[[#This Row],[Audit Candidate 5]]-Audit[[#This Row],[Candidate 5]]</f>
        <v>0</v>
      </c>
      <c r="X473" s="111">
        <f>Audit[[#This Row],[Audit Candidate 6]]-Audit[[#This Row],[Candidate 6]]</f>
        <v>0</v>
      </c>
      <c r="Y473" s="111">
        <f>SUMIF(Audit[[#This Row],[Difference Loser]:[Difference Candidate 6]], "&gt;0")</f>
        <v>0</v>
      </c>
      <c r="Z473" s="111">
        <f>SUM(Audit[[#This Row],[Difference Loser]:[Difference Candidate 6]])</f>
        <v>-1</v>
      </c>
      <c r="AA473" s="111">
        <f>IF(Audit[[#This Row],[Times p Drawn - With Replacement]]&gt;0, IF(Audit[[#This Row],[Canceled Differences]]&lt;0, Audit[[#This Row],[Max Differences]]+ABS(Audit[[#This Row],[Canceled Differences]]), Audit[[#This Row],[Max Differences]]), 0)</f>
        <v>0</v>
      </c>
      <c r="AB473" s="111">
        <f>'Sampling Data'!P463</f>
        <v>3.2261186566441917E-5</v>
      </c>
      <c r="AC473" s="111">
        <f>IF(
      SUM(Audit[[#This Row],[Audit Losing Candidate]:[Audit Candidate 6]])
      &lt;&gt;0,
      (Audit[[#This Row],[Winning Candidate]]-Audit[[#This Row],[Losing Candidate]]-(Audit[[#This Row],[Audit Winning Candidate]]-Audit[[#This Row],[Audit Losing Candidate]]))/(Audit[[#Totals],[Winning Candidate]]-Audit[[#Totals],[Losing Candidate]]),
      0
)</f>
        <v>0</v>
      </c>
      <c r="AD4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3" s="111">
        <f>IF(Audit[[#This Row],[Max Relative Error (ep)]] = 0, 0, Audit[[#This Row],[Max Relative Error (ep)]]/Audit[[#This Row],[Error Bound (up) - Max. possible relative overstatement]])</f>
        <v>0</v>
      </c>
      <c r="AJ4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73" s="111">
        <f t="shared" si="7"/>
        <v>1</v>
      </c>
      <c r="AL473" s="111">
        <f>PRODUCT($AK$5:AK473)</f>
        <v>8.962823818226312E-2</v>
      </c>
      <c r="AM473" s="109">
        <f>1 - [K-M P Value]</f>
        <v>0.91037176181773694</v>
      </c>
      <c r="AN473" s="111" t="str">
        <f>IF(Audit[[#This Row],[K-M P Value]]&gt;1-'General Info'!$B$16,"Continue", "Stop")</f>
        <v>Stop</v>
      </c>
      <c r="AO473" s="110" t="b">
        <f>IF(Audit[[#This Row],[Status - Continue or stop audit]] = "Continue", TRUE, IF(AN472 = "Continue", TRUE, FALSE))</f>
        <v>0</v>
      </c>
      <c r="AP473" s="110"/>
    </row>
    <row r="474" spans="1:42" ht="15" hidden="1" customHeight="1">
      <c r="A474" s="111" t="str">
        <f>'Sampling Data'!W464</f>
        <v/>
      </c>
      <c r="B474" s="112" t="str">
        <f>'Sampling Data'!A464</f>
        <v>CLEVELAND -06-J - ABS</v>
      </c>
      <c r="C474" s="112">
        <f>'Sampling Data'!B464</f>
        <v>0</v>
      </c>
      <c r="D474" s="112">
        <f>'Sampling Data'!C464</f>
        <v>0</v>
      </c>
      <c r="E474" s="113">
        <f>'Sampling Data'!D464</f>
        <v>0</v>
      </c>
      <c r="F474" s="113">
        <f>'Sampling Data'!E464</f>
        <v>0</v>
      </c>
      <c r="G474" s="113">
        <f>'Sampling Data'!F464</f>
        <v>0</v>
      </c>
      <c r="H474" s="113">
        <f>'Sampling Data'!G464</f>
        <v>0</v>
      </c>
      <c r="I474" s="112">
        <f>'Sampling Data'!H464</f>
        <v>0</v>
      </c>
      <c r="J474" s="112">
        <f>'Sampling Data'!I464</f>
        <v>0</v>
      </c>
      <c r="K474" s="112">
        <f>'Sampling Data'!J464</f>
        <v>0</v>
      </c>
      <c r="L474" s="111">
        <f>'Sampling Data'!X464</f>
        <v>0</v>
      </c>
      <c r="M474" s="114"/>
      <c r="N474" s="114"/>
      <c r="O474" s="115"/>
      <c r="P474" s="115"/>
      <c r="Q474" s="116"/>
      <c r="R474" s="116"/>
      <c r="S474" s="111">
        <f>Audit[[#This Row],[Audit Losing Candidate]]-Audit[[#This Row],[Losing Candidate]]</f>
        <v>0</v>
      </c>
      <c r="T474" s="111">
        <f>Audit[[#This Row],[Audit Winning Candidate]]-Audit[[#This Row],[Winning Candidate]]</f>
        <v>0</v>
      </c>
      <c r="U474" s="111">
        <f>Audit[[#This Row],[Audit Candidate 3]]-Audit[[#This Row],[Candidate 3]]</f>
        <v>0</v>
      </c>
      <c r="V474" s="111">
        <f>Audit[[#This Row],[Audit Candidate 4]]-Audit[[#This Row],[Candidate 4]]</f>
        <v>0</v>
      </c>
      <c r="W474" s="111">
        <f>Audit[[#This Row],[Audit Candidate 5]]-Audit[[#This Row],[Candidate 5]]</f>
        <v>0</v>
      </c>
      <c r="X474" s="111">
        <f>Audit[[#This Row],[Audit Candidate 6]]-Audit[[#This Row],[Candidate 6]]</f>
        <v>0</v>
      </c>
      <c r="Y474" s="111">
        <f>SUMIF(Audit[[#This Row],[Difference Loser]:[Difference Candidate 6]], "&gt;0")</f>
        <v>0</v>
      </c>
      <c r="Z474" s="111">
        <f>SUM(Audit[[#This Row],[Difference Loser]:[Difference Candidate 6]])</f>
        <v>0</v>
      </c>
      <c r="AA474" s="111">
        <f>IF(Audit[[#This Row],[Times p Drawn - With Replacement]]&gt;0, IF(Audit[[#This Row],[Canceled Differences]]&lt;0, Audit[[#This Row],[Max Differences]]+ABS(Audit[[#This Row],[Canceled Differences]]), Audit[[#This Row],[Max Differences]]), 0)</f>
        <v>0</v>
      </c>
      <c r="AB474" s="111">
        <f>'Sampling Data'!P464</f>
        <v>0</v>
      </c>
      <c r="AC474" s="111">
        <f>IF(
      SUM(Audit[[#This Row],[Audit Losing Candidate]:[Audit Candidate 6]])
      &lt;&gt;0,
      (Audit[[#This Row],[Winning Candidate]]-Audit[[#This Row],[Losing Candidate]]-(Audit[[#This Row],[Audit Winning Candidate]]-Audit[[#This Row],[Audit Losing Candidate]]))/(Audit[[#Totals],[Winning Candidate]]-Audit[[#Totals],[Losing Candidate]]),
      0
)</f>
        <v>0</v>
      </c>
      <c r="AD4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4" s="111">
        <f>IF(Audit[[#This Row],[Max Relative Error (ep)]] = 0, 0, Audit[[#This Row],[Max Relative Error (ep)]]/Audit[[#This Row],[Error Bound (up) - Max. possible relative overstatement]])</f>
        <v>0</v>
      </c>
      <c r="AJ4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74" s="111">
        <f t="shared" si="7"/>
        <v>1</v>
      </c>
      <c r="AL474" s="111">
        <f>PRODUCT($AK$5:AK474)</f>
        <v>8.962823818226312E-2</v>
      </c>
      <c r="AM474" s="109">
        <f>1 - [K-M P Value]</f>
        <v>0.91037176181773694</v>
      </c>
      <c r="AN474" s="111" t="str">
        <f>IF(Audit[[#This Row],[K-M P Value]]&gt;1-'General Info'!$B$16,"Continue", "Stop")</f>
        <v>Stop</v>
      </c>
      <c r="AO474" s="110" t="b">
        <f>IF(Audit[[#This Row],[Status - Continue or stop audit]] = "Continue", TRUE, IF(AN473 = "Continue", TRUE, FALSE))</f>
        <v>0</v>
      </c>
      <c r="AP474" s="110"/>
    </row>
    <row r="475" spans="1:42" ht="15" hidden="1" customHeight="1">
      <c r="A475" s="111" t="str">
        <f>'Sampling Data'!W465</f>
        <v/>
      </c>
      <c r="B475" s="112" t="str">
        <f>'Sampling Data'!A465</f>
        <v>CLEVELAND -06-K</v>
      </c>
      <c r="C475" s="112">
        <f>'Sampling Data'!B465</f>
        <v>3</v>
      </c>
      <c r="D475" s="112">
        <f>'Sampling Data'!C465</f>
        <v>6</v>
      </c>
      <c r="E475" s="113">
        <f>'Sampling Data'!D465</f>
        <v>1</v>
      </c>
      <c r="F475" s="113">
        <f>'Sampling Data'!E465</f>
        <v>1</v>
      </c>
      <c r="G475" s="113">
        <f>'Sampling Data'!F465</f>
        <v>1</v>
      </c>
      <c r="H475" s="113">
        <f>'Sampling Data'!G465</f>
        <v>1</v>
      </c>
      <c r="I475" s="112">
        <f>'Sampling Data'!H465</f>
        <v>0</v>
      </c>
      <c r="J475" s="112">
        <f>'Sampling Data'!I465</f>
        <v>0</v>
      </c>
      <c r="K475" s="112">
        <f>'Sampling Data'!J465</f>
        <v>13</v>
      </c>
      <c r="L475" s="111">
        <f>'Sampling Data'!X465</f>
        <v>0</v>
      </c>
      <c r="M475" s="114"/>
      <c r="N475" s="114"/>
      <c r="O475" s="115"/>
      <c r="P475" s="115"/>
      <c r="Q475" s="116"/>
      <c r="R475" s="116"/>
      <c r="S475" s="111">
        <f>Audit[[#This Row],[Audit Losing Candidate]]-Audit[[#This Row],[Losing Candidate]]</f>
        <v>-3</v>
      </c>
      <c r="T475" s="111">
        <f>Audit[[#This Row],[Audit Winning Candidate]]-Audit[[#This Row],[Winning Candidate]]</f>
        <v>-6</v>
      </c>
      <c r="U475" s="111">
        <f>Audit[[#This Row],[Audit Candidate 3]]-Audit[[#This Row],[Candidate 3]]</f>
        <v>-1</v>
      </c>
      <c r="V475" s="111">
        <f>Audit[[#This Row],[Audit Candidate 4]]-Audit[[#This Row],[Candidate 4]]</f>
        <v>-1</v>
      </c>
      <c r="W475" s="111">
        <f>Audit[[#This Row],[Audit Candidate 5]]-Audit[[#This Row],[Candidate 5]]</f>
        <v>-1</v>
      </c>
      <c r="X475" s="111">
        <f>Audit[[#This Row],[Audit Candidate 6]]-Audit[[#This Row],[Candidate 6]]</f>
        <v>-1</v>
      </c>
      <c r="Y475" s="111">
        <f>SUMIF(Audit[[#This Row],[Difference Loser]:[Difference Candidate 6]], "&gt;0")</f>
        <v>0</v>
      </c>
      <c r="Z475" s="111">
        <f>SUM(Audit[[#This Row],[Difference Loser]:[Difference Candidate 6]])</f>
        <v>-13</v>
      </c>
      <c r="AA475" s="111">
        <f>IF(Audit[[#This Row],[Times p Drawn - With Replacement]]&gt;0, IF(Audit[[#This Row],[Canceled Differences]]&lt;0, Audit[[#This Row],[Max Differences]]+ABS(Audit[[#This Row],[Canceled Differences]]), Audit[[#This Row],[Max Differences]]), 0)</f>
        <v>0</v>
      </c>
      <c r="AB475" s="111">
        <f>'Sampling Data'!P465</f>
        <v>9.7991180793728563E-4</v>
      </c>
      <c r="AC475" s="111">
        <f>IF(
      SUM(Audit[[#This Row],[Audit Losing Candidate]:[Audit Candidate 6]])
      &lt;&gt;0,
      (Audit[[#This Row],[Winning Candidate]]-Audit[[#This Row],[Losing Candidate]]-(Audit[[#This Row],[Audit Winning Candidate]]-Audit[[#This Row],[Audit Losing Candidate]]))/(Audit[[#Totals],[Winning Candidate]]-Audit[[#Totals],[Losing Candidate]]),
      0
)</f>
        <v>0</v>
      </c>
      <c r="AD4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5" s="111">
        <f>IF(Audit[[#This Row],[Max Relative Error (ep)]] = 0, 0, Audit[[#This Row],[Max Relative Error (ep)]]/Audit[[#This Row],[Error Bound (up) - Max. possible relative overstatement]])</f>
        <v>0</v>
      </c>
      <c r="AJ4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75" s="111">
        <f t="shared" si="7"/>
        <v>1</v>
      </c>
      <c r="AL475" s="111">
        <f>PRODUCT($AK$5:AK475)</f>
        <v>8.962823818226312E-2</v>
      </c>
      <c r="AM475" s="109">
        <f>1 - [K-M P Value]</f>
        <v>0.91037176181773694</v>
      </c>
      <c r="AN475" s="111" t="str">
        <f>IF(Audit[[#This Row],[K-M P Value]]&gt;1-'General Info'!$B$16,"Continue", "Stop")</f>
        <v>Stop</v>
      </c>
      <c r="AO475" s="110" t="b">
        <f>IF(Audit[[#This Row],[Status - Continue or stop audit]] = "Continue", TRUE, IF(AN474 = "Continue", TRUE, FALSE))</f>
        <v>0</v>
      </c>
      <c r="AP475" s="110"/>
    </row>
    <row r="476" spans="1:42" ht="15" hidden="1" customHeight="1">
      <c r="A476" s="111" t="str">
        <f>'Sampling Data'!W466</f>
        <v/>
      </c>
      <c r="B476" s="112" t="str">
        <f>'Sampling Data'!A466</f>
        <v>CLEVELAND -06-K - ABS</v>
      </c>
      <c r="C476" s="112">
        <f>'Sampling Data'!B466</f>
        <v>1</v>
      </c>
      <c r="D476" s="112">
        <f>'Sampling Data'!C466</f>
        <v>10</v>
      </c>
      <c r="E476" s="113">
        <f>'Sampling Data'!D466</f>
        <v>0</v>
      </c>
      <c r="F476" s="113">
        <f>'Sampling Data'!E466</f>
        <v>1</v>
      </c>
      <c r="G476" s="113">
        <f>'Sampling Data'!F466</f>
        <v>1</v>
      </c>
      <c r="H476" s="113">
        <f>'Sampling Data'!G466</f>
        <v>0</v>
      </c>
      <c r="I476" s="112">
        <f>'Sampling Data'!H466</f>
        <v>0</v>
      </c>
      <c r="J476" s="112">
        <f>'Sampling Data'!I466</f>
        <v>1</v>
      </c>
      <c r="K476" s="112">
        <f>'Sampling Data'!J466</f>
        <v>14</v>
      </c>
      <c r="L476" s="111">
        <f>'Sampling Data'!X466</f>
        <v>0</v>
      </c>
      <c r="M476" s="114"/>
      <c r="N476" s="114"/>
      <c r="O476" s="115"/>
      <c r="P476" s="115"/>
      <c r="Q476" s="116"/>
      <c r="R476" s="116"/>
      <c r="S476" s="111">
        <f>Audit[[#This Row],[Audit Losing Candidate]]-Audit[[#This Row],[Losing Candidate]]</f>
        <v>-1</v>
      </c>
      <c r="T476" s="111">
        <f>Audit[[#This Row],[Audit Winning Candidate]]-Audit[[#This Row],[Winning Candidate]]</f>
        <v>-10</v>
      </c>
      <c r="U476" s="111">
        <f>Audit[[#This Row],[Audit Candidate 3]]-Audit[[#This Row],[Candidate 3]]</f>
        <v>0</v>
      </c>
      <c r="V476" s="111">
        <f>Audit[[#This Row],[Audit Candidate 4]]-Audit[[#This Row],[Candidate 4]]</f>
        <v>-1</v>
      </c>
      <c r="W476" s="111">
        <f>Audit[[#This Row],[Audit Candidate 5]]-Audit[[#This Row],[Candidate 5]]</f>
        <v>-1</v>
      </c>
      <c r="X476" s="111">
        <f>Audit[[#This Row],[Audit Candidate 6]]-Audit[[#This Row],[Candidate 6]]</f>
        <v>0</v>
      </c>
      <c r="Y476" s="111">
        <f>SUMIF(Audit[[#This Row],[Difference Loser]:[Difference Candidate 6]], "&gt;0")</f>
        <v>0</v>
      </c>
      <c r="Z476" s="111">
        <f>SUM(Audit[[#This Row],[Difference Loser]:[Difference Candidate 6]])</f>
        <v>-13</v>
      </c>
      <c r="AA476" s="111">
        <f>IF(Audit[[#This Row],[Times p Drawn - With Replacement]]&gt;0, IF(Audit[[#This Row],[Canceled Differences]]&lt;0, Audit[[#This Row],[Max Differences]]+ABS(Audit[[#This Row],[Canceled Differences]]), Audit[[#This Row],[Max Differences]]), 0)</f>
        <v>0</v>
      </c>
      <c r="AB476" s="111">
        <f>'Sampling Data'!P466</f>
        <v>1.408623223909848E-3</v>
      </c>
      <c r="AC476" s="111">
        <f>IF(
      SUM(Audit[[#This Row],[Audit Losing Candidate]:[Audit Candidate 6]])
      &lt;&gt;0,
      (Audit[[#This Row],[Winning Candidate]]-Audit[[#This Row],[Losing Candidate]]-(Audit[[#This Row],[Audit Winning Candidate]]-Audit[[#This Row],[Audit Losing Candidate]]))/(Audit[[#Totals],[Winning Candidate]]-Audit[[#Totals],[Losing Candidate]]),
      0
)</f>
        <v>0</v>
      </c>
      <c r="AD4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6" s="111">
        <f>IF(Audit[[#This Row],[Max Relative Error (ep)]] = 0, 0, Audit[[#This Row],[Max Relative Error (ep)]]/Audit[[#This Row],[Error Bound (up) - Max. possible relative overstatement]])</f>
        <v>0</v>
      </c>
      <c r="AJ4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76" s="111">
        <f t="shared" si="7"/>
        <v>1</v>
      </c>
      <c r="AL476" s="111">
        <f>PRODUCT($AK$5:AK476)</f>
        <v>8.962823818226312E-2</v>
      </c>
      <c r="AM476" s="109">
        <f>1 - [K-M P Value]</f>
        <v>0.91037176181773694</v>
      </c>
      <c r="AN476" s="111" t="str">
        <f>IF(Audit[[#This Row],[K-M P Value]]&gt;1-'General Info'!$B$16,"Continue", "Stop")</f>
        <v>Stop</v>
      </c>
      <c r="AO476" s="110" t="b">
        <f>IF(Audit[[#This Row],[Status - Continue or stop audit]] = "Continue", TRUE, IF(AN475 = "Continue", TRUE, FALSE))</f>
        <v>0</v>
      </c>
      <c r="AP476" s="110"/>
    </row>
    <row r="477" spans="1:42" ht="15" hidden="1" customHeight="1">
      <c r="A477" s="111" t="str">
        <f>'Sampling Data'!W467</f>
        <v/>
      </c>
      <c r="B477" s="112" t="str">
        <f>'Sampling Data'!A467</f>
        <v>CLEVELAND -06-L</v>
      </c>
      <c r="C477" s="112">
        <f>'Sampling Data'!B467</f>
        <v>0</v>
      </c>
      <c r="D477" s="112">
        <f>'Sampling Data'!C467</f>
        <v>0</v>
      </c>
      <c r="E477" s="113">
        <f>'Sampling Data'!D467</f>
        <v>0</v>
      </c>
      <c r="F477" s="113">
        <f>'Sampling Data'!E467</f>
        <v>1</v>
      </c>
      <c r="G477" s="113">
        <f>'Sampling Data'!F467</f>
        <v>0</v>
      </c>
      <c r="H477" s="113">
        <f>'Sampling Data'!G467</f>
        <v>0</v>
      </c>
      <c r="I477" s="112">
        <f>'Sampling Data'!H467</f>
        <v>0</v>
      </c>
      <c r="J477" s="112">
        <f>'Sampling Data'!I467</f>
        <v>0</v>
      </c>
      <c r="K477" s="112">
        <f>'Sampling Data'!J467</f>
        <v>1</v>
      </c>
      <c r="L477" s="111">
        <f>'Sampling Data'!X467</f>
        <v>0</v>
      </c>
      <c r="M477" s="114"/>
      <c r="N477" s="114"/>
      <c r="O477" s="115"/>
      <c r="P477" s="115"/>
      <c r="Q477" s="116"/>
      <c r="R477" s="116"/>
      <c r="S477" s="111">
        <f>Audit[[#This Row],[Audit Losing Candidate]]-Audit[[#This Row],[Losing Candidate]]</f>
        <v>0</v>
      </c>
      <c r="T477" s="111">
        <f>Audit[[#This Row],[Audit Winning Candidate]]-Audit[[#This Row],[Winning Candidate]]</f>
        <v>0</v>
      </c>
      <c r="U477" s="111">
        <f>Audit[[#This Row],[Audit Candidate 3]]-Audit[[#This Row],[Candidate 3]]</f>
        <v>0</v>
      </c>
      <c r="V477" s="111">
        <f>Audit[[#This Row],[Audit Candidate 4]]-Audit[[#This Row],[Candidate 4]]</f>
        <v>-1</v>
      </c>
      <c r="W477" s="111">
        <f>Audit[[#This Row],[Audit Candidate 5]]-Audit[[#This Row],[Candidate 5]]</f>
        <v>0</v>
      </c>
      <c r="X477" s="111">
        <f>Audit[[#This Row],[Audit Candidate 6]]-Audit[[#This Row],[Candidate 6]]</f>
        <v>0</v>
      </c>
      <c r="Y477" s="111">
        <f>SUMIF(Audit[[#This Row],[Difference Loser]:[Difference Candidate 6]], "&gt;0")</f>
        <v>0</v>
      </c>
      <c r="Z477" s="111">
        <f>SUM(Audit[[#This Row],[Difference Loser]:[Difference Candidate 6]])</f>
        <v>-1</v>
      </c>
      <c r="AA477" s="111">
        <f>IF(Audit[[#This Row],[Times p Drawn - With Replacement]]&gt;0, IF(Audit[[#This Row],[Canceled Differences]]&lt;0, Audit[[#This Row],[Max Differences]]+ABS(Audit[[#This Row],[Canceled Differences]]), Audit[[#This Row],[Max Differences]]), 0)</f>
        <v>0</v>
      </c>
      <c r="AB477" s="111">
        <f>'Sampling Data'!P467</f>
        <v>6.1244487996080352E-5</v>
      </c>
      <c r="AC477" s="111">
        <f>IF(
      SUM(Audit[[#This Row],[Audit Losing Candidate]:[Audit Candidate 6]])
      &lt;&gt;0,
      (Audit[[#This Row],[Winning Candidate]]-Audit[[#This Row],[Losing Candidate]]-(Audit[[#This Row],[Audit Winning Candidate]]-Audit[[#This Row],[Audit Losing Candidate]]))/(Audit[[#Totals],[Winning Candidate]]-Audit[[#Totals],[Losing Candidate]]),
      0
)</f>
        <v>0</v>
      </c>
      <c r="AD4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7" s="111">
        <f>IF(Audit[[#This Row],[Max Relative Error (ep)]] = 0, 0, Audit[[#This Row],[Max Relative Error (ep)]]/Audit[[#This Row],[Error Bound (up) - Max. possible relative overstatement]])</f>
        <v>0</v>
      </c>
      <c r="AJ4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77" s="111">
        <f t="shared" si="7"/>
        <v>1</v>
      </c>
      <c r="AL477" s="111">
        <f>PRODUCT($AK$5:AK477)</f>
        <v>8.962823818226312E-2</v>
      </c>
      <c r="AM477" s="109">
        <f>1 - [K-M P Value]</f>
        <v>0.91037176181773694</v>
      </c>
      <c r="AN477" s="111" t="str">
        <f>IF(Audit[[#This Row],[K-M P Value]]&gt;1-'General Info'!$B$16,"Continue", "Stop")</f>
        <v>Stop</v>
      </c>
      <c r="AO477" s="110" t="b">
        <f>IF(Audit[[#This Row],[Status - Continue or stop audit]] = "Continue", TRUE, IF(AN476 = "Continue", TRUE, FALSE))</f>
        <v>0</v>
      </c>
      <c r="AP477" s="110"/>
    </row>
    <row r="478" spans="1:42" ht="15" hidden="1" customHeight="1">
      <c r="A478" s="111" t="str">
        <f>'Sampling Data'!W468</f>
        <v/>
      </c>
      <c r="B478" s="112" t="str">
        <f>'Sampling Data'!A468</f>
        <v>CLEVELAND -06-L - ABS</v>
      </c>
      <c r="C478" s="112">
        <f>'Sampling Data'!B468</f>
        <v>0</v>
      </c>
      <c r="D478" s="112">
        <f>'Sampling Data'!C468</f>
        <v>0</v>
      </c>
      <c r="E478" s="113">
        <f>'Sampling Data'!D468</f>
        <v>0</v>
      </c>
      <c r="F478" s="113">
        <f>'Sampling Data'!E468</f>
        <v>0</v>
      </c>
      <c r="G478" s="113">
        <f>'Sampling Data'!F468</f>
        <v>0</v>
      </c>
      <c r="H478" s="113">
        <f>'Sampling Data'!G468</f>
        <v>0</v>
      </c>
      <c r="I478" s="112">
        <f>'Sampling Data'!H468</f>
        <v>0</v>
      </c>
      <c r="J478" s="112">
        <f>'Sampling Data'!I468</f>
        <v>0</v>
      </c>
      <c r="K478" s="112">
        <f>'Sampling Data'!J468</f>
        <v>0</v>
      </c>
      <c r="L478" s="111">
        <f>'Sampling Data'!X468</f>
        <v>0</v>
      </c>
      <c r="M478" s="114"/>
      <c r="N478" s="114"/>
      <c r="O478" s="115"/>
      <c r="P478" s="115"/>
      <c r="Q478" s="116"/>
      <c r="R478" s="116"/>
      <c r="S478" s="111">
        <f>Audit[[#This Row],[Audit Losing Candidate]]-Audit[[#This Row],[Losing Candidate]]</f>
        <v>0</v>
      </c>
      <c r="T478" s="111">
        <f>Audit[[#This Row],[Audit Winning Candidate]]-Audit[[#This Row],[Winning Candidate]]</f>
        <v>0</v>
      </c>
      <c r="U478" s="111">
        <f>Audit[[#This Row],[Audit Candidate 3]]-Audit[[#This Row],[Candidate 3]]</f>
        <v>0</v>
      </c>
      <c r="V478" s="111">
        <f>Audit[[#This Row],[Audit Candidate 4]]-Audit[[#This Row],[Candidate 4]]</f>
        <v>0</v>
      </c>
      <c r="W478" s="111">
        <f>Audit[[#This Row],[Audit Candidate 5]]-Audit[[#This Row],[Candidate 5]]</f>
        <v>0</v>
      </c>
      <c r="X478" s="111">
        <f>Audit[[#This Row],[Audit Candidate 6]]-Audit[[#This Row],[Candidate 6]]</f>
        <v>0</v>
      </c>
      <c r="Y478" s="111">
        <f>SUMIF(Audit[[#This Row],[Difference Loser]:[Difference Candidate 6]], "&gt;0")</f>
        <v>0</v>
      </c>
      <c r="Z478" s="111">
        <f>SUM(Audit[[#This Row],[Difference Loser]:[Difference Candidate 6]])</f>
        <v>0</v>
      </c>
      <c r="AA478" s="111">
        <f>IF(Audit[[#This Row],[Times p Drawn - With Replacement]]&gt;0, IF(Audit[[#This Row],[Canceled Differences]]&lt;0, Audit[[#This Row],[Max Differences]]+ABS(Audit[[#This Row],[Canceled Differences]]), Audit[[#This Row],[Max Differences]]), 0)</f>
        <v>0</v>
      </c>
      <c r="AB478" s="111">
        <f>'Sampling Data'!P468</f>
        <v>0</v>
      </c>
      <c r="AC478" s="111">
        <f>IF(
      SUM(Audit[[#This Row],[Audit Losing Candidate]:[Audit Candidate 6]])
      &lt;&gt;0,
      (Audit[[#This Row],[Winning Candidate]]-Audit[[#This Row],[Losing Candidate]]-(Audit[[#This Row],[Audit Winning Candidate]]-Audit[[#This Row],[Audit Losing Candidate]]))/(Audit[[#Totals],[Winning Candidate]]-Audit[[#Totals],[Losing Candidate]]),
      0
)</f>
        <v>0</v>
      </c>
      <c r="AD4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8" s="111">
        <f>IF(Audit[[#This Row],[Max Relative Error (ep)]] = 0, 0, Audit[[#This Row],[Max Relative Error (ep)]]/Audit[[#This Row],[Error Bound (up) - Max. possible relative overstatement]])</f>
        <v>0</v>
      </c>
      <c r="AJ4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78" s="111">
        <f t="shared" si="7"/>
        <v>1</v>
      </c>
      <c r="AL478" s="111">
        <f>PRODUCT($AK$5:AK478)</f>
        <v>8.962823818226312E-2</v>
      </c>
      <c r="AM478" s="109">
        <f>1 - [K-M P Value]</f>
        <v>0.91037176181773694</v>
      </c>
      <c r="AN478" s="111" t="str">
        <f>IF(Audit[[#This Row],[K-M P Value]]&gt;1-'General Info'!$B$16,"Continue", "Stop")</f>
        <v>Stop</v>
      </c>
      <c r="AO478" s="110" t="b">
        <f>IF(Audit[[#This Row],[Status - Continue or stop audit]] = "Continue", TRUE, IF(AN477 = "Continue", TRUE, FALSE))</f>
        <v>0</v>
      </c>
      <c r="AP478" s="110"/>
    </row>
    <row r="479" spans="1:42" ht="15" hidden="1" customHeight="1">
      <c r="A479" s="111" t="str">
        <f>'Sampling Data'!W469</f>
        <v/>
      </c>
      <c r="B479" s="112" t="str">
        <f>'Sampling Data'!A469</f>
        <v>CLEVELAND -06-M</v>
      </c>
      <c r="C479" s="112">
        <f>'Sampling Data'!B469</f>
        <v>0</v>
      </c>
      <c r="D479" s="112">
        <f>'Sampling Data'!C469</f>
        <v>0</v>
      </c>
      <c r="E479" s="113">
        <f>'Sampling Data'!D469</f>
        <v>0</v>
      </c>
      <c r="F479" s="113">
        <f>'Sampling Data'!E469</f>
        <v>0</v>
      </c>
      <c r="G479" s="113">
        <f>'Sampling Data'!F469</f>
        <v>0</v>
      </c>
      <c r="H479" s="113">
        <f>'Sampling Data'!G469</f>
        <v>0</v>
      </c>
      <c r="I479" s="112">
        <f>'Sampling Data'!H469</f>
        <v>0</v>
      </c>
      <c r="J479" s="112">
        <f>'Sampling Data'!I469</f>
        <v>0</v>
      </c>
      <c r="K479" s="112">
        <f>'Sampling Data'!J469</f>
        <v>0</v>
      </c>
      <c r="L479" s="111">
        <f>'Sampling Data'!X469</f>
        <v>0</v>
      </c>
      <c r="M479" s="114"/>
      <c r="N479" s="114"/>
      <c r="O479" s="115"/>
      <c r="P479" s="115"/>
      <c r="Q479" s="116"/>
      <c r="R479" s="116"/>
      <c r="S479" s="111">
        <f>Audit[[#This Row],[Audit Losing Candidate]]-Audit[[#This Row],[Losing Candidate]]</f>
        <v>0</v>
      </c>
      <c r="T479" s="111">
        <f>Audit[[#This Row],[Audit Winning Candidate]]-Audit[[#This Row],[Winning Candidate]]</f>
        <v>0</v>
      </c>
      <c r="U479" s="111">
        <f>Audit[[#This Row],[Audit Candidate 3]]-Audit[[#This Row],[Candidate 3]]</f>
        <v>0</v>
      </c>
      <c r="V479" s="111">
        <f>Audit[[#This Row],[Audit Candidate 4]]-Audit[[#This Row],[Candidate 4]]</f>
        <v>0</v>
      </c>
      <c r="W479" s="111">
        <f>Audit[[#This Row],[Audit Candidate 5]]-Audit[[#This Row],[Candidate 5]]</f>
        <v>0</v>
      </c>
      <c r="X479" s="111">
        <f>Audit[[#This Row],[Audit Candidate 6]]-Audit[[#This Row],[Candidate 6]]</f>
        <v>0</v>
      </c>
      <c r="Y479" s="111">
        <f>SUMIF(Audit[[#This Row],[Difference Loser]:[Difference Candidate 6]], "&gt;0")</f>
        <v>0</v>
      </c>
      <c r="Z479" s="111">
        <f>SUM(Audit[[#This Row],[Difference Loser]:[Difference Candidate 6]])</f>
        <v>0</v>
      </c>
      <c r="AA479" s="111">
        <f>IF(Audit[[#This Row],[Times p Drawn - With Replacement]]&gt;0, IF(Audit[[#This Row],[Canceled Differences]]&lt;0, Audit[[#This Row],[Max Differences]]+ABS(Audit[[#This Row],[Canceled Differences]]), Audit[[#This Row],[Max Differences]]), 0)</f>
        <v>0</v>
      </c>
      <c r="AB479" s="111">
        <f>'Sampling Data'!P469</f>
        <v>0</v>
      </c>
      <c r="AC479" s="111">
        <f>IF(
      SUM(Audit[[#This Row],[Audit Losing Candidate]:[Audit Candidate 6]])
      &lt;&gt;0,
      (Audit[[#This Row],[Winning Candidate]]-Audit[[#This Row],[Losing Candidate]]-(Audit[[#This Row],[Audit Winning Candidate]]-Audit[[#This Row],[Audit Losing Candidate]]))/(Audit[[#Totals],[Winning Candidate]]-Audit[[#Totals],[Losing Candidate]]),
      0
)</f>
        <v>0</v>
      </c>
      <c r="AD4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9" s="111">
        <f>IF(Audit[[#This Row],[Max Relative Error (ep)]] = 0, 0, Audit[[#This Row],[Max Relative Error (ep)]]/Audit[[#This Row],[Error Bound (up) - Max. possible relative overstatement]])</f>
        <v>0</v>
      </c>
      <c r="AJ4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79" s="111">
        <f t="shared" si="7"/>
        <v>1</v>
      </c>
      <c r="AL479" s="111">
        <f>PRODUCT($AK$5:AK479)</f>
        <v>8.962823818226312E-2</v>
      </c>
      <c r="AM479" s="109">
        <f>1 - [K-M P Value]</f>
        <v>0.91037176181773694</v>
      </c>
      <c r="AN479" s="111" t="str">
        <f>IF(Audit[[#This Row],[K-M P Value]]&gt;1-'General Info'!$B$16,"Continue", "Stop")</f>
        <v>Stop</v>
      </c>
      <c r="AO479" s="110" t="b">
        <f>IF(Audit[[#This Row],[Status - Continue or stop audit]] = "Continue", TRUE, IF(AN478 = "Continue", TRUE, FALSE))</f>
        <v>0</v>
      </c>
      <c r="AP479" s="110"/>
    </row>
    <row r="480" spans="1:42" ht="15" hidden="1" customHeight="1">
      <c r="A480" s="111" t="str">
        <f>'Sampling Data'!W470</f>
        <v/>
      </c>
      <c r="B480" s="112" t="str">
        <f>'Sampling Data'!A470</f>
        <v>CLEVELAND -06-M - ABS</v>
      </c>
      <c r="C480" s="112">
        <f>'Sampling Data'!B470</f>
        <v>0</v>
      </c>
      <c r="D480" s="112">
        <f>'Sampling Data'!C470</f>
        <v>0</v>
      </c>
      <c r="E480" s="113">
        <f>'Sampling Data'!D470</f>
        <v>0</v>
      </c>
      <c r="F480" s="113">
        <f>'Sampling Data'!E470</f>
        <v>1</v>
      </c>
      <c r="G480" s="113">
        <f>'Sampling Data'!F470</f>
        <v>0</v>
      </c>
      <c r="H480" s="113">
        <f>'Sampling Data'!G470</f>
        <v>0</v>
      </c>
      <c r="I480" s="112">
        <f>'Sampling Data'!H470</f>
        <v>0</v>
      </c>
      <c r="J480" s="112">
        <f>'Sampling Data'!I470</f>
        <v>0</v>
      </c>
      <c r="K480" s="112">
        <f>'Sampling Data'!J470</f>
        <v>1</v>
      </c>
      <c r="L480" s="111">
        <f>'Sampling Data'!X470</f>
        <v>0</v>
      </c>
      <c r="M480" s="114"/>
      <c r="N480" s="114"/>
      <c r="O480" s="115"/>
      <c r="P480" s="115"/>
      <c r="Q480" s="116"/>
      <c r="R480" s="116"/>
      <c r="S480" s="111">
        <f>Audit[[#This Row],[Audit Losing Candidate]]-Audit[[#This Row],[Losing Candidate]]</f>
        <v>0</v>
      </c>
      <c r="T480" s="111">
        <f>Audit[[#This Row],[Audit Winning Candidate]]-Audit[[#This Row],[Winning Candidate]]</f>
        <v>0</v>
      </c>
      <c r="U480" s="111">
        <f>Audit[[#This Row],[Audit Candidate 3]]-Audit[[#This Row],[Candidate 3]]</f>
        <v>0</v>
      </c>
      <c r="V480" s="111">
        <f>Audit[[#This Row],[Audit Candidate 4]]-Audit[[#This Row],[Candidate 4]]</f>
        <v>-1</v>
      </c>
      <c r="W480" s="111">
        <f>Audit[[#This Row],[Audit Candidate 5]]-Audit[[#This Row],[Candidate 5]]</f>
        <v>0</v>
      </c>
      <c r="X480" s="111">
        <f>Audit[[#This Row],[Audit Candidate 6]]-Audit[[#This Row],[Candidate 6]]</f>
        <v>0</v>
      </c>
      <c r="Y480" s="111">
        <f>SUMIF(Audit[[#This Row],[Difference Loser]:[Difference Candidate 6]], "&gt;0")</f>
        <v>0</v>
      </c>
      <c r="Z480" s="111">
        <f>SUM(Audit[[#This Row],[Difference Loser]:[Difference Candidate 6]])</f>
        <v>-1</v>
      </c>
      <c r="AA480" s="111">
        <f>IF(Audit[[#This Row],[Times p Drawn - With Replacement]]&gt;0, IF(Audit[[#This Row],[Canceled Differences]]&lt;0, Audit[[#This Row],[Max Differences]]+ABS(Audit[[#This Row],[Canceled Differences]]), Audit[[#This Row],[Max Differences]]), 0)</f>
        <v>0</v>
      </c>
      <c r="AB480" s="111">
        <f>'Sampling Data'!P470</f>
        <v>6.1244487996080352E-5</v>
      </c>
      <c r="AC480" s="111">
        <f>IF(
      SUM(Audit[[#This Row],[Audit Losing Candidate]:[Audit Candidate 6]])
      &lt;&gt;0,
      (Audit[[#This Row],[Winning Candidate]]-Audit[[#This Row],[Losing Candidate]]-(Audit[[#This Row],[Audit Winning Candidate]]-Audit[[#This Row],[Audit Losing Candidate]]))/(Audit[[#Totals],[Winning Candidate]]-Audit[[#Totals],[Losing Candidate]]),
      0
)</f>
        <v>0</v>
      </c>
      <c r="AD4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0" s="111">
        <f>IF(Audit[[#This Row],[Max Relative Error (ep)]] = 0, 0, Audit[[#This Row],[Max Relative Error (ep)]]/Audit[[#This Row],[Error Bound (up) - Max. possible relative overstatement]])</f>
        <v>0</v>
      </c>
      <c r="AJ4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80" s="111">
        <f t="shared" si="7"/>
        <v>1</v>
      </c>
      <c r="AL480" s="111">
        <f>PRODUCT($AK$5:AK480)</f>
        <v>8.962823818226312E-2</v>
      </c>
      <c r="AM480" s="109">
        <f>1 - [K-M P Value]</f>
        <v>0.91037176181773694</v>
      </c>
      <c r="AN480" s="111" t="str">
        <f>IF(Audit[[#This Row],[K-M P Value]]&gt;1-'General Info'!$B$16,"Continue", "Stop")</f>
        <v>Stop</v>
      </c>
      <c r="AO480" s="110" t="b">
        <f>IF(Audit[[#This Row],[Status - Continue or stop audit]] = "Continue", TRUE, IF(AN479 = "Continue", TRUE, FALSE))</f>
        <v>0</v>
      </c>
      <c r="AP480" s="110"/>
    </row>
    <row r="481" spans="1:42" ht="15" hidden="1" customHeight="1">
      <c r="A481" s="111" t="str">
        <f>'Sampling Data'!W471</f>
        <v/>
      </c>
      <c r="B481" s="112" t="str">
        <f>'Sampling Data'!A471</f>
        <v>CLEVELAND -06-N</v>
      </c>
      <c r="C481" s="112">
        <f>'Sampling Data'!B471</f>
        <v>0</v>
      </c>
      <c r="D481" s="112">
        <f>'Sampling Data'!C471</f>
        <v>0</v>
      </c>
      <c r="E481" s="113">
        <f>'Sampling Data'!D471</f>
        <v>0</v>
      </c>
      <c r="F481" s="113">
        <f>'Sampling Data'!E471</f>
        <v>0</v>
      </c>
      <c r="G481" s="113">
        <f>'Sampling Data'!F471</f>
        <v>0</v>
      </c>
      <c r="H481" s="113">
        <f>'Sampling Data'!G471</f>
        <v>0</v>
      </c>
      <c r="I481" s="112">
        <f>'Sampling Data'!H471</f>
        <v>0</v>
      </c>
      <c r="J481" s="112">
        <f>'Sampling Data'!I471</f>
        <v>0</v>
      </c>
      <c r="K481" s="112">
        <f>'Sampling Data'!J471</f>
        <v>0</v>
      </c>
      <c r="L481" s="111">
        <f>'Sampling Data'!X471</f>
        <v>0</v>
      </c>
      <c r="M481" s="114"/>
      <c r="N481" s="114"/>
      <c r="O481" s="115"/>
      <c r="P481" s="115"/>
      <c r="Q481" s="116"/>
      <c r="R481" s="116"/>
      <c r="S481" s="111">
        <f>Audit[[#This Row],[Audit Losing Candidate]]-Audit[[#This Row],[Losing Candidate]]</f>
        <v>0</v>
      </c>
      <c r="T481" s="111">
        <f>Audit[[#This Row],[Audit Winning Candidate]]-Audit[[#This Row],[Winning Candidate]]</f>
        <v>0</v>
      </c>
      <c r="U481" s="111">
        <f>Audit[[#This Row],[Audit Candidate 3]]-Audit[[#This Row],[Candidate 3]]</f>
        <v>0</v>
      </c>
      <c r="V481" s="111">
        <f>Audit[[#This Row],[Audit Candidate 4]]-Audit[[#This Row],[Candidate 4]]</f>
        <v>0</v>
      </c>
      <c r="W481" s="111">
        <f>Audit[[#This Row],[Audit Candidate 5]]-Audit[[#This Row],[Candidate 5]]</f>
        <v>0</v>
      </c>
      <c r="X481" s="111">
        <f>Audit[[#This Row],[Audit Candidate 6]]-Audit[[#This Row],[Candidate 6]]</f>
        <v>0</v>
      </c>
      <c r="Y481" s="111">
        <f>SUMIF(Audit[[#This Row],[Difference Loser]:[Difference Candidate 6]], "&gt;0")</f>
        <v>0</v>
      </c>
      <c r="Z481" s="111">
        <f>SUM(Audit[[#This Row],[Difference Loser]:[Difference Candidate 6]])</f>
        <v>0</v>
      </c>
      <c r="AA481" s="111">
        <f>IF(Audit[[#This Row],[Times p Drawn - With Replacement]]&gt;0, IF(Audit[[#This Row],[Canceled Differences]]&lt;0, Audit[[#This Row],[Max Differences]]+ABS(Audit[[#This Row],[Canceled Differences]]), Audit[[#This Row],[Max Differences]]), 0)</f>
        <v>0</v>
      </c>
      <c r="AB481" s="111">
        <f>'Sampling Data'!P471</f>
        <v>0</v>
      </c>
      <c r="AC481" s="111">
        <f>IF(
      SUM(Audit[[#This Row],[Audit Losing Candidate]:[Audit Candidate 6]])
      &lt;&gt;0,
      (Audit[[#This Row],[Winning Candidate]]-Audit[[#This Row],[Losing Candidate]]-(Audit[[#This Row],[Audit Winning Candidate]]-Audit[[#This Row],[Audit Losing Candidate]]))/(Audit[[#Totals],[Winning Candidate]]-Audit[[#Totals],[Losing Candidate]]),
      0
)</f>
        <v>0</v>
      </c>
      <c r="AD4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1" s="111">
        <f>IF(Audit[[#This Row],[Max Relative Error (ep)]] = 0, 0, Audit[[#This Row],[Max Relative Error (ep)]]/Audit[[#This Row],[Error Bound (up) - Max. possible relative overstatement]])</f>
        <v>0</v>
      </c>
      <c r="AJ4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81" s="111">
        <f t="shared" si="7"/>
        <v>1</v>
      </c>
      <c r="AL481" s="111">
        <f>PRODUCT($AK$5:AK481)</f>
        <v>8.962823818226312E-2</v>
      </c>
      <c r="AM481" s="109">
        <f>1 - [K-M P Value]</f>
        <v>0.91037176181773694</v>
      </c>
      <c r="AN481" s="111" t="str">
        <f>IF(Audit[[#This Row],[K-M P Value]]&gt;1-'General Info'!$B$16,"Continue", "Stop")</f>
        <v>Stop</v>
      </c>
      <c r="AO481" s="110" t="b">
        <f>IF(Audit[[#This Row],[Status - Continue or stop audit]] = "Continue", TRUE, IF(AN480 = "Continue", TRUE, FALSE))</f>
        <v>0</v>
      </c>
      <c r="AP481" s="110"/>
    </row>
    <row r="482" spans="1:42" ht="15" hidden="1" customHeight="1">
      <c r="A482" s="111" t="str">
        <f>'Sampling Data'!W472</f>
        <v/>
      </c>
      <c r="B482" s="112" t="str">
        <f>'Sampling Data'!A472</f>
        <v>CLEVELAND -06-N - ABS</v>
      </c>
      <c r="C482" s="112">
        <f>'Sampling Data'!B472</f>
        <v>0</v>
      </c>
      <c r="D482" s="112">
        <f>'Sampling Data'!C472</f>
        <v>0</v>
      </c>
      <c r="E482" s="113">
        <f>'Sampling Data'!D472</f>
        <v>0</v>
      </c>
      <c r="F482" s="113">
        <f>'Sampling Data'!E472</f>
        <v>0</v>
      </c>
      <c r="G482" s="113">
        <f>'Sampling Data'!F472</f>
        <v>0</v>
      </c>
      <c r="H482" s="113">
        <f>'Sampling Data'!G472</f>
        <v>0</v>
      </c>
      <c r="I482" s="112">
        <f>'Sampling Data'!H472</f>
        <v>0</v>
      </c>
      <c r="J482" s="112">
        <f>'Sampling Data'!I472</f>
        <v>0</v>
      </c>
      <c r="K482" s="112">
        <f>'Sampling Data'!J472</f>
        <v>0</v>
      </c>
      <c r="L482" s="111">
        <f>'Sampling Data'!X472</f>
        <v>0</v>
      </c>
      <c r="M482" s="114"/>
      <c r="N482" s="114"/>
      <c r="O482" s="115"/>
      <c r="P482" s="115"/>
      <c r="Q482" s="116"/>
      <c r="R482" s="116"/>
      <c r="S482" s="111">
        <f>Audit[[#This Row],[Audit Losing Candidate]]-Audit[[#This Row],[Losing Candidate]]</f>
        <v>0</v>
      </c>
      <c r="T482" s="111">
        <f>Audit[[#This Row],[Audit Winning Candidate]]-Audit[[#This Row],[Winning Candidate]]</f>
        <v>0</v>
      </c>
      <c r="U482" s="111">
        <f>Audit[[#This Row],[Audit Candidate 3]]-Audit[[#This Row],[Candidate 3]]</f>
        <v>0</v>
      </c>
      <c r="V482" s="111">
        <f>Audit[[#This Row],[Audit Candidate 4]]-Audit[[#This Row],[Candidate 4]]</f>
        <v>0</v>
      </c>
      <c r="W482" s="111">
        <f>Audit[[#This Row],[Audit Candidate 5]]-Audit[[#This Row],[Candidate 5]]</f>
        <v>0</v>
      </c>
      <c r="X482" s="111">
        <f>Audit[[#This Row],[Audit Candidate 6]]-Audit[[#This Row],[Candidate 6]]</f>
        <v>0</v>
      </c>
      <c r="Y482" s="111">
        <f>SUMIF(Audit[[#This Row],[Difference Loser]:[Difference Candidate 6]], "&gt;0")</f>
        <v>0</v>
      </c>
      <c r="Z482" s="111">
        <f>SUM(Audit[[#This Row],[Difference Loser]:[Difference Candidate 6]])</f>
        <v>0</v>
      </c>
      <c r="AA482" s="111">
        <f>IF(Audit[[#This Row],[Times p Drawn - With Replacement]]&gt;0, IF(Audit[[#This Row],[Canceled Differences]]&lt;0, Audit[[#This Row],[Max Differences]]+ABS(Audit[[#This Row],[Canceled Differences]]), Audit[[#This Row],[Max Differences]]), 0)</f>
        <v>0</v>
      </c>
      <c r="AB482" s="111">
        <f>'Sampling Data'!P472</f>
        <v>0</v>
      </c>
      <c r="AC482" s="111">
        <f>IF(
      SUM(Audit[[#This Row],[Audit Losing Candidate]:[Audit Candidate 6]])
      &lt;&gt;0,
      (Audit[[#This Row],[Winning Candidate]]-Audit[[#This Row],[Losing Candidate]]-(Audit[[#This Row],[Audit Winning Candidate]]-Audit[[#This Row],[Audit Losing Candidate]]))/(Audit[[#Totals],[Winning Candidate]]-Audit[[#Totals],[Losing Candidate]]),
      0
)</f>
        <v>0</v>
      </c>
      <c r="AD4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2" s="111">
        <f>IF(Audit[[#This Row],[Max Relative Error (ep)]] = 0, 0, Audit[[#This Row],[Max Relative Error (ep)]]/Audit[[#This Row],[Error Bound (up) - Max. possible relative overstatement]])</f>
        <v>0</v>
      </c>
      <c r="AJ4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82" s="111">
        <f t="shared" si="7"/>
        <v>1</v>
      </c>
      <c r="AL482" s="111">
        <f>PRODUCT($AK$5:AK482)</f>
        <v>8.962823818226312E-2</v>
      </c>
      <c r="AM482" s="109">
        <f>1 - [K-M P Value]</f>
        <v>0.91037176181773694</v>
      </c>
      <c r="AN482" s="111" t="str">
        <f>IF(Audit[[#This Row],[K-M P Value]]&gt;1-'General Info'!$B$16,"Continue", "Stop")</f>
        <v>Stop</v>
      </c>
      <c r="AO482" s="110" t="b">
        <f>IF(Audit[[#This Row],[Status - Continue or stop audit]] = "Continue", TRUE, IF(AN481 = "Continue", TRUE, FALSE))</f>
        <v>0</v>
      </c>
      <c r="AP482" s="110"/>
    </row>
    <row r="483" spans="1:42" ht="15" hidden="1" customHeight="1">
      <c r="A483" s="111" t="str">
        <f>'Sampling Data'!W473</f>
        <v/>
      </c>
      <c r="B483" s="112" t="str">
        <f>'Sampling Data'!A473</f>
        <v>CLEVELAND -06-O</v>
      </c>
      <c r="C483" s="112">
        <f>'Sampling Data'!B473</f>
        <v>1</v>
      </c>
      <c r="D483" s="112">
        <f>'Sampling Data'!C473</f>
        <v>0</v>
      </c>
      <c r="E483" s="113">
        <f>'Sampling Data'!D473</f>
        <v>0</v>
      </c>
      <c r="F483" s="113">
        <f>'Sampling Data'!E473</f>
        <v>0</v>
      </c>
      <c r="G483" s="113">
        <f>'Sampling Data'!F473</f>
        <v>0</v>
      </c>
      <c r="H483" s="113">
        <f>'Sampling Data'!G473</f>
        <v>0</v>
      </c>
      <c r="I483" s="112">
        <f>'Sampling Data'!H473</f>
        <v>0</v>
      </c>
      <c r="J483" s="112">
        <f>'Sampling Data'!I473</f>
        <v>0</v>
      </c>
      <c r="K483" s="112">
        <f>'Sampling Data'!J473</f>
        <v>1</v>
      </c>
      <c r="L483" s="111">
        <f>'Sampling Data'!X473</f>
        <v>0</v>
      </c>
      <c r="M483" s="114"/>
      <c r="N483" s="114"/>
      <c r="O483" s="115"/>
      <c r="P483" s="115"/>
      <c r="Q483" s="116"/>
      <c r="R483" s="116"/>
      <c r="S483" s="111">
        <f>Audit[[#This Row],[Audit Losing Candidate]]-Audit[[#This Row],[Losing Candidate]]</f>
        <v>-1</v>
      </c>
      <c r="T483" s="111">
        <f>Audit[[#This Row],[Audit Winning Candidate]]-Audit[[#This Row],[Winning Candidate]]</f>
        <v>0</v>
      </c>
      <c r="U483" s="111">
        <f>Audit[[#This Row],[Audit Candidate 3]]-Audit[[#This Row],[Candidate 3]]</f>
        <v>0</v>
      </c>
      <c r="V483" s="111">
        <f>Audit[[#This Row],[Audit Candidate 4]]-Audit[[#This Row],[Candidate 4]]</f>
        <v>0</v>
      </c>
      <c r="W483" s="111">
        <f>Audit[[#This Row],[Audit Candidate 5]]-Audit[[#This Row],[Candidate 5]]</f>
        <v>0</v>
      </c>
      <c r="X483" s="111">
        <f>Audit[[#This Row],[Audit Candidate 6]]-Audit[[#This Row],[Candidate 6]]</f>
        <v>0</v>
      </c>
      <c r="Y483" s="111">
        <f>SUMIF(Audit[[#This Row],[Difference Loser]:[Difference Candidate 6]], "&gt;0")</f>
        <v>0</v>
      </c>
      <c r="Z483" s="111">
        <f>SUM(Audit[[#This Row],[Difference Loser]:[Difference Candidate 6]])</f>
        <v>-1</v>
      </c>
      <c r="AA483" s="111">
        <f>IF(Audit[[#This Row],[Times p Drawn - With Replacement]]&gt;0, IF(Audit[[#This Row],[Canceled Differences]]&lt;0, Audit[[#This Row],[Max Differences]]+ABS(Audit[[#This Row],[Canceled Differences]]), Audit[[#This Row],[Max Differences]]), 0)</f>
        <v>0</v>
      </c>
      <c r="AB483" s="111">
        <f>'Sampling Data'!P473</f>
        <v>3.2261186566441917E-5</v>
      </c>
      <c r="AC483" s="111">
        <f>IF(
      SUM(Audit[[#This Row],[Audit Losing Candidate]:[Audit Candidate 6]])
      &lt;&gt;0,
      (Audit[[#This Row],[Winning Candidate]]-Audit[[#This Row],[Losing Candidate]]-(Audit[[#This Row],[Audit Winning Candidate]]-Audit[[#This Row],[Audit Losing Candidate]]))/(Audit[[#Totals],[Winning Candidate]]-Audit[[#Totals],[Losing Candidate]]),
      0
)</f>
        <v>0</v>
      </c>
      <c r="AD4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3" s="111">
        <f>IF(Audit[[#This Row],[Max Relative Error (ep)]] = 0, 0, Audit[[#This Row],[Max Relative Error (ep)]]/Audit[[#This Row],[Error Bound (up) - Max. possible relative overstatement]])</f>
        <v>0</v>
      </c>
      <c r="AJ4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83" s="111">
        <f t="shared" si="7"/>
        <v>1</v>
      </c>
      <c r="AL483" s="111">
        <f>PRODUCT($AK$5:AK483)</f>
        <v>8.962823818226312E-2</v>
      </c>
      <c r="AM483" s="109">
        <f>1 - [K-M P Value]</f>
        <v>0.91037176181773694</v>
      </c>
      <c r="AN483" s="111" t="str">
        <f>IF(Audit[[#This Row],[K-M P Value]]&gt;1-'General Info'!$B$16,"Continue", "Stop")</f>
        <v>Stop</v>
      </c>
      <c r="AO483" s="110" t="b">
        <f>IF(Audit[[#This Row],[Status - Continue or stop audit]] = "Continue", TRUE, IF(AN482 = "Continue", TRUE, FALSE))</f>
        <v>0</v>
      </c>
      <c r="AP483" s="110"/>
    </row>
    <row r="484" spans="1:42" ht="15" hidden="1" customHeight="1">
      <c r="A484" s="111" t="str">
        <f>'Sampling Data'!W474</f>
        <v/>
      </c>
      <c r="B484" s="112" t="str">
        <f>'Sampling Data'!A474</f>
        <v>CLEVELAND -06-O - ABS</v>
      </c>
      <c r="C484" s="112">
        <f>'Sampling Data'!B474</f>
        <v>0</v>
      </c>
      <c r="D484" s="112">
        <f>'Sampling Data'!C474</f>
        <v>1</v>
      </c>
      <c r="E484" s="113">
        <f>'Sampling Data'!D474</f>
        <v>1</v>
      </c>
      <c r="F484" s="113">
        <f>'Sampling Data'!E474</f>
        <v>0</v>
      </c>
      <c r="G484" s="113">
        <f>'Sampling Data'!F474</f>
        <v>0</v>
      </c>
      <c r="H484" s="113">
        <f>'Sampling Data'!G474</f>
        <v>0</v>
      </c>
      <c r="I484" s="112">
        <f>'Sampling Data'!H474</f>
        <v>0</v>
      </c>
      <c r="J484" s="112">
        <f>'Sampling Data'!I474</f>
        <v>0</v>
      </c>
      <c r="K484" s="112">
        <f>'Sampling Data'!J474</f>
        <v>2</v>
      </c>
      <c r="L484" s="111">
        <f>'Sampling Data'!X474</f>
        <v>0</v>
      </c>
      <c r="M484" s="114"/>
      <c r="N484" s="114"/>
      <c r="O484" s="115"/>
      <c r="P484" s="115"/>
      <c r="Q484" s="116"/>
      <c r="R484" s="116"/>
      <c r="S484" s="111">
        <f>Audit[[#This Row],[Audit Losing Candidate]]-Audit[[#This Row],[Losing Candidate]]</f>
        <v>0</v>
      </c>
      <c r="T484" s="111">
        <f>Audit[[#This Row],[Audit Winning Candidate]]-Audit[[#This Row],[Winning Candidate]]</f>
        <v>-1</v>
      </c>
      <c r="U484" s="111">
        <f>Audit[[#This Row],[Audit Candidate 3]]-Audit[[#This Row],[Candidate 3]]</f>
        <v>-1</v>
      </c>
      <c r="V484" s="111">
        <f>Audit[[#This Row],[Audit Candidate 4]]-Audit[[#This Row],[Candidate 4]]</f>
        <v>0</v>
      </c>
      <c r="W484" s="111">
        <f>Audit[[#This Row],[Audit Candidate 5]]-Audit[[#This Row],[Candidate 5]]</f>
        <v>0</v>
      </c>
      <c r="X484" s="111">
        <f>Audit[[#This Row],[Audit Candidate 6]]-Audit[[#This Row],[Candidate 6]]</f>
        <v>0</v>
      </c>
      <c r="Y484" s="111">
        <f>SUMIF(Audit[[#This Row],[Difference Loser]:[Difference Candidate 6]], "&gt;0")</f>
        <v>0</v>
      </c>
      <c r="Z484" s="111">
        <f>SUM(Audit[[#This Row],[Difference Loser]:[Difference Candidate 6]])</f>
        <v>-2</v>
      </c>
      <c r="AA484" s="111">
        <f>IF(Audit[[#This Row],[Times p Drawn - With Replacement]]&gt;0, IF(Audit[[#This Row],[Canceled Differences]]&lt;0, Audit[[#This Row],[Max Differences]]+ABS(Audit[[#This Row],[Canceled Differences]]), Audit[[#This Row],[Max Differences]]), 0)</f>
        <v>0</v>
      </c>
      <c r="AB484" s="111">
        <f>'Sampling Data'!P474</f>
        <v>1.8373346398824106E-4</v>
      </c>
      <c r="AC484" s="111">
        <f>IF(
      SUM(Audit[[#This Row],[Audit Losing Candidate]:[Audit Candidate 6]])
      &lt;&gt;0,
      (Audit[[#This Row],[Winning Candidate]]-Audit[[#This Row],[Losing Candidate]]-(Audit[[#This Row],[Audit Winning Candidate]]-Audit[[#This Row],[Audit Losing Candidate]]))/(Audit[[#Totals],[Winning Candidate]]-Audit[[#Totals],[Losing Candidate]]),
      0
)</f>
        <v>0</v>
      </c>
      <c r="AD4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4" s="111">
        <f>IF(Audit[[#This Row],[Max Relative Error (ep)]] = 0, 0, Audit[[#This Row],[Max Relative Error (ep)]]/Audit[[#This Row],[Error Bound (up) - Max. possible relative overstatement]])</f>
        <v>0</v>
      </c>
      <c r="AJ4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84" s="111">
        <f t="shared" si="7"/>
        <v>1</v>
      </c>
      <c r="AL484" s="111">
        <f>PRODUCT($AK$5:AK484)</f>
        <v>8.962823818226312E-2</v>
      </c>
      <c r="AM484" s="109">
        <f>1 - [K-M P Value]</f>
        <v>0.91037176181773694</v>
      </c>
      <c r="AN484" s="111" t="str">
        <f>IF(Audit[[#This Row],[K-M P Value]]&gt;1-'General Info'!$B$16,"Continue", "Stop")</f>
        <v>Stop</v>
      </c>
      <c r="AO484" s="110" t="b">
        <f>IF(Audit[[#This Row],[Status - Continue or stop audit]] = "Continue", TRUE, IF(AN483 = "Continue", TRUE, FALSE))</f>
        <v>0</v>
      </c>
      <c r="AP484" s="110"/>
    </row>
    <row r="485" spans="1:42" ht="15" hidden="1" customHeight="1">
      <c r="A485" s="111" t="str">
        <f>'Sampling Data'!W475</f>
        <v/>
      </c>
      <c r="B485" s="112" t="str">
        <f>'Sampling Data'!A475</f>
        <v>CLEVELAND -06-P</v>
      </c>
      <c r="C485" s="112">
        <f>'Sampling Data'!B475</f>
        <v>0</v>
      </c>
      <c r="D485" s="112">
        <f>'Sampling Data'!C475</f>
        <v>0</v>
      </c>
      <c r="E485" s="113">
        <f>'Sampling Data'!D475</f>
        <v>0</v>
      </c>
      <c r="F485" s="113">
        <f>'Sampling Data'!E475</f>
        <v>1</v>
      </c>
      <c r="G485" s="113">
        <f>'Sampling Data'!F475</f>
        <v>0</v>
      </c>
      <c r="H485" s="113">
        <f>'Sampling Data'!G475</f>
        <v>0</v>
      </c>
      <c r="I485" s="112">
        <f>'Sampling Data'!H475</f>
        <v>0</v>
      </c>
      <c r="J485" s="112">
        <f>'Sampling Data'!I475</f>
        <v>0</v>
      </c>
      <c r="K485" s="112">
        <f>'Sampling Data'!J475</f>
        <v>1</v>
      </c>
      <c r="L485" s="111">
        <f>'Sampling Data'!X475</f>
        <v>0</v>
      </c>
      <c r="M485" s="114"/>
      <c r="N485" s="114"/>
      <c r="O485" s="115"/>
      <c r="P485" s="115"/>
      <c r="Q485" s="116"/>
      <c r="R485" s="116"/>
      <c r="S485" s="111">
        <f>Audit[[#This Row],[Audit Losing Candidate]]-Audit[[#This Row],[Losing Candidate]]</f>
        <v>0</v>
      </c>
      <c r="T485" s="111">
        <f>Audit[[#This Row],[Audit Winning Candidate]]-Audit[[#This Row],[Winning Candidate]]</f>
        <v>0</v>
      </c>
      <c r="U485" s="111">
        <f>Audit[[#This Row],[Audit Candidate 3]]-Audit[[#This Row],[Candidate 3]]</f>
        <v>0</v>
      </c>
      <c r="V485" s="111">
        <f>Audit[[#This Row],[Audit Candidate 4]]-Audit[[#This Row],[Candidate 4]]</f>
        <v>-1</v>
      </c>
      <c r="W485" s="111">
        <f>Audit[[#This Row],[Audit Candidate 5]]-Audit[[#This Row],[Candidate 5]]</f>
        <v>0</v>
      </c>
      <c r="X485" s="111">
        <f>Audit[[#This Row],[Audit Candidate 6]]-Audit[[#This Row],[Candidate 6]]</f>
        <v>0</v>
      </c>
      <c r="Y485" s="111">
        <f>SUMIF(Audit[[#This Row],[Difference Loser]:[Difference Candidate 6]], "&gt;0")</f>
        <v>0</v>
      </c>
      <c r="Z485" s="111">
        <f>SUM(Audit[[#This Row],[Difference Loser]:[Difference Candidate 6]])</f>
        <v>-1</v>
      </c>
      <c r="AA485" s="111">
        <f>IF(Audit[[#This Row],[Times p Drawn - With Replacement]]&gt;0, IF(Audit[[#This Row],[Canceled Differences]]&lt;0, Audit[[#This Row],[Max Differences]]+ABS(Audit[[#This Row],[Canceled Differences]]), Audit[[#This Row],[Max Differences]]), 0)</f>
        <v>0</v>
      </c>
      <c r="AB485" s="111">
        <f>'Sampling Data'!P475</f>
        <v>6.1244487996080352E-5</v>
      </c>
      <c r="AC485" s="111">
        <f>IF(
      SUM(Audit[[#This Row],[Audit Losing Candidate]:[Audit Candidate 6]])
      &lt;&gt;0,
      (Audit[[#This Row],[Winning Candidate]]-Audit[[#This Row],[Losing Candidate]]-(Audit[[#This Row],[Audit Winning Candidate]]-Audit[[#This Row],[Audit Losing Candidate]]))/(Audit[[#Totals],[Winning Candidate]]-Audit[[#Totals],[Losing Candidate]]),
      0
)</f>
        <v>0</v>
      </c>
      <c r="AD4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5" s="111">
        <f>IF(Audit[[#This Row],[Max Relative Error (ep)]] = 0, 0, Audit[[#This Row],[Max Relative Error (ep)]]/Audit[[#This Row],[Error Bound (up) - Max. possible relative overstatement]])</f>
        <v>0</v>
      </c>
      <c r="AJ4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85" s="111">
        <f t="shared" si="7"/>
        <v>1</v>
      </c>
      <c r="AL485" s="111">
        <f>PRODUCT($AK$5:AK485)</f>
        <v>8.962823818226312E-2</v>
      </c>
      <c r="AM485" s="109">
        <f>1 - [K-M P Value]</f>
        <v>0.91037176181773694</v>
      </c>
      <c r="AN485" s="111" t="str">
        <f>IF(Audit[[#This Row],[K-M P Value]]&gt;1-'General Info'!$B$16,"Continue", "Stop")</f>
        <v>Stop</v>
      </c>
      <c r="AO485" s="110" t="b">
        <f>IF(Audit[[#This Row],[Status - Continue or stop audit]] = "Continue", TRUE, IF(AN484 = "Continue", TRUE, FALSE))</f>
        <v>0</v>
      </c>
      <c r="AP485" s="110"/>
    </row>
    <row r="486" spans="1:42" ht="15" hidden="1" customHeight="1">
      <c r="A486" s="111" t="str">
        <f>'Sampling Data'!W476</f>
        <v/>
      </c>
      <c r="B486" s="112" t="str">
        <f>'Sampling Data'!A476</f>
        <v>CLEVELAND -06-P - ABS</v>
      </c>
      <c r="C486" s="112">
        <f>'Sampling Data'!B476</f>
        <v>0</v>
      </c>
      <c r="D486" s="112">
        <f>'Sampling Data'!C476</f>
        <v>1</v>
      </c>
      <c r="E486" s="113">
        <f>'Sampling Data'!D476</f>
        <v>0</v>
      </c>
      <c r="F486" s="113">
        <f>'Sampling Data'!E476</f>
        <v>1</v>
      </c>
      <c r="G486" s="113">
        <f>'Sampling Data'!F476</f>
        <v>0</v>
      </c>
      <c r="H486" s="113">
        <f>'Sampling Data'!G476</f>
        <v>0</v>
      </c>
      <c r="I486" s="112">
        <f>'Sampling Data'!H476</f>
        <v>0</v>
      </c>
      <c r="J486" s="112">
        <f>'Sampling Data'!I476</f>
        <v>0</v>
      </c>
      <c r="K486" s="112">
        <f>'Sampling Data'!J476</f>
        <v>2</v>
      </c>
      <c r="L486" s="111">
        <f>'Sampling Data'!X476</f>
        <v>0</v>
      </c>
      <c r="M486" s="114"/>
      <c r="N486" s="114"/>
      <c r="O486" s="115"/>
      <c r="P486" s="115"/>
      <c r="Q486" s="116"/>
      <c r="R486" s="116"/>
      <c r="S486" s="111">
        <f>Audit[[#This Row],[Audit Losing Candidate]]-Audit[[#This Row],[Losing Candidate]]</f>
        <v>0</v>
      </c>
      <c r="T486" s="111">
        <f>Audit[[#This Row],[Audit Winning Candidate]]-Audit[[#This Row],[Winning Candidate]]</f>
        <v>-1</v>
      </c>
      <c r="U486" s="111">
        <f>Audit[[#This Row],[Audit Candidate 3]]-Audit[[#This Row],[Candidate 3]]</f>
        <v>0</v>
      </c>
      <c r="V486" s="111">
        <f>Audit[[#This Row],[Audit Candidate 4]]-Audit[[#This Row],[Candidate 4]]</f>
        <v>-1</v>
      </c>
      <c r="W486" s="111">
        <f>Audit[[#This Row],[Audit Candidate 5]]-Audit[[#This Row],[Candidate 5]]</f>
        <v>0</v>
      </c>
      <c r="X486" s="111">
        <f>Audit[[#This Row],[Audit Candidate 6]]-Audit[[#This Row],[Candidate 6]]</f>
        <v>0</v>
      </c>
      <c r="Y486" s="111">
        <f>SUMIF(Audit[[#This Row],[Difference Loser]:[Difference Candidate 6]], "&gt;0")</f>
        <v>0</v>
      </c>
      <c r="Z486" s="111">
        <f>SUM(Audit[[#This Row],[Difference Loser]:[Difference Candidate 6]])</f>
        <v>-2</v>
      </c>
      <c r="AA486" s="111">
        <f>IF(Audit[[#This Row],[Times p Drawn - With Replacement]]&gt;0, IF(Audit[[#This Row],[Canceled Differences]]&lt;0, Audit[[#This Row],[Max Differences]]+ABS(Audit[[#This Row],[Canceled Differences]]), Audit[[#This Row],[Max Differences]]), 0)</f>
        <v>0</v>
      </c>
      <c r="AB486" s="111">
        <f>'Sampling Data'!P476</f>
        <v>1.8373346398824106E-4</v>
      </c>
      <c r="AC486" s="111">
        <f>IF(
      SUM(Audit[[#This Row],[Audit Losing Candidate]:[Audit Candidate 6]])
      &lt;&gt;0,
      (Audit[[#This Row],[Winning Candidate]]-Audit[[#This Row],[Losing Candidate]]-(Audit[[#This Row],[Audit Winning Candidate]]-Audit[[#This Row],[Audit Losing Candidate]]))/(Audit[[#Totals],[Winning Candidate]]-Audit[[#Totals],[Losing Candidate]]),
      0
)</f>
        <v>0</v>
      </c>
      <c r="AD4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6" s="111">
        <f>IF(Audit[[#This Row],[Max Relative Error (ep)]] = 0, 0, Audit[[#This Row],[Max Relative Error (ep)]]/Audit[[#This Row],[Error Bound (up) - Max. possible relative overstatement]])</f>
        <v>0</v>
      </c>
      <c r="AJ4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86" s="111">
        <f t="shared" si="7"/>
        <v>1</v>
      </c>
      <c r="AL486" s="111">
        <f>PRODUCT($AK$5:AK486)</f>
        <v>8.962823818226312E-2</v>
      </c>
      <c r="AM486" s="109">
        <f>1 - [K-M P Value]</f>
        <v>0.91037176181773694</v>
      </c>
      <c r="AN486" s="111" t="str">
        <f>IF(Audit[[#This Row],[K-M P Value]]&gt;1-'General Info'!$B$16,"Continue", "Stop")</f>
        <v>Stop</v>
      </c>
      <c r="AO486" s="110" t="b">
        <f>IF(Audit[[#This Row],[Status - Continue or stop audit]] = "Continue", TRUE, IF(AN485 = "Continue", TRUE, FALSE))</f>
        <v>0</v>
      </c>
      <c r="AP486" s="110"/>
    </row>
    <row r="487" spans="1:42" ht="15" hidden="1" customHeight="1">
      <c r="A487" s="111" t="str">
        <f>'Sampling Data'!W477</f>
        <v/>
      </c>
      <c r="B487" s="112" t="str">
        <f>'Sampling Data'!A477</f>
        <v>CLEVELAND -06-Q</v>
      </c>
      <c r="C487" s="112">
        <f>'Sampling Data'!B477</f>
        <v>0</v>
      </c>
      <c r="D487" s="112">
        <f>'Sampling Data'!C477</f>
        <v>1</v>
      </c>
      <c r="E487" s="113">
        <f>'Sampling Data'!D477</f>
        <v>0</v>
      </c>
      <c r="F487" s="113">
        <f>'Sampling Data'!E477</f>
        <v>0</v>
      </c>
      <c r="G487" s="113">
        <f>'Sampling Data'!F477</f>
        <v>0</v>
      </c>
      <c r="H487" s="113">
        <f>'Sampling Data'!G477</f>
        <v>0</v>
      </c>
      <c r="I487" s="112">
        <f>'Sampling Data'!H477</f>
        <v>0</v>
      </c>
      <c r="J487" s="112">
        <f>'Sampling Data'!I477</f>
        <v>0</v>
      </c>
      <c r="K487" s="112">
        <f>'Sampling Data'!J477</f>
        <v>1</v>
      </c>
      <c r="L487" s="111">
        <f>'Sampling Data'!X477</f>
        <v>0</v>
      </c>
      <c r="M487" s="114"/>
      <c r="N487" s="114"/>
      <c r="O487" s="115"/>
      <c r="P487" s="115"/>
      <c r="Q487" s="116"/>
      <c r="R487" s="116"/>
      <c r="S487" s="111">
        <f>Audit[[#This Row],[Audit Losing Candidate]]-Audit[[#This Row],[Losing Candidate]]</f>
        <v>0</v>
      </c>
      <c r="T487" s="111">
        <f>Audit[[#This Row],[Audit Winning Candidate]]-Audit[[#This Row],[Winning Candidate]]</f>
        <v>-1</v>
      </c>
      <c r="U487" s="111">
        <f>Audit[[#This Row],[Audit Candidate 3]]-Audit[[#This Row],[Candidate 3]]</f>
        <v>0</v>
      </c>
      <c r="V487" s="111">
        <f>Audit[[#This Row],[Audit Candidate 4]]-Audit[[#This Row],[Candidate 4]]</f>
        <v>0</v>
      </c>
      <c r="W487" s="111">
        <f>Audit[[#This Row],[Audit Candidate 5]]-Audit[[#This Row],[Candidate 5]]</f>
        <v>0</v>
      </c>
      <c r="X487" s="111">
        <f>Audit[[#This Row],[Audit Candidate 6]]-Audit[[#This Row],[Candidate 6]]</f>
        <v>0</v>
      </c>
      <c r="Y487" s="111">
        <f>SUMIF(Audit[[#This Row],[Difference Loser]:[Difference Candidate 6]], "&gt;0")</f>
        <v>0</v>
      </c>
      <c r="Z487" s="111">
        <f>SUM(Audit[[#This Row],[Difference Loser]:[Difference Candidate 6]])</f>
        <v>-1</v>
      </c>
      <c r="AA487" s="111">
        <f>IF(Audit[[#This Row],[Times p Drawn - With Replacement]]&gt;0, IF(Audit[[#This Row],[Canceled Differences]]&lt;0, Audit[[#This Row],[Max Differences]]+ABS(Audit[[#This Row],[Canceled Differences]]), Audit[[#This Row],[Max Differences]]), 0)</f>
        <v>0</v>
      </c>
      <c r="AB487" s="111">
        <f>'Sampling Data'!P477</f>
        <v>1.224889759921607E-4</v>
      </c>
      <c r="AC487" s="111">
        <f>IF(
      SUM(Audit[[#This Row],[Audit Losing Candidate]:[Audit Candidate 6]])
      &lt;&gt;0,
      (Audit[[#This Row],[Winning Candidate]]-Audit[[#This Row],[Losing Candidate]]-(Audit[[#This Row],[Audit Winning Candidate]]-Audit[[#This Row],[Audit Losing Candidate]]))/(Audit[[#Totals],[Winning Candidate]]-Audit[[#Totals],[Losing Candidate]]),
      0
)</f>
        <v>0</v>
      </c>
      <c r="AD4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7" s="111">
        <f>IF(Audit[[#This Row],[Max Relative Error (ep)]] = 0, 0, Audit[[#This Row],[Max Relative Error (ep)]]/Audit[[#This Row],[Error Bound (up) - Max. possible relative overstatement]])</f>
        <v>0</v>
      </c>
      <c r="AJ4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87" s="111">
        <f t="shared" si="7"/>
        <v>1</v>
      </c>
      <c r="AL487" s="111">
        <f>PRODUCT($AK$5:AK487)</f>
        <v>8.962823818226312E-2</v>
      </c>
      <c r="AM487" s="109">
        <f>1 - [K-M P Value]</f>
        <v>0.91037176181773694</v>
      </c>
      <c r="AN487" s="111" t="str">
        <f>IF(Audit[[#This Row],[K-M P Value]]&gt;1-'General Info'!$B$16,"Continue", "Stop")</f>
        <v>Stop</v>
      </c>
      <c r="AO487" s="110" t="b">
        <f>IF(Audit[[#This Row],[Status - Continue or stop audit]] = "Continue", TRUE, IF(AN486 = "Continue", TRUE, FALSE))</f>
        <v>0</v>
      </c>
      <c r="AP487" s="110"/>
    </row>
    <row r="488" spans="1:42" ht="15" hidden="1" customHeight="1">
      <c r="A488" s="111" t="str">
        <f>'Sampling Data'!W478</f>
        <v/>
      </c>
      <c r="B488" s="112" t="str">
        <f>'Sampling Data'!A478</f>
        <v>CLEVELAND -06-Q - ABS</v>
      </c>
      <c r="C488" s="112">
        <f>'Sampling Data'!B478</f>
        <v>1</v>
      </c>
      <c r="D488" s="112">
        <f>'Sampling Data'!C478</f>
        <v>0</v>
      </c>
      <c r="E488" s="113">
        <f>'Sampling Data'!D478</f>
        <v>2</v>
      </c>
      <c r="F488" s="113">
        <f>'Sampling Data'!E478</f>
        <v>0</v>
      </c>
      <c r="G488" s="113">
        <f>'Sampling Data'!F478</f>
        <v>0</v>
      </c>
      <c r="H488" s="113">
        <f>'Sampling Data'!G478</f>
        <v>0</v>
      </c>
      <c r="I488" s="112">
        <f>'Sampling Data'!H478</f>
        <v>0</v>
      </c>
      <c r="J488" s="112">
        <f>'Sampling Data'!I478</f>
        <v>0</v>
      </c>
      <c r="K488" s="112">
        <f>'Sampling Data'!J478</f>
        <v>3</v>
      </c>
      <c r="L488" s="111">
        <f>'Sampling Data'!X478</f>
        <v>0</v>
      </c>
      <c r="M488" s="114"/>
      <c r="N488" s="114"/>
      <c r="O488" s="115"/>
      <c r="P488" s="115"/>
      <c r="Q488" s="116"/>
      <c r="R488" s="116"/>
      <c r="S488" s="111">
        <f>Audit[[#This Row],[Audit Losing Candidate]]-Audit[[#This Row],[Losing Candidate]]</f>
        <v>-1</v>
      </c>
      <c r="T488" s="111">
        <f>Audit[[#This Row],[Audit Winning Candidate]]-Audit[[#This Row],[Winning Candidate]]</f>
        <v>0</v>
      </c>
      <c r="U488" s="111">
        <f>Audit[[#This Row],[Audit Candidate 3]]-Audit[[#This Row],[Candidate 3]]</f>
        <v>-2</v>
      </c>
      <c r="V488" s="111">
        <f>Audit[[#This Row],[Audit Candidate 4]]-Audit[[#This Row],[Candidate 4]]</f>
        <v>0</v>
      </c>
      <c r="W488" s="111">
        <f>Audit[[#This Row],[Audit Candidate 5]]-Audit[[#This Row],[Candidate 5]]</f>
        <v>0</v>
      </c>
      <c r="X488" s="111">
        <f>Audit[[#This Row],[Audit Candidate 6]]-Audit[[#This Row],[Candidate 6]]</f>
        <v>0</v>
      </c>
      <c r="Y488" s="111">
        <f>SUMIF(Audit[[#This Row],[Difference Loser]:[Difference Candidate 6]], "&gt;0")</f>
        <v>0</v>
      </c>
      <c r="Z488" s="111">
        <f>SUM(Audit[[#This Row],[Difference Loser]:[Difference Candidate 6]])</f>
        <v>-3</v>
      </c>
      <c r="AA488" s="111">
        <f>IF(Audit[[#This Row],[Times p Drawn - With Replacement]]&gt;0, IF(Audit[[#This Row],[Canceled Differences]]&lt;0, Audit[[#This Row],[Max Differences]]+ABS(Audit[[#This Row],[Canceled Differences]]), Audit[[#This Row],[Max Differences]]), 0)</f>
        <v>0</v>
      </c>
      <c r="AB488" s="111">
        <f>'Sampling Data'!P478</f>
        <v>1.224889759921607E-4</v>
      </c>
      <c r="AC488" s="111">
        <f>IF(
      SUM(Audit[[#This Row],[Audit Losing Candidate]:[Audit Candidate 6]])
      &lt;&gt;0,
      (Audit[[#This Row],[Winning Candidate]]-Audit[[#This Row],[Losing Candidate]]-(Audit[[#This Row],[Audit Winning Candidate]]-Audit[[#This Row],[Audit Losing Candidate]]))/(Audit[[#Totals],[Winning Candidate]]-Audit[[#Totals],[Losing Candidate]]),
      0
)</f>
        <v>0</v>
      </c>
      <c r="AD4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8" s="111">
        <f>IF(Audit[[#This Row],[Max Relative Error (ep)]] = 0, 0, Audit[[#This Row],[Max Relative Error (ep)]]/Audit[[#This Row],[Error Bound (up) - Max. possible relative overstatement]])</f>
        <v>0</v>
      </c>
      <c r="AJ4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88" s="111">
        <f t="shared" si="7"/>
        <v>1</v>
      </c>
      <c r="AL488" s="111">
        <f>PRODUCT($AK$5:AK488)</f>
        <v>8.962823818226312E-2</v>
      </c>
      <c r="AM488" s="109">
        <f>1 - [K-M P Value]</f>
        <v>0.91037176181773694</v>
      </c>
      <c r="AN488" s="111" t="str">
        <f>IF(Audit[[#This Row],[K-M P Value]]&gt;1-'General Info'!$B$16,"Continue", "Stop")</f>
        <v>Stop</v>
      </c>
      <c r="AO488" s="110" t="b">
        <f>IF(Audit[[#This Row],[Status - Continue or stop audit]] = "Continue", TRUE, IF(AN487 = "Continue", TRUE, FALSE))</f>
        <v>0</v>
      </c>
      <c r="AP488" s="110"/>
    </row>
    <row r="489" spans="1:42" ht="15" hidden="1" customHeight="1">
      <c r="A489" s="111" t="str">
        <f>'Sampling Data'!W479</f>
        <v/>
      </c>
      <c r="B489" s="112" t="str">
        <f>'Sampling Data'!A479</f>
        <v>CLEVELAND -06-R</v>
      </c>
      <c r="C489" s="112">
        <f>'Sampling Data'!B479</f>
        <v>8</v>
      </c>
      <c r="D489" s="112">
        <f>'Sampling Data'!C479</f>
        <v>7</v>
      </c>
      <c r="E489" s="113">
        <f>'Sampling Data'!D479</f>
        <v>3</v>
      </c>
      <c r="F489" s="113">
        <f>'Sampling Data'!E479</f>
        <v>2</v>
      </c>
      <c r="G489" s="113">
        <f>'Sampling Data'!F479</f>
        <v>0</v>
      </c>
      <c r="H489" s="113">
        <f>'Sampling Data'!G479</f>
        <v>0</v>
      </c>
      <c r="I489" s="112">
        <f>'Sampling Data'!H479</f>
        <v>0</v>
      </c>
      <c r="J489" s="112">
        <f>'Sampling Data'!I479</f>
        <v>0</v>
      </c>
      <c r="K489" s="112">
        <f>'Sampling Data'!J479</f>
        <v>20</v>
      </c>
      <c r="L489" s="111">
        <f>'Sampling Data'!X479</f>
        <v>0</v>
      </c>
      <c r="M489" s="114"/>
      <c r="N489" s="114"/>
      <c r="O489" s="115"/>
      <c r="P489" s="115"/>
      <c r="Q489" s="116"/>
      <c r="R489" s="116"/>
      <c r="S489" s="111">
        <f>Audit[[#This Row],[Audit Losing Candidate]]-Audit[[#This Row],[Losing Candidate]]</f>
        <v>-8</v>
      </c>
      <c r="T489" s="111">
        <f>Audit[[#This Row],[Audit Winning Candidate]]-Audit[[#This Row],[Winning Candidate]]</f>
        <v>-7</v>
      </c>
      <c r="U489" s="111">
        <f>Audit[[#This Row],[Audit Candidate 3]]-Audit[[#This Row],[Candidate 3]]</f>
        <v>-3</v>
      </c>
      <c r="V489" s="111">
        <f>Audit[[#This Row],[Audit Candidate 4]]-Audit[[#This Row],[Candidate 4]]</f>
        <v>-2</v>
      </c>
      <c r="W489" s="111">
        <f>Audit[[#This Row],[Audit Candidate 5]]-Audit[[#This Row],[Candidate 5]]</f>
        <v>0</v>
      </c>
      <c r="X489" s="111">
        <f>Audit[[#This Row],[Audit Candidate 6]]-Audit[[#This Row],[Candidate 6]]</f>
        <v>0</v>
      </c>
      <c r="Y489" s="111">
        <f>SUMIF(Audit[[#This Row],[Difference Loser]:[Difference Candidate 6]], "&gt;0")</f>
        <v>0</v>
      </c>
      <c r="Z489" s="111">
        <f>SUM(Audit[[#This Row],[Difference Loser]:[Difference Candidate 6]])</f>
        <v>-20</v>
      </c>
      <c r="AA489" s="111">
        <f>IF(Audit[[#This Row],[Times p Drawn - With Replacement]]&gt;0, IF(Audit[[#This Row],[Canceled Differences]]&lt;0, Audit[[#This Row],[Max Differences]]+ABS(Audit[[#This Row],[Canceled Differences]]), Audit[[#This Row],[Max Differences]]), 0)</f>
        <v>0</v>
      </c>
      <c r="AB489" s="111">
        <f>'Sampling Data'!P479</f>
        <v>1.1636452719255266E-3</v>
      </c>
      <c r="AC489" s="111">
        <f>IF(
      SUM(Audit[[#This Row],[Audit Losing Candidate]:[Audit Candidate 6]])
      &lt;&gt;0,
      (Audit[[#This Row],[Winning Candidate]]-Audit[[#This Row],[Losing Candidate]]-(Audit[[#This Row],[Audit Winning Candidate]]-Audit[[#This Row],[Audit Losing Candidate]]))/(Audit[[#Totals],[Winning Candidate]]-Audit[[#Totals],[Losing Candidate]]),
      0
)</f>
        <v>0</v>
      </c>
      <c r="AD4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9" s="111">
        <f>IF(Audit[[#This Row],[Max Relative Error (ep)]] = 0, 0, Audit[[#This Row],[Max Relative Error (ep)]]/Audit[[#This Row],[Error Bound (up) - Max. possible relative overstatement]])</f>
        <v>0</v>
      </c>
      <c r="AJ4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89" s="111">
        <f t="shared" si="7"/>
        <v>1</v>
      </c>
      <c r="AL489" s="111">
        <f>PRODUCT($AK$5:AK489)</f>
        <v>8.962823818226312E-2</v>
      </c>
      <c r="AM489" s="109">
        <f>1 - [K-M P Value]</f>
        <v>0.91037176181773694</v>
      </c>
      <c r="AN489" s="111" t="str">
        <f>IF(Audit[[#This Row],[K-M P Value]]&gt;1-'General Info'!$B$16,"Continue", "Stop")</f>
        <v>Stop</v>
      </c>
      <c r="AO489" s="110" t="b">
        <f>IF(Audit[[#This Row],[Status - Continue or stop audit]] = "Continue", TRUE, IF(AN488 = "Continue", TRUE, FALSE))</f>
        <v>0</v>
      </c>
      <c r="AP489" s="110"/>
    </row>
    <row r="490" spans="1:42" ht="15" hidden="1" customHeight="1">
      <c r="A490" s="111" t="str">
        <f>'Sampling Data'!W480</f>
        <v/>
      </c>
      <c r="B490" s="112" t="str">
        <f>'Sampling Data'!A480</f>
        <v>CLEVELAND -06-R - ABS</v>
      </c>
      <c r="C490" s="112">
        <f>'Sampling Data'!B480</f>
        <v>3</v>
      </c>
      <c r="D490" s="112">
        <f>'Sampling Data'!C480</f>
        <v>6</v>
      </c>
      <c r="E490" s="113">
        <f>'Sampling Data'!D480</f>
        <v>2</v>
      </c>
      <c r="F490" s="113">
        <f>'Sampling Data'!E480</f>
        <v>3</v>
      </c>
      <c r="G490" s="113">
        <f>'Sampling Data'!F480</f>
        <v>0</v>
      </c>
      <c r="H490" s="113">
        <f>'Sampling Data'!G480</f>
        <v>0</v>
      </c>
      <c r="I490" s="112">
        <f>'Sampling Data'!H480</f>
        <v>0</v>
      </c>
      <c r="J490" s="112">
        <f>'Sampling Data'!I480</f>
        <v>0</v>
      </c>
      <c r="K490" s="112">
        <f>'Sampling Data'!J480</f>
        <v>14</v>
      </c>
      <c r="L490" s="111">
        <f>'Sampling Data'!X480</f>
        <v>0</v>
      </c>
      <c r="M490" s="114"/>
      <c r="N490" s="114"/>
      <c r="O490" s="115"/>
      <c r="P490" s="115"/>
      <c r="Q490" s="116"/>
      <c r="R490" s="116"/>
      <c r="S490" s="111">
        <f>Audit[[#This Row],[Audit Losing Candidate]]-Audit[[#This Row],[Losing Candidate]]</f>
        <v>-3</v>
      </c>
      <c r="T490" s="111">
        <f>Audit[[#This Row],[Audit Winning Candidate]]-Audit[[#This Row],[Winning Candidate]]</f>
        <v>-6</v>
      </c>
      <c r="U490" s="111">
        <f>Audit[[#This Row],[Audit Candidate 3]]-Audit[[#This Row],[Candidate 3]]</f>
        <v>-2</v>
      </c>
      <c r="V490" s="111">
        <f>Audit[[#This Row],[Audit Candidate 4]]-Audit[[#This Row],[Candidate 4]]</f>
        <v>-3</v>
      </c>
      <c r="W490" s="111">
        <f>Audit[[#This Row],[Audit Candidate 5]]-Audit[[#This Row],[Candidate 5]]</f>
        <v>0</v>
      </c>
      <c r="X490" s="111">
        <f>Audit[[#This Row],[Audit Candidate 6]]-Audit[[#This Row],[Candidate 6]]</f>
        <v>0</v>
      </c>
      <c r="Y490" s="111">
        <f>SUMIF(Audit[[#This Row],[Difference Loser]:[Difference Candidate 6]], "&gt;0")</f>
        <v>0</v>
      </c>
      <c r="Z490" s="111">
        <f>SUM(Audit[[#This Row],[Difference Loser]:[Difference Candidate 6]])</f>
        <v>-14</v>
      </c>
      <c r="AA490" s="111">
        <f>IF(Audit[[#This Row],[Times p Drawn - With Replacement]]&gt;0, IF(Audit[[#This Row],[Canceled Differences]]&lt;0, Audit[[#This Row],[Max Differences]]+ABS(Audit[[#This Row],[Canceled Differences]]), Audit[[#This Row],[Max Differences]]), 0)</f>
        <v>0</v>
      </c>
      <c r="AB490" s="111">
        <f>'Sampling Data'!P480</f>
        <v>1.041156295933366E-3</v>
      </c>
      <c r="AC490" s="111">
        <f>IF(
      SUM(Audit[[#This Row],[Audit Losing Candidate]:[Audit Candidate 6]])
      &lt;&gt;0,
      (Audit[[#This Row],[Winning Candidate]]-Audit[[#This Row],[Losing Candidate]]-(Audit[[#This Row],[Audit Winning Candidate]]-Audit[[#This Row],[Audit Losing Candidate]]))/(Audit[[#Totals],[Winning Candidate]]-Audit[[#Totals],[Losing Candidate]]),
      0
)</f>
        <v>0</v>
      </c>
      <c r="AD4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0" s="111">
        <f>IF(Audit[[#This Row],[Max Relative Error (ep)]] = 0, 0, Audit[[#This Row],[Max Relative Error (ep)]]/Audit[[#This Row],[Error Bound (up) - Max. possible relative overstatement]])</f>
        <v>0</v>
      </c>
      <c r="AJ4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90" s="111">
        <f t="shared" si="7"/>
        <v>1</v>
      </c>
      <c r="AL490" s="111">
        <f>PRODUCT($AK$5:AK490)</f>
        <v>8.962823818226312E-2</v>
      </c>
      <c r="AM490" s="109">
        <f>1 - [K-M P Value]</f>
        <v>0.91037176181773694</v>
      </c>
      <c r="AN490" s="111" t="str">
        <f>IF(Audit[[#This Row],[K-M P Value]]&gt;1-'General Info'!$B$16,"Continue", "Stop")</f>
        <v>Stop</v>
      </c>
      <c r="AO490" s="110" t="b">
        <f>IF(Audit[[#This Row],[Status - Continue or stop audit]] = "Continue", TRUE, IF(AN489 = "Continue", TRUE, FALSE))</f>
        <v>0</v>
      </c>
      <c r="AP490" s="110"/>
    </row>
    <row r="491" spans="1:42" ht="15" hidden="1" customHeight="1">
      <c r="A491" s="111" t="str">
        <f>'Sampling Data'!W481</f>
        <v/>
      </c>
      <c r="B491" s="112" t="str">
        <f>'Sampling Data'!A481</f>
        <v>CLEVELAND -06-S</v>
      </c>
      <c r="C491" s="112">
        <f>'Sampling Data'!B481</f>
        <v>2</v>
      </c>
      <c r="D491" s="112">
        <f>'Sampling Data'!C481</f>
        <v>2</v>
      </c>
      <c r="E491" s="113">
        <f>'Sampling Data'!D481</f>
        <v>0</v>
      </c>
      <c r="F491" s="113">
        <f>'Sampling Data'!E481</f>
        <v>0</v>
      </c>
      <c r="G491" s="113">
        <f>'Sampling Data'!F481</f>
        <v>0</v>
      </c>
      <c r="H491" s="113">
        <f>'Sampling Data'!G481</f>
        <v>0</v>
      </c>
      <c r="I491" s="112">
        <f>'Sampling Data'!H481</f>
        <v>0</v>
      </c>
      <c r="J491" s="112">
        <f>'Sampling Data'!I481</f>
        <v>1</v>
      </c>
      <c r="K491" s="112">
        <f>'Sampling Data'!J481</f>
        <v>5</v>
      </c>
      <c r="L491" s="111">
        <f>'Sampling Data'!X481</f>
        <v>0</v>
      </c>
      <c r="M491" s="114"/>
      <c r="N491" s="114"/>
      <c r="O491" s="115"/>
      <c r="P491" s="115"/>
      <c r="Q491" s="116"/>
      <c r="R491" s="116"/>
      <c r="S491" s="111">
        <f>Audit[[#This Row],[Audit Losing Candidate]]-Audit[[#This Row],[Losing Candidate]]</f>
        <v>-2</v>
      </c>
      <c r="T491" s="111">
        <f>Audit[[#This Row],[Audit Winning Candidate]]-Audit[[#This Row],[Winning Candidate]]</f>
        <v>-2</v>
      </c>
      <c r="U491" s="111">
        <f>Audit[[#This Row],[Audit Candidate 3]]-Audit[[#This Row],[Candidate 3]]</f>
        <v>0</v>
      </c>
      <c r="V491" s="111">
        <f>Audit[[#This Row],[Audit Candidate 4]]-Audit[[#This Row],[Candidate 4]]</f>
        <v>0</v>
      </c>
      <c r="W491" s="111">
        <f>Audit[[#This Row],[Audit Candidate 5]]-Audit[[#This Row],[Candidate 5]]</f>
        <v>0</v>
      </c>
      <c r="X491" s="111">
        <f>Audit[[#This Row],[Audit Candidate 6]]-Audit[[#This Row],[Candidate 6]]</f>
        <v>0</v>
      </c>
      <c r="Y491" s="111">
        <f>SUMIF(Audit[[#This Row],[Difference Loser]:[Difference Candidate 6]], "&gt;0")</f>
        <v>0</v>
      </c>
      <c r="Z491" s="111">
        <f>SUM(Audit[[#This Row],[Difference Loser]:[Difference Candidate 6]])</f>
        <v>-4</v>
      </c>
      <c r="AA491" s="111">
        <f>IF(Audit[[#This Row],[Times p Drawn - With Replacement]]&gt;0, IF(Audit[[#This Row],[Canceled Differences]]&lt;0, Audit[[#This Row],[Max Differences]]+ABS(Audit[[#This Row],[Canceled Differences]]), Audit[[#This Row],[Max Differences]]), 0)</f>
        <v>0</v>
      </c>
      <c r="AB491" s="111">
        <f>'Sampling Data'!P481</f>
        <v>3.0622243998040176E-4</v>
      </c>
      <c r="AC491" s="111">
        <f>IF(
      SUM(Audit[[#This Row],[Audit Losing Candidate]:[Audit Candidate 6]])
      &lt;&gt;0,
      (Audit[[#This Row],[Winning Candidate]]-Audit[[#This Row],[Losing Candidate]]-(Audit[[#This Row],[Audit Winning Candidate]]-Audit[[#This Row],[Audit Losing Candidate]]))/(Audit[[#Totals],[Winning Candidate]]-Audit[[#Totals],[Losing Candidate]]),
      0
)</f>
        <v>0</v>
      </c>
      <c r="AD4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1" s="111">
        <f>IF(Audit[[#This Row],[Max Relative Error (ep)]] = 0, 0, Audit[[#This Row],[Max Relative Error (ep)]]/Audit[[#This Row],[Error Bound (up) - Max. possible relative overstatement]])</f>
        <v>0</v>
      </c>
      <c r="AJ4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91" s="111">
        <f t="shared" si="7"/>
        <v>1</v>
      </c>
      <c r="AL491" s="111">
        <f>PRODUCT($AK$5:AK491)</f>
        <v>8.962823818226312E-2</v>
      </c>
      <c r="AM491" s="109">
        <f>1 - [K-M P Value]</f>
        <v>0.91037176181773694</v>
      </c>
      <c r="AN491" s="111" t="str">
        <f>IF(Audit[[#This Row],[K-M P Value]]&gt;1-'General Info'!$B$16,"Continue", "Stop")</f>
        <v>Stop</v>
      </c>
      <c r="AO491" s="110" t="b">
        <f>IF(Audit[[#This Row],[Status - Continue or stop audit]] = "Continue", TRUE, IF(AN490 = "Continue", TRUE, FALSE))</f>
        <v>0</v>
      </c>
      <c r="AP491" s="110"/>
    </row>
    <row r="492" spans="1:42" ht="15" hidden="1" customHeight="1">
      <c r="A492" s="111" t="str">
        <f>'Sampling Data'!W482</f>
        <v/>
      </c>
      <c r="B492" s="112" t="str">
        <f>'Sampling Data'!A482</f>
        <v>CLEVELAND -06-S - ABS</v>
      </c>
      <c r="C492" s="112">
        <f>'Sampling Data'!B482</f>
        <v>0</v>
      </c>
      <c r="D492" s="112">
        <f>'Sampling Data'!C482</f>
        <v>2</v>
      </c>
      <c r="E492" s="113">
        <f>'Sampling Data'!D482</f>
        <v>0</v>
      </c>
      <c r="F492" s="113">
        <f>'Sampling Data'!E482</f>
        <v>0</v>
      </c>
      <c r="G492" s="113">
        <f>'Sampling Data'!F482</f>
        <v>0</v>
      </c>
      <c r="H492" s="113">
        <f>'Sampling Data'!G482</f>
        <v>0</v>
      </c>
      <c r="I492" s="112">
        <f>'Sampling Data'!H482</f>
        <v>0</v>
      </c>
      <c r="J492" s="112">
        <f>'Sampling Data'!I482</f>
        <v>0</v>
      </c>
      <c r="K492" s="112">
        <f>'Sampling Data'!J482</f>
        <v>2</v>
      </c>
      <c r="L492" s="111">
        <f>'Sampling Data'!X482</f>
        <v>0</v>
      </c>
      <c r="M492" s="114"/>
      <c r="N492" s="114"/>
      <c r="O492" s="115"/>
      <c r="P492" s="115"/>
      <c r="Q492" s="116"/>
      <c r="R492" s="116"/>
      <c r="S492" s="111">
        <f>Audit[[#This Row],[Audit Losing Candidate]]-Audit[[#This Row],[Losing Candidate]]</f>
        <v>0</v>
      </c>
      <c r="T492" s="111">
        <f>Audit[[#This Row],[Audit Winning Candidate]]-Audit[[#This Row],[Winning Candidate]]</f>
        <v>-2</v>
      </c>
      <c r="U492" s="111">
        <f>Audit[[#This Row],[Audit Candidate 3]]-Audit[[#This Row],[Candidate 3]]</f>
        <v>0</v>
      </c>
      <c r="V492" s="111">
        <f>Audit[[#This Row],[Audit Candidate 4]]-Audit[[#This Row],[Candidate 4]]</f>
        <v>0</v>
      </c>
      <c r="W492" s="111">
        <f>Audit[[#This Row],[Audit Candidate 5]]-Audit[[#This Row],[Candidate 5]]</f>
        <v>0</v>
      </c>
      <c r="X492" s="111">
        <f>Audit[[#This Row],[Audit Candidate 6]]-Audit[[#This Row],[Candidate 6]]</f>
        <v>0</v>
      </c>
      <c r="Y492" s="111">
        <f>SUMIF(Audit[[#This Row],[Difference Loser]:[Difference Candidate 6]], "&gt;0")</f>
        <v>0</v>
      </c>
      <c r="Z492" s="111">
        <f>SUM(Audit[[#This Row],[Difference Loser]:[Difference Candidate 6]])</f>
        <v>-2</v>
      </c>
      <c r="AA492" s="111">
        <f>IF(Audit[[#This Row],[Times p Drawn - With Replacement]]&gt;0, IF(Audit[[#This Row],[Canceled Differences]]&lt;0, Audit[[#This Row],[Max Differences]]+ABS(Audit[[#This Row],[Canceled Differences]]), Audit[[#This Row],[Max Differences]]), 0)</f>
        <v>0</v>
      </c>
      <c r="AB492" s="111">
        <f>'Sampling Data'!P482</f>
        <v>2.4497795198432141E-4</v>
      </c>
      <c r="AC492" s="111">
        <f>IF(
      SUM(Audit[[#This Row],[Audit Losing Candidate]:[Audit Candidate 6]])
      &lt;&gt;0,
      (Audit[[#This Row],[Winning Candidate]]-Audit[[#This Row],[Losing Candidate]]-(Audit[[#This Row],[Audit Winning Candidate]]-Audit[[#This Row],[Audit Losing Candidate]]))/(Audit[[#Totals],[Winning Candidate]]-Audit[[#Totals],[Losing Candidate]]),
      0
)</f>
        <v>0</v>
      </c>
      <c r="AD4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2" s="111">
        <f>IF(Audit[[#This Row],[Max Relative Error (ep)]] = 0, 0, Audit[[#This Row],[Max Relative Error (ep)]]/Audit[[#This Row],[Error Bound (up) - Max. possible relative overstatement]])</f>
        <v>0</v>
      </c>
      <c r="AJ4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92" s="111">
        <f t="shared" si="7"/>
        <v>1</v>
      </c>
      <c r="AL492" s="111">
        <f>PRODUCT($AK$5:AK492)</f>
        <v>8.962823818226312E-2</v>
      </c>
      <c r="AM492" s="109">
        <f>1 - [K-M P Value]</f>
        <v>0.91037176181773694</v>
      </c>
      <c r="AN492" s="111" t="str">
        <f>IF(Audit[[#This Row],[K-M P Value]]&gt;1-'General Info'!$B$16,"Continue", "Stop")</f>
        <v>Stop</v>
      </c>
      <c r="AO492" s="110" t="b">
        <f>IF(Audit[[#This Row],[Status - Continue or stop audit]] = "Continue", TRUE, IF(AN491 = "Continue", TRUE, FALSE))</f>
        <v>0</v>
      </c>
      <c r="AP492" s="110"/>
    </row>
    <row r="493" spans="1:42" ht="15" hidden="1" customHeight="1">
      <c r="A493" s="111" t="str">
        <f>'Sampling Data'!W483</f>
        <v/>
      </c>
      <c r="B493" s="112" t="str">
        <f>'Sampling Data'!A483</f>
        <v>CLEVELAND -06-T</v>
      </c>
      <c r="C493" s="112">
        <f>'Sampling Data'!B483</f>
        <v>1</v>
      </c>
      <c r="D493" s="112">
        <f>'Sampling Data'!C483</f>
        <v>0</v>
      </c>
      <c r="E493" s="113">
        <f>'Sampling Data'!D483</f>
        <v>0</v>
      </c>
      <c r="F493" s="113">
        <f>'Sampling Data'!E483</f>
        <v>0</v>
      </c>
      <c r="G493" s="113">
        <f>'Sampling Data'!F483</f>
        <v>0</v>
      </c>
      <c r="H493" s="113">
        <f>'Sampling Data'!G483</f>
        <v>0</v>
      </c>
      <c r="I493" s="112">
        <f>'Sampling Data'!H483</f>
        <v>0</v>
      </c>
      <c r="J493" s="112">
        <f>'Sampling Data'!I483</f>
        <v>0</v>
      </c>
      <c r="K493" s="112">
        <f>'Sampling Data'!J483</f>
        <v>1</v>
      </c>
      <c r="L493" s="111">
        <f>'Sampling Data'!X483</f>
        <v>0</v>
      </c>
      <c r="M493" s="114"/>
      <c r="N493" s="114"/>
      <c r="O493" s="115"/>
      <c r="P493" s="115"/>
      <c r="Q493" s="116"/>
      <c r="R493" s="116"/>
      <c r="S493" s="111">
        <f>Audit[[#This Row],[Audit Losing Candidate]]-Audit[[#This Row],[Losing Candidate]]</f>
        <v>-1</v>
      </c>
      <c r="T493" s="111">
        <f>Audit[[#This Row],[Audit Winning Candidate]]-Audit[[#This Row],[Winning Candidate]]</f>
        <v>0</v>
      </c>
      <c r="U493" s="111">
        <f>Audit[[#This Row],[Audit Candidate 3]]-Audit[[#This Row],[Candidate 3]]</f>
        <v>0</v>
      </c>
      <c r="V493" s="111">
        <f>Audit[[#This Row],[Audit Candidate 4]]-Audit[[#This Row],[Candidate 4]]</f>
        <v>0</v>
      </c>
      <c r="W493" s="111">
        <f>Audit[[#This Row],[Audit Candidate 5]]-Audit[[#This Row],[Candidate 5]]</f>
        <v>0</v>
      </c>
      <c r="X493" s="111">
        <f>Audit[[#This Row],[Audit Candidate 6]]-Audit[[#This Row],[Candidate 6]]</f>
        <v>0</v>
      </c>
      <c r="Y493" s="111">
        <f>SUMIF(Audit[[#This Row],[Difference Loser]:[Difference Candidate 6]], "&gt;0")</f>
        <v>0</v>
      </c>
      <c r="Z493" s="111">
        <f>SUM(Audit[[#This Row],[Difference Loser]:[Difference Candidate 6]])</f>
        <v>-1</v>
      </c>
      <c r="AA493" s="111">
        <f>IF(Audit[[#This Row],[Times p Drawn - With Replacement]]&gt;0, IF(Audit[[#This Row],[Canceled Differences]]&lt;0, Audit[[#This Row],[Max Differences]]+ABS(Audit[[#This Row],[Canceled Differences]]), Audit[[#This Row],[Max Differences]]), 0)</f>
        <v>0</v>
      </c>
      <c r="AB493" s="111">
        <f>'Sampling Data'!P483</f>
        <v>3.2261186566441917E-5</v>
      </c>
      <c r="AC493" s="111">
        <f>IF(
      SUM(Audit[[#This Row],[Audit Losing Candidate]:[Audit Candidate 6]])
      &lt;&gt;0,
      (Audit[[#This Row],[Winning Candidate]]-Audit[[#This Row],[Losing Candidate]]-(Audit[[#This Row],[Audit Winning Candidate]]-Audit[[#This Row],[Audit Losing Candidate]]))/(Audit[[#Totals],[Winning Candidate]]-Audit[[#Totals],[Losing Candidate]]),
      0
)</f>
        <v>0</v>
      </c>
      <c r="AD4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3" s="111">
        <f>IF(Audit[[#This Row],[Max Relative Error (ep)]] = 0, 0, Audit[[#This Row],[Max Relative Error (ep)]]/Audit[[#This Row],[Error Bound (up) - Max. possible relative overstatement]])</f>
        <v>0</v>
      </c>
      <c r="AJ4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93" s="111">
        <f t="shared" si="7"/>
        <v>1</v>
      </c>
      <c r="AL493" s="111">
        <f>PRODUCT($AK$5:AK493)</f>
        <v>8.962823818226312E-2</v>
      </c>
      <c r="AM493" s="109">
        <f>1 - [K-M P Value]</f>
        <v>0.91037176181773694</v>
      </c>
      <c r="AN493" s="111" t="str">
        <f>IF(Audit[[#This Row],[K-M P Value]]&gt;1-'General Info'!$B$16,"Continue", "Stop")</f>
        <v>Stop</v>
      </c>
      <c r="AO493" s="110" t="b">
        <f>IF(Audit[[#This Row],[Status - Continue or stop audit]] = "Continue", TRUE, IF(AN492 = "Continue", TRUE, FALSE))</f>
        <v>0</v>
      </c>
      <c r="AP493" s="110"/>
    </row>
    <row r="494" spans="1:42" ht="15" hidden="1" customHeight="1">
      <c r="A494" s="111" t="str">
        <f>'Sampling Data'!W484</f>
        <v/>
      </c>
      <c r="B494" s="112" t="str">
        <f>'Sampling Data'!A484</f>
        <v>CLEVELAND -06-T - ABS</v>
      </c>
      <c r="C494" s="112">
        <f>'Sampling Data'!B484</f>
        <v>0</v>
      </c>
      <c r="D494" s="112">
        <f>'Sampling Data'!C484</f>
        <v>0</v>
      </c>
      <c r="E494" s="113">
        <f>'Sampling Data'!D484</f>
        <v>0</v>
      </c>
      <c r="F494" s="113">
        <f>'Sampling Data'!E484</f>
        <v>0</v>
      </c>
      <c r="G494" s="113">
        <f>'Sampling Data'!F484</f>
        <v>0</v>
      </c>
      <c r="H494" s="113">
        <f>'Sampling Data'!G484</f>
        <v>0</v>
      </c>
      <c r="I494" s="112">
        <f>'Sampling Data'!H484</f>
        <v>0</v>
      </c>
      <c r="J494" s="112">
        <f>'Sampling Data'!I484</f>
        <v>1</v>
      </c>
      <c r="K494" s="112">
        <f>'Sampling Data'!J484</f>
        <v>1</v>
      </c>
      <c r="L494" s="111">
        <f>'Sampling Data'!X484</f>
        <v>0</v>
      </c>
      <c r="M494" s="114"/>
      <c r="N494" s="114"/>
      <c r="O494" s="115"/>
      <c r="P494" s="115"/>
      <c r="Q494" s="116"/>
      <c r="R494" s="116"/>
      <c r="S494" s="111">
        <f>Audit[[#This Row],[Audit Losing Candidate]]-Audit[[#This Row],[Losing Candidate]]</f>
        <v>0</v>
      </c>
      <c r="T494" s="111">
        <f>Audit[[#This Row],[Audit Winning Candidate]]-Audit[[#This Row],[Winning Candidate]]</f>
        <v>0</v>
      </c>
      <c r="U494" s="111">
        <f>Audit[[#This Row],[Audit Candidate 3]]-Audit[[#This Row],[Candidate 3]]</f>
        <v>0</v>
      </c>
      <c r="V494" s="111">
        <f>Audit[[#This Row],[Audit Candidate 4]]-Audit[[#This Row],[Candidate 4]]</f>
        <v>0</v>
      </c>
      <c r="W494" s="111">
        <f>Audit[[#This Row],[Audit Candidate 5]]-Audit[[#This Row],[Candidate 5]]</f>
        <v>0</v>
      </c>
      <c r="X494" s="111">
        <f>Audit[[#This Row],[Audit Candidate 6]]-Audit[[#This Row],[Candidate 6]]</f>
        <v>0</v>
      </c>
      <c r="Y494" s="111">
        <f>SUMIF(Audit[[#This Row],[Difference Loser]:[Difference Candidate 6]], "&gt;0")</f>
        <v>0</v>
      </c>
      <c r="Z494" s="111">
        <f>SUM(Audit[[#This Row],[Difference Loser]:[Difference Candidate 6]])</f>
        <v>0</v>
      </c>
      <c r="AA494" s="111">
        <f>IF(Audit[[#This Row],[Times p Drawn - With Replacement]]&gt;0, IF(Audit[[#This Row],[Canceled Differences]]&lt;0, Audit[[#This Row],[Max Differences]]+ABS(Audit[[#This Row],[Canceled Differences]]), Audit[[#This Row],[Max Differences]]), 0)</f>
        <v>0</v>
      </c>
      <c r="AB494" s="111">
        <f>'Sampling Data'!P484</f>
        <v>6.1244487996080352E-5</v>
      </c>
      <c r="AC494" s="111">
        <f>IF(
      SUM(Audit[[#This Row],[Audit Losing Candidate]:[Audit Candidate 6]])
      &lt;&gt;0,
      (Audit[[#This Row],[Winning Candidate]]-Audit[[#This Row],[Losing Candidate]]-(Audit[[#This Row],[Audit Winning Candidate]]-Audit[[#This Row],[Audit Losing Candidate]]))/(Audit[[#Totals],[Winning Candidate]]-Audit[[#Totals],[Losing Candidate]]),
      0
)</f>
        <v>0</v>
      </c>
      <c r="AD4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4" s="111">
        <f>IF(Audit[[#This Row],[Max Relative Error (ep)]] = 0, 0, Audit[[#This Row],[Max Relative Error (ep)]]/Audit[[#This Row],[Error Bound (up) - Max. possible relative overstatement]])</f>
        <v>0</v>
      </c>
      <c r="AJ4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94" s="111">
        <f t="shared" si="7"/>
        <v>1</v>
      </c>
      <c r="AL494" s="111">
        <f>PRODUCT($AK$5:AK494)</f>
        <v>8.962823818226312E-2</v>
      </c>
      <c r="AM494" s="109">
        <f>1 - [K-M P Value]</f>
        <v>0.91037176181773694</v>
      </c>
      <c r="AN494" s="111" t="str">
        <f>IF(Audit[[#This Row],[K-M P Value]]&gt;1-'General Info'!$B$16,"Continue", "Stop")</f>
        <v>Stop</v>
      </c>
      <c r="AO494" s="110" t="b">
        <f>IF(Audit[[#This Row],[Status - Continue or stop audit]] = "Continue", TRUE, IF(AN493 = "Continue", TRUE, FALSE))</f>
        <v>0</v>
      </c>
      <c r="AP494" s="110"/>
    </row>
    <row r="495" spans="1:42" ht="15" hidden="1" customHeight="1">
      <c r="A495" s="111" t="str">
        <f>'Sampling Data'!W485</f>
        <v/>
      </c>
      <c r="B495" s="112" t="str">
        <f>'Sampling Data'!A485</f>
        <v>CLEVELAND -06-U</v>
      </c>
      <c r="C495" s="112">
        <f>'Sampling Data'!B485</f>
        <v>0</v>
      </c>
      <c r="D495" s="112">
        <f>'Sampling Data'!C485</f>
        <v>0</v>
      </c>
      <c r="E495" s="113">
        <f>'Sampling Data'!D485</f>
        <v>0</v>
      </c>
      <c r="F495" s="113">
        <f>'Sampling Data'!E485</f>
        <v>0</v>
      </c>
      <c r="G495" s="113">
        <f>'Sampling Data'!F485</f>
        <v>0</v>
      </c>
      <c r="H495" s="113">
        <f>'Sampling Data'!G485</f>
        <v>0</v>
      </c>
      <c r="I495" s="112">
        <f>'Sampling Data'!H485</f>
        <v>0</v>
      </c>
      <c r="J495" s="112">
        <f>'Sampling Data'!I485</f>
        <v>0</v>
      </c>
      <c r="K495" s="112">
        <f>'Sampling Data'!J485</f>
        <v>0</v>
      </c>
      <c r="L495" s="111">
        <f>'Sampling Data'!X485</f>
        <v>0</v>
      </c>
      <c r="M495" s="114"/>
      <c r="N495" s="114"/>
      <c r="O495" s="115"/>
      <c r="P495" s="115"/>
      <c r="Q495" s="116"/>
      <c r="R495" s="116"/>
      <c r="S495" s="111">
        <f>Audit[[#This Row],[Audit Losing Candidate]]-Audit[[#This Row],[Losing Candidate]]</f>
        <v>0</v>
      </c>
      <c r="T495" s="111">
        <f>Audit[[#This Row],[Audit Winning Candidate]]-Audit[[#This Row],[Winning Candidate]]</f>
        <v>0</v>
      </c>
      <c r="U495" s="111">
        <f>Audit[[#This Row],[Audit Candidate 3]]-Audit[[#This Row],[Candidate 3]]</f>
        <v>0</v>
      </c>
      <c r="V495" s="111">
        <f>Audit[[#This Row],[Audit Candidate 4]]-Audit[[#This Row],[Candidate 4]]</f>
        <v>0</v>
      </c>
      <c r="W495" s="111">
        <f>Audit[[#This Row],[Audit Candidate 5]]-Audit[[#This Row],[Candidate 5]]</f>
        <v>0</v>
      </c>
      <c r="X495" s="111">
        <f>Audit[[#This Row],[Audit Candidate 6]]-Audit[[#This Row],[Candidate 6]]</f>
        <v>0</v>
      </c>
      <c r="Y495" s="111">
        <f>SUMIF(Audit[[#This Row],[Difference Loser]:[Difference Candidate 6]], "&gt;0")</f>
        <v>0</v>
      </c>
      <c r="Z495" s="111">
        <f>SUM(Audit[[#This Row],[Difference Loser]:[Difference Candidate 6]])</f>
        <v>0</v>
      </c>
      <c r="AA495" s="111">
        <f>IF(Audit[[#This Row],[Times p Drawn - With Replacement]]&gt;0, IF(Audit[[#This Row],[Canceled Differences]]&lt;0, Audit[[#This Row],[Max Differences]]+ABS(Audit[[#This Row],[Canceled Differences]]), Audit[[#This Row],[Max Differences]]), 0)</f>
        <v>0</v>
      </c>
      <c r="AB495" s="111">
        <f>'Sampling Data'!P485</f>
        <v>0</v>
      </c>
      <c r="AC495" s="111">
        <f>IF(
      SUM(Audit[[#This Row],[Audit Losing Candidate]:[Audit Candidate 6]])
      &lt;&gt;0,
      (Audit[[#This Row],[Winning Candidate]]-Audit[[#This Row],[Losing Candidate]]-(Audit[[#This Row],[Audit Winning Candidate]]-Audit[[#This Row],[Audit Losing Candidate]]))/(Audit[[#Totals],[Winning Candidate]]-Audit[[#Totals],[Losing Candidate]]),
      0
)</f>
        <v>0</v>
      </c>
      <c r="AD4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5" s="111">
        <f>IF(Audit[[#This Row],[Max Relative Error (ep)]] = 0, 0, Audit[[#This Row],[Max Relative Error (ep)]]/Audit[[#This Row],[Error Bound (up) - Max. possible relative overstatement]])</f>
        <v>0</v>
      </c>
      <c r="AJ4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95" s="111">
        <f t="shared" si="7"/>
        <v>1</v>
      </c>
      <c r="AL495" s="111">
        <f>PRODUCT($AK$5:AK495)</f>
        <v>8.962823818226312E-2</v>
      </c>
      <c r="AM495" s="109">
        <f>1 - [K-M P Value]</f>
        <v>0.91037176181773694</v>
      </c>
      <c r="AN495" s="111" t="str">
        <f>IF(Audit[[#This Row],[K-M P Value]]&gt;1-'General Info'!$B$16,"Continue", "Stop")</f>
        <v>Stop</v>
      </c>
      <c r="AO495" s="110" t="b">
        <f>IF(Audit[[#This Row],[Status - Continue or stop audit]] = "Continue", TRUE, IF(AN494 = "Continue", TRUE, FALSE))</f>
        <v>0</v>
      </c>
      <c r="AP495" s="110"/>
    </row>
    <row r="496" spans="1:42" ht="15" hidden="1" customHeight="1">
      <c r="A496" s="111" t="str">
        <f>'Sampling Data'!W486</f>
        <v/>
      </c>
      <c r="B496" s="112" t="str">
        <f>'Sampling Data'!A486</f>
        <v>CLEVELAND -06-U - ABS</v>
      </c>
      <c r="C496" s="112">
        <f>'Sampling Data'!B486</f>
        <v>0</v>
      </c>
      <c r="D496" s="112">
        <f>'Sampling Data'!C486</f>
        <v>0</v>
      </c>
      <c r="E496" s="113">
        <f>'Sampling Data'!D486</f>
        <v>0</v>
      </c>
      <c r="F496" s="113">
        <f>'Sampling Data'!E486</f>
        <v>0</v>
      </c>
      <c r="G496" s="113">
        <f>'Sampling Data'!F486</f>
        <v>0</v>
      </c>
      <c r="H496" s="113">
        <f>'Sampling Data'!G486</f>
        <v>0</v>
      </c>
      <c r="I496" s="112">
        <f>'Sampling Data'!H486</f>
        <v>0</v>
      </c>
      <c r="J496" s="112">
        <f>'Sampling Data'!I486</f>
        <v>0</v>
      </c>
      <c r="K496" s="112">
        <f>'Sampling Data'!J486</f>
        <v>0</v>
      </c>
      <c r="L496" s="111">
        <f>'Sampling Data'!X486</f>
        <v>0</v>
      </c>
      <c r="M496" s="114"/>
      <c r="N496" s="114"/>
      <c r="O496" s="115"/>
      <c r="P496" s="115"/>
      <c r="Q496" s="116"/>
      <c r="R496" s="116"/>
      <c r="S496" s="111">
        <f>Audit[[#This Row],[Audit Losing Candidate]]-Audit[[#This Row],[Losing Candidate]]</f>
        <v>0</v>
      </c>
      <c r="T496" s="111">
        <f>Audit[[#This Row],[Audit Winning Candidate]]-Audit[[#This Row],[Winning Candidate]]</f>
        <v>0</v>
      </c>
      <c r="U496" s="111">
        <f>Audit[[#This Row],[Audit Candidate 3]]-Audit[[#This Row],[Candidate 3]]</f>
        <v>0</v>
      </c>
      <c r="V496" s="111">
        <f>Audit[[#This Row],[Audit Candidate 4]]-Audit[[#This Row],[Candidate 4]]</f>
        <v>0</v>
      </c>
      <c r="W496" s="111">
        <f>Audit[[#This Row],[Audit Candidate 5]]-Audit[[#This Row],[Candidate 5]]</f>
        <v>0</v>
      </c>
      <c r="X496" s="111">
        <f>Audit[[#This Row],[Audit Candidate 6]]-Audit[[#This Row],[Candidate 6]]</f>
        <v>0</v>
      </c>
      <c r="Y496" s="111">
        <f>SUMIF(Audit[[#This Row],[Difference Loser]:[Difference Candidate 6]], "&gt;0")</f>
        <v>0</v>
      </c>
      <c r="Z496" s="111">
        <f>SUM(Audit[[#This Row],[Difference Loser]:[Difference Candidate 6]])</f>
        <v>0</v>
      </c>
      <c r="AA496" s="111">
        <f>IF(Audit[[#This Row],[Times p Drawn - With Replacement]]&gt;0, IF(Audit[[#This Row],[Canceled Differences]]&lt;0, Audit[[#This Row],[Max Differences]]+ABS(Audit[[#This Row],[Canceled Differences]]), Audit[[#This Row],[Max Differences]]), 0)</f>
        <v>0</v>
      </c>
      <c r="AB496" s="111">
        <f>'Sampling Data'!P486</f>
        <v>0</v>
      </c>
      <c r="AC496" s="111">
        <f>IF(
      SUM(Audit[[#This Row],[Audit Losing Candidate]:[Audit Candidate 6]])
      &lt;&gt;0,
      (Audit[[#This Row],[Winning Candidate]]-Audit[[#This Row],[Losing Candidate]]-(Audit[[#This Row],[Audit Winning Candidate]]-Audit[[#This Row],[Audit Losing Candidate]]))/(Audit[[#Totals],[Winning Candidate]]-Audit[[#Totals],[Losing Candidate]]),
      0
)</f>
        <v>0</v>
      </c>
      <c r="AD4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6" s="111">
        <f>IF(Audit[[#This Row],[Max Relative Error (ep)]] = 0, 0, Audit[[#This Row],[Max Relative Error (ep)]]/Audit[[#This Row],[Error Bound (up) - Max. possible relative overstatement]])</f>
        <v>0</v>
      </c>
      <c r="AJ4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96" s="111">
        <f t="shared" si="7"/>
        <v>1</v>
      </c>
      <c r="AL496" s="111">
        <f>PRODUCT($AK$5:AK496)</f>
        <v>8.962823818226312E-2</v>
      </c>
      <c r="AM496" s="109">
        <f>1 - [K-M P Value]</f>
        <v>0.91037176181773694</v>
      </c>
      <c r="AN496" s="111" t="str">
        <f>IF(Audit[[#This Row],[K-M P Value]]&gt;1-'General Info'!$B$16,"Continue", "Stop")</f>
        <v>Stop</v>
      </c>
      <c r="AO496" s="110" t="b">
        <f>IF(Audit[[#This Row],[Status - Continue or stop audit]] = "Continue", TRUE, IF(AN495 = "Continue", TRUE, FALSE))</f>
        <v>0</v>
      </c>
      <c r="AP496" s="110"/>
    </row>
    <row r="497" spans="1:42" ht="15" hidden="1" customHeight="1">
      <c r="A497" s="111" t="str">
        <f>'Sampling Data'!W487</f>
        <v/>
      </c>
      <c r="B497" s="112" t="str">
        <f>'Sampling Data'!A487</f>
        <v>CLEVELAND -06-V</v>
      </c>
      <c r="C497" s="112">
        <f>'Sampling Data'!B487</f>
        <v>2</v>
      </c>
      <c r="D497" s="112">
        <f>'Sampling Data'!C487</f>
        <v>1</v>
      </c>
      <c r="E497" s="113">
        <f>'Sampling Data'!D487</f>
        <v>1</v>
      </c>
      <c r="F497" s="113">
        <f>'Sampling Data'!E487</f>
        <v>0</v>
      </c>
      <c r="G497" s="113">
        <f>'Sampling Data'!F487</f>
        <v>0</v>
      </c>
      <c r="H497" s="113">
        <f>'Sampling Data'!G487</f>
        <v>0</v>
      </c>
      <c r="I497" s="112">
        <f>'Sampling Data'!H487</f>
        <v>0</v>
      </c>
      <c r="J497" s="112">
        <f>'Sampling Data'!I487</f>
        <v>0</v>
      </c>
      <c r="K497" s="112">
        <f>'Sampling Data'!J487</f>
        <v>4</v>
      </c>
      <c r="L497" s="111">
        <f>'Sampling Data'!X487</f>
        <v>0</v>
      </c>
      <c r="M497" s="114"/>
      <c r="N497" s="114"/>
      <c r="O497" s="115"/>
      <c r="P497" s="115"/>
      <c r="Q497" s="116"/>
      <c r="R497" s="116"/>
      <c r="S497" s="111">
        <f>Audit[[#This Row],[Audit Losing Candidate]]-Audit[[#This Row],[Losing Candidate]]</f>
        <v>-2</v>
      </c>
      <c r="T497" s="111">
        <f>Audit[[#This Row],[Audit Winning Candidate]]-Audit[[#This Row],[Winning Candidate]]</f>
        <v>-1</v>
      </c>
      <c r="U497" s="111">
        <f>Audit[[#This Row],[Audit Candidate 3]]-Audit[[#This Row],[Candidate 3]]</f>
        <v>-1</v>
      </c>
      <c r="V497" s="111">
        <f>Audit[[#This Row],[Audit Candidate 4]]-Audit[[#This Row],[Candidate 4]]</f>
        <v>0</v>
      </c>
      <c r="W497" s="111">
        <f>Audit[[#This Row],[Audit Candidate 5]]-Audit[[#This Row],[Candidate 5]]</f>
        <v>0</v>
      </c>
      <c r="X497" s="111">
        <f>Audit[[#This Row],[Audit Candidate 6]]-Audit[[#This Row],[Candidate 6]]</f>
        <v>0</v>
      </c>
      <c r="Y497" s="111">
        <f>SUMIF(Audit[[#This Row],[Difference Loser]:[Difference Candidate 6]], "&gt;0")</f>
        <v>0</v>
      </c>
      <c r="Z497" s="111">
        <f>SUM(Audit[[#This Row],[Difference Loser]:[Difference Candidate 6]])</f>
        <v>-4</v>
      </c>
      <c r="AA497" s="111">
        <f>IF(Audit[[#This Row],[Times p Drawn - With Replacement]]&gt;0, IF(Audit[[#This Row],[Canceled Differences]]&lt;0, Audit[[#This Row],[Max Differences]]+ABS(Audit[[#This Row],[Canceled Differences]]), Audit[[#This Row],[Max Differences]]), 0)</f>
        <v>0</v>
      </c>
      <c r="AB497" s="111">
        <f>'Sampling Data'!P487</f>
        <v>1.8373346398824106E-4</v>
      </c>
      <c r="AC497" s="111">
        <f>IF(
      SUM(Audit[[#This Row],[Audit Losing Candidate]:[Audit Candidate 6]])
      &lt;&gt;0,
      (Audit[[#This Row],[Winning Candidate]]-Audit[[#This Row],[Losing Candidate]]-(Audit[[#This Row],[Audit Winning Candidate]]-Audit[[#This Row],[Audit Losing Candidate]]))/(Audit[[#Totals],[Winning Candidate]]-Audit[[#Totals],[Losing Candidate]]),
      0
)</f>
        <v>0</v>
      </c>
      <c r="AD4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7" s="111">
        <f>IF(Audit[[#This Row],[Max Relative Error (ep)]] = 0, 0, Audit[[#This Row],[Max Relative Error (ep)]]/Audit[[#This Row],[Error Bound (up) - Max. possible relative overstatement]])</f>
        <v>0</v>
      </c>
      <c r="AJ4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97" s="111">
        <f t="shared" si="7"/>
        <v>1</v>
      </c>
      <c r="AL497" s="111">
        <f>PRODUCT($AK$5:AK497)</f>
        <v>8.962823818226312E-2</v>
      </c>
      <c r="AM497" s="109">
        <f>1 - [K-M P Value]</f>
        <v>0.91037176181773694</v>
      </c>
      <c r="AN497" s="111" t="str">
        <f>IF(Audit[[#This Row],[K-M P Value]]&gt;1-'General Info'!$B$16,"Continue", "Stop")</f>
        <v>Stop</v>
      </c>
      <c r="AO497" s="110" t="b">
        <f>IF(Audit[[#This Row],[Status - Continue or stop audit]] = "Continue", TRUE, IF(AN496 = "Continue", TRUE, FALSE))</f>
        <v>0</v>
      </c>
      <c r="AP497" s="110"/>
    </row>
    <row r="498" spans="1:42" ht="15" hidden="1" customHeight="1">
      <c r="A498" s="111" t="str">
        <f>'Sampling Data'!W488</f>
        <v/>
      </c>
      <c r="B498" s="112" t="str">
        <f>'Sampling Data'!A488</f>
        <v>CLEVELAND -06-V - ABS</v>
      </c>
      <c r="C498" s="112">
        <f>'Sampling Data'!B488</f>
        <v>0</v>
      </c>
      <c r="D498" s="112">
        <f>'Sampling Data'!C488</f>
        <v>1</v>
      </c>
      <c r="E498" s="113">
        <f>'Sampling Data'!D488</f>
        <v>0</v>
      </c>
      <c r="F498" s="113">
        <f>'Sampling Data'!E488</f>
        <v>0</v>
      </c>
      <c r="G498" s="113">
        <f>'Sampling Data'!F488</f>
        <v>0</v>
      </c>
      <c r="H498" s="113">
        <f>'Sampling Data'!G488</f>
        <v>0</v>
      </c>
      <c r="I498" s="112">
        <f>'Sampling Data'!H488</f>
        <v>0</v>
      </c>
      <c r="J498" s="112">
        <f>'Sampling Data'!I488</f>
        <v>0</v>
      </c>
      <c r="K498" s="112">
        <f>'Sampling Data'!J488</f>
        <v>1</v>
      </c>
      <c r="L498" s="111">
        <f>'Sampling Data'!X488</f>
        <v>0</v>
      </c>
      <c r="M498" s="114"/>
      <c r="N498" s="114"/>
      <c r="O498" s="115"/>
      <c r="P498" s="115"/>
      <c r="Q498" s="116"/>
      <c r="R498" s="116"/>
      <c r="S498" s="111">
        <f>Audit[[#This Row],[Audit Losing Candidate]]-Audit[[#This Row],[Losing Candidate]]</f>
        <v>0</v>
      </c>
      <c r="T498" s="111">
        <f>Audit[[#This Row],[Audit Winning Candidate]]-Audit[[#This Row],[Winning Candidate]]</f>
        <v>-1</v>
      </c>
      <c r="U498" s="111">
        <f>Audit[[#This Row],[Audit Candidate 3]]-Audit[[#This Row],[Candidate 3]]</f>
        <v>0</v>
      </c>
      <c r="V498" s="111">
        <f>Audit[[#This Row],[Audit Candidate 4]]-Audit[[#This Row],[Candidate 4]]</f>
        <v>0</v>
      </c>
      <c r="W498" s="111">
        <f>Audit[[#This Row],[Audit Candidate 5]]-Audit[[#This Row],[Candidate 5]]</f>
        <v>0</v>
      </c>
      <c r="X498" s="111">
        <f>Audit[[#This Row],[Audit Candidate 6]]-Audit[[#This Row],[Candidate 6]]</f>
        <v>0</v>
      </c>
      <c r="Y498" s="111">
        <f>SUMIF(Audit[[#This Row],[Difference Loser]:[Difference Candidate 6]], "&gt;0")</f>
        <v>0</v>
      </c>
      <c r="Z498" s="111">
        <f>SUM(Audit[[#This Row],[Difference Loser]:[Difference Candidate 6]])</f>
        <v>-1</v>
      </c>
      <c r="AA498" s="111">
        <f>IF(Audit[[#This Row],[Times p Drawn - With Replacement]]&gt;0, IF(Audit[[#This Row],[Canceled Differences]]&lt;0, Audit[[#This Row],[Max Differences]]+ABS(Audit[[#This Row],[Canceled Differences]]), Audit[[#This Row],[Max Differences]]), 0)</f>
        <v>0</v>
      </c>
      <c r="AB498" s="111">
        <f>'Sampling Data'!P488</f>
        <v>1.224889759921607E-4</v>
      </c>
      <c r="AC498" s="111">
        <f>IF(
      SUM(Audit[[#This Row],[Audit Losing Candidate]:[Audit Candidate 6]])
      &lt;&gt;0,
      (Audit[[#This Row],[Winning Candidate]]-Audit[[#This Row],[Losing Candidate]]-(Audit[[#This Row],[Audit Winning Candidate]]-Audit[[#This Row],[Audit Losing Candidate]]))/(Audit[[#Totals],[Winning Candidate]]-Audit[[#Totals],[Losing Candidate]]),
      0
)</f>
        <v>0</v>
      </c>
      <c r="AD4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8" s="111">
        <f>IF(Audit[[#This Row],[Max Relative Error (ep)]] = 0, 0, Audit[[#This Row],[Max Relative Error (ep)]]/Audit[[#This Row],[Error Bound (up) - Max. possible relative overstatement]])</f>
        <v>0</v>
      </c>
      <c r="AJ4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98" s="111">
        <f t="shared" si="7"/>
        <v>1</v>
      </c>
      <c r="AL498" s="111">
        <f>PRODUCT($AK$5:AK498)</f>
        <v>8.962823818226312E-2</v>
      </c>
      <c r="AM498" s="109">
        <f>1 - [K-M P Value]</f>
        <v>0.91037176181773694</v>
      </c>
      <c r="AN498" s="111" t="str">
        <f>IF(Audit[[#This Row],[K-M P Value]]&gt;1-'General Info'!$B$16,"Continue", "Stop")</f>
        <v>Stop</v>
      </c>
      <c r="AO498" s="110" t="b">
        <f>IF(Audit[[#This Row],[Status - Continue or stop audit]] = "Continue", TRUE, IF(AN497 = "Continue", TRUE, FALSE))</f>
        <v>0</v>
      </c>
      <c r="AP498" s="110"/>
    </row>
    <row r="499" spans="1:42" ht="15" hidden="1" customHeight="1">
      <c r="A499" s="111" t="str">
        <f>'Sampling Data'!W489</f>
        <v/>
      </c>
      <c r="B499" s="112" t="str">
        <f>'Sampling Data'!A489</f>
        <v>CLEVELAND -07-A</v>
      </c>
      <c r="C499" s="112">
        <f>'Sampling Data'!B489</f>
        <v>5</v>
      </c>
      <c r="D499" s="112">
        <f>'Sampling Data'!C489</f>
        <v>7</v>
      </c>
      <c r="E499" s="113">
        <f>'Sampling Data'!D489</f>
        <v>3</v>
      </c>
      <c r="F499" s="113">
        <f>'Sampling Data'!E489</f>
        <v>3</v>
      </c>
      <c r="G499" s="113">
        <f>'Sampling Data'!F489</f>
        <v>0</v>
      </c>
      <c r="H499" s="113">
        <f>'Sampling Data'!G489</f>
        <v>0</v>
      </c>
      <c r="I499" s="112">
        <f>'Sampling Data'!H489</f>
        <v>0</v>
      </c>
      <c r="J499" s="112">
        <f>'Sampling Data'!I489</f>
        <v>0</v>
      </c>
      <c r="K499" s="112">
        <f>'Sampling Data'!J489</f>
        <v>18</v>
      </c>
      <c r="L499" s="111">
        <f>'Sampling Data'!X489</f>
        <v>0</v>
      </c>
      <c r="M499" s="114"/>
      <c r="N499" s="114"/>
      <c r="O499" s="115"/>
      <c r="P499" s="115"/>
      <c r="Q499" s="116"/>
      <c r="R499" s="116"/>
      <c r="S499" s="111">
        <f>Audit[[#This Row],[Audit Losing Candidate]]-Audit[[#This Row],[Losing Candidate]]</f>
        <v>-5</v>
      </c>
      <c r="T499" s="111">
        <f>Audit[[#This Row],[Audit Winning Candidate]]-Audit[[#This Row],[Winning Candidate]]</f>
        <v>-7</v>
      </c>
      <c r="U499" s="111">
        <f>Audit[[#This Row],[Audit Candidate 3]]-Audit[[#This Row],[Candidate 3]]</f>
        <v>-3</v>
      </c>
      <c r="V499" s="111">
        <f>Audit[[#This Row],[Audit Candidate 4]]-Audit[[#This Row],[Candidate 4]]</f>
        <v>-3</v>
      </c>
      <c r="W499" s="111">
        <f>Audit[[#This Row],[Audit Candidate 5]]-Audit[[#This Row],[Candidate 5]]</f>
        <v>0</v>
      </c>
      <c r="X499" s="111">
        <f>Audit[[#This Row],[Audit Candidate 6]]-Audit[[#This Row],[Candidate 6]]</f>
        <v>0</v>
      </c>
      <c r="Y499" s="111">
        <f>SUMIF(Audit[[#This Row],[Difference Loser]:[Difference Candidate 6]], "&gt;0")</f>
        <v>0</v>
      </c>
      <c r="Z499" s="111">
        <f>SUM(Audit[[#This Row],[Difference Loser]:[Difference Candidate 6]])</f>
        <v>-18</v>
      </c>
      <c r="AA499" s="111">
        <f>IF(Audit[[#This Row],[Times p Drawn - With Replacement]]&gt;0, IF(Audit[[#This Row],[Canceled Differences]]&lt;0, Audit[[#This Row],[Max Differences]]+ABS(Audit[[#This Row],[Canceled Differences]]), Audit[[#This Row],[Max Differences]]), 0)</f>
        <v>0</v>
      </c>
      <c r="AB499" s="111">
        <f>'Sampling Data'!P489</f>
        <v>1.224889759921607E-3</v>
      </c>
      <c r="AC499" s="111">
        <f>IF(
      SUM(Audit[[#This Row],[Audit Losing Candidate]:[Audit Candidate 6]])
      &lt;&gt;0,
      (Audit[[#This Row],[Winning Candidate]]-Audit[[#This Row],[Losing Candidate]]-(Audit[[#This Row],[Audit Winning Candidate]]-Audit[[#This Row],[Audit Losing Candidate]]))/(Audit[[#Totals],[Winning Candidate]]-Audit[[#Totals],[Losing Candidate]]),
      0
)</f>
        <v>0</v>
      </c>
      <c r="AD4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9" s="111">
        <f>IF(Audit[[#This Row],[Max Relative Error (ep)]] = 0, 0, Audit[[#This Row],[Max Relative Error (ep)]]/Audit[[#This Row],[Error Bound (up) - Max. possible relative overstatement]])</f>
        <v>0</v>
      </c>
      <c r="AJ4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499" s="111">
        <f t="shared" si="7"/>
        <v>1</v>
      </c>
      <c r="AL499" s="111">
        <f>PRODUCT($AK$5:AK499)</f>
        <v>8.962823818226312E-2</v>
      </c>
      <c r="AM499" s="109">
        <f>1 - [K-M P Value]</f>
        <v>0.91037176181773694</v>
      </c>
      <c r="AN499" s="111" t="str">
        <f>IF(Audit[[#This Row],[K-M P Value]]&gt;1-'General Info'!$B$16,"Continue", "Stop")</f>
        <v>Stop</v>
      </c>
      <c r="AO499" s="110" t="b">
        <f>IF(Audit[[#This Row],[Status - Continue or stop audit]] = "Continue", TRUE, IF(AN498 = "Continue", TRUE, FALSE))</f>
        <v>0</v>
      </c>
      <c r="AP499" s="110"/>
    </row>
    <row r="500" spans="1:42" ht="15" hidden="1" customHeight="1">
      <c r="A500" s="111" t="str">
        <f>'Sampling Data'!W490</f>
        <v/>
      </c>
      <c r="B500" s="112" t="str">
        <f>'Sampling Data'!A490</f>
        <v>CLEVELAND -07-A - ABS</v>
      </c>
      <c r="C500" s="112">
        <f>'Sampling Data'!B490</f>
        <v>1</v>
      </c>
      <c r="D500" s="112">
        <f>'Sampling Data'!C490</f>
        <v>1</v>
      </c>
      <c r="E500" s="113">
        <f>'Sampling Data'!D490</f>
        <v>0</v>
      </c>
      <c r="F500" s="113">
        <f>'Sampling Data'!E490</f>
        <v>0</v>
      </c>
      <c r="G500" s="113">
        <f>'Sampling Data'!F490</f>
        <v>0</v>
      </c>
      <c r="H500" s="113">
        <f>'Sampling Data'!G490</f>
        <v>0</v>
      </c>
      <c r="I500" s="112">
        <f>'Sampling Data'!H490</f>
        <v>0</v>
      </c>
      <c r="J500" s="112">
        <f>'Sampling Data'!I490</f>
        <v>0</v>
      </c>
      <c r="K500" s="112">
        <f>'Sampling Data'!J490</f>
        <v>2</v>
      </c>
      <c r="L500" s="111">
        <f>'Sampling Data'!X490</f>
        <v>0</v>
      </c>
      <c r="M500" s="114"/>
      <c r="N500" s="114"/>
      <c r="O500" s="115"/>
      <c r="P500" s="115"/>
      <c r="Q500" s="116"/>
      <c r="R500" s="116"/>
      <c r="S500" s="111">
        <f>Audit[[#This Row],[Audit Losing Candidate]]-Audit[[#This Row],[Losing Candidate]]</f>
        <v>-1</v>
      </c>
      <c r="T500" s="111">
        <f>Audit[[#This Row],[Audit Winning Candidate]]-Audit[[#This Row],[Winning Candidate]]</f>
        <v>-1</v>
      </c>
      <c r="U500" s="111">
        <f>Audit[[#This Row],[Audit Candidate 3]]-Audit[[#This Row],[Candidate 3]]</f>
        <v>0</v>
      </c>
      <c r="V500" s="111">
        <f>Audit[[#This Row],[Audit Candidate 4]]-Audit[[#This Row],[Candidate 4]]</f>
        <v>0</v>
      </c>
      <c r="W500" s="111">
        <f>Audit[[#This Row],[Audit Candidate 5]]-Audit[[#This Row],[Candidate 5]]</f>
        <v>0</v>
      </c>
      <c r="X500" s="111">
        <f>Audit[[#This Row],[Audit Candidate 6]]-Audit[[#This Row],[Candidate 6]]</f>
        <v>0</v>
      </c>
      <c r="Y500" s="111">
        <f>SUMIF(Audit[[#This Row],[Difference Loser]:[Difference Candidate 6]], "&gt;0")</f>
        <v>0</v>
      </c>
      <c r="Z500" s="111">
        <f>SUM(Audit[[#This Row],[Difference Loser]:[Difference Candidate 6]])</f>
        <v>-2</v>
      </c>
      <c r="AA500" s="111">
        <f>IF(Audit[[#This Row],[Times p Drawn - With Replacement]]&gt;0, IF(Audit[[#This Row],[Canceled Differences]]&lt;0, Audit[[#This Row],[Max Differences]]+ABS(Audit[[#This Row],[Canceled Differences]]), Audit[[#This Row],[Max Differences]]), 0)</f>
        <v>0</v>
      </c>
      <c r="AB500" s="111">
        <f>'Sampling Data'!P490</f>
        <v>1.224889759921607E-4</v>
      </c>
      <c r="AC500" s="111">
        <f>IF(
      SUM(Audit[[#This Row],[Audit Losing Candidate]:[Audit Candidate 6]])
      &lt;&gt;0,
      (Audit[[#This Row],[Winning Candidate]]-Audit[[#This Row],[Losing Candidate]]-(Audit[[#This Row],[Audit Winning Candidate]]-Audit[[#This Row],[Audit Losing Candidate]]))/(Audit[[#Totals],[Winning Candidate]]-Audit[[#Totals],[Losing Candidate]]),
      0
)</f>
        <v>0</v>
      </c>
      <c r="AD5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0" s="111">
        <f>IF(Audit[[#This Row],[Max Relative Error (ep)]] = 0, 0, Audit[[#This Row],[Max Relative Error (ep)]]/Audit[[#This Row],[Error Bound (up) - Max. possible relative overstatement]])</f>
        <v>0</v>
      </c>
      <c r="AJ5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00" s="111">
        <f t="shared" si="7"/>
        <v>1</v>
      </c>
      <c r="AL500" s="111">
        <f>PRODUCT($AK$5:AK500)</f>
        <v>8.962823818226312E-2</v>
      </c>
      <c r="AM500" s="109">
        <f>1 - [K-M P Value]</f>
        <v>0.91037176181773694</v>
      </c>
      <c r="AN500" s="111" t="str">
        <f>IF(Audit[[#This Row],[K-M P Value]]&gt;1-'General Info'!$B$16,"Continue", "Stop")</f>
        <v>Stop</v>
      </c>
      <c r="AO500" s="110" t="b">
        <f>IF(Audit[[#This Row],[Status - Continue or stop audit]] = "Continue", TRUE, IF(AN499 = "Continue", TRUE, FALSE))</f>
        <v>0</v>
      </c>
      <c r="AP500" s="110"/>
    </row>
    <row r="501" spans="1:42" ht="15" hidden="1" customHeight="1">
      <c r="A501" s="111" t="str">
        <f>'Sampling Data'!W491</f>
        <v/>
      </c>
      <c r="B501" s="112" t="str">
        <f>'Sampling Data'!A491</f>
        <v>CLEVELAND -07-B</v>
      </c>
      <c r="C501" s="112">
        <f>'Sampling Data'!B491</f>
        <v>2</v>
      </c>
      <c r="D501" s="112">
        <f>'Sampling Data'!C491</f>
        <v>0</v>
      </c>
      <c r="E501" s="113">
        <f>'Sampling Data'!D491</f>
        <v>1</v>
      </c>
      <c r="F501" s="113">
        <f>'Sampling Data'!E491</f>
        <v>0</v>
      </c>
      <c r="G501" s="113">
        <f>'Sampling Data'!F491</f>
        <v>0</v>
      </c>
      <c r="H501" s="113">
        <f>'Sampling Data'!G491</f>
        <v>0</v>
      </c>
      <c r="I501" s="112">
        <f>'Sampling Data'!H491</f>
        <v>0</v>
      </c>
      <c r="J501" s="112">
        <f>'Sampling Data'!I491</f>
        <v>0</v>
      </c>
      <c r="K501" s="112">
        <f>'Sampling Data'!J491</f>
        <v>3</v>
      </c>
      <c r="L501" s="111">
        <f>'Sampling Data'!X491</f>
        <v>0</v>
      </c>
      <c r="M501" s="114"/>
      <c r="N501" s="114"/>
      <c r="O501" s="115"/>
      <c r="P501" s="115"/>
      <c r="Q501" s="116"/>
      <c r="R501" s="116"/>
      <c r="S501" s="111">
        <f>Audit[[#This Row],[Audit Losing Candidate]]-Audit[[#This Row],[Losing Candidate]]</f>
        <v>-2</v>
      </c>
      <c r="T501" s="111">
        <f>Audit[[#This Row],[Audit Winning Candidate]]-Audit[[#This Row],[Winning Candidate]]</f>
        <v>0</v>
      </c>
      <c r="U501" s="111">
        <f>Audit[[#This Row],[Audit Candidate 3]]-Audit[[#This Row],[Candidate 3]]</f>
        <v>-1</v>
      </c>
      <c r="V501" s="111">
        <f>Audit[[#This Row],[Audit Candidate 4]]-Audit[[#This Row],[Candidate 4]]</f>
        <v>0</v>
      </c>
      <c r="W501" s="111">
        <f>Audit[[#This Row],[Audit Candidate 5]]-Audit[[#This Row],[Candidate 5]]</f>
        <v>0</v>
      </c>
      <c r="X501" s="111">
        <f>Audit[[#This Row],[Audit Candidate 6]]-Audit[[#This Row],[Candidate 6]]</f>
        <v>0</v>
      </c>
      <c r="Y501" s="111">
        <f>SUMIF(Audit[[#This Row],[Difference Loser]:[Difference Candidate 6]], "&gt;0")</f>
        <v>0</v>
      </c>
      <c r="Z501" s="111">
        <f>SUM(Audit[[#This Row],[Difference Loser]:[Difference Candidate 6]])</f>
        <v>-3</v>
      </c>
      <c r="AA501" s="111">
        <f>IF(Audit[[#This Row],[Times p Drawn - With Replacement]]&gt;0, IF(Audit[[#This Row],[Canceled Differences]]&lt;0, Audit[[#This Row],[Max Differences]]+ABS(Audit[[#This Row],[Canceled Differences]]), Audit[[#This Row],[Max Differences]]), 0)</f>
        <v>0</v>
      </c>
      <c r="AB501" s="111">
        <f>'Sampling Data'!P491</f>
        <v>8.7696220292905373E-5</v>
      </c>
      <c r="AC501" s="111">
        <f>IF(
      SUM(Audit[[#This Row],[Audit Losing Candidate]:[Audit Candidate 6]])
      &lt;&gt;0,
      (Audit[[#This Row],[Winning Candidate]]-Audit[[#This Row],[Losing Candidate]]-(Audit[[#This Row],[Audit Winning Candidate]]-Audit[[#This Row],[Audit Losing Candidate]]))/(Audit[[#Totals],[Winning Candidate]]-Audit[[#Totals],[Losing Candidate]]),
      0
)</f>
        <v>0</v>
      </c>
      <c r="AD5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1" s="111">
        <f>IF(Audit[[#This Row],[Max Relative Error (ep)]] = 0, 0, Audit[[#This Row],[Max Relative Error (ep)]]/Audit[[#This Row],[Error Bound (up) - Max. possible relative overstatement]])</f>
        <v>0</v>
      </c>
      <c r="AJ5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01" s="111">
        <f t="shared" si="7"/>
        <v>1</v>
      </c>
      <c r="AL501" s="111">
        <f>PRODUCT($AK$5:AK501)</f>
        <v>8.962823818226312E-2</v>
      </c>
      <c r="AM501" s="109">
        <f>1 - [K-M P Value]</f>
        <v>0.91037176181773694</v>
      </c>
      <c r="AN501" s="111" t="str">
        <f>IF(Audit[[#This Row],[K-M P Value]]&gt;1-'General Info'!$B$16,"Continue", "Stop")</f>
        <v>Stop</v>
      </c>
      <c r="AO501" s="110" t="b">
        <f>IF(Audit[[#This Row],[Status - Continue or stop audit]] = "Continue", TRUE, IF(AN500 = "Continue", TRUE, FALSE))</f>
        <v>0</v>
      </c>
      <c r="AP501" s="110"/>
    </row>
    <row r="502" spans="1:42" ht="15" hidden="1" customHeight="1">
      <c r="A502" s="111" t="str">
        <f>'Sampling Data'!W492</f>
        <v/>
      </c>
      <c r="B502" s="112" t="str">
        <f>'Sampling Data'!A492</f>
        <v>CLEVELAND -07-B - ABS</v>
      </c>
      <c r="C502" s="112">
        <f>'Sampling Data'!B492</f>
        <v>5</v>
      </c>
      <c r="D502" s="112">
        <f>'Sampling Data'!C492</f>
        <v>1</v>
      </c>
      <c r="E502" s="113">
        <f>'Sampling Data'!D492</f>
        <v>0</v>
      </c>
      <c r="F502" s="113">
        <f>'Sampling Data'!E492</f>
        <v>0</v>
      </c>
      <c r="G502" s="113">
        <f>'Sampling Data'!F492</f>
        <v>0</v>
      </c>
      <c r="H502" s="113">
        <f>'Sampling Data'!G492</f>
        <v>0</v>
      </c>
      <c r="I502" s="112">
        <f>'Sampling Data'!H492</f>
        <v>0</v>
      </c>
      <c r="J502" s="112">
        <f>'Sampling Data'!I492</f>
        <v>0</v>
      </c>
      <c r="K502" s="112">
        <f>'Sampling Data'!J492</f>
        <v>6</v>
      </c>
      <c r="L502" s="111">
        <f>'Sampling Data'!X492</f>
        <v>0</v>
      </c>
      <c r="M502" s="114"/>
      <c r="N502" s="114"/>
      <c r="O502" s="115"/>
      <c r="P502" s="115"/>
      <c r="Q502" s="116"/>
      <c r="R502" s="116"/>
      <c r="S502" s="111">
        <f>Audit[[#This Row],[Audit Losing Candidate]]-Audit[[#This Row],[Losing Candidate]]</f>
        <v>-5</v>
      </c>
      <c r="T502" s="111">
        <f>Audit[[#This Row],[Audit Winning Candidate]]-Audit[[#This Row],[Winning Candidate]]</f>
        <v>-1</v>
      </c>
      <c r="U502" s="111">
        <f>Audit[[#This Row],[Audit Candidate 3]]-Audit[[#This Row],[Candidate 3]]</f>
        <v>0</v>
      </c>
      <c r="V502" s="111">
        <f>Audit[[#This Row],[Audit Candidate 4]]-Audit[[#This Row],[Candidate 4]]</f>
        <v>0</v>
      </c>
      <c r="W502" s="111">
        <f>Audit[[#This Row],[Audit Candidate 5]]-Audit[[#This Row],[Candidate 5]]</f>
        <v>0</v>
      </c>
      <c r="X502" s="111">
        <f>Audit[[#This Row],[Audit Candidate 6]]-Audit[[#This Row],[Candidate 6]]</f>
        <v>0</v>
      </c>
      <c r="Y502" s="111">
        <f>SUMIF(Audit[[#This Row],[Difference Loser]:[Difference Candidate 6]], "&gt;0")</f>
        <v>0</v>
      </c>
      <c r="Z502" s="111">
        <f>SUM(Audit[[#This Row],[Difference Loser]:[Difference Candidate 6]])</f>
        <v>-6</v>
      </c>
      <c r="AA502" s="111">
        <f>IF(Audit[[#This Row],[Times p Drawn - With Replacement]]&gt;0, IF(Audit[[#This Row],[Canceled Differences]]&lt;0, Audit[[#This Row],[Max Differences]]+ABS(Audit[[#This Row],[Canceled Differences]]), Audit[[#This Row],[Max Differences]]), 0)</f>
        <v>0</v>
      </c>
      <c r="AB502" s="111">
        <f>'Sampling Data'!P492</f>
        <v>2.258283059650934E-4</v>
      </c>
      <c r="AC502" s="111">
        <f>IF(
      SUM(Audit[[#This Row],[Audit Losing Candidate]:[Audit Candidate 6]])
      &lt;&gt;0,
      (Audit[[#This Row],[Winning Candidate]]-Audit[[#This Row],[Losing Candidate]]-(Audit[[#This Row],[Audit Winning Candidate]]-Audit[[#This Row],[Audit Losing Candidate]]))/(Audit[[#Totals],[Winning Candidate]]-Audit[[#Totals],[Losing Candidate]]),
      0
)</f>
        <v>0</v>
      </c>
      <c r="AD5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2" s="111">
        <f>IF(Audit[[#This Row],[Max Relative Error (ep)]] = 0, 0, Audit[[#This Row],[Max Relative Error (ep)]]/Audit[[#This Row],[Error Bound (up) - Max. possible relative overstatement]])</f>
        <v>0</v>
      </c>
      <c r="AJ5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02" s="111">
        <f t="shared" si="7"/>
        <v>1</v>
      </c>
      <c r="AL502" s="111">
        <f>PRODUCT($AK$5:AK502)</f>
        <v>8.962823818226312E-2</v>
      </c>
      <c r="AM502" s="109">
        <f>1 - [K-M P Value]</f>
        <v>0.91037176181773694</v>
      </c>
      <c r="AN502" s="111" t="str">
        <f>IF(Audit[[#This Row],[K-M P Value]]&gt;1-'General Info'!$B$16,"Continue", "Stop")</f>
        <v>Stop</v>
      </c>
      <c r="AO502" s="110" t="b">
        <f>IF(Audit[[#This Row],[Status - Continue or stop audit]] = "Continue", TRUE, IF(AN501 = "Continue", TRUE, FALSE))</f>
        <v>0</v>
      </c>
      <c r="AP502" s="110"/>
    </row>
    <row r="503" spans="1:42" ht="15" hidden="1" customHeight="1">
      <c r="A503" s="111" t="str">
        <f>'Sampling Data'!W493</f>
        <v/>
      </c>
      <c r="B503" s="112" t="str">
        <f>'Sampling Data'!A493</f>
        <v>CLEVELAND -07-C</v>
      </c>
      <c r="C503" s="112">
        <f>'Sampling Data'!B493</f>
        <v>0</v>
      </c>
      <c r="D503" s="112">
        <f>'Sampling Data'!C493</f>
        <v>3</v>
      </c>
      <c r="E503" s="113">
        <f>'Sampling Data'!D493</f>
        <v>0</v>
      </c>
      <c r="F503" s="113">
        <f>'Sampling Data'!E493</f>
        <v>0</v>
      </c>
      <c r="G503" s="113">
        <f>'Sampling Data'!F493</f>
        <v>0</v>
      </c>
      <c r="H503" s="113">
        <f>'Sampling Data'!G493</f>
        <v>0</v>
      </c>
      <c r="I503" s="112">
        <f>'Sampling Data'!H493</f>
        <v>0</v>
      </c>
      <c r="J503" s="112">
        <f>'Sampling Data'!I493</f>
        <v>0</v>
      </c>
      <c r="K503" s="112">
        <f>'Sampling Data'!J493</f>
        <v>3</v>
      </c>
      <c r="L503" s="111">
        <f>'Sampling Data'!X493</f>
        <v>0</v>
      </c>
      <c r="M503" s="114"/>
      <c r="N503" s="114"/>
      <c r="O503" s="115"/>
      <c r="P503" s="115"/>
      <c r="Q503" s="116"/>
      <c r="R503" s="116"/>
      <c r="S503" s="111">
        <f>Audit[[#This Row],[Audit Losing Candidate]]-Audit[[#This Row],[Losing Candidate]]</f>
        <v>0</v>
      </c>
      <c r="T503" s="111">
        <f>Audit[[#This Row],[Audit Winning Candidate]]-Audit[[#This Row],[Winning Candidate]]</f>
        <v>-3</v>
      </c>
      <c r="U503" s="111">
        <f>Audit[[#This Row],[Audit Candidate 3]]-Audit[[#This Row],[Candidate 3]]</f>
        <v>0</v>
      </c>
      <c r="V503" s="111">
        <f>Audit[[#This Row],[Audit Candidate 4]]-Audit[[#This Row],[Candidate 4]]</f>
        <v>0</v>
      </c>
      <c r="W503" s="111">
        <f>Audit[[#This Row],[Audit Candidate 5]]-Audit[[#This Row],[Candidate 5]]</f>
        <v>0</v>
      </c>
      <c r="X503" s="111">
        <f>Audit[[#This Row],[Audit Candidate 6]]-Audit[[#This Row],[Candidate 6]]</f>
        <v>0</v>
      </c>
      <c r="Y503" s="111">
        <f>SUMIF(Audit[[#This Row],[Difference Loser]:[Difference Candidate 6]], "&gt;0")</f>
        <v>0</v>
      </c>
      <c r="Z503" s="111">
        <f>SUM(Audit[[#This Row],[Difference Loser]:[Difference Candidate 6]])</f>
        <v>-3</v>
      </c>
      <c r="AA503" s="111">
        <f>IF(Audit[[#This Row],[Times p Drawn - With Replacement]]&gt;0, IF(Audit[[#This Row],[Canceled Differences]]&lt;0, Audit[[#This Row],[Max Differences]]+ABS(Audit[[#This Row],[Canceled Differences]]), Audit[[#This Row],[Max Differences]]), 0)</f>
        <v>0</v>
      </c>
      <c r="AB503" s="111">
        <f>'Sampling Data'!P493</f>
        <v>3.6746692797648211E-4</v>
      </c>
      <c r="AC503" s="111">
        <f>IF(
      SUM(Audit[[#This Row],[Audit Losing Candidate]:[Audit Candidate 6]])
      &lt;&gt;0,
      (Audit[[#This Row],[Winning Candidate]]-Audit[[#This Row],[Losing Candidate]]-(Audit[[#This Row],[Audit Winning Candidate]]-Audit[[#This Row],[Audit Losing Candidate]]))/(Audit[[#Totals],[Winning Candidate]]-Audit[[#Totals],[Losing Candidate]]),
      0
)</f>
        <v>0</v>
      </c>
      <c r="AD5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3" s="111">
        <f>IF(Audit[[#This Row],[Max Relative Error (ep)]] = 0, 0, Audit[[#This Row],[Max Relative Error (ep)]]/Audit[[#This Row],[Error Bound (up) - Max. possible relative overstatement]])</f>
        <v>0</v>
      </c>
      <c r="AJ5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03" s="111">
        <f t="shared" si="7"/>
        <v>1</v>
      </c>
      <c r="AL503" s="111">
        <f>PRODUCT($AK$5:AK503)</f>
        <v>8.962823818226312E-2</v>
      </c>
      <c r="AM503" s="109">
        <f>1 - [K-M P Value]</f>
        <v>0.91037176181773694</v>
      </c>
      <c r="AN503" s="111" t="str">
        <f>IF(Audit[[#This Row],[K-M P Value]]&gt;1-'General Info'!$B$16,"Continue", "Stop")</f>
        <v>Stop</v>
      </c>
      <c r="AO503" s="110" t="b">
        <f>IF(Audit[[#This Row],[Status - Continue or stop audit]] = "Continue", TRUE, IF(AN502 = "Continue", TRUE, FALSE))</f>
        <v>0</v>
      </c>
      <c r="AP503" s="110"/>
    </row>
    <row r="504" spans="1:42" ht="15" hidden="1" customHeight="1">
      <c r="A504" s="111" t="str">
        <f>'Sampling Data'!W494</f>
        <v/>
      </c>
      <c r="B504" s="112" t="str">
        <f>'Sampling Data'!A494</f>
        <v>CLEVELAND -07-C - ABS</v>
      </c>
      <c r="C504" s="112">
        <f>'Sampling Data'!B494</f>
        <v>0</v>
      </c>
      <c r="D504" s="112">
        <f>'Sampling Data'!C494</f>
        <v>2</v>
      </c>
      <c r="E504" s="113">
        <f>'Sampling Data'!D494</f>
        <v>0</v>
      </c>
      <c r="F504" s="113">
        <f>'Sampling Data'!E494</f>
        <v>2</v>
      </c>
      <c r="G504" s="113">
        <f>'Sampling Data'!F494</f>
        <v>0</v>
      </c>
      <c r="H504" s="113">
        <f>'Sampling Data'!G494</f>
        <v>0</v>
      </c>
      <c r="I504" s="112">
        <f>'Sampling Data'!H494</f>
        <v>0</v>
      </c>
      <c r="J504" s="112">
        <f>'Sampling Data'!I494</f>
        <v>0</v>
      </c>
      <c r="K504" s="112">
        <f>'Sampling Data'!J494</f>
        <v>4</v>
      </c>
      <c r="L504" s="111">
        <f>'Sampling Data'!X494</f>
        <v>0</v>
      </c>
      <c r="M504" s="114"/>
      <c r="N504" s="114"/>
      <c r="O504" s="115"/>
      <c r="P504" s="115"/>
      <c r="Q504" s="116"/>
      <c r="R504" s="116"/>
      <c r="S504" s="111">
        <f>Audit[[#This Row],[Audit Losing Candidate]]-Audit[[#This Row],[Losing Candidate]]</f>
        <v>0</v>
      </c>
      <c r="T504" s="111">
        <f>Audit[[#This Row],[Audit Winning Candidate]]-Audit[[#This Row],[Winning Candidate]]</f>
        <v>-2</v>
      </c>
      <c r="U504" s="111">
        <f>Audit[[#This Row],[Audit Candidate 3]]-Audit[[#This Row],[Candidate 3]]</f>
        <v>0</v>
      </c>
      <c r="V504" s="111">
        <f>Audit[[#This Row],[Audit Candidate 4]]-Audit[[#This Row],[Candidate 4]]</f>
        <v>-2</v>
      </c>
      <c r="W504" s="111">
        <f>Audit[[#This Row],[Audit Candidate 5]]-Audit[[#This Row],[Candidate 5]]</f>
        <v>0</v>
      </c>
      <c r="X504" s="111">
        <f>Audit[[#This Row],[Audit Candidate 6]]-Audit[[#This Row],[Candidate 6]]</f>
        <v>0</v>
      </c>
      <c r="Y504" s="111">
        <f>SUMIF(Audit[[#This Row],[Difference Loser]:[Difference Candidate 6]], "&gt;0")</f>
        <v>0</v>
      </c>
      <c r="Z504" s="111">
        <f>SUM(Audit[[#This Row],[Difference Loser]:[Difference Candidate 6]])</f>
        <v>-4</v>
      </c>
      <c r="AA504" s="111">
        <f>IF(Audit[[#This Row],[Times p Drawn - With Replacement]]&gt;0, IF(Audit[[#This Row],[Canceled Differences]]&lt;0, Audit[[#This Row],[Max Differences]]+ABS(Audit[[#This Row],[Canceled Differences]]), Audit[[#This Row],[Max Differences]]), 0)</f>
        <v>0</v>
      </c>
      <c r="AB504" s="111">
        <f>'Sampling Data'!P494</f>
        <v>3.6746692797648211E-4</v>
      </c>
      <c r="AC504" s="111">
        <f>IF(
      SUM(Audit[[#This Row],[Audit Losing Candidate]:[Audit Candidate 6]])
      &lt;&gt;0,
      (Audit[[#This Row],[Winning Candidate]]-Audit[[#This Row],[Losing Candidate]]-(Audit[[#This Row],[Audit Winning Candidate]]-Audit[[#This Row],[Audit Losing Candidate]]))/(Audit[[#Totals],[Winning Candidate]]-Audit[[#Totals],[Losing Candidate]]),
      0
)</f>
        <v>0</v>
      </c>
      <c r="AD5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4" s="111">
        <f>IF(Audit[[#This Row],[Max Relative Error (ep)]] = 0, 0, Audit[[#This Row],[Max Relative Error (ep)]]/Audit[[#This Row],[Error Bound (up) - Max. possible relative overstatement]])</f>
        <v>0</v>
      </c>
      <c r="AJ5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04" s="111">
        <f t="shared" si="7"/>
        <v>1</v>
      </c>
      <c r="AL504" s="111">
        <f>PRODUCT($AK$5:AK504)</f>
        <v>8.962823818226312E-2</v>
      </c>
      <c r="AM504" s="109">
        <f>1 - [K-M P Value]</f>
        <v>0.91037176181773694</v>
      </c>
      <c r="AN504" s="111" t="str">
        <f>IF(Audit[[#This Row],[K-M P Value]]&gt;1-'General Info'!$B$16,"Continue", "Stop")</f>
        <v>Stop</v>
      </c>
      <c r="AO504" s="110" t="b">
        <f>IF(Audit[[#This Row],[Status - Continue or stop audit]] = "Continue", TRUE, IF(AN503 = "Continue", TRUE, FALSE))</f>
        <v>0</v>
      </c>
      <c r="AP504" s="110"/>
    </row>
    <row r="505" spans="1:42" ht="15" hidden="1" customHeight="1">
      <c r="A505" s="111" t="str">
        <f>'Sampling Data'!W495</f>
        <v/>
      </c>
      <c r="B505" s="112" t="str">
        <f>'Sampling Data'!A495</f>
        <v>CLEVELAND -07-D</v>
      </c>
      <c r="C505" s="112">
        <f>'Sampling Data'!B495</f>
        <v>1</v>
      </c>
      <c r="D505" s="112">
        <f>'Sampling Data'!C495</f>
        <v>0</v>
      </c>
      <c r="E505" s="113">
        <f>'Sampling Data'!D495</f>
        <v>0</v>
      </c>
      <c r="F505" s="113">
        <f>'Sampling Data'!E495</f>
        <v>1</v>
      </c>
      <c r="G505" s="113">
        <f>'Sampling Data'!F495</f>
        <v>0</v>
      </c>
      <c r="H505" s="113">
        <f>'Sampling Data'!G495</f>
        <v>0</v>
      </c>
      <c r="I505" s="112">
        <f>'Sampling Data'!H495</f>
        <v>0</v>
      </c>
      <c r="J505" s="112">
        <f>'Sampling Data'!I495</f>
        <v>0</v>
      </c>
      <c r="K505" s="112">
        <f>'Sampling Data'!J495</f>
        <v>2</v>
      </c>
      <c r="L505" s="111">
        <f>'Sampling Data'!X495</f>
        <v>0</v>
      </c>
      <c r="M505" s="114"/>
      <c r="N505" s="114"/>
      <c r="O505" s="115"/>
      <c r="P505" s="115"/>
      <c r="Q505" s="116"/>
      <c r="R505" s="116"/>
      <c r="S505" s="111">
        <f>Audit[[#This Row],[Audit Losing Candidate]]-Audit[[#This Row],[Losing Candidate]]</f>
        <v>-1</v>
      </c>
      <c r="T505" s="111">
        <f>Audit[[#This Row],[Audit Winning Candidate]]-Audit[[#This Row],[Winning Candidate]]</f>
        <v>0</v>
      </c>
      <c r="U505" s="111">
        <f>Audit[[#This Row],[Audit Candidate 3]]-Audit[[#This Row],[Candidate 3]]</f>
        <v>0</v>
      </c>
      <c r="V505" s="111">
        <f>Audit[[#This Row],[Audit Candidate 4]]-Audit[[#This Row],[Candidate 4]]</f>
        <v>-1</v>
      </c>
      <c r="W505" s="111">
        <f>Audit[[#This Row],[Audit Candidate 5]]-Audit[[#This Row],[Candidate 5]]</f>
        <v>0</v>
      </c>
      <c r="X505" s="111">
        <f>Audit[[#This Row],[Audit Candidate 6]]-Audit[[#This Row],[Candidate 6]]</f>
        <v>0</v>
      </c>
      <c r="Y505" s="111">
        <f>SUMIF(Audit[[#This Row],[Difference Loser]:[Difference Candidate 6]], "&gt;0")</f>
        <v>0</v>
      </c>
      <c r="Z505" s="111">
        <f>SUM(Audit[[#This Row],[Difference Loser]:[Difference Candidate 6]])</f>
        <v>-2</v>
      </c>
      <c r="AA505" s="111">
        <f>IF(Audit[[#This Row],[Times p Drawn - With Replacement]]&gt;0, IF(Audit[[#This Row],[Canceled Differences]]&lt;0, Audit[[#This Row],[Max Differences]]+ABS(Audit[[#This Row],[Canceled Differences]]), Audit[[#This Row],[Max Differences]]), 0)</f>
        <v>0</v>
      </c>
      <c r="AB505" s="111">
        <f>'Sampling Data'!P495</f>
        <v>6.4522373132883833E-5</v>
      </c>
      <c r="AC505" s="111">
        <f>IF(
      SUM(Audit[[#This Row],[Audit Losing Candidate]:[Audit Candidate 6]])
      &lt;&gt;0,
      (Audit[[#This Row],[Winning Candidate]]-Audit[[#This Row],[Losing Candidate]]-(Audit[[#This Row],[Audit Winning Candidate]]-Audit[[#This Row],[Audit Losing Candidate]]))/(Audit[[#Totals],[Winning Candidate]]-Audit[[#Totals],[Losing Candidate]]),
      0
)</f>
        <v>0</v>
      </c>
      <c r="AD5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5" s="111">
        <f>IF(Audit[[#This Row],[Max Relative Error (ep)]] = 0, 0, Audit[[#This Row],[Max Relative Error (ep)]]/Audit[[#This Row],[Error Bound (up) - Max. possible relative overstatement]])</f>
        <v>0</v>
      </c>
      <c r="AJ5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05" s="111">
        <f t="shared" si="7"/>
        <v>1</v>
      </c>
      <c r="AL505" s="111">
        <f>PRODUCT($AK$5:AK505)</f>
        <v>8.962823818226312E-2</v>
      </c>
      <c r="AM505" s="109">
        <f>1 - [K-M P Value]</f>
        <v>0.91037176181773694</v>
      </c>
      <c r="AN505" s="111" t="str">
        <f>IF(Audit[[#This Row],[K-M P Value]]&gt;1-'General Info'!$B$16,"Continue", "Stop")</f>
        <v>Stop</v>
      </c>
      <c r="AO505" s="110" t="b">
        <f>IF(Audit[[#This Row],[Status - Continue or stop audit]] = "Continue", TRUE, IF(AN504 = "Continue", TRUE, FALSE))</f>
        <v>0</v>
      </c>
      <c r="AP505" s="110"/>
    </row>
    <row r="506" spans="1:42" ht="15" hidden="1" customHeight="1">
      <c r="A506" s="111" t="str">
        <f>'Sampling Data'!W496</f>
        <v/>
      </c>
      <c r="B506" s="112" t="str">
        <f>'Sampling Data'!A496</f>
        <v>CLEVELAND -07-D - ABS</v>
      </c>
      <c r="C506" s="112">
        <f>'Sampling Data'!B496</f>
        <v>0</v>
      </c>
      <c r="D506" s="112">
        <f>'Sampling Data'!C496</f>
        <v>0</v>
      </c>
      <c r="E506" s="113">
        <f>'Sampling Data'!D496</f>
        <v>0</v>
      </c>
      <c r="F506" s="113">
        <f>'Sampling Data'!E496</f>
        <v>0</v>
      </c>
      <c r="G506" s="113">
        <f>'Sampling Data'!F496</f>
        <v>0</v>
      </c>
      <c r="H506" s="113">
        <f>'Sampling Data'!G496</f>
        <v>0</v>
      </c>
      <c r="I506" s="112">
        <f>'Sampling Data'!H496</f>
        <v>0</v>
      </c>
      <c r="J506" s="112">
        <f>'Sampling Data'!I496</f>
        <v>0</v>
      </c>
      <c r="K506" s="112">
        <f>'Sampling Data'!J496</f>
        <v>0</v>
      </c>
      <c r="L506" s="111">
        <f>'Sampling Data'!X496</f>
        <v>0</v>
      </c>
      <c r="M506" s="114"/>
      <c r="N506" s="114"/>
      <c r="O506" s="115"/>
      <c r="P506" s="115"/>
      <c r="Q506" s="116"/>
      <c r="R506" s="116"/>
      <c r="S506" s="111">
        <f>Audit[[#This Row],[Audit Losing Candidate]]-Audit[[#This Row],[Losing Candidate]]</f>
        <v>0</v>
      </c>
      <c r="T506" s="111">
        <f>Audit[[#This Row],[Audit Winning Candidate]]-Audit[[#This Row],[Winning Candidate]]</f>
        <v>0</v>
      </c>
      <c r="U506" s="111">
        <f>Audit[[#This Row],[Audit Candidate 3]]-Audit[[#This Row],[Candidate 3]]</f>
        <v>0</v>
      </c>
      <c r="V506" s="111">
        <f>Audit[[#This Row],[Audit Candidate 4]]-Audit[[#This Row],[Candidate 4]]</f>
        <v>0</v>
      </c>
      <c r="W506" s="111">
        <f>Audit[[#This Row],[Audit Candidate 5]]-Audit[[#This Row],[Candidate 5]]</f>
        <v>0</v>
      </c>
      <c r="X506" s="111">
        <f>Audit[[#This Row],[Audit Candidate 6]]-Audit[[#This Row],[Candidate 6]]</f>
        <v>0</v>
      </c>
      <c r="Y506" s="111">
        <f>SUMIF(Audit[[#This Row],[Difference Loser]:[Difference Candidate 6]], "&gt;0")</f>
        <v>0</v>
      </c>
      <c r="Z506" s="111">
        <f>SUM(Audit[[#This Row],[Difference Loser]:[Difference Candidate 6]])</f>
        <v>0</v>
      </c>
      <c r="AA506" s="111">
        <f>IF(Audit[[#This Row],[Times p Drawn - With Replacement]]&gt;0, IF(Audit[[#This Row],[Canceled Differences]]&lt;0, Audit[[#This Row],[Max Differences]]+ABS(Audit[[#This Row],[Canceled Differences]]), Audit[[#This Row],[Max Differences]]), 0)</f>
        <v>0</v>
      </c>
      <c r="AB506" s="111">
        <f>'Sampling Data'!P496</f>
        <v>0</v>
      </c>
      <c r="AC506" s="111">
        <f>IF(
      SUM(Audit[[#This Row],[Audit Losing Candidate]:[Audit Candidate 6]])
      &lt;&gt;0,
      (Audit[[#This Row],[Winning Candidate]]-Audit[[#This Row],[Losing Candidate]]-(Audit[[#This Row],[Audit Winning Candidate]]-Audit[[#This Row],[Audit Losing Candidate]]))/(Audit[[#Totals],[Winning Candidate]]-Audit[[#Totals],[Losing Candidate]]),
      0
)</f>
        <v>0</v>
      </c>
      <c r="AD5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6" s="111">
        <f>IF(Audit[[#This Row],[Max Relative Error (ep)]] = 0, 0, Audit[[#This Row],[Max Relative Error (ep)]]/Audit[[#This Row],[Error Bound (up) - Max. possible relative overstatement]])</f>
        <v>0</v>
      </c>
      <c r="AJ5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06" s="111">
        <f t="shared" si="7"/>
        <v>1</v>
      </c>
      <c r="AL506" s="111">
        <f>PRODUCT($AK$5:AK506)</f>
        <v>8.962823818226312E-2</v>
      </c>
      <c r="AM506" s="109">
        <f>1 - [K-M P Value]</f>
        <v>0.91037176181773694</v>
      </c>
      <c r="AN506" s="111" t="str">
        <f>IF(Audit[[#This Row],[K-M P Value]]&gt;1-'General Info'!$B$16,"Continue", "Stop")</f>
        <v>Stop</v>
      </c>
      <c r="AO506" s="110" t="b">
        <f>IF(Audit[[#This Row],[Status - Continue or stop audit]] = "Continue", TRUE, IF(AN505 = "Continue", TRUE, FALSE))</f>
        <v>0</v>
      </c>
      <c r="AP506" s="110"/>
    </row>
    <row r="507" spans="1:42" ht="15" hidden="1" customHeight="1">
      <c r="A507" s="111" t="str">
        <f>'Sampling Data'!W497</f>
        <v/>
      </c>
      <c r="B507" s="112" t="str">
        <f>'Sampling Data'!A497</f>
        <v>CLEVELAND -07-E</v>
      </c>
      <c r="C507" s="112">
        <f>'Sampling Data'!B497</f>
        <v>1</v>
      </c>
      <c r="D507" s="112">
        <f>'Sampling Data'!C497</f>
        <v>0</v>
      </c>
      <c r="E507" s="113">
        <f>'Sampling Data'!D497</f>
        <v>0</v>
      </c>
      <c r="F507" s="113">
        <f>'Sampling Data'!E497</f>
        <v>0</v>
      </c>
      <c r="G507" s="113">
        <f>'Sampling Data'!F497</f>
        <v>0</v>
      </c>
      <c r="H507" s="113">
        <f>'Sampling Data'!G497</f>
        <v>0</v>
      </c>
      <c r="I507" s="112">
        <f>'Sampling Data'!H497</f>
        <v>0</v>
      </c>
      <c r="J507" s="112">
        <f>'Sampling Data'!I497</f>
        <v>0</v>
      </c>
      <c r="K507" s="112">
        <f>'Sampling Data'!J497</f>
        <v>1</v>
      </c>
      <c r="L507" s="111">
        <f>'Sampling Data'!X497</f>
        <v>0</v>
      </c>
      <c r="M507" s="114"/>
      <c r="N507" s="114"/>
      <c r="O507" s="115"/>
      <c r="P507" s="115"/>
      <c r="Q507" s="116"/>
      <c r="R507" s="116"/>
      <c r="S507" s="111">
        <f>Audit[[#This Row],[Audit Losing Candidate]]-Audit[[#This Row],[Losing Candidate]]</f>
        <v>-1</v>
      </c>
      <c r="T507" s="111">
        <f>Audit[[#This Row],[Audit Winning Candidate]]-Audit[[#This Row],[Winning Candidate]]</f>
        <v>0</v>
      </c>
      <c r="U507" s="111">
        <f>Audit[[#This Row],[Audit Candidate 3]]-Audit[[#This Row],[Candidate 3]]</f>
        <v>0</v>
      </c>
      <c r="V507" s="111">
        <f>Audit[[#This Row],[Audit Candidate 4]]-Audit[[#This Row],[Candidate 4]]</f>
        <v>0</v>
      </c>
      <c r="W507" s="111">
        <f>Audit[[#This Row],[Audit Candidate 5]]-Audit[[#This Row],[Candidate 5]]</f>
        <v>0</v>
      </c>
      <c r="X507" s="111">
        <f>Audit[[#This Row],[Audit Candidate 6]]-Audit[[#This Row],[Candidate 6]]</f>
        <v>0</v>
      </c>
      <c r="Y507" s="111">
        <f>SUMIF(Audit[[#This Row],[Difference Loser]:[Difference Candidate 6]], "&gt;0")</f>
        <v>0</v>
      </c>
      <c r="Z507" s="111">
        <f>SUM(Audit[[#This Row],[Difference Loser]:[Difference Candidate 6]])</f>
        <v>-1</v>
      </c>
      <c r="AA507" s="111">
        <f>IF(Audit[[#This Row],[Times p Drawn - With Replacement]]&gt;0, IF(Audit[[#This Row],[Canceled Differences]]&lt;0, Audit[[#This Row],[Max Differences]]+ABS(Audit[[#This Row],[Canceled Differences]]), Audit[[#This Row],[Max Differences]]), 0)</f>
        <v>0</v>
      </c>
      <c r="AB507" s="111">
        <f>'Sampling Data'!P497</f>
        <v>3.2261186566441917E-5</v>
      </c>
      <c r="AC507" s="111">
        <f>IF(
      SUM(Audit[[#This Row],[Audit Losing Candidate]:[Audit Candidate 6]])
      &lt;&gt;0,
      (Audit[[#This Row],[Winning Candidate]]-Audit[[#This Row],[Losing Candidate]]-(Audit[[#This Row],[Audit Winning Candidate]]-Audit[[#This Row],[Audit Losing Candidate]]))/(Audit[[#Totals],[Winning Candidate]]-Audit[[#Totals],[Losing Candidate]]),
      0
)</f>
        <v>0</v>
      </c>
      <c r="AD5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7" s="111">
        <f>IF(Audit[[#This Row],[Max Relative Error (ep)]] = 0, 0, Audit[[#This Row],[Max Relative Error (ep)]]/Audit[[#This Row],[Error Bound (up) - Max. possible relative overstatement]])</f>
        <v>0</v>
      </c>
      <c r="AJ5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07" s="111">
        <f t="shared" si="7"/>
        <v>1</v>
      </c>
      <c r="AL507" s="111">
        <f>PRODUCT($AK$5:AK507)</f>
        <v>8.962823818226312E-2</v>
      </c>
      <c r="AM507" s="109">
        <f>1 - [K-M P Value]</f>
        <v>0.91037176181773694</v>
      </c>
      <c r="AN507" s="111" t="str">
        <f>IF(Audit[[#This Row],[K-M P Value]]&gt;1-'General Info'!$B$16,"Continue", "Stop")</f>
        <v>Stop</v>
      </c>
      <c r="AO507" s="110" t="b">
        <f>IF(Audit[[#This Row],[Status - Continue or stop audit]] = "Continue", TRUE, IF(AN506 = "Continue", TRUE, FALSE))</f>
        <v>0</v>
      </c>
      <c r="AP507" s="110"/>
    </row>
    <row r="508" spans="1:42" ht="15" hidden="1" customHeight="1">
      <c r="A508" s="111" t="str">
        <f>'Sampling Data'!W498</f>
        <v/>
      </c>
      <c r="B508" s="112" t="str">
        <f>'Sampling Data'!A498</f>
        <v>CLEVELAND -07-E - ABS</v>
      </c>
      <c r="C508" s="112">
        <f>'Sampling Data'!B498</f>
        <v>2</v>
      </c>
      <c r="D508" s="112">
        <f>'Sampling Data'!C498</f>
        <v>0</v>
      </c>
      <c r="E508" s="113">
        <f>'Sampling Data'!D498</f>
        <v>0</v>
      </c>
      <c r="F508" s="113">
        <f>'Sampling Data'!E498</f>
        <v>2</v>
      </c>
      <c r="G508" s="113">
        <f>'Sampling Data'!F498</f>
        <v>0</v>
      </c>
      <c r="H508" s="113">
        <f>'Sampling Data'!G498</f>
        <v>0</v>
      </c>
      <c r="I508" s="112">
        <f>'Sampling Data'!H498</f>
        <v>0</v>
      </c>
      <c r="J508" s="112">
        <f>'Sampling Data'!I498</f>
        <v>0</v>
      </c>
      <c r="K508" s="112">
        <f>'Sampling Data'!J498</f>
        <v>4</v>
      </c>
      <c r="L508" s="111">
        <f>'Sampling Data'!X498</f>
        <v>0</v>
      </c>
      <c r="M508" s="114"/>
      <c r="N508" s="114"/>
      <c r="O508" s="115"/>
      <c r="P508" s="115"/>
      <c r="Q508" s="116"/>
      <c r="R508" s="116"/>
      <c r="S508" s="111">
        <f>Audit[[#This Row],[Audit Losing Candidate]]-Audit[[#This Row],[Losing Candidate]]</f>
        <v>-2</v>
      </c>
      <c r="T508" s="111">
        <f>Audit[[#This Row],[Audit Winning Candidate]]-Audit[[#This Row],[Winning Candidate]]</f>
        <v>0</v>
      </c>
      <c r="U508" s="111">
        <f>Audit[[#This Row],[Audit Candidate 3]]-Audit[[#This Row],[Candidate 3]]</f>
        <v>0</v>
      </c>
      <c r="V508" s="111">
        <f>Audit[[#This Row],[Audit Candidate 4]]-Audit[[#This Row],[Candidate 4]]</f>
        <v>-2</v>
      </c>
      <c r="W508" s="111">
        <f>Audit[[#This Row],[Audit Candidate 5]]-Audit[[#This Row],[Candidate 5]]</f>
        <v>0</v>
      </c>
      <c r="X508" s="111">
        <f>Audit[[#This Row],[Audit Candidate 6]]-Audit[[#This Row],[Candidate 6]]</f>
        <v>0</v>
      </c>
      <c r="Y508" s="111">
        <f>SUMIF(Audit[[#This Row],[Difference Loser]:[Difference Candidate 6]], "&gt;0")</f>
        <v>0</v>
      </c>
      <c r="Z508" s="111">
        <f>SUM(Audit[[#This Row],[Difference Loser]:[Difference Candidate 6]])</f>
        <v>-4</v>
      </c>
      <c r="AA508" s="111">
        <f>IF(Audit[[#This Row],[Times p Drawn - With Replacement]]&gt;0, IF(Audit[[#This Row],[Canceled Differences]]&lt;0, Audit[[#This Row],[Max Differences]]+ABS(Audit[[#This Row],[Canceled Differences]]), Audit[[#This Row],[Max Differences]]), 0)</f>
        <v>0</v>
      </c>
      <c r="AB508" s="111">
        <f>'Sampling Data'!P498</f>
        <v>1.2904474626576767E-4</v>
      </c>
      <c r="AC508" s="111">
        <f>IF(
      SUM(Audit[[#This Row],[Audit Losing Candidate]:[Audit Candidate 6]])
      &lt;&gt;0,
      (Audit[[#This Row],[Winning Candidate]]-Audit[[#This Row],[Losing Candidate]]-(Audit[[#This Row],[Audit Winning Candidate]]-Audit[[#This Row],[Audit Losing Candidate]]))/(Audit[[#Totals],[Winning Candidate]]-Audit[[#Totals],[Losing Candidate]]),
      0
)</f>
        <v>0</v>
      </c>
      <c r="AD5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8" s="111">
        <f>IF(Audit[[#This Row],[Max Relative Error (ep)]] = 0, 0, Audit[[#This Row],[Max Relative Error (ep)]]/Audit[[#This Row],[Error Bound (up) - Max. possible relative overstatement]])</f>
        <v>0</v>
      </c>
      <c r="AJ5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08" s="111">
        <f t="shared" si="7"/>
        <v>1</v>
      </c>
      <c r="AL508" s="111">
        <f>PRODUCT($AK$5:AK508)</f>
        <v>8.962823818226312E-2</v>
      </c>
      <c r="AM508" s="109">
        <f>1 - [K-M P Value]</f>
        <v>0.91037176181773694</v>
      </c>
      <c r="AN508" s="111" t="str">
        <f>IF(Audit[[#This Row],[K-M P Value]]&gt;1-'General Info'!$B$16,"Continue", "Stop")</f>
        <v>Stop</v>
      </c>
      <c r="AO508" s="110" t="b">
        <f>IF(Audit[[#This Row],[Status - Continue or stop audit]] = "Continue", TRUE, IF(AN507 = "Continue", TRUE, FALSE))</f>
        <v>0</v>
      </c>
      <c r="AP508" s="110"/>
    </row>
    <row r="509" spans="1:42" ht="15" hidden="1" customHeight="1">
      <c r="A509" s="111" t="str">
        <f>'Sampling Data'!W499</f>
        <v/>
      </c>
      <c r="B509" s="112" t="str">
        <f>'Sampling Data'!A499</f>
        <v>CLEVELAND -07-F</v>
      </c>
      <c r="C509" s="112">
        <f>'Sampling Data'!B499</f>
        <v>0</v>
      </c>
      <c r="D509" s="112">
        <f>'Sampling Data'!C499</f>
        <v>0</v>
      </c>
      <c r="E509" s="113">
        <f>'Sampling Data'!D499</f>
        <v>0</v>
      </c>
      <c r="F509" s="113">
        <f>'Sampling Data'!E499</f>
        <v>0</v>
      </c>
      <c r="G509" s="113">
        <f>'Sampling Data'!F499</f>
        <v>0</v>
      </c>
      <c r="H509" s="113">
        <f>'Sampling Data'!G499</f>
        <v>0</v>
      </c>
      <c r="I509" s="112">
        <f>'Sampling Data'!H499</f>
        <v>0</v>
      </c>
      <c r="J509" s="112">
        <f>'Sampling Data'!I499</f>
        <v>0</v>
      </c>
      <c r="K509" s="112">
        <f>'Sampling Data'!J499</f>
        <v>0</v>
      </c>
      <c r="L509" s="111">
        <f>'Sampling Data'!X499</f>
        <v>0</v>
      </c>
      <c r="M509" s="114"/>
      <c r="N509" s="114"/>
      <c r="O509" s="115"/>
      <c r="P509" s="115"/>
      <c r="Q509" s="116"/>
      <c r="R509" s="116"/>
      <c r="S509" s="111">
        <f>Audit[[#This Row],[Audit Losing Candidate]]-Audit[[#This Row],[Losing Candidate]]</f>
        <v>0</v>
      </c>
      <c r="T509" s="111">
        <f>Audit[[#This Row],[Audit Winning Candidate]]-Audit[[#This Row],[Winning Candidate]]</f>
        <v>0</v>
      </c>
      <c r="U509" s="111">
        <f>Audit[[#This Row],[Audit Candidate 3]]-Audit[[#This Row],[Candidate 3]]</f>
        <v>0</v>
      </c>
      <c r="V509" s="111">
        <f>Audit[[#This Row],[Audit Candidate 4]]-Audit[[#This Row],[Candidate 4]]</f>
        <v>0</v>
      </c>
      <c r="W509" s="111">
        <f>Audit[[#This Row],[Audit Candidate 5]]-Audit[[#This Row],[Candidate 5]]</f>
        <v>0</v>
      </c>
      <c r="X509" s="111">
        <f>Audit[[#This Row],[Audit Candidate 6]]-Audit[[#This Row],[Candidate 6]]</f>
        <v>0</v>
      </c>
      <c r="Y509" s="111">
        <f>SUMIF(Audit[[#This Row],[Difference Loser]:[Difference Candidate 6]], "&gt;0")</f>
        <v>0</v>
      </c>
      <c r="Z509" s="111">
        <f>SUM(Audit[[#This Row],[Difference Loser]:[Difference Candidate 6]])</f>
        <v>0</v>
      </c>
      <c r="AA509" s="111">
        <f>IF(Audit[[#This Row],[Times p Drawn - With Replacement]]&gt;0, IF(Audit[[#This Row],[Canceled Differences]]&lt;0, Audit[[#This Row],[Max Differences]]+ABS(Audit[[#This Row],[Canceled Differences]]), Audit[[#This Row],[Max Differences]]), 0)</f>
        <v>0</v>
      </c>
      <c r="AB509" s="111">
        <f>'Sampling Data'!P499</f>
        <v>0</v>
      </c>
      <c r="AC509" s="111">
        <f>IF(
      SUM(Audit[[#This Row],[Audit Losing Candidate]:[Audit Candidate 6]])
      &lt;&gt;0,
      (Audit[[#This Row],[Winning Candidate]]-Audit[[#This Row],[Losing Candidate]]-(Audit[[#This Row],[Audit Winning Candidate]]-Audit[[#This Row],[Audit Losing Candidate]]))/(Audit[[#Totals],[Winning Candidate]]-Audit[[#Totals],[Losing Candidate]]),
      0
)</f>
        <v>0</v>
      </c>
      <c r="AD5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9" s="111">
        <f>IF(Audit[[#This Row],[Max Relative Error (ep)]] = 0, 0, Audit[[#This Row],[Max Relative Error (ep)]]/Audit[[#This Row],[Error Bound (up) - Max. possible relative overstatement]])</f>
        <v>0</v>
      </c>
      <c r="AJ5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09" s="111">
        <f t="shared" si="7"/>
        <v>1</v>
      </c>
      <c r="AL509" s="111">
        <f>PRODUCT($AK$5:AK509)</f>
        <v>8.962823818226312E-2</v>
      </c>
      <c r="AM509" s="109">
        <f>1 - [K-M P Value]</f>
        <v>0.91037176181773694</v>
      </c>
      <c r="AN509" s="111" t="str">
        <f>IF(Audit[[#This Row],[K-M P Value]]&gt;1-'General Info'!$B$16,"Continue", "Stop")</f>
        <v>Stop</v>
      </c>
      <c r="AO509" s="110" t="b">
        <f>IF(Audit[[#This Row],[Status - Continue or stop audit]] = "Continue", TRUE, IF(AN508 = "Continue", TRUE, FALSE))</f>
        <v>0</v>
      </c>
      <c r="AP509" s="110"/>
    </row>
    <row r="510" spans="1:42" ht="15" hidden="1" customHeight="1">
      <c r="A510" s="111" t="str">
        <f>'Sampling Data'!W500</f>
        <v/>
      </c>
      <c r="B510" s="112" t="str">
        <f>'Sampling Data'!A500</f>
        <v>CLEVELAND -07-F - ABS</v>
      </c>
      <c r="C510" s="112">
        <f>'Sampling Data'!B500</f>
        <v>0</v>
      </c>
      <c r="D510" s="112">
        <f>'Sampling Data'!C500</f>
        <v>0</v>
      </c>
      <c r="E510" s="113">
        <f>'Sampling Data'!D500</f>
        <v>0</v>
      </c>
      <c r="F510" s="113">
        <f>'Sampling Data'!E500</f>
        <v>0</v>
      </c>
      <c r="G510" s="113">
        <f>'Sampling Data'!F500</f>
        <v>0</v>
      </c>
      <c r="H510" s="113">
        <f>'Sampling Data'!G500</f>
        <v>0</v>
      </c>
      <c r="I510" s="112">
        <f>'Sampling Data'!H500</f>
        <v>0</v>
      </c>
      <c r="J510" s="112">
        <f>'Sampling Data'!I500</f>
        <v>0</v>
      </c>
      <c r="K510" s="112">
        <f>'Sampling Data'!J500</f>
        <v>0</v>
      </c>
      <c r="L510" s="111">
        <f>'Sampling Data'!X500</f>
        <v>0</v>
      </c>
      <c r="M510" s="114"/>
      <c r="N510" s="114"/>
      <c r="O510" s="115"/>
      <c r="P510" s="115"/>
      <c r="Q510" s="116"/>
      <c r="R510" s="116"/>
      <c r="S510" s="111">
        <f>Audit[[#This Row],[Audit Losing Candidate]]-Audit[[#This Row],[Losing Candidate]]</f>
        <v>0</v>
      </c>
      <c r="T510" s="111">
        <f>Audit[[#This Row],[Audit Winning Candidate]]-Audit[[#This Row],[Winning Candidate]]</f>
        <v>0</v>
      </c>
      <c r="U510" s="111">
        <f>Audit[[#This Row],[Audit Candidate 3]]-Audit[[#This Row],[Candidate 3]]</f>
        <v>0</v>
      </c>
      <c r="V510" s="111">
        <f>Audit[[#This Row],[Audit Candidate 4]]-Audit[[#This Row],[Candidate 4]]</f>
        <v>0</v>
      </c>
      <c r="W510" s="111">
        <f>Audit[[#This Row],[Audit Candidate 5]]-Audit[[#This Row],[Candidate 5]]</f>
        <v>0</v>
      </c>
      <c r="X510" s="111">
        <f>Audit[[#This Row],[Audit Candidate 6]]-Audit[[#This Row],[Candidate 6]]</f>
        <v>0</v>
      </c>
      <c r="Y510" s="111">
        <f>SUMIF(Audit[[#This Row],[Difference Loser]:[Difference Candidate 6]], "&gt;0")</f>
        <v>0</v>
      </c>
      <c r="Z510" s="111">
        <f>SUM(Audit[[#This Row],[Difference Loser]:[Difference Candidate 6]])</f>
        <v>0</v>
      </c>
      <c r="AA510" s="111">
        <f>IF(Audit[[#This Row],[Times p Drawn - With Replacement]]&gt;0, IF(Audit[[#This Row],[Canceled Differences]]&lt;0, Audit[[#This Row],[Max Differences]]+ABS(Audit[[#This Row],[Canceled Differences]]), Audit[[#This Row],[Max Differences]]), 0)</f>
        <v>0</v>
      </c>
      <c r="AB510" s="111">
        <f>'Sampling Data'!P500</f>
        <v>0</v>
      </c>
      <c r="AC510" s="111">
        <f>IF(
      SUM(Audit[[#This Row],[Audit Losing Candidate]:[Audit Candidate 6]])
      &lt;&gt;0,
      (Audit[[#This Row],[Winning Candidate]]-Audit[[#This Row],[Losing Candidate]]-(Audit[[#This Row],[Audit Winning Candidate]]-Audit[[#This Row],[Audit Losing Candidate]]))/(Audit[[#Totals],[Winning Candidate]]-Audit[[#Totals],[Losing Candidate]]),
      0
)</f>
        <v>0</v>
      </c>
      <c r="AD5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0" s="111">
        <f>IF(Audit[[#This Row],[Max Relative Error (ep)]] = 0, 0, Audit[[#This Row],[Max Relative Error (ep)]]/Audit[[#This Row],[Error Bound (up) - Max. possible relative overstatement]])</f>
        <v>0</v>
      </c>
      <c r="AJ5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10" s="111">
        <f t="shared" si="7"/>
        <v>1</v>
      </c>
      <c r="AL510" s="111">
        <f>PRODUCT($AK$5:AK510)</f>
        <v>8.962823818226312E-2</v>
      </c>
      <c r="AM510" s="109">
        <f>1 - [K-M P Value]</f>
        <v>0.91037176181773694</v>
      </c>
      <c r="AN510" s="111" t="str">
        <f>IF(Audit[[#This Row],[K-M P Value]]&gt;1-'General Info'!$B$16,"Continue", "Stop")</f>
        <v>Stop</v>
      </c>
      <c r="AO510" s="110" t="b">
        <f>IF(Audit[[#This Row],[Status - Continue or stop audit]] = "Continue", TRUE, IF(AN509 = "Continue", TRUE, FALSE))</f>
        <v>0</v>
      </c>
      <c r="AP510" s="110"/>
    </row>
    <row r="511" spans="1:42" ht="15" hidden="1" customHeight="1">
      <c r="A511" s="111" t="str">
        <f>'Sampling Data'!W501</f>
        <v/>
      </c>
      <c r="B511" s="112" t="str">
        <f>'Sampling Data'!A501</f>
        <v>CLEVELAND -07-G</v>
      </c>
      <c r="C511" s="112">
        <f>'Sampling Data'!B501</f>
        <v>0</v>
      </c>
      <c r="D511" s="112">
        <f>'Sampling Data'!C501</f>
        <v>0</v>
      </c>
      <c r="E511" s="113">
        <f>'Sampling Data'!D501</f>
        <v>0</v>
      </c>
      <c r="F511" s="113">
        <f>'Sampling Data'!E501</f>
        <v>1</v>
      </c>
      <c r="G511" s="113">
        <f>'Sampling Data'!F501</f>
        <v>0</v>
      </c>
      <c r="H511" s="113">
        <f>'Sampling Data'!G501</f>
        <v>0</v>
      </c>
      <c r="I511" s="112">
        <f>'Sampling Data'!H501</f>
        <v>0</v>
      </c>
      <c r="J511" s="112">
        <f>'Sampling Data'!I501</f>
        <v>0</v>
      </c>
      <c r="K511" s="112">
        <f>'Sampling Data'!J501</f>
        <v>1</v>
      </c>
      <c r="L511" s="111">
        <f>'Sampling Data'!X501</f>
        <v>0</v>
      </c>
      <c r="M511" s="114"/>
      <c r="N511" s="114"/>
      <c r="O511" s="115"/>
      <c r="P511" s="115"/>
      <c r="Q511" s="116"/>
      <c r="R511" s="116"/>
      <c r="S511" s="111">
        <f>Audit[[#This Row],[Audit Losing Candidate]]-Audit[[#This Row],[Losing Candidate]]</f>
        <v>0</v>
      </c>
      <c r="T511" s="111">
        <f>Audit[[#This Row],[Audit Winning Candidate]]-Audit[[#This Row],[Winning Candidate]]</f>
        <v>0</v>
      </c>
      <c r="U511" s="111">
        <f>Audit[[#This Row],[Audit Candidate 3]]-Audit[[#This Row],[Candidate 3]]</f>
        <v>0</v>
      </c>
      <c r="V511" s="111">
        <f>Audit[[#This Row],[Audit Candidate 4]]-Audit[[#This Row],[Candidate 4]]</f>
        <v>-1</v>
      </c>
      <c r="W511" s="111">
        <f>Audit[[#This Row],[Audit Candidate 5]]-Audit[[#This Row],[Candidate 5]]</f>
        <v>0</v>
      </c>
      <c r="X511" s="111">
        <f>Audit[[#This Row],[Audit Candidate 6]]-Audit[[#This Row],[Candidate 6]]</f>
        <v>0</v>
      </c>
      <c r="Y511" s="111">
        <f>SUMIF(Audit[[#This Row],[Difference Loser]:[Difference Candidate 6]], "&gt;0")</f>
        <v>0</v>
      </c>
      <c r="Z511" s="111">
        <f>SUM(Audit[[#This Row],[Difference Loser]:[Difference Candidate 6]])</f>
        <v>-1</v>
      </c>
      <c r="AA511" s="111">
        <f>IF(Audit[[#This Row],[Times p Drawn - With Replacement]]&gt;0, IF(Audit[[#This Row],[Canceled Differences]]&lt;0, Audit[[#This Row],[Max Differences]]+ABS(Audit[[#This Row],[Canceled Differences]]), Audit[[#This Row],[Max Differences]]), 0)</f>
        <v>0</v>
      </c>
      <c r="AB511" s="111">
        <f>'Sampling Data'!P501</f>
        <v>6.1244487996080352E-5</v>
      </c>
      <c r="AC511" s="111">
        <f>IF(
      SUM(Audit[[#This Row],[Audit Losing Candidate]:[Audit Candidate 6]])
      &lt;&gt;0,
      (Audit[[#This Row],[Winning Candidate]]-Audit[[#This Row],[Losing Candidate]]-(Audit[[#This Row],[Audit Winning Candidate]]-Audit[[#This Row],[Audit Losing Candidate]]))/(Audit[[#Totals],[Winning Candidate]]-Audit[[#Totals],[Losing Candidate]]),
      0
)</f>
        <v>0</v>
      </c>
      <c r="AD5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1" s="111">
        <f>IF(Audit[[#This Row],[Max Relative Error (ep)]] = 0, 0, Audit[[#This Row],[Max Relative Error (ep)]]/Audit[[#This Row],[Error Bound (up) - Max. possible relative overstatement]])</f>
        <v>0</v>
      </c>
      <c r="AJ5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11" s="111">
        <f t="shared" si="7"/>
        <v>1</v>
      </c>
      <c r="AL511" s="111">
        <f>PRODUCT($AK$5:AK511)</f>
        <v>8.962823818226312E-2</v>
      </c>
      <c r="AM511" s="109">
        <f>1 - [K-M P Value]</f>
        <v>0.91037176181773694</v>
      </c>
      <c r="AN511" s="111" t="str">
        <f>IF(Audit[[#This Row],[K-M P Value]]&gt;1-'General Info'!$B$16,"Continue", "Stop")</f>
        <v>Stop</v>
      </c>
      <c r="AO511" s="110" t="b">
        <f>IF(Audit[[#This Row],[Status - Continue or stop audit]] = "Continue", TRUE, IF(AN510 = "Continue", TRUE, FALSE))</f>
        <v>0</v>
      </c>
      <c r="AP511" s="110"/>
    </row>
    <row r="512" spans="1:42" ht="15" hidden="1" customHeight="1">
      <c r="A512" s="111" t="str">
        <f>'Sampling Data'!W502</f>
        <v/>
      </c>
      <c r="B512" s="112" t="str">
        <f>'Sampling Data'!A502</f>
        <v>CLEVELAND -07-G - ABS</v>
      </c>
      <c r="C512" s="112">
        <f>'Sampling Data'!B502</f>
        <v>0</v>
      </c>
      <c r="D512" s="112">
        <f>'Sampling Data'!C502</f>
        <v>0</v>
      </c>
      <c r="E512" s="113">
        <f>'Sampling Data'!D502</f>
        <v>0</v>
      </c>
      <c r="F512" s="113">
        <f>'Sampling Data'!E502</f>
        <v>0</v>
      </c>
      <c r="G512" s="113">
        <f>'Sampling Data'!F502</f>
        <v>0</v>
      </c>
      <c r="H512" s="113">
        <f>'Sampling Data'!G502</f>
        <v>0</v>
      </c>
      <c r="I512" s="112">
        <f>'Sampling Data'!H502</f>
        <v>0</v>
      </c>
      <c r="J512" s="112">
        <f>'Sampling Data'!I502</f>
        <v>0</v>
      </c>
      <c r="K512" s="112">
        <f>'Sampling Data'!J502</f>
        <v>0</v>
      </c>
      <c r="L512" s="111">
        <f>'Sampling Data'!X502</f>
        <v>0</v>
      </c>
      <c r="M512" s="114"/>
      <c r="N512" s="114"/>
      <c r="O512" s="115"/>
      <c r="P512" s="115"/>
      <c r="Q512" s="116"/>
      <c r="R512" s="116"/>
      <c r="S512" s="111">
        <f>Audit[[#This Row],[Audit Losing Candidate]]-Audit[[#This Row],[Losing Candidate]]</f>
        <v>0</v>
      </c>
      <c r="T512" s="111">
        <f>Audit[[#This Row],[Audit Winning Candidate]]-Audit[[#This Row],[Winning Candidate]]</f>
        <v>0</v>
      </c>
      <c r="U512" s="111">
        <f>Audit[[#This Row],[Audit Candidate 3]]-Audit[[#This Row],[Candidate 3]]</f>
        <v>0</v>
      </c>
      <c r="V512" s="111">
        <f>Audit[[#This Row],[Audit Candidate 4]]-Audit[[#This Row],[Candidate 4]]</f>
        <v>0</v>
      </c>
      <c r="W512" s="111">
        <f>Audit[[#This Row],[Audit Candidate 5]]-Audit[[#This Row],[Candidate 5]]</f>
        <v>0</v>
      </c>
      <c r="X512" s="111">
        <f>Audit[[#This Row],[Audit Candidate 6]]-Audit[[#This Row],[Candidate 6]]</f>
        <v>0</v>
      </c>
      <c r="Y512" s="111">
        <f>SUMIF(Audit[[#This Row],[Difference Loser]:[Difference Candidate 6]], "&gt;0")</f>
        <v>0</v>
      </c>
      <c r="Z512" s="111">
        <f>SUM(Audit[[#This Row],[Difference Loser]:[Difference Candidate 6]])</f>
        <v>0</v>
      </c>
      <c r="AA512" s="111">
        <f>IF(Audit[[#This Row],[Times p Drawn - With Replacement]]&gt;0, IF(Audit[[#This Row],[Canceled Differences]]&lt;0, Audit[[#This Row],[Max Differences]]+ABS(Audit[[#This Row],[Canceled Differences]]), Audit[[#This Row],[Max Differences]]), 0)</f>
        <v>0</v>
      </c>
      <c r="AB512" s="111">
        <f>'Sampling Data'!P502</f>
        <v>0</v>
      </c>
      <c r="AC512" s="111">
        <f>IF(
      SUM(Audit[[#This Row],[Audit Losing Candidate]:[Audit Candidate 6]])
      &lt;&gt;0,
      (Audit[[#This Row],[Winning Candidate]]-Audit[[#This Row],[Losing Candidate]]-(Audit[[#This Row],[Audit Winning Candidate]]-Audit[[#This Row],[Audit Losing Candidate]]))/(Audit[[#Totals],[Winning Candidate]]-Audit[[#Totals],[Losing Candidate]]),
      0
)</f>
        <v>0</v>
      </c>
      <c r="AD5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2" s="111">
        <f>IF(Audit[[#This Row],[Max Relative Error (ep)]] = 0, 0, Audit[[#This Row],[Max Relative Error (ep)]]/Audit[[#This Row],[Error Bound (up) - Max. possible relative overstatement]])</f>
        <v>0</v>
      </c>
      <c r="AJ5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12" s="111">
        <f t="shared" si="7"/>
        <v>1</v>
      </c>
      <c r="AL512" s="111">
        <f>PRODUCT($AK$5:AK512)</f>
        <v>8.962823818226312E-2</v>
      </c>
      <c r="AM512" s="109">
        <f>1 - [K-M P Value]</f>
        <v>0.91037176181773694</v>
      </c>
      <c r="AN512" s="111" t="str">
        <f>IF(Audit[[#This Row],[K-M P Value]]&gt;1-'General Info'!$B$16,"Continue", "Stop")</f>
        <v>Stop</v>
      </c>
      <c r="AO512" s="110" t="b">
        <f>IF(Audit[[#This Row],[Status - Continue or stop audit]] = "Continue", TRUE, IF(AN511 = "Continue", TRUE, FALSE))</f>
        <v>0</v>
      </c>
      <c r="AP512" s="110"/>
    </row>
    <row r="513" spans="1:42" ht="15" hidden="1" customHeight="1">
      <c r="A513" s="111" t="str">
        <f>'Sampling Data'!W503</f>
        <v/>
      </c>
      <c r="B513" s="112" t="str">
        <f>'Sampling Data'!A503</f>
        <v>CLEVELAND -07-H</v>
      </c>
      <c r="C513" s="112">
        <f>'Sampling Data'!B503</f>
        <v>0</v>
      </c>
      <c r="D513" s="112">
        <f>'Sampling Data'!C503</f>
        <v>0</v>
      </c>
      <c r="E513" s="113">
        <f>'Sampling Data'!D503</f>
        <v>0</v>
      </c>
      <c r="F513" s="113">
        <f>'Sampling Data'!E503</f>
        <v>0</v>
      </c>
      <c r="G513" s="113">
        <f>'Sampling Data'!F503</f>
        <v>0</v>
      </c>
      <c r="H513" s="113">
        <f>'Sampling Data'!G503</f>
        <v>0</v>
      </c>
      <c r="I513" s="112">
        <f>'Sampling Data'!H503</f>
        <v>0</v>
      </c>
      <c r="J513" s="112">
        <f>'Sampling Data'!I503</f>
        <v>0</v>
      </c>
      <c r="K513" s="112">
        <f>'Sampling Data'!J503</f>
        <v>0</v>
      </c>
      <c r="L513" s="111">
        <f>'Sampling Data'!X503</f>
        <v>0</v>
      </c>
      <c r="M513" s="114"/>
      <c r="N513" s="114"/>
      <c r="O513" s="115"/>
      <c r="P513" s="115"/>
      <c r="Q513" s="116"/>
      <c r="R513" s="116"/>
      <c r="S513" s="111">
        <f>Audit[[#This Row],[Audit Losing Candidate]]-Audit[[#This Row],[Losing Candidate]]</f>
        <v>0</v>
      </c>
      <c r="T513" s="111">
        <f>Audit[[#This Row],[Audit Winning Candidate]]-Audit[[#This Row],[Winning Candidate]]</f>
        <v>0</v>
      </c>
      <c r="U513" s="111">
        <f>Audit[[#This Row],[Audit Candidate 3]]-Audit[[#This Row],[Candidate 3]]</f>
        <v>0</v>
      </c>
      <c r="V513" s="111">
        <f>Audit[[#This Row],[Audit Candidate 4]]-Audit[[#This Row],[Candidate 4]]</f>
        <v>0</v>
      </c>
      <c r="W513" s="111">
        <f>Audit[[#This Row],[Audit Candidate 5]]-Audit[[#This Row],[Candidate 5]]</f>
        <v>0</v>
      </c>
      <c r="X513" s="111">
        <f>Audit[[#This Row],[Audit Candidate 6]]-Audit[[#This Row],[Candidate 6]]</f>
        <v>0</v>
      </c>
      <c r="Y513" s="111">
        <f>SUMIF(Audit[[#This Row],[Difference Loser]:[Difference Candidate 6]], "&gt;0")</f>
        <v>0</v>
      </c>
      <c r="Z513" s="111">
        <f>SUM(Audit[[#This Row],[Difference Loser]:[Difference Candidate 6]])</f>
        <v>0</v>
      </c>
      <c r="AA513" s="111">
        <f>IF(Audit[[#This Row],[Times p Drawn - With Replacement]]&gt;0, IF(Audit[[#This Row],[Canceled Differences]]&lt;0, Audit[[#This Row],[Max Differences]]+ABS(Audit[[#This Row],[Canceled Differences]]), Audit[[#This Row],[Max Differences]]), 0)</f>
        <v>0</v>
      </c>
      <c r="AB513" s="111">
        <f>'Sampling Data'!P503</f>
        <v>0</v>
      </c>
      <c r="AC513" s="111">
        <f>IF(
      SUM(Audit[[#This Row],[Audit Losing Candidate]:[Audit Candidate 6]])
      &lt;&gt;0,
      (Audit[[#This Row],[Winning Candidate]]-Audit[[#This Row],[Losing Candidate]]-(Audit[[#This Row],[Audit Winning Candidate]]-Audit[[#This Row],[Audit Losing Candidate]]))/(Audit[[#Totals],[Winning Candidate]]-Audit[[#Totals],[Losing Candidate]]),
      0
)</f>
        <v>0</v>
      </c>
      <c r="AD5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3" s="111">
        <f>IF(Audit[[#This Row],[Max Relative Error (ep)]] = 0, 0, Audit[[#This Row],[Max Relative Error (ep)]]/Audit[[#This Row],[Error Bound (up) - Max. possible relative overstatement]])</f>
        <v>0</v>
      </c>
      <c r="AJ5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13" s="111">
        <f t="shared" si="7"/>
        <v>1</v>
      </c>
      <c r="AL513" s="111">
        <f>PRODUCT($AK$5:AK513)</f>
        <v>8.962823818226312E-2</v>
      </c>
      <c r="AM513" s="109">
        <f>1 - [K-M P Value]</f>
        <v>0.91037176181773694</v>
      </c>
      <c r="AN513" s="111" t="str">
        <f>IF(Audit[[#This Row],[K-M P Value]]&gt;1-'General Info'!$B$16,"Continue", "Stop")</f>
        <v>Stop</v>
      </c>
      <c r="AO513" s="110" t="b">
        <f>IF(Audit[[#This Row],[Status - Continue or stop audit]] = "Continue", TRUE, IF(AN512 = "Continue", TRUE, FALSE))</f>
        <v>0</v>
      </c>
      <c r="AP513" s="110"/>
    </row>
    <row r="514" spans="1:42" ht="15" hidden="1" customHeight="1">
      <c r="A514" s="111" t="str">
        <f>'Sampling Data'!W504</f>
        <v/>
      </c>
      <c r="B514" s="112" t="str">
        <f>'Sampling Data'!A504</f>
        <v>CLEVELAND -07-H - ABS</v>
      </c>
      <c r="C514" s="112">
        <f>'Sampling Data'!B504</f>
        <v>1</v>
      </c>
      <c r="D514" s="112">
        <f>'Sampling Data'!C504</f>
        <v>0</v>
      </c>
      <c r="E514" s="113">
        <f>'Sampling Data'!D504</f>
        <v>0</v>
      </c>
      <c r="F514" s="113">
        <f>'Sampling Data'!E504</f>
        <v>0</v>
      </c>
      <c r="G514" s="113">
        <f>'Sampling Data'!F504</f>
        <v>0</v>
      </c>
      <c r="H514" s="113">
        <f>'Sampling Data'!G504</f>
        <v>0</v>
      </c>
      <c r="I514" s="112">
        <f>'Sampling Data'!H504</f>
        <v>0</v>
      </c>
      <c r="J514" s="112">
        <f>'Sampling Data'!I504</f>
        <v>0</v>
      </c>
      <c r="K514" s="112">
        <f>'Sampling Data'!J504</f>
        <v>1</v>
      </c>
      <c r="L514" s="111">
        <f>'Sampling Data'!X504</f>
        <v>0</v>
      </c>
      <c r="M514" s="114"/>
      <c r="N514" s="114"/>
      <c r="O514" s="115"/>
      <c r="P514" s="115"/>
      <c r="Q514" s="116"/>
      <c r="R514" s="116"/>
      <c r="S514" s="111">
        <f>Audit[[#This Row],[Audit Losing Candidate]]-Audit[[#This Row],[Losing Candidate]]</f>
        <v>-1</v>
      </c>
      <c r="T514" s="111">
        <f>Audit[[#This Row],[Audit Winning Candidate]]-Audit[[#This Row],[Winning Candidate]]</f>
        <v>0</v>
      </c>
      <c r="U514" s="111">
        <f>Audit[[#This Row],[Audit Candidate 3]]-Audit[[#This Row],[Candidate 3]]</f>
        <v>0</v>
      </c>
      <c r="V514" s="111">
        <f>Audit[[#This Row],[Audit Candidate 4]]-Audit[[#This Row],[Candidate 4]]</f>
        <v>0</v>
      </c>
      <c r="W514" s="111">
        <f>Audit[[#This Row],[Audit Candidate 5]]-Audit[[#This Row],[Candidate 5]]</f>
        <v>0</v>
      </c>
      <c r="X514" s="111">
        <f>Audit[[#This Row],[Audit Candidate 6]]-Audit[[#This Row],[Candidate 6]]</f>
        <v>0</v>
      </c>
      <c r="Y514" s="111">
        <f>SUMIF(Audit[[#This Row],[Difference Loser]:[Difference Candidate 6]], "&gt;0")</f>
        <v>0</v>
      </c>
      <c r="Z514" s="111">
        <f>SUM(Audit[[#This Row],[Difference Loser]:[Difference Candidate 6]])</f>
        <v>-1</v>
      </c>
      <c r="AA514" s="111">
        <f>IF(Audit[[#This Row],[Times p Drawn - With Replacement]]&gt;0, IF(Audit[[#This Row],[Canceled Differences]]&lt;0, Audit[[#This Row],[Max Differences]]+ABS(Audit[[#This Row],[Canceled Differences]]), Audit[[#This Row],[Max Differences]]), 0)</f>
        <v>0</v>
      </c>
      <c r="AB514" s="111">
        <f>'Sampling Data'!P504</f>
        <v>3.2261186566441917E-5</v>
      </c>
      <c r="AC514" s="111">
        <f>IF(
      SUM(Audit[[#This Row],[Audit Losing Candidate]:[Audit Candidate 6]])
      &lt;&gt;0,
      (Audit[[#This Row],[Winning Candidate]]-Audit[[#This Row],[Losing Candidate]]-(Audit[[#This Row],[Audit Winning Candidate]]-Audit[[#This Row],[Audit Losing Candidate]]))/(Audit[[#Totals],[Winning Candidate]]-Audit[[#Totals],[Losing Candidate]]),
      0
)</f>
        <v>0</v>
      </c>
      <c r="AD5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4" s="111">
        <f>IF(Audit[[#This Row],[Max Relative Error (ep)]] = 0, 0, Audit[[#This Row],[Max Relative Error (ep)]]/Audit[[#This Row],[Error Bound (up) - Max. possible relative overstatement]])</f>
        <v>0</v>
      </c>
      <c r="AJ5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14" s="111">
        <f t="shared" si="7"/>
        <v>1</v>
      </c>
      <c r="AL514" s="111">
        <f>PRODUCT($AK$5:AK514)</f>
        <v>8.962823818226312E-2</v>
      </c>
      <c r="AM514" s="109">
        <f>1 - [K-M P Value]</f>
        <v>0.91037176181773694</v>
      </c>
      <c r="AN514" s="111" t="str">
        <f>IF(Audit[[#This Row],[K-M P Value]]&gt;1-'General Info'!$B$16,"Continue", "Stop")</f>
        <v>Stop</v>
      </c>
      <c r="AO514" s="110" t="b">
        <f>IF(Audit[[#This Row],[Status - Continue or stop audit]] = "Continue", TRUE, IF(AN513 = "Continue", TRUE, FALSE))</f>
        <v>0</v>
      </c>
      <c r="AP514" s="110"/>
    </row>
    <row r="515" spans="1:42" ht="15" hidden="1" customHeight="1">
      <c r="A515" s="111" t="str">
        <f>'Sampling Data'!W505</f>
        <v/>
      </c>
      <c r="B515" s="112" t="str">
        <f>'Sampling Data'!A505</f>
        <v>CLEVELAND -07-I</v>
      </c>
      <c r="C515" s="112">
        <f>'Sampling Data'!B505</f>
        <v>0</v>
      </c>
      <c r="D515" s="112">
        <f>'Sampling Data'!C505</f>
        <v>0</v>
      </c>
      <c r="E515" s="113">
        <f>'Sampling Data'!D505</f>
        <v>1</v>
      </c>
      <c r="F515" s="113">
        <f>'Sampling Data'!E505</f>
        <v>0</v>
      </c>
      <c r="G515" s="113">
        <f>'Sampling Data'!F505</f>
        <v>0</v>
      </c>
      <c r="H515" s="113">
        <f>'Sampling Data'!G505</f>
        <v>0</v>
      </c>
      <c r="I515" s="112">
        <f>'Sampling Data'!H505</f>
        <v>0</v>
      </c>
      <c r="J515" s="112">
        <f>'Sampling Data'!I505</f>
        <v>0</v>
      </c>
      <c r="K515" s="112">
        <f>'Sampling Data'!J505</f>
        <v>1</v>
      </c>
      <c r="L515" s="111">
        <f>'Sampling Data'!X505</f>
        <v>0</v>
      </c>
      <c r="M515" s="114"/>
      <c r="N515" s="114"/>
      <c r="O515" s="115"/>
      <c r="P515" s="115"/>
      <c r="Q515" s="116"/>
      <c r="R515" s="116"/>
      <c r="S515" s="111">
        <f>Audit[[#This Row],[Audit Losing Candidate]]-Audit[[#This Row],[Losing Candidate]]</f>
        <v>0</v>
      </c>
      <c r="T515" s="111">
        <f>Audit[[#This Row],[Audit Winning Candidate]]-Audit[[#This Row],[Winning Candidate]]</f>
        <v>0</v>
      </c>
      <c r="U515" s="111">
        <f>Audit[[#This Row],[Audit Candidate 3]]-Audit[[#This Row],[Candidate 3]]</f>
        <v>-1</v>
      </c>
      <c r="V515" s="111">
        <f>Audit[[#This Row],[Audit Candidate 4]]-Audit[[#This Row],[Candidate 4]]</f>
        <v>0</v>
      </c>
      <c r="W515" s="111">
        <f>Audit[[#This Row],[Audit Candidate 5]]-Audit[[#This Row],[Candidate 5]]</f>
        <v>0</v>
      </c>
      <c r="X515" s="111">
        <f>Audit[[#This Row],[Audit Candidate 6]]-Audit[[#This Row],[Candidate 6]]</f>
        <v>0</v>
      </c>
      <c r="Y515" s="111">
        <f>SUMIF(Audit[[#This Row],[Difference Loser]:[Difference Candidate 6]], "&gt;0")</f>
        <v>0</v>
      </c>
      <c r="Z515" s="111">
        <f>SUM(Audit[[#This Row],[Difference Loser]:[Difference Candidate 6]])</f>
        <v>-1</v>
      </c>
      <c r="AA515" s="111">
        <f>IF(Audit[[#This Row],[Times p Drawn - With Replacement]]&gt;0, IF(Audit[[#This Row],[Canceled Differences]]&lt;0, Audit[[#This Row],[Max Differences]]+ABS(Audit[[#This Row],[Canceled Differences]]), Audit[[#This Row],[Max Differences]]), 0)</f>
        <v>0</v>
      </c>
      <c r="AB515" s="111">
        <f>'Sampling Data'!P505</f>
        <v>6.1244487996080352E-5</v>
      </c>
      <c r="AC515" s="111">
        <f>IF(
      SUM(Audit[[#This Row],[Audit Losing Candidate]:[Audit Candidate 6]])
      &lt;&gt;0,
      (Audit[[#This Row],[Winning Candidate]]-Audit[[#This Row],[Losing Candidate]]-(Audit[[#This Row],[Audit Winning Candidate]]-Audit[[#This Row],[Audit Losing Candidate]]))/(Audit[[#Totals],[Winning Candidate]]-Audit[[#Totals],[Losing Candidate]]),
      0
)</f>
        <v>0</v>
      </c>
      <c r="AD5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5" s="111">
        <f>IF(Audit[[#This Row],[Max Relative Error (ep)]] = 0, 0, Audit[[#This Row],[Max Relative Error (ep)]]/Audit[[#This Row],[Error Bound (up) - Max. possible relative overstatement]])</f>
        <v>0</v>
      </c>
      <c r="AJ5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15" s="111">
        <f t="shared" si="7"/>
        <v>1</v>
      </c>
      <c r="AL515" s="111">
        <f>PRODUCT($AK$5:AK515)</f>
        <v>8.962823818226312E-2</v>
      </c>
      <c r="AM515" s="109">
        <f>1 - [K-M P Value]</f>
        <v>0.91037176181773694</v>
      </c>
      <c r="AN515" s="111" t="str">
        <f>IF(Audit[[#This Row],[K-M P Value]]&gt;1-'General Info'!$B$16,"Continue", "Stop")</f>
        <v>Stop</v>
      </c>
      <c r="AO515" s="110" t="b">
        <f>IF(Audit[[#This Row],[Status - Continue or stop audit]] = "Continue", TRUE, IF(AN514 = "Continue", TRUE, FALSE))</f>
        <v>0</v>
      </c>
      <c r="AP515" s="110"/>
    </row>
    <row r="516" spans="1:42" ht="15" hidden="1" customHeight="1">
      <c r="A516" s="111" t="str">
        <f>'Sampling Data'!W506</f>
        <v/>
      </c>
      <c r="B516" s="112" t="str">
        <f>'Sampling Data'!A506</f>
        <v>CLEVELAND -07-I - ABS</v>
      </c>
      <c r="C516" s="112">
        <f>'Sampling Data'!B506</f>
        <v>0</v>
      </c>
      <c r="D516" s="112">
        <f>'Sampling Data'!C506</f>
        <v>0</v>
      </c>
      <c r="E516" s="113">
        <f>'Sampling Data'!D506</f>
        <v>0</v>
      </c>
      <c r="F516" s="113">
        <f>'Sampling Data'!E506</f>
        <v>0</v>
      </c>
      <c r="G516" s="113">
        <f>'Sampling Data'!F506</f>
        <v>0</v>
      </c>
      <c r="H516" s="113">
        <f>'Sampling Data'!G506</f>
        <v>0</v>
      </c>
      <c r="I516" s="112">
        <f>'Sampling Data'!H506</f>
        <v>0</v>
      </c>
      <c r="J516" s="112">
        <f>'Sampling Data'!I506</f>
        <v>0</v>
      </c>
      <c r="K516" s="112">
        <f>'Sampling Data'!J506</f>
        <v>0</v>
      </c>
      <c r="L516" s="111">
        <f>'Sampling Data'!X506</f>
        <v>0</v>
      </c>
      <c r="M516" s="114"/>
      <c r="N516" s="114"/>
      <c r="O516" s="115"/>
      <c r="P516" s="115"/>
      <c r="Q516" s="116"/>
      <c r="R516" s="116"/>
      <c r="S516" s="111">
        <f>Audit[[#This Row],[Audit Losing Candidate]]-Audit[[#This Row],[Losing Candidate]]</f>
        <v>0</v>
      </c>
      <c r="T516" s="111">
        <f>Audit[[#This Row],[Audit Winning Candidate]]-Audit[[#This Row],[Winning Candidate]]</f>
        <v>0</v>
      </c>
      <c r="U516" s="111">
        <f>Audit[[#This Row],[Audit Candidate 3]]-Audit[[#This Row],[Candidate 3]]</f>
        <v>0</v>
      </c>
      <c r="V516" s="111">
        <f>Audit[[#This Row],[Audit Candidate 4]]-Audit[[#This Row],[Candidate 4]]</f>
        <v>0</v>
      </c>
      <c r="W516" s="111">
        <f>Audit[[#This Row],[Audit Candidate 5]]-Audit[[#This Row],[Candidate 5]]</f>
        <v>0</v>
      </c>
      <c r="X516" s="111">
        <f>Audit[[#This Row],[Audit Candidate 6]]-Audit[[#This Row],[Candidate 6]]</f>
        <v>0</v>
      </c>
      <c r="Y516" s="111">
        <f>SUMIF(Audit[[#This Row],[Difference Loser]:[Difference Candidate 6]], "&gt;0")</f>
        <v>0</v>
      </c>
      <c r="Z516" s="111">
        <f>SUM(Audit[[#This Row],[Difference Loser]:[Difference Candidate 6]])</f>
        <v>0</v>
      </c>
      <c r="AA516" s="111">
        <f>IF(Audit[[#This Row],[Times p Drawn - With Replacement]]&gt;0, IF(Audit[[#This Row],[Canceled Differences]]&lt;0, Audit[[#This Row],[Max Differences]]+ABS(Audit[[#This Row],[Canceled Differences]]), Audit[[#This Row],[Max Differences]]), 0)</f>
        <v>0</v>
      </c>
      <c r="AB516" s="111">
        <f>'Sampling Data'!P506</f>
        <v>0</v>
      </c>
      <c r="AC516" s="111">
        <f>IF(
      SUM(Audit[[#This Row],[Audit Losing Candidate]:[Audit Candidate 6]])
      &lt;&gt;0,
      (Audit[[#This Row],[Winning Candidate]]-Audit[[#This Row],[Losing Candidate]]-(Audit[[#This Row],[Audit Winning Candidate]]-Audit[[#This Row],[Audit Losing Candidate]]))/(Audit[[#Totals],[Winning Candidate]]-Audit[[#Totals],[Losing Candidate]]),
      0
)</f>
        <v>0</v>
      </c>
      <c r="AD5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6" s="111">
        <f>IF(Audit[[#This Row],[Max Relative Error (ep)]] = 0, 0, Audit[[#This Row],[Max Relative Error (ep)]]/Audit[[#This Row],[Error Bound (up) - Max. possible relative overstatement]])</f>
        <v>0</v>
      </c>
      <c r="AJ5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16" s="111">
        <f t="shared" si="7"/>
        <v>1</v>
      </c>
      <c r="AL516" s="111">
        <f>PRODUCT($AK$5:AK516)</f>
        <v>8.962823818226312E-2</v>
      </c>
      <c r="AM516" s="109">
        <f>1 - [K-M P Value]</f>
        <v>0.91037176181773694</v>
      </c>
      <c r="AN516" s="111" t="str">
        <f>IF(Audit[[#This Row],[K-M P Value]]&gt;1-'General Info'!$B$16,"Continue", "Stop")</f>
        <v>Stop</v>
      </c>
      <c r="AO516" s="110" t="b">
        <f>IF(Audit[[#This Row],[Status - Continue or stop audit]] = "Continue", TRUE, IF(AN515 = "Continue", TRUE, FALSE))</f>
        <v>0</v>
      </c>
      <c r="AP516" s="110"/>
    </row>
    <row r="517" spans="1:42" ht="15" hidden="1" customHeight="1">
      <c r="A517" s="111" t="str">
        <f>'Sampling Data'!W507</f>
        <v/>
      </c>
      <c r="B517" s="112" t="str">
        <f>'Sampling Data'!A507</f>
        <v>CLEVELAND -07-J</v>
      </c>
      <c r="C517" s="112">
        <f>'Sampling Data'!B507</f>
        <v>1</v>
      </c>
      <c r="D517" s="112">
        <f>'Sampling Data'!C507</f>
        <v>0</v>
      </c>
      <c r="E517" s="113">
        <f>'Sampling Data'!D507</f>
        <v>0</v>
      </c>
      <c r="F517" s="113">
        <f>'Sampling Data'!E507</f>
        <v>0</v>
      </c>
      <c r="G517" s="113">
        <f>'Sampling Data'!F507</f>
        <v>0</v>
      </c>
      <c r="H517" s="113">
        <f>'Sampling Data'!G507</f>
        <v>1</v>
      </c>
      <c r="I517" s="112">
        <f>'Sampling Data'!H507</f>
        <v>0</v>
      </c>
      <c r="J517" s="112">
        <f>'Sampling Data'!I507</f>
        <v>0</v>
      </c>
      <c r="K517" s="112">
        <f>'Sampling Data'!J507</f>
        <v>2</v>
      </c>
      <c r="L517" s="111">
        <f>'Sampling Data'!X507</f>
        <v>0</v>
      </c>
      <c r="M517" s="114"/>
      <c r="N517" s="114"/>
      <c r="O517" s="115"/>
      <c r="P517" s="115"/>
      <c r="Q517" s="116"/>
      <c r="R517" s="116"/>
      <c r="S517" s="111">
        <f>Audit[[#This Row],[Audit Losing Candidate]]-Audit[[#This Row],[Losing Candidate]]</f>
        <v>-1</v>
      </c>
      <c r="T517" s="111">
        <f>Audit[[#This Row],[Audit Winning Candidate]]-Audit[[#This Row],[Winning Candidate]]</f>
        <v>0</v>
      </c>
      <c r="U517" s="111">
        <f>Audit[[#This Row],[Audit Candidate 3]]-Audit[[#This Row],[Candidate 3]]</f>
        <v>0</v>
      </c>
      <c r="V517" s="111">
        <f>Audit[[#This Row],[Audit Candidate 4]]-Audit[[#This Row],[Candidate 4]]</f>
        <v>0</v>
      </c>
      <c r="W517" s="111">
        <f>Audit[[#This Row],[Audit Candidate 5]]-Audit[[#This Row],[Candidate 5]]</f>
        <v>0</v>
      </c>
      <c r="X517" s="111">
        <f>Audit[[#This Row],[Audit Candidate 6]]-Audit[[#This Row],[Candidate 6]]</f>
        <v>-1</v>
      </c>
      <c r="Y517" s="111">
        <f>SUMIF(Audit[[#This Row],[Difference Loser]:[Difference Candidate 6]], "&gt;0")</f>
        <v>0</v>
      </c>
      <c r="Z517" s="111">
        <f>SUM(Audit[[#This Row],[Difference Loser]:[Difference Candidate 6]])</f>
        <v>-2</v>
      </c>
      <c r="AA517" s="111">
        <f>IF(Audit[[#This Row],[Times p Drawn - With Replacement]]&gt;0, IF(Audit[[#This Row],[Canceled Differences]]&lt;0, Audit[[#This Row],[Max Differences]]+ABS(Audit[[#This Row],[Canceled Differences]]), Audit[[#This Row],[Max Differences]]), 0)</f>
        <v>0</v>
      </c>
      <c r="AB517" s="111">
        <f>'Sampling Data'!P507</f>
        <v>6.4522373132883833E-5</v>
      </c>
      <c r="AC517" s="111">
        <f>IF(
      SUM(Audit[[#This Row],[Audit Losing Candidate]:[Audit Candidate 6]])
      &lt;&gt;0,
      (Audit[[#This Row],[Winning Candidate]]-Audit[[#This Row],[Losing Candidate]]-(Audit[[#This Row],[Audit Winning Candidate]]-Audit[[#This Row],[Audit Losing Candidate]]))/(Audit[[#Totals],[Winning Candidate]]-Audit[[#Totals],[Losing Candidate]]),
      0
)</f>
        <v>0</v>
      </c>
      <c r="AD5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7" s="111">
        <f>IF(Audit[[#This Row],[Max Relative Error (ep)]] = 0, 0, Audit[[#This Row],[Max Relative Error (ep)]]/Audit[[#This Row],[Error Bound (up) - Max. possible relative overstatement]])</f>
        <v>0</v>
      </c>
      <c r="AJ5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17" s="111">
        <f t="shared" ref="AK517:AK580" si="8">IF(ISERR(POWER(AJ517,L517)), 0, POWER(AJ517,L517))</f>
        <v>1</v>
      </c>
      <c r="AL517" s="111">
        <f>PRODUCT($AK$5:AK517)</f>
        <v>8.962823818226312E-2</v>
      </c>
      <c r="AM517" s="109">
        <f>1 - [K-M P Value]</f>
        <v>0.91037176181773694</v>
      </c>
      <c r="AN517" s="111" t="str">
        <f>IF(Audit[[#This Row],[K-M P Value]]&gt;1-'General Info'!$B$16,"Continue", "Stop")</f>
        <v>Stop</v>
      </c>
      <c r="AO517" s="110" t="b">
        <f>IF(Audit[[#This Row],[Status - Continue or stop audit]] = "Continue", TRUE, IF(AN516 = "Continue", TRUE, FALSE))</f>
        <v>0</v>
      </c>
      <c r="AP517" s="110"/>
    </row>
    <row r="518" spans="1:42" ht="15" hidden="1" customHeight="1">
      <c r="A518" s="111" t="str">
        <f>'Sampling Data'!W508</f>
        <v/>
      </c>
      <c r="B518" s="112" t="str">
        <f>'Sampling Data'!A508</f>
        <v>CLEVELAND -07-J - ABS</v>
      </c>
      <c r="C518" s="112">
        <f>'Sampling Data'!B508</f>
        <v>0</v>
      </c>
      <c r="D518" s="112">
        <f>'Sampling Data'!C508</f>
        <v>0</v>
      </c>
      <c r="E518" s="113">
        <f>'Sampling Data'!D508</f>
        <v>0</v>
      </c>
      <c r="F518" s="113">
        <f>'Sampling Data'!E508</f>
        <v>0</v>
      </c>
      <c r="G518" s="113">
        <f>'Sampling Data'!F508</f>
        <v>0</v>
      </c>
      <c r="H518" s="113">
        <f>'Sampling Data'!G508</f>
        <v>0</v>
      </c>
      <c r="I518" s="112">
        <f>'Sampling Data'!H508</f>
        <v>0</v>
      </c>
      <c r="J518" s="112">
        <f>'Sampling Data'!I508</f>
        <v>0</v>
      </c>
      <c r="K518" s="112">
        <f>'Sampling Data'!J508</f>
        <v>0</v>
      </c>
      <c r="L518" s="111">
        <f>'Sampling Data'!X508</f>
        <v>0</v>
      </c>
      <c r="M518" s="114"/>
      <c r="N518" s="114"/>
      <c r="O518" s="115"/>
      <c r="P518" s="115"/>
      <c r="Q518" s="116"/>
      <c r="R518" s="116"/>
      <c r="S518" s="111">
        <f>Audit[[#This Row],[Audit Losing Candidate]]-Audit[[#This Row],[Losing Candidate]]</f>
        <v>0</v>
      </c>
      <c r="T518" s="111">
        <f>Audit[[#This Row],[Audit Winning Candidate]]-Audit[[#This Row],[Winning Candidate]]</f>
        <v>0</v>
      </c>
      <c r="U518" s="111">
        <f>Audit[[#This Row],[Audit Candidate 3]]-Audit[[#This Row],[Candidate 3]]</f>
        <v>0</v>
      </c>
      <c r="V518" s="111">
        <f>Audit[[#This Row],[Audit Candidate 4]]-Audit[[#This Row],[Candidate 4]]</f>
        <v>0</v>
      </c>
      <c r="W518" s="111">
        <f>Audit[[#This Row],[Audit Candidate 5]]-Audit[[#This Row],[Candidate 5]]</f>
        <v>0</v>
      </c>
      <c r="X518" s="111">
        <f>Audit[[#This Row],[Audit Candidate 6]]-Audit[[#This Row],[Candidate 6]]</f>
        <v>0</v>
      </c>
      <c r="Y518" s="111">
        <f>SUMIF(Audit[[#This Row],[Difference Loser]:[Difference Candidate 6]], "&gt;0")</f>
        <v>0</v>
      </c>
      <c r="Z518" s="111">
        <f>SUM(Audit[[#This Row],[Difference Loser]:[Difference Candidate 6]])</f>
        <v>0</v>
      </c>
      <c r="AA518" s="111">
        <f>IF(Audit[[#This Row],[Times p Drawn - With Replacement]]&gt;0, IF(Audit[[#This Row],[Canceled Differences]]&lt;0, Audit[[#This Row],[Max Differences]]+ABS(Audit[[#This Row],[Canceled Differences]]), Audit[[#This Row],[Max Differences]]), 0)</f>
        <v>0</v>
      </c>
      <c r="AB518" s="111">
        <f>'Sampling Data'!P508</f>
        <v>0</v>
      </c>
      <c r="AC518" s="111">
        <f>IF(
      SUM(Audit[[#This Row],[Audit Losing Candidate]:[Audit Candidate 6]])
      &lt;&gt;0,
      (Audit[[#This Row],[Winning Candidate]]-Audit[[#This Row],[Losing Candidate]]-(Audit[[#This Row],[Audit Winning Candidate]]-Audit[[#This Row],[Audit Losing Candidate]]))/(Audit[[#Totals],[Winning Candidate]]-Audit[[#Totals],[Losing Candidate]]),
      0
)</f>
        <v>0</v>
      </c>
      <c r="AD5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8" s="111">
        <f>IF(Audit[[#This Row],[Max Relative Error (ep)]] = 0, 0, Audit[[#This Row],[Max Relative Error (ep)]]/Audit[[#This Row],[Error Bound (up) - Max. possible relative overstatement]])</f>
        <v>0</v>
      </c>
      <c r="AJ5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18" s="111">
        <f t="shared" si="8"/>
        <v>1</v>
      </c>
      <c r="AL518" s="111">
        <f>PRODUCT($AK$5:AK518)</f>
        <v>8.962823818226312E-2</v>
      </c>
      <c r="AM518" s="109">
        <f>1 - [K-M P Value]</f>
        <v>0.91037176181773694</v>
      </c>
      <c r="AN518" s="111" t="str">
        <f>IF(Audit[[#This Row],[K-M P Value]]&gt;1-'General Info'!$B$16,"Continue", "Stop")</f>
        <v>Stop</v>
      </c>
      <c r="AO518" s="110" t="b">
        <f>IF(Audit[[#This Row],[Status - Continue or stop audit]] = "Continue", TRUE, IF(AN517 = "Continue", TRUE, FALSE))</f>
        <v>0</v>
      </c>
      <c r="AP518" s="110"/>
    </row>
    <row r="519" spans="1:42" ht="15" hidden="1" customHeight="1">
      <c r="A519" s="111" t="str">
        <f>'Sampling Data'!W509</f>
        <v/>
      </c>
      <c r="B519" s="112" t="str">
        <f>'Sampling Data'!A509</f>
        <v>CLEVELAND -07-K</v>
      </c>
      <c r="C519" s="112">
        <f>'Sampling Data'!B509</f>
        <v>0</v>
      </c>
      <c r="D519" s="112">
        <f>'Sampling Data'!C509</f>
        <v>0</v>
      </c>
      <c r="E519" s="113">
        <f>'Sampling Data'!D509</f>
        <v>0</v>
      </c>
      <c r="F519" s="113">
        <f>'Sampling Data'!E509</f>
        <v>0</v>
      </c>
      <c r="G519" s="113">
        <f>'Sampling Data'!F509</f>
        <v>0</v>
      </c>
      <c r="H519" s="113">
        <f>'Sampling Data'!G509</f>
        <v>0</v>
      </c>
      <c r="I519" s="112">
        <f>'Sampling Data'!H509</f>
        <v>0</v>
      </c>
      <c r="J519" s="112">
        <f>'Sampling Data'!I509</f>
        <v>0</v>
      </c>
      <c r="K519" s="112">
        <f>'Sampling Data'!J509</f>
        <v>0</v>
      </c>
      <c r="L519" s="111">
        <f>'Sampling Data'!X509</f>
        <v>0</v>
      </c>
      <c r="M519" s="114"/>
      <c r="N519" s="114"/>
      <c r="O519" s="115"/>
      <c r="P519" s="115"/>
      <c r="Q519" s="116"/>
      <c r="R519" s="116"/>
      <c r="S519" s="111">
        <f>Audit[[#This Row],[Audit Losing Candidate]]-Audit[[#This Row],[Losing Candidate]]</f>
        <v>0</v>
      </c>
      <c r="T519" s="111">
        <f>Audit[[#This Row],[Audit Winning Candidate]]-Audit[[#This Row],[Winning Candidate]]</f>
        <v>0</v>
      </c>
      <c r="U519" s="111">
        <f>Audit[[#This Row],[Audit Candidate 3]]-Audit[[#This Row],[Candidate 3]]</f>
        <v>0</v>
      </c>
      <c r="V519" s="111">
        <f>Audit[[#This Row],[Audit Candidate 4]]-Audit[[#This Row],[Candidate 4]]</f>
        <v>0</v>
      </c>
      <c r="W519" s="111">
        <f>Audit[[#This Row],[Audit Candidate 5]]-Audit[[#This Row],[Candidate 5]]</f>
        <v>0</v>
      </c>
      <c r="X519" s="111">
        <f>Audit[[#This Row],[Audit Candidate 6]]-Audit[[#This Row],[Candidate 6]]</f>
        <v>0</v>
      </c>
      <c r="Y519" s="111">
        <f>SUMIF(Audit[[#This Row],[Difference Loser]:[Difference Candidate 6]], "&gt;0")</f>
        <v>0</v>
      </c>
      <c r="Z519" s="111">
        <f>SUM(Audit[[#This Row],[Difference Loser]:[Difference Candidate 6]])</f>
        <v>0</v>
      </c>
      <c r="AA519" s="111">
        <f>IF(Audit[[#This Row],[Times p Drawn - With Replacement]]&gt;0, IF(Audit[[#This Row],[Canceled Differences]]&lt;0, Audit[[#This Row],[Max Differences]]+ABS(Audit[[#This Row],[Canceled Differences]]), Audit[[#This Row],[Max Differences]]), 0)</f>
        <v>0</v>
      </c>
      <c r="AB519" s="111">
        <f>'Sampling Data'!P509</f>
        <v>0</v>
      </c>
      <c r="AC519" s="111">
        <f>IF(
      SUM(Audit[[#This Row],[Audit Losing Candidate]:[Audit Candidate 6]])
      &lt;&gt;0,
      (Audit[[#This Row],[Winning Candidate]]-Audit[[#This Row],[Losing Candidate]]-(Audit[[#This Row],[Audit Winning Candidate]]-Audit[[#This Row],[Audit Losing Candidate]]))/(Audit[[#Totals],[Winning Candidate]]-Audit[[#Totals],[Losing Candidate]]),
      0
)</f>
        <v>0</v>
      </c>
      <c r="AD5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9" s="111">
        <f>IF(Audit[[#This Row],[Max Relative Error (ep)]] = 0, 0, Audit[[#This Row],[Max Relative Error (ep)]]/Audit[[#This Row],[Error Bound (up) - Max. possible relative overstatement]])</f>
        <v>0</v>
      </c>
      <c r="AJ5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19" s="111">
        <f t="shared" si="8"/>
        <v>1</v>
      </c>
      <c r="AL519" s="111">
        <f>PRODUCT($AK$5:AK519)</f>
        <v>8.962823818226312E-2</v>
      </c>
      <c r="AM519" s="109">
        <f>1 - [K-M P Value]</f>
        <v>0.91037176181773694</v>
      </c>
      <c r="AN519" s="111" t="str">
        <f>IF(Audit[[#This Row],[K-M P Value]]&gt;1-'General Info'!$B$16,"Continue", "Stop")</f>
        <v>Stop</v>
      </c>
      <c r="AO519" s="110" t="b">
        <f>IF(Audit[[#This Row],[Status - Continue or stop audit]] = "Continue", TRUE, IF(AN518 = "Continue", TRUE, FALSE))</f>
        <v>0</v>
      </c>
      <c r="AP519" s="110"/>
    </row>
    <row r="520" spans="1:42" ht="15" hidden="1" customHeight="1">
      <c r="A520" s="111" t="str">
        <f>'Sampling Data'!W510</f>
        <v/>
      </c>
      <c r="B520" s="112" t="str">
        <f>'Sampling Data'!A510</f>
        <v>CLEVELAND -07-K - ABS</v>
      </c>
      <c r="C520" s="112">
        <f>'Sampling Data'!B510</f>
        <v>0</v>
      </c>
      <c r="D520" s="112">
        <f>'Sampling Data'!C510</f>
        <v>0</v>
      </c>
      <c r="E520" s="113">
        <f>'Sampling Data'!D510</f>
        <v>0</v>
      </c>
      <c r="F520" s="113">
        <f>'Sampling Data'!E510</f>
        <v>2</v>
      </c>
      <c r="G520" s="113">
        <f>'Sampling Data'!F510</f>
        <v>0</v>
      </c>
      <c r="H520" s="113">
        <f>'Sampling Data'!G510</f>
        <v>0</v>
      </c>
      <c r="I520" s="112">
        <f>'Sampling Data'!H510</f>
        <v>0</v>
      </c>
      <c r="J520" s="112">
        <f>'Sampling Data'!I510</f>
        <v>0</v>
      </c>
      <c r="K520" s="112">
        <f>'Sampling Data'!J510</f>
        <v>2</v>
      </c>
      <c r="L520" s="111">
        <f>'Sampling Data'!X510</f>
        <v>0</v>
      </c>
      <c r="M520" s="114"/>
      <c r="N520" s="114"/>
      <c r="O520" s="115"/>
      <c r="P520" s="115"/>
      <c r="Q520" s="116"/>
      <c r="R520" s="116"/>
      <c r="S520" s="111">
        <f>Audit[[#This Row],[Audit Losing Candidate]]-Audit[[#This Row],[Losing Candidate]]</f>
        <v>0</v>
      </c>
      <c r="T520" s="111">
        <f>Audit[[#This Row],[Audit Winning Candidate]]-Audit[[#This Row],[Winning Candidate]]</f>
        <v>0</v>
      </c>
      <c r="U520" s="111">
        <f>Audit[[#This Row],[Audit Candidate 3]]-Audit[[#This Row],[Candidate 3]]</f>
        <v>0</v>
      </c>
      <c r="V520" s="111">
        <f>Audit[[#This Row],[Audit Candidate 4]]-Audit[[#This Row],[Candidate 4]]</f>
        <v>-2</v>
      </c>
      <c r="W520" s="111">
        <f>Audit[[#This Row],[Audit Candidate 5]]-Audit[[#This Row],[Candidate 5]]</f>
        <v>0</v>
      </c>
      <c r="X520" s="111">
        <f>Audit[[#This Row],[Audit Candidate 6]]-Audit[[#This Row],[Candidate 6]]</f>
        <v>0</v>
      </c>
      <c r="Y520" s="111">
        <f>SUMIF(Audit[[#This Row],[Difference Loser]:[Difference Candidate 6]], "&gt;0")</f>
        <v>0</v>
      </c>
      <c r="Z520" s="111">
        <f>SUM(Audit[[#This Row],[Difference Loser]:[Difference Candidate 6]])</f>
        <v>-2</v>
      </c>
      <c r="AA520" s="111">
        <f>IF(Audit[[#This Row],[Times p Drawn - With Replacement]]&gt;0, IF(Audit[[#This Row],[Canceled Differences]]&lt;0, Audit[[#This Row],[Max Differences]]+ABS(Audit[[#This Row],[Canceled Differences]]), Audit[[#This Row],[Max Differences]]), 0)</f>
        <v>0</v>
      </c>
      <c r="AB520" s="111">
        <f>'Sampling Data'!P510</f>
        <v>1.224889759921607E-4</v>
      </c>
      <c r="AC520" s="111">
        <f>IF(
      SUM(Audit[[#This Row],[Audit Losing Candidate]:[Audit Candidate 6]])
      &lt;&gt;0,
      (Audit[[#This Row],[Winning Candidate]]-Audit[[#This Row],[Losing Candidate]]-(Audit[[#This Row],[Audit Winning Candidate]]-Audit[[#This Row],[Audit Losing Candidate]]))/(Audit[[#Totals],[Winning Candidate]]-Audit[[#Totals],[Losing Candidate]]),
      0
)</f>
        <v>0</v>
      </c>
      <c r="AD5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0" s="111">
        <f>IF(Audit[[#This Row],[Max Relative Error (ep)]] = 0, 0, Audit[[#This Row],[Max Relative Error (ep)]]/Audit[[#This Row],[Error Bound (up) - Max. possible relative overstatement]])</f>
        <v>0</v>
      </c>
      <c r="AJ5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20" s="111">
        <f t="shared" si="8"/>
        <v>1</v>
      </c>
      <c r="AL520" s="111">
        <f>PRODUCT($AK$5:AK520)</f>
        <v>8.962823818226312E-2</v>
      </c>
      <c r="AM520" s="109">
        <f>1 - [K-M P Value]</f>
        <v>0.91037176181773694</v>
      </c>
      <c r="AN520" s="111" t="str">
        <f>IF(Audit[[#This Row],[K-M P Value]]&gt;1-'General Info'!$B$16,"Continue", "Stop")</f>
        <v>Stop</v>
      </c>
      <c r="AO520" s="110" t="b">
        <f>IF(Audit[[#This Row],[Status - Continue or stop audit]] = "Continue", TRUE, IF(AN519 = "Continue", TRUE, FALSE))</f>
        <v>0</v>
      </c>
      <c r="AP520" s="110"/>
    </row>
    <row r="521" spans="1:42" ht="15" hidden="1" customHeight="1">
      <c r="A521" s="111" t="str">
        <f>'Sampling Data'!W511</f>
        <v/>
      </c>
      <c r="B521" s="112" t="str">
        <f>'Sampling Data'!A511</f>
        <v>CLEVELAND -07-L</v>
      </c>
      <c r="C521" s="112">
        <f>'Sampling Data'!B511</f>
        <v>0</v>
      </c>
      <c r="D521" s="112">
        <f>'Sampling Data'!C511</f>
        <v>1</v>
      </c>
      <c r="E521" s="113">
        <f>'Sampling Data'!D511</f>
        <v>2</v>
      </c>
      <c r="F521" s="113">
        <f>'Sampling Data'!E511</f>
        <v>0</v>
      </c>
      <c r="G521" s="113">
        <f>'Sampling Data'!F511</f>
        <v>0</v>
      </c>
      <c r="H521" s="113">
        <f>'Sampling Data'!G511</f>
        <v>0</v>
      </c>
      <c r="I521" s="112">
        <f>'Sampling Data'!H511</f>
        <v>0</v>
      </c>
      <c r="J521" s="112">
        <f>'Sampling Data'!I511</f>
        <v>0</v>
      </c>
      <c r="K521" s="112">
        <f>'Sampling Data'!J511</f>
        <v>3</v>
      </c>
      <c r="L521" s="111">
        <f>'Sampling Data'!X511</f>
        <v>0</v>
      </c>
      <c r="M521" s="114"/>
      <c r="N521" s="114"/>
      <c r="O521" s="115"/>
      <c r="P521" s="115"/>
      <c r="Q521" s="116"/>
      <c r="R521" s="116"/>
      <c r="S521" s="111">
        <f>Audit[[#This Row],[Audit Losing Candidate]]-Audit[[#This Row],[Losing Candidate]]</f>
        <v>0</v>
      </c>
      <c r="T521" s="111">
        <f>Audit[[#This Row],[Audit Winning Candidate]]-Audit[[#This Row],[Winning Candidate]]</f>
        <v>-1</v>
      </c>
      <c r="U521" s="111">
        <f>Audit[[#This Row],[Audit Candidate 3]]-Audit[[#This Row],[Candidate 3]]</f>
        <v>-2</v>
      </c>
      <c r="V521" s="111">
        <f>Audit[[#This Row],[Audit Candidate 4]]-Audit[[#This Row],[Candidate 4]]</f>
        <v>0</v>
      </c>
      <c r="W521" s="111">
        <f>Audit[[#This Row],[Audit Candidate 5]]-Audit[[#This Row],[Candidate 5]]</f>
        <v>0</v>
      </c>
      <c r="X521" s="111">
        <f>Audit[[#This Row],[Audit Candidate 6]]-Audit[[#This Row],[Candidate 6]]</f>
        <v>0</v>
      </c>
      <c r="Y521" s="111">
        <f>SUMIF(Audit[[#This Row],[Difference Loser]:[Difference Candidate 6]], "&gt;0")</f>
        <v>0</v>
      </c>
      <c r="Z521" s="111">
        <f>SUM(Audit[[#This Row],[Difference Loser]:[Difference Candidate 6]])</f>
        <v>-3</v>
      </c>
      <c r="AA521" s="111">
        <f>IF(Audit[[#This Row],[Times p Drawn - With Replacement]]&gt;0, IF(Audit[[#This Row],[Canceled Differences]]&lt;0, Audit[[#This Row],[Max Differences]]+ABS(Audit[[#This Row],[Canceled Differences]]), Audit[[#This Row],[Max Differences]]), 0)</f>
        <v>0</v>
      </c>
      <c r="AB521" s="111">
        <f>'Sampling Data'!P511</f>
        <v>2.4497795198432141E-4</v>
      </c>
      <c r="AC521" s="111">
        <f>IF(
      SUM(Audit[[#This Row],[Audit Losing Candidate]:[Audit Candidate 6]])
      &lt;&gt;0,
      (Audit[[#This Row],[Winning Candidate]]-Audit[[#This Row],[Losing Candidate]]-(Audit[[#This Row],[Audit Winning Candidate]]-Audit[[#This Row],[Audit Losing Candidate]]))/(Audit[[#Totals],[Winning Candidate]]-Audit[[#Totals],[Losing Candidate]]),
      0
)</f>
        <v>0</v>
      </c>
      <c r="AD5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1" s="111">
        <f>IF(Audit[[#This Row],[Max Relative Error (ep)]] = 0, 0, Audit[[#This Row],[Max Relative Error (ep)]]/Audit[[#This Row],[Error Bound (up) - Max. possible relative overstatement]])</f>
        <v>0</v>
      </c>
      <c r="AJ5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21" s="111">
        <f t="shared" si="8"/>
        <v>1</v>
      </c>
      <c r="AL521" s="111">
        <f>PRODUCT($AK$5:AK521)</f>
        <v>8.962823818226312E-2</v>
      </c>
      <c r="AM521" s="109">
        <f>1 - [K-M P Value]</f>
        <v>0.91037176181773694</v>
      </c>
      <c r="AN521" s="111" t="str">
        <f>IF(Audit[[#This Row],[K-M P Value]]&gt;1-'General Info'!$B$16,"Continue", "Stop")</f>
        <v>Stop</v>
      </c>
      <c r="AO521" s="110" t="b">
        <f>IF(Audit[[#This Row],[Status - Continue or stop audit]] = "Continue", TRUE, IF(AN520 = "Continue", TRUE, FALSE))</f>
        <v>0</v>
      </c>
      <c r="AP521" s="110"/>
    </row>
    <row r="522" spans="1:42" ht="15" hidden="1" customHeight="1">
      <c r="A522" s="111" t="str">
        <f>'Sampling Data'!W512</f>
        <v/>
      </c>
      <c r="B522" s="112" t="str">
        <f>'Sampling Data'!A512</f>
        <v>CLEVELAND -07-L - ABS</v>
      </c>
      <c r="C522" s="112">
        <f>'Sampling Data'!B512</f>
        <v>0</v>
      </c>
      <c r="D522" s="112">
        <f>'Sampling Data'!C512</f>
        <v>0</v>
      </c>
      <c r="E522" s="113">
        <f>'Sampling Data'!D512</f>
        <v>0</v>
      </c>
      <c r="F522" s="113">
        <f>'Sampling Data'!E512</f>
        <v>0</v>
      </c>
      <c r="G522" s="113">
        <f>'Sampling Data'!F512</f>
        <v>0</v>
      </c>
      <c r="H522" s="113">
        <f>'Sampling Data'!G512</f>
        <v>0</v>
      </c>
      <c r="I522" s="112">
        <f>'Sampling Data'!H512</f>
        <v>0</v>
      </c>
      <c r="J522" s="112">
        <f>'Sampling Data'!I512</f>
        <v>0</v>
      </c>
      <c r="K522" s="112">
        <f>'Sampling Data'!J512</f>
        <v>0</v>
      </c>
      <c r="L522" s="111">
        <f>'Sampling Data'!X512</f>
        <v>0</v>
      </c>
      <c r="M522" s="114"/>
      <c r="N522" s="114"/>
      <c r="O522" s="115"/>
      <c r="P522" s="115"/>
      <c r="Q522" s="116"/>
      <c r="R522" s="116"/>
      <c r="S522" s="111">
        <f>Audit[[#This Row],[Audit Losing Candidate]]-Audit[[#This Row],[Losing Candidate]]</f>
        <v>0</v>
      </c>
      <c r="T522" s="111">
        <f>Audit[[#This Row],[Audit Winning Candidate]]-Audit[[#This Row],[Winning Candidate]]</f>
        <v>0</v>
      </c>
      <c r="U522" s="111">
        <f>Audit[[#This Row],[Audit Candidate 3]]-Audit[[#This Row],[Candidate 3]]</f>
        <v>0</v>
      </c>
      <c r="V522" s="111">
        <f>Audit[[#This Row],[Audit Candidate 4]]-Audit[[#This Row],[Candidate 4]]</f>
        <v>0</v>
      </c>
      <c r="W522" s="111">
        <f>Audit[[#This Row],[Audit Candidate 5]]-Audit[[#This Row],[Candidate 5]]</f>
        <v>0</v>
      </c>
      <c r="X522" s="111">
        <f>Audit[[#This Row],[Audit Candidate 6]]-Audit[[#This Row],[Candidate 6]]</f>
        <v>0</v>
      </c>
      <c r="Y522" s="111">
        <f>SUMIF(Audit[[#This Row],[Difference Loser]:[Difference Candidate 6]], "&gt;0")</f>
        <v>0</v>
      </c>
      <c r="Z522" s="111">
        <f>SUM(Audit[[#This Row],[Difference Loser]:[Difference Candidate 6]])</f>
        <v>0</v>
      </c>
      <c r="AA522" s="111">
        <f>IF(Audit[[#This Row],[Times p Drawn - With Replacement]]&gt;0, IF(Audit[[#This Row],[Canceled Differences]]&lt;0, Audit[[#This Row],[Max Differences]]+ABS(Audit[[#This Row],[Canceled Differences]]), Audit[[#This Row],[Max Differences]]), 0)</f>
        <v>0</v>
      </c>
      <c r="AB522" s="111">
        <f>'Sampling Data'!P512</f>
        <v>0</v>
      </c>
      <c r="AC522" s="111">
        <f>IF(
      SUM(Audit[[#This Row],[Audit Losing Candidate]:[Audit Candidate 6]])
      &lt;&gt;0,
      (Audit[[#This Row],[Winning Candidate]]-Audit[[#This Row],[Losing Candidate]]-(Audit[[#This Row],[Audit Winning Candidate]]-Audit[[#This Row],[Audit Losing Candidate]]))/(Audit[[#Totals],[Winning Candidate]]-Audit[[#Totals],[Losing Candidate]]),
      0
)</f>
        <v>0</v>
      </c>
      <c r="AD5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2" s="111">
        <f>IF(Audit[[#This Row],[Max Relative Error (ep)]] = 0, 0, Audit[[#This Row],[Max Relative Error (ep)]]/Audit[[#This Row],[Error Bound (up) - Max. possible relative overstatement]])</f>
        <v>0</v>
      </c>
      <c r="AJ5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22" s="111">
        <f t="shared" si="8"/>
        <v>1</v>
      </c>
      <c r="AL522" s="111">
        <f>PRODUCT($AK$5:AK522)</f>
        <v>8.962823818226312E-2</v>
      </c>
      <c r="AM522" s="109">
        <f>1 - [K-M P Value]</f>
        <v>0.91037176181773694</v>
      </c>
      <c r="AN522" s="111" t="str">
        <f>IF(Audit[[#This Row],[K-M P Value]]&gt;1-'General Info'!$B$16,"Continue", "Stop")</f>
        <v>Stop</v>
      </c>
      <c r="AO522" s="110" t="b">
        <f>IF(Audit[[#This Row],[Status - Continue or stop audit]] = "Continue", TRUE, IF(AN521 = "Continue", TRUE, FALSE))</f>
        <v>0</v>
      </c>
      <c r="AP522" s="110"/>
    </row>
    <row r="523" spans="1:42" ht="15" hidden="1" customHeight="1">
      <c r="A523" s="111" t="str">
        <f>'Sampling Data'!W513</f>
        <v/>
      </c>
      <c r="B523" s="112" t="str">
        <f>'Sampling Data'!A513</f>
        <v>CLEVELAND -07-M</v>
      </c>
      <c r="C523" s="112">
        <f>'Sampling Data'!B513</f>
        <v>1</v>
      </c>
      <c r="D523" s="112">
        <f>'Sampling Data'!C513</f>
        <v>0</v>
      </c>
      <c r="E523" s="113">
        <f>'Sampling Data'!D513</f>
        <v>0</v>
      </c>
      <c r="F523" s="113">
        <f>'Sampling Data'!E513</f>
        <v>0</v>
      </c>
      <c r="G523" s="113">
        <f>'Sampling Data'!F513</f>
        <v>0</v>
      </c>
      <c r="H523" s="113">
        <f>'Sampling Data'!G513</f>
        <v>0</v>
      </c>
      <c r="I523" s="112">
        <f>'Sampling Data'!H513</f>
        <v>0</v>
      </c>
      <c r="J523" s="112">
        <f>'Sampling Data'!I513</f>
        <v>0</v>
      </c>
      <c r="K523" s="112">
        <f>'Sampling Data'!J513</f>
        <v>1</v>
      </c>
      <c r="L523" s="111">
        <f>'Sampling Data'!X513</f>
        <v>0</v>
      </c>
      <c r="M523" s="114"/>
      <c r="N523" s="114"/>
      <c r="O523" s="115"/>
      <c r="P523" s="115"/>
      <c r="Q523" s="116"/>
      <c r="R523" s="116"/>
      <c r="S523" s="111">
        <f>Audit[[#This Row],[Audit Losing Candidate]]-Audit[[#This Row],[Losing Candidate]]</f>
        <v>-1</v>
      </c>
      <c r="T523" s="111">
        <f>Audit[[#This Row],[Audit Winning Candidate]]-Audit[[#This Row],[Winning Candidate]]</f>
        <v>0</v>
      </c>
      <c r="U523" s="111">
        <f>Audit[[#This Row],[Audit Candidate 3]]-Audit[[#This Row],[Candidate 3]]</f>
        <v>0</v>
      </c>
      <c r="V523" s="111">
        <f>Audit[[#This Row],[Audit Candidate 4]]-Audit[[#This Row],[Candidate 4]]</f>
        <v>0</v>
      </c>
      <c r="W523" s="111">
        <f>Audit[[#This Row],[Audit Candidate 5]]-Audit[[#This Row],[Candidate 5]]</f>
        <v>0</v>
      </c>
      <c r="X523" s="111">
        <f>Audit[[#This Row],[Audit Candidate 6]]-Audit[[#This Row],[Candidate 6]]</f>
        <v>0</v>
      </c>
      <c r="Y523" s="111">
        <f>SUMIF(Audit[[#This Row],[Difference Loser]:[Difference Candidate 6]], "&gt;0")</f>
        <v>0</v>
      </c>
      <c r="Z523" s="111">
        <f>SUM(Audit[[#This Row],[Difference Loser]:[Difference Candidate 6]])</f>
        <v>-1</v>
      </c>
      <c r="AA523" s="111">
        <f>IF(Audit[[#This Row],[Times p Drawn - With Replacement]]&gt;0, IF(Audit[[#This Row],[Canceled Differences]]&lt;0, Audit[[#This Row],[Max Differences]]+ABS(Audit[[#This Row],[Canceled Differences]]), Audit[[#This Row],[Max Differences]]), 0)</f>
        <v>0</v>
      </c>
      <c r="AB523" s="111">
        <f>'Sampling Data'!P513</f>
        <v>3.2261186566441917E-5</v>
      </c>
      <c r="AC523" s="111">
        <f>IF(
      SUM(Audit[[#This Row],[Audit Losing Candidate]:[Audit Candidate 6]])
      &lt;&gt;0,
      (Audit[[#This Row],[Winning Candidate]]-Audit[[#This Row],[Losing Candidate]]-(Audit[[#This Row],[Audit Winning Candidate]]-Audit[[#This Row],[Audit Losing Candidate]]))/(Audit[[#Totals],[Winning Candidate]]-Audit[[#Totals],[Losing Candidate]]),
      0
)</f>
        <v>0</v>
      </c>
      <c r="AD5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3" s="111">
        <f>IF(Audit[[#This Row],[Max Relative Error (ep)]] = 0, 0, Audit[[#This Row],[Max Relative Error (ep)]]/Audit[[#This Row],[Error Bound (up) - Max. possible relative overstatement]])</f>
        <v>0</v>
      </c>
      <c r="AJ5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23" s="111">
        <f t="shared" si="8"/>
        <v>1</v>
      </c>
      <c r="AL523" s="111">
        <f>PRODUCT($AK$5:AK523)</f>
        <v>8.962823818226312E-2</v>
      </c>
      <c r="AM523" s="109">
        <f>1 - [K-M P Value]</f>
        <v>0.91037176181773694</v>
      </c>
      <c r="AN523" s="111" t="str">
        <f>IF(Audit[[#This Row],[K-M P Value]]&gt;1-'General Info'!$B$16,"Continue", "Stop")</f>
        <v>Stop</v>
      </c>
      <c r="AO523" s="110" t="b">
        <f>IF(Audit[[#This Row],[Status - Continue or stop audit]] = "Continue", TRUE, IF(AN522 = "Continue", TRUE, FALSE))</f>
        <v>0</v>
      </c>
      <c r="AP523" s="110"/>
    </row>
    <row r="524" spans="1:42" ht="15" hidden="1" customHeight="1">
      <c r="A524" s="111" t="str">
        <f>'Sampling Data'!W514</f>
        <v/>
      </c>
      <c r="B524" s="112" t="str">
        <f>'Sampling Data'!A514</f>
        <v>CLEVELAND -07-M - ABS</v>
      </c>
      <c r="C524" s="112">
        <f>'Sampling Data'!B514</f>
        <v>0</v>
      </c>
      <c r="D524" s="112">
        <f>'Sampling Data'!C514</f>
        <v>0</v>
      </c>
      <c r="E524" s="113">
        <f>'Sampling Data'!D514</f>
        <v>0</v>
      </c>
      <c r="F524" s="113">
        <f>'Sampling Data'!E514</f>
        <v>0</v>
      </c>
      <c r="G524" s="113">
        <f>'Sampling Data'!F514</f>
        <v>0</v>
      </c>
      <c r="H524" s="113">
        <f>'Sampling Data'!G514</f>
        <v>0</v>
      </c>
      <c r="I524" s="112">
        <f>'Sampling Data'!H514</f>
        <v>0</v>
      </c>
      <c r="J524" s="112">
        <f>'Sampling Data'!I514</f>
        <v>0</v>
      </c>
      <c r="K524" s="112">
        <f>'Sampling Data'!J514</f>
        <v>0</v>
      </c>
      <c r="L524" s="111">
        <f>'Sampling Data'!X514</f>
        <v>0</v>
      </c>
      <c r="M524" s="114"/>
      <c r="N524" s="114"/>
      <c r="O524" s="115"/>
      <c r="P524" s="115"/>
      <c r="Q524" s="116"/>
      <c r="R524" s="116"/>
      <c r="S524" s="111">
        <f>Audit[[#This Row],[Audit Losing Candidate]]-Audit[[#This Row],[Losing Candidate]]</f>
        <v>0</v>
      </c>
      <c r="T524" s="111">
        <f>Audit[[#This Row],[Audit Winning Candidate]]-Audit[[#This Row],[Winning Candidate]]</f>
        <v>0</v>
      </c>
      <c r="U524" s="111">
        <f>Audit[[#This Row],[Audit Candidate 3]]-Audit[[#This Row],[Candidate 3]]</f>
        <v>0</v>
      </c>
      <c r="V524" s="111">
        <f>Audit[[#This Row],[Audit Candidate 4]]-Audit[[#This Row],[Candidate 4]]</f>
        <v>0</v>
      </c>
      <c r="W524" s="111">
        <f>Audit[[#This Row],[Audit Candidate 5]]-Audit[[#This Row],[Candidate 5]]</f>
        <v>0</v>
      </c>
      <c r="X524" s="111">
        <f>Audit[[#This Row],[Audit Candidate 6]]-Audit[[#This Row],[Candidate 6]]</f>
        <v>0</v>
      </c>
      <c r="Y524" s="111">
        <f>SUMIF(Audit[[#This Row],[Difference Loser]:[Difference Candidate 6]], "&gt;0")</f>
        <v>0</v>
      </c>
      <c r="Z524" s="111">
        <f>SUM(Audit[[#This Row],[Difference Loser]:[Difference Candidate 6]])</f>
        <v>0</v>
      </c>
      <c r="AA524" s="111">
        <f>IF(Audit[[#This Row],[Times p Drawn - With Replacement]]&gt;0, IF(Audit[[#This Row],[Canceled Differences]]&lt;0, Audit[[#This Row],[Max Differences]]+ABS(Audit[[#This Row],[Canceled Differences]]), Audit[[#This Row],[Max Differences]]), 0)</f>
        <v>0</v>
      </c>
      <c r="AB524" s="111">
        <f>'Sampling Data'!P514</f>
        <v>0</v>
      </c>
      <c r="AC524" s="111">
        <f>IF(
      SUM(Audit[[#This Row],[Audit Losing Candidate]:[Audit Candidate 6]])
      &lt;&gt;0,
      (Audit[[#This Row],[Winning Candidate]]-Audit[[#This Row],[Losing Candidate]]-(Audit[[#This Row],[Audit Winning Candidate]]-Audit[[#This Row],[Audit Losing Candidate]]))/(Audit[[#Totals],[Winning Candidate]]-Audit[[#Totals],[Losing Candidate]]),
      0
)</f>
        <v>0</v>
      </c>
      <c r="AD5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4" s="111">
        <f>IF(Audit[[#This Row],[Max Relative Error (ep)]] = 0, 0, Audit[[#This Row],[Max Relative Error (ep)]]/Audit[[#This Row],[Error Bound (up) - Max. possible relative overstatement]])</f>
        <v>0</v>
      </c>
      <c r="AJ5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24" s="111">
        <f t="shared" si="8"/>
        <v>1</v>
      </c>
      <c r="AL524" s="111">
        <f>PRODUCT($AK$5:AK524)</f>
        <v>8.962823818226312E-2</v>
      </c>
      <c r="AM524" s="109">
        <f>1 - [K-M P Value]</f>
        <v>0.91037176181773694</v>
      </c>
      <c r="AN524" s="111" t="str">
        <f>IF(Audit[[#This Row],[K-M P Value]]&gt;1-'General Info'!$B$16,"Continue", "Stop")</f>
        <v>Stop</v>
      </c>
      <c r="AO524" s="110" t="b">
        <f>IF(Audit[[#This Row],[Status - Continue or stop audit]] = "Continue", TRUE, IF(AN523 = "Continue", TRUE, FALSE))</f>
        <v>0</v>
      </c>
      <c r="AP524" s="110"/>
    </row>
    <row r="525" spans="1:42" ht="15" hidden="1" customHeight="1">
      <c r="A525" s="111" t="str">
        <f>'Sampling Data'!W515</f>
        <v/>
      </c>
      <c r="B525" s="112" t="str">
        <f>'Sampling Data'!A515</f>
        <v>CLEVELAND -07-N</v>
      </c>
      <c r="C525" s="112">
        <f>'Sampling Data'!B515</f>
        <v>1</v>
      </c>
      <c r="D525" s="112">
        <f>'Sampling Data'!C515</f>
        <v>0</v>
      </c>
      <c r="E525" s="113">
        <f>'Sampling Data'!D515</f>
        <v>0</v>
      </c>
      <c r="F525" s="113">
        <f>'Sampling Data'!E515</f>
        <v>0</v>
      </c>
      <c r="G525" s="113">
        <f>'Sampling Data'!F515</f>
        <v>0</v>
      </c>
      <c r="H525" s="113">
        <f>'Sampling Data'!G515</f>
        <v>0</v>
      </c>
      <c r="I525" s="112">
        <f>'Sampling Data'!H515</f>
        <v>0</v>
      </c>
      <c r="J525" s="112">
        <f>'Sampling Data'!I515</f>
        <v>0</v>
      </c>
      <c r="K525" s="112">
        <f>'Sampling Data'!J515</f>
        <v>1</v>
      </c>
      <c r="L525" s="111">
        <f>'Sampling Data'!X515</f>
        <v>0</v>
      </c>
      <c r="M525" s="114"/>
      <c r="N525" s="114"/>
      <c r="O525" s="115"/>
      <c r="P525" s="115"/>
      <c r="Q525" s="116"/>
      <c r="R525" s="116"/>
      <c r="S525" s="111">
        <f>Audit[[#This Row],[Audit Losing Candidate]]-Audit[[#This Row],[Losing Candidate]]</f>
        <v>-1</v>
      </c>
      <c r="T525" s="111">
        <f>Audit[[#This Row],[Audit Winning Candidate]]-Audit[[#This Row],[Winning Candidate]]</f>
        <v>0</v>
      </c>
      <c r="U525" s="111">
        <f>Audit[[#This Row],[Audit Candidate 3]]-Audit[[#This Row],[Candidate 3]]</f>
        <v>0</v>
      </c>
      <c r="V525" s="111">
        <f>Audit[[#This Row],[Audit Candidate 4]]-Audit[[#This Row],[Candidate 4]]</f>
        <v>0</v>
      </c>
      <c r="W525" s="111">
        <f>Audit[[#This Row],[Audit Candidate 5]]-Audit[[#This Row],[Candidate 5]]</f>
        <v>0</v>
      </c>
      <c r="X525" s="111">
        <f>Audit[[#This Row],[Audit Candidate 6]]-Audit[[#This Row],[Candidate 6]]</f>
        <v>0</v>
      </c>
      <c r="Y525" s="111">
        <f>SUMIF(Audit[[#This Row],[Difference Loser]:[Difference Candidate 6]], "&gt;0")</f>
        <v>0</v>
      </c>
      <c r="Z525" s="111">
        <f>SUM(Audit[[#This Row],[Difference Loser]:[Difference Candidate 6]])</f>
        <v>-1</v>
      </c>
      <c r="AA525" s="111">
        <f>IF(Audit[[#This Row],[Times p Drawn - With Replacement]]&gt;0, IF(Audit[[#This Row],[Canceled Differences]]&lt;0, Audit[[#This Row],[Max Differences]]+ABS(Audit[[#This Row],[Canceled Differences]]), Audit[[#This Row],[Max Differences]]), 0)</f>
        <v>0</v>
      </c>
      <c r="AB525" s="111">
        <f>'Sampling Data'!P515</f>
        <v>3.2261186566441917E-5</v>
      </c>
      <c r="AC525" s="111">
        <f>IF(
      SUM(Audit[[#This Row],[Audit Losing Candidate]:[Audit Candidate 6]])
      &lt;&gt;0,
      (Audit[[#This Row],[Winning Candidate]]-Audit[[#This Row],[Losing Candidate]]-(Audit[[#This Row],[Audit Winning Candidate]]-Audit[[#This Row],[Audit Losing Candidate]]))/(Audit[[#Totals],[Winning Candidate]]-Audit[[#Totals],[Losing Candidate]]),
      0
)</f>
        <v>0</v>
      </c>
      <c r="AD5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5" s="111">
        <f>IF(Audit[[#This Row],[Max Relative Error (ep)]] = 0, 0, Audit[[#This Row],[Max Relative Error (ep)]]/Audit[[#This Row],[Error Bound (up) - Max. possible relative overstatement]])</f>
        <v>0</v>
      </c>
      <c r="AJ5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25" s="111">
        <f t="shared" si="8"/>
        <v>1</v>
      </c>
      <c r="AL525" s="111">
        <f>PRODUCT($AK$5:AK525)</f>
        <v>8.962823818226312E-2</v>
      </c>
      <c r="AM525" s="109">
        <f>1 - [K-M P Value]</f>
        <v>0.91037176181773694</v>
      </c>
      <c r="AN525" s="111" t="str">
        <f>IF(Audit[[#This Row],[K-M P Value]]&gt;1-'General Info'!$B$16,"Continue", "Stop")</f>
        <v>Stop</v>
      </c>
      <c r="AO525" s="110" t="b">
        <f>IF(Audit[[#This Row],[Status - Continue or stop audit]] = "Continue", TRUE, IF(AN524 = "Continue", TRUE, FALSE))</f>
        <v>0</v>
      </c>
      <c r="AP525" s="110"/>
    </row>
    <row r="526" spans="1:42" ht="15" hidden="1" customHeight="1">
      <c r="A526" s="111" t="str">
        <f>'Sampling Data'!W516</f>
        <v/>
      </c>
      <c r="B526" s="112" t="str">
        <f>'Sampling Data'!A516</f>
        <v>CLEVELAND -07-N - ABS</v>
      </c>
      <c r="C526" s="112">
        <f>'Sampling Data'!B516</f>
        <v>0</v>
      </c>
      <c r="D526" s="112">
        <f>'Sampling Data'!C516</f>
        <v>0</v>
      </c>
      <c r="E526" s="113">
        <f>'Sampling Data'!D516</f>
        <v>0</v>
      </c>
      <c r="F526" s="113">
        <f>'Sampling Data'!E516</f>
        <v>0</v>
      </c>
      <c r="G526" s="113">
        <f>'Sampling Data'!F516</f>
        <v>0</v>
      </c>
      <c r="H526" s="113">
        <f>'Sampling Data'!G516</f>
        <v>0</v>
      </c>
      <c r="I526" s="112">
        <f>'Sampling Data'!H516</f>
        <v>0</v>
      </c>
      <c r="J526" s="112">
        <f>'Sampling Data'!I516</f>
        <v>0</v>
      </c>
      <c r="K526" s="112">
        <f>'Sampling Data'!J516</f>
        <v>0</v>
      </c>
      <c r="L526" s="111">
        <f>'Sampling Data'!X516</f>
        <v>0</v>
      </c>
      <c r="M526" s="114"/>
      <c r="N526" s="114"/>
      <c r="O526" s="115"/>
      <c r="P526" s="115"/>
      <c r="Q526" s="116"/>
      <c r="R526" s="116"/>
      <c r="S526" s="111">
        <f>Audit[[#This Row],[Audit Losing Candidate]]-Audit[[#This Row],[Losing Candidate]]</f>
        <v>0</v>
      </c>
      <c r="T526" s="111">
        <f>Audit[[#This Row],[Audit Winning Candidate]]-Audit[[#This Row],[Winning Candidate]]</f>
        <v>0</v>
      </c>
      <c r="U526" s="111">
        <f>Audit[[#This Row],[Audit Candidate 3]]-Audit[[#This Row],[Candidate 3]]</f>
        <v>0</v>
      </c>
      <c r="V526" s="111">
        <f>Audit[[#This Row],[Audit Candidate 4]]-Audit[[#This Row],[Candidate 4]]</f>
        <v>0</v>
      </c>
      <c r="W526" s="111">
        <f>Audit[[#This Row],[Audit Candidate 5]]-Audit[[#This Row],[Candidate 5]]</f>
        <v>0</v>
      </c>
      <c r="X526" s="111">
        <f>Audit[[#This Row],[Audit Candidate 6]]-Audit[[#This Row],[Candidate 6]]</f>
        <v>0</v>
      </c>
      <c r="Y526" s="111">
        <f>SUMIF(Audit[[#This Row],[Difference Loser]:[Difference Candidate 6]], "&gt;0")</f>
        <v>0</v>
      </c>
      <c r="Z526" s="111">
        <f>SUM(Audit[[#This Row],[Difference Loser]:[Difference Candidate 6]])</f>
        <v>0</v>
      </c>
      <c r="AA526" s="111">
        <f>IF(Audit[[#This Row],[Times p Drawn - With Replacement]]&gt;0, IF(Audit[[#This Row],[Canceled Differences]]&lt;0, Audit[[#This Row],[Max Differences]]+ABS(Audit[[#This Row],[Canceled Differences]]), Audit[[#This Row],[Max Differences]]), 0)</f>
        <v>0</v>
      </c>
      <c r="AB526" s="111">
        <f>'Sampling Data'!P516</f>
        <v>0</v>
      </c>
      <c r="AC526" s="111">
        <f>IF(
      SUM(Audit[[#This Row],[Audit Losing Candidate]:[Audit Candidate 6]])
      &lt;&gt;0,
      (Audit[[#This Row],[Winning Candidate]]-Audit[[#This Row],[Losing Candidate]]-(Audit[[#This Row],[Audit Winning Candidate]]-Audit[[#This Row],[Audit Losing Candidate]]))/(Audit[[#Totals],[Winning Candidate]]-Audit[[#Totals],[Losing Candidate]]),
      0
)</f>
        <v>0</v>
      </c>
      <c r="AD5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6" s="111">
        <f>IF(Audit[[#This Row],[Max Relative Error (ep)]] = 0, 0, Audit[[#This Row],[Max Relative Error (ep)]]/Audit[[#This Row],[Error Bound (up) - Max. possible relative overstatement]])</f>
        <v>0</v>
      </c>
      <c r="AJ5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26" s="111">
        <f t="shared" si="8"/>
        <v>1</v>
      </c>
      <c r="AL526" s="111">
        <f>PRODUCT($AK$5:AK526)</f>
        <v>8.962823818226312E-2</v>
      </c>
      <c r="AM526" s="109">
        <f>1 - [K-M P Value]</f>
        <v>0.91037176181773694</v>
      </c>
      <c r="AN526" s="111" t="str">
        <f>IF(Audit[[#This Row],[K-M P Value]]&gt;1-'General Info'!$B$16,"Continue", "Stop")</f>
        <v>Stop</v>
      </c>
      <c r="AO526" s="110" t="b">
        <f>IF(Audit[[#This Row],[Status - Continue or stop audit]] = "Continue", TRUE, IF(AN525 = "Continue", TRUE, FALSE))</f>
        <v>0</v>
      </c>
      <c r="AP526" s="110"/>
    </row>
    <row r="527" spans="1:42" ht="15" hidden="1" customHeight="1">
      <c r="A527" s="111" t="str">
        <f>'Sampling Data'!W517</f>
        <v/>
      </c>
      <c r="B527" s="112" t="str">
        <f>'Sampling Data'!A517</f>
        <v>CLEVELAND -07-O</v>
      </c>
      <c r="C527" s="112">
        <f>'Sampling Data'!B517</f>
        <v>4</v>
      </c>
      <c r="D527" s="112">
        <f>'Sampling Data'!C517</f>
        <v>0</v>
      </c>
      <c r="E527" s="113">
        <f>'Sampling Data'!D517</f>
        <v>2</v>
      </c>
      <c r="F527" s="113">
        <f>'Sampling Data'!E517</f>
        <v>0</v>
      </c>
      <c r="G527" s="113">
        <f>'Sampling Data'!F517</f>
        <v>0</v>
      </c>
      <c r="H527" s="113">
        <f>'Sampling Data'!G517</f>
        <v>0</v>
      </c>
      <c r="I527" s="112">
        <f>'Sampling Data'!H517</f>
        <v>0</v>
      </c>
      <c r="J527" s="112">
        <f>'Sampling Data'!I517</f>
        <v>0</v>
      </c>
      <c r="K527" s="112">
        <f>'Sampling Data'!J517</f>
        <v>6</v>
      </c>
      <c r="L527" s="111">
        <f>'Sampling Data'!X517</f>
        <v>0</v>
      </c>
      <c r="M527" s="114"/>
      <c r="N527" s="114"/>
      <c r="O527" s="115"/>
      <c r="P527" s="115"/>
      <c r="Q527" s="116"/>
      <c r="R527" s="116"/>
      <c r="S527" s="111">
        <f>Audit[[#This Row],[Audit Losing Candidate]]-Audit[[#This Row],[Losing Candidate]]</f>
        <v>-4</v>
      </c>
      <c r="T527" s="111">
        <f>Audit[[#This Row],[Audit Winning Candidate]]-Audit[[#This Row],[Winning Candidate]]</f>
        <v>0</v>
      </c>
      <c r="U527" s="111">
        <f>Audit[[#This Row],[Audit Candidate 3]]-Audit[[#This Row],[Candidate 3]]</f>
        <v>-2</v>
      </c>
      <c r="V527" s="111">
        <f>Audit[[#This Row],[Audit Candidate 4]]-Audit[[#This Row],[Candidate 4]]</f>
        <v>0</v>
      </c>
      <c r="W527" s="111">
        <f>Audit[[#This Row],[Audit Candidate 5]]-Audit[[#This Row],[Candidate 5]]</f>
        <v>0</v>
      </c>
      <c r="X527" s="111">
        <f>Audit[[#This Row],[Audit Candidate 6]]-Audit[[#This Row],[Candidate 6]]</f>
        <v>0</v>
      </c>
      <c r="Y527" s="111">
        <f>SUMIF(Audit[[#This Row],[Difference Loser]:[Difference Candidate 6]], "&gt;0")</f>
        <v>0</v>
      </c>
      <c r="Z527" s="111">
        <f>SUM(Audit[[#This Row],[Difference Loser]:[Difference Candidate 6]])</f>
        <v>-6</v>
      </c>
      <c r="AA527" s="111">
        <f>IF(Audit[[#This Row],[Times p Drawn - With Replacement]]&gt;0, IF(Audit[[#This Row],[Canceled Differences]]&lt;0, Audit[[#This Row],[Max Differences]]+ABS(Audit[[#This Row],[Canceled Differences]]), Audit[[#This Row],[Max Differences]]), 0)</f>
        <v>0</v>
      </c>
      <c r="AB527" s="111">
        <f>'Sampling Data'!P517</f>
        <v>1.7539244058581075E-4</v>
      </c>
      <c r="AC527" s="111">
        <f>IF(
      SUM(Audit[[#This Row],[Audit Losing Candidate]:[Audit Candidate 6]])
      &lt;&gt;0,
      (Audit[[#This Row],[Winning Candidate]]-Audit[[#This Row],[Losing Candidate]]-(Audit[[#This Row],[Audit Winning Candidate]]-Audit[[#This Row],[Audit Losing Candidate]]))/(Audit[[#Totals],[Winning Candidate]]-Audit[[#Totals],[Losing Candidate]]),
      0
)</f>
        <v>0</v>
      </c>
      <c r="AD5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7" s="111">
        <f>IF(Audit[[#This Row],[Max Relative Error (ep)]] = 0, 0, Audit[[#This Row],[Max Relative Error (ep)]]/Audit[[#This Row],[Error Bound (up) - Max. possible relative overstatement]])</f>
        <v>0</v>
      </c>
      <c r="AJ5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27" s="111">
        <f t="shared" si="8"/>
        <v>1</v>
      </c>
      <c r="AL527" s="111">
        <f>PRODUCT($AK$5:AK527)</f>
        <v>8.962823818226312E-2</v>
      </c>
      <c r="AM527" s="109">
        <f>1 - [K-M P Value]</f>
        <v>0.91037176181773694</v>
      </c>
      <c r="AN527" s="111" t="str">
        <f>IF(Audit[[#This Row],[K-M P Value]]&gt;1-'General Info'!$B$16,"Continue", "Stop")</f>
        <v>Stop</v>
      </c>
      <c r="AO527" s="110" t="b">
        <f>IF(Audit[[#This Row],[Status - Continue or stop audit]] = "Continue", TRUE, IF(AN526 = "Continue", TRUE, FALSE))</f>
        <v>0</v>
      </c>
      <c r="AP527" s="110"/>
    </row>
    <row r="528" spans="1:42" ht="15" hidden="1" customHeight="1">
      <c r="A528" s="111" t="str">
        <f>'Sampling Data'!W518</f>
        <v/>
      </c>
      <c r="B528" s="112" t="str">
        <f>'Sampling Data'!A518</f>
        <v>CLEVELAND -07-O - ABS</v>
      </c>
      <c r="C528" s="112">
        <f>'Sampling Data'!B518</f>
        <v>0</v>
      </c>
      <c r="D528" s="112">
        <f>'Sampling Data'!C518</f>
        <v>2</v>
      </c>
      <c r="E528" s="113">
        <f>'Sampling Data'!D518</f>
        <v>2</v>
      </c>
      <c r="F528" s="113">
        <f>'Sampling Data'!E518</f>
        <v>2</v>
      </c>
      <c r="G528" s="113">
        <f>'Sampling Data'!F518</f>
        <v>0</v>
      </c>
      <c r="H528" s="113">
        <f>'Sampling Data'!G518</f>
        <v>0</v>
      </c>
      <c r="I528" s="112">
        <f>'Sampling Data'!H518</f>
        <v>0</v>
      </c>
      <c r="J528" s="112">
        <f>'Sampling Data'!I518</f>
        <v>0</v>
      </c>
      <c r="K528" s="112">
        <f>'Sampling Data'!J518</f>
        <v>6</v>
      </c>
      <c r="L528" s="111">
        <f>'Sampling Data'!X518</f>
        <v>0</v>
      </c>
      <c r="M528" s="114"/>
      <c r="N528" s="114"/>
      <c r="O528" s="115"/>
      <c r="P528" s="115"/>
      <c r="Q528" s="116"/>
      <c r="R528" s="116"/>
      <c r="S528" s="111">
        <f>Audit[[#This Row],[Audit Losing Candidate]]-Audit[[#This Row],[Losing Candidate]]</f>
        <v>0</v>
      </c>
      <c r="T528" s="111">
        <f>Audit[[#This Row],[Audit Winning Candidate]]-Audit[[#This Row],[Winning Candidate]]</f>
        <v>-2</v>
      </c>
      <c r="U528" s="111">
        <f>Audit[[#This Row],[Audit Candidate 3]]-Audit[[#This Row],[Candidate 3]]</f>
        <v>-2</v>
      </c>
      <c r="V528" s="111">
        <f>Audit[[#This Row],[Audit Candidate 4]]-Audit[[#This Row],[Candidate 4]]</f>
        <v>-2</v>
      </c>
      <c r="W528" s="111">
        <f>Audit[[#This Row],[Audit Candidate 5]]-Audit[[#This Row],[Candidate 5]]</f>
        <v>0</v>
      </c>
      <c r="X528" s="111">
        <f>Audit[[#This Row],[Audit Candidate 6]]-Audit[[#This Row],[Candidate 6]]</f>
        <v>0</v>
      </c>
      <c r="Y528" s="111">
        <f>SUMIF(Audit[[#This Row],[Difference Loser]:[Difference Candidate 6]], "&gt;0")</f>
        <v>0</v>
      </c>
      <c r="Z528" s="111">
        <f>SUM(Audit[[#This Row],[Difference Loser]:[Difference Candidate 6]])</f>
        <v>-6</v>
      </c>
      <c r="AA528" s="111">
        <f>IF(Audit[[#This Row],[Times p Drawn - With Replacement]]&gt;0, IF(Audit[[#This Row],[Canceled Differences]]&lt;0, Audit[[#This Row],[Max Differences]]+ABS(Audit[[#This Row],[Canceled Differences]]), Audit[[#This Row],[Max Differences]]), 0)</f>
        <v>0</v>
      </c>
      <c r="AB528" s="111">
        <f>'Sampling Data'!P518</f>
        <v>4.8995590396864281E-4</v>
      </c>
      <c r="AC528" s="111">
        <f>IF(
      SUM(Audit[[#This Row],[Audit Losing Candidate]:[Audit Candidate 6]])
      &lt;&gt;0,
      (Audit[[#This Row],[Winning Candidate]]-Audit[[#This Row],[Losing Candidate]]-(Audit[[#This Row],[Audit Winning Candidate]]-Audit[[#This Row],[Audit Losing Candidate]]))/(Audit[[#Totals],[Winning Candidate]]-Audit[[#Totals],[Losing Candidate]]),
      0
)</f>
        <v>0</v>
      </c>
      <c r="AD5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8" s="111">
        <f>IF(Audit[[#This Row],[Max Relative Error (ep)]] = 0, 0, Audit[[#This Row],[Max Relative Error (ep)]]/Audit[[#This Row],[Error Bound (up) - Max. possible relative overstatement]])</f>
        <v>0</v>
      </c>
      <c r="AJ5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28" s="111">
        <f t="shared" si="8"/>
        <v>1</v>
      </c>
      <c r="AL528" s="111">
        <f>PRODUCT($AK$5:AK528)</f>
        <v>8.962823818226312E-2</v>
      </c>
      <c r="AM528" s="109">
        <f>1 - [K-M P Value]</f>
        <v>0.91037176181773694</v>
      </c>
      <c r="AN528" s="111" t="str">
        <f>IF(Audit[[#This Row],[K-M P Value]]&gt;1-'General Info'!$B$16,"Continue", "Stop")</f>
        <v>Stop</v>
      </c>
      <c r="AO528" s="110" t="b">
        <f>IF(Audit[[#This Row],[Status - Continue or stop audit]] = "Continue", TRUE, IF(AN527 = "Continue", TRUE, FALSE))</f>
        <v>0</v>
      </c>
      <c r="AP528" s="110"/>
    </row>
    <row r="529" spans="1:42" ht="15" hidden="1" customHeight="1">
      <c r="A529" s="111" t="str">
        <f>'Sampling Data'!W519</f>
        <v/>
      </c>
      <c r="B529" s="112" t="str">
        <f>'Sampling Data'!A519</f>
        <v>CLEVELAND -07-P</v>
      </c>
      <c r="C529" s="112">
        <f>'Sampling Data'!B519</f>
        <v>0</v>
      </c>
      <c r="D529" s="112">
        <f>'Sampling Data'!C519</f>
        <v>0</v>
      </c>
      <c r="E529" s="113">
        <f>'Sampling Data'!D519</f>
        <v>0</v>
      </c>
      <c r="F529" s="113">
        <f>'Sampling Data'!E519</f>
        <v>0</v>
      </c>
      <c r="G529" s="113">
        <f>'Sampling Data'!F519</f>
        <v>0</v>
      </c>
      <c r="H529" s="113">
        <f>'Sampling Data'!G519</f>
        <v>0</v>
      </c>
      <c r="I529" s="112">
        <f>'Sampling Data'!H519</f>
        <v>0</v>
      </c>
      <c r="J529" s="112">
        <f>'Sampling Data'!I519</f>
        <v>0</v>
      </c>
      <c r="K529" s="112">
        <f>'Sampling Data'!J519</f>
        <v>0</v>
      </c>
      <c r="L529" s="111">
        <f>'Sampling Data'!X519</f>
        <v>0</v>
      </c>
      <c r="M529" s="114"/>
      <c r="N529" s="114"/>
      <c r="O529" s="115"/>
      <c r="P529" s="115"/>
      <c r="Q529" s="116"/>
      <c r="R529" s="116"/>
      <c r="S529" s="111">
        <f>Audit[[#This Row],[Audit Losing Candidate]]-Audit[[#This Row],[Losing Candidate]]</f>
        <v>0</v>
      </c>
      <c r="T529" s="111">
        <f>Audit[[#This Row],[Audit Winning Candidate]]-Audit[[#This Row],[Winning Candidate]]</f>
        <v>0</v>
      </c>
      <c r="U529" s="111">
        <f>Audit[[#This Row],[Audit Candidate 3]]-Audit[[#This Row],[Candidate 3]]</f>
        <v>0</v>
      </c>
      <c r="V529" s="111">
        <f>Audit[[#This Row],[Audit Candidate 4]]-Audit[[#This Row],[Candidate 4]]</f>
        <v>0</v>
      </c>
      <c r="W529" s="111">
        <f>Audit[[#This Row],[Audit Candidate 5]]-Audit[[#This Row],[Candidate 5]]</f>
        <v>0</v>
      </c>
      <c r="X529" s="111">
        <f>Audit[[#This Row],[Audit Candidate 6]]-Audit[[#This Row],[Candidate 6]]</f>
        <v>0</v>
      </c>
      <c r="Y529" s="111">
        <f>SUMIF(Audit[[#This Row],[Difference Loser]:[Difference Candidate 6]], "&gt;0")</f>
        <v>0</v>
      </c>
      <c r="Z529" s="111">
        <f>SUM(Audit[[#This Row],[Difference Loser]:[Difference Candidate 6]])</f>
        <v>0</v>
      </c>
      <c r="AA529" s="111">
        <f>IF(Audit[[#This Row],[Times p Drawn - With Replacement]]&gt;0, IF(Audit[[#This Row],[Canceled Differences]]&lt;0, Audit[[#This Row],[Max Differences]]+ABS(Audit[[#This Row],[Canceled Differences]]), Audit[[#This Row],[Max Differences]]), 0)</f>
        <v>0</v>
      </c>
      <c r="AB529" s="111">
        <f>'Sampling Data'!P519</f>
        <v>0</v>
      </c>
      <c r="AC529" s="111">
        <f>IF(
      SUM(Audit[[#This Row],[Audit Losing Candidate]:[Audit Candidate 6]])
      &lt;&gt;0,
      (Audit[[#This Row],[Winning Candidate]]-Audit[[#This Row],[Losing Candidate]]-(Audit[[#This Row],[Audit Winning Candidate]]-Audit[[#This Row],[Audit Losing Candidate]]))/(Audit[[#Totals],[Winning Candidate]]-Audit[[#Totals],[Losing Candidate]]),
      0
)</f>
        <v>0</v>
      </c>
      <c r="AD5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9" s="111">
        <f>IF(Audit[[#This Row],[Max Relative Error (ep)]] = 0, 0, Audit[[#This Row],[Max Relative Error (ep)]]/Audit[[#This Row],[Error Bound (up) - Max. possible relative overstatement]])</f>
        <v>0</v>
      </c>
      <c r="AJ5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29" s="111">
        <f t="shared" si="8"/>
        <v>1</v>
      </c>
      <c r="AL529" s="111">
        <f>PRODUCT($AK$5:AK529)</f>
        <v>8.962823818226312E-2</v>
      </c>
      <c r="AM529" s="109">
        <f>1 - [K-M P Value]</f>
        <v>0.91037176181773694</v>
      </c>
      <c r="AN529" s="111" t="str">
        <f>IF(Audit[[#This Row],[K-M P Value]]&gt;1-'General Info'!$B$16,"Continue", "Stop")</f>
        <v>Stop</v>
      </c>
      <c r="AO529" s="110" t="b">
        <f>IF(Audit[[#This Row],[Status - Continue or stop audit]] = "Continue", TRUE, IF(AN528 = "Continue", TRUE, FALSE))</f>
        <v>0</v>
      </c>
      <c r="AP529" s="110"/>
    </row>
    <row r="530" spans="1:42" ht="15" hidden="1" customHeight="1">
      <c r="A530" s="111" t="str">
        <f>'Sampling Data'!W520</f>
        <v/>
      </c>
      <c r="B530" s="112" t="str">
        <f>'Sampling Data'!A520</f>
        <v>CLEVELAND -07-P - ABS</v>
      </c>
      <c r="C530" s="112">
        <f>'Sampling Data'!B520</f>
        <v>0</v>
      </c>
      <c r="D530" s="112">
        <f>'Sampling Data'!C520</f>
        <v>0</v>
      </c>
      <c r="E530" s="113">
        <f>'Sampling Data'!D520</f>
        <v>2</v>
      </c>
      <c r="F530" s="113">
        <f>'Sampling Data'!E520</f>
        <v>0</v>
      </c>
      <c r="G530" s="113">
        <f>'Sampling Data'!F520</f>
        <v>0</v>
      </c>
      <c r="H530" s="113">
        <f>'Sampling Data'!G520</f>
        <v>0</v>
      </c>
      <c r="I530" s="112">
        <f>'Sampling Data'!H520</f>
        <v>0</v>
      </c>
      <c r="J530" s="112">
        <f>'Sampling Data'!I520</f>
        <v>0</v>
      </c>
      <c r="K530" s="112">
        <f>'Sampling Data'!J520</f>
        <v>2</v>
      </c>
      <c r="L530" s="111">
        <f>'Sampling Data'!X520</f>
        <v>0</v>
      </c>
      <c r="M530" s="114"/>
      <c r="N530" s="114"/>
      <c r="O530" s="115"/>
      <c r="P530" s="115"/>
      <c r="Q530" s="116"/>
      <c r="R530" s="116"/>
      <c r="S530" s="111">
        <f>Audit[[#This Row],[Audit Losing Candidate]]-Audit[[#This Row],[Losing Candidate]]</f>
        <v>0</v>
      </c>
      <c r="T530" s="111">
        <f>Audit[[#This Row],[Audit Winning Candidate]]-Audit[[#This Row],[Winning Candidate]]</f>
        <v>0</v>
      </c>
      <c r="U530" s="111">
        <f>Audit[[#This Row],[Audit Candidate 3]]-Audit[[#This Row],[Candidate 3]]</f>
        <v>-2</v>
      </c>
      <c r="V530" s="111">
        <f>Audit[[#This Row],[Audit Candidate 4]]-Audit[[#This Row],[Candidate 4]]</f>
        <v>0</v>
      </c>
      <c r="W530" s="111">
        <f>Audit[[#This Row],[Audit Candidate 5]]-Audit[[#This Row],[Candidate 5]]</f>
        <v>0</v>
      </c>
      <c r="X530" s="111">
        <f>Audit[[#This Row],[Audit Candidate 6]]-Audit[[#This Row],[Candidate 6]]</f>
        <v>0</v>
      </c>
      <c r="Y530" s="111">
        <f>SUMIF(Audit[[#This Row],[Difference Loser]:[Difference Candidate 6]], "&gt;0")</f>
        <v>0</v>
      </c>
      <c r="Z530" s="111">
        <f>SUM(Audit[[#This Row],[Difference Loser]:[Difference Candidate 6]])</f>
        <v>-2</v>
      </c>
      <c r="AA530" s="111">
        <f>IF(Audit[[#This Row],[Times p Drawn - With Replacement]]&gt;0, IF(Audit[[#This Row],[Canceled Differences]]&lt;0, Audit[[#This Row],[Max Differences]]+ABS(Audit[[#This Row],[Canceled Differences]]), Audit[[#This Row],[Max Differences]]), 0)</f>
        <v>0</v>
      </c>
      <c r="AB530" s="111">
        <f>'Sampling Data'!P520</f>
        <v>1.224889759921607E-4</v>
      </c>
      <c r="AC530" s="111">
        <f>IF(
      SUM(Audit[[#This Row],[Audit Losing Candidate]:[Audit Candidate 6]])
      &lt;&gt;0,
      (Audit[[#This Row],[Winning Candidate]]-Audit[[#This Row],[Losing Candidate]]-(Audit[[#This Row],[Audit Winning Candidate]]-Audit[[#This Row],[Audit Losing Candidate]]))/(Audit[[#Totals],[Winning Candidate]]-Audit[[#Totals],[Losing Candidate]]),
      0
)</f>
        <v>0</v>
      </c>
      <c r="AD5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0" s="111">
        <f>IF(Audit[[#This Row],[Max Relative Error (ep)]] = 0, 0, Audit[[#This Row],[Max Relative Error (ep)]]/Audit[[#This Row],[Error Bound (up) - Max. possible relative overstatement]])</f>
        <v>0</v>
      </c>
      <c r="AJ5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30" s="111">
        <f t="shared" si="8"/>
        <v>1</v>
      </c>
      <c r="AL530" s="111">
        <f>PRODUCT($AK$5:AK530)</f>
        <v>8.962823818226312E-2</v>
      </c>
      <c r="AM530" s="109">
        <f>1 - [K-M P Value]</f>
        <v>0.91037176181773694</v>
      </c>
      <c r="AN530" s="111" t="str">
        <f>IF(Audit[[#This Row],[K-M P Value]]&gt;1-'General Info'!$B$16,"Continue", "Stop")</f>
        <v>Stop</v>
      </c>
      <c r="AO530" s="110" t="b">
        <f>IF(Audit[[#This Row],[Status - Continue or stop audit]] = "Continue", TRUE, IF(AN529 = "Continue", TRUE, FALSE))</f>
        <v>0</v>
      </c>
      <c r="AP530" s="110"/>
    </row>
    <row r="531" spans="1:42" ht="15" hidden="1" customHeight="1">
      <c r="A531" s="111" t="str">
        <f>'Sampling Data'!W521</f>
        <v/>
      </c>
      <c r="B531" s="112" t="str">
        <f>'Sampling Data'!A521</f>
        <v>CLEVELAND -07-Q</v>
      </c>
      <c r="C531" s="112">
        <f>'Sampling Data'!B521</f>
        <v>0</v>
      </c>
      <c r="D531" s="112">
        <f>'Sampling Data'!C521</f>
        <v>0</v>
      </c>
      <c r="E531" s="113">
        <f>'Sampling Data'!D521</f>
        <v>0</v>
      </c>
      <c r="F531" s="113">
        <f>'Sampling Data'!E521</f>
        <v>1</v>
      </c>
      <c r="G531" s="113">
        <f>'Sampling Data'!F521</f>
        <v>0</v>
      </c>
      <c r="H531" s="113">
        <f>'Sampling Data'!G521</f>
        <v>0</v>
      </c>
      <c r="I531" s="112">
        <f>'Sampling Data'!H521</f>
        <v>0</v>
      </c>
      <c r="J531" s="112">
        <f>'Sampling Data'!I521</f>
        <v>2</v>
      </c>
      <c r="K531" s="112">
        <f>'Sampling Data'!J521</f>
        <v>3</v>
      </c>
      <c r="L531" s="111">
        <f>'Sampling Data'!X521</f>
        <v>0</v>
      </c>
      <c r="M531" s="114"/>
      <c r="N531" s="114"/>
      <c r="O531" s="115"/>
      <c r="P531" s="115"/>
      <c r="Q531" s="116"/>
      <c r="R531" s="116"/>
      <c r="S531" s="111">
        <f>Audit[[#This Row],[Audit Losing Candidate]]-Audit[[#This Row],[Losing Candidate]]</f>
        <v>0</v>
      </c>
      <c r="T531" s="111">
        <f>Audit[[#This Row],[Audit Winning Candidate]]-Audit[[#This Row],[Winning Candidate]]</f>
        <v>0</v>
      </c>
      <c r="U531" s="111">
        <f>Audit[[#This Row],[Audit Candidate 3]]-Audit[[#This Row],[Candidate 3]]</f>
        <v>0</v>
      </c>
      <c r="V531" s="111">
        <f>Audit[[#This Row],[Audit Candidate 4]]-Audit[[#This Row],[Candidate 4]]</f>
        <v>-1</v>
      </c>
      <c r="W531" s="111">
        <f>Audit[[#This Row],[Audit Candidate 5]]-Audit[[#This Row],[Candidate 5]]</f>
        <v>0</v>
      </c>
      <c r="X531" s="111">
        <f>Audit[[#This Row],[Audit Candidate 6]]-Audit[[#This Row],[Candidate 6]]</f>
        <v>0</v>
      </c>
      <c r="Y531" s="111">
        <f>SUMIF(Audit[[#This Row],[Difference Loser]:[Difference Candidate 6]], "&gt;0")</f>
        <v>0</v>
      </c>
      <c r="Z531" s="111">
        <f>SUM(Audit[[#This Row],[Difference Loser]:[Difference Candidate 6]])</f>
        <v>-1</v>
      </c>
      <c r="AA531" s="111">
        <f>IF(Audit[[#This Row],[Times p Drawn - With Replacement]]&gt;0, IF(Audit[[#This Row],[Canceled Differences]]&lt;0, Audit[[#This Row],[Max Differences]]+ABS(Audit[[#This Row],[Canceled Differences]]), Audit[[#This Row],[Max Differences]]), 0)</f>
        <v>0</v>
      </c>
      <c r="AB531" s="111">
        <f>'Sampling Data'!P521</f>
        <v>1.8373346398824106E-4</v>
      </c>
      <c r="AC531" s="111">
        <f>IF(
      SUM(Audit[[#This Row],[Audit Losing Candidate]:[Audit Candidate 6]])
      &lt;&gt;0,
      (Audit[[#This Row],[Winning Candidate]]-Audit[[#This Row],[Losing Candidate]]-(Audit[[#This Row],[Audit Winning Candidate]]-Audit[[#This Row],[Audit Losing Candidate]]))/(Audit[[#Totals],[Winning Candidate]]-Audit[[#Totals],[Losing Candidate]]),
      0
)</f>
        <v>0</v>
      </c>
      <c r="AD5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1" s="111">
        <f>IF(Audit[[#This Row],[Max Relative Error (ep)]] = 0, 0, Audit[[#This Row],[Max Relative Error (ep)]]/Audit[[#This Row],[Error Bound (up) - Max. possible relative overstatement]])</f>
        <v>0</v>
      </c>
      <c r="AJ5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31" s="111">
        <f t="shared" si="8"/>
        <v>1</v>
      </c>
      <c r="AL531" s="111">
        <f>PRODUCT($AK$5:AK531)</f>
        <v>8.962823818226312E-2</v>
      </c>
      <c r="AM531" s="109">
        <f>1 - [K-M P Value]</f>
        <v>0.91037176181773694</v>
      </c>
      <c r="AN531" s="111" t="str">
        <f>IF(Audit[[#This Row],[K-M P Value]]&gt;1-'General Info'!$B$16,"Continue", "Stop")</f>
        <v>Stop</v>
      </c>
      <c r="AO531" s="110" t="b">
        <f>IF(Audit[[#This Row],[Status - Continue or stop audit]] = "Continue", TRUE, IF(AN530 = "Continue", TRUE, FALSE))</f>
        <v>0</v>
      </c>
      <c r="AP531" s="110"/>
    </row>
    <row r="532" spans="1:42" ht="15" hidden="1" customHeight="1">
      <c r="A532" s="111" t="str">
        <f>'Sampling Data'!W522</f>
        <v/>
      </c>
      <c r="B532" s="112" t="str">
        <f>'Sampling Data'!A522</f>
        <v>CLEVELAND -07-Q - ABS</v>
      </c>
      <c r="C532" s="112">
        <f>'Sampling Data'!B522</f>
        <v>0</v>
      </c>
      <c r="D532" s="112">
        <f>'Sampling Data'!C522</f>
        <v>0</v>
      </c>
      <c r="E532" s="113">
        <f>'Sampling Data'!D522</f>
        <v>0</v>
      </c>
      <c r="F532" s="113">
        <f>'Sampling Data'!E522</f>
        <v>0</v>
      </c>
      <c r="G532" s="113">
        <f>'Sampling Data'!F522</f>
        <v>0</v>
      </c>
      <c r="H532" s="113">
        <f>'Sampling Data'!G522</f>
        <v>0</v>
      </c>
      <c r="I532" s="112">
        <f>'Sampling Data'!H522</f>
        <v>0</v>
      </c>
      <c r="J532" s="112">
        <f>'Sampling Data'!I522</f>
        <v>0</v>
      </c>
      <c r="K532" s="112">
        <f>'Sampling Data'!J522</f>
        <v>0</v>
      </c>
      <c r="L532" s="111">
        <f>'Sampling Data'!X522</f>
        <v>0</v>
      </c>
      <c r="M532" s="114"/>
      <c r="N532" s="114"/>
      <c r="O532" s="115"/>
      <c r="P532" s="115"/>
      <c r="Q532" s="116"/>
      <c r="R532" s="116"/>
      <c r="S532" s="111">
        <f>Audit[[#This Row],[Audit Losing Candidate]]-Audit[[#This Row],[Losing Candidate]]</f>
        <v>0</v>
      </c>
      <c r="T532" s="111">
        <f>Audit[[#This Row],[Audit Winning Candidate]]-Audit[[#This Row],[Winning Candidate]]</f>
        <v>0</v>
      </c>
      <c r="U532" s="111">
        <f>Audit[[#This Row],[Audit Candidate 3]]-Audit[[#This Row],[Candidate 3]]</f>
        <v>0</v>
      </c>
      <c r="V532" s="111">
        <f>Audit[[#This Row],[Audit Candidate 4]]-Audit[[#This Row],[Candidate 4]]</f>
        <v>0</v>
      </c>
      <c r="W532" s="111">
        <f>Audit[[#This Row],[Audit Candidate 5]]-Audit[[#This Row],[Candidate 5]]</f>
        <v>0</v>
      </c>
      <c r="X532" s="111">
        <f>Audit[[#This Row],[Audit Candidate 6]]-Audit[[#This Row],[Candidate 6]]</f>
        <v>0</v>
      </c>
      <c r="Y532" s="111">
        <f>SUMIF(Audit[[#This Row],[Difference Loser]:[Difference Candidate 6]], "&gt;0")</f>
        <v>0</v>
      </c>
      <c r="Z532" s="111">
        <f>SUM(Audit[[#This Row],[Difference Loser]:[Difference Candidate 6]])</f>
        <v>0</v>
      </c>
      <c r="AA532" s="111">
        <f>IF(Audit[[#This Row],[Times p Drawn - With Replacement]]&gt;0, IF(Audit[[#This Row],[Canceled Differences]]&lt;0, Audit[[#This Row],[Max Differences]]+ABS(Audit[[#This Row],[Canceled Differences]]), Audit[[#This Row],[Max Differences]]), 0)</f>
        <v>0</v>
      </c>
      <c r="AB532" s="111">
        <f>'Sampling Data'!P522</f>
        <v>0</v>
      </c>
      <c r="AC532" s="111">
        <f>IF(
      SUM(Audit[[#This Row],[Audit Losing Candidate]:[Audit Candidate 6]])
      &lt;&gt;0,
      (Audit[[#This Row],[Winning Candidate]]-Audit[[#This Row],[Losing Candidate]]-(Audit[[#This Row],[Audit Winning Candidate]]-Audit[[#This Row],[Audit Losing Candidate]]))/(Audit[[#Totals],[Winning Candidate]]-Audit[[#Totals],[Losing Candidate]]),
      0
)</f>
        <v>0</v>
      </c>
      <c r="AD5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2" s="111">
        <f>IF(Audit[[#This Row],[Max Relative Error (ep)]] = 0, 0, Audit[[#This Row],[Max Relative Error (ep)]]/Audit[[#This Row],[Error Bound (up) - Max. possible relative overstatement]])</f>
        <v>0</v>
      </c>
      <c r="AJ5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32" s="111">
        <f t="shared" si="8"/>
        <v>1</v>
      </c>
      <c r="AL532" s="111">
        <f>PRODUCT($AK$5:AK532)</f>
        <v>8.962823818226312E-2</v>
      </c>
      <c r="AM532" s="109">
        <f>1 - [K-M P Value]</f>
        <v>0.91037176181773694</v>
      </c>
      <c r="AN532" s="111" t="str">
        <f>IF(Audit[[#This Row],[K-M P Value]]&gt;1-'General Info'!$B$16,"Continue", "Stop")</f>
        <v>Stop</v>
      </c>
      <c r="AO532" s="110" t="b">
        <f>IF(Audit[[#This Row],[Status - Continue or stop audit]] = "Continue", TRUE, IF(AN531 = "Continue", TRUE, FALSE))</f>
        <v>0</v>
      </c>
      <c r="AP532" s="110"/>
    </row>
    <row r="533" spans="1:42" ht="15" hidden="1" customHeight="1">
      <c r="A533" s="111" t="str">
        <f>'Sampling Data'!W523</f>
        <v/>
      </c>
      <c r="B533" s="112" t="str">
        <f>'Sampling Data'!A523</f>
        <v>CLEVELAND -07-R</v>
      </c>
      <c r="C533" s="112">
        <f>'Sampling Data'!B523</f>
        <v>0</v>
      </c>
      <c r="D533" s="112">
        <f>'Sampling Data'!C523</f>
        <v>1</v>
      </c>
      <c r="E533" s="113">
        <f>'Sampling Data'!D523</f>
        <v>0</v>
      </c>
      <c r="F533" s="113">
        <f>'Sampling Data'!E523</f>
        <v>0</v>
      </c>
      <c r="G533" s="113">
        <f>'Sampling Data'!F523</f>
        <v>0</v>
      </c>
      <c r="H533" s="113">
        <f>'Sampling Data'!G523</f>
        <v>0</v>
      </c>
      <c r="I533" s="112">
        <f>'Sampling Data'!H523</f>
        <v>0</v>
      </c>
      <c r="J533" s="112">
        <f>'Sampling Data'!I523</f>
        <v>0</v>
      </c>
      <c r="K533" s="112">
        <f>'Sampling Data'!J523</f>
        <v>1</v>
      </c>
      <c r="L533" s="111">
        <f>'Sampling Data'!X523</f>
        <v>0</v>
      </c>
      <c r="M533" s="114"/>
      <c r="N533" s="114"/>
      <c r="O533" s="115"/>
      <c r="P533" s="115"/>
      <c r="Q533" s="116"/>
      <c r="R533" s="116"/>
      <c r="S533" s="111">
        <f>Audit[[#This Row],[Audit Losing Candidate]]-Audit[[#This Row],[Losing Candidate]]</f>
        <v>0</v>
      </c>
      <c r="T533" s="111">
        <f>Audit[[#This Row],[Audit Winning Candidate]]-Audit[[#This Row],[Winning Candidate]]</f>
        <v>-1</v>
      </c>
      <c r="U533" s="111">
        <f>Audit[[#This Row],[Audit Candidate 3]]-Audit[[#This Row],[Candidate 3]]</f>
        <v>0</v>
      </c>
      <c r="V533" s="111">
        <f>Audit[[#This Row],[Audit Candidate 4]]-Audit[[#This Row],[Candidate 4]]</f>
        <v>0</v>
      </c>
      <c r="W533" s="111">
        <f>Audit[[#This Row],[Audit Candidate 5]]-Audit[[#This Row],[Candidate 5]]</f>
        <v>0</v>
      </c>
      <c r="X533" s="111">
        <f>Audit[[#This Row],[Audit Candidate 6]]-Audit[[#This Row],[Candidate 6]]</f>
        <v>0</v>
      </c>
      <c r="Y533" s="111">
        <f>SUMIF(Audit[[#This Row],[Difference Loser]:[Difference Candidate 6]], "&gt;0")</f>
        <v>0</v>
      </c>
      <c r="Z533" s="111">
        <f>SUM(Audit[[#This Row],[Difference Loser]:[Difference Candidate 6]])</f>
        <v>-1</v>
      </c>
      <c r="AA533" s="111">
        <f>IF(Audit[[#This Row],[Times p Drawn - With Replacement]]&gt;0, IF(Audit[[#This Row],[Canceled Differences]]&lt;0, Audit[[#This Row],[Max Differences]]+ABS(Audit[[#This Row],[Canceled Differences]]), Audit[[#This Row],[Max Differences]]), 0)</f>
        <v>0</v>
      </c>
      <c r="AB533" s="111">
        <f>'Sampling Data'!P523</f>
        <v>1.224889759921607E-4</v>
      </c>
      <c r="AC533" s="111">
        <f>IF(
      SUM(Audit[[#This Row],[Audit Losing Candidate]:[Audit Candidate 6]])
      &lt;&gt;0,
      (Audit[[#This Row],[Winning Candidate]]-Audit[[#This Row],[Losing Candidate]]-(Audit[[#This Row],[Audit Winning Candidate]]-Audit[[#This Row],[Audit Losing Candidate]]))/(Audit[[#Totals],[Winning Candidate]]-Audit[[#Totals],[Losing Candidate]]),
      0
)</f>
        <v>0</v>
      </c>
      <c r="AD5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3" s="111">
        <f>IF(Audit[[#This Row],[Max Relative Error (ep)]] = 0, 0, Audit[[#This Row],[Max Relative Error (ep)]]/Audit[[#This Row],[Error Bound (up) - Max. possible relative overstatement]])</f>
        <v>0</v>
      </c>
      <c r="AJ5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33" s="111">
        <f t="shared" si="8"/>
        <v>1</v>
      </c>
      <c r="AL533" s="111">
        <f>PRODUCT($AK$5:AK533)</f>
        <v>8.962823818226312E-2</v>
      </c>
      <c r="AM533" s="109">
        <f>1 - [K-M P Value]</f>
        <v>0.91037176181773694</v>
      </c>
      <c r="AN533" s="111" t="str">
        <f>IF(Audit[[#This Row],[K-M P Value]]&gt;1-'General Info'!$B$16,"Continue", "Stop")</f>
        <v>Stop</v>
      </c>
      <c r="AO533" s="110" t="b">
        <f>IF(Audit[[#This Row],[Status - Continue or stop audit]] = "Continue", TRUE, IF(AN532 = "Continue", TRUE, FALSE))</f>
        <v>0</v>
      </c>
      <c r="AP533" s="110"/>
    </row>
    <row r="534" spans="1:42" ht="15" hidden="1" customHeight="1">
      <c r="A534" s="111" t="str">
        <f>'Sampling Data'!W524</f>
        <v/>
      </c>
      <c r="B534" s="112" t="str">
        <f>'Sampling Data'!A524</f>
        <v>CLEVELAND -07-R - ABS</v>
      </c>
      <c r="C534" s="112">
        <f>'Sampling Data'!B524</f>
        <v>0</v>
      </c>
      <c r="D534" s="112">
        <f>'Sampling Data'!C524</f>
        <v>0</v>
      </c>
      <c r="E534" s="113">
        <f>'Sampling Data'!D524</f>
        <v>2</v>
      </c>
      <c r="F534" s="113">
        <f>'Sampling Data'!E524</f>
        <v>1</v>
      </c>
      <c r="G534" s="113">
        <f>'Sampling Data'!F524</f>
        <v>0</v>
      </c>
      <c r="H534" s="113">
        <f>'Sampling Data'!G524</f>
        <v>0</v>
      </c>
      <c r="I534" s="112">
        <f>'Sampling Data'!H524</f>
        <v>0</v>
      </c>
      <c r="J534" s="112">
        <f>'Sampling Data'!I524</f>
        <v>0</v>
      </c>
      <c r="K534" s="112">
        <f>'Sampling Data'!J524</f>
        <v>3</v>
      </c>
      <c r="L534" s="111">
        <f>'Sampling Data'!X524</f>
        <v>0</v>
      </c>
      <c r="M534" s="114"/>
      <c r="N534" s="114"/>
      <c r="O534" s="115"/>
      <c r="P534" s="115"/>
      <c r="Q534" s="116"/>
      <c r="R534" s="116"/>
      <c r="S534" s="111">
        <f>Audit[[#This Row],[Audit Losing Candidate]]-Audit[[#This Row],[Losing Candidate]]</f>
        <v>0</v>
      </c>
      <c r="T534" s="111">
        <f>Audit[[#This Row],[Audit Winning Candidate]]-Audit[[#This Row],[Winning Candidate]]</f>
        <v>0</v>
      </c>
      <c r="U534" s="111">
        <f>Audit[[#This Row],[Audit Candidate 3]]-Audit[[#This Row],[Candidate 3]]</f>
        <v>-2</v>
      </c>
      <c r="V534" s="111">
        <f>Audit[[#This Row],[Audit Candidate 4]]-Audit[[#This Row],[Candidate 4]]</f>
        <v>-1</v>
      </c>
      <c r="W534" s="111">
        <f>Audit[[#This Row],[Audit Candidate 5]]-Audit[[#This Row],[Candidate 5]]</f>
        <v>0</v>
      </c>
      <c r="X534" s="111">
        <f>Audit[[#This Row],[Audit Candidate 6]]-Audit[[#This Row],[Candidate 6]]</f>
        <v>0</v>
      </c>
      <c r="Y534" s="111">
        <f>SUMIF(Audit[[#This Row],[Difference Loser]:[Difference Candidate 6]], "&gt;0")</f>
        <v>0</v>
      </c>
      <c r="Z534" s="111">
        <f>SUM(Audit[[#This Row],[Difference Loser]:[Difference Candidate 6]])</f>
        <v>-3</v>
      </c>
      <c r="AA534" s="111">
        <f>IF(Audit[[#This Row],[Times p Drawn - With Replacement]]&gt;0, IF(Audit[[#This Row],[Canceled Differences]]&lt;0, Audit[[#This Row],[Max Differences]]+ABS(Audit[[#This Row],[Canceled Differences]]), Audit[[#This Row],[Max Differences]]), 0)</f>
        <v>0</v>
      </c>
      <c r="AB534" s="111">
        <f>'Sampling Data'!P524</f>
        <v>1.8373346398824106E-4</v>
      </c>
      <c r="AC534" s="111">
        <f>IF(
      SUM(Audit[[#This Row],[Audit Losing Candidate]:[Audit Candidate 6]])
      &lt;&gt;0,
      (Audit[[#This Row],[Winning Candidate]]-Audit[[#This Row],[Losing Candidate]]-(Audit[[#This Row],[Audit Winning Candidate]]-Audit[[#This Row],[Audit Losing Candidate]]))/(Audit[[#Totals],[Winning Candidate]]-Audit[[#Totals],[Losing Candidate]]),
      0
)</f>
        <v>0</v>
      </c>
      <c r="AD5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4" s="111">
        <f>IF(Audit[[#This Row],[Max Relative Error (ep)]] = 0, 0, Audit[[#This Row],[Max Relative Error (ep)]]/Audit[[#This Row],[Error Bound (up) - Max. possible relative overstatement]])</f>
        <v>0</v>
      </c>
      <c r="AJ5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34" s="111">
        <f t="shared" si="8"/>
        <v>1</v>
      </c>
      <c r="AL534" s="111">
        <f>PRODUCT($AK$5:AK534)</f>
        <v>8.962823818226312E-2</v>
      </c>
      <c r="AM534" s="109">
        <f>1 - [K-M P Value]</f>
        <v>0.91037176181773694</v>
      </c>
      <c r="AN534" s="111" t="str">
        <f>IF(Audit[[#This Row],[K-M P Value]]&gt;1-'General Info'!$B$16,"Continue", "Stop")</f>
        <v>Stop</v>
      </c>
      <c r="AO534" s="110" t="b">
        <f>IF(Audit[[#This Row],[Status - Continue or stop audit]] = "Continue", TRUE, IF(AN533 = "Continue", TRUE, FALSE))</f>
        <v>0</v>
      </c>
      <c r="AP534" s="110"/>
    </row>
    <row r="535" spans="1:42" ht="15" hidden="1" customHeight="1">
      <c r="A535" s="111" t="str">
        <f>'Sampling Data'!W525</f>
        <v/>
      </c>
      <c r="B535" s="112" t="str">
        <f>'Sampling Data'!A525</f>
        <v>CLEVELAND -07-S</v>
      </c>
      <c r="C535" s="112">
        <f>'Sampling Data'!B525</f>
        <v>1</v>
      </c>
      <c r="D535" s="112">
        <f>'Sampling Data'!C525</f>
        <v>0</v>
      </c>
      <c r="E535" s="113">
        <f>'Sampling Data'!D525</f>
        <v>0</v>
      </c>
      <c r="F535" s="113">
        <f>'Sampling Data'!E525</f>
        <v>1</v>
      </c>
      <c r="G535" s="113">
        <f>'Sampling Data'!F525</f>
        <v>0</v>
      </c>
      <c r="H535" s="113">
        <f>'Sampling Data'!G525</f>
        <v>0</v>
      </c>
      <c r="I535" s="112">
        <f>'Sampling Data'!H525</f>
        <v>0</v>
      </c>
      <c r="J535" s="112">
        <f>'Sampling Data'!I525</f>
        <v>0</v>
      </c>
      <c r="K535" s="112">
        <f>'Sampling Data'!J525</f>
        <v>2</v>
      </c>
      <c r="L535" s="111">
        <f>'Sampling Data'!X525</f>
        <v>0</v>
      </c>
      <c r="M535" s="114"/>
      <c r="N535" s="114"/>
      <c r="O535" s="115"/>
      <c r="P535" s="115"/>
      <c r="Q535" s="116"/>
      <c r="R535" s="116"/>
      <c r="S535" s="111">
        <f>Audit[[#This Row],[Audit Losing Candidate]]-Audit[[#This Row],[Losing Candidate]]</f>
        <v>-1</v>
      </c>
      <c r="T535" s="111">
        <f>Audit[[#This Row],[Audit Winning Candidate]]-Audit[[#This Row],[Winning Candidate]]</f>
        <v>0</v>
      </c>
      <c r="U535" s="111">
        <f>Audit[[#This Row],[Audit Candidate 3]]-Audit[[#This Row],[Candidate 3]]</f>
        <v>0</v>
      </c>
      <c r="V535" s="111">
        <f>Audit[[#This Row],[Audit Candidate 4]]-Audit[[#This Row],[Candidate 4]]</f>
        <v>-1</v>
      </c>
      <c r="W535" s="111">
        <f>Audit[[#This Row],[Audit Candidate 5]]-Audit[[#This Row],[Candidate 5]]</f>
        <v>0</v>
      </c>
      <c r="X535" s="111">
        <f>Audit[[#This Row],[Audit Candidate 6]]-Audit[[#This Row],[Candidate 6]]</f>
        <v>0</v>
      </c>
      <c r="Y535" s="111">
        <f>SUMIF(Audit[[#This Row],[Difference Loser]:[Difference Candidate 6]], "&gt;0")</f>
        <v>0</v>
      </c>
      <c r="Z535" s="111">
        <f>SUM(Audit[[#This Row],[Difference Loser]:[Difference Candidate 6]])</f>
        <v>-2</v>
      </c>
      <c r="AA535" s="111">
        <f>IF(Audit[[#This Row],[Times p Drawn - With Replacement]]&gt;0, IF(Audit[[#This Row],[Canceled Differences]]&lt;0, Audit[[#This Row],[Max Differences]]+ABS(Audit[[#This Row],[Canceled Differences]]), Audit[[#This Row],[Max Differences]]), 0)</f>
        <v>0</v>
      </c>
      <c r="AB535" s="111">
        <f>'Sampling Data'!P525</f>
        <v>6.4522373132883833E-5</v>
      </c>
      <c r="AC535" s="111">
        <f>IF(
      SUM(Audit[[#This Row],[Audit Losing Candidate]:[Audit Candidate 6]])
      &lt;&gt;0,
      (Audit[[#This Row],[Winning Candidate]]-Audit[[#This Row],[Losing Candidate]]-(Audit[[#This Row],[Audit Winning Candidate]]-Audit[[#This Row],[Audit Losing Candidate]]))/(Audit[[#Totals],[Winning Candidate]]-Audit[[#Totals],[Losing Candidate]]),
      0
)</f>
        <v>0</v>
      </c>
      <c r="AD5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5" s="111">
        <f>IF(Audit[[#This Row],[Max Relative Error (ep)]] = 0, 0, Audit[[#This Row],[Max Relative Error (ep)]]/Audit[[#This Row],[Error Bound (up) - Max. possible relative overstatement]])</f>
        <v>0</v>
      </c>
      <c r="AJ5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35" s="111">
        <f t="shared" si="8"/>
        <v>1</v>
      </c>
      <c r="AL535" s="111">
        <f>PRODUCT($AK$5:AK535)</f>
        <v>8.962823818226312E-2</v>
      </c>
      <c r="AM535" s="109">
        <f>1 - [K-M P Value]</f>
        <v>0.91037176181773694</v>
      </c>
      <c r="AN535" s="111" t="str">
        <f>IF(Audit[[#This Row],[K-M P Value]]&gt;1-'General Info'!$B$16,"Continue", "Stop")</f>
        <v>Stop</v>
      </c>
      <c r="AO535" s="110" t="b">
        <f>IF(Audit[[#This Row],[Status - Continue or stop audit]] = "Continue", TRUE, IF(AN534 = "Continue", TRUE, FALSE))</f>
        <v>0</v>
      </c>
      <c r="AP535" s="110"/>
    </row>
    <row r="536" spans="1:42" ht="15" hidden="1" customHeight="1">
      <c r="A536" s="111" t="str">
        <f>'Sampling Data'!W526</f>
        <v/>
      </c>
      <c r="B536" s="112" t="str">
        <f>'Sampling Data'!A526</f>
        <v>CLEVELAND -07-S - ABS</v>
      </c>
      <c r="C536" s="112">
        <f>'Sampling Data'!B526</f>
        <v>0</v>
      </c>
      <c r="D536" s="112">
        <f>'Sampling Data'!C526</f>
        <v>0</v>
      </c>
      <c r="E536" s="113">
        <f>'Sampling Data'!D526</f>
        <v>0</v>
      </c>
      <c r="F536" s="113">
        <f>'Sampling Data'!E526</f>
        <v>0</v>
      </c>
      <c r="G536" s="113">
        <f>'Sampling Data'!F526</f>
        <v>0</v>
      </c>
      <c r="H536" s="113">
        <f>'Sampling Data'!G526</f>
        <v>0</v>
      </c>
      <c r="I536" s="112">
        <f>'Sampling Data'!H526</f>
        <v>0</v>
      </c>
      <c r="J536" s="112">
        <f>'Sampling Data'!I526</f>
        <v>0</v>
      </c>
      <c r="K536" s="112">
        <f>'Sampling Data'!J526</f>
        <v>0</v>
      </c>
      <c r="L536" s="111">
        <f>'Sampling Data'!X526</f>
        <v>0</v>
      </c>
      <c r="M536" s="114"/>
      <c r="N536" s="114"/>
      <c r="O536" s="115"/>
      <c r="P536" s="115"/>
      <c r="Q536" s="116"/>
      <c r="R536" s="116"/>
      <c r="S536" s="111">
        <f>Audit[[#This Row],[Audit Losing Candidate]]-Audit[[#This Row],[Losing Candidate]]</f>
        <v>0</v>
      </c>
      <c r="T536" s="111">
        <f>Audit[[#This Row],[Audit Winning Candidate]]-Audit[[#This Row],[Winning Candidate]]</f>
        <v>0</v>
      </c>
      <c r="U536" s="111">
        <f>Audit[[#This Row],[Audit Candidate 3]]-Audit[[#This Row],[Candidate 3]]</f>
        <v>0</v>
      </c>
      <c r="V536" s="111">
        <f>Audit[[#This Row],[Audit Candidate 4]]-Audit[[#This Row],[Candidate 4]]</f>
        <v>0</v>
      </c>
      <c r="W536" s="111">
        <f>Audit[[#This Row],[Audit Candidate 5]]-Audit[[#This Row],[Candidate 5]]</f>
        <v>0</v>
      </c>
      <c r="X536" s="111">
        <f>Audit[[#This Row],[Audit Candidate 6]]-Audit[[#This Row],[Candidate 6]]</f>
        <v>0</v>
      </c>
      <c r="Y536" s="111">
        <f>SUMIF(Audit[[#This Row],[Difference Loser]:[Difference Candidate 6]], "&gt;0")</f>
        <v>0</v>
      </c>
      <c r="Z536" s="111">
        <f>SUM(Audit[[#This Row],[Difference Loser]:[Difference Candidate 6]])</f>
        <v>0</v>
      </c>
      <c r="AA536" s="111">
        <f>IF(Audit[[#This Row],[Times p Drawn - With Replacement]]&gt;0, IF(Audit[[#This Row],[Canceled Differences]]&lt;0, Audit[[#This Row],[Max Differences]]+ABS(Audit[[#This Row],[Canceled Differences]]), Audit[[#This Row],[Max Differences]]), 0)</f>
        <v>0</v>
      </c>
      <c r="AB536" s="111">
        <f>'Sampling Data'!P526</f>
        <v>0</v>
      </c>
      <c r="AC536" s="111">
        <f>IF(
      SUM(Audit[[#This Row],[Audit Losing Candidate]:[Audit Candidate 6]])
      &lt;&gt;0,
      (Audit[[#This Row],[Winning Candidate]]-Audit[[#This Row],[Losing Candidate]]-(Audit[[#This Row],[Audit Winning Candidate]]-Audit[[#This Row],[Audit Losing Candidate]]))/(Audit[[#Totals],[Winning Candidate]]-Audit[[#Totals],[Losing Candidate]]),
      0
)</f>
        <v>0</v>
      </c>
      <c r="AD5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6" s="111">
        <f>IF(Audit[[#This Row],[Max Relative Error (ep)]] = 0, 0, Audit[[#This Row],[Max Relative Error (ep)]]/Audit[[#This Row],[Error Bound (up) - Max. possible relative overstatement]])</f>
        <v>0</v>
      </c>
      <c r="AJ5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36" s="111">
        <f t="shared" si="8"/>
        <v>1</v>
      </c>
      <c r="AL536" s="111">
        <f>PRODUCT($AK$5:AK536)</f>
        <v>8.962823818226312E-2</v>
      </c>
      <c r="AM536" s="109">
        <f>1 - [K-M P Value]</f>
        <v>0.91037176181773694</v>
      </c>
      <c r="AN536" s="111" t="str">
        <f>IF(Audit[[#This Row],[K-M P Value]]&gt;1-'General Info'!$B$16,"Continue", "Stop")</f>
        <v>Stop</v>
      </c>
      <c r="AO536" s="110" t="b">
        <f>IF(Audit[[#This Row],[Status - Continue or stop audit]] = "Continue", TRUE, IF(AN535 = "Continue", TRUE, FALSE))</f>
        <v>0</v>
      </c>
      <c r="AP536" s="110"/>
    </row>
    <row r="537" spans="1:42" ht="15" hidden="1" customHeight="1">
      <c r="A537" s="111" t="str">
        <f>'Sampling Data'!W527</f>
        <v/>
      </c>
      <c r="B537" s="112" t="str">
        <f>'Sampling Data'!A527</f>
        <v>CLEVELAND -07-T</v>
      </c>
      <c r="C537" s="112">
        <f>'Sampling Data'!B527</f>
        <v>1</v>
      </c>
      <c r="D537" s="112">
        <f>'Sampling Data'!C527</f>
        <v>1</v>
      </c>
      <c r="E537" s="113">
        <f>'Sampling Data'!D527</f>
        <v>1</v>
      </c>
      <c r="F537" s="113">
        <f>'Sampling Data'!E527</f>
        <v>0</v>
      </c>
      <c r="G537" s="113">
        <f>'Sampling Data'!F527</f>
        <v>0</v>
      </c>
      <c r="H537" s="113">
        <f>'Sampling Data'!G527</f>
        <v>0</v>
      </c>
      <c r="I537" s="112">
        <f>'Sampling Data'!H527</f>
        <v>0</v>
      </c>
      <c r="J537" s="112">
        <f>'Sampling Data'!I527</f>
        <v>1</v>
      </c>
      <c r="K537" s="112">
        <f>'Sampling Data'!J527</f>
        <v>4</v>
      </c>
      <c r="L537" s="111">
        <f>'Sampling Data'!X527</f>
        <v>0</v>
      </c>
      <c r="M537" s="114"/>
      <c r="N537" s="114"/>
      <c r="O537" s="115"/>
      <c r="P537" s="115"/>
      <c r="Q537" s="116"/>
      <c r="R537" s="116"/>
      <c r="S537" s="111">
        <f>Audit[[#This Row],[Audit Losing Candidate]]-Audit[[#This Row],[Losing Candidate]]</f>
        <v>-1</v>
      </c>
      <c r="T537" s="111">
        <f>Audit[[#This Row],[Audit Winning Candidate]]-Audit[[#This Row],[Winning Candidate]]</f>
        <v>-1</v>
      </c>
      <c r="U537" s="111">
        <f>Audit[[#This Row],[Audit Candidate 3]]-Audit[[#This Row],[Candidate 3]]</f>
        <v>-1</v>
      </c>
      <c r="V537" s="111">
        <f>Audit[[#This Row],[Audit Candidate 4]]-Audit[[#This Row],[Candidate 4]]</f>
        <v>0</v>
      </c>
      <c r="W537" s="111">
        <f>Audit[[#This Row],[Audit Candidate 5]]-Audit[[#This Row],[Candidate 5]]</f>
        <v>0</v>
      </c>
      <c r="X537" s="111">
        <f>Audit[[#This Row],[Audit Candidate 6]]-Audit[[#This Row],[Candidate 6]]</f>
        <v>0</v>
      </c>
      <c r="Y537" s="111">
        <f>SUMIF(Audit[[#This Row],[Difference Loser]:[Difference Candidate 6]], "&gt;0")</f>
        <v>0</v>
      </c>
      <c r="Z537" s="111">
        <f>SUM(Audit[[#This Row],[Difference Loser]:[Difference Candidate 6]])</f>
        <v>-3</v>
      </c>
      <c r="AA537" s="111">
        <f>IF(Audit[[#This Row],[Times p Drawn - With Replacement]]&gt;0, IF(Audit[[#This Row],[Canceled Differences]]&lt;0, Audit[[#This Row],[Max Differences]]+ABS(Audit[[#This Row],[Canceled Differences]]), Audit[[#This Row],[Max Differences]]), 0)</f>
        <v>0</v>
      </c>
      <c r="AB537" s="111">
        <f>'Sampling Data'!P527</f>
        <v>2.4497795198432141E-4</v>
      </c>
      <c r="AC537" s="111">
        <f>IF(
      SUM(Audit[[#This Row],[Audit Losing Candidate]:[Audit Candidate 6]])
      &lt;&gt;0,
      (Audit[[#This Row],[Winning Candidate]]-Audit[[#This Row],[Losing Candidate]]-(Audit[[#This Row],[Audit Winning Candidate]]-Audit[[#This Row],[Audit Losing Candidate]]))/(Audit[[#Totals],[Winning Candidate]]-Audit[[#Totals],[Losing Candidate]]),
      0
)</f>
        <v>0</v>
      </c>
      <c r="AD5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7" s="111">
        <f>IF(Audit[[#This Row],[Max Relative Error (ep)]] = 0, 0, Audit[[#This Row],[Max Relative Error (ep)]]/Audit[[#This Row],[Error Bound (up) - Max. possible relative overstatement]])</f>
        <v>0</v>
      </c>
      <c r="AJ5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37" s="111">
        <f t="shared" si="8"/>
        <v>1</v>
      </c>
      <c r="AL537" s="111">
        <f>PRODUCT($AK$5:AK537)</f>
        <v>8.962823818226312E-2</v>
      </c>
      <c r="AM537" s="109">
        <f>1 - [K-M P Value]</f>
        <v>0.91037176181773694</v>
      </c>
      <c r="AN537" s="111" t="str">
        <f>IF(Audit[[#This Row],[K-M P Value]]&gt;1-'General Info'!$B$16,"Continue", "Stop")</f>
        <v>Stop</v>
      </c>
      <c r="AO537" s="110" t="b">
        <f>IF(Audit[[#This Row],[Status - Continue or stop audit]] = "Continue", TRUE, IF(AN536 = "Continue", TRUE, FALSE))</f>
        <v>0</v>
      </c>
      <c r="AP537" s="110"/>
    </row>
    <row r="538" spans="1:42" ht="15" hidden="1" customHeight="1">
      <c r="A538" s="111" t="str">
        <f>'Sampling Data'!W528</f>
        <v/>
      </c>
      <c r="B538" s="112" t="str">
        <f>'Sampling Data'!A528</f>
        <v>CLEVELAND -07-T - ABS</v>
      </c>
      <c r="C538" s="112">
        <f>'Sampling Data'!B528</f>
        <v>0</v>
      </c>
      <c r="D538" s="112">
        <f>'Sampling Data'!C528</f>
        <v>0</v>
      </c>
      <c r="E538" s="113">
        <f>'Sampling Data'!D528</f>
        <v>1</v>
      </c>
      <c r="F538" s="113">
        <f>'Sampling Data'!E528</f>
        <v>0</v>
      </c>
      <c r="G538" s="113">
        <f>'Sampling Data'!F528</f>
        <v>0</v>
      </c>
      <c r="H538" s="113">
        <f>'Sampling Data'!G528</f>
        <v>0</v>
      </c>
      <c r="I538" s="112">
        <f>'Sampling Data'!H528</f>
        <v>0</v>
      </c>
      <c r="J538" s="112">
        <f>'Sampling Data'!I528</f>
        <v>0</v>
      </c>
      <c r="K538" s="112">
        <f>'Sampling Data'!J528</f>
        <v>1</v>
      </c>
      <c r="L538" s="111">
        <f>'Sampling Data'!X528</f>
        <v>0</v>
      </c>
      <c r="M538" s="114"/>
      <c r="N538" s="114"/>
      <c r="O538" s="115"/>
      <c r="P538" s="115"/>
      <c r="Q538" s="116"/>
      <c r="R538" s="116"/>
      <c r="S538" s="111">
        <f>Audit[[#This Row],[Audit Losing Candidate]]-Audit[[#This Row],[Losing Candidate]]</f>
        <v>0</v>
      </c>
      <c r="T538" s="111">
        <f>Audit[[#This Row],[Audit Winning Candidate]]-Audit[[#This Row],[Winning Candidate]]</f>
        <v>0</v>
      </c>
      <c r="U538" s="111">
        <f>Audit[[#This Row],[Audit Candidate 3]]-Audit[[#This Row],[Candidate 3]]</f>
        <v>-1</v>
      </c>
      <c r="V538" s="111">
        <f>Audit[[#This Row],[Audit Candidate 4]]-Audit[[#This Row],[Candidate 4]]</f>
        <v>0</v>
      </c>
      <c r="W538" s="111">
        <f>Audit[[#This Row],[Audit Candidate 5]]-Audit[[#This Row],[Candidate 5]]</f>
        <v>0</v>
      </c>
      <c r="X538" s="111">
        <f>Audit[[#This Row],[Audit Candidate 6]]-Audit[[#This Row],[Candidate 6]]</f>
        <v>0</v>
      </c>
      <c r="Y538" s="111">
        <f>SUMIF(Audit[[#This Row],[Difference Loser]:[Difference Candidate 6]], "&gt;0")</f>
        <v>0</v>
      </c>
      <c r="Z538" s="111">
        <f>SUM(Audit[[#This Row],[Difference Loser]:[Difference Candidate 6]])</f>
        <v>-1</v>
      </c>
      <c r="AA538" s="111">
        <f>IF(Audit[[#This Row],[Times p Drawn - With Replacement]]&gt;0, IF(Audit[[#This Row],[Canceled Differences]]&lt;0, Audit[[#This Row],[Max Differences]]+ABS(Audit[[#This Row],[Canceled Differences]]), Audit[[#This Row],[Max Differences]]), 0)</f>
        <v>0</v>
      </c>
      <c r="AB538" s="111">
        <f>'Sampling Data'!P528</f>
        <v>6.1244487996080352E-5</v>
      </c>
      <c r="AC538" s="111">
        <f>IF(
      SUM(Audit[[#This Row],[Audit Losing Candidate]:[Audit Candidate 6]])
      &lt;&gt;0,
      (Audit[[#This Row],[Winning Candidate]]-Audit[[#This Row],[Losing Candidate]]-(Audit[[#This Row],[Audit Winning Candidate]]-Audit[[#This Row],[Audit Losing Candidate]]))/(Audit[[#Totals],[Winning Candidate]]-Audit[[#Totals],[Losing Candidate]]),
      0
)</f>
        <v>0</v>
      </c>
      <c r="AD5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8" s="111">
        <f>IF(Audit[[#This Row],[Max Relative Error (ep)]] = 0, 0, Audit[[#This Row],[Max Relative Error (ep)]]/Audit[[#This Row],[Error Bound (up) - Max. possible relative overstatement]])</f>
        <v>0</v>
      </c>
      <c r="AJ5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38" s="111">
        <f t="shared" si="8"/>
        <v>1</v>
      </c>
      <c r="AL538" s="111">
        <f>PRODUCT($AK$5:AK538)</f>
        <v>8.962823818226312E-2</v>
      </c>
      <c r="AM538" s="109">
        <f>1 - [K-M P Value]</f>
        <v>0.91037176181773694</v>
      </c>
      <c r="AN538" s="111" t="str">
        <f>IF(Audit[[#This Row],[K-M P Value]]&gt;1-'General Info'!$B$16,"Continue", "Stop")</f>
        <v>Stop</v>
      </c>
      <c r="AO538" s="110" t="b">
        <f>IF(Audit[[#This Row],[Status - Continue or stop audit]] = "Continue", TRUE, IF(AN537 = "Continue", TRUE, FALSE))</f>
        <v>0</v>
      </c>
      <c r="AP538" s="110"/>
    </row>
    <row r="539" spans="1:42" ht="15" hidden="1" customHeight="1">
      <c r="A539" s="111" t="str">
        <f>'Sampling Data'!W529</f>
        <v/>
      </c>
      <c r="B539" s="112" t="str">
        <f>'Sampling Data'!A529</f>
        <v>CLEVELAND -07-U</v>
      </c>
      <c r="C539" s="112">
        <f>'Sampling Data'!B529</f>
        <v>0</v>
      </c>
      <c r="D539" s="112">
        <f>'Sampling Data'!C529</f>
        <v>1</v>
      </c>
      <c r="E539" s="113">
        <f>'Sampling Data'!D529</f>
        <v>0</v>
      </c>
      <c r="F539" s="113">
        <f>'Sampling Data'!E529</f>
        <v>0</v>
      </c>
      <c r="G539" s="113">
        <f>'Sampling Data'!F529</f>
        <v>0</v>
      </c>
      <c r="H539" s="113">
        <f>'Sampling Data'!G529</f>
        <v>0</v>
      </c>
      <c r="I539" s="112">
        <f>'Sampling Data'!H529</f>
        <v>0</v>
      </c>
      <c r="J539" s="112">
        <f>'Sampling Data'!I529</f>
        <v>1</v>
      </c>
      <c r="K539" s="112">
        <f>'Sampling Data'!J529</f>
        <v>2</v>
      </c>
      <c r="L539" s="111">
        <f>'Sampling Data'!X529</f>
        <v>0</v>
      </c>
      <c r="M539" s="114"/>
      <c r="N539" s="114"/>
      <c r="O539" s="115"/>
      <c r="P539" s="115"/>
      <c r="Q539" s="116"/>
      <c r="R539" s="116"/>
      <c r="S539" s="111">
        <f>Audit[[#This Row],[Audit Losing Candidate]]-Audit[[#This Row],[Losing Candidate]]</f>
        <v>0</v>
      </c>
      <c r="T539" s="111">
        <f>Audit[[#This Row],[Audit Winning Candidate]]-Audit[[#This Row],[Winning Candidate]]</f>
        <v>-1</v>
      </c>
      <c r="U539" s="111">
        <f>Audit[[#This Row],[Audit Candidate 3]]-Audit[[#This Row],[Candidate 3]]</f>
        <v>0</v>
      </c>
      <c r="V539" s="111">
        <f>Audit[[#This Row],[Audit Candidate 4]]-Audit[[#This Row],[Candidate 4]]</f>
        <v>0</v>
      </c>
      <c r="W539" s="111">
        <f>Audit[[#This Row],[Audit Candidate 5]]-Audit[[#This Row],[Candidate 5]]</f>
        <v>0</v>
      </c>
      <c r="X539" s="111">
        <f>Audit[[#This Row],[Audit Candidate 6]]-Audit[[#This Row],[Candidate 6]]</f>
        <v>0</v>
      </c>
      <c r="Y539" s="111">
        <f>SUMIF(Audit[[#This Row],[Difference Loser]:[Difference Candidate 6]], "&gt;0")</f>
        <v>0</v>
      </c>
      <c r="Z539" s="111">
        <f>SUM(Audit[[#This Row],[Difference Loser]:[Difference Candidate 6]])</f>
        <v>-1</v>
      </c>
      <c r="AA539" s="111">
        <f>IF(Audit[[#This Row],[Times p Drawn - With Replacement]]&gt;0, IF(Audit[[#This Row],[Canceled Differences]]&lt;0, Audit[[#This Row],[Max Differences]]+ABS(Audit[[#This Row],[Canceled Differences]]), Audit[[#This Row],[Max Differences]]), 0)</f>
        <v>0</v>
      </c>
      <c r="AB539" s="111">
        <f>'Sampling Data'!P529</f>
        <v>1.8373346398824106E-4</v>
      </c>
      <c r="AC539" s="111">
        <f>IF(
      SUM(Audit[[#This Row],[Audit Losing Candidate]:[Audit Candidate 6]])
      &lt;&gt;0,
      (Audit[[#This Row],[Winning Candidate]]-Audit[[#This Row],[Losing Candidate]]-(Audit[[#This Row],[Audit Winning Candidate]]-Audit[[#This Row],[Audit Losing Candidate]]))/(Audit[[#Totals],[Winning Candidate]]-Audit[[#Totals],[Losing Candidate]]),
      0
)</f>
        <v>0</v>
      </c>
      <c r="AD5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9" s="111">
        <f>IF(Audit[[#This Row],[Max Relative Error (ep)]] = 0, 0, Audit[[#This Row],[Max Relative Error (ep)]]/Audit[[#This Row],[Error Bound (up) - Max. possible relative overstatement]])</f>
        <v>0</v>
      </c>
      <c r="AJ5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39" s="111">
        <f t="shared" si="8"/>
        <v>1</v>
      </c>
      <c r="AL539" s="111">
        <f>PRODUCT($AK$5:AK539)</f>
        <v>8.962823818226312E-2</v>
      </c>
      <c r="AM539" s="109">
        <f>1 - [K-M P Value]</f>
        <v>0.91037176181773694</v>
      </c>
      <c r="AN539" s="111" t="str">
        <f>IF(Audit[[#This Row],[K-M P Value]]&gt;1-'General Info'!$B$16,"Continue", "Stop")</f>
        <v>Stop</v>
      </c>
      <c r="AO539" s="110" t="b">
        <f>IF(Audit[[#This Row],[Status - Continue or stop audit]] = "Continue", TRUE, IF(AN538 = "Continue", TRUE, FALSE))</f>
        <v>0</v>
      </c>
      <c r="AP539" s="110"/>
    </row>
    <row r="540" spans="1:42" ht="15" hidden="1" customHeight="1">
      <c r="A540" s="111" t="str">
        <f>'Sampling Data'!W530</f>
        <v/>
      </c>
      <c r="B540" s="112" t="str">
        <f>'Sampling Data'!A530</f>
        <v>CLEVELAND -07-U - ABS</v>
      </c>
      <c r="C540" s="112">
        <f>'Sampling Data'!B530</f>
        <v>0</v>
      </c>
      <c r="D540" s="112">
        <f>'Sampling Data'!C530</f>
        <v>0</v>
      </c>
      <c r="E540" s="113">
        <f>'Sampling Data'!D530</f>
        <v>1</v>
      </c>
      <c r="F540" s="113">
        <f>'Sampling Data'!E530</f>
        <v>2</v>
      </c>
      <c r="G540" s="113">
        <f>'Sampling Data'!F530</f>
        <v>0</v>
      </c>
      <c r="H540" s="113">
        <f>'Sampling Data'!G530</f>
        <v>0</v>
      </c>
      <c r="I540" s="112">
        <f>'Sampling Data'!H530</f>
        <v>0</v>
      </c>
      <c r="J540" s="112">
        <f>'Sampling Data'!I530</f>
        <v>0</v>
      </c>
      <c r="K540" s="112">
        <f>'Sampling Data'!J530</f>
        <v>3</v>
      </c>
      <c r="L540" s="111">
        <f>'Sampling Data'!X530</f>
        <v>0</v>
      </c>
      <c r="M540" s="114"/>
      <c r="N540" s="114"/>
      <c r="O540" s="115"/>
      <c r="P540" s="115"/>
      <c r="Q540" s="116"/>
      <c r="R540" s="116"/>
      <c r="S540" s="111">
        <f>Audit[[#This Row],[Audit Losing Candidate]]-Audit[[#This Row],[Losing Candidate]]</f>
        <v>0</v>
      </c>
      <c r="T540" s="111">
        <f>Audit[[#This Row],[Audit Winning Candidate]]-Audit[[#This Row],[Winning Candidate]]</f>
        <v>0</v>
      </c>
      <c r="U540" s="111">
        <f>Audit[[#This Row],[Audit Candidate 3]]-Audit[[#This Row],[Candidate 3]]</f>
        <v>-1</v>
      </c>
      <c r="V540" s="111">
        <f>Audit[[#This Row],[Audit Candidate 4]]-Audit[[#This Row],[Candidate 4]]</f>
        <v>-2</v>
      </c>
      <c r="W540" s="111">
        <f>Audit[[#This Row],[Audit Candidate 5]]-Audit[[#This Row],[Candidate 5]]</f>
        <v>0</v>
      </c>
      <c r="X540" s="111">
        <f>Audit[[#This Row],[Audit Candidate 6]]-Audit[[#This Row],[Candidate 6]]</f>
        <v>0</v>
      </c>
      <c r="Y540" s="111">
        <f>SUMIF(Audit[[#This Row],[Difference Loser]:[Difference Candidate 6]], "&gt;0")</f>
        <v>0</v>
      </c>
      <c r="Z540" s="111">
        <f>SUM(Audit[[#This Row],[Difference Loser]:[Difference Candidate 6]])</f>
        <v>-3</v>
      </c>
      <c r="AA540" s="111">
        <f>IF(Audit[[#This Row],[Times p Drawn - With Replacement]]&gt;0, IF(Audit[[#This Row],[Canceled Differences]]&lt;0, Audit[[#This Row],[Max Differences]]+ABS(Audit[[#This Row],[Canceled Differences]]), Audit[[#This Row],[Max Differences]]), 0)</f>
        <v>0</v>
      </c>
      <c r="AB540" s="111">
        <f>'Sampling Data'!P530</f>
        <v>1.8373346398824106E-4</v>
      </c>
      <c r="AC540" s="111">
        <f>IF(
      SUM(Audit[[#This Row],[Audit Losing Candidate]:[Audit Candidate 6]])
      &lt;&gt;0,
      (Audit[[#This Row],[Winning Candidate]]-Audit[[#This Row],[Losing Candidate]]-(Audit[[#This Row],[Audit Winning Candidate]]-Audit[[#This Row],[Audit Losing Candidate]]))/(Audit[[#Totals],[Winning Candidate]]-Audit[[#Totals],[Losing Candidate]]),
      0
)</f>
        <v>0</v>
      </c>
      <c r="AD5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0" s="111">
        <f>IF(Audit[[#This Row],[Max Relative Error (ep)]] = 0, 0, Audit[[#This Row],[Max Relative Error (ep)]]/Audit[[#This Row],[Error Bound (up) - Max. possible relative overstatement]])</f>
        <v>0</v>
      </c>
      <c r="AJ5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40" s="111">
        <f t="shared" si="8"/>
        <v>1</v>
      </c>
      <c r="AL540" s="111">
        <f>PRODUCT($AK$5:AK540)</f>
        <v>8.962823818226312E-2</v>
      </c>
      <c r="AM540" s="109">
        <f>1 - [K-M P Value]</f>
        <v>0.91037176181773694</v>
      </c>
      <c r="AN540" s="111" t="str">
        <f>IF(Audit[[#This Row],[K-M P Value]]&gt;1-'General Info'!$B$16,"Continue", "Stop")</f>
        <v>Stop</v>
      </c>
      <c r="AO540" s="110" t="b">
        <f>IF(Audit[[#This Row],[Status - Continue or stop audit]] = "Continue", TRUE, IF(AN539 = "Continue", TRUE, FALSE))</f>
        <v>0</v>
      </c>
      <c r="AP540" s="110"/>
    </row>
    <row r="541" spans="1:42" ht="15" hidden="1" customHeight="1">
      <c r="A541" s="111" t="str">
        <f>'Sampling Data'!W531</f>
        <v/>
      </c>
      <c r="B541" s="112" t="str">
        <f>'Sampling Data'!A531</f>
        <v>CLEVELAND -08-A</v>
      </c>
      <c r="C541" s="112">
        <f>'Sampling Data'!B531</f>
        <v>1</v>
      </c>
      <c r="D541" s="112">
        <f>'Sampling Data'!C531</f>
        <v>1</v>
      </c>
      <c r="E541" s="113">
        <f>'Sampling Data'!D531</f>
        <v>3</v>
      </c>
      <c r="F541" s="113">
        <f>'Sampling Data'!E531</f>
        <v>1</v>
      </c>
      <c r="G541" s="113">
        <f>'Sampling Data'!F531</f>
        <v>0</v>
      </c>
      <c r="H541" s="113">
        <f>'Sampling Data'!G531</f>
        <v>0</v>
      </c>
      <c r="I541" s="112">
        <f>'Sampling Data'!H531</f>
        <v>0</v>
      </c>
      <c r="J541" s="112">
        <f>'Sampling Data'!I531</f>
        <v>0</v>
      </c>
      <c r="K541" s="112">
        <f>'Sampling Data'!J531</f>
        <v>6</v>
      </c>
      <c r="L541" s="111">
        <f>'Sampling Data'!X531</f>
        <v>0</v>
      </c>
      <c r="M541" s="114"/>
      <c r="N541" s="114"/>
      <c r="O541" s="115"/>
      <c r="P541" s="115"/>
      <c r="Q541" s="116"/>
      <c r="R541" s="116"/>
      <c r="S541" s="111">
        <f>Audit[[#This Row],[Audit Losing Candidate]]-Audit[[#This Row],[Losing Candidate]]</f>
        <v>-1</v>
      </c>
      <c r="T541" s="111">
        <f>Audit[[#This Row],[Audit Winning Candidate]]-Audit[[#This Row],[Winning Candidate]]</f>
        <v>-1</v>
      </c>
      <c r="U541" s="111">
        <f>Audit[[#This Row],[Audit Candidate 3]]-Audit[[#This Row],[Candidate 3]]</f>
        <v>-3</v>
      </c>
      <c r="V541" s="111">
        <f>Audit[[#This Row],[Audit Candidate 4]]-Audit[[#This Row],[Candidate 4]]</f>
        <v>-1</v>
      </c>
      <c r="W541" s="111">
        <f>Audit[[#This Row],[Audit Candidate 5]]-Audit[[#This Row],[Candidate 5]]</f>
        <v>0</v>
      </c>
      <c r="X541" s="111">
        <f>Audit[[#This Row],[Audit Candidate 6]]-Audit[[#This Row],[Candidate 6]]</f>
        <v>0</v>
      </c>
      <c r="Y541" s="111">
        <f>SUMIF(Audit[[#This Row],[Difference Loser]:[Difference Candidate 6]], "&gt;0")</f>
        <v>0</v>
      </c>
      <c r="Z541" s="111">
        <f>SUM(Audit[[#This Row],[Difference Loser]:[Difference Candidate 6]])</f>
        <v>-6</v>
      </c>
      <c r="AA541" s="111">
        <f>IF(Audit[[#This Row],[Times p Drawn - With Replacement]]&gt;0, IF(Audit[[#This Row],[Canceled Differences]]&lt;0, Audit[[#This Row],[Max Differences]]+ABS(Audit[[#This Row],[Canceled Differences]]), Audit[[#This Row],[Max Differences]]), 0)</f>
        <v>0</v>
      </c>
      <c r="AB541" s="111">
        <f>'Sampling Data'!P531</f>
        <v>3.6746692797648211E-4</v>
      </c>
      <c r="AC541" s="111">
        <f>IF(
      SUM(Audit[[#This Row],[Audit Losing Candidate]:[Audit Candidate 6]])
      &lt;&gt;0,
      (Audit[[#This Row],[Winning Candidate]]-Audit[[#This Row],[Losing Candidate]]-(Audit[[#This Row],[Audit Winning Candidate]]-Audit[[#This Row],[Audit Losing Candidate]]))/(Audit[[#Totals],[Winning Candidate]]-Audit[[#Totals],[Losing Candidate]]),
      0
)</f>
        <v>0</v>
      </c>
      <c r="AD5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1" s="111">
        <f>IF(Audit[[#This Row],[Max Relative Error (ep)]] = 0, 0, Audit[[#This Row],[Max Relative Error (ep)]]/Audit[[#This Row],[Error Bound (up) - Max. possible relative overstatement]])</f>
        <v>0</v>
      </c>
      <c r="AJ5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41" s="111">
        <f t="shared" si="8"/>
        <v>1</v>
      </c>
      <c r="AL541" s="111">
        <f>PRODUCT($AK$5:AK541)</f>
        <v>8.962823818226312E-2</v>
      </c>
      <c r="AM541" s="109">
        <f>1 - [K-M P Value]</f>
        <v>0.91037176181773694</v>
      </c>
      <c r="AN541" s="111" t="str">
        <f>IF(Audit[[#This Row],[K-M P Value]]&gt;1-'General Info'!$B$16,"Continue", "Stop")</f>
        <v>Stop</v>
      </c>
      <c r="AO541" s="110" t="b">
        <f>IF(Audit[[#This Row],[Status - Continue or stop audit]] = "Continue", TRUE, IF(AN540 = "Continue", TRUE, FALSE))</f>
        <v>0</v>
      </c>
      <c r="AP541" s="110"/>
    </row>
    <row r="542" spans="1:42" ht="15" hidden="1" customHeight="1">
      <c r="A542" s="111" t="str">
        <f>'Sampling Data'!W532</f>
        <v/>
      </c>
      <c r="B542" s="112" t="str">
        <f>'Sampling Data'!A532</f>
        <v>CLEVELAND -08-A - ABS</v>
      </c>
      <c r="C542" s="112">
        <f>'Sampling Data'!B532</f>
        <v>1</v>
      </c>
      <c r="D542" s="112">
        <f>'Sampling Data'!C532</f>
        <v>1</v>
      </c>
      <c r="E542" s="113">
        <f>'Sampling Data'!D532</f>
        <v>0</v>
      </c>
      <c r="F542" s="113">
        <f>'Sampling Data'!E532</f>
        <v>0</v>
      </c>
      <c r="G542" s="113">
        <f>'Sampling Data'!F532</f>
        <v>0</v>
      </c>
      <c r="H542" s="113">
        <f>'Sampling Data'!G532</f>
        <v>0</v>
      </c>
      <c r="I542" s="112">
        <f>'Sampling Data'!H532</f>
        <v>0</v>
      </c>
      <c r="J542" s="112">
        <f>'Sampling Data'!I532</f>
        <v>0</v>
      </c>
      <c r="K542" s="112">
        <f>'Sampling Data'!J532</f>
        <v>2</v>
      </c>
      <c r="L542" s="111">
        <f>'Sampling Data'!X532</f>
        <v>0</v>
      </c>
      <c r="M542" s="114"/>
      <c r="N542" s="114"/>
      <c r="O542" s="115"/>
      <c r="P542" s="115"/>
      <c r="Q542" s="116"/>
      <c r="R542" s="116"/>
      <c r="S542" s="111">
        <f>Audit[[#This Row],[Audit Losing Candidate]]-Audit[[#This Row],[Losing Candidate]]</f>
        <v>-1</v>
      </c>
      <c r="T542" s="111">
        <f>Audit[[#This Row],[Audit Winning Candidate]]-Audit[[#This Row],[Winning Candidate]]</f>
        <v>-1</v>
      </c>
      <c r="U542" s="111">
        <f>Audit[[#This Row],[Audit Candidate 3]]-Audit[[#This Row],[Candidate 3]]</f>
        <v>0</v>
      </c>
      <c r="V542" s="111">
        <f>Audit[[#This Row],[Audit Candidate 4]]-Audit[[#This Row],[Candidate 4]]</f>
        <v>0</v>
      </c>
      <c r="W542" s="111">
        <f>Audit[[#This Row],[Audit Candidate 5]]-Audit[[#This Row],[Candidate 5]]</f>
        <v>0</v>
      </c>
      <c r="X542" s="111">
        <f>Audit[[#This Row],[Audit Candidate 6]]-Audit[[#This Row],[Candidate 6]]</f>
        <v>0</v>
      </c>
      <c r="Y542" s="111">
        <f>SUMIF(Audit[[#This Row],[Difference Loser]:[Difference Candidate 6]], "&gt;0")</f>
        <v>0</v>
      </c>
      <c r="Z542" s="111">
        <f>SUM(Audit[[#This Row],[Difference Loser]:[Difference Candidate 6]])</f>
        <v>-2</v>
      </c>
      <c r="AA542" s="111">
        <f>IF(Audit[[#This Row],[Times p Drawn - With Replacement]]&gt;0, IF(Audit[[#This Row],[Canceled Differences]]&lt;0, Audit[[#This Row],[Max Differences]]+ABS(Audit[[#This Row],[Canceled Differences]]), Audit[[#This Row],[Max Differences]]), 0)</f>
        <v>0</v>
      </c>
      <c r="AB542" s="111">
        <f>'Sampling Data'!P532</f>
        <v>1.224889759921607E-4</v>
      </c>
      <c r="AC542" s="111">
        <f>IF(
      SUM(Audit[[#This Row],[Audit Losing Candidate]:[Audit Candidate 6]])
      &lt;&gt;0,
      (Audit[[#This Row],[Winning Candidate]]-Audit[[#This Row],[Losing Candidate]]-(Audit[[#This Row],[Audit Winning Candidate]]-Audit[[#This Row],[Audit Losing Candidate]]))/(Audit[[#Totals],[Winning Candidate]]-Audit[[#Totals],[Losing Candidate]]),
      0
)</f>
        <v>0</v>
      </c>
      <c r="AD5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2" s="111">
        <f>IF(Audit[[#This Row],[Max Relative Error (ep)]] = 0, 0, Audit[[#This Row],[Max Relative Error (ep)]]/Audit[[#This Row],[Error Bound (up) - Max. possible relative overstatement]])</f>
        <v>0</v>
      </c>
      <c r="AJ5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42" s="111">
        <f t="shared" si="8"/>
        <v>1</v>
      </c>
      <c r="AL542" s="111">
        <f>PRODUCT($AK$5:AK542)</f>
        <v>8.962823818226312E-2</v>
      </c>
      <c r="AM542" s="109">
        <f>1 - [K-M P Value]</f>
        <v>0.91037176181773694</v>
      </c>
      <c r="AN542" s="111" t="str">
        <f>IF(Audit[[#This Row],[K-M P Value]]&gt;1-'General Info'!$B$16,"Continue", "Stop")</f>
        <v>Stop</v>
      </c>
      <c r="AO542" s="110" t="b">
        <f>IF(Audit[[#This Row],[Status - Continue or stop audit]] = "Continue", TRUE, IF(AN541 = "Continue", TRUE, FALSE))</f>
        <v>0</v>
      </c>
      <c r="AP542" s="110"/>
    </row>
    <row r="543" spans="1:42" ht="15" hidden="1" customHeight="1">
      <c r="A543" s="111" t="str">
        <f>'Sampling Data'!W533</f>
        <v/>
      </c>
      <c r="B543" s="112" t="str">
        <f>'Sampling Data'!A533</f>
        <v>CLEVELAND -08-B</v>
      </c>
      <c r="C543" s="112">
        <f>'Sampling Data'!B533</f>
        <v>1</v>
      </c>
      <c r="D543" s="112">
        <f>'Sampling Data'!C533</f>
        <v>6</v>
      </c>
      <c r="E543" s="113">
        <f>'Sampling Data'!D533</f>
        <v>0</v>
      </c>
      <c r="F543" s="113">
        <f>'Sampling Data'!E533</f>
        <v>1</v>
      </c>
      <c r="G543" s="113">
        <f>'Sampling Data'!F533</f>
        <v>0</v>
      </c>
      <c r="H543" s="113">
        <f>'Sampling Data'!G533</f>
        <v>0</v>
      </c>
      <c r="I543" s="112">
        <f>'Sampling Data'!H533</f>
        <v>0</v>
      </c>
      <c r="J543" s="112">
        <f>'Sampling Data'!I533</f>
        <v>0</v>
      </c>
      <c r="K543" s="112">
        <f>'Sampling Data'!J533</f>
        <v>8</v>
      </c>
      <c r="L543" s="111">
        <f>'Sampling Data'!X533</f>
        <v>0</v>
      </c>
      <c r="M543" s="114"/>
      <c r="N543" s="114"/>
      <c r="O543" s="115"/>
      <c r="P543" s="115"/>
      <c r="Q543" s="116"/>
      <c r="R543" s="116"/>
      <c r="S543" s="111">
        <f>Audit[[#This Row],[Audit Losing Candidate]]-Audit[[#This Row],[Losing Candidate]]</f>
        <v>-1</v>
      </c>
      <c r="T543" s="111">
        <f>Audit[[#This Row],[Audit Winning Candidate]]-Audit[[#This Row],[Winning Candidate]]</f>
        <v>-6</v>
      </c>
      <c r="U543" s="111">
        <f>Audit[[#This Row],[Audit Candidate 3]]-Audit[[#This Row],[Candidate 3]]</f>
        <v>0</v>
      </c>
      <c r="V543" s="111">
        <f>Audit[[#This Row],[Audit Candidate 4]]-Audit[[#This Row],[Candidate 4]]</f>
        <v>-1</v>
      </c>
      <c r="W543" s="111">
        <f>Audit[[#This Row],[Audit Candidate 5]]-Audit[[#This Row],[Candidate 5]]</f>
        <v>0</v>
      </c>
      <c r="X543" s="111">
        <f>Audit[[#This Row],[Audit Candidate 6]]-Audit[[#This Row],[Candidate 6]]</f>
        <v>0</v>
      </c>
      <c r="Y543" s="111">
        <f>SUMIF(Audit[[#This Row],[Difference Loser]:[Difference Candidate 6]], "&gt;0")</f>
        <v>0</v>
      </c>
      <c r="Z543" s="111">
        <f>SUM(Audit[[#This Row],[Difference Loser]:[Difference Candidate 6]])</f>
        <v>-8</v>
      </c>
      <c r="AA543" s="111">
        <f>IF(Audit[[#This Row],[Times p Drawn - With Replacement]]&gt;0, IF(Audit[[#This Row],[Canceled Differences]]&lt;0, Audit[[#This Row],[Max Differences]]+ABS(Audit[[#This Row],[Canceled Differences]]), Audit[[#This Row],[Max Differences]]), 0)</f>
        <v>0</v>
      </c>
      <c r="AB543" s="111">
        <f>'Sampling Data'!P533</f>
        <v>7.9617834394904463E-4</v>
      </c>
      <c r="AC543" s="111">
        <f>IF(
      SUM(Audit[[#This Row],[Audit Losing Candidate]:[Audit Candidate 6]])
      &lt;&gt;0,
      (Audit[[#This Row],[Winning Candidate]]-Audit[[#This Row],[Losing Candidate]]-(Audit[[#This Row],[Audit Winning Candidate]]-Audit[[#This Row],[Audit Losing Candidate]]))/(Audit[[#Totals],[Winning Candidate]]-Audit[[#Totals],[Losing Candidate]]),
      0
)</f>
        <v>0</v>
      </c>
      <c r="AD5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3" s="111">
        <f>IF(Audit[[#This Row],[Max Relative Error (ep)]] = 0, 0, Audit[[#This Row],[Max Relative Error (ep)]]/Audit[[#This Row],[Error Bound (up) - Max. possible relative overstatement]])</f>
        <v>0</v>
      </c>
      <c r="AJ5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43" s="111">
        <f t="shared" si="8"/>
        <v>1</v>
      </c>
      <c r="AL543" s="111">
        <f>PRODUCT($AK$5:AK543)</f>
        <v>8.962823818226312E-2</v>
      </c>
      <c r="AM543" s="109">
        <f>1 - [K-M P Value]</f>
        <v>0.91037176181773694</v>
      </c>
      <c r="AN543" s="111" t="str">
        <f>IF(Audit[[#This Row],[K-M P Value]]&gt;1-'General Info'!$B$16,"Continue", "Stop")</f>
        <v>Stop</v>
      </c>
      <c r="AO543" s="110" t="b">
        <f>IF(Audit[[#This Row],[Status - Continue or stop audit]] = "Continue", TRUE, IF(AN542 = "Continue", TRUE, FALSE))</f>
        <v>0</v>
      </c>
      <c r="AP543" s="110"/>
    </row>
    <row r="544" spans="1:42" ht="15" hidden="1" customHeight="1">
      <c r="A544" s="111" t="str">
        <f>'Sampling Data'!W534</f>
        <v/>
      </c>
      <c r="B544" s="112" t="str">
        <f>'Sampling Data'!A534</f>
        <v>CLEVELAND -08-B - ABS</v>
      </c>
      <c r="C544" s="112">
        <f>'Sampling Data'!B534</f>
        <v>5</v>
      </c>
      <c r="D544" s="112">
        <f>'Sampling Data'!C534</f>
        <v>1</v>
      </c>
      <c r="E544" s="113">
        <f>'Sampling Data'!D534</f>
        <v>0</v>
      </c>
      <c r="F544" s="113">
        <f>'Sampling Data'!E534</f>
        <v>1</v>
      </c>
      <c r="G544" s="113">
        <f>'Sampling Data'!F534</f>
        <v>0</v>
      </c>
      <c r="H544" s="113">
        <f>'Sampling Data'!G534</f>
        <v>0</v>
      </c>
      <c r="I544" s="112">
        <f>'Sampling Data'!H534</f>
        <v>1</v>
      </c>
      <c r="J544" s="112">
        <f>'Sampling Data'!I534</f>
        <v>0</v>
      </c>
      <c r="K544" s="112">
        <f>'Sampling Data'!J534</f>
        <v>8</v>
      </c>
      <c r="L544" s="111">
        <f>'Sampling Data'!X534</f>
        <v>0</v>
      </c>
      <c r="M544" s="114"/>
      <c r="N544" s="114"/>
      <c r="O544" s="115"/>
      <c r="P544" s="115"/>
      <c r="Q544" s="116"/>
      <c r="R544" s="116"/>
      <c r="S544" s="111">
        <f>Audit[[#This Row],[Audit Losing Candidate]]-Audit[[#This Row],[Losing Candidate]]</f>
        <v>-5</v>
      </c>
      <c r="T544" s="111">
        <f>Audit[[#This Row],[Audit Winning Candidate]]-Audit[[#This Row],[Winning Candidate]]</f>
        <v>-1</v>
      </c>
      <c r="U544" s="111">
        <f>Audit[[#This Row],[Audit Candidate 3]]-Audit[[#This Row],[Candidate 3]]</f>
        <v>0</v>
      </c>
      <c r="V544" s="111">
        <f>Audit[[#This Row],[Audit Candidate 4]]-Audit[[#This Row],[Candidate 4]]</f>
        <v>-1</v>
      </c>
      <c r="W544" s="111">
        <f>Audit[[#This Row],[Audit Candidate 5]]-Audit[[#This Row],[Candidate 5]]</f>
        <v>0</v>
      </c>
      <c r="X544" s="111">
        <f>Audit[[#This Row],[Audit Candidate 6]]-Audit[[#This Row],[Candidate 6]]</f>
        <v>0</v>
      </c>
      <c r="Y544" s="111">
        <f>SUMIF(Audit[[#This Row],[Difference Loser]:[Difference Candidate 6]], "&gt;0")</f>
        <v>0</v>
      </c>
      <c r="Z544" s="111">
        <f>SUM(Audit[[#This Row],[Difference Loser]:[Difference Candidate 6]])</f>
        <v>-7</v>
      </c>
      <c r="AA544" s="111">
        <f>IF(Audit[[#This Row],[Times p Drawn - With Replacement]]&gt;0, IF(Audit[[#This Row],[Canceled Differences]]&lt;0, Audit[[#This Row],[Max Differences]]+ABS(Audit[[#This Row],[Canceled Differences]]), Audit[[#This Row],[Max Differences]]), 0)</f>
        <v>0</v>
      </c>
      <c r="AB544" s="111">
        <f>'Sampling Data'!P534</f>
        <v>2.9035067909797722E-4</v>
      </c>
      <c r="AC544" s="111">
        <f>IF(
      SUM(Audit[[#This Row],[Audit Losing Candidate]:[Audit Candidate 6]])
      &lt;&gt;0,
      (Audit[[#This Row],[Winning Candidate]]-Audit[[#This Row],[Losing Candidate]]-(Audit[[#This Row],[Audit Winning Candidate]]-Audit[[#This Row],[Audit Losing Candidate]]))/(Audit[[#Totals],[Winning Candidate]]-Audit[[#Totals],[Losing Candidate]]),
      0
)</f>
        <v>0</v>
      </c>
      <c r="AD5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4" s="111">
        <f>IF(Audit[[#This Row],[Max Relative Error (ep)]] = 0, 0, Audit[[#This Row],[Max Relative Error (ep)]]/Audit[[#This Row],[Error Bound (up) - Max. possible relative overstatement]])</f>
        <v>0</v>
      </c>
      <c r="AJ5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44" s="111">
        <f t="shared" si="8"/>
        <v>1</v>
      </c>
      <c r="AL544" s="111">
        <f>PRODUCT($AK$5:AK544)</f>
        <v>8.962823818226312E-2</v>
      </c>
      <c r="AM544" s="109">
        <f>1 - [K-M P Value]</f>
        <v>0.91037176181773694</v>
      </c>
      <c r="AN544" s="111" t="str">
        <f>IF(Audit[[#This Row],[K-M P Value]]&gt;1-'General Info'!$B$16,"Continue", "Stop")</f>
        <v>Stop</v>
      </c>
      <c r="AO544" s="110" t="b">
        <f>IF(Audit[[#This Row],[Status - Continue or stop audit]] = "Continue", TRUE, IF(AN543 = "Continue", TRUE, FALSE))</f>
        <v>0</v>
      </c>
      <c r="AP544" s="110"/>
    </row>
    <row r="545" spans="1:42" ht="15" hidden="1" customHeight="1">
      <c r="A545" s="111" t="str">
        <f>'Sampling Data'!W535</f>
        <v/>
      </c>
      <c r="B545" s="112" t="str">
        <f>'Sampling Data'!A535</f>
        <v>CLEVELAND -08-C</v>
      </c>
      <c r="C545" s="112">
        <f>'Sampling Data'!B535</f>
        <v>1</v>
      </c>
      <c r="D545" s="112">
        <f>'Sampling Data'!C535</f>
        <v>2</v>
      </c>
      <c r="E545" s="113">
        <f>'Sampling Data'!D535</f>
        <v>0</v>
      </c>
      <c r="F545" s="113">
        <f>'Sampling Data'!E535</f>
        <v>1</v>
      </c>
      <c r="G545" s="113">
        <f>'Sampling Data'!F535</f>
        <v>0</v>
      </c>
      <c r="H545" s="113">
        <f>'Sampling Data'!G535</f>
        <v>0</v>
      </c>
      <c r="I545" s="112">
        <f>'Sampling Data'!H535</f>
        <v>0</v>
      </c>
      <c r="J545" s="112">
        <f>'Sampling Data'!I535</f>
        <v>0</v>
      </c>
      <c r="K545" s="112">
        <f>'Sampling Data'!J535</f>
        <v>4</v>
      </c>
      <c r="L545" s="111">
        <f>'Sampling Data'!X535</f>
        <v>0</v>
      </c>
      <c r="M545" s="114"/>
      <c r="N545" s="114"/>
      <c r="O545" s="115"/>
      <c r="P545" s="115"/>
      <c r="Q545" s="116"/>
      <c r="R545" s="116"/>
      <c r="S545" s="111">
        <f>Audit[[#This Row],[Audit Losing Candidate]]-Audit[[#This Row],[Losing Candidate]]</f>
        <v>-1</v>
      </c>
      <c r="T545" s="111">
        <f>Audit[[#This Row],[Audit Winning Candidate]]-Audit[[#This Row],[Winning Candidate]]</f>
        <v>-2</v>
      </c>
      <c r="U545" s="111">
        <f>Audit[[#This Row],[Audit Candidate 3]]-Audit[[#This Row],[Candidate 3]]</f>
        <v>0</v>
      </c>
      <c r="V545" s="111">
        <f>Audit[[#This Row],[Audit Candidate 4]]-Audit[[#This Row],[Candidate 4]]</f>
        <v>-1</v>
      </c>
      <c r="W545" s="111">
        <f>Audit[[#This Row],[Audit Candidate 5]]-Audit[[#This Row],[Candidate 5]]</f>
        <v>0</v>
      </c>
      <c r="X545" s="111">
        <f>Audit[[#This Row],[Audit Candidate 6]]-Audit[[#This Row],[Candidate 6]]</f>
        <v>0</v>
      </c>
      <c r="Y545" s="111">
        <f>SUMIF(Audit[[#This Row],[Difference Loser]:[Difference Candidate 6]], "&gt;0")</f>
        <v>0</v>
      </c>
      <c r="Z545" s="111">
        <f>SUM(Audit[[#This Row],[Difference Loser]:[Difference Candidate 6]])</f>
        <v>-4</v>
      </c>
      <c r="AA545" s="111">
        <f>IF(Audit[[#This Row],[Times p Drawn - With Replacement]]&gt;0, IF(Audit[[#This Row],[Canceled Differences]]&lt;0, Audit[[#This Row],[Max Differences]]+ABS(Audit[[#This Row],[Canceled Differences]]), Audit[[#This Row],[Max Differences]]), 0)</f>
        <v>0</v>
      </c>
      <c r="AB545" s="111">
        <f>'Sampling Data'!P535</f>
        <v>3.0622243998040176E-4</v>
      </c>
      <c r="AC545" s="111">
        <f>IF(
      SUM(Audit[[#This Row],[Audit Losing Candidate]:[Audit Candidate 6]])
      &lt;&gt;0,
      (Audit[[#This Row],[Winning Candidate]]-Audit[[#This Row],[Losing Candidate]]-(Audit[[#This Row],[Audit Winning Candidate]]-Audit[[#This Row],[Audit Losing Candidate]]))/(Audit[[#Totals],[Winning Candidate]]-Audit[[#Totals],[Losing Candidate]]),
      0
)</f>
        <v>0</v>
      </c>
      <c r="AD5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5" s="111">
        <f>IF(Audit[[#This Row],[Max Relative Error (ep)]] = 0, 0, Audit[[#This Row],[Max Relative Error (ep)]]/Audit[[#This Row],[Error Bound (up) - Max. possible relative overstatement]])</f>
        <v>0</v>
      </c>
      <c r="AJ5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45" s="111">
        <f t="shared" si="8"/>
        <v>1</v>
      </c>
      <c r="AL545" s="111">
        <f>PRODUCT($AK$5:AK545)</f>
        <v>8.962823818226312E-2</v>
      </c>
      <c r="AM545" s="109">
        <f>1 - [K-M P Value]</f>
        <v>0.91037176181773694</v>
      </c>
      <c r="AN545" s="111" t="str">
        <f>IF(Audit[[#This Row],[K-M P Value]]&gt;1-'General Info'!$B$16,"Continue", "Stop")</f>
        <v>Stop</v>
      </c>
      <c r="AO545" s="110" t="b">
        <f>IF(Audit[[#This Row],[Status - Continue or stop audit]] = "Continue", TRUE, IF(AN544 = "Continue", TRUE, FALSE))</f>
        <v>0</v>
      </c>
      <c r="AP545" s="110"/>
    </row>
    <row r="546" spans="1:42" ht="15" hidden="1" customHeight="1">
      <c r="A546" s="111" t="str">
        <f>'Sampling Data'!W536</f>
        <v/>
      </c>
      <c r="B546" s="112" t="str">
        <f>'Sampling Data'!A536</f>
        <v>CLEVELAND -08-C - ABS</v>
      </c>
      <c r="C546" s="112">
        <f>'Sampling Data'!B536</f>
        <v>0</v>
      </c>
      <c r="D546" s="112">
        <f>'Sampling Data'!C536</f>
        <v>0</v>
      </c>
      <c r="E546" s="113">
        <f>'Sampling Data'!D536</f>
        <v>0</v>
      </c>
      <c r="F546" s="113">
        <f>'Sampling Data'!E536</f>
        <v>0</v>
      </c>
      <c r="G546" s="113">
        <f>'Sampling Data'!F536</f>
        <v>0</v>
      </c>
      <c r="H546" s="113">
        <f>'Sampling Data'!G536</f>
        <v>0</v>
      </c>
      <c r="I546" s="112">
        <f>'Sampling Data'!H536</f>
        <v>0</v>
      </c>
      <c r="J546" s="112">
        <f>'Sampling Data'!I536</f>
        <v>0</v>
      </c>
      <c r="K546" s="112">
        <f>'Sampling Data'!J536</f>
        <v>0</v>
      </c>
      <c r="L546" s="111">
        <f>'Sampling Data'!X536</f>
        <v>0</v>
      </c>
      <c r="M546" s="114"/>
      <c r="N546" s="114"/>
      <c r="O546" s="115"/>
      <c r="P546" s="115"/>
      <c r="Q546" s="116"/>
      <c r="R546" s="116"/>
      <c r="S546" s="111">
        <f>Audit[[#This Row],[Audit Losing Candidate]]-Audit[[#This Row],[Losing Candidate]]</f>
        <v>0</v>
      </c>
      <c r="T546" s="111">
        <f>Audit[[#This Row],[Audit Winning Candidate]]-Audit[[#This Row],[Winning Candidate]]</f>
        <v>0</v>
      </c>
      <c r="U546" s="111">
        <f>Audit[[#This Row],[Audit Candidate 3]]-Audit[[#This Row],[Candidate 3]]</f>
        <v>0</v>
      </c>
      <c r="V546" s="111">
        <f>Audit[[#This Row],[Audit Candidate 4]]-Audit[[#This Row],[Candidate 4]]</f>
        <v>0</v>
      </c>
      <c r="W546" s="111">
        <f>Audit[[#This Row],[Audit Candidate 5]]-Audit[[#This Row],[Candidate 5]]</f>
        <v>0</v>
      </c>
      <c r="X546" s="111">
        <f>Audit[[#This Row],[Audit Candidate 6]]-Audit[[#This Row],[Candidate 6]]</f>
        <v>0</v>
      </c>
      <c r="Y546" s="111">
        <f>SUMIF(Audit[[#This Row],[Difference Loser]:[Difference Candidate 6]], "&gt;0")</f>
        <v>0</v>
      </c>
      <c r="Z546" s="111">
        <f>SUM(Audit[[#This Row],[Difference Loser]:[Difference Candidate 6]])</f>
        <v>0</v>
      </c>
      <c r="AA546" s="111">
        <f>IF(Audit[[#This Row],[Times p Drawn - With Replacement]]&gt;0, IF(Audit[[#This Row],[Canceled Differences]]&lt;0, Audit[[#This Row],[Max Differences]]+ABS(Audit[[#This Row],[Canceled Differences]]), Audit[[#This Row],[Max Differences]]), 0)</f>
        <v>0</v>
      </c>
      <c r="AB546" s="111">
        <f>'Sampling Data'!P536</f>
        <v>0</v>
      </c>
      <c r="AC546" s="111">
        <f>IF(
      SUM(Audit[[#This Row],[Audit Losing Candidate]:[Audit Candidate 6]])
      &lt;&gt;0,
      (Audit[[#This Row],[Winning Candidate]]-Audit[[#This Row],[Losing Candidate]]-(Audit[[#This Row],[Audit Winning Candidate]]-Audit[[#This Row],[Audit Losing Candidate]]))/(Audit[[#Totals],[Winning Candidate]]-Audit[[#Totals],[Losing Candidate]]),
      0
)</f>
        <v>0</v>
      </c>
      <c r="AD5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6" s="111">
        <f>IF(Audit[[#This Row],[Max Relative Error (ep)]] = 0, 0, Audit[[#This Row],[Max Relative Error (ep)]]/Audit[[#This Row],[Error Bound (up) - Max. possible relative overstatement]])</f>
        <v>0</v>
      </c>
      <c r="AJ5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46" s="111">
        <f t="shared" si="8"/>
        <v>1</v>
      </c>
      <c r="AL546" s="111">
        <f>PRODUCT($AK$5:AK546)</f>
        <v>8.962823818226312E-2</v>
      </c>
      <c r="AM546" s="109">
        <f>1 - [K-M P Value]</f>
        <v>0.91037176181773694</v>
      </c>
      <c r="AN546" s="111" t="str">
        <f>IF(Audit[[#This Row],[K-M P Value]]&gt;1-'General Info'!$B$16,"Continue", "Stop")</f>
        <v>Stop</v>
      </c>
      <c r="AO546" s="110" t="b">
        <f>IF(Audit[[#This Row],[Status - Continue or stop audit]] = "Continue", TRUE, IF(AN545 = "Continue", TRUE, FALSE))</f>
        <v>0</v>
      </c>
      <c r="AP546" s="110"/>
    </row>
    <row r="547" spans="1:42" ht="15" hidden="1" customHeight="1">
      <c r="A547" s="111" t="str">
        <f>'Sampling Data'!W537</f>
        <v/>
      </c>
      <c r="B547" s="112" t="str">
        <f>'Sampling Data'!A537</f>
        <v>CLEVELAND -08-D</v>
      </c>
      <c r="C547" s="112">
        <f>'Sampling Data'!B537</f>
        <v>5</v>
      </c>
      <c r="D547" s="112">
        <f>'Sampling Data'!C537</f>
        <v>4</v>
      </c>
      <c r="E547" s="113">
        <f>'Sampling Data'!D537</f>
        <v>1</v>
      </c>
      <c r="F547" s="113">
        <f>'Sampling Data'!E537</f>
        <v>3</v>
      </c>
      <c r="G547" s="113">
        <f>'Sampling Data'!F537</f>
        <v>0</v>
      </c>
      <c r="H547" s="113">
        <f>'Sampling Data'!G537</f>
        <v>0</v>
      </c>
      <c r="I547" s="112">
        <f>'Sampling Data'!H537</f>
        <v>0</v>
      </c>
      <c r="J547" s="112">
        <f>'Sampling Data'!I537</f>
        <v>1</v>
      </c>
      <c r="K547" s="112">
        <f>'Sampling Data'!J537</f>
        <v>14</v>
      </c>
      <c r="L547" s="111">
        <f>'Sampling Data'!X537</f>
        <v>0</v>
      </c>
      <c r="M547" s="114"/>
      <c r="N547" s="114"/>
      <c r="O547" s="115"/>
      <c r="P547" s="115"/>
      <c r="Q547" s="116"/>
      <c r="R547" s="116"/>
      <c r="S547" s="111">
        <f>Audit[[#This Row],[Audit Losing Candidate]]-Audit[[#This Row],[Losing Candidate]]</f>
        <v>-5</v>
      </c>
      <c r="T547" s="111">
        <f>Audit[[#This Row],[Audit Winning Candidate]]-Audit[[#This Row],[Winning Candidate]]</f>
        <v>-4</v>
      </c>
      <c r="U547" s="111">
        <f>Audit[[#This Row],[Audit Candidate 3]]-Audit[[#This Row],[Candidate 3]]</f>
        <v>-1</v>
      </c>
      <c r="V547" s="111">
        <f>Audit[[#This Row],[Audit Candidate 4]]-Audit[[#This Row],[Candidate 4]]</f>
        <v>-3</v>
      </c>
      <c r="W547" s="111">
        <f>Audit[[#This Row],[Audit Candidate 5]]-Audit[[#This Row],[Candidate 5]]</f>
        <v>0</v>
      </c>
      <c r="X547" s="111">
        <f>Audit[[#This Row],[Audit Candidate 6]]-Audit[[#This Row],[Candidate 6]]</f>
        <v>0</v>
      </c>
      <c r="Y547" s="111">
        <f>SUMIF(Audit[[#This Row],[Difference Loser]:[Difference Candidate 6]], "&gt;0")</f>
        <v>0</v>
      </c>
      <c r="Z547" s="111">
        <f>SUM(Audit[[#This Row],[Difference Loser]:[Difference Candidate 6]])</f>
        <v>-13</v>
      </c>
      <c r="AA547" s="111">
        <f>IF(Audit[[#This Row],[Times p Drawn - With Replacement]]&gt;0, IF(Audit[[#This Row],[Canceled Differences]]&lt;0, Audit[[#This Row],[Max Differences]]+ABS(Audit[[#This Row],[Canceled Differences]]), Audit[[#This Row],[Max Differences]]), 0)</f>
        <v>0</v>
      </c>
      <c r="AB547" s="111">
        <f>'Sampling Data'!P537</f>
        <v>7.9617834394904463E-4</v>
      </c>
      <c r="AC547" s="111">
        <f>IF(
      SUM(Audit[[#This Row],[Audit Losing Candidate]:[Audit Candidate 6]])
      &lt;&gt;0,
      (Audit[[#This Row],[Winning Candidate]]-Audit[[#This Row],[Losing Candidate]]-(Audit[[#This Row],[Audit Winning Candidate]]-Audit[[#This Row],[Audit Losing Candidate]]))/(Audit[[#Totals],[Winning Candidate]]-Audit[[#Totals],[Losing Candidate]]),
      0
)</f>
        <v>0</v>
      </c>
      <c r="AD5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7" s="111">
        <f>IF(Audit[[#This Row],[Max Relative Error (ep)]] = 0, 0, Audit[[#This Row],[Max Relative Error (ep)]]/Audit[[#This Row],[Error Bound (up) - Max. possible relative overstatement]])</f>
        <v>0</v>
      </c>
      <c r="AJ5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47" s="111">
        <f t="shared" si="8"/>
        <v>1</v>
      </c>
      <c r="AL547" s="111">
        <f>PRODUCT($AK$5:AK547)</f>
        <v>8.962823818226312E-2</v>
      </c>
      <c r="AM547" s="109">
        <f>1 - [K-M P Value]</f>
        <v>0.91037176181773694</v>
      </c>
      <c r="AN547" s="111" t="str">
        <f>IF(Audit[[#This Row],[K-M P Value]]&gt;1-'General Info'!$B$16,"Continue", "Stop")</f>
        <v>Stop</v>
      </c>
      <c r="AO547" s="110" t="b">
        <f>IF(Audit[[#This Row],[Status - Continue or stop audit]] = "Continue", TRUE, IF(AN546 = "Continue", TRUE, FALSE))</f>
        <v>0</v>
      </c>
      <c r="AP547" s="110"/>
    </row>
    <row r="548" spans="1:42" ht="15" hidden="1" customHeight="1">
      <c r="A548" s="111" t="str">
        <f>'Sampling Data'!W538</f>
        <v/>
      </c>
      <c r="B548" s="112" t="str">
        <f>'Sampling Data'!A538</f>
        <v>CLEVELAND -08-D - ABS</v>
      </c>
      <c r="C548" s="112">
        <f>'Sampling Data'!B538</f>
        <v>6</v>
      </c>
      <c r="D548" s="112">
        <f>'Sampling Data'!C538</f>
        <v>2</v>
      </c>
      <c r="E548" s="113">
        <f>'Sampling Data'!D538</f>
        <v>2</v>
      </c>
      <c r="F548" s="113">
        <f>'Sampling Data'!E538</f>
        <v>2</v>
      </c>
      <c r="G548" s="113">
        <f>'Sampling Data'!F538</f>
        <v>0</v>
      </c>
      <c r="H548" s="113">
        <f>'Sampling Data'!G538</f>
        <v>0</v>
      </c>
      <c r="I548" s="112">
        <f>'Sampling Data'!H538</f>
        <v>0</v>
      </c>
      <c r="J548" s="112">
        <f>'Sampling Data'!I538</f>
        <v>0</v>
      </c>
      <c r="K548" s="112">
        <f>'Sampling Data'!J538</f>
        <v>12</v>
      </c>
      <c r="L548" s="111">
        <f>'Sampling Data'!X538</f>
        <v>0</v>
      </c>
      <c r="M548" s="114"/>
      <c r="N548" s="114"/>
      <c r="O548" s="115"/>
      <c r="P548" s="115"/>
      <c r="Q548" s="116"/>
      <c r="R548" s="116"/>
      <c r="S548" s="111">
        <f>Audit[[#This Row],[Audit Losing Candidate]]-Audit[[#This Row],[Losing Candidate]]</f>
        <v>-6</v>
      </c>
      <c r="T548" s="111">
        <f>Audit[[#This Row],[Audit Winning Candidate]]-Audit[[#This Row],[Winning Candidate]]</f>
        <v>-2</v>
      </c>
      <c r="U548" s="111">
        <f>Audit[[#This Row],[Audit Candidate 3]]-Audit[[#This Row],[Candidate 3]]</f>
        <v>-2</v>
      </c>
      <c r="V548" s="111">
        <f>Audit[[#This Row],[Audit Candidate 4]]-Audit[[#This Row],[Candidate 4]]</f>
        <v>-2</v>
      </c>
      <c r="W548" s="111">
        <f>Audit[[#This Row],[Audit Candidate 5]]-Audit[[#This Row],[Candidate 5]]</f>
        <v>0</v>
      </c>
      <c r="X548" s="111">
        <f>Audit[[#This Row],[Audit Candidate 6]]-Audit[[#This Row],[Candidate 6]]</f>
        <v>0</v>
      </c>
      <c r="Y548" s="111">
        <f>SUMIF(Audit[[#This Row],[Difference Loser]:[Difference Candidate 6]], "&gt;0")</f>
        <v>0</v>
      </c>
      <c r="Z548" s="111">
        <f>SUM(Audit[[#This Row],[Difference Loser]:[Difference Candidate 6]])</f>
        <v>-12</v>
      </c>
      <c r="AA548" s="111">
        <f>IF(Audit[[#This Row],[Times p Drawn - With Replacement]]&gt;0, IF(Audit[[#This Row],[Canceled Differences]]&lt;0, Audit[[#This Row],[Max Differences]]+ABS(Audit[[#This Row],[Canceled Differences]]), Audit[[#This Row],[Max Differences]]), 0)</f>
        <v>0</v>
      </c>
      <c r="AB548" s="111">
        <f>'Sampling Data'!P538</f>
        <v>4.8995590396864281E-4</v>
      </c>
      <c r="AC548" s="111">
        <f>IF(
      SUM(Audit[[#This Row],[Audit Losing Candidate]:[Audit Candidate 6]])
      &lt;&gt;0,
      (Audit[[#This Row],[Winning Candidate]]-Audit[[#This Row],[Losing Candidate]]-(Audit[[#This Row],[Audit Winning Candidate]]-Audit[[#This Row],[Audit Losing Candidate]]))/(Audit[[#Totals],[Winning Candidate]]-Audit[[#Totals],[Losing Candidate]]),
      0
)</f>
        <v>0</v>
      </c>
      <c r="AD5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8" s="111">
        <f>IF(Audit[[#This Row],[Max Relative Error (ep)]] = 0, 0, Audit[[#This Row],[Max Relative Error (ep)]]/Audit[[#This Row],[Error Bound (up) - Max. possible relative overstatement]])</f>
        <v>0</v>
      </c>
      <c r="AJ5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48" s="111">
        <f t="shared" si="8"/>
        <v>1</v>
      </c>
      <c r="AL548" s="111">
        <f>PRODUCT($AK$5:AK548)</f>
        <v>8.962823818226312E-2</v>
      </c>
      <c r="AM548" s="109">
        <f>1 - [K-M P Value]</f>
        <v>0.91037176181773694</v>
      </c>
      <c r="AN548" s="111" t="str">
        <f>IF(Audit[[#This Row],[K-M P Value]]&gt;1-'General Info'!$B$16,"Continue", "Stop")</f>
        <v>Stop</v>
      </c>
      <c r="AO548" s="110" t="b">
        <f>IF(Audit[[#This Row],[Status - Continue or stop audit]] = "Continue", TRUE, IF(AN547 = "Continue", TRUE, FALSE))</f>
        <v>0</v>
      </c>
      <c r="AP548" s="110"/>
    </row>
    <row r="549" spans="1:42" ht="15" hidden="1" customHeight="1">
      <c r="A549" s="111" t="str">
        <f>'Sampling Data'!W539</f>
        <v/>
      </c>
      <c r="B549" s="112" t="str">
        <f>'Sampling Data'!A539</f>
        <v>CLEVELAND -08-E</v>
      </c>
      <c r="C549" s="112">
        <f>'Sampling Data'!B539</f>
        <v>0</v>
      </c>
      <c r="D549" s="112">
        <f>'Sampling Data'!C539</f>
        <v>0</v>
      </c>
      <c r="E549" s="113">
        <f>'Sampling Data'!D539</f>
        <v>0</v>
      </c>
      <c r="F549" s="113">
        <f>'Sampling Data'!E539</f>
        <v>0</v>
      </c>
      <c r="G549" s="113">
        <f>'Sampling Data'!F539</f>
        <v>0</v>
      </c>
      <c r="H549" s="113">
        <f>'Sampling Data'!G539</f>
        <v>0</v>
      </c>
      <c r="I549" s="112">
        <f>'Sampling Data'!H539</f>
        <v>0</v>
      </c>
      <c r="J549" s="112">
        <f>'Sampling Data'!I539</f>
        <v>0</v>
      </c>
      <c r="K549" s="112">
        <f>'Sampling Data'!J539</f>
        <v>0</v>
      </c>
      <c r="L549" s="111">
        <f>'Sampling Data'!X539</f>
        <v>0</v>
      </c>
      <c r="M549" s="114"/>
      <c r="N549" s="114"/>
      <c r="O549" s="115"/>
      <c r="P549" s="115"/>
      <c r="Q549" s="116"/>
      <c r="R549" s="116"/>
      <c r="S549" s="111">
        <f>Audit[[#This Row],[Audit Losing Candidate]]-Audit[[#This Row],[Losing Candidate]]</f>
        <v>0</v>
      </c>
      <c r="T549" s="111">
        <f>Audit[[#This Row],[Audit Winning Candidate]]-Audit[[#This Row],[Winning Candidate]]</f>
        <v>0</v>
      </c>
      <c r="U549" s="111">
        <f>Audit[[#This Row],[Audit Candidate 3]]-Audit[[#This Row],[Candidate 3]]</f>
        <v>0</v>
      </c>
      <c r="V549" s="111">
        <f>Audit[[#This Row],[Audit Candidate 4]]-Audit[[#This Row],[Candidate 4]]</f>
        <v>0</v>
      </c>
      <c r="W549" s="111">
        <f>Audit[[#This Row],[Audit Candidate 5]]-Audit[[#This Row],[Candidate 5]]</f>
        <v>0</v>
      </c>
      <c r="X549" s="111">
        <f>Audit[[#This Row],[Audit Candidate 6]]-Audit[[#This Row],[Candidate 6]]</f>
        <v>0</v>
      </c>
      <c r="Y549" s="111">
        <f>SUMIF(Audit[[#This Row],[Difference Loser]:[Difference Candidate 6]], "&gt;0")</f>
        <v>0</v>
      </c>
      <c r="Z549" s="111">
        <f>SUM(Audit[[#This Row],[Difference Loser]:[Difference Candidate 6]])</f>
        <v>0</v>
      </c>
      <c r="AA549" s="111">
        <f>IF(Audit[[#This Row],[Times p Drawn - With Replacement]]&gt;0, IF(Audit[[#This Row],[Canceled Differences]]&lt;0, Audit[[#This Row],[Max Differences]]+ABS(Audit[[#This Row],[Canceled Differences]]), Audit[[#This Row],[Max Differences]]), 0)</f>
        <v>0</v>
      </c>
      <c r="AB549" s="111">
        <f>'Sampling Data'!P539</f>
        <v>0</v>
      </c>
      <c r="AC549" s="111">
        <f>IF(
      SUM(Audit[[#This Row],[Audit Losing Candidate]:[Audit Candidate 6]])
      &lt;&gt;0,
      (Audit[[#This Row],[Winning Candidate]]-Audit[[#This Row],[Losing Candidate]]-(Audit[[#This Row],[Audit Winning Candidate]]-Audit[[#This Row],[Audit Losing Candidate]]))/(Audit[[#Totals],[Winning Candidate]]-Audit[[#Totals],[Losing Candidate]]),
      0
)</f>
        <v>0</v>
      </c>
      <c r="AD5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9" s="111">
        <f>IF(Audit[[#This Row],[Max Relative Error (ep)]] = 0, 0, Audit[[#This Row],[Max Relative Error (ep)]]/Audit[[#This Row],[Error Bound (up) - Max. possible relative overstatement]])</f>
        <v>0</v>
      </c>
      <c r="AJ5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49" s="111">
        <f t="shared" si="8"/>
        <v>1</v>
      </c>
      <c r="AL549" s="111">
        <f>PRODUCT($AK$5:AK549)</f>
        <v>8.962823818226312E-2</v>
      </c>
      <c r="AM549" s="109">
        <f>1 - [K-M P Value]</f>
        <v>0.91037176181773694</v>
      </c>
      <c r="AN549" s="111" t="str">
        <f>IF(Audit[[#This Row],[K-M P Value]]&gt;1-'General Info'!$B$16,"Continue", "Stop")</f>
        <v>Stop</v>
      </c>
      <c r="AO549" s="110" t="b">
        <f>IF(Audit[[#This Row],[Status - Continue or stop audit]] = "Continue", TRUE, IF(AN548 = "Continue", TRUE, FALSE))</f>
        <v>0</v>
      </c>
      <c r="AP549" s="110"/>
    </row>
    <row r="550" spans="1:42" ht="15" hidden="1" customHeight="1">
      <c r="A550" s="111" t="str">
        <f>'Sampling Data'!W540</f>
        <v/>
      </c>
      <c r="B550" s="112" t="str">
        <f>'Sampling Data'!A540</f>
        <v>CLEVELAND -08-E - ABS</v>
      </c>
      <c r="C550" s="112">
        <f>'Sampling Data'!B540</f>
        <v>0</v>
      </c>
      <c r="D550" s="112">
        <f>'Sampling Data'!C540</f>
        <v>0</v>
      </c>
      <c r="E550" s="113">
        <f>'Sampling Data'!D540</f>
        <v>1</v>
      </c>
      <c r="F550" s="113">
        <f>'Sampling Data'!E540</f>
        <v>1</v>
      </c>
      <c r="G550" s="113">
        <f>'Sampling Data'!F540</f>
        <v>0</v>
      </c>
      <c r="H550" s="113">
        <f>'Sampling Data'!G540</f>
        <v>0</v>
      </c>
      <c r="I550" s="112">
        <f>'Sampling Data'!H540</f>
        <v>0</v>
      </c>
      <c r="J550" s="112">
        <f>'Sampling Data'!I540</f>
        <v>0</v>
      </c>
      <c r="K550" s="112">
        <f>'Sampling Data'!J540</f>
        <v>2</v>
      </c>
      <c r="L550" s="111">
        <f>'Sampling Data'!X540</f>
        <v>0</v>
      </c>
      <c r="M550" s="114"/>
      <c r="N550" s="114"/>
      <c r="O550" s="115"/>
      <c r="P550" s="115"/>
      <c r="Q550" s="116"/>
      <c r="R550" s="116"/>
      <c r="S550" s="111">
        <f>Audit[[#This Row],[Audit Losing Candidate]]-Audit[[#This Row],[Losing Candidate]]</f>
        <v>0</v>
      </c>
      <c r="T550" s="111">
        <f>Audit[[#This Row],[Audit Winning Candidate]]-Audit[[#This Row],[Winning Candidate]]</f>
        <v>0</v>
      </c>
      <c r="U550" s="111">
        <f>Audit[[#This Row],[Audit Candidate 3]]-Audit[[#This Row],[Candidate 3]]</f>
        <v>-1</v>
      </c>
      <c r="V550" s="111">
        <f>Audit[[#This Row],[Audit Candidate 4]]-Audit[[#This Row],[Candidate 4]]</f>
        <v>-1</v>
      </c>
      <c r="W550" s="111">
        <f>Audit[[#This Row],[Audit Candidate 5]]-Audit[[#This Row],[Candidate 5]]</f>
        <v>0</v>
      </c>
      <c r="X550" s="111">
        <f>Audit[[#This Row],[Audit Candidate 6]]-Audit[[#This Row],[Candidate 6]]</f>
        <v>0</v>
      </c>
      <c r="Y550" s="111">
        <f>SUMIF(Audit[[#This Row],[Difference Loser]:[Difference Candidate 6]], "&gt;0")</f>
        <v>0</v>
      </c>
      <c r="Z550" s="111">
        <f>SUM(Audit[[#This Row],[Difference Loser]:[Difference Candidate 6]])</f>
        <v>-2</v>
      </c>
      <c r="AA550" s="111">
        <f>IF(Audit[[#This Row],[Times p Drawn - With Replacement]]&gt;0, IF(Audit[[#This Row],[Canceled Differences]]&lt;0, Audit[[#This Row],[Max Differences]]+ABS(Audit[[#This Row],[Canceled Differences]]), Audit[[#This Row],[Max Differences]]), 0)</f>
        <v>0</v>
      </c>
      <c r="AB550" s="111">
        <f>'Sampling Data'!P540</f>
        <v>1.224889759921607E-4</v>
      </c>
      <c r="AC550" s="111">
        <f>IF(
      SUM(Audit[[#This Row],[Audit Losing Candidate]:[Audit Candidate 6]])
      &lt;&gt;0,
      (Audit[[#This Row],[Winning Candidate]]-Audit[[#This Row],[Losing Candidate]]-(Audit[[#This Row],[Audit Winning Candidate]]-Audit[[#This Row],[Audit Losing Candidate]]))/(Audit[[#Totals],[Winning Candidate]]-Audit[[#Totals],[Losing Candidate]]),
      0
)</f>
        <v>0</v>
      </c>
      <c r="AD5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0" s="111">
        <f>IF(Audit[[#This Row],[Max Relative Error (ep)]] = 0, 0, Audit[[#This Row],[Max Relative Error (ep)]]/Audit[[#This Row],[Error Bound (up) - Max. possible relative overstatement]])</f>
        <v>0</v>
      </c>
      <c r="AJ5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50" s="111">
        <f t="shared" si="8"/>
        <v>1</v>
      </c>
      <c r="AL550" s="111">
        <f>PRODUCT($AK$5:AK550)</f>
        <v>8.962823818226312E-2</v>
      </c>
      <c r="AM550" s="109">
        <f>1 - [K-M P Value]</f>
        <v>0.91037176181773694</v>
      </c>
      <c r="AN550" s="111" t="str">
        <f>IF(Audit[[#This Row],[K-M P Value]]&gt;1-'General Info'!$B$16,"Continue", "Stop")</f>
        <v>Stop</v>
      </c>
      <c r="AO550" s="110" t="b">
        <f>IF(Audit[[#This Row],[Status - Continue or stop audit]] = "Continue", TRUE, IF(AN549 = "Continue", TRUE, FALSE))</f>
        <v>0</v>
      </c>
      <c r="AP550" s="110"/>
    </row>
    <row r="551" spans="1:42" ht="15" hidden="1" customHeight="1">
      <c r="A551" s="111" t="str">
        <f>'Sampling Data'!W541</f>
        <v/>
      </c>
      <c r="B551" s="112" t="str">
        <f>'Sampling Data'!A541</f>
        <v>CLEVELAND -08-F</v>
      </c>
      <c r="C551" s="112">
        <f>'Sampling Data'!B541</f>
        <v>0</v>
      </c>
      <c r="D551" s="112">
        <f>'Sampling Data'!C541</f>
        <v>0</v>
      </c>
      <c r="E551" s="113">
        <f>'Sampling Data'!D541</f>
        <v>0</v>
      </c>
      <c r="F551" s="113">
        <f>'Sampling Data'!E541</f>
        <v>0</v>
      </c>
      <c r="G551" s="113">
        <f>'Sampling Data'!F541</f>
        <v>0</v>
      </c>
      <c r="H551" s="113">
        <f>'Sampling Data'!G541</f>
        <v>0</v>
      </c>
      <c r="I551" s="112">
        <f>'Sampling Data'!H541</f>
        <v>0</v>
      </c>
      <c r="J551" s="112">
        <f>'Sampling Data'!I541</f>
        <v>1</v>
      </c>
      <c r="K551" s="112">
        <f>'Sampling Data'!J541</f>
        <v>1</v>
      </c>
      <c r="L551" s="111">
        <f>'Sampling Data'!X541</f>
        <v>0</v>
      </c>
      <c r="M551" s="114"/>
      <c r="N551" s="114"/>
      <c r="O551" s="115"/>
      <c r="P551" s="115"/>
      <c r="Q551" s="116"/>
      <c r="R551" s="116"/>
      <c r="S551" s="111">
        <f>Audit[[#This Row],[Audit Losing Candidate]]-Audit[[#This Row],[Losing Candidate]]</f>
        <v>0</v>
      </c>
      <c r="T551" s="111">
        <f>Audit[[#This Row],[Audit Winning Candidate]]-Audit[[#This Row],[Winning Candidate]]</f>
        <v>0</v>
      </c>
      <c r="U551" s="111">
        <f>Audit[[#This Row],[Audit Candidate 3]]-Audit[[#This Row],[Candidate 3]]</f>
        <v>0</v>
      </c>
      <c r="V551" s="111">
        <f>Audit[[#This Row],[Audit Candidate 4]]-Audit[[#This Row],[Candidate 4]]</f>
        <v>0</v>
      </c>
      <c r="W551" s="111">
        <f>Audit[[#This Row],[Audit Candidate 5]]-Audit[[#This Row],[Candidate 5]]</f>
        <v>0</v>
      </c>
      <c r="X551" s="111">
        <f>Audit[[#This Row],[Audit Candidate 6]]-Audit[[#This Row],[Candidate 6]]</f>
        <v>0</v>
      </c>
      <c r="Y551" s="111">
        <f>SUMIF(Audit[[#This Row],[Difference Loser]:[Difference Candidate 6]], "&gt;0")</f>
        <v>0</v>
      </c>
      <c r="Z551" s="111">
        <f>SUM(Audit[[#This Row],[Difference Loser]:[Difference Candidate 6]])</f>
        <v>0</v>
      </c>
      <c r="AA551" s="111">
        <f>IF(Audit[[#This Row],[Times p Drawn - With Replacement]]&gt;0, IF(Audit[[#This Row],[Canceled Differences]]&lt;0, Audit[[#This Row],[Max Differences]]+ABS(Audit[[#This Row],[Canceled Differences]]), Audit[[#This Row],[Max Differences]]), 0)</f>
        <v>0</v>
      </c>
      <c r="AB551" s="111">
        <f>'Sampling Data'!P541</f>
        <v>6.1244487996080352E-5</v>
      </c>
      <c r="AC551" s="111">
        <f>IF(
      SUM(Audit[[#This Row],[Audit Losing Candidate]:[Audit Candidate 6]])
      &lt;&gt;0,
      (Audit[[#This Row],[Winning Candidate]]-Audit[[#This Row],[Losing Candidate]]-(Audit[[#This Row],[Audit Winning Candidate]]-Audit[[#This Row],[Audit Losing Candidate]]))/(Audit[[#Totals],[Winning Candidate]]-Audit[[#Totals],[Losing Candidate]]),
      0
)</f>
        <v>0</v>
      </c>
      <c r="AD5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1" s="111">
        <f>IF(Audit[[#This Row],[Max Relative Error (ep)]] = 0, 0, Audit[[#This Row],[Max Relative Error (ep)]]/Audit[[#This Row],[Error Bound (up) - Max. possible relative overstatement]])</f>
        <v>0</v>
      </c>
      <c r="AJ5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51" s="111">
        <f t="shared" si="8"/>
        <v>1</v>
      </c>
      <c r="AL551" s="111">
        <f>PRODUCT($AK$5:AK551)</f>
        <v>8.962823818226312E-2</v>
      </c>
      <c r="AM551" s="109">
        <f>1 - [K-M P Value]</f>
        <v>0.91037176181773694</v>
      </c>
      <c r="AN551" s="111" t="str">
        <f>IF(Audit[[#This Row],[K-M P Value]]&gt;1-'General Info'!$B$16,"Continue", "Stop")</f>
        <v>Stop</v>
      </c>
      <c r="AO551" s="110" t="b">
        <f>IF(Audit[[#This Row],[Status - Continue or stop audit]] = "Continue", TRUE, IF(AN550 = "Continue", TRUE, FALSE))</f>
        <v>0</v>
      </c>
      <c r="AP551" s="110"/>
    </row>
    <row r="552" spans="1:42" ht="15" hidden="1" customHeight="1">
      <c r="A552" s="111" t="str">
        <f>'Sampling Data'!W542</f>
        <v/>
      </c>
      <c r="B552" s="112" t="str">
        <f>'Sampling Data'!A542</f>
        <v>CLEVELAND -08-F - ABS</v>
      </c>
      <c r="C552" s="112">
        <f>'Sampling Data'!B542</f>
        <v>0</v>
      </c>
      <c r="D552" s="112">
        <f>'Sampling Data'!C542</f>
        <v>0</v>
      </c>
      <c r="E552" s="113">
        <f>'Sampling Data'!D542</f>
        <v>0</v>
      </c>
      <c r="F552" s="113">
        <f>'Sampling Data'!E542</f>
        <v>0</v>
      </c>
      <c r="G552" s="113">
        <f>'Sampling Data'!F542</f>
        <v>0</v>
      </c>
      <c r="H552" s="113">
        <f>'Sampling Data'!G542</f>
        <v>0</v>
      </c>
      <c r="I552" s="112">
        <f>'Sampling Data'!H542</f>
        <v>0</v>
      </c>
      <c r="J552" s="112">
        <f>'Sampling Data'!I542</f>
        <v>0</v>
      </c>
      <c r="K552" s="112">
        <f>'Sampling Data'!J542</f>
        <v>0</v>
      </c>
      <c r="L552" s="111">
        <f>'Sampling Data'!X542</f>
        <v>0</v>
      </c>
      <c r="M552" s="114"/>
      <c r="N552" s="114"/>
      <c r="O552" s="115"/>
      <c r="P552" s="115"/>
      <c r="Q552" s="116"/>
      <c r="R552" s="116"/>
      <c r="S552" s="111">
        <f>Audit[[#This Row],[Audit Losing Candidate]]-Audit[[#This Row],[Losing Candidate]]</f>
        <v>0</v>
      </c>
      <c r="T552" s="111">
        <f>Audit[[#This Row],[Audit Winning Candidate]]-Audit[[#This Row],[Winning Candidate]]</f>
        <v>0</v>
      </c>
      <c r="U552" s="111">
        <f>Audit[[#This Row],[Audit Candidate 3]]-Audit[[#This Row],[Candidate 3]]</f>
        <v>0</v>
      </c>
      <c r="V552" s="111">
        <f>Audit[[#This Row],[Audit Candidate 4]]-Audit[[#This Row],[Candidate 4]]</f>
        <v>0</v>
      </c>
      <c r="W552" s="111">
        <f>Audit[[#This Row],[Audit Candidate 5]]-Audit[[#This Row],[Candidate 5]]</f>
        <v>0</v>
      </c>
      <c r="X552" s="111">
        <f>Audit[[#This Row],[Audit Candidate 6]]-Audit[[#This Row],[Candidate 6]]</f>
        <v>0</v>
      </c>
      <c r="Y552" s="111">
        <f>SUMIF(Audit[[#This Row],[Difference Loser]:[Difference Candidate 6]], "&gt;0")</f>
        <v>0</v>
      </c>
      <c r="Z552" s="111">
        <f>SUM(Audit[[#This Row],[Difference Loser]:[Difference Candidate 6]])</f>
        <v>0</v>
      </c>
      <c r="AA552" s="111">
        <f>IF(Audit[[#This Row],[Times p Drawn - With Replacement]]&gt;0, IF(Audit[[#This Row],[Canceled Differences]]&lt;0, Audit[[#This Row],[Max Differences]]+ABS(Audit[[#This Row],[Canceled Differences]]), Audit[[#This Row],[Max Differences]]), 0)</f>
        <v>0</v>
      </c>
      <c r="AB552" s="111">
        <f>'Sampling Data'!P542</f>
        <v>0</v>
      </c>
      <c r="AC552" s="111">
        <f>IF(
      SUM(Audit[[#This Row],[Audit Losing Candidate]:[Audit Candidate 6]])
      &lt;&gt;0,
      (Audit[[#This Row],[Winning Candidate]]-Audit[[#This Row],[Losing Candidate]]-(Audit[[#This Row],[Audit Winning Candidate]]-Audit[[#This Row],[Audit Losing Candidate]]))/(Audit[[#Totals],[Winning Candidate]]-Audit[[#Totals],[Losing Candidate]]),
      0
)</f>
        <v>0</v>
      </c>
      <c r="AD5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2" s="111">
        <f>IF(Audit[[#This Row],[Max Relative Error (ep)]] = 0, 0, Audit[[#This Row],[Max Relative Error (ep)]]/Audit[[#This Row],[Error Bound (up) - Max. possible relative overstatement]])</f>
        <v>0</v>
      </c>
      <c r="AJ5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52" s="111">
        <f t="shared" si="8"/>
        <v>1</v>
      </c>
      <c r="AL552" s="111">
        <f>PRODUCT($AK$5:AK552)</f>
        <v>8.962823818226312E-2</v>
      </c>
      <c r="AM552" s="109">
        <f>1 - [K-M P Value]</f>
        <v>0.91037176181773694</v>
      </c>
      <c r="AN552" s="111" t="str">
        <f>IF(Audit[[#This Row],[K-M P Value]]&gt;1-'General Info'!$B$16,"Continue", "Stop")</f>
        <v>Stop</v>
      </c>
      <c r="AO552" s="110" t="b">
        <f>IF(Audit[[#This Row],[Status - Continue or stop audit]] = "Continue", TRUE, IF(AN551 = "Continue", TRUE, FALSE))</f>
        <v>0</v>
      </c>
      <c r="AP552" s="110"/>
    </row>
    <row r="553" spans="1:42" ht="15" hidden="1" customHeight="1">
      <c r="A553" s="111" t="str">
        <f>'Sampling Data'!W543</f>
        <v/>
      </c>
      <c r="B553" s="112" t="str">
        <f>'Sampling Data'!A543</f>
        <v>CLEVELAND -08-G</v>
      </c>
      <c r="C553" s="112">
        <f>'Sampling Data'!B543</f>
        <v>1</v>
      </c>
      <c r="D553" s="112">
        <f>'Sampling Data'!C543</f>
        <v>0</v>
      </c>
      <c r="E553" s="113">
        <f>'Sampling Data'!D543</f>
        <v>0</v>
      </c>
      <c r="F553" s="113">
        <f>'Sampling Data'!E543</f>
        <v>0</v>
      </c>
      <c r="G553" s="113">
        <f>'Sampling Data'!F543</f>
        <v>0</v>
      </c>
      <c r="H553" s="113">
        <f>'Sampling Data'!G543</f>
        <v>0</v>
      </c>
      <c r="I553" s="112">
        <f>'Sampling Data'!H543</f>
        <v>0</v>
      </c>
      <c r="J553" s="112">
        <f>'Sampling Data'!I543</f>
        <v>0</v>
      </c>
      <c r="K553" s="112">
        <f>'Sampling Data'!J543</f>
        <v>1</v>
      </c>
      <c r="L553" s="111">
        <f>'Sampling Data'!X543</f>
        <v>0</v>
      </c>
      <c r="M553" s="114"/>
      <c r="N553" s="114"/>
      <c r="O553" s="115"/>
      <c r="P553" s="115"/>
      <c r="Q553" s="116"/>
      <c r="R553" s="116"/>
      <c r="S553" s="111">
        <f>Audit[[#This Row],[Audit Losing Candidate]]-Audit[[#This Row],[Losing Candidate]]</f>
        <v>-1</v>
      </c>
      <c r="T553" s="111">
        <f>Audit[[#This Row],[Audit Winning Candidate]]-Audit[[#This Row],[Winning Candidate]]</f>
        <v>0</v>
      </c>
      <c r="U553" s="111">
        <f>Audit[[#This Row],[Audit Candidate 3]]-Audit[[#This Row],[Candidate 3]]</f>
        <v>0</v>
      </c>
      <c r="V553" s="111">
        <f>Audit[[#This Row],[Audit Candidate 4]]-Audit[[#This Row],[Candidate 4]]</f>
        <v>0</v>
      </c>
      <c r="W553" s="111">
        <f>Audit[[#This Row],[Audit Candidate 5]]-Audit[[#This Row],[Candidate 5]]</f>
        <v>0</v>
      </c>
      <c r="X553" s="111">
        <f>Audit[[#This Row],[Audit Candidate 6]]-Audit[[#This Row],[Candidate 6]]</f>
        <v>0</v>
      </c>
      <c r="Y553" s="111">
        <f>SUMIF(Audit[[#This Row],[Difference Loser]:[Difference Candidate 6]], "&gt;0")</f>
        <v>0</v>
      </c>
      <c r="Z553" s="111">
        <f>SUM(Audit[[#This Row],[Difference Loser]:[Difference Candidate 6]])</f>
        <v>-1</v>
      </c>
      <c r="AA553" s="111">
        <f>IF(Audit[[#This Row],[Times p Drawn - With Replacement]]&gt;0, IF(Audit[[#This Row],[Canceled Differences]]&lt;0, Audit[[#This Row],[Max Differences]]+ABS(Audit[[#This Row],[Canceled Differences]]), Audit[[#This Row],[Max Differences]]), 0)</f>
        <v>0</v>
      </c>
      <c r="AB553" s="111">
        <f>'Sampling Data'!P543</f>
        <v>3.2261186566441917E-5</v>
      </c>
      <c r="AC553" s="111">
        <f>IF(
      SUM(Audit[[#This Row],[Audit Losing Candidate]:[Audit Candidate 6]])
      &lt;&gt;0,
      (Audit[[#This Row],[Winning Candidate]]-Audit[[#This Row],[Losing Candidate]]-(Audit[[#This Row],[Audit Winning Candidate]]-Audit[[#This Row],[Audit Losing Candidate]]))/(Audit[[#Totals],[Winning Candidate]]-Audit[[#Totals],[Losing Candidate]]),
      0
)</f>
        <v>0</v>
      </c>
      <c r="AD5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3" s="111">
        <f>IF(Audit[[#This Row],[Max Relative Error (ep)]] = 0, 0, Audit[[#This Row],[Max Relative Error (ep)]]/Audit[[#This Row],[Error Bound (up) - Max. possible relative overstatement]])</f>
        <v>0</v>
      </c>
      <c r="AJ5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53" s="111">
        <f t="shared" si="8"/>
        <v>1</v>
      </c>
      <c r="AL553" s="111">
        <f>PRODUCT($AK$5:AK553)</f>
        <v>8.962823818226312E-2</v>
      </c>
      <c r="AM553" s="109">
        <f>1 - [K-M P Value]</f>
        <v>0.91037176181773694</v>
      </c>
      <c r="AN553" s="111" t="str">
        <f>IF(Audit[[#This Row],[K-M P Value]]&gt;1-'General Info'!$B$16,"Continue", "Stop")</f>
        <v>Stop</v>
      </c>
      <c r="AO553" s="110" t="b">
        <f>IF(Audit[[#This Row],[Status - Continue or stop audit]] = "Continue", TRUE, IF(AN552 = "Continue", TRUE, FALSE))</f>
        <v>0</v>
      </c>
      <c r="AP553" s="110"/>
    </row>
    <row r="554" spans="1:42" ht="15" hidden="1" customHeight="1">
      <c r="A554" s="111" t="str">
        <f>'Sampling Data'!W544</f>
        <v/>
      </c>
      <c r="B554" s="112" t="str">
        <f>'Sampling Data'!A544</f>
        <v>CLEVELAND -08-G - ABS</v>
      </c>
      <c r="C554" s="112">
        <f>'Sampling Data'!B544</f>
        <v>0</v>
      </c>
      <c r="D554" s="112">
        <f>'Sampling Data'!C544</f>
        <v>1</v>
      </c>
      <c r="E554" s="113">
        <f>'Sampling Data'!D544</f>
        <v>0</v>
      </c>
      <c r="F554" s="113">
        <f>'Sampling Data'!E544</f>
        <v>0</v>
      </c>
      <c r="G554" s="113">
        <f>'Sampling Data'!F544</f>
        <v>1</v>
      </c>
      <c r="H554" s="113">
        <f>'Sampling Data'!G544</f>
        <v>0</v>
      </c>
      <c r="I554" s="112">
        <f>'Sampling Data'!H544</f>
        <v>0</v>
      </c>
      <c r="J554" s="112">
        <f>'Sampling Data'!I544</f>
        <v>0</v>
      </c>
      <c r="K554" s="112">
        <f>'Sampling Data'!J544</f>
        <v>2</v>
      </c>
      <c r="L554" s="111">
        <f>'Sampling Data'!X544</f>
        <v>0</v>
      </c>
      <c r="M554" s="114"/>
      <c r="N554" s="114"/>
      <c r="O554" s="115"/>
      <c r="P554" s="115"/>
      <c r="Q554" s="116"/>
      <c r="R554" s="116"/>
      <c r="S554" s="111">
        <f>Audit[[#This Row],[Audit Losing Candidate]]-Audit[[#This Row],[Losing Candidate]]</f>
        <v>0</v>
      </c>
      <c r="T554" s="111">
        <f>Audit[[#This Row],[Audit Winning Candidate]]-Audit[[#This Row],[Winning Candidate]]</f>
        <v>-1</v>
      </c>
      <c r="U554" s="111">
        <f>Audit[[#This Row],[Audit Candidate 3]]-Audit[[#This Row],[Candidate 3]]</f>
        <v>0</v>
      </c>
      <c r="V554" s="111">
        <f>Audit[[#This Row],[Audit Candidate 4]]-Audit[[#This Row],[Candidate 4]]</f>
        <v>0</v>
      </c>
      <c r="W554" s="111">
        <f>Audit[[#This Row],[Audit Candidate 5]]-Audit[[#This Row],[Candidate 5]]</f>
        <v>-1</v>
      </c>
      <c r="X554" s="111">
        <f>Audit[[#This Row],[Audit Candidate 6]]-Audit[[#This Row],[Candidate 6]]</f>
        <v>0</v>
      </c>
      <c r="Y554" s="111">
        <f>SUMIF(Audit[[#This Row],[Difference Loser]:[Difference Candidate 6]], "&gt;0")</f>
        <v>0</v>
      </c>
      <c r="Z554" s="111">
        <f>SUM(Audit[[#This Row],[Difference Loser]:[Difference Candidate 6]])</f>
        <v>-2</v>
      </c>
      <c r="AA554" s="111">
        <f>IF(Audit[[#This Row],[Times p Drawn - With Replacement]]&gt;0, IF(Audit[[#This Row],[Canceled Differences]]&lt;0, Audit[[#This Row],[Max Differences]]+ABS(Audit[[#This Row],[Canceled Differences]]), Audit[[#This Row],[Max Differences]]), 0)</f>
        <v>0</v>
      </c>
      <c r="AB554" s="111">
        <f>'Sampling Data'!P544</f>
        <v>1.8373346398824106E-4</v>
      </c>
      <c r="AC554" s="111">
        <f>IF(
      SUM(Audit[[#This Row],[Audit Losing Candidate]:[Audit Candidate 6]])
      &lt;&gt;0,
      (Audit[[#This Row],[Winning Candidate]]-Audit[[#This Row],[Losing Candidate]]-(Audit[[#This Row],[Audit Winning Candidate]]-Audit[[#This Row],[Audit Losing Candidate]]))/(Audit[[#Totals],[Winning Candidate]]-Audit[[#Totals],[Losing Candidate]]),
      0
)</f>
        <v>0</v>
      </c>
      <c r="AD5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4" s="111">
        <f>IF(Audit[[#This Row],[Max Relative Error (ep)]] = 0, 0, Audit[[#This Row],[Max Relative Error (ep)]]/Audit[[#This Row],[Error Bound (up) - Max. possible relative overstatement]])</f>
        <v>0</v>
      </c>
      <c r="AJ5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54" s="111">
        <f t="shared" si="8"/>
        <v>1</v>
      </c>
      <c r="AL554" s="111">
        <f>PRODUCT($AK$5:AK554)</f>
        <v>8.962823818226312E-2</v>
      </c>
      <c r="AM554" s="109">
        <f>1 - [K-M P Value]</f>
        <v>0.91037176181773694</v>
      </c>
      <c r="AN554" s="111" t="str">
        <f>IF(Audit[[#This Row],[K-M P Value]]&gt;1-'General Info'!$B$16,"Continue", "Stop")</f>
        <v>Stop</v>
      </c>
      <c r="AO554" s="110" t="b">
        <f>IF(Audit[[#This Row],[Status - Continue or stop audit]] = "Continue", TRUE, IF(AN553 = "Continue", TRUE, FALSE))</f>
        <v>0</v>
      </c>
      <c r="AP554" s="110"/>
    </row>
    <row r="555" spans="1:42" ht="15" hidden="1" customHeight="1">
      <c r="A555" s="111" t="str">
        <f>'Sampling Data'!W545</f>
        <v/>
      </c>
      <c r="B555" s="112" t="str">
        <f>'Sampling Data'!A545</f>
        <v>CLEVELAND -08-H</v>
      </c>
      <c r="C555" s="112">
        <f>'Sampling Data'!B545</f>
        <v>0</v>
      </c>
      <c r="D555" s="112">
        <f>'Sampling Data'!C545</f>
        <v>0</v>
      </c>
      <c r="E555" s="113">
        <f>'Sampling Data'!D545</f>
        <v>0</v>
      </c>
      <c r="F555" s="113">
        <f>'Sampling Data'!E545</f>
        <v>0</v>
      </c>
      <c r="G555" s="113">
        <f>'Sampling Data'!F545</f>
        <v>0</v>
      </c>
      <c r="H555" s="113">
        <f>'Sampling Data'!G545</f>
        <v>0</v>
      </c>
      <c r="I555" s="112">
        <f>'Sampling Data'!H545</f>
        <v>0</v>
      </c>
      <c r="J555" s="112">
        <f>'Sampling Data'!I545</f>
        <v>0</v>
      </c>
      <c r="K555" s="112">
        <f>'Sampling Data'!J545</f>
        <v>0</v>
      </c>
      <c r="L555" s="111">
        <f>'Sampling Data'!X545</f>
        <v>0</v>
      </c>
      <c r="M555" s="114"/>
      <c r="N555" s="114"/>
      <c r="O555" s="115"/>
      <c r="P555" s="115"/>
      <c r="Q555" s="116"/>
      <c r="R555" s="116"/>
      <c r="S555" s="111">
        <f>Audit[[#This Row],[Audit Losing Candidate]]-Audit[[#This Row],[Losing Candidate]]</f>
        <v>0</v>
      </c>
      <c r="T555" s="111">
        <f>Audit[[#This Row],[Audit Winning Candidate]]-Audit[[#This Row],[Winning Candidate]]</f>
        <v>0</v>
      </c>
      <c r="U555" s="111">
        <f>Audit[[#This Row],[Audit Candidate 3]]-Audit[[#This Row],[Candidate 3]]</f>
        <v>0</v>
      </c>
      <c r="V555" s="111">
        <f>Audit[[#This Row],[Audit Candidate 4]]-Audit[[#This Row],[Candidate 4]]</f>
        <v>0</v>
      </c>
      <c r="W555" s="111">
        <f>Audit[[#This Row],[Audit Candidate 5]]-Audit[[#This Row],[Candidate 5]]</f>
        <v>0</v>
      </c>
      <c r="X555" s="111">
        <f>Audit[[#This Row],[Audit Candidate 6]]-Audit[[#This Row],[Candidate 6]]</f>
        <v>0</v>
      </c>
      <c r="Y555" s="111">
        <f>SUMIF(Audit[[#This Row],[Difference Loser]:[Difference Candidate 6]], "&gt;0")</f>
        <v>0</v>
      </c>
      <c r="Z555" s="111">
        <f>SUM(Audit[[#This Row],[Difference Loser]:[Difference Candidate 6]])</f>
        <v>0</v>
      </c>
      <c r="AA555" s="111">
        <f>IF(Audit[[#This Row],[Times p Drawn - With Replacement]]&gt;0, IF(Audit[[#This Row],[Canceled Differences]]&lt;0, Audit[[#This Row],[Max Differences]]+ABS(Audit[[#This Row],[Canceled Differences]]), Audit[[#This Row],[Max Differences]]), 0)</f>
        <v>0</v>
      </c>
      <c r="AB555" s="111">
        <f>'Sampling Data'!P545</f>
        <v>0</v>
      </c>
      <c r="AC555" s="111">
        <f>IF(
      SUM(Audit[[#This Row],[Audit Losing Candidate]:[Audit Candidate 6]])
      &lt;&gt;0,
      (Audit[[#This Row],[Winning Candidate]]-Audit[[#This Row],[Losing Candidate]]-(Audit[[#This Row],[Audit Winning Candidate]]-Audit[[#This Row],[Audit Losing Candidate]]))/(Audit[[#Totals],[Winning Candidate]]-Audit[[#Totals],[Losing Candidate]]),
      0
)</f>
        <v>0</v>
      </c>
      <c r="AD5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5" s="111">
        <f>IF(Audit[[#This Row],[Max Relative Error (ep)]] = 0, 0, Audit[[#This Row],[Max Relative Error (ep)]]/Audit[[#This Row],[Error Bound (up) - Max. possible relative overstatement]])</f>
        <v>0</v>
      </c>
      <c r="AJ5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55" s="111">
        <f t="shared" si="8"/>
        <v>1</v>
      </c>
      <c r="AL555" s="111">
        <f>PRODUCT($AK$5:AK555)</f>
        <v>8.962823818226312E-2</v>
      </c>
      <c r="AM555" s="109">
        <f>1 - [K-M P Value]</f>
        <v>0.91037176181773694</v>
      </c>
      <c r="AN555" s="111" t="str">
        <f>IF(Audit[[#This Row],[K-M P Value]]&gt;1-'General Info'!$B$16,"Continue", "Stop")</f>
        <v>Stop</v>
      </c>
      <c r="AO555" s="110" t="b">
        <f>IF(Audit[[#This Row],[Status - Continue or stop audit]] = "Continue", TRUE, IF(AN554 = "Continue", TRUE, FALSE))</f>
        <v>0</v>
      </c>
      <c r="AP555" s="110"/>
    </row>
    <row r="556" spans="1:42" ht="15" hidden="1" customHeight="1">
      <c r="A556" s="111" t="str">
        <f>'Sampling Data'!W546</f>
        <v/>
      </c>
      <c r="B556" s="112" t="str">
        <f>'Sampling Data'!A546</f>
        <v>CLEVELAND -08-H - ABS</v>
      </c>
      <c r="C556" s="112">
        <f>'Sampling Data'!B546</f>
        <v>0</v>
      </c>
      <c r="D556" s="112">
        <f>'Sampling Data'!C546</f>
        <v>0</v>
      </c>
      <c r="E556" s="113">
        <f>'Sampling Data'!D546</f>
        <v>0</v>
      </c>
      <c r="F556" s="113">
        <f>'Sampling Data'!E546</f>
        <v>0</v>
      </c>
      <c r="G556" s="113">
        <f>'Sampling Data'!F546</f>
        <v>0</v>
      </c>
      <c r="H556" s="113">
        <f>'Sampling Data'!G546</f>
        <v>0</v>
      </c>
      <c r="I556" s="112">
        <f>'Sampling Data'!H546</f>
        <v>0</v>
      </c>
      <c r="J556" s="112">
        <f>'Sampling Data'!I546</f>
        <v>0</v>
      </c>
      <c r="K556" s="112">
        <f>'Sampling Data'!J546</f>
        <v>0</v>
      </c>
      <c r="L556" s="111">
        <f>'Sampling Data'!X546</f>
        <v>0</v>
      </c>
      <c r="M556" s="114"/>
      <c r="N556" s="114"/>
      <c r="O556" s="115"/>
      <c r="P556" s="115"/>
      <c r="Q556" s="116"/>
      <c r="R556" s="116"/>
      <c r="S556" s="111">
        <f>Audit[[#This Row],[Audit Losing Candidate]]-Audit[[#This Row],[Losing Candidate]]</f>
        <v>0</v>
      </c>
      <c r="T556" s="111">
        <f>Audit[[#This Row],[Audit Winning Candidate]]-Audit[[#This Row],[Winning Candidate]]</f>
        <v>0</v>
      </c>
      <c r="U556" s="111">
        <f>Audit[[#This Row],[Audit Candidate 3]]-Audit[[#This Row],[Candidate 3]]</f>
        <v>0</v>
      </c>
      <c r="V556" s="111">
        <f>Audit[[#This Row],[Audit Candidate 4]]-Audit[[#This Row],[Candidate 4]]</f>
        <v>0</v>
      </c>
      <c r="W556" s="111">
        <f>Audit[[#This Row],[Audit Candidate 5]]-Audit[[#This Row],[Candidate 5]]</f>
        <v>0</v>
      </c>
      <c r="X556" s="111">
        <f>Audit[[#This Row],[Audit Candidate 6]]-Audit[[#This Row],[Candidate 6]]</f>
        <v>0</v>
      </c>
      <c r="Y556" s="111">
        <f>SUMIF(Audit[[#This Row],[Difference Loser]:[Difference Candidate 6]], "&gt;0")</f>
        <v>0</v>
      </c>
      <c r="Z556" s="111">
        <f>SUM(Audit[[#This Row],[Difference Loser]:[Difference Candidate 6]])</f>
        <v>0</v>
      </c>
      <c r="AA556" s="111">
        <f>IF(Audit[[#This Row],[Times p Drawn - With Replacement]]&gt;0, IF(Audit[[#This Row],[Canceled Differences]]&lt;0, Audit[[#This Row],[Max Differences]]+ABS(Audit[[#This Row],[Canceled Differences]]), Audit[[#This Row],[Max Differences]]), 0)</f>
        <v>0</v>
      </c>
      <c r="AB556" s="111">
        <f>'Sampling Data'!P546</f>
        <v>0</v>
      </c>
      <c r="AC556" s="111">
        <f>IF(
      SUM(Audit[[#This Row],[Audit Losing Candidate]:[Audit Candidate 6]])
      &lt;&gt;0,
      (Audit[[#This Row],[Winning Candidate]]-Audit[[#This Row],[Losing Candidate]]-(Audit[[#This Row],[Audit Winning Candidate]]-Audit[[#This Row],[Audit Losing Candidate]]))/(Audit[[#Totals],[Winning Candidate]]-Audit[[#Totals],[Losing Candidate]]),
      0
)</f>
        <v>0</v>
      </c>
      <c r="AD5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6" s="111">
        <f>IF(Audit[[#This Row],[Max Relative Error (ep)]] = 0, 0, Audit[[#This Row],[Max Relative Error (ep)]]/Audit[[#This Row],[Error Bound (up) - Max. possible relative overstatement]])</f>
        <v>0</v>
      </c>
      <c r="AJ5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56" s="111">
        <f t="shared" si="8"/>
        <v>1</v>
      </c>
      <c r="AL556" s="111">
        <f>PRODUCT($AK$5:AK556)</f>
        <v>8.962823818226312E-2</v>
      </c>
      <c r="AM556" s="109">
        <f>1 - [K-M P Value]</f>
        <v>0.91037176181773694</v>
      </c>
      <c r="AN556" s="111" t="str">
        <f>IF(Audit[[#This Row],[K-M P Value]]&gt;1-'General Info'!$B$16,"Continue", "Stop")</f>
        <v>Stop</v>
      </c>
      <c r="AO556" s="110" t="b">
        <f>IF(Audit[[#This Row],[Status - Continue or stop audit]] = "Continue", TRUE, IF(AN555 = "Continue", TRUE, FALSE))</f>
        <v>0</v>
      </c>
      <c r="AP556" s="110"/>
    </row>
    <row r="557" spans="1:42" ht="15" hidden="1" customHeight="1">
      <c r="A557" s="111" t="str">
        <f>'Sampling Data'!W547</f>
        <v/>
      </c>
      <c r="B557" s="112" t="str">
        <f>'Sampling Data'!A547</f>
        <v>CLEVELAND -08-I</v>
      </c>
      <c r="C557" s="112">
        <f>'Sampling Data'!B547</f>
        <v>1</v>
      </c>
      <c r="D557" s="112">
        <f>'Sampling Data'!C547</f>
        <v>0</v>
      </c>
      <c r="E557" s="113">
        <f>'Sampling Data'!D547</f>
        <v>0</v>
      </c>
      <c r="F557" s="113">
        <f>'Sampling Data'!E547</f>
        <v>0</v>
      </c>
      <c r="G557" s="113">
        <f>'Sampling Data'!F547</f>
        <v>0</v>
      </c>
      <c r="H557" s="113">
        <f>'Sampling Data'!G547</f>
        <v>0</v>
      </c>
      <c r="I557" s="112">
        <f>'Sampling Data'!H547</f>
        <v>0</v>
      </c>
      <c r="J557" s="112">
        <f>'Sampling Data'!I547</f>
        <v>0</v>
      </c>
      <c r="K557" s="112">
        <f>'Sampling Data'!J547</f>
        <v>1</v>
      </c>
      <c r="L557" s="111">
        <f>'Sampling Data'!X547</f>
        <v>0</v>
      </c>
      <c r="M557" s="114"/>
      <c r="N557" s="114"/>
      <c r="O557" s="115"/>
      <c r="P557" s="115"/>
      <c r="Q557" s="116"/>
      <c r="R557" s="116"/>
      <c r="S557" s="111">
        <f>Audit[[#This Row],[Audit Losing Candidate]]-Audit[[#This Row],[Losing Candidate]]</f>
        <v>-1</v>
      </c>
      <c r="T557" s="111">
        <f>Audit[[#This Row],[Audit Winning Candidate]]-Audit[[#This Row],[Winning Candidate]]</f>
        <v>0</v>
      </c>
      <c r="U557" s="111">
        <f>Audit[[#This Row],[Audit Candidate 3]]-Audit[[#This Row],[Candidate 3]]</f>
        <v>0</v>
      </c>
      <c r="V557" s="111">
        <f>Audit[[#This Row],[Audit Candidate 4]]-Audit[[#This Row],[Candidate 4]]</f>
        <v>0</v>
      </c>
      <c r="W557" s="111">
        <f>Audit[[#This Row],[Audit Candidate 5]]-Audit[[#This Row],[Candidate 5]]</f>
        <v>0</v>
      </c>
      <c r="X557" s="111">
        <f>Audit[[#This Row],[Audit Candidate 6]]-Audit[[#This Row],[Candidate 6]]</f>
        <v>0</v>
      </c>
      <c r="Y557" s="111">
        <f>SUMIF(Audit[[#This Row],[Difference Loser]:[Difference Candidate 6]], "&gt;0")</f>
        <v>0</v>
      </c>
      <c r="Z557" s="111">
        <f>SUM(Audit[[#This Row],[Difference Loser]:[Difference Candidate 6]])</f>
        <v>-1</v>
      </c>
      <c r="AA557" s="111">
        <f>IF(Audit[[#This Row],[Times p Drawn - With Replacement]]&gt;0, IF(Audit[[#This Row],[Canceled Differences]]&lt;0, Audit[[#This Row],[Max Differences]]+ABS(Audit[[#This Row],[Canceled Differences]]), Audit[[#This Row],[Max Differences]]), 0)</f>
        <v>0</v>
      </c>
      <c r="AB557" s="111">
        <f>'Sampling Data'!P547</f>
        <v>3.2261186566441917E-5</v>
      </c>
      <c r="AC557" s="111">
        <f>IF(
      SUM(Audit[[#This Row],[Audit Losing Candidate]:[Audit Candidate 6]])
      &lt;&gt;0,
      (Audit[[#This Row],[Winning Candidate]]-Audit[[#This Row],[Losing Candidate]]-(Audit[[#This Row],[Audit Winning Candidate]]-Audit[[#This Row],[Audit Losing Candidate]]))/(Audit[[#Totals],[Winning Candidate]]-Audit[[#Totals],[Losing Candidate]]),
      0
)</f>
        <v>0</v>
      </c>
      <c r="AD5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7" s="111">
        <f>IF(Audit[[#This Row],[Max Relative Error (ep)]] = 0, 0, Audit[[#This Row],[Max Relative Error (ep)]]/Audit[[#This Row],[Error Bound (up) - Max. possible relative overstatement]])</f>
        <v>0</v>
      </c>
      <c r="AJ5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57" s="111">
        <f t="shared" si="8"/>
        <v>1</v>
      </c>
      <c r="AL557" s="111">
        <f>PRODUCT($AK$5:AK557)</f>
        <v>8.962823818226312E-2</v>
      </c>
      <c r="AM557" s="109">
        <f>1 - [K-M P Value]</f>
        <v>0.91037176181773694</v>
      </c>
      <c r="AN557" s="111" t="str">
        <f>IF(Audit[[#This Row],[K-M P Value]]&gt;1-'General Info'!$B$16,"Continue", "Stop")</f>
        <v>Stop</v>
      </c>
      <c r="AO557" s="110" t="b">
        <f>IF(Audit[[#This Row],[Status - Continue or stop audit]] = "Continue", TRUE, IF(AN556 = "Continue", TRUE, FALSE))</f>
        <v>0</v>
      </c>
      <c r="AP557" s="110"/>
    </row>
    <row r="558" spans="1:42" ht="15" hidden="1" customHeight="1">
      <c r="A558" s="111" t="str">
        <f>'Sampling Data'!W548</f>
        <v/>
      </c>
      <c r="B558" s="112" t="str">
        <f>'Sampling Data'!A548</f>
        <v>CLEVELAND -08-I - ABS</v>
      </c>
      <c r="C558" s="112">
        <f>'Sampling Data'!B548</f>
        <v>1</v>
      </c>
      <c r="D558" s="112">
        <f>'Sampling Data'!C548</f>
        <v>1</v>
      </c>
      <c r="E558" s="113">
        <f>'Sampling Data'!D548</f>
        <v>0</v>
      </c>
      <c r="F558" s="113">
        <f>'Sampling Data'!E548</f>
        <v>0</v>
      </c>
      <c r="G558" s="113">
        <f>'Sampling Data'!F548</f>
        <v>0</v>
      </c>
      <c r="H558" s="113">
        <f>'Sampling Data'!G548</f>
        <v>0</v>
      </c>
      <c r="I558" s="112">
        <f>'Sampling Data'!H548</f>
        <v>0</v>
      </c>
      <c r="J558" s="112">
        <f>'Sampling Data'!I548</f>
        <v>0</v>
      </c>
      <c r="K558" s="112">
        <f>'Sampling Data'!J548</f>
        <v>2</v>
      </c>
      <c r="L558" s="111">
        <f>'Sampling Data'!X548</f>
        <v>0</v>
      </c>
      <c r="M558" s="114"/>
      <c r="N558" s="114"/>
      <c r="O558" s="115"/>
      <c r="P558" s="115"/>
      <c r="Q558" s="116"/>
      <c r="R558" s="116"/>
      <c r="S558" s="111">
        <f>Audit[[#This Row],[Audit Losing Candidate]]-Audit[[#This Row],[Losing Candidate]]</f>
        <v>-1</v>
      </c>
      <c r="T558" s="111">
        <f>Audit[[#This Row],[Audit Winning Candidate]]-Audit[[#This Row],[Winning Candidate]]</f>
        <v>-1</v>
      </c>
      <c r="U558" s="111">
        <f>Audit[[#This Row],[Audit Candidate 3]]-Audit[[#This Row],[Candidate 3]]</f>
        <v>0</v>
      </c>
      <c r="V558" s="111">
        <f>Audit[[#This Row],[Audit Candidate 4]]-Audit[[#This Row],[Candidate 4]]</f>
        <v>0</v>
      </c>
      <c r="W558" s="111">
        <f>Audit[[#This Row],[Audit Candidate 5]]-Audit[[#This Row],[Candidate 5]]</f>
        <v>0</v>
      </c>
      <c r="X558" s="111">
        <f>Audit[[#This Row],[Audit Candidate 6]]-Audit[[#This Row],[Candidate 6]]</f>
        <v>0</v>
      </c>
      <c r="Y558" s="111">
        <f>SUMIF(Audit[[#This Row],[Difference Loser]:[Difference Candidate 6]], "&gt;0")</f>
        <v>0</v>
      </c>
      <c r="Z558" s="111">
        <f>SUM(Audit[[#This Row],[Difference Loser]:[Difference Candidate 6]])</f>
        <v>-2</v>
      </c>
      <c r="AA558" s="111">
        <f>IF(Audit[[#This Row],[Times p Drawn - With Replacement]]&gt;0, IF(Audit[[#This Row],[Canceled Differences]]&lt;0, Audit[[#This Row],[Max Differences]]+ABS(Audit[[#This Row],[Canceled Differences]]), Audit[[#This Row],[Max Differences]]), 0)</f>
        <v>0</v>
      </c>
      <c r="AB558" s="111">
        <f>'Sampling Data'!P548</f>
        <v>1.224889759921607E-4</v>
      </c>
      <c r="AC558" s="111">
        <f>IF(
      SUM(Audit[[#This Row],[Audit Losing Candidate]:[Audit Candidate 6]])
      &lt;&gt;0,
      (Audit[[#This Row],[Winning Candidate]]-Audit[[#This Row],[Losing Candidate]]-(Audit[[#This Row],[Audit Winning Candidate]]-Audit[[#This Row],[Audit Losing Candidate]]))/(Audit[[#Totals],[Winning Candidate]]-Audit[[#Totals],[Losing Candidate]]),
      0
)</f>
        <v>0</v>
      </c>
      <c r="AD5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8" s="111">
        <f>IF(Audit[[#This Row],[Max Relative Error (ep)]] = 0, 0, Audit[[#This Row],[Max Relative Error (ep)]]/Audit[[#This Row],[Error Bound (up) - Max. possible relative overstatement]])</f>
        <v>0</v>
      </c>
      <c r="AJ5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58" s="111">
        <f t="shared" si="8"/>
        <v>1</v>
      </c>
      <c r="AL558" s="111">
        <f>PRODUCT($AK$5:AK558)</f>
        <v>8.962823818226312E-2</v>
      </c>
      <c r="AM558" s="109">
        <f>1 - [K-M P Value]</f>
        <v>0.91037176181773694</v>
      </c>
      <c r="AN558" s="111" t="str">
        <f>IF(Audit[[#This Row],[K-M P Value]]&gt;1-'General Info'!$B$16,"Continue", "Stop")</f>
        <v>Stop</v>
      </c>
      <c r="AO558" s="110" t="b">
        <f>IF(Audit[[#This Row],[Status - Continue or stop audit]] = "Continue", TRUE, IF(AN557 = "Continue", TRUE, FALSE))</f>
        <v>0</v>
      </c>
      <c r="AP558" s="110"/>
    </row>
    <row r="559" spans="1:42" ht="15" hidden="1" customHeight="1">
      <c r="A559" s="111" t="str">
        <f>'Sampling Data'!W549</f>
        <v/>
      </c>
      <c r="B559" s="112" t="str">
        <f>'Sampling Data'!A549</f>
        <v>CLEVELAND -08-J</v>
      </c>
      <c r="C559" s="112">
        <f>'Sampling Data'!B549</f>
        <v>0</v>
      </c>
      <c r="D559" s="112">
        <f>'Sampling Data'!C549</f>
        <v>1</v>
      </c>
      <c r="E559" s="113">
        <f>'Sampling Data'!D549</f>
        <v>0</v>
      </c>
      <c r="F559" s="113">
        <f>'Sampling Data'!E549</f>
        <v>0</v>
      </c>
      <c r="G559" s="113">
        <f>'Sampling Data'!F549</f>
        <v>0</v>
      </c>
      <c r="H559" s="113">
        <f>'Sampling Data'!G549</f>
        <v>0</v>
      </c>
      <c r="I559" s="112">
        <f>'Sampling Data'!H549</f>
        <v>0</v>
      </c>
      <c r="J559" s="112">
        <f>'Sampling Data'!I549</f>
        <v>0</v>
      </c>
      <c r="K559" s="112">
        <f>'Sampling Data'!J549</f>
        <v>1</v>
      </c>
      <c r="L559" s="111">
        <f>'Sampling Data'!X549</f>
        <v>0</v>
      </c>
      <c r="M559" s="114"/>
      <c r="N559" s="114"/>
      <c r="O559" s="115"/>
      <c r="P559" s="115"/>
      <c r="Q559" s="116"/>
      <c r="R559" s="116"/>
      <c r="S559" s="111">
        <f>Audit[[#This Row],[Audit Losing Candidate]]-Audit[[#This Row],[Losing Candidate]]</f>
        <v>0</v>
      </c>
      <c r="T559" s="111">
        <f>Audit[[#This Row],[Audit Winning Candidate]]-Audit[[#This Row],[Winning Candidate]]</f>
        <v>-1</v>
      </c>
      <c r="U559" s="111">
        <f>Audit[[#This Row],[Audit Candidate 3]]-Audit[[#This Row],[Candidate 3]]</f>
        <v>0</v>
      </c>
      <c r="V559" s="111">
        <f>Audit[[#This Row],[Audit Candidate 4]]-Audit[[#This Row],[Candidate 4]]</f>
        <v>0</v>
      </c>
      <c r="W559" s="111">
        <f>Audit[[#This Row],[Audit Candidate 5]]-Audit[[#This Row],[Candidate 5]]</f>
        <v>0</v>
      </c>
      <c r="X559" s="111">
        <f>Audit[[#This Row],[Audit Candidate 6]]-Audit[[#This Row],[Candidate 6]]</f>
        <v>0</v>
      </c>
      <c r="Y559" s="111">
        <f>SUMIF(Audit[[#This Row],[Difference Loser]:[Difference Candidate 6]], "&gt;0")</f>
        <v>0</v>
      </c>
      <c r="Z559" s="111">
        <f>SUM(Audit[[#This Row],[Difference Loser]:[Difference Candidate 6]])</f>
        <v>-1</v>
      </c>
      <c r="AA559" s="111">
        <f>IF(Audit[[#This Row],[Times p Drawn - With Replacement]]&gt;0, IF(Audit[[#This Row],[Canceled Differences]]&lt;0, Audit[[#This Row],[Max Differences]]+ABS(Audit[[#This Row],[Canceled Differences]]), Audit[[#This Row],[Max Differences]]), 0)</f>
        <v>0</v>
      </c>
      <c r="AB559" s="111">
        <f>'Sampling Data'!P549</f>
        <v>1.224889759921607E-4</v>
      </c>
      <c r="AC559" s="111">
        <f>IF(
      SUM(Audit[[#This Row],[Audit Losing Candidate]:[Audit Candidate 6]])
      &lt;&gt;0,
      (Audit[[#This Row],[Winning Candidate]]-Audit[[#This Row],[Losing Candidate]]-(Audit[[#This Row],[Audit Winning Candidate]]-Audit[[#This Row],[Audit Losing Candidate]]))/(Audit[[#Totals],[Winning Candidate]]-Audit[[#Totals],[Losing Candidate]]),
      0
)</f>
        <v>0</v>
      </c>
      <c r="AD5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9" s="111">
        <f>IF(Audit[[#This Row],[Max Relative Error (ep)]] = 0, 0, Audit[[#This Row],[Max Relative Error (ep)]]/Audit[[#This Row],[Error Bound (up) - Max. possible relative overstatement]])</f>
        <v>0</v>
      </c>
      <c r="AJ5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59" s="111">
        <f t="shared" si="8"/>
        <v>1</v>
      </c>
      <c r="AL559" s="111">
        <f>PRODUCT($AK$5:AK559)</f>
        <v>8.962823818226312E-2</v>
      </c>
      <c r="AM559" s="109">
        <f>1 - [K-M P Value]</f>
        <v>0.91037176181773694</v>
      </c>
      <c r="AN559" s="111" t="str">
        <f>IF(Audit[[#This Row],[K-M P Value]]&gt;1-'General Info'!$B$16,"Continue", "Stop")</f>
        <v>Stop</v>
      </c>
      <c r="AO559" s="110" t="b">
        <f>IF(Audit[[#This Row],[Status - Continue or stop audit]] = "Continue", TRUE, IF(AN558 = "Continue", TRUE, FALSE))</f>
        <v>0</v>
      </c>
      <c r="AP559" s="110"/>
    </row>
    <row r="560" spans="1:42" ht="15" hidden="1" customHeight="1">
      <c r="A560" s="111" t="str">
        <f>'Sampling Data'!W550</f>
        <v/>
      </c>
      <c r="B560" s="112" t="str">
        <f>'Sampling Data'!A550</f>
        <v>CLEVELAND -08-J - ABS</v>
      </c>
      <c r="C560" s="112">
        <f>'Sampling Data'!B550</f>
        <v>0</v>
      </c>
      <c r="D560" s="112">
        <f>'Sampling Data'!C550</f>
        <v>1</v>
      </c>
      <c r="E560" s="113">
        <f>'Sampling Data'!D550</f>
        <v>0</v>
      </c>
      <c r="F560" s="113">
        <f>'Sampling Data'!E550</f>
        <v>0</v>
      </c>
      <c r="G560" s="113">
        <f>'Sampling Data'!F550</f>
        <v>0</v>
      </c>
      <c r="H560" s="113">
        <f>'Sampling Data'!G550</f>
        <v>0</v>
      </c>
      <c r="I560" s="112">
        <f>'Sampling Data'!H550</f>
        <v>0</v>
      </c>
      <c r="J560" s="112">
        <f>'Sampling Data'!I550</f>
        <v>0</v>
      </c>
      <c r="K560" s="112">
        <f>'Sampling Data'!J550</f>
        <v>1</v>
      </c>
      <c r="L560" s="111">
        <f>'Sampling Data'!X550</f>
        <v>0</v>
      </c>
      <c r="M560" s="114"/>
      <c r="N560" s="114"/>
      <c r="O560" s="115"/>
      <c r="P560" s="115"/>
      <c r="Q560" s="116"/>
      <c r="R560" s="116"/>
      <c r="S560" s="111">
        <f>Audit[[#This Row],[Audit Losing Candidate]]-Audit[[#This Row],[Losing Candidate]]</f>
        <v>0</v>
      </c>
      <c r="T560" s="111">
        <f>Audit[[#This Row],[Audit Winning Candidate]]-Audit[[#This Row],[Winning Candidate]]</f>
        <v>-1</v>
      </c>
      <c r="U560" s="111">
        <f>Audit[[#This Row],[Audit Candidate 3]]-Audit[[#This Row],[Candidate 3]]</f>
        <v>0</v>
      </c>
      <c r="V560" s="111">
        <f>Audit[[#This Row],[Audit Candidate 4]]-Audit[[#This Row],[Candidate 4]]</f>
        <v>0</v>
      </c>
      <c r="W560" s="111">
        <f>Audit[[#This Row],[Audit Candidate 5]]-Audit[[#This Row],[Candidate 5]]</f>
        <v>0</v>
      </c>
      <c r="X560" s="111">
        <f>Audit[[#This Row],[Audit Candidate 6]]-Audit[[#This Row],[Candidate 6]]</f>
        <v>0</v>
      </c>
      <c r="Y560" s="111">
        <f>SUMIF(Audit[[#This Row],[Difference Loser]:[Difference Candidate 6]], "&gt;0")</f>
        <v>0</v>
      </c>
      <c r="Z560" s="111">
        <f>SUM(Audit[[#This Row],[Difference Loser]:[Difference Candidate 6]])</f>
        <v>-1</v>
      </c>
      <c r="AA560" s="111">
        <f>IF(Audit[[#This Row],[Times p Drawn - With Replacement]]&gt;0, IF(Audit[[#This Row],[Canceled Differences]]&lt;0, Audit[[#This Row],[Max Differences]]+ABS(Audit[[#This Row],[Canceled Differences]]), Audit[[#This Row],[Max Differences]]), 0)</f>
        <v>0</v>
      </c>
      <c r="AB560" s="111">
        <f>'Sampling Data'!P550</f>
        <v>1.224889759921607E-4</v>
      </c>
      <c r="AC560" s="111">
        <f>IF(
      SUM(Audit[[#This Row],[Audit Losing Candidate]:[Audit Candidate 6]])
      &lt;&gt;0,
      (Audit[[#This Row],[Winning Candidate]]-Audit[[#This Row],[Losing Candidate]]-(Audit[[#This Row],[Audit Winning Candidate]]-Audit[[#This Row],[Audit Losing Candidate]]))/(Audit[[#Totals],[Winning Candidate]]-Audit[[#Totals],[Losing Candidate]]),
      0
)</f>
        <v>0</v>
      </c>
      <c r="AD5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0" s="111">
        <f>IF(Audit[[#This Row],[Max Relative Error (ep)]] = 0, 0, Audit[[#This Row],[Max Relative Error (ep)]]/Audit[[#This Row],[Error Bound (up) - Max. possible relative overstatement]])</f>
        <v>0</v>
      </c>
      <c r="AJ5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60" s="111">
        <f t="shared" si="8"/>
        <v>1</v>
      </c>
      <c r="AL560" s="111">
        <f>PRODUCT($AK$5:AK560)</f>
        <v>8.962823818226312E-2</v>
      </c>
      <c r="AM560" s="109">
        <f>1 - [K-M P Value]</f>
        <v>0.91037176181773694</v>
      </c>
      <c r="AN560" s="111" t="str">
        <f>IF(Audit[[#This Row],[K-M P Value]]&gt;1-'General Info'!$B$16,"Continue", "Stop")</f>
        <v>Stop</v>
      </c>
      <c r="AO560" s="110" t="b">
        <f>IF(Audit[[#This Row],[Status - Continue or stop audit]] = "Continue", TRUE, IF(AN559 = "Continue", TRUE, FALSE))</f>
        <v>0</v>
      </c>
      <c r="AP560" s="110"/>
    </row>
    <row r="561" spans="1:42" ht="15" hidden="1" customHeight="1">
      <c r="A561" s="111" t="str">
        <f>'Sampling Data'!W551</f>
        <v/>
      </c>
      <c r="B561" s="112" t="str">
        <f>'Sampling Data'!A551</f>
        <v>CLEVELAND -08-K</v>
      </c>
      <c r="C561" s="112">
        <f>'Sampling Data'!B551</f>
        <v>0</v>
      </c>
      <c r="D561" s="112">
        <f>'Sampling Data'!C551</f>
        <v>0</v>
      </c>
      <c r="E561" s="113">
        <f>'Sampling Data'!D551</f>
        <v>0</v>
      </c>
      <c r="F561" s="113">
        <f>'Sampling Data'!E551</f>
        <v>2</v>
      </c>
      <c r="G561" s="113">
        <f>'Sampling Data'!F551</f>
        <v>0</v>
      </c>
      <c r="H561" s="113">
        <f>'Sampling Data'!G551</f>
        <v>0</v>
      </c>
      <c r="I561" s="112">
        <f>'Sampling Data'!H551</f>
        <v>0</v>
      </c>
      <c r="J561" s="112">
        <f>'Sampling Data'!I551</f>
        <v>0</v>
      </c>
      <c r="K561" s="112">
        <f>'Sampling Data'!J551</f>
        <v>2</v>
      </c>
      <c r="L561" s="111">
        <f>'Sampling Data'!X551</f>
        <v>0</v>
      </c>
      <c r="M561" s="114"/>
      <c r="N561" s="114"/>
      <c r="O561" s="115"/>
      <c r="P561" s="115"/>
      <c r="Q561" s="116"/>
      <c r="R561" s="116"/>
      <c r="S561" s="111">
        <f>Audit[[#This Row],[Audit Losing Candidate]]-Audit[[#This Row],[Losing Candidate]]</f>
        <v>0</v>
      </c>
      <c r="T561" s="111">
        <f>Audit[[#This Row],[Audit Winning Candidate]]-Audit[[#This Row],[Winning Candidate]]</f>
        <v>0</v>
      </c>
      <c r="U561" s="111">
        <f>Audit[[#This Row],[Audit Candidate 3]]-Audit[[#This Row],[Candidate 3]]</f>
        <v>0</v>
      </c>
      <c r="V561" s="111">
        <f>Audit[[#This Row],[Audit Candidate 4]]-Audit[[#This Row],[Candidate 4]]</f>
        <v>-2</v>
      </c>
      <c r="W561" s="111">
        <f>Audit[[#This Row],[Audit Candidate 5]]-Audit[[#This Row],[Candidate 5]]</f>
        <v>0</v>
      </c>
      <c r="X561" s="111">
        <f>Audit[[#This Row],[Audit Candidate 6]]-Audit[[#This Row],[Candidate 6]]</f>
        <v>0</v>
      </c>
      <c r="Y561" s="111">
        <f>SUMIF(Audit[[#This Row],[Difference Loser]:[Difference Candidate 6]], "&gt;0")</f>
        <v>0</v>
      </c>
      <c r="Z561" s="111">
        <f>SUM(Audit[[#This Row],[Difference Loser]:[Difference Candidate 6]])</f>
        <v>-2</v>
      </c>
      <c r="AA561" s="111">
        <f>IF(Audit[[#This Row],[Times p Drawn - With Replacement]]&gt;0, IF(Audit[[#This Row],[Canceled Differences]]&lt;0, Audit[[#This Row],[Max Differences]]+ABS(Audit[[#This Row],[Canceled Differences]]), Audit[[#This Row],[Max Differences]]), 0)</f>
        <v>0</v>
      </c>
      <c r="AB561" s="111">
        <f>'Sampling Data'!P551</f>
        <v>1.224889759921607E-4</v>
      </c>
      <c r="AC561" s="111">
        <f>IF(
      SUM(Audit[[#This Row],[Audit Losing Candidate]:[Audit Candidate 6]])
      &lt;&gt;0,
      (Audit[[#This Row],[Winning Candidate]]-Audit[[#This Row],[Losing Candidate]]-(Audit[[#This Row],[Audit Winning Candidate]]-Audit[[#This Row],[Audit Losing Candidate]]))/(Audit[[#Totals],[Winning Candidate]]-Audit[[#Totals],[Losing Candidate]]),
      0
)</f>
        <v>0</v>
      </c>
      <c r="AD5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1" s="111">
        <f>IF(Audit[[#This Row],[Max Relative Error (ep)]] = 0, 0, Audit[[#This Row],[Max Relative Error (ep)]]/Audit[[#This Row],[Error Bound (up) - Max. possible relative overstatement]])</f>
        <v>0</v>
      </c>
      <c r="AJ5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61" s="111">
        <f t="shared" si="8"/>
        <v>1</v>
      </c>
      <c r="AL561" s="111">
        <f>PRODUCT($AK$5:AK561)</f>
        <v>8.962823818226312E-2</v>
      </c>
      <c r="AM561" s="109">
        <f>1 - [K-M P Value]</f>
        <v>0.91037176181773694</v>
      </c>
      <c r="AN561" s="111" t="str">
        <f>IF(Audit[[#This Row],[K-M P Value]]&gt;1-'General Info'!$B$16,"Continue", "Stop")</f>
        <v>Stop</v>
      </c>
      <c r="AO561" s="110" t="b">
        <f>IF(Audit[[#This Row],[Status - Continue or stop audit]] = "Continue", TRUE, IF(AN560 = "Continue", TRUE, FALSE))</f>
        <v>0</v>
      </c>
      <c r="AP561" s="110"/>
    </row>
    <row r="562" spans="1:42" ht="15" hidden="1" customHeight="1">
      <c r="A562" s="111" t="str">
        <f>'Sampling Data'!W552</f>
        <v/>
      </c>
      <c r="B562" s="112" t="str">
        <f>'Sampling Data'!A552</f>
        <v>CLEVELAND -08-K - ABS</v>
      </c>
      <c r="C562" s="112">
        <f>'Sampling Data'!B552</f>
        <v>0</v>
      </c>
      <c r="D562" s="112">
        <f>'Sampling Data'!C552</f>
        <v>0</v>
      </c>
      <c r="E562" s="113">
        <f>'Sampling Data'!D552</f>
        <v>0</v>
      </c>
      <c r="F562" s="113">
        <f>'Sampling Data'!E552</f>
        <v>0</v>
      </c>
      <c r="G562" s="113">
        <f>'Sampling Data'!F552</f>
        <v>0</v>
      </c>
      <c r="H562" s="113">
        <f>'Sampling Data'!G552</f>
        <v>0</v>
      </c>
      <c r="I562" s="112">
        <f>'Sampling Data'!H552</f>
        <v>0</v>
      </c>
      <c r="J562" s="112">
        <f>'Sampling Data'!I552</f>
        <v>0</v>
      </c>
      <c r="K562" s="112">
        <f>'Sampling Data'!J552</f>
        <v>0</v>
      </c>
      <c r="L562" s="111">
        <f>'Sampling Data'!X552</f>
        <v>0</v>
      </c>
      <c r="M562" s="114"/>
      <c r="N562" s="114"/>
      <c r="O562" s="115"/>
      <c r="P562" s="115"/>
      <c r="Q562" s="116"/>
      <c r="R562" s="116"/>
      <c r="S562" s="111">
        <f>Audit[[#This Row],[Audit Losing Candidate]]-Audit[[#This Row],[Losing Candidate]]</f>
        <v>0</v>
      </c>
      <c r="T562" s="111">
        <f>Audit[[#This Row],[Audit Winning Candidate]]-Audit[[#This Row],[Winning Candidate]]</f>
        <v>0</v>
      </c>
      <c r="U562" s="111">
        <f>Audit[[#This Row],[Audit Candidate 3]]-Audit[[#This Row],[Candidate 3]]</f>
        <v>0</v>
      </c>
      <c r="V562" s="111">
        <f>Audit[[#This Row],[Audit Candidate 4]]-Audit[[#This Row],[Candidate 4]]</f>
        <v>0</v>
      </c>
      <c r="W562" s="111">
        <f>Audit[[#This Row],[Audit Candidate 5]]-Audit[[#This Row],[Candidate 5]]</f>
        <v>0</v>
      </c>
      <c r="X562" s="111">
        <f>Audit[[#This Row],[Audit Candidate 6]]-Audit[[#This Row],[Candidate 6]]</f>
        <v>0</v>
      </c>
      <c r="Y562" s="111">
        <f>SUMIF(Audit[[#This Row],[Difference Loser]:[Difference Candidate 6]], "&gt;0")</f>
        <v>0</v>
      </c>
      <c r="Z562" s="111">
        <f>SUM(Audit[[#This Row],[Difference Loser]:[Difference Candidate 6]])</f>
        <v>0</v>
      </c>
      <c r="AA562" s="111">
        <f>IF(Audit[[#This Row],[Times p Drawn - With Replacement]]&gt;0, IF(Audit[[#This Row],[Canceled Differences]]&lt;0, Audit[[#This Row],[Max Differences]]+ABS(Audit[[#This Row],[Canceled Differences]]), Audit[[#This Row],[Max Differences]]), 0)</f>
        <v>0</v>
      </c>
      <c r="AB562" s="111">
        <f>'Sampling Data'!P552</f>
        <v>0</v>
      </c>
      <c r="AC562" s="111">
        <f>IF(
      SUM(Audit[[#This Row],[Audit Losing Candidate]:[Audit Candidate 6]])
      &lt;&gt;0,
      (Audit[[#This Row],[Winning Candidate]]-Audit[[#This Row],[Losing Candidate]]-(Audit[[#This Row],[Audit Winning Candidate]]-Audit[[#This Row],[Audit Losing Candidate]]))/(Audit[[#Totals],[Winning Candidate]]-Audit[[#Totals],[Losing Candidate]]),
      0
)</f>
        <v>0</v>
      </c>
      <c r="AD5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2" s="111">
        <f>IF(Audit[[#This Row],[Max Relative Error (ep)]] = 0, 0, Audit[[#This Row],[Max Relative Error (ep)]]/Audit[[#This Row],[Error Bound (up) - Max. possible relative overstatement]])</f>
        <v>0</v>
      </c>
      <c r="AJ5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62" s="111">
        <f t="shared" si="8"/>
        <v>1</v>
      </c>
      <c r="AL562" s="111">
        <f>PRODUCT($AK$5:AK562)</f>
        <v>8.962823818226312E-2</v>
      </c>
      <c r="AM562" s="109">
        <f>1 - [K-M P Value]</f>
        <v>0.91037176181773694</v>
      </c>
      <c r="AN562" s="111" t="str">
        <f>IF(Audit[[#This Row],[K-M P Value]]&gt;1-'General Info'!$B$16,"Continue", "Stop")</f>
        <v>Stop</v>
      </c>
      <c r="AO562" s="110" t="b">
        <f>IF(Audit[[#This Row],[Status - Continue or stop audit]] = "Continue", TRUE, IF(AN561 = "Continue", TRUE, FALSE))</f>
        <v>0</v>
      </c>
      <c r="AP562" s="110"/>
    </row>
    <row r="563" spans="1:42" ht="15" hidden="1" customHeight="1">
      <c r="A563" s="111" t="str">
        <f>'Sampling Data'!W553</f>
        <v/>
      </c>
      <c r="B563" s="112" t="str">
        <f>'Sampling Data'!A553</f>
        <v>CLEVELAND -08-L</v>
      </c>
      <c r="C563" s="112">
        <f>'Sampling Data'!B553</f>
        <v>0</v>
      </c>
      <c r="D563" s="112">
        <f>'Sampling Data'!C553</f>
        <v>0</v>
      </c>
      <c r="E563" s="113">
        <f>'Sampling Data'!D553</f>
        <v>1</v>
      </c>
      <c r="F563" s="113">
        <f>'Sampling Data'!E553</f>
        <v>0</v>
      </c>
      <c r="G563" s="113">
        <f>'Sampling Data'!F553</f>
        <v>0</v>
      </c>
      <c r="H563" s="113">
        <f>'Sampling Data'!G553</f>
        <v>0</v>
      </c>
      <c r="I563" s="112">
        <f>'Sampling Data'!H553</f>
        <v>0</v>
      </c>
      <c r="J563" s="112">
        <f>'Sampling Data'!I553</f>
        <v>0</v>
      </c>
      <c r="K563" s="112">
        <f>'Sampling Data'!J553</f>
        <v>1</v>
      </c>
      <c r="L563" s="111">
        <f>'Sampling Data'!X553</f>
        <v>0</v>
      </c>
      <c r="M563" s="114"/>
      <c r="N563" s="114"/>
      <c r="O563" s="115"/>
      <c r="P563" s="115"/>
      <c r="Q563" s="116"/>
      <c r="R563" s="116"/>
      <c r="S563" s="111">
        <f>Audit[[#This Row],[Audit Losing Candidate]]-Audit[[#This Row],[Losing Candidate]]</f>
        <v>0</v>
      </c>
      <c r="T563" s="111">
        <f>Audit[[#This Row],[Audit Winning Candidate]]-Audit[[#This Row],[Winning Candidate]]</f>
        <v>0</v>
      </c>
      <c r="U563" s="111">
        <f>Audit[[#This Row],[Audit Candidate 3]]-Audit[[#This Row],[Candidate 3]]</f>
        <v>-1</v>
      </c>
      <c r="V563" s="111">
        <f>Audit[[#This Row],[Audit Candidate 4]]-Audit[[#This Row],[Candidate 4]]</f>
        <v>0</v>
      </c>
      <c r="W563" s="111">
        <f>Audit[[#This Row],[Audit Candidate 5]]-Audit[[#This Row],[Candidate 5]]</f>
        <v>0</v>
      </c>
      <c r="X563" s="111">
        <f>Audit[[#This Row],[Audit Candidate 6]]-Audit[[#This Row],[Candidate 6]]</f>
        <v>0</v>
      </c>
      <c r="Y563" s="111">
        <f>SUMIF(Audit[[#This Row],[Difference Loser]:[Difference Candidate 6]], "&gt;0")</f>
        <v>0</v>
      </c>
      <c r="Z563" s="111">
        <f>SUM(Audit[[#This Row],[Difference Loser]:[Difference Candidate 6]])</f>
        <v>-1</v>
      </c>
      <c r="AA563" s="111">
        <f>IF(Audit[[#This Row],[Times p Drawn - With Replacement]]&gt;0, IF(Audit[[#This Row],[Canceled Differences]]&lt;0, Audit[[#This Row],[Max Differences]]+ABS(Audit[[#This Row],[Canceled Differences]]), Audit[[#This Row],[Max Differences]]), 0)</f>
        <v>0</v>
      </c>
      <c r="AB563" s="111">
        <f>'Sampling Data'!P553</f>
        <v>6.1244487996080352E-5</v>
      </c>
      <c r="AC563" s="111">
        <f>IF(
      SUM(Audit[[#This Row],[Audit Losing Candidate]:[Audit Candidate 6]])
      &lt;&gt;0,
      (Audit[[#This Row],[Winning Candidate]]-Audit[[#This Row],[Losing Candidate]]-(Audit[[#This Row],[Audit Winning Candidate]]-Audit[[#This Row],[Audit Losing Candidate]]))/(Audit[[#Totals],[Winning Candidate]]-Audit[[#Totals],[Losing Candidate]]),
      0
)</f>
        <v>0</v>
      </c>
      <c r="AD5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3" s="111">
        <f>IF(Audit[[#This Row],[Max Relative Error (ep)]] = 0, 0, Audit[[#This Row],[Max Relative Error (ep)]]/Audit[[#This Row],[Error Bound (up) - Max. possible relative overstatement]])</f>
        <v>0</v>
      </c>
      <c r="AJ5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63" s="111">
        <f t="shared" si="8"/>
        <v>1</v>
      </c>
      <c r="AL563" s="111">
        <f>PRODUCT($AK$5:AK563)</f>
        <v>8.962823818226312E-2</v>
      </c>
      <c r="AM563" s="109">
        <f>1 - [K-M P Value]</f>
        <v>0.91037176181773694</v>
      </c>
      <c r="AN563" s="111" t="str">
        <f>IF(Audit[[#This Row],[K-M P Value]]&gt;1-'General Info'!$B$16,"Continue", "Stop")</f>
        <v>Stop</v>
      </c>
      <c r="AO563" s="110" t="b">
        <f>IF(Audit[[#This Row],[Status - Continue or stop audit]] = "Continue", TRUE, IF(AN562 = "Continue", TRUE, FALSE))</f>
        <v>0</v>
      </c>
      <c r="AP563" s="110"/>
    </row>
    <row r="564" spans="1:42" ht="15" hidden="1" customHeight="1">
      <c r="A564" s="111" t="str">
        <f>'Sampling Data'!W554</f>
        <v/>
      </c>
      <c r="B564" s="112" t="str">
        <f>'Sampling Data'!A554</f>
        <v>CLEVELAND -08-L - ABS</v>
      </c>
      <c r="C564" s="112">
        <f>'Sampling Data'!B554</f>
        <v>0</v>
      </c>
      <c r="D564" s="112">
        <f>'Sampling Data'!C554</f>
        <v>1</v>
      </c>
      <c r="E564" s="113">
        <f>'Sampling Data'!D554</f>
        <v>0</v>
      </c>
      <c r="F564" s="113">
        <f>'Sampling Data'!E554</f>
        <v>0</v>
      </c>
      <c r="G564" s="113">
        <f>'Sampling Data'!F554</f>
        <v>0</v>
      </c>
      <c r="H564" s="113">
        <f>'Sampling Data'!G554</f>
        <v>0</v>
      </c>
      <c r="I564" s="112">
        <f>'Sampling Data'!H554</f>
        <v>0</v>
      </c>
      <c r="J564" s="112">
        <f>'Sampling Data'!I554</f>
        <v>0</v>
      </c>
      <c r="K564" s="112">
        <f>'Sampling Data'!J554</f>
        <v>1</v>
      </c>
      <c r="L564" s="111">
        <f>'Sampling Data'!X554</f>
        <v>0</v>
      </c>
      <c r="M564" s="114"/>
      <c r="N564" s="114"/>
      <c r="O564" s="115"/>
      <c r="P564" s="115"/>
      <c r="Q564" s="116"/>
      <c r="R564" s="116"/>
      <c r="S564" s="111">
        <f>Audit[[#This Row],[Audit Losing Candidate]]-Audit[[#This Row],[Losing Candidate]]</f>
        <v>0</v>
      </c>
      <c r="T564" s="111">
        <f>Audit[[#This Row],[Audit Winning Candidate]]-Audit[[#This Row],[Winning Candidate]]</f>
        <v>-1</v>
      </c>
      <c r="U564" s="111">
        <f>Audit[[#This Row],[Audit Candidate 3]]-Audit[[#This Row],[Candidate 3]]</f>
        <v>0</v>
      </c>
      <c r="V564" s="111">
        <f>Audit[[#This Row],[Audit Candidate 4]]-Audit[[#This Row],[Candidate 4]]</f>
        <v>0</v>
      </c>
      <c r="W564" s="111">
        <f>Audit[[#This Row],[Audit Candidate 5]]-Audit[[#This Row],[Candidate 5]]</f>
        <v>0</v>
      </c>
      <c r="X564" s="111">
        <f>Audit[[#This Row],[Audit Candidate 6]]-Audit[[#This Row],[Candidate 6]]</f>
        <v>0</v>
      </c>
      <c r="Y564" s="111">
        <f>SUMIF(Audit[[#This Row],[Difference Loser]:[Difference Candidate 6]], "&gt;0")</f>
        <v>0</v>
      </c>
      <c r="Z564" s="111">
        <f>SUM(Audit[[#This Row],[Difference Loser]:[Difference Candidate 6]])</f>
        <v>-1</v>
      </c>
      <c r="AA564" s="111">
        <f>IF(Audit[[#This Row],[Times p Drawn - With Replacement]]&gt;0, IF(Audit[[#This Row],[Canceled Differences]]&lt;0, Audit[[#This Row],[Max Differences]]+ABS(Audit[[#This Row],[Canceled Differences]]), Audit[[#This Row],[Max Differences]]), 0)</f>
        <v>0</v>
      </c>
      <c r="AB564" s="111">
        <f>'Sampling Data'!P554</f>
        <v>1.224889759921607E-4</v>
      </c>
      <c r="AC564" s="111">
        <f>IF(
      SUM(Audit[[#This Row],[Audit Losing Candidate]:[Audit Candidate 6]])
      &lt;&gt;0,
      (Audit[[#This Row],[Winning Candidate]]-Audit[[#This Row],[Losing Candidate]]-(Audit[[#This Row],[Audit Winning Candidate]]-Audit[[#This Row],[Audit Losing Candidate]]))/(Audit[[#Totals],[Winning Candidate]]-Audit[[#Totals],[Losing Candidate]]),
      0
)</f>
        <v>0</v>
      </c>
      <c r="AD5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4" s="111">
        <f>IF(Audit[[#This Row],[Max Relative Error (ep)]] = 0, 0, Audit[[#This Row],[Max Relative Error (ep)]]/Audit[[#This Row],[Error Bound (up) - Max. possible relative overstatement]])</f>
        <v>0</v>
      </c>
      <c r="AJ5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64" s="111">
        <f t="shared" si="8"/>
        <v>1</v>
      </c>
      <c r="AL564" s="111">
        <f>PRODUCT($AK$5:AK564)</f>
        <v>8.962823818226312E-2</v>
      </c>
      <c r="AM564" s="109">
        <f>1 - [K-M P Value]</f>
        <v>0.91037176181773694</v>
      </c>
      <c r="AN564" s="111" t="str">
        <f>IF(Audit[[#This Row],[K-M P Value]]&gt;1-'General Info'!$B$16,"Continue", "Stop")</f>
        <v>Stop</v>
      </c>
      <c r="AO564" s="110" t="b">
        <f>IF(Audit[[#This Row],[Status - Continue or stop audit]] = "Continue", TRUE, IF(AN563 = "Continue", TRUE, FALSE))</f>
        <v>0</v>
      </c>
      <c r="AP564" s="110"/>
    </row>
    <row r="565" spans="1:42" ht="15" hidden="1" customHeight="1">
      <c r="A565" s="111" t="str">
        <f>'Sampling Data'!W555</f>
        <v/>
      </c>
      <c r="B565" s="112" t="str">
        <f>'Sampling Data'!A555</f>
        <v>CLEVELAND -08-M</v>
      </c>
      <c r="C565" s="112">
        <f>'Sampling Data'!B555</f>
        <v>0</v>
      </c>
      <c r="D565" s="112">
        <f>'Sampling Data'!C555</f>
        <v>1</v>
      </c>
      <c r="E565" s="113">
        <f>'Sampling Data'!D555</f>
        <v>0</v>
      </c>
      <c r="F565" s="113">
        <f>'Sampling Data'!E555</f>
        <v>0</v>
      </c>
      <c r="G565" s="113">
        <f>'Sampling Data'!F555</f>
        <v>0</v>
      </c>
      <c r="H565" s="113">
        <f>'Sampling Data'!G555</f>
        <v>0</v>
      </c>
      <c r="I565" s="112">
        <f>'Sampling Data'!H555</f>
        <v>0</v>
      </c>
      <c r="J565" s="112">
        <f>'Sampling Data'!I555</f>
        <v>0</v>
      </c>
      <c r="K565" s="112">
        <f>'Sampling Data'!J555</f>
        <v>1</v>
      </c>
      <c r="L565" s="111">
        <f>'Sampling Data'!X555</f>
        <v>0</v>
      </c>
      <c r="M565" s="114"/>
      <c r="N565" s="114"/>
      <c r="O565" s="115"/>
      <c r="P565" s="115"/>
      <c r="Q565" s="116"/>
      <c r="R565" s="116"/>
      <c r="S565" s="111">
        <f>Audit[[#This Row],[Audit Losing Candidate]]-Audit[[#This Row],[Losing Candidate]]</f>
        <v>0</v>
      </c>
      <c r="T565" s="111">
        <f>Audit[[#This Row],[Audit Winning Candidate]]-Audit[[#This Row],[Winning Candidate]]</f>
        <v>-1</v>
      </c>
      <c r="U565" s="111">
        <f>Audit[[#This Row],[Audit Candidate 3]]-Audit[[#This Row],[Candidate 3]]</f>
        <v>0</v>
      </c>
      <c r="V565" s="111">
        <f>Audit[[#This Row],[Audit Candidate 4]]-Audit[[#This Row],[Candidate 4]]</f>
        <v>0</v>
      </c>
      <c r="W565" s="111">
        <f>Audit[[#This Row],[Audit Candidate 5]]-Audit[[#This Row],[Candidate 5]]</f>
        <v>0</v>
      </c>
      <c r="X565" s="111">
        <f>Audit[[#This Row],[Audit Candidate 6]]-Audit[[#This Row],[Candidate 6]]</f>
        <v>0</v>
      </c>
      <c r="Y565" s="111">
        <f>SUMIF(Audit[[#This Row],[Difference Loser]:[Difference Candidate 6]], "&gt;0")</f>
        <v>0</v>
      </c>
      <c r="Z565" s="111">
        <f>SUM(Audit[[#This Row],[Difference Loser]:[Difference Candidate 6]])</f>
        <v>-1</v>
      </c>
      <c r="AA565" s="111">
        <f>IF(Audit[[#This Row],[Times p Drawn - With Replacement]]&gt;0, IF(Audit[[#This Row],[Canceled Differences]]&lt;0, Audit[[#This Row],[Max Differences]]+ABS(Audit[[#This Row],[Canceled Differences]]), Audit[[#This Row],[Max Differences]]), 0)</f>
        <v>0</v>
      </c>
      <c r="AB565" s="111">
        <f>'Sampling Data'!P555</f>
        <v>1.224889759921607E-4</v>
      </c>
      <c r="AC565" s="111">
        <f>IF(
      SUM(Audit[[#This Row],[Audit Losing Candidate]:[Audit Candidate 6]])
      &lt;&gt;0,
      (Audit[[#This Row],[Winning Candidate]]-Audit[[#This Row],[Losing Candidate]]-(Audit[[#This Row],[Audit Winning Candidate]]-Audit[[#This Row],[Audit Losing Candidate]]))/(Audit[[#Totals],[Winning Candidate]]-Audit[[#Totals],[Losing Candidate]]),
      0
)</f>
        <v>0</v>
      </c>
      <c r="AD5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5" s="111">
        <f>IF(Audit[[#This Row],[Max Relative Error (ep)]] = 0, 0, Audit[[#This Row],[Max Relative Error (ep)]]/Audit[[#This Row],[Error Bound (up) - Max. possible relative overstatement]])</f>
        <v>0</v>
      </c>
      <c r="AJ5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65" s="111">
        <f t="shared" si="8"/>
        <v>1</v>
      </c>
      <c r="AL565" s="111">
        <f>PRODUCT($AK$5:AK565)</f>
        <v>8.962823818226312E-2</v>
      </c>
      <c r="AM565" s="109">
        <f>1 - [K-M P Value]</f>
        <v>0.91037176181773694</v>
      </c>
      <c r="AN565" s="111" t="str">
        <f>IF(Audit[[#This Row],[K-M P Value]]&gt;1-'General Info'!$B$16,"Continue", "Stop")</f>
        <v>Stop</v>
      </c>
      <c r="AO565" s="110" t="b">
        <f>IF(Audit[[#This Row],[Status - Continue or stop audit]] = "Continue", TRUE, IF(AN564 = "Continue", TRUE, FALSE))</f>
        <v>0</v>
      </c>
      <c r="AP565" s="110"/>
    </row>
    <row r="566" spans="1:42" ht="15" hidden="1" customHeight="1">
      <c r="A566" s="111" t="str">
        <f>'Sampling Data'!W556</f>
        <v/>
      </c>
      <c r="B566" s="112" t="str">
        <f>'Sampling Data'!A556</f>
        <v>CLEVELAND -08-M - ABS</v>
      </c>
      <c r="C566" s="112">
        <f>'Sampling Data'!B556</f>
        <v>0</v>
      </c>
      <c r="D566" s="112">
        <f>'Sampling Data'!C556</f>
        <v>0</v>
      </c>
      <c r="E566" s="113">
        <f>'Sampling Data'!D556</f>
        <v>0</v>
      </c>
      <c r="F566" s="113">
        <f>'Sampling Data'!E556</f>
        <v>0</v>
      </c>
      <c r="G566" s="113">
        <f>'Sampling Data'!F556</f>
        <v>0</v>
      </c>
      <c r="H566" s="113">
        <f>'Sampling Data'!G556</f>
        <v>0</v>
      </c>
      <c r="I566" s="112">
        <f>'Sampling Data'!H556</f>
        <v>0</v>
      </c>
      <c r="J566" s="112">
        <f>'Sampling Data'!I556</f>
        <v>0</v>
      </c>
      <c r="K566" s="112">
        <f>'Sampling Data'!J556</f>
        <v>0</v>
      </c>
      <c r="L566" s="111">
        <f>'Sampling Data'!X556</f>
        <v>0</v>
      </c>
      <c r="M566" s="114"/>
      <c r="N566" s="114"/>
      <c r="O566" s="115"/>
      <c r="P566" s="115"/>
      <c r="Q566" s="116"/>
      <c r="R566" s="116"/>
      <c r="S566" s="111">
        <f>Audit[[#This Row],[Audit Losing Candidate]]-Audit[[#This Row],[Losing Candidate]]</f>
        <v>0</v>
      </c>
      <c r="T566" s="111">
        <f>Audit[[#This Row],[Audit Winning Candidate]]-Audit[[#This Row],[Winning Candidate]]</f>
        <v>0</v>
      </c>
      <c r="U566" s="111">
        <f>Audit[[#This Row],[Audit Candidate 3]]-Audit[[#This Row],[Candidate 3]]</f>
        <v>0</v>
      </c>
      <c r="V566" s="111">
        <f>Audit[[#This Row],[Audit Candidate 4]]-Audit[[#This Row],[Candidate 4]]</f>
        <v>0</v>
      </c>
      <c r="W566" s="111">
        <f>Audit[[#This Row],[Audit Candidate 5]]-Audit[[#This Row],[Candidate 5]]</f>
        <v>0</v>
      </c>
      <c r="X566" s="111">
        <f>Audit[[#This Row],[Audit Candidate 6]]-Audit[[#This Row],[Candidate 6]]</f>
        <v>0</v>
      </c>
      <c r="Y566" s="111">
        <f>SUMIF(Audit[[#This Row],[Difference Loser]:[Difference Candidate 6]], "&gt;0")</f>
        <v>0</v>
      </c>
      <c r="Z566" s="111">
        <f>SUM(Audit[[#This Row],[Difference Loser]:[Difference Candidate 6]])</f>
        <v>0</v>
      </c>
      <c r="AA566" s="111">
        <f>IF(Audit[[#This Row],[Times p Drawn - With Replacement]]&gt;0, IF(Audit[[#This Row],[Canceled Differences]]&lt;0, Audit[[#This Row],[Max Differences]]+ABS(Audit[[#This Row],[Canceled Differences]]), Audit[[#This Row],[Max Differences]]), 0)</f>
        <v>0</v>
      </c>
      <c r="AB566" s="111">
        <f>'Sampling Data'!P556</f>
        <v>0</v>
      </c>
      <c r="AC566" s="111">
        <f>IF(
      SUM(Audit[[#This Row],[Audit Losing Candidate]:[Audit Candidate 6]])
      &lt;&gt;0,
      (Audit[[#This Row],[Winning Candidate]]-Audit[[#This Row],[Losing Candidate]]-(Audit[[#This Row],[Audit Winning Candidate]]-Audit[[#This Row],[Audit Losing Candidate]]))/(Audit[[#Totals],[Winning Candidate]]-Audit[[#Totals],[Losing Candidate]]),
      0
)</f>
        <v>0</v>
      </c>
      <c r="AD5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6" s="111">
        <f>IF(Audit[[#This Row],[Max Relative Error (ep)]] = 0, 0, Audit[[#This Row],[Max Relative Error (ep)]]/Audit[[#This Row],[Error Bound (up) - Max. possible relative overstatement]])</f>
        <v>0</v>
      </c>
      <c r="AJ5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66" s="111">
        <f t="shared" si="8"/>
        <v>1</v>
      </c>
      <c r="AL566" s="111">
        <f>PRODUCT($AK$5:AK566)</f>
        <v>8.962823818226312E-2</v>
      </c>
      <c r="AM566" s="109">
        <f>1 - [K-M P Value]</f>
        <v>0.91037176181773694</v>
      </c>
      <c r="AN566" s="111" t="str">
        <f>IF(Audit[[#This Row],[K-M P Value]]&gt;1-'General Info'!$B$16,"Continue", "Stop")</f>
        <v>Stop</v>
      </c>
      <c r="AO566" s="110" t="b">
        <f>IF(Audit[[#This Row],[Status - Continue or stop audit]] = "Continue", TRUE, IF(AN565 = "Continue", TRUE, FALSE))</f>
        <v>0</v>
      </c>
      <c r="AP566" s="110"/>
    </row>
    <row r="567" spans="1:42" ht="15" hidden="1" customHeight="1">
      <c r="A567" s="111" t="str">
        <f>'Sampling Data'!W557</f>
        <v/>
      </c>
      <c r="B567" s="112" t="str">
        <f>'Sampling Data'!A557</f>
        <v>CLEVELAND -08-N</v>
      </c>
      <c r="C567" s="112">
        <f>'Sampling Data'!B557</f>
        <v>0</v>
      </c>
      <c r="D567" s="112">
        <f>'Sampling Data'!C557</f>
        <v>0</v>
      </c>
      <c r="E567" s="113">
        <f>'Sampling Data'!D557</f>
        <v>0</v>
      </c>
      <c r="F567" s="113">
        <f>'Sampling Data'!E557</f>
        <v>0</v>
      </c>
      <c r="G567" s="113">
        <f>'Sampling Data'!F557</f>
        <v>0</v>
      </c>
      <c r="H567" s="113">
        <f>'Sampling Data'!G557</f>
        <v>0</v>
      </c>
      <c r="I567" s="112">
        <f>'Sampling Data'!H557</f>
        <v>0</v>
      </c>
      <c r="J567" s="112">
        <f>'Sampling Data'!I557</f>
        <v>0</v>
      </c>
      <c r="K567" s="112">
        <f>'Sampling Data'!J557</f>
        <v>0</v>
      </c>
      <c r="L567" s="111">
        <f>'Sampling Data'!X557</f>
        <v>0</v>
      </c>
      <c r="M567" s="114"/>
      <c r="N567" s="114"/>
      <c r="O567" s="115"/>
      <c r="P567" s="115"/>
      <c r="Q567" s="116"/>
      <c r="R567" s="116"/>
      <c r="S567" s="111">
        <f>Audit[[#This Row],[Audit Losing Candidate]]-Audit[[#This Row],[Losing Candidate]]</f>
        <v>0</v>
      </c>
      <c r="T567" s="111">
        <f>Audit[[#This Row],[Audit Winning Candidate]]-Audit[[#This Row],[Winning Candidate]]</f>
        <v>0</v>
      </c>
      <c r="U567" s="111">
        <f>Audit[[#This Row],[Audit Candidate 3]]-Audit[[#This Row],[Candidate 3]]</f>
        <v>0</v>
      </c>
      <c r="V567" s="111">
        <f>Audit[[#This Row],[Audit Candidate 4]]-Audit[[#This Row],[Candidate 4]]</f>
        <v>0</v>
      </c>
      <c r="W567" s="111">
        <f>Audit[[#This Row],[Audit Candidate 5]]-Audit[[#This Row],[Candidate 5]]</f>
        <v>0</v>
      </c>
      <c r="X567" s="111">
        <f>Audit[[#This Row],[Audit Candidate 6]]-Audit[[#This Row],[Candidate 6]]</f>
        <v>0</v>
      </c>
      <c r="Y567" s="111">
        <f>SUMIF(Audit[[#This Row],[Difference Loser]:[Difference Candidate 6]], "&gt;0")</f>
        <v>0</v>
      </c>
      <c r="Z567" s="111">
        <f>SUM(Audit[[#This Row],[Difference Loser]:[Difference Candidate 6]])</f>
        <v>0</v>
      </c>
      <c r="AA567" s="111">
        <f>IF(Audit[[#This Row],[Times p Drawn - With Replacement]]&gt;0, IF(Audit[[#This Row],[Canceled Differences]]&lt;0, Audit[[#This Row],[Max Differences]]+ABS(Audit[[#This Row],[Canceled Differences]]), Audit[[#This Row],[Max Differences]]), 0)</f>
        <v>0</v>
      </c>
      <c r="AB567" s="111">
        <f>'Sampling Data'!P557</f>
        <v>0</v>
      </c>
      <c r="AC567" s="111">
        <f>IF(
      SUM(Audit[[#This Row],[Audit Losing Candidate]:[Audit Candidate 6]])
      &lt;&gt;0,
      (Audit[[#This Row],[Winning Candidate]]-Audit[[#This Row],[Losing Candidate]]-(Audit[[#This Row],[Audit Winning Candidate]]-Audit[[#This Row],[Audit Losing Candidate]]))/(Audit[[#Totals],[Winning Candidate]]-Audit[[#Totals],[Losing Candidate]]),
      0
)</f>
        <v>0</v>
      </c>
      <c r="AD5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7" s="111">
        <f>IF(Audit[[#This Row],[Max Relative Error (ep)]] = 0, 0, Audit[[#This Row],[Max Relative Error (ep)]]/Audit[[#This Row],[Error Bound (up) - Max. possible relative overstatement]])</f>
        <v>0</v>
      </c>
      <c r="AJ5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67" s="111">
        <f t="shared" si="8"/>
        <v>1</v>
      </c>
      <c r="AL567" s="111">
        <f>PRODUCT($AK$5:AK567)</f>
        <v>8.962823818226312E-2</v>
      </c>
      <c r="AM567" s="109">
        <f>1 - [K-M P Value]</f>
        <v>0.91037176181773694</v>
      </c>
      <c r="AN567" s="111" t="str">
        <f>IF(Audit[[#This Row],[K-M P Value]]&gt;1-'General Info'!$B$16,"Continue", "Stop")</f>
        <v>Stop</v>
      </c>
      <c r="AO567" s="110" t="b">
        <f>IF(Audit[[#This Row],[Status - Continue or stop audit]] = "Continue", TRUE, IF(AN566 = "Continue", TRUE, FALSE))</f>
        <v>0</v>
      </c>
      <c r="AP567" s="110"/>
    </row>
    <row r="568" spans="1:42" ht="15" hidden="1" customHeight="1">
      <c r="A568" s="111" t="str">
        <f>'Sampling Data'!W558</f>
        <v/>
      </c>
      <c r="B568" s="112" t="str">
        <f>'Sampling Data'!A558</f>
        <v>CLEVELAND -08-N - ABS</v>
      </c>
      <c r="C568" s="112">
        <f>'Sampling Data'!B558</f>
        <v>1</v>
      </c>
      <c r="D568" s="112">
        <f>'Sampling Data'!C558</f>
        <v>0</v>
      </c>
      <c r="E568" s="113">
        <f>'Sampling Data'!D558</f>
        <v>0</v>
      </c>
      <c r="F568" s="113">
        <f>'Sampling Data'!E558</f>
        <v>0</v>
      </c>
      <c r="G568" s="113">
        <f>'Sampling Data'!F558</f>
        <v>0</v>
      </c>
      <c r="H568" s="113">
        <f>'Sampling Data'!G558</f>
        <v>0</v>
      </c>
      <c r="I568" s="112">
        <f>'Sampling Data'!H558</f>
        <v>0</v>
      </c>
      <c r="J568" s="112">
        <f>'Sampling Data'!I558</f>
        <v>0</v>
      </c>
      <c r="K568" s="112">
        <f>'Sampling Data'!J558</f>
        <v>1</v>
      </c>
      <c r="L568" s="111">
        <f>'Sampling Data'!X558</f>
        <v>0</v>
      </c>
      <c r="M568" s="114"/>
      <c r="N568" s="114"/>
      <c r="O568" s="115"/>
      <c r="P568" s="115"/>
      <c r="Q568" s="116"/>
      <c r="R568" s="116"/>
      <c r="S568" s="111">
        <f>Audit[[#This Row],[Audit Losing Candidate]]-Audit[[#This Row],[Losing Candidate]]</f>
        <v>-1</v>
      </c>
      <c r="T568" s="111">
        <f>Audit[[#This Row],[Audit Winning Candidate]]-Audit[[#This Row],[Winning Candidate]]</f>
        <v>0</v>
      </c>
      <c r="U568" s="111">
        <f>Audit[[#This Row],[Audit Candidate 3]]-Audit[[#This Row],[Candidate 3]]</f>
        <v>0</v>
      </c>
      <c r="V568" s="111">
        <f>Audit[[#This Row],[Audit Candidate 4]]-Audit[[#This Row],[Candidate 4]]</f>
        <v>0</v>
      </c>
      <c r="W568" s="111">
        <f>Audit[[#This Row],[Audit Candidate 5]]-Audit[[#This Row],[Candidate 5]]</f>
        <v>0</v>
      </c>
      <c r="X568" s="111">
        <f>Audit[[#This Row],[Audit Candidate 6]]-Audit[[#This Row],[Candidate 6]]</f>
        <v>0</v>
      </c>
      <c r="Y568" s="111">
        <f>SUMIF(Audit[[#This Row],[Difference Loser]:[Difference Candidate 6]], "&gt;0")</f>
        <v>0</v>
      </c>
      <c r="Z568" s="111">
        <f>SUM(Audit[[#This Row],[Difference Loser]:[Difference Candidate 6]])</f>
        <v>-1</v>
      </c>
      <c r="AA568" s="111">
        <f>IF(Audit[[#This Row],[Times p Drawn - With Replacement]]&gt;0, IF(Audit[[#This Row],[Canceled Differences]]&lt;0, Audit[[#This Row],[Max Differences]]+ABS(Audit[[#This Row],[Canceled Differences]]), Audit[[#This Row],[Max Differences]]), 0)</f>
        <v>0</v>
      </c>
      <c r="AB568" s="111">
        <f>'Sampling Data'!P558</f>
        <v>3.2261186566441917E-5</v>
      </c>
      <c r="AC568" s="111">
        <f>IF(
      SUM(Audit[[#This Row],[Audit Losing Candidate]:[Audit Candidate 6]])
      &lt;&gt;0,
      (Audit[[#This Row],[Winning Candidate]]-Audit[[#This Row],[Losing Candidate]]-(Audit[[#This Row],[Audit Winning Candidate]]-Audit[[#This Row],[Audit Losing Candidate]]))/(Audit[[#Totals],[Winning Candidate]]-Audit[[#Totals],[Losing Candidate]]),
      0
)</f>
        <v>0</v>
      </c>
      <c r="AD5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8" s="111">
        <f>IF(Audit[[#This Row],[Max Relative Error (ep)]] = 0, 0, Audit[[#This Row],[Max Relative Error (ep)]]/Audit[[#This Row],[Error Bound (up) - Max. possible relative overstatement]])</f>
        <v>0</v>
      </c>
      <c r="AJ5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68" s="111">
        <f t="shared" si="8"/>
        <v>1</v>
      </c>
      <c r="AL568" s="111">
        <f>PRODUCT($AK$5:AK568)</f>
        <v>8.962823818226312E-2</v>
      </c>
      <c r="AM568" s="109">
        <f>1 - [K-M P Value]</f>
        <v>0.91037176181773694</v>
      </c>
      <c r="AN568" s="111" t="str">
        <f>IF(Audit[[#This Row],[K-M P Value]]&gt;1-'General Info'!$B$16,"Continue", "Stop")</f>
        <v>Stop</v>
      </c>
      <c r="AO568" s="110" t="b">
        <f>IF(Audit[[#This Row],[Status - Continue or stop audit]] = "Continue", TRUE, IF(AN567 = "Continue", TRUE, FALSE))</f>
        <v>0</v>
      </c>
      <c r="AP568" s="110"/>
    </row>
    <row r="569" spans="1:42" ht="15" hidden="1" customHeight="1">
      <c r="A569" s="111" t="str">
        <f>'Sampling Data'!W559</f>
        <v/>
      </c>
      <c r="B569" s="112" t="str">
        <f>'Sampling Data'!A559</f>
        <v>CLEVELAND -08-O</v>
      </c>
      <c r="C569" s="112">
        <f>'Sampling Data'!B559</f>
        <v>1</v>
      </c>
      <c r="D569" s="112">
        <f>'Sampling Data'!C559</f>
        <v>0</v>
      </c>
      <c r="E569" s="113">
        <f>'Sampling Data'!D559</f>
        <v>0</v>
      </c>
      <c r="F569" s="113">
        <f>'Sampling Data'!E559</f>
        <v>0</v>
      </c>
      <c r="G569" s="113">
        <f>'Sampling Data'!F559</f>
        <v>0</v>
      </c>
      <c r="H569" s="113">
        <f>'Sampling Data'!G559</f>
        <v>1</v>
      </c>
      <c r="I569" s="112">
        <f>'Sampling Data'!H559</f>
        <v>0</v>
      </c>
      <c r="J569" s="112">
        <f>'Sampling Data'!I559</f>
        <v>0</v>
      </c>
      <c r="K569" s="112">
        <f>'Sampling Data'!J559</f>
        <v>2</v>
      </c>
      <c r="L569" s="111">
        <f>'Sampling Data'!X559</f>
        <v>0</v>
      </c>
      <c r="M569" s="114"/>
      <c r="N569" s="114"/>
      <c r="O569" s="115"/>
      <c r="P569" s="115"/>
      <c r="Q569" s="116"/>
      <c r="R569" s="116"/>
      <c r="S569" s="111">
        <f>Audit[[#This Row],[Audit Losing Candidate]]-Audit[[#This Row],[Losing Candidate]]</f>
        <v>-1</v>
      </c>
      <c r="T569" s="111">
        <f>Audit[[#This Row],[Audit Winning Candidate]]-Audit[[#This Row],[Winning Candidate]]</f>
        <v>0</v>
      </c>
      <c r="U569" s="111">
        <f>Audit[[#This Row],[Audit Candidate 3]]-Audit[[#This Row],[Candidate 3]]</f>
        <v>0</v>
      </c>
      <c r="V569" s="111">
        <f>Audit[[#This Row],[Audit Candidate 4]]-Audit[[#This Row],[Candidate 4]]</f>
        <v>0</v>
      </c>
      <c r="W569" s="111">
        <f>Audit[[#This Row],[Audit Candidate 5]]-Audit[[#This Row],[Candidate 5]]</f>
        <v>0</v>
      </c>
      <c r="X569" s="111">
        <f>Audit[[#This Row],[Audit Candidate 6]]-Audit[[#This Row],[Candidate 6]]</f>
        <v>-1</v>
      </c>
      <c r="Y569" s="111">
        <f>SUMIF(Audit[[#This Row],[Difference Loser]:[Difference Candidate 6]], "&gt;0")</f>
        <v>0</v>
      </c>
      <c r="Z569" s="111">
        <f>SUM(Audit[[#This Row],[Difference Loser]:[Difference Candidate 6]])</f>
        <v>-2</v>
      </c>
      <c r="AA569" s="111">
        <f>IF(Audit[[#This Row],[Times p Drawn - With Replacement]]&gt;0, IF(Audit[[#This Row],[Canceled Differences]]&lt;0, Audit[[#This Row],[Max Differences]]+ABS(Audit[[#This Row],[Canceled Differences]]), Audit[[#This Row],[Max Differences]]), 0)</f>
        <v>0</v>
      </c>
      <c r="AB569" s="111">
        <f>'Sampling Data'!P559</f>
        <v>6.4522373132883833E-5</v>
      </c>
      <c r="AC569" s="111">
        <f>IF(
      SUM(Audit[[#This Row],[Audit Losing Candidate]:[Audit Candidate 6]])
      &lt;&gt;0,
      (Audit[[#This Row],[Winning Candidate]]-Audit[[#This Row],[Losing Candidate]]-(Audit[[#This Row],[Audit Winning Candidate]]-Audit[[#This Row],[Audit Losing Candidate]]))/(Audit[[#Totals],[Winning Candidate]]-Audit[[#Totals],[Losing Candidate]]),
      0
)</f>
        <v>0</v>
      </c>
      <c r="AD5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9" s="111">
        <f>IF(Audit[[#This Row],[Max Relative Error (ep)]] = 0, 0, Audit[[#This Row],[Max Relative Error (ep)]]/Audit[[#This Row],[Error Bound (up) - Max. possible relative overstatement]])</f>
        <v>0</v>
      </c>
      <c r="AJ5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69" s="111">
        <f t="shared" si="8"/>
        <v>1</v>
      </c>
      <c r="AL569" s="111">
        <f>PRODUCT($AK$5:AK569)</f>
        <v>8.962823818226312E-2</v>
      </c>
      <c r="AM569" s="109">
        <f>1 - [K-M P Value]</f>
        <v>0.91037176181773694</v>
      </c>
      <c r="AN569" s="111" t="str">
        <f>IF(Audit[[#This Row],[K-M P Value]]&gt;1-'General Info'!$B$16,"Continue", "Stop")</f>
        <v>Stop</v>
      </c>
      <c r="AO569" s="110" t="b">
        <f>IF(Audit[[#This Row],[Status - Continue or stop audit]] = "Continue", TRUE, IF(AN568 = "Continue", TRUE, FALSE))</f>
        <v>0</v>
      </c>
      <c r="AP569" s="110"/>
    </row>
    <row r="570" spans="1:42" ht="15" hidden="1" customHeight="1">
      <c r="A570" s="111" t="str">
        <f>'Sampling Data'!W560</f>
        <v/>
      </c>
      <c r="B570" s="112" t="str">
        <f>'Sampling Data'!A560</f>
        <v>CLEVELAND -08-O - ABS</v>
      </c>
      <c r="C570" s="112">
        <f>'Sampling Data'!B560</f>
        <v>0</v>
      </c>
      <c r="D570" s="112">
        <f>'Sampling Data'!C560</f>
        <v>1</v>
      </c>
      <c r="E570" s="113">
        <f>'Sampling Data'!D560</f>
        <v>0</v>
      </c>
      <c r="F570" s="113">
        <f>'Sampling Data'!E560</f>
        <v>0</v>
      </c>
      <c r="G570" s="113">
        <f>'Sampling Data'!F560</f>
        <v>0</v>
      </c>
      <c r="H570" s="113">
        <f>'Sampling Data'!G560</f>
        <v>0</v>
      </c>
      <c r="I570" s="112">
        <f>'Sampling Data'!H560</f>
        <v>0</v>
      </c>
      <c r="J570" s="112">
        <f>'Sampling Data'!I560</f>
        <v>0</v>
      </c>
      <c r="K570" s="112">
        <f>'Sampling Data'!J560</f>
        <v>1</v>
      </c>
      <c r="L570" s="111">
        <f>'Sampling Data'!X560</f>
        <v>0</v>
      </c>
      <c r="M570" s="114"/>
      <c r="N570" s="114"/>
      <c r="O570" s="115"/>
      <c r="P570" s="115"/>
      <c r="Q570" s="116"/>
      <c r="R570" s="116"/>
      <c r="S570" s="111">
        <f>Audit[[#This Row],[Audit Losing Candidate]]-Audit[[#This Row],[Losing Candidate]]</f>
        <v>0</v>
      </c>
      <c r="T570" s="111">
        <f>Audit[[#This Row],[Audit Winning Candidate]]-Audit[[#This Row],[Winning Candidate]]</f>
        <v>-1</v>
      </c>
      <c r="U570" s="111">
        <f>Audit[[#This Row],[Audit Candidate 3]]-Audit[[#This Row],[Candidate 3]]</f>
        <v>0</v>
      </c>
      <c r="V570" s="111">
        <f>Audit[[#This Row],[Audit Candidate 4]]-Audit[[#This Row],[Candidate 4]]</f>
        <v>0</v>
      </c>
      <c r="W570" s="111">
        <f>Audit[[#This Row],[Audit Candidate 5]]-Audit[[#This Row],[Candidate 5]]</f>
        <v>0</v>
      </c>
      <c r="X570" s="111">
        <f>Audit[[#This Row],[Audit Candidate 6]]-Audit[[#This Row],[Candidate 6]]</f>
        <v>0</v>
      </c>
      <c r="Y570" s="111">
        <f>SUMIF(Audit[[#This Row],[Difference Loser]:[Difference Candidate 6]], "&gt;0")</f>
        <v>0</v>
      </c>
      <c r="Z570" s="111">
        <f>SUM(Audit[[#This Row],[Difference Loser]:[Difference Candidate 6]])</f>
        <v>-1</v>
      </c>
      <c r="AA570" s="111">
        <f>IF(Audit[[#This Row],[Times p Drawn - With Replacement]]&gt;0, IF(Audit[[#This Row],[Canceled Differences]]&lt;0, Audit[[#This Row],[Max Differences]]+ABS(Audit[[#This Row],[Canceled Differences]]), Audit[[#This Row],[Max Differences]]), 0)</f>
        <v>0</v>
      </c>
      <c r="AB570" s="111">
        <f>'Sampling Data'!P560</f>
        <v>1.224889759921607E-4</v>
      </c>
      <c r="AC570" s="111">
        <f>IF(
      SUM(Audit[[#This Row],[Audit Losing Candidate]:[Audit Candidate 6]])
      &lt;&gt;0,
      (Audit[[#This Row],[Winning Candidate]]-Audit[[#This Row],[Losing Candidate]]-(Audit[[#This Row],[Audit Winning Candidate]]-Audit[[#This Row],[Audit Losing Candidate]]))/(Audit[[#Totals],[Winning Candidate]]-Audit[[#Totals],[Losing Candidate]]),
      0
)</f>
        <v>0</v>
      </c>
      <c r="AD5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0" s="111">
        <f>IF(Audit[[#This Row],[Max Relative Error (ep)]] = 0, 0, Audit[[#This Row],[Max Relative Error (ep)]]/Audit[[#This Row],[Error Bound (up) - Max. possible relative overstatement]])</f>
        <v>0</v>
      </c>
      <c r="AJ5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70" s="111">
        <f t="shared" si="8"/>
        <v>1</v>
      </c>
      <c r="AL570" s="111">
        <f>PRODUCT($AK$5:AK570)</f>
        <v>8.962823818226312E-2</v>
      </c>
      <c r="AM570" s="109">
        <f>1 - [K-M P Value]</f>
        <v>0.91037176181773694</v>
      </c>
      <c r="AN570" s="111" t="str">
        <f>IF(Audit[[#This Row],[K-M P Value]]&gt;1-'General Info'!$B$16,"Continue", "Stop")</f>
        <v>Stop</v>
      </c>
      <c r="AO570" s="110" t="b">
        <f>IF(Audit[[#This Row],[Status - Continue or stop audit]] = "Continue", TRUE, IF(AN569 = "Continue", TRUE, FALSE))</f>
        <v>0</v>
      </c>
      <c r="AP570" s="110"/>
    </row>
    <row r="571" spans="1:42" ht="15" hidden="1" customHeight="1">
      <c r="A571" s="111" t="str">
        <f>'Sampling Data'!W561</f>
        <v/>
      </c>
      <c r="B571" s="112" t="str">
        <f>'Sampling Data'!A561</f>
        <v>CLEVELAND -08-P</v>
      </c>
      <c r="C571" s="112">
        <f>'Sampling Data'!B561</f>
        <v>1</v>
      </c>
      <c r="D571" s="112">
        <f>'Sampling Data'!C561</f>
        <v>0</v>
      </c>
      <c r="E571" s="113">
        <f>'Sampling Data'!D561</f>
        <v>0</v>
      </c>
      <c r="F571" s="113">
        <f>'Sampling Data'!E561</f>
        <v>0</v>
      </c>
      <c r="G571" s="113">
        <f>'Sampling Data'!F561</f>
        <v>0</v>
      </c>
      <c r="H571" s="113">
        <f>'Sampling Data'!G561</f>
        <v>0</v>
      </c>
      <c r="I571" s="112">
        <f>'Sampling Data'!H561</f>
        <v>0</v>
      </c>
      <c r="J571" s="112">
        <f>'Sampling Data'!I561</f>
        <v>0</v>
      </c>
      <c r="K571" s="112">
        <f>'Sampling Data'!J561</f>
        <v>1</v>
      </c>
      <c r="L571" s="111">
        <f>'Sampling Data'!X561</f>
        <v>0</v>
      </c>
      <c r="M571" s="114"/>
      <c r="N571" s="114"/>
      <c r="O571" s="115"/>
      <c r="P571" s="115"/>
      <c r="Q571" s="116"/>
      <c r="R571" s="116"/>
      <c r="S571" s="111">
        <f>Audit[[#This Row],[Audit Losing Candidate]]-Audit[[#This Row],[Losing Candidate]]</f>
        <v>-1</v>
      </c>
      <c r="T571" s="111">
        <f>Audit[[#This Row],[Audit Winning Candidate]]-Audit[[#This Row],[Winning Candidate]]</f>
        <v>0</v>
      </c>
      <c r="U571" s="111">
        <f>Audit[[#This Row],[Audit Candidate 3]]-Audit[[#This Row],[Candidate 3]]</f>
        <v>0</v>
      </c>
      <c r="V571" s="111">
        <f>Audit[[#This Row],[Audit Candidate 4]]-Audit[[#This Row],[Candidate 4]]</f>
        <v>0</v>
      </c>
      <c r="W571" s="111">
        <f>Audit[[#This Row],[Audit Candidate 5]]-Audit[[#This Row],[Candidate 5]]</f>
        <v>0</v>
      </c>
      <c r="X571" s="111">
        <f>Audit[[#This Row],[Audit Candidate 6]]-Audit[[#This Row],[Candidate 6]]</f>
        <v>0</v>
      </c>
      <c r="Y571" s="111">
        <f>SUMIF(Audit[[#This Row],[Difference Loser]:[Difference Candidate 6]], "&gt;0")</f>
        <v>0</v>
      </c>
      <c r="Z571" s="111">
        <f>SUM(Audit[[#This Row],[Difference Loser]:[Difference Candidate 6]])</f>
        <v>-1</v>
      </c>
      <c r="AA571" s="111">
        <f>IF(Audit[[#This Row],[Times p Drawn - With Replacement]]&gt;0, IF(Audit[[#This Row],[Canceled Differences]]&lt;0, Audit[[#This Row],[Max Differences]]+ABS(Audit[[#This Row],[Canceled Differences]]), Audit[[#This Row],[Max Differences]]), 0)</f>
        <v>0</v>
      </c>
      <c r="AB571" s="111">
        <f>'Sampling Data'!P561</f>
        <v>3.2261186566441917E-5</v>
      </c>
      <c r="AC571" s="111">
        <f>IF(
      SUM(Audit[[#This Row],[Audit Losing Candidate]:[Audit Candidate 6]])
      &lt;&gt;0,
      (Audit[[#This Row],[Winning Candidate]]-Audit[[#This Row],[Losing Candidate]]-(Audit[[#This Row],[Audit Winning Candidate]]-Audit[[#This Row],[Audit Losing Candidate]]))/(Audit[[#Totals],[Winning Candidate]]-Audit[[#Totals],[Losing Candidate]]),
      0
)</f>
        <v>0</v>
      </c>
      <c r="AD5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1" s="111">
        <f>IF(Audit[[#This Row],[Max Relative Error (ep)]] = 0, 0, Audit[[#This Row],[Max Relative Error (ep)]]/Audit[[#This Row],[Error Bound (up) - Max. possible relative overstatement]])</f>
        <v>0</v>
      </c>
      <c r="AJ5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71" s="111">
        <f t="shared" si="8"/>
        <v>1</v>
      </c>
      <c r="AL571" s="111">
        <f>PRODUCT($AK$5:AK571)</f>
        <v>8.962823818226312E-2</v>
      </c>
      <c r="AM571" s="109">
        <f>1 - [K-M P Value]</f>
        <v>0.91037176181773694</v>
      </c>
      <c r="AN571" s="111" t="str">
        <f>IF(Audit[[#This Row],[K-M P Value]]&gt;1-'General Info'!$B$16,"Continue", "Stop")</f>
        <v>Stop</v>
      </c>
      <c r="AO571" s="110" t="b">
        <f>IF(Audit[[#This Row],[Status - Continue or stop audit]] = "Continue", TRUE, IF(AN570 = "Continue", TRUE, FALSE))</f>
        <v>0</v>
      </c>
      <c r="AP571" s="110"/>
    </row>
    <row r="572" spans="1:42" ht="15" hidden="1" customHeight="1">
      <c r="A572" s="111" t="str">
        <f>'Sampling Data'!W562</f>
        <v/>
      </c>
      <c r="B572" s="112" t="str">
        <f>'Sampling Data'!A562</f>
        <v>CLEVELAND -08-P - ABS</v>
      </c>
      <c r="C572" s="112">
        <f>'Sampling Data'!B562</f>
        <v>0</v>
      </c>
      <c r="D572" s="112">
        <f>'Sampling Data'!C562</f>
        <v>0</v>
      </c>
      <c r="E572" s="113">
        <f>'Sampling Data'!D562</f>
        <v>0</v>
      </c>
      <c r="F572" s="113">
        <f>'Sampling Data'!E562</f>
        <v>1</v>
      </c>
      <c r="G572" s="113">
        <f>'Sampling Data'!F562</f>
        <v>0</v>
      </c>
      <c r="H572" s="113">
        <f>'Sampling Data'!G562</f>
        <v>0</v>
      </c>
      <c r="I572" s="112">
        <f>'Sampling Data'!H562</f>
        <v>0</v>
      </c>
      <c r="J572" s="112">
        <f>'Sampling Data'!I562</f>
        <v>1</v>
      </c>
      <c r="K572" s="112">
        <f>'Sampling Data'!J562</f>
        <v>2</v>
      </c>
      <c r="L572" s="111">
        <f>'Sampling Data'!X562</f>
        <v>0</v>
      </c>
      <c r="M572" s="114"/>
      <c r="N572" s="114"/>
      <c r="O572" s="115"/>
      <c r="P572" s="115"/>
      <c r="Q572" s="116"/>
      <c r="R572" s="116"/>
      <c r="S572" s="111">
        <f>Audit[[#This Row],[Audit Losing Candidate]]-Audit[[#This Row],[Losing Candidate]]</f>
        <v>0</v>
      </c>
      <c r="T572" s="111">
        <f>Audit[[#This Row],[Audit Winning Candidate]]-Audit[[#This Row],[Winning Candidate]]</f>
        <v>0</v>
      </c>
      <c r="U572" s="111">
        <f>Audit[[#This Row],[Audit Candidate 3]]-Audit[[#This Row],[Candidate 3]]</f>
        <v>0</v>
      </c>
      <c r="V572" s="111">
        <f>Audit[[#This Row],[Audit Candidate 4]]-Audit[[#This Row],[Candidate 4]]</f>
        <v>-1</v>
      </c>
      <c r="W572" s="111">
        <f>Audit[[#This Row],[Audit Candidate 5]]-Audit[[#This Row],[Candidate 5]]</f>
        <v>0</v>
      </c>
      <c r="X572" s="111">
        <f>Audit[[#This Row],[Audit Candidate 6]]-Audit[[#This Row],[Candidate 6]]</f>
        <v>0</v>
      </c>
      <c r="Y572" s="111">
        <f>SUMIF(Audit[[#This Row],[Difference Loser]:[Difference Candidate 6]], "&gt;0")</f>
        <v>0</v>
      </c>
      <c r="Z572" s="111">
        <f>SUM(Audit[[#This Row],[Difference Loser]:[Difference Candidate 6]])</f>
        <v>-1</v>
      </c>
      <c r="AA572" s="111">
        <f>IF(Audit[[#This Row],[Times p Drawn - With Replacement]]&gt;0, IF(Audit[[#This Row],[Canceled Differences]]&lt;0, Audit[[#This Row],[Max Differences]]+ABS(Audit[[#This Row],[Canceled Differences]]), Audit[[#This Row],[Max Differences]]), 0)</f>
        <v>0</v>
      </c>
      <c r="AB572" s="111">
        <f>'Sampling Data'!P562</f>
        <v>1.224889759921607E-4</v>
      </c>
      <c r="AC572" s="111">
        <f>IF(
      SUM(Audit[[#This Row],[Audit Losing Candidate]:[Audit Candidate 6]])
      &lt;&gt;0,
      (Audit[[#This Row],[Winning Candidate]]-Audit[[#This Row],[Losing Candidate]]-(Audit[[#This Row],[Audit Winning Candidate]]-Audit[[#This Row],[Audit Losing Candidate]]))/(Audit[[#Totals],[Winning Candidate]]-Audit[[#Totals],[Losing Candidate]]),
      0
)</f>
        <v>0</v>
      </c>
      <c r="AD5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2" s="111">
        <f>IF(Audit[[#This Row],[Max Relative Error (ep)]] = 0, 0, Audit[[#This Row],[Max Relative Error (ep)]]/Audit[[#This Row],[Error Bound (up) - Max. possible relative overstatement]])</f>
        <v>0</v>
      </c>
      <c r="AJ5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72" s="111">
        <f t="shared" si="8"/>
        <v>1</v>
      </c>
      <c r="AL572" s="111">
        <f>PRODUCT($AK$5:AK572)</f>
        <v>8.962823818226312E-2</v>
      </c>
      <c r="AM572" s="109">
        <f>1 - [K-M P Value]</f>
        <v>0.91037176181773694</v>
      </c>
      <c r="AN572" s="111" t="str">
        <f>IF(Audit[[#This Row],[K-M P Value]]&gt;1-'General Info'!$B$16,"Continue", "Stop")</f>
        <v>Stop</v>
      </c>
      <c r="AO572" s="110" t="b">
        <f>IF(Audit[[#This Row],[Status - Continue or stop audit]] = "Continue", TRUE, IF(AN571 = "Continue", TRUE, FALSE))</f>
        <v>0</v>
      </c>
      <c r="AP572" s="110"/>
    </row>
    <row r="573" spans="1:42" ht="15" hidden="1" customHeight="1">
      <c r="A573" s="111" t="str">
        <f>'Sampling Data'!W563</f>
        <v/>
      </c>
      <c r="B573" s="112" t="str">
        <f>'Sampling Data'!A563</f>
        <v>CLEVELAND -08-Q</v>
      </c>
      <c r="C573" s="112">
        <f>'Sampling Data'!B563</f>
        <v>0</v>
      </c>
      <c r="D573" s="112">
        <f>'Sampling Data'!C563</f>
        <v>0</v>
      </c>
      <c r="E573" s="113">
        <f>'Sampling Data'!D563</f>
        <v>0</v>
      </c>
      <c r="F573" s="113">
        <f>'Sampling Data'!E563</f>
        <v>0</v>
      </c>
      <c r="G573" s="113">
        <f>'Sampling Data'!F563</f>
        <v>0</v>
      </c>
      <c r="H573" s="113">
        <f>'Sampling Data'!G563</f>
        <v>0</v>
      </c>
      <c r="I573" s="112">
        <f>'Sampling Data'!H563</f>
        <v>0</v>
      </c>
      <c r="J573" s="112">
        <f>'Sampling Data'!I563</f>
        <v>0</v>
      </c>
      <c r="K573" s="112">
        <f>'Sampling Data'!J563</f>
        <v>0</v>
      </c>
      <c r="L573" s="111">
        <f>'Sampling Data'!X563</f>
        <v>0</v>
      </c>
      <c r="M573" s="114"/>
      <c r="N573" s="114"/>
      <c r="O573" s="115"/>
      <c r="P573" s="115"/>
      <c r="Q573" s="116"/>
      <c r="R573" s="116"/>
      <c r="S573" s="111">
        <f>Audit[[#This Row],[Audit Losing Candidate]]-Audit[[#This Row],[Losing Candidate]]</f>
        <v>0</v>
      </c>
      <c r="T573" s="111">
        <f>Audit[[#This Row],[Audit Winning Candidate]]-Audit[[#This Row],[Winning Candidate]]</f>
        <v>0</v>
      </c>
      <c r="U573" s="111">
        <f>Audit[[#This Row],[Audit Candidate 3]]-Audit[[#This Row],[Candidate 3]]</f>
        <v>0</v>
      </c>
      <c r="V573" s="111">
        <f>Audit[[#This Row],[Audit Candidate 4]]-Audit[[#This Row],[Candidate 4]]</f>
        <v>0</v>
      </c>
      <c r="W573" s="111">
        <f>Audit[[#This Row],[Audit Candidate 5]]-Audit[[#This Row],[Candidate 5]]</f>
        <v>0</v>
      </c>
      <c r="X573" s="111">
        <f>Audit[[#This Row],[Audit Candidate 6]]-Audit[[#This Row],[Candidate 6]]</f>
        <v>0</v>
      </c>
      <c r="Y573" s="111">
        <f>SUMIF(Audit[[#This Row],[Difference Loser]:[Difference Candidate 6]], "&gt;0")</f>
        <v>0</v>
      </c>
      <c r="Z573" s="111">
        <f>SUM(Audit[[#This Row],[Difference Loser]:[Difference Candidate 6]])</f>
        <v>0</v>
      </c>
      <c r="AA573" s="111">
        <f>IF(Audit[[#This Row],[Times p Drawn - With Replacement]]&gt;0, IF(Audit[[#This Row],[Canceled Differences]]&lt;0, Audit[[#This Row],[Max Differences]]+ABS(Audit[[#This Row],[Canceled Differences]]), Audit[[#This Row],[Max Differences]]), 0)</f>
        <v>0</v>
      </c>
      <c r="AB573" s="111">
        <f>'Sampling Data'!P563</f>
        <v>0</v>
      </c>
      <c r="AC573" s="111">
        <f>IF(
      SUM(Audit[[#This Row],[Audit Losing Candidate]:[Audit Candidate 6]])
      &lt;&gt;0,
      (Audit[[#This Row],[Winning Candidate]]-Audit[[#This Row],[Losing Candidate]]-(Audit[[#This Row],[Audit Winning Candidate]]-Audit[[#This Row],[Audit Losing Candidate]]))/(Audit[[#Totals],[Winning Candidate]]-Audit[[#Totals],[Losing Candidate]]),
      0
)</f>
        <v>0</v>
      </c>
      <c r="AD5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3" s="111">
        <f>IF(Audit[[#This Row],[Max Relative Error (ep)]] = 0, 0, Audit[[#This Row],[Max Relative Error (ep)]]/Audit[[#This Row],[Error Bound (up) - Max. possible relative overstatement]])</f>
        <v>0</v>
      </c>
      <c r="AJ5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73" s="111">
        <f t="shared" si="8"/>
        <v>1</v>
      </c>
      <c r="AL573" s="111">
        <f>PRODUCT($AK$5:AK573)</f>
        <v>8.962823818226312E-2</v>
      </c>
      <c r="AM573" s="109">
        <f>1 - [K-M P Value]</f>
        <v>0.91037176181773694</v>
      </c>
      <c r="AN573" s="111" t="str">
        <f>IF(Audit[[#This Row],[K-M P Value]]&gt;1-'General Info'!$B$16,"Continue", "Stop")</f>
        <v>Stop</v>
      </c>
      <c r="AO573" s="110" t="b">
        <f>IF(Audit[[#This Row],[Status - Continue or stop audit]] = "Continue", TRUE, IF(AN572 = "Continue", TRUE, FALSE))</f>
        <v>0</v>
      </c>
      <c r="AP573" s="110"/>
    </row>
    <row r="574" spans="1:42" ht="15" hidden="1" customHeight="1">
      <c r="A574" s="111" t="str">
        <f>'Sampling Data'!W564</f>
        <v/>
      </c>
      <c r="B574" s="112" t="str">
        <f>'Sampling Data'!A564</f>
        <v>CLEVELAND -08-Q - ABS</v>
      </c>
      <c r="C574" s="112">
        <f>'Sampling Data'!B564</f>
        <v>0</v>
      </c>
      <c r="D574" s="112">
        <f>'Sampling Data'!C564</f>
        <v>0</v>
      </c>
      <c r="E574" s="113">
        <f>'Sampling Data'!D564</f>
        <v>0</v>
      </c>
      <c r="F574" s="113">
        <f>'Sampling Data'!E564</f>
        <v>0</v>
      </c>
      <c r="G574" s="113">
        <f>'Sampling Data'!F564</f>
        <v>0</v>
      </c>
      <c r="H574" s="113">
        <f>'Sampling Data'!G564</f>
        <v>0</v>
      </c>
      <c r="I574" s="112">
        <f>'Sampling Data'!H564</f>
        <v>0</v>
      </c>
      <c r="J574" s="112">
        <f>'Sampling Data'!I564</f>
        <v>0</v>
      </c>
      <c r="K574" s="112">
        <f>'Sampling Data'!J564</f>
        <v>0</v>
      </c>
      <c r="L574" s="111">
        <f>'Sampling Data'!X564</f>
        <v>0</v>
      </c>
      <c r="M574" s="114"/>
      <c r="N574" s="114"/>
      <c r="O574" s="115"/>
      <c r="P574" s="115"/>
      <c r="Q574" s="116"/>
      <c r="R574" s="116"/>
      <c r="S574" s="111">
        <f>Audit[[#This Row],[Audit Losing Candidate]]-Audit[[#This Row],[Losing Candidate]]</f>
        <v>0</v>
      </c>
      <c r="T574" s="111">
        <f>Audit[[#This Row],[Audit Winning Candidate]]-Audit[[#This Row],[Winning Candidate]]</f>
        <v>0</v>
      </c>
      <c r="U574" s="111">
        <f>Audit[[#This Row],[Audit Candidate 3]]-Audit[[#This Row],[Candidate 3]]</f>
        <v>0</v>
      </c>
      <c r="V574" s="111">
        <f>Audit[[#This Row],[Audit Candidate 4]]-Audit[[#This Row],[Candidate 4]]</f>
        <v>0</v>
      </c>
      <c r="W574" s="111">
        <f>Audit[[#This Row],[Audit Candidate 5]]-Audit[[#This Row],[Candidate 5]]</f>
        <v>0</v>
      </c>
      <c r="X574" s="111">
        <f>Audit[[#This Row],[Audit Candidate 6]]-Audit[[#This Row],[Candidate 6]]</f>
        <v>0</v>
      </c>
      <c r="Y574" s="111">
        <f>SUMIF(Audit[[#This Row],[Difference Loser]:[Difference Candidate 6]], "&gt;0")</f>
        <v>0</v>
      </c>
      <c r="Z574" s="111">
        <f>SUM(Audit[[#This Row],[Difference Loser]:[Difference Candidate 6]])</f>
        <v>0</v>
      </c>
      <c r="AA574" s="111">
        <f>IF(Audit[[#This Row],[Times p Drawn - With Replacement]]&gt;0, IF(Audit[[#This Row],[Canceled Differences]]&lt;0, Audit[[#This Row],[Max Differences]]+ABS(Audit[[#This Row],[Canceled Differences]]), Audit[[#This Row],[Max Differences]]), 0)</f>
        <v>0</v>
      </c>
      <c r="AB574" s="111">
        <f>'Sampling Data'!P564</f>
        <v>0</v>
      </c>
      <c r="AC574" s="111">
        <f>IF(
      SUM(Audit[[#This Row],[Audit Losing Candidate]:[Audit Candidate 6]])
      &lt;&gt;0,
      (Audit[[#This Row],[Winning Candidate]]-Audit[[#This Row],[Losing Candidate]]-(Audit[[#This Row],[Audit Winning Candidate]]-Audit[[#This Row],[Audit Losing Candidate]]))/(Audit[[#Totals],[Winning Candidate]]-Audit[[#Totals],[Losing Candidate]]),
      0
)</f>
        <v>0</v>
      </c>
      <c r="AD5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4" s="111">
        <f>IF(Audit[[#This Row],[Max Relative Error (ep)]] = 0, 0, Audit[[#This Row],[Max Relative Error (ep)]]/Audit[[#This Row],[Error Bound (up) - Max. possible relative overstatement]])</f>
        <v>0</v>
      </c>
      <c r="AJ5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74" s="111">
        <f t="shared" si="8"/>
        <v>1</v>
      </c>
      <c r="AL574" s="111">
        <f>PRODUCT($AK$5:AK574)</f>
        <v>8.962823818226312E-2</v>
      </c>
      <c r="AM574" s="109">
        <f>1 - [K-M P Value]</f>
        <v>0.91037176181773694</v>
      </c>
      <c r="AN574" s="111" t="str">
        <f>IF(Audit[[#This Row],[K-M P Value]]&gt;1-'General Info'!$B$16,"Continue", "Stop")</f>
        <v>Stop</v>
      </c>
      <c r="AO574" s="110" t="b">
        <f>IF(Audit[[#This Row],[Status - Continue or stop audit]] = "Continue", TRUE, IF(AN573 = "Continue", TRUE, FALSE))</f>
        <v>0</v>
      </c>
      <c r="AP574" s="110"/>
    </row>
    <row r="575" spans="1:42" ht="15" hidden="1" customHeight="1">
      <c r="A575" s="111" t="str">
        <f>'Sampling Data'!W565</f>
        <v/>
      </c>
      <c r="B575" s="112" t="str">
        <f>'Sampling Data'!A565</f>
        <v>CLEVELAND -08-R</v>
      </c>
      <c r="C575" s="112">
        <f>'Sampling Data'!B565</f>
        <v>0</v>
      </c>
      <c r="D575" s="112">
        <f>'Sampling Data'!C565</f>
        <v>1</v>
      </c>
      <c r="E575" s="113">
        <f>'Sampling Data'!D565</f>
        <v>0</v>
      </c>
      <c r="F575" s="113">
        <f>'Sampling Data'!E565</f>
        <v>0</v>
      </c>
      <c r="G575" s="113">
        <f>'Sampling Data'!F565</f>
        <v>0</v>
      </c>
      <c r="H575" s="113">
        <f>'Sampling Data'!G565</f>
        <v>0</v>
      </c>
      <c r="I575" s="112">
        <f>'Sampling Data'!H565</f>
        <v>0</v>
      </c>
      <c r="J575" s="112">
        <f>'Sampling Data'!I565</f>
        <v>2</v>
      </c>
      <c r="K575" s="112">
        <f>'Sampling Data'!J565</f>
        <v>3</v>
      </c>
      <c r="L575" s="111">
        <f>'Sampling Data'!X565</f>
        <v>0</v>
      </c>
      <c r="M575" s="114"/>
      <c r="N575" s="114"/>
      <c r="O575" s="115"/>
      <c r="P575" s="115"/>
      <c r="Q575" s="116"/>
      <c r="R575" s="116"/>
      <c r="S575" s="111">
        <f>Audit[[#This Row],[Audit Losing Candidate]]-Audit[[#This Row],[Losing Candidate]]</f>
        <v>0</v>
      </c>
      <c r="T575" s="111">
        <f>Audit[[#This Row],[Audit Winning Candidate]]-Audit[[#This Row],[Winning Candidate]]</f>
        <v>-1</v>
      </c>
      <c r="U575" s="111">
        <f>Audit[[#This Row],[Audit Candidate 3]]-Audit[[#This Row],[Candidate 3]]</f>
        <v>0</v>
      </c>
      <c r="V575" s="111">
        <f>Audit[[#This Row],[Audit Candidate 4]]-Audit[[#This Row],[Candidate 4]]</f>
        <v>0</v>
      </c>
      <c r="W575" s="111">
        <f>Audit[[#This Row],[Audit Candidate 5]]-Audit[[#This Row],[Candidate 5]]</f>
        <v>0</v>
      </c>
      <c r="X575" s="111">
        <f>Audit[[#This Row],[Audit Candidate 6]]-Audit[[#This Row],[Candidate 6]]</f>
        <v>0</v>
      </c>
      <c r="Y575" s="111">
        <f>SUMIF(Audit[[#This Row],[Difference Loser]:[Difference Candidate 6]], "&gt;0")</f>
        <v>0</v>
      </c>
      <c r="Z575" s="111">
        <f>SUM(Audit[[#This Row],[Difference Loser]:[Difference Candidate 6]])</f>
        <v>-1</v>
      </c>
      <c r="AA575" s="111">
        <f>IF(Audit[[#This Row],[Times p Drawn - With Replacement]]&gt;0, IF(Audit[[#This Row],[Canceled Differences]]&lt;0, Audit[[#This Row],[Max Differences]]+ABS(Audit[[#This Row],[Canceled Differences]]), Audit[[#This Row],[Max Differences]]), 0)</f>
        <v>0</v>
      </c>
      <c r="AB575" s="111">
        <f>'Sampling Data'!P565</f>
        <v>2.4497795198432141E-4</v>
      </c>
      <c r="AC575" s="111">
        <f>IF(
      SUM(Audit[[#This Row],[Audit Losing Candidate]:[Audit Candidate 6]])
      &lt;&gt;0,
      (Audit[[#This Row],[Winning Candidate]]-Audit[[#This Row],[Losing Candidate]]-(Audit[[#This Row],[Audit Winning Candidate]]-Audit[[#This Row],[Audit Losing Candidate]]))/(Audit[[#Totals],[Winning Candidate]]-Audit[[#Totals],[Losing Candidate]]),
      0
)</f>
        <v>0</v>
      </c>
      <c r="AD5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5" s="111">
        <f>IF(Audit[[#This Row],[Max Relative Error (ep)]] = 0, 0, Audit[[#This Row],[Max Relative Error (ep)]]/Audit[[#This Row],[Error Bound (up) - Max. possible relative overstatement]])</f>
        <v>0</v>
      </c>
      <c r="AJ5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75" s="111">
        <f t="shared" si="8"/>
        <v>1</v>
      </c>
      <c r="AL575" s="111">
        <f>PRODUCT($AK$5:AK575)</f>
        <v>8.962823818226312E-2</v>
      </c>
      <c r="AM575" s="109">
        <f>1 - [K-M P Value]</f>
        <v>0.91037176181773694</v>
      </c>
      <c r="AN575" s="111" t="str">
        <f>IF(Audit[[#This Row],[K-M P Value]]&gt;1-'General Info'!$B$16,"Continue", "Stop")</f>
        <v>Stop</v>
      </c>
      <c r="AO575" s="110" t="b">
        <f>IF(Audit[[#This Row],[Status - Continue or stop audit]] = "Continue", TRUE, IF(AN574 = "Continue", TRUE, FALSE))</f>
        <v>0</v>
      </c>
      <c r="AP575" s="110"/>
    </row>
    <row r="576" spans="1:42" ht="15" hidden="1" customHeight="1">
      <c r="A576" s="111" t="str">
        <f>'Sampling Data'!W566</f>
        <v/>
      </c>
      <c r="B576" s="112" t="str">
        <f>'Sampling Data'!A566</f>
        <v>CLEVELAND -08-R - ABS</v>
      </c>
      <c r="C576" s="112">
        <f>'Sampling Data'!B566</f>
        <v>0</v>
      </c>
      <c r="D576" s="112">
        <f>'Sampling Data'!C566</f>
        <v>0</v>
      </c>
      <c r="E576" s="113">
        <f>'Sampling Data'!D566</f>
        <v>0</v>
      </c>
      <c r="F576" s="113">
        <f>'Sampling Data'!E566</f>
        <v>0</v>
      </c>
      <c r="G576" s="113">
        <f>'Sampling Data'!F566</f>
        <v>0</v>
      </c>
      <c r="H576" s="113">
        <f>'Sampling Data'!G566</f>
        <v>0</v>
      </c>
      <c r="I576" s="112">
        <f>'Sampling Data'!H566</f>
        <v>0</v>
      </c>
      <c r="J576" s="112">
        <f>'Sampling Data'!I566</f>
        <v>0</v>
      </c>
      <c r="K576" s="112">
        <f>'Sampling Data'!J566</f>
        <v>0</v>
      </c>
      <c r="L576" s="111">
        <f>'Sampling Data'!X566</f>
        <v>0</v>
      </c>
      <c r="M576" s="114"/>
      <c r="N576" s="114"/>
      <c r="O576" s="115"/>
      <c r="P576" s="115"/>
      <c r="Q576" s="116"/>
      <c r="R576" s="116"/>
      <c r="S576" s="111">
        <f>Audit[[#This Row],[Audit Losing Candidate]]-Audit[[#This Row],[Losing Candidate]]</f>
        <v>0</v>
      </c>
      <c r="T576" s="111">
        <f>Audit[[#This Row],[Audit Winning Candidate]]-Audit[[#This Row],[Winning Candidate]]</f>
        <v>0</v>
      </c>
      <c r="U576" s="111">
        <f>Audit[[#This Row],[Audit Candidate 3]]-Audit[[#This Row],[Candidate 3]]</f>
        <v>0</v>
      </c>
      <c r="V576" s="111">
        <f>Audit[[#This Row],[Audit Candidate 4]]-Audit[[#This Row],[Candidate 4]]</f>
        <v>0</v>
      </c>
      <c r="W576" s="111">
        <f>Audit[[#This Row],[Audit Candidate 5]]-Audit[[#This Row],[Candidate 5]]</f>
        <v>0</v>
      </c>
      <c r="X576" s="111">
        <f>Audit[[#This Row],[Audit Candidate 6]]-Audit[[#This Row],[Candidate 6]]</f>
        <v>0</v>
      </c>
      <c r="Y576" s="111">
        <f>SUMIF(Audit[[#This Row],[Difference Loser]:[Difference Candidate 6]], "&gt;0")</f>
        <v>0</v>
      </c>
      <c r="Z576" s="111">
        <f>SUM(Audit[[#This Row],[Difference Loser]:[Difference Candidate 6]])</f>
        <v>0</v>
      </c>
      <c r="AA576" s="111">
        <f>IF(Audit[[#This Row],[Times p Drawn - With Replacement]]&gt;0, IF(Audit[[#This Row],[Canceled Differences]]&lt;0, Audit[[#This Row],[Max Differences]]+ABS(Audit[[#This Row],[Canceled Differences]]), Audit[[#This Row],[Max Differences]]), 0)</f>
        <v>0</v>
      </c>
      <c r="AB576" s="111">
        <f>'Sampling Data'!P566</f>
        <v>0</v>
      </c>
      <c r="AC576" s="111">
        <f>IF(
      SUM(Audit[[#This Row],[Audit Losing Candidate]:[Audit Candidate 6]])
      &lt;&gt;0,
      (Audit[[#This Row],[Winning Candidate]]-Audit[[#This Row],[Losing Candidate]]-(Audit[[#This Row],[Audit Winning Candidate]]-Audit[[#This Row],[Audit Losing Candidate]]))/(Audit[[#Totals],[Winning Candidate]]-Audit[[#Totals],[Losing Candidate]]),
      0
)</f>
        <v>0</v>
      </c>
      <c r="AD5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6" s="111">
        <f>IF(Audit[[#This Row],[Max Relative Error (ep)]] = 0, 0, Audit[[#This Row],[Max Relative Error (ep)]]/Audit[[#This Row],[Error Bound (up) - Max. possible relative overstatement]])</f>
        <v>0</v>
      </c>
      <c r="AJ5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76" s="111">
        <f t="shared" si="8"/>
        <v>1</v>
      </c>
      <c r="AL576" s="111">
        <f>PRODUCT($AK$5:AK576)</f>
        <v>8.962823818226312E-2</v>
      </c>
      <c r="AM576" s="109">
        <f>1 - [K-M P Value]</f>
        <v>0.91037176181773694</v>
      </c>
      <c r="AN576" s="111" t="str">
        <f>IF(Audit[[#This Row],[K-M P Value]]&gt;1-'General Info'!$B$16,"Continue", "Stop")</f>
        <v>Stop</v>
      </c>
      <c r="AO576" s="110" t="b">
        <f>IF(Audit[[#This Row],[Status - Continue or stop audit]] = "Continue", TRUE, IF(AN575 = "Continue", TRUE, FALSE))</f>
        <v>0</v>
      </c>
      <c r="AP576" s="110"/>
    </row>
    <row r="577" spans="1:42" ht="15" hidden="1" customHeight="1">
      <c r="A577" s="111" t="str">
        <f>'Sampling Data'!W567</f>
        <v/>
      </c>
      <c r="B577" s="112" t="str">
        <f>'Sampling Data'!A567</f>
        <v>CLEVELAND -08-S</v>
      </c>
      <c r="C577" s="112">
        <f>'Sampling Data'!B567</f>
        <v>1</v>
      </c>
      <c r="D577" s="112">
        <f>'Sampling Data'!C567</f>
        <v>2</v>
      </c>
      <c r="E577" s="113">
        <f>'Sampling Data'!D567</f>
        <v>0</v>
      </c>
      <c r="F577" s="113">
        <f>'Sampling Data'!E567</f>
        <v>3</v>
      </c>
      <c r="G577" s="113">
        <f>'Sampling Data'!F567</f>
        <v>0</v>
      </c>
      <c r="H577" s="113">
        <f>'Sampling Data'!G567</f>
        <v>0</v>
      </c>
      <c r="I577" s="112">
        <f>'Sampling Data'!H567</f>
        <v>0</v>
      </c>
      <c r="J577" s="112">
        <f>'Sampling Data'!I567</f>
        <v>0</v>
      </c>
      <c r="K577" s="112">
        <f>'Sampling Data'!J567</f>
        <v>6</v>
      </c>
      <c r="L577" s="111">
        <f>'Sampling Data'!X567</f>
        <v>0</v>
      </c>
      <c r="M577" s="114"/>
      <c r="N577" s="114"/>
      <c r="O577" s="115"/>
      <c r="P577" s="115"/>
      <c r="Q577" s="116"/>
      <c r="R577" s="116"/>
      <c r="S577" s="111">
        <f>Audit[[#This Row],[Audit Losing Candidate]]-Audit[[#This Row],[Losing Candidate]]</f>
        <v>-1</v>
      </c>
      <c r="T577" s="111">
        <f>Audit[[#This Row],[Audit Winning Candidate]]-Audit[[#This Row],[Winning Candidate]]</f>
        <v>-2</v>
      </c>
      <c r="U577" s="111">
        <f>Audit[[#This Row],[Audit Candidate 3]]-Audit[[#This Row],[Candidate 3]]</f>
        <v>0</v>
      </c>
      <c r="V577" s="111">
        <f>Audit[[#This Row],[Audit Candidate 4]]-Audit[[#This Row],[Candidate 4]]</f>
        <v>-3</v>
      </c>
      <c r="W577" s="111">
        <f>Audit[[#This Row],[Audit Candidate 5]]-Audit[[#This Row],[Candidate 5]]</f>
        <v>0</v>
      </c>
      <c r="X577" s="111">
        <f>Audit[[#This Row],[Audit Candidate 6]]-Audit[[#This Row],[Candidate 6]]</f>
        <v>0</v>
      </c>
      <c r="Y577" s="111">
        <f>SUMIF(Audit[[#This Row],[Difference Loser]:[Difference Candidate 6]], "&gt;0")</f>
        <v>0</v>
      </c>
      <c r="Z577" s="111">
        <f>SUM(Audit[[#This Row],[Difference Loser]:[Difference Candidate 6]])</f>
        <v>-6</v>
      </c>
      <c r="AA577" s="111">
        <f>IF(Audit[[#This Row],[Times p Drawn - With Replacement]]&gt;0, IF(Audit[[#This Row],[Canceled Differences]]&lt;0, Audit[[#This Row],[Max Differences]]+ABS(Audit[[#This Row],[Canceled Differences]]), Audit[[#This Row],[Max Differences]]), 0)</f>
        <v>0</v>
      </c>
      <c r="AB577" s="111">
        <f>'Sampling Data'!P567</f>
        <v>4.2871141597256246E-4</v>
      </c>
      <c r="AC577" s="111">
        <f>IF(
      SUM(Audit[[#This Row],[Audit Losing Candidate]:[Audit Candidate 6]])
      &lt;&gt;0,
      (Audit[[#This Row],[Winning Candidate]]-Audit[[#This Row],[Losing Candidate]]-(Audit[[#This Row],[Audit Winning Candidate]]-Audit[[#This Row],[Audit Losing Candidate]]))/(Audit[[#Totals],[Winning Candidate]]-Audit[[#Totals],[Losing Candidate]]),
      0
)</f>
        <v>0</v>
      </c>
      <c r="AD5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7" s="111">
        <f>IF(Audit[[#This Row],[Max Relative Error (ep)]] = 0, 0, Audit[[#This Row],[Max Relative Error (ep)]]/Audit[[#This Row],[Error Bound (up) - Max. possible relative overstatement]])</f>
        <v>0</v>
      </c>
      <c r="AJ5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77" s="111">
        <f t="shared" si="8"/>
        <v>1</v>
      </c>
      <c r="AL577" s="111">
        <f>PRODUCT($AK$5:AK577)</f>
        <v>8.962823818226312E-2</v>
      </c>
      <c r="AM577" s="109">
        <f>1 - [K-M P Value]</f>
        <v>0.91037176181773694</v>
      </c>
      <c r="AN577" s="111" t="str">
        <f>IF(Audit[[#This Row],[K-M P Value]]&gt;1-'General Info'!$B$16,"Continue", "Stop")</f>
        <v>Stop</v>
      </c>
      <c r="AO577" s="110" t="b">
        <f>IF(Audit[[#This Row],[Status - Continue or stop audit]] = "Continue", TRUE, IF(AN576 = "Continue", TRUE, FALSE))</f>
        <v>0</v>
      </c>
      <c r="AP577" s="110"/>
    </row>
    <row r="578" spans="1:42" ht="15" hidden="1" customHeight="1">
      <c r="A578" s="111" t="str">
        <f>'Sampling Data'!W568</f>
        <v/>
      </c>
      <c r="B578" s="112" t="str">
        <f>'Sampling Data'!A568</f>
        <v>CLEVELAND -08-S - ABS</v>
      </c>
      <c r="C578" s="112">
        <f>'Sampling Data'!B568</f>
        <v>1</v>
      </c>
      <c r="D578" s="112">
        <f>'Sampling Data'!C568</f>
        <v>1</v>
      </c>
      <c r="E578" s="113">
        <f>'Sampling Data'!D568</f>
        <v>0</v>
      </c>
      <c r="F578" s="113">
        <f>'Sampling Data'!E568</f>
        <v>0</v>
      </c>
      <c r="G578" s="113">
        <f>'Sampling Data'!F568</f>
        <v>0</v>
      </c>
      <c r="H578" s="113">
        <f>'Sampling Data'!G568</f>
        <v>0</v>
      </c>
      <c r="I578" s="112">
        <f>'Sampling Data'!H568</f>
        <v>0</v>
      </c>
      <c r="J578" s="112">
        <f>'Sampling Data'!I568</f>
        <v>0</v>
      </c>
      <c r="K578" s="112">
        <f>'Sampling Data'!J568</f>
        <v>2</v>
      </c>
      <c r="L578" s="111">
        <f>'Sampling Data'!X568</f>
        <v>0</v>
      </c>
      <c r="M578" s="114"/>
      <c r="N578" s="114"/>
      <c r="O578" s="115"/>
      <c r="P578" s="115"/>
      <c r="Q578" s="116"/>
      <c r="R578" s="116"/>
      <c r="S578" s="111">
        <f>Audit[[#This Row],[Audit Losing Candidate]]-Audit[[#This Row],[Losing Candidate]]</f>
        <v>-1</v>
      </c>
      <c r="T578" s="111">
        <f>Audit[[#This Row],[Audit Winning Candidate]]-Audit[[#This Row],[Winning Candidate]]</f>
        <v>-1</v>
      </c>
      <c r="U578" s="111">
        <f>Audit[[#This Row],[Audit Candidate 3]]-Audit[[#This Row],[Candidate 3]]</f>
        <v>0</v>
      </c>
      <c r="V578" s="111">
        <f>Audit[[#This Row],[Audit Candidate 4]]-Audit[[#This Row],[Candidate 4]]</f>
        <v>0</v>
      </c>
      <c r="W578" s="111">
        <f>Audit[[#This Row],[Audit Candidate 5]]-Audit[[#This Row],[Candidate 5]]</f>
        <v>0</v>
      </c>
      <c r="X578" s="111">
        <f>Audit[[#This Row],[Audit Candidate 6]]-Audit[[#This Row],[Candidate 6]]</f>
        <v>0</v>
      </c>
      <c r="Y578" s="111">
        <f>SUMIF(Audit[[#This Row],[Difference Loser]:[Difference Candidate 6]], "&gt;0")</f>
        <v>0</v>
      </c>
      <c r="Z578" s="111">
        <f>SUM(Audit[[#This Row],[Difference Loser]:[Difference Candidate 6]])</f>
        <v>-2</v>
      </c>
      <c r="AA578" s="111">
        <f>IF(Audit[[#This Row],[Times p Drawn - With Replacement]]&gt;0, IF(Audit[[#This Row],[Canceled Differences]]&lt;0, Audit[[#This Row],[Max Differences]]+ABS(Audit[[#This Row],[Canceled Differences]]), Audit[[#This Row],[Max Differences]]), 0)</f>
        <v>0</v>
      </c>
      <c r="AB578" s="111">
        <f>'Sampling Data'!P568</f>
        <v>1.224889759921607E-4</v>
      </c>
      <c r="AC578" s="111">
        <f>IF(
      SUM(Audit[[#This Row],[Audit Losing Candidate]:[Audit Candidate 6]])
      &lt;&gt;0,
      (Audit[[#This Row],[Winning Candidate]]-Audit[[#This Row],[Losing Candidate]]-(Audit[[#This Row],[Audit Winning Candidate]]-Audit[[#This Row],[Audit Losing Candidate]]))/(Audit[[#Totals],[Winning Candidate]]-Audit[[#Totals],[Losing Candidate]]),
      0
)</f>
        <v>0</v>
      </c>
      <c r="AD5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8" s="111">
        <f>IF(Audit[[#This Row],[Max Relative Error (ep)]] = 0, 0, Audit[[#This Row],[Max Relative Error (ep)]]/Audit[[#This Row],[Error Bound (up) - Max. possible relative overstatement]])</f>
        <v>0</v>
      </c>
      <c r="AJ5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78" s="111">
        <f t="shared" si="8"/>
        <v>1</v>
      </c>
      <c r="AL578" s="111">
        <f>PRODUCT($AK$5:AK578)</f>
        <v>8.962823818226312E-2</v>
      </c>
      <c r="AM578" s="109">
        <f>1 - [K-M P Value]</f>
        <v>0.91037176181773694</v>
      </c>
      <c r="AN578" s="111" t="str">
        <f>IF(Audit[[#This Row],[K-M P Value]]&gt;1-'General Info'!$B$16,"Continue", "Stop")</f>
        <v>Stop</v>
      </c>
      <c r="AO578" s="110" t="b">
        <f>IF(Audit[[#This Row],[Status - Continue or stop audit]] = "Continue", TRUE, IF(AN577 = "Continue", TRUE, FALSE))</f>
        <v>0</v>
      </c>
      <c r="AP578" s="110"/>
    </row>
    <row r="579" spans="1:42" ht="15" hidden="1" customHeight="1">
      <c r="A579" s="111" t="str">
        <f>'Sampling Data'!W569</f>
        <v/>
      </c>
      <c r="B579" s="112" t="str">
        <f>'Sampling Data'!A569</f>
        <v>CLEVELAND -08-T</v>
      </c>
      <c r="C579" s="112">
        <f>'Sampling Data'!B569</f>
        <v>2</v>
      </c>
      <c r="D579" s="112">
        <f>'Sampling Data'!C569</f>
        <v>4</v>
      </c>
      <c r="E579" s="113">
        <f>'Sampling Data'!D569</f>
        <v>0</v>
      </c>
      <c r="F579" s="113">
        <f>'Sampling Data'!E569</f>
        <v>0</v>
      </c>
      <c r="G579" s="113">
        <f>'Sampling Data'!F569</f>
        <v>0</v>
      </c>
      <c r="H579" s="113">
        <f>'Sampling Data'!G569</f>
        <v>0</v>
      </c>
      <c r="I579" s="112">
        <f>'Sampling Data'!H569</f>
        <v>0</v>
      </c>
      <c r="J579" s="112">
        <f>'Sampling Data'!I569</f>
        <v>0</v>
      </c>
      <c r="K579" s="112">
        <f>'Sampling Data'!J569</f>
        <v>6</v>
      </c>
      <c r="L579" s="111">
        <f>'Sampling Data'!X569</f>
        <v>0</v>
      </c>
      <c r="M579" s="114"/>
      <c r="N579" s="114"/>
      <c r="O579" s="115"/>
      <c r="P579" s="115"/>
      <c r="Q579" s="116"/>
      <c r="R579" s="116"/>
      <c r="S579" s="111">
        <f>Audit[[#This Row],[Audit Losing Candidate]]-Audit[[#This Row],[Losing Candidate]]</f>
        <v>-2</v>
      </c>
      <c r="T579" s="111">
        <f>Audit[[#This Row],[Audit Winning Candidate]]-Audit[[#This Row],[Winning Candidate]]</f>
        <v>-4</v>
      </c>
      <c r="U579" s="111">
        <f>Audit[[#This Row],[Audit Candidate 3]]-Audit[[#This Row],[Candidate 3]]</f>
        <v>0</v>
      </c>
      <c r="V579" s="111">
        <f>Audit[[#This Row],[Audit Candidate 4]]-Audit[[#This Row],[Candidate 4]]</f>
        <v>0</v>
      </c>
      <c r="W579" s="111">
        <f>Audit[[#This Row],[Audit Candidate 5]]-Audit[[#This Row],[Candidate 5]]</f>
        <v>0</v>
      </c>
      <c r="X579" s="111">
        <f>Audit[[#This Row],[Audit Candidate 6]]-Audit[[#This Row],[Candidate 6]]</f>
        <v>0</v>
      </c>
      <c r="Y579" s="111">
        <f>SUMIF(Audit[[#This Row],[Difference Loser]:[Difference Candidate 6]], "&gt;0")</f>
        <v>0</v>
      </c>
      <c r="Z579" s="111">
        <f>SUM(Audit[[#This Row],[Difference Loser]:[Difference Candidate 6]])</f>
        <v>-6</v>
      </c>
      <c r="AA579" s="111">
        <f>IF(Audit[[#This Row],[Times p Drawn - With Replacement]]&gt;0, IF(Audit[[#This Row],[Canceled Differences]]&lt;0, Audit[[#This Row],[Max Differences]]+ABS(Audit[[#This Row],[Canceled Differences]]), Audit[[#This Row],[Max Differences]]), 0)</f>
        <v>0</v>
      </c>
      <c r="AB579" s="111">
        <f>'Sampling Data'!P569</f>
        <v>4.8995590396864281E-4</v>
      </c>
      <c r="AC579" s="111">
        <f>IF(
      SUM(Audit[[#This Row],[Audit Losing Candidate]:[Audit Candidate 6]])
      &lt;&gt;0,
      (Audit[[#This Row],[Winning Candidate]]-Audit[[#This Row],[Losing Candidate]]-(Audit[[#This Row],[Audit Winning Candidate]]-Audit[[#This Row],[Audit Losing Candidate]]))/(Audit[[#Totals],[Winning Candidate]]-Audit[[#Totals],[Losing Candidate]]),
      0
)</f>
        <v>0</v>
      </c>
      <c r="AD5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9" s="111">
        <f>IF(Audit[[#This Row],[Max Relative Error (ep)]] = 0, 0, Audit[[#This Row],[Max Relative Error (ep)]]/Audit[[#This Row],[Error Bound (up) - Max. possible relative overstatement]])</f>
        <v>0</v>
      </c>
      <c r="AJ5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79" s="111">
        <f t="shared" si="8"/>
        <v>1</v>
      </c>
      <c r="AL579" s="111">
        <f>PRODUCT($AK$5:AK579)</f>
        <v>8.962823818226312E-2</v>
      </c>
      <c r="AM579" s="109">
        <f>1 - [K-M P Value]</f>
        <v>0.91037176181773694</v>
      </c>
      <c r="AN579" s="111" t="str">
        <f>IF(Audit[[#This Row],[K-M P Value]]&gt;1-'General Info'!$B$16,"Continue", "Stop")</f>
        <v>Stop</v>
      </c>
      <c r="AO579" s="110" t="b">
        <f>IF(Audit[[#This Row],[Status - Continue or stop audit]] = "Continue", TRUE, IF(AN578 = "Continue", TRUE, FALSE))</f>
        <v>0</v>
      </c>
      <c r="AP579" s="110"/>
    </row>
    <row r="580" spans="1:42" ht="15" hidden="1" customHeight="1">
      <c r="A580" s="111" t="str">
        <f>'Sampling Data'!W570</f>
        <v/>
      </c>
      <c r="B580" s="112" t="str">
        <f>'Sampling Data'!A570</f>
        <v>CLEVELAND -08-T - ABS</v>
      </c>
      <c r="C580" s="112">
        <f>'Sampling Data'!B570</f>
        <v>2</v>
      </c>
      <c r="D580" s="112">
        <f>'Sampling Data'!C570</f>
        <v>4</v>
      </c>
      <c r="E580" s="113">
        <f>'Sampling Data'!D570</f>
        <v>1</v>
      </c>
      <c r="F580" s="113">
        <f>'Sampling Data'!E570</f>
        <v>1</v>
      </c>
      <c r="G580" s="113">
        <f>'Sampling Data'!F570</f>
        <v>0</v>
      </c>
      <c r="H580" s="113">
        <f>'Sampling Data'!G570</f>
        <v>0</v>
      </c>
      <c r="I580" s="112">
        <f>'Sampling Data'!H570</f>
        <v>0</v>
      </c>
      <c r="J580" s="112">
        <f>'Sampling Data'!I570</f>
        <v>0</v>
      </c>
      <c r="K580" s="112">
        <f>'Sampling Data'!J570</f>
        <v>8</v>
      </c>
      <c r="L580" s="111">
        <f>'Sampling Data'!X570</f>
        <v>0</v>
      </c>
      <c r="M580" s="114"/>
      <c r="N580" s="114"/>
      <c r="O580" s="115"/>
      <c r="P580" s="115"/>
      <c r="Q580" s="116"/>
      <c r="R580" s="116"/>
      <c r="S580" s="111">
        <f>Audit[[#This Row],[Audit Losing Candidate]]-Audit[[#This Row],[Losing Candidate]]</f>
        <v>-2</v>
      </c>
      <c r="T580" s="111">
        <f>Audit[[#This Row],[Audit Winning Candidate]]-Audit[[#This Row],[Winning Candidate]]</f>
        <v>-4</v>
      </c>
      <c r="U580" s="111">
        <f>Audit[[#This Row],[Audit Candidate 3]]-Audit[[#This Row],[Candidate 3]]</f>
        <v>-1</v>
      </c>
      <c r="V580" s="111">
        <f>Audit[[#This Row],[Audit Candidate 4]]-Audit[[#This Row],[Candidate 4]]</f>
        <v>-1</v>
      </c>
      <c r="W580" s="111">
        <f>Audit[[#This Row],[Audit Candidate 5]]-Audit[[#This Row],[Candidate 5]]</f>
        <v>0</v>
      </c>
      <c r="X580" s="111">
        <f>Audit[[#This Row],[Audit Candidate 6]]-Audit[[#This Row],[Candidate 6]]</f>
        <v>0</v>
      </c>
      <c r="Y580" s="111">
        <f>SUMIF(Audit[[#This Row],[Difference Loser]:[Difference Candidate 6]], "&gt;0")</f>
        <v>0</v>
      </c>
      <c r="Z580" s="111">
        <f>SUM(Audit[[#This Row],[Difference Loser]:[Difference Candidate 6]])</f>
        <v>-8</v>
      </c>
      <c r="AA580" s="111">
        <f>IF(Audit[[#This Row],[Times p Drawn - With Replacement]]&gt;0, IF(Audit[[#This Row],[Canceled Differences]]&lt;0, Audit[[#This Row],[Max Differences]]+ABS(Audit[[#This Row],[Canceled Differences]]), Audit[[#This Row],[Max Differences]]), 0)</f>
        <v>0</v>
      </c>
      <c r="AB580" s="111">
        <f>'Sampling Data'!P570</f>
        <v>6.1244487996080352E-4</v>
      </c>
      <c r="AC580" s="111">
        <f>IF(
      SUM(Audit[[#This Row],[Audit Losing Candidate]:[Audit Candidate 6]])
      &lt;&gt;0,
      (Audit[[#This Row],[Winning Candidate]]-Audit[[#This Row],[Losing Candidate]]-(Audit[[#This Row],[Audit Winning Candidate]]-Audit[[#This Row],[Audit Losing Candidate]]))/(Audit[[#Totals],[Winning Candidate]]-Audit[[#Totals],[Losing Candidate]]),
      0
)</f>
        <v>0</v>
      </c>
      <c r="AD5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0" s="111">
        <f>IF(Audit[[#This Row],[Max Relative Error (ep)]] = 0, 0, Audit[[#This Row],[Max Relative Error (ep)]]/Audit[[#This Row],[Error Bound (up) - Max. possible relative overstatement]])</f>
        <v>0</v>
      </c>
      <c r="AJ5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80" s="111">
        <f t="shared" si="8"/>
        <v>1</v>
      </c>
      <c r="AL580" s="111">
        <f>PRODUCT($AK$5:AK580)</f>
        <v>8.962823818226312E-2</v>
      </c>
      <c r="AM580" s="109">
        <f>1 - [K-M P Value]</f>
        <v>0.91037176181773694</v>
      </c>
      <c r="AN580" s="111" t="str">
        <f>IF(Audit[[#This Row],[K-M P Value]]&gt;1-'General Info'!$B$16,"Continue", "Stop")</f>
        <v>Stop</v>
      </c>
      <c r="AO580" s="110" t="b">
        <f>IF(Audit[[#This Row],[Status - Continue or stop audit]] = "Continue", TRUE, IF(AN579 = "Continue", TRUE, FALSE))</f>
        <v>0</v>
      </c>
      <c r="AP580" s="110"/>
    </row>
    <row r="581" spans="1:42" ht="15" hidden="1" customHeight="1">
      <c r="A581" s="111" t="str">
        <f>'Sampling Data'!W571</f>
        <v/>
      </c>
      <c r="B581" s="112" t="str">
        <f>'Sampling Data'!A571</f>
        <v>CLEVELAND -09-A</v>
      </c>
      <c r="C581" s="112">
        <f>'Sampling Data'!B571</f>
        <v>0</v>
      </c>
      <c r="D581" s="112">
        <f>'Sampling Data'!C571</f>
        <v>0</v>
      </c>
      <c r="E581" s="113">
        <f>'Sampling Data'!D571</f>
        <v>0</v>
      </c>
      <c r="F581" s="113">
        <f>'Sampling Data'!E571</f>
        <v>0</v>
      </c>
      <c r="G581" s="113">
        <f>'Sampling Data'!F571</f>
        <v>0</v>
      </c>
      <c r="H581" s="113">
        <f>'Sampling Data'!G571</f>
        <v>0</v>
      </c>
      <c r="I581" s="112">
        <f>'Sampling Data'!H571</f>
        <v>0</v>
      </c>
      <c r="J581" s="112">
        <f>'Sampling Data'!I571</f>
        <v>0</v>
      </c>
      <c r="K581" s="112">
        <f>'Sampling Data'!J571</f>
        <v>0</v>
      </c>
      <c r="L581" s="111">
        <f>'Sampling Data'!X571</f>
        <v>0</v>
      </c>
      <c r="M581" s="114"/>
      <c r="N581" s="114"/>
      <c r="O581" s="115"/>
      <c r="P581" s="115"/>
      <c r="Q581" s="116"/>
      <c r="R581" s="116"/>
      <c r="S581" s="111">
        <f>Audit[[#This Row],[Audit Losing Candidate]]-Audit[[#This Row],[Losing Candidate]]</f>
        <v>0</v>
      </c>
      <c r="T581" s="111">
        <f>Audit[[#This Row],[Audit Winning Candidate]]-Audit[[#This Row],[Winning Candidate]]</f>
        <v>0</v>
      </c>
      <c r="U581" s="111">
        <f>Audit[[#This Row],[Audit Candidate 3]]-Audit[[#This Row],[Candidate 3]]</f>
        <v>0</v>
      </c>
      <c r="V581" s="111">
        <f>Audit[[#This Row],[Audit Candidate 4]]-Audit[[#This Row],[Candidate 4]]</f>
        <v>0</v>
      </c>
      <c r="W581" s="111">
        <f>Audit[[#This Row],[Audit Candidate 5]]-Audit[[#This Row],[Candidate 5]]</f>
        <v>0</v>
      </c>
      <c r="X581" s="111">
        <f>Audit[[#This Row],[Audit Candidate 6]]-Audit[[#This Row],[Candidate 6]]</f>
        <v>0</v>
      </c>
      <c r="Y581" s="111">
        <f>SUMIF(Audit[[#This Row],[Difference Loser]:[Difference Candidate 6]], "&gt;0")</f>
        <v>0</v>
      </c>
      <c r="Z581" s="111">
        <f>SUM(Audit[[#This Row],[Difference Loser]:[Difference Candidate 6]])</f>
        <v>0</v>
      </c>
      <c r="AA581" s="111">
        <f>IF(Audit[[#This Row],[Times p Drawn - With Replacement]]&gt;0, IF(Audit[[#This Row],[Canceled Differences]]&lt;0, Audit[[#This Row],[Max Differences]]+ABS(Audit[[#This Row],[Canceled Differences]]), Audit[[#This Row],[Max Differences]]), 0)</f>
        <v>0</v>
      </c>
      <c r="AB581" s="111">
        <f>'Sampling Data'!P571</f>
        <v>0</v>
      </c>
      <c r="AC581" s="111">
        <f>IF(
      SUM(Audit[[#This Row],[Audit Losing Candidate]:[Audit Candidate 6]])
      &lt;&gt;0,
      (Audit[[#This Row],[Winning Candidate]]-Audit[[#This Row],[Losing Candidate]]-(Audit[[#This Row],[Audit Winning Candidate]]-Audit[[#This Row],[Audit Losing Candidate]]))/(Audit[[#Totals],[Winning Candidate]]-Audit[[#Totals],[Losing Candidate]]),
      0
)</f>
        <v>0</v>
      </c>
      <c r="AD5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1" s="111">
        <f>IF(Audit[[#This Row],[Max Relative Error (ep)]] = 0, 0, Audit[[#This Row],[Max Relative Error (ep)]]/Audit[[#This Row],[Error Bound (up) - Max. possible relative overstatement]])</f>
        <v>0</v>
      </c>
      <c r="AJ5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81" s="111">
        <f t="shared" ref="AK581:AK644" si="9">IF(ISERR(POWER(AJ581,L581)), 0, POWER(AJ581,L581))</f>
        <v>1</v>
      </c>
      <c r="AL581" s="111">
        <f>PRODUCT($AK$5:AK581)</f>
        <v>8.962823818226312E-2</v>
      </c>
      <c r="AM581" s="109">
        <f>1 - [K-M P Value]</f>
        <v>0.91037176181773694</v>
      </c>
      <c r="AN581" s="111" t="str">
        <f>IF(Audit[[#This Row],[K-M P Value]]&gt;1-'General Info'!$B$16,"Continue", "Stop")</f>
        <v>Stop</v>
      </c>
      <c r="AO581" s="110" t="b">
        <f>IF(Audit[[#This Row],[Status - Continue or stop audit]] = "Continue", TRUE, IF(AN580 = "Continue", TRUE, FALSE))</f>
        <v>0</v>
      </c>
      <c r="AP581" s="110"/>
    </row>
    <row r="582" spans="1:42" ht="15" hidden="1" customHeight="1">
      <c r="A582" s="111" t="str">
        <f>'Sampling Data'!W572</f>
        <v/>
      </c>
      <c r="B582" s="112" t="str">
        <f>'Sampling Data'!A572</f>
        <v>CLEVELAND -09-A - ABS</v>
      </c>
      <c r="C582" s="112">
        <f>'Sampling Data'!B572</f>
        <v>0</v>
      </c>
      <c r="D582" s="112">
        <f>'Sampling Data'!C572</f>
        <v>0</v>
      </c>
      <c r="E582" s="113">
        <f>'Sampling Data'!D572</f>
        <v>0</v>
      </c>
      <c r="F582" s="113">
        <f>'Sampling Data'!E572</f>
        <v>0</v>
      </c>
      <c r="G582" s="113">
        <f>'Sampling Data'!F572</f>
        <v>0</v>
      </c>
      <c r="H582" s="113">
        <f>'Sampling Data'!G572</f>
        <v>0</v>
      </c>
      <c r="I582" s="112">
        <f>'Sampling Data'!H572</f>
        <v>0</v>
      </c>
      <c r="J582" s="112">
        <f>'Sampling Data'!I572</f>
        <v>1</v>
      </c>
      <c r="K582" s="112">
        <f>'Sampling Data'!J572</f>
        <v>1</v>
      </c>
      <c r="L582" s="111">
        <f>'Sampling Data'!X572</f>
        <v>0</v>
      </c>
      <c r="M582" s="114"/>
      <c r="N582" s="114"/>
      <c r="O582" s="115"/>
      <c r="P582" s="115"/>
      <c r="Q582" s="116"/>
      <c r="R582" s="116"/>
      <c r="S582" s="111">
        <f>Audit[[#This Row],[Audit Losing Candidate]]-Audit[[#This Row],[Losing Candidate]]</f>
        <v>0</v>
      </c>
      <c r="T582" s="111">
        <f>Audit[[#This Row],[Audit Winning Candidate]]-Audit[[#This Row],[Winning Candidate]]</f>
        <v>0</v>
      </c>
      <c r="U582" s="111">
        <f>Audit[[#This Row],[Audit Candidate 3]]-Audit[[#This Row],[Candidate 3]]</f>
        <v>0</v>
      </c>
      <c r="V582" s="111">
        <f>Audit[[#This Row],[Audit Candidate 4]]-Audit[[#This Row],[Candidate 4]]</f>
        <v>0</v>
      </c>
      <c r="W582" s="111">
        <f>Audit[[#This Row],[Audit Candidate 5]]-Audit[[#This Row],[Candidate 5]]</f>
        <v>0</v>
      </c>
      <c r="X582" s="111">
        <f>Audit[[#This Row],[Audit Candidate 6]]-Audit[[#This Row],[Candidate 6]]</f>
        <v>0</v>
      </c>
      <c r="Y582" s="111">
        <f>SUMIF(Audit[[#This Row],[Difference Loser]:[Difference Candidate 6]], "&gt;0")</f>
        <v>0</v>
      </c>
      <c r="Z582" s="111">
        <f>SUM(Audit[[#This Row],[Difference Loser]:[Difference Candidate 6]])</f>
        <v>0</v>
      </c>
      <c r="AA582" s="111">
        <f>IF(Audit[[#This Row],[Times p Drawn - With Replacement]]&gt;0, IF(Audit[[#This Row],[Canceled Differences]]&lt;0, Audit[[#This Row],[Max Differences]]+ABS(Audit[[#This Row],[Canceled Differences]]), Audit[[#This Row],[Max Differences]]), 0)</f>
        <v>0</v>
      </c>
      <c r="AB582" s="111">
        <f>'Sampling Data'!P572</f>
        <v>6.1244487996080352E-5</v>
      </c>
      <c r="AC582" s="111">
        <f>IF(
      SUM(Audit[[#This Row],[Audit Losing Candidate]:[Audit Candidate 6]])
      &lt;&gt;0,
      (Audit[[#This Row],[Winning Candidate]]-Audit[[#This Row],[Losing Candidate]]-(Audit[[#This Row],[Audit Winning Candidate]]-Audit[[#This Row],[Audit Losing Candidate]]))/(Audit[[#Totals],[Winning Candidate]]-Audit[[#Totals],[Losing Candidate]]),
      0
)</f>
        <v>0</v>
      </c>
      <c r="AD5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2" s="111">
        <f>IF(Audit[[#This Row],[Max Relative Error (ep)]] = 0, 0, Audit[[#This Row],[Max Relative Error (ep)]]/Audit[[#This Row],[Error Bound (up) - Max. possible relative overstatement]])</f>
        <v>0</v>
      </c>
      <c r="AJ5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82" s="111">
        <f t="shared" si="9"/>
        <v>1</v>
      </c>
      <c r="AL582" s="111">
        <f>PRODUCT($AK$5:AK582)</f>
        <v>8.962823818226312E-2</v>
      </c>
      <c r="AM582" s="109">
        <f>1 - [K-M P Value]</f>
        <v>0.91037176181773694</v>
      </c>
      <c r="AN582" s="111" t="str">
        <f>IF(Audit[[#This Row],[K-M P Value]]&gt;1-'General Info'!$B$16,"Continue", "Stop")</f>
        <v>Stop</v>
      </c>
      <c r="AO582" s="110" t="b">
        <f>IF(Audit[[#This Row],[Status - Continue or stop audit]] = "Continue", TRUE, IF(AN581 = "Continue", TRUE, FALSE))</f>
        <v>0</v>
      </c>
      <c r="AP582" s="110"/>
    </row>
    <row r="583" spans="1:42" ht="15" hidden="1" customHeight="1">
      <c r="A583" s="111" t="str">
        <f>'Sampling Data'!W573</f>
        <v/>
      </c>
      <c r="B583" s="112" t="str">
        <f>'Sampling Data'!A573</f>
        <v>CLEVELAND -09-B</v>
      </c>
      <c r="C583" s="112">
        <f>'Sampling Data'!B573</f>
        <v>0</v>
      </c>
      <c r="D583" s="112">
        <f>'Sampling Data'!C573</f>
        <v>0</v>
      </c>
      <c r="E583" s="113">
        <f>'Sampling Data'!D573</f>
        <v>0</v>
      </c>
      <c r="F583" s="113">
        <f>'Sampling Data'!E573</f>
        <v>0</v>
      </c>
      <c r="G583" s="113">
        <f>'Sampling Data'!F573</f>
        <v>0</v>
      </c>
      <c r="H583" s="113">
        <f>'Sampling Data'!G573</f>
        <v>0</v>
      </c>
      <c r="I583" s="112">
        <f>'Sampling Data'!H573</f>
        <v>0</v>
      </c>
      <c r="J583" s="112">
        <f>'Sampling Data'!I573</f>
        <v>0</v>
      </c>
      <c r="K583" s="112">
        <f>'Sampling Data'!J573</f>
        <v>0</v>
      </c>
      <c r="L583" s="111">
        <f>'Sampling Data'!X573</f>
        <v>0</v>
      </c>
      <c r="M583" s="114"/>
      <c r="N583" s="114"/>
      <c r="O583" s="115"/>
      <c r="P583" s="115"/>
      <c r="Q583" s="116"/>
      <c r="R583" s="116"/>
      <c r="S583" s="111">
        <f>Audit[[#This Row],[Audit Losing Candidate]]-Audit[[#This Row],[Losing Candidate]]</f>
        <v>0</v>
      </c>
      <c r="T583" s="111">
        <f>Audit[[#This Row],[Audit Winning Candidate]]-Audit[[#This Row],[Winning Candidate]]</f>
        <v>0</v>
      </c>
      <c r="U583" s="111">
        <f>Audit[[#This Row],[Audit Candidate 3]]-Audit[[#This Row],[Candidate 3]]</f>
        <v>0</v>
      </c>
      <c r="V583" s="111">
        <f>Audit[[#This Row],[Audit Candidate 4]]-Audit[[#This Row],[Candidate 4]]</f>
        <v>0</v>
      </c>
      <c r="W583" s="111">
        <f>Audit[[#This Row],[Audit Candidate 5]]-Audit[[#This Row],[Candidate 5]]</f>
        <v>0</v>
      </c>
      <c r="X583" s="111">
        <f>Audit[[#This Row],[Audit Candidate 6]]-Audit[[#This Row],[Candidate 6]]</f>
        <v>0</v>
      </c>
      <c r="Y583" s="111">
        <f>SUMIF(Audit[[#This Row],[Difference Loser]:[Difference Candidate 6]], "&gt;0")</f>
        <v>0</v>
      </c>
      <c r="Z583" s="111">
        <f>SUM(Audit[[#This Row],[Difference Loser]:[Difference Candidate 6]])</f>
        <v>0</v>
      </c>
      <c r="AA583" s="111">
        <f>IF(Audit[[#This Row],[Times p Drawn - With Replacement]]&gt;0, IF(Audit[[#This Row],[Canceled Differences]]&lt;0, Audit[[#This Row],[Max Differences]]+ABS(Audit[[#This Row],[Canceled Differences]]), Audit[[#This Row],[Max Differences]]), 0)</f>
        <v>0</v>
      </c>
      <c r="AB583" s="111">
        <f>'Sampling Data'!P573</f>
        <v>0</v>
      </c>
      <c r="AC583" s="111">
        <f>IF(
      SUM(Audit[[#This Row],[Audit Losing Candidate]:[Audit Candidate 6]])
      &lt;&gt;0,
      (Audit[[#This Row],[Winning Candidate]]-Audit[[#This Row],[Losing Candidate]]-(Audit[[#This Row],[Audit Winning Candidate]]-Audit[[#This Row],[Audit Losing Candidate]]))/(Audit[[#Totals],[Winning Candidate]]-Audit[[#Totals],[Losing Candidate]]),
      0
)</f>
        <v>0</v>
      </c>
      <c r="AD5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3" s="111">
        <f>IF(Audit[[#This Row],[Max Relative Error (ep)]] = 0, 0, Audit[[#This Row],[Max Relative Error (ep)]]/Audit[[#This Row],[Error Bound (up) - Max. possible relative overstatement]])</f>
        <v>0</v>
      </c>
      <c r="AJ5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83" s="111">
        <f t="shared" si="9"/>
        <v>1</v>
      </c>
      <c r="AL583" s="111">
        <f>PRODUCT($AK$5:AK583)</f>
        <v>8.962823818226312E-2</v>
      </c>
      <c r="AM583" s="109">
        <f>1 - [K-M P Value]</f>
        <v>0.91037176181773694</v>
      </c>
      <c r="AN583" s="111" t="str">
        <f>IF(Audit[[#This Row],[K-M P Value]]&gt;1-'General Info'!$B$16,"Continue", "Stop")</f>
        <v>Stop</v>
      </c>
      <c r="AO583" s="110" t="b">
        <f>IF(Audit[[#This Row],[Status - Continue or stop audit]] = "Continue", TRUE, IF(AN582 = "Continue", TRUE, FALSE))</f>
        <v>0</v>
      </c>
      <c r="AP583" s="110"/>
    </row>
    <row r="584" spans="1:42" ht="15" hidden="1" customHeight="1">
      <c r="A584" s="111" t="str">
        <f>'Sampling Data'!W574</f>
        <v/>
      </c>
      <c r="B584" s="112" t="str">
        <f>'Sampling Data'!A574</f>
        <v>CLEVELAND -09-B - ABS</v>
      </c>
      <c r="C584" s="112">
        <f>'Sampling Data'!B574</f>
        <v>0</v>
      </c>
      <c r="D584" s="112">
        <f>'Sampling Data'!C574</f>
        <v>0</v>
      </c>
      <c r="E584" s="113">
        <f>'Sampling Data'!D574</f>
        <v>0</v>
      </c>
      <c r="F584" s="113">
        <f>'Sampling Data'!E574</f>
        <v>0</v>
      </c>
      <c r="G584" s="113">
        <f>'Sampling Data'!F574</f>
        <v>0</v>
      </c>
      <c r="H584" s="113">
        <f>'Sampling Data'!G574</f>
        <v>0</v>
      </c>
      <c r="I584" s="112">
        <f>'Sampling Data'!H574</f>
        <v>0</v>
      </c>
      <c r="J584" s="112">
        <f>'Sampling Data'!I574</f>
        <v>0</v>
      </c>
      <c r="K584" s="112">
        <f>'Sampling Data'!J574</f>
        <v>0</v>
      </c>
      <c r="L584" s="111">
        <f>'Sampling Data'!X574</f>
        <v>0</v>
      </c>
      <c r="M584" s="114"/>
      <c r="N584" s="114"/>
      <c r="O584" s="115"/>
      <c r="P584" s="115"/>
      <c r="Q584" s="116"/>
      <c r="R584" s="116"/>
      <c r="S584" s="111">
        <f>Audit[[#This Row],[Audit Losing Candidate]]-Audit[[#This Row],[Losing Candidate]]</f>
        <v>0</v>
      </c>
      <c r="T584" s="111">
        <f>Audit[[#This Row],[Audit Winning Candidate]]-Audit[[#This Row],[Winning Candidate]]</f>
        <v>0</v>
      </c>
      <c r="U584" s="111">
        <f>Audit[[#This Row],[Audit Candidate 3]]-Audit[[#This Row],[Candidate 3]]</f>
        <v>0</v>
      </c>
      <c r="V584" s="111">
        <f>Audit[[#This Row],[Audit Candidate 4]]-Audit[[#This Row],[Candidate 4]]</f>
        <v>0</v>
      </c>
      <c r="W584" s="111">
        <f>Audit[[#This Row],[Audit Candidate 5]]-Audit[[#This Row],[Candidate 5]]</f>
        <v>0</v>
      </c>
      <c r="X584" s="111">
        <f>Audit[[#This Row],[Audit Candidate 6]]-Audit[[#This Row],[Candidate 6]]</f>
        <v>0</v>
      </c>
      <c r="Y584" s="111">
        <f>SUMIF(Audit[[#This Row],[Difference Loser]:[Difference Candidate 6]], "&gt;0")</f>
        <v>0</v>
      </c>
      <c r="Z584" s="111">
        <f>SUM(Audit[[#This Row],[Difference Loser]:[Difference Candidate 6]])</f>
        <v>0</v>
      </c>
      <c r="AA584" s="111">
        <f>IF(Audit[[#This Row],[Times p Drawn - With Replacement]]&gt;0, IF(Audit[[#This Row],[Canceled Differences]]&lt;0, Audit[[#This Row],[Max Differences]]+ABS(Audit[[#This Row],[Canceled Differences]]), Audit[[#This Row],[Max Differences]]), 0)</f>
        <v>0</v>
      </c>
      <c r="AB584" s="111">
        <f>'Sampling Data'!P574</f>
        <v>0</v>
      </c>
      <c r="AC584" s="111">
        <f>IF(
      SUM(Audit[[#This Row],[Audit Losing Candidate]:[Audit Candidate 6]])
      &lt;&gt;0,
      (Audit[[#This Row],[Winning Candidate]]-Audit[[#This Row],[Losing Candidate]]-(Audit[[#This Row],[Audit Winning Candidate]]-Audit[[#This Row],[Audit Losing Candidate]]))/(Audit[[#Totals],[Winning Candidate]]-Audit[[#Totals],[Losing Candidate]]),
      0
)</f>
        <v>0</v>
      </c>
      <c r="AD5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4" s="111">
        <f>IF(Audit[[#This Row],[Max Relative Error (ep)]] = 0, 0, Audit[[#This Row],[Max Relative Error (ep)]]/Audit[[#This Row],[Error Bound (up) - Max. possible relative overstatement]])</f>
        <v>0</v>
      </c>
      <c r="AJ5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84" s="111">
        <f t="shared" si="9"/>
        <v>1</v>
      </c>
      <c r="AL584" s="111">
        <f>PRODUCT($AK$5:AK584)</f>
        <v>8.962823818226312E-2</v>
      </c>
      <c r="AM584" s="109">
        <f>1 - [K-M P Value]</f>
        <v>0.91037176181773694</v>
      </c>
      <c r="AN584" s="111" t="str">
        <f>IF(Audit[[#This Row],[K-M P Value]]&gt;1-'General Info'!$B$16,"Continue", "Stop")</f>
        <v>Stop</v>
      </c>
      <c r="AO584" s="110" t="b">
        <f>IF(Audit[[#This Row],[Status - Continue or stop audit]] = "Continue", TRUE, IF(AN583 = "Continue", TRUE, FALSE))</f>
        <v>0</v>
      </c>
      <c r="AP584" s="110"/>
    </row>
    <row r="585" spans="1:42" ht="15" hidden="1" customHeight="1">
      <c r="A585" s="111" t="str">
        <f>'Sampling Data'!W575</f>
        <v/>
      </c>
      <c r="B585" s="112" t="str">
        <f>'Sampling Data'!A575</f>
        <v>CLEVELAND -09-C</v>
      </c>
      <c r="C585" s="112">
        <f>'Sampling Data'!B575</f>
        <v>0</v>
      </c>
      <c r="D585" s="112">
        <f>'Sampling Data'!C575</f>
        <v>0</v>
      </c>
      <c r="E585" s="113">
        <f>'Sampling Data'!D575</f>
        <v>0</v>
      </c>
      <c r="F585" s="113">
        <f>'Sampling Data'!E575</f>
        <v>0</v>
      </c>
      <c r="G585" s="113">
        <f>'Sampling Data'!F575</f>
        <v>0</v>
      </c>
      <c r="H585" s="113">
        <f>'Sampling Data'!G575</f>
        <v>0</v>
      </c>
      <c r="I585" s="112">
        <f>'Sampling Data'!H575</f>
        <v>0</v>
      </c>
      <c r="J585" s="112">
        <f>'Sampling Data'!I575</f>
        <v>0</v>
      </c>
      <c r="K585" s="112">
        <f>'Sampling Data'!J575</f>
        <v>0</v>
      </c>
      <c r="L585" s="111">
        <f>'Sampling Data'!X575</f>
        <v>0</v>
      </c>
      <c r="M585" s="114"/>
      <c r="N585" s="114"/>
      <c r="O585" s="115"/>
      <c r="P585" s="115"/>
      <c r="Q585" s="116"/>
      <c r="R585" s="116"/>
      <c r="S585" s="111">
        <f>Audit[[#This Row],[Audit Losing Candidate]]-Audit[[#This Row],[Losing Candidate]]</f>
        <v>0</v>
      </c>
      <c r="T585" s="111">
        <f>Audit[[#This Row],[Audit Winning Candidate]]-Audit[[#This Row],[Winning Candidate]]</f>
        <v>0</v>
      </c>
      <c r="U585" s="111">
        <f>Audit[[#This Row],[Audit Candidate 3]]-Audit[[#This Row],[Candidate 3]]</f>
        <v>0</v>
      </c>
      <c r="V585" s="111">
        <f>Audit[[#This Row],[Audit Candidate 4]]-Audit[[#This Row],[Candidate 4]]</f>
        <v>0</v>
      </c>
      <c r="W585" s="111">
        <f>Audit[[#This Row],[Audit Candidate 5]]-Audit[[#This Row],[Candidate 5]]</f>
        <v>0</v>
      </c>
      <c r="X585" s="111">
        <f>Audit[[#This Row],[Audit Candidate 6]]-Audit[[#This Row],[Candidate 6]]</f>
        <v>0</v>
      </c>
      <c r="Y585" s="111">
        <f>SUMIF(Audit[[#This Row],[Difference Loser]:[Difference Candidate 6]], "&gt;0")</f>
        <v>0</v>
      </c>
      <c r="Z585" s="111">
        <f>SUM(Audit[[#This Row],[Difference Loser]:[Difference Candidate 6]])</f>
        <v>0</v>
      </c>
      <c r="AA585" s="111">
        <f>IF(Audit[[#This Row],[Times p Drawn - With Replacement]]&gt;0, IF(Audit[[#This Row],[Canceled Differences]]&lt;0, Audit[[#This Row],[Max Differences]]+ABS(Audit[[#This Row],[Canceled Differences]]), Audit[[#This Row],[Max Differences]]), 0)</f>
        <v>0</v>
      </c>
      <c r="AB585" s="111">
        <f>'Sampling Data'!P575</f>
        <v>0</v>
      </c>
      <c r="AC585" s="111">
        <f>IF(
      SUM(Audit[[#This Row],[Audit Losing Candidate]:[Audit Candidate 6]])
      &lt;&gt;0,
      (Audit[[#This Row],[Winning Candidate]]-Audit[[#This Row],[Losing Candidate]]-(Audit[[#This Row],[Audit Winning Candidate]]-Audit[[#This Row],[Audit Losing Candidate]]))/(Audit[[#Totals],[Winning Candidate]]-Audit[[#Totals],[Losing Candidate]]),
      0
)</f>
        <v>0</v>
      </c>
      <c r="AD5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5" s="111">
        <f>IF(Audit[[#This Row],[Max Relative Error (ep)]] = 0, 0, Audit[[#This Row],[Max Relative Error (ep)]]/Audit[[#This Row],[Error Bound (up) - Max. possible relative overstatement]])</f>
        <v>0</v>
      </c>
      <c r="AJ5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85" s="111">
        <f t="shared" si="9"/>
        <v>1</v>
      </c>
      <c r="AL585" s="111">
        <f>PRODUCT($AK$5:AK585)</f>
        <v>8.962823818226312E-2</v>
      </c>
      <c r="AM585" s="109">
        <f>1 - [K-M P Value]</f>
        <v>0.91037176181773694</v>
      </c>
      <c r="AN585" s="111" t="str">
        <f>IF(Audit[[#This Row],[K-M P Value]]&gt;1-'General Info'!$B$16,"Continue", "Stop")</f>
        <v>Stop</v>
      </c>
      <c r="AO585" s="110" t="b">
        <f>IF(Audit[[#This Row],[Status - Continue or stop audit]] = "Continue", TRUE, IF(AN584 = "Continue", TRUE, FALSE))</f>
        <v>0</v>
      </c>
      <c r="AP585" s="110"/>
    </row>
    <row r="586" spans="1:42" ht="15" hidden="1" customHeight="1">
      <c r="A586" s="111" t="str">
        <f>'Sampling Data'!W576</f>
        <v/>
      </c>
      <c r="B586" s="112" t="str">
        <f>'Sampling Data'!A576</f>
        <v>CLEVELAND -09-C - ABS</v>
      </c>
      <c r="C586" s="112">
        <f>'Sampling Data'!B576</f>
        <v>1</v>
      </c>
      <c r="D586" s="112">
        <f>'Sampling Data'!C576</f>
        <v>0</v>
      </c>
      <c r="E586" s="113">
        <f>'Sampling Data'!D576</f>
        <v>0</v>
      </c>
      <c r="F586" s="113">
        <f>'Sampling Data'!E576</f>
        <v>0</v>
      </c>
      <c r="G586" s="113">
        <f>'Sampling Data'!F576</f>
        <v>0</v>
      </c>
      <c r="H586" s="113">
        <f>'Sampling Data'!G576</f>
        <v>0</v>
      </c>
      <c r="I586" s="112">
        <f>'Sampling Data'!H576</f>
        <v>0</v>
      </c>
      <c r="J586" s="112">
        <f>'Sampling Data'!I576</f>
        <v>0</v>
      </c>
      <c r="K586" s="112">
        <f>'Sampling Data'!J576</f>
        <v>1</v>
      </c>
      <c r="L586" s="111">
        <f>'Sampling Data'!X576</f>
        <v>0</v>
      </c>
      <c r="M586" s="114"/>
      <c r="N586" s="114"/>
      <c r="O586" s="115"/>
      <c r="P586" s="115"/>
      <c r="Q586" s="116"/>
      <c r="R586" s="116"/>
      <c r="S586" s="111">
        <f>Audit[[#This Row],[Audit Losing Candidate]]-Audit[[#This Row],[Losing Candidate]]</f>
        <v>-1</v>
      </c>
      <c r="T586" s="111">
        <f>Audit[[#This Row],[Audit Winning Candidate]]-Audit[[#This Row],[Winning Candidate]]</f>
        <v>0</v>
      </c>
      <c r="U586" s="111">
        <f>Audit[[#This Row],[Audit Candidate 3]]-Audit[[#This Row],[Candidate 3]]</f>
        <v>0</v>
      </c>
      <c r="V586" s="111">
        <f>Audit[[#This Row],[Audit Candidate 4]]-Audit[[#This Row],[Candidate 4]]</f>
        <v>0</v>
      </c>
      <c r="W586" s="111">
        <f>Audit[[#This Row],[Audit Candidate 5]]-Audit[[#This Row],[Candidate 5]]</f>
        <v>0</v>
      </c>
      <c r="X586" s="111">
        <f>Audit[[#This Row],[Audit Candidate 6]]-Audit[[#This Row],[Candidate 6]]</f>
        <v>0</v>
      </c>
      <c r="Y586" s="111">
        <f>SUMIF(Audit[[#This Row],[Difference Loser]:[Difference Candidate 6]], "&gt;0")</f>
        <v>0</v>
      </c>
      <c r="Z586" s="111">
        <f>SUM(Audit[[#This Row],[Difference Loser]:[Difference Candidate 6]])</f>
        <v>-1</v>
      </c>
      <c r="AA586" s="111">
        <f>IF(Audit[[#This Row],[Times p Drawn - With Replacement]]&gt;0, IF(Audit[[#This Row],[Canceled Differences]]&lt;0, Audit[[#This Row],[Max Differences]]+ABS(Audit[[#This Row],[Canceled Differences]]), Audit[[#This Row],[Max Differences]]), 0)</f>
        <v>0</v>
      </c>
      <c r="AB586" s="111">
        <f>'Sampling Data'!P576</f>
        <v>3.2261186566441917E-5</v>
      </c>
      <c r="AC586" s="111">
        <f>IF(
      SUM(Audit[[#This Row],[Audit Losing Candidate]:[Audit Candidate 6]])
      &lt;&gt;0,
      (Audit[[#This Row],[Winning Candidate]]-Audit[[#This Row],[Losing Candidate]]-(Audit[[#This Row],[Audit Winning Candidate]]-Audit[[#This Row],[Audit Losing Candidate]]))/(Audit[[#Totals],[Winning Candidate]]-Audit[[#Totals],[Losing Candidate]]),
      0
)</f>
        <v>0</v>
      </c>
      <c r="AD5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6" s="111">
        <f>IF(Audit[[#This Row],[Max Relative Error (ep)]] = 0, 0, Audit[[#This Row],[Max Relative Error (ep)]]/Audit[[#This Row],[Error Bound (up) - Max. possible relative overstatement]])</f>
        <v>0</v>
      </c>
      <c r="AJ5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86" s="111">
        <f t="shared" si="9"/>
        <v>1</v>
      </c>
      <c r="AL586" s="111">
        <f>PRODUCT($AK$5:AK586)</f>
        <v>8.962823818226312E-2</v>
      </c>
      <c r="AM586" s="109">
        <f>1 - [K-M P Value]</f>
        <v>0.91037176181773694</v>
      </c>
      <c r="AN586" s="111" t="str">
        <f>IF(Audit[[#This Row],[K-M P Value]]&gt;1-'General Info'!$B$16,"Continue", "Stop")</f>
        <v>Stop</v>
      </c>
      <c r="AO586" s="110" t="b">
        <f>IF(Audit[[#This Row],[Status - Continue or stop audit]] = "Continue", TRUE, IF(AN585 = "Continue", TRUE, FALSE))</f>
        <v>0</v>
      </c>
      <c r="AP586" s="110"/>
    </row>
    <row r="587" spans="1:42" ht="15" hidden="1" customHeight="1">
      <c r="A587" s="111" t="str">
        <f>'Sampling Data'!W577</f>
        <v/>
      </c>
      <c r="B587" s="112" t="str">
        <f>'Sampling Data'!A577</f>
        <v>CLEVELAND -09-D</v>
      </c>
      <c r="C587" s="112">
        <f>'Sampling Data'!B577</f>
        <v>0</v>
      </c>
      <c r="D587" s="112">
        <f>'Sampling Data'!C577</f>
        <v>0</v>
      </c>
      <c r="E587" s="113">
        <f>'Sampling Data'!D577</f>
        <v>0</v>
      </c>
      <c r="F587" s="113">
        <f>'Sampling Data'!E577</f>
        <v>0</v>
      </c>
      <c r="G587" s="113">
        <f>'Sampling Data'!F577</f>
        <v>0</v>
      </c>
      <c r="H587" s="113">
        <f>'Sampling Data'!G577</f>
        <v>0</v>
      </c>
      <c r="I587" s="112">
        <f>'Sampling Data'!H577</f>
        <v>0</v>
      </c>
      <c r="J587" s="112">
        <f>'Sampling Data'!I577</f>
        <v>0</v>
      </c>
      <c r="K587" s="112">
        <f>'Sampling Data'!J577</f>
        <v>0</v>
      </c>
      <c r="L587" s="111">
        <f>'Sampling Data'!X577</f>
        <v>0</v>
      </c>
      <c r="M587" s="114"/>
      <c r="N587" s="114"/>
      <c r="O587" s="115"/>
      <c r="P587" s="115"/>
      <c r="Q587" s="116"/>
      <c r="R587" s="116"/>
      <c r="S587" s="111">
        <f>Audit[[#This Row],[Audit Losing Candidate]]-Audit[[#This Row],[Losing Candidate]]</f>
        <v>0</v>
      </c>
      <c r="T587" s="111">
        <f>Audit[[#This Row],[Audit Winning Candidate]]-Audit[[#This Row],[Winning Candidate]]</f>
        <v>0</v>
      </c>
      <c r="U587" s="111">
        <f>Audit[[#This Row],[Audit Candidate 3]]-Audit[[#This Row],[Candidate 3]]</f>
        <v>0</v>
      </c>
      <c r="V587" s="111">
        <f>Audit[[#This Row],[Audit Candidate 4]]-Audit[[#This Row],[Candidate 4]]</f>
        <v>0</v>
      </c>
      <c r="W587" s="111">
        <f>Audit[[#This Row],[Audit Candidate 5]]-Audit[[#This Row],[Candidate 5]]</f>
        <v>0</v>
      </c>
      <c r="X587" s="111">
        <f>Audit[[#This Row],[Audit Candidate 6]]-Audit[[#This Row],[Candidate 6]]</f>
        <v>0</v>
      </c>
      <c r="Y587" s="111">
        <f>SUMIF(Audit[[#This Row],[Difference Loser]:[Difference Candidate 6]], "&gt;0")</f>
        <v>0</v>
      </c>
      <c r="Z587" s="111">
        <f>SUM(Audit[[#This Row],[Difference Loser]:[Difference Candidate 6]])</f>
        <v>0</v>
      </c>
      <c r="AA587" s="111">
        <f>IF(Audit[[#This Row],[Times p Drawn - With Replacement]]&gt;0, IF(Audit[[#This Row],[Canceled Differences]]&lt;0, Audit[[#This Row],[Max Differences]]+ABS(Audit[[#This Row],[Canceled Differences]]), Audit[[#This Row],[Max Differences]]), 0)</f>
        <v>0</v>
      </c>
      <c r="AB587" s="111">
        <f>'Sampling Data'!P577</f>
        <v>0</v>
      </c>
      <c r="AC587" s="111">
        <f>IF(
      SUM(Audit[[#This Row],[Audit Losing Candidate]:[Audit Candidate 6]])
      &lt;&gt;0,
      (Audit[[#This Row],[Winning Candidate]]-Audit[[#This Row],[Losing Candidate]]-(Audit[[#This Row],[Audit Winning Candidate]]-Audit[[#This Row],[Audit Losing Candidate]]))/(Audit[[#Totals],[Winning Candidate]]-Audit[[#Totals],[Losing Candidate]]),
      0
)</f>
        <v>0</v>
      </c>
      <c r="AD5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7" s="111">
        <f>IF(Audit[[#This Row],[Max Relative Error (ep)]] = 0, 0, Audit[[#This Row],[Max Relative Error (ep)]]/Audit[[#This Row],[Error Bound (up) - Max. possible relative overstatement]])</f>
        <v>0</v>
      </c>
      <c r="AJ5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87" s="111">
        <f t="shared" si="9"/>
        <v>1</v>
      </c>
      <c r="AL587" s="111">
        <f>PRODUCT($AK$5:AK587)</f>
        <v>8.962823818226312E-2</v>
      </c>
      <c r="AM587" s="109">
        <f>1 - [K-M P Value]</f>
        <v>0.91037176181773694</v>
      </c>
      <c r="AN587" s="111" t="str">
        <f>IF(Audit[[#This Row],[K-M P Value]]&gt;1-'General Info'!$B$16,"Continue", "Stop")</f>
        <v>Stop</v>
      </c>
      <c r="AO587" s="110" t="b">
        <f>IF(Audit[[#This Row],[Status - Continue or stop audit]] = "Continue", TRUE, IF(AN586 = "Continue", TRUE, FALSE))</f>
        <v>0</v>
      </c>
      <c r="AP587" s="110"/>
    </row>
    <row r="588" spans="1:42" ht="15" hidden="1" customHeight="1">
      <c r="A588" s="111" t="str">
        <f>'Sampling Data'!W578</f>
        <v/>
      </c>
      <c r="B588" s="112" t="str">
        <f>'Sampling Data'!A578</f>
        <v>CLEVELAND -09-D - ABS</v>
      </c>
      <c r="C588" s="112">
        <f>'Sampling Data'!B578</f>
        <v>0</v>
      </c>
      <c r="D588" s="112">
        <f>'Sampling Data'!C578</f>
        <v>0</v>
      </c>
      <c r="E588" s="113">
        <f>'Sampling Data'!D578</f>
        <v>0</v>
      </c>
      <c r="F588" s="113">
        <f>'Sampling Data'!E578</f>
        <v>0</v>
      </c>
      <c r="G588" s="113">
        <f>'Sampling Data'!F578</f>
        <v>0</v>
      </c>
      <c r="H588" s="113">
        <f>'Sampling Data'!G578</f>
        <v>0</v>
      </c>
      <c r="I588" s="112">
        <f>'Sampling Data'!H578</f>
        <v>0</v>
      </c>
      <c r="J588" s="112">
        <f>'Sampling Data'!I578</f>
        <v>0</v>
      </c>
      <c r="K588" s="112">
        <f>'Sampling Data'!J578</f>
        <v>0</v>
      </c>
      <c r="L588" s="111">
        <f>'Sampling Data'!X578</f>
        <v>0</v>
      </c>
      <c r="M588" s="114"/>
      <c r="N588" s="114"/>
      <c r="O588" s="115"/>
      <c r="P588" s="115"/>
      <c r="Q588" s="116"/>
      <c r="R588" s="116"/>
      <c r="S588" s="111">
        <f>Audit[[#This Row],[Audit Losing Candidate]]-Audit[[#This Row],[Losing Candidate]]</f>
        <v>0</v>
      </c>
      <c r="T588" s="111">
        <f>Audit[[#This Row],[Audit Winning Candidate]]-Audit[[#This Row],[Winning Candidate]]</f>
        <v>0</v>
      </c>
      <c r="U588" s="111">
        <f>Audit[[#This Row],[Audit Candidate 3]]-Audit[[#This Row],[Candidate 3]]</f>
        <v>0</v>
      </c>
      <c r="V588" s="111">
        <f>Audit[[#This Row],[Audit Candidate 4]]-Audit[[#This Row],[Candidate 4]]</f>
        <v>0</v>
      </c>
      <c r="W588" s="111">
        <f>Audit[[#This Row],[Audit Candidate 5]]-Audit[[#This Row],[Candidate 5]]</f>
        <v>0</v>
      </c>
      <c r="X588" s="111">
        <f>Audit[[#This Row],[Audit Candidate 6]]-Audit[[#This Row],[Candidate 6]]</f>
        <v>0</v>
      </c>
      <c r="Y588" s="111">
        <f>SUMIF(Audit[[#This Row],[Difference Loser]:[Difference Candidate 6]], "&gt;0")</f>
        <v>0</v>
      </c>
      <c r="Z588" s="111">
        <f>SUM(Audit[[#This Row],[Difference Loser]:[Difference Candidate 6]])</f>
        <v>0</v>
      </c>
      <c r="AA588" s="111">
        <f>IF(Audit[[#This Row],[Times p Drawn - With Replacement]]&gt;0, IF(Audit[[#This Row],[Canceled Differences]]&lt;0, Audit[[#This Row],[Max Differences]]+ABS(Audit[[#This Row],[Canceled Differences]]), Audit[[#This Row],[Max Differences]]), 0)</f>
        <v>0</v>
      </c>
      <c r="AB588" s="111">
        <f>'Sampling Data'!P578</f>
        <v>0</v>
      </c>
      <c r="AC588" s="111">
        <f>IF(
      SUM(Audit[[#This Row],[Audit Losing Candidate]:[Audit Candidate 6]])
      &lt;&gt;0,
      (Audit[[#This Row],[Winning Candidate]]-Audit[[#This Row],[Losing Candidate]]-(Audit[[#This Row],[Audit Winning Candidate]]-Audit[[#This Row],[Audit Losing Candidate]]))/(Audit[[#Totals],[Winning Candidate]]-Audit[[#Totals],[Losing Candidate]]),
      0
)</f>
        <v>0</v>
      </c>
      <c r="AD5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8" s="111">
        <f>IF(Audit[[#This Row],[Max Relative Error (ep)]] = 0, 0, Audit[[#This Row],[Max Relative Error (ep)]]/Audit[[#This Row],[Error Bound (up) - Max. possible relative overstatement]])</f>
        <v>0</v>
      </c>
      <c r="AJ5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88" s="111">
        <f t="shared" si="9"/>
        <v>1</v>
      </c>
      <c r="AL588" s="111">
        <f>PRODUCT($AK$5:AK588)</f>
        <v>8.962823818226312E-2</v>
      </c>
      <c r="AM588" s="109">
        <f>1 - [K-M P Value]</f>
        <v>0.91037176181773694</v>
      </c>
      <c r="AN588" s="111" t="str">
        <f>IF(Audit[[#This Row],[K-M P Value]]&gt;1-'General Info'!$B$16,"Continue", "Stop")</f>
        <v>Stop</v>
      </c>
      <c r="AO588" s="110" t="b">
        <f>IF(Audit[[#This Row],[Status - Continue or stop audit]] = "Continue", TRUE, IF(AN587 = "Continue", TRUE, FALSE))</f>
        <v>0</v>
      </c>
      <c r="AP588" s="110"/>
    </row>
    <row r="589" spans="1:42" ht="15" hidden="1" customHeight="1">
      <c r="A589" s="111" t="str">
        <f>'Sampling Data'!W579</f>
        <v/>
      </c>
      <c r="B589" s="112" t="str">
        <f>'Sampling Data'!A579</f>
        <v>CLEVELAND -09-E</v>
      </c>
      <c r="C589" s="112">
        <f>'Sampling Data'!B579</f>
        <v>0</v>
      </c>
      <c r="D589" s="112">
        <f>'Sampling Data'!C579</f>
        <v>0</v>
      </c>
      <c r="E589" s="113">
        <f>'Sampling Data'!D579</f>
        <v>0</v>
      </c>
      <c r="F589" s="113">
        <f>'Sampling Data'!E579</f>
        <v>0</v>
      </c>
      <c r="G589" s="113">
        <f>'Sampling Data'!F579</f>
        <v>0</v>
      </c>
      <c r="H589" s="113">
        <f>'Sampling Data'!G579</f>
        <v>0</v>
      </c>
      <c r="I589" s="112">
        <f>'Sampling Data'!H579</f>
        <v>0</v>
      </c>
      <c r="J589" s="112">
        <f>'Sampling Data'!I579</f>
        <v>0</v>
      </c>
      <c r="K589" s="112">
        <f>'Sampling Data'!J579</f>
        <v>0</v>
      </c>
      <c r="L589" s="111">
        <f>'Sampling Data'!X579</f>
        <v>0</v>
      </c>
      <c r="M589" s="114"/>
      <c r="N589" s="114"/>
      <c r="O589" s="115"/>
      <c r="P589" s="115"/>
      <c r="Q589" s="116"/>
      <c r="R589" s="116"/>
      <c r="S589" s="111">
        <f>Audit[[#This Row],[Audit Losing Candidate]]-Audit[[#This Row],[Losing Candidate]]</f>
        <v>0</v>
      </c>
      <c r="T589" s="111">
        <f>Audit[[#This Row],[Audit Winning Candidate]]-Audit[[#This Row],[Winning Candidate]]</f>
        <v>0</v>
      </c>
      <c r="U589" s="111">
        <f>Audit[[#This Row],[Audit Candidate 3]]-Audit[[#This Row],[Candidate 3]]</f>
        <v>0</v>
      </c>
      <c r="V589" s="111">
        <f>Audit[[#This Row],[Audit Candidate 4]]-Audit[[#This Row],[Candidate 4]]</f>
        <v>0</v>
      </c>
      <c r="W589" s="111">
        <f>Audit[[#This Row],[Audit Candidate 5]]-Audit[[#This Row],[Candidate 5]]</f>
        <v>0</v>
      </c>
      <c r="X589" s="111">
        <f>Audit[[#This Row],[Audit Candidate 6]]-Audit[[#This Row],[Candidate 6]]</f>
        <v>0</v>
      </c>
      <c r="Y589" s="111">
        <f>SUMIF(Audit[[#This Row],[Difference Loser]:[Difference Candidate 6]], "&gt;0")</f>
        <v>0</v>
      </c>
      <c r="Z589" s="111">
        <f>SUM(Audit[[#This Row],[Difference Loser]:[Difference Candidate 6]])</f>
        <v>0</v>
      </c>
      <c r="AA589" s="111">
        <f>IF(Audit[[#This Row],[Times p Drawn - With Replacement]]&gt;0, IF(Audit[[#This Row],[Canceled Differences]]&lt;0, Audit[[#This Row],[Max Differences]]+ABS(Audit[[#This Row],[Canceled Differences]]), Audit[[#This Row],[Max Differences]]), 0)</f>
        <v>0</v>
      </c>
      <c r="AB589" s="111">
        <f>'Sampling Data'!P579</f>
        <v>0</v>
      </c>
      <c r="AC589" s="111">
        <f>IF(
      SUM(Audit[[#This Row],[Audit Losing Candidate]:[Audit Candidate 6]])
      &lt;&gt;0,
      (Audit[[#This Row],[Winning Candidate]]-Audit[[#This Row],[Losing Candidate]]-(Audit[[#This Row],[Audit Winning Candidate]]-Audit[[#This Row],[Audit Losing Candidate]]))/(Audit[[#Totals],[Winning Candidate]]-Audit[[#Totals],[Losing Candidate]]),
      0
)</f>
        <v>0</v>
      </c>
      <c r="AD5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9" s="111">
        <f>IF(Audit[[#This Row],[Max Relative Error (ep)]] = 0, 0, Audit[[#This Row],[Max Relative Error (ep)]]/Audit[[#This Row],[Error Bound (up) - Max. possible relative overstatement]])</f>
        <v>0</v>
      </c>
      <c r="AJ5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89" s="111">
        <f t="shared" si="9"/>
        <v>1</v>
      </c>
      <c r="AL589" s="111">
        <f>PRODUCT($AK$5:AK589)</f>
        <v>8.962823818226312E-2</v>
      </c>
      <c r="AM589" s="109">
        <f>1 - [K-M P Value]</f>
        <v>0.91037176181773694</v>
      </c>
      <c r="AN589" s="111" t="str">
        <f>IF(Audit[[#This Row],[K-M P Value]]&gt;1-'General Info'!$B$16,"Continue", "Stop")</f>
        <v>Stop</v>
      </c>
      <c r="AO589" s="110" t="b">
        <f>IF(Audit[[#This Row],[Status - Continue or stop audit]] = "Continue", TRUE, IF(AN588 = "Continue", TRUE, FALSE))</f>
        <v>0</v>
      </c>
      <c r="AP589" s="110"/>
    </row>
    <row r="590" spans="1:42" ht="15" hidden="1" customHeight="1">
      <c r="A590" s="111" t="str">
        <f>'Sampling Data'!W580</f>
        <v/>
      </c>
      <c r="B590" s="112" t="str">
        <f>'Sampling Data'!A580</f>
        <v>CLEVELAND -09-E - ABS</v>
      </c>
      <c r="C590" s="112">
        <f>'Sampling Data'!B580</f>
        <v>0</v>
      </c>
      <c r="D590" s="112">
        <f>'Sampling Data'!C580</f>
        <v>0</v>
      </c>
      <c r="E590" s="113">
        <f>'Sampling Data'!D580</f>
        <v>0</v>
      </c>
      <c r="F590" s="113">
        <f>'Sampling Data'!E580</f>
        <v>0</v>
      </c>
      <c r="G590" s="113">
        <f>'Sampling Data'!F580</f>
        <v>0</v>
      </c>
      <c r="H590" s="113">
        <f>'Sampling Data'!G580</f>
        <v>0</v>
      </c>
      <c r="I590" s="112">
        <f>'Sampling Data'!H580</f>
        <v>0</v>
      </c>
      <c r="J590" s="112">
        <f>'Sampling Data'!I580</f>
        <v>0</v>
      </c>
      <c r="K590" s="112">
        <f>'Sampling Data'!J580</f>
        <v>0</v>
      </c>
      <c r="L590" s="111">
        <f>'Sampling Data'!X580</f>
        <v>0</v>
      </c>
      <c r="M590" s="114"/>
      <c r="N590" s="114"/>
      <c r="O590" s="115"/>
      <c r="P590" s="115"/>
      <c r="Q590" s="116"/>
      <c r="R590" s="116"/>
      <c r="S590" s="111">
        <f>Audit[[#This Row],[Audit Losing Candidate]]-Audit[[#This Row],[Losing Candidate]]</f>
        <v>0</v>
      </c>
      <c r="T590" s="111">
        <f>Audit[[#This Row],[Audit Winning Candidate]]-Audit[[#This Row],[Winning Candidate]]</f>
        <v>0</v>
      </c>
      <c r="U590" s="111">
        <f>Audit[[#This Row],[Audit Candidate 3]]-Audit[[#This Row],[Candidate 3]]</f>
        <v>0</v>
      </c>
      <c r="V590" s="111">
        <f>Audit[[#This Row],[Audit Candidate 4]]-Audit[[#This Row],[Candidate 4]]</f>
        <v>0</v>
      </c>
      <c r="W590" s="111">
        <f>Audit[[#This Row],[Audit Candidate 5]]-Audit[[#This Row],[Candidate 5]]</f>
        <v>0</v>
      </c>
      <c r="X590" s="111">
        <f>Audit[[#This Row],[Audit Candidate 6]]-Audit[[#This Row],[Candidate 6]]</f>
        <v>0</v>
      </c>
      <c r="Y590" s="111">
        <f>SUMIF(Audit[[#This Row],[Difference Loser]:[Difference Candidate 6]], "&gt;0")</f>
        <v>0</v>
      </c>
      <c r="Z590" s="111">
        <f>SUM(Audit[[#This Row],[Difference Loser]:[Difference Candidate 6]])</f>
        <v>0</v>
      </c>
      <c r="AA590" s="111">
        <f>IF(Audit[[#This Row],[Times p Drawn - With Replacement]]&gt;0, IF(Audit[[#This Row],[Canceled Differences]]&lt;0, Audit[[#This Row],[Max Differences]]+ABS(Audit[[#This Row],[Canceled Differences]]), Audit[[#This Row],[Max Differences]]), 0)</f>
        <v>0</v>
      </c>
      <c r="AB590" s="111">
        <f>'Sampling Data'!P580</f>
        <v>0</v>
      </c>
      <c r="AC590" s="111">
        <f>IF(
      SUM(Audit[[#This Row],[Audit Losing Candidate]:[Audit Candidate 6]])
      &lt;&gt;0,
      (Audit[[#This Row],[Winning Candidate]]-Audit[[#This Row],[Losing Candidate]]-(Audit[[#This Row],[Audit Winning Candidate]]-Audit[[#This Row],[Audit Losing Candidate]]))/(Audit[[#Totals],[Winning Candidate]]-Audit[[#Totals],[Losing Candidate]]),
      0
)</f>
        <v>0</v>
      </c>
      <c r="AD5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0" s="111">
        <f>IF(Audit[[#This Row],[Max Relative Error (ep)]] = 0, 0, Audit[[#This Row],[Max Relative Error (ep)]]/Audit[[#This Row],[Error Bound (up) - Max. possible relative overstatement]])</f>
        <v>0</v>
      </c>
      <c r="AJ5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90" s="111">
        <f t="shared" si="9"/>
        <v>1</v>
      </c>
      <c r="AL590" s="111">
        <f>PRODUCT($AK$5:AK590)</f>
        <v>8.962823818226312E-2</v>
      </c>
      <c r="AM590" s="109">
        <f>1 - [K-M P Value]</f>
        <v>0.91037176181773694</v>
      </c>
      <c r="AN590" s="111" t="str">
        <f>IF(Audit[[#This Row],[K-M P Value]]&gt;1-'General Info'!$B$16,"Continue", "Stop")</f>
        <v>Stop</v>
      </c>
      <c r="AO590" s="110" t="b">
        <f>IF(Audit[[#This Row],[Status - Continue or stop audit]] = "Continue", TRUE, IF(AN589 = "Continue", TRUE, FALSE))</f>
        <v>0</v>
      </c>
      <c r="AP590" s="110"/>
    </row>
    <row r="591" spans="1:42" ht="15" hidden="1" customHeight="1">
      <c r="A591" s="111" t="str">
        <f>'Sampling Data'!W581</f>
        <v/>
      </c>
      <c r="B591" s="112" t="str">
        <f>'Sampling Data'!A581</f>
        <v>CLEVELAND -09-F</v>
      </c>
      <c r="C591" s="112">
        <f>'Sampling Data'!B581</f>
        <v>1</v>
      </c>
      <c r="D591" s="112">
        <f>'Sampling Data'!C581</f>
        <v>0</v>
      </c>
      <c r="E591" s="113">
        <f>'Sampling Data'!D581</f>
        <v>0</v>
      </c>
      <c r="F591" s="113">
        <f>'Sampling Data'!E581</f>
        <v>0</v>
      </c>
      <c r="G591" s="113">
        <f>'Sampling Data'!F581</f>
        <v>0</v>
      </c>
      <c r="H591" s="113">
        <f>'Sampling Data'!G581</f>
        <v>0</v>
      </c>
      <c r="I591" s="112">
        <f>'Sampling Data'!H581</f>
        <v>0</v>
      </c>
      <c r="J591" s="112">
        <f>'Sampling Data'!I581</f>
        <v>0</v>
      </c>
      <c r="K591" s="112">
        <f>'Sampling Data'!J581</f>
        <v>1</v>
      </c>
      <c r="L591" s="111">
        <f>'Sampling Data'!X581</f>
        <v>0</v>
      </c>
      <c r="M591" s="114"/>
      <c r="N591" s="114"/>
      <c r="O591" s="115"/>
      <c r="P591" s="115"/>
      <c r="Q591" s="116"/>
      <c r="R591" s="116"/>
      <c r="S591" s="111">
        <f>Audit[[#This Row],[Audit Losing Candidate]]-Audit[[#This Row],[Losing Candidate]]</f>
        <v>-1</v>
      </c>
      <c r="T591" s="111">
        <f>Audit[[#This Row],[Audit Winning Candidate]]-Audit[[#This Row],[Winning Candidate]]</f>
        <v>0</v>
      </c>
      <c r="U591" s="111">
        <f>Audit[[#This Row],[Audit Candidate 3]]-Audit[[#This Row],[Candidate 3]]</f>
        <v>0</v>
      </c>
      <c r="V591" s="111">
        <f>Audit[[#This Row],[Audit Candidate 4]]-Audit[[#This Row],[Candidate 4]]</f>
        <v>0</v>
      </c>
      <c r="W591" s="111">
        <f>Audit[[#This Row],[Audit Candidate 5]]-Audit[[#This Row],[Candidate 5]]</f>
        <v>0</v>
      </c>
      <c r="X591" s="111">
        <f>Audit[[#This Row],[Audit Candidate 6]]-Audit[[#This Row],[Candidate 6]]</f>
        <v>0</v>
      </c>
      <c r="Y591" s="111">
        <f>SUMIF(Audit[[#This Row],[Difference Loser]:[Difference Candidate 6]], "&gt;0")</f>
        <v>0</v>
      </c>
      <c r="Z591" s="111">
        <f>SUM(Audit[[#This Row],[Difference Loser]:[Difference Candidate 6]])</f>
        <v>-1</v>
      </c>
      <c r="AA591" s="111">
        <f>IF(Audit[[#This Row],[Times p Drawn - With Replacement]]&gt;0, IF(Audit[[#This Row],[Canceled Differences]]&lt;0, Audit[[#This Row],[Max Differences]]+ABS(Audit[[#This Row],[Canceled Differences]]), Audit[[#This Row],[Max Differences]]), 0)</f>
        <v>0</v>
      </c>
      <c r="AB591" s="111">
        <f>'Sampling Data'!P581</f>
        <v>3.2261186566441917E-5</v>
      </c>
      <c r="AC591" s="111">
        <f>IF(
      SUM(Audit[[#This Row],[Audit Losing Candidate]:[Audit Candidate 6]])
      &lt;&gt;0,
      (Audit[[#This Row],[Winning Candidate]]-Audit[[#This Row],[Losing Candidate]]-(Audit[[#This Row],[Audit Winning Candidate]]-Audit[[#This Row],[Audit Losing Candidate]]))/(Audit[[#Totals],[Winning Candidate]]-Audit[[#Totals],[Losing Candidate]]),
      0
)</f>
        <v>0</v>
      </c>
      <c r="AD5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1" s="111">
        <f>IF(Audit[[#This Row],[Max Relative Error (ep)]] = 0, 0, Audit[[#This Row],[Max Relative Error (ep)]]/Audit[[#This Row],[Error Bound (up) - Max. possible relative overstatement]])</f>
        <v>0</v>
      </c>
      <c r="AJ5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91" s="111">
        <f t="shared" si="9"/>
        <v>1</v>
      </c>
      <c r="AL591" s="111">
        <f>PRODUCT($AK$5:AK591)</f>
        <v>8.962823818226312E-2</v>
      </c>
      <c r="AM591" s="109">
        <f>1 - [K-M P Value]</f>
        <v>0.91037176181773694</v>
      </c>
      <c r="AN591" s="111" t="str">
        <f>IF(Audit[[#This Row],[K-M P Value]]&gt;1-'General Info'!$B$16,"Continue", "Stop")</f>
        <v>Stop</v>
      </c>
      <c r="AO591" s="110" t="b">
        <f>IF(Audit[[#This Row],[Status - Continue or stop audit]] = "Continue", TRUE, IF(AN590 = "Continue", TRUE, FALSE))</f>
        <v>0</v>
      </c>
      <c r="AP591" s="110"/>
    </row>
    <row r="592" spans="1:42" ht="15" hidden="1" customHeight="1">
      <c r="A592" s="111" t="str">
        <f>'Sampling Data'!W582</f>
        <v/>
      </c>
      <c r="B592" s="112" t="str">
        <f>'Sampling Data'!A582</f>
        <v>CLEVELAND -09-F - ABS</v>
      </c>
      <c r="C592" s="112">
        <f>'Sampling Data'!B582</f>
        <v>0</v>
      </c>
      <c r="D592" s="112">
        <f>'Sampling Data'!C582</f>
        <v>0</v>
      </c>
      <c r="E592" s="113">
        <f>'Sampling Data'!D582</f>
        <v>0</v>
      </c>
      <c r="F592" s="113">
        <f>'Sampling Data'!E582</f>
        <v>0</v>
      </c>
      <c r="G592" s="113">
        <f>'Sampling Data'!F582</f>
        <v>0</v>
      </c>
      <c r="H592" s="113">
        <f>'Sampling Data'!G582</f>
        <v>0</v>
      </c>
      <c r="I592" s="112">
        <f>'Sampling Data'!H582</f>
        <v>0</v>
      </c>
      <c r="J592" s="112">
        <f>'Sampling Data'!I582</f>
        <v>0</v>
      </c>
      <c r="K592" s="112">
        <f>'Sampling Data'!J582</f>
        <v>0</v>
      </c>
      <c r="L592" s="111">
        <f>'Sampling Data'!X582</f>
        <v>0</v>
      </c>
      <c r="M592" s="114"/>
      <c r="N592" s="114"/>
      <c r="O592" s="115"/>
      <c r="P592" s="115"/>
      <c r="Q592" s="116"/>
      <c r="R592" s="116"/>
      <c r="S592" s="111">
        <f>Audit[[#This Row],[Audit Losing Candidate]]-Audit[[#This Row],[Losing Candidate]]</f>
        <v>0</v>
      </c>
      <c r="T592" s="111">
        <f>Audit[[#This Row],[Audit Winning Candidate]]-Audit[[#This Row],[Winning Candidate]]</f>
        <v>0</v>
      </c>
      <c r="U592" s="111">
        <f>Audit[[#This Row],[Audit Candidate 3]]-Audit[[#This Row],[Candidate 3]]</f>
        <v>0</v>
      </c>
      <c r="V592" s="111">
        <f>Audit[[#This Row],[Audit Candidate 4]]-Audit[[#This Row],[Candidate 4]]</f>
        <v>0</v>
      </c>
      <c r="W592" s="111">
        <f>Audit[[#This Row],[Audit Candidate 5]]-Audit[[#This Row],[Candidate 5]]</f>
        <v>0</v>
      </c>
      <c r="X592" s="111">
        <f>Audit[[#This Row],[Audit Candidate 6]]-Audit[[#This Row],[Candidate 6]]</f>
        <v>0</v>
      </c>
      <c r="Y592" s="111">
        <f>SUMIF(Audit[[#This Row],[Difference Loser]:[Difference Candidate 6]], "&gt;0")</f>
        <v>0</v>
      </c>
      <c r="Z592" s="111">
        <f>SUM(Audit[[#This Row],[Difference Loser]:[Difference Candidate 6]])</f>
        <v>0</v>
      </c>
      <c r="AA592" s="111">
        <f>IF(Audit[[#This Row],[Times p Drawn - With Replacement]]&gt;0, IF(Audit[[#This Row],[Canceled Differences]]&lt;0, Audit[[#This Row],[Max Differences]]+ABS(Audit[[#This Row],[Canceled Differences]]), Audit[[#This Row],[Max Differences]]), 0)</f>
        <v>0</v>
      </c>
      <c r="AB592" s="111">
        <f>'Sampling Data'!P582</f>
        <v>0</v>
      </c>
      <c r="AC592" s="111">
        <f>IF(
      SUM(Audit[[#This Row],[Audit Losing Candidate]:[Audit Candidate 6]])
      &lt;&gt;0,
      (Audit[[#This Row],[Winning Candidate]]-Audit[[#This Row],[Losing Candidate]]-(Audit[[#This Row],[Audit Winning Candidate]]-Audit[[#This Row],[Audit Losing Candidate]]))/(Audit[[#Totals],[Winning Candidate]]-Audit[[#Totals],[Losing Candidate]]),
      0
)</f>
        <v>0</v>
      </c>
      <c r="AD5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2" s="111">
        <f>IF(Audit[[#This Row],[Max Relative Error (ep)]] = 0, 0, Audit[[#This Row],[Max Relative Error (ep)]]/Audit[[#This Row],[Error Bound (up) - Max. possible relative overstatement]])</f>
        <v>0</v>
      </c>
      <c r="AJ5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92" s="111">
        <f t="shared" si="9"/>
        <v>1</v>
      </c>
      <c r="AL592" s="111">
        <f>PRODUCT($AK$5:AK592)</f>
        <v>8.962823818226312E-2</v>
      </c>
      <c r="AM592" s="109">
        <f>1 - [K-M P Value]</f>
        <v>0.91037176181773694</v>
      </c>
      <c r="AN592" s="111" t="str">
        <f>IF(Audit[[#This Row],[K-M P Value]]&gt;1-'General Info'!$B$16,"Continue", "Stop")</f>
        <v>Stop</v>
      </c>
      <c r="AO592" s="110" t="b">
        <f>IF(Audit[[#This Row],[Status - Continue or stop audit]] = "Continue", TRUE, IF(AN591 = "Continue", TRUE, FALSE))</f>
        <v>0</v>
      </c>
      <c r="AP592" s="110"/>
    </row>
    <row r="593" spans="1:42" ht="15" hidden="1" customHeight="1">
      <c r="A593" s="111" t="str">
        <f>'Sampling Data'!W583</f>
        <v/>
      </c>
      <c r="B593" s="112" t="str">
        <f>'Sampling Data'!A583</f>
        <v>CLEVELAND -09-G</v>
      </c>
      <c r="C593" s="112">
        <f>'Sampling Data'!B583</f>
        <v>1</v>
      </c>
      <c r="D593" s="112">
        <f>'Sampling Data'!C583</f>
        <v>0</v>
      </c>
      <c r="E593" s="113">
        <f>'Sampling Data'!D583</f>
        <v>0</v>
      </c>
      <c r="F593" s="113">
        <f>'Sampling Data'!E583</f>
        <v>0</v>
      </c>
      <c r="G593" s="113">
        <f>'Sampling Data'!F583</f>
        <v>0</v>
      </c>
      <c r="H593" s="113">
        <f>'Sampling Data'!G583</f>
        <v>0</v>
      </c>
      <c r="I593" s="112">
        <f>'Sampling Data'!H583</f>
        <v>0</v>
      </c>
      <c r="J593" s="112">
        <f>'Sampling Data'!I583</f>
        <v>0</v>
      </c>
      <c r="K593" s="112">
        <f>'Sampling Data'!J583</f>
        <v>1</v>
      </c>
      <c r="L593" s="111">
        <f>'Sampling Data'!X583</f>
        <v>0</v>
      </c>
      <c r="M593" s="114"/>
      <c r="N593" s="114"/>
      <c r="O593" s="115"/>
      <c r="P593" s="115"/>
      <c r="Q593" s="116"/>
      <c r="R593" s="116"/>
      <c r="S593" s="111">
        <f>Audit[[#This Row],[Audit Losing Candidate]]-Audit[[#This Row],[Losing Candidate]]</f>
        <v>-1</v>
      </c>
      <c r="T593" s="111">
        <f>Audit[[#This Row],[Audit Winning Candidate]]-Audit[[#This Row],[Winning Candidate]]</f>
        <v>0</v>
      </c>
      <c r="U593" s="111">
        <f>Audit[[#This Row],[Audit Candidate 3]]-Audit[[#This Row],[Candidate 3]]</f>
        <v>0</v>
      </c>
      <c r="V593" s="111">
        <f>Audit[[#This Row],[Audit Candidate 4]]-Audit[[#This Row],[Candidate 4]]</f>
        <v>0</v>
      </c>
      <c r="W593" s="111">
        <f>Audit[[#This Row],[Audit Candidate 5]]-Audit[[#This Row],[Candidate 5]]</f>
        <v>0</v>
      </c>
      <c r="X593" s="111">
        <f>Audit[[#This Row],[Audit Candidate 6]]-Audit[[#This Row],[Candidate 6]]</f>
        <v>0</v>
      </c>
      <c r="Y593" s="111">
        <f>SUMIF(Audit[[#This Row],[Difference Loser]:[Difference Candidate 6]], "&gt;0")</f>
        <v>0</v>
      </c>
      <c r="Z593" s="111">
        <f>SUM(Audit[[#This Row],[Difference Loser]:[Difference Candidate 6]])</f>
        <v>-1</v>
      </c>
      <c r="AA593" s="111">
        <f>IF(Audit[[#This Row],[Times p Drawn - With Replacement]]&gt;0, IF(Audit[[#This Row],[Canceled Differences]]&lt;0, Audit[[#This Row],[Max Differences]]+ABS(Audit[[#This Row],[Canceled Differences]]), Audit[[#This Row],[Max Differences]]), 0)</f>
        <v>0</v>
      </c>
      <c r="AB593" s="111">
        <f>'Sampling Data'!P583</f>
        <v>3.2261186566441917E-5</v>
      </c>
      <c r="AC593" s="111">
        <f>IF(
      SUM(Audit[[#This Row],[Audit Losing Candidate]:[Audit Candidate 6]])
      &lt;&gt;0,
      (Audit[[#This Row],[Winning Candidate]]-Audit[[#This Row],[Losing Candidate]]-(Audit[[#This Row],[Audit Winning Candidate]]-Audit[[#This Row],[Audit Losing Candidate]]))/(Audit[[#Totals],[Winning Candidate]]-Audit[[#Totals],[Losing Candidate]]),
      0
)</f>
        <v>0</v>
      </c>
      <c r="AD5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3" s="111">
        <f>IF(Audit[[#This Row],[Max Relative Error (ep)]] = 0, 0, Audit[[#This Row],[Max Relative Error (ep)]]/Audit[[#This Row],[Error Bound (up) - Max. possible relative overstatement]])</f>
        <v>0</v>
      </c>
      <c r="AJ5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93" s="111">
        <f t="shared" si="9"/>
        <v>1</v>
      </c>
      <c r="AL593" s="111">
        <f>PRODUCT($AK$5:AK593)</f>
        <v>8.962823818226312E-2</v>
      </c>
      <c r="AM593" s="109">
        <f>1 - [K-M P Value]</f>
        <v>0.91037176181773694</v>
      </c>
      <c r="AN593" s="111" t="str">
        <f>IF(Audit[[#This Row],[K-M P Value]]&gt;1-'General Info'!$B$16,"Continue", "Stop")</f>
        <v>Stop</v>
      </c>
      <c r="AO593" s="110" t="b">
        <f>IF(Audit[[#This Row],[Status - Continue or stop audit]] = "Continue", TRUE, IF(AN592 = "Continue", TRUE, FALSE))</f>
        <v>0</v>
      </c>
      <c r="AP593" s="110"/>
    </row>
    <row r="594" spans="1:42" ht="15" hidden="1" customHeight="1">
      <c r="A594" s="111" t="str">
        <f>'Sampling Data'!W584</f>
        <v/>
      </c>
      <c r="B594" s="112" t="str">
        <f>'Sampling Data'!A584</f>
        <v>CLEVELAND -09-G - ABS</v>
      </c>
      <c r="C594" s="112">
        <f>'Sampling Data'!B584</f>
        <v>0</v>
      </c>
      <c r="D594" s="112">
        <f>'Sampling Data'!C584</f>
        <v>0</v>
      </c>
      <c r="E594" s="113">
        <f>'Sampling Data'!D584</f>
        <v>0</v>
      </c>
      <c r="F594" s="113">
        <f>'Sampling Data'!E584</f>
        <v>0</v>
      </c>
      <c r="G594" s="113">
        <f>'Sampling Data'!F584</f>
        <v>0</v>
      </c>
      <c r="H594" s="113">
        <f>'Sampling Data'!G584</f>
        <v>0</v>
      </c>
      <c r="I594" s="112">
        <f>'Sampling Data'!H584</f>
        <v>0</v>
      </c>
      <c r="J594" s="112">
        <f>'Sampling Data'!I584</f>
        <v>0</v>
      </c>
      <c r="K594" s="112">
        <f>'Sampling Data'!J584</f>
        <v>0</v>
      </c>
      <c r="L594" s="111">
        <f>'Sampling Data'!X584</f>
        <v>0</v>
      </c>
      <c r="M594" s="114"/>
      <c r="N594" s="114"/>
      <c r="O594" s="115"/>
      <c r="P594" s="115"/>
      <c r="Q594" s="116"/>
      <c r="R594" s="116"/>
      <c r="S594" s="111">
        <f>Audit[[#This Row],[Audit Losing Candidate]]-Audit[[#This Row],[Losing Candidate]]</f>
        <v>0</v>
      </c>
      <c r="T594" s="111">
        <f>Audit[[#This Row],[Audit Winning Candidate]]-Audit[[#This Row],[Winning Candidate]]</f>
        <v>0</v>
      </c>
      <c r="U594" s="111">
        <f>Audit[[#This Row],[Audit Candidate 3]]-Audit[[#This Row],[Candidate 3]]</f>
        <v>0</v>
      </c>
      <c r="V594" s="111">
        <f>Audit[[#This Row],[Audit Candidate 4]]-Audit[[#This Row],[Candidate 4]]</f>
        <v>0</v>
      </c>
      <c r="W594" s="111">
        <f>Audit[[#This Row],[Audit Candidate 5]]-Audit[[#This Row],[Candidate 5]]</f>
        <v>0</v>
      </c>
      <c r="X594" s="111">
        <f>Audit[[#This Row],[Audit Candidate 6]]-Audit[[#This Row],[Candidate 6]]</f>
        <v>0</v>
      </c>
      <c r="Y594" s="111">
        <f>SUMIF(Audit[[#This Row],[Difference Loser]:[Difference Candidate 6]], "&gt;0")</f>
        <v>0</v>
      </c>
      <c r="Z594" s="111">
        <f>SUM(Audit[[#This Row],[Difference Loser]:[Difference Candidate 6]])</f>
        <v>0</v>
      </c>
      <c r="AA594" s="111">
        <f>IF(Audit[[#This Row],[Times p Drawn - With Replacement]]&gt;0, IF(Audit[[#This Row],[Canceled Differences]]&lt;0, Audit[[#This Row],[Max Differences]]+ABS(Audit[[#This Row],[Canceled Differences]]), Audit[[#This Row],[Max Differences]]), 0)</f>
        <v>0</v>
      </c>
      <c r="AB594" s="111">
        <f>'Sampling Data'!P584</f>
        <v>0</v>
      </c>
      <c r="AC594" s="111">
        <f>IF(
      SUM(Audit[[#This Row],[Audit Losing Candidate]:[Audit Candidate 6]])
      &lt;&gt;0,
      (Audit[[#This Row],[Winning Candidate]]-Audit[[#This Row],[Losing Candidate]]-(Audit[[#This Row],[Audit Winning Candidate]]-Audit[[#This Row],[Audit Losing Candidate]]))/(Audit[[#Totals],[Winning Candidate]]-Audit[[#Totals],[Losing Candidate]]),
      0
)</f>
        <v>0</v>
      </c>
      <c r="AD5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4" s="111">
        <f>IF(Audit[[#This Row],[Max Relative Error (ep)]] = 0, 0, Audit[[#This Row],[Max Relative Error (ep)]]/Audit[[#This Row],[Error Bound (up) - Max. possible relative overstatement]])</f>
        <v>0</v>
      </c>
      <c r="AJ5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94" s="111">
        <f t="shared" si="9"/>
        <v>1</v>
      </c>
      <c r="AL594" s="111">
        <f>PRODUCT($AK$5:AK594)</f>
        <v>8.962823818226312E-2</v>
      </c>
      <c r="AM594" s="109">
        <f>1 - [K-M P Value]</f>
        <v>0.91037176181773694</v>
      </c>
      <c r="AN594" s="111" t="str">
        <f>IF(Audit[[#This Row],[K-M P Value]]&gt;1-'General Info'!$B$16,"Continue", "Stop")</f>
        <v>Stop</v>
      </c>
      <c r="AO594" s="110" t="b">
        <f>IF(Audit[[#This Row],[Status - Continue or stop audit]] = "Continue", TRUE, IF(AN593 = "Continue", TRUE, FALSE))</f>
        <v>0</v>
      </c>
      <c r="AP594" s="110"/>
    </row>
    <row r="595" spans="1:42" ht="15" hidden="1" customHeight="1">
      <c r="A595" s="111" t="str">
        <f>'Sampling Data'!W585</f>
        <v/>
      </c>
      <c r="B595" s="112" t="str">
        <f>'Sampling Data'!A585</f>
        <v>CLEVELAND -09-H</v>
      </c>
      <c r="C595" s="112">
        <f>'Sampling Data'!B585</f>
        <v>4</v>
      </c>
      <c r="D595" s="112">
        <f>'Sampling Data'!C585</f>
        <v>0</v>
      </c>
      <c r="E595" s="113">
        <f>'Sampling Data'!D585</f>
        <v>0</v>
      </c>
      <c r="F595" s="113">
        <f>'Sampling Data'!E585</f>
        <v>1</v>
      </c>
      <c r="G595" s="113">
        <f>'Sampling Data'!F585</f>
        <v>1</v>
      </c>
      <c r="H595" s="113">
        <f>'Sampling Data'!G585</f>
        <v>0</v>
      </c>
      <c r="I595" s="112">
        <f>'Sampling Data'!H585</f>
        <v>0</v>
      </c>
      <c r="J595" s="112">
        <f>'Sampling Data'!I585</f>
        <v>0</v>
      </c>
      <c r="K595" s="112">
        <f>'Sampling Data'!J585</f>
        <v>6</v>
      </c>
      <c r="L595" s="111">
        <f>'Sampling Data'!X585</f>
        <v>0</v>
      </c>
      <c r="M595" s="114"/>
      <c r="N595" s="114"/>
      <c r="O595" s="115"/>
      <c r="P595" s="115"/>
      <c r="Q595" s="116"/>
      <c r="R595" s="116"/>
      <c r="S595" s="111">
        <f>Audit[[#This Row],[Audit Losing Candidate]]-Audit[[#This Row],[Losing Candidate]]</f>
        <v>-4</v>
      </c>
      <c r="T595" s="111">
        <f>Audit[[#This Row],[Audit Winning Candidate]]-Audit[[#This Row],[Winning Candidate]]</f>
        <v>0</v>
      </c>
      <c r="U595" s="111">
        <f>Audit[[#This Row],[Audit Candidate 3]]-Audit[[#This Row],[Candidate 3]]</f>
        <v>0</v>
      </c>
      <c r="V595" s="111">
        <f>Audit[[#This Row],[Audit Candidate 4]]-Audit[[#This Row],[Candidate 4]]</f>
        <v>-1</v>
      </c>
      <c r="W595" s="111">
        <f>Audit[[#This Row],[Audit Candidate 5]]-Audit[[#This Row],[Candidate 5]]</f>
        <v>-1</v>
      </c>
      <c r="X595" s="111">
        <f>Audit[[#This Row],[Audit Candidate 6]]-Audit[[#This Row],[Candidate 6]]</f>
        <v>0</v>
      </c>
      <c r="Y595" s="111">
        <f>SUMIF(Audit[[#This Row],[Difference Loser]:[Difference Candidate 6]], "&gt;0")</f>
        <v>0</v>
      </c>
      <c r="Z595" s="111">
        <f>SUM(Audit[[#This Row],[Difference Loser]:[Difference Candidate 6]])</f>
        <v>-6</v>
      </c>
      <c r="AA595" s="111">
        <f>IF(Audit[[#This Row],[Times p Drawn - With Replacement]]&gt;0, IF(Audit[[#This Row],[Canceled Differences]]&lt;0, Audit[[#This Row],[Max Differences]]+ABS(Audit[[#This Row],[Canceled Differences]]), Audit[[#This Row],[Max Differences]]), 0)</f>
        <v>0</v>
      </c>
      <c r="AB595" s="111">
        <f>'Sampling Data'!P585</f>
        <v>1.9356711939865149E-4</v>
      </c>
      <c r="AC595" s="111">
        <f>IF(
      SUM(Audit[[#This Row],[Audit Losing Candidate]:[Audit Candidate 6]])
      &lt;&gt;0,
      (Audit[[#This Row],[Winning Candidate]]-Audit[[#This Row],[Losing Candidate]]-(Audit[[#This Row],[Audit Winning Candidate]]-Audit[[#This Row],[Audit Losing Candidate]]))/(Audit[[#Totals],[Winning Candidate]]-Audit[[#Totals],[Losing Candidate]]),
      0
)</f>
        <v>0</v>
      </c>
      <c r="AD5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5" s="111">
        <f>IF(Audit[[#This Row],[Max Relative Error (ep)]] = 0, 0, Audit[[#This Row],[Max Relative Error (ep)]]/Audit[[#This Row],[Error Bound (up) - Max. possible relative overstatement]])</f>
        <v>0</v>
      </c>
      <c r="AJ5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95" s="111">
        <f t="shared" si="9"/>
        <v>1</v>
      </c>
      <c r="AL595" s="111">
        <f>PRODUCT($AK$5:AK595)</f>
        <v>8.962823818226312E-2</v>
      </c>
      <c r="AM595" s="109">
        <f>1 - [K-M P Value]</f>
        <v>0.91037176181773694</v>
      </c>
      <c r="AN595" s="111" t="str">
        <f>IF(Audit[[#This Row],[K-M P Value]]&gt;1-'General Info'!$B$16,"Continue", "Stop")</f>
        <v>Stop</v>
      </c>
      <c r="AO595" s="110" t="b">
        <f>IF(Audit[[#This Row],[Status - Continue or stop audit]] = "Continue", TRUE, IF(AN594 = "Continue", TRUE, FALSE))</f>
        <v>0</v>
      </c>
      <c r="AP595" s="110"/>
    </row>
    <row r="596" spans="1:42" ht="15" hidden="1" customHeight="1">
      <c r="A596" s="111" t="str">
        <f>'Sampling Data'!W586</f>
        <v/>
      </c>
      <c r="B596" s="112" t="str">
        <f>'Sampling Data'!A586</f>
        <v>CLEVELAND -09-H - ABS</v>
      </c>
      <c r="C596" s="112">
        <f>'Sampling Data'!B586</f>
        <v>0</v>
      </c>
      <c r="D596" s="112">
        <f>'Sampling Data'!C586</f>
        <v>0</v>
      </c>
      <c r="E596" s="113">
        <f>'Sampling Data'!D586</f>
        <v>0</v>
      </c>
      <c r="F596" s="113">
        <f>'Sampling Data'!E586</f>
        <v>0</v>
      </c>
      <c r="G596" s="113">
        <f>'Sampling Data'!F586</f>
        <v>0</v>
      </c>
      <c r="H596" s="113">
        <f>'Sampling Data'!G586</f>
        <v>0</v>
      </c>
      <c r="I596" s="112">
        <f>'Sampling Data'!H586</f>
        <v>0</v>
      </c>
      <c r="J596" s="112">
        <f>'Sampling Data'!I586</f>
        <v>0</v>
      </c>
      <c r="K596" s="112">
        <f>'Sampling Data'!J586</f>
        <v>0</v>
      </c>
      <c r="L596" s="111">
        <f>'Sampling Data'!X586</f>
        <v>0</v>
      </c>
      <c r="M596" s="114"/>
      <c r="N596" s="114"/>
      <c r="O596" s="115"/>
      <c r="P596" s="115"/>
      <c r="Q596" s="116"/>
      <c r="R596" s="116"/>
      <c r="S596" s="111">
        <f>Audit[[#This Row],[Audit Losing Candidate]]-Audit[[#This Row],[Losing Candidate]]</f>
        <v>0</v>
      </c>
      <c r="T596" s="111">
        <f>Audit[[#This Row],[Audit Winning Candidate]]-Audit[[#This Row],[Winning Candidate]]</f>
        <v>0</v>
      </c>
      <c r="U596" s="111">
        <f>Audit[[#This Row],[Audit Candidate 3]]-Audit[[#This Row],[Candidate 3]]</f>
        <v>0</v>
      </c>
      <c r="V596" s="111">
        <f>Audit[[#This Row],[Audit Candidate 4]]-Audit[[#This Row],[Candidate 4]]</f>
        <v>0</v>
      </c>
      <c r="W596" s="111">
        <f>Audit[[#This Row],[Audit Candidate 5]]-Audit[[#This Row],[Candidate 5]]</f>
        <v>0</v>
      </c>
      <c r="X596" s="111">
        <f>Audit[[#This Row],[Audit Candidate 6]]-Audit[[#This Row],[Candidate 6]]</f>
        <v>0</v>
      </c>
      <c r="Y596" s="111">
        <f>SUMIF(Audit[[#This Row],[Difference Loser]:[Difference Candidate 6]], "&gt;0")</f>
        <v>0</v>
      </c>
      <c r="Z596" s="111">
        <f>SUM(Audit[[#This Row],[Difference Loser]:[Difference Candidate 6]])</f>
        <v>0</v>
      </c>
      <c r="AA596" s="111">
        <f>IF(Audit[[#This Row],[Times p Drawn - With Replacement]]&gt;0, IF(Audit[[#This Row],[Canceled Differences]]&lt;0, Audit[[#This Row],[Max Differences]]+ABS(Audit[[#This Row],[Canceled Differences]]), Audit[[#This Row],[Max Differences]]), 0)</f>
        <v>0</v>
      </c>
      <c r="AB596" s="111">
        <f>'Sampling Data'!P586</f>
        <v>0</v>
      </c>
      <c r="AC596" s="111">
        <f>IF(
      SUM(Audit[[#This Row],[Audit Losing Candidate]:[Audit Candidate 6]])
      &lt;&gt;0,
      (Audit[[#This Row],[Winning Candidate]]-Audit[[#This Row],[Losing Candidate]]-(Audit[[#This Row],[Audit Winning Candidate]]-Audit[[#This Row],[Audit Losing Candidate]]))/(Audit[[#Totals],[Winning Candidate]]-Audit[[#Totals],[Losing Candidate]]),
      0
)</f>
        <v>0</v>
      </c>
      <c r="AD5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6" s="111">
        <f>IF(Audit[[#This Row],[Max Relative Error (ep)]] = 0, 0, Audit[[#This Row],[Max Relative Error (ep)]]/Audit[[#This Row],[Error Bound (up) - Max. possible relative overstatement]])</f>
        <v>0</v>
      </c>
      <c r="AJ5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96" s="111">
        <f t="shared" si="9"/>
        <v>1</v>
      </c>
      <c r="AL596" s="111">
        <f>PRODUCT($AK$5:AK596)</f>
        <v>8.962823818226312E-2</v>
      </c>
      <c r="AM596" s="109">
        <f>1 - [K-M P Value]</f>
        <v>0.91037176181773694</v>
      </c>
      <c r="AN596" s="111" t="str">
        <f>IF(Audit[[#This Row],[K-M P Value]]&gt;1-'General Info'!$B$16,"Continue", "Stop")</f>
        <v>Stop</v>
      </c>
      <c r="AO596" s="110" t="b">
        <f>IF(Audit[[#This Row],[Status - Continue or stop audit]] = "Continue", TRUE, IF(AN595 = "Continue", TRUE, FALSE))</f>
        <v>0</v>
      </c>
      <c r="AP596" s="110"/>
    </row>
    <row r="597" spans="1:42" ht="15" hidden="1" customHeight="1">
      <c r="A597" s="111" t="str">
        <f>'Sampling Data'!W587</f>
        <v/>
      </c>
      <c r="B597" s="112" t="str">
        <f>'Sampling Data'!A587</f>
        <v>CLEVELAND -09-I</v>
      </c>
      <c r="C597" s="112">
        <f>'Sampling Data'!B587</f>
        <v>0</v>
      </c>
      <c r="D597" s="112">
        <f>'Sampling Data'!C587</f>
        <v>0</v>
      </c>
      <c r="E597" s="113">
        <f>'Sampling Data'!D587</f>
        <v>0</v>
      </c>
      <c r="F597" s="113">
        <f>'Sampling Data'!E587</f>
        <v>0</v>
      </c>
      <c r="G597" s="113">
        <f>'Sampling Data'!F587</f>
        <v>0</v>
      </c>
      <c r="H597" s="113">
        <f>'Sampling Data'!G587</f>
        <v>0</v>
      </c>
      <c r="I597" s="112">
        <f>'Sampling Data'!H587</f>
        <v>0</v>
      </c>
      <c r="J597" s="112">
        <f>'Sampling Data'!I587</f>
        <v>0</v>
      </c>
      <c r="K597" s="112">
        <f>'Sampling Data'!J587</f>
        <v>0</v>
      </c>
      <c r="L597" s="111">
        <f>'Sampling Data'!X587</f>
        <v>0</v>
      </c>
      <c r="M597" s="114"/>
      <c r="N597" s="114"/>
      <c r="O597" s="115"/>
      <c r="P597" s="115"/>
      <c r="Q597" s="116"/>
      <c r="R597" s="116"/>
      <c r="S597" s="111">
        <f>Audit[[#This Row],[Audit Losing Candidate]]-Audit[[#This Row],[Losing Candidate]]</f>
        <v>0</v>
      </c>
      <c r="T597" s="111">
        <f>Audit[[#This Row],[Audit Winning Candidate]]-Audit[[#This Row],[Winning Candidate]]</f>
        <v>0</v>
      </c>
      <c r="U597" s="111">
        <f>Audit[[#This Row],[Audit Candidate 3]]-Audit[[#This Row],[Candidate 3]]</f>
        <v>0</v>
      </c>
      <c r="V597" s="111">
        <f>Audit[[#This Row],[Audit Candidate 4]]-Audit[[#This Row],[Candidate 4]]</f>
        <v>0</v>
      </c>
      <c r="W597" s="111">
        <f>Audit[[#This Row],[Audit Candidate 5]]-Audit[[#This Row],[Candidate 5]]</f>
        <v>0</v>
      </c>
      <c r="X597" s="111">
        <f>Audit[[#This Row],[Audit Candidate 6]]-Audit[[#This Row],[Candidate 6]]</f>
        <v>0</v>
      </c>
      <c r="Y597" s="111">
        <f>SUMIF(Audit[[#This Row],[Difference Loser]:[Difference Candidate 6]], "&gt;0")</f>
        <v>0</v>
      </c>
      <c r="Z597" s="111">
        <f>SUM(Audit[[#This Row],[Difference Loser]:[Difference Candidate 6]])</f>
        <v>0</v>
      </c>
      <c r="AA597" s="111">
        <f>IF(Audit[[#This Row],[Times p Drawn - With Replacement]]&gt;0, IF(Audit[[#This Row],[Canceled Differences]]&lt;0, Audit[[#This Row],[Max Differences]]+ABS(Audit[[#This Row],[Canceled Differences]]), Audit[[#This Row],[Max Differences]]), 0)</f>
        <v>0</v>
      </c>
      <c r="AB597" s="111">
        <f>'Sampling Data'!P587</f>
        <v>0</v>
      </c>
      <c r="AC597" s="111">
        <f>IF(
      SUM(Audit[[#This Row],[Audit Losing Candidate]:[Audit Candidate 6]])
      &lt;&gt;0,
      (Audit[[#This Row],[Winning Candidate]]-Audit[[#This Row],[Losing Candidate]]-(Audit[[#This Row],[Audit Winning Candidate]]-Audit[[#This Row],[Audit Losing Candidate]]))/(Audit[[#Totals],[Winning Candidate]]-Audit[[#Totals],[Losing Candidate]]),
      0
)</f>
        <v>0</v>
      </c>
      <c r="AD5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7" s="111">
        <f>IF(Audit[[#This Row],[Max Relative Error (ep)]] = 0, 0, Audit[[#This Row],[Max Relative Error (ep)]]/Audit[[#This Row],[Error Bound (up) - Max. possible relative overstatement]])</f>
        <v>0</v>
      </c>
      <c r="AJ5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97" s="111">
        <f t="shared" si="9"/>
        <v>1</v>
      </c>
      <c r="AL597" s="111">
        <f>PRODUCT($AK$5:AK597)</f>
        <v>8.962823818226312E-2</v>
      </c>
      <c r="AM597" s="109">
        <f>1 - [K-M P Value]</f>
        <v>0.91037176181773694</v>
      </c>
      <c r="AN597" s="111" t="str">
        <f>IF(Audit[[#This Row],[K-M P Value]]&gt;1-'General Info'!$B$16,"Continue", "Stop")</f>
        <v>Stop</v>
      </c>
      <c r="AO597" s="110" t="b">
        <f>IF(Audit[[#This Row],[Status - Continue or stop audit]] = "Continue", TRUE, IF(AN596 = "Continue", TRUE, FALSE))</f>
        <v>0</v>
      </c>
      <c r="AP597" s="110"/>
    </row>
    <row r="598" spans="1:42" ht="15" hidden="1" customHeight="1">
      <c r="A598" s="111" t="str">
        <f>'Sampling Data'!W588</f>
        <v/>
      </c>
      <c r="B598" s="112" t="str">
        <f>'Sampling Data'!A588</f>
        <v>CLEVELAND -09-I - ABS</v>
      </c>
      <c r="C598" s="112">
        <f>'Sampling Data'!B588</f>
        <v>0</v>
      </c>
      <c r="D598" s="112">
        <f>'Sampling Data'!C588</f>
        <v>0</v>
      </c>
      <c r="E598" s="113">
        <f>'Sampling Data'!D588</f>
        <v>0</v>
      </c>
      <c r="F598" s="113">
        <f>'Sampling Data'!E588</f>
        <v>0</v>
      </c>
      <c r="G598" s="113">
        <f>'Sampling Data'!F588</f>
        <v>0</v>
      </c>
      <c r="H598" s="113">
        <f>'Sampling Data'!G588</f>
        <v>0</v>
      </c>
      <c r="I598" s="112">
        <f>'Sampling Data'!H588</f>
        <v>0</v>
      </c>
      <c r="J598" s="112">
        <f>'Sampling Data'!I588</f>
        <v>0</v>
      </c>
      <c r="K598" s="112">
        <f>'Sampling Data'!J588</f>
        <v>0</v>
      </c>
      <c r="L598" s="111">
        <f>'Sampling Data'!X588</f>
        <v>0</v>
      </c>
      <c r="M598" s="114"/>
      <c r="N598" s="114"/>
      <c r="O598" s="115"/>
      <c r="P598" s="115"/>
      <c r="Q598" s="116"/>
      <c r="R598" s="116"/>
      <c r="S598" s="111">
        <f>Audit[[#This Row],[Audit Losing Candidate]]-Audit[[#This Row],[Losing Candidate]]</f>
        <v>0</v>
      </c>
      <c r="T598" s="111">
        <f>Audit[[#This Row],[Audit Winning Candidate]]-Audit[[#This Row],[Winning Candidate]]</f>
        <v>0</v>
      </c>
      <c r="U598" s="111">
        <f>Audit[[#This Row],[Audit Candidate 3]]-Audit[[#This Row],[Candidate 3]]</f>
        <v>0</v>
      </c>
      <c r="V598" s="111">
        <f>Audit[[#This Row],[Audit Candidate 4]]-Audit[[#This Row],[Candidate 4]]</f>
        <v>0</v>
      </c>
      <c r="W598" s="111">
        <f>Audit[[#This Row],[Audit Candidate 5]]-Audit[[#This Row],[Candidate 5]]</f>
        <v>0</v>
      </c>
      <c r="X598" s="111">
        <f>Audit[[#This Row],[Audit Candidate 6]]-Audit[[#This Row],[Candidate 6]]</f>
        <v>0</v>
      </c>
      <c r="Y598" s="111">
        <f>SUMIF(Audit[[#This Row],[Difference Loser]:[Difference Candidate 6]], "&gt;0")</f>
        <v>0</v>
      </c>
      <c r="Z598" s="111">
        <f>SUM(Audit[[#This Row],[Difference Loser]:[Difference Candidate 6]])</f>
        <v>0</v>
      </c>
      <c r="AA598" s="111">
        <f>IF(Audit[[#This Row],[Times p Drawn - With Replacement]]&gt;0, IF(Audit[[#This Row],[Canceled Differences]]&lt;0, Audit[[#This Row],[Max Differences]]+ABS(Audit[[#This Row],[Canceled Differences]]), Audit[[#This Row],[Max Differences]]), 0)</f>
        <v>0</v>
      </c>
      <c r="AB598" s="111">
        <f>'Sampling Data'!P588</f>
        <v>0</v>
      </c>
      <c r="AC598" s="111">
        <f>IF(
      SUM(Audit[[#This Row],[Audit Losing Candidate]:[Audit Candidate 6]])
      &lt;&gt;0,
      (Audit[[#This Row],[Winning Candidate]]-Audit[[#This Row],[Losing Candidate]]-(Audit[[#This Row],[Audit Winning Candidate]]-Audit[[#This Row],[Audit Losing Candidate]]))/(Audit[[#Totals],[Winning Candidate]]-Audit[[#Totals],[Losing Candidate]]),
      0
)</f>
        <v>0</v>
      </c>
      <c r="AD5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8" s="111">
        <f>IF(Audit[[#This Row],[Max Relative Error (ep)]] = 0, 0, Audit[[#This Row],[Max Relative Error (ep)]]/Audit[[#This Row],[Error Bound (up) - Max. possible relative overstatement]])</f>
        <v>0</v>
      </c>
      <c r="AJ5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98" s="111">
        <f t="shared" si="9"/>
        <v>1</v>
      </c>
      <c r="AL598" s="111">
        <f>PRODUCT($AK$5:AK598)</f>
        <v>8.962823818226312E-2</v>
      </c>
      <c r="AM598" s="109">
        <f>1 - [K-M P Value]</f>
        <v>0.91037176181773694</v>
      </c>
      <c r="AN598" s="111" t="str">
        <f>IF(Audit[[#This Row],[K-M P Value]]&gt;1-'General Info'!$B$16,"Continue", "Stop")</f>
        <v>Stop</v>
      </c>
      <c r="AO598" s="110" t="b">
        <f>IF(Audit[[#This Row],[Status - Continue or stop audit]] = "Continue", TRUE, IF(AN597 = "Continue", TRUE, FALSE))</f>
        <v>0</v>
      </c>
      <c r="AP598" s="110"/>
    </row>
    <row r="599" spans="1:42" ht="15" hidden="1" customHeight="1">
      <c r="A599" s="111" t="str">
        <f>'Sampling Data'!W589</f>
        <v/>
      </c>
      <c r="B599" s="112" t="str">
        <f>'Sampling Data'!A589</f>
        <v>CLEVELAND -09-J</v>
      </c>
      <c r="C599" s="112">
        <f>'Sampling Data'!B589</f>
        <v>1</v>
      </c>
      <c r="D599" s="112">
        <f>'Sampling Data'!C589</f>
        <v>1</v>
      </c>
      <c r="E599" s="113">
        <f>'Sampling Data'!D589</f>
        <v>0</v>
      </c>
      <c r="F599" s="113">
        <f>'Sampling Data'!E589</f>
        <v>0</v>
      </c>
      <c r="G599" s="113">
        <f>'Sampling Data'!F589</f>
        <v>0</v>
      </c>
      <c r="H599" s="113">
        <f>'Sampling Data'!G589</f>
        <v>0</v>
      </c>
      <c r="I599" s="112">
        <f>'Sampling Data'!H589</f>
        <v>0</v>
      </c>
      <c r="J599" s="112">
        <f>'Sampling Data'!I589</f>
        <v>0</v>
      </c>
      <c r="K599" s="112">
        <f>'Sampling Data'!J589</f>
        <v>2</v>
      </c>
      <c r="L599" s="111">
        <f>'Sampling Data'!X589</f>
        <v>0</v>
      </c>
      <c r="M599" s="114"/>
      <c r="N599" s="114"/>
      <c r="O599" s="115"/>
      <c r="P599" s="115"/>
      <c r="Q599" s="116"/>
      <c r="R599" s="116"/>
      <c r="S599" s="111">
        <f>Audit[[#This Row],[Audit Losing Candidate]]-Audit[[#This Row],[Losing Candidate]]</f>
        <v>-1</v>
      </c>
      <c r="T599" s="111">
        <f>Audit[[#This Row],[Audit Winning Candidate]]-Audit[[#This Row],[Winning Candidate]]</f>
        <v>-1</v>
      </c>
      <c r="U599" s="111">
        <f>Audit[[#This Row],[Audit Candidate 3]]-Audit[[#This Row],[Candidate 3]]</f>
        <v>0</v>
      </c>
      <c r="V599" s="111">
        <f>Audit[[#This Row],[Audit Candidate 4]]-Audit[[#This Row],[Candidate 4]]</f>
        <v>0</v>
      </c>
      <c r="W599" s="111">
        <f>Audit[[#This Row],[Audit Candidate 5]]-Audit[[#This Row],[Candidate 5]]</f>
        <v>0</v>
      </c>
      <c r="X599" s="111">
        <f>Audit[[#This Row],[Audit Candidate 6]]-Audit[[#This Row],[Candidate 6]]</f>
        <v>0</v>
      </c>
      <c r="Y599" s="111">
        <f>SUMIF(Audit[[#This Row],[Difference Loser]:[Difference Candidate 6]], "&gt;0")</f>
        <v>0</v>
      </c>
      <c r="Z599" s="111">
        <f>SUM(Audit[[#This Row],[Difference Loser]:[Difference Candidate 6]])</f>
        <v>-2</v>
      </c>
      <c r="AA599" s="111">
        <f>IF(Audit[[#This Row],[Times p Drawn - With Replacement]]&gt;0, IF(Audit[[#This Row],[Canceled Differences]]&lt;0, Audit[[#This Row],[Max Differences]]+ABS(Audit[[#This Row],[Canceled Differences]]), Audit[[#This Row],[Max Differences]]), 0)</f>
        <v>0</v>
      </c>
      <c r="AB599" s="111">
        <f>'Sampling Data'!P589</f>
        <v>1.224889759921607E-4</v>
      </c>
      <c r="AC599" s="111">
        <f>IF(
      SUM(Audit[[#This Row],[Audit Losing Candidate]:[Audit Candidate 6]])
      &lt;&gt;0,
      (Audit[[#This Row],[Winning Candidate]]-Audit[[#This Row],[Losing Candidate]]-(Audit[[#This Row],[Audit Winning Candidate]]-Audit[[#This Row],[Audit Losing Candidate]]))/(Audit[[#Totals],[Winning Candidate]]-Audit[[#Totals],[Losing Candidate]]),
      0
)</f>
        <v>0</v>
      </c>
      <c r="AD5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9" s="111">
        <f>IF(Audit[[#This Row],[Max Relative Error (ep)]] = 0, 0, Audit[[#This Row],[Max Relative Error (ep)]]/Audit[[#This Row],[Error Bound (up) - Max. possible relative overstatement]])</f>
        <v>0</v>
      </c>
      <c r="AJ5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599" s="111">
        <f t="shared" si="9"/>
        <v>1</v>
      </c>
      <c r="AL599" s="111">
        <f>PRODUCT($AK$5:AK599)</f>
        <v>8.962823818226312E-2</v>
      </c>
      <c r="AM599" s="109">
        <f>1 - [K-M P Value]</f>
        <v>0.91037176181773694</v>
      </c>
      <c r="AN599" s="111" t="str">
        <f>IF(Audit[[#This Row],[K-M P Value]]&gt;1-'General Info'!$B$16,"Continue", "Stop")</f>
        <v>Stop</v>
      </c>
      <c r="AO599" s="110" t="b">
        <f>IF(Audit[[#This Row],[Status - Continue or stop audit]] = "Continue", TRUE, IF(AN598 = "Continue", TRUE, FALSE))</f>
        <v>0</v>
      </c>
      <c r="AP599" s="110"/>
    </row>
    <row r="600" spans="1:42" ht="15" hidden="1" customHeight="1">
      <c r="A600" s="111" t="str">
        <f>'Sampling Data'!W590</f>
        <v/>
      </c>
      <c r="B600" s="112" t="str">
        <f>'Sampling Data'!A590</f>
        <v>CLEVELAND -09-J - ABS</v>
      </c>
      <c r="C600" s="112">
        <f>'Sampling Data'!B590</f>
        <v>0</v>
      </c>
      <c r="D600" s="112">
        <f>'Sampling Data'!C590</f>
        <v>0</v>
      </c>
      <c r="E600" s="113">
        <f>'Sampling Data'!D590</f>
        <v>1</v>
      </c>
      <c r="F600" s="113">
        <f>'Sampling Data'!E590</f>
        <v>0</v>
      </c>
      <c r="G600" s="113">
        <f>'Sampling Data'!F590</f>
        <v>0</v>
      </c>
      <c r="H600" s="113">
        <f>'Sampling Data'!G590</f>
        <v>0</v>
      </c>
      <c r="I600" s="112">
        <f>'Sampling Data'!H590</f>
        <v>0</v>
      </c>
      <c r="J600" s="112">
        <f>'Sampling Data'!I590</f>
        <v>0</v>
      </c>
      <c r="K600" s="112">
        <f>'Sampling Data'!J590</f>
        <v>1</v>
      </c>
      <c r="L600" s="111">
        <f>'Sampling Data'!X590</f>
        <v>0</v>
      </c>
      <c r="M600" s="114"/>
      <c r="N600" s="114"/>
      <c r="O600" s="115"/>
      <c r="P600" s="115"/>
      <c r="Q600" s="116"/>
      <c r="R600" s="116"/>
      <c r="S600" s="111">
        <f>Audit[[#This Row],[Audit Losing Candidate]]-Audit[[#This Row],[Losing Candidate]]</f>
        <v>0</v>
      </c>
      <c r="T600" s="111">
        <f>Audit[[#This Row],[Audit Winning Candidate]]-Audit[[#This Row],[Winning Candidate]]</f>
        <v>0</v>
      </c>
      <c r="U600" s="111">
        <f>Audit[[#This Row],[Audit Candidate 3]]-Audit[[#This Row],[Candidate 3]]</f>
        <v>-1</v>
      </c>
      <c r="V600" s="111">
        <f>Audit[[#This Row],[Audit Candidate 4]]-Audit[[#This Row],[Candidate 4]]</f>
        <v>0</v>
      </c>
      <c r="W600" s="111">
        <f>Audit[[#This Row],[Audit Candidate 5]]-Audit[[#This Row],[Candidate 5]]</f>
        <v>0</v>
      </c>
      <c r="X600" s="111">
        <f>Audit[[#This Row],[Audit Candidate 6]]-Audit[[#This Row],[Candidate 6]]</f>
        <v>0</v>
      </c>
      <c r="Y600" s="111">
        <f>SUMIF(Audit[[#This Row],[Difference Loser]:[Difference Candidate 6]], "&gt;0")</f>
        <v>0</v>
      </c>
      <c r="Z600" s="111">
        <f>SUM(Audit[[#This Row],[Difference Loser]:[Difference Candidate 6]])</f>
        <v>-1</v>
      </c>
      <c r="AA600" s="111">
        <f>IF(Audit[[#This Row],[Times p Drawn - With Replacement]]&gt;0, IF(Audit[[#This Row],[Canceled Differences]]&lt;0, Audit[[#This Row],[Max Differences]]+ABS(Audit[[#This Row],[Canceled Differences]]), Audit[[#This Row],[Max Differences]]), 0)</f>
        <v>0</v>
      </c>
      <c r="AB600" s="111">
        <f>'Sampling Data'!P590</f>
        <v>6.1244487996080352E-5</v>
      </c>
      <c r="AC600" s="111">
        <f>IF(
      SUM(Audit[[#This Row],[Audit Losing Candidate]:[Audit Candidate 6]])
      &lt;&gt;0,
      (Audit[[#This Row],[Winning Candidate]]-Audit[[#This Row],[Losing Candidate]]-(Audit[[#This Row],[Audit Winning Candidate]]-Audit[[#This Row],[Audit Losing Candidate]]))/(Audit[[#Totals],[Winning Candidate]]-Audit[[#Totals],[Losing Candidate]]),
      0
)</f>
        <v>0</v>
      </c>
      <c r="AD6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0" s="111">
        <f>IF(Audit[[#This Row],[Max Relative Error (ep)]] = 0, 0, Audit[[#This Row],[Max Relative Error (ep)]]/Audit[[#This Row],[Error Bound (up) - Max. possible relative overstatement]])</f>
        <v>0</v>
      </c>
      <c r="AJ6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00" s="111">
        <f t="shared" si="9"/>
        <v>1</v>
      </c>
      <c r="AL600" s="111">
        <f>PRODUCT($AK$5:AK600)</f>
        <v>8.962823818226312E-2</v>
      </c>
      <c r="AM600" s="109">
        <f>1 - [K-M P Value]</f>
        <v>0.91037176181773694</v>
      </c>
      <c r="AN600" s="111" t="str">
        <f>IF(Audit[[#This Row],[K-M P Value]]&gt;1-'General Info'!$B$16,"Continue", "Stop")</f>
        <v>Stop</v>
      </c>
      <c r="AO600" s="110" t="b">
        <f>IF(Audit[[#This Row],[Status - Continue or stop audit]] = "Continue", TRUE, IF(AN599 = "Continue", TRUE, FALSE))</f>
        <v>0</v>
      </c>
      <c r="AP600" s="110"/>
    </row>
    <row r="601" spans="1:42" ht="15" hidden="1" customHeight="1">
      <c r="A601" s="111" t="str">
        <f>'Sampling Data'!W591</f>
        <v/>
      </c>
      <c r="B601" s="112" t="str">
        <f>'Sampling Data'!A591</f>
        <v>CLEVELAND -09-K</v>
      </c>
      <c r="C601" s="112">
        <f>'Sampling Data'!B591</f>
        <v>1</v>
      </c>
      <c r="D601" s="112">
        <f>'Sampling Data'!C591</f>
        <v>0</v>
      </c>
      <c r="E601" s="113">
        <f>'Sampling Data'!D591</f>
        <v>0</v>
      </c>
      <c r="F601" s="113">
        <f>'Sampling Data'!E591</f>
        <v>0</v>
      </c>
      <c r="G601" s="113">
        <f>'Sampling Data'!F591</f>
        <v>0</v>
      </c>
      <c r="H601" s="113">
        <f>'Sampling Data'!G591</f>
        <v>0</v>
      </c>
      <c r="I601" s="112">
        <f>'Sampling Data'!H591</f>
        <v>0</v>
      </c>
      <c r="J601" s="112">
        <f>'Sampling Data'!I591</f>
        <v>0</v>
      </c>
      <c r="K601" s="112">
        <f>'Sampling Data'!J591</f>
        <v>1</v>
      </c>
      <c r="L601" s="111">
        <f>'Sampling Data'!X591</f>
        <v>0</v>
      </c>
      <c r="M601" s="114"/>
      <c r="N601" s="114"/>
      <c r="O601" s="115"/>
      <c r="P601" s="115"/>
      <c r="Q601" s="116"/>
      <c r="R601" s="116"/>
      <c r="S601" s="111">
        <f>Audit[[#This Row],[Audit Losing Candidate]]-Audit[[#This Row],[Losing Candidate]]</f>
        <v>-1</v>
      </c>
      <c r="T601" s="111">
        <f>Audit[[#This Row],[Audit Winning Candidate]]-Audit[[#This Row],[Winning Candidate]]</f>
        <v>0</v>
      </c>
      <c r="U601" s="111">
        <f>Audit[[#This Row],[Audit Candidate 3]]-Audit[[#This Row],[Candidate 3]]</f>
        <v>0</v>
      </c>
      <c r="V601" s="111">
        <f>Audit[[#This Row],[Audit Candidate 4]]-Audit[[#This Row],[Candidate 4]]</f>
        <v>0</v>
      </c>
      <c r="W601" s="111">
        <f>Audit[[#This Row],[Audit Candidate 5]]-Audit[[#This Row],[Candidate 5]]</f>
        <v>0</v>
      </c>
      <c r="X601" s="111">
        <f>Audit[[#This Row],[Audit Candidate 6]]-Audit[[#This Row],[Candidate 6]]</f>
        <v>0</v>
      </c>
      <c r="Y601" s="111">
        <f>SUMIF(Audit[[#This Row],[Difference Loser]:[Difference Candidate 6]], "&gt;0")</f>
        <v>0</v>
      </c>
      <c r="Z601" s="111">
        <f>SUM(Audit[[#This Row],[Difference Loser]:[Difference Candidate 6]])</f>
        <v>-1</v>
      </c>
      <c r="AA601" s="111">
        <f>IF(Audit[[#This Row],[Times p Drawn - With Replacement]]&gt;0, IF(Audit[[#This Row],[Canceled Differences]]&lt;0, Audit[[#This Row],[Max Differences]]+ABS(Audit[[#This Row],[Canceled Differences]]), Audit[[#This Row],[Max Differences]]), 0)</f>
        <v>0</v>
      </c>
      <c r="AB601" s="111">
        <f>'Sampling Data'!P591</f>
        <v>3.2261186566441917E-5</v>
      </c>
      <c r="AC601" s="111">
        <f>IF(
      SUM(Audit[[#This Row],[Audit Losing Candidate]:[Audit Candidate 6]])
      &lt;&gt;0,
      (Audit[[#This Row],[Winning Candidate]]-Audit[[#This Row],[Losing Candidate]]-(Audit[[#This Row],[Audit Winning Candidate]]-Audit[[#This Row],[Audit Losing Candidate]]))/(Audit[[#Totals],[Winning Candidate]]-Audit[[#Totals],[Losing Candidate]]),
      0
)</f>
        <v>0</v>
      </c>
      <c r="AD6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1" s="111">
        <f>IF(Audit[[#This Row],[Max Relative Error (ep)]] = 0, 0, Audit[[#This Row],[Max Relative Error (ep)]]/Audit[[#This Row],[Error Bound (up) - Max. possible relative overstatement]])</f>
        <v>0</v>
      </c>
      <c r="AJ6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01" s="111">
        <f t="shared" si="9"/>
        <v>1</v>
      </c>
      <c r="AL601" s="111">
        <f>PRODUCT($AK$5:AK601)</f>
        <v>8.962823818226312E-2</v>
      </c>
      <c r="AM601" s="109">
        <f>1 - [K-M P Value]</f>
        <v>0.91037176181773694</v>
      </c>
      <c r="AN601" s="111" t="str">
        <f>IF(Audit[[#This Row],[K-M P Value]]&gt;1-'General Info'!$B$16,"Continue", "Stop")</f>
        <v>Stop</v>
      </c>
      <c r="AO601" s="110" t="b">
        <f>IF(Audit[[#This Row],[Status - Continue or stop audit]] = "Continue", TRUE, IF(AN600 = "Continue", TRUE, FALSE))</f>
        <v>0</v>
      </c>
      <c r="AP601" s="110"/>
    </row>
    <row r="602" spans="1:42" ht="15" hidden="1" customHeight="1">
      <c r="A602" s="111" t="str">
        <f>'Sampling Data'!W592</f>
        <v/>
      </c>
      <c r="B602" s="112" t="str">
        <f>'Sampling Data'!A592</f>
        <v>CLEVELAND -09-K - ABS</v>
      </c>
      <c r="C602" s="112">
        <f>'Sampling Data'!B592</f>
        <v>1</v>
      </c>
      <c r="D602" s="112">
        <f>'Sampling Data'!C592</f>
        <v>0</v>
      </c>
      <c r="E602" s="113">
        <f>'Sampling Data'!D592</f>
        <v>1</v>
      </c>
      <c r="F602" s="113">
        <f>'Sampling Data'!E592</f>
        <v>0</v>
      </c>
      <c r="G602" s="113">
        <f>'Sampling Data'!F592</f>
        <v>0</v>
      </c>
      <c r="H602" s="113">
        <f>'Sampling Data'!G592</f>
        <v>0</v>
      </c>
      <c r="I602" s="112">
        <f>'Sampling Data'!H592</f>
        <v>0</v>
      </c>
      <c r="J602" s="112">
        <f>'Sampling Data'!I592</f>
        <v>0</v>
      </c>
      <c r="K602" s="112">
        <f>'Sampling Data'!J592</f>
        <v>2</v>
      </c>
      <c r="L602" s="111">
        <f>'Sampling Data'!X592</f>
        <v>0</v>
      </c>
      <c r="M602" s="114"/>
      <c r="N602" s="114"/>
      <c r="O602" s="115"/>
      <c r="P602" s="115"/>
      <c r="Q602" s="116"/>
      <c r="R602" s="116"/>
      <c r="S602" s="111">
        <f>Audit[[#This Row],[Audit Losing Candidate]]-Audit[[#This Row],[Losing Candidate]]</f>
        <v>-1</v>
      </c>
      <c r="T602" s="111">
        <f>Audit[[#This Row],[Audit Winning Candidate]]-Audit[[#This Row],[Winning Candidate]]</f>
        <v>0</v>
      </c>
      <c r="U602" s="111">
        <f>Audit[[#This Row],[Audit Candidate 3]]-Audit[[#This Row],[Candidate 3]]</f>
        <v>-1</v>
      </c>
      <c r="V602" s="111">
        <f>Audit[[#This Row],[Audit Candidate 4]]-Audit[[#This Row],[Candidate 4]]</f>
        <v>0</v>
      </c>
      <c r="W602" s="111">
        <f>Audit[[#This Row],[Audit Candidate 5]]-Audit[[#This Row],[Candidate 5]]</f>
        <v>0</v>
      </c>
      <c r="X602" s="111">
        <f>Audit[[#This Row],[Audit Candidate 6]]-Audit[[#This Row],[Candidate 6]]</f>
        <v>0</v>
      </c>
      <c r="Y602" s="111">
        <f>SUMIF(Audit[[#This Row],[Difference Loser]:[Difference Candidate 6]], "&gt;0")</f>
        <v>0</v>
      </c>
      <c r="Z602" s="111">
        <f>SUM(Audit[[#This Row],[Difference Loser]:[Difference Candidate 6]])</f>
        <v>-2</v>
      </c>
      <c r="AA602" s="111">
        <f>IF(Audit[[#This Row],[Times p Drawn - With Replacement]]&gt;0, IF(Audit[[#This Row],[Canceled Differences]]&lt;0, Audit[[#This Row],[Max Differences]]+ABS(Audit[[#This Row],[Canceled Differences]]), Audit[[#This Row],[Max Differences]]), 0)</f>
        <v>0</v>
      </c>
      <c r="AB602" s="111">
        <f>'Sampling Data'!P592</f>
        <v>6.1244487996080352E-5</v>
      </c>
      <c r="AC602" s="111">
        <f>IF(
      SUM(Audit[[#This Row],[Audit Losing Candidate]:[Audit Candidate 6]])
      &lt;&gt;0,
      (Audit[[#This Row],[Winning Candidate]]-Audit[[#This Row],[Losing Candidate]]-(Audit[[#This Row],[Audit Winning Candidate]]-Audit[[#This Row],[Audit Losing Candidate]]))/(Audit[[#Totals],[Winning Candidate]]-Audit[[#Totals],[Losing Candidate]]),
      0
)</f>
        <v>0</v>
      </c>
      <c r="AD6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2" s="111">
        <f>IF(Audit[[#This Row],[Max Relative Error (ep)]] = 0, 0, Audit[[#This Row],[Max Relative Error (ep)]]/Audit[[#This Row],[Error Bound (up) - Max. possible relative overstatement]])</f>
        <v>0</v>
      </c>
      <c r="AJ6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02" s="111">
        <f t="shared" si="9"/>
        <v>1</v>
      </c>
      <c r="AL602" s="111">
        <f>PRODUCT($AK$5:AK602)</f>
        <v>8.962823818226312E-2</v>
      </c>
      <c r="AM602" s="109">
        <f>1 - [K-M P Value]</f>
        <v>0.91037176181773694</v>
      </c>
      <c r="AN602" s="111" t="str">
        <f>IF(Audit[[#This Row],[K-M P Value]]&gt;1-'General Info'!$B$16,"Continue", "Stop")</f>
        <v>Stop</v>
      </c>
      <c r="AO602" s="110" t="b">
        <f>IF(Audit[[#This Row],[Status - Continue or stop audit]] = "Continue", TRUE, IF(AN601 = "Continue", TRUE, FALSE))</f>
        <v>0</v>
      </c>
      <c r="AP602" s="110"/>
    </row>
    <row r="603" spans="1:42" ht="15" hidden="1" customHeight="1">
      <c r="A603" s="111" t="str">
        <f>'Sampling Data'!W593</f>
        <v/>
      </c>
      <c r="B603" s="112" t="str">
        <f>'Sampling Data'!A593</f>
        <v>CLEVELAND -09-L</v>
      </c>
      <c r="C603" s="112">
        <f>'Sampling Data'!B593</f>
        <v>2</v>
      </c>
      <c r="D603" s="112">
        <f>'Sampling Data'!C593</f>
        <v>0</v>
      </c>
      <c r="E603" s="113">
        <f>'Sampling Data'!D593</f>
        <v>0</v>
      </c>
      <c r="F603" s="113">
        <f>'Sampling Data'!E593</f>
        <v>1</v>
      </c>
      <c r="G603" s="113">
        <f>'Sampling Data'!F593</f>
        <v>0</v>
      </c>
      <c r="H603" s="113">
        <f>'Sampling Data'!G593</f>
        <v>0</v>
      </c>
      <c r="I603" s="112">
        <f>'Sampling Data'!H593</f>
        <v>0</v>
      </c>
      <c r="J603" s="112">
        <f>'Sampling Data'!I593</f>
        <v>0</v>
      </c>
      <c r="K603" s="112">
        <f>'Sampling Data'!J593</f>
        <v>3</v>
      </c>
      <c r="L603" s="111">
        <f>'Sampling Data'!X593</f>
        <v>0</v>
      </c>
      <c r="M603" s="114"/>
      <c r="N603" s="114"/>
      <c r="O603" s="115"/>
      <c r="P603" s="115"/>
      <c r="Q603" s="116"/>
      <c r="R603" s="116"/>
      <c r="S603" s="111">
        <f>Audit[[#This Row],[Audit Losing Candidate]]-Audit[[#This Row],[Losing Candidate]]</f>
        <v>-2</v>
      </c>
      <c r="T603" s="111">
        <f>Audit[[#This Row],[Audit Winning Candidate]]-Audit[[#This Row],[Winning Candidate]]</f>
        <v>0</v>
      </c>
      <c r="U603" s="111">
        <f>Audit[[#This Row],[Audit Candidate 3]]-Audit[[#This Row],[Candidate 3]]</f>
        <v>0</v>
      </c>
      <c r="V603" s="111">
        <f>Audit[[#This Row],[Audit Candidate 4]]-Audit[[#This Row],[Candidate 4]]</f>
        <v>-1</v>
      </c>
      <c r="W603" s="111">
        <f>Audit[[#This Row],[Audit Candidate 5]]-Audit[[#This Row],[Candidate 5]]</f>
        <v>0</v>
      </c>
      <c r="X603" s="111">
        <f>Audit[[#This Row],[Audit Candidate 6]]-Audit[[#This Row],[Candidate 6]]</f>
        <v>0</v>
      </c>
      <c r="Y603" s="111">
        <f>SUMIF(Audit[[#This Row],[Difference Loser]:[Difference Candidate 6]], "&gt;0")</f>
        <v>0</v>
      </c>
      <c r="Z603" s="111">
        <f>SUM(Audit[[#This Row],[Difference Loser]:[Difference Candidate 6]])</f>
        <v>-3</v>
      </c>
      <c r="AA603" s="111">
        <f>IF(Audit[[#This Row],[Times p Drawn - With Replacement]]&gt;0, IF(Audit[[#This Row],[Canceled Differences]]&lt;0, Audit[[#This Row],[Max Differences]]+ABS(Audit[[#This Row],[Canceled Differences]]), Audit[[#This Row],[Max Differences]]), 0)</f>
        <v>0</v>
      </c>
      <c r="AB603" s="111">
        <f>'Sampling Data'!P593</f>
        <v>9.6783559699325743E-5</v>
      </c>
      <c r="AC603" s="111">
        <f>IF(
      SUM(Audit[[#This Row],[Audit Losing Candidate]:[Audit Candidate 6]])
      &lt;&gt;0,
      (Audit[[#This Row],[Winning Candidate]]-Audit[[#This Row],[Losing Candidate]]-(Audit[[#This Row],[Audit Winning Candidate]]-Audit[[#This Row],[Audit Losing Candidate]]))/(Audit[[#Totals],[Winning Candidate]]-Audit[[#Totals],[Losing Candidate]]),
      0
)</f>
        <v>0</v>
      </c>
      <c r="AD6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3" s="111">
        <f>IF(Audit[[#This Row],[Max Relative Error (ep)]] = 0, 0, Audit[[#This Row],[Max Relative Error (ep)]]/Audit[[#This Row],[Error Bound (up) - Max. possible relative overstatement]])</f>
        <v>0</v>
      </c>
      <c r="AJ6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03" s="111">
        <f t="shared" si="9"/>
        <v>1</v>
      </c>
      <c r="AL603" s="111">
        <f>PRODUCT($AK$5:AK603)</f>
        <v>8.962823818226312E-2</v>
      </c>
      <c r="AM603" s="109">
        <f>1 - [K-M P Value]</f>
        <v>0.91037176181773694</v>
      </c>
      <c r="AN603" s="111" t="str">
        <f>IF(Audit[[#This Row],[K-M P Value]]&gt;1-'General Info'!$B$16,"Continue", "Stop")</f>
        <v>Stop</v>
      </c>
      <c r="AO603" s="110" t="b">
        <f>IF(Audit[[#This Row],[Status - Continue or stop audit]] = "Continue", TRUE, IF(AN602 = "Continue", TRUE, FALSE))</f>
        <v>0</v>
      </c>
      <c r="AP603" s="110"/>
    </row>
    <row r="604" spans="1:42" ht="15" hidden="1" customHeight="1">
      <c r="A604" s="111" t="str">
        <f>'Sampling Data'!W594</f>
        <v/>
      </c>
      <c r="B604" s="112" t="str">
        <f>'Sampling Data'!A594</f>
        <v>CLEVELAND -09-L - ABS</v>
      </c>
      <c r="C604" s="112">
        <f>'Sampling Data'!B594</f>
        <v>0</v>
      </c>
      <c r="D604" s="112">
        <f>'Sampling Data'!C594</f>
        <v>3</v>
      </c>
      <c r="E604" s="113">
        <f>'Sampling Data'!D594</f>
        <v>0</v>
      </c>
      <c r="F604" s="113">
        <f>'Sampling Data'!E594</f>
        <v>0</v>
      </c>
      <c r="G604" s="113">
        <f>'Sampling Data'!F594</f>
        <v>0</v>
      </c>
      <c r="H604" s="113">
        <f>'Sampling Data'!G594</f>
        <v>0</v>
      </c>
      <c r="I604" s="112">
        <f>'Sampling Data'!H594</f>
        <v>0</v>
      </c>
      <c r="J604" s="112">
        <f>'Sampling Data'!I594</f>
        <v>0</v>
      </c>
      <c r="K604" s="112">
        <f>'Sampling Data'!J594</f>
        <v>3</v>
      </c>
      <c r="L604" s="111">
        <f>'Sampling Data'!X594</f>
        <v>0</v>
      </c>
      <c r="M604" s="114"/>
      <c r="N604" s="114"/>
      <c r="O604" s="115"/>
      <c r="P604" s="115"/>
      <c r="Q604" s="116"/>
      <c r="R604" s="116"/>
      <c r="S604" s="111">
        <f>Audit[[#This Row],[Audit Losing Candidate]]-Audit[[#This Row],[Losing Candidate]]</f>
        <v>0</v>
      </c>
      <c r="T604" s="111">
        <f>Audit[[#This Row],[Audit Winning Candidate]]-Audit[[#This Row],[Winning Candidate]]</f>
        <v>-3</v>
      </c>
      <c r="U604" s="111">
        <f>Audit[[#This Row],[Audit Candidate 3]]-Audit[[#This Row],[Candidate 3]]</f>
        <v>0</v>
      </c>
      <c r="V604" s="111">
        <f>Audit[[#This Row],[Audit Candidate 4]]-Audit[[#This Row],[Candidate 4]]</f>
        <v>0</v>
      </c>
      <c r="W604" s="111">
        <f>Audit[[#This Row],[Audit Candidate 5]]-Audit[[#This Row],[Candidate 5]]</f>
        <v>0</v>
      </c>
      <c r="X604" s="111">
        <f>Audit[[#This Row],[Audit Candidate 6]]-Audit[[#This Row],[Candidate 6]]</f>
        <v>0</v>
      </c>
      <c r="Y604" s="111">
        <f>SUMIF(Audit[[#This Row],[Difference Loser]:[Difference Candidate 6]], "&gt;0")</f>
        <v>0</v>
      </c>
      <c r="Z604" s="111">
        <f>SUM(Audit[[#This Row],[Difference Loser]:[Difference Candidate 6]])</f>
        <v>-3</v>
      </c>
      <c r="AA604" s="111">
        <f>IF(Audit[[#This Row],[Times p Drawn - With Replacement]]&gt;0, IF(Audit[[#This Row],[Canceled Differences]]&lt;0, Audit[[#This Row],[Max Differences]]+ABS(Audit[[#This Row],[Canceled Differences]]), Audit[[#This Row],[Max Differences]]), 0)</f>
        <v>0</v>
      </c>
      <c r="AB604" s="111">
        <f>'Sampling Data'!P594</f>
        <v>3.6746692797648211E-4</v>
      </c>
      <c r="AC604" s="111">
        <f>IF(
      SUM(Audit[[#This Row],[Audit Losing Candidate]:[Audit Candidate 6]])
      &lt;&gt;0,
      (Audit[[#This Row],[Winning Candidate]]-Audit[[#This Row],[Losing Candidate]]-(Audit[[#This Row],[Audit Winning Candidate]]-Audit[[#This Row],[Audit Losing Candidate]]))/(Audit[[#Totals],[Winning Candidate]]-Audit[[#Totals],[Losing Candidate]]),
      0
)</f>
        <v>0</v>
      </c>
      <c r="AD6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4" s="111">
        <f>IF(Audit[[#This Row],[Max Relative Error (ep)]] = 0, 0, Audit[[#This Row],[Max Relative Error (ep)]]/Audit[[#This Row],[Error Bound (up) - Max. possible relative overstatement]])</f>
        <v>0</v>
      </c>
      <c r="AJ6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04" s="111">
        <f t="shared" si="9"/>
        <v>1</v>
      </c>
      <c r="AL604" s="111">
        <f>PRODUCT($AK$5:AK604)</f>
        <v>8.962823818226312E-2</v>
      </c>
      <c r="AM604" s="109">
        <f>1 - [K-M P Value]</f>
        <v>0.91037176181773694</v>
      </c>
      <c r="AN604" s="111" t="str">
        <f>IF(Audit[[#This Row],[K-M P Value]]&gt;1-'General Info'!$B$16,"Continue", "Stop")</f>
        <v>Stop</v>
      </c>
      <c r="AO604" s="110" t="b">
        <f>IF(Audit[[#This Row],[Status - Continue or stop audit]] = "Continue", TRUE, IF(AN603 = "Continue", TRUE, FALSE))</f>
        <v>0</v>
      </c>
      <c r="AP604" s="110"/>
    </row>
    <row r="605" spans="1:42" ht="15" hidden="1" customHeight="1">
      <c r="A605" s="111" t="str">
        <f>'Sampling Data'!W595</f>
        <v/>
      </c>
      <c r="B605" s="112" t="str">
        <f>'Sampling Data'!A595</f>
        <v>CLEVELAND -09-M</v>
      </c>
      <c r="C605" s="112">
        <f>'Sampling Data'!B595</f>
        <v>10</v>
      </c>
      <c r="D605" s="112">
        <f>'Sampling Data'!C595</f>
        <v>11</v>
      </c>
      <c r="E605" s="113">
        <f>'Sampling Data'!D595</f>
        <v>5</v>
      </c>
      <c r="F605" s="113">
        <f>'Sampling Data'!E595</f>
        <v>11</v>
      </c>
      <c r="G605" s="113">
        <f>'Sampling Data'!F595</f>
        <v>0</v>
      </c>
      <c r="H605" s="113">
        <f>'Sampling Data'!G595</f>
        <v>0</v>
      </c>
      <c r="I605" s="112">
        <f>'Sampling Data'!H595</f>
        <v>0</v>
      </c>
      <c r="J605" s="112">
        <f>'Sampling Data'!I595</f>
        <v>0</v>
      </c>
      <c r="K605" s="112">
        <f>'Sampling Data'!J595</f>
        <v>37</v>
      </c>
      <c r="L605" s="111">
        <f>'Sampling Data'!X595</f>
        <v>0</v>
      </c>
      <c r="M605" s="114"/>
      <c r="N605" s="114"/>
      <c r="O605" s="115"/>
      <c r="P605" s="115"/>
      <c r="Q605" s="116"/>
      <c r="R605" s="116"/>
      <c r="S605" s="111">
        <f>Audit[[#This Row],[Audit Losing Candidate]]-Audit[[#This Row],[Losing Candidate]]</f>
        <v>-10</v>
      </c>
      <c r="T605" s="111">
        <f>Audit[[#This Row],[Audit Winning Candidate]]-Audit[[#This Row],[Winning Candidate]]</f>
        <v>-11</v>
      </c>
      <c r="U605" s="111">
        <f>Audit[[#This Row],[Audit Candidate 3]]-Audit[[#This Row],[Candidate 3]]</f>
        <v>-5</v>
      </c>
      <c r="V605" s="111">
        <f>Audit[[#This Row],[Audit Candidate 4]]-Audit[[#This Row],[Candidate 4]]</f>
        <v>-11</v>
      </c>
      <c r="W605" s="111">
        <f>Audit[[#This Row],[Audit Candidate 5]]-Audit[[#This Row],[Candidate 5]]</f>
        <v>0</v>
      </c>
      <c r="X605" s="111">
        <f>Audit[[#This Row],[Audit Candidate 6]]-Audit[[#This Row],[Candidate 6]]</f>
        <v>0</v>
      </c>
      <c r="Y605" s="111">
        <f>SUMIF(Audit[[#This Row],[Difference Loser]:[Difference Candidate 6]], "&gt;0")</f>
        <v>0</v>
      </c>
      <c r="Z605" s="111">
        <f>SUM(Audit[[#This Row],[Difference Loser]:[Difference Candidate 6]])</f>
        <v>-37</v>
      </c>
      <c r="AA605" s="111">
        <f>IF(Audit[[#This Row],[Times p Drawn - With Replacement]]&gt;0, IF(Audit[[#This Row],[Canceled Differences]]&lt;0, Audit[[#This Row],[Max Differences]]+ABS(Audit[[#This Row],[Canceled Differences]]), Audit[[#This Row],[Max Differences]]), 0)</f>
        <v>0</v>
      </c>
      <c r="AB605" s="111">
        <f>'Sampling Data'!P595</f>
        <v>2.3272905438510533E-3</v>
      </c>
      <c r="AC605" s="111">
        <f>IF(
      SUM(Audit[[#This Row],[Audit Losing Candidate]:[Audit Candidate 6]])
      &lt;&gt;0,
      (Audit[[#This Row],[Winning Candidate]]-Audit[[#This Row],[Losing Candidate]]-(Audit[[#This Row],[Audit Winning Candidate]]-Audit[[#This Row],[Audit Losing Candidate]]))/(Audit[[#Totals],[Winning Candidate]]-Audit[[#Totals],[Losing Candidate]]),
      0
)</f>
        <v>0</v>
      </c>
      <c r="AD6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5" s="111">
        <f>IF(Audit[[#This Row],[Max Relative Error (ep)]] = 0, 0, Audit[[#This Row],[Max Relative Error (ep)]]/Audit[[#This Row],[Error Bound (up) - Max. possible relative overstatement]])</f>
        <v>0</v>
      </c>
      <c r="AJ6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05" s="111">
        <f t="shared" si="9"/>
        <v>1</v>
      </c>
      <c r="AL605" s="111">
        <f>PRODUCT($AK$5:AK605)</f>
        <v>8.962823818226312E-2</v>
      </c>
      <c r="AM605" s="109">
        <f>1 - [K-M P Value]</f>
        <v>0.91037176181773694</v>
      </c>
      <c r="AN605" s="111" t="str">
        <f>IF(Audit[[#This Row],[K-M P Value]]&gt;1-'General Info'!$B$16,"Continue", "Stop")</f>
        <v>Stop</v>
      </c>
      <c r="AO605" s="110" t="b">
        <f>IF(Audit[[#This Row],[Status - Continue or stop audit]] = "Continue", TRUE, IF(AN604 = "Continue", TRUE, FALSE))</f>
        <v>0</v>
      </c>
      <c r="AP605" s="110"/>
    </row>
    <row r="606" spans="1:42" ht="15" hidden="1" customHeight="1">
      <c r="A606" s="111" t="str">
        <f>'Sampling Data'!W596</f>
        <v/>
      </c>
      <c r="B606" s="112" t="str">
        <f>'Sampling Data'!A596</f>
        <v>CLEVELAND -09-M - ABS</v>
      </c>
      <c r="C606" s="112">
        <f>'Sampling Data'!B596</f>
        <v>4</v>
      </c>
      <c r="D606" s="112">
        <f>'Sampling Data'!C596</f>
        <v>4</v>
      </c>
      <c r="E606" s="113">
        <f>'Sampling Data'!D596</f>
        <v>0</v>
      </c>
      <c r="F606" s="113">
        <f>'Sampling Data'!E596</f>
        <v>2</v>
      </c>
      <c r="G606" s="113">
        <f>'Sampling Data'!F596</f>
        <v>0</v>
      </c>
      <c r="H606" s="113">
        <f>'Sampling Data'!G596</f>
        <v>0</v>
      </c>
      <c r="I606" s="112">
        <f>'Sampling Data'!H596</f>
        <v>0</v>
      </c>
      <c r="J606" s="112">
        <f>'Sampling Data'!I596</f>
        <v>0</v>
      </c>
      <c r="K606" s="112">
        <f>'Sampling Data'!J596</f>
        <v>10</v>
      </c>
      <c r="L606" s="111">
        <f>'Sampling Data'!X596</f>
        <v>0</v>
      </c>
      <c r="M606" s="114"/>
      <c r="N606" s="114"/>
      <c r="O606" s="115"/>
      <c r="P606" s="115"/>
      <c r="Q606" s="116"/>
      <c r="R606" s="116"/>
      <c r="S606" s="111">
        <f>Audit[[#This Row],[Audit Losing Candidate]]-Audit[[#This Row],[Losing Candidate]]</f>
        <v>-4</v>
      </c>
      <c r="T606" s="111">
        <f>Audit[[#This Row],[Audit Winning Candidate]]-Audit[[#This Row],[Winning Candidate]]</f>
        <v>-4</v>
      </c>
      <c r="U606" s="111">
        <f>Audit[[#This Row],[Audit Candidate 3]]-Audit[[#This Row],[Candidate 3]]</f>
        <v>0</v>
      </c>
      <c r="V606" s="111">
        <f>Audit[[#This Row],[Audit Candidate 4]]-Audit[[#This Row],[Candidate 4]]</f>
        <v>-2</v>
      </c>
      <c r="W606" s="111">
        <f>Audit[[#This Row],[Audit Candidate 5]]-Audit[[#This Row],[Candidate 5]]</f>
        <v>0</v>
      </c>
      <c r="X606" s="111">
        <f>Audit[[#This Row],[Audit Candidate 6]]-Audit[[#This Row],[Candidate 6]]</f>
        <v>0</v>
      </c>
      <c r="Y606" s="111">
        <f>SUMIF(Audit[[#This Row],[Difference Loser]:[Difference Candidate 6]], "&gt;0")</f>
        <v>0</v>
      </c>
      <c r="Z606" s="111">
        <f>SUM(Audit[[#This Row],[Difference Loser]:[Difference Candidate 6]])</f>
        <v>-10</v>
      </c>
      <c r="AA606" s="111">
        <f>IF(Audit[[#This Row],[Times p Drawn - With Replacement]]&gt;0, IF(Audit[[#This Row],[Canceled Differences]]&lt;0, Audit[[#This Row],[Max Differences]]+ABS(Audit[[#This Row],[Canceled Differences]]), Audit[[#This Row],[Max Differences]]), 0)</f>
        <v>0</v>
      </c>
      <c r="AB606" s="111">
        <f>'Sampling Data'!P596</f>
        <v>6.1244487996080352E-4</v>
      </c>
      <c r="AC606" s="111">
        <f>IF(
      SUM(Audit[[#This Row],[Audit Losing Candidate]:[Audit Candidate 6]])
      &lt;&gt;0,
      (Audit[[#This Row],[Winning Candidate]]-Audit[[#This Row],[Losing Candidate]]-(Audit[[#This Row],[Audit Winning Candidate]]-Audit[[#This Row],[Audit Losing Candidate]]))/(Audit[[#Totals],[Winning Candidate]]-Audit[[#Totals],[Losing Candidate]]),
      0
)</f>
        <v>0</v>
      </c>
      <c r="AD6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6" s="111">
        <f>IF(Audit[[#This Row],[Max Relative Error (ep)]] = 0, 0, Audit[[#This Row],[Max Relative Error (ep)]]/Audit[[#This Row],[Error Bound (up) - Max. possible relative overstatement]])</f>
        <v>0</v>
      </c>
      <c r="AJ6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06" s="111">
        <f t="shared" si="9"/>
        <v>1</v>
      </c>
      <c r="AL606" s="111">
        <f>PRODUCT($AK$5:AK606)</f>
        <v>8.962823818226312E-2</v>
      </c>
      <c r="AM606" s="109">
        <f>1 - [K-M P Value]</f>
        <v>0.91037176181773694</v>
      </c>
      <c r="AN606" s="111" t="str">
        <f>IF(Audit[[#This Row],[K-M P Value]]&gt;1-'General Info'!$B$16,"Continue", "Stop")</f>
        <v>Stop</v>
      </c>
      <c r="AO606" s="110" t="b">
        <f>IF(Audit[[#This Row],[Status - Continue or stop audit]] = "Continue", TRUE, IF(AN605 = "Continue", TRUE, FALSE))</f>
        <v>0</v>
      </c>
      <c r="AP606" s="110"/>
    </row>
    <row r="607" spans="1:42" ht="15" hidden="1" customHeight="1">
      <c r="A607" s="111" t="str">
        <f>'Sampling Data'!W597</f>
        <v/>
      </c>
      <c r="B607" s="112" t="str">
        <f>'Sampling Data'!A597</f>
        <v>CLEVELAND -09-N</v>
      </c>
      <c r="C607" s="112">
        <f>'Sampling Data'!B597</f>
        <v>11</v>
      </c>
      <c r="D607" s="112">
        <f>'Sampling Data'!C597</f>
        <v>9</v>
      </c>
      <c r="E607" s="113">
        <f>'Sampling Data'!D597</f>
        <v>4</v>
      </c>
      <c r="F607" s="113">
        <f>'Sampling Data'!E597</f>
        <v>4</v>
      </c>
      <c r="G607" s="113">
        <f>'Sampling Data'!F597</f>
        <v>0</v>
      </c>
      <c r="H607" s="113">
        <f>'Sampling Data'!G597</f>
        <v>1</v>
      </c>
      <c r="I607" s="112">
        <f>'Sampling Data'!H597</f>
        <v>0</v>
      </c>
      <c r="J607" s="112">
        <f>'Sampling Data'!I597</f>
        <v>0</v>
      </c>
      <c r="K607" s="112">
        <f>'Sampling Data'!J597</f>
        <v>29</v>
      </c>
      <c r="L607" s="111">
        <f>'Sampling Data'!X597</f>
        <v>0</v>
      </c>
      <c r="M607" s="114"/>
      <c r="N607" s="114"/>
      <c r="O607" s="115"/>
      <c r="P607" s="115"/>
      <c r="Q607" s="116"/>
      <c r="R607" s="116"/>
      <c r="S607" s="111">
        <f>Audit[[#This Row],[Audit Losing Candidate]]-Audit[[#This Row],[Losing Candidate]]</f>
        <v>-11</v>
      </c>
      <c r="T607" s="111">
        <f>Audit[[#This Row],[Audit Winning Candidate]]-Audit[[#This Row],[Winning Candidate]]</f>
        <v>-9</v>
      </c>
      <c r="U607" s="111">
        <f>Audit[[#This Row],[Audit Candidate 3]]-Audit[[#This Row],[Candidate 3]]</f>
        <v>-4</v>
      </c>
      <c r="V607" s="111">
        <f>Audit[[#This Row],[Audit Candidate 4]]-Audit[[#This Row],[Candidate 4]]</f>
        <v>-4</v>
      </c>
      <c r="W607" s="111">
        <f>Audit[[#This Row],[Audit Candidate 5]]-Audit[[#This Row],[Candidate 5]]</f>
        <v>0</v>
      </c>
      <c r="X607" s="111">
        <f>Audit[[#This Row],[Audit Candidate 6]]-Audit[[#This Row],[Candidate 6]]</f>
        <v>-1</v>
      </c>
      <c r="Y607" s="111">
        <f>SUMIF(Audit[[#This Row],[Difference Loser]:[Difference Candidate 6]], "&gt;0")</f>
        <v>0</v>
      </c>
      <c r="Z607" s="111">
        <f>SUM(Audit[[#This Row],[Difference Loser]:[Difference Candidate 6]])</f>
        <v>-29</v>
      </c>
      <c r="AA607" s="111">
        <f>IF(Audit[[#This Row],[Times p Drawn - With Replacement]]&gt;0, IF(Audit[[#This Row],[Canceled Differences]]&lt;0, Audit[[#This Row],[Max Differences]]+ABS(Audit[[#This Row],[Canceled Differences]]), Audit[[#This Row],[Max Differences]]), 0)</f>
        <v>0</v>
      </c>
      <c r="AB607" s="111">
        <f>'Sampling Data'!P597</f>
        <v>1.6536011758941694E-3</v>
      </c>
      <c r="AC607" s="111">
        <f>IF(
      SUM(Audit[[#This Row],[Audit Losing Candidate]:[Audit Candidate 6]])
      &lt;&gt;0,
      (Audit[[#This Row],[Winning Candidate]]-Audit[[#This Row],[Losing Candidate]]-(Audit[[#This Row],[Audit Winning Candidate]]-Audit[[#This Row],[Audit Losing Candidate]]))/(Audit[[#Totals],[Winning Candidate]]-Audit[[#Totals],[Losing Candidate]]),
      0
)</f>
        <v>0</v>
      </c>
      <c r="AD6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7" s="111">
        <f>IF(Audit[[#This Row],[Max Relative Error (ep)]] = 0, 0, Audit[[#This Row],[Max Relative Error (ep)]]/Audit[[#This Row],[Error Bound (up) - Max. possible relative overstatement]])</f>
        <v>0</v>
      </c>
      <c r="AJ6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07" s="111">
        <f t="shared" si="9"/>
        <v>1</v>
      </c>
      <c r="AL607" s="111">
        <f>PRODUCT($AK$5:AK607)</f>
        <v>8.962823818226312E-2</v>
      </c>
      <c r="AM607" s="109">
        <f>1 - [K-M P Value]</f>
        <v>0.91037176181773694</v>
      </c>
      <c r="AN607" s="111" t="str">
        <f>IF(Audit[[#This Row],[K-M P Value]]&gt;1-'General Info'!$B$16,"Continue", "Stop")</f>
        <v>Stop</v>
      </c>
      <c r="AO607" s="110" t="b">
        <f>IF(Audit[[#This Row],[Status - Continue or stop audit]] = "Continue", TRUE, IF(AN606 = "Continue", TRUE, FALSE))</f>
        <v>0</v>
      </c>
      <c r="AP607" s="110"/>
    </row>
    <row r="608" spans="1:42" ht="15" hidden="1" customHeight="1">
      <c r="A608" s="111" t="str">
        <f>'Sampling Data'!W598</f>
        <v/>
      </c>
      <c r="B608" s="112" t="str">
        <f>'Sampling Data'!A598</f>
        <v>CLEVELAND -09-N - ABS</v>
      </c>
      <c r="C608" s="112">
        <f>'Sampling Data'!B598</f>
        <v>1</v>
      </c>
      <c r="D608" s="112">
        <f>'Sampling Data'!C598</f>
        <v>3</v>
      </c>
      <c r="E608" s="113">
        <f>'Sampling Data'!D598</f>
        <v>0</v>
      </c>
      <c r="F608" s="113">
        <f>'Sampling Data'!E598</f>
        <v>0</v>
      </c>
      <c r="G608" s="113">
        <f>'Sampling Data'!F598</f>
        <v>0</v>
      </c>
      <c r="H608" s="113">
        <f>'Sampling Data'!G598</f>
        <v>0</v>
      </c>
      <c r="I608" s="112">
        <f>'Sampling Data'!H598</f>
        <v>0</v>
      </c>
      <c r="J608" s="112">
        <f>'Sampling Data'!I598</f>
        <v>0</v>
      </c>
      <c r="K608" s="112">
        <f>'Sampling Data'!J598</f>
        <v>4</v>
      </c>
      <c r="L608" s="111">
        <f>'Sampling Data'!X598</f>
        <v>0</v>
      </c>
      <c r="M608" s="114"/>
      <c r="N608" s="114"/>
      <c r="O608" s="115"/>
      <c r="P608" s="115"/>
      <c r="Q608" s="116"/>
      <c r="R608" s="116"/>
      <c r="S608" s="111">
        <f>Audit[[#This Row],[Audit Losing Candidate]]-Audit[[#This Row],[Losing Candidate]]</f>
        <v>-1</v>
      </c>
      <c r="T608" s="111">
        <f>Audit[[#This Row],[Audit Winning Candidate]]-Audit[[#This Row],[Winning Candidate]]</f>
        <v>-3</v>
      </c>
      <c r="U608" s="111">
        <f>Audit[[#This Row],[Audit Candidate 3]]-Audit[[#This Row],[Candidate 3]]</f>
        <v>0</v>
      </c>
      <c r="V608" s="111">
        <f>Audit[[#This Row],[Audit Candidate 4]]-Audit[[#This Row],[Candidate 4]]</f>
        <v>0</v>
      </c>
      <c r="W608" s="111">
        <f>Audit[[#This Row],[Audit Candidate 5]]-Audit[[#This Row],[Candidate 5]]</f>
        <v>0</v>
      </c>
      <c r="X608" s="111">
        <f>Audit[[#This Row],[Audit Candidate 6]]-Audit[[#This Row],[Candidate 6]]</f>
        <v>0</v>
      </c>
      <c r="Y608" s="111">
        <f>SUMIF(Audit[[#This Row],[Difference Loser]:[Difference Candidate 6]], "&gt;0")</f>
        <v>0</v>
      </c>
      <c r="Z608" s="111">
        <f>SUM(Audit[[#This Row],[Difference Loser]:[Difference Candidate 6]])</f>
        <v>-4</v>
      </c>
      <c r="AA608" s="111">
        <f>IF(Audit[[#This Row],[Times p Drawn - With Replacement]]&gt;0, IF(Audit[[#This Row],[Canceled Differences]]&lt;0, Audit[[#This Row],[Max Differences]]+ABS(Audit[[#This Row],[Canceled Differences]]), Audit[[#This Row],[Max Differences]]), 0)</f>
        <v>0</v>
      </c>
      <c r="AB608" s="111">
        <f>'Sampling Data'!P598</f>
        <v>3.6746692797648211E-4</v>
      </c>
      <c r="AC608" s="111">
        <f>IF(
      SUM(Audit[[#This Row],[Audit Losing Candidate]:[Audit Candidate 6]])
      &lt;&gt;0,
      (Audit[[#This Row],[Winning Candidate]]-Audit[[#This Row],[Losing Candidate]]-(Audit[[#This Row],[Audit Winning Candidate]]-Audit[[#This Row],[Audit Losing Candidate]]))/(Audit[[#Totals],[Winning Candidate]]-Audit[[#Totals],[Losing Candidate]]),
      0
)</f>
        <v>0</v>
      </c>
      <c r="AD6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8" s="111">
        <f>IF(Audit[[#This Row],[Max Relative Error (ep)]] = 0, 0, Audit[[#This Row],[Max Relative Error (ep)]]/Audit[[#This Row],[Error Bound (up) - Max. possible relative overstatement]])</f>
        <v>0</v>
      </c>
      <c r="AJ6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08" s="111">
        <f t="shared" si="9"/>
        <v>1</v>
      </c>
      <c r="AL608" s="111">
        <f>PRODUCT($AK$5:AK608)</f>
        <v>8.962823818226312E-2</v>
      </c>
      <c r="AM608" s="109">
        <f>1 - [K-M P Value]</f>
        <v>0.91037176181773694</v>
      </c>
      <c r="AN608" s="111" t="str">
        <f>IF(Audit[[#This Row],[K-M P Value]]&gt;1-'General Info'!$B$16,"Continue", "Stop")</f>
        <v>Stop</v>
      </c>
      <c r="AO608" s="110" t="b">
        <f>IF(Audit[[#This Row],[Status - Continue or stop audit]] = "Continue", TRUE, IF(AN607 = "Continue", TRUE, FALSE))</f>
        <v>0</v>
      </c>
      <c r="AP608" s="110"/>
    </row>
    <row r="609" spans="1:42" ht="15" hidden="1" customHeight="1">
      <c r="A609" s="111" t="str">
        <f>'Sampling Data'!W599</f>
        <v/>
      </c>
      <c r="B609" s="112" t="str">
        <f>'Sampling Data'!A599</f>
        <v>CLEVELAND -09-O</v>
      </c>
      <c r="C609" s="112">
        <f>'Sampling Data'!B599</f>
        <v>5</v>
      </c>
      <c r="D609" s="112">
        <f>'Sampling Data'!C599</f>
        <v>3</v>
      </c>
      <c r="E609" s="113">
        <f>'Sampling Data'!D599</f>
        <v>1</v>
      </c>
      <c r="F609" s="113">
        <f>'Sampling Data'!E599</f>
        <v>3</v>
      </c>
      <c r="G609" s="113">
        <f>'Sampling Data'!F599</f>
        <v>0</v>
      </c>
      <c r="H609" s="113">
        <f>'Sampling Data'!G599</f>
        <v>1</v>
      </c>
      <c r="I609" s="112">
        <f>'Sampling Data'!H599</f>
        <v>0</v>
      </c>
      <c r="J609" s="112">
        <f>'Sampling Data'!I599</f>
        <v>0</v>
      </c>
      <c r="K609" s="112">
        <f>'Sampling Data'!J599</f>
        <v>13</v>
      </c>
      <c r="L609" s="111">
        <f>'Sampling Data'!X599</f>
        <v>0</v>
      </c>
      <c r="M609" s="114"/>
      <c r="N609" s="114"/>
      <c r="O609" s="115"/>
      <c r="P609" s="115"/>
      <c r="Q609" s="116"/>
      <c r="R609" s="116"/>
      <c r="S609" s="111">
        <f>Audit[[#This Row],[Audit Losing Candidate]]-Audit[[#This Row],[Losing Candidate]]</f>
        <v>-5</v>
      </c>
      <c r="T609" s="111">
        <f>Audit[[#This Row],[Audit Winning Candidate]]-Audit[[#This Row],[Winning Candidate]]</f>
        <v>-3</v>
      </c>
      <c r="U609" s="111">
        <f>Audit[[#This Row],[Audit Candidate 3]]-Audit[[#This Row],[Candidate 3]]</f>
        <v>-1</v>
      </c>
      <c r="V609" s="111">
        <f>Audit[[#This Row],[Audit Candidate 4]]-Audit[[#This Row],[Candidate 4]]</f>
        <v>-3</v>
      </c>
      <c r="W609" s="111">
        <f>Audit[[#This Row],[Audit Candidate 5]]-Audit[[#This Row],[Candidate 5]]</f>
        <v>0</v>
      </c>
      <c r="X609" s="111">
        <f>Audit[[#This Row],[Audit Candidate 6]]-Audit[[#This Row],[Candidate 6]]</f>
        <v>-1</v>
      </c>
      <c r="Y609" s="111">
        <f>SUMIF(Audit[[#This Row],[Difference Loser]:[Difference Candidate 6]], "&gt;0")</f>
        <v>0</v>
      </c>
      <c r="Z609" s="111">
        <f>SUM(Audit[[#This Row],[Difference Loser]:[Difference Candidate 6]])</f>
        <v>-13</v>
      </c>
      <c r="AA609" s="111">
        <f>IF(Audit[[#This Row],[Times p Drawn - With Replacement]]&gt;0, IF(Audit[[#This Row],[Canceled Differences]]&lt;0, Audit[[#This Row],[Max Differences]]+ABS(Audit[[#This Row],[Canceled Differences]]), Audit[[#This Row],[Max Differences]]), 0)</f>
        <v>0</v>
      </c>
      <c r="AB609" s="111">
        <f>'Sampling Data'!P599</f>
        <v>6.7368936795688392E-4</v>
      </c>
      <c r="AC609" s="111">
        <f>IF(
      SUM(Audit[[#This Row],[Audit Losing Candidate]:[Audit Candidate 6]])
      &lt;&gt;0,
      (Audit[[#This Row],[Winning Candidate]]-Audit[[#This Row],[Losing Candidate]]-(Audit[[#This Row],[Audit Winning Candidate]]-Audit[[#This Row],[Audit Losing Candidate]]))/(Audit[[#Totals],[Winning Candidate]]-Audit[[#Totals],[Losing Candidate]]),
      0
)</f>
        <v>0</v>
      </c>
      <c r="AD6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9" s="111">
        <f>IF(Audit[[#This Row],[Max Relative Error (ep)]] = 0, 0, Audit[[#This Row],[Max Relative Error (ep)]]/Audit[[#This Row],[Error Bound (up) - Max. possible relative overstatement]])</f>
        <v>0</v>
      </c>
      <c r="AJ6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09" s="111">
        <f t="shared" si="9"/>
        <v>1</v>
      </c>
      <c r="AL609" s="111">
        <f>PRODUCT($AK$5:AK609)</f>
        <v>8.962823818226312E-2</v>
      </c>
      <c r="AM609" s="109">
        <f>1 - [K-M P Value]</f>
        <v>0.91037176181773694</v>
      </c>
      <c r="AN609" s="111" t="str">
        <f>IF(Audit[[#This Row],[K-M P Value]]&gt;1-'General Info'!$B$16,"Continue", "Stop")</f>
        <v>Stop</v>
      </c>
      <c r="AO609" s="110" t="b">
        <f>IF(Audit[[#This Row],[Status - Continue or stop audit]] = "Continue", TRUE, IF(AN608 = "Continue", TRUE, FALSE))</f>
        <v>0</v>
      </c>
      <c r="AP609" s="110"/>
    </row>
    <row r="610" spans="1:42" ht="15" hidden="1" customHeight="1">
      <c r="A610" s="111" t="str">
        <f>'Sampling Data'!W600</f>
        <v/>
      </c>
      <c r="B610" s="112" t="str">
        <f>'Sampling Data'!A600</f>
        <v>CLEVELAND -09-O - ABS</v>
      </c>
      <c r="C610" s="112">
        <f>'Sampling Data'!B600</f>
        <v>1</v>
      </c>
      <c r="D610" s="112">
        <f>'Sampling Data'!C600</f>
        <v>0</v>
      </c>
      <c r="E610" s="113">
        <f>'Sampling Data'!D600</f>
        <v>2</v>
      </c>
      <c r="F610" s="113">
        <f>'Sampling Data'!E600</f>
        <v>0</v>
      </c>
      <c r="G610" s="113">
        <f>'Sampling Data'!F600</f>
        <v>0</v>
      </c>
      <c r="H610" s="113">
        <f>'Sampling Data'!G600</f>
        <v>0</v>
      </c>
      <c r="I610" s="112">
        <f>'Sampling Data'!H600</f>
        <v>0</v>
      </c>
      <c r="J610" s="112">
        <f>'Sampling Data'!I600</f>
        <v>0</v>
      </c>
      <c r="K610" s="112">
        <f>'Sampling Data'!J600</f>
        <v>3</v>
      </c>
      <c r="L610" s="111">
        <f>'Sampling Data'!X600</f>
        <v>0</v>
      </c>
      <c r="M610" s="114"/>
      <c r="N610" s="114"/>
      <c r="O610" s="115"/>
      <c r="P610" s="115"/>
      <c r="Q610" s="116"/>
      <c r="R610" s="116"/>
      <c r="S610" s="111">
        <f>Audit[[#This Row],[Audit Losing Candidate]]-Audit[[#This Row],[Losing Candidate]]</f>
        <v>-1</v>
      </c>
      <c r="T610" s="111">
        <f>Audit[[#This Row],[Audit Winning Candidate]]-Audit[[#This Row],[Winning Candidate]]</f>
        <v>0</v>
      </c>
      <c r="U610" s="111">
        <f>Audit[[#This Row],[Audit Candidate 3]]-Audit[[#This Row],[Candidate 3]]</f>
        <v>-2</v>
      </c>
      <c r="V610" s="111">
        <f>Audit[[#This Row],[Audit Candidate 4]]-Audit[[#This Row],[Candidate 4]]</f>
        <v>0</v>
      </c>
      <c r="W610" s="111">
        <f>Audit[[#This Row],[Audit Candidate 5]]-Audit[[#This Row],[Candidate 5]]</f>
        <v>0</v>
      </c>
      <c r="X610" s="111">
        <f>Audit[[#This Row],[Audit Candidate 6]]-Audit[[#This Row],[Candidate 6]]</f>
        <v>0</v>
      </c>
      <c r="Y610" s="111">
        <f>SUMIF(Audit[[#This Row],[Difference Loser]:[Difference Candidate 6]], "&gt;0")</f>
        <v>0</v>
      </c>
      <c r="Z610" s="111">
        <f>SUM(Audit[[#This Row],[Difference Loser]:[Difference Candidate 6]])</f>
        <v>-3</v>
      </c>
      <c r="AA610" s="111">
        <f>IF(Audit[[#This Row],[Times p Drawn - With Replacement]]&gt;0, IF(Audit[[#This Row],[Canceled Differences]]&lt;0, Audit[[#This Row],[Max Differences]]+ABS(Audit[[#This Row],[Canceled Differences]]), Audit[[#This Row],[Max Differences]]), 0)</f>
        <v>0</v>
      </c>
      <c r="AB610" s="111">
        <f>'Sampling Data'!P600</f>
        <v>1.224889759921607E-4</v>
      </c>
      <c r="AC610" s="111">
        <f>IF(
      SUM(Audit[[#This Row],[Audit Losing Candidate]:[Audit Candidate 6]])
      &lt;&gt;0,
      (Audit[[#This Row],[Winning Candidate]]-Audit[[#This Row],[Losing Candidate]]-(Audit[[#This Row],[Audit Winning Candidate]]-Audit[[#This Row],[Audit Losing Candidate]]))/(Audit[[#Totals],[Winning Candidate]]-Audit[[#Totals],[Losing Candidate]]),
      0
)</f>
        <v>0</v>
      </c>
      <c r="AD6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0" s="111">
        <f>IF(Audit[[#This Row],[Max Relative Error (ep)]] = 0, 0, Audit[[#This Row],[Max Relative Error (ep)]]/Audit[[#This Row],[Error Bound (up) - Max. possible relative overstatement]])</f>
        <v>0</v>
      </c>
      <c r="AJ6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10" s="111">
        <f t="shared" si="9"/>
        <v>1</v>
      </c>
      <c r="AL610" s="111">
        <f>PRODUCT($AK$5:AK610)</f>
        <v>8.962823818226312E-2</v>
      </c>
      <c r="AM610" s="109">
        <f>1 - [K-M P Value]</f>
        <v>0.91037176181773694</v>
      </c>
      <c r="AN610" s="111" t="str">
        <f>IF(Audit[[#This Row],[K-M P Value]]&gt;1-'General Info'!$B$16,"Continue", "Stop")</f>
        <v>Stop</v>
      </c>
      <c r="AO610" s="110" t="b">
        <f>IF(Audit[[#This Row],[Status - Continue or stop audit]] = "Continue", TRUE, IF(AN609 = "Continue", TRUE, FALSE))</f>
        <v>0</v>
      </c>
      <c r="AP610" s="110"/>
    </row>
    <row r="611" spans="1:42" ht="15" hidden="1" customHeight="1">
      <c r="A611" s="111" t="str">
        <f>'Sampling Data'!W601</f>
        <v/>
      </c>
      <c r="B611" s="112" t="str">
        <f>'Sampling Data'!A601</f>
        <v>CLEVELAND -09-P</v>
      </c>
      <c r="C611" s="112">
        <f>'Sampling Data'!B601</f>
        <v>3</v>
      </c>
      <c r="D611" s="112">
        <f>'Sampling Data'!C601</f>
        <v>0</v>
      </c>
      <c r="E611" s="113">
        <f>'Sampling Data'!D601</f>
        <v>0</v>
      </c>
      <c r="F611" s="113">
        <f>'Sampling Data'!E601</f>
        <v>3</v>
      </c>
      <c r="G611" s="113">
        <f>'Sampling Data'!F601</f>
        <v>0</v>
      </c>
      <c r="H611" s="113">
        <f>'Sampling Data'!G601</f>
        <v>0</v>
      </c>
      <c r="I611" s="112">
        <f>'Sampling Data'!H601</f>
        <v>0</v>
      </c>
      <c r="J611" s="112">
        <f>'Sampling Data'!I601</f>
        <v>0</v>
      </c>
      <c r="K611" s="112">
        <f>'Sampling Data'!J601</f>
        <v>6</v>
      </c>
      <c r="L611" s="111">
        <f>'Sampling Data'!X601</f>
        <v>0</v>
      </c>
      <c r="M611" s="114"/>
      <c r="N611" s="114"/>
      <c r="O611" s="115"/>
      <c r="P611" s="115"/>
      <c r="Q611" s="116"/>
      <c r="R611" s="116"/>
      <c r="S611" s="111">
        <f>Audit[[#This Row],[Audit Losing Candidate]]-Audit[[#This Row],[Losing Candidate]]</f>
        <v>-3</v>
      </c>
      <c r="T611" s="111">
        <f>Audit[[#This Row],[Audit Winning Candidate]]-Audit[[#This Row],[Winning Candidate]]</f>
        <v>0</v>
      </c>
      <c r="U611" s="111">
        <f>Audit[[#This Row],[Audit Candidate 3]]-Audit[[#This Row],[Candidate 3]]</f>
        <v>0</v>
      </c>
      <c r="V611" s="111">
        <f>Audit[[#This Row],[Audit Candidate 4]]-Audit[[#This Row],[Candidate 4]]</f>
        <v>-3</v>
      </c>
      <c r="W611" s="111">
        <f>Audit[[#This Row],[Audit Candidate 5]]-Audit[[#This Row],[Candidate 5]]</f>
        <v>0</v>
      </c>
      <c r="X611" s="111">
        <f>Audit[[#This Row],[Audit Candidate 6]]-Audit[[#This Row],[Candidate 6]]</f>
        <v>0</v>
      </c>
      <c r="Y611" s="111">
        <f>SUMIF(Audit[[#This Row],[Difference Loser]:[Difference Candidate 6]], "&gt;0")</f>
        <v>0</v>
      </c>
      <c r="Z611" s="111">
        <f>SUM(Audit[[#This Row],[Difference Loser]:[Difference Candidate 6]])</f>
        <v>-6</v>
      </c>
      <c r="AA611" s="111">
        <f>IF(Audit[[#This Row],[Times p Drawn - With Replacement]]&gt;0, IF(Audit[[#This Row],[Canceled Differences]]&lt;0, Audit[[#This Row],[Max Differences]]+ABS(Audit[[#This Row],[Canceled Differences]]), Audit[[#This Row],[Max Differences]]), 0)</f>
        <v>0</v>
      </c>
      <c r="AB611" s="111">
        <f>'Sampling Data'!P601</f>
        <v>1.9356711939865149E-4</v>
      </c>
      <c r="AC611" s="111">
        <f>IF(
      SUM(Audit[[#This Row],[Audit Losing Candidate]:[Audit Candidate 6]])
      &lt;&gt;0,
      (Audit[[#This Row],[Winning Candidate]]-Audit[[#This Row],[Losing Candidate]]-(Audit[[#This Row],[Audit Winning Candidate]]-Audit[[#This Row],[Audit Losing Candidate]]))/(Audit[[#Totals],[Winning Candidate]]-Audit[[#Totals],[Losing Candidate]]),
      0
)</f>
        <v>0</v>
      </c>
      <c r="AD6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1" s="111">
        <f>IF(Audit[[#This Row],[Max Relative Error (ep)]] = 0, 0, Audit[[#This Row],[Max Relative Error (ep)]]/Audit[[#This Row],[Error Bound (up) - Max. possible relative overstatement]])</f>
        <v>0</v>
      </c>
      <c r="AJ6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11" s="111">
        <f t="shared" si="9"/>
        <v>1</v>
      </c>
      <c r="AL611" s="111">
        <f>PRODUCT($AK$5:AK611)</f>
        <v>8.962823818226312E-2</v>
      </c>
      <c r="AM611" s="109">
        <f>1 - [K-M P Value]</f>
        <v>0.91037176181773694</v>
      </c>
      <c r="AN611" s="111" t="str">
        <f>IF(Audit[[#This Row],[K-M P Value]]&gt;1-'General Info'!$B$16,"Continue", "Stop")</f>
        <v>Stop</v>
      </c>
      <c r="AO611" s="110" t="b">
        <f>IF(Audit[[#This Row],[Status - Continue or stop audit]] = "Continue", TRUE, IF(AN610 = "Continue", TRUE, FALSE))</f>
        <v>0</v>
      </c>
      <c r="AP611" s="110"/>
    </row>
    <row r="612" spans="1:42" ht="15" hidden="1" customHeight="1">
      <c r="A612" s="111" t="str">
        <f>'Sampling Data'!W602</f>
        <v/>
      </c>
      <c r="B612" s="112" t="str">
        <f>'Sampling Data'!A602</f>
        <v>CLEVELAND -09-P - ABS</v>
      </c>
      <c r="C612" s="112">
        <f>'Sampling Data'!B602</f>
        <v>0</v>
      </c>
      <c r="D612" s="112">
        <f>'Sampling Data'!C602</f>
        <v>1</v>
      </c>
      <c r="E612" s="113">
        <f>'Sampling Data'!D602</f>
        <v>0</v>
      </c>
      <c r="F612" s="113">
        <f>'Sampling Data'!E602</f>
        <v>0</v>
      </c>
      <c r="G612" s="113">
        <f>'Sampling Data'!F602</f>
        <v>0</v>
      </c>
      <c r="H612" s="113">
        <f>'Sampling Data'!G602</f>
        <v>0</v>
      </c>
      <c r="I612" s="112">
        <f>'Sampling Data'!H602</f>
        <v>0</v>
      </c>
      <c r="J612" s="112">
        <f>'Sampling Data'!I602</f>
        <v>0</v>
      </c>
      <c r="K612" s="112">
        <f>'Sampling Data'!J602</f>
        <v>1</v>
      </c>
      <c r="L612" s="111">
        <f>'Sampling Data'!X602</f>
        <v>0</v>
      </c>
      <c r="M612" s="114"/>
      <c r="N612" s="114"/>
      <c r="O612" s="115"/>
      <c r="P612" s="115"/>
      <c r="Q612" s="116"/>
      <c r="R612" s="116"/>
      <c r="S612" s="111">
        <f>Audit[[#This Row],[Audit Losing Candidate]]-Audit[[#This Row],[Losing Candidate]]</f>
        <v>0</v>
      </c>
      <c r="T612" s="111">
        <f>Audit[[#This Row],[Audit Winning Candidate]]-Audit[[#This Row],[Winning Candidate]]</f>
        <v>-1</v>
      </c>
      <c r="U612" s="111">
        <f>Audit[[#This Row],[Audit Candidate 3]]-Audit[[#This Row],[Candidate 3]]</f>
        <v>0</v>
      </c>
      <c r="V612" s="111">
        <f>Audit[[#This Row],[Audit Candidate 4]]-Audit[[#This Row],[Candidate 4]]</f>
        <v>0</v>
      </c>
      <c r="W612" s="111">
        <f>Audit[[#This Row],[Audit Candidate 5]]-Audit[[#This Row],[Candidate 5]]</f>
        <v>0</v>
      </c>
      <c r="X612" s="111">
        <f>Audit[[#This Row],[Audit Candidate 6]]-Audit[[#This Row],[Candidate 6]]</f>
        <v>0</v>
      </c>
      <c r="Y612" s="111">
        <f>SUMIF(Audit[[#This Row],[Difference Loser]:[Difference Candidate 6]], "&gt;0")</f>
        <v>0</v>
      </c>
      <c r="Z612" s="111">
        <f>SUM(Audit[[#This Row],[Difference Loser]:[Difference Candidate 6]])</f>
        <v>-1</v>
      </c>
      <c r="AA612" s="111">
        <f>IF(Audit[[#This Row],[Times p Drawn - With Replacement]]&gt;0, IF(Audit[[#This Row],[Canceled Differences]]&lt;0, Audit[[#This Row],[Max Differences]]+ABS(Audit[[#This Row],[Canceled Differences]]), Audit[[#This Row],[Max Differences]]), 0)</f>
        <v>0</v>
      </c>
      <c r="AB612" s="111">
        <f>'Sampling Data'!P602</f>
        <v>1.224889759921607E-4</v>
      </c>
      <c r="AC612" s="111">
        <f>IF(
      SUM(Audit[[#This Row],[Audit Losing Candidate]:[Audit Candidate 6]])
      &lt;&gt;0,
      (Audit[[#This Row],[Winning Candidate]]-Audit[[#This Row],[Losing Candidate]]-(Audit[[#This Row],[Audit Winning Candidate]]-Audit[[#This Row],[Audit Losing Candidate]]))/(Audit[[#Totals],[Winning Candidate]]-Audit[[#Totals],[Losing Candidate]]),
      0
)</f>
        <v>0</v>
      </c>
      <c r="AD6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2" s="111">
        <f>IF(Audit[[#This Row],[Max Relative Error (ep)]] = 0, 0, Audit[[#This Row],[Max Relative Error (ep)]]/Audit[[#This Row],[Error Bound (up) - Max. possible relative overstatement]])</f>
        <v>0</v>
      </c>
      <c r="AJ6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12" s="111">
        <f t="shared" si="9"/>
        <v>1</v>
      </c>
      <c r="AL612" s="111">
        <f>PRODUCT($AK$5:AK612)</f>
        <v>8.962823818226312E-2</v>
      </c>
      <c r="AM612" s="109">
        <f>1 - [K-M P Value]</f>
        <v>0.91037176181773694</v>
      </c>
      <c r="AN612" s="111" t="str">
        <f>IF(Audit[[#This Row],[K-M P Value]]&gt;1-'General Info'!$B$16,"Continue", "Stop")</f>
        <v>Stop</v>
      </c>
      <c r="AO612" s="110" t="b">
        <f>IF(Audit[[#This Row],[Status - Continue or stop audit]] = "Continue", TRUE, IF(AN611 = "Continue", TRUE, FALSE))</f>
        <v>0</v>
      </c>
      <c r="AP612" s="110"/>
    </row>
    <row r="613" spans="1:42" ht="15" hidden="1" customHeight="1">
      <c r="A613" s="111" t="str">
        <f>'Sampling Data'!W603</f>
        <v/>
      </c>
      <c r="B613" s="112" t="str">
        <f>'Sampling Data'!A603</f>
        <v>CLEVELAND -09-Q</v>
      </c>
      <c r="C613" s="112">
        <f>'Sampling Data'!B603</f>
        <v>0</v>
      </c>
      <c r="D613" s="112">
        <f>'Sampling Data'!C603</f>
        <v>0</v>
      </c>
      <c r="E613" s="113">
        <f>'Sampling Data'!D603</f>
        <v>0</v>
      </c>
      <c r="F613" s="113">
        <f>'Sampling Data'!E603</f>
        <v>0</v>
      </c>
      <c r="G613" s="113">
        <f>'Sampling Data'!F603</f>
        <v>0</v>
      </c>
      <c r="H613" s="113">
        <f>'Sampling Data'!G603</f>
        <v>0</v>
      </c>
      <c r="I613" s="112">
        <f>'Sampling Data'!H603</f>
        <v>0</v>
      </c>
      <c r="J613" s="112">
        <f>'Sampling Data'!I603</f>
        <v>0</v>
      </c>
      <c r="K613" s="112">
        <f>'Sampling Data'!J603</f>
        <v>0</v>
      </c>
      <c r="L613" s="111">
        <f>'Sampling Data'!X603</f>
        <v>0</v>
      </c>
      <c r="M613" s="114"/>
      <c r="N613" s="114"/>
      <c r="O613" s="115"/>
      <c r="P613" s="115"/>
      <c r="Q613" s="116"/>
      <c r="R613" s="116"/>
      <c r="S613" s="111">
        <f>Audit[[#This Row],[Audit Losing Candidate]]-Audit[[#This Row],[Losing Candidate]]</f>
        <v>0</v>
      </c>
      <c r="T613" s="111">
        <f>Audit[[#This Row],[Audit Winning Candidate]]-Audit[[#This Row],[Winning Candidate]]</f>
        <v>0</v>
      </c>
      <c r="U613" s="111">
        <f>Audit[[#This Row],[Audit Candidate 3]]-Audit[[#This Row],[Candidate 3]]</f>
        <v>0</v>
      </c>
      <c r="V613" s="111">
        <f>Audit[[#This Row],[Audit Candidate 4]]-Audit[[#This Row],[Candidate 4]]</f>
        <v>0</v>
      </c>
      <c r="W613" s="111">
        <f>Audit[[#This Row],[Audit Candidate 5]]-Audit[[#This Row],[Candidate 5]]</f>
        <v>0</v>
      </c>
      <c r="X613" s="111">
        <f>Audit[[#This Row],[Audit Candidate 6]]-Audit[[#This Row],[Candidate 6]]</f>
        <v>0</v>
      </c>
      <c r="Y613" s="111">
        <f>SUMIF(Audit[[#This Row],[Difference Loser]:[Difference Candidate 6]], "&gt;0")</f>
        <v>0</v>
      </c>
      <c r="Z613" s="111">
        <f>SUM(Audit[[#This Row],[Difference Loser]:[Difference Candidate 6]])</f>
        <v>0</v>
      </c>
      <c r="AA613" s="111">
        <f>IF(Audit[[#This Row],[Times p Drawn - With Replacement]]&gt;0, IF(Audit[[#This Row],[Canceled Differences]]&lt;0, Audit[[#This Row],[Max Differences]]+ABS(Audit[[#This Row],[Canceled Differences]]), Audit[[#This Row],[Max Differences]]), 0)</f>
        <v>0</v>
      </c>
      <c r="AB613" s="111">
        <f>'Sampling Data'!P603</f>
        <v>0</v>
      </c>
      <c r="AC613" s="111">
        <f>IF(
      SUM(Audit[[#This Row],[Audit Losing Candidate]:[Audit Candidate 6]])
      &lt;&gt;0,
      (Audit[[#This Row],[Winning Candidate]]-Audit[[#This Row],[Losing Candidate]]-(Audit[[#This Row],[Audit Winning Candidate]]-Audit[[#This Row],[Audit Losing Candidate]]))/(Audit[[#Totals],[Winning Candidate]]-Audit[[#Totals],[Losing Candidate]]),
      0
)</f>
        <v>0</v>
      </c>
      <c r="AD6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3" s="111">
        <f>IF(Audit[[#This Row],[Max Relative Error (ep)]] = 0, 0, Audit[[#This Row],[Max Relative Error (ep)]]/Audit[[#This Row],[Error Bound (up) - Max. possible relative overstatement]])</f>
        <v>0</v>
      </c>
      <c r="AJ6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13" s="111">
        <f t="shared" si="9"/>
        <v>1</v>
      </c>
      <c r="AL613" s="111">
        <f>PRODUCT($AK$5:AK613)</f>
        <v>8.962823818226312E-2</v>
      </c>
      <c r="AM613" s="109">
        <f>1 - [K-M P Value]</f>
        <v>0.91037176181773694</v>
      </c>
      <c r="AN613" s="111" t="str">
        <f>IF(Audit[[#This Row],[K-M P Value]]&gt;1-'General Info'!$B$16,"Continue", "Stop")</f>
        <v>Stop</v>
      </c>
      <c r="AO613" s="110" t="b">
        <f>IF(Audit[[#This Row],[Status - Continue or stop audit]] = "Continue", TRUE, IF(AN612 = "Continue", TRUE, FALSE))</f>
        <v>0</v>
      </c>
      <c r="AP613" s="110"/>
    </row>
    <row r="614" spans="1:42" ht="15" hidden="1" customHeight="1">
      <c r="A614" s="111" t="str">
        <f>'Sampling Data'!W604</f>
        <v/>
      </c>
      <c r="B614" s="112" t="str">
        <f>'Sampling Data'!A604</f>
        <v>CLEVELAND -09-Q - ABS</v>
      </c>
      <c r="C614" s="112">
        <f>'Sampling Data'!B604</f>
        <v>0</v>
      </c>
      <c r="D614" s="112">
        <f>'Sampling Data'!C604</f>
        <v>0</v>
      </c>
      <c r="E614" s="113">
        <f>'Sampling Data'!D604</f>
        <v>0</v>
      </c>
      <c r="F614" s="113">
        <f>'Sampling Data'!E604</f>
        <v>0</v>
      </c>
      <c r="G614" s="113">
        <f>'Sampling Data'!F604</f>
        <v>0</v>
      </c>
      <c r="H614" s="113">
        <f>'Sampling Data'!G604</f>
        <v>0</v>
      </c>
      <c r="I614" s="112">
        <f>'Sampling Data'!H604</f>
        <v>0</v>
      </c>
      <c r="J614" s="112">
        <f>'Sampling Data'!I604</f>
        <v>0</v>
      </c>
      <c r="K614" s="112">
        <f>'Sampling Data'!J604</f>
        <v>0</v>
      </c>
      <c r="L614" s="111">
        <f>'Sampling Data'!X604</f>
        <v>0</v>
      </c>
      <c r="M614" s="114"/>
      <c r="N614" s="114"/>
      <c r="O614" s="115"/>
      <c r="P614" s="115"/>
      <c r="Q614" s="116"/>
      <c r="R614" s="116"/>
      <c r="S614" s="111">
        <f>Audit[[#This Row],[Audit Losing Candidate]]-Audit[[#This Row],[Losing Candidate]]</f>
        <v>0</v>
      </c>
      <c r="T614" s="111">
        <f>Audit[[#This Row],[Audit Winning Candidate]]-Audit[[#This Row],[Winning Candidate]]</f>
        <v>0</v>
      </c>
      <c r="U614" s="111">
        <f>Audit[[#This Row],[Audit Candidate 3]]-Audit[[#This Row],[Candidate 3]]</f>
        <v>0</v>
      </c>
      <c r="V614" s="111">
        <f>Audit[[#This Row],[Audit Candidate 4]]-Audit[[#This Row],[Candidate 4]]</f>
        <v>0</v>
      </c>
      <c r="W614" s="111">
        <f>Audit[[#This Row],[Audit Candidate 5]]-Audit[[#This Row],[Candidate 5]]</f>
        <v>0</v>
      </c>
      <c r="X614" s="111">
        <f>Audit[[#This Row],[Audit Candidate 6]]-Audit[[#This Row],[Candidate 6]]</f>
        <v>0</v>
      </c>
      <c r="Y614" s="111">
        <f>SUMIF(Audit[[#This Row],[Difference Loser]:[Difference Candidate 6]], "&gt;0")</f>
        <v>0</v>
      </c>
      <c r="Z614" s="111">
        <f>SUM(Audit[[#This Row],[Difference Loser]:[Difference Candidate 6]])</f>
        <v>0</v>
      </c>
      <c r="AA614" s="111">
        <f>IF(Audit[[#This Row],[Times p Drawn - With Replacement]]&gt;0, IF(Audit[[#This Row],[Canceled Differences]]&lt;0, Audit[[#This Row],[Max Differences]]+ABS(Audit[[#This Row],[Canceled Differences]]), Audit[[#This Row],[Max Differences]]), 0)</f>
        <v>0</v>
      </c>
      <c r="AB614" s="111">
        <f>'Sampling Data'!P604</f>
        <v>0</v>
      </c>
      <c r="AC614" s="111">
        <f>IF(
      SUM(Audit[[#This Row],[Audit Losing Candidate]:[Audit Candidate 6]])
      &lt;&gt;0,
      (Audit[[#This Row],[Winning Candidate]]-Audit[[#This Row],[Losing Candidate]]-(Audit[[#This Row],[Audit Winning Candidate]]-Audit[[#This Row],[Audit Losing Candidate]]))/(Audit[[#Totals],[Winning Candidate]]-Audit[[#Totals],[Losing Candidate]]),
      0
)</f>
        <v>0</v>
      </c>
      <c r="AD6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4" s="111">
        <f>IF(Audit[[#This Row],[Max Relative Error (ep)]] = 0, 0, Audit[[#This Row],[Max Relative Error (ep)]]/Audit[[#This Row],[Error Bound (up) - Max. possible relative overstatement]])</f>
        <v>0</v>
      </c>
      <c r="AJ6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14" s="111">
        <f t="shared" si="9"/>
        <v>1</v>
      </c>
      <c r="AL614" s="111">
        <f>PRODUCT($AK$5:AK614)</f>
        <v>8.962823818226312E-2</v>
      </c>
      <c r="AM614" s="109">
        <f>1 - [K-M P Value]</f>
        <v>0.91037176181773694</v>
      </c>
      <c r="AN614" s="111" t="str">
        <f>IF(Audit[[#This Row],[K-M P Value]]&gt;1-'General Info'!$B$16,"Continue", "Stop")</f>
        <v>Stop</v>
      </c>
      <c r="AO614" s="110" t="b">
        <f>IF(Audit[[#This Row],[Status - Continue or stop audit]] = "Continue", TRUE, IF(AN613 = "Continue", TRUE, FALSE))</f>
        <v>0</v>
      </c>
      <c r="AP614" s="110"/>
    </row>
    <row r="615" spans="1:42" ht="15" hidden="1" customHeight="1">
      <c r="A615" s="111" t="str">
        <f>'Sampling Data'!W605</f>
        <v/>
      </c>
      <c r="B615" s="112" t="str">
        <f>'Sampling Data'!A605</f>
        <v>CLEVELAND -10-A</v>
      </c>
      <c r="C615" s="112">
        <f>'Sampling Data'!B605</f>
        <v>2</v>
      </c>
      <c r="D615" s="112">
        <f>'Sampling Data'!C605</f>
        <v>1</v>
      </c>
      <c r="E615" s="113">
        <f>'Sampling Data'!D605</f>
        <v>1</v>
      </c>
      <c r="F615" s="113">
        <f>'Sampling Data'!E605</f>
        <v>1</v>
      </c>
      <c r="G615" s="113">
        <f>'Sampling Data'!F605</f>
        <v>0</v>
      </c>
      <c r="H615" s="113">
        <f>'Sampling Data'!G605</f>
        <v>0</v>
      </c>
      <c r="I615" s="112">
        <f>'Sampling Data'!H605</f>
        <v>0</v>
      </c>
      <c r="J615" s="112">
        <f>'Sampling Data'!I605</f>
        <v>0</v>
      </c>
      <c r="K615" s="112">
        <f>'Sampling Data'!J605</f>
        <v>5</v>
      </c>
      <c r="L615" s="111">
        <f>'Sampling Data'!X605</f>
        <v>0</v>
      </c>
      <c r="M615" s="114"/>
      <c r="N615" s="114"/>
      <c r="O615" s="115"/>
      <c r="P615" s="115"/>
      <c r="Q615" s="116"/>
      <c r="R615" s="116"/>
      <c r="S615" s="111">
        <f>Audit[[#This Row],[Audit Losing Candidate]]-Audit[[#This Row],[Losing Candidate]]</f>
        <v>-2</v>
      </c>
      <c r="T615" s="111">
        <f>Audit[[#This Row],[Audit Winning Candidate]]-Audit[[#This Row],[Winning Candidate]]</f>
        <v>-1</v>
      </c>
      <c r="U615" s="111">
        <f>Audit[[#This Row],[Audit Candidate 3]]-Audit[[#This Row],[Candidate 3]]</f>
        <v>-1</v>
      </c>
      <c r="V615" s="111">
        <f>Audit[[#This Row],[Audit Candidate 4]]-Audit[[#This Row],[Candidate 4]]</f>
        <v>-1</v>
      </c>
      <c r="W615" s="111">
        <f>Audit[[#This Row],[Audit Candidate 5]]-Audit[[#This Row],[Candidate 5]]</f>
        <v>0</v>
      </c>
      <c r="X615" s="111">
        <f>Audit[[#This Row],[Audit Candidate 6]]-Audit[[#This Row],[Candidate 6]]</f>
        <v>0</v>
      </c>
      <c r="Y615" s="111">
        <f>SUMIF(Audit[[#This Row],[Difference Loser]:[Difference Candidate 6]], "&gt;0")</f>
        <v>0</v>
      </c>
      <c r="Z615" s="111">
        <f>SUM(Audit[[#This Row],[Difference Loser]:[Difference Candidate 6]])</f>
        <v>-5</v>
      </c>
      <c r="AA615" s="111">
        <f>IF(Audit[[#This Row],[Times p Drawn - With Replacement]]&gt;0, IF(Audit[[#This Row],[Canceled Differences]]&lt;0, Audit[[#This Row],[Max Differences]]+ABS(Audit[[#This Row],[Canceled Differences]]), Audit[[#This Row],[Max Differences]]), 0)</f>
        <v>0</v>
      </c>
      <c r="AB615" s="111">
        <f>'Sampling Data'!P605</f>
        <v>2.4497795198432141E-4</v>
      </c>
      <c r="AC615" s="111">
        <f>IF(
      SUM(Audit[[#This Row],[Audit Losing Candidate]:[Audit Candidate 6]])
      &lt;&gt;0,
      (Audit[[#This Row],[Winning Candidate]]-Audit[[#This Row],[Losing Candidate]]-(Audit[[#This Row],[Audit Winning Candidate]]-Audit[[#This Row],[Audit Losing Candidate]]))/(Audit[[#Totals],[Winning Candidate]]-Audit[[#Totals],[Losing Candidate]]),
      0
)</f>
        <v>0</v>
      </c>
      <c r="AD6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5" s="111">
        <f>IF(Audit[[#This Row],[Max Relative Error (ep)]] = 0, 0, Audit[[#This Row],[Max Relative Error (ep)]]/Audit[[#This Row],[Error Bound (up) - Max. possible relative overstatement]])</f>
        <v>0</v>
      </c>
      <c r="AJ6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15" s="111">
        <f t="shared" si="9"/>
        <v>1</v>
      </c>
      <c r="AL615" s="111">
        <f>PRODUCT($AK$5:AK615)</f>
        <v>8.962823818226312E-2</v>
      </c>
      <c r="AM615" s="109">
        <f>1 - [K-M P Value]</f>
        <v>0.91037176181773694</v>
      </c>
      <c r="AN615" s="111" t="str">
        <f>IF(Audit[[#This Row],[K-M P Value]]&gt;1-'General Info'!$B$16,"Continue", "Stop")</f>
        <v>Stop</v>
      </c>
      <c r="AO615" s="110" t="b">
        <f>IF(Audit[[#This Row],[Status - Continue or stop audit]] = "Continue", TRUE, IF(AN614 = "Continue", TRUE, FALSE))</f>
        <v>0</v>
      </c>
      <c r="AP615" s="110"/>
    </row>
    <row r="616" spans="1:42" ht="15" hidden="1" customHeight="1">
      <c r="A616" s="111" t="str">
        <f>'Sampling Data'!W606</f>
        <v/>
      </c>
      <c r="B616" s="112" t="str">
        <f>'Sampling Data'!A606</f>
        <v>CLEVELAND -10-A - ABS</v>
      </c>
      <c r="C616" s="112">
        <f>'Sampling Data'!B606</f>
        <v>0</v>
      </c>
      <c r="D616" s="112">
        <f>'Sampling Data'!C606</f>
        <v>0</v>
      </c>
      <c r="E616" s="113">
        <f>'Sampling Data'!D606</f>
        <v>0</v>
      </c>
      <c r="F616" s="113">
        <f>'Sampling Data'!E606</f>
        <v>0</v>
      </c>
      <c r="G616" s="113">
        <f>'Sampling Data'!F606</f>
        <v>0</v>
      </c>
      <c r="H616" s="113">
        <f>'Sampling Data'!G606</f>
        <v>0</v>
      </c>
      <c r="I616" s="112">
        <f>'Sampling Data'!H606</f>
        <v>0</v>
      </c>
      <c r="J616" s="112">
        <f>'Sampling Data'!I606</f>
        <v>0</v>
      </c>
      <c r="K616" s="112">
        <f>'Sampling Data'!J606</f>
        <v>0</v>
      </c>
      <c r="L616" s="111">
        <f>'Sampling Data'!X606</f>
        <v>0</v>
      </c>
      <c r="M616" s="114"/>
      <c r="N616" s="114"/>
      <c r="O616" s="115"/>
      <c r="P616" s="115"/>
      <c r="Q616" s="116"/>
      <c r="R616" s="116"/>
      <c r="S616" s="111">
        <f>Audit[[#This Row],[Audit Losing Candidate]]-Audit[[#This Row],[Losing Candidate]]</f>
        <v>0</v>
      </c>
      <c r="T616" s="111">
        <f>Audit[[#This Row],[Audit Winning Candidate]]-Audit[[#This Row],[Winning Candidate]]</f>
        <v>0</v>
      </c>
      <c r="U616" s="111">
        <f>Audit[[#This Row],[Audit Candidate 3]]-Audit[[#This Row],[Candidate 3]]</f>
        <v>0</v>
      </c>
      <c r="V616" s="111">
        <f>Audit[[#This Row],[Audit Candidate 4]]-Audit[[#This Row],[Candidate 4]]</f>
        <v>0</v>
      </c>
      <c r="W616" s="111">
        <f>Audit[[#This Row],[Audit Candidate 5]]-Audit[[#This Row],[Candidate 5]]</f>
        <v>0</v>
      </c>
      <c r="X616" s="111">
        <f>Audit[[#This Row],[Audit Candidate 6]]-Audit[[#This Row],[Candidate 6]]</f>
        <v>0</v>
      </c>
      <c r="Y616" s="111">
        <f>SUMIF(Audit[[#This Row],[Difference Loser]:[Difference Candidate 6]], "&gt;0")</f>
        <v>0</v>
      </c>
      <c r="Z616" s="111">
        <f>SUM(Audit[[#This Row],[Difference Loser]:[Difference Candidate 6]])</f>
        <v>0</v>
      </c>
      <c r="AA616" s="111">
        <f>IF(Audit[[#This Row],[Times p Drawn - With Replacement]]&gt;0, IF(Audit[[#This Row],[Canceled Differences]]&lt;0, Audit[[#This Row],[Max Differences]]+ABS(Audit[[#This Row],[Canceled Differences]]), Audit[[#This Row],[Max Differences]]), 0)</f>
        <v>0</v>
      </c>
      <c r="AB616" s="111">
        <f>'Sampling Data'!P606</f>
        <v>0</v>
      </c>
      <c r="AC616" s="111">
        <f>IF(
      SUM(Audit[[#This Row],[Audit Losing Candidate]:[Audit Candidate 6]])
      &lt;&gt;0,
      (Audit[[#This Row],[Winning Candidate]]-Audit[[#This Row],[Losing Candidate]]-(Audit[[#This Row],[Audit Winning Candidate]]-Audit[[#This Row],[Audit Losing Candidate]]))/(Audit[[#Totals],[Winning Candidate]]-Audit[[#Totals],[Losing Candidate]]),
      0
)</f>
        <v>0</v>
      </c>
      <c r="AD6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6" s="111">
        <f>IF(Audit[[#This Row],[Max Relative Error (ep)]] = 0, 0, Audit[[#This Row],[Max Relative Error (ep)]]/Audit[[#This Row],[Error Bound (up) - Max. possible relative overstatement]])</f>
        <v>0</v>
      </c>
      <c r="AJ6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16" s="111">
        <f t="shared" si="9"/>
        <v>1</v>
      </c>
      <c r="AL616" s="111">
        <f>PRODUCT($AK$5:AK616)</f>
        <v>8.962823818226312E-2</v>
      </c>
      <c r="AM616" s="109">
        <f>1 - [K-M P Value]</f>
        <v>0.91037176181773694</v>
      </c>
      <c r="AN616" s="111" t="str">
        <f>IF(Audit[[#This Row],[K-M P Value]]&gt;1-'General Info'!$B$16,"Continue", "Stop")</f>
        <v>Stop</v>
      </c>
      <c r="AO616" s="110" t="b">
        <f>IF(Audit[[#This Row],[Status - Continue or stop audit]] = "Continue", TRUE, IF(AN615 = "Continue", TRUE, FALSE))</f>
        <v>0</v>
      </c>
      <c r="AP616" s="110"/>
    </row>
    <row r="617" spans="1:42" ht="15" hidden="1" customHeight="1">
      <c r="A617" s="111" t="str">
        <f>'Sampling Data'!W607</f>
        <v/>
      </c>
      <c r="B617" s="112" t="str">
        <f>'Sampling Data'!A607</f>
        <v>CLEVELAND -10-B</v>
      </c>
      <c r="C617" s="112">
        <f>'Sampling Data'!B607</f>
        <v>0</v>
      </c>
      <c r="D617" s="112">
        <f>'Sampling Data'!C607</f>
        <v>0</v>
      </c>
      <c r="E617" s="113">
        <f>'Sampling Data'!D607</f>
        <v>0</v>
      </c>
      <c r="F617" s="113">
        <f>'Sampling Data'!E607</f>
        <v>0</v>
      </c>
      <c r="G617" s="113">
        <f>'Sampling Data'!F607</f>
        <v>0</v>
      </c>
      <c r="H617" s="113">
        <f>'Sampling Data'!G607</f>
        <v>0</v>
      </c>
      <c r="I617" s="112">
        <f>'Sampling Data'!H607</f>
        <v>0</v>
      </c>
      <c r="J617" s="112">
        <f>'Sampling Data'!I607</f>
        <v>0</v>
      </c>
      <c r="K617" s="112">
        <f>'Sampling Data'!J607</f>
        <v>0</v>
      </c>
      <c r="L617" s="111">
        <f>'Sampling Data'!X607</f>
        <v>0</v>
      </c>
      <c r="M617" s="114"/>
      <c r="N617" s="114"/>
      <c r="O617" s="115"/>
      <c r="P617" s="115"/>
      <c r="Q617" s="116"/>
      <c r="R617" s="116"/>
      <c r="S617" s="111">
        <f>Audit[[#This Row],[Audit Losing Candidate]]-Audit[[#This Row],[Losing Candidate]]</f>
        <v>0</v>
      </c>
      <c r="T617" s="111">
        <f>Audit[[#This Row],[Audit Winning Candidate]]-Audit[[#This Row],[Winning Candidate]]</f>
        <v>0</v>
      </c>
      <c r="U617" s="111">
        <f>Audit[[#This Row],[Audit Candidate 3]]-Audit[[#This Row],[Candidate 3]]</f>
        <v>0</v>
      </c>
      <c r="V617" s="111">
        <f>Audit[[#This Row],[Audit Candidate 4]]-Audit[[#This Row],[Candidate 4]]</f>
        <v>0</v>
      </c>
      <c r="W617" s="111">
        <f>Audit[[#This Row],[Audit Candidate 5]]-Audit[[#This Row],[Candidate 5]]</f>
        <v>0</v>
      </c>
      <c r="X617" s="111">
        <f>Audit[[#This Row],[Audit Candidate 6]]-Audit[[#This Row],[Candidate 6]]</f>
        <v>0</v>
      </c>
      <c r="Y617" s="111">
        <f>SUMIF(Audit[[#This Row],[Difference Loser]:[Difference Candidate 6]], "&gt;0")</f>
        <v>0</v>
      </c>
      <c r="Z617" s="111">
        <f>SUM(Audit[[#This Row],[Difference Loser]:[Difference Candidate 6]])</f>
        <v>0</v>
      </c>
      <c r="AA617" s="111">
        <f>IF(Audit[[#This Row],[Times p Drawn - With Replacement]]&gt;0, IF(Audit[[#This Row],[Canceled Differences]]&lt;0, Audit[[#This Row],[Max Differences]]+ABS(Audit[[#This Row],[Canceled Differences]]), Audit[[#This Row],[Max Differences]]), 0)</f>
        <v>0</v>
      </c>
      <c r="AB617" s="111">
        <f>'Sampling Data'!P607</f>
        <v>0</v>
      </c>
      <c r="AC617" s="111">
        <f>IF(
      SUM(Audit[[#This Row],[Audit Losing Candidate]:[Audit Candidate 6]])
      &lt;&gt;0,
      (Audit[[#This Row],[Winning Candidate]]-Audit[[#This Row],[Losing Candidate]]-(Audit[[#This Row],[Audit Winning Candidate]]-Audit[[#This Row],[Audit Losing Candidate]]))/(Audit[[#Totals],[Winning Candidate]]-Audit[[#Totals],[Losing Candidate]]),
      0
)</f>
        <v>0</v>
      </c>
      <c r="AD6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7" s="111">
        <f>IF(Audit[[#This Row],[Max Relative Error (ep)]] = 0, 0, Audit[[#This Row],[Max Relative Error (ep)]]/Audit[[#This Row],[Error Bound (up) - Max. possible relative overstatement]])</f>
        <v>0</v>
      </c>
      <c r="AJ6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17" s="111">
        <f t="shared" si="9"/>
        <v>1</v>
      </c>
      <c r="AL617" s="111">
        <f>PRODUCT($AK$5:AK617)</f>
        <v>8.962823818226312E-2</v>
      </c>
      <c r="AM617" s="109">
        <f>1 - [K-M P Value]</f>
        <v>0.91037176181773694</v>
      </c>
      <c r="AN617" s="111" t="str">
        <f>IF(Audit[[#This Row],[K-M P Value]]&gt;1-'General Info'!$B$16,"Continue", "Stop")</f>
        <v>Stop</v>
      </c>
      <c r="AO617" s="110" t="b">
        <f>IF(Audit[[#This Row],[Status - Continue or stop audit]] = "Continue", TRUE, IF(AN616 = "Continue", TRUE, FALSE))</f>
        <v>0</v>
      </c>
      <c r="AP617" s="110"/>
    </row>
    <row r="618" spans="1:42" ht="15" hidden="1" customHeight="1">
      <c r="A618" s="111" t="str">
        <f>'Sampling Data'!W608</f>
        <v/>
      </c>
      <c r="B618" s="112" t="str">
        <f>'Sampling Data'!A608</f>
        <v>CLEVELAND -10-B - ABS</v>
      </c>
      <c r="C618" s="112">
        <f>'Sampling Data'!B608</f>
        <v>0</v>
      </c>
      <c r="D618" s="112">
        <f>'Sampling Data'!C608</f>
        <v>0</v>
      </c>
      <c r="E618" s="113">
        <f>'Sampling Data'!D608</f>
        <v>0</v>
      </c>
      <c r="F618" s="113">
        <f>'Sampling Data'!E608</f>
        <v>0</v>
      </c>
      <c r="G618" s="113">
        <f>'Sampling Data'!F608</f>
        <v>0</v>
      </c>
      <c r="H618" s="113">
        <f>'Sampling Data'!G608</f>
        <v>0</v>
      </c>
      <c r="I618" s="112">
        <f>'Sampling Data'!H608</f>
        <v>0</v>
      </c>
      <c r="J618" s="112">
        <f>'Sampling Data'!I608</f>
        <v>0</v>
      </c>
      <c r="K618" s="112">
        <f>'Sampling Data'!J608</f>
        <v>0</v>
      </c>
      <c r="L618" s="111">
        <f>'Sampling Data'!X608</f>
        <v>0</v>
      </c>
      <c r="M618" s="114"/>
      <c r="N618" s="114"/>
      <c r="O618" s="115"/>
      <c r="P618" s="115"/>
      <c r="Q618" s="116"/>
      <c r="R618" s="116"/>
      <c r="S618" s="111">
        <f>Audit[[#This Row],[Audit Losing Candidate]]-Audit[[#This Row],[Losing Candidate]]</f>
        <v>0</v>
      </c>
      <c r="T618" s="111">
        <f>Audit[[#This Row],[Audit Winning Candidate]]-Audit[[#This Row],[Winning Candidate]]</f>
        <v>0</v>
      </c>
      <c r="U618" s="111">
        <f>Audit[[#This Row],[Audit Candidate 3]]-Audit[[#This Row],[Candidate 3]]</f>
        <v>0</v>
      </c>
      <c r="V618" s="111">
        <f>Audit[[#This Row],[Audit Candidate 4]]-Audit[[#This Row],[Candidate 4]]</f>
        <v>0</v>
      </c>
      <c r="W618" s="111">
        <f>Audit[[#This Row],[Audit Candidate 5]]-Audit[[#This Row],[Candidate 5]]</f>
        <v>0</v>
      </c>
      <c r="X618" s="111">
        <f>Audit[[#This Row],[Audit Candidate 6]]-Audit[[#This Row],[Candidate 6]]</f>
        <v>0</v>
      </c>
      <c r="Y618" s="111">
        <f>SUMIF(Audit[[#This Row],[Difference Loser]:[Difference Candidate 6]], "&gt;0")</f>
        <v>0</v>
      </c>
      <c r="Z618" s="111">
        <f>SUM(Audit[[#This Row],[Difference Loser]:[Difference Candidate 6]])</f>
        <v>0</v>
      </c>
      <c r="AA618" s="111">
        <f>IF(Audit[[#This Row],[Times p Drawn - With Replacement]]&gt;0, IF(Audit[[#This Row],[Canceled Differences]]&lt;0, Audit[[#This Row],[Max Differences]]+ABS(Audit[[#This Row],[Canceled Differences]]), Audit[[#This Row],[Max Differences]]), 0)</f>
        <v>0</v>
      </c>
      <c r="AB618" s="111">
        <f>'Sampling Data'!P608</f>
        <v>0</v>
      </c>
      <c r="AC618" s="111">
        <f>IF(
      SUM(Audit[[#This Row],[Audit Losing Candidate]:[Audit Candidate 6]])
      &lt;&gt;0,
      (Audit[[#This Row],[Winning Candidate]]-Audit[[#This Row],[Losing Candidate]]-(Audit[[#This Row],[Audit Winning Candidate]]-Audit[[#This Row],[Audit Losing Candidate]]))/(Audit[[#Totals],[Winning Candidate]]-Audit[[#Totals],[Losing Candidate]]),
      0
)</f>
        <v>0</v>
      </c>
      <c r="AD6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8" s="111">
        <f>IF(Audit[[#This Row],[Max Relative Error (ep)]] = 0, 0, Audit[[#This Row],[Max Relative Error (ep)]]/Audit[[#This Row],[Error Bound (up) - Max. possible relative overstatement]])</f>
        <v>0</v>
      </c>
      <c r="AJ6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18" s="111">
        <f t="shared" si="9"/>
        <v>1</v>
      </c>
      <c r="AL618" s="111">
        <f>PRODUCT($AK$5:AK618)</f>
        <v>8.962823818226312E-2</v>
      </c>
      <c r="AM618" s="109">
        <f>1 - [K-M P Value]</f>
        <v>0.91037176181773694</v>
      </c>
      <c r="AN618" s="111" t="str">
        <f>IF(Audit[[#This Row],[K-M P Value]]&gt;1-'General Info'!$B$16,"Continue", "Stop")</f>
        <v>Stop</v>
      </c>
      <c r="AO618" s="110" t="b">
        <f>IF(Audit[[#This Row],[Status - Continue or stop audit]] = "Continue", TRUE, IF(AN617 = "Continue", TRUE, FALSE))</f>
        <v>0</v>
      </c>
      <c r="AP618" s="110"/>
    </row>
    <row r="619" spans="1:42" ht="15" hidden="1" customHeight="1">
      <c r="A619" s="111" t="str">
        <f>'Sampling Data'!W609</f>
        <v/>
      </c>
      <c r="B619" s="112" t="str">
        <f>'Sampling Data'!A609</f>
        <v>CLEVELAND -10-C</v>
      </c>
      <c r="C619" s="112">
        <f>'Sampling Data'!B609</f>
        <v>0</v>
      </c>
      <c r="D619" s="112">
        <f>'Sampling Data'!C609</f>
        <v>0</v>
      </c>
      <c r="E619" s="113">
        <f>'Sampling Data'!D609</f>
        <v>0</v>
      </c>
      <c r="F619" s="113">
        <f>'Sampling Data'!E609</f>
        <v>0</v>
      </c>
      <c r="G619" s="113">
        <f>'Sampling Data'!F609</f>
        <v>0</v>
      </c>
      <c r="H619" s="113">
        <f>'Sampling Data'!G609</f>
        <v>0</v>
      </c>
      <c r="I619" s="112">
        <f>'Sampling Data'!H609</f>
        <v>0</v>
      </c>
      <c r="J619" s="112">
        <f>'Sampling Data'!I609</f>
        <v>0</v>
      </c>
      <c r="K619" s="112">
        <f>'Sampling Data'!J609</f>
        <v>0</v>
      </c>
      <c r="L619" s="111">
        <f>'Sampling Data'!X609</f>
        <v>0</v>
      </c>
      <c r="M619" s="114"/>
      <c r="N619" s="114"/>
      <c r="O619" s="115"/>
      <c r="P619" s="115"/>
      <c r="Q619" s="116"/>
      <c r="R619" s="116"/>
      <c r="S619" s="111">
        <f>Audit[[#This Row],[Audit Losing Candidate]]-Audit[[#This Row],[Losing Candidate]]</f>
        <v>0</v>
      </c>
      <c r="T619" s="111">
        <f>Audit[[#This Row],[Audit Winning Candidate]]-Audit[[#This Row],[Winning Candidate]]</f>
        <v>0</v>
      </c>
      <c r="U619" s="111">
        <f>Audit[[#This Row],[Audit Candidate 3]]-Audit[[#This Row],[Candidate 3]]</f>
        <v>0</v>
      </c>
      <c r="V619" s="111">
        <f>Audit[[#This Row],[Audit Candidate 4]]-Audit[[#This Row],[Candidate 4]]</f>
        <v>0</v>
      </c>
      <c r="W619" s="111">
        <f>Audit[[#This Row],[Audit Candidate 5]]-Audit[[#This Row],[Candidate 5]]</f>
        <v>0</v>
      </c>
      <c r="X619" s="111">
        <f>Audit[[#This Row],[Audit Candidate 6]]-Audit[[#This Row],[Candidate 6]]</f>
        <v>0</v>
      </c>
      <c r="Y619" s="111">
        <f>SUMIF(Audit[[#This Row],[Difference Loser]:[Difference Candidate 6]], "&gt;0")</f>
        <v>0</v>
      </c>
      <c r="Z619" s="111">
        <f>SUM(Audit[[#This Row],[Difference Loser]:[Difference Candidate 6]])</f>
        <v>0</v>
      </c>
      <c r="AA619" s="111">
        <f>IF(Audit[[#This Row],[Times p Drawn - With Replacement]]&gt;0, IF(Audit[[#This Row],[Canceled Differences]]&lt;0, Audit[[#This Row],[Max Differences]]+ABS(Audit[[#This Row],[Canceled Differences]]), Audit[[#This Row],[Max Differences]]), 0)</f>
        <v>0</v>
      </c>
      <c r="AB619" s="111">
        <f>'Sampling Data'!P609</f>
        <v>0</v>
      </c>
      <c r="AC619" s="111">
        <f>IF(
      SUM(Audit[[#This Row],[Audit Losing Candidate]:[Audit Candidate 6]])
      &lt;&gt;0,
      (Audit[[#This Row],[Winning Candidate]]-Audit[[#This Row],[Losing Candidate]]-(Audit[[#This Row],[Audit Winning Candidate]]-Audit[[#This Row],[Audit Losing Candidate]]))/(Audit[[#Totals],[Winning Candidate]]-Audit[[#Totals],[Losing Candidate]]),
      0
)</f>
        <v>0</v>
      </c>
      <c r="AD6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9" s="111">
        <f>IF(Audit[[#This Row],[Max Relative Error (ep)]] = 0, 0, Audit[[#This Row],[Max Relative Error (ep)]]/Audit[[#This Row],[Error Bound (up) - Max. possible relative overstatement]])</f>
        <v>0</v>
      </c>
      <c r="AJ6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19" s="111">
        <f t="shared" si="9"/>
        <v>1</v>
      </c>
      <c r="AL619" s="111">
        <f>PRODUCT($AK$5:AK619)</f>
        <v>8.962823818226312E-2</v>
      </c>
      <c r="AM619" s="109">
        <f>1 - [K-M P Value]</f>
        <v>0.91037176181773694</v>
      </c>
      <c r="AN619" s="111" t="str">
        <f>IF(Audit[[#This Row],[K-M P Value]]&gt;1-'General Info'!$B$16,"Continue", "Stop")</f>
        <v>Stop</v>
      </c>
      <c r="AO619" s="110" t="b">
        <f>IF(Audit[[#This Row],[Status - Continue or stop audit]] = "Continue", TRUE, IF(AN618 = "Continue", TRUE, FALSE))</f>
        <v>0</v>
      </c>
      <c r="AP619" s="110"/>
    </row>
    <row r="620" spans="1:42" ht="15" hidden="1" customHeight="1">
      <c r="A620" s="111" t="str">
        <f>'Sampling Data'!W610</f>
        <v/>
      </c>
      <c r="B620" s="112" t="str">
        <f>'Sampling Data'!A610</f>
        <v>CLEVELAND -10-C - ABS</v>
      </c>
      <c r="C620" s="112">
        <f>'Sampling Data'!B610</f>
        <v>0</v>
      </c>
      <c r="D620" s="112">
        <f>'Sampling Data'!C610</f>
        <v>0</v>
      </c>
      <c r="E620" s="113">
        <f>'Sampling Data'!D610</f>
        <v>0</v>
      </c>
      <c r="F620" s="113">
        <f>'Sampling Data'!E610</f>
        <v>0</v>
      </c>
      <c r="G620" s="113">
        <f>'Sampling Data'!F610</f>
        <v>0</v>
      </c>
      <c r="H620" s="113">
        <f>'Sampling Data'!G610</f>
        <v>0</v>
      </c>
      <c r="I620" s="112">
        <f>'Sampling Data'!H610</f>
        <v>0</v>
      </c>
      <c r="J620" s="112">
        <f>'Sampling Data'!I610</f>
        <v>0</v>
      </c>
      <c r="K620" s="112">
        <f>'Sampling Data'!J610</f>
        <v>0</v>
      </c>
      <c r="L620" s="111">
        <f>'Sampling Data'!X610</f>
        <v>0</v>
      </c>
      <c r="M620" s="114"/>
      <c r="N620" s="114"/>
      <c r="O620" s="115"/>
      <c r="P620" s="115"/>
      <c r="Q620" s="116"/>
      <c r="R620" s="116"/>
      <c r="S620" s="111">
        <f>Audit[[#This Row],[Audit Losing Candidate]]-Audit[[#This Row],[Losing Candidate]]</f>
        <v>0</v>
      </c>
      <c r="T620" s="111">
        <f>Audit[[#This Row],[Audit Winning Candidate]]-Audit[[#This Row],[Winning Candidate]]</f>
        <v>0</v>
      </c>
      <c r="U620" s="111">
        <f>Audit[[#This Row],[Audit Candidate 3]]-Audit[[#This Row],[Candidate 3]]</f>
        <v>0</v>
      </c>
      <c r="V620" s="111">
        <f>Audit[[#This Row],[Audit Candidate 4]]-Audit[[#This Row],[Candidate 4]]</f>
        <v>0</v>
      </c>
      <c r="W620" s="111">
        <f>Audit[[#This Row],[Audit Candidate 5]]-Audit[[#This Row],[Candidate 5]]</f>
        <v>0</v>
      </c>
      <c r="X620" s="111">
        <f>Audit[[#This Row],[Audit Candidate 6]]-Audit[[#This Row],[Candidate 6]]</f>
        <v>0</v>
      </c>
      <c r="Y620" s="111">
        <f>SUMIF(Audit[[#This Row],[Difference Loser]:[Difference Candidate 6]], "&gt;0")</f>
        <v>0</v>
      </c>
      <c r="Z620" s="111">
        <f>SUM(Audit[[#This Row],[Difference Loser]:[Difference Candidate 6]])</f>
        <v>0</v>
      </c>
      <c r="AA620" s="111">
        <f>IF(Audit[[#This Row],[Times p Drawn - With Replacement]]&gt;0, IF(Audit[[#This Row],[Canceled Differences]]&lt;0, Audit[[#This Row],[Max Differences]]+ABS(Audit[[#This Row],[Canceled Differences]]), Audit[[#This Row],[Max Differences]]), 0)</f>
        <v>0</v>
      </c>
      <c r="AB620" s="111">
        <f>'Sampling Data'!P610</f>
        <v>0</v>
      </c>
      <c r="AC620" s="111">
        <f>IF(
      SUM(Audit[[#This Row],[Audit Losing Candidate]:[Audit Candidate 6]])
      &lt;&gt;0,
      (Audit[[#This Row],[Winning Candidate]]-Audit[[#This Row],[Losing Candidate]]-(Audit[[#This Row],[Audit Winning Candidate]]-Audit[[#This Row],[Audit Losing Candidate]]))/(Audit[[#Totals],[Winning Candidate]]-Audit[[#Totals],[Losing Candidate]]),
      0
)</f>
        <v>0</v>
      </c>
      <c r="AD6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0" s="111">
        <f>IF(Audit[[#This Row],[Max Relative Error (ep)]] = 0, 0, Audit[[#This Row],[Max Relative Error (ep)]]/Audit[[#This Row],[Error Bound (up) - Max. possible relative overstatement]])</f>
        <v>0</v>
      </c>
      <c r="AJ6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20" s="111">
        <f t="shared" si="9"/>
        <v>1</v>
      </c>
      <c r="AL620" s="111">
        <f>PRODUCT($AK$5:AK620)</f>
        <v>8.962823818226312E-2</v>
      </c>
      <c r="AM620" s="109">
        <f>1 - [K-M P Value]</f>
        <v>0.91037176181773694</v>
      </c>
      <c r="AN620" s="111" t="str">
        <f>IF(Audit[[#This Row],[K-M P Value]]&gt;1-'General Info'!$B$16,"Continue", "Stop")</f>
        <v>Stop</v>
      </c>
      <c r="AO620" s="110" t="b">
        <f>IF(Audit[[#This Row],[Status - Continue or stop audit]] = "Continue", TRUE, IF(AN619 = "Continue", TRUE, FALSE))</f>
        <v>0</v>
      </c>
      <c r="AP620" s="110"/>
    </row>
    <row r="621" spans="1:42" ht="15" hidden="1" customHeight="1">
      <c r="A621" s="111" t="str">
        <f>'Sampling Data'!W611</f>
        <v/>
      </c>
      <c r="B621" s="112" t="str">
        <f>'Sampling Data'!A611</f>
        <v>CLEVELAND -10-D</v>
      </c>
      <c r="C621" s="112">
        <f>'Sampling Data'!B611</f>
        <v>2</v>
      </c>
      <c r="D621" s="112">
        <f>'Sampling Data'!C611</f>
        <v>2</v>
      </c>
      <c r="E621" s="113">
        <f>'Sampling Data'!D611</f>
        <v>0</v>
      </c>
      <c r="F621" s="113">
        <f>'Sampling Data'!E611</f>
        <v>1</v>
      </c>
      <c r="G621" s="113">
        <f>'Sampling Data'!F611</f>
        <v>0</v>
      </c>
      <c r="H621" s="113">
        <f>'Sampling Data'!G611</f>
        <v>0</v>
      </c>
      <c r="I621" s="112">
        <f>'Sampling Data'!H611</f>
        <v>0</v>
      </c>
      <c r="J621" s="112">
        <f>'Sampling Data'!I611</f>
        <v>0</v>
      </c>
      <c r="K621" s="112">
        <f>'Sampling Data'!J611</f>
        <v>5</v>
      </c>
      <c r="L621" s="111">
        <f>'Sampling Data'!X611</f>
        <v>0</v>
      </c>
      <c r="M621" s="114"/>
      <c r="N621" s="114"/>
      <c r="O621" s="115"/>
      <c r="P621" s="115"/>
      <c r="Q621" s="116"/>
      <c r="R621" s="116"/>
      <c r="S621" s="111">
        <f>Audit[[#This Row],[Audit Losing Candidate]]-Audit[[#This Row],[Losing Candidate]]</f>
        <v>-2</v>
      </c>
      <c r="T621" s="111">
        <f>Audit[[#This Row],[Audit Winning Candidate]]-Audit[[#This Row],[Winning Candidate]]</f>
        <v>-2</v>
      </c>
      <c r="U621" s="111">
        <f>Audit[[#This Row],[Audit Candidate 3]]-Audit[[#This Row],[Candidate 3]]</f>
        <v>0</v>
      </c>
      <c r="V621" s="111">
        <f>Audit[[#This Row],[Audit Candidate 4]]-Audit[[#This Row],[Candidate 4]]</f>
        <v>-1</v>
      </c>
      <c r="W621" s="111">
        <f>Audit[[#This Row],[Audit Candidate 5]]-Audit[[#This Row],[Candidate 5]]</f>
        <v>0</v>
      </c>
      <c r="X621" s="111">
        <f>Audit[[#This Row],[Audit Candidate 6]]-Audit[[#This Row],[Candidate 6]]</f>
        <v>0</v>
      </c>
      <c r="Y621" s="111">
        <f>SUMIF(Audit[[#This Row],[Difference Loser]:[Difference Candidate 6]], "&gt;0")</f>
        <v>0</v>
      </c>
      <c r="Z621" s="111">
        <f>SUM(Audit[[#This Row],[Difference Loser]:[Difference Candidate 6]])</f>
        <v>-5</v>
      </c>
      <c r="AA621" s="111">
        <f>IF(Audit[[#This Row],[Times p Drawn - With Replacement]]&gt;0, IF(Audit[[#This Row],[Canceled Differences]]&lt;0, Audit[[#This Row],[Max Differences]]+ABS(Audit[[#This Row],[Canceled Differences]]), Audit[[#This Row],[Max Differences]]), 0)</f>
        <v>0</v>
      </c>
      <c r="AB621" s="111">
        <f>'Sampling Data'!P611</f>
        <v>3.0622243998040176E-4</v>
      </c>
      <c r="AC621" s="111">
        <f>IF(
      SUM(Audit[[#This Row],[Audit Losing Candidate]:[Audit Candidate 6]])
      &lt;&gt;0,
      (Audit[[#This Row],[Winning Candidate]]-Audit[[#This Row],[Losing Candidate]]-(Audit[[#This Row],[Audit Winning Candidate]]-Audit[[#This Row],[Audit Losing Candidate]]))/(Audit[[#Totals],[Winning Candidate]]-Audit[[#Totals],[Losing Candidate]]),
      0
)</f>
        <v>0</v>
      </c>
      <c r="AD6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1" s="111">
        <f>IF(Audit[[#This Row],[Max Relative Error (ep)]] = 0, 0, Audit[[#This Row],[Max Relative Error (ep)]]/Audit[[#This Row],[Error Bound (up) - Max. possible relative overstatement]])</f>
        <v>0</v>
      </c>
      <c r="AJ6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21" s="111">
        <f t="shared" si="9"/>
        <v>1</v>
      </c>
      <c r="AL621" s="111">
        <f>PRODUCT($AK$5:AK621)</f>
        <v>8.962823818226312E-2</v>
      </c>
      <c r="AM621" s="109">
        <f>1 - [K-M P Value]</f>
        <v>0.91037176181773694</v>
      </c>
      <c r="AN621" s="111" t="str">
        <f>IF(Audit[[#This Row],[K-M P Value]]&gt;1-'General Info'!$B$16,"Continue", "Stop")</f>
        <v>Stop</v>
      </c>
      <c r="AO621" s="110" t="b">
        <f>IF(Audit[[#This Row],[Status - Continue or stop audit]] = "Continue", TRUE, IF(AN620 = "Continue", TRUE, FALSE))</f>
        <v>0</v>
      </c>
      <c r="AP621" s="110"/>
    </row>
    <row r="622" spans="1:42" ht="15" hidden="1" customHeight="1">
      <c r="A622" s="111" t="str">
        <f>'Sampling Data'!W612</f>
        <v/>
      </c>
      <c r="B622" s="112" t="str">
        <f>'Sampling Data'!A612</f>
        <v>CLEVELAND -10-D - ABS</v>
      </c>
      <c r="C622" s="112">
        <f>'Sampling Data'!B612</f>
        <v>0</v>
      </c>
      <c r="D622" s="112">
        <f>'Sampling Data'!C612</f>
        <v>0</v>
      </c>
      <c r="E622" s="113">
        <f>'Sampling Data'!D612</f>
        <v>2</v>
      </c>
      <c r="F622" s="113">
        <f>'Sampling Data'!E612</f>
        <v>0</v>
      </c>
      <c r="G622" s="113">
        <f>'Sampling Data'!F612</f>
        <v>0</v>
      </c>
      <c r="H622" s="113">
        <f>'Sampling Data'!G612</f>
        <v>0</v>
      </c>
      <c r="I622" s="112">
        <f>'Sampling Data'!H612</f>
        <v>0</v>
      </c>
      <c r="J622" s="112">
        <f>'Sampling Data'!I612</f>
        <v>0</v>
      </c>
      <c r="K622" s="112">
        <f>'Sampling Data'!J612</f>
        <v>2</v>
      </c>
      <c r="L622" s="111">
        <f>'Sampling Data'!X612</f>
        <v>0</v>
      </c>
      <c r="M622" s="114"/>
      <c r="N622" s="114"/>
      <c r="O622" s="115"/>
      <c r="P622" s="115"/>
      <c r="Q622" s="116"/>
      <c r="R622" s="116"/>
      <c r="S622" s="111">
        <f>Audit[[#This Row],[Audit Losing Candidate]]-Audit[[#This Row],[Losing Candidate]]</f>
        <v>0</v>
      </c>
      <c r="T622" s="111">
        <f>Audit[[#This Row],[Audit Winning Candidate]]-Audit[[#This Row],[Winning Candidate]]</f>
        <v>0</v>
      </c>
      <c r="U622" s="111">
        <f>Audit[[#This Row],[Audit Candidate 3]]-Audit[[#This Row],[Candidate 3]]</f>
        <v>-2</v>
      </c>
      <c r="V622" s="111">
        <f>Audit[[#This Row],[Audit Candidate 4]]-Audit[[#This Row],[Candidate 4]]</f>
        <v>0</v>
      </c>
      <c r="W622" s="111">
        <f>Audit[[#This Row],[Audit Candidate 5]]-Audit[[#This Row],[Candidate 5]]</f>
        <v>0</v>
      </c>
      <c r="X622" s="111">
        <f>Audit[[#This Row],[Audit Candidate 6]]-Audit[[#This Row],[Candidate 6]]</f>
        <v>0</v>
      </c>
      <c r="Y622" s="111">
        <f>SUMIF(Audit[[#This Row],[Difference Loser]:[Difference Candidate 6]], "&gt;0")</f>
        <v>0</v>
      </c>
      <c r="Z622" s="111">
        <f>SUM(Audit[[#This Row],[Difference Loser]:[Difference Candidate 6]])</f>
        <v>-2</v>
      </c>
      <c r="AA622" s="111">
        <f>IF(Audit[[#This Row],[Times p Drawn - With Replacement]]&gt;0, IF(Audit[[#This Row],[Canceled Differences]]&lt;0, Audit[[#This Row],[Max Differences]]+ABS(Audit[[#This Row],[Canceled Differences]]), Audit[[#This Row],[Max Differences]]), 0)</f>
        <v>0</v>
      </c>
      <c r="AB622" s="111">
        <f>'Sampling Data'!P612</f>
        <v>1.224889759921607E-4</v>
      </c>
      <c r="AC622" s="111">
        <f>IF(
      SUM(Audit[[#This Row],[Audit Losing Candidate]:[Audit Candidate 6]])
      &lt;&gt;0,
      (Audit[[#This Row],[Winning Candidate]]-Audit[[#This Row],[Losing Candidate]]-(Audit[[#This Row],[Audit Winning Candidate]]-Audit[[#This Row],[Audit Losing Candidate]]))/(Audit[[#Totals],[Winning Candidate]]-Audit[[#Totals],[Losing Candidate]]),
      0
)</f>
        <v>0</v>
      </c>
      <c r="AD6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2" s="111">
        <f>IF(Audit[[#This Row],[Max Relative Error (ep)]] = 0, 0, Audit[[#This Row],[Max Relative Error (ep)]]/Audit[[#This Row],[Error Bound (up) - Max. possible relative overstatement]])</f>
        <v>0</v>
      </c>
      <c r="AJ6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22" s="111">
        <f t="shared" si="9"/>
        <v>1</v>
      </c>
      <c r="AL622" s="111">
        <f>PRODUCT($AK$5:AK622)</f>
        <v>8.962823818226312E-2</v>
      </c>
      <c r="AM622" s="109">
        <f>1 - [K-M P Value]</f>
        <v>0.91037176181773694</v>
      </c>
      <c r="AN622" s="111" t="str">
        <f>IF(Audit[[#This Row],[K-M P Value]]&gt;1-'General Info'!$B$16,"Continue", "Stop")</f>
        <v>Stop</v>
      </c>
      <c r="AO622" s="110" t="b">
        <f>IF(Audit[[#This Row],[Status - Continue or stop audit]] = "Continue", TRUE, IF(AN621 = "Continue", TRUE, FALSE))</f>
        <v>0</v>
      </c>
      <c r="AP622" s="110"/>
    </row>
    <row r="623" spans="1:42" ht="15" hidden="1" customHeight="1">
      <c r="A623" s="111" t="str">
        <f>'Sampling Data'!W613</f>
        <v/>
      </c>
      <c r="B623" s="112" t="str">
        <f>'Sampling Data'!A613</f>
        <v>CLEVELAND -10-E</v>
      </c>
      <c r="C623" s="112">
        <f>'Sampling Data'!B613</f>
        <v>1</v>
      </c>
      <c r="D623" s="112">
        <f>'Sampling Data'!C613</f>
        <v>0</v>
      </c>
      <c r="E623" s="113">
        <f>'Sampling Data'!D613</f>
        <v>0</v>
      </c>
      <c r="F623" s="113">
        <f>'Sampling Data'!E613</f>
        <v>1</v>
      </c>
      <c r="G623" s="113">
        <f>'Sampling Data'!F613</f>
        <v>0</v>
      </c>
      <c r="H623" s="113">
        <f>'Sampling Data'!G613</f>
        <v>0</v>
      </c>
      <c r="I623" s="112">
        <f>'Sampling Data'!H613</f>
        <v>0</v>
      </c>
      <c r="J623" s="112">
        <f>'Sampling Data'!I613</f>
        <v>0</v>
      </c>
      <c r="K623" s="112">
        <f>'Sampling Data'!J613</f>
        <v>2</v>
      </c>
      <c r="L623" s="111">
        <f>'Sampling Data'!X613</f>
        <v>0</v>
      </c>
      <c r="M623" s="114"/>
      <c r="N623" s="114"/>
      <c r="O623" s="115"/>
      <c r="P623" s="115"/>
      <c r="Q623" s="116"/>
      <c r="R623" s="116"/>
      <c r="S623" s="111">
        <f>Audit[[#This Row],[Audit Losing Candidate]]-Audit[[#This Row],[Losing Candidate]]</f>
        <v>-1</v>
      </c>
      <c r="T623" s="111">
        <f>Audit[[#This Row],[Audit Winning Candidate]]-Audit[[#This Row],[Winning Candidate]]</f>
        <v>0</v>
      </c>
      <c r="U623" s="111">
        <f>Audit[[#This Row],[Audit Candidate 3]]-Audit[[#This Row],[Candidate 3]]</f>
        <v>0</v>
      </c>
      <c r="V623" s="111">
        <f>Audit[[#This Row],[Audit Candidate 4]]-Audit[[#This Row],[Candidate 4]]</f>
        <v>-1</v>
      </c>
      <c r="W623" s="111">
        <f>Audit[[#This Row],[Audit Candidate 5]]-Audit[[#This Row],[Candidate 5]]</f>
        <v>0</v>
      </c>
      <c r="X623" s="111">
        <f>Audit[[#This Row],[Audit Candidate 6]]-Audit[[#This Row],[Candidate 6]]</f>
        <v>0</v>
      </c>
      <c r="Y623" s="111">
        <f>SUMIF(Audit[[#This Row],[Difference Loser]:[Difference Candidate 6]], "&gt;0")</f>
        <v>0</v>
      </c>
      <c r="Z623" s="111">
        <f>SUM(Audit[[#This Row],[Difference Loser]:[Difference Candidate 6]])</f>
        <v>-2</v>
      </c>
      <c r="AA623" s="111">
        <f>IF(Audit[[#This Row],[Times p Drawn - With Replacement]]&gt;0, IF(Audit[[#This Row],[Canceled Differences]]&lt;0, Audit[[#This Row],[Max Differences]]+ABS(Audit[[#This Row],[Canceled Differences]]), Audit[[#This Row],[Max Differences]]), 0)</f>
        <v>0</v>
      </c>
      <c r="AB623" s="111">
        <f>'Sampling Data'!P613</f>
        <v>6.4522373132883833E-5</v>
      </c>
      <c r="AC623" s="111">
        <f>IF(
      SUM(Audit[[#This Row],[Audit Losing Candidate]:[Audit Candidate 6]])
      &lt;&gt;0,
      (Audit[[#This Row],[Winning Candidate]]-Audit[[#This Row],[Losing Candidate]]-(Audit[[#This Row],[Audit Winning Candidate]]-Audit[[#This Row],[Audit Losing Candidate]]))/(Audit[[#Totals],[Winning Candidate]]-Audit[[#Totals],[Losing Candidate]]),
      0
)</f>
        <v>0</v>
      </c>
      <c r="AD6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3" s="111">
        <f>IF(Audit[[#This Row],[Max Relative Error (ep)]] = 0, 0, Audit[[#This Row],[Max Relative Error (ep)]]/Audit[[#This Row],[Error Bound (up) - Max. possible relative overstatement]])</f>
        <v>0</v>
      </c>
      <c r="AJ6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23" s="111">
        <f t="shared" si="9"/>
        <v>1</v>
      </c>
      <c r="AL623" s="111">
        <f>PRODUCT($AK$5:AK623)</f>
        <v>8.962823818226312E-2</v>
      </c>
      <c r="AM623" s="109">
        <f>1 - [K-M P Value]</f>
        <v>0.91037176181773694</v>
      </c>
      <c r="AN623" s="111" t="str">
        <f>IF(Audit[[#This Row],[K-M P Value]]&gt;1-'General Info'!$B$16,"Continue", "Stop")</f>
        <v>Stop</v>
      </c>
      <c r="AO623" s="110" t="b">
        <f>IF(Audit[[#This Row],[Status - Continue or stop audit]] = "Continue", TRUE, IF(AN622 = "Continue", TRUE, FALSE))</f>
        <v>0</v>
      </c>
      <c r="AP623" s="110"/>
    </row>
    <row r="624" spans="1:42" ht="15" hidden="1" customHeight="1">
      <c r="A624" s="111" t="str">
        <f>'Sampling Data'!W614</f>
        <v/>
      </c>
      <c r="B624" s="112" t="str">
        <f>'Sampling Data'!A614</f>
        <v>CLEVELAND -10-E - ABS</v>
      </c>
      <c r="C624" s="112">
        <f>'Sampling Data'!B614</f>
        <v>0</v>
      </c>
      <c r="D624" s="112">
        <f>'Sampling Data'!C614</f>
        <v>1</v>
      </c>
      <c r="E624" s="113">
        <f>'Sampling Data'!D614</f>
        <v>0</v>
      </c>
      <c r="F624" s="113">
        <f>'Sampling Data'!E614</f>
        <v>0</v>
      </c>
      <c r="G624" s="113">
        <f>'Sampling Data'!F614</f>
        <v>0</v>
      </c>
      <c r="H624" s="113">
        <f>'Sampling Data'!G614</f>
        <v>0</v>
      </c>
      <c r="I624" s="112">
        <f>'Sampling Data'!H614</f>
        <v>0</v>
      </c>
      <c r="J624" s="112">
        <f>'Sampling Data'!I614</f>
        <v>0</v>
      </c>
      <c r="K624" s="112">
        <f>'Sampling Data'!J614</f>
        <v>1</v>
      </c>
      <c r="L624" s="111">
        <f>'Sampling Data'!X614</f>
        <v>0</v>
      </c>
      <c r="M624" s="114"/>
      <c r="N624" s="114"/>
      <c r="O624" s="115"/>
      <c r="P624" s="115"/>
      <c r="Q624" s="116"/>
      <c r="R624" s="116"/>
      <c r="S624" s="111">
        <f>Audit[[#This Row],[Audit Losing Candidate]]-Audit[[#This Row],[Losing Candidate]]</f>
        <v>0</v>
      </c>
      <c r="T624" s="111">
        <f>Audit[[#This Row],[Audit Winning Candidate]]-Audit[[#This Row],[Winning Candidate]]</f>
        <v>-1</v>
      </c>
      <c r="U624" s="111">
        <f>Audit[[#This Row],[Audit Candidate 3]]-Audit[[#This Row],[Candidate 3]]</f>
        <v>0</v>
      </c>
      <c r="V624" s="111">
        <f>Audit[[#This Row],[Audit Candidate 4]]-Audit[[#This Row],[Candidate 4]]</f>
        <v>0</v>
      </c>
      <c r="W624" s="111">
        <f>Audit[[#This Row],[Audit Candidate 5]]-Audit[[#This Row],[Candidate 5]]</f>
        <v>0</v>
      </c>
      <c r="X624" s="111">
        <f>Audit[[#This Row],[Audit Candidate 6]]-Audit[[#This Row],[Candidate 6]]</f>
        <v>0</v>
      </c>
      <c r="Y624" s="111">
        <f>SUMIF(Audit[[#This Row],[Difference Loser]:[Difference Candidate 6]], "&gt;0")</f>
        <v>0</v>
      </c>
      <c r="Z624" s="111">
        <f>SUM(Audit[[#This Row],[Difference Loser]:[Difference Candidate 6]])</f>
        <v>-1</v>
      </c>
      <c r="AA624" s="111">
        <f>IF(Audit[[#This Row],[Times p Drawn - With Replacement]]&gt;0, IF(Audit[[#This Row],[Canceled Differences]]&lt;0, Audit[[#This Row],[Max Differences]]+ABS(Audit[[#This Row],[Canceled Differences]]), Audit[[#This Row],[Max Differences]]), 0)</f>
        <v>0</v>
      </c>
      <c r="AB624" s="111">
        <f>'Sampling Data'!P614</f>
        <v>1.224889759921607E-4</v>
      </c>
      <c r="AC624" s="111">
        <f>IF(
      SUM(Audit[[#This Row],[Audit Losing Candidate]:[Audit Candidate 6]])
      &lt;&gt;0,
      (Audit[[#This Row],[Winning Candidate]]-Audit[[#This Row],[Losing Candidate]]-(Audit[[#This Row],[Audit Winning Candidate]]-Audit[[#This Row],[Audit Losing Candidate]]))/(Audit[[#Totals],[Winning Candidate]]-Audit[[#Totals],[Losing Candidate]]),
      0
)</f>
        <v>0</v>
      </c>
      <c r="AD6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4" s="111">
        <f>IF(Audit[[#This Row],[Max Relative Error (ep)]] = 0, 0, Audit[[#This Row],[Max Relative Error (ep)]]/Audit[[#This Row],[Error Bound (up) - Max. possible relative overstatement]])</f>
        <v>0</v>
      </c>
      <c r="AJ6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24" s="111">
        <f t="shared" si="9"/>
        <v>1</v>
      </c>
      <c r="AL624" s="111">
        <f>PRODUCT($AK$5:AK624)</f>
        <v>8.962823818226312E-2</v>
      </c>
      <c r="AM624" s="109">
        <f>1 - [K-M P Value]</f>
        <v>0.91037176181773694</v>
      </c>
      <c r="AN624" s="111" t="str">
        <f>IF(Audit[[#This Row],[K-M P Value]]&gt;1-'General Info'!$B$16,"Continue", "Stop")</f>
        <v>Stop</v>
      </c>
      <c r="AO624" s="110" t="b">
        <f>IF(Audit[[#This Row],[Status - Continue or stop audit]] = "Continue", TRUE, IF(AN623 = "Continue", TRUE, FALSE))</f>
        <v>0</v>
      </c>
      <c r="AP624" s="110"/>
    </row>
    <row r="625" spans="1:42" ht="15" hidden="1" customHeight="1">
      <c r="A625" s="111" t="str">
        <f>'Sampling Data'!W615</f>
        <v/>
      </c>
      <c r="B625" s="112" t="str">
        <f>'Sampling Data'!A615</f>
        <v>CLEVELAND -10-F</v>
      </c>
      <c r="C625" s="112">
        <f>'Sampling Data'!B615</f>
        <v>0</v>
      </c>
      <c r="D625" s="112">
        <f>'Sampling Data'!C615</f>
        <v>1</v>
      </c>
      <c r="E625" s="113">
        <f>'Sampling Data'!D615</f>
        <v>0</v>
      </c>
      <c r="F625" s="113">
        <f>'Sampling Data'!E615</f>
        <v>0</v>
      </c>
      <c r="G625" s="113">
        <f>'Sampling Data'!F615</f>
        <v>0</v>
      </c>
      <c r="H625" s="113">
        <f>'Sampling Data'!G615</f>
        <v>0</v>
      </c>
      <c r="I625" s="112">
        <f>'Sampling Data'!H615</f>
        <v>0</v>
      </c>
      <c r="J625" s="112">
        <f>'Sampling Data'!I615</f>
        <v>1</v>
      </c>
      <c r="K625" s="112">
        <f>'Sampling Data'!J615</f>
        <v>2</v>
      </c>
      <c r="L625" s="111">
        <f>'Sampling Data'!X615</f>
        <v>0</v>
      </c>
      <c r="M625" s="114"/>
      <c r="N625" s="114"/>
      <c r="O625" s="115"/>
      <c r="P625" s="115"/>
      <c r="Q625" s="116"/>
      <c r="R625" s="116"/>
      <c r="S625" s="111">
        <f>Audit[[#This Row],[Audit Losing Candidate]]-Audit[[#This Row],[Losing Candidate]]</f>
        <v>0</v>
      </c>
      <c r="T625" s="111">
        <f>Audit[[#This Row],[Audit Winning Candidate]]-Audit[[#This Row],[Winning Candidate]]</f>
        <v>-1</v>
      </c>
      <c r="U625" s="111">
        <f>Audit[[#This Row],[Audit Candidate 3]]-Audit[[#This Row],[Candidate 3]]</f>
        <v>0</v>
      </c>
      <c r="V625" s="111">
        <f>Audit[[#This Row],[Audit Candidate 4]]-Audit[[#This Row],[Candidate 4]]</f>
        <v>0</v>
      </c>
      <c r="W625" s="111">
        <f>Audit[[#This Row],[Audit Candidate 5]]-Audit[[#This Row],[Candidate 5]]</f>
        <v>0</v>
      </c>
      <c r="X625" s="111">
        <f>Audit[[#This Row],[Audit Candidate 6]]-Audit[[#This Row],[Candidate 6]]</f>
        <v>0</v>
      </c>
      <c r="Y625" s="111">
        <f>SUMIF(Audit[[#This Row],[Difference Loser]:[Difference Candidate 6]], "&gt;0")</f>
        <v>0</v>
      </c>
      <c r="Z625" s="111">
        <f>SUM(Audit[[#This Row],[Difference Loser]:[Difference Candidate 6]])</f>
        <v>-1</v>
      </c>
      <c r="AA625" s="111">
        <f>IF(Audit[[#This Row],[Times p Drawn - With Replacement]]&gt;0, IF(Audit[[#This Row],[Canceled Differences]]&lt;0, Audit[[#This Row],[Max Differences]]+ABS(Audit[[#This Row],[Canceled Differences]]), Audit[[#This Row],[Max Differences]]), 0)</f>
        <v>0</v>
      </c>
      <c r="AB625" s="111">
        <f>'Sampling Data'!P615</f>
        <v>1.8373346398824106E-4</v>
      </c>
      <c r="AC625" s="111">
        <f>IF(
      SUM(Audit[[#This Row],[Audit Losing Candidate]:[Audit Candidate 6]])
      &lt;&gt;0,
      (Audit[[#This Row],[Winning Candidate]]-Audit[[#This Row],[Losing Candidate]]-(Audit[[#This Row],[Audit Winning Candidate]]-Audit[[#This Row],[Audit Losing Candidate]]))/(Audit[[#Totals],[Winning Candidate]]-Audit[[#Totals],[Losing Candidate]]),
      0
)</f>
        <v>0</v>
      </c>
      <c r="AD6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5" s="111">
        <f>IF(Audit[[#This Row],[Max Relative Error (ep)]] = 0, 0, Audit[[#This Row],[Max Relative Error (ep)]]/Audit[[#This Row],[Error Bound (up) - Max. possible relative overstatement]])</f>
        <v>0</v>
      </c>
      <c r="AJ6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25" s="111">
        <f t="shared" si="9"/>
        <v>1</v>
      </c>
      <c r="AL625" s="111">
        <f>PRODUCT($AK$5:AK625)</f>
        <v>8.962823818226312E-2</v>
      </c>
      <c r="AM625" s="109">
        <f>1 - [K-M P Value]</f>
        <v>0.91037176181773694</v>
      </c>
      <c r="AN625" s="111" t="str">
        <f>IF(Audit[[#This Row],[K-M P Value]]&gt;1-'General Info'!$B$16,"Continue", "Stop")</f>
        <v>Stop</v>
      </c>
      <c r="AO625" s="110" t="b">
        <f>IF(Audit[[#This Row],[Status - Continue or stop audit]] = "Continue", TRUE, IF(AN624 = "Continue", TRUE, FALSE))</f>
        <v>0</v>
      </c>
      <c r="AP625" s="110"/>
    </row>
    <row r="626" spans="1:42" ht="15" hidden="1" customHeight="1">
      <c r="A626" s="111" t="str">
        <f>'Sampling Data'!W616</f>
        <v/>
      </c>
      <c r="B626" s="112" t="str">
        <f>'Sampling Data'!A616</f>
        <v>CLEVELAND -10-F - ABS</v>
      </c>
      <c r="C626" s="112">
        <f>'Sampling Data'!B616</f>
        <v>0</v>
      </c>
      <c r="D626" s="112">
        <f>'Sampling Data'!C616</f>
        <v>4</v>
      </c>
      <c r="E626" s="113">
        <f>'Sampling Data'!D616</f>
        <v>0</v>
      </c>
      <c r="F626" s="113">
        <f>'Sampling Data'!E616</f>
        <v>0</v>
      </c>
      <c r="G626" s="113">
        <f>'Sampling Data'!F616</f>
        <v>0</v>
      </c>
      <c r="H626" s="113">
        <f>'Sampling Data'!G616</f>
        <v>0</v>
      </c>
      <c r="I626" s="112">
        <f>'Sampling Data'!H616</f>
        <v>0</v>
      </c>
      <c r="J626" s="112">
        <f>'Sampling Data'!I616</f>
        <v>0</v>
      </c>
      <c r="K626" s="112">
        <f>'Sampling Data'!J616</f>
        <v>4</v>
      </c>
      <c r="L626" s="111">
        <f>'Sampling Data'!X616</f>
        <v>0</v>
      </c>
      <c r="M626" s="114"/>
      <c r="N626" s="114"/>
      <c r="O626" s="115"/>
      <c r="P626" s="115"/>
      <c r="Q626" s="116"/>
      <c r="R626" s="116"/>
      <c r="S626" s="111">
        <f>Audit[[#This Row],[Audit Losing Candidate]]-Audit[[#This Row],[Losing Candidate]]</f>
        <v>0</v>
      </c>
      <c r="T626" s="111">
        <f>Audit[[#This Row],[Audit Winning Candidate]]-Audit[[#This Row],[Winning Candidate]]</f>
        <v>-4</v>
      </c>
      <c r="U626" s="111">
        <f>Audit[[#This Row],[Audit Candidate 3]]-Audit[[#This Row],[Candidate 3]]</f>
        <v>0</v>
      </c>
      <c r="V626" s="111">
        <f>Audit[[#This Row],[Audit Candidate 4]]-Audit[[#This Row],[Candidate 4]]</f>
        <v>0</v>
      </c>
      <c r="W626" s="111">
        <f>Audit[[#This Row],[Audit Candidate 5]]-Audit[[#This Row],[Candidate 5]]</f>
        <v>0</v>
      </c>
      <c r="X626" s="111">
        <f>Audit[[#This Row],[Audit Candidate 6]]-Audit[[#This Row],[Candidate 6]]</f>
        <v>0</v>
      </c>
      <c r="Y626" s="111">
        <f>SUMIF(Audit[[#This Row],[Difference Loser]:[Difference Candidate 6]], "&gt;0")</f>
        <v>0</v>
      </c>
      <c r="Z626" s="111">
        <f>SUM(Audit[[#This Row],[Difference Loser]:[Difference Candidate 6]])</f>
        <v>-4</v>
      </c>
      <c r="AA626" s="111">
        <f>IF(Audit[[#This Row],[Times p Drawn - With Replacement]]&gt;0, IF(Audit[[#This Row],[Canceled Differences]]&lt;0, Audit[[#This Row],[Max Differences]]+ABS(Audit[[#This Row],[Canceled Differences]]), Audit[[#This Row],[Max Differences]]), 0)</f>
        <v>0</v>
      </c>
      <c r="AB626" s="111">
        <f>'Sampling Data'!P616</f>
        <v>4.8995590396864281E-4</v>
      </c>
      <c r="AC626" s="111">
        <f>IF(
      SUM(Audit[[#This Row],[Audit Losing Candidate]:[Audit Candidate 6]])
      &lt;&gt;0,
      (Audit[[#This Row],[Winning Candidate]]-Audit[[#This Row],[Losing Candidate]]-(Audit[[#This Row],[Audit Winning Candidate]]-Audit[[#This Row],[Audit Losing Candidate]]))/(Audit[[#Totals],[Winning Candidate]]-Audit[[#Totals],[Losing Candidate]]),
      0
)</f>
        <v>0</v>
      </c>
      <c r="AD6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6" s="111">
        <f>IF(Audit[[#This Row],[Max Relative Error (ep)]] = 0, 0, Audit[[#This Row],[Max Relative Error (ep)]]/Audit[[#This Row],[Error Bound (up) - Max. possible relative overstatement]])</f>
        <v>0</v>
      </c>
      <c r="AJ6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26" s="111">
        <f t="shared" si="9"/>
        <v>1</v>
      </c>
      <c r="AL626" s="111">
        <f>PRODUCT($AK$5:AK626)</f>
        <v>8.962823818226312E-2</v>
      </c>
      <c r="AM626" s="109">
        <f>1 - [K-M P Value]</f>
        <v>0.91037176181773694</v>
      </c>
      <c r="AN626" s="111" t="str">
        <f>IF(Audit[[#This Row],[K-M P Value]]&gt;1-'General Info'!$B$16,"Continue", "Stop")</f>
        <v>Stop</v>
      </c>
      <c r="AO626" s="110" t="b">
        <f>IF(Audit[[#This Row],[Status - Continue or stop audit]] = "Continue", TRUE, IF(AN625 = "Continue", TRUE, FALSE))</f>
        <v>0</v>
      </c>
      <c r="AP626" s="110"/>
    </row>
    <row r="627" spans="1:42" ht="15" hidden="1" customHeight="1">
      <c r="A627" s="111" t="str">
        <f>'Sampling Data'!W617</f>
        <v/>
      </c>
      <c r="B627" s="112" t="str">
        <f>'Sampling Data'!A617</f>
        <v>CLEVELAND -10-G</v>
      </c>
      <c r="C627" s="112">
        <f>'Sampling Data'!B617</f>
        <v>1</v>
      </c>
      <c r="D627" s="112">
        <f>'Sampling Data'!C617</f>
        <v>0</v>
      </c>
      <c r="E627" s="113">
        <f>'Sampling Data'!D617</f>
        <v>1</v>
      </c>
      <c r="F627" s="113">
        <f>'Sampling Data'!E617</f>
        <v>0</v>
      </c>
      <c r="G627" s="113">
        <f>'Sampling Data'!F617</f>
        <v>1</v>
      </c>
      <c r="H627" s="113">
        <f>'Sampling Data'!G617</f>
        <v>0</v>
      </c>
      <c r="I627" s="112">
        <f>'Sampling Data'!H617</f>
        <v>0</v>
      </c>
      <c r="J627" s="112">
        <f>'Sampling Data'!I617</f>
        <v>0</v>
      </c>
      <c r="K627" s="112">
        <f>'Sampling Data'!J617</f>
        <v>3</v>
      </c>
      <c r="L627" s="111">
        <f>'Sampling Data'!X617</f>
        <v>0</v>
      </c>
      <c r="M627" s="114"/>
      <c r="N627" s="114"/>
      <c r="O627" s="115"/>
      <c r="P627" s="115"/>
      <c r="Q627" s="116"/>
      <c r="R627" s="116"/>
      <c r="S627" s="111">
        <f>Audit[[#This Row],[Audit Losing Candidate]]-Audit[[#This Row],[Losing Candidate]]</f>
        <v>-1</v>
      </c>
      <c r="T627" s="111">
        <f>Audit[[#This Row],[Audit Winning Candidate]]-Audit[[#This Row],[Winning Candidate]]</f>
        <v>0</v>
      </c>
      <c r="U627" s="111">
        <f>Audit[[#This Row],[Audit Candidate 3]]-Audit[[#This Row],[Candidate 3]]</f>
        <v>-1</v>
      </c>
      <c r="V627" s="111">
        <f>Audit[[#This Row],[Audit Candidate 4]]-Audit[[#This Row],[Candidate 4]]</f>
        <v>0</v>
      </c>
      <c r="W627" s="111">
        <f>Audit[[#This Row],[Audit Candidate 5]]-Audit[[#This Row],[Candidate 5]]</f>
        <v>-1</v>
      </c>
      <c r="X627" s="111">
        <f>Audit[[#This Row],[Audit Candidate 6]]-Audit[[#This Row],[Candidate 6]]</f>
        <v>0</v>
      </c>
      <c r="Y627" s="111">
        <f>SUMIF(Audit[[#This Row],[Difference Loser]:[Difference Candidate 6]], "&gt;0")</f>
        <v>0</v>
      </c>
      <c r="Z627" s="111">
        <f>SUM(Audit[[#This Row],[Difference Loser]:[Difference Candidate 6]])</f>
        <v>-3</v>
      </c>
      <c r="AA627" s="111">
        <f>IF(Audit[[#This Row],[Times p Drawn - With Replacement]]&gt;0, IF(Audit[[#This Row],[Canceled Differences]]&lt;0, Audit[[#This Row],[Max Differences]]+ABS(Audit[[#This Row],[Canceled Differences]]), Audit[[#This Row],[Max Differences]]), 0)</f>
        <v>0</v>
      </c>
      <c r="AB627" s="111">
        <f>'Sampling Data'!P617</f>
        <v>1.224889759921607E-4</v>
      </c>
      <c r="AC627" s="111">
        <f>IF(
      SUM(Audit[[#This Row],[Audit Losing Candidate]:[Audit Candidate 6]])
      &lt;&gt;0,
      (Audit[[#This Row],[Winning Candidate]]-Audit[[#This Row],[Losing Candidate]]-(Audit[[#This Row],[Audit Winning Candidate]]-Audit[[#This Row],[Audit Losing Candidate]]))/(Audit[[#Totals],[Winning Candidate]]-Audit[[#Totals],[Losing Candidate]]),
      0
)</f>
        <v>0</v>
      </c>
      <c r="AD6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7" s="111">
        <f>IF(Audit[[#This Row],[Max Relative Error (ep)]] = 0, 0, Audit[[#This Row],[Max Relative Error (ep)]]/Audit[[#This Row],[Error Bound (up) - Max. possible relative overstatement]])</f>
        <v>0</v>
      </c>
      <c r="AJ6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27" s="111">
        <f t="shared" si="9"/>
        <v>1</v>
      </c>
      <c r="AL627" s="111">
        <f>PRODUCT($AK$5:AK627)</f>
        <v>8.962823818226312E-2</v>
      </c>
      <c r="AM627" s="109">
        <f>1 - [K-M P Value]</f>
        <v>0.91037176181773694</v>
      </c>
      <c r="AN627" s="111" t="str">
        <f>IF(Audit[[#This Row],[K-M P Value]]&gt;1-'General Info'!$B$16,"Continue", "Stop")</f>
        <v>Stop</v>
      </c>
      <c r="AO627" s="110" t="b">
        <f>IF(Audit[[#This Row],[Status - Continue or stop audit]] = "Continue", TRUE, IF(AN626 = "Continue", TRUE, FALSE))</f>
        <v>0</v>
      </c>
      <c r="AP627" s="110"/>
    </row>
    <row r="628" spans="1:42" ht="15" hidden="1" customHeight="1">
      <c r="A628" s="111" t="str">
        <f>'Sampling Data'!W618</f>
        <v/>
      </c>
      <c r="B628" s="112" t="str">
        <f>'Sampling Data'!A618</f>
        <v>CLEVELAND -10-G - ABS</v>
      </c>
      <c r="C628" s="112">
        <f>'Sampling Data'!B618</f>
        <v>0</v>
      </c>
      <c r="D628" s="112">
        <f>'Sampling Data'!C618</f>
        <v>0</v>
      </c>
      <c r="E628" s="113">
        <f>'Sampling Data'!D618</f>
        <v>0</v>
      </c>
      <c r="F628" s="113">
        <f>'Sampling Data'!E618</f>
        <v>0</v>
      </c>
      <c r="G628" s="113">
        <f>'Sampling Data'!F618</f>
        <v>0</v>
      </c>
      <c r="H628" s="113">
        <f>'Sampling Data'!G618</f>
        <v>0</v>
      </c>
      <c r="I628" s="112">
        <f>'Sampling Data'!H618</f>
        <v>0</v>
      </c>
      <c r="J628" s="112">
        <f>'Sampling Data'!I618</f>
        <v>0</v>
      </c>
      <c r="K628" s="112">
        <f>'Sampling Data'!J618</f>
        <v>0</v>
      </c>
      <c r="L628" s="111">
        <f>'Sampling Data'!X618</f>
        <v>0</v>
      </c>
      <c r="M628" s="114"/>
      <c r="N628" s="114"/>
      <c r="O628" s="115"/>
      <c r="P628" s="115"/>
      <c r="Q628" s="116"/>
      <c r="R628" s="116"/>
      <c r="S628" s="111">
        <f>Audit[[#This Row],[Audit Losing Candidate]]-Audit[[#This Row],[Losing Candidate]]</f>
        <v>0</v>
      </c>
      <c r="T628" s="111">
        <f>Audit[[#This Row],[Audit Winning Candidate]]-Audit[[#This Row],[Winning Candidate]]</f>
        <v>0</v>
      </c>
      <c r="U628" s="111">
        <f>Audit[[#This Row],[Audit Candidate 3]]-Audit[[#This Row],[Candidate 3]]</f>
        <v>0</v>
      </c>
      <c r="V628" s="111">
        <f>Audit[[#This Row],[Audit Candidate 4]]-Audit[[#This Row],[Candidate 4]]</f>
        <v>0</v>
      </c>
      <c r="W628" s="111">
        <f>Audit[[#This Row],[Audit Candidate 5]]-Audit[[#This Row],[Candidate 5]]</f>
        <v>0</v>
      </c>
      <c r="X628" s="111">
        <f>Audit[[#This Row],[Audit Candidate 6]]-Audit[[#This Row],[Candidate 6]]</f>
        <v>0</v>
      </c>
      <c r="Y628" s="111">
        <f>SUMIF(Audit[[#This Row],[Difference Loser]:[Difference Candidate 6]], "&gt;0")</f>
        <v>0</v>
      </c>
      <c r="Z628" s="111">
        <f>SUM(Audit[[#This Row],[Difference Loser]:[Difference Candidate 6]])</f>
        <v>0</v>
      </c>
      <c r="AA628" s="111">
        <f>IF(Audit[[#This Row],[Times p Drawn - With Replacement]]&gt;0, IF(Audit[[#This Row],[Canceled Differences]]&lt;0, Audit[[#This Row],[Max Differences]]+ABS(Audit[[#This Row],[Canceled Differences]]), Audit[[#This Row],[Max Differences]]), 0)</f>
        <v>0</v>
      </c>
      <c r="AB628" s="111">
        <f>'Sampling Data'!P618</f>
        <v>0</v>
      </c>
      <c r="AC628" s="111">
        <f>IF(
      SUM(Audit[[#This Row],[Audit Losing Candidate]:[Audit Candidate 6]])
      &lt;&gt;0,
      (Audit[[#This Row],[Winning Candidate]]-Audit[[#This Row],[Losing Candidate]]-(Audit[[#This Row],[Audit Winning Candidate]]-Audit[[#This Row],[Audit Losing Candidate]]))/(Audit[[#Totals],[Winning Candidate]]-Audit[[#Totals],[Losing Candidate]]),
      0
)</f>
        <v>0</v>
      </c>
      <c r="AD6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8" s="111">
        <f>IF(Audit[[#This Row],[Max Relative Error (ep)]] = 0, 0, Audit[[#This Row],[Max Relative Error (ep)]]/Audit[[#This Row],[Error Bound (up) - Max. possible relative overstatement]])</f>
        <v>0</v>
      </c>
      <c r="AJ6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28" s="111">
        <f t="shared" si="9"/>
        <v>1</v>
      </c>
      <c r="AL628" s="111">
        <f>PRODUCT($AK$5:AK628)</f>
        <v>8.962823818226312E-2</v>
      </c>
      <c r="AM628" s="109">
        <f>1 - [K-M P Value]</f>
        <v>0.91037176181773694</v>
      </c>
      <c r="AN628" s="111" t="str">
        <f>IF(Audit[[#This Row],[K-M P Value]]&gt;1-'General Info'!$B$16,"Continue", "Stop")</f>
        <v>Stop</v>
      </c>
      <c r="AO628" s="110" t="b">
        <f>IF(Audit[[#This Row],[Status - Continue or stop audit]] = "Continue", TRUE, IF(AN627 = "Continue", TRUE, FALSE))</f>
        <v>0</v>
      </c>
      <c r="AP628" s="110"/>
    </row>
    <row r="629" spans="1:42" ht="15" hidden="1" customHeight="1">
      <c r="A629" s="111" t="str">
        <f>'Sampling Data'!W619</f>
        <v/>
      </c>
      <c r="B629" s="112" t="str">
        <f>'Sampling Data'!A619</f>
        <v>CLEVELAND -10-H</v>
      </c>
      <c r="C629" s="112">
        <f>'Sampling Data'!B619</f>
        <v>0</v>
      </c>
      <c r="D629" s="112">
        <f>'Sampling Data'!C619</f>
        <v>0</v>
      </c>
      <c r="E629" s="113">
        <f>'Sampling Data'!D619</f>
        <v>0</v>
      </c>
      <c r="F629" s="113">
        <f>'Sampling Data'!E619</f>
        <v>0</v>
      </c>
      <c r="G629" s="113">
        <f>'Sampling Data'!F619</f>
        <v>0</v>
      </c>
      <c r="H629" s="113">
        <f>'Sampling Data'!G619</f>
        <v>0</v>
      </c>
      <c r="I629" s="112">
        <f>'Sampling Data'!H619</f>
        <v>0</v>
      </c>
      <c r="J629" s="112">
        <f>'Sampling Data'!I619</f>
        <v>0</v>
      </c>
      <c r="K629" s="112">
        <f>'Sampling Data'!J619</f>
        <v>0</v>
      </c>
      <c r="L629" s="111">
        <f>'Sampling Data'!X619</f>
        <v>0</v>
      </c>
      <c r="M629" s="114"/>
      <c r="N629" s="114"/>
      <c r="O629" s="115"/>
      <c r="P629" s="115"/>
      <c r="Q629" s="116"/>
      <c r="R629" s="116"/>
      <c r="S629" s="111">
        <f>Audit[[#This Row],[Audit Losing Candidate]]-Audit[[#This Row],[Losing Candidate]]</f>
        <v>0</v>
      </c>
      <c r="T629" s="111">
        <f>Audit[[#This Row],[Audit Winning Candidate]]-Audit[[#This Row],[Winning Candidate]]</f>
        <v>0</v>
      </c>
      <c r="U629" s="111">
        <f>Audit[[#This Row],[Audit Candidate 3]]-Audit[[#This Row],[Candidate 3]]</f>
        <v>0</v>
      </c>
      <c r="V629" s="111">
        <f>Audit[[#This Row],[Audit Candidate 4]]-Audit[[#This Row],[Candidate 4]]</f>
        <v>0</v>
      </c>
      <c r="W629" s="111">
        <f>Audit[[#This Row],[Audit Candidate 5]]-Audit[[#This Row],[Candidate 5]]</f>
        <v>0</v>
      </c>
      <c r="X629" s="111">
        <f>Audit[[#This Row],[Audit Candidate 6]]-Audit[[#This Row],[Candidate 6]]</f>
        <v>0</v>
      </c>
      <c r="Y629" s="111">
        <f>SUMIF(Audit[[#This Row],[Difference Loser]:[Difference Candidate 6]], "&gt;0")</f>
        <v>0</v>
      </c>
      <c r="Z629" s="111">
        <f>SUM(Audit[[#This Row],[Difference Loser]:[Difference Candidate 6]])</f>
        <v>0</v>
      </c>
      <c r="AA629" s="111">
        <f>IF(Audit[[#This Row],[Times p Drawn - With Replacement]]&gt;0, IF(Audit[[#This Row],[Canceled Differences]]&lt;0, Audit[[#This Row],[Max Differences]]+ABS(Audit[[#This Row],[Canceled Differences]]), Audit[[#This Row],[Max Differences]]), 0)</f>
        <v>0</v>
      </c>
      <c r="AB629" s="111">
        <f>'Sampling Data'!P619</f>
        <v>0</v>
      </c>
      <c r="AC629" s="111">
        <f>IF(
      SUM(Audit[[#This Row],[Audit Losing Candidate]:[Audit Candidate 6]])
      &lt;&gt;0,
      (Audit[[#This Row],[Winning Candidate]]-Audit[[#This Row],[Losing Candidate]]-(Audit[[#This Row],[Audit Winning Candidate]]-Audit[[#This Row],[Audit Losing Candidate]]))/(Audit[[#Totals],[Winning Candidate]]-Audit[[#Totals],[Losing Candidate]]),
      0
)</f>
        <v>0</v>
      </c>
      <c r="AD6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9" s="111">
        <f>IF(Audit[[#This Row],[Max Relative Error (ep)]] = 0, 0, Audit[[#This Row],[Max Relative Error (ep)]]/Audit[[#This Row],[Error Bound (up) - Max. possible relative overstatement]])</f>
        <v>0</v>
      </c>
      <c r="AJ6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29" s="111">
        <f t="shared" si="9"/>
        <v>1</v>
      </c>
      <c r="AL629" s="111">
        <f>PRODUCT($AK$5:AK629)</f>
        <v>8.962823818226312E-2</v>
      </c>
      <c r="AM629" s="109">
        <f>1 - [K-M P Value]</f>
        <v>0.91037176181773694</v>
      </c>
      <c r="AN629" s="111" t="str">
        <f>IF(Audit[[#This Row],[K-M P Value]]&gt;1-'General Info'!$B$16,"Continue", "Stop")</f>
        <v>Stop</v>
      </c>
      <c r="AO629" s="110" t="b">
        <f>IF(Audit[[#This Row],[Status - Continue or stop audit]] = "Continue", TRUE, IF(AN628 = "Continue", TRUE, FALSE))</f>
        <v>0</v>
      </c>
      <c r="AP629" s="110"/>
    </row>
    <row r="630" spans="1:42" ht="15" hidden="1" customHeight="1">
      <c r="A630" s="111" t="str">
        <f>'Sampling Data'!W620</f>
        <v/>
      </c>
      <c r="B630" s="112" t="str">
        <f>'Sampling Data'!A620</f>
        <v>CLEVELAND -10-H - ABS</v>
      </c>
      <c r="C630" s="112">
        <f>'Sampling Data'!B620</f>
        <v>0</v>
      </c>
      <c r="D630" s="112">
        <f>'Sampling Data'!C620</f>
        <v>0</v>
      </c>
      <c r="E630" s="113">
        <f>'Sampling Data'!D620</f>
        <v>0</v>
      </c>
      <c r="F630" s="113">
        <f>'Sampling Data'!E620</f>
        <v>0</v>
      </c>
      <c r="G630" s="113">
        <f>'Sampling Data'!F620</f>
        <v>0</v>
      </c>
      <c r="H630" s="113">
        <f>'Sampling Data'!G620</f>
        <v>0</v>
      </c>
      <c r="I630" s="112">
        <f>'Sampling Data'!H620</f>
        <v>0</v>
      </c>
      <c r="J630" s="112">
        <f>'Sampling Data'!I620</f>
        <v>0</v>
      </c>
      <c r="K630" s="112">
        <f>'Sampling Data'!J620</f>
        <v>0</v>
      </c>
      <c r="L630" s="111">
        <f>'Sampling Data'!X620</f>
        <v>0</v>
      </c>
      <c r="M630" s="114"/>
      <c r="N630" s="114"/>
      <c r="O630" s="115"/>
      <c r="P630" s="115"/>
      <c r="Q630" s="116"/>
      <c r="R630" s="116"/>
      <c r="S630" s="111">
        <f>Audit[[#This Row],[Audit Losing Candidate]]-Audit[[#This Row],[Losing Candidate]]</f>
        <v>0</v>
      </c>
      <c r="T630" s="111">
        <f>Audit[[#This Row],[Audit Winning Candidate]]-Audit[[#This Row],[Winning Candidate]]</f>
        <v>0</v>
      </c>
      <c r="U630" s="111">
        <f>Audit[[#This Row],[Audit Candidate 3]]-Audit[[#This Row],[Candidate 3]]</f>
        <v>0</v>
      </c>
      <c r="V630" s="111">
        <f>Audit[[#This Row],[Audit Candidate 4]]-Audit[[#This Row],[Candidate 4]]</f>
        <v>0</v>
      </c>
      <c r="W630" s="111">
        <f>Audit[[#This Row],[Audit Candidate 5]]-Audit[[#This Row],[Candidate 5]]</f>
        <v>0</v>
      </c>
      <c r="X630" s="111">
        <f>Audit[[#This Row],[Audit Candidate 6]]-Audit[[#This Row],[Candidate 6]]</f>
        <v>0</v>
      </c>
      <c r="Y630" s="111">
        <f>SUMIF(Audit[[#This Row],[Difference Loser]:[Difference Candidate 6]], "&gt;0")</f>
        <v>0</v>
      </c>
      <c r="Z630" s="111">
        <f>SUM(Audit[[#This Row],[Difference Loser]:[Difference Candidate 6]])</f>
        <v>0</v>
      </c>
      <c r="AA630" s="111">
        <f>IF(Audit[[#This Row],[Times p Drawn - With Replacement]]&gt;0, IF(Audit[[#This Row],[Canceled Differences]]&lt;0, Audit[[#This Row],[Max Differences]]+ABS(Audit[[#This Row],[Canceled Differences]]), Audit[[#This Row],[Max Differences]]), 0)</f>
        <v>0</v>
      </c>
      <c r="AB630" s="111">
        <f>'Sampling Data'!P620</f>
        <v>0</v>
      </c>
      <c r="AC630" s="111">
        <f>IF(
      SUM(Audit[[#This Row],[Audit Losing Candidate]:[Audit Candidate 6]])
      &lt;&gt;0,
      (Audit[[#This Row],[Winning Candidate]]-Audit[[#This Row],[Losing Candidate]]-(Audit[[#This Row],[Audit Winning Candidate]]-Audit[[#This Row],[Audit Losing Candidate]]))/(Audit[[#Totals],[Winning Candidate]]-Audit[[#Totals],[Losing Candidate]]),
      0
)</f>
        <v>0</v>
      </c>
      <c r="AD6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0" s="111">
        <f>IF(Audit[[#This Row],[Max Relative Error (ep)]] = 0, 0, Audit[[#This Row],[Max Relative Error (ep)]]/Audit[[#This Row],[Error Bound (up) - Max. possible relative overstatement]])</f>
        <v>0</v>
      </c>
      <c r="AJ6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30" s="111">
        <f t="shared" si="9"/>
        <v>1</v>
      </c>
      <c r="AL630" s="111">
        <f>PRODUCT($AK$5:AK630)</f>
        <v>8.962823818226312E-2</v>
      </c>
      <c r="AM630" s="109">
        <f>1 - [K-M P Value]</f>
        <v>0.91037176181773694</v>
      </c>
      <c r="AN630" s="111" t="str">
        <f>IF(Audit[[#This Row],[K-M P Value]]&gt;1-'General Info'!$B$16,"Continue", "Stop")</f>
        <v>Stop</v>
      </c>
      <c r="AO630" s="110" t="b">
        <f>IF(Audit[[#This Row],[Status - Continue or stop audit]] = "Continue", TRUE, IF(AN629 = "Continue", TRUE, FALSE))</f>
        <v>0</v>
      </c>
      <c r="AP630" s="110"/>
    </row>
    <row r="631" spans="1:42" ht="15" hidden="1" customHeight="1">
      <c r="A631" s="111" t="str">
        <f>'Sampling Data'!W621</f>
        <v/>
      </c>
      <c r="B631" s="112" t="str">
        <f>'Sampling Data'!A621</f>
        <v>CLEVELAND -10-I</v>
      </c>
      <c r="C631" s="112">
        <f>'Sampling Data'!B621</f>
        <v>0</v>
      </c>
      <c r="D631" s="112">
        <f>'Sampling Data'!C621</f>
        <v>0</v>
      </c>
      <c r="E631" s="113">
        <f>'Sampling Data'!D621</f>
        <v>1</v>
      </c>
      <c r="F631" s="113">
        <f>'Sampling Data'!E621</f>
        <v>0</v>
      </c>
      <c r="G631" s="113">
        <f>'Sampling Data'!F621</f>
        <v>0</v>
      </c>
      <c r="H631" s="113">
        <f>'Sampling Data'!G621</f>
        <v>0</v>
      </c>
      <c r="I631" s="112">
        <f>'Sampling Data'!H621</f>
        <v>0</v>
      </c>
      <c r="J631" s="112">
        <f>'Sampling Data'!I621</f>
        <v>0</v>
      </c>
      <c r="K631" s="112">
        <f>'Sampling Data'!J621</f>
        <v>1</v>
      </c>
      <c r="L631" s="111">
        <f>'Sampling Data'!X621</f>
        <v>0</v>
      </c>
      <c r="M631" s="114"/>
      <c r="N631" s="114"/>
      <c r="O631" s="115"/>
      <c r="P631" s="115"/>
      <c r="Q631" s="116"/>
      <c r="R631" s="116"/>
      <c r="S631" s="111">
        <f>Audit[[#This Row],[Audit Losing Candidate]]-Audit[[#This Row],[Losing Candidate]]</f>
        <v>0</v>
      </c>
      <c r="T631" s="111">
        <f>Audit[[#This Row],[Audit Winning Candidate]]-Audit[[#This Row],[Winning Candidate]]</f>
        <v>0</v>
      </c>
      <c r="U631" s="111">
        <f>Audit[[#This Row],[Audit Candidate 3]]-Audit[[#This Row],[Candidate 3]]</f>
        <v>-1</v>
      </c>
      <c r="V631" s="111">
        <f>Audit[[#This Row],[Audit Candidate 4]]-Audit[[#This Row],[Candidate 4]]</f>
        <v>0</v>
      </c>
      <c r="W631" s="111">
        <f>Audit[[#This Row],[Audit Candidate 5]]-Audit[[#This Row],[Candidate 5]]</f>
        <v>0</v>
      </c>
      <c r="X631" s="111">
        <f>Audit[[#This Row],[Audit Candidate 6]]-Audit[[#This Row],[Candidate 6]]</f>
        <v>0</v>
      </c>
      <c r="Y631" s="111">
        <f>SUMIF(Audit[[#This Row],[Difference Loser]:[Difference Candidate 6]], "&gt;0")</f>
        <v>0</v>
      </c>
      <c r="Z631" s="111">
        <f>SUM(Audit[[#This Row],[Difference Loser]:[Difference Candidate 6]])</f>
        <v>-1</v>
      </c>
      <c r="AA631" s="111">
        <f>IF(Audit[[#This Row],[Times p Drawn - With Replacement]]&gt;0, IF(Audit[[#This Row],[Canceled Differences]]&lt;0, Audit[[#This Row],[Max Differences]]+ABS(Audit[[#This Row],[Canceled Differences]]), Audit[[#This Row],[Max Differences]]), 0)</f>
        <v>0</v>
      </c>
      <c r="AB631" s="111">
        <f>'Sampling Data'!P621</f>
        <v>6.1244487996080352E-5</v>
      </c>
      <c r="AC631" s="111">
        <f>IF(
      SUM(Audit[[#This Row],[Audit Losing Candidate]:[Audit Candidate 6]])
      &lt;&gt;0,
      (Audit[[#This Row],[Winning Candidate]]-Audit[[#This Row],[Losing Candidate]]-(Audit[[#This Row],[Audit Winning Candidate]]-Audit[[#This Row],[Audit Losing Candidate]]))/(Audit[[#Totals],[Winning Candidate]]-Audit[[#Totals],[Losing Candidate]]),
      0
)</f>
        <v>0</v>
      </c>
      <c r="AD6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1" s="111">
        <f>IF(Audit[[#This Row],[Max Relative Error (ep)]] = 0, 0, Audit[[#This Row],[Max Relative Error (ep)]]/Audit[[#This Row],[Error Bound (up) - Max. possible relative overstatement]])</f>
        <v>0</v>
      </c>
      <c r="AJ6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31" s="111">
        <f t="shared" si="9"/>
        <v>1</v>
      </c>
      <c r="AL631" s="111">
        <f>PRODUCT($AK$5:AK631)</f>
        <v>8.962823818226312E-2</v>
      </c>
      <c r="AM631" s="109">
        <f>1 - [K-M P Value]</f>
        <v>0.91037176181773694</v>
      </c>
      <c r="AN631" s="111" t="str">
        <f>IF(Audit[[#This Row],[K-M P Value]]&gt;1-'General Info'!$B$16,"Continue", "Stop")</f>
        <v>Stop</v>
      </c>
      <c r="AO631" s="110" t="b">
        <f>IF(Audit[[#This Row],[Status - Continue or stop audit]] = "Continue", TRUE, IF(AN630 = "Continue", TRUE, FALSE))</f>
        <v>0</v>
      </c>
      <c r="AP631" s="110"/>
    </row>
    <row r="632" spans="1:42" ht="15" hidden="1" customHeight="1">
      <c r="A632" s="111" t="str">
        <f>'Sampling Data'!W622</f>
        <v/>
      </c>
      <c r="B632" s="112" t="str">
        <f>'Sampling Data'!A622</f>
        <v>CLEVELAND -10-I - ABS</v>
      </c>
      <c r="C632" s="112">
        <f>'Sampling Data'!B622</f>
        <v>0</v>
      </c>
      <c r="D632" s="112">
        <f>'Sampling Data'!C622</f>
        <v>0</v>
      </c>
      <c r="E632" s="113">
        <f>'Sampling Data'!D622</f>
        <v>0</v>
      </c>
      <c r="F632" s="113">
        <f>'Sampling Data'!E622</f>
        <v>0</v>
      </c>
      <c r="G632" s="113">
        <f>'Sampling Data'!F622</f>
        <v>0</v>
      </c>
      <c r="H632" s="113">
        <f>'Sampling Data'!G622</f>
        <v>0</v>
      </c>
      <c r="I632" s="112">
        <f>'Sampling Data'!H622</f>
        <v>0</v>
      </c>
      <c r="J632" s="112">
        <f>'Sampling Data'!I622</f>
        <v>0</v>
      </c>
      <c r="K632" s="112">
        <f>'Sampling Data'!J622</f>
        <v>0</v>
      </c>
      <c r="L632" s="111">
        <f>'Sampling Data'!X622</f>
        <v>0</v>
      </c>
      <c r="M632" s="114"/>
      <c r="N632" s="114"/>
      <c r="O632" s="115"/>
      <c r="P632" s="115"/>
      <c r="Q632" s="116"/>
      <c r="R632" s="116"/>
      <c r="S632" s="111">
        <f>Audit[[#This Row],[Audit Losing Candidate]]-Audit[[#This Row],[Losing Candidate]]</f>
        <v>0</v>
      </c>
      <c r="T632" s="111">
        <f>Audit[[#This Row],[Audit Winning Candidate]]-Audit[[#This Row],[Winning Candidate]]</f>
        <v>0</v>
      </c>
      <c r="U632" s="111">
        <f>Audit[[#This Row],[Audit Candidate 3]]-Audit[[#This Row],[Candidate 3]]</f>
        <v>0</v>
      </c>
      <c r="V632" s="111">
        <f>Audit[[#This Row],[Audit Candidate 4]]-Audit[[#This Row],[Candidate 4]]</f>
        <v>0</v>
      </c>
      <c r="W632" s="111">
        <f>Audit[[#This Row],[Audit Candidate 5]]-Audit[[#This Row],[Candidate 5]]</f>
        <v>0</v>
      </c>
      <c r="X632" s="111">
        <f>Audit[[#This Row],[Audit Candidate 6]]-Audit[[#This Row],[Candidate 6]]</f>
        <v>0</v>
      </c>
      <c r="Y632" s="111">
        <f>SUMIF(Audit[[#This Row],[Difference Loser]:[Difference Candidate 6]], "&gt;0")</f>
        <v>0</v>
      </c>
      <c r="Z632" s="111">
        <f>SUM(Audit[[#This Row],[Difference Loser]:[Difference Candidate 6]])</f>
        <v>0</v>
      </c>
      <c r="AA632" s="111">
        <f>IF(Audit[[#This Row],[Times p Drawn - With Replacement]]&gt;0, IF(Audit[[#This Row],[Canceled Differences]]&lt;0, Audit[[#This Row],[Max Differences]]+ABS(Audit[[#This Row],[Canceled Differences]]), Audit[[#This Row],[Max Differences]]), 0)</f>
        <v>0</v>
      </c>
      <c r="AB632" s="111">
        <f>'Sampling Data'!P622</f>
        <v>0</v>
      </c>
      <c r="AC632" s="111">
        <f>IF(
      SUM(Audit[[#This Row],[Audit Losing Candidate]:[Audit Candidate 6]])
      &lt;&gt;0,
      (Audit[[#This Row],[Winning Candidate]]-Audit[[#This Row],[Losing Candidate]]-(Audit[[#This Row],[Audit Winning Candidate]]-Audit[[#This Row],[Audit Losing Candidate]]))/(Audit[[#Totals],[Winning Candidate]]-Audit[[#Totals],[Losing Candidate]]),
      0
)</f>
        <v>0</v>
      </c>
      <c r="AD6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2" s="111">
        <f>IF(Audit[[#This Row],[Max Relative Error (ep)]] = 0, 0, Audit[[#This Row],[Max Relative Error (ep)]]/Audit[[#This Row],[Error Bound (up) - Max. possible relative overstatement]])</f>
        <v>0</v>
      </c>
      <c r="AJ6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32" s="111">
        <f t="shared" si="9"/>
        <v>1</v>
      </c>
      <c r="AL632" s="111">
        <f>PRODUCT($AK$5:AK632)</f>
        <v>8.962823818226312E-2</v>
      </c>
      <c r="AM632" s="109">
        <f>1 - [K-M P Value]</f>
        <v>0.91037176181773694</v>
      </c>
      <c r="AN632" s="111" t="str">
        <f>IF(Audit[[#This Row],[K-M P Value]]&gt;1-'General Info'!$B$16,"Continue", "Stop")</f>
        <v>Stop</v>
      </c>
      <c r="AO632" s="110" t="b">
        <f>IF(Audit[[#This Row],[Status - Continue or stop audit]] = "Continue", TRUE, IF(AN631 = "Continue", TRUE, FALSE))</f>
        <v>0</v>
      </c>
      <c r="AP632" s="110"/>
    </row>
    <row r="633" spans="1:42" ht="15" hidden="1" customHeight="1">
      <c r="A633" s="111" t="str">
        <f>'Sampling Data'!W623</f>
        <v/>
      </c>
      <c r="B633" s="112" t="str">
        <f>'Sampling Data'!A623</f>
        <v>CLEVELAND -10-J</v>
      </c>
      <c r="C633" s="112">
        <f>'Sampling Data'!B623</f>
        <v>0</v>
      </c>
      <c r="D633" s="112">
        <f>'Sampling Data'!C623</f>
        <v>0</v>
      </c>
      <c r="E633" s="113">
        <f>'Sampling Data'!D623</f>
        <v>0</v>
      </c>
      <c r="F633" s="113">
        <f>'Sampling Data'!E623</f>
        <v>0</v>
      </c>
      <c r="G633" s="113">
        <f>'Sampling Data'!F623</f>
        <v>0</v>
      </c>
      <c r="H633" s="113">
        <f>'Sampling Data'!G623</f>
        <v>0</v>
      </c>
      <c r="I633" s="112">
        <f>'Sampling Data'!H623</f>
        <v>0</v>
      </c>
      <c r="J633" s="112">
        <f>'Sampling Data'!I623</f>
        <v>0</v>
      </c>
      <c r="K633" s="112">
        <f>'Sampling Data'!J623</f>
        <v>0</v>
      </c>
      <c r="L633" s="111">
        <f>'Sampling Data'!X623</f>
        <v>0</v>
      </c>
      <c r="M633" s="114"/>
      <c r="N633" s="114"/>
      <c r="O633" s="115"/>
      <c r="P633" s="115"/>
      <c r="Q633" s="116"/>
      <c r="R633" s="116"/>
      <c r="S633" s="111">
        <f>Audit[[#This Row],[Audit Losing Candidate]]-Audit[[#This Row],[Losing Candidate]]</f>
        <v>0</v>
      </c>
      <c r="T633" s="111">
        <f>Audit[[#This Row],[Audit Winning Candidate]]-Audit[[#This Row],[Winning Candidate]]</f>
        <v>0</v>
      </c>
      <c r="U633" s="111">
        <f>Audit[[#This Row],[Audit Candidate 3]]-Audit[[#This Row],[Candidate 3]]</f>
        <v>0</v>
      </c>
      <c r="V633" s="111">
        <f>Audit[[#This Row],[Audit Candidate 4]]-Audit[[#This Row],[Candidate 4]]</f>
        <v>0</v>
      </c>
      <c r="W633" s="111">
        <f>Audit[[#This Row],[Audit Candidate 5]]-Audit[[#This Row],[Candidate 5]]</f>
        <v>0</v>
      </c>
      <c r="X633" s="111">
        <f>Audit[[#This Row],[Audit Candidate 6]]-Audit[[#This Row],[Candidate 6]]</f>
        <v>0</v>
      </c>
      <c r="Y633" s="111">
        <f>SUMIF(Audit[[#This Row],[Difference Loser]:[Difference Candidate 6]], "&gt;0")</f>
        <v>0</v>
      </c>
      <c r="Z633" s="111">
        <f>SUM(Audit[[#This Row],[Difference Loser]:[Difference Candidate 6]])</f>
        <v>0</v>
      </c>
      <c r="AA633" s="111">
        <f>IF(Audit[[#This Row],[Times p Drawn - With Replacement]]&gt;0, IF(Audit[[#This Row],[Canceled Differences]]&lt;0, Audit[[#This Row],[Max Differences]]+ABS(Audit[[#This Row],[Canceled Differences]]), Audit[[#This Row],[Max Differences]]), 0)</f>
        <v>0</v>
      </c>
      <c r="AB633" s="111">
        <f>'Sampling Data'!P623</f>
        <v>0</v>
      </c>
      <c r="AC633" s="111">
        <f>IF(
      SUM(Audit[[#This Row],[Audit Losing Candidate]:[Audit Candidate 6]])
      &lt;&gt;0,
      (Audit[[#This Row],[Winning Candidate]]-Audit[[#This Row],[Losing Candidate]]-(Audit[[#This Row],[Audit Winning Candidate]]-Audit[[#This Row],[Audit Losing Candidate]]))/(Audit[[#Totals],[Winning Candidate]]-Audit[[#Totals],[Losing Candidate]]),
      0
)</f>
        <v>0</v>
      </c>
      <c r="AD6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3" s="111">
        <f>IF(Audit[[#This Row],[Max Relative Error (ep)]] = 0, 0, Audit[[#This Row],[Max Relative Error (ep)]]/Audit[[#This Row],[Error Bound (up) - Max. possible relative overstatement]])</f>
        <v>0</v>
      </c>
      <c r="AJ6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33" s="111">
        <f t="shared" si="9"/>
        <v>1</v>
      </c>
      <c r="AL633" s="111">
        <f>PRODUCT($AK$5:AK633)</f>
        <v>8.962823818226312E-2</v>
      </c>
      <c r="AM633" s="109">
        <f>1 - [K-M P Value]</f>
        <v>0.91037176181773694</v>
      </c>
      <c r="AN633" s="111" t="str">
        <f>IF(Audit[[#This Row],[K-M P Value]]&gt;1-'General Info'!$B$16,"Continue", "Stop")</f>
        <v>Stop</v>
      </c>
      <c r="AO633" s="110" t="b">
        <f>IF(Audit[[#This Row],[Status - Continue or stop audit]] = "Continue", TRUE, IF(AN632 = "Continue", TRUE, FALSE))</f>
        <v>0</v>
      </c>
      <c r="AP633" s="110"/>
    </row>
    <row r="634" spans="1:42" ht="15" hidden="1" customHeight="1">
      <c r="A634" s="111" t="str">
        <f>'Sampling Data'!W624</f>
        <v/>
      </c>
      <c r="B634" s="112" t="str">
        <f>'Sampling Data'!A624</f>
        <v>CLEVELAND -10-J - ABS</v>
      </c>
      <c r="C634" s="112">
        <f>'Sampling Data'!B624</f>
        <v>0</v>
      </c>
      <c r="D634" s="112">
        <f>'Sampling Data'!C624</f>
        <v>1</v>
      </c>
      <c r="E634" s="113">
        <f>'Sampling Data'!D624</f>
        <v>0</v>
      </c>
      <c r="F634" s="113">
        <f>'Sampling Data'!E624</f>
        <v>0</v>
      </c>
      <c r="G634" s="113">
        <f>'Sampling Data'!F624</f>
        <v>0</v>
      </c>
      <c r="H634" s="113">
        <f>'Sampling Data'!G624</f>
        <v>0</v>
      </c>
      <c r="I634" s="112">
        <f>'Sampling Data'!H624</f>
        <v>0</v>
      </c>
      <c r="J634" s="112">
        <f>'Sampling Data'!I624</f>
        <v>0</v>
      </c>
      <c r="K634" s="112">
        <f>'Sampling Data'!J624</f>
        <v>1</v>
      </c>
      <c r="L634" s="111">
        <f>'Sampling Data'!X624</f>
        <v>0</v>
      </c>
      <c r="M634" s="114"/>
      <c r="N634" s="114"/>
      <c r="O634" s="115"/>
      <c r="P634" s="115"/>
      <c r="Q634" s="116"/>
      <c r="R634" s="116"/>
      <c r="S634" s="111">
        <f>Audit[[#This Row],[Audit Losing Candidate]]-Audit[[#This Row],[Losing Candidate]]</f>
        <v>0</v>
      </c>
      <c r="T634" s="111">
        <f>Audit[[#This Row],[Audit Winning Candidate]]-Audit[[#This Row],[Winning Candidate]]</f>
        <v>-1</v>
      </c>
      <c r="U634" s="111">
        <f>Audit[[#This Row],[Audit Candidate 3]]-Audit[[#This Row],[Candidate 3]]</f>
        <v>0</v>
      </c>
      <c r="V634" s="111">
        <f>Audit[[#This Row],[Audit Candidate 4]]-Audit[[#This Row],[Candidate 4]]</f>
        <v>0</v>
      </c>
      <c r="W634" s="111">
        <f>Audit[[#This Row],[Audit Candidate 5]]-Audit[[#This Row],[Candidate 5]]</f>
        <v>0</v>
      </c>
      <c r="X634" s="111">
        <f>Audit[[#This Row],[Audit Candidate 6]]-Audit[[#This Row],[Candidate 6]]</f>
        <v>0</v>
      </c>
      <c r="Y634" s="111">
        <f>SUMIF(Audit[[#This Row],[Difference Loser]:[Difference Candidate 6]], "&gt;0")</f>
        <v>0</v>
      </c>
      <c r="Z634" s="111">
        <f>SUM(Audit[[#This Row],[Difference Loser]:[Difference Candidate 6]])</f>
        <v>-1</v>
      </c>
      <c r="AA634" s="111">
        <f>IF(Audit[[#This Row],[Times p Drawn - With Replacement]]&gt;0, IF(Audit[[#This Row],[Canceled Differences]]&lt;0, Audit[[#This Row],[Max Differences]]+ABS(Audit[[#This Row],[Canceled Differences]]), Audit[[#This Row],[Max Differences]]), 0)</f>
        <v>0</v>
      </c>
      <c r="AB634" s="111">
        <f>'Sampling Data'!P624</f>
        <v>1.224889759921607E-4</v>
      </c>
      <c r="AC634" s="111">
        <f>IF(
      SUM(Audit[[#This Row],[Audit Losing Candidate]:[Audit Candidate 6]])
      &lt;&gt;0,
      (Audit[[#This Row],[Winning Candidate]]-Audit[[#This Row],[Losing Candidate]]-(Audit[[#This Row],[Audit Winning Candidate]]-Audit[[#This Row],[Audit Losing Candidate]]))/(Audit[[#Totals],[Winning Candidate]]-Audit[[#Totals],[Losing Candidate]]),
      0
)</f>
        <v>0</v>
      </c>
      <c r="AD6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4" s="111">
        <f>IF(Audit[[#This Row],[Max Relative Error (ep)]] = 0, 0, Audit[[#This Row],[Max Relative Error (ep)]]/Audit[[#This Row],[Error Bound (up) - Max. possible relative overstatement]])</f>
        <v>0</v>
      </c>
      <c r="AJ6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34" s="111">
        <f t="shared" si="9"/>
        <v>1</v>
      </c>
      <c r="AL634" s="111">
        <f>PRODUCT($AK$5:AK634)</f>
        <v>8.962823818226312E-2</v>
      </c>
      <c r="AM634" s="109">
        <f>1 - [K-M P Value]</f>
        <v>0.91037176181773694</v>
      </c>
      <c r="AN634" s="111" t="str">
        <f>IF(Audit[[#This Row],[K-M P Value]]&gt;1-'General Info'!$B$16,"Continue", "Stop")</f>
        <v>Stop</v>
      </c>
      <c r="AO634" s="110" t="b">
        <f>IF(Audit[[#This Row],[Status - Continue or stop audit]] = "Continue", TRUE, IF(AN633 = "Continue", TRUE, FALSE))</f>
        <v>0</v>
      </c>
      <c r="AP634" s="110"/>
    </row>
    <row r="635" spans="1:42" ht="15" hidden="1" customHeight="1">
      <c r="A635" s="111" t="str">
        <f>'Sampling Data'!W625</f>
        <v/>
      </c>
      <c r="B635" s="112" t="str">
        <f>'Sampling Data'!A625</f>
        <v>CLEVELAND -10-K</v>
      </c>
      <c r="C635" s="112">
        <f>'Sampling Data'!B625</f>
        <v>1</v>
      </c>
      <c r="D635" s="112">
        <f>'Sampling Data'!C625</f>
        <v>0</v>
      </c>
      <c r="E635" s="113">
        <f>'Sampling Data'!D625</f>
        <v>0</v>
      </c>
      <c r="F635" s="113">
        <f>'Sampling Data'!E625</f>
        <v>0</v>
      </c>
      <c r="G635" s="113">
        <f>'Sampling Data'!F625</f>
        <v>0</v>
      </c>
      <c r="H635" s="113">
        <f>'Sampling Data'!G625</f>
        <v>0</v>
      </c>
      <c r="I635" s="112">
        <f>'Sampling Data'!H625</f>
        <v>0</v>
      </c>
      <c r="J635" s="112">
        <f>'Sampling Data'!I625</f>
        <v>0</v>
      </c>
      <c r="K635" s="112">
        <f>'Sampling Data'!J625</f>
        <v>1</v>
      </c>
      <c r="L635" s="111">
        <f>'Sampling Data'!X625</f>
        <v>0</v>
      </c>
      <c r="M635" s="114"/>
      <c r="N635" s="114"/>
      <c r="O635" s="115"/>
      <c r="P635" s="115"/>
      <c r="Q635" s="116"/>
      <c r="R635" s="116"/>
      <c r="S635" s="111">
        <f>Audit[[#This Row],[Audit Losing Candidate]]-Audit[[#This Row],[Losing Candidate]]</f>
        <v>-1</v>
      </c>
      <c r="T635" s="111">
        <f>Audit[[#This Row],[Audit Winning Candidate]]-Audit[[#This Row],[Winning Candidate]]</f>
        <v>0</v>
      </c>
      <c r="U635" s="111">
        <f>Audit[[#This Row],[Audit Candidate 3]]-Audit[[#This Row],[Candidate 3]]</f>
        <v>0</v>
      </c>
      <c r="V635" s="111">
        <f>Audit[[#This Row],[Audit Candidate 4]]-Audit[[#This Row],[Candidate 4]]</f>
        <v>0</v>
      </c>
      <c r="W635" s="111">
        <f>Audit[[#This Row],[Audit Candidate 5]]-Audit[[#This Row],[Candidate 5]]</f>
        <v>0</v>
      </c>
      <c r="X635" s="111">
        <f>Audit[[#This Row],[Audit Candidate 6]]-Audit[[#This Row],[Candidate 6]]</f>
        <v>0</v>
      </c>
      <c r="Y635" s="111">
        <f>SUMIF(Audit[[#This Row],[Difference Loser]:[Difference Candidate 6]], "&gt;0")</f>
        <v>0</v>
      </c>
      <c r="Z635" s="111">
        <f>SUM(Audit[[#This Row],[Difference Loser]:[Difference Candidate 6]])</f>
        <v>-1</v>
      </c>
      <c r="AA635" s="111">
        <f>IF(Audit[[#This Row],[Times p Drawn - With Replacement]]&gt;0, IF(Audit[[#This Row],[Canceled Differences]]&lt;0, Audit[[#This Row],[Max Differences]]+ABS(Audit[[#This Row],[Canceled Differences]]), Audit[[#This Row],[Max Differences]]), 0)</f>
        <v>0</v>
      </c>
      <c r="AB635" s="111">
        <f>'Sampling Data'!P625</f>
        <v>3.2261186566441917E-5</v>
      </c>
      <c r="AC635" s="111">
        <f>IF(
      SUM(Audit[[#This Row],[Audit Losing Candidate]:[Audit Candidate 6]])
      &lt;&gt;0,
      (Audit[[#This Row],[Winning Candidate]]-Audit[[#This Row],[Losing Candidate]]-(Audit[[#This Row],[Audit Winning Candidate]]-Audit[[#This Row],[Audit Losing Candidate]]))/(Audit[[#Totals],[Winning Candidate]]-Audit[[#Totals],[Losing Candidate]]),
      0
)</f>
        <v>0</v>
      </c>
      <c r="AD6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5" s="111">
        <f>IF(Audit[[#This Row],[Max Relative Error (ep)]] = 0, 0, Audit[[#This Row],[Max Relative Error (ep)]]/Audit[[#This Row],[Error Bound (up) - Max. possible relative overstatement]])</f>
        <v>0</v>
      </c>
      <c r="AJ6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35" s="111">
        <f t="shared" si="9"/>
        <v>1</v>
      </c>
      <c r="AL635" s="111">
        <f>PRODUCT($AK$5:AK635)</f>
        <v>8.962823818226312E-2</v>
      </c>
      <c r="AM635" s="109">
        <f>1 - [K-M P Value]</f>
        <v>0.91037176181773694</v>
      </c>
      <c r="AN635" s="111" t="str">
        <f>IF(Audit[[#This Row],[K-M P Value]]&gt;1-'General Info'!$B$16,"Continue", "Stop")</f>
        <v>Stop</v>
      </c>
      <c r="AO635" s="110" t="b">
        <f>IF(Audit[[#This Row],[Status - Continue or stop audit]] = "Continue", TRUE, IF(AN634 = "Continue", TRUE, FALSE))</f>
        <v>0</v>
      </c>
      <c r="AP635" s="110"/>
    </row>
    <row r="636" spans="1:42" ht="15" hidden="1" customHeight="1">
      <c r="A636" s="111" t="str">
        <f>'Sampling Data'!W626</f>
        <v/>
      </c>
      <c r="B636" s="112" t="str">
        <f>'Sampling Data'!A626</f>
        <v>CLEVELAND -10-K - ABS</v>
      </c>
      <c r="C636" s="112">
        <f>'Sampling Data'!B626</f>
        <v>1</v>
      </c>
      <c r="D636" s="112">
        <f>'Sampling Data'!C626</f>
        <v>0</v>
      </c>
      <c r="E636" s="113">
        <f>'Sampling Data'!D626</f>
        <v>0</v>
      </c>
      <c r="F636" s="113">
        <f>'Sampling Data'!E626</f>
        <v>0</v>
      </c>
      <c r="G636" s="113">
        <f>'Sampling Data'!F626</f>
        <v>0</v>
      </c>
      <c r="H636" s="113">
        <f>'Sampling Data'!G626</f>
        <v>0</v>
      </c>
      <c r="I636" s="112">
        <f>'Sampling Data'!H626</f>
        <v>0</v>
      </c>
      <c r="J636" s="112">
        <f>'Sampling Data'!I626</f>
        <v>0</v>
      </c>
      <c r="K636" s="112">
        <f>'Sampling Data'!J626</f>
        <v>1</v>
      </c>
      <c r="L636" s="111">
        <f>'Sampling Data'!X626</f>
        <v>0</v>
      </c>
      <c r="M636" s="114"/>
      <c r="N636" s="114"/>
      <c r="O636" s="115"/>
      <c r="P636" s="115"/>
      <c r="Q636" s="116"/>
      <c r="R636" s="116"/>
      <c r="S636" s="111">
        <f>Audit[[#This Row],[Audit Losing Candidate]]-Audit[[#This Row],[Losing Candidate]]</f>
        <v>-1</v>
      </c>
      <c r="T636" s="111">
        <f>Audit[[#This Row],[Audit Winning Candidate]]-Audit[[#This Row],[Winning Candidate]]</f>
        <v>0</v>
      </c>
      <c r="U636" s="111">
        <f>Audit[[#This Row],[Audit Candidate 3]]-Audit[[#This Row],[Candidate 3]]</f>
        <v>0</v>
      </c>
      <c r="V636" s="111">
        <f>Audit[[#This Row],[Audit Candidate 4]]-Audit[[#This Row],[Candidate 4]]</f>
        <v>0</v>
      </c>
      <c r="W636" s="111">
        <f>Audit[[#This Row],[Audit Candidate 5]]-Audit[[#This Row],[Candidate 5]]</f>
        <v>0</v>
      </c>
      <c r="X636" s="111">
        <f>Audit[[#This Row],[Audit Candidate 6]]-Audit[[#This Row],[Candidate 6]]</f>
        <v>0</v>
      </c>
      <c r="Y636" s="111">
        <f>SUMIF(Audit[[#This Row],[Difference Loser]:[Difference Candidate 6]], "&gt;0")</f>
        <v>0</v>
      </c>
      <c r="Z636" s="111">
        <f>SUM(Audit[[#This Row],[Difference Loser]:[Difference Candidate 6]])</f>
        <v>-1</v>
      </c>
      <c r="AA636" s="111">
        <f>IF(Audit[[#This Row],[Times p Drawn - With Replacement]]&gt;0, IF(Audit[[#This Row],[Canceled Differences]]&lt;0, Audit[[#This Row],[Max Differences]]+ABS(Audit[[#This Row],[Canceled Differences]]), Audit[[#This Row],[Max Differences]]), 0)</f>
        <v>0</v>
      </c>
      <c r="AB636" s="111">
        <f>'Sampling Data'!P626</f>
        <v>3.2261186566441917E-5</v>
      </c>
      <c r="AC636" s="111">
        <f>IF(
      SUM(Audit[[#This Row],[Audit Losing Candidate]:[Audit Candidate 6]])
      &lt;&gt;0,
      (Audit[[#This Row],[Winning Candidate]]-Audit[[#This Row],[Losing Candidate]]-(Audit[[#This Row],[Audit Winning Candidate]]-Audit[[#This Row],[Audit Losing Candidate]]))/(Audit[[#Totals],[Winning Candidate]]-Audit[[#Totals],[Losing Candidate]]),
      0
)</f>
        <v>0</v>
      </c>
      <c r="AD6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6" s="111">
        <f>IF(Audit[[#This Row],[Max Relative Error (ep)]] = 0, 0, Audit[[#This Row],[Max Relative Error (ep)]]/Audit[[#This Row],[Error Bound (up) - Max. possible relative overstatement]])</f>
        <v>0</v>
      </c>
      <c r="AJ6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36" s="111">
        <f t="shared" si="9"/>
        <v>1</v>
      </c>
      <c r="AL636" s="111">
        <f>PRODUCT($AK$5:AK636)</f>
        <v>8.962823818226312E-2</v>
      </c>
      <c r="AM636" s="109">
        <f>1 - [K-M P Value]</f>
        <v>0.91037176181773694</v>
      </c>
      <c r="AN636" s="111" t="str">
        <f>IF(Audit[[#This Row],[K-M P Value]]&gt;1-'General Info'!$B$16,"Continue", "Stop")</f>
        <v>Stop</v>
      </c>
      <c r="AO636" s="110" t="b">
        <f>IF(Audit[[#This Row],[Status - Continue or stop audit]] = "Continue", TRUE, IF(AN635 = "Continue", TRUE, FALSE))</f>
        <v>0</v>
      </c>
      <c r="AP636" s="110"/>
    </row>
    <row r="637" spans="1:42" ht="15" hidden="1" customHeight="1">
      <c r="A637" s="111" t="str">
        <f>'Sampling Data'!W627</f>
        <v/>
      </c>
      <c r="B637" s="112" t="str">
        <f>'Sampling Data'!A627</f>
        <v>CLEVELAND -10-L</v>
      </c>
      <c r="C637" s="112">
        <f>'Sampling Data'!B627</f>
        <v>0</v>
      </c>
      <c r="D637" s="112">
        <f>'Sampling Data'!C627</f>
        <v>1</v>
      </c>
      <c r="E637" s="113">
        <f>'Sampling Data'!D627</f>
        <v>0</v>
      </c>
      <c r="F637" s="113">
        <f>'Sampling Data'!E627</f>
        <v>0</v>
      </c>
      <c r="G637" s="113">
        <f>'Sampling Data'!F627</f>
        <v>0</v>
      </c>
      <c r="H637" s="113">
        <f>'Sampling Data'!G627</f>
        <v>0</v>
      </c>
      <c r="I637" s="112">
        <f>'Sampling Data'!H627</f>
        <v>0</v>
      </c>
      <c r="J637" s="112">
        <f>'Sampling Data'!I627</f>
        <v>0</v>
      </c>
      <c r="K637" s="112">
        <f>'Sampling Data'!J627</f>
        <v>1</v>
      </c>
      <c r="L637" s="111">
        <f>'Sampling Data'!X627</f>
        <v>0</v>
      </c>
      <c r="M637" s="114"/>
      <c r="N637" s="114"/>
      <c r="O637" s="115"/>
      <c r="P637" s="115"/>
      <c r="Q637" s="116"/>
      <c r="R637" s="116"/>
      <c r="S637" s="111">
        <f>Audit[[#This Row],[Audit Losing Candidate]]-Audit[[#This Row],[Losing Candidate]]</f>
        <v>0</v>
      </c>
      <c r="T637" s="111">
        <f>Audit[[#This Row],[Audit Winning Candidate]]-Audit[[#This Row],[Winning Candidate]]</f>
        <v>-1</v>
      </c>
      <c r="U637" s="111">
        <f>Audit[[#This Row],[Audit Candidate 3]]-Audit[[#This Row],[Candidate 3]]</f>
        <v>0</v>
      </c>
      <c r="V637" s="111">
        <f>Audit[[#This Row],[Audit Candidate 4]]-Audit[[#This Row],[Candidate 4]]</f>
        <v>0</v>
      </c>
      <c r="W637" s="111">
        <f>Audit[[#This Row],[Audit Candidate 5]]-Audit[[#This Row],[Candidate 5]]</f>
        <v>0</v>
      </c>
      <c r="X637" s="111">
        <f>Audit[[#This Row],[Audit Candidate 6]]-Audit[[#This Row],[Candidate 6]]</f>
        <v>0</v>
      </c>
      <c r="Y637" s="111">
        <f>SUMIF(Audit[[#This Row],[Difference Loser]:[Difference Candidate 6]], "&gt;0")</f>
        <v>0</v>
      </c>
      <c r="Z637" s="111">
        <f>SUM(Audit[[#This Row],[Difference Loser]:[Difference Candidate 6]])</f>
        <v>-1</v>
      </c>
      <c r="AA637" s="111">
        <f>IF(Audit[[#This Row],[Times p Drawn - With Replacement]]&gt;0, IF(Audit[[#This Row],[Canceled Differences]]&lt;0, Audit[[#This Row],[Max Differences]]+ABS(Audit[[#This Row],[Canceled Differences]]), Audit[[#This Row],[Max Differences]]), 0)</f>
        <v>0</v>
      </c>
      <c r="AB637" s="111">
        <f>'Sampling Data'!P627</f>
        <v>1.224889759921607E-4</v>
      </c>
      <c r="AC637" s="111">
        <f>IF(
      SUM(Audit[[#This Row],[Audit Losing Candidate]:[Audit Candidate 6]])
      &lt;&gt;0,
      (Audit[[#This Row],[Winning Candidate]]-Audit[[#This Row],[Losing Candidate]]-(Audit[[#This Row],[Audit Winning Candidate]]-Audit[[#This Row],[Audit Losing Candidate]]))/(Audit[[#Totals],[Winning Candidate]]-Audit[[#Totals],[Losing Candidate]]),
      0
)</f>
        <v>0</v>
      </c>
      <c r="AD6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7" s="111">
        <f>IF(Audit[[#This Row],[Max Relative Error (ep)]] = 0, 0, Audit[[#This Row],[Max Relative Error (ep)]]/Audit[[#This Row],[Error Bound (up) - Max. possible relative overstatement]])</f>
        <v>0</v>
      </c>
      <c r="AJ6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37" s="111">
        <f t="shared" si="9"/>
        <v>1</v>
      </c>
      <c r="AL637" s="111">
        <f>PRODUCT($AK$5:AK637)</f>
        <v>8.962823818226312E-2</v>
      </c>
      <c r="AM637" s="109">
        <f>1 - [K-M P Value]</f>
        <v>0.91037176181773694</v>
      </c>
      <c r="AN637" s="111" t="str">
        <f>IF(Audit[[#This Row],[K-M P Value]]&gt;1-'General Info'!$B$16,"Continue", "Stop")</f>
        <v>Stop</v>
      </c>
      <c r="AO637" s="110" t="b">
        <f>IF(Audit[[#This Row],[Status - Continue or stop audit]] = "Continue", TRUE, IF(AN636 = "Continue", TRUE, FALSE))</f>
        <v>0</v>
      </c>
      <c r="AP637" s="110"/>
    </row>
    <row r="638" spans="1:42" ht="15" hidden="1" customHeight="1">
      <c r="A638" s="111" t="str">
        <f>'Sampling Data'!W628</f>
        <v/>
      </c>
      <c r="B638" s="112" t="str">
        <f>'Sampling Data'!A628</f>
        <v>CLEVELAND -10-L - ABS</v>
      </c>
      <c r="C638" s="112">
        <f>'Sampling Data'!B628</f>
        <v>0</v>
      </c>
      <c r="D638" s="112">
        <f>'Sampling Data'!C628</f>
        <v>0</v>
      </c>
      <c r="E638" s="113">
        <f>'Sampling Data'!D628</f>
        <v>0</v>
      </c>
      <c r="F638" s="113">
        <f>'Sampling Data'!E628</f>
        <v>0</v>
      </c>
      <c r="G638" s="113">
        <f>'Sampling Data'!F628</f>
        <v>0</v>
      </c>
      <c r="H638" s="113">
        <f>'Sampling Data'!G628</f>
        <v>0</v>
      </c>
      <c r="I638" s="112">
        <f>'Sampling Data'!H628</f>
        <v>0</v>
      </c>
      <c r="J638" s="112">
        <f>'Sampling Data'!I628</f>
        <v>0</v>
      </c>
      <c r="K638" s="112">
        <f>'Sampling Data'!J628</f>
        <v>0</v>
      </c>
      <c r="L638" s="111">
        <f>'Sampling Data'!X628</f>
        <v>0</v>
      </c>
      <c r="M638" s="114"/>
      <c r="N638" s="114"/>
      <c r="O638" s="115"/>
      <c r="P638" s="115"/>
      <c r="Q638" s="116"/>
      <c r="R638" s="116"/>
      <c r="S638" s="111">
        <f>Audit[[#This Row],[Audit Losing Candidate]]-Audit[[#This Row],[Losing Candidate]]</f>
        <v>0</v>
      </c>
      <c r="T638" s="111">
        <f>Audit[[#This Row],[Audit Winning Candidate]]-Audit[[#This Row],[Winning Candidate]]</f>
        <v>0</v>
      </c>
      <c r="U638" s="111">
        <f>Audit[[#This Row],[Audit Candidate 3]]-Audit[[#This Row],[Candidate 3]]</f>
        <v>0</v>
      </c>
      <c r="V638" s="111">
        <f>Audit[[#This Row],[Audit Candidate 4]]-Audit[[#This Row],[Candidate 4]]</f>
        <v>0</v>
      </c>
      <c r="W638" s="111">
        <f>Audit[[#This Row],[Audit Candidate 5]]-Audit[[#This Row],[Candidate 5]]</f>
        <v>0</v>
      </c>
      <c r="X638" s="111">
        <f>Audit[[#This Row],[Audit Candidate 6]]-Audit[[#This Row],[Candidate 6]]</f>
        <v>0</v>
      </c>
      <c r="Y638" s="111">
        <f>SUMIF(Audit[[#This Row],[Difference Loser]:[Difference Candidate 6]], "&gt;0")</f>
        <v>0</v>
      </c>
      <c r="Z638" s="111">
        <f>SUM(Audit[[#This Row],[Difference Loser]:[Difference Candidate 6]])</f>
        <v>0</v>
      </c>
      <c r="AA638" s="111">
        <f>IF(Audit[[#This Row],[Times p Drawn - With Replacement]]&gt;0, IF(Audit[[#This Row],[Canceled Differences]]&lt;0, Audit[[#This Row],[Max Differences]]+ABS(Audit[[#This Row],[Canceled Differences]]), Audit[[#This Row],[Max Differences]]), 0)</f>
        <v>0</v>
      </c>
      <c r="AB638" s="111">
        <f>'Sampling Data'!P628</f>
        <v>0</v>
      </c>
      <c r="AC638" s="111">
        <f>IF(
      SUM(Audit[[#This Row],[Audit Losing Candidate]:[Audit Candidate 6]])
      &lt;&gt;0,
      (Audit[[#This Row],[Winning Candidate]]-Audit[[#This Row],[Losing Candidate]]-(Audit[[#This Row],[Audit Winning Candidate]]-Audit[[#This Row],[Audit Losing Candidate]]))/(Audit[[#Totals],[Winning Candidate]]-Audit[[#Totals],[Losing Candidate]]),
      0
)</f>
        <v>0</v>
      </c>
      <c r="AD6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8" s="111">
        <f>IF(Audit[[#This Row],[Max Relative Error (ep)]] = 0, 0, Audit[[#This Row],[Max Relative Error (ep)]]/Audit[[#This Row],[Error Bound (up) - Max. possible relative overstatement]])</f>
        <v>0</v>
      </c>
      <c r="AJ6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38" s="111">
        <f t="shared" si="9"/>
        <v>1</v>
      </c>
      <c r="AL638" s="111">
        <f>PRODUCT($AK$5:AK638)</f>
        <v>8.962823818226312E-2</v>
      </c>
      <c r="AM638" s="109">
        <f>1 - [K-M P Value]</f>
        <v>0.91037176181773694</v>
      </c>
      <c r="AN638" s="111" t="str">
        <f>IF(Audit[[#This Row],[K-M P Value]]&gt;1-'General Info'!$B$16,"Continue", "Stop")</f>
        <v>Stop</v>
      </c>
      <c r="AO638" s="110" t="b">
        <f>IF(Audit[[#This Row],[Status - Continue or stop audit]] = "Continue", TRUE, IF(AN637 = "Continue", TRUE, FALSE))</f>
        <v>0</v>
      </c>
      <c r="AP638" s="110"/>
    </row>
    <row r="639" spans="1:42" ht="15" hidden="1" customHeight="1">
      <c r="A639" s="111" t="str">
        <f>'Sampling Data'!W629</f>
        <v/>
      </c>
      <c r="B639" s="112" t="str">
        <f>'Sampling Data'!A629</f>
        <v>CLEVELAND -10-M</v>
      </c>
      <c r="C639" s="112">
        <f>'Sampling Data'!B629</f>
        <v>0</v>
      </c>
      <c r="D639" s="112">
        <f>'Sampling Data'!C629</f>
        <v>1</v>
      </c>
      <c r="E639" s="113">
        <f>'Sampling Data'!D629</f>
        <v>0</v>
      </c>
      <c r="F639" s="113">
        <f>'Sampling Data'!E629</f>
        <v>0</v>
      </c>
      <c r="G639" s="113">
        <f>'Sampling Data'!F629</f>
        <v>0</v>
      </c>
      <c r="H639" s="113">
        <f>'Sampling Data'!G629</f>
        <v>0</v>
      </c>
      <c r="I639" s="112">
        <f>'Sampling Data'!H629</f>
        <v>0</v>
      </c>
      <c r="J639" s="112">
        <f>'Sampling Data'!I629</f>
        <v>0</v>
      </c>
      <c r="K639" s="112">
        <f>'Sampling Data'!J629</f>
        <v>1</v>
      </c>
      <c r="L639" s="111">
        <f>'Sampling Data'!X629</f>
        <v>0</v>
      </c>
      <c r="M639" s="114"/>
      <c r="N639" s="114"/>
      <c r="O639" s="115"/>
      <c r="P639" s="115"/>
      <c r="Q639" s="116"/>
      <c r="R639" s="116"/>
      <c r="S639" s="111">
        <f>Audit[[#This Row],[Audit Losing Candidate]]-Audit[[#This Row],[Losing Candidate]]</f>
        <v>0</v>
      </c>
      <c r="T639" s="111">
        <f>Audit[[#This Row],[Audit Winning Candidate]]-Audit[[#This Row],[Winning Candidate]]</f>
        <v>-1</v>
      </c>
      <c r="U639" s="111">
        <f>Audit[[#This Row],[Audit Candidate 3]]-Audit[[#This Row],[Candidate 3]]</f>
        <v>0</v>
      </c>
      <c r="V639" s="111">
        <f>Audit[[#This Row],[Audit Candidate 4]]-Audit[[#This Row],[Candidate 4]]</f>
        <v>0</v>
      </c>
      <c r="W639" s="111">
        <f>Audit[[#This Row],[Audit Candidate 5]]-Audit[[#This Row],[Candidate 5]]</f>
        <v>0</v>
      </c>
      <c r="X639" s="111">
        <f>Audit[[#This Row],[Audit Candidate 6]]-Audit[[#This Row],[Candidate 6]]</f>
        <v>0</v>
      </c>
      <c r="Y639" s="111">
        <f>SUMIF(Audit[[#This Row],[Difference Loser]:[Difference Candidate 6]], "&gt;0")</f>
        <v>0</v>
      </c>
      <c r="Z639" s="111">
        <f>SUM(Audit[[#This Row],[Difference Loser]:[Difference Candidate 6]])</f>
        <v>-1</v>
      </c>
      <c r="AA639" s="111">
        <f>IF(Audit[[#This Row],[Times p Drawn - With Replacement]]&gt;0, IF(Audit[[#This Row],[Canceled Differences]]&lt;0, Audit[[#This Row],[Max Differences]]+ABS(Audit[[#This Row],[Canceled Differences]]), Audit[[#This Row],[Max Differences]]), 0)</f>
        <v>0</v>
      </c>
      <c r="AB639" s="111">
        <f>'Sampling Data'!P629</f>
        <v>1.224889759921607E-4</v>
      </c>
      <c r="AC639" s="111">
        <f>IF(
      SUM(Audit[[#This Row],[Audit Losing Candidate]:[Audit Candidate 6]])
      &lt;&gt;0,
      (Audit[[#This Row],[Winning Candidate]]-Audit[[#This Row],[Losing Candidate]]-(Audit[[#This Row],[Audit Winning Candidate]]-Audit[[#This Row],[Audit Losing Candidate]]))/(Audit[[#Totals],[Winning Candidate]]-Audit[[#Totals],[Losing Candidate]]),
      0
)</f>
        <v>0</v>
      </c>
      <c r="AD6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9" s="111">
        <f>IF(Audit[[#This Row],[Max Relative Error (ep)]] = 0, 0, Audit[[#This Row],[Max Relative Error (ep)]]/Audit[[#This Row],[Error Bound (up) - Max. possible relative overstatement]])</f>
        <v>0</v>
      </c>
      <c r="AJ6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39" s="111">
        <f t="shared" si="9"/>
        <v>1</v>
      </c>
      <c r="AL639" s="111">
        <f>PRODUCT($AK$5:AK639)</f>
        <v>8.962823818226312E-2</v>
      </c>
      <c r="AM639" s="109">
        <f>1 - [K-M P Value]</f>
        <v>0.91037176181773694</v>
      </c>
      <c r="AN639" s="111" t="str">
        <f>IF(Audit[[#This Row],[K-M P Value]]&gt;1-'General Info'!$B$16,"Continue", "Stop")</f>
        <v>Stop</v>
      </c>
      <c r="AO639" s="110" t="b">
        <f>IF(Audit[[#This Row],[Status - Continue or stop audit]] = "Continue", TRUE, IF(AN638 = "Continue", TRUE, FALSE))</f>
        <v>0</v>
      </c>
      <c r="AP639" s="110"/>
    </row>
    <row r="640" spans="1:42" ht="15" hidden="1" customHeight="1">
      <c r="A640" s="111" t="str">
        <f>'Sampling Data'!W630</f>
        <v/>
      </c>
      <c r="B640" s="112" t="str">
        <f>'Sampling Data'!A630</f>
        <v>CLEVELAND -10-M - ABS</v>
      </c>
      <c r="C640" s="112">
        <f>'Sampling Data'!B630</f>
        <v>0</v>
      </c>
      <c r="D640" s="112">
        <f>'Sampling Data'!C630</f>
        <v>0</v>
      </c>
      <c r="E640" s="113">
        <f>'Sampling Data'!D630</f>
        <v>0</v>
      </c>
      <c r="F640" s="113">
        <f>'Sampling Data'!E630</f>
        <v>0</v>
      </c>
      <c r="G640" s="113">
        <f>'Sampling Data'!F630</f>
        <v>0</v>
      </c>
      <c r="H640" s="113">
        <f>'Sampling Data'!G630</f>
        <v>1</v>
      </c>
      <c r="I640" s="112">
        <f>'Sampling Data'!H630</f>
        <v>0</v>
      </c>
      <c r="J640" s="112">
        <f>'Sampling Data'!I630</f>
        <v>0</v>
      </c>
      <c r="K640" s="112">
        <f>'Sampling Data'!J630</f>
        <v>1</v>
      </c>
      <c r="L640" s="111">
        <f>'Sampling Data'!X630</f>
        <v>0</v>
      </c>
      <c r="M640" s="114"/>
      <c r="N640" s="114"/>
      <c r="O640" s="115"/>
      <c r="P640" s="115"/>
      <c r="Q640" s="116"/>
      <c r="R640" s="116"/>
      <c r="S640" s="111">
        <f>Audit[[#This Row],[Audit Losing Candidate]]-Audit[[#This Row],[Losing Candidate]]</f>
        <v>0</v>
      </c>
      <c r="T640" s="111">
        <f>Audit[[#This Row],[Audit Winning Candidate]]-Audit[[#This Row],[Winning Candidate]]</f>
        <v>0</v>
      </c>
      <c r="U640" s="111">
        <f>Audit[[#This Row],[Audit Candidate 3]]-Audit[[#This Row],[Candidate 3]]</f>
        <v>0</v>
      </c>
      <c r="V640" s="111">
        <f>Audit[[#This Row],[Audit Candidate 4]]-Audit[[#This Row],[Candidate 4]]</f>
        <v>0</v>
      </c>
      <c r="W640" s="111">
        <f>Audit[[#This Row],[Audit Candidate 5]]-Audit[[#This Row],[Candidate 5]]</f>
        <v>0</v>
      </c>
      <c r="X640" s="111">
        <f>Audit[[#This Row],[Audit Candidate 6]]-Audit[[#This Row],[Candidate 6]]</f>
        <v>-1</v>
      </c>
      <c r="Y640" s="111">
        <f>SUMIF(Audit[[#This Row],[Difference Loser]:[Difference Candidate 6]], "&gt;0")</f>
        <v>0</v>
      </c>
      <c r="Z640" s="111">
        <f>SUM(Audit[[#This Row],[Difference Loser]:[Difference Candidate 6]])</f>
        <v>-1</v>
      </c>
      <c r="AA640" s="111">
        <f>IF(Audit[[#This Row],[Times p Drawn - With Replacement]]&gt;0, IF(Audit[[#This Row],[Canceled Differences]]&lt;0, Audit[[#This Row],[Max Differences]]+ABS(Audit[[#This Row],[Canceled Differences]]), Audit[[#This Row],[Max Differences]]), 0)</f>
        <v>0</v>
      </c>
      <c r="AB640" s="111">
        <f>'Sampling Data'!P630</f>
        <v>6.1244487996080352E-5</v>
      </c>
      <c r="AC640" s="111">
        <f>IF(
      SUM(Audit[[#This Row],[Audit Losing Candidate]:[Audit Candidate 6]])
      &lt;&gt;0,
      (Audit[[#This Row],[Winning Candidate]]-Audit[[#This Row],[Losing Candidate]]-(Audit[[#This Row],[Audit Winning Candidate]]-Audit[[#This Row],[Audit Losing Candidate]]))/(Audit[[#Totals],[Winning Candidate]]-Audit[[#Totals],[Losing Candidate]]),
      0
)</f>
        <v>0</v>
      </c>
      <c r="AD6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0" s="111">
        <f>IF(Audit[[#This Row],[Max Relative Error (ep)]] = 0, 0, Audit[[#This Row],[Max Relative Error (ep)]]/Audit[[#This Row],[Error Bound (up) - Max. possible relative overstatement]])</f>
        <v>0</v>
      </c>
      <c r="AJ6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40" s="111">
        <f t="shared" si="9"/>
        <v>1</v>
      </c>
      <c r="AL640" s="111">
        <f>PRODUCT($AK$5:AK640)</f>
        <v>8.962823818226312E-2</v>
      </c>
      <c r="AM640" s="109">
        <f>1 - [K-M P Value]</f>
        <v>0.91037176181773694</v>
      </c>
      <c r="AN640" s="111" t="str">
        <f>IF(Audit[[#This Row],[K-M P Value]]&gt;1-'General Info'!$B$16,"Continue", "Stop")</f>
        <v>Stop</v>
      </c>
      <c r="AO640" s="110" t="b">
        <f>IF(Audit[[#This Row],[Status - Continue or stop audit]] = "Continue", TRUE, IF(AN639 = "Continue", TRUE, FALSE))</f>
        <v>0</v>
      </c>
      <c r="AP640" s="110"/>
    </row>
    <row r="641" spans="1:42" ht="15" hidden="1" customHeight="1">
      <c r="A641" s="111" t="str">
        <f>'Sampling Data'!W631</f>
        <v/>
      </c>
      <c r="B641" s="112" t="str">
        <f>'Sampling Data'!A631</f>
        <v>CLEVELAND -10-N</v>
      </c>
      <c r="C641" s="112">
        <f>'Sampling Data'!B631</f>
        <v>1</v>
      </c>
      <c r="D641" s="112">
        <f>'Sampling Data'!C631</f>
        <v>0</v>
      </c>
      <c r="E641" s="113">
        <f>'Sampling Data'!D631</f>
        <v>0</v>
      </c>
      <c r="F641" s="113">
        <f>'Sampling Data'!E631</f>
        <v>0</v>
      </c>
      <c r="G641" s="113">
        <f>'Sampling Data'!F631</f>
        <v>0</v>
      </c>
      <c r="H641" s="113">
        <f>'Sampling Data'!G631</f>
        <v>0</v>
      </c>
      <c r="I641" s="112">
        <f>'Sampling Data'!H631</f>
        <v>0</v>
      </c>
      <c r="J641" s="112">
        <f>'Sampling Data'!I631</f>
        <v>0</v>
      </c>
      <c r="K641" s="112">
        <f>'Sampling Data'!J631</f>
        <v>1</v>
      </c>
      <c r="L641" s="111">
        <f>'Sampling Data'!X631</f>
        <v>0</v>
      </c>
      <c r="M641" s="114"/>
      <c r="N641" s="114"/>
      <c r="O641" s="115"/>
      <c r="P641" s="115"/>
      <c r="Q641" s="116"/>
      <c r="R641" s="116"/>
      <c r="S641" s="111">
        <f>Audit[[#This Row],[Audit Losing Candidate]]-Audit[[#This Row],[Losing Candidate]]</f>
        <v>-1</v>
      </c>
      <c r="T641" s="111">
        <f>Audit[[#This Row],[Audit Winning Candidate]]-Audit[[#This Row],[Winning Candidate]]</f>
        <v>0</v>
      </c>
      <c r="U641" s="111">
        <f>Audit[[#This Row],[Audit Candidate 3]]-Audit[[#This Row],[Candidate 3]]</f>
        <v>0</v>
      </c>
      <c r="V641" s="111">
        <f>Audit[[#This Row],[Audit Candidate 4]]-Audit[[#This Row],[Candidate 4]]</f>
        <v>0</v>
      </c>
      <c r="W641" s="111">
        <f>Audit[[#This Row],[Audit Candidate 5]]-Audit[[#This Row],[Candidate 5]]</f>
        <v>0</v>
      </c>
      <c r="X641" s="111">
        <f>Audit[[#This Row],[Audit Candidate 6]]-Audit[[#This Row],[Candidate 6]]</f>
        <v>0</v>
      </c>
      <c r="Y641" s="111">
        <f>SUMIF(Audit[[#This Row],[Difference Loser]:[Difference Candidate 6]], "&gt;0")</f>
        <v>0</v>
      </c>
      <c r="Z641" s="111">
        <f>SUM(Audit[[#This Row],[Difference Loser]:[Difference Candidate 6]])</f>
        <v>-1</v>
      </c>
      <c r="AA641" s="111">
        <f>IF(Audit[[#This Row],[Times p Drawn - With Replacement]]&gt;0, IF(Audit[[#This Row],[Canceled Differences]]&lt;0, Audit[[#This Row],[Max Differences]]+ABS(Audit[[#This Row],[Canceled Differences]]), Audit[[#This Row],[Max Differences]]), 0)</f>
        <v>0</v>
      </c>
      <c r="AB641" s="111">
        <f>'Sampling Data'!P631</f>
        <v>3.2261186566441917E-5</v>
      </c>
      <c r="AC641" s="111">
        <f>IF(
      SUM(Audit[[#This Row],[Audit Losing Candidate]:[Audit Candidate 6]])
      &lt;&gt;0,
      (Audit[[#This Row],[Winning Candidate]]-Audit[[#This Row],[Losing Candidate]]-(Audit[[#This Row],[Audit Winning Candidate]]-Audit[[#This Row],[Audit Losing Candidate]]))/(Audit[[#Totals],[Winning Candidate]]-Audit[[#Totals],[Losing Candidate]]),
      0
)</f>
        <v>0</v>
      </c>
      <c r="AD6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1" s="111">
        <f>IF(Audit[[#This Row],[Max Relative Error (ep)]] = 0, 0, Audit[[#This Row],[Max Relative Error (ep)]]/Audit[[#This Row],[Error Bound (up) - Max. possible relative overstatement]])</f>
        <v>0</v>
      </c>
      <c r="AJ6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41" s="111">
        <f t="shared" si="9"/>
        <v>1</v>
      </c>
      <c r="AL641" s="111">
        <f>PRODUCT($AK$5:AK641)</f>
        <v>8.962823818226312E-2</v>
      </c>
      <c r="AM641" s="109">
        <f>1 - [K-M P Value]</f>
        <v>0.91037176181773694</v>
      </c>
      <c r="AN641" s="111" t="str">
        <f>IF(Audit[[#This Row],[K-M P Value]]&gt;1-'General Info'!$B$16,"Continue", "Stop")</f>
        <v>Stop</v>
      </c>
      <c r="AO641" s="110" t="b">
        <f>IF(Audit[[#This Row],[Status - Continue or stop audit]] = "Continue", TRUE, IF(AN640 = "Continue", TRUE, FALSE))</f>
        <v>0</v>
      </c>
      <c r="AP641" s="110"/>
    </row>
    <row r="642" spans="1:42" ht="15" hidden="1" customHeight="1">
      <c r="A642" s="111" t="str">
        <f>'Sampling Data'!W632</f>
        <v/>
      </c>
      <c r="B642" s="112" t="str">
        <f>'Sampling Data'!A632</f>
        <v>CLEVELAND -10-N - ABS</v>
      </c>
      <c r="C642" s="112">
        <f>'Sampling Data'!B632</f>
        <v>0</v>
      </c>
      <c r="D642" s="112">
        <f>'Sampling Data'!C632</f>
        <v>0</v>
      </c>
      <c r="E642" s="113">
        <f>'Sampling Data'!D632</f>
        <v>0</v>
      </c>
      <c r="F642" s="113">
        <f>'Sampling Data'!E632</f>
        <v>0</v>
      </c>
      <c r="G642" s="113">
        <f>'Sampling Data'!F632</f>
        <v>0</v>
      </c>
      <c r="H642" s="113">
        <f>'Sampling Data'!G632</f>
        <v>0</v>
      </c>
      <c r="I642" s="112">
        <f>'Sampling Data'!H632</f>
        <v>0</v>
      </c>
      <c r="J642" s="112">
        <f>'Sampling Data'!I632</f>
        <v>0</v>
      </c>
      <c r="K642" s="112">
        <f>'Sampling Data'!J632</f>
        <v>0</v>
      </c>
      <c r="L642" s="111">
        <f>'Sampling Data'!X632</f>
        <v>0</v>
      </c>
      <c r="M642" s="114"/>
      <c r="N642" s="114"/>
      <c r="O642" s="115"/>
      <c r="P642" s="115"/>
      <c r="Q642" s="116"/>
      <c r="R642" s="116"/>
      <c r="S642" s="111">
        <f>Audit[[#This Row],[Audit Losing Candidate]]-Audit[[#This Row],[Losing Candidate]]</f>
        <v>0</v>
      </c>
      <c r="T642" s="111">
        <f>Audit[[#This Row],[Audit Winning Candidate]]-Audit[[#This Row],[Winning Candidate]]</f>
        <v>0</v>
      </c>
      <c r="U642" s="111">
        <f>Audit[[#This Row],[Audit Candidate 3]]-Audit[[#This Row],[Candidate 3]]</f>
        <v>0</v>
      </c>
      <c r="V642" s="111">
        <f>Audit[[#This Row],[Audit Candidate 4]]-Audit[[#This Row],[Candidate 4]]</f>
        <v>0</v>
      </c>
      <c r="W642" s="111">
        <f>Audit[[#This Row],[Audit Candidate 5]]-Audit[[#This Row],[Candidate 5]]</f>
        <v>0</v>
      </c>
      <c r="X642" s="111">
        <f>Audit[[#This Row],[Audit Candidate 6]]-Audit[[#This Row],[Candidate 6]]</f>
        <v>0</v>
      </c>
      <c r="Y642" s="111">
        <f>SUMIF(Audit[[#This Row],[Difference Loser]:[Difference Candidate 6]], "&gt;0")</f>
        <v>0</v>
      </c>
      <c r="Z642" s="111">
        <f>SUM(Audit[[#This Row],[Difference Loser]:[Difference Candidate 6]])</f>
        <v>0</v>
      </c>
      <c r="AA642" s="111">
        <f>IF(Audit[[#This Row],[Times p Drawn - With Replacement]]&gt;0, IF(Audit[[#This Row],[Canceled Differences]]&lt;0, Audit[[#This Row],[Max Differences]]+ABS(Audit[[#This Row],[Canceled Differences]]), Audit[[#This Row],[Max Differences]]), 0)</f>
        <v>0</v>
      </c>
      <c r="AB642" s="111">
        <f>'Sampling Data'!P632</f>
        <v>0</v>
      </c>
      <c r="AC642" s="111">
        <f>IF(
      SUM(Audit[[#This Row],[Audit Losing Candidate]:[Audit Candidate 6]])
      &lt;&gt;0,
      (Audit[[#This Row],[Winning Candidate]]-Audit[[#This Row],[Losing Candidate]]-(Audit[[#This Row],[Audit Winning Candidate]]-Audit[[#This Row],[Audit Losing Candidate]]))/(Audit[[#Totals],[Winning Candidate]]-Audit[[#Totals],[Losing Candidate]]),
      0
)</f>
        <v>0</v>
      </c>
      <c r="AD6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2" s="111">
        <f>IF(Audit[[#This Row],[Max Relative Error (ep)]] = 0, 0, Audit[[#This Row],[Max Relative Error (ep)]]/Audit[[#This Row],[Error Bound (up) - Max. possible relative overstatement]])</f>
        <v>0</v>
      </c>
      <c r="AJ6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42" s="111">
        <f t="shared" si="9"/>
        <v>1</v>
      </c>
      <c r="AL642" s="111">
        <f>PRODUCT($AK$5:AK642)</f>
        <v>8.962823818226312E-2</v>
      </c>
      <c r="AM642" s="109">
        <f>1 - [K-M P Value]</f>
        <v>0.91037176181773694</v>
      </c>
      <c r="AN642" s="111" t="str">
        <f>IF(Audit[[#This Row],[K-M P Value]]&gt;1-'General Info'!$B$16,"Continue", "Stop")</f>
        <v>Stop</v>
      </c>
      <c r="AO642" s="110" t="b">
        <f>IF(Audit[[#This Row],[Status - Continue or stop audit]] = "Continue", TRUE, IF(AN641 = "Continue", TRUE, FALSE))</f>
        <v>0</v>
      </c>
      <c r="AP642" s="110"/>
    </row>
    <row r="643" spans="1:42" ht="15" hidden="1" customHeight="1">
      <c r="A643" s="111" t="str">
        <f>'Sampling Data'!W633</f>
        <v/>
      </c>
      <c r="B643" s="112" t="str">
        <f>'Sampling Data'!A633</f>
        <v>CLEVELAND -10-O</v>
      </c>
      <c r="C643" s="112">
        <f>'Sampling Data'!B633</f>
        <v>0</v>
      </c>
      <c r="D643" s="112">
        <f>'Sampling Data'!C633</f>
        <v>0</v>
      </c>
      <c r="E643" s="113">
        <f>'Sampling Data'!D633</f>
        <v>0</v>
      </c>
      <c r="F643" s="113">
        <f>'Sampling Data'!E633</f>
        <v>0</v>
      </c>
      <c r="G643" s="113">
        <f>'Sampling Data'!F633</f>
        <v>0</v>
      </c>
      <c r="H643" s="113">
        <f>'Sampling Data'!G633</f>
        <v>0</v>
      </c>
      <c r="I643" s="112">
        <f>'Sampling Data'!H633</f>
        <v>0</v>
      </c>
      <c r="J643" s="112">
        <f>'Sampling Data'!I633</f>
        <v>0</v>
      </c>
      <c r="K643" s="112">
        <f>'Sampling Data'!J633</f>
        <v>0</v>
      </c>
      <c r="L643" s="111">
        <f>'Sampling Data'!X633</f>
        <v>0</v>
      </c>
      <c r="M643" s="114"/>
      <c r="N643" s="114"/>
      <c r="O643" s="115"/>
      <c r="P643" s="115"/>
      <c r="Q643" s="116"/>
      <c r="R643" s="116"/>
      <c r="S643" s="111">
        <f>Audit[[#This Row],[Audit Losing Candidate]]-Audit[[#This Row],[Losing Candidate]]</f>
        <v>0</v>
      </c>
      <c r="T643" s="111">
        <f>Audit[[#This Row],[Audit Winning Candidate]]-Audit[[#This Row],[Winning Candidate]]</f>
        <v>0</v>
      </c>
      <c r="U643" s="111">
        <f>Audit[[#This Row],[Audit Candidate 3]]-Audit[[#This Row],[Candidate 3]]</f>
        <v>0</v>
      </c>
      <c r="V643" s="111">
        <f>Audit[[#This Row],[Audit Candidate 4]]-Audit[[#This Row],[Candidate 4]]</f>
        <v>0</v>
      </c>
      <c r="W643" s="111">
        <f>Audit[[#This Row],[Audit Candidate 5]]-Audit[[#This Row],[Candidate 5]]</f>
        <v>0</v>
      </c>
      <c r="X643" s="111">
        <f>Audit[[#This Row],[Audit Candidate 6]]-Audit[[#This Row],[Candidate 6]]</f>
        <v>0</v>
      </c>
      <c r="Y643" s="111">
        <f>SUMIF(Audit[[#This Row],[Difference Loser]:[Difference Candidate 6]], "&gt;0")</f>
        <v>0</v>
      </c>
      <c r="Z643" s="111">
        <f>SUM(Audit[[#This Row],[Difference Loser]:[Difference Candidate 6]])</f>
        <v>0</v>
      </c>
      <c r="AA643" s="111">
        <f>IF(Audit[[#This Row],[Times p Drawn - With Replacement]]&gt;0, IF(Audit[[#This Row],[Canceled Differences]]&lt;0, Audit[[#This Row],[Max Differences]]+ABS(Audit[[#This Row],[Canceled Differences]]), Audit[[#This Row],[Max Differences]]), 0)</f>
        <v>0</v>
      </c>
      <c r="AB643" s="111">
        <f>'Sampling Data'!P633</f>
        <v>0</v>
      </c>
      <c r="AC643" s="111">
        <f>IF(
      SUM(Audit[[#This Row],[Audit Losing Candidate]:[Audit Candidate 6]])
      &lt;&gt;0,
      (Audit[[#This Row],[Winning Candidate]]-Audit[[#This Row],[Losing Candidate]]-(Audit[[#This Row],[Audit Winning Candidate]]-Audit[[#This Row],[Audit Losing Candidate]]))/(Audit[[#Totals],[Winning Candidate]]-Audit[[#Totals],[Losing Candidate]]),
      0
)</f>
        <v>0</v>
      </c>
      <c r="AD6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3" s="111">
        <f>IF(Audit[[#This Row],[Max Relative Error (ep)]] = 0, 0, Audit[[#This Row],[Max Relative Error (ep)]]/Audit[[#This Row],[Error Bound (up) - Max. possible relative overstatement]])</f>
        <v>0</v>
      </c>
      <c r="AJ6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43" s="111">
        <f t="shared" si="9"/>
        <v>1</v>
      </c>
      <c r="AL643" s="111">
        <f>PRODUCT($AK$5:AK643)</f>
        <v>8.962823818226312E-2</v>
      </c>
      <c r="AM643" s="109">
        <f>1 - [K-M P Value]</f>
        <v>0.91037176181773694</v>
      </c>
      <c r="AN643" s="111" t="str">
        <f>IF(Audit[[#This Row],[K-M P Value]]&gt;1-'General Info'!$B$16,"Continue", "Stop")</f>
        <v>Stop</v>
      </c>
      <c r="AO643" s="110" t="b">
        <f>IF(Audit[[#This Row],[Status - Continue or stop audit]] = "Continue", TRUE, IF(AN642 = "Continue", TRUE, FALSE))</f>
        <v>0</v>
      </c>
      <c r="AP643" s="110"/>
    </row>
    <row r="644" spans="1:42" ht="15" hidden="1" customHeight="1">
      <c r="A644" s="111" t="str">
        <f>'Sampling Data'!W634</f>
        <v/>
      </c>
      <c r="B644" s="112" t="str">
        <f>'Sampling Data'!A634</f>
        <v>CLEVELAND -10-O - ABS</v>
      </c>
      <c r="C644" s="112">
        <f>'Sampling Data'!B634</f>
        <v>0</v>
      </c>
      <c r="D644" s="112">
        <f>'Sampling Data'!C634</f>
        <v>0</v>
      </c>
      <c r="E644" s="113">
        <f>'Sampling Data'!D634</f>
        <v>0</v>
      </c>
      <c r="F644" s="113">
        <f>'Sampling Data'!E634</f>
        <v>0</v>
      </c>
      <c r="G644" s="113">
        <f>'Sampling Data'!F634</f>
        <v>0</v>
      </c>
      <c r="H644" s="113">
        <f>'Sampling Data'!G634</f>
        <v>0</v>
      </c>
      <c r="I644" s="112">
        <f>'Sampling Data'!H634</f>
        <v>0</v>
      </c>
      <c r="J644" s="112">
        <f>'Sampling Data'!I634</f>
        <v>0</v>
      </c>
      <c r="K644" s="112">
        <f>'Sampling Data'!J634</f>
        <v>0</v>
      </c>
      <c r="L644" s="111">
        <f>'Sampling Data'!X634</f>
        <v>0</v>
      </c>
      <c r="M644" s="114"/>
      <c r="N644" s="114"/>
      <c r="O644" s="115"/>
      <c r="P644" s="115"/>
      <c r="Q644" s="116"/>
      <c r="R644" s="116"/>
      <c r="S644" s="111">
        <f>Audit[[#This Row],[Audit Losing Candidate]]-Audit[[#This Row],[Losing Candidate]]</f>
        <v>0</v>
      </c>
      <c r="T644" s="111">
        <f>Audit[[#This Row],[Audit Winning Candidate]]-Audit[[#This Row],[Winning Candidate]]</f>
        <v>0</v>
      </c>
      <c r="U644" s="111">
        <f>Audit[[#This Row],[Audit Candidate 3]]-Audit[[#This Row],[Candidate 3]]</f>
        <v>0</v>
      </c>
      <c r="V644" s="111">
        <f>Audit[[#This Row],[Audit Candidate 4]]-Audit[[#This Row],[Candidate 4]]</f>
        <v>0</v>
      </c>
      <c r="W644" s="111">
        <f>Audit[[#This Row],[Audit Candidate 5]]-Audit[[#This Row],[Candidate 5]]</f>
        <v>0</v>
      </c>
      <c r="X644" s="111">
        <f>Audit[[#This Row],[Audit Candidate 6]]-Audit[[#This Row],[Candidate 6]]</f>
        <v>0</v>
      </c>
      <c r="Y644" s="111">
        <f>SUMIF(Audit[[#This Row],[Difference Loser]:[Difference Candidate 6]], "&gt;0")</f>
        <v>0</v>
      </c>
      <c r="Z644" s="111">
        <f>SUM(Audit[[#This Row],[Difference Loser]:[Difference Candidate 6]])</f>
        <v>0</v>
      </c>
      <c r="AA644" s="111">
        <f>IF(Audit[[#This Row],[Times p Drawn - With Replacement]]&gt;0, IF(Audit[[#This Row],[Canceled Differences]]&lt;0, Audit[[#This Row],[Max Differences]]+ABS(Audit[[#This Row],[Canceled Differences]]), Audit[[#This Row],[Max Differences]]), 0)</f>
        <v>0</v>
      </c>
      <c r="AB644" s="111">
        <f>'Sampling Data'!P634</f>
        <v>0</v>
      </c>
      <c r="AC644" s="111">
        <f>IF(
      SUM(Audit[[#This Row],[Audit Losing Candidate]:[Audit Candidate 6]])
      &lt;&gt;0,
      (Audit[[#This Row],[Winning Candidate]]-Audit[[#This Row],[Losing Candidate]]-(Audit[[#This Row],[Audit Winning Candidate]]-Audit[[#This Row],[Audit Losing Candidate]]))/(Audit[[#Totals],[Winning Candidate]]-Audit[[#Totals],[Losing Candidate]]),
      0
)</f>
        <v>0</v>
      </c>
      <c r="AD6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4" s="111">
        <f>IF(Audit[[#This Row],[Max Relative Error (ep)]] = 0, 0, Audit[[#This Row],[Max Relative Error (ep)]]/Audit[[#This Row],[Error Bound (up) - Max. possible relative overstatement]])</f>
        <v>0</v>
      </c>
      <c r="AJ6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44" s="111">
        <f t="shared" si="9"/>
        <v>1</v>
      </c>
      <c r="AL644" s="111">
        <f>PRODUCT($AK$5:AK644)</f>
        <v>8.962823818226312E-2</v>
      </c>
      <c r="AM644" s="109">
        <f>1 - [K-M P Value]</f>
        <v>0.91037176181773694</v>
      </c>
      <c r="AN644" s="111" t="str">
        <f>IF(Audit[[#This Row],[K-M P Value]]&gt;1-'General Info'!$B$16,"Continue", "Stop")</f>
        <v>Stop</v>
      </c>
      <c r="AO644" s="110" t="b">
        <f>IF(Audit[[#This Row],[Status - Continue or stop audit]] = "Continue", TRUE, IF(AN643 = "Continue", TRUE, FALSE))</f>
        <v>0</v>
      </c>
      <c r="AP644" s="110"/>
    </row>
    <row r="645" spans="1:42" ht="15" hidden="1" customHeight="1">
      <c r="A645" s="111" t="str">
        <f>'Sampling Data'!W635</f>
        <v/>
      </c>
      <c r="B645" s="112" t="str">
        <f>'Sampling Data'!A635</f>
        <v>CLEVELAND -10-P</v>
      </c>
      <c r="C645" s="112">
        <f>'Sampling Data'!B635</f>
        <v>0</v>
      </c>
      <c r="D645" s="112">
        <f>'Sampling Data'!C635</f>
        <v>0</v>
      </c>
      <c r="E645" s="113">
        <f>'Sampling Data'!D635</f>
        <v>0</v>
      </c>
      <c r="F645" s="113">
        <f>'Sampling Data'!E635</f>
        <v>0</v>
      </c>
      <c r="G645" s="113">
        <f>'Sampling Data'!F635</f>
        <v>0</v>
      </c>
      <c r="H645" s="113">
        <f>'Sampling Data'!G635</f>
        <v>0</v>
      </c>
      <c r="I645" s="112">
        <f>'Sampling Data'!H635</f>
        <v>0</v>
      </c>
      <c r="J645" s="112">
        <f>'Sampling Data'!I635</f>
        <v>0</v>
      </c>
      <c r="K645" s="112">
        <f>'Sampling Data'!J635</f>
        <v>0</v>
      </c>
      <c r="L645" s="111">
        <f>'Sampling Data'!X635</f>
        <v>0</v>
      </c>
      <c r="M645" s="114"/>
      <c r="N645" s="114"/>
      <c r="O645" s="115"/>
      <c r="P645" s="115"/>
      <c r="Q645" s="116"/>
      <c r="R645" s="116"/>
      <c r="S645" s="111">
        <f>Audit[[#This Row],[Audit Losing Candidate]]-Audit[[#This Row],[Losing Candidate]]</f>
        <v>0</v>
      </c>
      <c r="T645" s="111">
        <f>Audit[[#This Row],[Audit Winning Candidate]]-Audit[[#This Row],[Winning Candidate]]</f>
        <v>0</v>
      </c>
      <c r="U645" s="111">
        <f>Audit[[#This Row],[Audit Candidate 3]]-Audit[[#This Row],[Candidate 3]]</f>
        <v>0</v>
      </c>
      <c r="V645" s="111">
        <f>Audit[[#This Row],[Audit Candidate 4]]-Audit[[#This Row],[Candidate 4]]</f>
        <v>0</v>
      </c>
      <c r="W645" s="111">
        <f>Audit[[#This Row],[Audit Candidate 5]]-Audit[[#This Row],[Candidate 5]]</f>
        <v>0</v>
      </c>
      <c r="X645" s="111">
        <f>Audit[[#This Row],[Audit Candidate 6]]-Audit[[#This Row],[Candidate 6]]</f>
        <v>0</v>
      </c>
      <c r="Y645" s="111">
        <f>SUMIF(Audit[[#This Row],[Difference Loser]:[Difference Candidate 6]], "&gt;0")</f>
        <v>0</v>
      </c>
      <c r="Z645" s="111">
        <f>SUM(Audit[[#This Row],[Difference Loser]:[Difference Candidate 6]])</f>
        <v>0</v>
      </c>
      <c r="AA645" s="111">
        <f>IF(Audit[[#This Row],[Times p Drawn - With Replacement]]&gt;0, IF(Audit[[#This Row],[Canceled Differences]]&lt;0, Audit[[#This Row],[Max Differences]]+ABS(Audit[[#This Row],[Canceled Differences]]), Audit[[#This Row],[Max Differences]]), 0)</f>
        <v>0</v>
      </c>
      <c r="AB645" s="111">
        <f>'Sampling Data'!P635</f>
        <v>0</v>
      </c>
      <c r="AC645" s="111">
        <f>IF(
      SUM(Audit[[#This Row],[Audit Losing Candidate]:[Audit Candidate 6]])
      &lt;&gt;0,
      (Audit[[#This Row],[Winning Candidate]]-Audit[[#This Row],[Losing Candidate]]-(Audit[[#This Row],[Audit Winning Candidate]]-Audit[[#This Row],[Audit Losing Candidate]]))/(Audit[[#Totals],[Winning Candidate]]-Audit[[#Totals],[Losing Candidate]]),
      0
)</f>
        <v>0</v>
      </c>
      <c r="AD6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5" s="111">
        <f>IF(Audit[[#This Row],[Max Relative Error (ep)]] = 0, 0, Audit[[#This Row],[Max Relative Error (ep)]]/Audit[[#This Row],[Error Bound (up) - Max. possible relative overstatement]])</f>
        <v>0</v>
      </c>
      <c r="AJ6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45" s="111">
        <f t="shared" ref="AK645:AK708" si="10">IF(ISERR(POWER(AJ645,L645)), 0, POWER(AJ645,L645))</f>
        <v>1</v>
      </c>
      <c r="AL645" s="111">
        <f>PRODUCT($AK$5:AK645)</f>
        <v>8.962823818226312E-2</v>
      </c>
      <c r="AM645" s="109">
        <f>1 - [K-M P Value]</f>
        <v>0.91037176181773694</v>
      </c>
      <c r="AN645" s="111" t="str">
        <f>IF(Audit[[#This Row],[K-M P Value]]&gt;1-'General Info'!$B$16,"Continue", "Stop")</f>
        <v>Stop</v>
      </c>
      <c r="AO645" s="110" t="b">
        <f>IF(Audit[[#This Row],[Status - Continue or stop audit]] = "Continue", TRUE, IF(AN644 = "Continue", TRUE, FALSE))</f>
        <v>0</v>
      </c>
      <c r="AP645" s="110"/>
    </row>
    <row r="646" spans="1:42" ht="15" hidden="1" customHeight="1">
      <c r="A646" s="111" t="str">
        <f>'Sampling Data'!W636</f>
        <v/>
      </c>
      <c r="B646" s="112" t="str">
        <f>'Sampling Data'!A636</f>
        <v>CLEVELAND -10-P - ABS</v>
      </c>
      <c r="C646" s="112">
        <f>'Sampling Data'!B636</f>
        <v>1</v>
      </c>
      <c r="D646" s="112">
        <f>'Sampling Data'!C636</f>
        <v>1</v>
      </c>
      <c r="E646" s="113">
        <f>'Sampling Data'!D636</f>
        <v>0</v>
      </c>
      <c r="F646" s="113">
        <f>'Sampling Data'!E636</f>
        <v>0</v>
      </c>
      <c r="G646" s="113">
        <f>'Sampling Data'!F636</f>
        <v>0</v>
      </c>
      <c r="H646" s="113">
        <f>'Sampling Data'!G636</f>
        <v>0</v>
      </c>
      <c r="I646" s="112">
        <f>'Sampling Data'!H636</f>
        <v>0</v>
      </c>
      <c r="J646" s="112">
        <f>'Sampling Data'!I636</f>
        <v>0</v>
      </c>
      <c r="K646" s="112">
        <f>'Sampling Data'!J636</f>
        <v>2</v>
      </c>
      <c r="L646" s="111">
        <f>'Sampling Data'!X636</f>
        <v>0</v>
      </c>
      <c r="M646" s="114"/>
      <c r="N646" s="114"/>
      <c r="O646" s="115"/>
      <c r="P646" s="115"/>
      <c r="Q646" s="116"/>
      <c r="R646" s="116"/>
      <c r="S646" s="111">
        <f>Audit[[#This Row],[Audit Losing Candidate]]-Audit[[#This Row],[Losing Candidate]]</f>
        <v>-1</v>
      </c>
      <c r="T646" s="111">
        <f>Audit[[#This Row],[Audit Winning Candidate]]-Audit[[#This Row],[Winning Candidate]]</f>
        <v>-1</v>
      </c>
      <c r="U646" s="111">
        <f>Audit[[#This Row],[Audit Candidate 3]]-Audit[[#This Row],[Candidate 3]]</f>
        <v>0</v>
      </c>
      <c r="V646" s="111">
        <f>Audit[[#This Row],[Audit Candidate 4]]-Audit[[#This Row],[Candidate 4]]</f>
        <v>0</v>
      </c>
      <c r="W646" s="111">
        <f>Audit[[#This Row],[Audit Candidate 5]]-Audit[[#This Row],[Candidate 5]]</f>
        <v>0</v>
      </c>
      <c r="X646" s="111">
        <f>Audit[[#This Row],[Audit Candidate 6]]-Audit[[#This Row],[Candidate 6]]</f>
        <v>0</v>
      </c>
      <c r="Y646" s="111">
        <f>SUMIF(Audit[[#This Row],[Difference Loser]:[Difference Candidate 6]], "&gt;0")</f>
        <v>0</v>
      </c>
      <c r="Z646" s="111">
        <f>SUM(Audit[[#This Row],[Difference Loser]:[Difference Candidate 6]])</f>
        <v>-2</v>
      </c>
      <c r="AA646" s="111">
        <f>IF(Audit[[#This Row],[Times p Drawn - With Replacement]]&gt;0, IF(Audit[[#This Row],[Canceled Differences]]&lt;0, Audit[[#This Row],[Max Differences]]+ABS(Audit[[#This Row],[Canceled Differences]]), Audit[[#This Row],[Max Differences]]), 0)</f>
        <v>0</v>
      </c>
      <c r="AB646" s="111">
        <f>'Sampling Data'!P636</f>
        <v>1.224889759921607E-4</v>
      </c>
      <c r="AC646" s="111">
        <f>IF(
      SUM(Audit[[#This Row],[Audit Losing Candidate]:[Audit Candidate 6]])
      &lt;&gt;0,
      (Audit[[#This Row],[Winning Candidate]]-Audit[[#This Row],[Losing Candidate]]-(Audit[[#This Row],[Audit Winning Candidate]]-Audit[[#This Row],[Audit Losing Candidate]]))/(Audit[[#Totals],[Winning Candidate]]-Audit[[#Totals],[Losing Candidate]]),
      0
)</f>
        <v>0</v>
      </c>
      <c r="AD6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6" s="111">
        <f>IF(Audit[[#This Row],[Max Relative Error (ep)]] = 0, 0, Audit[[#This Row],[Max Relative Error (ep)]]/Audit[[#This Row],[Error Bound (up) - Max. possible relative overstatement]])</f>
        <v>0</v>
      </c>
      <c r="AJ6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46" s="111">
        <f t="shared" si="10"/>
        <v>1</v>
      </c>
      <c r="AL646" s="111">
        <f>PRODUCT($AK$5:AK646)</f>
        <v>8.962823818226312E-2</v>
      </c>
      <c r="AM646" s="109">
        <f>1 - [K-M P Value]</f>
        <v>0.91037176181773694</v>
      </c>
      <c r="AN646" s="111" t="str">
        <f>IF(Audit[[#This Row],[K-M P Value]]&gt;1-'General Info'!$B$16,"Continue", "Stop")</f>
        <v>Stop</v>
      </c>
      <c r="AO646" s="110" t="b">
        <f>IF(Audit[[#This Row],[Status - Continue or stop audit]] = "Continue", TRUE, IF(AN645 = "Continue", TRUE, FALSE))</f>
        <v>0</v>
      </c>
      <c r="AP646" s="110"/>
    </row>
    <row r="647" spans="1:42" ht="15" hidden="1" customHeight="1">
      <c r="A647" s="111" t="str">
        <f>'Sampling Data'!W637</f>
        <v/>
      </c>
      <c r="B647" s="112" t="str">
        <f>'Sampling Data'!A637</f>
        <v>CLEVELAND -10-Q</v>
      </c>
      <c r="C647" s="112">
        <f>'Sampling Data'!B637</f>
        <v>0</v>
      </c>
      <c r="D647" s="112">
        <f>'Sampling Data'!C637</f>
        <v>0</v>
      </c>
      <c r="E647" s="113">
        <f>'Sampling Data'!D637</f>
        <v>0</v>
      </c>
      <c r="F647" s="113">
        <f>'Sampling Data'!E637</f>
        <v>0</v>
      </c>
      <c r="G647" s="113">
        <f>'Sampling Data'!F637</f>
        <v>0</v>
      </c>
      <c r="H647" s="113">
        <f>'Sampling Data'!G637</f>
        <v>0</v>
      </c>
      <c r="I647" s="112">
        <f>'Sampling Data'!H637</f>
        <v>0</v>
      </c>
      <c r="J647" s="112">
        <f>'Sampling Data'!I637</f>
        <v>0</v>
      </c>
      <c r="K647" s="112">
        <f>'Sampling Data'!J637</f>
        <v>0</v>
      </c>
      <c r="L647" s="111">
        <f>'Sampling Data'!X637</f>
        <v>0</v>
      </c>
      <c r="M647" s="114"/>
      <c r="N647" s="114"/>
      <c r="O647" s="115"/>
      <c r="P647" s="115"/>
      <c r="Q647" s="116"/>
      <c r="R647" s="116"/>
      <c r="S647" s="111">
        <f>Audit[[#This Row],[Audit Losing Candidate]]-Audit[[#This Row],[Losing Candidate]]</f>
        <v>0</v>
      </c>
      <c r="T647" s="111">
        <f>Audit[[#This Row],[Audit Winning Candidate]]-Audit[[#This Row],[Winning Candidate]]</f>
        <v>0</v>
      </c>
      <c r="U647" s="111">
        <f>Audit[[#This Row],[Audit Candidate 3]]-Audit[[#This Row],[Candidate 3]]</f>
        <v>0</v>
      </c>
      <c r="V647" s="111">
        <f>Audit[[#This Row],[Audit Candidate 4]]-Audit[[#This Row],[Candidate 4]]</f>
        <v>0</v>
      </c>
      <c r="W647" s="111">
        <f>Audit[[#This Row],[Audit Candidate 5]]-Audit[[#This Row],[Candidate 5]]</f>
        <v>0</v>
      </c>
      <c r="X647" s="111">
        <f>Audit[[#This Row],[Audit Candidate 6]]-Audit[[#This Row],[Candidate 6]]</f>
        <v>0</v>
      </c>
      <c r="Y647" s="111">
        <f>SUMIF(Audit[[#This Row],[Difference Loser]:[Difference Candidate 6]], "&gt;0")</f>
        <v>0</v>
      </c>
      <c r="Z647" s="111">
        <f>SUM(Audit[[#This Row],[Difference Loser]:[Difference Candidate 6]])</f>
        <v>0</v>
      </c>
      <c r="AA647" s="111">
        <f>IF(Audit[[#This Row],[Times p Drawn - With Replacement]]&gt;0, IF(Audit[[#This Row],[Canceled Differences]]&lt;0, Audit[[#This Row],[Max Differences]]+ABS(Audit[[#This Row],[Canceled Differences]]), Audit[[#This Row],[Max Differences]]), 0)</f>
        <v>0</v>
      </c>
      <c r="AB647" s="111">
        <f>'Sampling Data'!P637</f>
        <v>0</v>
      </c>
      <c r="AC647" s="111">
        <f>IF(
      SUM(Audit[[#This Row],[Audit Losing Candidate]:[Audit Candidate 6]])
      &lt;&gt;0,
      (Audit[[#This Row],[Winning Candidate]]-Audit[[#This Row],[Losing Candidate]]-(Audit[[#This Row],[Audit Winning Candidate]]-Audit[[#This Row],[Audit Losing Candidate]]))/(Audit[[#Totals],[Winning Candidate]]-Audit[[#Totals],[Losing Candidate]]),
      0
)</f>
        <v>0</v>
      </c>
      <c r="AD6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7" s="111">
        <f>IF(Audit[[#This Row],[Max Relative Error (ep)]] = 0, 0, Audit[[#This Row],[Max Relative Error (ep)]]/Audit[[#This Row],[Error Bound (up) - Max. possible relative overstatement]])</f>
        <v>0</v>
      </c>
      <c r="AJ6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47" s="111">
        <f t="shared" si="10"/>
        <v>1</v>
      </c>
      <c r="AL647" s="111">
        <f>PRODUCT($AK$5:AK647)</f>
        <v>8.962823818226312E-2</v>
      </c>
      <c r="AM647" s="109">
        <f>1 - [K-M P Value]</f>
        <v>0.91037176181773694</v>
      </c>
      <c r="AN647" s="111" t="str">
        <f>IF(Audit[[#This Row],[K-M P Value]]&gt;1-'General Info'!$B$16,"Continue", "Stop")</f>
        <v>Stop</v>
      </c>
      <c r="AO647" s="110" t="b">
        <f>IF(Audit[[#This Row],[Status - Continue or stop audit]] = "Continue", TRUE, IF(AN646 = "Continue", TRUE, FALSE))</f>
        <v>0</v>
      </c>
      <c r="AP647" s="110"/>
    </row>
    <row r="648" spans="1:42" ht="15" hidden="1" customHeight="1">
      <c r="A648" s="111" t="str">
        <f>'Sampling Data'!W638</f>
        <v/>
      </c>
      <c r="B648" s="112" t="str">
        <f>'Sampling Data'!A638</f>
        <v>CLEVELAND -10-Q - ABS</v>
      </c>
      <c r="C648" s="112">
        <f>'Sampling Data'!B638</f>
        <v>0</v>
      </c>
      <c r="D648" s="112">
        <f>'Sampling Data'!C638</f>
        <v>0</v>
      </c>
      <c r="E648" s="113">
        <f>'Sampling Data'!D638</f>
        <v>0</v>
      </c>
      <c r="F648" s="113">
        <f>'Sampling Data'!E638</f>
        <v>0</v>
      </c>
      <c r="G648" s="113">
        <f>'Sampling Data'!F638</f>
        <v>0</v>
      </c>
      <c r="H648" s="113">
        <f>'Sampling Data'!G638</f>
        <v>0</v>
      </c>
      <c r="I648" s="112">
        <f>'Sampling Data'!H638</f>
        <v>0</v>
      </c>
      <c r="J648" s="112">
        <f>'Sampling Data'!I638</f>
        <v>0</v>
      </c>
      <c r="K648" s="112">
        <f>'Sampling Data'!J638</f>
        <v>0</v>
      </c>
      <c r="L648" s="111">
        <f>'Sampling Data'!X638</f>
        <v>0</v>
      </c>
      <c r="M648" s="114"/>
      <c r="N648" s="114"/>
      <c r="O648" s="115"/>
      <c r="P648" s="115"/>
      <c r="Q648" s="116"/>
      <c r="R648" s="116"/>
      <c r="S648" s="111">
        <f>Audit[[#This Row],[Audit Losing Candidate]]-Audit[[#This Row],[Losing Candidate]]</f>
        <v>0</v>
      </c>
      <c r="T648" s="111">
        <f>Audit[[#This Row],[Audit Winning Candidate]]-Audit[[#This Row],[Winning Candidate]]</f>
        <v>0</v>
      </c>
      <c r="U648" s="111">
        <f>Audit[[#This Row],[Audit Candidate 3]]-Audit[[#This Row],[Candidate 3]]</f>
        <v>0</v>
      </c>
      <c r="V648" s="111">
        <f>Audit[[#This Row],[Audit Candidate 4]]-Audit[[#This Row],[Candidate 4]]</f>
        <v>0</v>
      </c>
      <c r="W648" s="111">
        <f>Audit[[#This Row],[Audit Candidate 5]]-Audit[[#This Row],[Candidate 5]]</f>
        <v>0</v>
      </c>
      <c r="X648" s="111">
        <f>Audit[[#This Row],[Audit Candidate 6]]-Audit[[#This Row],[Candidate 6]]</f>
        <v>0</v>
      </c>
      <c r="Y648" s="111">
        <f>SUMIF(Audit[[#This Row],[Difference Loser]:[Difference Candidate 6]], "&gt;0")</f>
        <v>0</v>
      </c>
      <c r="Z648" s="111">
        <f>SUM(Audit[[#This Row],[Difference Loser]:[Difference Candidate 6]])</f>
        <v>0</v>
      </c>
      <c r="AA648" s="111">
        <f>IF(Audit[[#This Row],[Times p Drawn - With Replacement]]&gt;0, IF(Audit[[#This Row],[Canceled Differences]]&lt;0, Audit[[#This Row],[Max Differences]]+ABS(Audit[[#This Row],[Canceled Differences]]), Audit[[#This Row],[Max Differences]]), 0)</f>
        <v>0</v>
      </c>
      <c r="AB648" s="111">
        <f>'Sampling Data'!P638</f>
        <v>0</v>
      </c>
      <c r="AC648" s="111">
        <f>IF(
      SUM(Audit[[#This Row],[Audit Losing Candidate]:[Audit Candidate 6]])
      &lt;&gt;0,
      (Audit[[#This Row],[Winning Candidate]]-Audit[[#This Row],[Losing Candidate]]-(Audit[[#This Row],[Audit Winning Candidate]]-Audit[[#This Row],[Audit Losing Candidate]]))/(Audit[[#Totals],[Winning Candidate]]-Audit[[#Totals],[Losing Candidate]]),
      0
)</f>
        <v>0</v>
      </c>
      <c r="AD6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8" s="111">
        <f>IF(Audit[[#This Row],[Max Relative Error (ep)]] = 0, 0, Audit[[#This Row],[Max Relative Error (ep)]]/Audit[[#This Row],[Error Bound (up) - Max. possible relative overstatement]])</f>
        <v>0</v>
      </c>
      <c r="AJ6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48" s="111">
        <f t="shared" si="10"/>
        <v>1</v>
      </c>
      <c r="AL648" s="111">
        <f>PRODUCT($AK$5:AK648)</f>
        <v>8.962823818226312E-2</v>
      </c>
      <c r="AM648" s="109">
        <f>1 - [K-M P Value]</f>
        <v>0.91037176181773694</v>
      </c>
      <c r="AN648" s="111" t="str">
        <f>IF(Audit[[#This Row],[K-M P Value]]&gt;1-'General Info'!$B$16,"Continue", "Stop")</f>
        <v>Stop</v>
      </c>
      <c r="AO648" s="110" t="b">
        <f>IF(Audit[[#This Row],[Status - Continue or stop audit]] = "Continue", TRUE, IF(AN647 = "Continue", TRUE, FALSE))</f>
        <v>0</v>
      </c>
      <c r="AP648" s="110"/>
    </row>
    <row r="649" spans="1:42" ht="15" hidden="1" customHeight="1">
      <c r="A649" s="111" t="str">
        <f>'Sampling Data'!W639</f>
        <v/>
      </c>
      <c r="B649" s="112" t="str">
        <f>'Sampling Data'!A639</f>
        <v>CLEVELAND -10-R</v>
      </c>
      <c r="C649" s="112">
        <f>'Sampling Data'!B639</f>
        <v>0</v>
      </c>
      <c r="D649" s="112">
        <f>'Sampling Data'!C639</f>
        <v>1</v>
      </c>
      <c r="E649" s="113">
        <f>'Sampling Data'!D639</f>
        <v>0</v>
      </c>
      <c r="F649" s="113">
        <f>'Sampling Data'!E639</f>
        <v>0</v>
      </c>
      <c r="G649" s="113">
        <f>'Sampling Data'!F639</f>
        <v>0</v>
      </c>
      <c r="H649" s="113">
        <f>'Sampling Data'!G639</f>
        <v>0</v>
      </c>
      <c r="I649" s="112">
        <f>'Sampling Data'!H639</f>
        <v>0</v>
      </c>
      <c r="J649" s="112">
        <f>'Sampling Data'!I639</f>
        <v>0</v>
      </c>
      <c r="K649" s="112">
        <f>'Sampling Data'!J639</f>
        <v>1</v>
      </c>
      <c r="L649" s="111">
        <f>'Sampling Data'!X639</f>
        <v>0</v>
      </c>
      <c r="M649" s="114"/>
      <c r="N649" s="114"/>
      <c r="O649" s="115"/>
      <c r="P649" s="115"/>
      <c r="Q649" s="116"/>
      <c r="R649" s="116"/>
      <c r="S649" s="111">
        <f>Audit[[#This Row],[Audit Losing Candidate]]-Audit[[#This Row],[Losing Candidate]]</f>
        <v>0</v>
      </c>
      <c r="T649" s="111">
        <f>Audit[[#This Row],[Audit Winning Candidate]]-Audit[[#This Row],[Winning Candidate]]</f>
        <v>-1</v>
      </c>
      <c r="U649" s="111">
        <f>Audit[[#This Row],[Audit Candidate 3]]-Audit[[#This Row],[Candidate 3]]</f>
        <v>0</v>
      </c>
      <c r="V649" s="111">
        <f>Audit[[#This Row],[Audit Candidate 4]]-Audit[[#This Row],[Candidate 4]]</f>
        <v>0</v>
      </c>
      <c r="W649" s="111">
        <f>Audit[[#This Row],[Audit Candidate 5]]-Audit[[#This Row],[Candidate 5]]</f>
        <v>0</v>
      </c>
      <c r="X649" s="111">
        <f>Audit[[#This Row],[Audit Candidate 6]]-Audit[[#This Row],[Candidate 6]]</f>
        <v>0</v>
      </c>
      <c r="Y649" s="111">
        <f>SUMIF(Audit[[#This Row],[Difference Loser]:[Difference Candidate 6]], "&gt;0")</f>
        <v>0</v>
      </c>
      <c r="Z649" s="111">
        <f>SUM(Audit[[#This Row],[Difference Loser]:[Difference Candidate 6]])</f>
        <v>-1</v>
      </c>
      <c r="AA649" s="111">
        <f>IF(Audit[[#This Row],[Times p Drawn - With Replacement]]&gt;0, IF(Audit[[#This Row],[Canceled Differences]]&lt;0, Audit[[#This Row],[Max Differences]]+ABS(Audit[[#This Row],[Canceled Differences]]), Audit[[#This Row],[Max Differences]]), 0)</f>
        <v>0</v>
      </c>
      <c r="AB649" s="111">
        <f>'Sampling Data'!P639</f>
        <v>1.224889759921607E-4</v>
      </c>
      <c r="AC649" s="111">
        <f>IF(
      SUM(Audit[[#This Row],[Audit Losing Candidate]:[Audit Candidate 6]])
      &lt;&gt;0,
      (Audit[[#This Row],[Winning Candidate]]-Audit[[#This Row],[Losing Candidate]]-(Audit[[#This Row],[Audit Winning Candidate]]-Audit[[#This Row],[Audit Losing Candidate]]))/(Audit[[#Totals],[Winning Candidate]]-Audit[[#Totals],[Losing Candidate]]),
      0
)</f>
        <v>0</v>
      </c>
      <c r="AD6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9" s="111">
        <f>IF(Audit[[#This Row],[Max Relative Error (ep)]] = 0, 0, Audit[[#This Row],[Max Relative Error (ep)]]/Audit[[#This Row],[Error Bound (up) - Max. possible relative overstatement]])</f>
        <v>0</v>
      </c>
      <c r="AJ6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49" s="111">
        <f t="shared" si="10"/>
        <v>1</v>
      </c>
      <c r="AL649" s="111">
        <f>PRODUCT($AK$5:AK649)</f>
        <v>8.962823818226312E-2</v>
      </c>
      <c r="AM649" s="109">
        <f>1 - [K-M P Value]</f>
        <v>0.91037176181773694</v>
      </c>
      <c r="AN649" s="111" t="str">
        <f>IF(Audit[[#This Row],[K-M P Value]]&gt;1-'General Info'!$B$16,"Continue", "Stop")</f>
        <v>Stop</v>
      </c>
      <c r="AO649" s="110" t="b">
        <f>IF(Audit[[#This Row],[Status - Continue or stop audit]] = "Continue", TRUE, IF(AN648 = "Continue", TRUE, FALSE))</f>
        <v>0</v>
      </c>
      <c r="AP649" s="110"/>
    </row>
    <row r="650" spans="1:42" ht="15" hidden="1" customHeight="1">
      <c r="A650" s="111" t="str">
        <f>'Sampling Data'!W640</f>
        <v/>
      </c>
      <c r="B650" s="112" t="str">
        <f>'Sampling Data'!A640</f>
        <v>CLEVELAND -10-R - ABS</v>
      </c>
      <c r="C650" s="112">
        <f>'Sampling Data'!B640</f>
        <v>0</v>
      </c>
      <c r="D650" s="112">
        <f>'Sampling Data'!C640</f>
        <v>1</v>
      </c>
      <c r="E650" s="113">
        <f>'Sampling Data'!D640</f>
        <v>0</v>
      </c>
      <c r="F650" s="113">
        <f>'Sampling Data'!E640</f>
        <v>0</v>
      </c>
      <c r="G650" s="113">
        <f>'Sampling Data'!F640</f>
        <v>0</v>
      </c>
      <c r="H650" s="113">
        <f>'Sampling Data'!G640</f>
        <v>0</v>
      </c>
      <c r="I650" s="112">
        <f>'Sampling Data'!H640</f>
        <v>0</v>
      </c>
      <c r="J650" s="112">
        <f>'Sampling Data'!I640</f>
        <v>0</v>
      </c>
      <c r="K650" s="112">
        <f>'Sampling Data'!J640</f>
        <v>1</v>
      </c>
      <c r="L650" s="111">
        <f>'Sampling Data'!X640</f>
        <v>0</v>
      </c>
      <c r="M650" s="114"/>
      <c r="N650" s="114"/>
      <c r="O650" s="115"/>
      <c r="P650" s="115"/>
      <c r="Q650" s="116"/>
      <c r="R650" s="116"/>
      <c r="S650" s="111">
        <f>Audit[[#This Row],[Audit Losing Candidate]]-Audit[[#This Row],[Losing Candidate]]</f>
        <v>0</v>
      </c>
      <c r="T650" s="111">
        <f>Audit[[#This Row],[Audit Winning Candidate]]-Audit[[#This Row],[Winning Candidate]]</f>
        <v>-1</v>
      </c>
      <c r="U650" s="111">
        <f>Audit[[#This Row],[Audit Candidate 3]]-Audit[[#This Row],[Candidate 3]]</f>
        <v>0</v>
      </c>
      <c r="V650" s="111">
        <f>Audit[[#This Row],[Audit Candidate 4]]-Audit[[#This Row],[Candidate 4]]</f>
        <v>0</v>
      </c>
      <c r="W650" s="111">
        <f>Audit[[#This Row],[Audit Candidate 5]]-Audit[[#This Row],[Candidate 5]]</f>
        <v>0</v>
      </c>
      <c r="X650" s="111">
        <f>Audit[[#This Row],[Audit Candidate 6]]-Audit[[#This Row],[Candidate 6]]</f>
        <v>0</v>
      </c>
      <c r="Y650" s="111">
        <f>SUMIF(Audit[[#This Row],[Difference Loser]:[Difference Candidate 6]], "&gt;0")</f>
        <v>0</v>
      </c>
      <c r="Z650" s="111">
        <f>SUM(Audit[[#This Row],[Difference Loser]:[Difference Candidate 6]])</f>
        <v>-1</v>
      </c>
      <c r="AA650" s="111">
        <f>IF(Audit[[#This Row],[Times p Drawn - With Replacement]]&gt;0, IF(Audit[[#This Row],[Canceled Differences]]&lt;0, Audit[[#This Row],[Max Differences]]+ABS(Audit[[#This Row],[Canceled Differences]]), Audit[[#This Row],[Max Differences]]), 0)</f>
        <v>0</v>
      </c>
      <c r="AB650" s="111">
        <f>'Sampling Data'!P640</f>
        <v>1.224889759921607E-4</v>
      </c>
      <c r="AC650" s="111">
        <f>IF(
      SUM(Audit[[#This Row],[Audit Losing Candidate]:[Audit Candidate 6]])
      &lt;&gt;0,
      (Audit[[#This Row],[Winning Candidate]]-Audit[[#This Row],[Losing Candidate]]-(Audit[[#This Row],[Audit Winning Candidate]]-Audit[[#This Row],[Audit Losing Candidate]]))/(Audit[[#Totals],[Winning Candidate]]-Audit[[#Totals],[Losing Candidate]]),
      0
)</f>
        <v>0</v>
      </c>
      <c r="AD6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0" s="111">
        <f>IF(Audit[[#This Row],[Max Relative Error (ep)]] = 0, 0, Audit[[#This Row],[Max Relative Error (ep)]]/Audit[[#This Row],[Error Bound (up) - Max. possible relative overstatement]])</f>
        <v>0</v>
      </c>
      <c r="AJ6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50" s="111">
        <f t="shared" si="10"/>
        <v>1</v>
      </c>
      <c r="AL650" s="111">
        <f>PRODUCT($AK$5:AK650)</f>
        <v>8.962823818226312E-2</v>
      </c>
      <c r="AM650" s="109">
        <f>1 - [K-M P Value]</f>
        <v>0.91037176181773694</v>
      </c>
      <c r="AN650" s="111" t="str">
        <f>IF(Audit[[#This Row],[K-M P Value]]&gt;1-'General Info'!$B$16,"Continue", "Stop")</f>
        <v>Stop</v>
      </c>
      <c r="AO650" s="110" t="b">
        <f>IF(Audit[[#This Row],[Status - Continue or stop audit]] = "Continue", TRUE, IF(AN649 = "Continue", TRUE, FALSE))</f>
        <v>0</v>
      </c>
      <c r="AP650" s="110"/>
    </row>
    <row r="651" spans="1:42" ht="15" hidden="1" customHeight="1">
      <c r="A651" s="111" t="str">
        <f>'Sampling Data'!W641</f>
        <v/>
      </c>
      <c r="B651" s="112" t="str">
        <f>'Sampling Data'!A641</f>
        <v>CLEVELAND -10-S</v>
      </c>
      <c r="C651" s="112">
        <f>'Sampling Data'!B641</f>
        <v>1</v>
      </c>
      <c r="D651" s="112">
        <f>'Sampling Data'!C641</f>
        <v>3</v>
      </c>
      <c r="E651" s="113">
        <f>'Sampling Data'!D641</f>
        <v>0</v>
      </c>
      <c r="F651" s="113">
        <f>'Sampling Data'!E641</f>
        <v>1</v>
      </c>
      <c r="G651" s="113">
        <f>'Sampling Data'!F641</f>
        <v>0</v>
      </c>
      <c r="H651" s="113">
        <f>'Sampling Data'!G641</f>
        <v>0</v>
      </c>
      <c r="I651" s="112">
        <f>'Sampling Data'!H641</f>
        <v>0</v>
      </c>
      <c r="J651" s="112">
        <f>'Sampling Data'!I641</f>
        <v>0</v>
      </c>
      <c r="K651" s="112">
        <f>'Sampling Data'!J641</f>
        <v>5</v>
      </c>
      <c r="L651" s="111">
        <f>'Sampling Data'!X641</f>
        <v>0</v>
      </c>
      <c r="M651" s="114"/>
      <c r="N651" s="114"/>
      <c r="O651" s="115"/>
      <c r="P651" s="115"/>
      <c r="Q651" s="116"/>
      <c r="R651" s="116"/>
      <c r="S651" s="111">
        <f>Audit[[#This Row],[Audit Losing Candidate]]-Audit[[#This Row],[Losing Candidate]]</f>
        <v>-1</v>
      </c>
      <c r="T651" s="111">
        <f>Audit[[#This Row],[Audit Winning Candidate]]-Audit[[#This Row],[Winning Candidate]]</f>
        <v>-3</v>
      </c>
      <c r="U651" s="111">
        <f>Audit[[#This Row],[Audit Candidate 3]]-Audit[[#This Row],[Candidate 3]]</f>
        <v>0</v>
      </c>
      <c r="V651" s="111">
        <f>Audit[[#This Row],[Audit Candidate 4]]-Audit[[#This Row],[Candidate 4]]</f>
        <v>-1</v>
      </c>
      <c r="W651" s="111">
        <f>Audit[[#This Row],[Audit Candidate 5]]-Audit[[#This Row],[Candidate 5]]</f>
        <v>0</v>
      </c>
      <c r="X651" s="111">
        <f>Audit[[#This Row],[Audit Candidate 6]]-Audit[[#This Row],[Candidate 6]]</f>
        <v>0</v>
      </c>
      <c r="Y651" s="111">
        <f>SUMIF(Audit[[#This Row],[Difference Loser]:[Difference Candidate 6]], "&gt;0")</f>
        <v>0</v>
      </c>
      <c r="Z651" s="111">
        <f>SUM(Audit[[#This Row],[Difference Loser]:[Difference Candidate 6]])</f>
        <v>-5</v>
      </c>
      <c r="AA651" s="111">
        <f>IF(Audit[[#This Row],[Times p Drawn - With Replacement]]&gt;0, IF(Audit[[#This Row],[Canceled Differences]]&lt;0, Audit[[#This Row],[Max Differences]]+ABS(Audit[[#This Row],[Canceled Differences]]), Audit[[#This Row],[Max Differences]]), 0)</f>
        <v>0</v>
      </c>
      <c r="AB651" s="111">
        <f>'Sampling Data'!P641</f>
        <v>4.2871141597256246E-4</v>
      </c>
      <c r="AC651" s="111">
        <f>IF(
      SUM(Audit[[#This Row],[Audit Losing Candidate]:[Audit Candidate 6]])
      &lt;&gt;0,
      (Audit[[#This Row],[Winning Candidate]]-Audit[[#This Row],[Losing Candidate]]-(Audit[[#This Row],[Audit Winning Candidate]]-Audit[[#This Row],[Audit Losing Candidate]]))/(Audit[[#Totals],[Winning Candidate]]-Audit[[#Totals],[Losing Candidate]]),
      0
)</f>
        <v>0</v>
      </c>
      <c r="AD6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1" s="111">
        <f>IF(Audit[[#This Row],[Max Relative Error (ep)]] = 0, 0, Audit[[#This Row],[Max Relative Error (ep)]]/Audit[[#This Row],[Error Bound (up) - Max. possible relative overstatement]])</f>
        <v>0</v>
      </c>
      <c r="AJ6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51" s="111">
        <f t="shared" si="10"/>
        <v>1</v>
      </c>
      <c r="AL651" s="111">
        <f>PRODUCT($AK$5:AK651)</f>
        <v>8.962823818226312E-2</v>
      </c>
      <c r="AM651" s="109">
        <f>1 - [K-M P Value]</f>
        <v>0.91037176181773694</v>
      </c>
      <c r="AN651" s="111" t="str">
        <f>IF(Audit[[#This Row],[K-M P Value]]&gt;1-'General Info'!$B$16,"Continue", "Stop")</f>
        <v>Stop</v>
      </c>
      <c r="AO651" s="110" t="b">
        <f>IF(Audit[[#This Row],[Status - Continue or stop audit]] = "Continue", TRUE, IF(AN650 = "Continue", TRUE, FALSE))</f>
        <v>0</v>
      </c>
      <c r="AP651" s="110"/>
    </row>
    <row r="652" spans="1:42" ht="15" hidden="1" customHeight="1">
      <c r="A652" s="111" t="str">
        <f>'Sampling Data'!W642</f>
        <v/>
      </c>
      <c r="B652" s="112" t="str">
        <f>'Sampling Data'!A642</f>
        <v>CLEVELAND -10-S - ABS</v>
      </c>
      <c r="C652" s="112">
        <f>'Sampling Data'!B642</f>
        <v>0</v>
      </c>
      <c r="D652" s="112">
        <f>'Sampling Data'!C642</f>
        <v>1</v>
      </c>
      <c r="E652" s="113">
        <f>'Sampling Data'!D642</f>
        <v>0</v>
      </c>
      <c r="F652" s="113">
        <f>'Sampling Data'!E642</f>
        <v>0</v>
      </c>
      <c r="G652" s="113">
        <f>'Sampling Data'!F642</f>
        <v>0</v>
      </c>
      <c r="H652" s="113">
        <f>'Sampling Data'!G642</f>
        <v>0</v>
      </c>
      <c r="I652" s="112">
        <f>'Sampling Data'!H642</f>
        <v>0</v>
      </c>
      <c r="J652" s="112">
        <f>'Sampling Data'!I642</f>
        <v>0</v>
      </c>
      <c r="K652" s="112">
        <f>'Sampling Data'!J642</f>
        <v>1</v>
      </c>
      <c r="L652" s="111">
        <f>'Sampling Data'!X642</f>
        <v>0</v>
      </c>
      <c r="M652" s="114"/>
      <c r="N652" s="114"/>
      <c r="O652" s="115"/>
      <c r="P652" s="115"/>
      <c r="Q652" s="116"/>
      <c r="R652" s="116"/>
      <c r="S652" s="111">
        <f>Audit[[#This Row],[Audit Losing Candidate]]-Audit[[#This Row],[Losing Candidate]]</f>
        <v>0</v>
      </c>
      <c r="T652" s="111">
        <f>Audit[[#This Row],[Audit Winning Candidate]]-Audit[[#This Row],[Winning Candidate]]</f>
        <v>-1</v>
      </c>
      <c r="U652" s="111">
        <f>Audit[[#This Row],[Audit Candidate 3]]-Audit[[#This Row],[Candidate 3]]</f>
        <v>0</v>
      </c>
      <c r="V652" s="111">
        <f>Audit[[#This Row],[Audit Candidate 4]]-Audit[[#This Row],[Candidate 4]]</f>
        <v>0</v>
      </c>
      <c r="W652" s="111">
        <f>Audit[[#This Row],[Audit Candidate 5]]-Audit[[#This Row],[Candidate 5]]</f>
        <v>0</v>
      </c>
      <c r="X652" s="111">
        <f>Audit[[#This Row],[Audit Candidate 6]]-Audit[[#This Row],[Candidate 6]]</f>
        <v>0</v>
      </c>
      <c r="Y652" s="111">
        <f>SUMIF(Audit[[#This Row],[Difference Loser]:[Difference Candidate 6]], "&gt;0")</f>
        <v>0</v>
      </c>
      <c r="Z652" s="111">
        <f>SUM(Audit[[#This Row],[Difference Loser]:[Difference Candidate 6]])</f>
        <v>-1</v>
      </c>
      <c r="AA652" s="111">
        <f>IF(Audit[[#This Row],[Times p Drawn - With Replacement]]&gt;0, IF(Audit[[#This Row],[Canceled Differences]]&lt;0, Audit[[#This Row],[Max Differences]]+ABS(Audit[[#This Row],[Canceled Differences]]), Audit[[#This Row],[Max Differences]]), 0)</f>
        <v>0</v>
      </c>
      <c r="AB652" s="111">
        <f>'Sampling Data'!P642</f>
        <v>1.224889759921607E-4</v>
      </c>
      <c r="AC652" s="111">
        <f>IF(
      SUM(Audit[[#This Row],[Audit Losing Candidate]:[Audit Candidate 6]])
      &lt;&gt;0,
      (Audit[[#This Row],[Winning Candidate]]-Audit[[#This Row],[Losing Candidate]]-(Audit[[#This Row],[Audit Winning Candidate]]-Audit[[#This Row],[Audit Losing Candidate]]))/(Audit[[#Totals],[Winning Candidate]]-Audit[[#Totals],[Losing Candidate]]),
      0
)</f>
        <v>0</v>
      </c>
      <c r="AD6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2" s="111">
        <f>IF(Audit[[#This Row],[Max Relative Error (ep)]] = 0, 0, Audit[[#This Row],[Max Relative Error (ep)]]/Audit[[#This Row],[Error Bound (up) - Max. possible relative overstatement]])</f>
        <v>0</v>
      </c>
      <c r="AJ6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52" s="111">
        <f t="shared" si="10"/>
        <v>1</v>
      </c>
      <c r="AL652" s="111">
        <f>PRODUCT($AK$5:AK652)</f>
        <v>8.962823818226312E-2</v>
      </c>
      <c r="AM652" s="109">
        <f>1 - [K-M P Value]</f>
        <v>0.91037176181773694</v>
      </c>
      <c r="AN652" s="111" t="str">
        <f>IF(Audit[[#This Row],[K-M P Value]]&gt;1-'General Info'!$B$16,"Continue", "Stop")</f>
        <v>Stop</v>
      </c>
      <c r="AO652" s="110" t="b">
        <f>IF(Audit[[#This Row],[Status - Continue or stop audit]] = "Continue", TRUE, IF(AN651 = "Continue", TRUE, FALSE))</f>
        <v>0</v>
      </c>
      <c r="AP652" s="110"/>
    </row>
    <row r="653" spans="1:42" ht="15" hidden="1" customHeight="1">
      <c r="A653" s="111" t="str">
        <f>'Sampling Data'!W643</f>
        <v/>
      </c>
      <c r="B653" s="112" t="str">
        <f>'Sampling Data'!A643</f>
        <v>CLEVELAND -10-T</v>
      </c>
      <c r="C653" s="112">
        <f>'Sampling Data'!B643</f>
        <v>0</v>
      </c>
      <c r="D653" s="112">
        <f>'Sampling Data'!C643</f>
        <v>0</v>
      </c>
      <c r="E653" s="113">
        <f>'Sampling Data'!D643</f>
        <v>1</v>
      </c>
      <c r="F653" s="113">
        <f>'Sampling Data'!E643</f>
        <v>1</v>
      </c>
      <c r="G653" s="113">
        <f>'Sampling Data'!F643</f>
        <v>0</v>
      </c>
      <c r="H653" s="113">
        <f>'Sampling Data'!G643</f>
        <v>0</v>
      </c>
      <c r="I653" s="112">
        <f>'Sampling Data'!H643</f>
        <v>0</v>
      </c>
      <c r="J653" s="112">
        <f>'Sampling Data'!I643</f>
        <v>0</v>
      </c>
      <c r="K653" s="112">
        <f>'Sampling Data'!J643</f>
        <v>2</v>
      </c>
      <c r="L653" s="111">
        <f>'Sampling Data'!X643</f>
        <v>0</v>
      </c>
      <c r="M653" s="114"/>
      <c r="N653" s="114"/>
      <c r="O653" s="115"/>
      <c r="P653" s="115"/>
      <c r="Q653" s="116"/>
      <c r="R653" s="116"/>
      <c r="S653" s="111">
        <f>Audit[[#This Row],[Audit Losing Candidate]]-Audit[[#This Row],[Losing Candidate]]</f>
        <v>0</v>
      </c>
      <c r="T653" s="111">
        <f>Audit[[#This Row],[Audit Winning Candidate]]-Audit[[#This Row],[Winning Candidate]]</f>
        <v>0</v>
      </c>
      <c r="U653" s="111">
        <f>Audit[[#This Row],[Audit Candidate 3]]-Audit[[#This Row],[Candidate 3]]</f>
        <v>-1</v>
      </c>
      <c r="V653" s="111">
        <f>Audit[[#This Row],[Audit Candidate 4]]-Audit[[#This Row],[Candidate 4]]</f>
        <v>-1</v>
      </c>
      <c r="W653" s="111">
        <f>Audit[[#This Row],[Audit Candidate 5]]-Audit[[#This Row],[Candidate 5]]</f>
        <v>0</v>
      </c>
      <c r="X653" s="111">
        <f>Audit[[#This Row],[Audit Candidate 6]]-Audit[[#This Row],[Candidate 6]]</f>
        <v>0</v>
      </c>
      <c r="Y653" s="111">
        <f>SUMIF(Audit[[#This Row],[Difference Loser]:[Difference Candidate 6]], "&gt;0")</f>
        <v>0</v>
      </c>
      <c r="Z653" s="111">
        <f>SUM(Audit[[#This Row],[Difference Loser]:[Difference Candidate 6]])</f>
        <v>-2</v>
      </c>
      <c r="AA653" s="111">
        <f>IF(Audit[[#This Row],[Times p Drawn - With Replacement]]&gt;0, IF(Audit[[#This Row],[Canceled Differences]]&lt;0, Audit[[#This Row],[Max Differences]]+ABS(Audit[[#This Row],[Canceled Differences]]), Audit[[#This Row],[Max Differences]]), 0)</f>
        <v>0</v>
      </c>
      <c r="AB653" s="111">
        <f>'Sampling Data'!P643</f>
        <v>1.224889759921607E-4</v>
      </c>
      <c r="AC653" s="111">
        <f>IF(
      SUM(Audit[[#This Row],[Audit Losing Candidate]:[Audit Candidate 6]])
      &lt;&gt;0,
      (Audit[[#This Row],[Winning Candidate]]-Audit[[#This Row],[Losing Candidate]]-(Audit[[#This Row],[Audit Winning Candidate]]-Audit[[#This Row],[Audit Losing Candidate]]))/(Audit[[#Totals],[Winning Candidate]]-Audit[[#Totals],[Losing Candidate]]),
      0
)</f>
        <v>0</v>
      </c>
      <c r="AD6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3" s="111">
        <f>IF(Audit[[#This Row],[Max Relative Error (ep)]] = 0, 0, Audit[[#This Row],[Max Relative Error (ep)]]/Audit[[#This Row],[Error Bound (up) - Max. possible relative overstatement]])</f>
        <v>0</v>
      </c>
      <c r="AJ6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53" s="111">
        <f t="shared" si="10"/>
        <v>1</v>
      </c>
      <c r="AL653" s="111">
        <f>PRODUCT($AK$5:AK653)</f>
        <v>8.962823818226312E-2</v>
      </c>
      <c r="AM653" s="109">
        <f>1 - [K-M P Value]</f>
        <v>0.91037176181773694</v>
      </c>
      <c r="AN653" s="111" t="str">
        <f>IF(Audit[[#This Row],[K-M P Value]]&gt;1-'General Info'!$B$16,"Continue", "Stop")</f>
        <v>Stop</v>
      </c>
      <c r="AO653" s="110" t="b">
        <f>IF(Audit[[#This Row],[Status - Continue or stop audit]] = "Continue", TRUE, IF(AN652 = "Continue", TRUE, FALSE))</f>
        <v>0</v>
      </c>
      <c r="AP653" s="110"/>
    </row>
    <row r="654" spans="1:42" ht="15" hidden="1" customHeight="1">
      <c r="A654" s="111" t="str">
        <f>'Sampling Data'!W644</f>
        <v/>
      </c>
      <c r="B654" s="112" t="str">
        <f>'Sampling Data'!A644</f>
        <v>CLEVELAND -10-T - ABS</v>
      </c>
      <c r="C654" s="112">
        <f>'Sampling Data'!B644</f>
        <v>1</v>
      </c>
      <c r="D654" s="112">
        <f>'Sampling Data'!C644</f>
        <v>0</v>
      </c>
      <c r="E654" s="113">
        <f>'Sampling Data'!D644</f>
        <v>0</v>
      </c>
      <c r="F654" s="113">
        <f>'Sampling Data'!E644</f>
        <v>0</v>
      </c>
      <c r="G654" s="113">
        <f>'Sampling Data'!F644</f>
        <v>0</v>
      </c>
      <c r="H654" s="113">
        <f>'Sampling Data'!G644</f>
        <v>0</v>
      </c>
      <c r="I654" s="112">
        <f>'Sampling Data'!H644</f>
        <v>0</v>
      </c>
      <c r="J654" s="112">
        <f>'Sampling Data'!I644</f>
        <v>0</v>
      </c>
      <c r="K654" s="112">
        <f>'Sampling Data'!J644</f>
        <v>1</v>
      </c>
      <c r="L654" s="111">
        <f>'Sampling Data'!X644</f>
        <v>0</v>
      </c>
      <c r="M654" s="114"/>
      <c r="N654" s="114"/>
      <c r="O654" s="115"/>
      <c r="P654" s="115"/>
      <c r="Q654" s="116"/>
      <c r="R654" s="116"/>
      <c r="S654" s="111">
        <f>Audit[[#This Row],[Audit Losing Candidate]]-Audit[[#This Row],[Losing Candidate]]</f>
        <v>-1</v>
      </c>
      <c r="T654" s="111">
        <f>Audit[[#This Row],[Audit Winning Candidate]]-Audit[[#This Row],[Winning Candidate]]</f>
        <v>0</v>
      </c>
      <c r="U654" s="111">
        <f>Audit[[#This Row],[Audit Candidate 3]]-Audit[[#This Row],[Candidate 3]]</f>
        <v>0</v>
      </c>
      <c r="V654" s="111">
        <f>Audit[[#This Row],[Audit Candidate 4]]-Audit[[#This Row],[Candidate 4]]</f>
        <v>0</v>
      </c>
      <c r="W654" s="111">
        <f>Audit[[#This Row],[Audit Candidate 5]]-Audit[[#This Row],[Candidate 5]]</f>
        <v>0</v>
      </c>
      <c r="X654" s="111">
        <f>Audit[[#This Row],[Audit Candidate 6]]-Audit[[#This Row],[Candidate 6]]</f>
        <v>0</v>
      </c>
      <c r="Y654" s="111">
        <f>SUMIF(Audit[[#This Row],[Difference Loser]:[Difference Candidate 6]], "&gt;0")</f>
        <v>0</v>
      </c>
      <c r="Z654" s="111">
        <f>SUM(Audit[[#This Row],[Difference Loser]:[Difference Candidate 6]])</f>
        <v>-1</v>
      </c>
      <c r="AA654" s="111">
        <f>IF(Audit[[#This Row],[Times p Drawn - With Replacement]]&gt;0, IF(Audit[[#This Row],[Canceled Differences]]&lt;0, Audit[[#This Row],[Max Differences]]+ABS(Audit[[#This Row],[Canceled Differences]]), Audit[[#This Row],[Max Differences]]), 0)</f>
        <v>0</v>
      </c>
      <c r="AB654" s="111">
        <f>'Sampling Data'!P644</f>
        <v>3.2261186566441917E-5</v>
      </c>
      <c r="AC654" s="111">
        <f>IF(
      SUM(Audit[[#This Row],[Audit Losing Candidate]:[Audit Candidate 6]])
      &lt;&gt;0,
      (Audit[[#This Row],[Winning Candidate]]-Audit[[#This Row],[Losing Candidate]]-(Audit[[#This Row],[Audit Winning Candidate]]-Audit[[#This Row],[Audit Losing Candidate]]))/(Audit[[#Totals],[Winning Candidate]]-Audit[[#Totals],[Losing Candidate]]),
      0
)</f>
        <v>0</v>
      </c>
      <c r="AD6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4" s="111">
        <f>IF(Audit[[#This Row],[Max Relative Error (ep)]] = 0, 0, Audit[[#This Row],[Max Relative Error (ep)]]/Audit[[#This Row],[Error Bound (up) - Max. possible relative overstatement]])</f>
        <v>0</v>
      </c>
      <c r="AJ6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54" s="111">
        <f t="shared" si="10"/>
        <v>1</v>
      </c>
      <c r="AL654" s="111">
        <f>PRODUCT($AK$5:AK654)</f>
        <v>8.962823818226312E-2</v>
      </c>
      <c r="AM654" s="109">
        <f>1 - [K-M P Value]</f>
        <v>0.91037176181773694</v>
      </c>
      <c r="AN654" s="111" t="str">
        <f>IF(Audit[[#This Row],[K-M P Value]]&gt;1-'General Info'!$B$16,"Continue", "Stop")</f>
        <v>Stop</v>
      </c>
      <c r="AO654" s="110" t="b">
        <f>IF(Audit[[#This Row],[Status - Continue or stop audit]] = "Continue", TRUE, IF(AN653 = "Continue", TRUE, FALSE))</f>
        <v>0</v>
      </c>
      <c r="AP654" s="110"/>
    </row>
    <row r="655" spans="1:42" ht="15" hidden="1" customHeight="1">
      <c r="A655" s="111" t="str">
        <f>'Sampling Data'!W645</f>
        <v/>
      </c>
      <c r="B655" s="112" t="str">
        <f>'Sampling Data'!A645</f>
        <v>CLEVELAND -11-A</v>
      </c>
      <c r="C655" s="112">
        <f>'Sampling Data'!B645</f>
        <v>17</v>
      </c>
      <c r="D655" s="112">
        <f>'Sampling Data'!C645</f>
        <v>21</v>
      </c>
      <c r="E655" s="113">
        <f>'Sampling Data'!D645</f>
        <v>3</v>
      </c>
      <c r="F655" s="113">
        <f>'Sampling Data'!E645</f>
        <v>10</v>
      </c>
      <c r="G655" s="113">
        <f>'Sampling Data'!F645</f>
        <v>0</v>
      </c>
      <c r="H655" s="113">
        <f>'Sampling Data'!G645</f>
        <v>0</v>
      </c>
      <c r="I655" s="112">
        <f>'Sampling Data'!H645</f>
        <v>0</v>
      </c>
      <c r="J655" s="112">
        <f>'Sampling Data'!I645</f>
        <v>2</v>
      </c>
      <c r="K655" s="112">
        <f>'Sampling Data'!J645</f>
        <v>53</v>
      </c>
      <c r="L655" s="111">
        <f>'Sampling Data'!X645</f>
        <v>0</v>
      </c>
      <c r="M655" s="114"/>
      <c r="N655" s="114"/>
      <c r="O655" s="115"/>
      <c r="P655" s="115"/>
      <c r="Q655" s="116"/>
      <c r="R655" s="116"/>
      <c r="S655" s="111">
        <f>Audit[[#This Row],[Audit Losing Candidate]]-Audit[[#This Row],[Losing Candidate]]</f>
        <v>-17</v>
      </c>
      <c r="T655" s="111">
        <f>Audit[[#This Row],[Audit Winning Candidate]]-Audit[[#This Row],[Winning Candidate]]</f>
        <v>-21</v>
      </c>
      <c r="U655" s="111">
        <f>Audit[[#This Row],[Audit Candidate 3]]-Audit[[#This Row],[Candidate 3]]</f>
        <v>-3</v>
      </c>
      <c r="V655" s="111">
        <f>Audit[[#This Row],[Audit Candidate 4]]-Audit[[#This Row],[Candidate 4]]</f>
        <v>-10</v>
      </c>
      <c r="W655" s="111">
        <f>Audit[[#This Row],[Audit Candidate 5]]-Audit[[#This Row],[Candidate 5]]</f>
        <v>0</v>
      </c>
      <c r="X655" s="111">
        <f>Audit[[#This Row],[Audit Candidate 6]]-Audit[[#This Row],[Candidate 6]]</f>
        <v>0</v>
      </c>
      <c r="Y655" s="111">
        <f>SUMIF(Audit[[#This Row],[Difference Loser]:[Difference Candidate 6]], "&gt;0")</f>
        <v>0</v>
      </c>
      <c r="Z655" s="111">
        <f>SUM(Audit[[#This Row],[Difference Loser]:[Difference Candidate 6]])</f>
        <v>-51</v>
      </c>
      <c r="AA655" s="111">
        <f>IF(Audit[[#This Row],[Times p Drawn - With Replacement]]&gt;0, IF(Audit[[#This Row],[Canceled Differences]]&lt;0, Audit[[#This Row],[Max Differences]]+ABS(Audit[[#This Row],[Canceled Differences]]), Audit[[#This Row],[Max Differences]]), 0)</f>
        <v>0</v>
      </c>
      <c r="AB655" s="111">
        <f>'Sampling Data'!P645</f>
        <v>3.4909358157765801E-3</v>
      </c>
      <c r="AC655" s="111">
        <f>IF(
      SUM(Audit[[#This Row],[Audit Losing Candidate]:[Audit Candidate 6]])
      &lt;&gt;0,
      (Audit[[#This Row],[Winning Candidate]]-Audit[[#This Row],[Losing Candidate]]-(Audit[[#This Row],[Audit Winning Candidate]]-Audit[[#This Row],[Audit Losing Candidate]]))/(Audit[[#Totals],[Winning Candidate]]-Audit[[#Totals],[Losing Candidate]]),
      0
)</f>
        <v>0</v>
      </c>
      <c r="AD6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5" s="111">
        <f>IF(Audit[[#This Row],[Max Relative Error (ep)]] = 0, 0, Audit[[#This Row],[Max Relative Error (ep)]]/Audit[[#This Row],[Error Bound (up) - Max. possible relative overstatement]])</f>
        <v>0</v>
      </c>
      <c r="AJ6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55" s="111">
        <f t="shared" si="10"/>
        <v>1</v>
      </c>
      <c r="AL655" s="111">
        <f>PRODUCT($AK$5:AK655)</f>
        <v>8.962823818226312E-2</v>
      </c>
      <c r="AM655" s="109">
        <f>1 - [K-M P Value]</f>
        <v>0.91037176181773694</v>
      </c>
      <c r="AN655" s="111" t="str">
        <f>IF(Audit[[#This Row],[K-M P Value]]&gt;1-'General Info'!$B$16,"Continue", "Stop")</f>
        <v>Stop</v>
      </c>
      <c r="AO655" s="110" t="b">
        <f>IF(Audit[[#This Row],[Status - Continue or stop audit]] = "Continue", TRUE, IF(AN654 = "Continue", TRUE, FALSE))</f>
        <v>0</v>
      </c>
      <c r="AP655" s="110"/>
    </row>
    <row r="656" spans="1:42" ht="15" hidden="1" customHeight="1">
      <c r="A656" s="111" t="str">
        <f>'Sampling Data'!W646</f>
        <v/>
      </c>
      <c r="B656" s="112" t="str">
        <f>'Sampling Data'!A646</f>
        <v>CLEVELAND -11-A - ABS</v>
      </c>
      <c r="C656" s="112">
        <f>'Sampling Data'!B646</f>
        <v>9</v>
      </c>
      <c r="D656" s="112">
        <f>'Sampling Data'!C646</f>
        <v>5</v>
      </c>
      <c r="E656" s="113">
        <f>'Sampling Data'!D646</f>
        <v>6</v>
      </c>
      <c r="F656" s="113">
        <f>'Sampling Data'!E646</f>
        <v>2</v>
      </c>
      <c r="G656" s="113">
        <f>'Sampling Data'!F646</f>
        <v>0</v>
      </c>
      <c r="H656" s="113">
        <f>'Sampling Data'!G646</f>
        <v>0</v>
      </c>
      <c r="I656" s="112">
        <f>'Sampling Data'!H646</f>
        <v>0</v>
      </c>
      <c r="J656" s="112">
        <f>'Sampling Data'!I646</f>
        <v>0</v>
      </c>
      <c r="K656" s="112">
        <f>'Sampling Data'!J646</f>
        <v>22</v>
      </c>
      <c r="L656" s="111">
        <f>'Sampling Data'!X646</f>
        <v>0</v>
      </c>
      <c r="M656" s="114"/>
      <c r="N656" s="114"/>
      <c r="O656" s="115"/>
      <c r="P656" s="115"/>
      <c r="Q656" s="116"/>
      <c r="R656" s="116"/>
      <c r="S656" s="111">
        <f>Audit[[#This Row],[Audit Losing Candidate]]-Audit[[#This Row],[Losing Candidate]]</f>
        <v>-9</v>
      </c>
      <c r="T656" s="111">
        <f>Audit[[#This Row],[Audit Winning Candidate]]-Audit[[#This Row],[Winning Candidate]]</f>
        <v>-5</v>
      </c>
      <c r="U656" s="111">
        <f>Audit[[#This Row],[Audit Candidate 3]]-Audit[[#This Row],[Candidate 3]]</f>
        <v>-6</v>
      </c>
      <c r="V656" s="111">
        <f>Audit[[#This Row],[Audit Candidate 4]]-Audit[[#This Row],[Candidate 4]]</f>
        <v>-2</v>
      </c>
      <c r="W656" s="111">
        <f>Audit[[#This Row],[Audit Candidate 5]]-Audit[[#This Row],[Candidate 5]]</f>
        <v>0</v>
      </c>
      <c r="X656" s="111">
        <f>Audit[[#This Row],[Audit Candidate 6]]-Audit[[#This Row],[Candidate 6]]</f>
        <v>0</v>
      </c>
      <c r="Y656" s="111">
        <f>SUMIF(Audit[[#This Row],[Difference Loser]:[Difference Candidate 6]], "&gt;0")</f>
        <v>0</v>
      </c>
      <c r="Z656" s="111">
        <f>SUM(Audit[[#This Row],[Difference Loser]:[Difference Candidate 6]])</f>
        <v>-22</v>
      </c>
      <c r="AA656" s="111">
        <f>IF(Audit[[#This Row],[Times p Drawn - With Replacement]]&gt;0, IF(Audit[[#This Row],[Canceled Differences]]&lt;0, Audit[[#This Row],[Max Differences]]+ABS(Audit[[#This Row],[Canceled Differences]]), Audit[[#This Row],[Max Differences]]), 0)</f>
        <v>0</v>
      </c>
      <c r="AB656" s="111">
        <f>'Sampling Data'!P646</f>
        <v>1.1024007839294464E-3</v>
      </c>
      <c r="AC656" s="111">
        <f>IF(
      SUM(Audit[[#This Row],[Audit Losing Candidate]:[Audit Candidate 6]])
      &lt;&gt;0,
      (Audit[[#This Row],[Winning Candidate]]-Audit[[#This Row],[Losing Candidate]]-(Audit[[#This Row],[Audit Winning Candidate]]-Audit[[#This Row],[Audit Losing Candidate]]))/(Audit[[#Totals],[Winning Candidate]]-Audit[[#Totals],[Losing Candidate]]),
      0
)</f>
        <v>0</v>
      </c>
      <c r="AD6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6" s="111">
        <f>IF(Audit[[#This Row],[Max Relative Error (ep)]] = 0, 0, Audit[[#This Row],[Max Relative Error (ep)]]/Audit[[#This Row],[Error Bound (up) - Max. possible relative overstatement]])</f>
        <v>0</v>
      </c>
      <c r="AJ6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56" s="111">
        <f t="shared" si="10"/>
        <v>1</v>
      </c>
      <c r="AL656" s="111">
        <f>PRODUCT($AK$5:AK656)</f>
        <v>8.962823818226312E-2</v>
      </c>
      <c r="AM656" s="109">
        <f>1 - [K-M P Value]</f>
        <v>0.91037176181773694</v>
      </c>
      <c r="AN656" s="111" t="str">
        <f>IF(Audit[[#This Row],[K-M P Value]]&gt;1-'General Info'!$B$16,"Continue", "Stop")</f>
        <v>Stop</v>
      </c>
      <c r="AO656" s="110" t="b">
        <f>IF(Audit[[#This Row],[Status - Continue or stop audit]] = "Continue", TRUE, IF(AN655 = "Continue", TRUE, FALSE))</f>
        <v>0</v>
      </c>
      <c r="AP656" s="110"/>
    </row>
    <row r="657" spans="1:42" ht="15" hidden="1" customHeight="1">
      <c r="A657" s="111" t="str">
        <f>'Sampling Data'!W647</f>
        <v/>
      </c>
      <c r="B657" s="112" t="str">
        <f>'Sampling Data'!A647</f>
        <v>CLEVELAND -11-B</v>
      </c>
      <c r="C657" s="112">
        <f>'Sampling Data'!B647</f>
        <v>24</v>
      </c>
      <c r="D657" s="112">
        <f>'Sampling Data'!C647</f>
        <v>25</v>
      </c>
      <c r="E657" s="113">
        <f>'Sampling Data'!D647</f>
        <v>10</v>
      </c>
      <c r="F657" s="113">
        <f>'Sampling Data'!E647</f>
        <v>3</v>
      </c>
      <c r="G657" s="113">
        <f>'Sampling Data'!F647</f>
        <v>1</v>
      </c>
      <c r="H657" s="113">
        <f>'Sampling Data'!G647</f>
        <v>0</v>
      </c>
      <c r="I657" s="112">
        <f>'Sampling Data'!H647</f>
        <v>0</v>
      </c>
      <c r="J657" s="112">
        <f>'Sampling Data'!I647</f>
        <v>2</v>
      </c>
      <c r="K657" s="112">
        <f>'Sampling Data'!J647</f>
        <v>65</v>
      </c>
      <c r="L657" s="111">
        <f>'Sampling Data'!X647</f>
        <v>0</v>
      </c>
      <c r="M657" s="114"/>
      <c r="N657" s="114"/>
      <c r="O657" s="115"/>
      <c r="P657" s="115"/>
      <c r="Q657" s="116"/>
      <c r="R657" s="116"/>
      <c r="S657" s="111">
        <f>Audit[[#This Row],[Audit Losing Candidate]]-Audit[[#This Row],[Losing Candidate]]</f>
        <v>-24</v>
      </c>
      <c r="T657" s="111">
        <f>Audit[[#This Row],[Audit Winning Candidate]]-Audit[[#This Row],[Winning Candidate]]</f>
        <v>-25</v>
      </c>
      <c r="U657" s="111">
        <f>Audit[[#This Row],[Audit Candidate 3]]-Audit[[#This Row],[Candidate 3]]</f>
        <v>-10</v>
      </c>
      <c r="V657" s="111">
        <f>Audit[[#This Row],[Audit Candidate 4]]-Audit[[#This Row],[Candidate 4]]</f>
        <v>-3</v>
      </c>
      <c r="W657" s="111">
        <f>Audit[[#This Row],[Audit Candidate 5]]-Audit[[#This Row],[Candidate 5]]</f>
        <v>-1</v>
      </c>
      <c r="X657" s="111">
        <f>Audit[[#This Row],[Audit Candidate 6]]-Audit[[#This Row],[Candidate 6]]</f>
        <v>0</v>
      </c>
      <c r="Y657" s="111">
        <f>SUMIF(Audit[[#This Row],[Difference Loser]:[Difference Candidate 6]], "&gt;0")</f>
        <v>0</v>
      </c>
      <c r="Z657" s="111">
        <f>SUM(Audit[[#This Row],[Difference Loser]:[Difference Candidate 6]])</f>
        <v>-63</v>
      </c>
      <c r="AA657" s="111">
        <f>IF(Audit[[#This Row],[Times p Drawn - With Replacement]]&gt;0, IF(Audit[[#This Row],[Canceled Differences]]&lt;0, Audit[[#This Row],[Max Differences]]+ABS(Audit[[#This Row],[Canceled Differences]]), Audit[[#This Row],[Max Differences]]), 0)</f>
        <v>0</v>
      </c>
      <c r="AB657" s="111">
        <f>'Sampling Data'!P647</f>
        <v>4.0421362077413033E-3</v>
      </c>
      <c r="AC657" s="111">
        <f>IF(
      SUM(Audit[[#This Row],[Audit Losing Candidate]:[Audit Candidate 6]])
      &lt;&gt;0,
      (Audit[[#This Row],[Winning Candidate]]-Audit[[#This Row],[Losing Candidate]]-(Audit[[#This Row],[Audit Winning Candidate]]-Audit[[#This Row],[Audit Losing Candidate]]))/(Audit[[#Totals],[Winning Candidate]]-Audit[[#Totals],[Losing Candidate]]),
      0
)</f>
        <v>0</v>
      </c>
      <c r="AD6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7" s="111">
        <f>IF(Audit[[#This Row],[Max Relative Error (ep)]] = 0, 0, Audit[[#This Row],[Max Relative Error (ep)]]/Audit[[#This Row],[Error Bound (up) - Max. possible relative overstatement]])</f>
        <v>0</v>
      </c>
      <c r="AJ6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57" s="111">
        <f t="shared" si="10"/>
        <v>1</v>
      </c>
      <c r="AL657" s="111">
        <f>PRODUCT($AK$5:AK657)</f>
        <v>8.962823818226312E-2</v>
      </c>
      <c r="AM657" s="109">
        <f>1 - [K-M P Value]</f>
        <v>0.91037176181773694</v>
      </c>
      <c r="AN657" s="111" t="str">
        <f>IF(Audit[[#This Row],[K-M P Value]]&gt;1-'General Info'!$B$16,"Continue", "Stop")</f>
        <v>Stop</v>
      </c>
      <c r="AO657" s="110" t="b">
        <f>IF(Audit[[#This Row],[Status - Continue or stop audit]] = "Continue", TRUE, IF(AN656 = "Continue", TRUE, FALSE))</f>
        <v>0</v>
      </c>
      <c r="AP657" s="110"/>
    </row>
    <row r="658" spans="1:42" ht="15" hidden="1" customHeight="1">
      <c r="A658" s="111" t="str">
        <f>'Sampling Data'!W648</f>
        <v/>
      </c>
      <c r="B658" s="112" t="str">
        <f>'Sampling Data'!A648</f>
        <v>CLEVELAND -11-B - ABS</v>
      </c>
      <c r="C658" s="112">
        <f>'Sampling Data'!B648</f>
        <v>2</v>
      </c>
      <c r="D658" s="112">
        <f>'Sampling Data'!C648</f>
        <v>9</v>
      </c>
      <c r="E658" s="113">
        <f>'Sampling Data'!D648</f>
        <v>2</v>
      </c>
      <c r="F658" s="113">
        <f>'Sampling Data'!E648</f>
        <v>1</v>
      </c>
      <c r="G658" s="113">
        <f>'Sampling Data'!F648</f>
        <v>0</v>
      </c>
      <c r="H658" s="113">
        <f>'Sampling Data'!G648</f>
        <v>0</v>
      </c>
      <c r="I658" s="112">
        <f>'Sampling Data'!H648</f>
        <v>0</v>
      </c>
      <c r="J658" s="112">
        <f>'Sampling Data'!I648</f>
        <v>0</v>
      </c>
      <c r="K658" s="112">
        <f>'Sampling Data'!J648</f>
        <v>14</v>
      </c>
      <c r="L658" s="111">
        <f>'Sampling Data'!X648</f>
        <v>0</v>
      </c>
      <c r="M658" s="114"/>
      <c r="N658" s="114"/>
      <c r="O658" s="115"/>
      <c r="P658" s="115"/>
      <c r="Q658" s="116"/>
      <c r="R658" s="116"/>
      <c r="S658" s="111">
        <f>Audit[[#This Row],[Audit Losing Candidate]]-Audit[[#This Row],[Losing Candidate]]</f>
        <v>-2</v>
      </c>
      <c r="T658" s="111">
        <f>Audit[[#This Row],[Audit Winning Candidate]]-Audit[[#This Row],[Winning Candidate]]</f>
        <v>-9</v>
      </c>
      <c r="U658" s="111">
        <f>Audit[[#This Row],[Audit Candidate 3]]-Audit[[#This Row],[Candidate 3]]</f>
        <v>-2</v>
      </c>
      <c r="V658" s="111">
        <f>Audit[[#This Row],[Audit Candidate 4]]-Audit[[#This Row],[Candidate 4]]</f>
        <v>-1</v>
      </c>
      <c r="W658" s="111">
        <f>Audit[[#This Row],[Audit Candidate 5]]-Audit[[#This Row],[Candidate 5]]</f>
        <v>0</v>
      </c>
      <c r="X658" s="111">
        <f>Audit[[#This Row],[Audit Candidate 6]]-Audit[[#This Row],[Candidate 6]]</f>
        <v>0</v>
      </c>
      <c r="Y658" s="111">
        <f>SUMIF(Audit[[#This Row],[Difference Loser]:[Difference Candidate 6]], "&gt;0")</f>
        <v>0</v>
      </c>
      <c r="Z658" s="111">
        <f>SUM(Audit[[#This Row],[Difference Loser]:[Difference Candidate 6]])</f>
        <v>-14</v>
      </c>
      <c r="AA658" s="111">
        <f>IF(Audit[[#This Row],[Times p Drawn - With Replacement]]&gt;0, IF(Audit[[#This Row],[Canceled Differences]]&lt;0, Audit[[#This Row],[Max Differences]]+ABS(Audit[[#This Row],[Canceled Differences]]), Audit[[#This Row],[Max Differences]]), 0)</f>
        <v>0</v>
      </c>
      <c r="AB658" s="111">
        <f>'Sampling Data'!P648</f>
        <v>1.2861342479176874E-3</v>
      </c>
      <c r="AC658" s="111">
        <f>IF(
      SUM(Audit[[#This Row],[Audit Losing Candidate]:[Audit Candidate 6]])
      &lt;&gt;0,
      (Audit[[#This Row],[Winning Candidate]]-Audit[[#This Row],[Losing Candidate]]-(Audit[[#This Row],[Audit Winning Candidate]]-Audit[[#This Row],[Audit Losing Candidate]]))/(Audit[[#Totals],[Winning Candidate]]-Audit[[#Totals],[Losing Candidate]]),
      0
)</f>
        <v>0</v>
      </c>
      <c r="AD6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8" s="111">
        <f>IF(Audit[[#This Row],[Max Relative Error (ep)]] = 0, 0, Audit[[#This Row],[Max Relative Error (ep)]]/Audit[[#This Row],[Error Bound (up) - Max. possible relative overstatement]])</f>
        <v>0</v>
      </c>
      <c r="AJ6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58" s="111">
        <f t="shared" si="10"/>
        <v>1</v>
      </c>
      <c r="AL658" s="111">
        <f>PRODUCT($AK$5:AK658)</f>
        <v>8.962823818226312E-2</v>
      </c>
      <c r="AM658" s="109">
        <f>1 - [K-M P Value]</f>
        <v>0.91037176181773694</v>
      </c>
      <c r="AN658" s="111" t="str">
        <f>IF(Audit[[#This Row],[K-M P Value]]&gt;1-'General Info'!$B$16,"Continue", "Stop")</f>
        <v>Stop</v>
      </c>
      <c r="AO658" s="110" t="b">
        <f>IF(Audit[[#This Row],[Status - Continue or stop audit]] = "Continue", TRUE, IF(AN657 = "Continue", TRUE, FALSE))</f>
        <v>0</v>
      </c>
      <c r="AP658" s="110"/>
    </row>
    <row r="659" spans="1:42" ht="15" hidden="1" customHeight="1">
      <c r="A659" s="111" t="str">
        <f>'Sampling Data'!W649</f>
        <v/>
      </c>
      <c r="B659" s="112" t="str">
        <f>'Sampling Data'!A649</f>
        <v>CLEVELAND -11-C</v>
      </c>
      <c r="C659" s="112">
        <f>'Sampling Data'!B649</f>
        <v>6</v>
      </c>
      <c r="D659" s="112">
        <f>'Sampling Data'!C649</f>
        <v>7</v>
      </c>
      <c r="E659" s="113">
        <f>'Sampling Data'!D649</f>
        <v>3</v>
      </c>
      <c r="F659" s="113">
        <f>'Sampling Data'!E649</f>
        <v>6</v>
      </c>
      <c r="G659" s="113">
        <f>'Sampling Data'!F649</f>
        <v>0</v>
      </c>
      <c r="H659" s="113">
        <f>'Sampling Data'!G649</f>
        <v>0</v>
      </c>
      <c r="I659" s="112">
        <f>'Sampling Data'!H649</f>
        <v>0</v>
      </c>
      <c r="J659" s="112">
        <f>'Sampling Data'!I649</f>
        <v>1</v>
      </c>
      <c r="K659" s="112">
        <f>'Sampling Data'!J649</f>
        <v>23</v>
      </c>
      <c r="L659" s="111">
        <f>'Sampling Data'!X649</f>
        <v>0</v>
      </c>
      <c r="M659" s="114"/>
      <c r="N659" s="114"/>
      <c r="O659" s="115"/>
      <c r="P659" s="115"/>
      <c r="Q659" s="116"/>
      <c r="R659" s="116"/>
      <c r="S659" s="111">
        <f>Audit[[#This Row],[Audit Losing Candidate]]-Audit[[#This Row],[Losing Candidate]]</f>
        <v>-6</v>
      </c>
      <c r="T659" s="111">
        <f>Audit[[#This Row],[Audit Winning Candidate]]-Audit[[#This Row],[Winning Candidate]]</f>
        <v>-7</v>
      </c>
      <c r="U659" s="111">
        <f>Audit[[#This Row],[Audit Candidate 3]]-Audit[[#This Row],[Candidate 3]]</f>
        <v>-3</v>
      </c>
      <c r="V659" s="111">
        <f>Audit[[#This Row],[Audit Candidate 4]]-Audit[[#This Row],[Candidate 4]]</f>
        <v>-6</v>
      </c>
      <c r="W659" s="111">
        <f>Audit[[#This Row],[Audit Candidate 5]]-Audit[[#This Row],[Candidate 5]]</f>
        <v>0</v>
      </c>
      <c r="X659" s="111">
        <f>Audit[[#This Row],[Audit Candidate 6]]-Audit[[#This Row],[Candidate 6]]</f>
        <v>0</v>
      </c>
      <c r="Y659" s="111">
        <f>SUMIF(Audit[[#This Row],[Difference Loser]:[Difference Candidate 6]], "&gt;0")</f>
        <v>0</v>
      </c>
      <c r="Z659" s="111">
        <f>SUM(Audit[[#This Row],[Difference Loser]:[Difference Candidate 6]])</f>
        <v>-22</v>
      </c>
      <c r="AA659" s="111">
        <f>IF(Audit[[#This Row],[Times p Drawn - With Replacement]]&gt;0, IF(Audit[[#This Row],[Canceled Differences]]&lt;0, Audit[[#This Row],[Max Differences]]+ABS(Audit[[#This Row],[Canceled Differences]]), Audit[[#This Row],[Max Differences]]), 0)</f>
        <v>0</v>
      </c>
      <c r="AB659" s="111">
        <f>'Sampling Data'!P649</f>
        <v>1.4698677119059284E-3</v>
      </c>
      <c r="AC659" s="111">
        <f>IF(
      SUM(Audit[[#This Row],[Audit Losing Candidate]:[Audit Candidate 6]])
      &lt;&gt;0,
      (Audit[[#This Row],[Winning Candidate]]-Audit[[#This Row],[Losing Candidate]]-(Audit[[#This Row],[Audit Winning Candidate]]-Audit[[#This Row],[Audit Losing Candidate]]))/(Audit[[#Totals],[Winning Candidate]]-Audit[[#Totals],[Losing Candidate]]),
      0
)</f>
        <v>0</v>
      </c>
      <c r="AD6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9" s="111">
        <f>IF(Audit[[#This Row],[Max Relative Error (ep)]] = 0, 0, Audit[[#This Row],[Max Relative Error (ep)]]/Audit[[#This Row],[Error Bound (up) - Max. possible relative overstatement]])</f>
        <v>0</v>
      </c>
      <c r="AJ6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59" s="111">
        <f t="shared" si="10"/>
        <v>1</v>
      </c>
      <c r="AL659" s="111">
        <f>PRODUCT($AK$5:AK659)</f>
        <v>8.962823818226312E-2</v>
      </c>
      <c r="AM659" s="109">
        <f>1 - [K-M P Value]</f>
        <v>0.91037176181773694</v>
      </c>
      <c r="AN659" s="111" t="str">
        <f>IF(Audit[[#This Row],[K-M P Value]]&gt;1-'General Info'!$B$16,"Continue", "Stop")</f>
        <v>Stop</v>
      </c>
      <c r="AO659" s="110" t="b">
        <f>IF(Audit[[#This Row],[Status - Continue or stop audit]] = "Continue", TRUE, IF(AN658 = "Continue", TRUE, FALSE))</f>
        <v>0</v>
      </c>
      <c r="AP659" s="110"/>
    </row>
    <row r="660" spans="1:42" ht="15" hidden="1" customHeight="1">
      <c r="A660" s="111" t="str">
        <f>'Sampling Data'!W650</f>
        <v/>
      </c>
      <c r="B660" s="112" t="str">
        <f>'Sampling Data'!A650</f>
        <v>CLEVELAND -11-C - ABS</v>
      </c>
      <c r="C660" s="112">
        <f>'Sampling Data'!B650</f>
        <v>3</v>
      </c>
      <c r="D660" s="112">
        <f>'Sampling Data'!C650</f>
        <v>9</v>
      </c>
      <c r="E660" s="113">
        <f>'Sampling Data'!D650</f>
        <v>2</v>
      </c>
      <c r="F660" s="113">
        <f>'Sampling Data'!E650</f>
        <v>1</v>
      </c>
      <c r="G660" s="113">
        <f>'Sampling Data'!F650</f>
        <v>0</v>
      </c>
      <c r="H660" s="113">
        <f>'Sampling Data'!G650</f>
        <v>0</v>
      </c>
      <c r="I660" s="112">
        <f>'Sampling Data'!H650</f>
        <v>0</v>
      </c>
      <c r="J660" s="112">
        <f>'Sampling Data'!I650</f>
        <v>0</v>
      </c>
      <c r="K660" s="112">
        <f>'Sampling Data'!J650</f>
        <v>15</v>
      </c>
      <c r="L660" s="111">
        <f>'Sampling Data'!X650</f>
        <v>0</v>
      </c>
      <c r="M660" s="114"/>
      <c r="N660" s="114"/>
      <c r="O660" s="115"/>
      <c r="P660" s="115"/>
      <c r="Q660" s="116"/>
      <c r="R660" s="116"/>
      <c r="S660" s="111">
        <f>Audit[[#This Row],[Audit Losing Candidate]]-Audit[[#This Row],[Losing Candidate]]</f>
        <v>-3</v>
      </c>
      <c r="T660" s="111">
        <f>Audit[[#This Row],[Audit Winning Candidate]]-Audit[[#This Row],[Winning Candidate]]</f>
        <v>-9</v>
      </c>
      <c r="U660" s="111">
        <f>Audit[[#This Row],[Audit Candidate 3]]-Audit[[#This Row],[Candidate 3]]</f>
        <v>-2</v>
      </c>
      <c r="V660" s="111">
        <f>Audit[[#This Row],[Audit Candidate 4]]-Audit[[#This Row],[Candidate 4]]</f>
        <v>-1</v>
      </c>
      <c r="W660" s="111">
        <f>Audit[[#This Row],[Audit Candidate 5]]-Audit[[#This Row],[Candidate 5]]</f>
        <v>0</v>
      </c>
      <c r="X660" s="111">
        <f>Audit[[#This Row],[Audit Candidate 6]]-Audit[[#This Row],[Candidate 6]]</f>
        <v>0</v>
      </c>
      <c r="Y660" s="111">
        <f>SUMIF(Audit[[#This Row],[Difference Loser]:[Difference Candidate 6]], "&gt;0")</f>
        <v>0</v>
      </c>
      <c r="Z660" s="111">
        <f>SUM(Audit[[#This Row],[Difference Loser]:[Difference Candidate 6]])</f>
        <v>-15</v>
      </c>
      <c r="AA660" s="111">
        <f>IF(Audit[[#This Row],[Times p Drawn - With Replacement]]&gt;0, IF(Audit[[#This Row],[Canceled Differences]]&lt;0, Audit[[#This Row],[Max Differences]]+ABS(Audit[[#This Row],[Canceled Differences]]), Audit[[#This Row],[Max Differences]]), 0)</f>
        <v>0</v>
      </c>
      <c r="AB660" s="111">
        <f>'Sampling Data'!P650</f>
        <v>1.2861342479176874E-3</v>
      </c>
      <c r="AC660" s="111">
        <f>IF(
      SUM(Audit[[#This Row],[Audit Losing Candidate]:[Audit Candidate 6]])
      &lt;&gt;0,
      (Audit[[#This Row],[Winning Candidate]]-Audit[[#This Row],[Losing Candidate]]-(Audit[[#This Row],[Audit Winning Candidate]]-Audit[[#This Row],[Audit Losing Candidate]]))/(Audit[[#Totals],[Winning Candidate]]-Audit[[#Totals],[Losing Candidate]]),
      0
)</f>
        <v>0</v>
      </c>
      <c r="AD6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0" s="111">
        <f>IF(Audit[[#This Row],[Max Relative Error (ep)]] = 0, 0, Audit[[#This Row],[Max Relative Error (ep)]]/Audit[[#This Row],[Error Bound (up) - Max. possible relative overstatement]])</f>
        <v>0</v>
      </c>
      <c r="AJ6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60" s="111">
        <f t="shared" si="10"/>
        <v>1</v>
      </c>
      <c r="AL660" s="111">
        <f>PRODUCT($AK$5:AK660)</f>
        <v>8.962823818226312E-2</v>
      </c>
      <c r="AM660" s="109">
        <f>1 - [K-M P Value]</f>
        <v>0.91037176181773694</v>
      </c>
      <c r="AN660" s="111" t="str">
        <f>IF(Audit[[#This Row],[K-M P Value]]&gt;1-'General Info'!$B$16,"Continue", "Stop")</f>
        <v>Stop</v>
      </c>
      <c r="AO660" s="110" t="b">
        <f>IF(Audit[[#This Row],[Status - Continue or stop audit]] = "Continue", TRUE, IF(AN659 = "Continue", TRUE, FALSE))</f>
        <v>0</v>
      </c>
      <c r="AP660" s="110"/>
    </row>
    <row r="661" spans="1:42" ht="15" hidden="1" customHeight="1">
      <c r="A661" s="111" t="str">
        <f>'Sampling Data'!W651</f>
        <v/>
      </c>
      <c r="B661" s="112" t="str">
        <f>'Sampling Data'!A651</f>
        <v>CLEVELAND -11-D</v>
      </c>
      <c r="C661" s="112">
        <f>'Sampling Data'!B651</f>
        <v>2</v>
      </c>
      <c r="D661" s="112">
        <f>'Sampling Data'!C651</f>
        <v>0</v>
      </c>
      <c r="E661" s="113">
        <f>'Sampling Data'!D651</f>
        <v>1</v>
      </c>
      <c r="F661" s="113">
        <f>'Sampling Data'!E651</f>
        <v>1</v>
      </c>
      <c r="G661" s="113">
        <f>'Sampling Data'!F651</f>
        <v>0</v>
      </c>
      <c r="H661" s="113">
        <f>'Sampling Data'!G651</f>
        <v>0</v>
      </c>
      <c r="I661" s="112">
        <f>'Sampling Data'!H651</f>
        <v>0</v>
      </c>
      <c r="J661" s="112">
        <f>'Sampling Data'!I651</f>
        <v>0</v>
      </c>
      <c r="K661" s="112">
        <f>'Sampling Data'!J651</f>
        <v>4</v>
      </c>
      <c r="L661" s="111">
        <f>'Sampling Data'!X651</f>
        <v>0</v>
      </c>
      <c r="M661" s="114"/>
      <c r="N661" s="114"/>
      <c r="O661" s="115"/>
      <c r="P661" s="115"/>
      <c r="Q661" s="116"/>
      <c r="R661" s="116"/>
      <c r="S661" s="111">
        <f>Audit[[#This Row],[Audit Losing Candidate]]-Audit[[#This Row],[Losing Candidate]]</f>
        <v>-2</v>
      </c>
      <c r="T661" s="111">
        <f>Audit[[#This Row],[Audit Winning Candidate]]-Audit[[#This Row],[Winning Candidate]]</f>
        <v>0</v>
      </c>
      <c r="U661" s="111">
        <f>Audit[[#This Row],[Audit Candidate 3]]-Audit[[#This Row],[Candidate 3]]</f>
        <v>-1</v>
      </c>
      <c r="V661" s="111">
        <f>Audit[[#This Row],[Audit Candidate 4]]-Audit[[#This Row],[Candidate 4]]</f>
        <v>-1</v>
      </c>
      <c r="W661" s="111">
        <f>Audit[[#This Row],[Audit Candidate 5]]-Audit[[#This Row],[Candidate 5]]</f>
        <v>0</v>
      </c>
      <c r="X661" s="111">
        <f>Audit[[#This Row],[Audit Candidate 6]]-Audit[[#This Row],[Candidate 6]]</f>
        <v>0</v>
      </c>
      <c r="Y661" s="111">
        <f>SUMIF(Audit[[#This Row],[Difference Loser]:[Difference Candidate 6]], "&gt;0")</f>
        <v>0</v>
      </c>
      <c r="Z661" s="111">
        <f>SUM(Audit[[#This Row],[Difference Loser]:[Difference Candidate 6]])</f>
        <v>-4</v>
      </c>
      <c r="AA661" s="111">
        <f>IF(Audit[[#This Row],[Times p Drawn - With Replacement]]&gt;0, IF(Audit[[#This Row],[Canceled Differences]]&lt;0, Audit[[#This Row],[Max Differences]]+ABS(Audit[[#This Row],[Canceled Differences]]), Audit[[#This Row],[Max Differences]]), 0)</f>
        <v>0</v>
      </c>
      <c r="AB661" s="111">
        <f>'Sampling Data'!P651</f>
        <v>1.224889759921607E-4</v>
      </c>
      <c r="AC661" s="111">
        <f>IF(
      SUM(Audit[[#This Row],[Audit Losing Candidate]:[Audit Candidate 6]])
      &lt;&gt;0,
      (Audit[[#This Row],[Winning Candidate]]-Audit[[#This Row],[Losing Candidate]]-(Audit[[#This Row],[Audit Winning Candidate]]-Audit[[#This Row],[Audit Losing Candidate]]))/(Audit[[#Totals],[Winning Candidate]]-Audit[[#Totals],[Losing Candidate]]),
      0
)</f>
        <v>0</v>
      </c>
      <c r="AD6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1" s="111">
        <f>IF(Audit[[#This Row],[Max Relative Error (ep)]] = 0, 0, Audit[[#This Row],[Max Relative Error (ep)]]/Audit[[#This Row],[Error Bound (up) - Max. possible relative overstatement]])</f>
        <v>0</v>
      </c>
      <c r="AJ6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61" s="111">
        <f t="shared" si="10"/>
        <v>1</v>
      </c>
      <c r="AL661" s="111">
        <f>PRODUCT($AK$5:AK661)</f>
        <v>8.962823818226312E-2</v>
      </c>
      <c r="AM661" s="109">
        <f>1 - [K-M P Value]</f>
        <v>0.91037176181773694</v>
      </c>
      <c r="AN661" s="111" t="str">
        <f>IF(Audit[[#This Row],[K-M P Value]]&gt;1-'General Info'!$B$16,"Continue", "Stop")</f>
        <v>Stop</v>
      </c>
      <c r="AO661" s="110" t="b">
        <f>IF(Audit[[#This Row],[Status - Continue or stop audit]] = "Continue", TRUE, IF(AN660 = "Continue", TRUE, FALSE))</f>
        <v>0</v>
      </c>
      <c r="AP661" s="110"/>
    </row>
    <row r="662" spans="1:42" ht="15" hidden="1" customHeight="1">
      <c r="A662" s="111" t="str">
        <f>'Sampling Data'!W652</f>
        <v/>
      </c>
      <c r="B662" s="112" t="str">
        <f>'Sampling Data'!A652</f>
        <v>CLEVELAND -11-D - ABS</v>
      </c>
      <c r="C662" s="112">
        <f>'Sampling Data'!B652</f>
        <v>1</v>
      </c>
      <c r="D662" s="112">
        <f>'Sampling Data'!C652</f>
        <v>4</v>
      </c>
      <c r="E662" s="113">
        <f>'Sampling Data'!D652</f>
        <v>0</v>
      </c>
      <c r="F662" s="113">
        <f>'Sampling Data'!E652</f>
        <v>0</v>
      </c>
      <c r="G662" s="113">
        <f>'Sampling Data'!F652</f>
        <v>0</v>
      </c>
      <c r="H662" s="113">
        <f>'Sampling Data'!G652</f>
        <v>0</v>
      </c>
      <c r="I662" s="112">
        <f>'Sampling Data'!H652</f>
        <v>0</v>
      </c>
      <c r="J662" s="112">
        <f>'Sampling Data'!I652</f>
        <v>0</v>
      </c>
      <c r="K662" s="112">
        <f>'Sampling Data'!J652</f>
        <v>5</v>
      </c>
      <c r="L662" s="111">
        <f>'Sampling Data'!X652</f>
        <v>0</v>
      </c>
      <c r="M662" s="114"/>
      <c r="N662" s="114"/>
      <c r="O662" s="115"/>
      <c r="P662" s="115"/>
      <c r="Q662" s="116"/>
      <c r="R662" s="116"/>
      <c r="S662" s="111">
        <f>Audit[[#This Row],[Audit Losing Candidate]]-Audit[[#This Row],[Losing Candidate]]</f>
        <v>-1</v>
      </c>
      <c r="T662" s="111">
        <f>Audit[[#This Row],[Audit Winning Candidate]]-Audit[[#This Row],[Winning Candidate]]</f>
        <v>-4</v>
      </c>
      <c r="U662" s="111">
        <f>Audit[[#This Row],[Audit Candidate 3]]-Audit[[#This Row],[Candidate 3]]</f>
        <v>0</v>
      </c>
      <c r="V662" s="111">
        <f>Audit[[#This Row],[Audit Candidate 4]]-Audit[[#This Row],[Candidate 4]]</f>
        <v>0</v>
      </c>
      <c r="W662" s="111">
        <f>Audit[[#This Row],[Audit Candidate 5]]-Audit[[#This Row],[Candidate 5]]</f>
        <v>0</v>
      </c>
      <c r="X662" s="111">
        <f>Audit[[#This Row],[Audit Candidate 6]]-Audit[[#This Row],[Candidate 6]]</f>
        <v>0</v>
      </c>
      <c r="Y662" s="111">
        <f>SUMIF(Audit[[#This Row],[Difference Loser]:[Difference Candidate 6]], "&gt;0")</f>
        <v>0</v>
      </c>
      <c r="Z662" s="111">
        <f>SUM(Audit[[#This Row],[Difference Loser]:[Difference Candidate 6]])</f>
        <v>-5</v>
      </c>
      <c r="AA662" s="111">
        <f>IF(Audit[[#This Row],[Times p Drawn - With Replacement]]&gt;0, IF(Audit[[#This Row],[Canceled Differences]]&lt;0, Audit[[#This Row],[Max Differences]]+ABS(Audit[[#This Row],[Canceled Differences]]), Audit[[#This Row],[Max Differences]]), 0)</f>
        <v>0</v>
      </c>
      <c r="AB662" s="111">
        <f>'Sampling Data'!P652</f>
        <v>4.8995590396864281E-4</v>
      </c>
      <c r="AC662" s="111">
        <f>IF(
      SUM(Audit[[#This Row],[Audit Losing Candidate]:[Audit Candidate 6]])
      &lt;&gt;0,
      (Audit[[#This Row],[Winning Candidate]]-Audit[[#This Row],[Losing Candidate]]-(Audit[[#This Row],[Audit Winning Candidate]]-Audit[[#This Row],[Audit Losing Candidate]]))/(Audit[[#Totals],[Winning Candidate]]-Audit[[#Totals],[Losing Candidate]]),
      0
)</f>
        <v>0</v>
      </c>
      <c r="AD6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2" s="111">
        <f>IF(Audit[[#This Row],[Max Relative Error (ep)]] = 0, 0, Audit[[#This Row],[Max Relative Error (ep)]]/Audit[[#This Row],[Error Bound (up) - Max. possible relative overstatement]])</f>
        <v>0</v>
      </c>
      <c r="AJ6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62" s="111">
        <f t="shared" si="10"/>
        <v>1</v>
      </c>
      <c r="AL662" s="111">
        <f>PRODUCT($AK$5:AK662)</f>
        <v>8.962823818226312E-2</v>
      </c>
      <c r="AM662" s="109">
        <f>1 - [K-M P Value]</f>
        <v>0.91037176181773694</v>
      </c>
      <c r="AN662" s="111" t="str">
        <f>IF(Audit[[#This Row],[K-M P Value]]&gt;1-'General Info'!$B$16,"Continue", "Stop")</f>
        <v>Stop</v>
      </c>
      <c r="AO662" s="110" t="b">
        <f>IF(Audit[[#This Row],[Status - Continue or stop audit]] = "Continue", TRUE, IF(AN661 = "Continue", TRUE, FALSE))</f>
        <v>0</v>
      </c>
      <c r="AP662" s="110"/>
    </row>
    <row r="663" spans="1:42" ht="15" hidden="1" customHeight="1">
      <c r="A663" s="111" t="str">
        <f>'Sampling Data'!W653</f>
        <v/>
      </c>
      <c r="B663" s="112" t="str">
        <f>'Sampling Data'!A653</f>
        <v>CLEVELAND -11-E</v>
      </c>
      <c r="C663" s="112">
        <f>'Sampling Data'!B653</f>
        <v>1</v>
      </c>
      <c r="D663" s="112">
        <f>'Sampling Data'!C653</f>
        <v>6</v>
      </c>
      <c r="E663" s="113">
        <f>'Sampling Data'!D653</f>
        <v>3</v>
      </c>
      <c r="F663" s="113">
        <f>'Sampling Data'!E653</f>
        <v>2</v>
      </c>
      <c r="G663" s="113">
        <f>'Sampling Data'!F653</f>
        <v>0</v>
      </c>
      <c r="H663" s="113">
        <f>'Sampling Data'!G653</f>
        <v>0</v>
      </c>
      <c r="I663" s="112">
        <f>'Sampling Data'!H653</f>
        <v>0</v>
      </c>
      <c r="J663" s="112">
        <f>'Sampling Data'!I653</f>
        <v>0</v>
      </c>
      <c r="K663" s="112">
        <f>'Sampling Data'!J653</f>
        <v>12</v>
      </c>
      <c r="L663" s="111">
        <f>'Sampling Data'!X653</f>
        <v>0</v>
      </c>
      <c r="M663" s="114"/>
      <c r="N663" s="114"/>
      <c r="O663" s="115"/>
      <c r="P663" s="115"/>
      <c r="Q663" s="116"/>
      <c r="R663" s="116"/>
      <c r="S663" s="111">
        <f>Audit[[#This Row],[Audit Losing Candidate]]-Audit[[#This Row],[Losing Candidate]]</f>
        <v>-1</v>
      </c>
      <c r="T663" s="111">
        <f>Audit[[#This Row],[Audit Winning Candidate]]-Audit[[#This Row],[Winning Candidate]]</f>
        <v>-6</v>
      </c>
      <c r="U663" s="111">
        <f>Audit[[#This Row],[Audit Candidate 3]]-Audit[[#This Row],[Candidate 3]]</f>
        <v>-3</v>
      </c>
      <c r="V663" s="111">
        <f>Audit[[#This Row],[Audit Candidate 4]]-Audit[[#This Row],[Candidate 4]]</f>
        <v>-2</v>
      </c>
      <c r="W663" s="111">
        <f>Audit[[#This Row],[Audit Candidate 5]]-Audit[[#This Row],[Candidate 5]]</f>
        <v>0</v>
      </c>
      <c r="X663" s="111">
        <f>Audit[[#This Row],[Audit Candidate 6]]-Audit[[#This Row],[Candidate 6]]</f>
        <v>0</v>
      </c>
      <c r="Y663" s="111">
        <f>SUMIF(Audit[[#This Row],[Difference Loser]:[Difference Candidate 6]], "&gt;0")</f>
        <v>0</v>
      </c>
      <c r="Z663" s="111">
        <f>SUM(Audit[[#This Row],[Difference Loser]:[Difference Candidate 6]])</f>
        <v>-12</v>
      </c>
      <c r="AA663" s="111">
        <f>IF(Audit[[#This Row],[Times p Drawn - With Replacement]]&gt;0, IF(Audit[[#This Row],[Canceled Differences]]&lt;0, Audit[[#This Row],[Max Differences]]+ABS(Audit[[#This Row],[Canceled Differences]]), Audit[[#This Row],[Max Differences]]), 0)</f>
        <v>0</v>
      </c>
      <c r="AB663" s="111">
        <f>'Sampling Data'!P653</f>
        <v>1.041156295933366E-3</v>
      </c>
      <c r="AC663" s="111">
        <f>IF(
      SUM(Audit[[#This Row],[Audit Losing Candidate]:[Audit Candidate 6]])
      &lt;&gt;0,
      (Audit[[#This Row],[Winning Candidate]]-Audit[[#This Row],[Losing Candidate]]-(Audit[[#This Row],[Audit Winning Candidate]]-Audit[[#This Row],[Audit Losing Candidate]]))/(Audit[[#Totals],[Winning Candidate]]-Audit[[#Totals],[Losing Candidate]]),
      0
)</f>
        <v>0</v>
      </c>
      <c r="AD6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3" s="111">
        <f>IF(Audit[[#This Row],[Max Relative Error (ep)]] = 0, 0, Audit[[#This Row],[Max Relative Error (ep)]]/Audit[[#This Row],[Error Bound (up) - Max. possible relative overstatement]])</f>
        <v>0</v>
      </c>
      <c r="AJ6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63" s="111">
        <f t="shared" si="10"/>
        <v>1</v>
      </c>
      <c r="AL663" s="111">
        <f>PRODUCT($AK$5:AK663)</f>
        <v>8.962823818226312E-2</v>
      </c>
      <c r="AM663" s="109">
        <f>1 - [K-M P Value]</f>
        <v>0.91037176181773694</v>
      </c>
      <c r="AN663" s="111" t="str">
        <f>IF(Audit[[#This Row],[K-M P Value]]&gt;1-'General Info'!$B$16,"Continue", "Stop")</f>
        <v>Stop</v>
      </c>
      <c r="AO663" s="110" t="b">
        <f>IF(Audit[[#This Row],[Status - Continue or stop audit]] = "Continue", TRUE, IF(AN662 = "Continue", TRUE, FALSE))</f>
        <v>0</v>
      </c>
      <c r="AP663" s="110"/>
    </row>
    <row r="664" spans="1:42" ht="15" hidden="1" customHeight="1">
      <c r="A664" s="111" t="str">
        <f>'Sampling Data'!W654</f>
        <v/>
      </c>
      <c r="B664" s="112" t="str">
        <f>'Sampling Data'!A654</f>
        <v>CLEVELAND -11-E - ABS</v>
      </c>
      <c r="C664" s="112">
        <f>'Sampling Data'!B654</f>
        <v>2</v>
      </c>
      <c r="D664" s="112">
        <f>'Sampling Data'!C654</f>
        <v>1</v>
      </c>
      <c r="E664" s="113">
        <f>'Sampling Data'!D654</f>
        <v>2</v>
      </c>
      <c r="F664" s="113">
        <f>'Sampling Data'!E654</f>
        <v>0</v>
      </c>
      <c r="G664" s="113">
        <f>'Sampling Data'!F654</f>
        <v>0</v>
      </c>
      <c r="H664" s="113">
        <f>'Sampling Data'!G654</f>
        <v>0</v>
      </c>
      <c r="I664" s="112">
        <f>'Sampling Data'!H654</f>
        <v>0</v>
      </c>
      <c r="J664" s="112">
        <f>'Sampling Data'!I654</f>
        <v>0</v>
      </c>
      <c r="K664" s="112">
        <f>'Sampling Data'!J654</f>
        <v>5</v>
      </c>
      <c r="L664" s="111">
        <f>'Sampling Data'!X654</f>
        <v>0</v>
      </c>
      <c r="M664" s="114"/>
      <c r="N664" s="114"/>
      <c r="O664" s="115"/>
      <c r="P664" s="115"/>
      <c r="Q664" s="116"/>
      <c r="R664" s="116"/>
      <c r="S664" s="111">
        <f>Audit[[#This Row],[Audit Losing Candidate]]-Audit[[#This Row],[Losing Candidate]]</f>
        <v>-2</v>
      </c>
      <c r="T664" s="111">
        <f>Audit[[#This Row],[Audit Winning Candidate]]-Audit[[#This Row],[Winning Candidate]]</f>
        <v>-1</v>
      </c>
      <c r="U664" s="111">
        <f>Audit[[#This Row],[Audit Candidate 3]]-Audit[[#This Row],[Candidate 3]]</f>
        <v>-2</v>
      </c>
      <c r="V664" s="111">
        <f>Audit[[#This Row],[Audit Candidate 4]]-Audit[[#This Row],[Candidate 4]]</f>
        <v>0</v>
      </c>
      <c r="W664" s="111">
        <f>Audit[[#This Row],[Audit Candidate 5]]-Audit[[#This Row],[Candidate 5]]</f>
        <v>0</v>
      </c>
      <c r="X664" s="111">
        <f>Audit[[#This Row],[Audit Candidate 6]]-Audit[[#This Row],[Candidate 6]]</f>
        <v>0</v>
      </c>
      <c r="Y664" s="111">
        <f>SUMIF(Audit[[#This Row],[Difference Loser]:[Difference Candidate 6]], "&gt;0")</f>
        <v>0</v>
      </c>
      <c r="Z664" s="111">
        <f>SUM(Audit[[#This Row],[Difference Loser]:[Difference Candidate 6]])</f>
        <v>-5</v>
      </c>
      <c r="AA664" s="111">
        <f>IF(Audit[[#This Row],[Times p Drawn - With Replacement]]&gt;0, IF(Audit[[#This Row],[Canceled Differences]]&lt;0, Audit[[#This Row],[Max Differences]]+ABS(Audit[[#This Row],[Canceled Differences]]), Audit[[#This Row],[Max Differences]]), 0)</f>
        <v>0</v>
      </c>
      <c r="AB664" s="111">
        <f>'Sampling Data'!P654</f>
        <v>2.4497795198432141E-4</v>
      </c>
      <c r="AC664" s="111">
        <f>IF(
      SUM(Audit[[#This Row],[Audit Losing Candidate]:[Audit Candidate 6]])
      &lt;&gt;0,
      (Audit[[#This Row],[Winning Candidate]]-Audit[[#This Row],[Losing Candidate]]-(Audit[[#This Row],[Audit Winning Candidate]]-Audit[[#This Row],[Audit Losing Candidate]]))/(Audit[[#Totals],[Winning Candidate]]-Audit[[#Totals],[Losing Candidate]]),
      0
)</f>
        <v>0</v>
      </c>
      <c r="AD6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4" s="111">
        <f>IF(Audit[[#This Row],[Max Relative Error (ep)]] = 0, 0, Audit[[#This Row],[Max Relative Error (ep)]]/Audit[[#This Row],[Error Bound (up) - Max. possible relative overstatement]])</f>
        <v>0</v>
      </c>
      <c r="AJ6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64" s="111">
        <f t="shared" si="10"/>
        <v>1</v>
      </c>
      <c r="AL664" s="111">
        <f>PRODUCT($AK$5:AK664)</f>
        <v>8.962823818226312E-2</v>
      </c>
      <c r="AM664" s="109">
        <f>1 - [K-M P Value]</f>
        <v>0.91037176181773694</v>
      </c>
      <c r="AN664" s="111" t="str">
        <f>IF(Audit[[#This Row],[K-M P Value]]&gt;1-'General Info'!$B$16,"Continue", "Stop")</f>
        <v>Stop</v>
      </c>
      <c r="AO664" s="110" t="b">
        <f>IF(Audit[[#This Row],[Status - Continue or stop audit]] = "Continue", TRUE, IF(AN663 = "Continue", TRUE, FALSE))</f>
        <v>0</v>
      </c>
      <c r="AP664" s="110"/>
    </row>
    <row r="665" spans="1:42" ht="15" hidden="1" customHeight="1">
      <c r="A665" s="111" t="str">
        <f>'Sampling Data'!W655</f>
        <v/>
      </c>
      <c r="B665" s="112" t="str">
        <f>'Sampling Data'!A655</f>
        <v>CLEVELAND -11-F</v>
      </c>
      <c r="C665" s="112">
        <f>'Sampling Data'!B655</f>
        <v>0</v>
      </c>
      <c r="D665" s="112">
        <f>'Sampling Data'!C655</f>
        <v>1</v>
      </c>
      <c r="E665" s="113">
        <f>'Sampling Data'!D655</f>
        <v>2</v>
      </c>
      <c r="F665" s="113">
        <f>'Sampling Data'!E655</f>
        <v>0</v>
      </c>
      <c r="G665" s="113">
        <f>'Sampling Data'!F655</f>
        <v>0</v>
      </c>
      <c r="H665" s="113">
        <f>'Sampling Data'!G655</f>
        <v>0</v>
      </c>
      <c r="I665" s="112">
        <f>'Sampling Data'!H655</f>
        <v>0</v>
      </c>
      <c r="J665" s="112">
        <f>'Sampling Data'!I655</f>
        <v>0</v>
      </c>
      <c r="K665" s="112">
        <f>'Sampling Data'!J655</f>
        <v>3</v>
      </c>
      <c r="L665" s="111">
        <f>'Sampling Data'!X655</f>
        <v>0</v>
      </c>
      <c r="M665" s="114"/>
      <c r="N665" s="114"/>
      <c r="O665" s="115"/>
      <c r="P665" s="115"/>
      <c r="Q665" s="116"/>
      <c r="R665" s="116"/>
      <c r="S665" s="111">
        <f>Audit[[#This Row],[Audit Losing Candidate]]-Audit[[#This Row],[Losing Candidate]]</f>
        <v>0</v>
      </c>
      <c r="T665" s="111">
        <f>Audit[[#This Row],[Audit Winning Candidate]]-Audit[[#This Row],[Winning Candidate]]</f>
        <v>-1</v>
      </c>
      <c r="U665" s="111">
        <f>Audit[[#This Row],[Audit Candidate 3]]-Audit[[#This Row],[Candidate 3]]</f>
        <v>-2</v>
      </c>
      <c r="V665" s="111">
        <f>Audit[[#This Row],[Audit Candidate 4]]-Audit[[#This Row],[Candidate 4]]</f>
        <v>0</v>
      </c>
      <c r="W665" s="111">
        <f>Audit[[#This Row],[Audit Candidate 5]]-Audit[[#This Row],[Candidate 5]]</f>
        <v>0</v>
      </c>
      <c r="X665" s="111">
        <f>Audit[[#This Row],[Audit Candidate 6]]-Audit[[#This Row],[Candidate 6]]</f>
        <v>0</v>
      </c>
      <c r="Y665" s="111">
        <f>SUMIF(Audit[[#This Row],[Difference Loser]:[Difference Candidate 6]], "&gt;0")</f>
        <v>0</v>
      </c>
      <c r="Z665" s="111">
        <f>SUM(Audit[[#This Row],[Difference Loser]:[Difference Candidate 6]])</f>
        <v>-3</v>
      </c>
      <c r="AA665" s="111">
        <f>IF(Audit[[#This Row],[Times p Drawn - With Replacement]]&gt;0, IF(Audit[[#This Row],[Canceled Differences]]&lt;0, Audit[[#This Row],[Max Differences]]+ABS(Audit[[#This Row],[Canceled Differences]]), Audit[[#This Row],[Max Differences]]), 0)</f>
        <v>0</v>
      </c>
      <c r="AB665" s="111">
        <f>'Sampling Data'!P655</f>
        <v>2.4497795198432141E-4</v>
      </c>
      <c r="AC665" s="111">
        <f>IF(
      SUM(Audit[[#This Row],[Audit Losing Candidate]:[Audit Candidate 6]])
      &lt;&gt;0,
      (Audit[[#This Row],[Winning Candidate]]-Audit[[#This Row],[Losing Candidate]]-(Audit[[#This Row],[Audit Winning Candidate]]-Audit[[#This Row],[Audit Losing Candidate]]))/(Audit[[#Totals],[Winning Candidate]]-Audit[[#Totals],[Losing Candidate]]),
      0
)</f>
        <v>0</v>
      </c>
      <c r="AD6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5" s="111">
        <f>IF(Audit[[#This Row],[Max Relative Error (ep)]] = 0, 0, Audit[[#This Row],[Max Relative Error (ep)]]/Audit[[#This Row],[Error Bound (up) - Max. possible relative overstatement]])</f>
        <v>0</v>
      </c>
      <c r="AJ6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65" s="111">
        <f t="shared" si="10"/>
        <v>1</v>
      </c>
      <c r="AL665" s="111">
        <f>PRODUCT($AK$5:AK665)</f>
        <v>8.962823818226312E-2</v>
      </c>
      <c r="AM665" s="109">
        <f>1 - [K-M P Value]</f>
        <v>0.91037176181773694</v>
      </c>
      <c r="AN665" s="111" t="str">
        <f>IF(Audit[[#This Row],[K-M P Value]]&gt;1-'General Info'!$B$16,"Continue", "Stop")</f>
        <v>Stop</v>
      </c>
      <c r="AO665" s="110" t="b">
        <f>IF(Audit[[#This Row],[Status - Continue or stop audit]] = "Continue", TRUE, IF(AN664 = "Continue", TRUE, FALSE))</f>
        <v>0</v>
      </c>
      <c r="AP665" s="110"/>
    </row>
    <row r="666" spans="1:42" ht="15" hidden="1" customHeight="1">
      <c r="A666" s="111" t="str">
        <f>'Sampling Data'!W656</f>
        <v/>
      </c>
      <c r="B666" s="112" t="str">
        <f>'Sampling Data'!A656</f>
        <v>CLEVELAND -11-F - ABS</v>
      </c>
      <c r="C666" s="112">
        <f>'Sampling Data'!B656</f>
        <v>0</v>
      </c>
      <c r="D666" s="112">
        <f>'Sampling Data'!C656</f>
        <v>0</v>
      </c>
      <c r="E666" s="113">
        <f>'Sampling Data'!D656</f>
        <v>0</v>
      </c>
      <c r="F666" s="113">
        <f>'Sampling Data'!E656</f>
        <v>1</v>
      </c>
      <c r="G666" s="113">
        <f>'Sampling Data'!F656</f>
        <v>1</v>
      </c>
      <c r="H666" s="113">
        <f>'Sampling Data'!G656</f>
        <v>0</v>
      </c>
      <c r="I666" s="112">
        <f>'Sampling Data'!H656</f>
        <v>0</v>
      </c>
      <c r="J666" s="112">
        <f>'Sampling Data'!I656</f>
        <v>0</v>
      </c>
      <c r="K666" s="112">
        <f>'Sampling Data'!J656</f>
        <v>2</v>
      </c>
      <c r="L666" s="111">
        <f>'Sampling Data'!X656</f>
        <v>0</v>
      </c>
      <c r="M666" s="114"/>
      <c r="N666" s="114"/>
      <c r="O666" s="115"/>
      <c r="P666" s="115"/>
      <c r="Q666" s="116"/>
      <c r="R666" s="116"/>
      <c r="S666" s="111">
        <f>Audit[[#This Row],[Audit Losing Candidate]]-Audit[[#This Row],[Losing Candidate]]</f>
        <v>0</v>
      </c>
      <c r="T666" s="111">
        <f>Audit[[#This Row],[Audit Winning Candidate]]-Audit[[#This Row],[Winning Candidate]]</f>
        <v>0</v>
      </c>
      <c r="U666" s="111">
        <f>Audit[[#This Row],[Audit Candidate 3]]-Audit[[#This Row],[Candidate 3]]</f>
        <v>0</v>
      </c>
      <c r="V666" s="111">
        <f>Audit[[#This Row],[Audit Candidate 4]]-Audit[[#This Row],[Candidate 4]]</f>
        <v>-1</v>
      </c>
      <c r="W666" s="111">
        <f>Audit[[#This Row],[Audit Candidate 5]]-Audit[[#This Row],[Candidate 5]]</f>
        <v>-1</v>
      </c>
      <c r="X666" s="111">
        <f>Audit[[#This Row],[Audit Candidate 6]]-Audit[[#This Row],[Candidate 6]]</f>
        <v>0</v>
      </c>
      <c r="Y666" s="111">
        <f>SUMIF(Audit[[#This Row],[Difference Loser]:[Difference Candidate 6]], "&gt;0")</f>
        <v>0</v>
      </c>
      <c r="Z666" s="111">
        <f>SUM(Audit[[#This Row],[Difference Loser]:[Difference Candidate 6]])</f>
        <v>-2</v>
      </c>
      <c r="AA666" s="111">
        <f>IF(Audit[[#This Row],[Times p Drawn - With Replacement]]&gt;0, IF(Audit[[#This Row],[Canceled Differences]]&lt;0, Audit[[#This Row],[Max Differences]]+ABS(Audit[[#This Row],[Canceled Differences]]), Audit[[#This Row],[Max Differences]]), 0)</f>
        <v>0</v>
      </c>
      <c r="AB666" s="111">
        <f>'Sampling Data'!P656</f>
        <v>1.224889759921607E-4</v>
      </c>
      <c r="AC666" s="111">
        <f>IF(
      SUM(Audit[[#This Row],[Audit Losing Candidate]:[Audit Candidate 6]])
      &lt;&gt;0,
      (Audit[[#This Row],[Winning Candidate]]-Audit[[#This Row],[Losing Candidate]]-(Audit[[#This Row],[Audit Winning Candidate]]-Audit[[#This Row],[Audit Losing Candidate]]))/(Audit[[#Totals],[Winning Candidate]]-Audit[[#Totals],[Losing Candidate]]),
      0
)</f>
        <v>0</v>
      </c>
      <c r="AD6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6" s="111">
        <f>IF(Audit[[#This Row],[Max Relative Error (ep)]] = 0, 0, Audit[[#This Row],[Max Relative Error (ep)]]/Audit[[#This Row],[Error Bound (up) - Max. possible relative overstatement]])</f>
        <v>0</v>
      </c>
      <c r="AJ6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66" s="111">
        <f t="shared" si="10"/>
        <v>1</v>
      </c>
      <c r="AL666" s="111">
        <f>PRODUCT($AK$5:AK666)</f>
        <v>8.962823818226312E-2</v>
      </c>
      <c r="AM666" s="109">
        <f>1 - [K-M P Value]</f>
        <v>0.91037176181773694</v>
      </c>
      <c r="AN666" s="111" t="str">
        <f>IF(Audit[[#This Row],[K-M P Value]]&gt;1-'General Info'!$B$16,"Continue", "Stop")</f>
        <v>Stop</v>
      </c>
      <c r="AO666" s="110" t="b">
        <f>IF(Audit[[#This Row],[Status - Continue or stop audit]] = "Continue", TRUE, IF(AN665 = "Continue", TRUE, FALSE))</f>
        <v>0</v>
      </c>
      <c r="AP666" s="110"/>
    </row>
    <row r="667" spans="1:42" ht="15" hidden="1" customHeight="1">
      <c r="A667" s="111" t="str">
        <f>'Sampling Data'!W657</f>
        <v/>
      </c>
      <c r="B667" s="112" t="str">
        <f>'Sampling Data'!A657</f>
        <v>CLEVELAND -11-G</v>
      </c>
      <c r="C667" s="112">
        <f>'Sampling Data'!B657</f>
        <v>8</v>
      </c>
      <c r="D667" s="112">
        <f>'Sampling Data'!C657</f>
        <v>6</v>
      </c>
      <c r="E667" s="113">
        <f>'Sampling Data'!D657</f>
        <v>3</v>
      </c>
      <c r="F667" s="113">
        <f>'Sampling Data'!E657</f>
        <v>1</v>
      </c>
      <c r="G667" s="113">
        <f>'Sampling Data'!F657</f>
        <v>0</v>
      </c>
      <c r="H667" s="113">
        <f>'Sampling Data'!G657</f>
        <v>0</v>
      </c>
      <c r="I667" s="112">
        <f>'Sampling Data'!H657</f>
        <v>0</v>
      </c>
      <c r="J667" s="112">
        <f>'Sampling Data'!I657</f>
        <v>0</v>
      </c>
      <c r="K667" s="112">
        <f>'Sampling Data'!J657</f>
        <v>18</v>
      </c>
      <c r="L667" s="111">
        <f>'Sampling Data'!X657</f>
        <v>0</v>
      </c>
      <c r="M667" s="114"/>
      <c r="N667" s="114"/>
      <c r="O667" s="115"/>
      <c r="P667" s="115"/>
      <c r="Q667" s="116"/>
      <c r="R667" s="116"/>
      <c r="S667" s="111">
        <f>Audit[[#This Row],[Audit Losing Candidate]]-Audit[[#This Row],[Losing Candidate]]</f>
        <v>-8</v>
      </c>
      <c r="T667" s="111">
        <f>Audit[[#This Row],[Audit Winning Candidate]]-Audit[[#This Row],[Winning Candidate]]</f>
        <v>-6</v>
      </c>
      <c r="U667" s="111">
        <f>Audit[[#This Row],[Audit Candidate 3]]-Audit[[#This Row],[Candidate 3]]</f>
        <v>-3</v>
      </c>
      <c r="V667" s="111">
        <f>Audit[[#This Row],[Audit Candidate 4]]-Audit[[#This Row],[Candidate 4]]</f>
        <v>-1</v>
      </c>
      <c r="W667" s="111">
        <f>Audit[[#This Row],[Audit Candidate 5]]-Audit[[#This Row],[Candidate 5]]</f>
        <v>0</v>
      </c>
      <c r="X667" s="111">
        <f>Audit[[#This Row],[Audit Candidate 6]]-Audit[[#This Row],[Candidate 6]]</f>
        <v>0</v>
      </c>
      <c r="Y667" s="111">
        <f>SUMIF(Audit[[#This Row],[Difference Loser]:[Difference Candidate 6]], "&gt;0")</f>
        <v>0</v>
      </c>
      <c r="Z667" s="111">
        <f>SUM(Audit[[#This Row],[Difference Loser]:[Difference Candidate 6]])</f>
        <v>-18</v>
      </c>
      <c r="AA667" s="111">
        <f>IF(Audit[[#This Row],[Times p Drawn - With Replacement]]&gt;0, IF(Audit[[#This Row],[Canceled Differences]]&lt;0, Audit[[#This Row],[Max Differences]]+ABS(Audit[[#This Row],[Canceled Differences]]), Audit[[#This Row],[Max Differences]]), 0)</f>
        <v>0</v>
      </c>
      <c r="AB667" s="111">
        <f>'Sampling Data'!P657</f>
        <v>9.7991180793728563E-4</v>
      </c>
      <c r="AC667" s="111">
        <f>IF(
      SUM(Audit[[#This Row],[Audit Losing Candidate]:[Audit Candidate 6]])
      &lt;&gt;0,
      (Audit[[#This Row],[Winning Candidate]]-Audit[[#This Row],[Losing Candidate]]-(Audit[[#This Row],[Audit Winning Candidate]]-Audit[[#This Row],[Audit Losing Candidate]]))/(Audit[[#Totals],[Winning Candidate]]-Audit[[#Totals],[Losing Candidate]]),
      0
)</f>
        <v>0</v>
      </c>
      <c r="AD6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7" s="111">
        <f>IF(Audit[[#This Row],[Max Relative Error (ep)]] = 0, 0, Audit[[#This Row],[Max Relative Error (ep)]]/Audit[[#This Row],[Error Bound (up) - Max. possible relative overstatement]])</f>
        <v>0</v>
      </c>
      <c r="AJ6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67" s="111">
        <f t="shared" si="10"/>
        <v>1</v>
      </c>
      <c r="AL667" s="111">
        <f>PRODUCT($AK$5:AK667)</f>
        <v>8.962823818226312E-2</v>
      </c>
      <c r="AM667" s="109">
        <f>1 - [K-M P Value]</f>
        <v>0.91037176181773694</v>
      </c>
      <c r="AN667" s="111" t="str">
        <f>IF(Audit[[#This Row],[K-M P Value]]&gt;1-'General Info'!$B$16,"Continue", "Stop")</f>
        <v>Stop</v>
      </c>
      <c r="AO667" s="110" t="b">
        <f>IF(Audit[[#This Row],[Status - Continue or stop audit]] = "Continue", TRUE, IF(AN666 = "Continue", TRUE, FALSE))</f>
        <v>0</v>
      </c>
      <c r="AP667" s="110"/>
    </row>
    <row r="668" spans="1:42" ht="15" hidden="1" customHeight="1">
      <c r="A668" s="111" t="str">
        <f>'Sampling Data'!W658</f>
        <v/>
      </c>
      <c r="B668" s="112" t="str">
        <f>'Sampling Data'!A658</f>
        <v>CLEVELAND -11-G - ABS</v>
      </c>
      <c r="C668" s="112">
        <f>'Sampling Data'!B658</f>
        <v>6</v>
      </c>
      <c r="D668" s="112">
        <f>'Sampling Data'!C658</f>
        <v>2</v>
      </c>
      <c r="E668" s="113">
        <f>'Sampling Data'!D658</f>
        <v>2</v>
      </c>
      <c r="F668" s="113">
        <f>'Sampling Data'!E658</f>
        <v>3</v>
      </c>
      <c r="G668" s="113">
        <f>'Sampling Data'!F658</f>
        <v>0</v>
      </c>
      <c r="H668" s="113">
        <f>'Sampling Data'!G658</f>
        <v>0</v>
      </c>
      <c r="I668" s="112">
        <f>'Sampling Data'!H658</f>
        <v>0</v>
      </c>
      <c r="J668" s="112">
        <f>'Sampling Data'!I658</f>
        <v>0</v>
      </c>
      <c r="K668" s="112">
        <f>'Sampling Data'!J658</f>
        <v>13</v>
      </c>
      <c r="L668" s="111">
        <f>'Sampling Data'!X658</f>
        <v>0</v>
      </c>
      <c r="M668" s="114"/>
      <c r="N668" s="114"/>
      <c r="O668" s="115"/>
      <c r="P668" s="115"/>
      <c r="Q668" s="116"/>
      <c r="R668" s="116"/>
      <c r="S668" s="111">
        <f>Audit[[#This Row],[Audit Losing Candidate]]-Audit[[#This Row],[Losing Candidate]]</f>
        <v>-6</v>
      </c>
      <c r="T668" s="111">
        <f>Audit[[#This Row],[Audit Winning Candidate]]-Audit[[#This Row],[Winning Candidate]]</f>
        <v>-2</v>
      </c>
      <c r="U668" s="111">
        <f>Audit[[#This Row],[Audit Candidate 3]]-Audit[[#This Row],[Candidate 3]]</f>
        <v>-2</v>
      </c>
      <c r="V668" s="111">
        <f>Audit[[#This Row],[Audit Candidate 4]]-Audit[[#This Row],[Candidate 4]]</f>
        <v>-3</v>
      </c>
      <c r="W668" s="111">
        <f>Audit[[#This Row],[Audit Candidate 5]]-Audit[[#This Row],[Candidate 5]]</f>
        <v>0</v>
      </c>
      <c r="X668" s="111">
        <f>Audit[[#This Row],[Audit Candidate 6]]-Audit[[#This Row],[Candidate 6]]</f>
        <v>0</v>
      </c>
      <c r="Y668" s="111">
        <f>SUMIF(Audit[[#This Row],[Difference Loser]:[Difference Candidate 6]], "&gt;0")</f>
        <v>0</v>
      </c>
      <c r="Z668" s="111">
        <f>SUM(Audit[[#This Row],[Difference Loser]:[Difference Candidate 6]])</f>
        <v>-13</v>
      </c>
      <c r="AA668" s="111">
        <f>IF(Audit[[#This Row],[Times p Drawn - With Replacement]]&gt;0, IF(Audit[[#This Row],[Canceled Differences]]&lt;0, Audit[[#This Row],[Max Differences]]+ABS(Audit[[#This Row],[Canceled Differences]]), Audit[[#This Row],[Max Differences]]), 0)</f>
        <v>0</v>
      </c>
      <c r="AB668" s="111">
        <f>'Sampling Data'!P658</f>
        <v>5.5120039196472322E-4</v>
      </c>
      <c r="AC668" s="111">
        <f>IF(
      SUM(Audit[[#This Row],[Audit Losing Candidate]:[Audit Candidate 6]])
      &lt;&gt;0,
      (Audit[[#This Row],[Winning Candidate]]-Audit[[#This Row],[Losing Candidate]]-(Audit[[#This Row],[Audit Winning Candidate]]-Audit[[#This Row],[Audit Losing Candidate]]))/(Audit[[#Totals],[Winning Candidate]]-Audit[[#Totals],[Losing Candidate]]),
      0
)</f>
        <v>0</v>
      </c>
      <c r="AD6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8" s="111">
        <f>IF(Audit[[#This Row],[Max Relative Error (ep)]] = 0, 0, Audit[[#This Row],[Max Relative Error (ep)]]/Audit[[#This Row],[Error Bound (up) - Max. possible relative overstatement]])</f>
        <v>0</v>
      </c>
      <c r="AJ6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68" s="111">
        <f t="shared" si="10"/>
        <v>1</v>
      </c>
      <c r="AL668" s="111">
        <f>PRODUCT($AK$5:AK668)</f>
        <v>8.962823818226312E-2</v>
      </c>
      <c r="AM668" s="109">
        <f>1 - [K-M P Value]</f>
        <v>0.91037176181773694</v>
      </c>
      <c r="AN668" s="111" t="str">
        <f>IF(Audit[[#This Row],[K-M P Value]]&gt;1-'General Info'!$B$16,"Continue", "Stop")</f>
        <v>Stop</v>
      </c>
      <c r="AO668" s="110" t="b">
        <f>IF(Audit[[#This Row],[Status - Continue or stop audit]] = "Continue", TRUE, IF(AN667 = "Continue", TRUE, FALSE))</f>
        <v>0</v>
      </c>
      <c r="AP668" s="110"/>
    </row>
    <row r="669" spans="1:42" ht="15" hidden="1" customHeight="1">
      <c r="A669" s="111" t="str">
        <f>'Sampling Data'!W659</f>
        <v/>
      </c>
      <c r="B669" s="112" t="str">
        <f>'Sampling Data'!A659</f>
        <v>CLEVELAND -11-H</v>
      </c>
      <c r="C669" s="112">
        <f>'Sampling Data'!B659</f>
        <v>5</v>
      </c>
      <c r="D669" s="112">
        <f>'Sampling Data'!C659</f>
        <v>2</v>
      </c>
      <c r="E669" s="113">
        <f>'Sampling Data'!D659</f>
        <v>1</v>
      </c>
      <c r="F669" s="113">
        <f>'Sampling Data'!E659</f>
        <v>3</v>
      </c>
      <c r="G669" s="113">
        <f>'Sampling Data'!F659</f>
        <v>0</v>
      </c>
      <c r="H669" s="113">
        <f>'Sampling Data'!G659</f>
        <v>0</v>
      </c>
      <c r="I669" s="112">
        <f>'Sampling Data'!H659</f>
        <v>0</v>
      </c>
      <c r="J669" s="112">
        <f>'Sampling Data'!I659</f>
        <v>0</v>
      </c>
      <c r="K669" s="112">
        <f>'Sampling Data'!J659</f>
        <v>11</v>
      </c>
      <c r="L669" s="111">
        <f>'Sampling Data'!X659</f>
        <v>0</v>
      </c>
      <c r="M669" s="114"/>
      <c r="N669" s="114"/>
      <c r="O669" s="115"/>
      <c r="P669" s="115"/>
      <c r="Q669" s="116"/>
      <c r="R669" s="116"/>
      <c r="S669" s="111">
        <f>Audit[[#This Row],[Audit Losing Candidate]]-Audit[[#This Row],[Losing Candidate]]</f>
        <v>-5</v>
      </c>
      <c r="T669" s="111">
        <f>Audit[[#This Row],[Audit Winning Candidate]]-Audit[[#This Row],[Winning Candidate]]</f>
        <v>-2</v>
      </c>
      <c r="U669" s="111">
        <f>Audit[[#This Row],[Audit Candidate 3]]-Audit[[#This Row],[Candidate 3]]</f>
        <v>-1</v>
      </c>
      <c r="V669" s="111">
        <f>Audit[[#This Row],[Audit Candidate 4]]-Audit[[#This Row],[Candidate 4]]</f>
        <v>-3</v>
      </c>
      <c r="W669" s="111">
        <f>Audit[[#This Row],[Audit Candidate 5]]-Audit[[#This Row],[Candidate 5]]</f>
        <v>0</v>
      </c>
      <c r="X669" s="111">
        <f>Audit[[#This Row],[Audit Candidate 6]]-Audit[[#This Row],[Candidate 6]]</f>
        <v>0</v>
      </c>
      <c r="Y669" s="111">
        <f>SUMIF(Audit[[#This Row],[Difference Loser]:[Difference Candidate 6]], "&gt;0")</f>
        <v>0</v>
      </c>
      <c r="Z669" s="111">
        <f>SUM(Audit[[#This Row],[Difference Loser]:[Difference Candidate 6]])</f>
        <v>-11</v>
      </c>
      <c r="AA669" s="111">
        <f>IF(Audit[[#This Row],[Times p Drawn - With Replacement]]&gt;0, IF(Audit[[#This Row],[Canceled Differences]]&lt;0, Audit[[#This Row],[Max Differences]]+ABS(Audit[[#This Row],[Canceled Differences]]), Audit[[#This Row],[Max Differences]]), 0)</f>
        <v>0</v>
      </c>
      <c r="AB669" s="111">
        <f>'Sampling Data'!P659</f>
        <v>4.8995590396864281E-4</v>
      </c>
      <c r="AC669" s="111">
        <f>IF(
      SUM(Audit[[#This Row],[Audit Losing Candidate]:[Audit Candidate 6]])
      &lt;&gt;0,
      (Audit[[#This Row],[Winning Candidate]]-Audit[[#This Row],[Losing Candidate]]-(Audit[[#This Row],[Audit Winning Candidate]]-Audit[[#This Row],[Audit Losing Candidate]]))/(Audit[[#Totals],[Winning Candidate]]-Audit[[#Totals],[Losing Candidate]]),
      0
)</f>
        <v>0</v>
      </c>
      <c r="AD6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9" s="111">
        <f>IF(Audit[[#This Row],[Max Relative Error (ep)]] = 0, 0, Audit[[#This Row],[Max Relative Error (ep)]]/Audit[[#This Row],[Error Bound (up) - Max. possible relative overstatement]])</f>
        <v>0</v>
      </c>
      <c r="AJ6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69" s="111">
        <f t="shared" si="10"/>
        <v>1</v>
      </c>
      <c r="AL669" s="111">
        <f>PRODUCT($AK$5:AK669)</f>
        <v>8.962823818226312E-2</v>
      </c>
      <c r="AM669" s="109">
        <f>1 - [K-M P Value]</f>
        <v>0.91037176181773694</v>
      </c>
      <c r="AN669" s="111" t="str">
        <f>IF(Audit[[#This Row],[K-M P Value]]&gt;1-'General Info'!$B$16,"Continue", "Stop")</f>
        <v>Stop</v>
      </c>
      <c r="AO669" s="110" t="b">
        <f>IF(Audit[[#This Row],[Status - Continue or stop audit]] = "Continue", TRUE, IF(AN668 = "Continue", TRUE, FALSE))</f>
        <v>0</v>
      </c>
      <c r="AP669" s="110"/>
    </row>
    <row r="670" spans="1:42" ht="15" hidden="1" customHeight="1">
      <c r="A670" s="111" t="str">
        <f>'Sampling Data'!W660</f>
        <v/>
      </c>
      <c r="B670" s="112" t="str">
        <f>'Sampling Data'!A660</f>
        <v>CLEVELAND -11-H - ABS</v>
      </c>
      <c r="C670" s="112">
        <f>'Sampling Data'!B660</f>
        <v>0</v>
      </c>
      <c r="D670" s="112">
        <f>'Sampling Data'!C660</f>
        <v>1</v>
      </c>
      <c r="E670" s="113">
        <f>'Sampling Data'!D660</f>
        <v>3</v>
      </c>
      <c r="F670" s="113">
        <f>'Sampling Data'!E660</f>
        <v>0</v>
      </c>
      <c r="G670" s="113">
        <f>'Sampling Data'!F660</f>
        <v>0</v>
      </c>
      <c r="H670" s="113">
        <f>'Sampling Data'!G660</f>
        <v>0</v>
      </c>
      <c r="I670" s="112">
        <f>'Sampling Data'!H660</f>
        <v>0</v>
      </c>
      <c r="J670" s="112">
        <f>'Sampling Data'!I660</f>
        <v>0</v>
      </c>
      <c r="K670" s="112">
        <f>'Sampling Data'!J660</f>
        <v>4</v>
      </c>
      <c r="L670" s="111">
        <f>'Sampling Data'!X660</f>
        <v>0</v>
      </c>
      <c r="M670" s="114"/>
      <c r="N670" s="114"/>
      <c r="O670" s="115"/>
      <c r="P670" s="115"/>
      <c r="Q670" s="116"/>
      <c r="R670" s="116"/>
      <c r="S670" s="111">
        <f>Audit[[#This Row],[Audit Losing Candidate]]-Audit[[#This Row],[Losing Candidate]]</f>
        <v>0</v>
      </c>
      <c r="T670" s="111">
        <f>Audit[[#This Row],[Audit Winning Candidate]]-Audit[[#This Row],[Winning Candidate]]</f>
        <v>-1</v>
      </c>
      <c r="U670" s="111">
        <f>Audit[[#This Row],[Audit Candidate 3]]-Audit[[#This Row],[Candidate 3]]</f>
        <v>-3</v>
      </c>
      <c r="V670" s="111">
        <f>Audit[[#This Row],[Audit Candidate 4]]-Audit[[#This Row],[Candidate 4]]</f>
        <v>0</v>
      </c>
      <c r="W670" s="111">
        <f>Audit[[#This Row],[Audit Candidate 5]]-Audit[[#This Row],[Candidate 5]]</f>
        <v>0</v>
      </c>
      <c r="X670" s="111">
        <f>Audit[[#This Row],[Audit Candidate 6]]-Audit[[#This Row],[Candidate 6]]</f>
        <v>0</v>
      </c>
      <c r="Y670" s="111">
        <f>SUMIF(Audit[[#This Row],[Difference Loser]:[Difference Candidate 6]], "&gt;0")</f>
        <v>0</v>
      </c>
      <c r="Z670" s="111">
        <f>SUM(Audit[[#This Row],[Difference Loser]:[Difference Candidate 6]])</f>
        <v>-4</v>
      </c>
      <c r="AA670" s="111">
        <f>IF(Audit[[#This Row],[Times p Drawn - With Replacement]]&gt;0, IF(Audit[[#This Row],[Canceled Differences]]&lt;0, Audit[[#This Row],[Max Differences]]+ABS(Audit[[#This Row],[Canceled Differences]]), Audit[[#This Row],[Max Differences]]), 0)</f>
        <v>0</v>
      </c>
      <c r="AB670" s="111">
        <f>'Sampling Data'!P660</f>
        <v>3.0622243998040176E-4</v>
      </c>
      <c r="AC670" s="111">
        <f>IF(
      SUM(Audit[[#This Row],[Audit Losing Candidate]:[Audit Candidate 6]])
      &lt;&gt;0,
      (Audit[[#This Row],[Winning Candidate]]-Audit[[#This Row],[Losing Candidate]]-(Audit[[#This Row],[Audit Winning Candidate]]-Audit[[#This Row],[Audit Losing Candidate]]))/(Audit[[#Totals],[Winning Candidate]]-Audit[[#Totals],[Losing Candidate]]),
      0
)</f>
        <v>0</v>
      </c>
      <c r="AD6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0" s="111">
        <f>IF(Audit[[#This Row],[Max Relative Error (ep)]] = 0, 0, Audit[[#This Row],[Max Relative Error (ep)]]/Audit[[#This Row],[Error Bound (up) - Max. possible relative overstatement]])</f>
        <v>0</v>
      </c>
      <c r="AJ6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70" s="111">
        <f t="shared" si="10"/>
        <v>1</v>
      </c>
      <c r="AL670" s="111">
        <f>PRODUCT($AK$5:AK670)</f>
        <v>8.962823818226312E-2</v>
      </c>
      <c r="AM670" s="109">
        <f>1 - [K-M P Value]</f>
        <v>0.91037176181773694</v>
      </c>
      <c r="AN670" s="111" t="str">
        <f>IF(Audit[[#This Row],[K-M P Value]]&gt;1-'General Info'!$B$16,"Continue", "Stop")</f>
        <v>Stop</v>
      </c>
      <c r="AO670" s="110" t="b">
        <f>IF(Audit[[#This Row],[Status - Continue or stop audit]] = "Continue", TRUE, IF(AN669 = "Continue", TRUE, FALSE))</f>
        <v>0</v>
      </c>
      <c r="AP670" s="110"/>
    </row>
    <row r="671" spans="1:42" ht="15" hidden="1" customHeight="1">
      <c r="A671" s="111" t="str">
        <f>'Sampling Data'!W661</f>
        <v/>
      </c>
      <c r="B671" s="112" t="str">
        <f>'Sampling Data'!A661</f>
        <v>CLEVELAND -11-I</v>
      </c>
      <c r="C671" s="112">
        <f>'Sampling Data'!B661</f>
        <v>4</v>
      </c>
      <c r="D671" s="112">
        <f>'Sampling Data'!C661</f>
        <v>0</v>
      </c>
      <c r="E671" s="113">
        <f>'Sampling Data'!D661</f>
        <v>1</v>
      </c>
      <c r="F671" s="113">
        <f>'Sampling Data'!E661</f>
        <v>0</v>
      </c>
      <c r="G671" s="113">
        <f>'Sampling Data'!F661</f>
        <v>0</v>
      </c>
      <c r="H671" s="113">
        <f>'Sampling Data'!G661</f>
        <v>0</v>
      </c>
      <c r="I671" s="112">
        <f>'Sampling Data'!H661</f>
        <v>0</v>
      </c>
      <c r="J671" s="112">
        <f>'Sampling Data'!I661</f>
        <v>0</v>
      </c>
      <c r="K671" s="112">
        <f>'Sampling Data'!J661</f>
        <v>5</v>
      </c>
      <c r="L671" s="111">
        <f>'Sampling Data'!X661</f>
        <v>0</v>
      </c>
      <c r="M671" s="114"/>
      <c r="N671" s="114"/>
      <c r="O671" s="115"/>
      <c r="P671" s="115"/>
      <c r="Q671" s="116"/>
      <c r="R671" s="116"/>
      <c r="S671" s="111">
        <f>Audit[[#This Row],[Audit Losing Candidate]]-Audit[[#This Row],[Losing Candidate]]</f>
        <v>-4</v>
      </c>
      <c r="T671" s="111">
        <f>Audit[[#This Row],[Audit Winning Candidate]]-Audit[[#This Row],[Winning Candidate]]</f>
        <v>0</v>
      </c>
      <c r="U671" s="111">
        <f>Audit[[#This Row],[Audit Candidate 3]]-Audit[[#This Row],[Candidate 3]]</f>
        <v>-1</v>
      </c>
      <c r="V671" s="111">
        <f>Audit[[#This Row],[Audit Candidate 4]]-Audit[[#This Row],[Candidate 4]]</f>
        <v>0</v>
      </c>
      <c r="W671" s="111">
        <f>Audit[[#This Row],[Audit Candidate 5]]-Audit[[#This Row],[Candidate 5]]</f>
        <v>0</v>
      </c>
      <c r="X671" s="111">
        <f>Audit[[#This Row],[Audit Candidate 6]]-Audit[[#This Row],[Candidate 6]]</f>
        <v>0</v>
      </c>
      <c r="Y671" s="111">
        <f>SUMIF(Audit[[#This Row],[Difference Loser]:[Difference Candidate 6]], "&gt;0")</f>
        <v>0</v>
      </c>
      <c r="Z671" s="111">
        <f>SUM(Audit[[#This Row],[Difference Loser]:[Difference Candidate 6]])</f>
        <v>-5</v>
      </c>
      <c r="AA671" s="111">
        <f>IF(Audit[[#This Row],[Times p Drawn - With Replacement]]&gt;0, IF(Audit[[#This Row],[Canceled Differences]]&lt;0, Audit[[#This Row],[Max Differences]]+ABS(Audit[[#This Row],[Canceled Differences]]), Audit[[#This Row],[Max Differences]]), 0)</f>
        <v>0</v>
      </c>
      <c r="AB671" s="111">
        <f>'Sampling Data'!P661</f>
        <v>1.4616036715484231E-4</v>
      </c>
      <c r="AC671" s="111">
        <f>IF(
      SUM(Audit[[#This Row],[Audit Losing Candidate]:[Audit Candidate 6]])
      &lt;&gt;0,
      (Audit[[#This Row],[Winning Candidate]]-Audit[[#This Row],[Losing Candidate]]-(Audit[[#This Row],[Audit Winning Candidate]]-Audit[[#This Row],[Audit Losing Candidate]]))/(Audit[[#Totals],[Winning Candidate]]-Audit[[#Totals],[Losing Candidate]]),
      0
)</f>
        <v>0</v>
      </c>
      <c r="AD6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1" s="111">
        <f>IF(Audit[[#This Row],[Max Relative Error (ep)]] = 0, 0, Audit[[#This Row],[Max Relative Error (ep)]]/Audit[[#This Row],[Error Bound (up) - Max. possible relative overstatement]])</f>
        <v>0</v>
      </c>
      <c r="AJ6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71" s="111">
        <f t="shared" si="10"/>
        <v>1</v>
      </c>
      <c r="AL671" s="111">
        <f>PRODUCT($AK$5:AK671)</f>
        <v>8.962823818226312E-2</v>
      </c>
      <c r="AM671" s="109">
        <f>1 - [K-M P Value]</f>
        <v>0.91037176181773694</v>
      </c>
      <c r="AN671" s="111" t="str">
        <f>IF(Audit[[#This Row],[K-M P Value]]&gt;1-'General Info'!$B$16,"Continue", "Stop")</f>
        <v>Stop</v>
      </c>
      <c r="AO671" s="110" t="b">
        <f>IF(Audit[[#This Row],[Status - Continue or stop audit]] = "Continue", TRUE, IF(AN670 = "Continue", TRUE, FALSE))</f>
        <v>0</v>
      </c>
      <c r="AP671" s="110"/>
    </row>
    <row r="672" spans="1:42" ht="15" hidden="1" customHeight="1">
      <c r="A672" s="111" t="str">
        <f>'Sampling Data'!W662</f>
        <v/>
      </c>
      <c r="B672" s="112" t="str">
        <f>'Sampling Data'!A662</f>
        <v>CLEVELAND -11-I - ABS</v>
      </c>
      <c r="C672" s="112">
        <f>'Sampling Data'!B662</f>
        <v>3</v>
      </c>
      <c r="D672" s="112">
        <f>'Sampling Data'!C662</f>
        <v>0</v>
      </c>
      <c r="E672" s="113">
        <f>'Sampling Data'!D662</f>
        <v>1</v>
      </c>
      <c r="F672" s="113">
        <f>'Sampling Data'!E662</f>
        <v>1</v>
      </c>
      <c r="G672" s="113">
        <f>'Sampling Data'!F662</f>
        <v>0</v>
      </c>
      <c r="H672" s="113">
        <f>'Sampling Data'!G662</f>
        <v>0</v>
      </c>
      <c r="I672" s="112">
        <f>'Sampling Data'!H662</f>
        <v>0</v>
      </c>
      <c r="J672" s="112">
        <f>'Sampling Data'!I662</f>
        <v>0</v>
      </c>
      <c r="K672" s="112">
        <f>'Sampling Data'!J662</f>
        <v>5</v>
      </c>
      <c r="L672" s="111">
        <f>'Sampling Data'!X662</f>
        <v>0</v>
      </c>
      <c r="M672" s="114"/>
      <c r="N672" s="114"/>
      <c r="O672" s="115"/>
      <c r="P672" s="115"/>
      <c r="Q672" s="116"/>
      <c r="R672" s="116"/>
      <c r="S672" s="111">
        <f>Audit[[#This Row],[Audit Losing Candidate]]-Audit[[#This Row],[Losing Candidate]]</f>
        <v>-3</v>
      </c>
      <c r="T672" s="111">
        <f>Audit[[#This Row],[Audit Winning Candidate]]-Audit[[#This Row],[Winning Candidate]]</f>
        <v>0</v>
      </c>
      <c r="U672" s="111">
        <f>Audit[[#This Row],[Audit Candidate 3]]-Audit[[#This Row],[Candidate 3]]</f>
        <v>-1</v>
      </c>
      <c r="V672" s="111">
        <f>Audit[[#This Row],[Audit Candidate 4]]-Audit[[#This Row],[Candidate 4]]</f>
        <v>-1</v>
      </c>
      <c r="W672" s="111">
        <f>Audit[[#This Row],[Audit Candidate 5]]-Audit[[#This Row],[Candidate 5]]</f>
        <v>0</v>
      </c>
      <c r="X672" s="111">
        <f>Audit[[#This Row],[Audit Candidate 6]]-Audit[[#This Row],[Candidate 6]]</f>
        <v>0</v>
      </c>
      <c r="Y672" s="111">
        <f>SUMIF(Audit[[#This Row],[Difference Loser]:[Difference Candidate 6]], "&gt;0")</f>
        <v>0</v>
      </c>
      <c r="Z672" s="111">
        <f>SUM(Audit[[#This Row],[Difference Loser]:[Difference Candidate 6]])</f>
        <v>-5</v>
      </c>
      <c r="AA672" s="111">
        <f>IF(Audit[[#This Row],[Times p Drawn - With Replacement]]&gt;0, IF(Audit[[#This Row],[Canceled Differences]]&lt;0, Audit[[#This Row],[Max Differences]]+ABS(Audit[[#This Row],[Canceled Differences]]), Audit[[#This Row],[Max Differences]]), 0)</f>
        <v>0</v>
      </c>
      <c r="AB672" s="111">
        <f>'Sampling Data'!P662</f>
        <v>1.2904474626576767E-4</v>
      </c>
      <c r="AC672" s="111">
        <f>IF(
      SUM(Audit[[#This Row],[Audit Losing Candidate]:[Audit Candidate 6]])
      &lt;&gt;0,
      (Audit[[#This Row],[Winning Candidate]]-Audit[[#This Row],[Losing Candidate]]-(Audit[[#This Row],[Audit Winning Candidate]]-Audit[[#This Row],[Audit Losing Candidate]]))/(Audit[[#Totals],[Winning Candidate]]-Audit[[#Totals],[Losing Candidate]]),
      0
)</f>
        <v>0</v>
      </c>
      <c r="AD6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2" s="111">
        <f>IF(Audit[[#This Row],[Max Relative Error (ep)]] = 0, 0, Audit[[#This Row],[Max Relative Error (ep)]]/Audit[[#This Row],[Error Bound (up) - Max. possible relative overstatement]])</f>
        <v>0</v>
      </c>
      <c r="AJ6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72" s="111">
        <f t="shared" si="10"/>
        <v>1</v>
      </c>
      <c r="AL672" s="111">
        <f>PRODUCT($AK$5:AK672)</f>
        <v>8.962823818226312E-2</v>
      </c>
      <c r="AM672" s="109">
        <f>1 - [K-M P Value]</f>
        <v>0.91037176181773694</v>
      </c>
      <c r="AN672" s="111" t="str">
        <f>IF(Audit[[#This Row],[K-M P Value]]&gt;1-'General Info'!$B$16,"Continue", "Stop")</f>
        <v>Stop</v>
      </c>
      <c r="AO672" s="110" t="b">
        <f>IF(Audit[[#This Row],[Status - Continue or stop audit]] = "Continue", TRUE, IF(AN671 = "Continue", TRUE, FALSE))</f>
        <v>0</v>
      </c>
      <c r="AP672" s="110"/>
    </row>
    <row r="673" spans="1:42" ht="15" hidden="1" customHeight="1">
      <c r="A673" s="111" t="str">
        <f>'Sampling Data'!W663</f>
        <v/>
      </c>
      <c r="B673" s="112" t="str">
        <f>'Sampling Data'!A663</f>
        <v>CLEVELAND -11-J</v>
      </c>
      <c r="C673" s="112">
        <f>'Sampling Data'!B663</f>
        <v>9</v>
      </c>
      <c r="D673" s="112">
        <f>'Sampling Data'!C663</f>
        <v>8</v>
      </c>
      <c r="E673" s="113">
        <f>'Sampling Data'!D663</f>
        <v>2</v>
      </c>
      <c r="F673" s="113">
        <f>'Sampling Data'!E663</f>
        <v>4</v>
      </c>
      <c r="G673" s="113">
        <f>'Sampling Data'!F663</f>
        <v>0</v>
      </c>
      <c r="H673" s="113">
        <f>'Sampling Data'!G663</f>
        <v>0</v>
      </c>
      <c r="I673" s="112">
        <f>'Sampling Data'!H663</f>
        <v>0</v>
      </c>
      <c r="J673" s="112">
        <f>'Sampling Data'!I663</f>
        <v>0</v>
      </c>
      <c r="K673" s="112">
        <f>'Sampling Data'!J663</f>
        <v>23</v>
      </c>
      <c r="L673" s="111">
        <f>'Sampling Data'!X663</f>
        <v>0</v>
      </c>
      <c r="M673" s="114"/>
      <c r="N673" s="114"/>
      <c r="O673" s="115"/>
      <c r="P673" s="115"/>
      <c r="Q673" s="116"/>
      <c r="R673" s="116"/>
      <c r="S673" s="111">
        <f>Audit[[#This Row],[Audit Losing Candidate]]-Audit[[#This Row],[Losing Candidate]]</f>
        <v>-9</v>
      </c>
      <c r="T673" s="111">
        <f>Audit[[#This Row],[Audit Winning Candidate]]-Audit[[#This Row],[Winning Candidate]]</f>
        <v>-8</v>
      </c>
      <c r="U673" s="111">
        <f>Audit[[#This Row],[Audit Candidate 3]]-Audit[[#This Row],[Candidate 3]]</f>
        <v>-2</v>
      </c>
      <c r="V673" s="111">
        <f>Audit[[#This Row],[Audit Candidate 4]]-Audit[[#This Row],[Candidate 4]]</f>
        <v>-4</v>
      </c>
      <c r="W673" s="111">
        <f>Audit[[#This Row],[Audit Candidate 5]]-Audit[[#This Row],[Candidate 5]]</f>
        <v>0</v>
      </c>
      <c r="X673" s="111">
        <f>Audit[[#This Row],[Audit Candidate 6]]-Audit[[#This Row],[Candidate 6]]</f>
        <v>0</v>
      </c>
      <c r="Y673" s="111">
        <f>SUMIF(Audit[[#This Row],[Difference Loser]:[Difference Candidate 6]], "&gt;0")</f>
        <v>0</v>
      </c>
      <c r="Z673" s="111">
        <f>SUM(Audit[[#This Row],[Difference Loser]:[Difference Candidate 6]])</f>
        <v>-23</v>
      </c>
      <c r="AA673" s="111">
        <f>IF(Audit[[#This Row],[Times p Drawn - With Replacement]]&gt;0, IF(Audit[[#This Row],[Canceled Differences]]&lt;0, Audit[[#This Row],[Max Differences]]+ABS(Audit[[#This Row],[Canceled Differences]]), Audit[[#This Row],[Max Differences]]), 0)</f>
        <v>0</v>
      </c>
      <c r="AB673" s="111">
        <f>'Sampling Data'!P663</f>
        <v>1.3473787359137678E-3</v>
      </c>
      <c r="AC673" s="111">
        <f>IF(
      SUM(Audit[[#This Row],[Audit Losing Candidate]:[Audit Candidate 6]])
      &lt;&gt;0,
      (Audit[[#This Row],[Winning Candidate]]-Audit[[#This Row],[Losing Candidate]]-(Audit[[#This Row],[Audit Winning Candidate]]-Audit[[#This Row],[Audit Losing Candidate]]))/(Audit[[#Totals],[Winning Candidate]]-Audit[[#Totals],[Losing Candidate]]),
      0
)</f>
        <v>0</v>
      </c>
      <c r="AD6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3" s="111">
        <f>IF(Audit[[#This Row],[Max Relative Error (ep)]] = 0, 0, Audit[[#This Row],[Max Relative Error (ep)]]/Audit[[#This Row],[Error Bound (up) - Max. possible relative overstatement]])</f>
        <v>0</v>
      </c>
      <c r="AJ6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73" s="111">
        <f t="shared" si="10"/>
        <v>1</v>
      </c>
      <c r="AL673" s="111">
        <f>PRODUCT($AK$5:AK673)</f>
        <v>8.962823818226312E-2</v>
      </c>
      <c r="AM673" s="109">
        <f>1 - [K-M P Value]</f>
        <v>0.91037176181773694</v>
      </c>
      <c r="AN673" s="111" t="str">
        <f>IF(Audit[[#This Row],[K-M P Value]]&gt;1-'General Info'!$B$16,"Continue", "Stop")</f>
        <v>Stop</v>
      </c>
      <c r="AO673" s="110" t="b">
        <f>IF(Audit[[#This Row],[Status - Continue or stop audit]] = "Continue", TRUE, IF(AN672 = "Continue", TRUE, FALSE))</f>
        <v>0</v>
      </c>
      <c r="AP673" s="110"/>
    </row>
    <row r="674" spans="1:42" ht="15" hidden="1" customHeight="1">
      <c r="A674" s="111" t="str">
        <f>'Sampling Data'!W664</f>
        <v/>
      </c>
      <c r="B674" s="112" t="str">
        <f>'Sampling Data'!A664</f>
        <v>CLEVELAND -11-J - ABS</v>
      </c>
      <c r="C674" s="112">
        <f>'Sampling Data'!B664</f>
        <v>4</v>
      </c>
      <c r="D674" s="112">
        <f>'Sampling Data'!C664</f>
        <v>2</v>
      </c>
      <c r="E674" s="113">
        <f>'Sampling Data'!D664</f>
        <v>2</v>
      </c>
      <c r="F674" s="113">
        <f>'Sampling Data'!E664</f>
        <v>0</v>
      </c>
      <c r="G674" s="113">
        <f>'Sampling Data'!F664</f>
        <v>0</v>
      </c>
      <c r="H674" s="113">
        <f>'Sampling Data'!G664</f>
        <v>0</v>
      </c>
      <c r="I674" s="112">
        <f>'Sampling Data'!H664</f>
        <v>0</v>
      </c>
      <c r="J674" s="112">
        <f>'Sampling Data'!I664</f>
        <v>1</v>
      </c>
      <c r="K674" s="112">
        <f>'Sampling Data'!J664</f>
        <v>9</v>
      </c>
      <c r="L674" s="111">
        <f>'Sampling Data'!X664</f>
        <v>0</v>
      </c>
      <c r="M674" s="114"/>
      <c r="N674" s="114"/>
      <c r="O674" s="115"/>
      <c r="P674" s="115"/>
      <c r="Q674" s="116"/>
      <c r="R674" s="116"/>
      <c r="S674" s="111">
        <f>Audit[[#This Row],[Audit Losing Candidate]]-Audit[[#This Row],[Losing Candidate]]</f>
        <v>-4</v>
      </c>
      <c r="T674" s="111">
        <f>Audit[[#This Row],[Audit Winning Candidate]]-Audit[[#This Row],[Winning Candidate]]</f>
        <v>-2</v>
      </c>
      <c r="U674" s="111">
        <f>Audit[[#This Row],[Audit Candidate 3]]-Audit[[#This Row],[Candidate 3]]</f>
        <v>-2</v>
      </c>
      <c r="V674" s="111">
        <f>Audit[[#This Row],[Audit Candidate 4]]-Audit[[#This Row],[Candidate 4]]</f>
        <v>0</v>
      </c>
      <c r="W674" s="111">
        <f>Audit[[#This Row],[Audit Candidate 5]]-Audit[[#This Row],[Candidate 5]]</f>
        <v>0</v>
      </c>
      <c r="X674" s="111">
        <f>Audit[[#This Row],[Audit Candidate 6]]-Audit[[#This Row],[Candidate 6]]</f>
        <v>0</v>
      </c>
      <c r="Y674" s="111">
        <f>SUMIF(Audit[[#This Row],[Difference Loser]:[Difference Candidate 6]], "&gt;0")</f>
        <v>0</v>
      </c>
      <c r="Z674" s="111">
        <f>SUM(Audit[[#This Row],[Difference Loser]:[Difference Candidate 6]])</f>
        <v>-8</v>
      </c>
      <c r="AA674" s="111">
        <f>IF(Audit[[#This Row],[Times p Drawn - With Replacement]]&gt;0, IF(Audit[[#This Row],[Canceled Differences]]&lt;0, Audit[[#This Row],[Max Differences]]+ABS(Audit[[#This Row],[Canceled Differences]]), Audit[[#This Row],[Max Differences]]), 0)</f>
        <v>0</v>
      </c>
      <c r="AB674" s="111">
        <f>'Sampling Data'!P664</f>
        <v>4.2871141597256246E-4</v>
      </c>
      <c r="AC674" s="111">
        <f>IF(
      SUM(Audit[[#This Row],[Audit Losing Candidate]:[Audit Candidate 6]])
      &lt;&gt;0,
      (Audit[[#This Row],[Winning Candidate]]-Audit[[#This Row],[Losing Candidate]]-(Audit[[#This Row],[Audit Winning Candidate]]-Audit[[#This Row],[Audit Losing Candidate]]))/(Audit[[#Totals],[Winning Candidate]]-Audit[[#Totals],[Losing Candidate]]),
      0
)</f>
        <v>0</v>
      </c>
      <c r="AD6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4" s="111">
        <f>IF(Audit[[#This Row],[Max Relative Error (ep)]] = 0, 0, Audit[[#This Row],[Max Relative Error (ep)]]/Audit[[#This Row],[Error Bound (up) - Max. possible relative overstatement]])</f>
        <v>0</v>
      </c>
      <c r="AJ6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74" s="111">
        <f t="shared" si="10"/>
        <v>1</v>
      </c>
      <c r="AL674" s="111">
        <f>PRODUCT($AK$5:AK674)</f>
        <v>8.962823818226312E-2</v>
      </c>
      <c r="AM674" s="109">
        <f>1 - [K-M P Value]</f>
        <v>0.91037176181773694</v>
      </c>
      <c r="AN674" s="111" t="str">
        <f>IF(Audit[[#This Row],[K-M P Value]]&gt;1-'General Info'!$B$16,"Continue", "Stop")</f>
        <v>Stop</v>
      </c>
      <c r="AO674" s="110" t="b">
        <f>IF(Audit[[#This Row],[Status - Continue or stop audit]] = "Continue", TRUE, IF(AN673 = "Continue", TRUE, FALSE))</f>
        <v>0</v>
      </c>
      <c r="AP674" s="110"/>
    </row>
    <row r="675" spans="1:42" ht="15" hidden="1" customHeight="1">
      <c r="A675" s="111" t="str">
        <f>'Sampling Data'!W665</f>
        <v/>
      </c>
      <c r="B675" s="112" t="str">
        <f>'Sampling Data'!A665</f>
        <v>CLEVELAND -11-K</v>
      </c>
      <c r="C675" s="112">
        <f>'Sampling Data'!B665</f>
        <v>1</v>
      </c>
      <c r="D675" s="112">
        <f>'Sampling Data'!C665</f>
        <v>7</v>
      </c>
      <c r="E675" s="113">
        <f>'Sampling Data'!D665</f>
        <v>2</v>
      </c>
      <c r="F675" s="113">
        <f>'Sampling Data'!E665</f>
        <v>1</v>
      </c>
      <c r="G675" s="113">
        <f>'Sampling Data'!F665</f>
        <v>0</v>
      </c>
      <c r="H675" s="113">
        <f>'Sampling Data'!G665</f>
        <v>0</v>
      </c>
      <c r="I675" s="112">
        <f>'Sampling Data'!H665</f>
        <v>0</v>
      </c>
      <c r="J675" s="112">
        <f>'Sampling Data'!I665</f>
        <v>0</v>
      </c>
      <c r="K675" s="112">
        <f>'Sampling Data'!J665</f>
        <v>11</v>
      </c>
      <c r="L675" s="111">
        <f>'Sampling Data'!X665</f>
        <v>0</v>
      </c>
      <c r="M675" s="114"/>
      <c r="N675" s="114"/>
      <c r="O675" s="115"/>
      <c r="P675" s="115"/>
      <c r="Q675" s="116"/>
      <c r="R675" s="116"/>
      <c r="S675" s="111">
        <f>Audit[[#This Row],[Audit Losing Candidate]]-Audit[[#This Row],[Losing Candidate]]</f>
        <v>-1</v>
      </c>
      <c r="T675" s="111">
        <f>Audit[[#This Row],[Audit Winning Candidate]]-Audit[[#This Row],[Winning Candidate]]</f>
        <v>-7</v>
      </c>
      <c r="U675" s="111">
        <f>Audit[[#This Row],[Audit Candidate 3]]-Audit[[#This Row],[Candidate 3]]</f>
        <v>-2</v>
      </c>
      <c r="V675" s="111">
        <f>Audit[[#This Row],[Audit Candidate 4]]-Audit[[#This Row],[Candidate 4]]</f>
        <v>-1</v>
      </c>
      <c r="W675" s="111">
        <f>Audit[[#This Row],[Audit Candidate 5]]-Audit[[#This Row],[Candidate 5]]</f>
        <v>0</v>
      </c>
      <c r="X675" s="111">
        <f>Audit[[#This Row],[Audit Candidate 6]]-Audit[[#This Row],[Candidate 6]]</f>
        <v>0</v>
      </c>
      <c r="Y675" s="111">
        <f>SUMIF(Audit[[#This Row],[Difference Loser]:[Difference Candidate 6]], "&gt;0")</f>
        <v>0</v>
      </c>
      <c r="Z675" s="111">
        <f>SUM(Audit[[#This Row],[Difference Loser]:[Difference Candidate 6]])</f>
        <v>-11</v>
      </c>
      <c r="AA675" s="111">
        <f>IF(Audit[[#This Row],[Times p Drawn - With Replacement]]&gt;0, IF(Audit[[#This Row],[Canceled Differences]]&lt;0, Audit[[#This Row],[Max Differences]]+ABS(Audit[[#This Row],[Canceled Differences]]), Audit[[#This Row],[Max Differences]]), 0)</f>
        <v>0</v>
      </c>
      <c r="AB675" s="111">
        <f>'Sampling Data'!P665</f>
        <v>1.041156295933366E-3</v>
      </c>
      <c r="AC675" s="111">
        <f>IF(
      SUM(Audit[[#This Row],[Audit Losing Candidate]:[Audit Candidate 6]])
      &lt;&gt;0,
      (Audit[[#This Row],[Winning Candidate]]-Audit[[#This Row],[Losing Candidate]]-(Audit[[#This Row],[Audit Winning Candidate]]-Audit[[#This Row],[Audit Losing Candidate]]))/(Audit[[#Totals],[Winning Candidate]]-Audit[[#Totals],[Losing Candidate]]),
      0
)</f>
        <v>0</v>
      </c>
      <c r="AD6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5" s="111">
        <f>IF(Audit[[#This Row],[Max Relative Error (ep)]] = 0, 0, Audit[[#This Row],[Max Relative Error (ep)]]/Audit[[#This Row],[Error Bound (up) - Max. possible relative overstatement]])</f>
        <v>0</v>
      </c>
      <c r="AJ6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75" s="111">
        <f t="shared" si="10"/>
        <v>1</v>
      </c>
      <c r="AL675" s="111">
        <f>PRODUCT($AK$5:AK675)</f>
        <v>8.962823818226312E-2</v>
      </c>
      <c r="AM675" s="109">
        <f>1 - [K-M P Value]</f>
        <v>0.91037176181773694</v>
      </c>
      <c r="AN675" s="111" t="str">
        <f>IF(Audit[[#This Row],[K-M P Value]]&gt;1-'General Info'!$B$16,"Continue", "Stop")</f>
        <v>Stop</v>
      </c>
      <c r="AO675" s="110" t="b">
        <f>IF(Audit[[#This Row],[Status - Continue or stop audit]] = "Continue", TRUE, IF(AN674 = "Continue", TRUE, FALSE))</f>
        <v>0</v>
      </c>
      <c r="AP675" s="110"/>
    </row>
    <row r="676" spans="1:42" ht="15" hidden="1" customHeight="1">
      <c r="A676" s="111" t="str">
        <f>'Sampling Data'!W666</f>
        <v/>
      </c>
      <c r="B676" s="112" t="str">
        <f>'Sampling Data'!A666</f>
        <v>CLEVELAND -11-K - ABS</v>
      </c>
      <c r="C676" s="112">
        <f>'Sampling Data'!B666</f>
        <v>3</v>
      </c>
      <c r="D676" s="112">
        <f>'Sampling Data'!C666</f>
        <v>1</v>
      </c>
      <c r="E676" s="113">
        <f>'Sampling Data'!D666</f>
        <v>1</v>
      </c>
      <c r="F676" s="113">
        <f>'Sampling Data'!E666</f>
        <v>4</v>
      </c>
      <c r="G676" s="113">
        <f>'Sampling Data'!F666</f>
        <v>0</v>
      </c>
      <c r="H676" s="113">
        <f>'Sampling Data'!G666</f>
        <v>0</v>
      </c>
      <c r="I676" s="112">
        <f>'Sampling Data'!H666</f>
        <v>0</v>
      </c>
      <c r="J676" s="112">
        <f>'Sampling Data'!I666</f>
        <v>0</v>
      </c>
      <c r="K676" s="112">
        <f>'Sampling Data'!J666</f>
        <v>9</v>
      </c>
      <c r="L676" s="111">
        <f>'Sampling Data'!X666</f>
        <v>0</v>
      </c>
      <c r="M676" s="114"/>
      <c r="N676" s="114"/>
      <c r="O676" s="115"/>
      <c r="P676" s="115"/>
      <c r="Q676" s="116"/>
      <c r="R676" s="116"/>
      <c r="S676" s="111">
        <f>Audit[[#This Row],[Audit Losing Candidate]]-Audit[[#This Row],[Losing Candidate]]</f>
        <v>-3</v>
      </c>
      <c r="T676" s="111">
        <f>Audit[[#This Row],[Audit Winning Candidate]]-Audit[[#This Row],[Winning Candidate]]</f>
        <v>-1</v>
      </c>
      <c r="U676" s="111">
        <f>Audit[[#This Row],[Audit Candidate 3]]-Audit[[#This Row],[Candidate 3]]</f>
        <v>-1</v>
      </c>
      <c r="V676" s="111">
        <f>Audit[[#This Row],[Audit Candidate 4]]-Audit[[#This Row],[Candidate 4]]</f>
        <v>-4</v>
      </c>
      <c r="W676" s="111">
        <f>Audit[[#This Row],[Audit Candidate 5]]-Audit[[#This Row],[Candidate 5]]</f>
        <v>0</v>
      </c>
      <c r="X676" s="111">
        <f>Audit[[#This Row],[Audit Candidate 6]]-Audit[[#This Row],[Candidate 6]]</f>
        <v>0</v>
      </c>
      <c r="Y676" s="111">
        <f>SUMIF(Audit[[#This Row],[Difference Loser]:[Difference Candidate 6]], "&gt;0")</f>
        <v>0</v>
      </c>
      <c r="Z676" s="111">
        <f>SUM(Audit[[#This Row],[Difference Loser]:[Difference Candidate 6]])</f>
        <v>-9</v>
      </c>
      <c r="AA676" s="111">
        <f>IF(Audit[[#This Row],[Times p Drawn - With Replacement]]&gt;0, IF(Audit[[#This Row],[Canceled Differences]]&lt;0, Audit[[#This Row],[Max Differences]]+ABS(Audit[[#This Row],[Canceled Differences]]), Audit[[#This Row],[Max Differences]]), 0)</f>
        <v>0</v>
      </c>
      <c r="AB676" s="111">
        <f>'Sampling Data'!P666</f>
        <v>4.2871141597256246E-4</v>
      </c>
      <c r="AC676" s="111">
        <f>IF(
      SUM(Audit[[#This Row],[Audit Losing Candidate]:[Audit Candidate 6]])
      &lt;&gt;0,
      (Audit[[#This Row],[Winning Candidate]]-Audit[[#This Row],[Losing Candidate]]-(Audit[[#This Row],[Audit Winning Candidate]]-Audit[[#This Row],[Audit Losing Candidate]]))/(Audit[[#Totals],[Winning Candidate]]-Audit[[#Totals],[Losing Candidate]]),
      0
)</f>
        <v>0</v>
      </c>
      <c r="AD6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6" s="111">
        <f>IF(Audit[[#This Row],[Max Relative Error (ep)]] = 0, 0, Audit[[#This Row],[Max Relative Error (ep)]]/Audit[[#This Row],[Error Bound (up) - Max. possible relative overstatement]])</f>
        <v>0</v>
      </c>
      <c r="AJ6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76" s="111">
        <f t="shared" si="10"/>
        <v>1</v>
      </c>
      <c r="AL676" s="111">
        <f>PRODUCT($AK$5:AK676)</f>
        <v>8.962823818226312E-2</v>
      </c>
      <c r="AM676" s="109">
        <f>1 - [K-M P Value]</f>
        <v>0.91037176181773694</v>
      </c>
      <c r="AN676" s="111" t="str">
        <f>IF(Audit[[#This Row],[K-M P Value]]&gt;1-'General Info'!$B$16,"Continue", "Stop")</f>
        <v>Stop</v>
      </c>
      <c r="AO676" s="110" t="b">
        <f>IF(Audit[[#This Row],[Status - Continue or stop audit]] = "Continue", TRUE, IF(AN675 = "Continue", TRUE, FALSE))</f>
        <v>0</v>
      </c>
      <c r="AP676" s="110"/>
    </row>
    <row r="677" spans="1:42" ht="15" hidden="1" customHeight="1">
      <c r="A677" s="111" t="str">
        <f>'Sampling Data'!W667</f>
        <v/>
      </c>
      <c r="B677" s="112" t="str">
        <f>'Sampling Data'!A667</f>
        <v>CLEVELAND -11-L</v>
      </c>
      <c r="C677" s="112">
        <f>'Sampling Data'!B667</f>
        <v>14</v>
      </c>
      <c r="D677" s="112">
        <f>'Sampling Data'!C667</f>
        <v>5</v>
      </c>
      <c r="E677" s="113">
        <f>'Sampling Data'!D667</f>
        <v>1</v>
      </c>
      <c r="F677" s="113">
        <f>'Sampling Data'!E667</f>
        <v>4</v>
      </c>
      <c r="G677" s="113">
        <f>'Sampling Data'!F667</f>
        <v>0</v>
      </c>
      <c r="H677" s="113">
        <f>'Sampling Data'!G667</f>
        <v>0</v>
      </c>
      <c r="I677" s="112">
        <f>'Sampling Data'!H667</f>
        <v>0</v>
      </c>
      <c r="J677" s="112">
        <f>'Sampling Data'!I667</f>
        <v>0</v>
      </c>
      <c r="K677" s="112">
        <f>'Sampling Data'!J667</f>
        <v>24</v>
      </c>
      <c r="L677" s="111">
        <f>'Sampling Data'!X667</f>
        <v>0</v>
      </c>
      <c r="M677" s="114"/>
      <c r="N677" s="114"/>
      <c r="O677" s="115"/>
      <c r="P677" s="115"/>
      <c r="Q677" s="116"/>
      <c r="R677" s="116"/>
      <c r="S677" s="111">
        <f>Audit[[#This Row],[Audit Losing Candidate]]-Audit[[#This Row],[Losing Candidate]]</f>
        <v>-14</v>
      </c>
      <c r="T677" s="111">
        <f>Audit[[#This Row],[Audit Winning Candidate]]-Audit[[#This Row],[Winning Candidate]]</f>
        <v>-5</v>
      </c>
      <c r="U677" s="111">
        <f>Audit[[#This Row],[Audit Candidate 3]]-Audit[[#This Row],[Candidate 3]]</f>
        <v>-1</v>
      </c>
      <c r="V677" s="111">
        <f>Audit[[#This Row],[Audit Candidate 4]]-Audit[[#This Row],[Candidate 4]]</f>
        <v>-4</v>
      </c>
      <c r="W677" s="111">
        <f>Audit[[#This Row],[Audit Candidate 5]]-Audit[[#This Row],[Candidate 5]]</f>
        <v>0</v>
      </c>
      <c r="X677" s="111">
        <f>Audit[[#This Row],[Audit Candidate 6]]-Audit[[#This Row],[Candidate 6]]</f>
        <v>0</v>
      </c>
      <c r="Y677" s="111">
        <f>SUMIF(Audit[[#This Row],[Difference Loser]:[Difference Candidate 6]], "&gt;0")</f>
        <v>0</v>
      </c>
      <c r="Z677" s="111">
        <f>SUM(Audit[[#This Row],[Difference Loser]:[Difference Candidate 6]])</f>
        <v>-24</v>
      </c>
      <c r="AA677" s="111">
        <f>IF(Audit[[#This Row],[Times p Drawn - With Replacement]]&gt;0, IF(Audit[[#This Row],[Canceled Differences]]&lt;0, Audit[[#This Row],[Max Differences]]+ABS(Audit[[#This Row],[Canceled Differences]]), Audit[[#This Row],[Max Differences]]), 0)</f>
        <v>0</v>
      </c>
      <c r="AB677" s="111">
        <f>'Sampling Data'!P667</f>
        <v>9.1866731994120533E-4</v>
      </c>
      <c r="AC677" s="111">
        <f>IF(
      SUM(Audit[[#This Row],[Audit Losing Candidate]:[Audit Candidate 6]])
      &lt;&gt;0,
      (Audit[[#This Row],[Winning Candidate]]-Audit[[#This Row],[Losing Candidate]]-(Audit[[#This Row],[Audit Winning Candidate]]-Audit[[#This Row],[Audit Losing Candidate]]))/(Audit[[#Totals],[Winning Candidate]]-Audit[[#Totals],[Losing Candidate]]),
      0
)</f>
        <v>0</v>
      </c>
      <c r="AD6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7" s="111">
        <f>IF(Audit[[#This Row],[Max Relative Error (ep)]] = 0, 0, Audit[[#This Row],[Max Relative Error (ep)]]/Audit[[#This Row],[Error Bound (up) - Max. possible relative overstatement]])</f>
        <v>0</v>
      </c>
      <c r="AJ6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77" s="111">
        <f t="shared" si="10"/>
        <v>1</v>
      </c>
      <c r="AL677" s="111">
        <f>PRODUCT($AK$5:AK677)</f>
        <v>8.962823818226312E-2</v>
      </c>
      <c r="AM677" s="109">
        <f>1 - [K-M P Value]</f>
        <v>0.91037176181773694</v>
      </c>
      <c r="AN677" s="111" t="str">
        <f>IF(Audit[[#This Row],[K-M P Value]]&gt;1-'General Info'!$B$16,"Continue", "Stop")</f>
        <v>Stop</v>
      </c>
      <c r="AO677" s="110" t="b">
        <f>IF(Audit[[#This Row],[Status - Continue or stop audit]] = "Continue", TRUE, IF(AN676 = "Continue", TRUE, FALSE))</f>
        <v>0</v>
      </c>
      <c r="AP677" s="110"/>
    </row>
    <row r="678" spans="1:42" ht="15" hidden="1" customHeight="1">
      <c r="A678" s="111" t="str">
        <f>'Sampling Data'!W668</f>
        <v/>
      </c>
      <c r="B678" s="112" t="str">
        <f>'Sampling Data'!A668</f>
        <v>CLEVELAND -11-L - ABS</v>
      </c>
      <c r="C678" s="112">
        <f>'Sampling Data'!B668</f>
        <v>8</v>
      </c>
      <c r="D678" s="112">
        <f>'Sampling Data'!C668</f>
        <v>1</v>
      </c>
      <c r="E678" s="113">
        <f>'Sampling Data'!D668</f>
        <v>0</v>
      </c>
      <c r="F678" s="113">
        <f>'Sampling Data'!E668</f>
        <v>0</v>
      </c>
      <c r="G678" s="113">
        <f>'Sampling Data'!F668</f>
        <v>0</v>
      </c>
      <c r="H678" s="113">
        <f>'Sampling Data'!G668</f>
        <v>0</v>
      </c>
      <c r="I678" s="112">
        <f>'Sampling Data'!H668</f>
        <v>0</v>
      </c>
      <c r="J678" s="112">
        <f>'Sampling Data'!I668</f>
        <v>0</v>
      </c>
      <c r="K678" s="112">
        <f>'Sampling Data'!J668</f>
        <v>9</v>
      </c>
      <c r="L678" s="111">
        <f>'Sampling Data'!X668</f>
        <v>0</v>
      </c>
      <c r="M678" s="114"/>
      <c r="N678" s="114"/>
      <c r="O678" s="115"/>
      <c r="P678" s="115"/>
      <c r="Q678" s="116"/>
      <c r="R678" s="116"/>
      <c r="S678" s="111">
        <f>Audit[[#This Row],[Audit Losing Candidate]]-Audit[[#This Row],[Losing Candidate]]</f>
        <v>-8</v>
      </c>
      <c r="T678" s="111">
        <f>Audit[[#This Row],[Audit Winning Candidate]]-Audit[[#This Row],[Winning Candidate]]</f>
        <v>-1</v>
      </c>
      <c r="U678" s="111">
        <f>Audit[[#This Row],[Audit Candidate 3]]-Audit[[#This Row],[Candidate 3]]</f>
        <v>0</v>
      </c>
      <c r="V678" s="111">
        <f>Audit[[#This Row],[Audit Candidate 4]]-Audit[[#This Row],[Candidate 4]]</f>
        <v>0</v>
      </c>
      <c r="W678" s="111">
        <f>Audit[[#This Row],[Audit Candidate 5]]-Audit[[#This Row],[Candidate 5]]</f>
        <v>0</v>
      </c>
      <c r="X678" s="111">
        <f>Audit[[#This Row],[Audit Candidate 6]]-Audit[[#This Row],[Candidate 6]]</f>
        <v>0</v>
      </c>
      <c r="Y678" s="111">
        <f>SUMIF(Audit[[#This Row],[Difference Loser]:[Difference Candidate 6]], "&gt;0")</f>
        <v>0</v>
      </c>
      <c r="Z678" s="111">
        <f>SUM(Audit[[#This Row],[Difference Loser]:[Difference Candidate 6]])</f>
        <v>-9</v>
      </c>
      <c r="AA678" s="111">
        <f>IF(Audit[[#This Row],[Times p Drawn - With Replacement]]&gt;0, IF(Audit[[#This Row],[Canceled Differences]]&lt;0, Audit[[#This Row],[Max Differences]]+ABS(Audit[[#This Row],[Canceled Differences]]), Audit[[#This Row],[Max Differences]]), 0)</f>
        <v>0</v>
      </c>
      <c r="AB678" s="111">
        <f>'Sampling Data'!P668</f>
        <v>3.2261186566441915E-4</v>
      </c>
      <c r="AC678" s="111">
        <f>IF(
      SUM(Audit[[#This Row],[Audit Losing Candidate]:[Audit Candidate 6]])
      &lt;&gt;0,
      (Audit[[#This Row],[Winning Candidate]]-Audit[[#This Row],[Losing Candidate]]-(Audit[[#This Row],[Audit Winning Candidate]]-Audit[[#This Row],[Audit Losing Candidate]]))/(Audit[[#Totals],[Winning Candidate]]-Audit[[#Totals],[Losing Candidate]]),
      0
)</f>
        <v>0</v>
      </c>
      <c r="AD6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8" s="111">
        <f>IF(Audit[[#This Row],[Max Relative Error (ep)]] = 0, 0, Audit[[#This Row],[Max Relative Error (ep)]]/Audit[[#This Row],[Error Bound (up) - Max. possible relative overstatement]])</f>
        <v>0</v>
      </c>
      <c r="AJ6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78" s="111">
        <f t="shared" si="10"/>
        <v>1</v>
      </c>
      <c r="AL678" s="111">
        <f>PRODUCT($AK$5:AK678)</f>
        <v>8.962823818226312E-2</v>
      </c>
      <c r="AM678" s="109">
        <f>1 - [K-M P Value]</f>
        <v>0.91037176181773694</v>
      </c>
      <c r="AN678" s="111" t="str">
        <f>IF(Audit[[#This Row],[K-M P Value]]&gt;1-'General Info'!$B$16,"Continue", "Stop")</f>
        <v>Stop</v>
      </c>
      <c r="AO678" s="110" t="b">
        <f>IF(Audit[[#This Row],[Status - Continue or stop audit]] = "Continue", TRUE, IF(AN677 = "Continue", TRUE, FALSE))</f>
        <v>0</v>
      </c>
      <c r="AP678" s="110"/>
    </row>
    <row r="679" spans="1:42" ht="15" hidden="1" customHeight="1">
      <c r="A679" s="111" t="str">
        <f>'Sampling Data'!W669</f>
        <v/>
      </c>
      <c r="B679" s="112" t="str">
        <f>'Sampling Data'!A669</f>
        <v>CLEVELAND -11-M</v>
      </c>
      <c r="C679" s="112">
        <f>'Sampling Data'!B669</f>
        <v>5</v>
      </c>
      <c r="D679" s="112">
        <f>'Sampling Data'!C669</f>
        <v>3</v>
      </c>
      <c r="E679" s="113">
        <f>'Sampling Data'!D669</f>
        <v>1</v>
      </c>
      <c r="F679" s="113">
        <f>'Sampling Data'!E669</f>
        <v>0</v>
      </c>
      <c r="G679" s="113">
        <f>'Sampling Data'!F669</f>
        <v>0</v>
      </c>
      <c r="H679" s="113">
        <f>'Sampling Data'!G669</f>
        <v>0</v>
      </c>
      <c r="I679" s="112">
        <f>'Sampling Data'!H669</f>
        <v>0</v>
      </c>
      <c r="J679" s="112">
        <f>'Sampling Data'!I669</f>
        <v>1</v>
      </c>
      <c r="K679" s="112">
        <f>'Sampling Data'!J669</f>
        <v>10</v>
      </c>
      <c r="L679" s="111">
        <f>'Sampling Data'!X669</f>
        <v>0</v>
      </c>
      <c r="M679" s="114"/>
      <c r="N679" s="114"/>
      <c r="O679" s="115"/>
      <c r="P679" s="115"/>
      <c r="Q679" s="116"/>
      <c r="R679" s="116"/>
      <c r="S679" s="111">
        <f>Audit[[#This Row],[Audit Losing Candidate]]-Audit[[#This Row],[Losing Candidate]]</f>
        <v>-5</v>
      </c>
      <c r="T679" s="111">
        <f>Audit[[#This Row],[Audit Winning Candidate]]-Audit[[#This Row],[Winning Candidate]]</f>
        <v>-3</v>
      </c>
      <c r="U679" s="111">
        <f>Audit[[#This Row],[Audit Candidate 3]]-Audit[[#This Row],[Candidate 3]]</f>
        <v>-1</v>
      </c>
      <c r="V679" s="111">
        <f>Audit[[#This Row],[Audit Candidate 4]]-Audit[[#This Row],[Candidate 4]]</f>
        <v>0</v>
      </c>
      <c r="W679" s="111">
        <f>Audit[[#This Row],[Audit Candidate 5]]-Audit[[#This Row],[Candidate 5]]</f>
        <v>0</v>
      </c>
      <c r="X679" s="111">
        <f>Audit[[#This Row],[Audit Candidate 6]]-Audit[[#This Row],[Candidate 6]]</f>
        <v>0</v>
      </c>
      <c r="Y679" s="111">
        <f>SUMIF(Audit[[#This Row],[Difference Loser]:[Difference Candidate 6]], "&gt;0")</f>
        <v>0</v>
      </c>
      <c r="Z679" s="111">
        <f>SUM(Audit[[#This Row],[Difference Loser]:[Difference Candidate 6]])</f>
        <v>-9</v>
      </c>
      <c r="AA679" s="111">
        <f>IF(Audit[[#This Row],[Times p Drawn - With Replacement]]&gt;0, IF(Audit[[#This Row],[Canceled Differences]]&lt;0, Audit[[#This Row],[Max Differences]]+ABS(Audit[[#This Row],[Canceled Differences]]), Audit[[#This Row],[Max Differences]]), 0)</f>
        <v>0</v>
      </c>
      <c r="AB679" s="111">
        <f>'Sampling Data'!P669</f>
        <v>4.8995590396864281E-4</v>
      </c>
      <c r="AC679" s="111">
        <f>IF(
      SUM(Audit[[#This Row],[Audit Losing Candidate]:[Audit Candidate 6]])
      &lt;&gt;0,
      (Audit[[#This Row],[Winning Candidate]]-Audit[[#This Row],[Losing Candidate]]-(Audit[[#This Row],[Audit Winning Candidate]]-Audit[[#This Row],[Audit Losing Candidate]]))/(Audit[[#Totals],[Winning Candidate]]-Audit[[#Totals],[Losing Candidate]]),
      0
)</f>
        <v>0</v>
      </c>
      <c r="AD6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9" s="111">
        <f>IF(Audit[[#This Row],[Max Relative Error (ep)]] = 0, 0, Audit[[#This Row],[Max Relative Error (ep)]]/Audit[[#This Row],[Error Bound (up) - Max. possible relative overstatement]])</f>
        <v>0</v>
      </c>
      <c r="AJ6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79" s="111">
        <f t="shared" si="10"/>
        <v>1</v>
      </c>
      <c r="AL679" s="111">
        <f>PRODUCT($AK$5:AK679)</f>
        <v>8.962823818226312E-2</v>
      </c>
      <c r="AM679" s="109">
        <f>1 - [K-M P Value]</f>
        <v>0.91037176181773694</v>
      </c>
      <c r="AN679" s="111" t="str">
        <f>IF(Audit[[#This Row],[K-M P Value]]&gt;1-'General Info'!$B$16,"Continue", "Stop")</f>
        <v>Stop</v>
      </c>
      <c r="AO679" s="110" t="b">
        <f>IF(Audit[[#This Row],[Status - Continue or stop audit]] = "Continue", TRUE, IF(AN678 = "Continue", TRUE, FALSE))</f>
        <v>0</v>
      </c>
      <c r="AP679" s="110"/>
    </row>
    <row r="680" spans="1:42" ht="15" hidden="1" customHeight="1">
      <c r="A680" s="111" t="str">
        <f>'Sampling Data'!W670</f>
        <v/>
      </c>
      <c r="B680" s="112" t="str">
        <f>'Sampling Data'!A670</f>
        <v>CLEVELAND -11-M - ABS</v>
      </c>
      <c r="C680" s="112">
        <f>'Sampling Data'!B670</f>
        <v>0</v>
      </c>
      <c r="D680" s="112">
        <f>'Sampling Data'!C670</f>
        <v>2</v>
      </c>
      <c r="E680" s="113">
        <f>'Sampling Data'!D670</f>
        <v>1</v>
      </c>
      <c r="F680" s="113">
        <f>'Sampling Data'!E670</f>
        <v>1</v>
      </c>
      <c r="G680" s="113">
        <f>'Sampling Data'!F670</f>
        <v>0</v>
      </c>
      <c r="H680" s="113">
        <f>'Sampling Data'!G670</f>
        <v>0</v>
      </c>
      <c r="I680" s="112">
        <f>'Sampling Data'!H670</f>
        <v>0</v>
      </c>
      <c r="J680" s="112">
        <f>'Sampling Data'!I670</f>
        <v>0</v>
      </c>
      <c r="K680" s="112">
        <f>'Sampling Data'!J670</f>
        <v>4</v>
      </c>
      <c r="L680" s="111">
        <f>'Sampling Data'!X670</f>
        <v>0</v>
      </c>
      <c r="M680" s="114"/>
      <c r="N680" s="114"/>
      <c r="O680" s="115"/>
      <c r="P680" s="115"/>
      <c r="Q680" s="116"/>
      <c r="R680" s="116"/>
      <c r="S680" s="111">
        <f>Audit[[#This Row],[Audit Losing Candidate]]-Audit[[#This Row],[Losing Candidate]]</f>
        <v>0</v>
      </c>
      <c r="T680" s="111">
        <f>Audit[[#This Row],[Audit Winning Candidate]]-Audit[[#This Row],[Winning Candidate]]</f>
        <v>-2</v>
      </c>
      <c r="U680" s="111">
        <f>Audit[[#This Row],[Audit Candidate 3]]-Audit[[#This Row],[Candidate 3]]</f>
        <v>-1</v>
      </c>
      <c r="V680" s="111">
        <f>Audit[[#This Row],[Audit Candidate 4]]-Audit[[#This Row],[Candidate 4]]</f>
        <v>-1</v>
      </c>
      <c r="W680" s="111">
        <f>Audit[[#This Row],[Audit Candidate 5]]-Audit[[#This Row],[Candidate 5]]</f>
        <v>0</v>
      </c>
      <c r="X680" s="111">
        <f>Audit[[#This Row],[Audit Candidate 6]]-Audit[[#This Row],[Candidate 6]]</f>
        <v>0</v>
      </c>
      <c r="Y680" s="111">
        <f>SUMIF(Audit[[#This Row],[Difference Loser]:[Difference Candidate 6]], "&gt;0")</f>
        <v>0</v>
      </c>
      <c r="Z680" s="111">
        <f>SUM(Audit[[#This Row],[Difference Loser]:[Difference Candidate 6]])</f>
        <v>-4</v>
      </c>
      <c r="AA680" s="111">
        <f>IF(Audit[[#This Row],[Times p Drawn - With Replacement]]&gt;0, IF(Audit[[#This Row],[Canceled Differences]]&lt;0, Audit[[#This Row],[Max Differences]]+ABS(Audit[[#This Row],[Canceled Differences]]), Audit[[#This Row],[Max Differences]]), 0)</f>
        <v>0</v>
      </c>
      <c r="AB680" s="111">
        <f>'Sampling Data'!P670</f>
        <v>3.6746692797648211E-4</v>
      </c>
      <c r="AC680" s="111">
        <f>IF(
      SUM(Audit[[#This Row],[Audit Losing Candidate]:[Audit Candidate 6]])
      &lt;&gt;0,
      (Audit[[#This Row],[Winning Candidate]]-Audit[[#This Row],[Losing Candidate]]-(Audit[[#This Row],[Audit Winning Candidate]]-Audit[[#This Row],[Audit Losing Candidate]]))/(Audit[[#Totals],[Winning Candidate]]-Audit[[#Totals],[Losing Candidate]]),
      0
)</f>
        <v>0</v>
      </c>
      <c r="AD6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0" s="111">
        <f>IF(Audit[[#This Row],[Max Relative Error (ep)]] = 0, 0, Audit[[#This Row],[Max Relative Error (ep)]]/Audit[[#This Row],[Error Bound (up) - Max. possible relative overstatement]])</f>
        <v>0</v>
      </c>
      <c r="AJ6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80" s="111">
        <f t="shared" si="10"/>
        <v>1</v>
      </c>
      <c r="AL680" s="111">
        <f>PRODUCT($AK$5:AK680)</f>
        <v>8.962823818226312E-2</v>
      </c>
      <c r="AM680" s="109">
        <f>1 - [K-M P Value]</f>
        <v>0.91037176181773694</v>
      </c>
      <c r="AN680" s="111" t="str">
        <f>IF(Audit[[#This Row],[K-M P Value]]&gt;1-'General Info'!$B$16,"Continue", "Stop")</f>
        <v>Stop</v>
      </c>
      <c r="AO680" s="110" t="b">
        <f>IF(Audit[[#This Row],[Status - Continue or stop audit]] = "Continue", TRUE, IF(AN679 = "Continue", TRUE, FALSE))</f>
        <v>0</v>
      </c>
      <c r="AP680" s="110"/>
    </row>
    <row r="681" spans="1:42" ht="15" hidden="1" customHeight="1">
      <c r="A681" s="111" t="str">
        <f>'Sampling Data'!W671</f>
        <v/>
      </c>
      <c r="B681" s="112" t="str">
        <f>'Sampling Data'!A671</f>
        <v>CLEVELAND -11-N</v>
      </c>
      <c r="C681" s="112">
        <f>'Sampling Data'!B671</f>
        <v>3</v>
      </c>
      <c r="D681" s="112">
        <f>'Sampling Data'!C671</f>
        <v>2</v>
      </c>
      <c r="E681" s="113">
        <f>'Sampling Data'!D671</f>
        <v>1</v>
      </c>
      <c r="F681" s="113">
        <f>'Sampling Data'!E671</f>
        <v>1</v>
      </c>
      <c r="G681" s="113">
        <f>'Sampling Data'!F671</f>
        <v>0</v>
      </c>
      <c r="H681" s="113">
        <f>'Sampling Data'!G671</f>
        <v>0</v>
      </c>
      <c r="I681" s="112">
        <f>'Sampling Data'!H671</f>
        <v>0</v>
      </c>
      <c r="J681" s="112">
        <f>'Sampling Data'!I671</f>
        <v>0</v>
      </c>
      <c r="K681" s="112">
        <f>'Sampling Data'!J671</f>
        <v>7</v>
      </c>
      <c r="L681" s="111">
        <f>'Sampling Data'!X671</f>
        <v>0</v>
      </c>
      <c r="M681" s="114"/>
      <c r="N681" s="114"/>
      <c r="O681" s="115"/>
      <c r="P681" s="115"/>
      <c r="Q681" s="116"/>
      <c r="R681" s="116"/>
      <c r="S681" s="111">
        <f>Audit[[#This Row],[Audit Losing Candidate]]-Audit[[#This Row],[Losing Candidate]]</f>
        <v>-3</v>
      </c>
      <c r="T681" s="111">
        <f>Audit[[#This Row],[Audit Winning Candidate]]-Audit[[#This Row],[Winning Candidate]]</f>
        <v>-2</v>
      </c>
      <c r="U681" s="111">
        <f>Audit[[#This Row],[Audit Candidate 3]]-Audit[[#This Row],[Candidate 3]]</f>
        <v>-1</v>
      </c>
      <c r="V681" s="111">
        <f>Audit[[#This Row],[Audit Candidate 4]]-Audit[[#This Row],[Candidate 4]]</f>
        <v>-1</v>
      </c>
      <c r="W681" s="111">
        <f>Audit[[#This Row],[Audit Candidate 5]]-Audit[[#This Row],[Candidate 5]]</f>
        <v>0</v>
      </c>
      <c r="X681" s="111">
        <f>Audit[[#This Row],[Audit Candidate 6]]-Audit[[#This Row],[Candidate 6]]</f>
        <v>0</v>
      </c>
      <c r="Y681" s="111">
        <f>SUMIF(Audit[[#This Row],[Difference Loser]:[Difference Candidate 6]], "&gt;0")</f>
        <v>0</v>
      </c>
      <c r="Z681" s="111">
        <f>SUM(Audit[[#This Row],[Difference Loser]:[Difference Candidate 6]])</f>
        <v>-7</v>
      </c>
      <c r="AA681" s="111">
        <f>IF(Audit[[#This Row],[Times p Drawn - With Replacement]]&gt;0, IF(Audit[[#This Row],[Canceled Differences]]&lt;0, Audit[[#This Row],[Max Differences]]+ABS(Audit[[#This Row],[Canceled Differences]]), Audit[[#This Row],[Max Differences]]), 0)</f>
        <v>0</v>
      </c>
      <c r="AB681" s="111">
        <f>'Sampling Data'!P671</f>
        <v>3.6746692797648211E-4</v>
      </c>
      <c r="AC681" s="111">
        <f>IF(
      SUM(Audit[[#This Row],[Audit Losing Candidate]:[Audit Candidate 6]])
      &lt;&gt;0,
      (Audit[[#This Row],[Winning Candidate]]-Audit[[#This Row],[Losing Candidate]]-(Audit[[#This Row],[Audit Winning Candidate]]-Audit[[#This Row],[Audit Losing Candidate]]))/(Audit[[#Totals],[Winning Candidate]]-Audit[[#Totals],[Losing Candidate]]),
      0
)</f>
        <v>0</v>
      </c>
      <c r="AD6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1" s="111">
        <f>IF(Audit[[#This Row],[Max Relative Error (ep)]] = 0, 0, Audit[[#This Row],[Max Relative Error (ep)]]/Audit[[#This Row],[Error Bound (up) - Max. possible relative overstatement]])</f>
        <v>0</v>
      </c>
      <c r="AJ6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81" s="111">
        <f t="shared" si="10"/>
        <v>1</v>
      </c>
      <c r="AL681" s="111">
        <f>PRODUCT($AK$5:AK681)</f>
        <v>8.962823818226312E-2</v>
      </c>
      <c r="AM681" s="109">
        <f>1 - [K-M P Value]</f>
        <v>0.91037176181773694</v>
      </c>
      <c r="AN681" s="111" t="str">
        <f>IF(Audit[[#This Row],[K-M P Value]]&gt;1-'General Info'!$B$16,"Continue", "Stop")</f>
        <v>Stop</v>
      </c>
      <c r="AO681" s="110" t="b">
        <f>IF(Audit[[#This Row],[Status - Continue or stop audit]] = "Continue", TRUE, IF(AN680 = "Continue", TRUE, FALSE))</f>
        <v>0</v>
      </c>
      <c r="AP681" s="110"/>
    </row>
    <row r="682" spans="1:42" ht="15" hidden="1" customHeight="1">
      <c r="A682" s="111" t="str">
        <f>'Sampling Data'!W672</f>
        <v/>
      </c>
      <c r="B682" s="112" t="str">
        <f>'Sampling Data'!A672</f>
        <v>CLEVELAND -11-N - ABS</v>
      </c>
      <c r="C682" s="112">
        <f>'Sampling Data'!B672</f>
        <v>4</v>
      </c>
      <c r="D682" s="112">
        <f>'Sampling Data'!C672</f>
        <v>2</v>
      </c>
      <c r="E682" s="113">
        <f>'Sampling Data'!D672</f>
        <v>0</v>
      </c>
      <c r="F682" s="113">
        <f>'Sampling Data'!E672</f>
        <v>0</v>
      </c>
      <c r="G682" s="113">
        <f>'Sampling Data'!F672</f>
        <v>0</v>
      </c>
      <c r="H682" s="113">
        <f>'Sampling Data'!G672</f>
        <v>0</v>
      </c>
      <c r="I682" s="112">
        <f>'Sampling Data'!H672</f>
        <v>0</v>
      </c>
      <c r="J682" s="112">
        <f>'Sampling Data'!I672</f>
        <v>0</v>
      </c>
      <c r="K682" s="112">
        <f>'Sampling Data'!J672</f>
        <v>6</v>
      </c>
      <c r="L682" s="111">
        <f>'Sampling Data'!X672</f>
        <v>0</v>
      </c>
      <c r="M682" s="114"/>
      <c r="N682" s="114"/>
      <c r="O682" s="115"/>
      <c r="P682" s="115"/>
      <c r="Q682" s="116"/>
      <c r="R682" s="116"/>
      <c r="S682" s="111">
        <f>Audit[[#This Row],[Audit Losing Candidate]]-Audit[[#This Row],[Losing Candidate]]</f>
        <v>-4</v>
      </c>
      <c r="T682" s="111">
        <f>Audit[[#This Row],[Audit Winning Candidate]]-Audit[[#This Row],[Winning Candidate]]</f>
        <v>-2</v>
      </c>
      <c r="U682" s="111">
        <f>Audit[[#This Row],[Audit Candidate 3]]-Audit[[#This Row],[Candidate 3]]</f>
        <v>0</v>
      </c>
      <c r="V682" s="111">
        <f>Audit[[#This Row],[Audit Candidate 4]]-Audit[[#This Row],[Candidate 4]]</f>
        <v>0</v>
      </c>
      <c r="W682" s="111">
        <f>Audit[[#This Row],[Audit Candidate 5]]-Audit[[#This Row],[Candidate 5]]</f>
        <v>0</v>
      </c>
      <c r="X682" s="111">
        <f>Audit[[#This Row],[Audit Candidate 6]]-Audit[[#This Row],[Candidate 6]]</f>
        <v>0</v>
      </c>
      <c r="Y682" s="111">
        <f>SUMIF(Audit[[#This Row],[Difference Loser]:[Difference Candidate 6]], "&gt;0")</f>
        <v>0</v>
      </c>
      <c r="Z682" s="111">
        <f>SUM(Audit[[#This Row],[Difference Loser]:[Difference Candidate 6]])</f>
        <v>-6</v>
      </c>
      <c r="AA682" s="111">
        <f>IF(Audit[[#This Row],[Times p Drawn - With Replacement]]&gt;0, IF(Audit[[#This Row],[Canceled Differences]]&lt;0, Audit[[#This Row],[Max Differences]]+ABS(Audit[[#This Row],[Canceled Differences]]), Audit[[#This Row],[Max Differences]]), 0)</f>
        <v>0</v>
      </c>
      <c r="AB682" s="111">
        <f>'Sampling Data'!P672</f>
        <v>2.5808949253153533E-4</v>
      </c>
      <c r="AC682" s="111">
        <f>IF(
      SUM(Audit[[#This Row],[Audit Losing Candidate]:[Audit Candidate 6]])
      &lt;&gt;0,
      (Audit[[#This Row],[Winning Candidate]]-Audit[[#This Row],[Losing Candidate]]-(Audit[[#This Row],[Audit Winning Candidate]]-Audit[[#This Row],[Audit Losing Candidate]]))/(Audit[[#Totals],[Winning Candidate]]-Audit[[#Totals],[Losing Candidate]]),
      0
)</f>
        <v>0</v>
      </c>
      <c r="AD6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2" s="111">
        <f>IF(Audit[[#This Row],[Max Relative Error (ep)]] = 0, 0, Audit[[#This Row],[Max Relative Error (ep)]]/Audit[[#This Row],[Error Bound (up) - Max. possible relative overstatement]])</f>
        <v>0</v>
      </c>
      <c r="AJ6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82" s="111">
        <f t="shared" si="10"/>
        <v>1</v>
      </c>
      <c r="AL682" s="111">
        <f>PRODUCT($AK$5:AK682)</f>
        <v>8.962823818226312E-2</v>
      </c>
      <c r="AM682" s="109">
        <f>1 - [K-M P Value]</f>
        <v>0.91037176181773694</v>
      </c>
      <c r="AN682" s="111" t="str">
        <f>IF(Audit[[#This Row],[K-M P Value]]&gt;1-'General Info'!$B$16,"Continue", "Stop")</f>
        <v>Stop</v>
      </c>
      <c r="AO682" s="110" t="b">
        <f>IF(Audit[[#This Row],[Status - Continue or stop audit]] = "Continue", TRUE, IF(AN681 = "Continue", TRUE, FALSE))</f>
        <v>0</v>
      </c>
      <c r="AP682" s="110"/>
    </row>
    <row r="683" spans="1:42" ht="15" hidden="1" customHeight="1">
      <c r="A683" s="111" t="str">
        <f>'Sampling Data'!W673</f>
        <v/>
      </c>
      <c r="B683" s="112" t="str">
        <f>'Sampling Data'!A673</f>
        <v>CLEVELAND -11-O</v>
      </c>
      <c r="C683" s="112">
        <f>'Sampling Data'!B673</f>
        <v>1</v>
      </c>
      <c r="D683" s="112">
        <f>'Sampling Data'!C673</f>
        <v>3</v>
      </c>
      <c r="E683" s="113">
        <f>'Sampling Data'!D673</f>
        <v>0</v>
      </c>
      <c r="F683" s="113">
        <f>'Sampling Data'!E673</f>
        <v>2</v>
      </c>
      <c r="G683" s="113">
        <f>'Sampling Data'!F673</f>
        <v>0</v>
      </c>
      <c r="H683" s="113">
        <f>'Sampling Data'!G673</f>
        <v>0</v>
      </c>
      <c r="I683" s="112">
        <f>'Sampling Data'!H673</f>
        <v>0</v>
      </c>
      <c r="J683" s="112">
        <f>'Sampling Data'!I673</f>
        <v>0</v>
      </c>
      <c r="K683" s="112">
        <f>'Sampling Data'!J673</f>
        <v>6</v>
      </c>
      <c r="L683" s="111">
        <f>'Sampling Data'!X673</f>
        <v>0</v>
      </c>
      <c r="M683" s="114"/>
      <c r="N683" s="114"/>
      <c r="O683" s="115"/>
      <c r="P683" s="115"/>
      <c r="Q683" s="116"/>
      <c r="R683" s="116"/>
      <c r="S683" s="111">
        <f>Audit[[#This Row],[Audit Losing Candidate]]-Audit[[#This Row],[Losing Candidate]]</f>
        <v>-1</v>
      </c>
      <c r="T683" s="111">
        <f>Audit[[#This Row],[Audit Winning Candidate]]-Audit[[#This Row],[Winning Candidate]]</f>
        <v>-3</v>
      </c>
      <c r="U683" s="111">
        <f>Audit[[#This Row],[Audit Candidate 3]]-Audit[[#This Row],[Candidate 3]]</f>
        <v>0</v>
      </c>
      <c r="V683" s="111">
        <f>Audit[[#This Row],[Audit Candidate 4]]-Audit[[#This Row],[Candidate 4]]</f>
        <v>-2</v>
      </c>
      <c r="W683" s="111">
        <f>Audit[[#This Row],[Audit Candidate 5]]-Audit[[#This Row],[Candidate 5]]</f>
        <v>0</v>
      </c>
      <c r="X683" s="111">
        <f>Audit[[#This Row],[Audit Candidate 6]]-Audit[[#This Row],[Candidate 6]]</f>
        <v>0</v>
      </c>
      <c r="Y683" s="111">
        <f>SUMIF(Audit[[#This Row],[Difference Loser]:[Difference Candidate 6]], "&gt;0")</f>
        <v>0</v>
      </c>
      <c r="Z683" s="111">
        <f>SUM(Audit[[#This Row],[Difference Loser]:[Difference Candidate 6]])</f>
        <v>-6</v>
      </c>
      <c r="AA683" s="111">
        <f>IF(Audit[[#This Row],[Times p Drawn - With Replacement]]&gt;0, IF(Audit[[#This Row],[Canceled Differences]]&lt;0, Audit[[#This Row],[Max Differences]]+ABS(Audit[[#This Row],[Canceled Differences]]), Audit[[#This Row],[Max Differences]]), 0)</f>
        <v>0</v>
      </c>
      <c r="AB683" s="111">
        <f>'Sampling Data'!P673</f>
        <v>4.8995590396864281E-4</v>
      </c>
      <c r="AC683" s="111">
        <f>IF(
      SUM(Audit[[#This Row],[Audit Losing Candidate]:[Audit Candidate 6]])
      &lt;&gt;0,
      (Audit[[#This Row],[Winning Candidate]]-Audit[[#This Row],[Losing Candidate]]-(Audit[[#This Row],[Audit Winning Candidate]]-Audit[[#This Row],[Audit Losing Candidate]]))/(Audit[[#Totals],[Winning Candidate]]-Audit[[#Totals],[Losing Candidate]]),
      0
)</f>
        <v>0</v>
      </c>
      <c r="AD6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3" s="111">
        <f>IF(Audit[[#This Row],[Max Relative Error (ep)]] = 0, 0, Audit[[#This Row],[Max Relative Error (ep)]]/Audit[[#This Row],[Error Bound (up) - Max. possible relative overstatement]])</f>
        <v>0</v>
      </c>
      <c r="AJ6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83" s="111">
        <f t="shared" si="10"/>
        <v>1</v>
      </c>
      <c r="AL683" s="111">
        <f>PRODUCT($AK$5:AK683)</f>
        <v>8.962823818226312E-2</v>
      </c>
      <c r="AM683" s="109">
        <f>1 - [K-M P Value]</f>
        <v>0.91037176181773694</v>
      </c>
      <c r="AN683" s="111" t="str">
        <f>IF(Audit[[#This Row],[K-M P Value]]&gt;1-'General Info'!$B$16,"Continue", "Stop")</f>
        <v>Stop</v>
      </c>
      <c r="AO683" s="110" t="b">
        <f>IF(Audit[[#This Row],[Status - Continue or stop audit]] = "Continue", TRUE, IF(AN682 = "Continue", TRUE, FALSE))</f>
        <v>0</v>
      </c>
      <c r="AP683" s="110"/>
    </row>
    <row r="684" spans="1:42" ht="15" hidden="1" customHeight="1">
      <c r="A684" s="111" t="str">
        <f>'Sampling Data'!W674</f>
        <v/>
      </c>
      <c r="B684" s="112" t="str">
        <f>'Sampling Data'!A674</f>
        <v>CLEVELAND -11-O - ABS</v>
      </c>
      <c r="C684" s="112">
        <f>'Sampling Data'!B674</f>
        <v>0</v>
      </c>
      <c r="D684" s="112">
        <f>'Sampling Data'!C674</f>
        <v>0</v>
      </c>
      <c r="E684" s="113">
        <f>'Sampling Data'!D674</f>
        <v>0</v>
      </c>
      <c r="F684" s="113">
        <f>'Sampling Data'!E674</f>
        <v>2</v>
      </c>
      <c r="G684" s="113">
        <f>'Sampling Data'!F674</f>
        <v>0</v>
      </c>
      <c r="H684" s="113">
        <f>'Sampling Data'!G674</f>
        <v>0</v>
      </c>
      <c r="I684" s="112">
        <f>'Sampling Data'!H674</f>
        <v>0</v>
      </c>
      <c r="J684" s="112">
        <f>'Sampling Data'!I674</f>
        <v>1</v>
      </c>
      <c r="K684" s="112">
        <f>'Sampling Data'!J674</f>
        <v>3</v>
      </c>
      <c r="L684" s="111">
        <f>'Sampling Data'!X674</f>
        <v>0</v>
      </c>
      <c r="M684" s="114"/>
      <c r="N684" s="114"/>
      <c r="O684" s="115"/>
      <c r="P684" s="115"/>
      <c r="Q684" s="116"/>
      <c r="R684" s="116"/>
      <c r="S684" s="111">
        <f>Audit[[#This Row],[Audit Losing Candidate]]-Audit[[#This Row],[Losing Candidate]]</f>
        <v>0</v>
      </c>
      <c r="T684" s="111">
        <f>Audit[[#This Row],[Audit Winning Candidate]]-Audit[[#This Row],[Winning Candidate]]</f>
        <v>0</v>
      </c>
      <c r="U684" s="111">
        <f>Audit[[#This Row],[Audit Candidate 3]]-Audit[[#This Row],[Candidate 3]]</f>
        <v>0</v>
      </c>
      <c r="V684" s="111">
        <f>Audit[[#This Row],[Audit Candidate 4]]-Audit[[#This Row],[Candidate 4]]</f>
        <v>-2</v>
      </c>
      <c r="W684" s="111">
        <f>Audit[[#This Row],[Audit Candidate 5]]-Audit[[#This Row],[Candidate 5]]</f>
        <v>0</v>
      </c>
      <c r="X684" s="111">
        <f>Audit[[#This Row],[Audit Candidate 6]]-Audit[[#This Row],[Candidate 6]]</f>
        <v>0</v>
      </c>
      <c r="Y684" s="111">
        <f>SUMIF(Audit[[#This Row],[Difference Loser]:[Difference Candidate 6]], "&gt;0")</f>
        <v>0</v>
      </c>
      <c r="Z684" s="111">
        <f>SUM(Audit[[#This Row],[Difference Loser]:[Difference Candidate 6]])</f>
        <v>-2</v>
      </c>
      <c r="AA684" s="111">
        <f>IF(Audit[[#This Row],[Times p Drawn - With Replacement]]&gt;0, IF(Audit[[#This Row],[Canceled Differences]]&lt;0, Audit[[#This Row],[Max Differences]]+ABS(Audit[[#This Row],[Canceled Differences]]), Audit[[#This Row],[Max Differences]]), 0)</f>
        <v>0</v>
      </c>
      <c r="AB684" s="111">
        <f>'Sampling Data'!P674</f>
        <v>1.8373346398824106E-4</v>
      </c>
      <c r="AC684" s="111">
        <f>IF(
      SUM(Audit[[#This Row],[Audit Losing Candidate]:[Audit Candidate 6]])
      &lt;&gt;0,
      (Audit[[#This Row],[Winning Candidate]]-Audit[[#This Row],[Losing Candidate]]-(Audit[[#This Row],[Audit Winning Candidate]]-Audit[[#This Row],[Audit Losing Candidate]]))/(Audit[[#Totals],[Winning Candidate]]-Audit[[#Totals],[Losing Candidate]]),
      0
)</f>
        <v>0</v>
      </c>
      <c r="AD6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4" s="111">
        <f>IF(Audit[[#This Row],[Max Relative Error (ep)]] = 0, 0, Audit[[#This Row],[Max Relative Error (ep)]]/Audit[[#This Row],[Error Bound (up) - Max. possible relative overstatement]])</f>
        <v>0</v>
      </c>
      <c r="AJ6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84" s="111">
        <f t="shared" si="10"/>
        <v>1</v>
      </c>
      <c r="AL684" s="111">
        <f>PRODUCT($AK$5:AK684)</f>
        <v>8.962823818226312E-2</v>
      </c>
      <c r="AM684" s="109">
        <f>1 - [K-M P Value]</f>
        <v>0.91037176181773694</v>
      </c>
      <c r="AN684" s="111" t="str">
        <f>IF(Audit[[#This Row],[K-M P Value]]&gt;1-'General Info'!$B$16,"Continue", "Stop")</f>
        <v>Stop</v>
      </c>
      <c r="AO684" s="110" t="b">
        <f>IF(Audit[[#This Row],[Status - Continue or stop audit]] = "Continue", TRUE, IF(AN683 = "Continue", TRUE, FALSE))</f>
        <v>0</v>
      </c>
      <c r="AP684" s="110"/>
    </row>
    <row r="685" spans="1:42" ht="15" hidden="1" customHeight="1">
      <c r="A685" s="111" t="str">
        <f>'Sampling Data'!W675</f>
        <v/>
      </c>
      <c r="B685" s="112" t="str">
        <f>'Sampling Data'!A675</f>
        <v>CLEVELAND -11-P</v>
      </c>
      <c r="C685" s="112">
        <f>'Sampling Data'!B675</f>
        <v>3</v>
      </c>
      <c r="D685" s="112">
        <f>'Sampling Data'!C675</f>
        <v>2</v>
      </c>
      <c r="E685" s="113">
        <f>'Sampling Data'!D675</f>
        <v>1</v>
      </c>
      <c r="F685" s="113">
        <f>'Sampling Data'!E675</f>
        <v>3</v>
      </c>
      <c r="G685" s="113">
        <f>'Sampling Data'!F675</f>
        <v>0</v>
      </c>
      <c r="H685" s="113">
        <f>'Sampling Data'!G675</f>
        <v>0</v>
      </c>
      <c r="I685" s="112">
        <f>'Sampling Data'!H675</f>
        <v>0</v>
      </c>
      <c r="J685" s="112">
        <f>'Sampling Data'!I675</f>
        <v>0</v>
      </c>
      <c r="K685" s="112">
        <f>'Sampling Data'!J675</f>
        <v>9</v>
      </c>
      <c r="L685" s="111">
        <f>'Sampling Data'!X675</f>
        <v>0</v>
      </c>
      <c r="M685" s="114"/>
      <c r="N685" s="114"/>
      <c r="O685" s="115"/>
      <c r="P685" s="115"/>
      <c r="Q685" s="116"/>
      <c r="R685" s="116"/>
      <c r="S685" s="111">
        <f>Audit[[#This Row],[Audit Losing Candidate]]-Audit[[#This Row],[Losing Candidate]]</f>
        <v>-3</v>
      </c>
      <c r="T685" s="111">
        <f>Audit[[#This Row],[Audit Winning Candidate]]-Audit[[#This Row],[Winning Candidate]]</f>
        <v>-2</v>
      </c>
      <c r="U685" s="111">
        <f>Audit[[#This Row],[Audit Candidate 3]]-Audit[[#This Row],[Candidate 3]]</f>
        <v>-1</v>
      </c>
      <c r="V685" s="111">
        <f>Audit[[#This Row],[Audit Candidate 4]]-Audit[[#This Row],[Candidate 4]]</f>
        <v>-3</v>
      </c>
      <c r="W685" s="111">
        <f>Audit[[#This Row],[Audit Candidate 5]]-Audit[[#This Row],[Candidate 5]]</f>
        <v>0</v>
      </c>
      <c r="X685" s="111">
        <f>Audit[[#This Row],[Audit Candidate 6]]-Audit[[#This Row],[Candidate 6]]</f>
        <v>0</v>
      </c>
      <c r="Y685" s="111">
        <f>SUMIF(Audit[[#This Row],[Difference Loser]:[Difference Candidate 6]], "&gt;0")</f>
        <v>0</v>
      </c>
      <c r="Z685" s="111">
        <f>SUM(Audit[[#This Row],[Difference Loser]:[Difference Candidate 6]])</f>
        <v>-9</v>
      </c>
      <c r="AA685" s="111">
        <f>IF(Audit[[#This Row],[Times p Drawn - With Replacement]]&gt;0, IF(Audit[[#This Row],[Canceled Differences]]&lt;0, Audit[[#This Row],[Max Differences]]+ABS(Audit[[#This Row],[Canceled Differences]]), Audit[[#This Row],[Max Differences]]), 0)</f>
        <v>0</v>
      </c>
      <c r="AB685" s="111">
        <f>'Sampling Data'!P675</f>
        <v>4.8995590396864281E-4</v>
      </c>
      <c r="AC685" s="111">
        <f>IF(
      SUM(Audit[[#This Row],[Audit Losing Candidate]:[Audit Candidate 6]])
      &lt;&gt;0,
      (Audit[[#This Row],[Winning Candidate]]-Audit[[#This Row],[Losing Candidate]]-(Audit[[#This Row],[Audit Winning Candidate]]-Audit[[#This Row],[Audit Losing Candidate]]))/(Audit[[#Totals],[Winning Candidate]]-Audit[[#Totals],[Losing Candidate]]),
      0
)</f>
        <v>0</v>
      </c>
      <c r="AD6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5" s="111">
        <f>IF(Audit[[#This Row],[Max Relative Error (ep)]] = 0, 0, Audit[[#This Row],[Max Relative Error (ep)]]/Audit[[#This Row],[Error Bound (up) - Max. possible relative overstatement]])</f>
        <v>0</v>
      </c>
      <c r="AJ6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85" s="111">
        <f t="shared" si="10"/>
        <v>1</v>
      </c>
      <c r="AL685" s="111">
        <f>PRODUCT($AK$5:AK685)</f>
        <v>8.962823818226312E-2</v>
      </c>
      <c r="AM685" s="109">
        <f>1 - [K-M P Value]</f>
        <v>0.91037176181773694</v>
      </c>
      <c r="AN685" s="111" t="str">
        <f>IF(Audit[[#This Row],[K-M P Value]]&gt;1-'General Info'!$B$16,"Continue", "Stop")</f>
        <v>Stop</v>
      </c>
      <c r="AO685" s="110" t="b">
        <f>IF(Audit[[#This Row],[Status - Continue or stop audit]] = "Continue", TRUE, IF(AN684 = "Continue", TRUE, FALSE))</f>
        <v>0</v>
      </c>
      <c r="AP685" s="110"/>
    </row>
    <row r="686" spans="1:42" ht="15" hidden="1" customHeight="1">
      <c r="A686" s="111" t="str">
        <f>'Sampling Data'!W676</f>
        <v/>
      </c>
      <c r="B686" s="112" t="str">
        <f>'Sampling Data'!A676</f>
        <v>CLEVELAND -11-P - ABS</v>
      </c>
      <c r="C686" s="112">
        <f>'Sampling Data'!B676</f>
        <v>1</v>
      </c>
      <c r="D686" s="112">
        <f>'Sampling Data'!C676</f>
        <v>0</v>
      </c>
      <c r="E686" s="113">
        <f>'Sampling Data'!D676</f>
        <v>0</v>
      </c>
      <c r="F686" s="113">
        <f>'Sampling Data'!E676</f>
        <v>1</v>
      </c>
      <c r="G686" s="113">
        <f>'Sampling Data'!F676</f>
        <v>0</v>
      </c>
      <c r="H686" s="113">
        <f>'Sampling Data'!G676</f>
        <v>0</v>
      </c>
      <c r="I686" s="112">
        <f>'Sampling Data'!H676</f>
        <v>0</v>
      </c>
      <c r="J686" s="112">
        <f>'Sampling Data'!I676</f>
        <v>1</v>
      </c>
      <c r="K686" s="112">
        <f>'Sampling Data'!J676</f>
        <v>3</v>
      </c>
      <c r="L686" s="111">
        <f>'Sampling Data'!X676</f>
        <v>0</v>
      </c>
      <c r="M686" s="114"/>
      <c r="N686" s="114"/>
      <c r="O686" s="115"/>
      <c r="P686" s="115"/>
      <c r="Q686" s="116"/>
      <c r="R686" s="116"/>
      <c r="S686" s="111">
        <f>Audit[[#This Row],[Audit Losing Candidate]]-Audit[[#This Row],[Losing Candidate]]</f>
        <v>-1</v>
      </c>
      <c r="T686" s="111">
        <f>Audit[[#This Row],[Audit Winning Candidate]]-Audit[[#This Row],[Winning Candidate]]</f>
        <v>0</v>
      </c>
      <c r="U686" s="111">
        <f>Audit[[#This Row],[Audit Candidate 3]]-Audit[[#This Row],[Candidate 3]]</f>
        <v>0</v>
      </c>
      <c r="V686" s="111">
        <f>Audit[[#This Row],[Audit Candidate 4]]-Audit[[#This Row],[Candidate 4]]</f>
        <v>-1</v>
      </c>
      <c r="W686" s="111">
        <f>Audit[[#This Row],[Audit Candidate 5]]-Audit[[#This Row],[Candidate 5]]</f>
        <v>0</v>
      </c>
      <c r="X686" s="111">
        <f>Audit[[#This Row],[Audit Candidate 6]]-Audit[[#This Row],[Candidate 6]]</f>
        <v>0</v>
      </c>
      <c r="Y686" s="111">
        <f>SUMIF(Audit[[#This Row],[Difference Loser]:[Difference Candidate 6]], "&gt;0")</f>
        <v>0</v>
      </c>
      <c r="Z686" s="111">
        <f>SUM(Audit[[#This Row],[Difference Loser]:[Difference Candidate 6]])</f>
        <v>-2</v>
      </c>
      <c r="AA686" s="111">
        <f>IF(Audit[[#This Row],[Times p Drawn - With Replacement]]&gt;0, IF(Audit[[#This Row],[Canceled Differences]]&lt;0, Audit[[#This Row],[Max Differences]]+ABS(Audit[[#This Row],[Canceled Differences]]), Audit[[#This Row],[Max Differences]]), 0)</f>
        <v>0</v>
      </c>
      <c r="AB686" s="111">
        <f>'Sampling Data'!P676</f>
        <v>1.224889759921607E-4</v>
      </c>
      <c r="AC686" s="111">
        <f>IF(
      SUM(Audit[[#This Row],[Audit Losing Candidate]:[Audit Candidate 6]])
      &lt;&gt;0,
      (Audit[[#This Row],[Winning Candidate]]-Audit[[#This Row],[Losing Candidate]]-(Audit[[#This Row],[Audit Winning Candidate]]-Audit[[#This Row],[Audit Losing Candidate]]))/(Audit[[#Totals],[Winning Candidate]]-Audit[[#Totals],[Losing Candidate]]),
      0
)</f>
        <v>0</v>
      </c>
      <c r="AD6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6" s="111">
        <f>IF(Audit[[#This Row],[Max Relative Error (ep)]] = 0, 0, Audit[[#This Row],[Max Relative Error (ep)]]/Audit[[#This Row],[Error Bound (up) - Max. possible relative overstatement]])</f>
        <v>0</v>
      </c>
      <c r="AJ6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86" s="111">
        <f t="shared" si="10"/>
        <v>1</v>
      </c>
      <c r="AL686" s="111">
        <f>PRODUCT($AK$5:AK686)</f>
        <v>8.962823818226312E-2</v>
      </c>
      <c r="AM686" s="109">
        <f>1 - [K-M P Value]</f>
        <v>0.91037176181773694</v>
      </c>
      <c r="AN686" s="111" t="str">
        <f>IF(Audit[[#This Row],[K-M P Value]]&gt;1-'General Info'!$B$16,"Continue", "Stop")</f>
        <v>Stop</v>
      </c>
      <c r="AO686" s="110" t="b">
        <f>IF(Audit[[#This Row],[Status - Continue or stop audit]] = "Continue", TRUE, IF(AN685 = "Continue", TRUE, FALSE))</f>
        <v>0</v>
      </c>
      <c r="AP686" s="110"/>
    </row>
    <row r="687" spans="1:42" ht="15" hidden="1" customHeight="1">
      <c r="A687" s="111" t="str">
        <f>'Sampling Data'!W677</f>
        <v/>
      </c>
      <c r="B687" s="112" t="str">
        <f>'Sampling Data'!A677</f>
        <v>CLEVELAND -12-A</v>
      </c>
      <c r="C687" s="112">
        <f>'Sampling Data'!B677</f>
        <v>2</v>
      </c>
      <c r="D687" s="112">
        <f>'Sampling Data'!C677</f>
        <v>2</v>
      </c>
      <c r="E687" s="113">
        <f>'Sampling Data'!D677</f>
        <v>0</v>
      </c>
      <c r="F687" s="113">
        <f>'Sampling Data'!E677</f>
        <v>0</v>
      </c>
      <c r="G687" s="113">
        <f>'Sampling Data'!F677</f>
        <v>0</v>
      </c>
      <c r="H687" s="113">
        <f>'Sampling Data'!G677</f>
        <v>0</v>
      </c>
      <c r="I687" s="112">
        <f>'Sampling Data'!H677</f>
        <v>0</v>
      </c>
      <c r="J687" s="112">
        <f>'Sampling Data'!I677</f>
        <v>0</v>
      </c>
      <c r="K687" s="112">
        <f>'Sampling Data'!J677</f>
        <v>4</v>
      </c>
      <c r="L687" s="111">
        <f>'Sampling Data'!X677</f>
        <v>0</v>
      </c>
      <c r="M687" s="114"/>
      <c r="N687" s="114"/>
      <c r="O687" s="115"/>
      <c r="P687" s="115"/>
      <c r="Q687" s="116"/>
      <c r="R687" s="116"/>
      <c r="S687" s="111">
        <f>Audit[[#This Row],[Audit Losing Candidate]]-Audit[[#This Row],[Losing Candidate]]</f>
        <v>-2</v>
      </c>
      <c r="T687" s="111">
        <f>Audit[[#This Row],[Audit Winning Candidate]]-Audit[[#This Row],[Winning Candidate]]</f>
        <v>-2</v>
      </c>
      <c r="U687" s="111">
        <f>Audit[[#This Row],[Audit Candidate 3]]-Audit[[#This Row],[Candidate 3]]</f>
        <v>0</v>
      </c>
      <c r="V687" s="111">
        <f>Audit[[#This Row],[Audit Candidate 4]]-Audit[[#This Row],[Candidate 4]]</f>
        <v>0</v>
      </c>
      <c r="W687" s="111">
        <f>Audit[[#This Row],[Audit Candidate 5]]-Audit[[#This Row],[Candidate 5]]</f>
        <v>0</v>
      </c>
      <c r="X687" s="111">
        <f>Audit[[#This Row],[Audit Candidate 6]]-Audit[[#This Row],[Candidate 6]]</f>
        <v>0</v>
      </c>
      <c r="Y687" s="111">
        <f>SUMIF(Audit[[#This Row],[Difference Loser]:[Difference Candidate 6]], "&gt;0")</f>
        <v>0</v>
      </c>
      <c r="Z687" s="111">
        <f>SUM(Audit[[#This Row],[Difference Loser]:[Difference Candidate 6]])</f>
        <v>-4</v>
      </c>
      <c r="AA687" s="111">
        <f>IF(Audit[[#This Row],[Times p Drawn - With Replacement]]&gt;0, IF(Audit[[#This Row],[Canceled Differences]]&lt;0, Audit[[#This Row],[Max Differences]]+ABS(Audit[[#This Row],[Canceled Differences]]), Audit[[#This Row],[Max Differences]]), 0)</f>
        <v>0</v>
      </c>
      <c r="AB687" s="111">
        <f>'Sampling Data'!P677</f>
        <v>2.4497795198432141E-4</v>
      </c>
      <c r="AC687" s="111">
        <f>IF(
      SUM(Audit[[#This Row],[Audit Losing Candidate]:[Audit Candidate 6]])
      &lt;&gt;0,
      (Audit[[#This Row],[Winning Candidate]]-Audit[[#This Row],[Losing Candidate]]-(Audit[[#This Row],[Audit Winning Candidate]]-Audit[[#This Row],[Audit Losing Candidate]]))/(Audit[[#Totals],[Winning Candidate]]-Audit[[#Totals],[Losing Candidate]]),
      0
)</f>
        <v>0</v>
      </c>
      <c r="AD6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7" s="111">
        <f>IF(Audit[[#This Row],[Max Relative Error (ep)]] = 0, 0, Audit[[#This Row],[Max Relative Error (ep)]]/Audit[[#This Row],[Error Bound (up) - Max. possible relative overstatement]])</f>
        <v>0</v>
      </c>
      <c r="AJ6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87" s="111">
        <f t="shared" si="10"/>
        <v>1</v>
      </c>
      <c r="AL687" s="111">
        <f>PRODUCT($AK$5:AK687)</f>
        <v>8.962823818226312E-2</v>
      </c>
      <c r="AM687" s="109">
        <f>1 - [K-M P Value]</f>
        <v>0.91037176181773694</v>
      </c>
      <c r="AN687" s="111" t="str">
        <f>IF(Audit[[#This Row],[K-M P Value]]&gt;1-'General Info'!$B$16,"Continue", "Stop")</f>
        <v>Stop</v>
      </c>
      <c r="AO687" s="110" t="b">
        <f>IF(Audit[[#This Row],[Status - Continue or stop audit]] = "Continue", TRUE, IF(AN686 = "Continue", TRUE, FALSE))</f>
        <v>0</v>
      </c>
      <c r="AP687" s="110"/>
    </row>
    <row r="688" spans="1:42" ht="15" hidden="1" customHeight="1">
      <c r="A688" s="111" t="str">
        <f>'Sampling Data'!W678</f>
        <v/>
      </c>
      <c r="B688" s="112" t="str">
        <f>'Sampling Data'!A678</f>
        <v>CLEVELAND -12-A - ABS</v>
      </c>
      <c r="C688" s="112">
        <f>'Sampling Data'!B678</f>
        <v>1</v>
      </c>
      <c r="D688" s="112">
        <f>'Sampling Data'!C678</f>
        <v>2</v>
      </c>
      <c r="E688" s="113">
        <f>'Sampling Data'!D678</f>
        <v>1</v>
      </c>
      <c r="F688" s="113">
        <f>'Sampling Data'!E678</f>
        <v>0</v>
      </c>
      <c r="G688" s="113">
        <f>'Sampling Data'!F678</f>
        <v>0</v>
      </c>
      <c r="H688" s="113">
        <f>'Sampling Data'!G678</f>
        <v>0</v>
      </c>
      <c r="I688" s="112">
        <f>'Sampling Data'!H678</f>
        <v>0</v>
      </c>
      <c r="J688" s="112">
        <f>'Sampling Data'!I678</f>
        <v>0</v>
      </c>
      <c r="K688" s="112">
        <f>'Sampling Data'!J678</f>
        <v>4</v>
      </c>
      <c r="L688" s="111">
        <f>'Sampling Data'!X678</f>
        <v>0</v>
      </c>
      <c r="M688" s="114"/>
      <c r="N688" s="114"/>
      <c r="O688" s="115"/>
      <c r="P688" s="115"/>
      <c r="Q688" s="116"/>
      <c r="R688" s="116"/>
      <c r="S688" s="111">
        <f>Audit[[#This Row],[Audit Losing Candidate]]-Audit[[#This Row],[Losing Candidate]]</f>
        <v>-1</v>
      </c>
      <c r="T688" s="111">
        <f>Audit[[#This Row],[Audit Winning Candidate]]-Audit[[#This Row],[Winning Candidate]]</f>
        <v>-2</v>
      </c>
      <c r="U688" s="111">
        <f>Audit[[#This Row],[Audit Candidate 3]]-Audit[[#This Row],[Candidate 3]]</f>
        <v>-1</v>
      </c>
      <c r="V688" s="111">
        <f>Audit[[#This Row],[Audit Candidate 4]]-Audit[[#This Row],[Candidate 4]]</f>
        <v>0</v>
      </c>
      <c r="W688" s="111">
        <f>Audit[[#This Row],[Audit Candidate 5]]-Audit[[#This Row],[Candidate 5]]</f>
        <v>0</v>
      </c>
      <c r="X688" s="111">
        <f>Audit[[#This Row],[Audit Candidate 6]]-Audit[[#This Row],[Candidate 6]]</f>
        <v>0</v>
      </c>
      <c r="Y688" s="111">
        <f>SUMIF(Audit[[#This Row],[Difference Loser]:[Difference Candidate 6]], "&gt;0")</f>
        <v>0</v>
      </c>
      <c r="Z688" s="111">
        <f>SUM(Audit[[#This Row],[Difference Loser]:[Difference Candidate 6]])</f>
        <v>-4</v>
      </c>
      <c r="AA688" s="111">
        <f>IF(Audit[[#This Row],[Times p Drawn - With Replacement]]&gt;0, IF(Audit[[#This Row],[Canceled Differences]]&lt;0, Audit[[#This Row],[Max Differences]]+ABS(Audit[[#This Row],[Canceled Differences]]), Audit[[#This Row],[Max Differences]]), 0)</f>
        <v>0</v>
      </c>
      <c r="AB688" s="111">
        <f>'Sampling Data'!P678</f>
        <v>3.0622243998040176E-4</v>
      </c>
      <c r="AC688" s="111">
        <f>IF(
      SUM(Audit[[#This Row],[Audit Losing Candidate]:[Audit Candidate 6]])
      &lt;&gt;0,
      (Audit[[#This Row],[Winning Candidate]]-Audit[[#This Row],[Losing Candidate]]-(Audit[[#This Row],[Audit Winning Candidate]]-Audit[[#This Row],[Audit Losing Candidate]]))/(Audit[[#Totals],[Winning Candidate]]-Audit[[#Totals],[Losing Candidate]]),
      0
)</f>
        <v>0</v>
      </c>
      <c r="AD6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8" s="111">
        <f>IF(Audit[[#This Row],[Max Relative Error (ep)]] = 0, 0, Audit[[#This Row],[Max Relative Error (ep)]]/Audit[[#This Row],[Error Bound (up) - Max. possible relative overstatement]])</f>
        <v>0</v>
      </c>
      <c r="AJ6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88" s="111">
        <f t="shared" si="10"/>
        <v>1</v>
      </c>
      <c r="AL688" s="111">
        <f>PRODUCT($AK$5:AK688)</f>
        <v>8.962823818226312E-2</v>
      </c>
      <c r="AM688" s="109">
        <f>1 - [K-M P Value]</f>
        <v>0.91037176181773694</v>
      </c>
      <c r="AN688" s="111" t="str">
        <f>IF(Audit[[#This Row],[K-M P Value]]&gt;1-'General Info'!$B$16,"Continue", "Stop")</f>
        <v>Stop</v>
      </c>
      <c r="AO688" s="110" t="b">
        <f>IF(Audit[[#This Row],[Status - Continue or stop audit]] = "Continue", TRUE, IF(AN687 = "Continue", TRUE, FALSE))</f>
        <v>0</v>
      </c>
      <c r="AP688" s="110"/>
    </row>
    <row r="689" spans="1:42" ht="15" hidden="1" customHeight="1">
      <c r="A689" s="111" t="str">
        <f>'Sampling Data'!W679</f>
        <v/>
      </c>
      <c r="B689" s="112" t="str">
        <f>'Sampling Data'!A679</f>
        <v>CLEVELAND -12-B</v>
      </c>
      <c r="C689" s="112">
        <f>'Sampling Data'!B679</f>
        <v>2</v>
      </c>
      <c r="D689" s="112">
        <f>'Sampling Data'!C679</f>
        <v>0</v>
      </c>
      <c r="E689" s="113">
        <f>'Sampling Data'!D679</f>
        <v>1</v>
      </c>
      <c r="F689" s="113">
        <f>'Sampling Data'!E679</f>
        <v>0</v>
      </c>
      <c r="G689" s="113">
        <f>'Sampling Data'!F679</f>
        <v>0</v>
      </c>
      <c r="H689" s="113">
        <f>'Sampling Data'!G679</f>
        <v>0</v>
      </c>
      <c r="I689" s="112">
        <f>'Sampling Data'!H679</f>
        <v>0</v>
      </c>
      <c r="J689" s="112">
        <f>'Sampling Data'!I679</f>
        <v>0</v>
      </c>
      <c r="K689" s="112">
        <f>'Sampling Data'!J679</f>
        <v>3</v>
      </c>
      <c r="L689" s="111">
        <f>'Sampling Data'!X679</f>
        <v>0</v>
      </c>
      <c r="M689" s="114"/>
      <c r="N689" s="114"/>
      <c r="O689" s="115"/>
      <c r="P689" s="115"/>
      <c r="Q689" s="116"/>
      <c r="R689" s="116"/>
      <c r="S689" s="111">
        <f>Audit[[#This Row],[Audit Losing Candidate]]-Audit[[#This Row],[Losing Candidate]]</f>
        <v>-2</v>
      </c>
      <c r="T689" s="111">
        <f>Audit[[#This Row],[Audit Winning Candidate]]-Audit[[#This Row],[Winning Candidate]]</f>
        <v>0</v>
      </c>
      <c r="U689" s="111">
        <f>Audit[[#This Row],[Audit Candidate 3]]-Audit[[#This Row],[Candidate 3]]</f>
        <v>-1</v>
      </c>
      <c r="V689" s="111">
        <f>Audit[[#This Row],[Audit Candidate 4]]-Audit[[#This Row],[Candidate 4]]</f>
        <v>0</v>
      </c>
      <c r="W689" s="111">
        <f>Audit[[#This Row],[Audit Candidate 5]]-Audit[[#This Row],[Candidate 5]]</f>
        <v>0</v>
      </c>
      <c r="X689" s="111">
        <f>Audit[[#This Row],[Audit Candidate 6]]-Audit[[#This Row],[Candidate 6]]</f>
        <v>0</v>
      </c>
      <c r="Y689" s="111">
        <f>SUMIF(Audit[[#This Row],[Difference Loser]:[Difference Candidate 6]], "&gt;0")</f>
        <v>0</v>
      </c>
      <c r="Z689" s="111">
        <f>SUM(Audit[[#This Row],[Difference Loser]:[Difference Candidate 6]])</f>
        <v>-3</v>
      </c>
      <c r="AA689" s="111">
        <f>IF(Audit[[#This Row],[Times p Drawn - With Replacement]]&gt;0, IF(Audit[[#This Row],[Canceled Differences]]&lt;0, Audit[[#This Row],[Max Differences]]+ABS(Audit[[#This Row],[Canceled Differences]]), Audit[[#This Row],[Max Differences]]), 0)</f>
        <v>0</v>
      </c>
      <c r="AB689" s="111">
        <f>'Sampling Data'!P679</f>
        <v>8.7696220292905373E-5</v>
      </c>
      <c r="AC689" s="111">
        <f>IF(
      SUM(Audit[[#This Row],[Audit Losing Candidate]:[Audit Candidate 6]])
      &lt;&gt;0,
      (Audit[[#This Row],[Winning Candidate]]-Audit[[#This Row],[Losing Candidate]]-(Audit[[#This Row],[Audit Winning Candidate]]-Audit[[#This Row],[Audit Losing Candidate]]))/(Audit[[#Totals],[Winning Candidate]]-Audit[[#Totals],[Losing Candidate]]),
      0
)</f>
        <v>0</v>
      </c>
      <c r="AD6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9" s="111">
        <f>IF(Audit[[#This Row],[Max Relative Error (ep)]] = 0, 0, Audit[[#This Row],[Max Relative Error (ep)]]/Audit[[#This Row],[Error Bound (up) - Max. possible relative overstatement]])</f>
        <v>0</v>
      </c>
      <c r="AJ6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89" s="111">
        <f t="shared" si="10"/>
        <v>1</v>
      </c>
      <c r="AL689" s="111">
        <f>PRODUCT($AK$5:AK689)</f>
        <v>8.962823818226312E-2</v>
      </c>
      <c r="AM689" s="109">
        <f>1 - [K-M P Value]</f>
        <v>0.91037176181773694</v>
      </c>
      <c r="AN689" s="111" t="str">
        <f>IF(Audit[[#This Row],[K-M P Value]]&gt;1-'General Info'!$B$16,"Continue", "Stop")</f>
        <v>Stop</v>
      </c>
      <c r="AO689" s="110" t="b">
        <f>IF(Audit[[#This Row],[Status - Continue or stop audit]] = "Continue", TRUE, IF(AN688 = "Continue", TRUE, FALSE))</f>
        <v>0</v>
      </c>
      <c r="AP689" s="110"/>
    </row>
    <row r="690" spans="1:42" ht="15" hidden="1" customHeight="1">
      <c r="A690" s="111" t="str">
        <f>'Sampling Data'!W680</f>
        <v/>
      </c>
      <c r="B690" s="112" t="str">
        <f>'Sampling Data'!A680</f>
        <v>CLEVELAND -12-B - ABS</v>
      </c>
      <c r="C690" s="112">
        <f>'Sampling Data'!B680</f>
        <v>3</v>
      </c>
      <c r="D690" s="112">
        <f>'Sampling Data'!C680</f>
        <v>0</v>
      </c>
      <c r="E690" s="113">
        <f>'Sampling Data'!D680</f>
        <v>3</v>
      </c>
      <c r="F690" s="113">
        <f>'Sampling Data'!E680</f>
        <v>0</v>
      </c>
      <c r="G690" s="113">
        <f>'Sampling Data'!F680</f>
        <v>0</v>
      </c>
      <c r="H690" s="113">
        <f>'Sampling Data'!G680</f>
        <v>0</v>
      </c>
      <c r="I690" s="112">
        <f>'Sampling Data'!H680</f>
        <v>0</v>
      </c>
      <c r="J690" s="112">
        <f>'Sampling Data'!I680</f>
        <v>0</v>
      </c>
      <c r="K690" s="112">
        <f>'Sampling Data'!J680</f>
        <v>6</v>
      </c>
      <c r="L690" s="111">
        <f>'Sampling Data'!X680</f>
        <v>0</v>
      </c>
      <c r="M690" s="114"/>
      <c r="N690" s="114"/>
      <c r="O690" s="115"/>
      <c r="P690" s="115"/>
      <c r="Q690" s="116"/>
      <c r="R690" s="116"/>
      <c r="S690" s="111">
        <f>Audit[[#This Row],[Audit Losing Candidate]]-Audit[[#This Row],[Losing Candidate]]</f>
        <v>-3</v>
      </c>
      <c r="T690" s="111">
        <f>Audit[[#This Row],[Audit Winning Candidate]]-Audit[[#This Row],[Winning Candidate]]</f>
        <v>0</v>
      </c>
      <c r="U690" s="111">
        <f>Audit[[#This Row],[Audit Candidate 3]]-Audit[[#This Row],[Candidate 3]]</f>
        <v>-3</v>
      </c>
      <c r="V690" s="111">
        <f>Audit[[#This Row],[Audit Candidate 4]]-Audit[[#This Row],[Candidate 4]]</f>
        <v>0</v>
      </c>
      <c r="W690" s="111">
        <f>Audit[[#This Row],[Audit Candidate 5]]-Audit[[#This Row],[Candidate 5]]</f>
        <v>0</v>
      </c>
      <c r="X690" s="111">
        <f>Audit[[#This Row],[Audit Candidate 6]]-Audit[[#This Row],[Candidate 6]]</f>
        <v>0</v>
      </c>
      <c r="Y690" s="111">
        <f>SUMIF(Audit[[#This Row],[Difference Loser]:[Difference Candidate 6]], "&gt;0")</f>
        <v>0</v>
      </c>
      <c r="Z690" s="111">
        <f>SUM(Audit[[#This Row],[Difference Loser]:[Difference Candidate 6]])</f>
        <v>-6</v>
      </c>
      <c r="AA690" s="111">
        <f>IF(Audit[[#This Row],[Times p Drawn - With Replacement]]&gt;0, IF(Audit[[#This Row],[Canceled Differences]]&lt;0, Audit[[#This Row],[Max Differences]]+ABS(Audit[[#This Row],[Canceled Differences]]), Audit[[#This Row],[Max Differences]]), 0)</f>
        <v>0</v>
      </c>
      <c r="AB690" s="111">
        <f>'Sampling Data'!P680</f>
        <v>1.8373346398824106E-4</v>
      </c>
      <c r="AC690" s="111">
        <f>IF(
      SUM(Audit[[#This Row],[Audit Losing Candidate]:[Audit Candidate 6]])
      &lt;&gt;0,
      (Audit[[#This Row],[Winning Candidate]]-Audit[[#This Row],[Losing Candidate]]-(Audit[[#This Row],[Audit Winning Candidate]]-Audit[[#This Row],[Audit Losing Candidate]]))/(Audit[[#Totals],[Winning Candidate]]-Audit[[#Totals],[Losing Candidate]]),
      0
)</f>
        <v>0</v>
      </c>
      <c r="AD6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0" s="111">
        <f>IF(Audit[[#This Row],[Max Relative Error (ep)]] = 0, 0, Audit[[#This Row],[Max Relative Error (ep)]]/Audit[[#This Row],[Error Bound (up) - Max. possible relative overstatement]])</f>
        <v>0</v>
      </c>
      <c r="AJ6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90" s="111">
        <f t="shared" si="10"/>
        <v>1</v>
      </c>
      <c r="AL690" s="111">
        <f>PRODUCT($AK$5:AK690)</f>
        <v>8.962823818226312E-2</v>
      </c>
      <c r="AM690" s="109">
        <f>1 - [K-M P Value]</f>
        <v>0.91037176181773694</v>
      </c>
      <c r="AN690" s="111" t="str">
        <f>IF(Audit[[#This Row],[K-M P Value]]&gt;1-'General Info'!$B$16,"Continue", "Stop")</f>
        <v>Stop</v>
      </c>
      <c r="AO690" s="110" t="b">
        <f>IF(Audit[[#This Row],[Status - Continue or stop audit]] = "Continue", TRUE, IF(AN689 = "Continue", TRUE, FALSE))</f>
        <v>0</v>
      </c>
      <c r="AP690" s="110"/>
    </row>
    <row r="691" spans="1:42" ht="15" hidden="1" customHeight="1">
      <c r="A691" s="111" t="str">
        <f>'Sampling Data'!W681</f>
        <v/>
      </c>
      <c r="B691" s="112" t="str">
        <f>'Sampling Data'!A681</f>
        <v>CLEVELAND -12-C</v>
      </c>
      <c r="C691" s="112">
        <f>'Sampling Data'!B681</f>
        <v>2</v>
      </c>
      <c r="D691" s="112">
        <f>'Sampling Data'!C681</f>
        <v>0</v>
      </c>
      <c r="E691" s="113">
        <f>'Sampling Data'!D681</f>
        <v>1</v>
      </c>
      <c r="F691" s="113">
        <f>'Sampling Data'!E681</f>
        <v>0</v>
      </c>
      <c r="G691" s="113">
        <f>'Sampling Data'!F681</f>
        <v>1</v>
      </c>
      <c r="H691" s="113">
        <f>'Sampling Data'!G681</f>
        <v>0</v>
      </c>
      <c r="I691" s="112">
        <f>'Sampling Data'!H681</f>
        <v>0</v>
      </c>
      <c r="J691" s="112">
        <f>'Sampling Data'!I681</f>
        <v>0</v>
      </c>
      <c r="K691" s="112">
        <f>'Sampling Data'!J681</f>
        <v>4</v>
      </c>
      <c r="L691" s="111">
        <f>'Sampling Data'!X681</f>
        <v>0</v>
      </c>
      <c r="M691" s="114"/>
      <c r="N691" s="114"/>
      <c r="O691" s="115"/>
      <c r="P691" s="115"/>
      <c r="Q691" s="116"/>
      <c r="R691" s="116"/>
      <c r="S691" s="111">
        <f>Audit[[#This Row],[Audit Losing Candidate]]-Audit[[#This Row],[Losing Candidate]]</f>
        <v>-2</v>
      </c>
      <c r="T691" s="111">
        <f>Audit[[#This Row],[Audit Winning Candidate]]-Audit[[#This Row],[Winning Candidate]]</f>
        <v>0</v>
      </c>
      <c r="U691" s="111">
        <f>Audit[[#This Row],[Audit Candidate 3]]-Audit[[#This Row],[Candidate 3]]</f>
        <v>-1</v>
      </c>
      <c r="V691" s="111">
        <f>Audit[[#This Row],[Audit Candidate 4]]-Audit[[#This Row],[Candidate 4]]</f>
        <v>0</v>
      </c>
      <c r="W691" s="111">
        <f>Audit[[#This Row],[Audit Candidate 5]]-Audit[[#This Row],[Candidate 5]]</f>
        <v>-1</v>
      </c>
      <c r="X691" s="111">
        <f>Audit[[#This Row],[Audit Candidate 6]]-Audit[[#This Row],[Candidate 6]]</f>
        <v>0</v>
      </c>
      <c r="Y691" s="111">
        <f>SUMIF(Audit[[#This Row],[Difference Loser]:[Difference Candidate 6]], "&gt;0")</f>
        <v>0</v>
      </c>
      <c r="Z691" s="111">
        <f>SUM(Audit[[#This Row],[Difference Loser]:[Difference Candidate 6]])</f>
        <v>-4</v>
      </c>
      <c r="AA691" s="111">
        <f>IF(Audit[[#This Row],[Times p Drawn - With Replacement]]&gt;0, IF(Audit[[#This Row],[Canceled Differences]]&lt;0, Audit[[#This Row],[Max Differences]]+ABS(Audit[[#This Row],[Canceled Differences]]), Audit[[#This Row],[Max Differences]]), 0)</f>
        <v>0</v>
      </c>
      <c r="AB691" s="111">
        <f>'Sampling Data'!P681</f>
        <v>1.224889759921607E-4</v>
      </c>
      <c r="AC691" s="111">
        <f>IF(
      SUM(Audit[[#This Row],[Audit Losing Candidate]:[Audit Candidate 6]])
      &lt;&gt;0,
      (Audit[[#This Row],[Winning Candidate]]-Audit[[#This Row],[Losing Candidate]]-(Audit[[#This Row],[Audit Winning Candidate]]-Audit[[#This Row],[Audit Losing Candidate]]))/(Audit[[#Totals],[Winning Candidate]]-Audit[[#Totals],[Losing Candidate]]),
      0
)</f>
        <v>0</v>
      </c>
      <c r="AD6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1" s="111">
        <f>IF(Audit[[#This Row],[Max Relative Error (ep)]] = 0, 0, Audit[[#This Row],[Max Relative Error (ep)]]/Audit[[#This Row],[Error Bound (up) - Max. possible relative overstatement]])</f>
        <v>0</v>
      </c>
      <c r="AJ6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91" s="111">
        <f t="shared" si="10"/>
        <v>1</v>
      </c>
      <c r="AL691" s="111">
        <f>PRODUCT($AK$5:AK691)</f>
        <v>8.962823818226312E-2</v>
      </c>
      <c r="AM691" s="109">
        <f>1 - [K-M P Value]</f>
        <v>0.91037176181773694</v>
      </c>
      <c r="AN691" s="111" t="str">
        <f>IF(Audit[[#This Row],[K-M P Value]]&gt;1-'General Info'!$B$16,"Continue", "Stop")</f>
        <v>Stop</v>
      </c>
      <c r="AO691" s="110" t="b">
        <f>IF(Audit[[#This Row],[Status - Continue or stop audit]] = "Continue", TRUE, IF(AN690 = "Continue", TRUE, FALSE))</f>
        <v>0</v>
      </c>
      <c r="AP691" s="110"/>
    </row>
    <row r="692" spans="1:42" ht="15" hidden="1" customHeight="1">
      <c r="A692" s="111" t="str">
        <f>'Sampling Data'!W682</f>
        <v/>
      </c>
      <c r="B692" s="112" t="str">
        <f>'Sampling Data'!A682</f>
        <v>CLEVELAND -12-C - ABS</v>
      </c>
      <c r="C692" s="112">
        <f>'Sampling Data'!B682</f>
        <v>0</v>
      </c>
      <c r="D692" s="112">
        <f>'Sampling Data'!C682</f>
        <v>2</v>
      </c>
      <c r="E692" s="113">
        <f>'Sampling Data'!D682</f>
        <v>0</v>
      </c>
      <c r="F692" s="113">
        <f>'Sampling Data'!E682</f>
        <v>0</v>
      </c>
      <c r="G692" s="113">
        <f>'Sampling Data'!F682</f>
        <v>0</v>
      </c>
      <c r="H692" s="113">
        <f>'Sampling Data'!G682</f>
        <v>0</v>
      </c>
      <c r="I692" s="112">
        <f>'Sampling Data'!H682</f>
        <v>0</v>
      </c>
      <c r="J692" s="112">
        <f>'Sampling Data'!I682</f>
        <v>0</v>
      </c>
      <c r="K692" s="112">
        <f>'Sampling Data'!J682</f>
        <v>2</v>
      </c>
      <c r="L692" s="111">
        <f>'Sampling Data'!X682</f>
        <v>0</v>
      </c>
      <c r="M692" s="114"/>
      <c r="N692" s="114"/>
      <c r="O692" s="115"/>
      <c r="P692" s="115"/>
      <c r="Q692" s="116"/>
      <c r="R692" s="116"/>
      <c r="S692" s="111">
        <f>Audit[[#This Row],[Audit Losing Candidate]]-Audit[[#This Row],[Losing Candidate]]</f>
        <v>0</v>
      </c>
      <c r="T692" s="111">
        <f>Audit[[#This Row],[Audit Winning Candidate]]-Audit[[#This Row],[Winning Candidate]]</f>
        <v>-2</v>
      </c>
      <c r="U692" s="111">
        <f>Audit[[#This Row],[Audit Candidate 3]]-Audit[[#This Row],[Candidate 3]]</f>
        <v>0</v>
      </c>
      <c r="V692" s="111">
        <f>Audit[[#This Row],[Audit Candidate 4]]-Audit[[#This Row],[Candidate 4]]</f>
        <v>0</v>
      </c>
      <c r="W692" s="111">
        <f>Audit[[#This Row],[Audit Candidate 5]]-Audit[[#This Row],[Candidate 5]]</f>
        <v>0</v>
      </c>
      <c r="X692" s="111">
        <f>Audit[[#This Row],[Audit Candidate 6]]-Audit[[#This Row],[Candidate 6]]</f>
        <v>0</v>
      </c>
      <c r="Y692" s="111">
        <f>SUMIF(Audit[[#This Row],[Difference Loser]:[Difference Candidate 6]], "&gt;0")</f>
        <v>0</v>
      </c>
      <c r="Z692" s="111">
        <f>SUM(Audit[[#This Row],[Difference Loser]:[Difference Candidate 6]])</f>
        <v>-2</v>
      </c>
      <c r="AA692" s="111">
        <f>IF(Audit[[#This Row],[Times p Drawn - With Replacement]]&gt;0, IF(Audit[[#This Row],[Canceled Differences]]&lt;0, Audit[[#This Row],[Max Differences]]+ABS(Audit[[#This Row],[Canceled Differences]]), Audit[[#This Row],[Max Differences]]), 0)</f>
        <v>0</v>
      </c>
      <c r="AB692" s="111">
        <f>'Sampling Data'!P682</f>
        <v>2.4497795198432141E-4</v>
      </c>
      <c r="AC692" s="111">
        <f>IF(
      SUM(Audit[[#This Row],[Audit Losing Candidate]:[Audit Candidate 6]])
      &lt;&gt;0,
      (Audit[[#This Row],[Winning Candidate]]-Audit[[#This Row],[Losing Candidate]]-(Audit[[#This Row],[Audit Winning Candidate]]-Audit[[#This Row],[Audit Losing Candidate]]))/(Audit[[#Totals],[Winning Candidate]]-Audit[[#Totals],[Losing Candidate]]),
      0
)</f>
        <v>0</v>
      </c>
      <c r="AD6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2" s="111">
        <f>IF(Audit[[#This Row],[Max Relative Error (ep)]] = 0, 0, Audit[[#This Row],[Max Relative Error (ep)]]/Audit[[#This Row],[Error Bound (up) - Max. possible relative overstatement]])</f>
        <v>0</v>
      </c>
      <c r="AJ6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92" s="111">
        <f t="shared" si="10"/>
        <v>1</v>
      </c>
      <c r="AL692" s="111">
        <f>PRODUCT($AK$5:AK692)</f>
        <v>8.962823818226312E-2</v>
      </c>
      <c r="AM692" s="109">
        <f>1 - [K-M P Value]</f>
        <v>0.91037176181773694</v>
      </c>
      <c r="AN692" s="111" t="str">
        <f>IF(Audit[[#This Row],[K-M P Value]]&gt;1-'General Info'!$B$16,"Continue", "Stop")</f>
        <v>Stop</v>
      </c>
      <c r="AO692" s="110" t="b">
        <f>IF(Audit[[#This Row],[Status - Continue or stop audit]] = "Continue", TRUE, IF(AN691 = "Continue", TRUE, FALSE))</f>
        <v>0</v>
      </c>
      <c r="AP692" s="110"/>
    </row>
    <row r="693" spans="1:42" ht="15" hidden="1" customHeight="1">
      <c r="A693" s="111" t="str">
        <f>'Sampling Data'!W683</f>
        <v/>
      </c>
      <c r="B693" s="112" t="str">
        <f>'Sampling Data'!A683</f>
        <v>CLEVELAND -12-D</v>
      </c>
      <c r="C693" s="112">
        <f>'Sampling Data'!B683</f>
        <v>5</v>
      </c>
      <c r="D693" s="112">
        <f>'Sampling Data'!C683</f>
        <v>4</v>
      </c>
      <c r="E693" s="113">
        <f>'Sampling Data'!D683</f>
        <v>1</v>
      </c>
      <c r="F693" s="113">
        <f>'Sampling Data'!E683</f>
        <v>3</v>
      </c>
      <c r="G693" s="113">
        <f>'Sampling Data'!F683</f>
        <v>0</v>
      </c>
      <c r="H693" s="113">
        <f>'Sampling Data'!G683</f>
        <v>0</v>
      </c>
      <c r="I693" s="112">
        <f>'Sampling Data'!H683</f>
        <v>0</v>
      </c>
      <c r="J693" s="112">
        <f>'Sampling Data'!I683</f>
        <v>0</v>
      </c>
      <c r="K693" s="112">
        <f>'Sampling Data'!J683</f>
        <v>13</v>
      </c>
      <c r="L693" s="111">
        <f>'Sampling Data'!X683</f>
        <v>0</v>
      </c>
      <c r="M693" s="114"/>
      <c r="N693" s="114"/>
      <c r="O693" s="115"/>
      <c r="P693" s="115"/>
      <c r="Q693" s="116"/>
      <c r="R693" s="116"/>
      <c r="S693" s="111">
        <f>Audit[[#This Row],[Audit Losing Candidate]]-Audit[[#This Row],[Losing Candidate]]</f>
        <v>-5</v>
      </c>
      <c r="T693" s="111">
        <f>Audit[[#This Row],[Audit Winning Candidate]]-Audit[[#This Row],[Winning Candidate]]</f>
        <v>-4</v>
      </c>
      <c r="U693" s="111">
        <f>Audit[[#This Row],[Audit Candidate 3]]-Audit[[#This Row],[Candidate 3]]</f>
        <v>-1</v>
      </c>
      <c r="V693" s="111">
        <f>Audit[[#This Row],[Audit Candidate 4]]-Audit[[#This Row],[Candidate 4]]</f>
        <v>-3</v>
      </c>
      <c r="W693" s="111">
        <f>Audit[[#This Row],[Audit Candidate 5]]-Audit[[#This Row],[Candidate 5]]</f>
        <v>0</v>
      </c>
      <c r="X693" s="111">
        <f>Audit[[#This Row],[Audit Candidate 6]]-Audit[[#This Row],[Candidate 6]]</f>
        <v>0</v>
      </c>
      <c r="Y693" s="111">
        <f>SUMIF(Audit[[#This Row],[Difference Loser]:[Difference Candidate 6]], "&gt;0")</f>
        <v>0</v>
      </c>
      <c r="Z693" s="111">
        <f>SUM(Audit[[#This Row],[Difference Loser]:[Difference Candidate 6]])</f>
        <v>-13</v>
      </c>
      <c r="AA693" s="111">
        <f>IF(Audit[[#This Row],[Times p Drawn - With Replacement]]&gt;0, IF(Audit[[#This Row],[Canceled Differences]]&lt;0, Audit[[#This Row],[Max Differences]]+ABS(Audit[[#This Row],[Canceled Differences]]), Audit[[#This Row],[Max Differences]]), 0)</f>
        <v>0</v>
      </c>
      <c r="AB693" s="111">
        <f>'Sampling Data'!P683</f>
        <v>7.3493385595296422E-4</v>
      </c>
      <c r="AC693" s="111">
        <f>IF(
      SUM(Audit[[#This Row],[Audit Losing Candidate]:[Audit Candidate 6]])
      &lt;&gt;0,
      (Audit[[#This Row],[Winning Candidate]]-Audit[[#This Row],[Losing Candidate]]-(Audit[[#This Row],[Audit Winning Candidate]]-Audit[[#This Row],[Audit Losing Candidate]]))/(Audit[[#Totals],[Winning Candidate]]-Audit[[#Totals],[Losing Candidate]]),
      0
)</f>
        <v>0</v>
      </c>
      <c r="AD6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3" s="111">
        <f>IF(Audit[[#This Row],[Max Relative Error (ep)]] = 0, 0, Audit[[#This Row],[Max Relative Error (ep)]]/Audit[[#This Row],[Error Bound (up) - Max. possible relative overstatement]])</f>
        <v>0</v>
      </c>
      <c r="AJ6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93" s="111">
        <f t="shared" si="10"/>
        <v>1</v>
      </c>
      <c r="AL693" s="111">
        <f>PRODUCT($AK$5:AK693)</f>
        <v>8.962823818226312E-2</v>
      </c>
      <c r="AM693" s="109">
        <f>1 - [K-M P Value]</f>
        <v>0.91037176181773694</v>
      </c>
      <c r="AN693" s="111" t="str">
        <f>IF(Audit[[#This Row],[K-M P Value]]&gt;1-'General Info'!$B$16,"Continue", "Stop")</f>
        <v>Stop</v>
      </c>
      <c r="AO693" s="110" t="b">
        <f>IF(Audit[[#This Row],[Status - Continue or stop audit]] = "Continue", TRUE, IF(AN692 = "Continue", TRUE, FALSE))</f>
        <v>0</v>
      </c>
      <c r="AP693" s="110"/>
    </row>
    <row r="694" spans="1:42" ht="15" hidden="1" customHeight="1">
      <c r="A694" s="111" t="str">
        <f>'Sampling Data'!W684</f>
        <v/>
      </c>
      <c r="B694" s="112" t="str">
        <f>'Sampling Data'!A684</f>
        <v>CLEVELAND -12-D - ABS</v>
      </c>
      <c r="C694" s="112">
        <f>'Sampling Data'!B684</f>
        <v>0</v>
      </c>
      <c r="D694" s="112">
        <f>'Sampling Data'!C684</f>
        <v>0</v>
      </c>
      <c r="E694" s="113">
        <f>'Sampling Data'!D684</f>
        <v>0</v>
      </c>
      <c r="F694" s="113">
        <f>'Sampling Data'!E684</f>
        <v>0</v>
      </c>
      <c r="G694" s="113">
        <f>'Sampling Data'!F684</f>
        <v>0</v>
      </c>
      <c r="H694" s="113">
        <f>'Sampling Data'!G684</f>
        <v>1</v>
      </c>
      <c r="I694" s="112">
        <f>'Sampling Data'!H684</f>
        <v>0</v>
      </c>
      <c r="J694" s="112">
        <f>'Sampling Data'!I684</f>
        <v>0</v>
      </c>
      <c r="K694" s="112">
        <f>'Sampling Data'!J684</f>
        <v>1</v>
      </c>
      <c r="L694" s="111">
        <f>'Sampling Data'!X684</f>
        <v>0</v>
      </c>
      <c r="M694" s="114"/>
      <c r="N694" s="114"/>
      <c r="O694" s="115"/>
      <c r="P694" s="115"/>
      <c r="Q694" s="116"/>
      <c r="R694" s="116"/>
      <c r="S694" s="111">
        <f>Audit[[#This Row],[Audit Losing Candidate]]-Audit[[#This Row],[Losing Candidate]]</f>
        <v>0</v>
      </c>
      <c r="T694" s="111">
        <f>Audit[[#This Row],[Audit Winning Candidate]]-Audit[[#This Row],[Winning Candidate]]</f>
        <v>0</v>
      </c>
      <c r="U694" s="111">
        <f>Audit[[#This Row],[Audit Candidate 3]]-Audit[[#This Row],[Candidate 3]]</f>
        <v>0</v>
      </c>
      <c r="V694" s="111">
        <f>Audit[[#This Row],[Audit Candidate 4]]-Audit[[#This Row],[Candidate 4]]</f>
        <v>0</v>
      </c>
      <c r="W694" s="111">
        <f>Audit[[#This Row],[Audit Candidate 5]]-Audit[[#This Row],[Candidate 5]]</f>
        <v>0</v>
      </c>
      <c r="X694" s="111">
        <f>Audit[[#This Row],[Audit Candidate 6]]-Audit[[#This Row],[Candidate 6]]</f>
        <v>-1</v>
      </c>
      <c r="Y694" s="111">
        <f>SUMIF(Audit[[#This Row],[Difference Loser]:[Difference Candidate 6]], "&gt;0")</f>
        <v>0</v>
      </c>
      <c r="Z694" s="111">
        <f>SUM(Audit[[#This Row],[Difference Loser]:[Difference Candidate 6]])</f>
        <v>-1</v>
      </c>
      <c r="AA694" s="111">
        <f>IF(Audit[[#This Row],[Times p Drawn - With Replacement]]&gt;0, IF(Audit[[#This Row],[Canceled Differences]]&lt;0, Audit[[#This Row],[Max Differences]]+ABS(Audit[[#This Row],[Canceled Differences]]), Audit[[#This Row],[Max Differences]]), 0)</f>
        <v>0</v>
      </c>
      <c r="AB694" s="111">
        <f>'Sampling Data'!P684</f>
        <v>6.1244487996080352E-5</v>
      </c>
      <c r="AC694" s="111">
        <f>IF(
      SUM(Audit[[#This Row],[Audit Losing Candidate]:[Audit Candidate 6]])
      &lt;&gt;0,
      (Audit[[#This Row],[Winning Candidate]]-Audit[[#This Row],[Losing Candidate]]-(Audit[[#This Row],[Audit Winning Candidate]]-Audit[[#This Row],[Audit Losing Candidate]]))/(Audit[[#Totals],[Winning Candidate]]-Audit[[#Totals],[Losing Candidate]]),
      0
)</f>
        <v>0</v>
      </c>
      <c r="AD6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4" s="111">
        <f>IF(Audit[[#This Row],[Max Relative Error (ep)]] = 0, 0, Audit[[#This Row],[Max Relative Error (ep)]]/Audit[[#This Row],[Error Bound (up) - Max. possible relative overstatement]])</f>
        <v>0</v>
      </c>
      <c r="AJ6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94" s="111">
        <f t="shared" si="10"/>
        <v>1</v>
      </c>
      <c r="AL694" s="111">
        <f>PRODUCT($AK$5:AK694)</f>
        <v>8.962823818226312E-2</v>
      </c>
      <c r="AM694" s="109">
        <f>1 - [K-M P Value]</f>
        <v>0.91037176181773694</v>
      </c>
      <c r="AN694" s="111" t="str">
        <f>IF(Audit[[#This Row],[K-M P Value]]&gt;1-'General Info'!$B$16,"Continue", "Stop")</f>
        <v>Stop</v>
      </c>
      <c r="AO694" s="110" t="b">
        <f>IF(Audit[[#This Row],[Status - Continue or stop audit]] = "Continue", TRUE, IF(AN693 = "Continue", TRUE, FALSE))</f>
        <v>0</v>
      </c>
      <c r="AP694" s="110"/>
    </row>
    <row r="695" spans="1:42" ht="15" hidden="1" customHeight="1">
      <c r="A695" s="111" t="str">
        <f>'Sampling Data'!W685</f>
        <v/>
      </c>
      <c r="B695" s="112" t="str">
        <f>'Sampling Data'!A685</f>
        <v>CLEVELAND -12-E</v>
      </c>
      <c r="C695" s="112">
        <f>'Sampling Data'!B685</f>
        <v>5</v>
      </c>
      <c r="D695" s="112">
        <f>'Sampling Data'!C685</f>
        <v>2</v>
      </c>
      <c r="E695" s="113">
        <f>'Sampling Data'!D685</f>
        <v>1</v>
      </c>
      <c r="F695" s="113">
        <f>'Sampling Data'!E685</f>
        <v>0</v>
      </c>
      <c r="G695" s="113">
        <f>'Sampling Data'!F685</f>
        <v>0</v>
      </c>
      <c r="H695" s="113">
        <f>'Sampling Data'!G685</f>
        <v>0</v>
      </c>
      <c r="I695" s="112">
        <f>'Sampling Data'!H685</f>
        <v>0</v>
      </c>
      <c r="J695" s="112">
        <f>'Sampling Data'!I685</f>
        <v>0</v>
      </c>
      <c r="K695" s="112">
        <f>'Sampling Data'!J685</f>
        <v>8</v>
      </c>
      <c r="L695" s="111">
        <f>'Sampling Data'!X685</f>
        <v>0</v>
      </c>
      <c r="M695" s="114"/>
      <c r="N695" s="114"/>
      <c r="O695" s="115"/>
      <c r="P695" s="115"/>
      <c r="Q695" s="116"/>
      <c r="R695" s="116"/>
      <c r="S695" s="111">
        <f>Audit[[#This Row],[Audit Losing Candidate]]-Audit[[#This Row],[Losing Candidate]]</f>
        <v>-5</v>
      </c>
      <c r="T695" s="111">
        <f>Audit[[#This Row],[Audit Winning Candidate]]-Audit[[#This Row],[Winning Candidate]]</f>
        <v>-2</v>
      </c>
      <c r="U695" s="111">
        <f>Audit[[#This Row],[Audit Candidate 3]]-Audit[[#This Row],[Candidate 3]]</f>
        <v>-1</v>
      </c>
      <c r="V695" s="111">
        <f>Audit[[#This Row],[Audit Candidate 4]]-Audit[[#This Row],[Candidate 4]]</f>
        <v>0</v>
      </c>
      <c r="W695" s="111">
        <f>Audit[[#This Row],[Audit Candidate 5]]-Audit[[#This Row],[Candidate 5]]</f>
        <v>0</v>
      </c>
      <c r="X695" s="111">
        <f>Audit[[#This Row],[Audit Candidate 6]]-Audit[[#This Row],[Candidate 6]]</f>
        <v>0</v>
      </c>
      <c r="Y695" s="111">
        <f>SUMIF(Audit[[#This Row],[Difference Loser]:[Difference Candidate 6]], "&gt;0")</f>
        <v>0</v>
      </c>
      <c r="Z695" s="111">
        <f>SUM(Audit[[#This Row],[Difference Loser]:[Difference Candidate 6]])</f>
        <v>-8</v>
      </c>
      <c r="AA695" s="111">
        <f>IF(Audit[[#This Row],[Times p Drawn - With Replacement]]&gt;0, IF(Audit[[#This Row],[Canceled Differences]]&lt;0, Audit[[#This Row],[Max Differences]]+ABS(Audit[[#This Row],[Canceled Differences]]), Audit[[#This Row],[Max Differences]]), 0)</f>
        <v>0</v>
      </c>
      <c r="AB695" s="111">
        <f>'Sampling Data'!P685</f>
        <v>3.0622243998040176E-4</v>
      </c>
      <c r="AC695" s="111">
        <f>IF(
      SUM(Audit[[#This Row],[Audit Losing Candidate]:[Audit Candidate 6]])
      &lt;&gt;0,
      (Audit[[#This Row],[Winning Candidate]]-Audit[[#This Row],[Losing Candidate]]-(Audit[[#This Row],[Audit Winning Candidate]]-Audit[[#This Row],[Audit Losing Candidate]]))/(Audit[[#Totals],[Winning Candidate]]-Audit[[#Totals],[Losing Candidate]]),
      0
)</f>
        <v>0</v>
      </c>
      <c r="AD6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5" s="111">
        <f>IF(Audit[[#This Row],[Max Relative Error (ep)]] = 0, 0, Audit[[#This Row],[Max Relative Error (ep)]]/Audit[[#This Row],[Error Bound (up) - Max. possible relative overstatement]])</f>
        <v>0</v>
      </c>
      <c r="AJ6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95" s="111">
        <f t="shared" si="10"/>
        <v>1</v>
      </c>
      <c r="AL695" s="111">
        <f>PRODUCT($AK$5:AK695)</f>
        <v>8.962823818226312E-2</v>
      </c>
      <c r="AM695" s="109">
        <f>1 - [K-M P Value]</f>
        <v>0.91037176181773694</v>
      </c>
      <c r="AN695" s="111" t="str">
        <f>IF(Audit[[#This Row],[K-M P Value]]&gt;1-'General Info'!$B$16,"Continue", "Stop")</f>
        <v>Stop</v>
      </c>
      <c r="AO695" s="110" t="b">
        <f>IF(Audit[[#This Row],[Status - Continue or stop audit]] = "Continue", TRUE, IF(AN694 = "Continue", TRUE, FALSE))</f>
        <v>0</v>
      </c>
      <c r="AP695" s="110"/>
    </row>
    <row r="696" spans="1:42" ht="15" hidden="1" customHeight="1">
      <c r="A696" s="111" t="str">
        <f>'Sampling Data'!W686</f>
        <v/>
      </c>
      <c r="B696" s="112" t="str">
        <f>'Sampling Data'!A686</f>
        <v>CLEVELAND -12-E - ABS</v>
      </c>
      <c r="C696" s="112">
        <f>'Sampling Data'!B686</f>
        <v>0</v>
      </c>
      <c r="D696" s="112">
        <f>'Sampling Data'!C686</f>
        <v>0</v>
      </c>
      <c r="E696" s="113">
        <f>'Sampling Data'!D686</f>
        <v>0</v>
      </c>
      <c r="F696" s="113">
        <f>'Sampling Data'!E686</f>
        <v>0</v>
      </c>
      <c r="G696" s="113">
        <f>'Sampling Data'!F686</f>
        <v>0</v>
      </c>
      <c r="H696" s="113">
        <f>'Sampling Data'!G686</f>
        <v>0</v>
      </c>
      <c r="I696" s="112">
        <f>'Sampling Data'!H686</f>
        <v>0</v>
      </c>
      <c r="J696" s="112">
        <f>'Sampling Data'!I686</f>
        <v>0</v>
      </c>
      <c r="K696" s="112">
        <f>'Sampling Data'!J686</f>
        <v>0</v>
      </c>
      <c r="L696" s="111">
        <f>'Sampling Data'!X686</f>
        <v>0</v>
      </c>
      <c r="M696" s="114"/>
      <c r="N696" s="114"/>
      <c r="O696" s="115"/>
      <c r="P696" s="115"/>
      <c r="Q696" s="116"/>
      <c r="R696" s="116"/>
      <c r="S696" s="111">
        <f>Audit[[#This Row],[Audit Losing Candidate]]-Audit[[#This Row],[Losing Candidate]]</f>
        <v>0</v>
      </c>
      <c r="T696" s="111">
        <f>Audit[[#This Row],[Audit Winning Candidate]]-Audit[[#This Row],[Winning Candidate]]</f>
        <v>0</v>
      </c>
      <c r="U696" s="111">
        <f>Audit[[#This Row],[Audit Candidate 3]]-Audit[[#This Row],[Candidate 3]]</f>
        <v>0</v>
      </c>
      <c r="V696" s="111">
        <f>Audit[[#This Row],[Audit Candidate 4]]-Audit[[#This Row],[Candidate 4]]</f>
        <v>0</v>
      </c>
      <c r="W696" s="111">
        <f>Audit[[#This Row],[Audit Candidate 5]]-Audit[[#This Row],[Candidate 5]]</f>
        <v>0</v>
      </c>
      <c r="X696" s="111">
        <f>Audit[[#This Row],[Audit Candidate 6]]-Audit[[#This Row],[Candidate 6]]</f>
        <v>0</v>
      </c>
      <c r="Y696" s="111">
        <f>SUMIF(Audit[[#This Row],[Difference Loser]:[Difference Candidate 6]], "&gt;0")</f>
        <v>0</v>
      </c>
      <c r="Z696" s="111">
        <f>SUM(Audit[[#This Row],[Difference Loser]:[Difference Candidate 6]])</f>
        <v>0</v>
      </c>
      <c r="AA696" s="111">
        <f>IF(Audit[[#This Row],[Times p Drawn - With Replacement]]&gt;0, IF(Audit[[#This Row],[Canceled Differences]]&lt;0, Audit[[#This Row],[Max Differences]]+ABS(Audit[[#This Row],[Canceled Differences]]), Audit[[#This Row],[Max Differences]]), 0)</f>
        <v>0</v>
      </c>
      <c r="AB696" s="111">
        <f>'Sampling Data'!P686</f>
        <v>0</v>
      </c>
      <c r="AC696" s="111">
        <f>IF(
      SUM(Audit[[#This Row],[Audit Losing Candidate]:[Audit Candidate 6]])
      &lt;&gt;0,
      (Audit[[#This Row],[Winning Candidate]]-Audit[[#This Row],[Losing Candidate]]-(Audit[[#This Row],[Audit Winning Candidate]]-Audit[[#This Row],[Audit Losing Candidate]]))/(Audit[[#Totals],[Winning Candidate]]-Audit[[#Totals],[Losing Candidate]]),
      0
)</f>
        <v>0</v>
      </c>
      <c r="AD6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6" s="111">
        <f>IF(Audit[[#This Row],[Max Relative Error (ep)]] = 0, 0, Audit[[#This Row],[Max Relative Error (ep)]]/Audit[[#This Row],[Error Bound (up) - Max. possible relative overstatement]])</f>
        <v>0</v>
      </c>
      <c r="AJ6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96" s="111">
        <f t="shared" si="10"/>
        <v>1</v>
      </c>
      <c r="AL696" s="111">
        <f>PRODUCT($AK$5:AK696)</f>
        <v>8.962823818226312E-2</v>
      </c>
      <c r="AM696" s="109">
        <f>1 - [K-M P Value]</f>
        <v>0.91037176181773694</v>
      </c>
      <c r="AN696" s="111" t="str">
        <f>IF(Audit[[#This Row],[K-M P Value]]&gt;1-'General Info'!$B$16,"Continue", "Stop")</f>
        <v>Stop</v>
      </c>
      <c r="AO696" s="110" t="b">
        <f>IF(Audit[[#This Row],[Status - Continue or stop audit]] = "Continue", TRUE, IF(AN695 = "Continue", TRUE, FALSE))</f>
        <v>0</v>
      </c>
      <c r="AP696" s="110"/>
    </row>
    <row r="697" spans="1:42" ht="15" hidden="1" customHeight="1">
      <c r="A697" s="111" t="str">
        <f>'Sampling Data'!W687</f>
        <v/>
      </c>
      <c r="B697" s="112" t="str">
        <f>'Sampling Data'!A687</f>
        <v>CLEVELAND -12-F</v>
      </c>
      <c r="C697" s="112">
        <f>'Sampling Data'!B687</f>
        <v>5</v>
      </c>
      <c r="D697" s="112">
        <f>'Sampling Data'!C687</f>
        <v>4</v>
      </c>
      <c r="E697" s="113">
        <f>'Sampling Data'!D687</f>
        <v>3</v>
      </c>
      <c r="F697" s="113">
        <f>'Sampling Data'!E687</f>
        <v>4</v>
      </c>
      <c r="G697" s="113">
        <f>'Sampling Data'!F687</f>
        <v>0</v>
      </c>
      <c r="H697" s="113">
        <f>'Sampling Data'!G687</f>
        <v>0</v>
      </c>
      <c r="I697" s="112">
        <f>'Sampling Data'!H687</f>
        <v>0</v>
      </c>
      <c r="J697" s="112">
        <f>'Sampling Data'!I687</f>
        <v>1</v>
      </c>
      <c r="K697" s="112">
        <f>'Sampling Data'!J687</f>
        <v>17</v>
      </c>
      <c r="L697" s="111">
        <f>'Sampling Data'!X687</f>
        <v>0</v>
      </c>
      <c r="M697" s="114"/>
      <c r="N697" s="114"/>
      <c r="O697" s="115"/>
      <c r="P697" s="115"/>
      <c r="Q697" s="116"/>
      <c r="R697" s="116"/>
      <c r="S697" s="111">
        <f>Audit[[#This Row],[Audit Losing Candidate]]-Audit[[#This Row],[Losing Candidate]]</f>
        <v>-5</v>
      </c>
      <c r="T697" s="111">
        <f>Audit[[#This Row],[Audit Winning Candidate]]-Audit[[#This Row],[Winning Candidate]]</f>
        <v>-4</v>
      </c>
      <c r="U697" s="111">
        <f>Audit[[#This Row],[Audit Candidate 3]]-Audit[[#This Row],[Candidate 3]]</f>
        <v>-3</v>
      </c>
      <c r="V697" s="111">
        <f>Audit[[#This Row],[Audit Candidate 4]]-Audit[[#This Row],[Candidate 4]]</f>
        <v>-4</v>
      </c>
      <c r="W697" s="111">
        <f>Audit[[#This Row],[Audit Candidate 5]]-Audit[[#This Row],[Candidate 5]]</f>
        <v>0</v>
      </c>
      <c r="X697" s="111">
        <f>Audit[[#This Row],[Audit Candidate 6]]-Audit[[#This Row],[Candidate 6]]</f>
        <v>0</v>
      </c>
      <c r="Y697" s="111">
        <f>SUMIF(Audit[[#This Row],[Difference Loser]:[Difference Candidate 6]], "&gt;0")</f>
        <v>0</v>
      </c>
      <c r="Z697" s="111">
        <f>SUM(Audit[[#This Row],[Difference Loser]:[Difference Candidate 6]])</f>
        <v>-16</v>
      </c>
      <c r="AA697" s="111">
        <f>IF(Audit[[#This Row],[Times p Drawn - With Replacement]]&gt;0, IF(Audit[[#This Row],[Canceled Differences]]&lt;0, Audit[[#This Row],[Max Differences]]+ABS(Audit[[#This Row],[Canceled Differences]]), Audit[[#This Row],[Max Differences]]), 0)</f>
        <v>0</v>
      </c>
      <c r="AB697" s="111">
        <f>'Sampling Data'!P687</f>
        <v>9.7991180793728563E-4</v>
      </c>
      <c r="AC697" s="111">
        <f>IF(
      SUM(Audit[[#This Row],[Audit Losing Candidate]:[Audit Candidate 6]])
      &lt;&gt;0,
      (Audit[[#This Row],[Winning Candidate]]-Audit[[#This Row],[Losing Candidate]]-(Audit[[#This Row],[Audit Winning Candidate]]-Audit[[#This Row],[Audit Losing Candidate]]))/(Audit[[#Totals],[Winning Candidate]]-Audit[[#Totals],[Losing Candidate]]),
      0
)</f>
        <v>0</v>
      </c>
      <c r="AD6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7" s="111">
        <f>IF(Audit[[#This Row],[Max Relative Error (ep)]] = 0, 0, Audit[[#This Row],[Max Relative Error (ep)]]/Audit[[#This Row],[Error Bound (up) - Max. possible relative overstatement]])</f>
        <v>0</v>
      </c>
      <c r="AJ6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97" s="111">
        <f t="shared" si="10"/>
        <v>1</v>
      </c>
      <c r="AL697" s="111">
        <f>PRODUCT($AK$5:AK697)</f>
        <v>8.962823818226312E-2</v>
      </c>
      <c r="AM697" s="109">
        <f>1 - [K-M P Value]</f>
        <v>0.91037176181773694</v>
      </c>
      <c r="AN697" s="111" t="str">
        <f>IF(Audit[[#This Row],[K-M P Value]]&gt;1-'General Info'!$B$16,"Continue", "Stop")</f>
        <v>Stop</v>
      </c>
      <c r="AO697" s="110" t="b">
        <f>IF(Audit[[#This Row],[Status - Continue or stop audit]] = "Continue", TRUE, IF(AN696 = "Continue", TRUE, FALSE))</f>
        <v>0</v>
      </c>
      <c r="AP697" s="110"/>
    </row>
    <row r="698" spans="1:42" ht="15" hidden="1" customHeight="1">
      <c r="A698" s="111" t="str">
        <f>'Sampling Data'!W688</f>
        <v/>
      </c>
      <c r="B698" s="112" t="str">
        <f>'Sampling Data'!A688</f>
        <v>CLEVELAND -12-F - ABS</v>
      </c>
      <c r="C698" s="112">
        <f>'Sampling Data'!B688</f>
        <v>4</v>
      </c>
      <c r="D698" s="112">
        <f>'Sampling Data'!C688</f>
        <v>0</v>
      </c>
      <c r="E698" s="113">
        <f>'Sampling Data'!D688</f>
        <v>1</v>
      </c>
      <c r="F698" s="113">
        <f>'Sampling Data'!E688</f>
        <v>0</v>
      </c>
      <c r="G698" s="113">
        <f>'Sampling Data'!F688</f>
        <v>0</v>
      </c>
      <c r="H698" s="113">
        <f>'Sampling Data'!G688</f>
        <v>0</v>
      </c>
      <c r="I698" s="112">
        <f>'Sampling Data'!H688</f>
        <v>0</v>
      </c>
      <c r="J698" s="112">
        <f>'Sampling Data'!I688</f>
        <v>0</v>
      </c>
      <c r="K698" s="112">
        <f>'Sampling Data'!J688</f>
        <v>5</v>
      </c>
      <c r="L698" s="111">
        <f>'Sampling Data'!X688</f>
        <v>0</v>
      </c>
      <c r="M698" s="114"/>
      <c r="N698" s="114"/>
      <c r="O698" s="115"/>
      <c r="P698" s="115"/>
      <c r="Q698" s="116"/>
      <c r="R698" s="116"/>
      <c r="S698" s="111">
        <f>Audit[[#This Row],[Audit Losing Candidate]]-Audit[[#This Row],[Losing Candidate]]</f>
        <v>-4</v>
      </c>
      <c r="T698" s="111">
        <f>Audit[[#This Row],[Audit Winning Candidate]]-Audit[[#This Row],[Winning Candidate]]</f>
        <v>0</v>
      </c>
      <c r="U698" s="111">
        <f>Audit[[#This Row],[Audit Candidate 3]]-Audit[[#This Row],[Candidate 3]]</f>
        <v>-1</v>
      </c>
      <c r="V698" s="111">
        <f>Audit[[#This Row],[Audit Candidate 4]]-Audit[[#This Row],[Candidate 4]]</f>
        <v>0</v>
      </c>
      <c r="W698" s="111">
        <f>Audit[[#This Row],[Audit Candidate 5]]-Audit[[#This Row],[Candidate 5]]</f>
        <v>0</v>
      </c>
      <c r="X698" s="111">
        <f>Audit[[#This Row],[Audit Candidate 6]]-Audit[[#This Row],[Candidate 6]]</f>
        <v>0</v>
      </c>
      <c r="Y698" s="111">
        <f>SUMIF(Audit[[#This Row],[Difference Loser]:[Difference Candidate 6]], "&gt;0")</f>
        <v>0</v>
      </c>
      <c r="Z698" s="111">
        <f>SUM(Audit[[#This Row],[Difference Loser]:[Difference Candidate 6]])</f>
        <v>-5</v>
      </c>
      <c r="AA698" s="111">
        <f>IF(Audit[[#This Row],[Times p Drawn - With Replacement]]&gt;0, IF(Audit[[#This Row],[Canceled Differences]]&lt;0, Audit[[#This Row],[Max Differences]]+ABS(Audit[[#This Row],[Canceled Differences]]), Audit[[#This Row],[Max Differences]]), 0)</f>
        <v>0</v>
      </c>
      <c r="AB698" s="111">
        <f>'Sampling Data'!P688</f>
        <v>1.4616036715484231E-4</v>
      </c>
      <c r="AC698" s="111">
        <f>IF(
      SUM(Audit[[#This Row],[Audit Losing Candidate]:[Audit Candidate 6]])
      &lt;&gt;0,
      (Audit[[#This Row],[Winning Candidate]]-Audit[[#This Row],[Losing Candidate]]-(Audit[[#This Row],[Audit Winning Candidate]]-Audit[[#This Row],[Audit Losing Candidate]]))/(Audit[[#Totals],[Winning Candidate]]-Audit[[#Totals],[Losing Candidate]]),
      0
)</f>
        <v>0</v>
      </c>
      <c r="AD6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8" s="111">
        <f>IF(Audit[[#This Row],[Max Relative Error (ep)]] = 0, 0, Audit[[#This Row],[Max Relative Error (ep)]]/Audit[[#This Row],[Error Bound (up) - Max. possible relative overstatement]])</f>
        <v>0</v>
      </c>
      <c r="AJ6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98" s="111">
        <f t="shared" si="10"/>
        <v>1</v>
      </c>
      <c r="AL698" s="111">
        <f>PRODUCT($AK$5:AK698)</f>
        <v>8.962823818226312E-2</v>
      </c>
      <c r="AM698" s="109">
        <f>1 - [K-M P Value]</f>
        <v>0.91037176181773694</v>
      </c>
      <c r="AN698" s="111" t="str">
        <f>IF(Audit[[#This Row],[K-M P Value]]&gt;1-'General Info'!$B$16,"Continue", "Stop")</f>
        <v>Stop</v>
      </c>
      <c r="AO698" s="110" t="b">
        <f>IF(Audit[[#This Row],[Status - Continue or stop audit]] = "Continue", TRUE, IF(AN697 = "Continue", TRUE, FALSE))</f>
        <v>0</v>
      </c>
      <c r="AP698" s="110"/>
    </row>
    <row r="699" spans="1:42" ht="15" hidden="1" customHeight="1">
      <c r="A699" s="111" t="str">
        <f>'Sampling Data'!W689</f>
        <v/>
      </c>
      <c r="B699" s="112" t="str">
        <f>'Sampling Data'!A689</f>
        <v>CLEVELAND -12-G</v>
      </c>
      <c r="C699" s="112">
        <f>'Sampling Data'!B689</f>
        <v>3</v>
      </c>
      <c r="D699" s="112">
        <f>'Sampling Data'!C689</f>
        <v>3</v>
      </c>
      <c r="E699" s="113">
        <f>'Sampling Data'!D689</f>
        <v>3</v>
      </c>
      <c r="F699" s="113">
        <f>'Sampling Data'!E689</f>
        <v>3</v>
      </c>
      <c r="G699" s="113">
        <f>'Sampling Data'!F689</f>
        <v>0</v>
      </c>
      <c r="H699" s="113">
        <f>'Sampling Data'!G689</f>
        <v>0</v>
      </c>
      <c r="I699" s="112">
        <f>'Sampling Data'!H689</f>
        <v>0</v>
      </c>
      <c r="J699" s="112">
        <f>'Sampling Data'!I689</f>
        <v>1</v>
      </c>
      <c r="K699" s="112">
        <f>'Sampling Data'!J689</f>
        <v>13</v>
      </c>
      <c r="L699" s="111">
        <f>'Sampling Data'!X689</f>
        <v>0</v>
      </c>
      <c r="M699" s="114"/>
      <c r="N699" s="114"/>
      <c r="O699" s="115"/>
      <c r="P699" s="115"/>
      <c r="Q699" s="116"/>
      <c r="R699" s="116"/>
      <c r="S699" s="111">
        <f>Audit[[#This Row],[Audit Losing Candidate]]-Audit[[#This Row],[Losing Candidate]]</f>
        <v>-3</v>
      </c>
      <c r="T699" s="111">
        <f>Audit[[#This Row],[Audit Winning Candidate]]-Audit[[#This Row],[Winning Candidate]]</f>
        <v>-3</v>
      </c>
      <c r="U699" s="111">
        <f>Audit[[#This Row],[Audit Candidate 3]]-Audit[[#This Row],[Candidate 3]]</f>
        <v>-3</v>
      </c>
      <c r="V699" s="111">
        <f>Audit[[#This Row],[Audit Candidate 4]]-Audit[[#This Row],[Candidate 4]]</f>
        <v>-3</v>
      </c>
      <c r="W699" s="111">
        <f>Audit[[#This Row],[Audit Candidate 5]]-Audit[[#This Row],[Candidate 5]]</f>
        <v>0</v>
      </c>
      <c r="X699" s="111">
        <f>Audit[[#This Row],[Audit Candidate 6]]-Audit[[#This Row],[Candidate 6]]</f>
        <v>0</v>
      </c>
      <c r="Y699" s="111">
        <f>SUMIF(Audit[[#This Row],[Difference Loser]:[Difference Candidate 6]], "&gt;0")</f>
        <v>0</v>
      </c>
      <c r="Z699" s="111">
        <f>SUM(Audit[[#This Row],[Difference Loser]:[Difference Candidate 6]])</f>
        <v>-12</v>
      </c>
      <c r="AA699" s="111">
        <f>IF(Audit[[#This Row],[Times p Drawn - With Replacement]]&gt;0, IF(Audit[[#This Row],[Canceled Differences]]&lt;0, Audit[[#This Row],[Max Differences]]+ABS(Audit[[#This Row],[Canceled Differences]]), Audit[[#This Row],[Max Differences]]), 0)</f>
        <v>0</v>
      </c>
      <c r="AB699" s="111">
        <f>'Sampling Data'!P689</f>
        <v>7.9617834394904463E-4</v>
      </c>
      <c r="AC699" s="111">
        <f>IF(
      SUM(Audit[[#This Row],[Audit Losing Candidate]:[Audit Candidate 6]])
      &lt;&gt;0,
      (Audit[[#This Row],[Winning Candidate]]-Audit[[#This Row],[Losing Candidate]]-(Audit[[#This Row],[Audit Winning Candidate]]-Audit[[#This Row],[Audit Losing Candidate]]))/(Audit[[#Totals],[Winning Candidate]]-Audit[[#Totals],[Losing Candidate]]),
      0
)</f>
        <v>0</v>
      </c>
      <c r="AD6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9" s="111">
        <f>IF(Audit[[#This Row],[Max Relative Error (ep)]] = 0, 0, Audit[[#This Row],[Max Relative Error (ep)]]/Audit[[#This Row],[Error Bound (up) - Max. possible relative overstatement]])</f>
        <v>0</v>
      </c>
      <c r="AJ6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699" s="111">
        <f t="shared" si="10"/>
        <v>1</v>
      </c>
      <c r="AL699" s="111">
        <f>PRODUCT($AK$5:AK699)</f>
        <v>8.962823818226312E-2</v>
      </c>
      <c r="AM699" s="109">
        <f>1 - [K-M P Value]</f>
        <v>0.91037176181773694</v>
      </c>
      <c r="AN699" s="111" t="str">
        <f>IF(Audit[[#This Row],[K-M P Value]]&gt;1-'General Info'!$B$16,"Continue", "Stop")</f>
        <v>Stop</v>
      </c>
      <c r="AO699" s="110" t="b">
        <f>IF(Audit[[#This Row],[Status - Continue or stop audit]] = "Continue", TRUE, IF(AN698 = "Continue", TRUE, FALSE))</f>
        <v>0</v>
      </c>
      <c r="AP699" s="110"/>
    </row>
    <row r="700" spans="1:42" ht="15" hidden="1" customHeight="1">
      <c r="A700" s="111" t="str">
        <f>'Sampling Data'!W690</f>
        <v/>
      </c>
      <c r="B700" s="112" t="str">
        <f>'Sampling Data'!A690</f>
        <v>CLEVELAND -12-G - ABS</v>
      </c>
      <c r="C700" s="112">
        <f>'Sampling Data'!B690</f>
        <v>1</v>
      </c>
      <c r="D700" s="112">
        <f>'Sampling Data'!C690</f>
        <v>0</v>
      </c>
      <c r="E700" s="113">
        <f>'Sampling Data'!D690</f>
        <v>3</v>
      </c>
      <c r="F700" s="113">
        <f>'Sampling Data'!E690</f>
        <v>0</v>
      </c>
      <c r="G700" s="113">
        <f>'Sampling Data'!F690</f>
        <v>0</v>
      </c>
      <c r="H700" s="113">
        <f>'Sampling Data'!G690</f>
        <v>0</v>
      </c>
      <c r="I700" s="112">
        <f>'Sampling Data'!H690</f>
        <v>0</v>
      </c>
      <c r="J700" s="112">
        <f>'Sampling Data'!I690</f>
        <v>0</v>
      </c>
      <c r="K700" s="112">
        <f>'Sampling Data'!J690</f>
        <v>4</v>
      </c>
      <c r="L700" s="111">
        <f>'Sampling Data'!X690</f>
        <v>0</v>
      </c>
      <c r="M700" s="114"/>
      <c r="N700" s="114"/>
      <c r="O700" s="115"/>
      <c r="P700" s="115"/>
      <c r="Q700" s="116"/>
      <c r="R700" s="116"/>
      <c r="S700" s="111">
        <f>Audit[[#This Row],[Audit Losing Candidate]]-Audit[[#This Row],[Losing Candidate]]</f>
        <v>-1</v>
      </c>
      <c r="T700" s="111">
        <f>Audit[[#This Row],[Audit Winning Candidate]]-Audit[[#This Row],[Winning Candidate]]</f>
        <v>0</v>
      </c>
      <c r="U700" s="111">
        <f>Audit[[#This Row],[Audit Candidate 3]]-Audit[[#This Row],[Candidate 3]]</f>
        <v>-3</v>
      </c>
      <c r="V700" s="111">
        <f>Audit[[#This Row],[Audit Candidate 4]]-Audit[[#This Row],[Candidate 4]]</f>
        <v>0</v>
      </c>
      <c r="W700" s="111">
        <f>Audit[[#This Row],[Audit Candidate 5]]-Audit[[#This Row],[Candidate 5]]</f>
        <v>0</v>
      </c>
      <c r="X700" s="111">
        <f>Audit[[#This Row],[Audit Candidate 6]]-Audit[[#This Row],[Candidate 6]]</f>
        <v>0</v>
      </c>
      <c r="Y700" s="111">
        <f>SUMIF(Audit[[#This Row],[Difference Loser]:[Difference Candidate 6]], "&gt;0")</f>
        <v>0</v>
      </c>
      <c r="Z700" s="111">
        <f>SUM(Audit[[#This Row],[Difference Loser]:[Difference Candidate 6]])</f>
        <v>-4</v>
      </c>
      <c r="AA700" s="111">
        <f>IF(Audit[[#This Row],[Times p Drawn - With Replacement]]&gt;0, IF(Audit[[#This Row],[Canceled Differences]]&lt;0, Audit[[#This Row],[Max Differences]]+ABS(Audit[[#This Row],[Canceled Differences]]), Audit[[#This Row],[Max Differences]]), 0)</f>
        <v>0</v>
      </c>
      <c r="AB700" s="111">
        <f>'Sampling Data'!P690</f>
        <v>1.8373346398824106E-4</v>
      </c>
      <c r="AC700" s="111">
        <f>IF(
      SUM(Audit[[#This Row],[Audit Losing Candidate]:[Audit Candidate 6]])
      &lt;&gt;0,
      (Audit[[#This Row],[Winning Candidate]]-Audit[[#This Row],[Losing Candidate]]-(Audit[[#This Row],[Audit Winning Candidate]]-Audit[[#This Row],[Audit Losing Candidate]]))/(Audit[[#Totals],[Winning Candidate]]-Audit[[#Totals],[Losing Candidate]]),
      0
)</f>
        <v>0</v>
      </c>
      <c r="AD7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0" s="111">
        <f>IF(Audit[[#This Row],[Max Relative Error (ep)]] = 0, 0, Audit[[#This Row],[Max Relative Error (ep)]]/Audit[[#This Row],[Error Bound (up) - Max. possible relative overstatement]])</f>
        <v>0</v>
      </c>
      <c r="AJ7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00" s="111">
        <f t="shared" si="10"/>
        <v>1</v>
      </c>
      <c r="AL700" s="111">
        <f>PRODUCT($AK$5:AK700)</f>
        <v>8.962823818226312E-2</v>
      </c>
      <c r="AM700" s="109">
        <f>1 - [K-M P Value]</f>
        <v>0.91037176181773694</v>
      </c>
      <c r="AN700" s="111" t="str">
        <f>IF(Audit[[#This Row],[K-M P Value]]&gt;1-'General Info'!$B$16,"Continue", "Stop")</f>
        <v>Stop</v>
      </c>
      <c r="AO700" s="110" t="b">
        <f>IF(Audit[[#This Row],[Status - Continue or stop audit]] = "Continue", TRUE, IF(AN699 = "Continue", TRUE, FALSE))</f>
        <v>0</v>
      </c>
      <c r="AP700" s="110"/>
    </row>
    <row r="701" spans="1:42" ht="15" hidden="1" customHeight="1">
      <c r="A701" s="111" t="str">
        <f>'Sampling Data'!W691</f>
        <v/>
      </c>
      <c r="B701" s="112" t="str">
        <f>'Sampling Data'!A691</f>
        <v>CLEVELAND -12-H</v>
      </c>
      <c r="C701" s="112">
        <f>'Sampling Data'!B691</f>
        <v>5</v>
      </c>
      <c r="D701" s="112">
        <f>'Sampling Data'!C691</f>
        <v>6</v>
      </c>
      <c r="E701" s="113">
        <f>'Sampling Data'!D691</f>
        <v>2</v>
      </c>
      <c r="F701" s="113">
        <f>'Sampling Data'!E691</f>
        <v>1</v>
      </c>
      <c r="G701" s="113">
        <f>'Sampling Data'!F691</f>
        <v>0</v>
      </c>
      <c r="H701" s="113">
        <f>'Sampling Data'!G691</f>
        <v>0</v>
      </c>
      <c r="I701" s="112">
        <f>'Sampling Data'!H691</f>
        <v>0</v>
      </c>
      <c r="J701" s="112">
        <f>'Sampling Data'!I691</f>
        <v>0</v>
      </c>
      <c r="K701" s="112">
        <f>'Sampling Data'!J691</f>
        <v>14</v>
      </c>
      <c r="L701" s="111">
        <f>'Sampling Data'!X691</f>
        <v>0</v>
      </c>
      <c r="M701" s="114"/>
      <c r="N701" s="114"/>
      <c r="O701" s="115"/>
      <c r="P701" s="115"/>
      <c r="Q701" s="116"/>
      <c r="R701" s="116"/>
      <c r="S701" s="111">
        <f>Audit[[#This Row],[Audit Losing Candidate]]-Audit[[#This Row],[Losing Candidate]]</f>
        <v>-5</v>
      </c>
      <c r="T701" s="111">
        <f>Audit[[#This Row],[Audit Winning Candidate]]-Audit[[#This Row],[Winning Candidate]]</f>
        <v>-6</v>
      </c>
      <c r="U701" s="111">
        <f>Audit[[#This Row],[Audit Candidate 3]]-Audit[[#This Row],[Candidate 3]]</f>
        <v>-2</v>
      </c>
      <c r="V701" s="111">
        <f>Audit[[#This Row],[Audit Candidate 4]]-Audit[[#This Row],[Candidate 4]]</f>
        <v>-1</v>
      </c>
      <c r="W701" s="111">
        <f>Audit[[#This Row],[Audit Candidate 5]]-Audit[[#This Row],[Candidate 5]]</f>
        <v>0</v>
      </c>
      <c r="X701" s="111">
        <f>Audit[[#This Row],[Audit Candidate 6]]-Audit[[#This Row],[Candidate 6]]</f>
        <v>0</v>
      </c>
      <c r="Y701" s="111">
        <f>SUMIF(Audit[[#This Row],[Difference Loser]:[Difference Candidate 6]], "&gt;0")</f>
        <v>0</v>
      </c>
      <c r="Z701" s="111">
        <f>SUM(Audit[[#This Row],[Difference Loser]:[Difference Candidate 6]])</f>
        <v>-14</v>
      </c>
      <c r="AA701" s="111">
        <f>IF(Audit[[#This Row],[Times p Drawn - With Replacement]]&gt;0, IF(Audit[[#This Row],[Canceled Differences]]&lt;0, Audit[[#This Row],[Max Differences]]+ABS(Audit[[#This Row],[Canceled Differences]]), Audit[[#This Row],[Max Differences]]), 0)</f>
        <v>0</v>
      </c>
      <c r="AB701" s="111">
        <f>'Sampling Data'!P691</f>
        <v>9.1866731994120533E-4</v>
      </c>
      <c r="AC701" s="111">
        <f>IF(
      SUM(Audit[[#This Row],[Audit Losing Candidate]:[Audit Candidate 6]])
      &lt;&gt;0,
      (Audit[[#This Row],[Winning Candidate]]-Audit[[#This Row],[Losing Candidate]]-(Audit[[#This Row],[Audit Winning Candidate]]-Audit[[#This Row],[Audit Losing Candidate]]))/(Audit[[#Totals],[Winning Candidate]]-Audit[[#Totals],[Losing Candidate]]),
      0
)</f>
        <v>0</v>
      </c>
      <c r="AD7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1" s="111">
        <f>IF(Audit[[#This Row],[Max Relative Error (ep)]] = 0, 0, Audit[[#This Row],[Max Relative Error (ep)]]/Audit[[#This Row],[Error Bound (up) - Max. possible relative overstatement]])</f>
        <v>0</v>
      </c>
      <c r="AJ7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01" s="111">
        <f t="shared" si="10"/>
        <v>1</v>
      </c>
      <c r="AL701" s="111">
        <f>PRODUCT($AK$5:AK701)</f>
        <v>8.962823818226312E-2</v>
      </c>
      <c r="AM701" s="109">
        <f>1 - [K-M P Value]</f>
        <v>0.91037176181773694</v>
      </c>
      <c r="AN701" s="111" t="str">
        <f>IF(Audit[[#This Row],[K-M P Value]]&gt;1-'General Info'!$B$16,"Continue", "Stop")</f>
        <v>Stop</v>
      </c>
      <c r="AO701" s="110" t="b">
        <f>IF(Audit[[#This Row],[Status - Continue or stop audit]] = "Continue", TRUE, IF(AN700 = "Continue", TRUE, FALSE))</f>
        <v>0</v>
      </c>
      <c r="AP701" s="110"/>
    </row>
    <row r="702" spans="1:42" ht="15" hidden="1" customHeight="1">
      <c r="A702" s="111" t="str">
        <f>'Sampling Data'!W692</f>
        <v/>
      </c>
      <c r="B702" s="112" t="str">
        <f>'Sampling Data'!A692</f>
        <v>CLEVELAND -12-H - ABS</v>
      </c>
      <c r="C702" s="112">
        <f>'Sampling Data'!B692</f>
        <v>3</v>
      </c>
      <c r="D702" s="112">
        <f>'Sampling Data'!C692</f>
        <v>4</v>
      </c>
      <c r="E702" s="113">
        <f>'Sampling Data'!D692</f>
        <v>2</v>
      </c>
      <c r="F702" s="113">
        <f>'Sampling Data'!E692</f>
        <v>0</v>
      </c>
      <c r="G702" s="113">
        <f>'Sampling Data'!F692</f>
        <v>0</v>
      </c>
      <c r="H702" s="113">
        <f>'Sampling Data'!G692</f>
        <v>1</v>
      </c>
      <c r="I702" s="112">
        <f>'Sampling Data'!H692</f>
        <v>0</v>
      </c>
      <c r="J702" s="112">
        <f>'Sampling Data'!I692</f>
        <v>0</v>
      </c>
      <c r="K702" s="112">
        <f>'Sampling Data'!J692</f>
        <v>10</v>
      </c>
      <c r="L702" s="111">
        <f>'Sampling Data'!X692</f>
        <v>0</v>
      </c>
      <c r="M702" s="114"/>
      <c r="N702" s="114"/>
      <c r="O702" s="115"/>
      <c r="P702" s="115"/>
      <c r="Q702" s="116"/>
      <c r="R702" s="116"/>
      <c r="S702" s="111">
        <f>Audit[[#This Row],[Audit Losing Candidate]]-Audit[[#This Row],[Losing Candidate]]</f>
        <v>-3</v>
      </c>
      <c r="T702" s="111">
        <f>Audit[[#This Row],[Audit Winning Candidate]]-Audit[[#This Row],[Winning Candidate]]</f>
        <v>-4</v>
      </c>
      <c r="U702" s="111">
        <f>Audit[[#This Row],[Audit Candidate 3]]-Audit[[#This Row],[Candidate 3]]</f>
        <v>-2</v>
      </c>
      <c r="V702" s="111">
        <f>Audit[[#This Row],[Audit Candidate 4]]-Audit[[#This Row],[Candidate 4]]</f>
        <v>0</v>
      </c>
      <c r="W702" s="111">
        <f>Audit[[#This Row],[Audit Candidate 5]]-Audit[[#This Row],[Candidate 5]]</f>
        <v>0</v>
      </c>
      <c r="X702" s="111">
        <f>Audit[[#This Row],[Audit Candidate 6]]-Audit[[#This Row],[Candidate 6]]</f>
        <v>-1</v>
      </c>
      <c r="Y702" s="111">
        <f>SUMIF(Audit[[#This Row],[Difference Loser]:[Difference Candidate 6]], "&gt;0")</f>
        <v>0</v>
      </c>
      <c r="Z702" s="111">
        <f>SUM(Audit[[#This Row],[Difference Loser]:[Difference Candidate 6]])</f>
        <v>-10</v>
      </c>
      <c r="AA702" s="111">
        <f>IF(Audit[[#This Row],[Times p Drawn - With Replacement]]&gt;0, IF(Audit[[#This Row],[Canceled Differences]]&lt;0, Audit[[#This Row],[Max Differences]]+ABS(Audit[[#This Row],[Canceled Differences]]), Audit[[#This Row],[Max Differences]]), 0)</f>
        <v>0</v>
      </c>
      <c r="AB702" s="111">
        <f>'Sampling Data'!P692</f>
        <v>6.7368936795688392E-4</v>
      </c>
      <c r="AC702" s="111">
        <f>IF(
      SUM(Audit[[#This Row],[Audit Losing Candidate]:[Audit Candidate 6]])
      &lt;&gt;0,
      (Audit[[#This Row],[Winning Candidate]]-Audit[[#This Row],[Losing Candidate]]-(Audit[[#This Row],[Audit Winning Candidate]]-Audit[[#This Row],[Audit Losing Candidate]]))/(Audit[[#Totals],[Winning Candidate]]-Audit[[#Totals],[Losing Candidate]]),
      0
)</f>
        <v>0</v>
      </c>
      <c r="AD7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2" s="111">
        <f>IF(Audit[[#This Row],[Max Relative Error (ep)]] = 0, 0, Audit[[#This Row],[Max Relative Error (ep)]]/Audit[[#This Row],[Error Bound (up) - Max. possible relative overstatement]])</f>
        <v>0</v>
      </c>
      <c r="AJ7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02" s="111">
        <f t="shared" si="10"/>
        <v>1</v>
      </c>
      <c r="AL702" s="111">
        <f>PRODUCT($AK$5:AK702)</f>
        <v>8.962823818226312E-2</v>
      </c>
      <c r="AM702" s="109">
        <f>1 - [K-M P Value]</f>
        <v>0.91037176181773694</v>
      </c>
      <c r="AN702" s="111" t="str">
        <f>IF(Audit[[#This Row],[K-M P Value]]&gt;1-'General Info'!$B$16,"Continue", "Stop")</f>
        <v>Stop</v>
      </c>
      <c r="AO702" s="110" t="b">
        <f>IF(Audit[[#This Row],[Status - Continue or stop audit]] = "Continue", TRUE, IF(AN701 = "Continue", TRUE, FALSE))</f>
        <v>0</v>
      </c>
      <c r="AP702" s="110"/>
    </row>
    <row r="703" spans="1:42" ht="15" hidden="1" customHeight="1">
      <c r="A703" s="111" t="str">
        <f>'Sampling Data'!W693</f>
        <v/>
      </c>
      <c r="B703" s="112" t="str">
        <f>'Sampling Data'!A693</f>
        <v>CLEVELAND -12-I</v>
      </c>
      <c r="C703" s="112">
        <f>'Sampling Data'!B693</f>
        <v>10</v>
      </c>
      <c r="D703" s="112">
        <f>'Sampling Data'!C693</f>
        <v>3</v>
      </c>
      <c r="E703" s="113">
        <f>'Sampling Data'!D693</f>
        <v>1</v>
      </c>
      <c r="F703" s="113">
        <f>'Sampling Data'!E693</f>
        <v>3</v>
      </c>
      <c r="G703" s="113">
        <f>'Sampling Data'!F693</f>
        <v>0</v>
      </c>
      <c r="H703" s="113">
        <f>'Sampling Data'!G693</f>
        <v>1</v>
      </c>
      <c r="I703" s="112">
        <f>'Sampling Data'!H693</f>
        <v>0</v>
      </c>
      <c r="J703" s="112">
        <f>'Sampling Data'!I693</f>
        <v>0</v>
      </c>
      <c r="K703" s="112">
        <f>'Sampling Data'!J693</f>
        <v>18</v>
      </c>
      <c r="L703" s="111">
        <f>'Sampling Data'!X693</f>
        <v>0</v>
      </c>
      <c r="M703" s="114"/>
      <c r="N703" s="114"/>
      <c r="O703" s="115"/>
      <c r="P703" s="115"/>
      <c r="Q703" s="116"/>
      <c r="R703" s="116"/>
      <c r="S703" s="111">
        <f>Audit[[#This Row],[Audit Losing Candidate]]-Audit[[#This Row],[Losing Candidate]]</f>
        <v>-10</v>
      </c>
      <c r="T703" s="111">
        <f>Audit[[#This Row],[Audit Winning Candidate]]-Audit[[#This Row],[Winning Candidate]]</f>
        <v>-3</v>
      </c>
      <c r="U703" s="111">
        <f>Audit[[#This Row],[Audit Candidate 3]]-Audit[[#This Row],[Candidate 3]]</f>
        <v>-1</v>
      </c>
      <c r="V703" s="111">
        <f>Audit[[#This Row],[Audit Candidate 4]]-Audit[[#This Row],[Candidate 4]]</f>
        <v>-3</v>
      </c>
      <c r="W703" s="111">
        <f>Audit[[#This Row],[Audit Candidate 5]]-Audit[[#This Row],[Candidate 5]]</f>
        <v>0</v>
      </c>
      <c r="X703" s="111">
        <f>Audit[[#This Row],[Audit Candidate 6]]-Audit[[#This Row],[Candidate 6]]</f>
        <v>-1</v>
      </c>
      <c r="Y703" s="111">
        <f>SUMIF(Audit[[#This Row],[Difference Loser]:[Difference Candidate 6]], "&gt;0")</f>
        <v>0</v>
      </c>
      <c r="Z703" s="111">
        <f>SUM(Audit[[#This Row],[Difference Loser]:[Difference Candidate 6]])</f>
        <v>-18</v>
      </c>
      <c r="AA703" s="111">
        <f>IF(Audit[[#This Row],[Times p Drawn - With Replacement]]&gt;0, IF(Audit[[#This Row],[Canceled Differences]]&lt;0, Audit[[#This Row],[Max Differences]]+ABS(Audit[[#This Row],[Canceled Differences]]), Audit[[#This Row],[Max Differences]]), 0)</f>
        <v>0</v>
      </c>
      <c r="AB703" s="111">
        <f>'Sampling Data'!P693</f>
        <v>6.7368936795688392E-4</v>
      </c>
      <c r="AC703" s="111">
        <f>IF(
      SUM(Audit[[#This Row],[Audit Losing Candidate]:[Audit Candidate 6]])
      &lt;&gt;0,
      (Audit[[#This Row],[Winning Candidate]]-Audit[[#This Row],[Losing Candidate]]-(Audit[[#This Row],[Audit Winning Candidate]]-Audit[[#This Row],[Audit Losing Candidate]]))/(Audit[[#Totals],[Winning Candidate]]-Audit[[#Totals],[Losing Candidate]]),
      0
)</f>
        <v>0</v>
      </c>
      <c r="AD7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3" s="111">
        <f>IF(Audit[[#This Row],[Max Relative Error (ep)]] = 0, 0, Audit[[#This Row],[Max Relative Error (ep)]]/Audit[[#This Row],[Error Bound (up) - Max. possible relative overstatement]])</f>
        <v>0</v>
      </c>
      <c r="AJ7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03" s="111">
        <f t="shared" si="10"/>
        <v>1</v>
      </c>
      <c r="AL703" s="111">
        <f>PRODUCT($AK$5:AK703)</f>
        <v>8.962823818226312E-2</v>
      </c>
      <c r="AM703" s="109">
        <f>1 - [K-M P Value]</f>
        <v>0.91037176181773694</v>
      </c>
      <c r="AN703" s="111" t="str">
        <f>IF(Audit[[#This Row],[K-M P Value]]&gt;1-'General Info'!$B$16,"Continue", "Stop")</f>
        <v>Stop</v>
      </c>
      <c r="AO703" s="110" t="b">
        <f>IF(Audit[[#This Row],[Status - Continue or stop audit]] = "Continue", TRUE, IF(AN702 = "Continue", TRUE, FALSE))</f>
        <v>0</v>
      </c>
      <c r="AP703" s="110"/>
    </row>
    <row r="704" spans="1:42" ht="15" hidden="1" customHeight="1">
      <c r="A704" s="111" t="str">
        <f>'Sampling Data'!W694</f>
        <v/>
      </c>
      <c r="B704" s="112" t="str">
        <f>'Sampling Data'!A694</f>
        <v>CLEVELAND -12-I - ABS</v>
      </c>
      <c r="C704" s="112">
        <f>'Sampling Data'!B694</f>
        <v>3</v>
      </c>
      <c r="D704" s="112">
        <f>'Sampling Data'!C694</f>
        <v>7</v>
      </c>
      <c r="E704" s="113">
        <f>'Sampling Data'!D694</f>
        <v>0</v>
      </c>
      <c r="F704" s="113">
        <f>'Sampling Data'!E694</f>
        <v>1</v>
      </c>
      <c r="G704" s="113">
        <f>'Sampling Data'!F694</f>
        <v>0</v>
      </c>
      <c r="H704" s="113">
        <f>'Sampling Data'!G694</f>
        <v>0</v>
      </c>
      <c r="I704" s="112">
        <f>'Sampling Data'!H694</f>
        <v>0</v>
      </c>
      <c r="J704" s="112">
        <f>'Sampling Data'!I694</f>
        <v>0</v>
      </c>
      <c r="K704" s="112">
        <f>'Sampling Data'!J694</f>
        <v>11</v>
      </c>
      <c r="L704" s="111">
        <f>'Sampling Data'!X694</f>
        <v>0</v>
      </c>
      <c r="M704" s="114"/>
      <c r="N704" s="114"/>
      <c r="O704" s="115"/>
      <c r="P704" s="115"/>
      <c r="Q704" s="116"/>
      <c r="R704" s="116"/>
      <c r="S704" s="111">
        <f>Audit[[#This Row],[Audit Losing Candidate]]-Audit[[#This Row],[Losing Candidate]]</f>
        <v>-3</v>
      </c>
      <c r="T704" s="111">
        <f>Audit[[#This Row],[Audit Winning Candidate]]-Audit[[#This Row],[Winning Candidate]]</f>
        <v>-7</v>
      </c>
      <c r="U704" s="111">
        <f>Audit[[#This Row],[Audit Candidate 3]]-Audit[[#This Row],[Candidate 3]]</f>
        <v>0</v>
      </c>
      <c r="V704" s="111">
        <f>Audit[[#This Row],[Audit Candidate 4]]-Audit[[#This Row],[Candidate 4]]</f>
        <v>-1</v>
      </c>
      <c r="W704" s="111">
        <f>Audit[[#This Row],[Audit Candidate 5]]-Audit[[#This Row],[Candidate 5]]</f>
        <v>0</v>
      </c>
      <c r="X704" s="111">
        <f>Audit[[#This Row],[Audit Candidate 6]]-Audit[[#This Row],[Candidate 6]]</f>
        <v>0</v>
      </c>
      <c r="Y704" s="111">
        <f>SUMIF(Audit[[#This Row],[Difference Loser]:[Difference Candidate 6]], "&gt;0")</f>
        <v>0</v>
      </c>
      <c r="Z704" s="111">
        <f>SUM(Audit[[#This Row],[Difference Loser]:[Difference Candidate 6]])</f>
        <v>-11</v>
      </c>
      <c r="AA704" s="111">
        <f>IF(Audit[[#This Row],[Times p Drawn - With Replacement]]&gt;0, IF(Audit[[#This Row],[Canceled Differences]]&lt;0, Audit[[#This Row],[Max Differences]]+ABS(Audit[[#This Row],[Canceled Differences]]), Audit[[#This Row],[Max Differences]]), 0)</f>
        <v>0</v>
      </c>
      <c r="AB704" s="111">
        <f>'Sampling Data'!P694</f>
        <v>9.1866731994120533E-4</v>
      </c>
      <c r="AC704" s="111">
        <f>IF(
      SUM(Audit[[#This Row],[Audit Losing Candidate]:[Audit Candidate 6]])
      &lt;&gt;0,
      (Audit[[#This Row],[Winning Candidate]]-Audit[[#This Row],[Losing Candidate]]-(Audit[[#This Row],[Audit Winning Candidate]]-Audit[[#This Row],[Audit Losing Candidate]]))/(Audit[[#Totals],[Winning Candidate]]-Audit[[#Totals],[Losing Candidate]]),
      0
)</f>
        <v>0</v>
      </c>
      <c r="AD7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4" s="111">
        <f>IF(Audit[[#This Row],[Max Relative Error (ep)]] = 0, 0, Audit[[#This Row],[Max Relative Error (ep)]]/Audit[[#This Row],[Error Bound (up) - Max. possible relative overstatement]])</f>
        <v>0</v>
      </c>
      <c r="AJ7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04" s="111">
        <f t="shared" si="10"/>
        <v>1</v>
      </c>
      <c r="AL704" s="111">
        <f>PRODUCT($AK$5:AK704)</f>
        <v>8.962823818226312E-2</v>
      </c>
      <c r="AM704" s="109">
        <f>1 - [K-M P Value]</f>
        <v>0.91037176181773694</v>
      </c>
      <c r="AN704" s="111" t="str">
        <f>IF(Audit[[#This Row],[K-M P Value]]&gt;1-'General Info'!$B$16,"Continue", "Stop")</f>
        <v>Stop</v>
      </c>
      <c r="AO704" s="110" t="b">
        <f>IF(Audit[[#This Row],[Status - Continue or stop audit]] = "Continue", TRUE, IF(AN703 = "Continue", TRUE, FALSE))</f>
        <v>0</v>
      </c>
      <c r="AP704" s="110"/>
    </row>
    <row r="705" spans="1:42" ht="15" hidden="1" customHeight="1">
      <c r="A705" s="111" t="str">
        <f>'Sampling Data'!W695</f>
        <v/>
      </c>
      <c r="B705" s="112" t="str">
        <f>'Sampling Data'!A695</f>
        <v>CLEVELAND -12-J</v>
      </c>
      <c r="C705" s="112">
        <f>'Sampling Data'!B695</f>
        <v>1</v>
      </c>
      <c r="D705" s="112">
        <f>'Sampling Data'!C695</f>
        <v>5</v>
      </c>
      <c r="E705" s="113">
        <f>'Sampling Data'!D695</f>
        <v>2</v>
      </c>
      <c r="F705" s="113">
        <f>'Sampling Data'!E695</f>
        <v>1</v>
      </c>
      <c r="G705" s="113">
        <f>'Sampling Data'!F695</f>
        <v>0</v>
      </c>
      <c r="H705" s="113">
        <f>'Sampling Data'!G695</f>
        <v>0</v>
      </c>
      <c r="I705" s="112">
        <f>'Sampling Data'!H695</f>
        <v>0</v>
      </c>
      <c r="J705" s="112">
        <f>'Sampling Data'!I695</f>
        <v>0</v>
      </c>
      <c r="K705" s="112">
        <f>'Sampling Data'!J695</f>
        <v>9</v>
      </c>
      <c r="L705" s="111">
        <f>'Sampling Data'!X695</f>
        <v>0</v>
      </c>
      <c r="M705" s="114"/>
      <c r="N705" s="114"/>
      <c r="O705" s="115"/>
      <c r="P705" s="115"/>
      <c r="Q705" s="116"/>
      <c r="R705" s="116"/>
      <c r="S705" s="111">
        <f>Audit[[#This Row],[Audit Losing Candidate]]-Audit[[#This Row],[Losing Candidate]]</f>
        <v>-1</v>
      </c>
      <c r="T705" s="111">
        <f>Audit[[#This Row],[Audit Winning Candidate]]-Audit[[#This Row],[Winning Candidate]]</f>
        <v>-5</v>
      </c>
      <c r="U705" s="111">
        <f>Audit[[#This Row],[Audit Candidate 3]]-Audit[[#This Row],[Candidate 3]]</f>
        <v>-2</v>
      </c>
      <c r="V705" s="111">
        <f>Audit[[#This Row],[Audit Candidate 4]]-Audit[[#This Row],[Candidate 4]]</f>
        <v>-1</v>
      </c>
      <c r="W705" s="111">
        <f>Audit[[#This Row],[Audit Candidate 5]]-Audit[[#This Row],[Candidate 5]]</f>
        <v>0</v>
      </c>
      <c r="X705" s="111">
        <f>Audit[[#This Row],[Audit Candidate 6]]-Audit[[#This Row],[Candidate 6]]</f>
        <v>0</v>
      </c>
      <c r="Y705" s="111">
        <f>SUMIF(Audit[[#This Row],[Difference Loser]:[Difference Candidate 6]], "&gt;0")</f>
        <v>0</v>
      </c>
      <c r="Z705" s="111">
        <f>SUM(Audit[[#This Row],[Difference Loser]:[Difference Candidate 6]])</f>
        <v>-9</v>
      </c>
      <c r="AA705" s="111">
        <f>IF(Audit[[#This Row],[Times p Drawn - With Replacement]]&gt;0, IF(Audit[[#This Row],[Canceled Differences]]&lt;0, Audit[[#This Row],[Max Differences]]+ABS(Audit[[#This Row],[Canceled Differences]]), Audit[[#This Row],[Max Differences]]), 0)</f>
        <v>0</v>
      </c>
      <c r="AB705" s="111">
        <f>'Sampling Data'!P695</f>
        <v>7.9617834394904463E-4</v>
      </c>
      <c r="AC705" s="111">
        <f>IF(
      SUM(Audit[[#This Row],[Audit Losing Candidate]:[Audit Candidate 6]])
      &lt;&gt;0,
      (Audit[[#This Row],[Winning Candidate]]-Audit[[#This Row],[Losing Candidate]]-(Audit[[#This Row],[Audit Winning Candidate]]-Audit[[#This Row],[Audit Losing Candidate]]))/(Audit[[#Totals],[Winning Candidate]]-Audit[[#Totals],[Losing Candidate]]),
      0
)</f>
        <v>0</v>
      </c>
      <c r="AD7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5" s="111">
        <f>IF(Audit[[#This Row],[Max Relative Error (ep)]] = 0, 0, Audit[[#This Row],[Max Relative Error (ep)]]/Audit[[#This Row],[Error Bound (up) - Max. possible relative overstatement]])</f>
        <v>0</v>
      </c>
      <c r="AJ7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05" s="111">
        <f t="shared" si="10"/>
        <v>1</v>
      </c>
      <c r="AL705" s="111">
        <f>PRODUCT($AK$5:AK705)</f>
        <v>8.962823818226312E-2</v>
      </c>
      <c r="AM705" s="109">
        <f>1 - [K-M P Value]</f>
        <v>0.91037176181773694</v>
      </c>
      <c r="AN705" s="111" t="str">
        <f>IF(Audit[[#This Row],[K-M P Value]]&gt;1-'General Info'!$B$16,"Continue", "Stop")</f>
        <v>Stop</v>
      </c>
      <c r="AO705" s="110" t="b">
        <f>IF(Audit[[#This Row],[Status - Continue or stop audit]] = "Continue", TRUE, IF(AN704 = "Continue", TRUE, FALSE))</f>
        <v>0</v>
      </c>
      <c r="AP705" s="110"/>
    </row>
    <row r="706" spans="1:42" ht="15" hidden="1" customHeight="1">
      <c r="A706" s="111" t="str">
        <f>'Sampling Data'!W696</f>
        <v/>
      </c>
      <c r="B706" s="112" t="str">
        <f>'Sampling Data'!A696</f>
        <v>CLEVELAND -12-J - ABS</v>
      </c>
      <c r="C706" s="112">
        <f>'Sampling Data'!B696</f>
        <v>1</v>
      </c>
      <c r="D706" s="112">
        <f>'Sampling Data'!C696</f>
        <v>0</v>
      </c>
      <c r="E706" s="113">
        <f>'Sampling Data'!D696</f>
        <v>0</v>
      </c>
      <c r="F706" s="113">
        <f>'Sampling Data'!E696</f>
        <v>1</v>
      </c>
      <c r="G706" s="113">
        <f>'Sampling Data'!F696</f>
        <v>0</v>
      </c>
      <c r="H706" s="113">
        <f>'Sampling Data'!G696</f>
        <v>0</v>
      </c>
      <c r="I706" s="112">
        <f>'Sampling Data'!H696</f>
        <v>0</v>
      </c>
      <c r="J706" s="112">
        <f>'Sampling Data'!I696</f>
        <v>0</v>
      </c>
      <c r="K706" s="112">
        <f>'Sampling Data'!J696</f>
        <v>2</v>
      </c>
      <c r="L706" s="111">
        <f>'Sampling Data'!X696</f>
        <v>0</v>
      </c>
      <c r="M706" s="114"/>
      <c r="N706" s="114"/>
      <c r="O706" s="115"/>
      <c r="P706" s="115"/>
      <c r="Q706" s="116"/>
      <c r="R706" s="116"/>
      <c r="S706" s="111">
        <f>Audit[[#This Row],[Audit Losing Candidate]]-Audit[[#This Row],[Losing Candidate]]</f>
        <v>-1</v>
      </c>
      <c r="T706" s="111">
        <f>Audit[[#This Row],[Audit Winning Candidate]]-Audit[[#This Row],[Winning Candidate]]</f>
        <v>0</v>
      </c>
      <c r="U706" s="111">
        <f>Audit[[#This Row],[Audit Candidate 3]]-Audit[[#This Row],[Candidate 3]]</f>
        <v>0</v>
      </c>
      <c r="V706" s="111">
        <f>Audit[[#This Row],[Audit Candidate 4]]-Audit[[#This Row],[Candidate 4]]</f>
        <v>-1</v>
      </c>
      <c r="W706" s="111">
        <f>Audit[[#This Row],[Audit Candidate 5]]-Audit[[#This Row],[Candidate 5]]</f>
        <v>0</v>
      </c>
      <c r="X706" s="111">
        <f>Audit[[#This Row],[Audit Candidate 6]]-Audit[[#This Row],[Candidate 6]]</f>
        <v>0</v>
      </c>
      <c r="Y706" s="111">
        <f>SUMIF(Audit[[#This Row],[Difference Loser]:[Difference Candidate 6]], "&gt;0")</f>
        <v>0</v>
      </c>
      <c r="Z706" s="111">
        <f>SUM(Audit[[#This Row],[Difference Loser]:[Difference Candidate 6]])</f>
        <v>-2</v>
      </c>
      <c r="AA706" s="111">
        <f>IF(Audit[[#This Row],[Times p Drawn - With Replacement]]&gt;0, IF(Audit[[#This Row],[Canceled Differences]]&lt;0, Audit[[#This Row],[Max Differences]]+ABS(Audit[[#This Row],[Canceled Differences]]), Audit[[#This Row],[Max Differences]]), 0)</f>
        <v>0</v>
      </c>
      <c r="AB706" s="111">
        <f>'Sampling Data'!P696</f>
        <v>6.4522373132883833E-5</v>
      </c>
      <c r="AC706" s="111">
        <f>IF(
      SUM(Audit[[#This Row],[Audit Losing Candidate]:[Audit Candidate 6]])
      &lt;&gt;0,
      (Audit[[#This Row],[Winning Candidate]]-Audit[[#This Row],[Losing Candidate]]-(Audit[[#This Row],[Audit Winning Candidate]]-Audit[[#This Row],[Audit Losing Candidate]]))/(Audit[[#Totals],[Winning Candidate]]-Audit[[#Totals],[Losing Candidate]]),
      0
)</f>
        <v>0</v>
      </c>
      <c r="AD7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6" s="111">
        <f>IF(Audit[[#This Row],[Max Relative Error (ep)]] = 0, 0, Audit[[#This Row],[Max Relative Error (ep)]]/Audit[[#This Row],[Error Bound (up) - Max. possible relative overstatement]])</f>
        <v>0</v>
      </c>
      <c r="AJ7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06" s="111">
        <f t="shared" si="10"/>
        <v>1</v>
      </c>
      <c r="AL706" s="111">
        <f>PRODUCT($AK$5:AK706)</f>
        <v>8.962823818226312E-2</v>
      </c>
      <c r="AM706" s="109">
        <f>1 - [K-M P Value]</f>
        <v>0.91037176181773694</v>
      </c>
      <c r="AN706" s="111" t="str">
        <f>IF(Audit[[#This Row],[K-M P Value]]&gt;1-'General Info'!$B$16,"Continue", "Stop")</f>
        <v>Stop</v>
      </c>
      <c r="AO706" s="110" t="b">
        <f>IF(Audit[[#This Row],[Status - Continue or stop audit]] = "Continue", TRUE, IF(AN705 = "Continue", TRUE, FALSE))</f>
        <v>0</v>
      </c>
      <c r="AP706" s="110"/>
    </row>
    <row r="707" spans="1:42" ht="15" hidden="1" customHeight="1">
      <c r="A707" s="111" t="str">
        <f>'Sampling Data'!W697</f>
        <v/>
      </c>
      <c r="B707" s="112" t="str">
        <f>'Sampling Data'!A697</f>
        <v>CLEVELAND -12-K</v>
      </c>
      <c r="C707" s="112">
        <f>'Sampling Data'!B697</f>
        <v>10</v>
      </c>
      <c r="D707" s="112">
        <f>'Sampling Data'!C697</f>
        <v>3</v>
      </c>
      <c r="E707" s="113">
        <f>'Sampling Data'!D697</f>
        <v>5</v>
      </c>
      <c r="F707" s="113">
        <f>'Sampling Data'!E697</f>
        <v>2</v>
      </c>
      <c r="G707" s="113">
        <f>'Sampling Data'!F697</f>
        <v>0</v>
      </c>
      <c r="H707" s="113">
        <f>'Sampling Data'!G697</f>
        <v>0</v>
      </c>
      <c r="I707" s="112">
        <f>'Sampling Data'!H697</f>
        <v>0</v>
      </c>
      <c r="J707" s="112">
        <f>'Sampling Data'!I697</f>
        <v>1</v>
      </c>
      <c r="K707" s="112">
        <f>'Sampling Data'!J697</f>
        <v>21</v>
      </c>
      <c r="L707" s="111">
        <f>'Sampling Data'!X697</f>
        <v>0</v>
      </c>
      <c r="M707" s="114"/>
      <c r="N707" s="114"/>
      <c r="O707" s="115"/>
      <c r="P707" s="115"/>
      <c r="Q707" s="116"/>
      <c r="R707" s="116"/>
      <c r="S707" s="111">
        <f>Audit[[#This Row],[Audit Losing Candidate]]-Audit[[#This Row],[Losing Candidate]]</f>
        <v>-10</v>
      </c>
      <c r="T707" s="111">
        <f>Audit[[#This Row],[Audit Winning Candidate]]-Audit[[#This Row],[Winning Candidate]]</f>
        <v>-3</v>
      </c>
      <c r="U707" s="111">
        <f>Audit[[#This Row],[Audit Candidate 3]]-Audit[[#This Row],[Candidate 3]]</f>
        <v>-5</v>
      </c>
      <c r="V707" s="111">
        <f>Audit[[#This Row],[Audit Candidate 4]]-Audit[[#This Row],[Candidate 4]]</f>
        <v>-2</v>
      </c>
      <c r="W707" s="111">
        <f>Audit[[#This Row],[Audit Candidate 5]]-Audit[[#This Row],[Candidate 5]]</f>
        <v>0</v>
      </c>
      <c r="X707" s="111">
        <f>Audit[[#This Row],[Audit Candidate 6]]-Audit[[#This Row],[Candidate 6]]</f>
        <v>0</v>
      </c>
      <c r="Y707" s="111">
        <f>SUMIF(Audit[[#This Row],[Difference Loser]:[Difference Candidate 6]], "&gt;0")</f>
        <v>0</v>
      </c>
      <c r="Z707" s="111">
        <f>SUM(Audit[[#This Row],[Difference Loser]:[Difference Candidate 6]])</f>
        <v>-20</v>
      </c>
      <c r="AA707" s="111">
        <f>IF(Audit[[#This Row],[Times p Drawn - With Replacement]]&gt;0, IF(Audit[[#This Row],[Canceled Differences]]&lt;0, Audit[[#This Row],[Max Differences]]+ABS(Audit[[#This Row],[Canceled Differences]]), Audit[[#This Row],[Max Differences]]), 0)</f>
        <v>0</v>
      </c>
      <c r="AB707" s="111">
        <f>'Sampling Data'!P697</f>
        <v>8.5742283194512492E-4</v>
      </c>
      <c r="AC707" s="111">
        <f>IF(
      SUM(Audit[[#This Row],[Audit Losing Candidate]:[Audit Candidate 6]])
      &lt;&gt;0,
      (Audit[[#This Row],[Winning Candidate]]-Audit[[#This Row],[Losing Candidate]]-(Audit[[#This Row],[Audit Winning Candidate]]-Audit[[#This Row],[Audit Losing Candidate]]))/(Audit[[#Totals],[Winning Candidate]]-Audit[[#Totals],[Losing Candidate]]),
      0
)</f>
        <v>0</v>
      </c>
      <c r="AD7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7" s="111">
        <f>IF(Audit[[#This Row],[Max Relative Error (ep)]] = 0, 0, Audit[[#This Row],[Max Relative Error (ep)]]/Audit[[#This Row],[Error Bound (up) - Max. possible relative overstatement]])</f>
        <v>0</v>
      </c>
      <c r="AJ7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07" s="111">
        <f t="shared" si="10"/>
        <v>1</v>
      </c>
      <c r="AL707" s="111">
        <f>PRODUCT($AK$5:AK707)</f>
        <v>8.962823818226312E-2</v>
      </c>
      <c r="AM707" s="109">
        <f>1 - [K-M P Value]</f>
        <v>0.91037176181773694</v>
      </c>
      <c r="AN707" s="111" t="str">
        <f>IF(Audit[[#This Row],[K-M P Value]]&gt;1-'General Info'!$B$16,"Continue", "Stop")</f>
        <v>Stop</v>
      </c>
      <c r="AO707" s="110" t="b">
        <f>IF(Audit[[#This Row],[Status - Continue or stop audit]] = "Continue", TRUE, IF(AN706 = "Continue", TRUE, FALSE))</f>
        <v>0</v>
      </c>
      <c r="AP707" s="110"/>
    </row>
    <row r="708" spans="1:42" ht="15" hidden="1" customHeight="1">
      <c r="A708" s="111" t="str">
        <f>'Sampling Data'!W698</f>
        <v/>
      </c>
      <c r="B708" s="112" t="str">
        <f>'Sampling Data'!A698</f>
        <v>CLEVELAND -12-K - ABS</v>
      </c>
      <c r="C708" s="112">
        <f>'Sampling Data'!B698</f>
        <v>1</v>
      </c>
      <c r="D708" s="112">
        <f>'Sampling Data'!C698</f>
        <v>1</v>
      </c>
      <c r="E708" s="113">
        <f>'Sampling Data'!D698</f>
        <v>0</v>
      </c>
      <c r="F708" s="113">
        <f>'Sampling Data'!E698</f>
        <v>0</v>
      </c>
      <c r="G708" s="113">
        <f>'Sampling Data'!F698</f>
        <v>0</v>
      </c>
      <c r="H708" s="113">
        <f>'Sampling Data'!G698</f>
        <v>0</v>
      </c>
      <c r="I708" s="112">
        <f>'Sampling Data'!H698</f>
        <v>0</v>
      </c>
      <c r="J708" s="112">
        <f>'Sampling Data'!I698</f>
        <v>0</v>
      </c>
      <c r="K708" s="112">
        <f>'Sampling Data'!J698</f>
        <v>2</v>
      </c>
      <c r="L708" s="111">
        <f>'Sampling Data'!X698</f>
        <v>0</v>
      </c>
      <c r="M708" s="114"/>
      <c r="N708" s="114"/>
      <c r="O708" s="115"/>
      <c r="P708" s="115"/>
      <c r="Q708" s="116"/>
      <c r="R708" s="116"/>
      <c r="S708" s="111">
        <f>Audit[[#This Row],[Audit Losing Candidate]]-Audit[[#This Row],[Losing Candidate]]</f>
        <v>-1</v>
      </c>
      <c r="T708" s="111">
        <f>Audit[[#This Row],[Audit Winning Candidate]]-Audit[[#This Row],[Winning Candidate]]</f>
        <v>-1</v>
      </c>
      <c r="U708" s="111">
        <f>Audit[[#This Row],[Audit Candidate 3]]-Audit[[#This Row],[Candidate 3]]</f>
        <v>0</v>
      </c>
      <c r="V708" s="111">
        <f>Audit[[#This Row],[Audit Candidate 4]]-Audit[[#This Row],[Candidate 4]]</f>
        <v>0</v>
      </c>
      <c r="W708" s="111">
        <f>Audit[[#This Row],[Audit Candidate 5]]-Audit[[#This Row],[Candidate 5]]</f>
        <v>0</v>
      </c>
      <c r="X708" s="111">
        <f>Audit[[#This Row],[Audit Candidate 6]]-Audit[[#This Row],[Candidate 6]]</f>
        <v>0</v>
      </c>
      <c r="Y708" s="111">
        <f>SUMIF(Audit[[#This Row],[Difference Loser]:[Difference Candidate 6]], "&gt;0")</f>
        <v>0</v>
      </c>
      <c r="Z708" s="111">
        <f>SUM(Audit[[#This Row],[Difference Loser]:[Difference Candidate 6]])</f>
        <v>-2</v>
      </c>
      <c r="AA708" s="111">
        <f>IF(Audit[[#This Row],[Times p Drawn - With Replacement]]&gt;0, IF(Audit[[#This Row],[Canceled Differences]]&lt;0, Audit[[#This Row],[Max Differences]]+ABS(Audit[[#This Row],[Canceled Differences]]), Audit[[#This Row],[Max Differences]]), 0)</f>
        <v>0</v>
      </c>
      <c r="AB708" s="111">
        <f>'Sampling Data'!P698</f>
        <v>1.224889759921607E-4</v>
      </c>
      <c r="AC708" s="111">
        <f>IF(
      SUM(Audit[[#This Row],[Audit Losing Candidate]:[Audit Candidate 6]])
      &lt;&gt;0,
      (Audit[[#This Row],[Winning Candidate]]-Audit[[#This Row],[Losing Candidate]]-(Audit[[#This Row],[Audit Winning Candidate]]-Audit[[#This Row],[Audit Losing Candidate]]))/(Audit[[#Totals],[Winning Candidate]]-Audit[[#Totals],[Losing Candidate]]),
      0
)</f>
        <v>0</v>
      </c>
      <c r="AD7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8" s="111">
        <f>IF(Audit[[#This Row],[Max Relative Error (ep)]] = 0, 0, Audit[[#This Row],[Max Relative Error (ep)]]/Audit[[#This Row],[Error Bound (up) - Max. possible relative overstatement]])</f>
        <v>0</v>
      </c>
      <c r="AJ7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08" s="111">
        <f t="shared" si="10"/>
        <v>1</v>
      </c>
      <c r="AL708" s="111">
        <f>PRODUCT($AK$5:AK708)</f>
        <v>8.962823818226312E-2</v>
      </c>
      <c r="AM708" s="109">
        <f>1 - [K-M P Value]</f>
        <v>0.91037176181773694</v>
      </c>
      <c r="AN708" s="111" t="str">
        <f>IF(Audit[[#This Row],[K-M P Value]]&gt;1-'General Info'!$B$16,"Continue", "Stop")</f>
        <v>Stop</v>
      </c>
      <c r="AO708" s="110" t="b">
        <f>IF(Audit[[#This Row],[Status - Continue or stop audit]] = "Continue", TRUE, IF(AN707 = "Continue", TRUE, FALSE))</f>
        <v>0</v>
      </c>
      <c r="AP708" s="110"/>
    </row>
    <row r="709" spans="1:42" ht="15" hidden="1" customHeight="1">
      <c r="A709" s="111" t="str">
        <f>'Sampling Data'!W699</f>
        <v/>
      </c>
      <c r="B709" s="112" t="str">
        <f>'Sampling Data'!A699</f>
        <v>CLEVELAND -12-L</v>
      </c>
      <c r="C709" s="112">
        <f>'Sampling Data'!B699</f>
        <v>9</v>
      </c>
      <c r="D709" s="112">
        <f>'Sampling Data'!C699</f>
        <v>7</v>
      </c>
      <c r="E709" s="113">
        <f>'Sampling Data'!D699</f>
        <v>4</v>
      </c>
      <c r="F709" s="113">
        <f>'Sampling Data'!E699</f>
        <v>4</v>
      </c>
      <c r="G709" s="113">
        <f>'Sampling Data'!F699</f>
        <v>0</v>
      </c>
      <c r="H709" s="113">
        <f>'Sampling Data'!G699</f>
        <v>0</v>
      </c>
      <c r="I709" s="112">
        <f>'Sampling Data'!H699</f>
        <v>0</v>
      </c>
      <c r="J709" s="112">
        <f>'Sampling Data'!I699</f>
        <v>0</v>
      </c>
      <c r="K709" s="112">
        <f>'Sampling Data'!J699</f>
        <v>24</v>
      </c>
      <c r="L709" s="111">
        <f>'Sampling Data'!X699</f>
        <v>0</v>
      </c>
      <c r="M709" s="114"/>
      <c r="N709" s="114"/>
      <c r="O709" s="115"/>
      <c r="P709" s="115"/>
      <c r="Q709" s="116"/>
      <c r="R709" s="116"/>
      <c r="S709" s="111">
        <f>Audit[[#This Row],[Audit Losing Candidate]]-Audit[[#This Row],[Losing Candidate]]</f>
        <v>-9</v>
      </c>
      <c r="T709" s="111">
        <f>Audit[[#This Row],[Audit Winning Candidate]]-Audit[[#This Row],[Winning Candidate]]</f>
        <v>-7</v>
      </c>
      <c r="U709" s="111">
        <f>Audit[[#This Row],[Audit Candidate 3]]-Audit[[#This Row],[Candidate 3]]</f>
        <v>-4</v>
      </c>
      <c r="V709" s="111">
        <f>Audit[[#This Row],[Audit Candidate 4]]-Audit[[#This Row],[Candidate 4]]</f>
        <v>-4</v>
      </c>
      <c r="W709" s="111">
        <f>Audit[[#This Row],[Audit Candidate 5]]-Audit[[#This Row],[Candidate 5]]</f>
        <v>0</v>
      </c>
      <c r="X709" s="111">
        <f>Audit[[#This Row],[Audit Candidate 6]]-Audit[[#This Row],[Candidate 6]]</f>
        <v>0</v>
      </c>
      <c r="Y709" s="111">
        <f>SUMIF(Audit[[#This Row],[Difference Loser]:[Difference Candidate 6]], "&gt;0")</f>
        <v>0</v>
      </c>
      <c r="Z709" s="111">
        <f>SUM(Audit[[#This Row],[Difference Loser]:[Difference Candidate 6]])</f>
        <v>-24</v>
      </c>
      <c r="AA709" s="111">
        <f>IF(Audit[[#This Row],[Times p Drawn - With Replacement]]&gt;0, IF(Audit[[#This Row],[Canceled Differences]]&lt;0, Audit[[#This Row],[Max Differences]]+ABS(Audit[[#This Row],[Canceled Differences]]), Audit[[#This Row],[Max Differences]]), 0)</f>
        <v>0</v>
      </c>
      <c r="AB709" s="111">
        <f>'Sampling Data'!P699</f>
        <v>1.3473787359137678E-3</v>
      </c>
      <c r="AC709" s="111">
        <f>IF(
      SUM(Audit[[#This Row],[Audit Losing Candidate]:[Audit Candidate 6]])
      &lt;&gt;0,
      (Audit[[#This Row],[Winning Candidate]]-Audit[[#This Row],[Losing Candidate]]-(Audit[[#This Row],[Audit Winning Candidate]]-Audit[[#This Row],[Audit Losing Candidate]]))/(Audit[[#Totals],[Winning Candidate]]-Audit[[#Totals],[Losing Candidate]]),
      0
)</f>
        <v>0</v>
      </c>
      <c r="AD7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9" s="111">
        <f>IF(Audit[[#This Row],[Max Relative Error (ep)]] = 0, 0, Audit[[#This Row],[Max Relative Error (ep)]]/Audit[[#This Row],[Error Bound (up) - Max. possible relative overstatement]])</f>
        <v>0</v>
      </c>
      <c r="AJ7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09" s="111">
        <f t="shared" ref="AK709:AK772" si="11">IF(ISERR(POWER(AJ709,L709)), 0, POWER(AJ709,L709))</f>
        <v>1</v>
      </c>
      <c r="AL709" s="111">
        <f>PRODUCT($AK$5:AK709)</f>
        <v>8.962823818226312E-2</v>
      </c>
      <c r="AM709" s="109">
        <f>1 - [K-M P Value]</f>
        <v>0.91037176181773694</v>
      </c>
      <c r="AN709" s="111" t="str">
        <f>IF(Audit[[#This Row],[K-M P Value]]&gt;1-'General Info'!$B$16,"Continue", "Stop")</f>
        <v>Stop</v>
      </c>
      <c r="AO709" s="110" t="b">
        <f>IF(Audit[[#This Row],[Status - Continue or stop audit]] = "Continue", TRUE, IF(AN708 = "Continue", TRUE, FALSE))</f>
        <v>0</v>
      </c>
      <c r="AP709" s="110"/>
    </row>
    <row r="710" spans="1:42" ht="15" hidden="1" customHeight="1">
      <c r="A710" s="111" t="str">
        <f>'Sampling Data'!W700</f>
        <v/>
      </c>
      <c r="B710" s="112" t="str">
        <f>'Sampling Data'!A700</f>
        <v>CLEVELAND -12-L - ABS</v>
      </c>
      <c r="C710" s="112">
        <f>'Sampling Data'!B700</f>
        <v>2</v>
      </c>
      <c r="D710" s="112">
        <f>'Sampling Data'!C700</f>
        <v>1</v>
      </c>
      <c r="E710" s="113">
        <f>'Sampling Data'!D700</f>
        <v>1</v>
      </c>
      <c r="F710" s="113">
        <f>'Sampling Data'!E700</f>
        <v>0</v>
      </c>
      <c r="G710" s="113">
        <f>'Sampling Data'!F700</f>
        <v>0</v>
      </c>
      <c r="H710" s="113">
        <f>'Sampling Data'!G700</f>
        <v>0</v>
      </c>
      <c r="I710" s="112">
        <f>'Sampling Data'!H700</f>
        <v>0</v>
      </c>
      <c r="J710" s="112">
        <f>'Sampling Data'!I700</f>
        <v>0</v>
      </c>
      <c r="K710" s="112">
        <f>'Sampling Data'!J700</f>
        <v>4</v>
      </c>
      <c r="L710" s="111">
        <f>'Sampling Data'!X700</f>
        <v>0</v>
      </c>
      <c r="M710" s="114"/>
      <c r="N710" s="114"/>
      <c r="O710" s="115"/>
      <c r="P710" s="115"/>
      <c r="Q710" s="116"/>
      <c r="R710" s="116"/>
      <c r="S710" s="111">
        <f>Audit[[#This Row],[Audit Losing Candidate]]-Audit[[#This Row],[Losing Candidate]]</f>
        <v>-2</v>
      </c>
      <c r="T710" s="111">
        <f>Audit[[#This Row],[Audit Winning Candidate]]-Audit[[#This Row],[Winning Candidate]]</f>
        <v>-1</v>
      </c>
      <c r="U710" s="111">
        <f>Audit[[#This Row],[Audit Candidate 3]]-Audit[[#This Row],[Candidate 3]]</f>
        <v>-1</v>
      </c>
      <c r="V710" s="111">
        <f>Audit[[#This Row],[Audit Candidate 4]]-Audit[[#This Row],[Candidate 4]]</f>
        <v>0</v>
      </c>
      <c r="W710" s="111">
        <f>Audit[[#This Row],[Audit Candidate 5]]-Audit[[#This Row],[Candidate 5]]</f>
        <v>0</v>
      </c>
      <c r="X710" s="111">
        <f>Audit[[#This Row],[Audit Candidate 6]]-Audit[[#This Row],[Candidate 6]]</f>
        <v>0</v>
      </c>
      <c r="Y710" s="111">
        <f>SUMIF(Audit[[#This Row],[Difference Loser]:[Difference Candidate 6]], "&gt;0")</f>
        <v>0</v>
      </c>
      <c r="Z710" s="111">
        <f>SUM(Audit[[#This Row],[Difference Loser]:[Difference Candidate 6]])</f>
        <v>-4</v>
      </c>
      <c r="AA710" s="111">
        <f>IF(Audit[[#This Row],[Times p Drawn - With Replacement]]&gt;0, IF(Audit[[#This Row],[Canceled Differences]]&lt;0, Audit[[#This Row],[Max Differences]]+ABS(Audit[[#This Row],[Canceled Differences]]), Audit[[#This Row],[Max Differences]]), 0)</f>
        <v>0</v>
      </c>
      <c r="AB710" s="111">
        <f>'Sampling Data'!P700</f>
        <v>1.8373346398824106E-4</v>
      </c>
      <c r="AC710" s="111">
        <f>IF(
      SUM(Audit[[#This Row],[Audit Losing Candidate]:[Audit Candidate 6]])
      &lt;&gt;0,
      (Audit[[#This Row],[Winning Candidate]]-Audit[[#This Row],[Losing Candidate]]-(Audit[[#This Row],[Audit Winning Candidate]]-Audit[[#This Row],[Audit Losing Candidate]]))/(Audit[[#Totals],[Winning Candidate]]-Audit[[#Totals],[Losing Candidate]]),
      0
)</f>
        <v>0</v>
      </c>
      <c r="AD7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0" s="111">
        <f>IF(Audit[[#This Row],[Max Relative Error (ep)]] = 0, 0, Audit[[#This Row],[Max Relative Error (ep)]]/Audit[[#This Row],[Error Bound (up) - Max. possible relative overstatement]])</f>
        <v>0</v>
      </c>
      <c r="AJ7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10" s="111">
        <f t="shared" si="11"/>
        <v>1</v>
      </c>
      <c r="AL710" s="111">
        <f>PRODUCT($AK$5:AK710)</f>
        <v>8.962823818226312E-2</v>
      </c>
      <c r="AM710" s="109">
        <f>1 - [K-M P Value]</f>
        <v>0.91037176181773694</v>
      </c>
      <c r="AN710" s="111" t="str">
        <f>IF(Audit[[#This Row],[K-M P Value]]&gt;1-'General Info'!$B$16,"Continue", "Stop")</f>
        <v>Stop</v>
      </c>
      <c r="AO710" s="110" t="b">
        <f>IF(Audit[[#This Row],[Status - Continue or stop audit]] = "Continue", TRUE, IF(AN709 = "Continue", TRUE, FALSE))</f>
        <v>0</v>
      </c>
      <c r="AP710" s="110"/>
    </row>
    <row r="711" spans="1:42" ht="15" hidden="1" customHeight="1">
      <c r="A711" s="111" t="str">
        <f>'Sampling Data'!W701</f>
        <v/>
      </c>
      <c r="B711" s="112" t="str">
        <f>'Sampling Data'!A701</f>
        <v>CLEVELAND -12-M</v>
      </c>
      <c r="C711" s="112">
        <f>'Sampling Data'!B701</f>
        <v>13</v>
      </c>
      <c r="D711" s="112">
        <f>'Sampling Data'!C701</f>
        <v>30</v>
      </c>
      <c r="E711" s="113">
        <f>'Sampling Data'!D701</f>
        <v>7</v>
      </c>
      <c r="F711" s="113">
        <f>'Sampling Data'!E701</f>
        <v>9</v>
      </c>
      <c r="G711" s="113">
        <f>'Sampling Data'!F701</f>
        <v>0</v>
      </c>
      <c r="H711" s="113">
        <f>'Sampling Data'!G701</f>
        <v>0</v>
      </c>
      <c r="I711" s="112">
        <f>'Sampling Data'!H701</f>
        <v>0</v>
      </c>
      <c r="J711" s="112">
        <f>'Sampling Data'!I701</f>
        <v>0</v>
      </c>
      <c r="K711" s="112">
        <f>'Sampling Data'!J701</f>
        <v>59</v>
      </c>
      <c r="L711" s="111">
        <f>'Sampling Data'!X701</f>
        <v>0</v>
      </c>
      <c r="M711" s="114"/>
      <c r="N711" s="114"/>
      <c r="O711" s="115"/>
      <c r="P711" s="115"/>
      <c r="Q711" s="116"/>
      <c r="R711" s="116"/>
      <c r="S711" s="111">
        <f>Audit[[#This Row],[Audit Losing Candidate]]-Audit[[#This Row],[Losing Candidate]]</f>
        <v>-13</v>
      </c>
      <c r="T711" s="111">
        <f>Audit[[#This Row],[Audit Winning Candidate]]-Audit[[#This Row],[Winning Candidate]]</f>
        <v>-30</v>
      </c>
      <c r="U711" s="111">
        <f>Audit[[#This Row],[Audit Candidate 3]]-Audit[[#This Row],[Candidate 3]]</f>
        <v>-7</v>
      </c>
      <c r="V711" s="111">
        <f>Audit[[#This Row],[Audit Candidate 4]]-Audit[[#This Row],[Candidate 4]]</f>
        <v>-9</v>
      </c>
      <c r="W711" s="111">
        <f>Audit[[#This Row],[Audit Candidate 5]]-Audit[[#This Row],[Candidate 5]]</f>
        <v>0</v>
      </c>
      <c r="X711" s="111">
        <f>Audit[[#This Row],[Audit Candidate 6]]-Audit[[#This Row],[Candidate 6]]</f>
        <v>0</v>
      </c>
      <c r="Y711" s="111">
        <f>SUMIF(Audit[[#This Row],[Difference Loser]:[Difference Candidate 6]], "&gt;0")</f>
        <v>0</v>
      </c>
      <c r="Z711" s="111">
        <f>SUM(Audit[[#This Row],[Difference Loser]:[Difference Candidate 6]])</f>
        <v>-59</v>
      </c>
      <c r="AA711" s="111">
        <f>IF(Audit[[#This Row],[Times p Drawn - With Replacement]]&gt;0, IF(Audit[[#This Row],[Canceled Differences]]&lt;0, Audit[[#This Row],[Max Differences]]+ABS(Audit[[#This Row],[Canceled Differences]]), Audit[[#This Row],[Max Differences]]), 0)</f>
        <v>0</v>
      </c>
      <c r="AB711" s="111">
        <f>'Sampling Data'!P701</f>
        <v>4.6545810877021065E-3</v>
      </c>
      <c r="AC711" s="111">
        <f>IF(
      SUM(Audit[[#This Row],[Audit Losing Candidate]:[Audit Candidate 6]])
      &lt;&gt;0,
      (Audit[[#This Row],[Winning Candidate]]-Audit[[#This Row],[Losing Candidate]]-(Audit[[#This Row],[Audit Winning Candidate]]-Audit[[#This Row],[Audit Losing Candidate]]))/(Audit[[#Totals],[Winning Candidate]]-Audit[[#Totals],[Losing Candidate]]),
      0
)</f>
        <v>0</v>
      </c>
      <c r="AD7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1" s="111">
        <f>IF(Audit[[#This Row],[Max Relative Error (ep)]] = 0, 0, Audit[[#This Row],[Max Relative Error (ep)]]/Audit[[#This Row],[Error Bound (up) - Max. possible relative overstatement]])</f>
        <v>0</v>
      </c>
      <c r="AJ7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11" s="111">
        <f t="shared" si="11"/>
        <v>1</v>
      </c>
      <c r="AL711" s="111">
        <f>PRODUCT($AK$5:AK711)</f>
        <v>8.962823818226312E-2</v>
      </c>
      <c r="AM711" s="109">
        <f>1 - [K-M P Value]</f>
        <v>0.91037176181773694</v>
      </c>
      <c r="AN711" s="111" t="str">
        <f>IF(Audit[[#This Row],[K-M P Value]]&gt;1-'General Info'!$B$16,"Continue", "Stop")</f>
        <v>Stop</v>
      </c>
      <c r="AO711" s="110" t="b">
        <f>IF(Audit[[#This Row],[Status - Continue or stop audit]] = "Continue", TRUE, IF(AN710 = "Continue", TRUE, FALSE))</f>
        <v>0</v>
      </c>
      <c r="AP711" s="110"/>
    </row>
    <row r="712" spans="1:42" ht="15" hidden="1" customHeight="1">
      <c r="A712" s="111" t="str">
        <f>'Sampling Data'!W702</f>
        <v/>
      </c>
      <c r="B712" s="112" t="str">
        <f>'Sampling Data'!A702</f>
        <v>CLEVELAND -12-M - ABS</v>
      </c>
      <c r="C712" s="112">
        <f>'Sampling Data'!B702</f>
        <v>7</v>
      </c>
      <c r="D712" s="112">
        <f>'Sampling Data'!C702</f>
        <v>3</v>
      </c>
      <c r="E712" s="113">
        <f>'Sampling Data'!D702</f>
        <v>2</v>
      </c>
      <c r="F712" s="113">
        <f>'Sampling Data'!E702</f>
        <v>2</v>
      </c>
      <c r="G712" s="113">
        <f>'Sampling Data'!F702</f>
        <v>0</v>
      </c>
      <c r="H712" s="113">
        <f>'Sampling Data'!G702</f>
        <v>0</v>
      </c>
      <c r="I712" s="112">
        <f>'Sampling Data'!H702</f>
        <v>0</v>
      </c>
      <c r="J712" s="112">
        <f>'Sampling Data'!I702</f>
        <v>1</v>
      </c>
      <c r="K712" s="112">
        <f>'Sampling Data'!J702</f>
        <v>15</v>
      </c>
      <c r="L712" s="111">
        <f>'Sampling Data'!X702</f>
        <v>0</v>
      </c>
      <c r="M712" s="114"/>
      <c r="N712" s="114"/>
      <c r="O712" s="115"/>
      <c r="P712" s="115"/>
      <c r="Q712" s="116"/>
      <c r="R712" s="116"/>
      <c r="S712" s="111">
        <f>Audit[[#This Row],[Audit Losing Candidate]]-Audit[[#This Row],[Losing Candidate]]</f>
        <v>-7</v>
      </c>
      <c r="T712" s="111">
        <f>Audit[[#This Row],[Audit Winning Candidate]]-Audit[[#This Row],[Winning Candidate]]</f>
        <v>-3</v>
      </c>
      <c r="U712" s="111">
        <f>Audit[[#This Row],[Audit Candidate 3]]-Audit[[#This Row],[Candidate 3]]</f>
        <v>-2</v>
      </c>
      <c r="V712" s="111">
        <f>Audit[[#This Row],[Audit Candidate 4]]-Audit[[#This Row],[Candidate 4]]</f>
        <v>-2</v>
      </c>
      <c r="W712" s="111">
        <f>Audit[[#This Row],[Audit Candidate 5]]-Audit[[#This Row],[Candidate 5]]</f>
        <v>0</v>
      </c>
      <c r="X712" s="111">
        <f>Audit[[#This Row],[Audit Candidate 6]]-Audit[[#This Row],[Candidate 6]]</f>
        <v>0</v>
      </c>
      <c r="Y712" s="111">
        <f>SUMIF(Audit[[#This Row],[Difference Loser]:[Difference Candidate 6]], "&gt;0")</f>
        <v>0</v>
      </c>
      <c r="Z712" s="111">
        <f>SUM(Audit[[#This Row],[Difference Loser]:[Difference Candidate 6]])</f>
        <v>-14</v>
      </c>
      <c r="AA712" s="111">
        <f>IF(Audit[[#This Row],[Times p Drawn - With Replacement]]&gt;0, IF(Audit[[#This Row],[Canceled Differences]]&lt;0, Audit[[#This Row],[Max Differences]]+ABS(Audit[[#This Row],[Canceled Differences]]), Audit[[#This Row],[Max Differences]]), 0)</f>
        <v>0</v>
      </c>
      <c r="AB712" s="111">
        <f>'Sampling Data'!P702</f>
        <v>6.7368936795688392E-4</v>
      </c>
      <c r="AC712" s="111">
        <f>IF(
      SUM(Audit[[#This Row],[Audit Losing Candidate]:[Audit Candidate 6]])
      &lt;&gt;0,
      (Audit[[#This Row],[Winning Candidate]]-Audit[[#This Row],[Losing Candidate]]-(Audit[[#This Row],[Audit Winning Candidate]]-Audit[[#This Row],[Audit Losing Candidate]]))/(Audit[[#Totals],[Winning Candidate]]-Audit[[#Totals],[Losing Candidate]]),
      0
)</f>
        <v>0</v>
      </c>
      <c r="AD7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2" s="111">
        <f>IF(Audit[[#This Row],[Max Relative Error (ep)]] = 0, 0, Audit[[#This Row],[Max Relative Error (ep)]]/Audit[[#This Row],[Error Bound (up) - Max. possible relative overstatement]])</f>
        <v>0</v>
      </c>
      <c r="AJ7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12" s="111">
        <f t="shared" si="11"/>
        <v>1</v>
      </c>
      <c r="AL712" s="111">
        <f>PRODUCT($AK$5:AK712)</f>
        <v>8.962823818226312E-2</v>
      </c>
      <c r="AM712" s="109">
        <f>1 - [K-M P Value]</f>
        <v>0.91037176181773694</v>
      </c>
      <c r="AN712" s="111" t="str">
        <f>IF(Audit[[#This Row],[K-M P Value]]&gt;1-'General Info'!$B$16,"Continue", "Stop")</f>
        <v>Stop</v>
      </c>
      <c r="AO712" s="110" t="b">
        <f>IF(Audit[[#This Row],[Status - Continue or stop audit]] = "Continue", TRUE, IF(AN711 = "Continue", TRUE, FALSE))</f>
        <v>0</v>
      </c>
      <c r="AP712" s="110"/>
    </row>
    <row r="713" spans="1:42" ht="15" hidden="1" customHeight="1">
      <c r="A713" s="111" t="str">
        <f>'Sampling Data'!W703</f>
        <v/>
      </c>
      <c r="B713" s="112" t="str">
        <f>'Sampling Data'!A703</f>
        <v>CLEVELAND -12-M.02</v>
      </c>
      <c r="C713" s="112">
        <f>'Sampling Data'!B703</f>
        <v>13</v>
      </c>
      <c r="D713" s="112">
        <f>'Sampling Data'!C703</f>
        <v>7</v>
      </c>
      <c r="E713" s="113">
        <f>'Sampling Data'!D703</f>
        <v>3</v>
      </c>
      <c r="F713" s="113">
        <f>'Sampling Data'!E703</f>
        <v>4</v>
      </c>
      <c r="G713" s="113">
        <f>'Sampling Data'!F703</f>
        <v>0</v>
      </c>
      <c r="H713" s="113">
        <f>'Sampling Data'!G703</f>
        <v>0</v>
      </c>
      <c r="I713" s="112">
        <f>'Sampling Data'!H703</f>
        <v>0</v>
      </c>
      <c r="J713" s="112">
        <f>'Sampling Data'!I703</f>
        <v>2</v>
      </c>
      <c r="K713" s="112">
        <f>'Sampling Data'!J703</f>
        <v>29</v>
      </c>
      <c r="L713" s="111">
        <f>'Sampling Data'!X703</f>
        <v>0</v>
      </c>
      <c r="M713" s="114"/>
      <c r="N713" s="114"/>
      <c r="O713" s="115"/>
      <c r="P713" s="115"/>
      <c r="Q713" s="116"/>
      <c r="R713" s="116"/>
      <c r="S713" s="111">
        <f>Audit[[#This Row],[Audit Losing Candidate]]-Audit[[#This Row],[Losing Candidate]]</f>
        <v>-13</v>
      </c>
      <c r="T713" s="111">
        <f>Audit[[#This Row],[Audit Winning Candidate]]-Audit[[#This Row],[Winning Candidate]]</f>
        <v>-7</v>
      </c>
      <c r="U713" s="111">
        <f>Audit[[#This Row],[Audit Candidate 3]]-Audit[[#This Row],[Candidate 3]]</f>
        <v>-3</v>
      </c>
      <c r="V713" s="111">
        <f>Audit[[#This Row],[Audit Candidate 4]]-Audit[[#This Row],[Candidate 4]]</f>
        <v>-4</v>
      </c>
      <c r="W713" s="111">
        <f>Audit[[#This Row],[Audit Candidate 5]]-Audit[[#This Row],[Candidate 5]]</f>
        <v>0</v>
      </c>
      <c r="X713" s="111">
        <f>Audit[[#This Row],[Audit Candidate 6]]-Audit[[#This Row],[Candidate 6]]</f>
        <v>0</v>
      </c>
      <c r="Y713" s="111">
        <f>SUMIF(Audit[[#This Row],[Difference Loser]:[Difference Candidate 6]], "&gt;0")</f>
        <v>0</v>
      </c>
      <c r="Z713" s="111">
        <f>SUM(Audit[[#This Row],[Difference Loser]:[Difference Candidate 6]])</f>
        <v>-27</v>
      </c>
      <c r="AA713" s="111">
        <f>IF(Audit[[#This Row],[Times p Drawn - With Replacement]]&gt;0, IF(Audit[[#This Row],[Canceled Differences]]&lt;0, Audit[[#This Row],[Max Differences]]+ABS(Audit[[#This Row],[Canceled Differences]]), Audit[[#This Row],[Max Differences]]), 0)</f>
        <v>0</v>
      </c>
      <c r="AB713" s="111">
        <f>'Sampling Data'!P703</f>
        <v>1.408623223909848E-3</v>
      </c>
      <c r="AC713" s="111">
        <f>IF(
      SUM(Audit[[#This Row],[Audit Losing Candidate]:[Audit Candidate 6]])
      &lt;&gt;0,
      (Audit[[#This Row],[Winning Candidate]]-Audit[[#This Row],[Losing Candidate]]-(Audit[[#This Row],[Audit Winning Candidate]]-Audit[[#This Row],[Audit Losing Candidate]]))/(Audit[[#Totals],[Winning Candidate]]-Audit[[#Totals],[Losing Candidate]]),
      0
)</f>
        <v>0</v>
      </c>
      <c r="AD7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3" s="111">
        <f>IF(Audit[[#This Row],[Max Relative Error (ep)]] = 0, 0, Audit[[#This Row],[Max Relative Error (ep)]]/Audit[[#This Row],[Error Bound (up) - Max. possible relative overstatement]])</f>
        <v>0</v>
      </c>
      <c r="AJ7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13" s="111">
        <f t="shared" si="11"/>
        <v>1</v>
      </c>
      <c r="AL713" s="111">
        <f>PRODUCT($AK$5:AK713)</f>
        <v>8.962823818226312E-2</v>
      </c>
      <c r="AM713" s="109">
        <f>1 - [K-M P Value]</f>
        <v>0.91037176181773694</v>
      </c>
      <c r="AN713" s="111" t="str">
        <f>IF(Audit[[#This Row],[K-M P Value]]&gt;1-'General Info'!$B$16,"Continue", "Stop")</f>
        <v>Stop</v>
      </c>
      <c r="AO713" s="110" t="b">
        <f>IF(Audit[[#This Row],[Status - Continue or stop audit]] = "Continue", TRUE, IF(AN712 = "Continue", TRUE, FALSE))</f>
        <v>0</v>
      </c>
      <c r="AP713" s="110"/>
    </row>
    <row r="714" spans="1:42" ht="15" hidden="1" customHeight="1">
      <c r="A714" s="111" t="str">
        <f>'Sampling Data'!W704</f>
        <v/>
      </c>
      <c r="B714" s="112" t="str">
        <f>'Sampling Data'!A704</f>
        <v>CLEVELAND -12-M.02 - ABS</v>
      </c>
      <c r="C714" s="112">
        <f>'Sampling Data'!B704</f>
        <v>4</v>
      </c>
      <c r="D714" s="112">
        <f>'Sampling Data'!C704</f>
        <v>2</v>
      </c>
      <c r="E714" s="113">
        <f>'Sampling Data'!D704</f>
        <v>1</v>
      </c>
      <c r="F714" s="113">
        <f>'Sampling Data'!E704</f>
        <v>1</v>
      </c>
      <c r="G714" s="113">
        <f>'Sampling Data'!F704</f>
        <v>0</v>
      </c>
      <c r="H714" s="113">
        <f>'Sampling Data'!G704</f>
        <v>0</v>
      </c>
      <c r="I714" s="112">
        <f>'Sampling Data'!H704</f>
        <v>0</v>
      </c>
      <c r="J714" s="112">
        <f>'Sampling Data'!I704</f>
        <v>0</v>
      </c>
      <c r="K714" s="112">
        <f>'Sampling Data'!J704</f>
        <v>8</v>
      </c>
      <c r="L714" s="111">
        <f>'Sampling Data'!X704</f>
        <v>0</v>
      </c>
      <c r="M714" s="114"/>
      <c r="N714" s="114"/>
      <c r="O714" s="115"/>
      <c r="P714" s="115"/>
      <c r="Q714" s="116"/>
      <c r="R714" s="116"/>
      <c r="S714" s="111">
        <f>Audit[[#This Row],[Audit Losing Candidate]]-Audit[[#This Row],[Losing Candidate]]</f>
        <v>-4</v>
      </c>
      <c r="T714" s="111">
        <f>Audit[[#This Row],[Audit Winning Candidate]]-Audit[[#This Row],[Winning Candidate]]</f>
        <v>-2</v>
      </c>
      <c r="U714" s="111">
        <f>Audit[[#This Row],[Audit Candidate 3]]-Audit[[#This Row],[Candidate 3]]</f>
        <v>-1</v>
      </c>
      <c r="V714" s="111">
        <f>Audit[[#This Row],[Audit Candidate 4]]-Audit[[#This Row],[Candidate 4]]</f>
        <v>-1</v>
      </c>
      <c r="W714" s="111">
        <f>Audit[[#This Row],[Audit Candidate 5]]-Audit[[#This Row],[Candidate 5]]</f>
        <v>0</v>
      </c>
      <c r="X714" s="111">
        <f>Audit[[#This Row],[Audit Candidate 6]]-Audit[[#This Row],[Candidate 6]]</f>
        <v>0</v>
      </c>
      <c r="Y714" s="111">
        <f>SUMIF(Audit[[#This Row],[Difference Loser]:[Difference Candidate 6]], "&gt;0")</f>
        <v>0</v>
      </c>
      <c r="Z714" s="111">
        <f>SUM(Audit[[#This Row],[Difference Loser]:[Difference Candidate 6]])</f>
        <v>-8</v>
      </c>
      <c r="AA714" s="111">
        <f>IF(Audit[[#This Row],[Times p Drawn - With Replacement]]&gt;0, IF(Audit[[#This Row],[Canceled Differences]]&lt;0, Audit[[#This Row],[Max Differences]]+ABS(Audit[[#This Row],[Canceled Differences]]), Audit[[#This Row],[Max Differences]]), 0)</f>
        <v>0</v>
      </c>
      <c r="AB714" s="111">
        <f>'Sampling Data'!P704</f>
        <v>3.6746692797648211E-4</v>
      </c>
      <c r="AC714" s="111">
        <f>IF(
      SUM(Audit[[#This Row],[Audit Losing Candidate]:[Audit Candidate 6]])
      &lt;&gt;0,
      (Audit[[#This Row],[Winning Candidate]]-Audit[[#This Row],[Losing Candidate]]-(Audit[[#This Row],[Audit Winning Candidate]]-Audit[[#This Row],[Audit Losing Candidate]]))/(Audit[[#Totals],[Winning Candidate]]-Audit[[#Totals],[Losing Candidate]]),
      0
)</f>
        <v>0</v>
      </c>
      <c r="AD7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4" s="111">
        <f>IF(Audit[[#This Row],[Max Relative Error (ep)]] = 0, 0, Audit[[#This Row],[Max Relative Error (ep)]]/Audit[[#This Row],[Error Bound (up) - Max. possible relative overstatement]])</f>
        <v>0</v>
      </c>
      <c r="AJ7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14" s="111">
        <f t="shared" si="11"/>
        <v>1</v>
      </c>
      <c r="AL714" s="111">
        <f>PRODUCT($AK$5:AK714)</f>
        <v>8.962823818226312E-2</v>
      </c>
      <c r="AM714" s="109">
        <f>1 - [K-M P Value]</f>
        <v>0.91037176181773694</v>
      </c>
      <c r="AN714" s="111" t="str">
        <f>IF(Audit[[#This Row],[K-M P Value]]&gt;1-'General Info'!$B$16,"Continue", "Stop")</f>
        <v>Stop</v>
      </c>
      <c r="AO714" s="110" t="b">
        <f>IF(Audit[[#This Row],[Status - Continue or stop audit]] = "Continue", TRUE, IF(AN713 = "Continue", TRUE, FALSE))</f>
        <v>0</v>
      </c>
      <c r="AP714" s="110"/>
    </row>
    <row r="715" spans="1:42" ht="15" hidden="1" customHeight="1">
      <c r="A715" s="111" t="str">
        <f>'Sampling Data'!W705</f>
        <v/>
      </c>
      <c r="B715" s="112" t="str">
        <f>'Sampling Data'!A705</f>
        <v>CLEVELAND -12-N</v>
      </c>
      <c r="C715" s="112">
        <f>'Sampling Data'!B705</f>
        <v>19</v>
      </c>
      <c r="D715" s="112">
        <f>'Sampling Data'!C705</f>
        <v>30</v>
      </c>
      <c r="E715" s="113">
        <f>'Sampling Data'!D705</f>
        <v>7</v>
      </c>
      <c r="F715" s="113">
        <f>'Sampling Data'!E705</f>
        <v>7</v>
      </c>
      <c r="G715" s="113">
        <f>'Sampling Data'!F705</f>
        <v>0</v>
      </c>
      <c r="H715" s="113">
        <f>'Sampling Data'!G705</f>
        <v>0</v>
      </c>
      <c r="I715" s="112">
        <f>'Sampling Data'!H705</f>
        <v>1</v>
      </c>
      <c r="J715" s="112">
        <f>'Sampling Data'!I705</f>
        <v>0</v>
      </c>
      <c r="K715" s="112">
        <f>'Sampling Data'!J705</f>
        <v>64</v>
      </c>
      <c r="L715" s="111">
        <f>'Sampling Data'!X705</f>
        <v>0</v>
      </c>
      <c r="M715" s="114"/>
      <c r="N715" s="114"/>
      <c r="O715" s="115"/>
      <c r="P715" s="115"/>
      <c r="Q715" s="116"/>
      <c r="R715" s="116"/>
      <c r="S715" s="111">
        <f>Audit[[#This Row],[Audit Losing Candidate]]-Audit[[#This Row],[Losing Candidate]]</f>
        <v>-19</v>
      </c>
      <c r="T715" s="111">
        <f>Audit[[#This Row],[Audit Winning Candidate]]-Audit[[#This Row],[Winning Candidate]]</f>
        <v>-30</v>
      </c>
      <c r="U715" s="111">
        <f>Audit[[#This Row],[Audit Candidate 3]]-Audit[[#This Row],[Candidate 3]]</f>
        <v>-7</v>
      </c>
      <c r="V715" s="111">
        <f>Audit[[#This Row],[Audit Candidate 4]]-Audit[[#This Row],[Candidate 4]]</f>
        <v>-7</v>
      </c>
      <c r="W715" s="111">
        <f>Audit[[#This Row],[Audit Candidate 5]]-Audit[[#This Row],[Candidate 5]]</f>
        <v>0</v>
      </c>
      <c r="X715" s="111">
        <f>Audit[[#This Row],[Audit Candidate 6]]-Audit[[#This Row],[Candidate 6]]</f>
        <v>0</v>
      </c>
      <c r="Y715" s="111">
        <f>SUMIF(Audit[[#This Row],[Difference Loser]:[Difference Candidate 6]], "&gt;0")</f>
        <v>0</v>
      </c>
      <c r="Z715" s="111">
        <f>SUM(Audit[[#This Row],[Difference Loser]:[Difference Candidate 6]])</f>
        <v>-63</v>
      </c>
      <c r="AA715" s="111">
        <f>IF(Audit[[#This Row],[Times p Drawn - With Replacement]]&gt;0, IF(Audit[[#This Row],[Canceled Differences]]&lt;0, Audit[[#This Row],[Max Differences]]+ABS(Audit[[#This Row],[Canceled Differences]]), Audit[[#This Row],[Max Differences]]), 0)</f>
        <v>0</v>
      </c>
      <c r="AB715" s="111">
        <f>'Sampling Data'!P705</f>
        <v>4.5933365997060261E-3</v>
      </c>
      <c r="AC715" s="111">
        <f>IF(
      SUM(Audit[[#This Row],[Audit Losing Candidate]:[Audit Candidate 6]])
      &lt;&gt;0,
      (Audit[[#This Row],[Winning Candidate]]-Audit[[#This Row],[Losing Candidate]]-(Audit[[#This Row],[Audit Winning Candidate]]-Audit[[#This Row],[Audit Losing Candidate]]))/(Audit[[#Totals],[Winning Candidate]]-Audit[[#Totals],[Losing Candidate]]),
      0
)</f>
        <v>0</v>
      </c>
      <c r="AD7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5" s="111">
        <f>IF(Audit[[#This Row],[Max Relative Error (ep)]] = 0, 0, Audit[[#This Row],[Max Relative Error (ep)]]/Audit[[#This Row],[Error Bound (up) - Max. possible relative overstatement]])</f>
        <v>0</v>
      </c>
      <c r="AJ7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15" s="111">
        <f t="shared" si="11"/>
        <v>1</v>
      </c>
      <c r="AL715" s="111">
        <f>PRODUCT($AK$5:AK715)</f>
        <v>8.962823818226312E-2</v>
      </c>
      <c r="AM715" s="109">
        <f>1 - [K-M P Value]</f>
        <v>0.91037176181773694</v>
      </c>
      <c r="AN715" s="111" t="str">
        <f>IF(Audit[[#This Row],[K-M P Value]]&gt;1-'General Info'!$B$16,"Continue", "Stop")</f>
        <v>Stop</v>
      </c>
      <c r="AO715" s="110" t="b">
        <f>IF(Audit[[#This Row],[Status - Continue or stop audit]] = "Continue", TRUE, IF(AN714 = "Continue", TRUE, FALSE))</f>
        <v>0</v>
      </c>
      <c r="AP715" s="110"/>
    </row>
    <row r="716" spans="1:42" ht="15" hidden="1" customHeight="1">
      <c r="A716" s="111" t="str">
        <f>'Sampling Data'!W706</f>
        <v/>
      </c>
      <c r="B716" s="112" t="str">
        <f>'Sampling Data'!A706</f>
        <v>CLEVELAND -12-N - ABS</v>
      </c>
      <c r="C716" s="112">
        <f>'Sampling Data'!B706</f>
        <v>10</v>
      </c>
      <c r="D716" s="112">
        <f>'Sampling Data'!C706</f>
        <v>8</v>
      </c>
      <c r="E716" s="113">
        <f>'Sampling Data'!D706</f>
        <v>7</v>
      </c>
      <c r="F716" s="113">
        <f>'Sampling Data'!E706</f>
        <v>2</v>
      </c>
      <c r="G716" s="113">
        <f>'Sampling Data'!F706</f>
        <v>1</v>
      </c>
      <c r="H716" s="113">
        <f>'Sampling Data'!G706</f>
        <v>0</v>
      </c>
      <c r="I716" s="112">
        <f>'Sampling Data'!H706</f>
        <v>0</v>
      </c>
      <c r="J716" s="112">
        <f>'Sampling Data'!I706</f>
        <v>0</v>
      </c>
      <c r="K716" s="112">
        <f>'Sampling Data'!J706</f>
        <v>28</v>
      </c>
      <c r="L716" s="111">
        <f>'Sampling Data'!X706</f>
        <v>0</v>
      </c>
      <c r="M716" s="114"/>
      <c r="N716" s="114"/>
      <c r="O716" s="115"/>
      <c r="P716" s="115"/>
      <c r="Q716" s="116"/>
      <c r="R716" s="116"/>
      <c r="S716" s="111">
        <f>Audit[[#This Row],[Audit Losing Candidate]]-Audit[[#This Row],[Losing Candidate]]</f>
        <v>-10</v>
      </c>
      <c r="T716" s="111">
        <f>Audit[[#This Row],[Audit Winning Candidate]]-Audit[[#This Row],[Winning Candidate]]</f>
        <v>-8</v>
      </c>
      <c r="U716" s="111">
        <f>Audit[[#This Row],[Audit Candidate 3]]-Audit[[#This Row],[Candidate 3]]</f>
        <v>-7</v>
      </c>
      <c r="V716" s="111">
        <f>Audit[[#This Row],[Audit Candidate 4]]-Audit[[#This Row],[Candidate 4]]</f>
        <v>-2</v>
      </c>
      <c r="W716" s="111">
        <f>Audit[[#This Row],[Audit Candidate 5]]-Audit[[#This Row],[Candidate 5]]</f>
        <v>-1</v>
      </c>
      <c r="X716" s="111">
        <f>Audit[[#This Row],[Audit Candidate 6]]-Audit[[#This Row],[Candidate 6]]</f>
        <v>0</v>
      </c>
      <c r="Y716" s="111">
        <f>SUMIF(Audit[[#This Row],[Difference Loser]:[Difference Candidate 6]], "&gt;0")</f>
        <v>0</v>
      </c>
      <c r="Z716" s="111">
        <f>SUM(Audit[[#This Row],[Difference Loser]:[Difference Candidate 6]])</f>
        <v>-28</v>
      </c>
      <c r="AA716" s="111">
        <f>IF(Audit[[#This Row],[Times p Drawn - With Replacement]]&gt;0, IF(Audit[[#This Row],[Canceled Differences]]&lt;0, Audit[[#This Row],[Max Differences]]+ABS(Audit[[#This Row],[Canceled Differences]]), Audit[[#This Row],[Max Differences]]), 0)</f>
        <v>0</v>
      </c>
      <c r="AB716" s="111">
        <f>'Sampling Data'!P706</f>
        <v>1.5923566878980893E-3</v>
      </c>
      <c r="AC716" s="111">
        <f>IF(
      SUM(Audit[[#This Row],[Audit Losing Candidate]:[Audit Candidate 6]])
      &lt;&gt;0,
      (Audit[[#This Row],[Winning Candidate]]-Audit[[#This Row],[Losing Candidate]]-(Audit[[#This Row],[Audit Winning Candidate]]-Audit[[#This Row],[Audit Losing Candidate]]))/(Audit[[#Totals],[Winning Candidate]]-Audit[[#Totals],[Losing Candidate]]),
      0
)</f>
        <v>0</v>
      </c>
      <c r="AD7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6" s="111">
        <f>IF(Audit[[#This Row],[Max Relative Error (ep)]] = 0, 0, Audit[[#This Row],[Max Relative Error (ep)]]/Audit[[#This Row],[Error Bound (up) - Max. possible relative overstatement]])</f>
        <v>0</v>
      </c>
      <c r="AJ7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16" s="111">
        <f t="shared" si="11"/>
        <v>1</v>
      </c>
      <c r="AL716" s="111">
        <f>PRODUCT($AK$5:AK716)</f>
        <v>8.962823818226312E-2</v>
      </c>
      <c r="AM716" s="109">
        <f>1 - [K-M P Value]</f>
        <v>0.91037176181773694</v>
      </c>
      <c r="AN716" s="111" t="str">
        <f>IF(Audit[[#This Row],[K-M P Value]]&gt;1-'General Info'!$B$16,"Continue", "Stop")</f>
        <v>Stop</v>
      </c>
      <c r="AO716" s="110" t="b">
        <f>IF(Audit[[#This Row],[Status - Continue or stop audit]] = "Continue", TRUE, IF(AN715 = "Continue", TRUE, FALSE))</f>
        <v>0</v>
      </c>
      <c r="AP716" s="110"/>
    </row>
    <row r="717" spans="1:42" ht="15" hidden="1" customHeight="1">
      <c r="A717" s="111" t="str">
        <f>'Sampling Data'!W707</f>
        <v/>
      </c>
      <c r="B717" s="112" t="str">
        <f>'Sampling Data'!A707</f>
        <v>CLEVELAND -12-O</v>
      </c>
      <c r="C717" s="112">
        <f>'Sampling Data'!B707</f>
        <v>35</v>
      </c>
      <c r="D717" s="112">
        <f>'Sampling Data'!C707</f>
        <v>38</v>
      </c>
      <c r="E717" s="113">
        <f>'Sampling Data'!D707</f>
        <v>11</v>
      </c>
      <c r="F717" s="113">
        <f>'Sampling Data'!E707</f>
        <v>13</v>
      </c>
      <c r="G717" s="113">
        <f>'Sampling Data'!F707</f>
        <v>0</v>
      </c>
      <c r="H717" s="113">
        <f>'Sampling Data'!G707</f>
        <v>2</v>
      </c>
      <c r="I717" s="112">
        <f>'Sampling Data'!H707</f>
        <v>0</v>
      </c>
      <c r="J717" s="112">
        <f>'Sampling Data'!I707</f>
        <v>1</v>
      </c>
      <c r="K717" s="112">
        <f>'Sampling Data'!J707</f>
        <v>100</v>
      </c>
      <c r="L717" s="111">
        <f>'Sampling Data'!X707</f>
        <v>0</v>
      </c>
      <c r="M717" s="114"/>
      <c r="N717" s="114"/>
      <c r="O717" s="115"/>
      <c r="P717" s="115"/>
      <c r="Q717" s="116"/>
      <c r="R717" s="116"/>
      <c r="S717" s="111">
        <f>Audit[[#This Row],[Audit Losing Candidate]]-Audit[[#This Row],[Losing Candidate]]</f>
        <v>-35</v>
      </c>
      <c r="T717" s="111">
        <f>Audit[[#This Row],[Audit Winning Candidate]]-Audit[[#This Row],[Winning Candidate]]</f>
        <v>-38</v>
      </c>
      <c r="U717" s="111">
        <f>Audit[[#This Row],[Audit Candidate 3]]-Audit[[#This Row],[Candidate 3]]</f>
        <v>-11</v>
      </c>
      <c r="V717" s="111">
        <f>Audit[[#This Row],[Audit Candidate 4]]-Audit[[#This Row],[Candidate 4]]</f>
        <v>-13</v>
      </c>
      <c r="W717" s="111">
        <f>Audit[[#This Row],[Audit Candidate 5]]-Audit[[#This Row],[Candidate 5]]</f>
        <v>0</v>
      </c>
      <c r="X717" s="111">
        <f>Audit[[#This Row],[Audit Candidate 6]]-Audit[[#This Row],[Candidate 6]]</f>
        <v>-2</v>
      </c>
      <c r="Y717" s="111">
        <f>SUMIF(Audit[[#This Row],[Difference Loser]:[Difference Candidate 6]], "&gt;0")</f>
        <v>0</v>
      </c>
      <c r="Z717" s="111">
        <f>SUM(Audit[[#This Row],[Difference Loser]:[Difference Candidate 6]])</f>
        <v>-99</v>
      </c>
      <c r="AA717" s="111">
        <f>IF(Audit[[#This Row],[Times p Drawn - With Replacement]]&gt;0, IF(Audit[[#This Row],[Canceled Differences]]&lt;0, Audit[[#This Row],[Max Differences]]+ABS(Audit[[#This Row],[Canceled Differences]]), Audit[[#This Row],[Max Differences]]), 0)</f>
        <v>0</v>
      </c>
      <c r="AB717" s="111">
        <f>'Sampling Data'!P707</f>
        <v>6.3081822635962766E-3</v>
      </c>
      <c r="AC717" s="111">
        <f>IF(
      SUM(Audit[[#This Row],[Audit Losing Candidate]:[Audit Candidate 6]])
      &lt;&gt;0,
      (Audit[[#This Row],[Winning Candidate]]-Audit[[#This Row],[Losing Candidate]]-(Audit[[#This Row],[Audit Winning Candidate]]-Audit[[#This Row],[Audit Losing Candidate]]))/(Audit[[#Totals],[Winning Candidate]]-Audit[[#Totals],[Losing Candidate]]),
      0
)</f>
        <v>0</v>
      </c>
      <c r="AD7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7" s="111">
        <f>IF(Audit[[#This Row],[Max Relative Error (ep)]] = 0, 0, Audit[[#This Row],[Max Relative Error (ep)]]/Audit[[#This Row],[Error Bound (up) - Max. possible relative overstatement]])</f>
        <v>0</v>
      </c>
      <c r="AJ7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17" s="111">
        <f t="shared" si="11"/>
        <v>1</v>
      </c>
      <c r="AL717" s="111">
        <f>PRODUCT($AK$5:AK717)</f>
        <v>8.962823818226312E-2</v>
      </c>
      <c r="AM717" s="109">
        <f>1 - [K-M P Value]</f>
        <v>0.91037176181773694</v>
      </c>
      <c r="AN717" s="111" t="str">
        <f>IF(Audit[[#This Row],[K-M P Value]]&gt;1-'General Info'!$B$16,"Continue", "Stop")</f>
        <v>Stop</v>
      </c>
      <c r="AO717" s="110" t="b">
        <f>IF(Audit[[#This Row],[Status - Continue or stop audit]] = "Continue", TRUE, IF(AN716 = "Continue", TRUE, FALSE))</f>
        <v>0</v>
      </c>
      <c r="AP717" s="110"/>
    </row>
    <row r="718" spans="1:42" ht="15" hidden="1" customHeight="1">
      <c r="A718" s="111" t="str">
        <f>'Sampling Data'!W708</f>
        <v/>
      </c>
      <c r="B718" s="112" t="str">
        <f>'Sampling Data'!A708</f>
        <v>CLEVELAND -12-O - ABS</v>
      </c>
      <c r="C718" s="112">
        <f>'Sampling Data'!B708</f>
        <v>9</v>
      </c>
      <c r="D718" s="112">
        <f>'Sampling Data'!C708</f>
        <v>12</v>
      </c>
      <c r="E718" s="113">
        <f>'Sampling Data'!D708</f>
        <v>5</v>
      </c>
      <c r="F718" s="113">
        <f>'Sampling Data'!E708</f>
        <v>2</v>
      </c>
      <c r="G718" s="113">
        <f>'Sampling Data'!F708</f>
        <v>0</v>
      </c>
      <c r="H718" s="113">
        <f>'Sampling Data'!G708</f>
        <v>1</v>
      </c>
      <c r="I718" s="112">
        <f>'Sampling Data'!H708</f>
        <v>0</v>
      </c>
      <c r="J718" s="112">
        <f>'Sampling Data'!I708</f>
        <v>0</v>
      </c>
      <c r="K718" s="112">
        <f>'Sampling Data'!J708</f>
        <v>29</v>
      </c>
      <c r="L718" s="111">
        <f>'Sampling Data'!X708</f>
        <v>0</v>
      </c>
      <c r="M718" s="114"/>
      <c r="N718" s="114"/>
      <c r="O718" s="115"/>
      <c r="P718" s="115"/>
      <c r="Q718" s="116"/>
      <c r="R718" s="116"/>
      <c r="S718" s="111">
        <f>Audit[[#This Row],[Audit Losing Candidate]]-Audit[[#This Row],[Losing Candidate]]</f>
        <v>-9</v>
      </c>
      <c r="T718" s="111">
        <f>Audit[[#This Row],[Audit Winning Candidate]]-Audit[[#This Row],[Winning Candidate]]</f>
        <v>-12</v>
      </c>
      <c r="U718" s="111">
        <f>Audit[[#This Row],[Audit Candidate 3]]-Audit[[#This Row],[Candidate 3]]</f>
        <v>-5</v>
      </c>
      <c r="V718" s="111">
        <f>Audit[[#This Row],[Audit Candidate 4]]-Audit[[#This Row],[Candidate 4]]</f>
        <v>-2</v>
      </c>
      <c r="W718" s="111">
        <f>Audit[[#This Row],[Audit Candidate 5]]-Audit[[#This Row],[Candidate 5]]</f>
        <v>0</v>
      </c>
      <c r="X718" s="111">
        <f>Audit[[#This Row],[Audit Candidate 6]]-Audit[[#This Row],[Candidate 6]]</f>
        <v>-1</v>
      </c>
      <c r="Y718" s="111">
        <f>SUMIF(Audit[[#This Row],[Difference Loser]:[Difference Candidate 6]], "&gt;0")</f>
        <v>0</v>
      </c>
      <c r="Z718" s="111">
        <f>SUM(Audit[[#This Row],[Difference Loser]:[Difference Candidate 6]])</f>
        <v>-29</v>
      </c>
      <c r="AA718" s="111">
        <f>IF(Audit[[#This Row],[Times p Drawn - With Replacement]]&gt;0, IF(Audit[[#This Row],[Canceled Differences]]&lt;0, Audit[[#This Row],[Max Differences]]+ABS(Audit[[#This Row],[Canceled Differences]]), Audit[[#This Row],[Max Differences]]), 0)</f>
        <v>0</v>
      </c>
      <c r="AB718" s="111">
        <f>'Sampling Data'!P708</f>
        <v>1.9598236158745713E-3</v>
      </c>
      <c r="AC718" s="111">
        <f>IF(
      SUM(Audit[[#This Row],[Audit Losing Candidate]:[Audit Candidate 6]])
      &lt;&gt;0,
      (Audit[[#This Row],[Winning Candidate]]-Audit[[#This Row],[Losing Candidate]]-(Audit[[#This Row],[Audit Winning Candidate]]-Audit[[#This Row],[Audit Losing Candidate]]))/(Audit[[#Totals],[Winning Candidate]]-Audit[[#Totals],[Losing Candidate]]),
      0
)</f>
        <v>0</v>
      </c>
      <c r="AD7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8" s="111">
        <f>IF(Audit[[#This Row],[Max Relative Error (ep)]] = 0, 0, Audit[[#This Row],[Max Relative Error (ep)]]/Audit[[#This Row],[Error Bound (up) - Max. possible relative overstatement]])</f>
        <v>0</v>
      </c>
      <c r="AJ7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18" s="111">
        <f t="shared" si="11"/>
        <v>1</v>
      </c>
      <c r="AL718" s="111">
        <f>PRODUCT($AK$5:AK718)</f>
        <v>8.962823818226312E-2</v>
      </c>
      <c r="AM718" s="109">
        <f>1 - [K-M P Value]</f>
        <v>0.91037176181773694</v>
      </c>
      <c r="AN718" s="111" t="str">
        <f>IF(Audit[[#This Row],[K-M P Value]]&gt;1-'General Info'!$B$16,"Continue", "Stop")</f>
        <v>Stop</v>
      </c>
      <c r="AO718" s="110" t="b">
        <f>IF(Audit[[#This Row],[Status - Continue or stop audit]] = "Continue", TRUE, IF(AN717 = "Continue", TRUE, FALSE))</f>
        <v>0</v>
      </c>
      <c r="AP718" s="110"/>
    </row>
    <row r="719" spans="1:42" ht="15" hidden="1" customHeight="1">
      <c r="A719" s="111" t="str">
        <f>'Sampling Data'!W709</f>
        <v/>
      </c>
      <c r="B719" s="112" t="str">
        <f>'Sampling Data'!A709</f>
        <v>CLEVELAND -13-A</v>
      </c>
      <c r="C719" s="112">
        <f>'Sampling Data'!B709</f>
        <v>29</v>
      </c>
      <c r="D719" s="112">
        <f>'Sampling Data'!C709</f>
        <v>44</v>
      </c>
      <c r="E719" s="113">
        <f>'Sampling Data'!D709</f>
        <v>7</v>
      </c>
      <c r="F719" s="113">
        <f>'Sampling Data'!E709</f>
        <v>10</v>
      </c>
      <c r="G719" s="113">
        <f>'Sampling Data'!F709</f>
        <v>2</v>
      </c>
      <c r="H719" s="113">
        <f>'Sampling Data'!G709</f>
        <v>0</v>
      </c>
      <c r="I719" s="112">
        <f>'Sampling Data'!H709</f>
        <v>0</v>
      </c>
      <c r="J719" s="112">
        <f>'Sampling Data'!I709</f>
        <v>0</v>
      </c>
      <c r="K719" s="112">
        <f>'Sampling Data'!J709</f>
        <v>92</v>
      </c>
      <c r="L719" s="111">
        <f>'Sampling Data'!X709</f>
        <v>0</v>
      </c>
      <c r="M719" s="114"/>
      <c r="N719" s="114"/>
      <c r="O719" s="115"/>
      <c r="P719" s="115"/>
      <c r="Q719" s="116"/>
      <c r="R719" s="116"/>
      <c r="S719" s="111">
        <f>Audit[[#This Row],[Audit Losing Candidate]]-Audit[[#This Row],[Losing Candidate]]</f>
        <v>-29</v>
      </c>
      <c r="T719" s="111">
        <f>Audit[[#This Row],[Audit Winning Candidate]]-Audit[[#This Row],[Winning Candidate]]</f>
        <v>-44</v>
      </c>
      <c r="U719" s="111">
        <f>Audit[[#This Row],[Audit Candidate 3]]-Audit[[#This Row],[Candidate 3]]</f>
        <v>-7</v>
      </c>
      <c r="V719" s="111">
        <f>Audit[[#This Row],[Audit Candidate 4]]-Audit[[#This Row],[Candidate 4]]</f>
        <v>-10</v>
      </c>
      <c r="W719" s="111">
        <f>Audit[[#This Row],[Audit Candidate 5]]-Audit[[#This Row],[Candidate 5]]</f>
        <v>-2</v>
      </c>
      <c r="X719" s="111">
        <f>Audit[[#This Row],[Audit Candidate 6]]-Audit[[#This Row],[Candidate 6]]</f>
        <v>0</v>
      </c>
      <c r="Y719" s="111">
        <f>SUMIF(Audit[[#This Row],[Difference Loser]:[Difference Candidate 6]], "&gt;0")</f>
        <v>0</v>
      </c>
      <c r="Z719" s="111">
        <f>SUM(Audit[[#This Row],[Difference Loser]:[Difference Candidate 6]])</f>
        <v>-92</v>
      </c>
      <c r="AA719" s="111">
        <f>IF(Audit[[#This Row],[Times p Drawn - With Replacement]]&gt;0, IF(Audit[[#This Row],[Canceled Differences]]&lt;0, Audit[[#This Row],[Max Differences]]+ABS(Audit[[#This Row],[Canceled Differences]]), Audit[[#This Row],[Max Differences]]), 0)</f>
        <v>0</v>
      </c>
      <c r="AB719" s="111">
        <f>'Sampling Data'!P709</f>
        <v>6.5531602155805974E-3</v>
      </c>
      <c r="AC719" s="111">
        <f>IF(
      SUM(Audit[[#This Row],[Audit Losing Candidate]:[Audit Candidate 6]])
      &lt;&gt;0,
      (Audit[[#This Row],[Winning Candidate]]-Audit[[#This Row],[Losing Candidate]]-(Audit[[#This Row],[Audit Winning Candidate]]-Audit[[#This Row],[Audit Losing Candidate]]))/(Audit[[#Totals],[Winning Candidate]]-Audit[[#Totals],[Losing Candidate]]),
      0
)</f>
        <v>0</v>
      </c>
      <c r="AD7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9" s="111">
        <f>IF(Audit[[#This Row],[Max Relative Error (ep)]] = 0, 0, Audit[[#This Row],[Max Relative Error (ep)]]/Audit[[#This Row],[Error Bound (up) - Max. possible relative overstatement]])</f>
        <v>0</v>
      </c>
      <c r="AJ7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19" s="111">
        <f t="shared" si="11"/>
        <v>1</v>
      </c>
      <c r="AL719" s="111">
        <f>PRODUCT($AK$5:AK719)</f>
        <v>8.962823818226312E-2</v>
      </c>
      <c r="AM719" s="109">
        <f>1 - [K-M P Value]</f>
        <v>0.91037176181773694</v>
      </c>
      <c r="AN719" s="111" t="str">
        <f>IF(Audit[[#This Row],[K-M P Value]]&gt;1-'General Info'!$B$16,"Continue", "Stop")</f>
        <v>Stop</v>
      </c>
      <c r="AO719" s="110" t="b">
        <f>IF(Audit[[#This Row],[Status - Continue or stop audit]] = "Continue", TRUE, IF(AN718 = "Continue", TRUE, FALSE))</f>
        <v>0</v>
      </c>
      <c r="AP719" s="110"/>
    </row>
    <row r="720" spans="1:42" ht="15" hidden="1" customHeight="1">
      <c r="A720" s="111" t="str">
        <f>'Sampling Data'!W710</f>
        <v/>
      </c>
      <c r="B720" s="112" t="str">
        <f>'Sampling Data'!A710</f>
        <v>CLEVELAND -13-A - ABS</v>
      </c>
      <c r="C720" s="112">
        <f>'Sampling Data'!B710</f>
        <v>11</v>
      </c>
      <c r="D720" s="112">
        <f>'Sampling Data'!C710</f>
        <v>10</v>
      </c>
      <c r="E720" s="113">
        <f>'Sampling Data'!D710</f>
        <v>2</v>
      </c>
      <c r="F720" s="113">
        <f>'Sampling Data'!E710</f>
        <v>0</v>
      </c>
      <c r="G720" s="113">
        <f>'Sampling Data'!F710</f>
        <v>0</v>
      </c>
      <c r="H720" s="113">
        <f>'Sampling Data'!G710</f>
        <v>0</v>
      </c>
      <c r="I720" s="112">
        <f>'Sampling Data'!H710</f>
        <v>0</v>
      </c>
      <c r="J720" s="112">
        <f>'Sampling Data'!I710</f>
        <v>0</v>
      </c>
      <c r="K720" s="112">
        <f>'Sampling Data'!J710</f>
        <v>23</v>
      </c>
      <c r="L720" s="111">
        <f>'Sampling Data'!X710</f>
        <v>0</v>
      </c>
      <c r="M720" s="114"/>
      <c r="N720" s="114"/>
      <c r="O720" s="115"/>
      <c r="P720" s="115"/>
      <c r="Q720" s="116"/>
      <c r="R720" s="116"/>
      <c r="S720" s="111">
        <f>Audit[[#This Row],[Audit Losing Candidate]]-Audit[[#This Row],[Losing Candidate]]</f>
        <v>-11</v>
      </c>
      <c r="T720" s="111">
        <f>Audit[[#This Row],[Audit Winning Candidate]]-Audit[[#This Row],[Winning Candidate]]</f>
        <v>-10</v>
      </c>
      <c r="U720" s="111">
        <f>Audit[[#This Row],[Audit Candidate 3]]-Audit[[#This Row],[Candidate 3]]</f>
        <v>-2</v>
      </c>
      <c r="V720" s="111">
        <f>Audit[[#This Row],[Audit Candidate 4]]-Audit[[#This Row],[Candidate 4]]</f>
        <v>0</v>
      </c>
      <c r="W720" s="111">
        <f>Audit[[#This Row],[Audit Candidate 5]]-Audit[[#This Row],[Candidate 5]]</f>
        <v>0</v>
      </c>
      <c r="X720" s="111">
        <f>Audit[[#This Row],[Audit Candidate 6]]-Audit[[#This Row],[Candidate 6]]</f>
        <v>0</v>
      </c>
      <c r="Y720" s="111">
        <f>SUMIF(Audit[[#This Row],[Difference Loser]:[Difference Candidate 6]], "&gt;0")</f>
        <v>0</v>
      </c>
      <c r="Z720" s="111">
        <f>SUM(Audit[[#This Row],[Difference Loser]:[Difference Candidate 6]])</f>
        <v>-23</v>
      </c>
      <c r="AA720" s="111">
        <f>IF(Audit[[#This Row],[Times p Drawn - With Replacement]]&gt;0, IF(Audit[[#This Row],[Canceled Differences]]&lt;0, Audit[[#This Row],[Max Differences]]+ABS(Audit[[#This Row],[Canceled Differences]]), Audit[[#This Row],[Max Differences]]), 0)</f>
        <v>0</v>
      </c>
      <c r="AB720" s="111">
        <f>'Sampling Data'!P710</f>
        <v>1.3473787359137678E-3</v>
      </c>
      <c r="AC720" s="111">
        <f>IF(
      SUM(Audit[[#This Row],[Audit Losing Candidate]:[Audit Candidate 6]])
      &lt;&gt;0,
      (Audit[[#This Row],[Winning Candidate]]-Audit[[#This Row],[Losing Candidate]]-(Audit[[#This Row],[Audit Winning Candidate]]-Audit[[#This Row],[Audit Losing Candidate]]))/(Audit[[#Totals],[Winning Candidate]]-Audit[[#Totals],[Losing Candidate]]),
      0
)</f>
        <v>0</v>
      </c>
      <c r="AD7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0" s="111">
        <f>IF(Audit[[#This Row],[Max Relative Error (ep)]] = 0, 0, Audit[[#This Row],[Max Relative Error (ep)]]/Audit[[#This Row],[Error Bound (up) - Max. possible relative overstatement]])</f>
        <v>0</v>
      </c>
      <c r="AJ7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20" s="111">
        <f t="shared" si="11"/>
        <v>1</v>
      </c>
      <c r="AL720" s="111">
        <f>PRODUCT($AK$5:AK720)</f>
        <v>8.962823818226312E-2</v>
      </c>
      <c r="AM720" s="109">
        <f>1 - [K-M P Value]</f>
        <v>0.91037176181773694</v>
      </c>
      <c r="AN720" s="111" t="str">
        <f>IF(Audit[[#This Row],[K-M P Value]]&gt;1-'General Info'!$B$16,"Continue", "Stop")</f>
        <v>Stop</v>
      </c>
      <c r="AO720" s="110" t="b">
        <f>IF(Audit[[#This Row],[Status - Continue or stop audit]] = "Continue", TRUE, IF(AN719 = "Continue", TRUE, FALSE))</f>
        <v>0</v>
      </c>
      <c r="AP720" s="110"/>
    </row>
    <row r="721" spans="1:42" ht="15" hidden="1" customHeight="1">
      <c r="A721" s="111" t="str">
        <f>'Sampling Data'!W711</f>
        <v/>
      </c>
      <c r="B721" s="112" t="str">
        <f>'Sampling Data'!A711</f>
        <v>CLEVELAND -13-B</v>
      </c>
      <c r="C721" s="112">
        <f>'Sampling Data'!B711</f>
        <v>9</v>
      </c>
      <c r="D721" s="112">
        <f>'Sampling Data'!C711</f>
        <v>14</v>
      </c>
      <c r="E721" s="113">
        <f>'Sampling Data'!D711</f>
        <v>1</v>
      </c>
      <c r="F721" s="113">
        <f>'Sampling Data'!E711</f>
        <v>6</v>
      </c>
      <c r="G721" s="113">
        <f>'Sampling Data'!F711</f>
        <v>0</v>
      </c>
      <c r="H721" s="113">
        <f>'Sampling Data'!G711</f>
        <v>1</v>
      </c>
      <c r="I721" s="112">
        <f>'Sampling Data'!H711</f>
        <v>0</v>
      </c>
      <c r="J721" s="112">
        <f>'Sampling Data'!I711</f>
        <v>0</v>
      </c>
      <c r="K721" s="112">
        <f>'Sampling Data'!J711</f>
        <v>31</v>
      </c>
      <c r="L721" s="111">
        <f>'Sampling Data'!X711</f>
        <v>0</v>
      </c>
      <c r="M721" s="114"/>
      <c r="N721" s="114"/>
      <c r="O721" s="115"/>
      <c r="P721" s="115"/>
      <c r="Q721" s="116"/>
      <c r="R721" s="116"/>
      <c r="S721" s="111">
        <f>Audit[[#This Row],[Audit Losing Candidate]]-Audit[[#This Row],[Losing Candidate]]</f>
        <v>-9</v>
      </c>
      <c r="T721" s="111">
        <f>Audit[[#This Row],[Audit Winning Candidate]]-Audit[[#This Row],[Winning Candidate]]</f>
        <v>-14</v>
      </c>
      <c r="U721" s="111">
        <f>Audit[[#This Row],[Audit Candidate 3]]-Audit[[#This Row],[Candidate 3]]</f>
        <v>-1</v>
      </c>
      <c r="V721" s="111">
        <f>Audit[[#This Row],[Audit Candidate 4]]-Audit[[#This Row],[Candidate 4]]</f>
        <v>-6</v>
      </c>
      <c r="W721" s="111">
        <f>Audit[[#This Row],[Audit Candidate 5]]-Audit[[#This Row],[Candidate 5]]</f>
        <v>0</v>
      </c>
      <c r="X721" s="111">
        <f>Audit[[#This Row],[Audit Candidate 6]]-Audit[[#This Row],[Candidate 6]]</f>
        <v>-1</v>
      </c>
      <c r="Y721" s="111">
        <f>SUMIF(Audit[[#This Row],[Difference Loser]:[Difference Candidate 6]], "&gt;0")</f>
        <v>0</v>
      </c>
      <c r="Z721" s="111">
        <f>SUM(Audit[[#This Row],[Difference Loser]:[Difference Candidate 6]])</f>
        <v>-31</v>
      </c>
      <c r="AA721" s="111">
        <f>IF(Audit[[#This Row],[Times p Drawn - With Replacement]]&gt;0, IF(Audit[[#This Row],[Canceled Differences]]&lt;0, Audit[[#This Row],[Max Differences]]+ABS(Audit[[#This Row],[Canceled Differences]]), Audit[[#This Row],[Max Differences]]), 0)</f>
        <v>0</v>
      </c>
      <c r="AB721" s="111">
        <f>'Sampling Data'!P711</f>
        <v>2.2048015678588929E-3</v>
      </c>
      <c r="AC721" s="111">
        <f>IF(
      SUM(Audit[[#This Row],[Audit Losing Candidate]:[Audit Candidate 6]])
      &lt;&gt;0,
      (Audit[[#This Row],[Winning Candidate]]-Audit[[#This Row],[Losing Candidate]]-(Audit[[#This Row],[Audit Winning Candidate]]-Audit[[#This Row],[Audit Losing Candidate]]))/(Audit[[#Totals],[Winning Candidate]]-Audit[[#Totals],[Losing Candidate]]),
      0
)</f>
        <v>0</v>
      </c>
      <c r="AD7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1" s="111">
        <f>IF(Audit[[#This Row],[Max Relative Error (ep)]] = 0, 0, Audit[[#This Row],[Max Relative Error (ep)]]/Audit[[#This Row],[Error Bound (up) - Max. possible relative overstatement]])</f>
        <v>0</v>
      </c>
      <c r="AJ7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21" s="111">
        <f t="shared" si="11"/>
        <v>1</v>
      </c>
      <c r="AL721" s="111">
        <f>PRODUCT($AK$5:AK721)</f>
        <v>8.962823818226312E-2</v>
      </c>
      <c r="AM721" s="109">
        <f>1 - [K-M P Value]</f>
        <v>0.91037176181773694</v>
      </c>
      <c r="AN721" s="111" t="str">
        <f>IF(Audit[[#This Row],[K-M P Value]]&gt;1-'General Info'!$B$16,"Continue", "Stop")</f>
        <v>Stop</v>
      </c>
      <c r="AO721" s="110" t="b">
        <f>IF(Audit[[#This Row],[Status - Continue or stop audit]] = "Continue", TRUE, IF(AN720 = "Continue", TRUE, FALSE))</f>
        <v>0</v>
      </c>
      <c r="AP721" s="110"/>
    </row>
    <row r="722" spans="1:42" ht="15" hidden="1" customHeight="1">
      <c r="A722" s="111" t="str">
        <f>'Sampling Data'!W712</f>
        <v/>
      </c>
      <c r="B722" s="112" t="str">
        <f>'Sampling Data'!A712</f>
        <v>CLEVELAND -13-B - ABS</v>
      </c>
      <c r="C722" s="112">
        <f>'Sampling Data'!B712</f>
        <v>7</v>
      </c>
      <c r="D722" s="112">
        <f>'Sampling Data'!C712</f>
        <v>4</v>
      </c>
      <c r="E722" s="113">
        <f>'Sampling Data'!D712</f>
        <v>0</v>
      </c>
      <c r="F722" s="113">
        <f>'Sampling Data'!E712</f>
        <v>2</v>
      </c>
      <c r="G722" s="113">
        <f>'Sampling Data'!F712</f>
        <v>0</v>
      </c>
      <c r="H722" s="113">
        <f>'Sampling Data'!G712</f>
        <v>0</v>
      </c>
      <c r="I722" s="112">
        <f>'Sampling Data'!H712</f>
        <v>0</v>
      </c>
      <c r="J722" s="112">
        <f>'Sampling Data'!I712</f>
        <v>0</v>
      </c>
      <c r="K722" s="112">
        <f>'Sampling Data'!J712</f>
        <v>13</v>
      </c>
      <c r="L722" s="111">
        <f>'Sampling Data'!X712</f>
        <v>0</v>
      </c>
      <c r="M722" s="114"/>
      <c r="N722" s="114"/>
      <c r="O722" s="115"/>
      <c r="P722" s="115"/>
      <c r="Q722" s="116"/>
      <c r="R722" s="116"/>
      <c r="S722" s="111">
        <f>Audit[[#This Row],[Audit Losing Candidate]]-Audit[[#This Row],[Losing Candidate]]</f>
        <v>-7</v>
      </c>
      <c r="T722" s="111">
        <f>Audit[[#This Row],[Audit Winning Candidate]]-Audit[[#This Row],[Winning Candidate]]</f>
        <v>-4</v>
      </c>
      <c r="U722" s="111">
        <f>Audit[[#This Row],[Audit Candidate 3]]-Audit[[#This Row],[Candidate 3]]</f>
        <v>0</v>
      </c>
      <c r="V722" s="111">
        <f>Audit[[#This Row],[Audit Candidate 4]]-Audit[[#This Row],[Candidate 4]]</f>
        <v>-2</v>
      </c>
      <c r="W722" s="111">
        <f>Audit[[#This Row],[Audit Candidate 5]]-Audit[[#This Row],[Candidate 5]]</f>
        <v>0</v>
      </c>
      <c r="X722" s="111">
        <f>Audit[[#This Row],[Audit Candidate 6]]-Audit[[#This Row],[Candidate 6]]</f>
        <v>0</v>
      </c>
      <c r="Y722" s="111">
        <f>SUMIF(Audit[[#This Row],[Difference Loser]:[Difference Candidate 6]], "&gt;0")</f>
        <v>0</v>
      </c>
      <c r="Z722" s="111">
        <f>SUM(Audit[[#This Row],[Difference Loser]:[Difference Candidate 6]])</f>
        <v>-13</v>
      </c>
      <c r="AA722" s="111">
        <f>IF(Audit[[#This Row],[Times p Drawn - With Replacement]]&gt;0, IF(Audit[[#This Row],[Canceled Differences]]&lt;0, Audit[[#This Row],[Max Differences]]+ABS(Audit[[#This Row],[Canceled Differences]]), Audit[[#This Row],[Max Differences]]), 0)</f>
        <v>0</v>
      </c>
      <c r="AB722" s="111">
        <f>'Sampling Data'!P712</f>
        <v>6.1244487996080352E-4</v>
      </c>
      <c r="AC722" s="111">
        <f>IF(
      SUM(Audit[[#This Row],[Audit Losing Candidate]:[Audit Candidate 6]])
      &lt;&gt;0,
      (Audit[[#This Row],[Winning Candidate]]-Audit[[#This Row],[Losing Candidate]]-(Audit[[#This Row],[Audit Winning Candidate]]-Audit[[#This Row],[Audit Losing Candidate]]))/(Audit[[#Totals],[Winning Candidate]]-Audit[[#Totals],[Losing Candidate]]),
      0
)</f>
        <v>0</v>
      </c>
      <c r="AD7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2" s="111">
        <f>IF(Audit[[#This Row],[Max Relative Error (ep)]] = 0, 0, Audit[[#This Row],[Max Relative Error (ep)]]/Audit[[#This Row],[Error Bound (up) - Max. possible relative overstatement]])</f>
        <v>0</v>
      </c>
      <c r="AJ7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22" s="111">
        <f t="shared" si="11"/>
        <v>1</v>
      </c>
      <c r="AL722" s="111">
        <f>PRODUCT($AK$5:AK722)</f>
        <v>8.962823818226312E-2</v>
      </c>
      <c r="AM722" s="109">
        <f>1 - [K-M P Value]</f>
        <v>0.91037176181773694</v>
      </c>
      <c r="AN722" s="111" t="str">
        <f>IF(Audit[[#This Row],[K-M P Value]]&gt;1-'General Info'!$B$16,"Continue", "Stop")</f>
        <v>Stop</v>
      </c>
      <c r="AO722" s="110" t="b">
        <f>IF(Audit[[#This Row],[Status - Continue or stop audit]] = "Continue", TRUE, IF(AN721 = "Continue", TRUE, FALSE))</f>
        <v>0</v>
      </c>
      <c r="AP722" s="110"/>
    </row>
    <row r="723" spans="1:42" ht="15" hidden="1" customHeight="1">
      <c r="A723" s="111" t="str">
        <f>'Sampling Data'!W713</f>
        <v/>
      </c>
      <c r="B723" s="112" t="str">
        <f>'Sampling Data'!A713</f>
        <v>CLEVELAND -13-C</v>
      </c>
      <c r="C723" s="112">
        <f>'Sampling Data'!B713</f>
        <v>8</v>
      </c>
      <c r="D723" s="112">
        <f>'Sampling Data'!C713</f>
        <v>14</v>
      </c>
      <c r="E723" s="113">
        <f>'Sampling Data'!D713</f>
        <v>3</v>
      </c>
      <c r="F723" s="113">
        <f>'Sampling Data'!E713</f>
        <v>6</v>
      </c>
      <c r="G723" s="113">
        <f>'Sampling Data'!F713</f>
        <v>0</v>
      </c>
      <c r="H723" s="113">
        <f>'Sampling Data'!G713</f>
        <v>0</v>
      </c>
      <c r="I723" s="112">
        <f>'Sampling Data'!H713</f>
        <v>0</v>
      </c>
      <c r="J723" s="112">
        <f>'Sampling Data'!I713</f>
        <v>0</v>
      </c>
      <c r="K723" s="112">
        <f>'Sampling Data'!J713</f>
        <v>31</v>
      </c>
      <c r="L723" s="111">
        <f>'Sampling Data'!X713</f>
        <v>0</v>
      </c>
      <c r="M723" s="114"/>
      <c r="N723" s="114"/>
      <c r="O723" s="115"/>
      <c r="P723" s="115"/>
      <c r="Q723" s="116"/>
      <c r="R723" s="116"/>
      <c r="S723" s="111">
        <f>Audit[[#This Row],[Audit Losing Candidate]]-Audit[[#This Row],[Losing Candidate]]</f>
        <v>-8</v>
      </c>
      <c r="T723" s="111">
        <f>Audit[[#This Row],[Audit Winning Candidate]]-Audit[[#This Row],[Winning Candidate]]</f>
        <v>-14</v>
      </c>
      <c r="U723" s="111">
        <f>Audit[[#This Row],[Audit Candidate 3]]-Audit[[#This Row],[Candidate 3]]</f>
        <v>-3</v>
      </c>
      <c r="V723" s="111">
        <f>Audit[[#This Row],[Audit Candidate 4]]-Audit[[#This Row],[Candidate 4]]</f>
        <v>-6</v>
      </c>
      <c r="W723" s="111">
        <f>Audit[[#This Row],[Audit Candidate 5]]-Audit[[#This Row],[Candidate 5]]</f>
        <v>0</v>
      </c>
      <c r="X723" s="111">
        <f>Audit[[#This Row],[Audit Candidate 6]]-Audit[[#This Row],[Candidate 6]]</f>
        <v>0</v>
      </c>
      <c r="Y723" s="111">
        <f>SUMIF(Audit[[#This Row],[Difference Loser]:[Difference Candidate 6]], "&gt;0")</f>
        <v>0</v>
      </c>
      <c r="Z723" s="111">
        <f>SUM(Audit[[#This Row],[Difference Loser]:[Difference Candidate 6]])</f>
        <v>-31</v>
      </c>
      <c r="AA723" s="111">
        <f>IF(Audit[[#This Row],[Times p Drawn - With Replacement]]&gt;0, IF(Audit[[#This Row],[Canceled Differences]]&lt;0, Audit[[#This Row],[Max Differences]]+ABS(Audit[[#This Row],[Canceled Differences]]), Audit[[#This Row],[Max Differences]]), 0)</f>
        <v>0</v>
      </c>
      <c r="AB723" s="111">
        <f>'Sampling Data'!P713</f>
        <v>2.2660460558549728E-3</v>
      </c>
      <c r="AC723" s="111">
        <f>IF(
      SUM(Audit[[#This Row],[Audit Losing Candidate]:[Audit Candidate 6]])
      &lt;&gt;0,
      (Audit[[#This Row],[Winning Candidate]]-Audit[[#This Row],[Losing Candidate]]-(Audit[[#This Row],[Audit Winning Candidate]]-Audit[[#This Row],[Audit Losing Candidate]]))/(Audit[[#Totals],[Winning Candidate]]-Audit[[#Totals],[Losing Candidate]]),
      0
)</f>
        <v>0</v>
      </c>
      <c r="AD7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3" s="111">
        <f>IF(Audit[[#This Row],[Max Relative Error (ep)]] = 0, 0, Audit[[#This Row],[Max Relative Error (ep)]]/Audit[[#This Row],[Error Bound (up) - Max. possible relative overstatement]])</f>
        <v>0</v>
      </c>
      <c r="AJ7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23" s="111">
        <f t="shared" si="11"/>
        <v>1</v>
      </c>
      <c r="AL723" s="111">
        <f>PRODUCT($AK$5:AK723)</f>
        <v>8.962823818226312E-2</v>
      </c>
      <c r="AM723" s="109">
        <f>1 - [K-M P Value]</f>
        <v>0.91037176181773694</v>
      </c>
      <c r="AN723" s="111" t="str">
        <f>IF(Audit[[#This Row],[K-M P Value]]&gt;1-'General Info'!$B$16,"Continue", "Stop")</f>
        <v>Stop</v>
      </c>
      <c r="AO723" s="110" t="b">
        <f>IF(Audit[[#This Row],[Status - Continue or stop audit]] = "Continue", TRUE, IF(AN722 = "Continue", TRUE, FALSE))</f>
        <v>0</v>
      </c>
      <c r="AP723" s="110"/>
    </row>
    <row r="724" spans="1:42" ht="15" hidden="1" customHeight="1">
      <c r="A724" s="111" t="str">
        <f>'Sampling Data'!W714</f>
        <v/>
      </c>
      <c r="B724" s="112" t="str">
        <f>'Sampling Data'!A714</f>
        <v>CLEVELAND -13-C - ABS</v>
      </c>
      <c r="C724" s="112">
        <f>'Sampling Data'!B714</f>
        <v>1</v>
      </c>
      <c r="D724" s="112">
        <f>'Sampling Data'!C714</f>
        <v>10</v>
      </c>
      <c r="E724" s="113">
        <f>'Sampling Data'!D714</f>
        <v>0</v>
      </c>
      <c r="F724" s="113">
        <f>'Sampling Data'!E714</f>
        <v>0</v>
      </c>
      <c r="G724" s="113">
        <f>'Sampling Data'!F714</f>
        <v>0</v>
      </c>
      <c r="H724" s="113">
        <f>'Sampling Data'!G714</f>
        <v>0</v>
      </c>
      <c r="I724" s="112">
        <f>'Sampling Data'!H714</f>
        <v>0</v>
      </c>
      <c r="J724" s="112">
        <f>'Sampling Data'!I714</f>
        <v>0</v>
      </c>
      <c r="K724" s="112">
        <f>'Sampling Data'!J714</f>
        <v>11</v>
      </c>
      <c r="L724" s="111">
        <f>'Sampling Data'!X714</f>
        <v>0</v>
      </c>
      <c r="M724" s="114"/>
      <c r="N724" s="114"/>
      <c r="O724" s="115"/>
      <c r="P724" s="115"/>
      <c r="Q724" s="116"/>
      <c r="R724" s="116"/>
      <c r="S724" s="111">
        <f>Audit[[#This Row],[Audit Losing Candidate]]-Audit[[#This Row],[Losing Candidate]]</f>
        <v>-1</v>
      </c>
      <c r="T724" s="111">
        <f>Audit[[#This Row],[Audit Winning Candidate]]-Audit[[#This Row],[Winning Candidate]]</f>
        <v>-10</v>
      </c>
      <c r="U724" s="111">
        <f>Audit[[#This Row],[Audit Candidate 3]]-Audit[[#This Row],[Candidate 3]]</f>
        <v>0</v>
      </c>
      <c r="V724" s="111">
        <f>Audit[[#This Row],[Audit Candidate 4]]-Audit[[#This Row],[Candidate 4]]</f>
        <v>0</v>
      </c>
      <c r="W724" s="111">
        <f>Audit[[#This Row],[Audit Candidate 5]]-Audit[[#This Row],[Candidate 5]]</f>
        <v>0</v>
      </c>
      <c r="X724" s="111">
        <f>Audit[[#This Row],[Audit Candidate 6]]-Audit[[#This Row],[Candidate 6]]</f>
        <v>0</v>
      </c>
      <c r="Y724" s="111">
        <f>SUMIF(Audit[[#This Row],[Difference Loser]:[Difference Candidate 6]], "&gt;0")</f>
        <v>0</v>
      </c>
      <c r="Z724" s="111">
        <f>SUM(Audit[[#This Row],[Difference Loser]:[Difference Candidate 6]])</f>
        <v>-11</v>
      </c>
      <c r="AA724" s="111">
        <f>IF(Audit[[#This Row],[Times p Drawn - With Replacement]]&gt;0, IF(Audit[[#This Row],[Canceled Differences]]&lt;0, Audit[[#This Row],[Max Differences]]+ABS(Audit[[#This Row],[Canceled Differences]]), Audit[[#This Row],[Max Differences]]), 0)</f>
        <v>0</v>
      </c>
      <c r="AB724" s="111">
        <f>'Sampling Data'!P714</f>
        <v>1.224889759921607E-3</v>
      </c>
      <c r="AC724" s="111">
        <f>IF(
      SUM(Audit[[#This Row],[Audit Losing Candidate]:[Audit Candidate 6]])
      &lt;&gt;0,
      (Audit[[#This Row],[Winning Candidate]]-Audit[[#This Row],[Losing Candidate]]-(Audit[[#This Row],[Audit Winning Candidate]]-Audit[[#This Row],[Audit Losing Candidate]]))/(Audit[[#Totals],[Winning Candidate]]-Audit[[#Totals],[Losing Candidate]]),
      0
)</f>
        <v>0</v>
      </c>
      <c r="AD7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4" s="111">
        <f>IF(Audit[[#This Row],[Max Relative Error (ep)]] = 0, 0, Audit[[#This Row],[Max Relative Error (ep)]]/Audit[[#This Row],[Error Bound (up) - Max. possible relative overstatement]])</f>
        <v>0</v>
      </c>
      <c r="AJ7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24" s="111">
        <f t="shared" si="11"/>
        <v>1</v>
      </c>
      <c r="AL724" s="111">
        <f>PRODUCT($AK$5:AK724)</f>
        <v>8.962823818226312E-2</v>
      </c>
      <c r="AM724" s="109">
        <f>1 - [K-M P Value]</f>
        <v>0.91037176181773694</v>
      </c>
      <c r="AN724" s="111" t="str">
        <f>IF(Audit[[#This Row],[K-M P Value]]&gt;1-'General Info'!$B$16,"Continue", "Stop")</f>
        <v>Stop</v>
      </c>
      <c r="AO724" s="110" t="b">
        <f>IF(Audit[[#This Row],[Status - Continue or stop audit]] = "Continue", TRUE, IF(AN723 = "Continue", TRUE, FALSE))</f>
        <v>0</v>
      </c>
      <c r="AP724" s="110"/>
    </row>
    <row r="725" spans="1:42" ht="15" hidden="1" customHeight="1">
      <c r="A725" s="111" t="str">
        <f>'Sampling Data'!W715</f>
        <v/>
      </c>
      <c r="B725" s="112" t="str">
        <f>'Sampling Data'!A715</f>
        <v>CLEVELAND -13-D</v>
      </c>
      <c r="C725" s="112">
        <f>'Sampling Data'!B715</f>
        <v>10</v>
      </c>
      <c r="D725" s="112">
        <f>'Sampling Data'!C715</f>
        <v>6</v>
      </c>
      <c r="E725" s="113">
        <f>'Sampling Data'!D715</f>
        <v>2</v>
      </c>
      <c r="F725" s="113">
        <f>'Sampling Data'!E715</f>
        <v>4</v>
      </c>
      <c r="G725" s="113">
        <f>'Sampling Data'!F715</f>
        <v>0</v>
      </c>
      <c r="H725" s="113">
        <f>'Sampling Data'!G715</f>
        <v>0</v>
      </c>
      <c r="I725" s="112">
        <f>'Sampling Data'!H715</f>
        <v>0</v>
      </c>
      <c r="J725" s="112">
        <f>'Sampling Data'!I715</f>
        <v>0</v>
      </c>
      <c r="K725" s="112">
        <f>'Sampling Data'!J715</f>
        <v>22</v>
      </c>
      <c r="L725" s="111">
        <f>'Sampling Data'!X715</f>
        <v>0</v>
      </c>
      <c r="M725" s="114"/>
      <c r="N725" s="114"/>
      <c r="O725" s="115"/>
      <c r="P725" s="115"/>
      <c r="Q725" s="116"/>
      <c r="R725" s="116"/>
      <c r="S725" s="111">
        <f>Audit[[#This Row],[Audit Losing Candidate]]-Audit[[#This Row],[Losing Candidate]]</f>
        <v>-10</v>
      </c>
      <c r="T725" s="111">
        <f>Audit[[#This Row],[Audit Winning Candidate]]-Audit[[#This Row],[Winning Candidate]]</f>
        <v>-6</v>
      </c>
      <c r="U725" s="111">
        <f>Audit[[#This Row],[Audit Candidate 3]]-Audit[[#This Row],[Candidate 3]]</f>
        <v>-2</v>
      </c>
      <c r="V725" s="111">
        <f>Audit[[#This Row],[Audit Candidate 4]]-Audit[[#This Row],[Candidate 4]]</f>
        <v>-4</v>
      </c>
      <c r="W725" s="111">
        <f>Audit[[#This Row],[Audit Candidate 5]]-Audit[[#This Row],[Candidate 5]]</f>
        <v>0</v>
      </c>
      <c r="X725" s="111">
        <f>Audit[[#This Row],[Audit Candidate 6]]-Audit[[#This Row],[Candidate 6]]</f>
        <v>0</v>
      </c>
      <c r="Y725" s="111">
        <f>SUMIF(Audit[[#This Row],[Difference Loser]:[Difference Candidate 6]], "&gt;0")</f>
        <v>0</v>
      </c>
      <c r="Z725" s="111">
        <f>SUM(Audit[[#This Row],[Difference Loser]:[Difference Candidate 6]])</f>
        <v>-22</v>
      </c>
      <c r="AA725" s="111">
        <f>IF(Audit[[#This Row],[Times p Drawn - With Replacement]]&gt;0, IF(Audit[[#This Row],[Canceled Differences]]&lt;0, Audit[[#This Row],[Max Differences]]+ABS(Audit[[#This Row],[Canceled Differences]]), Audit[[#This Row],[Max Differences]]), 0)</f>
        <v>0</v>
      </c>
      <c r="AB725" s="111">
        <f>'Sampling Data'!P715</f>
        <v>1.1024007839294464E-3</v>
      </c>
      <c r="AC725" s="111">
        <f>IF(
      SUM(Audit[[#This Row],[Audit Losing Candidate]:[Audit Candidate 6]])
      &lt;&gt;0,
      (Audit[[#This Row],[Winning Candidate]]-Audit[[#This Row],[Losing Candidate]]-(Audit[[#This Row],[Audit Winning Candidate]]-Audit[[#This Row],[Audit Losing Candidate]]))/(Audit[[#Totals],[Winning Candidate]]-Audit[[#Totals],[Losing Candidate]]),
      0
)</f>
        <v>0</v>
      </c>
      <c r="AD7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5" s="111">
        <f>IF(Audit[[#This Row],[Max Relative Error (ep)]] = 0, 0, Audit[[#This Row],[Max Relative Error (ep)]]/Audit[[#This Row],[Error Bound (up) - Max. possible relative overstatement]])</f>
        <v>0</v>
      </c>
      <c r="AJ7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25" s="111">
        <f t="shared" si="11"/>
        <v>1</v>
      </c>
      <c r="AL725" s="111">
        <f>PRODUCT($AK$5:AK725)</f>
        <v>8.962823818226312E-2</v>
      </c>
      <c r="AM725" s="109">
        <f>1 - [K-M P Value]</f>
        <v>0.91037176181773694</v>
      </c>
      <c r="AN725" s="111" t="str">
        <f>IF(Audit[[#This Row],[K-M P Value]]&gt;1-'General Info'!$B$16,"Continue", "Stop")</f>
        <v>Stop</v>
      </c>
      <c r="AO725" s="110" t="b">
        <f>IF(Audit[[#This Row],[Status - Continue or stop audit]] = "Continue", TRUE, IF(AN724 = "Continue", TRUE, FALSE))</f>
        <v>0</v>
      </c>
      <c r="AP725" s="110"/>
    </row>
    <row r="726" spans="1:42" ht="15" hidden="1" customHeight="1">
      <c r="A726" s="111" t="str">
        <f>'Sampling Data'!W716</f>
        <v/>
      </c>
      <c r="B726" s="112" t="str">
        <f>'Sampling Data'!A716</f>
        <v>CLEVELAND -13-D - ABS</v>
      </c>
      <c r="C726" s="112">
        <f>'Sampling Data'!B716</f>
        <v>2</v>
      </c>
      <c r="D726" s="112">
        <f>'Sampling Data'!C716</f>
        <v>2</v>
      </c>
      <c r="E726" s="113">
        <f>'Sampling Data'!D716</f>
        <v>0</v>
      </c>
      <c r="F726" s="113">
        <f>'Sampling Data'!E716</f>
        <v>2</v>
      </c>
      <c r="G726" s="113">
        <f>'Sampling Data'!F716</f>
        <v>0</v>
      </c>
      <c r="H726" s="113">
        <f>'Sampling Data'!G716</f>
        <v>0</v>
      </c>
      <c r="I726" s="112">
        <f>'Sampling Data'!H716</f>
        <v>0</v>
      </c>
      <c r="J726" s="112">
        <f>'Sampling Data'!I716</f>
        <v>0</v>
      </c>
      <c r="K726" s="112">
        <f>'Sampling Data'!J716</f>
        <v>6</v>
      </c>
      <c r="L726" s="111">
        <f>'Sampling Data'!X716</f>
        <v>0</v>
      </c>
      <c r="M726" s="114"/>
      <c r="N726" s="114"/>
      <c r="O726" s="115"/>
      <c r="P726" s="115"/>
      <c r="Q726" s="116"/>
      <c r="R726" s="116"/>
      <c r="S726" s="111">
        <f>Audit[[#This Row],[Audit Losing Candidate]]-Audit[[#This Row],[Losing Candidate]]</f>
        <v>-2</v>
      </c>
      <c r="T726" s="111">
        <f>Audit[[#This Row],[Audit Winning Candidate]]-Audit[[#This Row],[Winning Candidate]]</f>
        <v>-2</v>
      </c>
      <c r="U726" s="111">
        <f>Audit[[#This Row],[Audit Candidate 3]]-Audit[[#This Row],[Candidate 3]]</f>
        <v>0</v>
      </c>
      <c r="V726" s="111">
        <f>Audit[[#This Row],[Audit Candidate 4]]-Audit[[#This Row],[Candidate 4]]</f>
        <v>-2</v>
      </c>
      <c r="W726" s="111">
        <f>Audit[[#This Row],[Audit Candidate 5]]-Audit[[#This Row],[Candidate 5]]</f>
        <v>0</v>
      </c>
      <c r="X726" s="111">
        <f>Audit[[#This Row],[Audit Candidate 6]]-Audit[[#This Row],[Candidate 6]]</f>
        <v>0</v>
      </c>
      <c r="Y726" s="111">
        <f>SUMIF(Audit[[#This Row],[Difference Loser]:[Difference Candidate 6]], "&gt;0")</f>
        <v>0</v>
      </c>
      <c r="Z726" s="111">
        <f>SUM(Audit[[#This Row],[Difference Loser]:[Difference Candidate 6]])</f>
        <v>-6</v>
      </c>
      <c r="AA726" s="111">
        <f>IF(Audit[[#This Row],[Times p Drawn - With Replacement]]&gt;0, IF(Audit[[#This Row],[Canceled Differences]]&lt;0, Audit[[#This Row],[Max Differences]]+ABS(Audit[[#This Row],[Canceled Differences]]), Audit[[#This Row],[Max Differences]]), 0)</f>
        <v>0</v>
      </c>
      <c r="AB726" s="111">
        <f>'Sampling Data'!P716</f>
        <v>3.6746692797648211E-4</v>
      </c>
      <c r="AC726" s="111">
        <f>IF(
      SUM(Audit[[#This Row],[Audit Losing Candidate]:[Audit Candidate 6]])
      &lt;&gt;0,
      (Audit[[#This Row],[Winning Candidate]]-Audit[[#This Row],[Losing Candidate]]-(Audit[[#This Row],[Audit Winning Candidate]]-Audit[[#This Row],[Audit Losing Candidate]]))/(Audit[[#Totals],[Winning Candidate]]-Audit[[#Totals],[Losing Candidate]]),
      0
)</f>
        <v>0</v>
      </c>
      <c r="AD7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6" s="111">
        <f>IF(Audit[[#This Row],[Max Relative Error (ep)]] = 0, 0, Audit[[#This Row],[Max Relative Error (ep)]]/Audit[[#This Row],[Error Bound (up) - Max. possible relative overstatement]])</f>
        <v>0</v>
      </c>
      <c r="AJ7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26" s="111">
        <f t="shared" si="11"/>
        <v>1</v>
      </c>
      <c r="AL726" s="111">
        <f>PRODUCT($AK$5:AK726)</f>
        <v>8.962823818226312E-2</v>
      </c>
      <c r="AM726" s="109">
        <f>1 - [K-M P Value]</f>
        <v>0.91037176181773694</v>
      </c>
      <c r="AN726" s="111" t="str">
        <f>IF(Audit[[#This Row],[K-M P Value]]&gt;1-'General Info'!$B$16,"Continue", "Stop")</f>
        <v>Stop</v>
      </c>
      <c r="AO726" s="110" t="b">
        <f>IF(Audit[[#This Row],[Status - Continue or stop audit]] = "Continue", TRUE, IF(AN725 = "Continue", TRUE, FALSE))</f>
        <v>0</v>
      </c>
      <c r="AP726" s="110"/>
    </row>
    <row r="727" spans="1:42" ht="15" hidden="1" customHeight="1">
      <c r="A727" s="111" t="str">
        <f>'Sampling Data'!W718</f>
        <v/>
      </c>
      <c r="B727" s="112" t="str">
        <f>'Sampling Data'!A718</f>
        <v>CLEVELAND -13-E - ABS</v>
      </c>
      <c r="C727" s="112">
        <f>'Sampling Data'!B718</f>
        <v>4</v>
      </c>
      <c r="D727" s="112">
        <f>'Sampling Data'!C718</f>
        <v>5</v>
      </c>
      <c r="E727" s="113">
        <f>'Sampling Data'!D718</f>
        <v>0</v>
      </c>
      <c r="F727" s="113">
        <f>'Sampling Data'!E718</f>
        <v>2</v>
      </c>
      <c r="G727" s="113">
        <f>'Sampling Data'!F718</f>
        <v>0</v>
      </c>
      <c r="H727" s="113">
        <f>'Sampling Data'!G718</f>
        <v>1</v>
      </c>
      <c r="I727" s="112">
        <f>'Sampling Data'!H718</f>
        <v>0</v>
      </c>
      <c r="J727" s="112">
        <f>'Sampling Data'!I718</f>
        <v>0</v>
      </c>
      <c r="K727" s="112">
        <f>'Sampling Data'!J718</f>
        <v>12</v>
      </c>
      <c r="L727" s="111">
        <f>'Sampling Data'!X718</f>
        <v>0</v>
      </c>
      <c r="M727" s="114"/>
      <c r="N727" s="114"/>
      <c r="O727" s="115"/>
      <c r="P727" s="115"/>
      <c r="Q727" s="116"/>
      <c r="R727" s="116"/>
      <c r="S727" s="111">
        <f>Audit[[#This Row],[Audit Losing Candidate]]-Audit[[#This Row],[Losing Candidate]]</f>
        <v>-4</v>
      </c>
      <c r="T727" s="111">
        <f>Audit[[#This Row],[Audit Winning Candidate]]-Audit[[#This Row],[Winning Candidate]]</f>
        <v>-5</v>
      </c>
      <c r="U727" s="111">
        <f>Audit[[#This Row],[Audit Candidate 3]]-Audit[[#This Row],[Candidate 3]]</f>
        <v>0</v>
      </c>
      <c r="V727" s="111">
        <f>Audit[[#This Row],[Audit Candidate 4]]-Audit[[#This Row],[Candidate 4]]</f>
        <v>-2</v>
      </c>
      <c r="W727" s="111">
        <f>Audit[[#This Row],[Audit Candidate 5]]-Audit[[#This Row],[Candidate 5]]</f>
        <v>0</v>
      </c>
      <c r="X727" s="111">
        <f>Audit[[#This Row],[Audit Candidate 6]]-Audit[[#This Row],[Candidate 6]]</f>
        <v>-1</v>
      </c>
      <c r="Y727" s="111">
        <f>SUMIF(Audit[[#This Row],[Difference Loser]:[Difference Candidate 6]], "&gt;0")</f>
        <v>0</v>
      </c>
      <c r="Z727" s="111">
        <f>SUM(Audit[[#This Row],[Difference Loser]:[Difference Candidate 6]])</f>
        <v>-12</v>
      </c>
      <c r="AA727" s="111">
        <f>IF(Audit[[#This Row],[Times p Drawn - With Replacement]]&gt;0, IF(Audit[[#This Row],[Canceled Differences]]&lt;0, Audit[[#This Row],[Max Differences]]+ABS(Audit[[#This Row],[Canceled Differences]]), Audit[[#This Row],[Max Differences]]), 0)</f>
        <v>0</v>
      </c>
      <c r="AB727" s="111">
        <f>'Sampling Data'!P718</f>
        <v>7.9617834394904463E-4</v>
      </c>
      <c r="AC727" s="111">
        <f>IF(
      SUM(Audit[[#This Row],[Audit Losing Candidate]:[Audit Candidate 6]])
      &lt;&gt;0,
      (Audit[[#This Row],[Winning Candidate]]-Audit[[#This Row],[Losing Candidate]]-(Audit[[#This Row],[Audit Winning Candidate]]-Audit[[#This Row],[Audit Losing Candidate]]))/(Audit[[#Totals],[Winning Candidate]]-Audit[[#Totals],[Losing Candidate]]),
      0
)</f>
        <v>0</v>
      </c>
      <c r="AD7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7" s="111">
        <f>IF(Audit[[#This Row],[Max Relative Error (ep)]] = 0, 0, Audit[[#This Row],[Max Relative Error (ep)]]/Audit[[#This Row],[Error Bound (up) - Max. possible relative overstatement]])</f>
        <v>0</v>
      </c>
      <c r="AJ7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27" s="111">
        <f t="shared" si="11"/>
        <v>1</v>
      </c>
      <c r="AL727" s="111">
        <f>PRODUCT($AK$5:AK727)</f>
        <v>8.962823818226312E-2</v>
      </c>
      <c r="AM727" s="109">
        <f>1 - [K-M P Value]</f>
        <v>0.91037176181773694</v>
      </c>
      <c r="AN727" s="111" t="str">
        <f>IF(Audit[[#This Row],[K-M P Value]]&gt;1-'General Info'!$B$16,"Continue", "Stop")</f>
        <v>Stop</v>
      </c>
      <c r="AO727" s="110" t="b">
        <f>IF(Audit[[#This Row],[Status - Continue or stop audit]] = "Continue", TRUE, IF(AN726 = "Continue", TRUE, FALSE))</f>
        <v>0</v>
      </c>
      <c r="AP727" s="110"/>
    </row>
    <row r="728" spans="1:42" ht="15" hidden="1" customHeight="1">
      <c r="A728" s="111" t="str">
        <f>'Sampling Data'!W719</f>
        <v/>
      </c>
      <c r="B728" s="112" t="str">
        <f>'Sampling Data'!A719</f>
        <v>CLEVELAND -13-F</v>
      </c>
      <c r="C728" s="112">
        <f>'Sampling Data'!B719</f>
        <v>12</v>
      </c>
      <c r="D728" s="112">
        <f>'Sampling Data'!C719</f>
        <v>12</v>
      </c>
      <c r="E728" s="113">
        <f>'Sampling Data'!D719</f>
        <v>2</v>
      </c>
      <c r="F728" s="113">
        <f>'Sampling Data'!E719</f>
        <v>10</v>
      </c>
      <c r="G728" s="113">
        <f>'Sampling Data'!F719</f>
        <v>0</v>
      </c>
      <c r="H728" s="113">
        <f>'Sampling Data'!G719</f>
        <v>2</v>
      </c>
      <c r="I728" s="112">
        <f>'Sampling Data'!H719</f>
        <v>0</v>
      </c>
      <c r="J728" s="112">
        <f>'Sampling Data'!I719</f>
        <v>1</v>
      </c>
      <c r="K728" s="112">
        <f>'Sampling Data'!J719</f>
        <v>39</v>
      </c>
      <c r="L728" s="111">
        <f>'Sampling Data'!X719</f>
        <v>0</v>
      </c>
      <c r="M728" s="114"/>
      <c r="N728" s="114"/>
      <c r="O728" s="115"/>
      <c r="P728" s="115"/>
      <c r="Q728" s="116"/>
      <c r="R728" s="116"/>
      <c r="S728" s="111">
        <f>Audit[[#This Row],[Audit Losing Candidate]]-Audit[[#This Row],[Losing Candidate]]</f>
        <v>-12</v>
      </c>
      <c r="T728" s="111">
        <f>Audit[[#This Row],[Audit Winning Candidate]]-Audit[[#This Row],[Winning Candidate]]</f>
        <v>-12</v>
      </c>
      <c r="U728" s="111">
        <f>Audit[[#This Row],[Audit Candidate 3]]-Audit[[#This Row],[Candidate 3]]</f>
        <v>-2</v>
      </c>
      <c r="V728" s="111">
        <f>Audit[[#This Row],[Audit Candidate 4]]-Audit[[#This Row],[Candidate 4]]</f>
        <v>-10</v>
      </c>
      <c r="W728" s="111">
        <f>Audit[[#This Row],[Audit Candidate 5]]-Audit[[#This Row],[Candidate 5]]</f>
        <v>0</v>
      </c>
      <c r="X728" s="111">
        <f>Audit[[#This Row],[Audit Candidate 6]]-Audit[[#This Row],[Candidate 6]]</f>
        <v>-2</v>
      </c>
      <c r="Y728" s="111">
        <f>SUMIF(Audit[[#This Row],[Difference Loser]:[Difference Candidate 6]], "&gt;0")</f>
        <v>0</v>
      </c>
      <c r="Z728" s="111">
        <f>SUM(Audit[[#This Row],[Difference Loser]:[Difference Candidate 6]])</f>
        <v>-38</v>
      </c>
      <c r="AA728" s="111">
        <f>IF(Audit[[#This Row],[Times p Drawn - With Replacement]]&gt;0, IF(Audit[[#This Row],[Canceled Differences]]&lt;0, Audit[[#This Row],[Max Differences]]+ABS(Audit[[#This Row],[Canceled Differences]]), Audit[[#This Row],[Max Differences]]), 0)</f>
        <v>0</v>
      </c>
      <c r="AB728" s="111">
        <f>'Sampling Data'!P719</f>
        <v>2.3885350318471337E-3</v>
      </c>
      <c r="AC728" s="111">
        <f>IF(
      SUM(Audit[[#This Row],[Audit Losing Candidate]:[Audit Candidate 6]])
      &lt;&gt;0,
      (Audit[[#This Row],[Winning Candidate]]-Audit[[#This Row],[Losing Candidate]]-(Audit[[#This Row],[Audit Winning Candidate]]-Audit[[#This Row],[Audit Losing Candidate]]))/(Audit[[#Totals],[Winning Candidate]]-Audit[[#Totals],[Losing Candidate]]),
      0
)</f>
        <v>0</v>
      </c>
      <c r="AD7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8" s="111">
        <f>IF(Audit[[#This Row],[Max Relative Error (ep)]] = 0, 0, Audit[[#This Row],[Max Relative Error (ep)]]/Audit[[#This Row],[Error Bound (up) - Max. possible relative overstatement]])</f>
        <v>0</v>
      </c>
      <c r="AJ7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28" s="111">
        <f t="shared" si="11"/>
        <v>1</v>
      </c>
      <c r="AL728" s="111">
        <f>PRODUCT($AK$5:AK728)</f>
        <v>8.962823818226312E-2</v>
      </c>
      <c r="AM728" s="109">
        <f>1 - [K-M P Value]</f>
        <v>0.91037176181773694</v>
      </c>
      <c r="AN728" s="111" t="str">
        <f>IF(Audit[[#This Row],[K-M P Value]]&gt;1-'General Info'!$B$16,"Continue", "Stop")</f>
        <v>Stop</v>
      </c>
      <c r="AO728" s="110" t="b">
        <f>IF(Audit[[#This Row],[Status - Continue or stop audit]] = "Continue", TRUE, IF(AN727 = "Continue", TRUE, FALSE))</f>
        <v>0</v>
      </c>
      <c r="AP728" s="110"/>
    </row>
    <row r="729" spans="1:42" ht="15" hidden="1" customHeight="1">
      <c r="A729" s="111" t="str">
        <f>'Sampling Data'!W720</f>
        <v/>
      </c>
      <c r="B729" s="112" t="str">
        <f>'Sampling Data'!A720</f>
        <v>CLEVELAND -13-F - ABS</v>
      </c>
      <c r="C729" s="112">
        <f>'Sampling Data'!B720</f>
        <v>7</v>
      </c>
      <c r="D729" s="112">
        <f>'Sampling Data'!C720</f>
        <v>3</v>
      </c>
      <c r="E729" s="113">
        <f>'Sampling Data'!D720</f>
        <v>2</v>
      </c>
      <c r="F729" s="113">
        <f>'Sampling Data'!E720</f>
        <v>2</v>
      </c>
      <c r="G729" s="113">
        <f>'Sampling Data'!F720</f>
        <v>0</v>
      </c>
      <c r="H729" s="113">
        <f>'Sampling Data'!G720</f>
        <v>0</v>
      </c>
      <c r="I729" s="112">
        <f>'Sampling Data'!H720</f>
        <v>0</v>
      </c>
      <c r="J729" s="112">
        <f>'Sampling Data'!I720</f>
        <v>0</v>
      </c>
      <c r="K729" s="112">
        <f>'Sampling Data'!J720</f>
        <v>14</v>
      </c>
      <c r="L729" s="111">
        <f>'Sampling Data'!X720</f>
        <v>0</v>
      </c>
      <c r="M729" s="114"/>
      <c r="N729" s="114"/>
      <c r="O729" s="115"/>
      <c r="P729" s="115"/>
      <c r="Q729" s="116"/>
      <c r="R729" s="116"/>
      <c r="S729" s="111">
        <f>Audit[[#This Row],[Audit Losing Candidate]]-Audit[[#This Row],[Losing Candidate]]</f>
        <v>-7</v>
      </c>
      <c r="T729" s="111">
        <f>Audit[[#This Row],[Audit Winning Candidate]]-Audit[[#This Row],[Winning Candidate]]</f>
        <v>-3</v>
      </c>
      <c r="U729" s="111">
        <f>Audit[[#This Row],[Audit Candidate 3]]-Audit[[#This Row],[Candidate 3]]</f>
        <v>-2</v>
      </c>
      <c r="V729" s="111">
        <f>Audit[[#This Row],[Audit Candidate 4]]-Audit[[#This Row],[Candidate 4]]</f>
        <v>-2</v>
      </c>
      <c r="W729" s="111">
        <f>Audit[[#This Row],[Audit Candidate 5]]-Audit[[#This Row],[Candidate 5]]</f>
        <v>0</v>
      </c>
      <c r="X729" s="111">
        <f>Audit[[#This Row],[Audit Candidate 6]]-Audit[[#This Row],[Candidate 6]]</f>
        <v>0</v>
      </c>
      <c r="Y729" s="111">
        <f>SUMIF(Audit[[#This Row],[Difference Loser]:[Difference Candidate 6]], "&gt;0")</f>
        <v>0</v>
      </c>
      <c r="Z729" s="111">
        <f>SUM(Audit[[#This Row],[Difference Loser]:[Difference Candidate 6]])</f>
        <v>-14</v>
      </c>
      <c r="AA729" s="111">
        <f>IF(Audit[[#This Row],[Times p Drawn - With Replacement]]&gt;0, IF(Audit[[#This Row],[Canceled Differences]]&lt;0, Audit[[#This Row],[Max Differences]]+ABS(Audit[[#This Row],[Canceled Differences]]), Audit[[#This Row],[Max Differences]]), 0)</f>
        <v>0</v>
      </c>
      <c r="AB729" s="111">
        <f>'Sampling Data'!P720</f>
        <v>6.1244487996080352E-4</v>
      </c>
      <c r="AC729" s="111">
        <f>IF(
      SUM(Audit[[#This Row],[Audit Losing Candidate]:[Audit Candidate 6]])
      &lt;&gt;0,
      (Audit[[#This Row],[Winning Candidate]]-Audit[[#This Row],[Losing Candidate]]-(Audit[[#This Row],[Audit Winning Candidate]]-Audit[[#This Row],[Audit Losing Candidate]]))/(Audit[[#Totals],[Winning Candidate]]-Audit[[#Totals],[Losing Candidate]]),
      0
)</f>
        <v>0</v>
      </c>
      <c r="AD7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9" s="111">
        <f>IF(Audit[[#This Row],[Max Relative Error (ep)]] = 0, 0, Audit[[#This Row],[Max Relative Error (ep)]]/Audit[[#This Row],[Error Bound (up) - Max. possible relative overstatement]])</f>
        <v>0</v>
      </c>
      <c r="AJ7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29" s="111">
        <f t="shared" si="11"/>
        <v>1</v>
      </c>
      <c r="AL729" s="111">
        <f>PRODUCT($AK$5:AK729)</f>
        <v>8.962823818226312E-2</v>
      </c>
      <c r="AM729" s="109">
        <f>1 - [K-M P Value]</f>
        <v>0.91037176181773694</v>
      </c>
      <c r="AN729" s="111" t="str">
        <f>IF(Audit[[#This Row],[K-M P Value]]&gt;1-'General Info'!$B$16,"Continue", "Stop")</f>
        <v>Stop</v>
      </c>
      <c r="AO729" s="110" t="b">
        <f>IF(Audit[[#This Row],[Status - Continue or stop audit]] = "Continue", TRUE, IF(AN728 = "Continue", TRUE, FALSE))</f>
        <v>0</v>
      </c>
      <c r="AP729" s="110"/>
    </row>
    <row r="730" spans="1:42" ht="15" hidden="1" customHeight="1">
      <c r="A730" s="111" t="str">
        <f>'Sampling Data'!W721</f>
        <v/>
      </c>
      <c r="B730" s="112" t="str">
        <f>'Sampling Data'!A721</f>
        <v>CLEVELAND -13-G</v>
      </c>
      <c r="C730" s="112">
        <f>'Sampling Data'!B721</f>
        <v>21</v>
      </c>
      <c r="D730" s="112">
        <f>'Sampling Data'!C721</f>
        <v>24</v>
      </c>
      <c r="E730" s="113">
        <f>'Sampling Data'!D721</f>
        <v>3</v>
      </c>
      <c r="F730" s="113">
        <f>'Sampling Data'!E721</f>
        <v>4</v>
      </c>
      <c r="G730" s="113">
        <f>'Sampling Data'!F721</f>
        <v>0</v>
      </c>
      <c r="H730" s="113">
        <f>'Sampling Data'!G721</f>
        <v>1</v>
      </c>
      <c r="I730" s="112">
        <f>'Sampling Data'!H721</f>
        <v>0</v>
      </c>
      <c r="J730" s="112">
        <f>'Sampling Data'!I721</f>
        <v>0</v>
      </c>
      <c r="K730" s="112">
        <f>'Sampling Data'!J721</f>
        <v>53</v>
      </c>
      <c r="L730" s="111">
        <f>'Sampling Data'!X721</f>
        <v>0</v>
      </c>
      <c r="M730" s="114"/>
      <c r="N730" s="114"/>
      <c r="O730" s="115"/>
      <c r="P730" s="115"/>
      <c r="Q730" s="116"/>
      <c r="R730" s="116"/>
      <c r="S730" s="111">
        <f>Audit[[#This Row],[Audit Losing Candidate]]-Audit[[#This Row],[Losing Candidate]]</f>
        <v>-21</v>
      </c>
      <c r="T730" s="111">
        <f>Audit[[#This Row],[Audit Winning Candidate]]-Audit[[#This Row],[Winning Candidate]]</f>
        <v>-24</v>
      </c>
      <c r="U730" s="111">
        <f>Audit[[#This Row],[Audit Candidate 3]]-Audit[[#This Row],[Candidate 3]]</f>
        <v>-3</v>
      </c>
      <c r="V730" s="111">
        <f>Audit[[#This Row],[Audit Candidate 4]]-Audit[[#This Row],[Candidate 4]]</f>
        <v>-4</v>
      </c>
      <c r="W730" s="111">
        <f>Audit[[#This Row],[Audit Candidate 5]]-Audit[[#This Row],[Candidate 5]]</f>
        <v>0</v>
      </c>
      <c r="X730" s="111">
        <f>Audit[[#This Row],[Audit Candidate 6]]-Audit[[#This Row],[Candidate 6]]</f>
        <v>-1</v>
      </c>
      <c r="Y730" s="111">
        <f>SUMIF(Audit[[#This Row],[Difference Loser]:[Difference Candidate 6]], "&gt;0")</f>
        <v>0</v>
      </c>
      <c r="Z730" s="111">
        <f>SUM(Audit[[#This Row],[Difference Loser]:[Difference Candidate 6]])</f>
        <v>-53</v>
      </c>
      <c r="AA730" s="111">
        <f>IF(Audit[[#This Row],[Times p Drawn - With Replacement]]&gt;0, IF(Audit[[#This Row],[Canceled Differences]]&lt;0, Audit[[#This Row],[Max Differences]]+ABS(Audit[[#This Row],[Canceled Differences]]), Audit[[#This Row],[Max Differences]]), 0)</f>
        <v>0</v>
      </c>
      <c r="AB730" s="111">
        <f>'Sampling Data'!P721</f>
        <v>3.4296913277804997E-3</v>
      </c>
      <c r="AC730" s="111">
        <f>IF(
      SUM(Audit[[#This Row],[Audit Losing Candidate]:[Audit Candidate 6]])
      &lt;&gt;0,
      (Audit[[#This Row],[Winning Candidate]]-Audit[[#This Row],[Losing Candidate]]-(Audit[[#This Row],[Audit Winning Candidate]]-Audit[[#This Row],[Audit Losing Candidate]]))/(Audit[[#Totals],[Winning Candidate]]-Audit[[#Totals],[Losing Candidate]]),
      0
)</f>
        <v>0</v>
      </c>
      <c r="AD7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0" s="111">
        <f>IF(Audit[[#This Row],[Max Relative Error (ep)]] = 0, 0, Audit[[#This Row],[Max Relative Error (ep)]]/Audit[[#This Row],[Error Bound (up) - Max. possible relative overstatement]])</f>
        <v>0</v>
      </c>
      <c r="AJ7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30" s="111">
        <f t="shared" si="11"/>
        <v>1</v>
      </c>
      <c r="AL730" s="111">
        <f>PRODUCT($AK$5:AK730)</f>
        <v>8.962823818226312E-2</v>
      </c>
      <c r="AM730" s="109">
        <f>1 - [K-M P Value]</f>
        <v>0.91037176181773694</v>
      </c>
      <c r="AN730" s="111" t="str">
        <f>IF(Audit[[#This Row],[K-M P Value]]&gt;1-'General Info'!$B$16,"Continue", "Stop")</f>
        <v>Stop</v>
      </c>
      <c r="AO730" s="110" t="b">
        <f>IF(Audit[[#This Row],[Status - Continue or stop audit]] = "Continue", TRUE, IF(AN729 = "Continue", TRUE, FALSE))</f>
        <v>0</v>
      </c>
      <c r="AP730" s="110"/>
    </row>
    <row r="731" spans="1:42" ht="15" hidden="1" customHeight="1">
      <c r="A731" s="111" t="str">
        <f>'Sampling Data'!W722</f>
        <v/>
      </c>
      <c r="B731" s="112" t="str">
        <f>'Sampling Data'!A722</f>
        <v>CLEVELAND -13-G - ABS</v>
      </c>
      <c r="C731" s="112">
        <f>'Sampling Data'!B722</f>
        <v>7</v>
      </c>
      <c r="D731" s="112">
        <f>'Sampling Data'!C722</f>
        <v>7</v>
      </c>
      <c r="E731" s="113">
        <f>'Sampling Data'!D722</f>
        <v>1</v>
      </c>
      <c r="F731" s="113">
        <f>'Sampling Data'!E722</f>
        <v>1</v>
      </c>
      <c r="G731" s="113">
        <f>'Sampling Data'!F722</f>
        <v>0</v>
      </c>
      <c r="H731" s="113">
        <f>'Sampling Data'!G722</f>
        <v>0</v>
      </c>
      <c r="I731" s="112">
        <f>'Sampling Data'!H722</f>
        <v>0</v>
      </c>
      <c r="J731" s="112">
        <f>'Sampling Data'!I722</f>
        <v>0</v>
      </c>
      <c r="K731" s="112">
        <f>'Sampling Data'!J722</f>
        <v>16</v>
      </c>
      <c r="L731" s="111">
        <f>'Sampling Data'!X722</f>
        <v>0</v>
      </c>
      <c r="M731" s="114"/>
      <c r="N731" s="114"/>
      <c r="O731" s="115"/>
      <c r="P731" s="115"/>
      <c r="Q731" s="116"/>
      <c r="R731" s="116"/>
      <c r="S731" s="111">
        <f>Audit[[#This Row],[Audit Losing Candidate]]-Audit[[#This Row],[Losing Candidate]]</f>
        <v>-7</v>
      </c>
      <c r="T731" s="111">
        <f>Audit[[#This Row],[Audit Winning Candidate]]-Audit[[#This Row],[Winning Candidate]]</f>
        <v>-7</v>
      </c>
      <c r="U731" s="111">
        <f>Audit[[#This Row],[Audit Candidate 3]]-Audit[[#This Row],[Candidate 3]]</f>
        <v>-1</v>
      </c>
      <c r="V731" s="111">
        <f>Audit[[#This Row],[Audit Candidate 4]]-Audit[[#This Row],[Candidate 4]]</f>
        <v>-1</v>
      </c>
      <c r="W731" s="111">
        <f>Audit[[#This Row],[Audit Candidate 5]]-Audit[[#This Row],[Candidate 5]]</f>
        <v>0</v>
      </c>
      <c r="X731" s="111">
        <f>Audit[[#This Row],[Audit Candidate 6]]-Audit[[#This Row],[Candidate 6]]</f>
        <v>0</v>
      </c>
      <c r="Y731" s="111">
        <f>SUMIF(Audit[[#This Row],[Difference Loser]:[Difference Candidate 6]], "&gt;0")</f>
        <v>0</v>
      </c>
      <c r="Z731" s="111">
        <f>SUM(Audit[[#This Row],[Difference Loser]:[Difference Candidate 6]])</f>
        <v>-16</v>
      </c>
      <c r="AA731" s="111">
        <f>IF(Audit[[#This Row],[Times p Drawn - With Replacement]]&gt;0, IF(Audit[[#This Row],[Canceled Differences]]&lt;0, Audit[[#This Row],[Max Differences]]+ABS(Audit[[#This Row],[Canceled Differences]]), Audit[[#This Row],[Max Differences]]), 0)</f>
        <v>0</v>
      </c>
      <c r="AB731" s="111">
        <f>'Sampling Data'!P722</f>
        <v>9.7991180793728563E-4</v>
      </c>
      <c r="AC731" s="111">
        <f>IF(
      SUM(Audit[[#This Row],[Audit Losing Candidate]:[Audit Candidate 6]])
      &lt;&gt;0,
      (Audit[[#This Row],[Winning Candidate]]-Audit[[#This Row],[Losing Candidate]]-(Audit[[#This Row],[Audit Winning Candidate]]-Audit[[#This Row],[Audit Losing Candidate]]))/(Audit[[#Totals],[Winning Candidate]]-Audit[[#Totals],[Losing Candidate]]),
      0
)</f>
        <v>0</v>
      </c>
      <c r="AD7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1" s="111">
        <f>IF(Audit[[#This Row],[Max Relative Error (ep)]] = 0, 0, Audit[[#This Row],[Max Relative Error (ep)]]/Audit[[#This Row],[Error Bound (up) - Max. possible relative overstatement]])</f>
        <v>0</v>
      </c>
      <c r="AJ7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31" s="111">
        <f t="shared" si="11"/>
        <v>1</v>
      </c>
      <c r="AL731" s="111">
        <f>PRODUCT($AK$5:AK731)</f>
        <v>8.962823818226312E-2</v>
      </c>
      <c r="AM731" s="109">
        <f>1 - [K-M P Value]</f>
        <v>0.91037176181773694</v>
      </c>
      <c r="AN731" s="111" t="str">
        <f>IF(Audit[[#This Row],[K-M P Value]]&gt;1-'General Info'!$B$16,"Continue", "Stop")</f>
        <v>Stop</v>
      </c>
      <c r="AO731" s="110" t="b">
        <f>IF(Audit[[#This Row],[Status - Continue or stop audit]] = "Continue", TRUE, IF(AN730 = "Continue", TRUE, FALSE))</f>
        <v>0</v>
      </c>
      <c r="AP731" s="110"/>
    </row>
    <row r="732" spans="1:42" ht="15" hidden="1" customHeight="1">
      <c r="A732" s="111" t="str">
        <f>'Sampling Data'!W723</f>
        <v/>
      </c>
      <c r="B732" s="112" t="str">
        <f>'Sampling Data'!A723</f>
        <v>CLEVELAND -13-H</v>
      </c>
      <c r="C732" s="112">
        <f>'Sampling Data'!B723</f>
        <v>18</v>
      </c>
      <c r="D732" s="112">
        <f>'Sampling Data'!C723</f>
        <v>18</v>
      </c>
      <c r="E732" s="113">
        <f>'Sampling Data'!D723</f>
        <v>9</v>
      </c>
      <c r="F732" s="113">
        <f>'Sampling Data'!E723</f>
        <v>6</v>
      </c>
      <c r="G732" s="113">
        <f>'Sampling Data'!F723</f>
        <v>0</v>
      </c>
      <c r="H732" s="113">
        <f>'Sampling Data'!G723</f>
        <v>0</v>
      </c>
      <c r="I732" s="112">
        <f>'Sampling Data'!H723</f>
        <v>1</v>
      </c>
      <c r="J732" s="112">
        <f>'Sampling Data'!I723</f>
        <v>0</v>
      </c>
      <c r="K732" s="112">
        <f>'Sampling Data'!J723</f>
        <v>52</v>
      </c>
      <c r="L732" s="111">
        <f>'Sampling Data'!X723</f>
        <v>0</v>
      </c>
      <c r="M732" s="114"/>
      <c r="N732" s="114"/>
      <c r="O732" s="115"/>
      <c r="P732" s="115"/>
      <c r="Q732" s="116"/>
      <c r="R732" s="116"/>
      <c r="S732" s="111">
        <f>Audit[[#This Row],[Audit Losing Candidate]]-Audit[[#This Row],[Losing Candidate]]</f>
        <v>-18</v>
      </c>
      <c r="T732" s="111">
        <f>Audit[[#This Row],[Audit Winning Candidate]]-Audit[[#This Row],[Winning Candidate]]</f>
        <v>-18</v>
      </c>
      <c r="U732" s="111">
        <f>Audit[[#This Row],[Audit Candidate 3]]-Audit[[#This Row],[Candidate 3]]</f>
        <v>-9</v>
      </c>
      <c r="V732" s="111">
        <f>Audit[[#This Row],[Audit Candidate 4]]-Audit[[#This Row],[Candidate 4]]</f>
        <v>-6</v>
      </c>
      <c r="W732" s="111">
        <f>Audit[[#This Row],[Audit Candidate 5]]-Audit[[#This Row],[Candidate 5]]</f>
        <v>0</v>
      </c>
      <c r="X732" s="111">
        <f>Audit[[#This Row],[Audit Candidate 6]]-Audit[[#This Row],[Candidate 6]]</f>
        <v>0</v>
      </c>
      <c r="Y732" s="111">
        <f>SUMIF(Audit[[#This Row],[Difference Loser]:[Difference Candidate 6]], "&gt;0")</f>
        <v>0</v>
      </c>
      <c r="Z732" s="111">
        <f>SUM(Audit[[#This Row],[Difference Loser]:[Difference Candidate 6]])</f>
        <v>-51</v>
      </c>
      <c r="AA732" s="111">
        <f>IF(Audit[[#This Row],[Times p Drawn - With Replacement]]&gt;0, IF(Audit[[#This Row],[Canceled Differences]]&lt;0, Audit[[#This Row],[Max Differences]]+ABS(Audit[[#This Row],[Canceled Differences]]), Audit[[#This Row],[Max Differences]]), 0)</f>
        <v>0</v>
      </c>
      <c r="AB732" s="111">
        <f>'Sampling Data'!P723</f>
        <v>3.1847133757961785E-3</v>
      </c>
      <c r="AC732" s="111">
        <f>IF(
      SUM(Audit[[#This Row],[Audit Losing Candidate]:[Audit Candidate 6]])
      &lt;&gt;0,
      (Audit[[#This Row],[Winning Candidate]]-Audit[[#This Row],[Losing Candidate]]-(Audit[[#This Row],[Audit Winning Candidate]]-Audit[[#This Row],[Audit Losing Candidate]]))/(Audit[[#Totals],[Winning Candidate]]-Audit[[#Totals],[Losing Candidate]]),
      0
)</f>
        <v>0</v>
      </c>
      <c r="AD7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2" s="111">
        <f>IF(Audit[[#This Row],[Max Relative Error (ep)]] = 0, 0, Audit[[#This Row],[Max Relative Error (ep)]]/Audit[[#This Row],[Error Bound (up) - Max. possible relative overstatement]])</f>
        <v>0</v>
      </c>
      <c r="AJ7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32" s="111">
        <f t="shared" si="11"/>
        <v>1</v>
      </c>
      <c r="AL732" s="111">
        <f>PRODUCT($AK$5:AK732)</f>
        <v>8.962823818226312E-2</v>
      </c>
      <c r="AM732" s="109">
        <f>1 - [K-M P Value]</f>
        <v>0.91037176181773694</v>
      </c>
      <c r="AN732" s="111" t="str">
        <f>IF(Audit[[#This Row],[K-M P Value]]&gt;1-'General Info'!$B$16,"Continue", "Stop")</f>
        <v>Stop</v>
      </c>
      <c r="AO732" s="110" t="b">
        <f>IF(Audit[[#This Row],[Status - Continue or stop audit]] = "Continue", TRUE, IF(AN731 = "Continue", TRUE, FALSE))</f>
        <v>0</v>
      </c>
      <c r="AP732" s="110"/>
    </row>
    <row r="733" spans="1:42" ht="15" hidden="1" customHeight="1">
      <c r="A733" s="111" t="str">
        <f>'Sampling Data'!W724</f>
        <v/>
      </c>
      <c r="B733" s="112" t="str">
        <f>'Sampling Data'!A724</f>
        <v>CLEVELAND -13-H - ABS</v>
      </c>
      <c r="C733" s="112">
        <f>'Sampling Data'!B724</f>
        <v>5</v>
      </c>
      <c r="D733" s="112">
        <f>'Sampling Data'!C724</f>
        <v>4</v>
      </c>
      <c r="E733" s="113">
        <f>'Sampling Data'!D724</f>
        <v>4</v>
      </c>
      <c r="F733" s="113">
        <f>'Sampling Data'!E724</f>
        <v>6</v>
      </c>
      <c r="G733" s="113">
        <f>'Sampling Data'!F724</f>
        <v>0</v>
      </c>
      <c r="H733" s="113">
        <f>'Sampling Data'!G724</f>
        <v>0</v>
      </c>
      <c r="I733" s="112">
        <f>'Sampling Data'!H724</f>
        <v>0</v>
      </c>
      <c r="J733" s="112">
        <f>'Sampling Data'!I724</f>
        <v>1</v>
      </c>
      <c r="K733" s="112">
        <f>'Sampling Data'!J724</f>
        <v>20</v>
      </c>
      <c r="L733" s="111">
        <f>'Sampling Data'!X724</f>
        <v>0</v>
      </c>
      <c r="M733" s="114"/>
      <c r="N733" s="114"/>
      <c r="O733" s="115"/>
      <c r="P733" s="115"/>
      <c r="Q733" s="116"/>
      <c r="R733" s="116"/>
      <c r="S733" s="111">
        <f>Audit[[#This Row],[Audit Losing Candidate]]-Audit[[#This Row],[Losing Candidate]]</f>
        <v>-5</v>
      </c>
      <c r="T733" s="111">
        <f>Audit[[#This Row],[Audit Winning Candidate]]-Audit[[#This Row],[Winning Candidate]]</f>
        <v>-4</v>
      </c>
      <c r="U733" s="111">
        <f>Audit[[#This Row],[Audit Candidate 3]]-Audit[[#This Row],[Candidate 3]]</f>
        <v>-4</v>
      </c>
      <c r="V733" s="111">
        <f>Audit[[#This Row],[Audit Candidate 4]]-Audit[[#This Row],[Candidate 4]]</f>
        <v>-6</v>
      </c>
      <c r="W733" s="111">
        <f>Audit[[#This Row],[Audit Candidate 5]]-Audit[[#This Row],[Candidate 5]]</f>
        <v>0</v>
      </c>
      <c r="X733" s="111">
        <f>Audit[[#This Row],[Audit Candidate 6]]-Audit[[#This Row],[Candidate 6]]</f>
        <v>0</v>
      </c>
      <c r="Y733" s="111">
        <f>SUMIF(Audit[[#This Row],[Difference Loser]:[Difference Candidate 6]], "&gt;0")</f>
        <v>0</v>
      </c>
      <c r="Z733" s="111">
        <f>SUM(Audit[[#This Row],[Difference Loser]:[Difference Candidate 6]])</f>
        <v>-19</v>
      </c>
      <c r="AA733" s="111">
        <f>IF(Audit[[#This Row],[Times p Drawn - With Replacement]]&gt;0, IF(Audit[[#This Row],[Canceled Differences]]&lt;0, Audit[[#This Row],[Max Differences]]+ABS(Audit[[#This Row],[Canceled Differences]]), Audit[[#This Row],[Max Differences]]), 0)</f>
        <v>0</v>
      </c>
      <c r="AB733" s="111">
        <f>'Sampling Data'!P724</f>
        <v>1.1636452719255266E-3</v>
      </c>
      <c r="AC733" s="111">
        <f>IF(
      SUM(Audit[[#This Row],[Audit Losing Candidate]:[Audit Candidate 6]])
      &lt;&gt;0,
      (Audit[[#This Row],[Winning Candidate]]-Audit[[#This Row],[Losing Candidate]]-(Audit[[#This Row],[Audit Winning Candidate]]-Audit[[#This Row],[Audit Losing Candidate]]))/(Audit[[#Totals],[Winning Candidate]]-Audit[[#Totals],[Losing Candidate]]),
      0
)</f>
        <v>0</v>
      </c>
      <c r="AD7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3" s="111">
        <f>IF(Audit[[#This Row],[Max Relative Error (ep)]] = 0, 0, Audit[[#This Row],[Max Relative Error (ep)]]/Audit[[#This Row],[Error Bound (up) - Max. possible relative overstatement]])</f>
        <v>0</v>
      </c>
      <c r="AJ7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33" s="111">
        <f t="shared" si="11"/>
        <v>1</v>
      </c>
      <c r="AL733" s="111">
        <f>PRODUCT($AK$5:AK733)</f>
        <v>8.962823818226312E-2</v>
      </c>
      <c r="AM733" s="109">
        <f>1 - [K-M P Value]</f>
        <v>0.91037176181773694</v>
      </c>
      <c r="AN733" s="111" t="str">
        <f>IF(Audit[[#This Row],[K-M P Value]]&gt;1-'General Info'!$B$16,"Continue", "Stop")</f>
        <v>Stop</v>
      </c>
      <c r="AO733" s="110" t="b">
        <f>IF(Audit[[#This Row],[Status - Continue or stop audit]] = "Continue", TRUE, IF(AN732 = "Continue", TRUE, FALSE))</f>
        <v>0</v>
      </c>
      <c r="AP733" s="110"/>
    </row>
    <row r="734" spans="1:42" ht="15" hidden="1" customHeight="1">
      <c r="A734" s="111" t="str">
        <f>'Sampling Data'!W725</f>
        <v/>
      </c>
      <c r="B734" s="112" t="str">
        <f>'Sampling Data'!A725</f>
        <v>CLEVELAND -13-I</v>
      </c>
      <c r="C734" s="112">
        <f>'Sampling Data'!B725</f>
        <v>16</v>
      </c>
      <c r="D734" s="112">
        <f>'Sampling Data'!C725</f>
        <v>17</v>
      </c>
      <c r="E734" s="113">
        <f>'Sampling Data'!D725</f>
        <v>10</v>
      </c>
      <c r="F734" s="113">
        <f>'Sampling Data'!E725</f>
        <v>13</v>
      </c>
      <c r="G734" s="113">
        <f>'Sampling Data'!F725</f>
        <v>0</v>
      </c>
      <c r="H734" s="113">
        <f>'Sampling Data'!G725</f>
        <v>0</v>
      </c>
      <c r="I734" s="112">
        <f>'Sampling Data'!H725</f>
        <v>0</v>
      </c>
      <c r="J734" s="112">
        <f>'Sampling Data'!I725</f>
        <v>0</v>
      </c>
      <c r="K734" s="112">
        <f>'Sampling Data'!J725</f>
        <v>56</v>
      </c>
      <c r="L734" s="111">
        <f>'Sampling Data'!X725</f>
        <v>0</v>
      </c>
      <c r="M734" s="114"/>
      <c r="N734" s="114"/>
      <c r="O734" s="115"/>
      <c r="P734" s="115"/>
      <c r="Q734" s="116"/>
      <c r="R734" s="116"/>
      <c r="S734" s="111">
        <f>Audit[[#This Row],[Audit Losing Candidate]]-Audit[[#This Row],[Losing Candidate]]</f>
        <v>-16</v>
      </c>
      <c r="T734" s="111">
        <f>Audit[[#This Row],[Audit Winning Candidate]]-Audit[[#This Row],[Winning Candidate]]</f>
        <v>-17</v>
      </c>
      <c r="U734" s="111">
        <f>Audit[[#This Row],[Audit Candidate 3]]-Audit[[#This Row],[Candidate 3]]</f>
        <v>-10</v>
      </c>
      <c r="V734" s="111">
        <f>Audit[[#This Row],[Audit Candidate 4]]-Audit[[#This Row],[Candidate 4]]</f>
        <v>-13</v>
      </c>
      <c r="W734" s="111">
        <f>Audit[[#This Row],[Audit Candidate 5]]-Audit[[#This Row],[Candidate 5]]</f>
        <v>0</v>
      </c>
      <c r="X734" s="111">
        <f>Audit[[#This Row],[Audit Candidate 6]]-Audit[[#This Row],[Candidate 6]]</f>
        <v>0</v>
      </c>
      <c r="Y734" s="111">
        <f>SUMIF(Audit[[#This Row],[Difference Loser]:[Difference Candidate 6]], "&gt;0")</f>
        <v>0</v>
      </c>
      <c r="Z734" s="111">
        <f>SUM(Audit[[#This Row],[Difference Loser]:[Difference Candidate 6]])</f>
        <v>-56</v>
      </c>
      <c r="AA734" s="111">
        <f>IF(Audit[[#This Row],[Times p Drawn - With Replacement]]&gt;0, IF(Audit[[#This Row],[Canceled Differences]]&lt;0, Audit[[#This Row],[Max Differences]]+ABS(Audit[[#This Row],[Canceled Differences]]), Audit[[#This Row],[Max Differences]]), 0)</f>
        <v>0</v>
      </c>
      <c r="AB734" s="111">
        <f>'Sampling Data'!P725</f>
        <v>3.4909358157765801E-3</v>
      </c>
      <c r="AC734" s="111">
        <f>IF(
      SUM(Audit[[#This Row],[Audit Losing Candidate]:[Audit Candidate 6]])
      &lt;&gt;0,
      (Audit[[#This Row],[Winning Candidate]]-Audit[[#This Row],[Losing Candidate]]-(Audit[[#This Row],[Audit Winning Candidate]]-Audit[[#This Row],[Audit Losing Candidate]]))/(Audit[[#Totals],[Winning Candidate]]-Audit[[#Totals],[Losing Candidate]]),
      0
)</f>
        <v>0</v>
      </c>
      <c r="AD7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4" s="111">
        <f>IF(Audit[[#This Row],[Max Relative Error (ep)]] = 0, 0, Audit[[#This Row],[Max Relative Error (ep)]]/Audit[[#This Row],[Error Bound (up) - Max. possible relative overstatement]])</f>
        <v>0</v>
      </c>
      <c r="AJ7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34" s="111">
        <f t="shared" si="11"/>
        <v>1</v>
      </c>
      <c r="AL734" s="111">
        <f>PRODUCT($AK$5:AK734)</f>
        <v>8.962823818226312E-2</v>
      </c>
      <c r="AM734" s="109">
        <f>1 - [K-M P Value]</f>
        <v>0.91037176181773694</v>
      </c>
      <c r="AN734" s="111" t="str">
        <f>IF(Audit[[#This Row],[K-M P Value]]&gt;1-'General Info'!$B$16,"Continue", "Stop")</f>
        <v>Stop</v>
      </c>
      <c r="AO734" s="110" t="b">
        <f>IF(Audit[[#This Row],[Status - Continue or stop audit]] = "Continue", TRUE, IF(AN733 = "Continue", TRUE, FALSE))</f>
        <v>0</v>
      </c>
      <c r="AP734" s="110"/>
    </row>
    <row r="735" spans="1:42" ht="15" hidden="1" customHeight="1">
      <c r="A735" s="111" t="str">
        <f>'Sampling Data'!W726</f>
        <v/>
      </c>
      <c r="B735" s="112" t="str">
        <f>'Sampling Data'!A726</f>
        <v>CLEVELAND -13-I - ABS</v>
      </c>
      <c r="C735" s="112">
        <f>'Sampling Data'!B726</f>
        <v>7</v>
      </c>
      <c r="D735" s="112">
        <f>'Sampling Data'!C726</f>
        <v>10</v>
      </c>
      <c r="E735" s="113">
        <f>'Sampling Data'!D726</f>
        <v>3</v>
      </c>
      <c r="F735" s="113">
        <f>'Sampling Data'!E726</f>
        <v>0</v>
      </c>
      <c r="G735" s="113">
        <f>'Sampling Data'!F726</f>
        <v>0</v>
      </c>
      <c r="H735" s="113">
        <f>'Sampling Data'!G726</f>
        <v>0</v>
      </c>
      <c r="I735" s="112">
        <f>'Sampling Data'!H726</f>
        <v>0</v>
      </c>
      <c r="J735" s="112">
        <f>'Sampling Data'!I726</f>
        <v>1</v>
      </c>
      <c r="K735" s="112">
        <f>'Sampling Data'!J726</f>
        <v>21</v>
      </c>
      <c r="L735" s="111">
        <f>'Sampling Data'!X726</f>
        <v>0</v>
      </c>
      <c r="M735" s="114"/>
      <c r="N735" s="114"/>
      <c r="O735" s="115"/>
      <c r="P735" s="115"/>
      <c r="Q735" s="116"/>
      <c r="R735" s="116"/>
      <c r="S735" s="111">
        <f>Audit[[#This Row],[Audit Losing Candidate]]-Audit[[#This Row],[Losing Candidate]]</f>
        <v>-7</v>
      </c>
      <c r="T735" s="111">
        <f>Audit[[#This Row],[Audit Winning Candidate]]-Audit[[#This Row],[Winning Candidate]]</f>
        <v>-10</v>
      </c>
      <c r="U735" s="111">
        <f>Audit[[#This Row],[Audit Candidate 3]]-Audit[[#This Row],[Candidate 3]]</f>
        <v>-3</v>
      </c>
      <c r="V735" s="111">
        <f>Audit[[#This Row],[Audit Candidate 4]]-Audit[[#This Row],[Candidate 4]]</f>
        <v>0</v>
      </c>
      <c r="W735" s="111">
        <f>Audit[[#This Row],[Audit Candidate 5]]-Audit[[#This Row],[Candidate 5]]</f>
        <v>0</v>
      </c>
      <c r="X735" s="111">
        <f>Audit[[#This Row],[Audit Candidate 6]]-Audit[[#This Row],[Candidate 6]]</f>
        <v>0</v>
      </c>
      <c r="Y735" s="111">
        <f>SUMIF(Audit[[#This Row],[Difference Loser]:[Difference Candidate 6]], "&gt;0")</f>
        <v>0</v>
      </c>
      <c r="Z735" s="111">
        <f>SUM(Audit[[#This Row],[Difference Loser]:[Difference Candidate 6]])</f>
        <v>-20</v>
      </c>
      <c r="AA735" s="111">
        <f>IF(Audit[[#This Row],[Times p Drawn - With Replacement]]&gt;0, IF(Audit[[#This Row],[Canceled Differences]]&lt;0, Audit[[#This Row],[Max Differences]]+ABS(Audit[[#This Row],[Canceled Differences]]), Audit[[#This Row],[Max Differences]]), 0)</f>
        <v>0</v>
      </c>
      <c r="AB735" s="111">
        <f>'Sampling Data'!P726</f>
        <v>1.4698677119059284E-3</v>
      </c>
      <c r="AC735" s="111">
        <f>IF(
      SUM(Audit[[#This Row],[Audit Losing Candidate]:[Audit Candidate 6]])
      &lt;&gt;0,
      (Audit[[#This Row],[Winning Candidate]]-Audit[[#This Row],[Losing Candidate]]-(Audit[[#This Row],[Audit Winning Candidate]]-Audit[[#This Row],[Audit Losing Candidate]]))/(Audit[[#Totals],[Winning Candidate]]-Audit[[#Totals],[Losing Candidate]]),
      0
)</f>
        <v>0</v>
      </c>
      <c r="AD7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5" s="111">
        <f>IF(Audit[[#This Row],[Max Relative Error (ep)]] = 0, 0, Audit[[#This Row],[Max Relative Error (ep)]]/Audit[[#This Row],[Error Bound (up) - Max. possible relative overstatement]])</f>
        <v>0</v>
      </c>
      <c r="AJ7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35" s="111">
        <f t="shared" si="11"/>
        <v>1</v>
      </c>
      <c r="AL735" s="111">
        <f>PRODUCT($AK$5:AK735)</f>
        <v>8.962823818226312E-2</v>
      </c>
      <c r="AM735" s="109">
        <f>1 - [K-M P Value]</f>
        <v>0.91037176181773694</v>
      </c>
      <c r="AN735" s="111" t="str">
        <f>IF(Audit[[#This Row],[K-M P Value]]&gt;1-'General Info'!$B$16,"Continue", "Stop")</f>
        <v>Stop</v>
      </c>
      <c r="AO735" s="110" t="b">
        <f>IF(Audit[[#This Row],[Status - Continue or stop audit]] = "Continue", TRUE, IF(AN734 = "Continue", TRUE, FALSE))</f>
        <v>0</v>
      </c>
      <c r="AP735" s="110"/>
    </row>
    <row r="736" spans="1:42" ht="15" hidden="1" customHeight="1">
      <c r="A736" s="111" t="str">
        <f>'Sampling Data'!W727</f>
        <v/>
      </c>
      <c r="B736" s="112" t="str">
        <f>'Sampling Data'!A727</f>
        <v>CLEVELAND -13-J</v>
      </c>
      <c r="C736" s="112">
        <f>'Sampling Data'!B727</f>
        <v>24</v>
      </c>
      <c r="D736" s="112">
        <f>'Sampling Data'!C727</f>
        <v>20</v>
      </c>
      <c r="E736" s="113">
        <f>'Sampling Data'!D727</f>
        <v>4</v>
      </c>
      <c r="F736" s="113">
        <f>'Sampling Data'!E727</f>
        <v>11</v>
      </c>
      <c r="G736" s="113">
        <f>'Sampling Data'!F727</f>
        <v>0</v>
      </c>
      <c r="H736" s="113">
        <f>'Sampling Data'!G727</f>
        <v>0</v>
      </c>
      <c r="I736" s="112">
        <f>'Sampling Data'!H727</f>
        <v>0</v>
      </c>
      <c r="J736" s="112">
        <f>'Sampling Data'!I727</f>
        <v>2</v>
      </c>
      <c r="K736" s="112">
        <f>'Sampling Data'!J727</f>
        <v>61</v>
      </c>
      <c r="L736" s="111">
        <f>'Sampling Data'!X727</f>
        <v>0</v>
      </c>
      <c r="M736" s="114"/>
      <c r="N736" s="114"/>
      <c r="O736" s="115"/>
      <c r="P736" s="115"/>
      <c r="Q736" s="116"/>
      <c r="R736" s="116"/>
      <c r="S736" s="111">
        <f>Audit[[#This Row],[Audit Losing Candidate]]-Audit[[#This Row],[Losing Candidate]]</f>
        <v>-24</v>
      </c>
      <c r="T736" s="111">
        <f>Audit[[#This Row],[Audit Winning Candidate]]-Audit[[#This Row],[Winning Candidate]]</f>
        <v>-20</v>
      </c>
      <c r="U736" s="111">
        <f>Audit[[#This Row],[Audit Candidate 3]]-Audit[[#This Row],[Candidate 3]]</f>
        <v>-4</v>
      </c>
      <c r="V736" s="111">
        <f>Audit[[#This Row],[Audit Candidate 4]]-Audit[[#This Row],[Candidate 4]]</f>
        <v>-11</v>
      </c>
      <c r="W736" s="111">
        <f>Audit[[#This Row],[Audit Candidate 5]]-Audit[[#This Row],[Candidate 5]]</f>
        <v>0</v>
      </c>
      <c r="X736" s="111">
        <f>Audit[[#This Row],[Audit Candidate 6]]-Audit[[#This Row],[Candidate 6]]</f>
        <v>0</v>
      </c>
      <c r="Y736" s="111">
        <f>SUMIF(Audit[[#This Row],[Difference Loser]:[Difference Candidate 6]], "&gt;0")</f>
        <v>0</v>
      </c>
      <c r="Z736" s="111">
        <f>SUM(Audit[[#This Row],[Difference Loser]:[Difference Candidate 6]])</f>
        <v>-59</v>
      </c>
      <c r="AA736" s="111">
        <f>IF(Audit[[#This Row],[Times p Drawn - With Replacement]]&gt;0, IF(Audit[[#This Row],[Canceled Differences]]&lt;0, Audit[[#This Row],[Max Differences]]+ABS(Audit[[#This Row],[Canceled Differences]]), Audit[[#This Row],[Max Differences]]), 0)</f>
        <v>0</v>
      </c>
      <c r="AB736" s="111">
        <f>'Sampling Data'!P727</f>
        <v>3.4909358157765801E-3</v>
      </c>
      <c r="AC736" s="111">
        <f>IF(
      SUM(Audit[[#This Row],[Audit Losing Candidate]:[Audit Candidate 6]])
      &lt;&gt;0,
      (Audit[[#This Row],[Winning Candidate]]-Audit[[#This Row],[Losing Candidate]]-(Audit[[#This Row],[Audit Winning Candidate]]-Audit[[#This Row],[Audit Losing Candidate]]))/(Audit[[#Totals],[Winning Candidate]]-Audit[[#Totals],[Losing Candidate]]),
      0
)</f>
        <v>0</v>
      </c>
      <c r="AD7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6" s="111">
        <f>IF(Audit[[#This Row],[Max Relative Error (ep)]] = 0, 0, Audit[[#This Row],[Max Relative Error (ep)]]/Audit[[#This Row],[Error Bound (up) - Max. possible relative overstatement]])</f>
        <v>0</v>
      </c>
      <c r="AJ7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36" s="111">
        <f t="shared" si="11"/>
        <v>1</v>
      </c>
      <c r="AL736" s="111">
        <f>PRODUCT($AK$5:AK736)</f>
        <v>8.962823818226312E-2</v>
      </c>
      <c r="AM736" s="109">
        <f>1 - [K-M P Value]</f>
        <v>0.91037176181773694</v>
      </c>
      <c r="AN736" s="111" t="str">
        <f>IF(Audit[[#This Row],[K-M P Value]]&gt;1-'General Info'!$B$16,"Continue", "Stop")</f>
        <v>Stop</v>
      </c>
      <c r="AO736" s="110" t="b">
        <f>IF(Audit[[#This Row],[Status - Continue or stop audit]] = "Continue", TRUE, IF(AN735 = "Continue", TRUE, FALSE))</f>
        <v>0</v>
      </c>
      <c r="AP736" s="110"/>
    </row>
    <row r="737" spans="1:42" ht="15" hidden="1" customHeight="1">
      <c r="A737" s="111" t="str">
        <f>'Sampling Data'!W728</f>
        <v/>
      </c>
      <c r="B737" s="112" t="str">
        <f>'Sampling Data'!A728</f>
        <v>CLEVELAND -13-J - ABS</v>
      </c>
      <c r="C737" s="112">
        <f>'Sampling Data'!B728</f>
        <v>5</v>
      </c>
      <c r="D737" s="112">
        <f>'Sampling Data'!C728</f>
        <v>1</v>
      </c>
      <c r="E737" s="113">
        <f>'Sampling Data'!D728</f>
        <v>3</v>
      </c>
      <c r="F737" s="113">
        <f>'Sampling Data'!E728</f>
        <v>0</v>
      </c>
      <c r="G737" s="113">
        <f>'Sampling Data'!F728</f>
        <v>0</v>
      </c>
      <c r="H737" s="113">
        <f>'Sampling Data'!G728</f>
        <v>1</v>
      </c>
      <c r="I737" s="112">
        <f>'Sampling Data'!H728</f>
        <v>0</v>
      </c>
      <c r="J737" s="112">
        <f>'Sampling Data'!I728</f>
        <v>0</v>
      </c>
      <c r="K737" s="112">
        <f>'Sampling Data'!J728</f>
        <v>10</v>
      </c>
      <c r="L737" s="111">
        <f>'Sampling Data'!X728</f>
        <v>0</v>
      </c>
      <c r="M737" s="114"/>
      <c r="N737" s="114"/>
      <c r="O737" s="115"/>
      <c r="P737" s="115"/>
      <c r="Q737" s="116"/>
      <c r="R737" s="116"/>
      <c r="S737" s="111">
        <f>Audit[[#This Row],[Audit Losing Candidate]]-Audit[[#This Row],[Losing Candidate]]</f>
        <v>-5</v>
      </c>
      <c r="T737" s="111">
        <f>Audit[[#This Row],[Audit Winning Candidate]]-Audit[[#This Row],[Winning Candidate]]</f>
        <v>-1</v>
      </c>
      <c r="U737" s="111">
        <f>Audit[[#This Row],[Audit Candidate 3]]-Audit[[#This Row],[Candidate 3]]</f>
        <v>-3</v>
      </c>
      <c r="V737" s="111">
        <f>Audit[[#This Row],[Audit Candidate 4]]-Audit[[#This Row],[Candidate 4]]</f>
        <v>0</v>
      </c>
      <c r="W737" s="111">
        <f>Audit[[#This Row],[Audit Candidate 5]]-Audit[[#This Row],[Candidate 5]]</f>
        <v>0</v>
      </c>
      <c r="X737" s="111">
        <f>Audit[[#This Row],[Audit Candidate 6]]-Audit[[#This Row],[Candidate 6]]</f>
        <v>-1</v>
      </c>
      <c r="Y737" s="111">
        <f>SUMIF(Audit[[#This Row],[Difference Loser]:[Difference Candidate 6]], "&gt;0")</f>
        <v>0</v>
      </c>
      <c r="Z737" s="111">
        <f>SUM(Audit[[#This Row],[Difference Loser]:[Difference Candidate 6]])</f>
        <v>-10</v>
      </c>
      <c r="AA737" s="111">
        <f>IF(Audit[[#This Row],[Times p Drawn - With Replacement]]&gt;0, IF(Audit[[#This Row],[Canceled Differences]]&lt;0, Audit[[#This Row],[Max Differences]]+ABS(Audit[[#This Row],[Canceled Differences]]), Audit[[#This Row],[Max Differences]]), 0)</f>
        <v>0</v>
      </c>
      <c r="AB737" s="111">
        <f>'Sampling Data'!P728</f>
        <v>3.6746692797648211E-4</v>
      </c>
      <c r="AC737" s="111">
        <f>IF(
      SUM(Audit[[#This Row],[Audit Losing Candidate]:[Audit Candidate 6]])
      &lt;&gt;0,
      (Audit[[#This Row],[Winning Candidate]]-Audit[[#This Row],[Losing Candidate]]-(Audit[[#This Row],[Audit Winning Candidate]]-Audit[[#This Row],[Audit Losing Candidate]]))/(Audit[[#Totals],[Winning Candidate]]-Audit[[#Totals],[Losing Candidate]]),
      0
)</f>
        <v>0</v>
      </c>
      <c r="AD7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7" s="111">
        <f>IF(Audit[[#This Row],[Max Relative Error (ep)]] = 0, 0, Audit[[#This Row],[Max Relative Error (ep)]]/Audit[[#This Row],[Error Bound (up) - Max. possible relative overstatement]])</f>
        <v>0</v>
      </c>
      <c r="AJ7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37" s="111">
        <f t="shared" si="11"/>
        <v>1</v>
      </c>
      <c r="AL737" s="111">
        <f>PRODUCT($AK$5:AK737)</f>
        <v>8.962823818226312E-2</v>
      </c>
      <c r="AM737" s="109">
        <f>1 - [K-M P Value]</f>
        <v>0.91037176181773694</v>
      </c>
      <c r="AN737" s="111" t="str">
        <f>IF(Audit[[#This Row],[K-M P Value]]&gt;1-'General Info'!$B$16,"Continue", "Stop")</f>
        <v>Stop</v>
      </c>
      <c r="AO737" s="110" t="b">
        <f>IF(Audit[[#This Row],[Status - Continue or stop audit]] = "Continue", TRUE, IF(AN736 = "Continue", TRUE, FALSE))</f>
        <v>0</v>
      </c>
      <c r="AP737" s="110"/>
    </row>
    <row r="738" spans="1:42" ht="15" hidden="1" customHeight="1">
      <c r="A738" s="111" t="str">
        <f>'Sampling Data'!W729</f>
        <v/>
      </c>
      <c r="B738" s="112" t="str">
        <f>'Sampling Data'!A729</f>
        <v>CLEVELAND -13-K</v>
      </c>
      <c r="C738" s="112">
        <f>'Sampling Data'!B729</f>
        <v>18</v>
      </c>
      <c r="D738" s="112">
        <f>'Sampling Data'!C729</f>
        <v>8</v>
      </c>
      <c r="E738" s="113">
        <f>'Sampling Data'!D729</f>
        <v>4</v>
      </c>
      <c r="F738" s="113">
        <f>'Sampling Data'!E729</f>
        <v>8</v>
      </c>
      <c r="G738" s="113">
        <f>'Sampling Data'!F729</f>
        <v>0</v>
      </c>
      <c r="H738" s="113">
        <f>'Sampling Data'!G729</f>
        <v>1</v>
      </c>
      <c r="I738" s="112">
        <f>'Sampling Data'!H729</f>
        <v>1</v>
      </c>
      <c r="J738" s="112">
        <f>'Sampling Data'!I729</f>
        <v>0</v>
      </c>
      <c r="K738" s="112">
        <f>'Sampling Data'!J729</f>
        <v>40</v>
      </c>
      <c r="L738" s="111">
        <f>'Sampling Data'!X729</f>
        <v>0</v>
      </c>
      <c r="M738" s="114"/>
      <c r="N738" s="114"/>
      <c r="O738" s="115"/>
      <c r="P738" s="115"/>
      <c r="Q738" s="116"/>
      <c r="R738" s="116"/>
      <c r="S738" s="111">
        <f>Audit[[#This Row],[Audit Losing Candidate]]-Audit[[#This Row],[Losing Candidate]]</f>
        <v>-18</v>
      </c>
      <c r="T738" s="111">
        <f>Audit[[#This Row],[Audit Winning Candidate]]-Audit[[#This Row],[Winning Candidate]]</f>
        <v>-8</v>
      </c>
      <c r="U738" s="111">
        <f>Audit[[#This Row],[Audit Candidate 3]]-Audit[[#This Row],[Candidate 3]]</f>
        <v>-4</v>
      </c>
      <c r="V738" s="111">
        <f>Audit[[#This Row],[Audit Candidate 4]]-Audit[[#This Row],[Candidate 4]]</f>
        <v>-8</v>
      </c>
      <c r="W738" s="111">
        <f>Audit[[#This Row],[Audit Candidate 5]]-Audit[[#This Row],[Candidate 5]]</f>
        <v>0</v>
      </c>
      <c r="X738" s="111">
        <f>Audit[[#This Row],[Audit Candidate 6]]-Audit[[#This Row],[Candidate 6]]</f>
        <v>-1</v>
      </c>
      <c r="Y738" s="111">
        <f>SUMIF(Audit[[#This Row],[Difference Loser]:[Difference Candidate 6]], "&gt;0")</f>
        <v>0</v>
      </c>
      <c r="Z738" s="111">
        <f>SUM(Audit[[#This Row],[Difference Loser]:[Difference Candidate 6]])</f>
        <v>-39</v>
      </c>
      <c r="AA738" s="111">
        <f>IF(Audit[[#This Row],[Times p Drawn - With Replacement]]&gt;0, IF(Audit[[#This Row],[Canceled Differences]]&lt;0, Audit[[#This Row],[Max Differences]]+ABS(Audit[[#This Row],[Canceled Differences]]), Audit[[#This Row],[Max Differences]]), 0)</f>
        <v>0</v>
      </c>
      <c r="AB738" s="111">
        <f>'Sampling Data'!P729</f>
        <v>1.8373346398824107E-3</v>
      </c>
      <c r="AC738" s="111">
        <f>IF(
      SUM(Audit[[#This Row],[Audit Losing Candidate]:[Audit Candidate 6]])
      &lt;&gt;0,
      (Audit[[#This Row],[Winning Candidate]]-Audit[[#This Row],[Losing Candidate]]-(Audit[[#This Row],[Audit Winning Candidate]]-Audit[[#This Row],[Audit Losing Candidate]]))/(Audit[[#Totals],[Winning Candidate]]-Audit[[#Totals],[Losing Candidate]]),
      0
)</f>
        <v>0</v>
      </c>
      <c r="AD7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8" s="111">
        <f>IF(Audit[[#This Row],[Max Relative Error (ep)]] = 0, 0, Audit[[#This Row],[Max Relative Error (ep)]]/Audit[[#This Row],[Error Bound (up) - Max. possible relative overstatement]])</f>
        <v>0</v>
      </c>
      <c r="AJ7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38" s="111">
        <f t="shared" si="11"/>
        <v>1</v>
      </c>
      <c r="AL738" s="111">
        <f>PRODUCT($AK$5:AK738)</f>
        <v>8.962823818226312E-2</v>
      </c>
      <c r="AM738" s="109">
        <f>1 - [K-M P Value]</f>
        <v>0.91037176181773694</v>
      </c>
      <c r="AN738" s="111" t="str">
        <f>IF(Audit[[#This Row],[K-M P Value]]&gt;1-'General Info'!$B$16,"Continue", "Stop")</f>
        <v>Stop</v>
      </c>
      <c r="AO738" s="110" t="b">
        <f>IF(Audit[[#This Row],[Status - Continue or stop audit]] = "Continue", TRUE, IF(AN737 = "Continue", TRUE, FALSE))</f>
        <v>0</v>
      </c>
      <c r="AP738" s="110"/>
    </row>
    <row r="739" spans="1:42" ht="15" hidden="1" customHeight="1">
      <c r="A739" s="111" t="str">
        <f>'Sampling Data'!W730</f>
        <v/>
      </c>
      <c r="B739" s="112" t="str">
        <f>'Sampling Data'!A730</f>
        <v>CLEVELAND -13-K - ABS</v>
      </c>
      <c r="C739" s="112">
        <f>'Sampling Data'!B730</f>
        <v>7</v>
      </c>
      <c r="D739" s="112">
        <f>'Sampling Data'!C730</f>
        <v>12</v>
      </c>
      <c r="E739" s="113">
        <f>'Sampling Data'!D730</f>
        <v>2</v>
      </c>
      <c r="F739" s="113">
        <f>'Sampling Data'!E730</f>
        <v>3</v>
      </c>
      <c r="G739" s="113">
        <f>'Sampling Data'!F730</f>
        <v>0</v>
      </c>
      <c r="H739" s="113">
        <f>'Sampling Data'!G730</f>
        <v>0</v>
      </c>
      <c r="I739" s="112">
        <f>'Sampling Data'!H730</f>
        <v>0</v>
      </c>
      <c r="J739" s="112">
        <f>'Sampling Data'!I730</f>
        <v>0</v>
      </c>
      <c r="K739" s="112">
        <f>'Sampling Data'!J730</f>
        <v>24</v>
      </c>
      <c r="L739" s="111">
        <f>'Sampling Data'!X730</f>
        <v>0</v>
      </c>
      <c r="M739" s="114"/>
      <c r="N739" s="114"/>
      <c r="O739" s="115"/>
      <c r="P739" s="115"/>
      <c r="Q739" s="116"/>
      <c r="R739" s="116"/>
      <c r="S739" s="111">
        <f>Audit[[#This Row],[Audit Losing Candidate]]-Audit[[#This Row],[Losing Candidate]]</f>
        <v>-7</v>
      </c>
      <c r="T739" s="111">
        <f>Audit[[#This Row],[Audit Winning Candidate]]-Audit[[#This Row],[Winning Candidate]]</f>
        <v>-12</v>
      </c>
      <c r="U739" s="111">
        <f>Audit[[#This Row],[Audit Candidate 3]]-Audit[[#This Row],[Candidate 3]]</f>
        <v>-2</v>
      </c>
      <c r="V739" s="111">
        <f>Audit[[#This Row],[Audit Candidate 4]]-Audit[[#This Row],[Candidate 4]]</f>
        <v>-3</v>
      </c>
      <c r="W739" s="111">
        <f>Audit[[#This Row],[Audit Candidate 5]]-Audit[[#This Row],[Candidate 5]]</f>
        <v>0</v>
      </c>
      <c r="X739" s="111">
        <f>Audit[[#This Row],[Audit Candidate 6]]-Audit[[#This Row],[Candidate 6]]</f>
        <v>0</v>
      </c>
      <c r="Y739" s="111">
        <f>SUMIF(Audit[[#This Row],[Difference Loser]:[Difference Candidate 6]], "&gt;0")</f>
        <v>0</v>
      </c>
      <c r="Z739" s="111">
        <f>SUM(Audit[[#This Row],[Difference Loser]:[Difference Candidate 6]])</f>
        <v>-24</v>
      </c>
      <c r="AA739" s="111">
        <f>IF(Audit[[#This Row],[Times p Drawn - With Replacement]]&gt;0, IF(Audit[[#This Row],[Canceled Differences]]&lt;0, Audit[[#This Row],[Max Differences]]+ABS(Audit[[#This Row],[Canceled Differences]]), Audit[[#This Row],[Max Differences]]), 0)</f>
        <v>0</v>
      </c>
      <c r="AB739" s="111">
        <f>'Sampling Data'!P730</f>
        <v>1.7760901518863303E-3</v>
      </c>
      <c r="AC739" s="111">
        <f>IF(
      SUM(Audit[[#This Row],[Audit Losing Candidate]:[Audit Candidate 6]])
      &lt;&gt;0,
      (Audit[[#This Row],[Winning Candidate]]-Audit[[#This Row],[Losing Candidate]]-(Audit[[#This Row],[Audit Winning Candidate]]-Audit[[#This Row],[Audit Losing Candidate]]))/(Audit[[#Totals],[Winning Candidate]]-Audit[[#Totals],[Losing Candidate]]),
      0
)</f>
        <v>0</v>
      </c>
      <c r="AD7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9" s="111">
        <f>IF(Audit[[#This Row],[Max Relative Error (ep)]] = 0, 0, Audit[[#This Row],[Max Relative Error (ep)]]/Audit[[#This Row],[Error Bound (up) - Max. possible relative overstatement]])</f>
        <v>0</v>
      </c>
      <c r="AJ7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39" s="111">
        <f t="shared" si="11"/>
        <v>1</v>
      </c>
      <c r="AL739" s="111">
        <f>PRODUCT($AK$5:AK739)</f>
        <v>8.962823818226312E-2</v>
      </c>
      <c r="AM739" s="109">
        <f>1 - [K-M P Value]</f>
        <v>0.91037176181773694</v>
      </c>
      <c r="AN739" s="111" t="str">
        <f>IF(Audit[[#This Row],[K-M P Value]]&gt;1-'General Info'!$B$16,"Continue", "Stop")</f>
        <v>Stop</v>
      </c>
      <c r="AO739" s="110" t="b">
        <f>IF(Audit[[#This Row],[Status - Continue or stop audit]] = "Continue", TRUE, IF(AN738 = "Continue", TRUE, FALSE))</f>
        <v>0</v>
      </c>
      <c r="AP739" s="110"/>
    </row>
    <row r="740" spans="1:42" ht="15" hidden="1" customHeight="1">
      <c r="A740" s="111" t="str">
        <f>'Sampling Data'!W731</f>
        <v/>
      </c>
      <c r="B740" s="112" t="str">
        <f>'Sampling Data'!A731</f>
        <v>CLEVELAND -13-L</v>
      </c>
      <c r="C740" s="112">
        <f>'Sampling Data'!B731</f>
        <v>24</v>
      </c>
      <c r="D740" s="112">
        <f>'Sampling Data'!C731</f>
        <v>7</v>
      </c>
      <c r="E740" s="113">
        <f>'Sampling Data'!D731</f>
        <v>9</v>
      </c>
      <c r="F740" s="113">
        <f>'Sampling Data'!E731</f>
        <v>2</v>
      </c>
      <c r="G740" s="113">
        <f>'Sampling Data'!F731</f>
        <v>0</v>
      </c>
      <c r="H740" s="113">
        <f>'Sampling Data'!G731</f>
        <v>1</v>
      </c>
      <c r="I740" s="112">
        <f>'Sampling Data'!H731</f>
        <v>0</v>
      </c>
      <c r="J740" s="112">
        <f>'Sampling Data'!I731</f>
        <v>0</v>
      </c>
      <c r="K740" s="112">
        <f>'Sampling Data'!J731</f>
        <v>43</v>
      </c>
      <c r="L740" s="111">
        <f>'Sampling Data'!X731</f>
        <v>0</v>
      </c>
      <c r="M740" s="114"/>
      <c r="N740" s="114"/>
      <c r="O740" s="115"/>
      <c r="P740" s="115"/>
      <c r="Q740" s="116"/>
      <c r="R740" s="116"/>
      <c r="S740" s="111">
        <f>Audit[[#This Row],[Audit Losing Candidate]]-Audit[[#This Row],[Losing Candidate]]</f>
        <v>-24</v>
      </c>
      <c r="T740" s="111">
        <f>Audit[[#This Row],[Audit Winning Candidate]]-Audit[[#This Row],[Winning Candidate]]</f>
        <v>-7</v>
      </c>
      <c r="U740" s="111">
        <f>Audit[[#This Row],[Audit Candidate 3]]-Audit[[#This Row],[Candidate 3]]</f>
        <v>-9</v>
      </c>
      <c r="V740" s="111">
        <f>Audit[[#This Row],[Audit Candidate 4]]-Audit[[#This Row],[Candidate 4]]</f>
        <v>-2</v>
      </c>
      <c r="W740" s="111">
        <f>Audit[[#This Row],[Audit Candidate 5]]-Audit[[#This Row],[Candidate 5]]</f>
        <v>0</v>
      </c>
      <c r="X740" s="111">
        <f>Audit[[#This Row],[Audit Candidate 6]]-Audit[[#This Row],[Candidate 6]]</f>
        <v>-1</v>
      </c>
      <c r="Y740" s="111">
        <f>SUMIF(Audit[[#This Row],[Difference Loser]:[Difference Candidate 6]], "&gt;0")</f>
        <v>0</v>
      </c>
      <c r="Z740" s="111">
        <f>SUM(Audit[[#This Row],[Difference Loser]:[Difference Candidate 6]])</f>
        <v>-43</v>
      </c>
      <c r="AA740" s="111">
        <f>IF(Audit[[#This Row],[Times p Drawn - With Replacement]]&gt;0, IF(Audit[[#This Row],[Canceled Differences]]&lt;0, Audit[[#This Row],[Max Differences]]+ABS(Audit[[#This Row],[Canceled Differences]]), Audit[[#This Row],[Max Differences]]), 0)</f>
        <v>0</v>
      </c>
      <c r="AB740" s="111">
        <f>'Sampling Data'!P731</f>
        <v>1.5923566878980893E-3</v>
      </c>
      <c r="AC740" s="111">
        <f>IF(
      SUM(Audit[[#This Row],[Audit Losing Candidate]:[Audit Candidate 6]])
      &lt;&gt;0,
      (Audit[[#This Row],[Winning Candidate]]-Audit[[#This Row],[Losing Candidate]]-(Audit[[#This Row],[Audit Winning Candidate]]-Audit[[#This Row],[Audit Losing Candidate]]))/(Audit[[#Totals],[Winning Candidate]]-Audit[[#Totals],[Losing Candidate]]),
      0
)</f>
        <v>0</v>
      </c>
      <c r="AD7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0" s="111">
        <f>IF(Audit[[#This Row],[Max Relative Error (ep)]] = 0, 0, Audit[[#This Row],[Max Relative Error (ep)]]/Audit[[#This Row],[Error Bound (up) - Max. possible relative overstatement]])</f>
        <v>0</v>
      </c>
      <c r="AJ7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40" s="111">
        <f t="shared" si="11"/>
        <v>1</v>
      </c>
      <c r="AL740" s="111">
        <f>PRODUCT($AK$5:AK740)</f>
        <v>8.962823818226312E-2</v>
      </c>
      <c r="AM740" s="109">
        <f>1 - [K-M P Value]</f>
        <v>0.91037176181773694</v>
      </c>
      <c r="AN740" s="111" t="str">
        <f>IF(Audit[[#This Row],[K-M P Value]]&gt;1-'General Info'!$B$16,"Continue", "Stop")</f>
        <v>Stop</v>
      </c>
      <c r="AO740" s="110" t="b">
        <f>IF(Audit[[#This Row],[Status - Continue or stop audit]] = "Continue", TRUE, IF(AN739 = "Continue", TRUE, FALSE))</f>
        <v>0</v>
      </c>
      <c r="AP740" s="110"/>
    </row>
    <row r="741" spans="1:42" ht="15" hidden="1" customHeight="1">
      <c r="A741" s="111" t="str">
        <f>'Sampling Data'!W732</f>
        <v/>
      </c>
      <c r="B741" s="112" t="str">
        <f>'Sampling Data'!A732</f>
        <v>CLEVELAND -13-L - ABS</v>
      </c>
      <c r="C741" s="112">
        <f>'Sampling Data'!B732</f>
        <v>6</v>
      </c>
      <c r="D741" s="112">
        <f>'Sampling Data'!C732</f>
        <v>3</v>
      </c>
      <c r="E741" s="113">
        <f>'Sampling Data'!D732</f>
        <v>10</v>
      </c>
      <c r="F741" s="113">
        <f>'Sampling Data'!E732</f>
        <v>2</v>
      </c>
      <c r="G741" s="113">
        <f>'Sampling Data'!F732</f>
        <v>0</v>
      </c>
      <c r="H741" s="113">
        <f>'Sampling Data'!G732</f>
        <v>0</v>
      </c>
      <c r="I741" s="112">
        <f>'Sampling Data'!H732</f>
        <v>0</v>
      </c>
      <c r="J741" s="112">
        <f>'Sampling Data'!I732</f>
        <v>0</v>
      </c>
      <c r="K741" s="112">
        <f>'Sampling Data'!J732</f>
        <v>21</v>
      </c>
      <c r="L741" s="111">
        <f>'Sampling Data'!X732</f>
        <v>0</v>
      </c>
      <c r="M741" s="114"/>
      <c r="N741" s="114"/>
      <c r="O741" s="115"/>
      <c r="P741" s="115"/>
      <c r="Q741" s="116"/>
      <c r="R741" s="116"/>
      <c r="S741" s="111">
        <f>Audit[[#This Row],[Audit Losing Candidate]]-Audit[[#This Row],[Losing Candidate]]</f>
        <v>-6</v>
      </c>
      <c r="T741" s="111">
        <f>Audit[[#This Row],[Audit Winning Candidate]]-Audit[[#This Row],[Winning Candidate]]</f>
        <v>-3</v>
      </c>
      <c r="U741" s="111">
        <f>Audit[[#This Row],[Audit Candidate 3]]-Audit[[#This Row],[Candidate 3]]</f>
        <v>-10</v>
      </c>
      <c r="V741" s="111">
        <f>Audit[[#This Row],[Audit Candidate 4]]-Audit[[#This Row],[Candidate 4]]</f>
        <v>-2</v>
      </c>
      <c r="W741" s="111">
        <f>Audit[[#This Row],[Audit Candidate 5]]-Audit[[#This Row],[Candidate 5]]</f>
        <v>0</v>
      </c>
      <c r="X741" s="111">
        <f>Audit[[#This Row],[Audit Candidate 6]]-Audit[[#This Row],[Candidate 6]]</f>
        <v>0</v>
      </c>
      <c r="Y741" s="111">
        <f>SUMIF(Audit[[#This Row],[Difference Loser]:[Difference Candidate 6]], "&gt;0")</f>
        <v>0</v>
      </c>
      <c r="Z741" s="111">
        <f>SUM(Audit[[#This Row],[Difference Loser]:[Difference Candidate 6]])</f>
        <v>-21</v>
      </c>
      <c r="AA741" s="111">
        <f>IF(Audit[[#This Row],[Times p Drawn - With Replacement]]&gt;0, IF(Audit[[#This Row],[Canceled Differences]]&lt;0, Audit[[#This Row],[Max Differences]]+ABS(Audit[[#This Row],[Canceled Differences]]), Audit[[#This Row],[Max Differences]]), 0)</f>
        <v>0</v>
      </c>
      <c r="AB741" s="111">
        <f>'Sampling Data'!P732</f>
        <v>1.1024007839294464E-3</v>
      </c>
      <c r="AC741" s="111">
        <f>IF(
      SUM(Audit[[#This Row],[Audit Losing Candidate]:[Audit Candidate 6]])
      &lt;&gt;0,
      (Audit[[#This Row],[Winning Candidate]]-Audit[[#This Row],[Losing Candidate]]-(Audit[[#This Row],[Audit Winning Candidate]]-Audit[[#This Row],[Audit Losing Candidate]]))/(Audit[[#Totals],[Winning Candidate]]-Audit[[#Totals],[Losing Candidate]]),
      0
)</f>
        <v>0</v>
      </c>
      <c r="AD7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1" s="111">
        <f>IF(Audit[[#This Row],[Max Relative Error (ep)]] = 0, 0, Audit[[#This Row],[Max Relative Error (ep)]]/Audit[[#This Row],[Error Bound (up) - Max. possible relative overstatement]])</f>
        <v>0</v>
      </c>
      <c r="AJ7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41" s="111">
        <f t="shared" si="11"/>
        <v>1</v>
      </c>
      <c r="AL741" s="111">
        <f>PRODUCT($AK$5:AK741)</f>
        <v>8.962823818226312E-2</v>
      </c>
      <c r="AM741" s="109">
        <f>1 - [K-M P Value]</f>
        <v>0.91037176181773694</v>
      </c>
      <c r="AN741" s="111" t="str">
        <f>IF(Audit[[#This Row],[K-M P Value]]&gt;1-'General Info'!$B$16,"Continue", "Stop")</f>
        <v>Stop</v>
      </c>
      <c r="AO741" s="110" t="b">
        <f>IF(Audit[[#This Row],[Status - Continue or stop audit]] = "Continue", TRUE, IF(AN740 = "Continue", TRUE, FALSE))</f>
        <v>0</v>
      </c>
      <c r="AP741" s="110"/>
    </row>
    <row r="742" spans="1:42" ht="15" hidden="1" customHeight="1">
      <c r="A742" s="111" t="str">
        <f>'Sampling Data'!W733</f>
        <v/>
      </c>
      <c r="B742" s="112" t="str">
        <f>'Sampling Data'!A733</f>
        <v>CLEVELAND -13-M</v>
      </c>
      <c r="C742" s="112">
        <f>'Sampling Data'!B733</f>
        <v>17</v>
      </c>
      <c r="D742" s="112">
        <f>'Sampling Data'!C733</f>
        <v>20</v>
      </c>
      <c r="E742" s="113">
        <f>'Sampling Data'!D733</f>
        <v>13</v>
      </c>
      <c r="F742" s="113">
        <f>'Sampling Data'!E733</f>
        <v>11</v>
      </c>
      <c r="G742" s="113">
        <f>'Sampling Data'!F733</f>
        <v>0</v>
      </c>
      <c r="H742" s="113">
        <f>'Sampling Data'!G733</f>
        <v>0</v>
      </c>
      <c r="I742" s="112">
        <f>'Sampling Data'!H733</f>
        <v>0</v>
      </c>
      <c r="J742" s="112">
        <f>'Sampling Data'!I733</f>
        <v>2</v>
      </c>
      <c r="K742" s="112">
        <f>'Sampling Data'!J733</f>
        <v>63</v>
      </c>
      <c r="L742" s="111">
        <f>'Sampling Data'!X733</f>
        <v>0</v>
      </c>
      <c r="M742" s="114"/>
      <c r="N742" s="114"/>
      <c r="O742" s="115"/>
      <c r="P742" s="115"/>
      <c r="Q742" s="116"/>
      <c r="R742" s="116"/>
      <c r="S742" s="111">
        <f>Audit[[#This Row],[Audit Losing Candidate]]-Audit[[#This Row],[Losing Candidate]]</f>
        <v>-17</v>
      </c>
      <c r="T742" s="111">
        <f>Audit[[#This Row],[Audit Winning Candidate]]-Audit[[#This Row],[Winning Candidate]]</f>
        <v>-20</v>
      </c>
      <c r="U742" s="111">
        <f>Audit[[#This Row],[Audit Candidate 3]]-Audit[[#This Row],[Candidate 3]]</f>
        <v>-13</v>
      </c>
      <c r="V742" s="111">
        <f>Audit[[#This Row],[Audit Candidate 4]]-Audit[[#This Row],[Candidate 4]]</f>
        <v>-11</v>
      </c>
      <c r="W742" s="111">
        <f>Audit[[#This Row],[Audit Candidate 5]]-Audit[[#This Row],[Candidate 5]]</f>
        <v>0</v>
      </c>
      <c r="X742" s="111">
        <f>Audit[[#This Row],[Audit Candidate 6]]-Audit[[#This Row],[Candidate 6]]</f>
        <v>0</v>
      </c>
      <c r="Y742" s="111">
        <f>SUMIF(Audit[[#This Row],[Difference Loser]:[Difference Candidate 6]], "&gt;0")</f>
        <v>0</v>
      </c>
      <c r="Z742" s="111">
        <f>SUM(Audit[[#This Row],[Difference Loser]:[Difference Candidate 6]])</f>
        <v>-61</v>
      </c>
      <c r="AA742" s="111">
        <f>IF(Audit[[#This Row],[Times p Drawn - With Replacement]]&gt;0, IF(Audit[[#This Row],[Canceled Differences]]&lt;0, Audit[[#This Row],[Max Differences]]+ABS(Audit[[#This Row],[Canceled Differences]]), Audit[[#This Row],[Max Differences]]), 0)</f>
        <v>0</v>
      </c>
      <c r="AB742" s="111">
        <f>'Sampling Data'!P733</f>
        <v>4.0421362077413033E-3</v>
      </c>
      <c r="AC742" s="111">
        <f>IF(
      SUM(Audit[[#This Row],[Audit Losing Candidate]:[Audit Candidate 6]])
      &lt;&gt;0,
      (Audit[[#This Row],[Winning Candidate]]-Audit[[#This Row],[Losing Candidate]]-(Audit[[#This Row],[Audit Winning Candidate]]-Audit[[#This Row],[Audit Losing Candidate]]))/(Audit[[#Totals],[Winning Candidate]]-Audit[[#Totals],[Losing Candidate]]),
      0
)</f>
        <v>0</v>
      </c>
      <c r="AD7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2" s="111">
        <f>IF(Audit[[#This Row],[Max Relative Error (ep)]] = 0, 0, Audit[[#This Row],[Max Relative Error (ep)]]/Audit[[#This Row],[Error Bound (up) - Max. possible relative overstatement]])</f>
        <v>0</v>
      </c>
      <c r="AJ7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42" s="111">
        <f t="shared" si="11"/>
        <v>1</v>
      </c>
      <c r="AL742" s="111">
        <f>PRODUCT($AK$5:AK742)</f>
        <v>8.962823818226312E-2</v>
      </c>
      <c r="AM742" s="109">
        <f>1 - [K-M P Value]</f>
        <v>0.91037176181773694</v>
      </c>
      <c r="AN742" s="111" t="str">
        <f>IF(Audit[[#This Row],[K-M P Value]]&gt;1-'General Info'!$B$16,"Continue", "Stop")</f>
        <v>Stop</v>
      </c>
      <c r="AO742" s="110" t="b">
        <f>IF(Audit[[#This Row],[Status - Continue or stop audit]] = "Continue", TRUE, IF(AN741 = "Continue", TRUE, FALSE))</f>
        <v>0</v>
      </c>
      <c r="AP742" s="110"/>
    </row>
    <row r="743" spans="1:42" ht="15" hidden="1" customHeight="1">
      <c r="A743" s="111" t="str">
        <f>'Sampling Data'!W734</f>
        <v/>
      </c>
      <c r="B743" s="112" t="str">
        <f>'Sampling Data'!A734</f>
        <v>CLEVELAND -13-M - ABS</v>
      </c>
      <c r="C743" s="112">
        <f>'Sampling Data'!B734</f>
        <v>8</v>
      </c>
      <c r="D743" s="112">
        <f>'Sampling Data'!C734</f>
        <v>7</v>
      </c>
      <c r="E743" s="113">
        <f>'Sampling Data'!D734</f>
        <v>3</v>
      </c>
      <c r="F743" s="113">
        <f>'Sampling Data'!E734</f>
        <v>1</v>
      </c>
      <c r="G743" s="113">
        <f>'Sampling Data'!F734</f>
        <v>0</v>
      </c>
      <c r="H743" s="113">
        <f>'Sampling Data'!G734</f>
        <v>0</v>
      </c>
      <c r="I743" s="112">
        <f>'Sampling Data'!H734</f>
        <v>0</v>
      </c>
      <c r="J743" s="112">
        <f>'Sampling Data'!I734</f>
        <v>0</v>
      </c>
      <c r="K743" s="112">
        <f>'Sampling Data'!J734</f>
        <v>19</v>
      </c>
      <c r="L743" s="111">
        <f>'Sampling Data'!X734</f>
        <v>0</v>
      </c>
      <c r="M743" s="114"/>
      <c r="N743" s="114"/>
      <c r="O743" s="115"/>
      <c r="P743" s="115"/>
      <c r="Q743" s="116"/>
      <c r="R743" s="116"/>
      <c r="S743" s="111">
        <f>Audit[[#This Row],[Audit Losing Candidate]]-Audit[[#This Row],[Losing Candidate]]</f>
        <v>-8</v>
      </c>
      <c r="T743" s="111">
        <f>Audit[[#This Row],[Audit Winning Candidate]]-Audit[[#This Row],[Winning Candidate]]</f>
        <v>-7</v>
      </c>
      <c r="U743" s="111">
        <f>Audit[[#This Row],[Audit Candidate 3]]-Audit[[#This Row],[Candidate 3]]</f>
        <v>-3</v>
      </c>
      <c r="V743" s="111">
        <f>Audit[[#This Row],[Audit Candidate 4]]-Audit[[#This Row],[Candidate 4]]</f>
        <v>-1</v>
      </c>
      <c r="W743" s="111">
        <f>Audit[[#This Row],[Audit Candidate 5]]-Audit[[#This Row],[Candidate 5]]</f>
        <v>0</v>
      </c>
      <c r="X743" s="111">
        <f>Audit[[#This Row],[Audit Candidate 6]]-Audit[[#This Row],[Candidate 6]]</f>
        <v>0</v>
      </c>
      <c r="Y743" s="111">
        <f>SUMIF(Audit[[#This Row],[Difference Loser]:[Difference Candidate 6]], "&gt;0")</f>
        <v>0</v>
      </c>
      <c r="Z743" s="111">
        <f>SUM(Audit[[#This Row],[Difference Loser]:[Difference Candidate 6]])</f>
        <v>-19</v>
      </c>
      <c r="AA743" s="111">
        <f>IF(Audit[[#This Row],[Times p Drawn - With Replacement]]&gt;0, IF(Audit[[#This Row],[Canceled Differences]]&lt;0, Audit[[#This Row],[Max Differences]]+ABS(Audit[[#This Row],[Canceled Differences]]), Audit[[#This Row],[Max Differences]]), 0)</f>
        <v>0</v>
      </c>
      <c r="AB743" s="111">
        <f>'Sampling Data'!P734</f>
        <v>1.1024007839294464E-3</v>
      </c>
      <c r="AC743" s="111">
        <f>IF(
      SUM(Audit[[#This Row],[Audit Losing Candidate]:[Audit Candidate 6]])
      &lt;&gt;0,
      (Audit[[#This Row],[Winning Candidate]]-Audit[[#This Row],[Losing Candidate]]-(Audit[[#This Row],[Audit Winning Candidate]]-Audit[[#This Row],[Audit Losing Candidate]]))/(Audit[[#Totals],[Winning Candidate]]-Audit[[#Totals],[Losing Candidate]]),
      0
)</f>
        <v>0</v>
      </c>
      <c r="AD7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3" s="111">
        <f>IF(Audit[[#This Row],[Max Relative Error (ep)]] = 0, 0, Audit[[#This Row],[Max Relative Error (ep)]]/Audit[[#This Row],[Error Bound (up) - Max. possible relative overstatement]])</f>
        <v>0</v>
      </c>
      <c r="AJ7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43" s="111">
        <f t="shared" si="11"/>
        <v>1</v>
      </c>
      <c r="AL743" s="111">
        <f>PRODUCT($AK$5:AK743)</f>
        <v>8.962823818226312E-2</v>
      </c>
      <c r="AM743" s="109">
        <f>1 - [K-M P Value]</f>
        <v>0.91037176181773694</v>
      </c>
      <c r="AN743" s="111" t="str">
        <f>IF(Audit[[#This Row],[K-M P Value]]&gt;1-'General Info'!$B$16,"Continue", "Stop")</f>
        <v>Stop</v>
      </c>
      <c r="AO743" s="110" t="b">
        <f>IF(Audit[[#This Row],[Status - Continue or stop audit]] = "Continue", TRUE, IF(AN742 = "Continue", TRUE, FALSE))</f>
        <v>0</v>
      </c>
      <c r="AP743" s="110"/>
    </row>
    <row r="744" spans="1:42" ht="15" hidden="1" customHeight="1">
      <c r="A744" s="111" t="str">
        <f>'Sampling Data'!W735</f>
        <v/>
      </c>
      <c r="B744" s="112" t="str">
        <f>'Sampling Data'!A735</f>
        <v>CLEVELAND -13-N</v>
      </c>
      <c r="C744" s="112">
        <f>'Sampling Data'!B735</f>
        <v>45</v>
      </c>
      <c r="D744" s="112">
        <f>'Sampling Data'!C735</f>
        <v>25</v>
      </c>
      <c r="E744" s="113">
        <f>'Sampling Data'!D735</f>
        <v>6</v>
      </c>
      <c r="F744" s="113">
        <f>'Sampling Data'!E735</f>
        <v>8</v>
      </c>
      <c r="G744" s="113">
        <f>'Sampling Data'!F735</f>
        <v>0</v>
      </c>
      <c r="H744" s="113">
        <f>'Sampling Data'!G735</f>
        <v>1</v>
      </c>
      <c r="I744" s="112">
        <f>'Sampling Data'!H735</f>
        <v>0</v>
      </c>
      <c r="J744" s="112">
        <f>'Sampling Data'!I735</f>
        <v>1</v>
      </c>
      <c r="K744" s="112">
        <f>'Sampling Data'!J735</f>
        <v>86</v>
      </c>
      <c r="L744" s="111">
        <f>'Sampling Data'!X735</f>
        <v>0</v>
      </c>
      <c r="M744" s="114"/>
      <c r="N744" s="114"/>
      <c r="O744" s="115"/>
      <c r="P744" s="115"/>
      <c r="Q744" s="116"/>
      <c r="R744" s="116"/>
      <c r="S744" s="111">
        <f>Audit[[#This Row],[Audit Losing Candidate]]-Audit[[#This Row],[Losing Candidate]]</f>
        <v>-45</v>
      </c>
      <c r="T744" s="111">
        <f>Audit[[#This Row],[Audit Winning Candidate]]-Audit[[#This Row],[Winning Candidate]]</f>
        <v>-25</v>
      </c>
      <c r="U744" s="111">
        <f>Audit[[#This Row],[Audit Candidate 3]]-Audit[[#This Row],[Candidate 3]]</f>
        <v>-6</v>
      </c>
      <c r="V744" s="111">
        <f>Audit[[#This Row],[Audit Candidate 4]]-Audit[[#This Row],[Candidate 4]]</f>
        <v>-8</v>
      </c>
      <c r="W744" s="111">
        <f>Audit[[#This Row],[Audit Candidate 5]]-Audit[[#This Row],[Candidate 5]]</f>
        <v>0</v>
      </c>
      <c r="X744" s="111">
        <f>Audit[[#This Row],[Audit Candidate 6]]-Audit[[#This Row],[Candidate 6]]</f>
        <v>-1</v>
      </c>
      <c r="Y744" s="111">
        <f>SUMIF(Audit[[#This Row],[Difference Loser]:[Difference Candidate 6]], "&gt;0")</f>
        <v>0</v>
      </c>
      <c r="Z744" s="111">
        <f>SUM(Audit[[#This Row],[Difference Loser]:[Difference Candidate 6]])</f>
        <v>-85</v>
      </c>
      <c r="AA744" s="111">
        <f>IF(Audit[[#This Row],[Times p Drawn - With Replacement]]&gt;0, IF(Audit[[#This Row],[Canceled Differences]]&lt;0, Audit[[#This Row],[Max Differences]]+ABS(Audit[[#This Row],[Canceled Differences]]), Audit[[#This Row],[Max Differences]]), 0)</f>
        <v>0</v>
      </c>
      <c r="AB744" s="111">
        <f>'Sampling Data'!P735</f>
        <v>4.0421362077413033E-3</v>
      </c>
      <c r="AC744" s="111">
        <f>IF(
      SUM(Audit[[#This Row],[Audit Losing Candidate]:[Audit Candidate 6]])
      &lt;&gt;0,
      (Audit[[#This Row],[Winning Candidate]]-Audit[[#This Row],[Losing Candidate]]-(Audit[[#This Row],[Audit Winning Candidate]]-Audit[[#This Row],[Audit Losing Candidate]]))/(Audit[[#Totals],[Winning Candidate]]-Audit[[#Totals],[Losing Candidate]]),
      0
)</f>
        <v>0</v>
      </c>
      <c r="AD7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4" s="111">
        <f>IF(Audit[[#This Row],[Max Relative Error (ep)]] = 0, 0, Audit[[#This Row],[Max Relative Error (ep)]]/Audit[[#This Row],[Error Bound (up) - Max. possible relative overstatement]])</f>
        <v>0</v>
      </c>
      <c r="AJ7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44" s="111">
        <f t="shared" si="11"/>
        <v>1</v>
      </c>
      <c r="AL744" s="111">
        <f>PRODUCT($AK$5:AK744)</f>
        <v>8.962823818226312E-2</v>
      </c>
      <c r="AM744" s="109">
        <f>1 - [K-M P Value]</f>
        <v>0.91037176181773694</v>
      </c>
      <c r="AN744" s="111" t="str">
        <f>IF(Audit[[#This Row],[K-M P Value]]&gt;1-'General Info'!$B$16,"Continue", "Stop")</f>
        <v>Stop</v>
      </c>
      <c r="AO744" s="110" t="b">
        <f>IF(Audit[[#This Row],[Status - Continue or stop audit]] = "Continue", TRUE, IF(AN743 = "Continue", TRUE, FALSE))</f>
        <v>0</v>
      </c>
      <c r="AP744" s="110"/>
    </row>
    <row r="745" spans="1:42" ht="15" hidden="1" customHeight="1">
      <c r="A745" s="111" t="str">
        <f>'Sampling Data'!W736</f>
        <v/>
      </c>
      <c r="B745" s="112" t="str">
        <f>'Sampling Data'!A736</f>
        <v>CLEVELAND -13-N - ABS</v>
      </c>
      <c r="C745" s="112">
        <f>'Sampling Data'!B736</f>
        <v>11</v>
      </c>
      <c r="D745" s="112">
        <f>'Sampling Data'!C736</f>
        <v>5</v>
      </c>
      <c r="E745" s="113">
        <f>'Sampling Data'!D736</f>
        <v>2</v>
      </c>
      <c r="F745" s="113">
        <f>'Sampling Data'!E736</f>
        <v>4</v>
      </c>
      <c r="G745" s="113">
        <f>'Sampling Data'!F736</f>
        <v>0</v>
      </c>
      <c r="H745" s="113">
        <f>'Sampling Data'!G736</f>
        <v>1</v>
      </c>
      <c r="I745" s="112">
        <f>'Sampling Data'!H736</f>
        <v>0</v>
      </c>
      <c r="J745" s="112">
        <f>'Sampling Data'!I736</f>
        <v>0</v>
      </c>
      <c r="K745" s="112">
        <f>'Sampling Data'!J736</f>
        <v>23</v>
      </c>
      <c r="L745" s="111">
        <f>'Sampling Data'!X736</f>
        <v>0</v>
      </c>
      <c r="M745" s="114"/>
      <c r="N745" s="114"/>
      <c r="O745" s="115"/>
      <c r="P745" s="115"/>
      <c r="Q745" s="116"/>
      <c r="R745" s="116"/>
      <c r="S745" s="111">
        <f>Audit[[#This Row],[Audit Losing Candidate]]-Audit[[#This Row],[Losing Candidate]]</f>
        <v>-11</v>
      </c>
      <c r="T745" s="111">
        <f>Audit[[#This Row],[Audit Winning Candidate]]-Audit[[#This Row],[Winning Candidate]]</f>
        <v>-5</v>
      </c>
      <c r="U745" s="111">
        <f>Audit[[#This Row],[Audit Candidate 3]]-Audit[[#This Row],[Candidate 3]]</f>
        <v>-2</v>
      </c>
      <c r="V745" s="111">
        <f>Audit[[#This Row],[Audit Candidate 4]]-Audit[[#This Row],[Candidate 4]]</f>
        <v>-4</v>
      </c>
      <c r="W745" s="111">
        <f>Audit[[#This Row],[Audit Candidate 5]]-Audit[[#This Row],[Candidate 5]]</f>
        <v>0</v>
      </c>
      <c r="X745" s="111">
        <f>Audit[[#This Row],[Audit Candidate 6]]-Audit[[#This Row],[Candidate 6]]</f>
        <v>-1</v>
      </c>
      <c r="Y745" s="111">
        <f>SUMIF(Audit[[#This Row],[Difference Loser]:[Difference Candidate 6]], "&gt;0")</f>
        <v>0</v>
      </c>
      <c r="Z745" s="111">
        <f>SUM(Audit[[#This Row],[Difference Loser]:[Difference Candidate 6]])</f>
        <v>-23</v>
      </c>
      <c r="AA745" s="111">
        <f>IF(Audit[[#This Row],[Times p Drawn - With Replacement]]&gt;0, IF(Audit[[#This Row],[Canceled Differences]]&lt;0, Audit[[#This Row],[Max Differences]]+ABS(Audit[[#This Row],[Canceled Differences]]), Audit[[#This Row],[Max Differences]]), 0)</f>
        <v>0</v>
      </c>
      <c r="AB745" s="111">
        <f>'Sampling Data'!P736</f>
        <v>1.041156295933366E-3</v>
      </c>
      <c r="AC745" s="111">
        <f>IF(
      SUM(Audit[[#This Row],[Audit Losing Candidate]:[Audit Candidate 6]])
      &lt;&gt;0,
      (Audit[[#This Row],[Winning Candidate]]-Audit[[#This Row],[Losing Candidate]]-(Audit[[#This Row],[Audit Winning Candidate]]-Audit[[#This Row],[Audit Losing Candidate]]))/(Audit[[#Totals],[Winning Candidate]]-Audit[[#Totals],[Losing Candidate]]),
      0
)</f>
        <v>0</v>
      </c>
      <c r="AD7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5" s="111">
        <f>IF(Audit[[#This Row],[Max Relative Error (ep)]] = 0, 0, Audit[[#This Row],[Max Relative Error (ep)]]/Audit[[#This Row],[Error Bound (up) - Max. possible relative overstatement]])</f>
        <v>0</v>
      </c>
      <c r="AJ7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45" s="111">
        <f t="shared" si="11"/>
        <v>1</v>
      </c>
      <c r="AL745" s="111">
        <f>PRODUCT($AK$5:AK745)</f>
        <v>8.962823818226312E-2</v>
      </c>
      <c r="AM745" s="109">
        <f>1 - [K-M P Value]</f>
        <v>0.91037176181773694</v>
      </c>
      <c r="AN745" s="111" t="str">
        <f>IF(Audit[[#This Row],[K-M P Value]]&gt;1-'General Info'!$B$16,"Continue", "Stop")</f>
        <v>Stop</v>
      </c>
      <c r="AO745" s="110" t="b">
        <f>IF(Audit[[#This Row],[Status - Continue or stop audit]] = "Continue", TRUE, IF(AN744 = "Continue", TRUE, FALSE))</f>
        <v>0</v>
      </c>
      <c r="AP745" s="110"/>
    </row>
    <row r="746" spans="1:42" ht="15" hidden="1" customHeight="1">
      <c r="A746" s="111" t="str">
        <f>'Sampling Data'!W737</f>
        <v/>
      </c>
      <c r="B746" s="112" t="str">
        <f>'Sampling Data'!A737</f>
        <v>CLEVELAND -13-O</v>
      </c>
      <c r="C746" s="112">
        <f>'Sampling Data'!B737</f>
        <v>38</v>
      </c>
      <c r="D746" s="112">
        <f>'Sampling Data'!C737</f>
        <v>22</v>
      </c>
      <c r="E746" s="113">
        <f>'Sampling Data'!D737</f>
        <v>8</v>
      </c>
      <c r="F746" s="113">
        <f>'Sampling Data'!E737</f>
        <v>7</v>
      </c>
      <c r="G746" s="113">
        <f>'Sampling Data'!F737</f>
        <v>0</v>
      </c>
      <c r="H746" s="113">
        <f>'Sampling Data'!G737</f>
        <v>0</v>
      </c>
      <c r="I746" s="112">
        <f>'Sampling Data'!H737</f>
        <v>0</v>
      </c>
      <c r="J746" s="112">
        <f>'Sampling Data'!I737</f>
        <v>0</v>
      </c>
      <c r="K746" s="112">
        <f>'Sampling Data'!J737</f>
        <v>75</v>
      </c>
      <c r="L746" s="111">
        <f>'Sampling Data'!X737</f>
        <v>0</v>
      </c>
      <c r="M746" s="114"/>
      <c r="N746" s="114"/>
      <c r="O746" s="115"/>
      <c r="P746" s="115"/>
      <c r="Q746" s="116"/>
      <c r="R746" s="116"/>
      <c r="S746" s="111">
        <f>Audit[[#This Row],[Audit Losing Candidate]]-Audit[[#This Row],[Losing Candidate]]</f>
        <v>-38</v>
      </c>
      <c r="T746" s="111">
        <f>Audit[[#This Row],[Audit Winning Candidate]]-Audit[[#This Row],[Winning Candidate]]</f>
        <v>-22</v>
      </c>
      <c r="U746" s="111">
        <f>Audit[[#This Row],[Audit Candidate 3]]-Audit[[#This Row],[Candidate 3]]</f>
        <v>-8</v>
      </c>
      <c r="V746" s="111">
        <f>Audit[[#This Row],[Audit Candidate 4]]-Audit[[#This Row],[Candidate 4]]</f>
        <v>-7</v>
      </c>
      <c r="W746" s="111">
        <f>Audit[[#This Row],[Audit Candidate 5]]-Audit[[#This Row],[Candidate 5]]</f>
        <v>0</v>
      </c>
      <c r="X746" s="111">
        <f>Audit[[#This Row],[Audit Candidate 6]]-Audit[[#This Row],[Candidate 6]]</f>
        <v>0</v>
      </c>
      <c r="Y746" s="111">
        <f>SUMIF(Audit[[#This Row],[Difference Loser]:[Difference Candidate 6]], "&gt;0")</f>
        <v>0</v>
      </c>
      <c r="Z746" s="111">
        <f>SUM(Audit[[#This Row],[Difference Loser]:[Difference Candidate 6]])</f>
        <v>-75</v>
      </c>
      <c r="AA746" s="111">
        <f>IF(Audit[[#This Row],[Times p Drawn - With Replacement]]&gt;0, IF(Audit[[#This Row],[Canceled Differences]]&lt;0, Audit[[#This Row],[Max Differences]]+ABS(Audit[[#This Row],[Canceled Differences]]), Audit[[#This Row],[Max Differences]]), 0)</f>
        <v>0</v>
      </c>
      <c r="AB746" s="111">
        <f>'Sampling Data'!P737</f>
        <v>3.6134247917687409E-3</v>
      </c>
      <c r="AC746" s="111">
        <f>IF(
      SUM(Audit[[#This Row],[Audit Losing Candidate]:[Audit Candidate 6]])
      &lt;&gt;0,
      (Audit[[#This Row],[Winning Candidate]]-Audit[[#This Row],[Losing Candidate]]-(Audit[[#This Row],[Audit Winning Candidate]]-Audit[[#This Row],[Audit Losing Candidate]]))/(Audit[[#Totals],[Winning Candidate]]-Audit[[#Totals],[Losing Candidate]]),
      0
)</f>
        <v>0</v>
      </c>
      <c r="AD7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6" s="111">
        <f>IF(Audit[[#This Row],[Max Relative Error (ep)]] = 0, 0, Audit[[#This Row],[Max Relative Error (ep)]]/Audit[[#This Row],[Error Bound (up) - Max. possible relative overstatement]])</f>
        <v>0</v>
      </c>
      <c r="AJ7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46" s="111">
        <f t="shared" si="11"/>
        <v>1</v>
      </c>
      <c r="AL746" s="111">
        <f>PRODUCT($AK$5:AK746)</f>
        <v>8.962823818226312E-2</v>
      </c>
      <c r="AM746" s="109">
        <f>1 - [K-M P Value]</f>
        <v>0.91037176181773694</v>
      </c>
      <c r="AN746" s="111" t="str">
        <f>IF(Audit[[#This Row],[K-M P Value]]&gt;1-'General Info'!$B$16,"Continue", "Stop")</f>
        <v>Stop</v>
      </c>
      <c r="AO746" s="110" t="b">
        <f>IF(Audit[[#This Row],[Status - Continue or stop audit]] = "Continue", TRUE, IF(AN745 = "Continue", TRUE, FALSE))</f>
        <v>0</v>
      </c>
      <c r="AP746" s="110"/>
    </row>
    <row r="747" spans="1:42" ht="15" hidden="1" customHeight="1">
      <c r="A747" s="111" t="str">
        <f>'Sampling Data'!W738</f>
        <v/>
      </c>
      <c r="B747" s="112" t="str">
        <f>'Sampling Data'!A738</f>
        <v>CLEVELAND -13-O - ABS</v>
      </c>
      <c r="C747" s="112">
        <f>'Sampling Data'!B738</f>
        <v>11</v>
      </c>
      <c r="D747" s="112">
        <f>'Sampling Data'!C738</f>
        <v>1</v>
      </c>
      <c r="E747" s="113">
        <f>'Sampling Data'!D738</f>
        <v>5</v>
      </c>
      <c r="F747" s="113">
        <f>'Sampling Data'!E738</f>
        <v>1</v>
      </c>
      <c r="G747" s="113">
        <f>'Sampling Data'!F738</f>
        <v>0</v>
      </c>
      <c r="H747" s="113">
        <f>'Sampling Data'!G738</f>
        <v>0</v>
      </c>
      <c r="I747" s="112">
        <f>'Sampling Data'!H738</f>
        <v>0</v>
      </c>
      <c r="J747" s="112">
        <f>'Sampling Data'!I738</f>
        <v>0</v>
      </c>
      <c r="K747" s="112">
        <f>'Sampling Data'!J738</f>
        <v>18</v>
      </c>
      <c r="L747" s="111">
        <f>'Sampling Data'!X738</f>
        <v>0</v>
      </c>
      <c r="M747" s="114"/>
      <c r="N747" s="114"/>
      <c r="O747" s="115"/>
      <c r="P747" s="115"/>
      <c r="Q747" s="116"/>
      <c r="R747" s="116"/>
      <c r="S747" s="111">
        <f>Audit[[#This Row],[Audit Losing Candidate]]-Audit[[#This Row],[Losing Candidate]]</f>
        <v>-11</v>
      </c>
      <c r="T747" s="111">
        <f>Audit[[#This Row],[Audit Winning Candidate]]-Audit[[#This Row],[Winning Candidate]]</f>
        <v>-1</v>
      </c>
      <c r="U747" s="111">
        <f>Audit[[#This Row],[Audit Candidate 3]]-Audit[[#This Row],[Candidate 3]]</f>
        <v>-5</v>
      </c>
      <c r="V747" s="111">
        <f>Audit[[#This Row],[Audit Candidate 4]]-Audit[[#This Row],[Candidate 4]]</f>
        <v>-1</v>
      </c>
      <c r="W747" s="111">
        <f>Audit[[#This Row],[Audit Candidate 5]]-Audit[[#This Row],[Candidate 5]]</f>
        <v>0</v>
      </c>
      <c r="X747" s="111">
        <f>Audit[[#This Row],[Audit Candidate 6]]-Audit[[#This Row],[Candidate 6]]</f>
        <v>0</v>
      </c>
      <c r="Y747" s="111">
        <f>SUMIF(Audit[[#This Row],[Difference Loser]:[Difference Candidate 6]], "&gt;0")</f>
        <v>0</v>
      </c>
      <c r="Z747" s="111">
        <f>SUM(Audit[[#This Row],[Difference Loser]:[Difference Candidate 6]])</f>
        <v>-18</v>
      </c>
      <c r="AA747" s="111">
        <f>IF(Audit[[#This Row],[Times p Drawn - With Replacement]]&gt;0, IF(Audit[[#This Row],[Canceled Differences]]&lt;0, Audit[[#This Row],[Max Differences]]+ABS(Audit[[#This Row],[Canceled Differences]]), Audit[[#This Row],[Max Differences]]), 0)</f>
        <v>0</v>
      </c>
      <c r="AB747" s="111">
        <f>'Sampling Data'!P738</f>
        <v>5.2617732175743229E-4</v>
      </c>
      <c r="AC747" s="111">
        <f>IF(
      SUM(Audit[[#This Row],[Audit Losing Candidate]:[Audit Candidate 6]])
      &lt;&gt;0,
      (Audit[[#This Row],[Winning Candidate]]-Audit[[#This Row],[Losing Candidate]]-(Audit[[#This Row],[Audit Winning Candidate]]-Audit[[#This Row],[Audit Losing Candidate]]))/(Audit[[#Totals],[Winning Candidate]]-Audit[[#Totals],[Losing Candidate]]),
      0
)</f>
        <v>0</v>
      </c>
      <c r="AD7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7" s="111">
        <f>IF(Audit[[#This Row],[Max Relative Error (ep)]] = 0, 0, Audit[[#This Row],[Max Relative Error (ep)]]/Audit[[#This Row],[Error Bound (up) - Max. possible relative overstatement]])</f>
        <v>0</v>
      </c>
      <c r="AJ7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47" s="111">
        <f t="shared" si="11"/>
        <v>1</v>
      </c>
      <c r="AL747" s="111">
        <f>PRODUCT($AK$5:AK747)</f>
        <v>8.962823818226312E-2</v>
      </c>
      <c r="AM747" s="109">
        <f>1 - [K-M P Value]</f>
        <v>0.91037176181773694</v>
      </c>
      <c r="AN747" s="111" t="str">
        <f>IF(Audit[[#This Row],[K-M P Value]]&gt;1-'General Info'!$B$16,"Continue", "Stop")</f>
        <v>Stop</v>
      </c>
      <c r="AO747" s="110" t="b">
        <f>IF(Audit[[#This Row],[Status - Continue or stop audit]] = "Continue", TRUE, IF(AN746 = "Continue", TRUE, FALSE))</f>
        <v>0</v>
      </c>
      <c r="AP747" s="110"/>
    </row>
    <row r="748" spans="1:42" ht="15" hidden="1" customHeight="1">
      <c r="A748" s="111" t="str">
        <f>'Sampling Data'!W739</f>
        <v/>
      </c>
      <c r="B748" s="112" t="str">
        <f>'Sampling Data'!A739</f>
        <v>CLEVELAND -13-P</v>
      </c>
      <c r="C748" s="112">
        <f>'Sampling Data'!B739</f>
        <v>22</v>
      </c>
      <c r="D748" s="112">
        <f>'Sampling Data'!C739</f>
        <v>25</v>
      </c>
      <c r="E748" s="113">
        <f>'Sampling Data'!D739</f>
        <v>12</v>
      </c>
      <c r="F748" s="113">
        <f>'Sampling Data'!E739</f>
        <v>12</v>
      </c>
      <c r="G748" s="113">
        <f>'Sampling Data'!F739</f>
        <v>0</v>
      </c>
      <c r="H748" s="113">
        <f>'Sampling Data'!G739</f>
        <v>0</v>
      </c>
      <c r="I748" s="112">
        <f>'Sampling Data'!H739</f>
        <v>1</v>
      </c>
      <c r="J748" s="112">
        <f>'Sampling Data'!I739</f>
        <v>0</v>
      </c>
      <c r="K748" s="112">
        <f>'Sampling Data'!J739</f>
        <v>72</v>
      </c>
      <c r="L748" s="111">
        <f>'Sampling Data'!X739</f>
        <v>0</v>
      </c>
      <c r="M748" s="114"/>
      <c r="N748" s="114"/>
      <c r="O748" s="115"/>
      <c r="P748" s="115"/>
      <c r="Q748" s="116"/>
      <c r="R748" s="116"/>
      <c r="S748" s="111">
        <f>Audit[[#This Row],[Audit Losing Candidate]]-Audit[[#This Row],[Losing Candidate]]</f>
        <v>-22</v>
      </c>
      <c r="T748" s="111">
        <f>Audit[[#This Row],[Audit Winning Candidate]]-Audit[[#This Row],[Winning Candidate]]</f>
        <v>-25</v>
      </c>
      <c r="U748" s="111">
        <f>Audit[[#This Row],[Audit Candidate 3]]-Audit[[#This Row],[Candidate 3]]</f>
        <v>-12</v>
      </c>
      <c r="V748" s="111">
        <f>Audit[[#This Row],[Audit Candidate 4]]-Audit[[#This Row],[Candidate 4]]</f>
        <v>-12</v>
      </c>
      <c r="W748" s="111">
        <f>Audit[[#This Row],[Audit Candidate 5]]-Audit[[#This Row],[Candidate 5]]</f>
        <v>0</v>
      </c>
      <c r="X748" s="111">
        <f>Audit[[#This Row],[Audit Candidate 6]]-Audit[[#This Row],[Candidate 6]]</f>
        <v>0</v>
      </c>
      <c r="Y748" s="111">
        <f>SUMIF(Audit[[#This Row],[Difference Loser]:[Difference Candidate 6]], "&gt;0")</f>
        <v>0</v>
      </c>
      <c r="Z748" s="111">
        <f>SUM(Audit[[#This Row],[Difference Loser]:[Difference Candidate 6]])</f>
        <v>-71</v>
      </c>
      <c r="AA748" s="111">
        <f>IF(Audit[[#This Row],[Times p Drawn - With Replacement]]&gt;0, IF(Audit[[#This Row],[Canceled Differences]]&lt;0, Audit[[#This Row],[Max Differences]]+ABS(Audit[[#This Row],[Canceled Differences]]), Audit[[#This Row],[Max Differences]]), 0)</f>
        <v>0</v>
      </c>
      <c r="AB748" s="111">
        <f>'Sampling Data'!P739</f>
        <v>4.5933365997060261E-3</v>
      </c>
      <c r="AC748" s="111">
        <f>IF(
      SUM(Audit[[#This Row],[Audit Losing Candidate]:[Audit Candidate 6]])
      &lt;&gt;0,
      (Audit[[#This Row],[Winning Candidate]]-Audit[[#This Row],[Losing Candidate]]-(Audit[[#This Row],[Audit Winning Candidate]]-Audit[[#This Row],[Audit Losing Candidate]]))/(Audit[[#Totals],[Winning Candidate]]-Audit[[#Totals],[Losing Candidate]]),
      0
)</f>
        <v>0</v>
      </c>
      <c r="AD7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8" s="111">
        <f>IF(Audit[[#This Row],[Max Relative Error (ep)]] = 0, 0, Audit[[#This Row],[Max Relative Error (ep)]]/Audit[[#This Row],[Error Bound (up) - Max. possible relative overstatement]])</f>
        <v>0</v>
      </c>
      <c r="AJ7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48" s="111">
        <f t="shared" si="11"/>
        <v>1</v>
      </c>
      <c r="AL748" s="111">
        <f>PRODUCT($AK$5:AK748)</f>
        <v>8.962823818226312E-2</v>
      </c>
      <c r="AM748" s="109">
        <f>1 - [K-M P Value]</f>
        <v>0.91037176181773694</v>
      </c>
      <c r="AN748" s="111" t="str">
        <f>IF(Audit[[#This Row],[K-M P Value]]&gt;1-'General Info'!$B$16,"Continue", "Stop")</f>
        <v>Stop</v>
      </c>
      <c r="AO748" s="110" t="b">
        <f>IF(Audit[[#This Row],[Status - Continue or stop audit]] = "Continue", TRUE, IF(AN747 = "Continue", TRUE, FALSE))</f>
        <v>0</v>
      </c>
      <c r="AP748" s="110"/>
    </row>
    <row r="749" spans="1:42" ht="15" hidden="1" customHeight="1">
      <c r="A749" s="111" t="str">
        <f>'Sampling Data'!W740</f>
        <v/>
      </c>
      <c r="B749" s="112" t="str">
        <f>'Sampling Data'!A740</f>
        <v>CLEVELAND -13-P - ABS</v>
      </c>
      <c r="C749" s="112">
        <f>'Sampling Data'!B740</f>
        <v>6</v>
      </c>
      <c r="D749" s="112">
        <f>'Sampling Data'!C740</f>
        <v>9</v>
      </c>
      <c r="E749" s="113">
        <f>'Sampling Data'!D740</f>
        <v>1</v>
      </c>
      <c r="F749" s="113">
        <f>'Sampling Data'!E740</f>
        <v>2</v>
      </c>
      <c r="G749" s="113">
        <f>'Sampling Data'!F740</f>
        <v>0</v>
      </c>
      <c r="H749" s="113">
        <f>'Sampling Data'!G740</f>
        <v>1</v>
      </c>
      <c r="I749" s="112">
        <f>'Sampling Data'!H740</f>
        <v>0</v>
      </c>
      <c r="J749" s="112">
        <f>'Sampling Data'!I740</f>
        <v>1</v>
      </c>
      <c r="K749" s="112">
        <f>'Sampling Data'!J740</f>
        <v>20</v>
      </c>
      <c r="L749" s="111">
        <f>'Sampling Data'!X740</f>
        <v>0</v>
      </c>
      <c r="M749" s="114"/>
      <c r="N749" s="114"/>
      <c r="O749" s="115"/>
      <c r="P749" s="115"/>
      <c r="Q749" s="116"/>
      <c r="R749" s="116"/>
      <c r="S749" s="111">
        <f>Audit[[#This Row],[Audit Losing Candidate]]-Audit[[#This Row],[Losing Candidate]]</f>
        <v>-6</v>
      </c>
      <c r="T749" s="111">
        <f>Audit[[#This Row],[Audit Winning Candidate]]-Audit[[#This Row],[Winning Candidate]]</f>
        <v>-9</v>
      </c>
      <c r="U749" s="111">
        <f>Audit[[#This Row],[Audit Candidate 3]]-Audit[[#This Row],[Candidate 3]]</f>
        <v>-1</v>
      </c>
      <c r="V749" s="111">
        <f>Audit[[#This Row],[Audit Candidate 4]]-Audit[[#This Row],[Candidate 4]]</f>
        <v>-2</v>
      </c>
      <c r="W749" s="111">
        <f>Audit[[#This Row],[Audit Candidate 5]]-Audit[[#This Row],[Candidate 5]]</f>
        <v>0</v>
      </c>
      <c r="X749" s="111">
        <f>Audit[[#This Row],[Audit Candidate 6]]-Audit[[#This Row],[Candidate 6]]</f>
        <v>-1</v>
      </c>
      <c r="Y749" s="111">
        <f>SUMIF(Audit[[#This Row],[Difference Loser]:[Difference Candidate 6]], "&gt;0")</f>
        <v>0</v>
      </c>
      <c r="Z749" s="111">
        <f>SUM(Audit[[#This Row],[Difference Loser]:[Difference Candidate 6]])</f>
        <v>-19</v>
      </c>
      <c r="AA749" s="111">
        <f>IF(Audit[[#This Row],[Times p Drawn - With Replacement]]&gt;0, IF(Audit[[#This Row],[Canceled Differences]]&lt;0, Audit[[#This Row],[Max Differences]]+ABS(Audit[[#This Row],[Canceled Differences]]), Audit[[#This Row],[Max Differences]]), 0)</f>
        <v>0</v>
      </c>
      <c r="AB749" s="111">
        <f>'Sampling Data'!P740</f>
        <v>1.408623223909848E-3</v>
      </c>
      <c r="AC749" s="111">
        <f>IF(
      SUM(Audit[[#This Row],[Audit Losing Candidate]:[Audit Candidate 6]])
      &lt;&gt;0,
      (Audit[[#This Row],[Winning Candidate]]-Audit[[#This Row],[Losing Candidate]]-(Audit[[#This Row],[Audit Winning Candidate]]-Audit[[#This Row],[Audit Losing Candidate]]))/(Audit[[#Totals],[Winning Candidate]]-Audit[[#Totals],[Losing Candidate]]),
      0
)</f>
        <v>0</v>
      </c>
      <c r="AD7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9" s="111">
        <f>IF(Audit[[#This Row],[Max Relative Error (ep)]] = 0, 0, Audit[[#This Row],[Max Relative Error (ep)]]/Audit[[#This Row],[Error Bound (up) - Max. possible relative overstatement]])</f>
        <v>0</v>
      </c>
      <c r="AJ7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49" s="111">
        <f t="shared" si="11"/>
        <v>1</v>
      </c>
      <c r="AL749" s="111">
        <f>PRODUCT($AK$5:AK749)</f>
        <v>8.962823818226312E-2</v>
      </c>
      <c r="AM749" s="109">
        <f>1 - [K-M P Value]</f>
        <v>0.91037176181773694</v>
      </c>
      <c r="AN749" s="111" t="str">
        <f>IF(Audit[[#This Row],[K-M P Value]]&gt;1-'General Info'!$B$16,"Continue", "Stop")</f>
        <v>Stop</v>
      </c>
      <c r="AO749" s="110" t="b">
        <f>IF(Audit[[#This Row],[Status - Continue or stop audit]] = "Continue", TRUE, IF(AN748 = "Continue", TRUE, FALSE))</f>
        <v>0</v>
      </c>
      <c r="AP749" s="110"/>
    </row>
    <row r="750" spans="1:42" ht="15" hidden="1" customHeight="1">
      <c r="A750" s="111" t="str">
        <f>'Sampling Data'!W741</f>
        <v/>
      </c>
      <c r="B750" s="112" t="str">
        <f>'Sampling Data'!A741</f>
        <v>CLEVELAND -14-A</v>
      </c>
      <c r="C750" s="112">
        <f>'Sampling Data'!B741</f>
        <v>4</v>
      </c>
      <c r="D750" s="112">
        <f>'Sampling Data'!C741</f>
        <v>5</v>
      </c>
      <c r="E750" s="113">
        <f>'Sampling Data'!D741</f>
        <v>1</v>
      </c>
      <c r="F750" s="113">
        <f>'Sampling Data'!E741</f>
        <v>3</v>
      </c>
      <c r="G750" s="113">
        <f>'Sampling Data'!F741</f>
        <v>0</v>
      </c>
      <c r="H750" s="113">
        <f>'Sampling Data'!G741</f>
        <v>0</v>
      </c>
      <c r="I750" s="112">
        <f>'Sampling Data'!H741</f>
        <v>0</v>
      </c>
      <c r="J750" s="112">
        <f>'Sampling Data'!I741</f>
        <v>0</v>
      </c>
      <c r="K750" s="112">
        <f>'Sampling Data'!J741</f>
        <v>13</v>
      </c>
      <c r="L750" s="111">
        <f>'Sampling Data'!X741</f>
        <v>0</v>
      </c>
      <c r="M750" s="114"/>
      <c r="N750" s="114"/>
      <c r="O750" s="115"/>
      <c r="P750" s="115"/>
      <c r="Q750" s="116"/>
      <c r="R750" s="116"/>
      <c r="S750" s="111">
        <f>Audit[[#This Row],[Audit Losing Candidate]]-Audit[[#This Row],[Losing Candidate]]</f>
        <v>-4</v>
      </c>
      <c r="T750" s="111">
        <f>Audit[[#This Row],[Audit Winning Candidate]]-Audit[[#This Row],[Winning Candidate]]</f>
        <v>-5</v>
      </c>
      <c r="U750" s="111">
        <f>Audit[[#This Row],[Audit Candidate 3]]-Audit[[#This Row],[Candidate 3]]</f>
        <v>-1</v>
      </c>
      <c r="V750" s="111">
        <f>Audit[[#This Row],[Audit Candidate 4]]-Audit[[#This Row],[Candidate 4]]</f>
        <v>-3</v>
      </c>
      <c r="W750" s="111">
        <f>Audit[[#This Row],[Audit Candidate 5]]-Audit[[#This Row],[Candidate 5]]</f>
        <v>0</v>
      </c>
      <c r="X750" s="111">
        <f>Audit[[#This Row],[Audit Candidate 6]]-Audit[[#This Row],[Candidate 6]]</f>
        <v>0</v>
      </c>
      <c r="Y750" s="111">
        <f>SUMIF(Audit[[#This Row],[Difference Loser]:[Difference Candidate 6]], "&gt;0")</f>
        <v>0</v>
      </c>
      <c r="Z750" s="111">
        <f>SUM(Audit[[#This Row],[Difference Loser]:[Difference Candidate 6]])</f>
        <v>-13</v>
      </c>
      <c r="AA750" s="111">
        <f>IF(Audit[[#This Row],[Times p Drawn - With Replacement]]&gt;0, IF(Audit[[#This Row],[Canceled Differences]]&lt;0, Audit[[#This Row],[Max Differences]]+ABS(Audit[[#This Row],[Canceled Differences]]), Audit[[#This Row],[Max Differences]]), 0)</f>
        <v>0</v>
      </c>
      <c r="AB750" s="111">
        <f>'Sampling Data'!P741</f>
        <v>8.5742283194512492E-4</v>
      </c>
      <c r="AC750" s="111">
        <f>IF(
      SUM(Audit[[#This Row],[Audit Losing Candidate]:[Audit Candidate 6]])
      &lt;&gt;0,
      (Audit[[#This Row],[Winning Candidate]]-Audit[[#This Row],[Losing Candidate]]-(Audit[[#This Row],[Audit Winning Candidate]]-Audit[[#This Row],[Audit Losing Candidate]]))/(Audit[[#Totals],[Winning Candidate]]-Audit[[#Totals],[Losing Candidate]]),
      0
)</f>
        <v>0</v>
      </c>
      <c r="AD7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0" s="111">
        <f>IF(Audit[[#This Row],[Max Relative Error (ep)]] = 0, 0, Audit[[#This Row],[Max Relative Error (ep)]]/Audit[[#This Row],[Error Bound (up) - Max. possible relative overstatement]])</f>
        <v>0</v>
      </c>
      <c r="AJ7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50" s="111">
        <f t="shared" si="11"/>
        <v>1</v>
      </c>
      <c r="AL750" s="111">
        <f>PRODUCT($AK$5:AK750)</f>
        <v>8.962823818226312E-2</v>
      </c>
      <c r="AM750" s="109">
        <f>1 - [K-M P Value]</f>
        <v>0.91037176181773694</v>
      </c>
      <c r="AN750" s="111" t="str">
        <f>IF(Audit[[#This Row],[K-M P Value]]&gt;1-'General Info'!$B$16,"Continue", "Stop")</f>
        <v>Stop</v>
      </c>
      <c r="AO750" s="110" t="b">
        <f>IF(Audit[[#This Row],[Status - Continue or stop audit]] = "Continue", TRUE, IF(AN749 = "Continue", TRUE, FALSE))</f>
        <v>0</v>
      </c>
      <c r="AP750" s="110"/>
    </row>
    <row r="751" spans="1:42" ht="15" hidden="1" customHeight="1">
      <c r="A751" s="111" t="str">
        <f>'Sampling Data'!W742</f>
        <v/>
      </c>
      <c r="B751" s="112" t="str">
        <f>'Sampling Data'!A742</f>
        <v>CLEVELAND -14-A - ABS</v>
      </c>
      <c r="C751" s="112">
        <f>'Sampling Data'!B742</f>
        <v>2</v>
      </c>
      <c r="D751" s="112">
        <f>'Sampling Data'!C742</f>
        <v>6</v>
      </c>
      <c r="E751" s="113">
        <f>'Sampling Data'!D742</f>
        <v>2</v>
      </c>
      <c r="F751" s="113">
        <f>'Sampling Data'!E742</f>
        <v>0</v>
      </c>
      <c r="G751" s="113">
        <f>'Sampling Data'!F742</f>
        <v>0</v>
      </c>
      <c r="H751" s="113">
        <f>'Sampling Data'!G742</f>
        <v>0</v>
      </c>
      <c r="I751" s="112">
        <f>'Sampling Data'!H742</f>
        <v>0</v>
      </c>
      <c r="J751" s="112">
        <f>'Sampling Data'!I742</f>
        <v>0</v>
      </c>
      <c r="K751" s="112">
        <f>'Sampling Data'!J742</f>
        <v>10</v>
      </c>
      <c r="L751" s="111">
        <f>'Sampling Data'!X742</f>
        <v>0</v>
      </c>
      <c r="M751" s="114"/>
      <c r="N751" s="114"/>
      <c r="O751" s="115"/>
      <c r="P751" s="115"/>
      <c r="Q751" s="116"/>
      <c r="R751" s="116"/>
      <c r="S751" s="111">
        <f>Audit[[#This Row],[Audit Losing Candidate]]-Audit[[#This Row],[Losing Candidate]]</f>
        <v>-2</v>
      </c>
      <c r="T751" s="111">
        <f>Audit[[#This Row],[Audit Winning Candidate]]-Audit[[#This Row],[Winning Candidate]]</f>
        <v>-6</v>
      </c>
      <c r="U751" s="111">
        <f>Audit[[#This Row],[Audit Candidate 3]]-Audit[[#This Row],[Candidate 3]]</f>
        <v>-2</v>
      </c>
      <c r="V751" s="111">
        <f>Audit[[#This Row],[Audit Candidate 4]]-Audit[[#This Row],[Candidate 4]]</f>
        <v>0</v>
      </c>
      <c r="W751" s="111">
        <f>Audit[[#This Row],[Audit Candidate 5]]-Audit[[#This Row],[Candidate 5]]</f>
        <v>0</v>
      </c>
      <c r="X751" s="111">
        <f>Audit[[#This Row],[Audit Candidate 6]]-Audit[[#This Row],[Candidate 6]]</f>
        <v>0</v>
      </c>
      <c r="Y751" s="111">
        <f>SUMIF(Audit[[#This Row],[Difference Loser]:[Difference Candidate 6]], "&gt;0")</f>
        <v>0</v>
      </c>
      <c r="Z751" s="111">
        <f>SUM(Audit[[#This Row],[Difference Loser]:[Difference Candidate 6]])</f>
        <v>-10</v>
      </c>
      <c r="AA751" s="111">
        <f>IF(Audit[[#This Row],[Times p Drawn - With Replacement]]&gt;0, IF(Audit[[#This Row],[Canceled Differences]]&lt;0, Audit[[#This Row],[Max Differences]]+ABS(Audit[[#This Row],[Canceled Differences]]), Audit[[#This Row],[Max Differences]]), 0)</f>
        <v>0</v>
      </c>
      <c r="AB751" s="111">
        <f>'Sampling Data'!P742</f>
        <v>8.5742283194512492E-4</v>
      </c>
      <c r="AC751" s="111">
        <f>IF(
      SUM(Audit[[#This Row],[Audit Losing Candidate]:[Audit Candidate 6]])
      &lt;&gt;0,
      (Audit[[#This Row],[Winning Candidate]]-Audit[[#This Row],[Losing Candidate]]-(Audit[[#This Row],[Audit Winning Candidate]]-Audit[[#This Row],[Audit Losing Candidate]]))/(Audit[[#Totals],[Winning Candidate]]-Audit[[#Totals],[Losing Candidate]]),
      0
)</f>
        <v>0</v>
      </c>
      <c r="AD7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1" s="111">
        <f>IF(Audit[[#This Row],[Max Relative Error (ep)]] = 0, 0, Audit[[#This Row],[Max Relative Error (ep)]]/Audit[[#This Row],[Error Bound (up) - Max. possible relative overstatement]])</f>
        <v>0</v>
      </c>
      <c r="AJ7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51" s="111">
        <f t="shared" si="11"/>
        <v>1</v>
      </c>
      <c r="AL751" s="111">
        <f>PRODUCT($AK$5:AK751)</f>
        <v>8.962823818226312E-2</v>
      </c>
      <c r="AM751" s="109">
        <f>1 - [K-M P Value]</f>
        <v>0.91037176181773694</v>
      </c>
      <c r="AN751" s="111" t="str">
        <f>IF(Audit[[#This Row],[K-M P Value]]&gt;1-'General Info'!$B$16,"Continue", "Stop")</f>
        <v>Stop</v>
      </c>
      <c r="AO751" s="110" t="b">
        <f>IF(Audit[[#This Row],[Status - Continue or stop audit]] = "Continue", TRUE, IF(AN750 = "Continue", TRUE, FALSE))</f>
        <v>0</v>
      </c>
      <c r="AP751" s="110"/>
    </row>
    <row r="752" spans="1:42" ht="15" hidden="1" customHeight="1">
      <c r="A752" s="111" t="str">
        <f>'Sampling Data'!W743</f>
        <v/>
      </c>
      <c r="B752" s="112" t="str">
        <f>'Sampling Data'!A743</f>
        <v>CLEVELAND -14-B</v>
      </c>
      <c r="C752" s="112">
        <f>'Sampling Data'!B743</f>
        <v>1</v>
      </c>
      <c r="D752" s="112">
        <f>'Sampling Data'!C743</f>
        <v>3</v>
      </c>
      <c r="E752" s="113">
        <f>'Sampling Data'!D743</f>
        <v>3</v>
      </c>
      <c r="F752" s="113">
        <f>'Sampling Data'!E743</f>
        <v>1</v>
      </c>
      <c r="G752" s="113">
        <f>'Sampling Data'!F743</f>
        <v>0</v>
      </c>
      <c r="H752" s="113">
        <f>'Sampling Data'!G743</f>
        <v>0</v>
      </c>
      <c r="I752" s="112">
        <f>'Sampling Data'!H743</f>
        <v>0</v>
      </c>
      <c r="J752" s="112">
        <f>'Sampling Data'!I743</f>
        <v>0</v>
      </c>
      <c r="K752" s="112">
        <f>'Sampling Data'!J743</f>
        <v>8</v>
      </c>
      <c r="L752" s="111">
        <f>'Sampling Data'!X743</f>
        <v>0</v>
      </c>
      <c r="M752" s="114"/>
      <c r="N752" s="114"/>
      <c r="O752" s="115"/>
      <c r="P752" s="115"/>
      <c r="Q752" s="116"/>
      <c r="R752" s="116"/>
      <c r="S752" s="111">
        <f>Audit[[#This Row],[Audit Losing Candidate]]-Audit[[#This Row],[Losing Candidate]]</f>
        <v>-1</v>
      </c>
      <c r="T752" s="111">
        <f>Audit[[#This Row],[Audit Winning Candidate]]-Audit[[#This Row],[Winning Candidate]]</f>
        <v>-3</v>
      </c>
      <c r="U752" s="111">
        <f>Audit[[#This Row],[Audit Candidate 3]]-Audit[[#This Row],[Candidate 3]]</f>
        <v>-3</v>
      </c>
      <c r="V752" s="111">
        <f>Audit[[#This Row],[Audit Candidate 4]]-Audit[[#This Row],[Candidate 4]]</f>
        <v>-1</v>
      </c>
      <c r="W752" s="111">
        <f>Audit[[#This Row],[Audit Candidate 5]]-Audit[[#This Row],[Candidate 5]]</f>
        <v>0</v>
      </c>
      <c r="X752" s="111">
        <f>Audit[[#This Row],[Audit Candidate 6]]-Audit[[#This Row],[Candidate 6]]</f>
        <v>0</v>
      </c>
      <c r="Y752" s="111">
        <f>SUMIF(Audit[[#This Row],[Difference Loser]:[Difference Candidate 6]], "&gt;0")</f>
        <v>0</v>
      </c>
      <c r="Z752" s="111">
        <f>SUM(Audit[[#This Row],[Difference Loser]:[Difference Candidate 6]])</f>
        <v>-8</v>
      </c>
      <c r="AA752" s="111">
        <f>IF(Audit[[#This Row],[Times p Drawn - With Replacement]]&gt;0, IF(Audit[[#This Row],[Canceled Differences]]&lt;0, Audit[[#This Row],[Max Differences]]+ABS(Audit[[#This Row],[Canceled Differences]]), Audit[[#This Row],[Max Differences]]), 0)</f>
        <v>0</v>
      </c>
      <c r="AB752" s="111">
        <f>'Sampling Data'!P743</f>
        <v>6.1244487996080352E-4</v>
      </c>
      <c r="AC752" s="111">
        <f>IF(
      SUM(Audit[[#This Row],[Audit Losing Candidate]:[Audit Candidate 6]])
      &lt;&gt;0,
      (Audit[[#This Row],[Winning Candidate]]-Audit[[#This Row],[Losing Candidate]]-(Audit[[#This Row],[Audit Winning Candidate]]-Audit[[#This Row],[Audit Losing Candidate]]))/(Audit[[#Totals],[Winning Candidate]]-Audit[[#Totals],[Losing Candidate]]),
      0
)</f>
        <v>0</v>
      </c>
      <c r="AD7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2" s="111">
        <f>IF(Audit[[#This Row],[Max Relative Error (ep)]] = 0, 0, Audit[[#This Row],[Max Relative Error (ep)]]/Audit[[#This Row],[Error Bound (up) - Max. possible relative overstatement]])</f>
        <v>0</v>
      </c>
      <c r="AJ7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52" s="111">
        <f t="shared" si="11"/>
        <v>1</v>
      </c>
      <c r="AL752" s="111">
        <f>PRODUCT($AK$5:AK752)</f>
        <v>8.962823818226312E-2</v>
      </c>
      <c r="AM752" s="109">
        <f>1 - [K-M P Value]</f>
        <v>0.91037176181773694</v>
      </c>
      <c r="AN752" s="111" t="str">
        <f>IF(Audit[[#This Row],[K-M P Value]]&gt;1-'General Info'!$B$16,"Continue", "Stop")</f>
        <v>Stop</v>
      </c>
      <c r="AO752" s="110" t="b">
        <f>IF(Audit[[#This Row],[Status - Continue or stop audit]] = "Continue", TRUE, IF(AN751 = "Continue", TRUE, FALSE))</f>
        <v>0</v>
      </c>
      <c r="AP752" s="110"/>
    </row>
    <row r="753" spans="1:42" ht="15" hidden="1" customHeight="1">
      <c r="A753" s="111" t="str">
        <f>'Sampling Data'!W744</f>
        <v/>
      </c>
      <c r="B753" s="112" t="str">
        <f>'Sampling Data'!A744</f>
        <v>CLEVELAND -14-B - ABS</v>
      </c>
      <c r="C753" s="112">
        <f>'Sampling Data'!B744</f>
        <v>2</v>
      </c>
      <c r="D753" s="112">
        <f>'Sampling Data'!C744</f>
        <v>1</v>
      </c>
      <c r="E753" s="113">
        <f>'Sampling Data'!D744</f>
        <v>0</v>
      </c>
      <c r="F753" s="113">
        <f>'Sampling Data'!E744</f>
        <v>1</v>
      </c>
      <c r="G753" s="113">
        <f>'Sampling Data'!F744</f>
        <v>0</v>
      </c>
      <c r="H753" s="113">
        <f>'Sampling Data'!G744</f>
        <v>0</v>
      </c>
      <c r="I753" s="112">
        <f>'Sampling Data'!H744</f>
        <v>0</v>
      </c>
      <c r="J753" s="112">
        <f>'Sampling Data'!I744</f>
        <v>0</v>
      </c>
      <c r="K753" s="112">
        <f>'Sampling Data'!J744</f>
        <v>4</v>
      </c>
      <c r="L753" s="111">
        <f>'Sampling Data'!X744</f>
        <v>0</v>
      </c>
      <c r="M753" s="114"/>
      <c r="N753" s="114"/>
      <c r="O753" s="115"/>
      <c r="P753" s="115"/>
      <c r="Q753" s="116"/>
      <c r="R753" s="116"/>
      <c r="S753" s="111">
        <f>Audit[[#This Row],[Audit Losing Candidate]]-Audit[[#This Row],[Losing Candidate]]</f>
        <v>-2</v>
      </c>
      <c r="T753" s="111">
        <f>Audit[[#This Row],[Audit Winning Candidate]]-Audit[[#This Row],[Winning Candidate]]</f>
        <v>-1</v>
      </c>
      <c r="U753" s="111">
        <f>Audit[[#This Row],[Audit Candidate 3]]-Audit[[#This Row],[Candidate 3]]</f>
        <v>0</v>
      </c>
      <c r="V753" s="111">
        <f>Audit[[#This Row],[Audit Candidate 4]]-Audit[[#This Row],[Candidate 4]]</f>
        <v>-1</v>
      </c>
      <c r="W753" s="111">
        <f>Audit[[#This Row],[Audit Candidate 5]]-Audit[[#This Row],[Candidate 5]]</f>
        <v>0</v>
      </c>
      <c r="X753" s="111">
        <f>Audit[[#This Row],[Audit Candidate 6]]-Audit[[#This Row],[Candidate 6]]</f>
        <v>0</v>
      </c>
      <c r="Y753" s="111">
        <f>SUMIF(Audit[[#This Row],[Difference Loser]:[Difference Candidate 6]], "&gt;0")</f>
        <v>0</v>
      </c>
      <c r="Z753" s="111">
        <f>SUM(Audit[[#This Row],[Difference Loser]:[Difference Candidate 6]])</f>
        <v>-4</v>
      </c>
      <c r="AA753" s="111">
        <f>IF(Audit[[#This Row],[Times p Drawn - With Replacement]]&gt;0, IF(Audit[[#This Row],[Canceled Differences]]&lt;0, Audit[[#This Row],[Max Differences]]+ABS(Audit[[#This Row],[Canceled Differences]]), Audit[[#This Row],[Max Differences]]), 0)</f>
        <v>0</v>
      </c>
      <c r="AB753" s="111">
        <f>'Sampling Data'!P744</f>
        <v>1.8373346398824106E-4</v>
      </c>
      <c r="AC753" s="111">
        <f>IF(
      SUM(Audit[[#This Row],[Audit Losing Candidate]:[Audit Candidate 6]])
      &lt;&gt;0,
      (Audit[[#This Row],[Winning Candidate]]-Audit[[#This Row],[Losing Candidate]]-(Audit[[#This Row],[Audit Winning Candidate]]-Audit[[#This Row],[Audit Losing Candidate]]))/(Audit[[#Totals],[Winning Candidate]]-Audit[[#Totals],[Losing Candidate]]),
      0
)</f>
        <v>0</v>
      </c>
      <c r="AD7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3" s="111">
        <f>IF(Audit[[#This Row],[Max Relative Error (ep)]] = 0, 0, Audit[[#This Row],[Max Relative Error (ep)]]/Audit[[#This Row],[Error Bound (up) - Max. possible relative overstatement]])</f>
        <v>0</v>
      </c>
      <c r="AJ7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53" s="111">
        <f t="shared" si="11"/>
        <v>1</v>
      </c>
      <c r="AL753" s="111">
        <f>PRODUCT($AK$5:AK753)</f>
        <v>8.962823818226312E-2</v>
      </c>
      <c r="AM753" s="109">
        <f>1 - [K-M P Value]</f>
        <v>0.91037176181773694</v>
      </c>
      <c r="AN753" s="111" t="str">
        <f>IF(Audit[[#This Row],[K-M P Value]]&gt;1-'General Info'!$B$16,"Continue", "Stop")</f>
        <v>Stop</v>
      </c>
      <c r="AO753" s="110" t="b">
        <f>IF(Audit[[#This Row],[Status - Continue or stop audit]] = "Continue", TRUE, IF(AN752 = "Continue", TRUE, FALSE))</f>
        <v>0</v>
      </c>
      <c r="AP753" s="110"/>
    </row>
    <row r="754" spans="1:42" ht="15" hidden="1" customHeight="1">
      <c r="A754" s="111" t="str">
        <f>'Sampling Data'!W745</f>
        <v/>
      </c>
      <c r="B754" s="112" t="str">
        <f>'Sampling Data'!A745</f>
        <v>CLEVELAND -14-C</v>
      </c>
      <c r="C754" s="112">
        <f>'Sampling Data'!B745</f>
        <v>7</v>
      </c>
      <c r="D754" s="112">
        <f>'Sampling Data'!C745</f>
        <v>12</v>
      </c>
      <c r="E754" s="113">
        <f>'Sampling Data'!D745</f>
        <v>3</v>
      </c>
      <c r="F754" s="113">
        <f>'Sampling Data'!E745</f>
        <v>4</v>
      </c>
      <c r="G754" s="113">
        <f>'Sampling Data'!F745</f>
        <v>0</v>
      </c>
      <c r="H754" s="113">
        <f>'Sampling Data'!G745</f>
        <v>1</v>
      </c>
      <c r="I754" s="112">
        <f>'Sampling Data'!H745</f>
        <v>0</v>
      </c>
      <c r="J754" s="112">
        <f>'Sampling Data'!I745</f>
        <v>0</v>
      </c>
      <c r="K754" s="112">
        <f>'Sampling Data'!J745</f>
        <v>27</v>
      </c>
      <c r="L754" s="111">
        <f>'Sampling Data'!X745</f>
        <v>0</v>
      </c>
      <c r="M754" s="114"/>
      <c r="N754" s="114"/>
      <c r="O754" s="115"/>
      <c r="P754" s="115"/>
      <c r="Q754" s="116"/>
      <c r="R754" s="116"/>
      <c r="S754" s="111">
        <f>Audit[[#This Row],[Audit Losing Candidate]]-Audit[[#This Row],[Losing Candidate]]</f>
        <v>-7</v>
      </c>
      <c r="T754" s="111">
        <f>Audit[[#This Row],[Audit Winning Candidate]]-Audit[[#This Row],[Winning Candidate]]</f>
        <v>-12</v>
      </c>
      <c r="U754" s="111">
        <f>Audit[[#This Row],[Audit Candidate 3]]-Audit[[#This Row],[Candidate 3]]</f>
        <v>-3</v>
      </c>
      <c r="V754" s="111">
        <f>Audit[[#This Row],[Audit Candidate 4]]-Audit[[#This Row],[Candidate 4]]</f>
        <v>-4</v>
      </c>
      <c r="W754" s="111">
        <f>Audit[[#This Row],[Audit Candidate 5]]-Audit[[#This Row],[Candidate 5]]</f>
        <v>0</v>
      </c>
      <c r="X754" s="111">
        <f>Audit[[#This Row],[Audit Candidate 6]]-Audit[[#This Row],[Candidate 6]]</f>
        <v>-1</v>
      </c>
      <c r="Y754" s="111">
        <f>SUMIF(Audit[[#This Row],[Difference Loser]:[Difference Candidate 6]], "&gt;0")</f>
        <v>0</v>
      </c>
      <c r="Z754" s="111">
        <f>SUM(Audit[[#This Row],[Difference Loser]:[Difference Candidate 6]])</f>
        <v>-27</v>
      </c>
      <c r="AA754" s="111">
        <f>IF(Audit[[#This Row],[Times p Drawn - With Replacement]]&gt;0, IF(Audit[[#This Row],[Canceled Differences]]&lt;0, Audit[[#This Row],[Max Differences]]+ABS(Audit[[#This Row],[Canceled Differences]]), Audit[[#This Row],[Max Differences]]), 0)</f>
        <v>0</v>
      </c>
      <c r="AB754" s="111">
        <f>'Sampling Data'!P745</f>
        <v>1.9598236158745713E-3</v>
      </c>
      <c r="AC754" s="111">
        <f>IF(
      SUM(Audit[[#This Row],[Audit Losing Candidate]:[Audit Candidate 6]])
      &lt;&gt;0,
      (Audit[[#This Row],[Winning Candidate]]-Audit[[#This Row],[Losing Candidate]]-(Audit[[#This Row],[Audit Winning Candidate]]-Audit[[#This Row],[Audit Losing Candidate]]))/(Audit[[#Totals],[Winning Candidate]]-Audit[[#Totals],[Losing Candidate]]),
      0
)</f>
        <v>0</v>
      </c>
      <c r="AD7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4" s="111">
        <f>IF(Audit[[#This Row],[Max Relative Error (ep)]] = 0, 0, Audit[[#This Row],[Max Relative Error (ep)]]/Audit[[#This Row],[Error Bound (up) - Max. possible relative overstatement]])</f>
        <v>0</v>
      </c>
      <c r="AJ7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54" s="111">
        <f t="shared" si="11"/>
        <v>1</v>
      </c>
      <c r="AL754" s="111">
        <f>PRODUCT($AK$5:AK754)</f>
        <v>8.962823818226312E-2</v>
      </c>
      <c r="AM754" s="109">
        <f>1 - [K-M P Value]</f>
        <v>0.91037176181773694</v>
      </c>
      <c r="AN754" s="111" t="str">
        <f>IF(Audit[[#This Row],[K-M P Value]]&gt;1-'General Info'!$B$16,"Continue", "Stop")</f>
        <v>Stop</v>
      </c>
      <c r="AO754" s="110" t="b">
        <f>IF(Audit[[#This Row],[Status - Continue or stop audit]] = "Continue", TRUE, IF(AN753 = "Continue", TRUE, FALSE))</f>
        <v>0</v>
      </c>
      <c r="AP754" s="110"/>
    </row>
    <row r="755" spans="1:42" ht="15" hidden="1" customHeight="1">
      <c r="A755" s="111" t="str">
        <f>'Sampling Data'!W746</f>
        <v/>
      </c>
      <c r="B755" s="112" t="str">
        <f>'Sampling Data'!A746</f>
        <v>CLEVELAND -14-C - ABS</v>
      </c>
      <c r="C755" s="112">
        <f>'Sampling Data'!B746</f>
        <v>4</v>
      </c>
      <c r="D755" s="112">
        <f>'Sampling Data'!C746</f>
        <v>5</v>
      </c>
      <c r="E755" s="113">
        <f>'Sampling Data'!D746</f>
        <v>0</v>
      </c>
      <c r="F755" s="113">
        <f>'Sampling Data'!E746</f>
        <v>0</v>
      </c>
      <c r="G755" s="113">
        <f>'Sampling Data'!F746</f>
        <v>0</v>
      </c>
      <c r="H755" s="113">
        <f>'Sampling Data'!G746</f>
        <v>0</v>
      </c>
      <c r="I755" s="112">
        <f>'Sampling Data'!H746</f>
        <v>0</v>
      </c>
      <c r="J755" s="112">
        <f>'Sampling Data'!I746</f>
        <v>0</v>
      </c>
      <c r="K755" s="112">
        <f>'Sampling Data'!J746</f>
        <v>9</v>
      </c>
      <c r="L755" s="111">
        <f>'Sampling Data'!X746</f>
        <v>0</v>
      </c>
      <c r="M755" s="114"/>
      <c r="N755" s="114"/>
      <c r="O755" s="115"/>
      <c r="P755" s="115"/>
      <c r="Q755" s="116"/>
      <c r="R755" s="116"/>
      <c r="S755" s="111">
        <f>Audit[[#This Row],[Audit Losing Candidate]]-Audit[[#This Row],[Losing Candidate]]</f>
        <v>-4</v>
      </c>
      <c r="T755" s="111">
        <f>Audit[[#This Row],[Audit Winning Candidate]]-Audit[[#This Row],[Winning Candidate]]</f>
        <v>-5</v>
      </c>
      <c r="U755" s="111">
        <f>Audit[[#This Row],[Audit Candidate 3]]-Audit[[#This Row],[Candidate 3]]</f>
        <v>0</v>
      </c>
      <c r="V755" s="111">
        <f>Audit[[#This Row],[Audit Candidate 4]]-Audit[[#This Row],[Candidate 4]]</f>
        <v>0</v>
      </c>
      <c r="W755" s="111">
        <f>Audit[[#This Row],[Audit Candidate 5]]-Audit[[#This Row],[Candidate 5]]</f>
        <v>0</v>
      </c>
      <c r="X755" s="111">
        <f>Audit[[#This Row],[Audit Candidate 6]]-Audit[[#This Row],[Candidate 6]]</f>
        <v>0</v>
      </c>
      <c r="Y755" s="111">
        <f>SUMIF(Audit[[#This Row],[Difference Loser]:[Difference Candidate 6]], "&gt;0")</f>
        <v>0</v>
      </c>
      <c r="Z755" s="111">
        <f>SUM(Audit[[#This Row],[Difference Loser]:[Difference Candidate 6]])</f>
        <v>-9</v>
      </c>
      <c r="AA755" s="111">
        <f>IF(Audit[[#This Row],[Times p Drawn - With Replacement]]&gt;0, IF(Audit[[#This Row],[Canceled Differences]]&lt;0, Audit[[#This Row],[Max Differences]]+ABS(Audit[[#This Row],[Canceled Differences]]), Audit[[#This Row],[Max Differences]]), 0)</f>
        <v>0</v>
      </c>
      <c r="AB755" s="111">
        <f>'Sampling Data'!P746</f>
        <v>6.1244487996080352E-4</v>
      </c>
      <c r="AC755" s="111">
        <f>IF(
      SUM(Audit[[#This Row],[Audit Losing Candidate]:[Audit Candidate 6]])
      &lt;&gt;0,
      (Audit[[#This Row],[Winning Candidate]]-Audit[[#This Row],[Losing Candidate]]-(Audit[[#This Row],[Audit Winning Candidate]]-Audit[[#This Row],[Audit Losing Candidate]]))/(Audit[[#Totals],[Winning Candidate]]-Audit[[#Totals],[Losing Candidate]]),
      0
)</f>
        <v>0</v>
      </c>
      <c r="AD7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5" s="111">
        <f>IF(Audit[[#This Row],[Max Relative Error (ep)]] = 0, 0, Audit[[#This Row],[Max Relative Error (ep)]]/Audit[[#This Row],[Error Bound (up) - Max. possible relative overstatement]])</f>
        <v>0</v>
      </c>
      <c r="AJ7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55" s="111">
        <f t="shared" si="11"/>
        <v>1</v>
      </c>
      <c r="AL755" s="111">
        <f>PRODUCT($AK$5:AK755)</f>
        <v>8.962823818226312E-2</v>
      </c>
      <c r="AM755" s="109">
        <f>1 - [K-M P Value]</f>
        <v>0.91037176181773694</v>
      </c>
      <c r="AN755" s="111" t="str">
        <f>IF(Audit[[#This Row],[K-M P Value]]&gt;1-'General Info'!$B$16,"Continue", "Stop")</f>
        <v>Stop</v>
      </c>
      <c r="AO755" s="110" t="b">
        <f>IF(Audit[[#This Row],[Status - Continue or stop audit]] = "Continue", TRUE, IF(AN754 = "Continue", TRUE, FALSE))</f>
        <v>0</v>
      </c>
      <c r="AP755" s="110"/>
    </row>
    <row r="756" spans="1:42" ht="15" hidden="1" customHeight="1">
      <c r="A756" s="111" t="str">
        <f>'Sampling Data'!W747</f>
        <v/>
      </c>
      <c r="B756" s="112" t="str">
        <f>'Sampling Data'!A747</f>
        <v>CLEVELAND -14-D</v>
      </c>
      <c r="C756" s="112">
        <f>'Sampling Data'!B747</f>
        <v>3</v>
      </c>
      <c r="D756" s="112">
        <f>'Sampling Data'!C747</f>
        <v>8</v>
      </c>
      <c r="E756" s="113">
        <f>'Sampling Data'!D747</f>
        <v>2</v>
      </c>
      <c r="F756" s="113">
        <f>'Sampling Data'!E747</f>
        <v>1</v>
      </c>
      <c r="G756" s="113">
        <f>'Sampling Data'!F747</f>
        <v>0</v>
      </c>
      <c r="H756" s="113">
        <f>'Sampling Data'!G747</f>
        <v>1</v>
      </c>
      <c r="I756" s="112">
        <f>'Sampling Data'!H747</f>
        <v>0</v>
      </c>
      <c r="J756" s="112">
        <f>'Sampling Data'!I747</f>
        <v>0</v>
      </c>
      <c r="K756" s="112">
        <f>'Sampling Data'!J747</f>
        <v>15</v>
      </c>
      <c r="L756" s="111">
        <f>'Sampling Data'!X747</f>
        <v>0</v>
      </c>
      <c r="M756" s="114"/>
      <c r="N756" s="114"/>
      <c r="O756" s="115"/>
      <c r="P756" s="115"/>
      <c r="Q756" s="116"/>
      <c r="R756" s="116"/>
      <c r="S756" s="111">
        <f>Audit[[#This Row],[Audit Losing Candidate]]-Audit[[#This Row],[Losing Candidate]]</f>
        <v>-3</v>
      </c>
      <c r="T756" s="111">
        <f>Audit[[#This Row],[Audit Winning Candidate]]-Audit[[#This Row],[Winning Candidate]]</f>
        <v>-8</v>
      </c>
      <c r="U756" s="111">
        <f>Audit[[#This Row],[Audit Candidate 3]]-Audit[[#This Row],[Candidate 3]]</f>
        <v>-2</v>
      </c>
      <c r="V756" s="111">
        <f>Audit[[#This Row],[Audit Candidate 4]]-Audit[[#This Row],[Candidate 4]]</f>
        <v>-1</v>
      </c>
      <c r="W756" s="111">
        <f>Audit[[#This Row],[Audit Candidate 5]]-Audit[[#This Row],[Candidate 5]]</f>
        <v>0</v>
      </c>
      <c r="X756" s="111">
        <f>Audit[[#This Row],[Audit Candidate 6]]-Audit[[#This Row],[Candidate 6]]</f>
        <v>-1</v>
      </c>
      <c r="Y756" s="111">
        <f>SUMIF(Audit[[#This Row],[Difference Loser]:[Difference Candidate 6]], "&gt;0")</f>
        <v>0</v>
      </c>
      <c r="Z756" s="111">
        <f>SUM(Audit[[#This Row],[Difference Loser]:[Difference Candidate 6]])</f>
        <v>-15</v>
      </c>
      <c r="AA756" s="111">
        <f>IF(Audit[[#This Row],[Times p Drawn - With Replacement]]&gt;0, IF(Audit[[#This Row],[Canceled Differences]]&lt;0, Audit[[#This Row],[Max Differences]]+ABS(Audit[[#This Row],[Canceled Differences]]), Audit[[#This Row],[Max Differences]]), 0)</f>
        <v>0</v>
      </c>
      <c r="AB756" s="111">
        <f>'Sampling Data'!P747</f>
        <v>1.224889759921607E-3</v>
      </c>
      <c r="AC756" s="111">
        <f>IF(
      SUM(Audit[[#This Row],[Audit Losing Candidate]:[Audit Candidate 6]])
      &lt;&gt;0,
      (Audit[[#This Row],[Winning Candidate]]-Audit[[#This Row],[Losing Candidate]]-(Audit[[#This Row],[Audit Winning Candidate]]-Audit[[#This Row],[Audit Losing Candidate]]))/(Audit[[#Totals],[Winning Candidate]]-Audit[[#Totals],[Losing Candidate]]),
      0
)</f>
        <v>0</v>
      </c>
      <c r="AD7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6" s="111">
        <f>IF(Audit[[#This Row],[Max Relative Error (ep)]] = 0, 0, Audit[[#This Row],[Max Relative Error (ep)]]/Audit[[#This Row],[Error Bound (up) - Max. possible relative overstatement]])</f>
        <v>0</v>
      </c>
      <c r="AJ7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56" s="111">
        <f t="shared" si="11"/>
        <v>1</v>
      </c>
      <c r="AL756" s="111">
        <f>PRODUCT($AK$5:AK756)</f>
        <v>8.962823818226312E-2</v>
      </c>
      <c r="AM756" s="109">
        <f>1 - [K-M P Value]</f>
        <v>0.91037176181773694</v>
      </c>
      <c r="AN756" s="111" t="str">
        <f>IF(Audit[[#This Row],[K-M P Value]]&gt;1-'General Info'!$B$16,"Continue", "Stop")</f>
        <v>Stop</v>
      </c>
      <c r="AO756" s="110" t="b">
        <f>IF(Audit[[#This Row],[Status - Continue or stop audit]] = "Continue", TRUE, IF(AN755 = "Continue", TRUE, FALSE))</f>
        <v>0</v>
      </c>
      <c r="AP756" s="110"/>
    </row>
    <row r="757" spans="1:42" ht="15" hidden="1" customHeight="1">
      <c r="A757" s="111" t="str">
        <f>'Sampling Data'!W748</f>
        <v/>
      </c>
      <c r="B757" s="112" t="str">
        <f>'Sampling Data'!A748</f>
        <v>CLEVELAND -14-D - ABS</v>
      </c>
      <c r="C757" s="112">
        <f>'Sampling Data'!B748</f>
        <v>2</v>
      </c>
      <c r="D757" s="112">
        <f>'Sampling Data'!C748</f>
        <v>1</v>
      </c>
      <c r="E757" s="113">
        <f>'Sampling Data'!D748</f>
        <v>2</v>
      </c>
      <c r="F757" s="113">
        <f>'Sampling Data'!E748</f>
        <v>1</v>
      </c>
      <c r="G757" s="113">
        <f>'Sampling Data'!F748</f>
        <v>0</v>
      </c>
      <c r="H757" s="113">
        <f>'Sampling Data'!G748</f>
        <v>0</v>
      </c>
      <c r="I757" s="112">
        <f>'Sampling Data'!H748</f>
        <v>0</v>
      </c>
      <c r="J757" s="112">
        <f>'Sampling Data'!I748</f>
        <v>0</v>
      </c>
      <c r="K757" s="112">
        <f>'Sampling Data'!J748</f>
        <v>6</v>
      </c>
      <c r="L757" s="111">
        <f>'Sampling Data'!X748</f>
        <v>0</v>
      </c>
      <c r="M757" s="114"/>
      <c r="N757" s="114"/>
      <c r="O757" s="115"/>
      <c r="P757" s="115"/>
      <c r="Q757" s="116"/>
      <c r="R757" s="116"/>
      <c r="S757" s="111">
        <f>Audit[[#This Row],[Audit Losing Candidate]]-Audit[[#This Row],[Losing Candidate]]</f>
        <v>-2</v>
      </c>
      <c r="T757" s="111">
        <f>Audit[[#This Row],[Audit Winning Candidate]]-Audit[[#This Row],[Winning Candidate]]</f>
        <v>-1</v>
      </c>
      <c r="U757" s="111">
        <f>Audit[[#This Row],[Audit Candidate 3]]-Audit[[#This Row],[Candidate 3]]</f>
        <v>-2</v>
      </c>
      <c r="V757" s="111">
        <f>Audit[[#This Row],[Audit Candidate 4]]-Audit[[#This Row],[Candidate 4]]</f>
        <v>-1</v>
      </c>
      <c r="W757" s="111">
        <f>Audit[[#This Row],[Audit Candidate 5]]-Audit[[#This Row],[Candidate 5]]</f>
        <v>0</v>
      </c>
      <c r="X757" s="111">
        <f>Audit[[#This Row],[Audit Candidate 6]]-Audit[[#This Row],[Candidate 6]]</f>
        <v>0</v>
      </c>
      <c r="Y757" s="111">
        <f>SUMIF(Audit[[#This Row],[Difference Loser]:[Difference Candidate 6]], "&gt;0")</f>
        <v>0</v>
      </c>
      <c r="Z757" s="111">
        <f>SUM(Audit[[#This Row],[Difference Loser]:[Difference Candidate 6]])</f>
        <v>-6</v>
      </c>
      <c r="AA757" s="111">
        <f>IF(Audit[[#This Row],[Times p Drawn - With Replacement]]&gt;0, IF(Audit[[#This Row],[Canceled Differences]]&lt;0, Audit[[#This Row],[Max Differences]]+ABS(Audit[[#This Row],[Canceled Differences]]), Audit[[#This Row],[Max Differences]]), 0)</f>
        <v>0</v>
      </c>
      <c r="AB757" s="111">
        <f>'Sampling Data'!P748</f>
        <v>3.0622243998040176E-4</v>
      </c>
      <c r="AC757" s="111">
        <f>IF(
      SUM(Audit[[#This Row],[Audit Losing Candidate]:[Audit Candidate 6]])
      &lt;&gt;0,
      (Audit[[#This Row],[Winning Candidate]]-Audit[[#This Row],[Losing Candidate]]-(Audit[[#This Row],[Audit Winning Candidate]]-Audit[[#This Row],[Audit Losing Candidate]]))/(Audit[[#Totals],[Winning Candidate]]-Audit[[#Totals],[Losing Candidate]]),
      0
)</f>
        <v>0</v>
      </c>
      <c r="AD7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7" s="111">
        <f>IF(Audit[[#This Row],[Max Relative Error (ep)]] = 0, 0, Audit[[#This Row],[Max Relative Error (ep)]]/Audit[[#This Row],[Error Bound (up) - Max. possible relative overstatement]])</f>
        <v>0</v>
      </c>
      <c r="AJ7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57" s="111">
        <f t="shared" si="11"/>
        <v>1</v>
      </c>
      <c r="AL757" s="111">
        <f>PRODUCT($AK$5:AK757)</f>
        <v>8.962823818226312E-2</v>
      </c>
      <c r="AM757" s="109">
        <f>1 - [K-M P Value]</f>
        <v>0.91037176181773694</v>
      </c>
      <c r="AN757" s="111" t="str">
        <f>IF(Audit[[#This Row],[K-M P Value]]&gt;1-'General Info'!$B$16,"Continue", "Stop")</f>
        <v>Stop</v>
      </c>
      <c r="AO757" s="110" t="b">
        <f>IF(Audit[[#This Row],[Status - Continue or stop audit]] = "Continue", TRUE, IF(AN756 = "Continue", TRUE, FALSE))</f>
        <v>0</v>
      </c>
      <c r="AP757" s="110"/>
    </row>
    <row r="758" spans="1:42" ht="15" hidden="1" customHeight="1">
      <c r="A758" s="111" t="str">
        <f>'Sampling Data'!W749</f>
        <v/>
      </c>
      <c r="B758" s="112" t="str">
        <f>'Sampling Data'!A749</f>
        <v>CLEVELAND -14-E</v>
      </c>
      <c r="C758" s="112">
        <f>'Sampling Data'!B749</f>
        <v>3</v>
      </c>
      <c r="D758" s="112">
        <f>'Sampling Data'!C749</f>
        <v>6</v>
      </c>
      <c r="E758" s="113">
        <f>'Sampling Data'!D749</f>
        <v>2</v>
      </c>
      <c r="F758" s="113">
        <f>'Sampling Data'!E749</f>
        <v>1</v>
      </c>
      <c r="G758" s="113">
        <f>'Sampling Data'!F749</f>
        <v>0</v>
      </c>
      <c r="H758" s="113">
        <f>'Sampling Data'!G749</f>
        <v>0</v>
      </c>
      <c r="I758" s="112">
        <f>'Sampling Data'!H749</f>
        <v>0</v>
      </c>
      <c r="J758" s="112">
        <f>'Sampling Data'!I749</f>
        <v>1</v>
      </c>
      <c r="K758" s="112">
        <f>'Sampling Data'!J749</f>
        <v>13</v>
      </c>
      <c r="L758" s="111">
        <f>'Sampling Data'!X749</f>
        <v>0</v>
      </c>
      <c r="M758" s="114"/>
      <c r="N758" s="114"/>
      <c r="O758" s="115"/>
      <c r="P758" s="115"/>
      <c r="Q758" s="116"/>
      <c r="R758" s="116"/>
      <c r="S758" s="111">
        <f>Audit[[#This Row],[Audit Losing Candidate]]-Audit[[#This Row],[Losing Candidate]]</f>
        <v>-3</v>
      </c>
      <c r="T758" s="111">
        <f>Audit[[#This Row],[Audit Winning Candidate]]-Audit[[#This Row],[Winning Candidate]]</f>
        <v>-6</v>
      </c>
      <c r="U758" s="111">
        <f>Audit[[#This Row],[Audit Candidate 3]]-Audit[[#This Row],[Candidate 3]]</f>
        <v>-2</v>
      </c>
      <c r="V758" s="111">
        <f>Audit[[#This Row],[Audit Candidate 4]]-Audit[[#This Row],[Candidate 4]]</f>
        <v>-1</v>
      </c>
      <c r="W758" s="111">
        <f>Audit[[#This Row],[Audit Candidate 5]]-Audit[[#This Row],[Candidate 5]]</f>
        <v>0</v>
      </c>
      <c r="X758" s="111">
        <f>Audit[[#This Row],[Audit Candidate 6]]-Audit[[#This Row],[Candidate 6]]</f>
        <v>0</v>
      </c>
      <c r="Y758" s="111">
        <f>SUMIF(Audit[[#This Row],[Difference Loser]:[Difference Candidate 6]], "&gt;0")</f>
        <v>0</v>
      </c>
      <c r="Z758" s="111">
        <f>SUM(Audit[[#This Row],[Difference Loser]:[Difference Candidate 6]])</f>
        <v>-12</v>
      </c>
      <c r="AA758" s="111">
        <f>IF(Audit[[#This Row],[Times p Drawn - With Replacement]]&gt;0, IF(Audit[[#This Row],[Canceled Differences]]&lt;0, Audit[[#This Row],[Max Differences]]+ABS(Audit[[#This Row],[Canceled Differences]]), Audit[[#This Row],[Max Differences]]), 0)</f>
        <v>0</v>
      </c>
      <c r="AB758" s="111">
        <f>'Sampling Data'!P749</f>
        <v>9.7991180793728563E-4</v>
      </c>
      <c r="AC758" s="111">
        <f>IF(
      SUM(Audit[[#This Row],[Audit Losing Candidate]:[Audit Candidate 6]])
      &lt;&gt;0,
      (Audit[[#This Row],[Winning Candidate]]-Audit[[#This Row],[Losing Candidate]]-(Audit[[#This Row],[Audit Winning Candidate]]-Audit[[#This Row],[Audit Losing Candidate]]))/(Audit[[#Totals],[Winning Candidate]]-Audit[[#Totals],[Losing Candidate]]),
      0
)</f>
        <v>0</v>
      </c>
      <c r="AD7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8" s="111">
        <f>IF(Audit[[#This Row],[Max Relative Error (ep)]] = 0, 0, Audit[[#This Row],[Max Relative Error (ep)]]/Audit[[#This Row],[Error Bound (up) - Max. possible relative overstatement]])</f>
        <v>0</v>
      </c>
      <c r="AJ7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58" s="111">
        <f t="shared" si="11"/>
        <v>1</v>
      </c>
      <c r="AL758" s="111">
        <f>PRODUCT($AK$5:AK758)</f>
        <v>8.962823818226312E-2</v>
      </c>
      <c r="AM758" s="109">
        <f>1 - [K-M P Value]</f>
        <v>0.91037176181773694</v>
      </c>
      <c r="AN758" s="111" t="str">
        <f>IF(Audit[[#This Row],[K-M P Value]]&gt;1-'General Info'!$B$16,"Continue", "Stop")</f>
        <v>Stop</v>
      </c>
      <c r="AO758" s="110" t="b">
        <f>IF(Audit[[#This Row],[Status - Continue or stop audit]] = "Continue", TRUE, IF(AN757 = "Continue", TRUE, FALSE))</f>
        <v>0</v>
      </c>
      <c r="AP758" s="110"/>
    </row>
    <row r="759" spans="1:42" ht="15" hidden="1" customHeight="1">
      <c r="A759" s="111" t="str">
        <f>'Sampling Data'!W750</f>
        <v/>
      </c>
      <c r="B759" s="112" t="str">
        <f>'Sampling Data'!A750</f>
        <v>CLEVELAND -14-E - ABS</v>
      </c>
      <c r="C759" s="112">
        <f>'Sampling Data'!B750</f>
        <v>1</v>
      </c>
      <c r="D759" s="112">
        <f>'Sampling Data'!C750</f>
        <v>1</v>
      </c>
      <c r="E759" s="113">
        <f>'Sampling Data'!D750</f>
        <v>1</v>
      </c>
      <c r="F759" s="113">
        <f>'Sampling Data'!E750</f>
        <v>0</v>
      </c>
      <c r="G759" s="113">
        <f>'Sampling Data'!F750</f>
        <v>0</v>
      </c>
      <c r="H759" s="113">
        <f>'Sampling Data'!G750</f>
        <v>0</v>
      </c>
      <c r="I759" s="112">
        <f>'Sampling Data'!H750</f>
        <v>0</v>
      </c>
      <c r="J759" s="112">
        <f>'Sampling Data'!I750</f>
        <v>0</v>
      </c>
      <c r="K759" s="112">
        <f>'Sampling Data'!J750</f>
        <v>3</v>
      </c>
      <c r="L759" s="111">
        <f>'Sampling Data'!X750</f>
        <v>0</v>
      </c>
      <c r="M759" s="114"/>
      <c r="N759" s="114"/>
      <c r="O759" s="115"/>
      <c r="P759" s="115"/>
      <c r="Q759" s="116"/>
      <c r="R759" s="116"/>
      <c r="S759" s="111">
        <f>Audit[[#This Row],[Audit Losing Candidate]]-Audit[[#This Row],[Losing Candidate]]</f>
        <v>-1</v>
      </c>
      <c r="T759" s="111">
        <f>Audit[[#This Row],[Audit Winning Candidate]]-Audit[[#This Row],[Winning Candidate]]</f>
        <v>-1</v>
      </c>
      <c r="U759" s="111">
        <f>Audit[[#This Row],[Audit Candidate 3]]-Audit[[#This Row],[Candidate 3]]</f>
        <v>-1</v>
      </c>
      <c r="V759" s="111">
        <f>Audit[[#This Row],[Audit Candidate 4]]-Audit[[#This Row],[Candidate 4]]</f>
        <v>0</v>
      </c>
      <c r="W759" s="111">
        <f>Audit[[#This Row],[Audit Candidate 5]]-Audit[[#This Row],[Candidate 5]]</f>
        <v>0</v>
      </c>
      <c r="X759" s="111">
        <f>Audit[[#This Row],[Audit Candidate 6]]-Audit[[#This Row],[Candidate 6]]</f>
        <v>0</v>
      </c>
      <c r="Y759" s="111">
        <f>SUMIF(Audit[[#This Row],[Difference Loser]:[Difference Candidate 6]], "&gt;0")</f>
        <v>0</v>
      </c>
      <c r="Z759" s="111">
        <f>SUM(Audit[[#This Row],[Difference Loser]:[Difference Candidate 6]])</f>
        <v>-3</v>
      </c>
      <c r="AA759" s="111">
        <f>IF(Audit[[#This Row],[Times p Drawn - With Replacement]]&gt;0, IF(Audit[[#This Row],[Canceled Differences]]&lt;0, Audit[[#This Row],[Max Differences]]+ABS(Audit[[#This Row],[Canceled Differences]]), Audit[[#This Row],[Max Differences]]), 0)</f>
        <v>0</v>
      </c>
      <c r="AB759" s="111">
        <f>'Sampling Data'!P750</f>
        <v>1.8373346398824106E-4</v>
      </c>
      <c r="AC759" s="111">
        <f>IF(
      SUM(Audit[[#This Row],[Audit Losing Candidate]:[Audit Candidate 6]])
      &lt;&gt;0,
      (Audit[[#This Row],[Winning Candidate]]-Audit[[#This Row],[Losing Candidate]]-(Audit[[#This Row],[Audit Winning Candidate]]-Audit[[#This Row],[Audit Losing Candidate]]))/(Audit[[#Totals],[Winning Candidate]]-Audit[[#Totals],[Losing Candidate]]),
      0
)</f>
        <v>0</v>
      </c>
      <c r="AD7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9" s="111">
        <f>IF(Audit[[#This Row],[Max Relative Error (ep)]] = 0, 0, Audit[[#This Row],[Max Relative Error (ep)]]/Audit[[#This Row],[Error Bound (up) - Max. possible relative overstatement]])</f>
        <v>0</v>
      </c>
      <c r="AJ7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59" s="111">
        <f t="shared" si="11"/>
        <v>1</v>
      </c>
      <c r="AL759" s="111">
        <f>PRODUCT($AK$5:AK759)</f>
        <v>8.962823818226312E-2</v>
      </c>
      <c r="AM759" s="109">
        <f>1 - [K-M P Value]</f>
        <v>0.91037176181773694</v>
      </c>
      <c r="AN759" s="111" t="str">
        <f>IF(Audit[[#This Row],[K-M P Value]]&gt;1-'General Info'!$B$16,"Continue", "Stop")</f>
        <v>Stop</v>
      </c>
      <c r="AO759" s="110" t="b">
        <f>IF(Audit[[#This Row],[Status - Continue or stop audit]] = "Continue", TRUE, IF(AN758 = "Continue", TRUE, FALSE))</f>
        <v>0</v>
      </c>
      <c r="AP759" s="110"/>
    </row>
    <row r="760" spans="1:42" ht="15" hidden="1" customHeight="1">
      <c r="A760" s="111" t="str">
        <f>'Sampling Data'!W751</f>
        <v/>
      </c>
      <c r="B760" s="112" t="str">
        <f>'Sampling Data'!A751</f>
        <v>CLEVELAND -14-F</v>
      </c>
      <c r="C760" s="112">
        <f>'Sampling Data'!B751</f>
        <v>2</v>
      </c>
      <c r="D760" s="112">
        <f>'Sampling Data'!C751</f>
        <v>1</v>
      </c>
      <c r="E760" s="113">
        <f>'Sampling Data'!D751</f>
        <v>3</v>
      </c>
      <c r="F760" s="113">
        <f>'Sampling Data'!E751</f>
        <v>1</v>
      </c>
      <c r="G760" s="113">
        <f>'Sampling Data'!F751</f>
        <v>0</v>
      </c>
      <c r="H760" s="113">
        <f>'Sampling Data'!G751</f>
        <v>0</v>
      </c>
      <c r="I760" s="112">
        <f>'Sampling Data'!H751</f>
        <v>0</v>
      </c>
      <c r="J760" s="112">
        <f>'Sampling Data'!I751</f>
        <v>0</v>
      </c>
      <c r="K760" s="112">
        <f>'Sampling Data'!J751</f>
        <v>7</v>
      </c>
      <c r="L760" s="111">
        <f>'Sampling Data'!X751</f>
        <v>0</v>
      </c>
      <c r="M760" s="114"/>
      <c r="N760" s="114"/>
      <c r="O760" s="115"/>
      <c r="P760" s="115"/>
      <c r="Q760" s="116"/>
      <c r="R760" s="116"/>
      <c r="S760" s="111">
        <f>Audit[[#This Row],[Audit Losing Candidate]]-Audit[[#This Row],[Losing Candidate]]</f>
        <v>-2</v>
      </c>
      <c r="T760" s="111">
        <f>Audit[[#This Row],[Audit Winning Candidate]]-Audit[[#This Row],[Winning Candidate]]</f>
        <v>-1</v>
      </c>
      <c r="U760" s="111">
        <f>Audit[[#This Row],[Audit Candidate 3]]-Audit[[#This Row],[Candidate 3]]</f>
        <v>-3</v>
      </c>
      <c r="V760" s="111">
        <f>Audit[[#This Row],[Audit Candidate 4]]-Audit[[#This Row],[Candidate 4]]</f>
        <v>-1</v>
      </c>
      <c r="W760" s="111">
        <f>Audit[[#This Row],[Audit Candidate 5]]-Audit[[#This Row],[Candidate 5]]</f>
        <v>0</v>
      </c>
      <c r="X760" s="111">
        <f>Audit[[#This Row],[Audit Candidate 6]]-Audit[[#This Row],[Candidate 6]]</f>
        <v>0</v>
      </c>
      <c r="Y760" s="111">
        <f>SUMIF(Audit[[#This Row],[Difference Loser]:[Difference Candidate 6]], "&gt;0")</f>
        <v>0</v>
      </c>
      <c r="Z760" s="111">
        <f>SUM(Audit[[#This Row],[Difference Loser]:[Difference Candidate 6]])</f>
        <v>-7</v>
      </c>
      <c r="AA760" s="111">
        <f>IF(Audit[[#This Row],[Times p Drawn - With Replacement]]&gt;0, IF(Audit[[#This Row],[Canceled Differences]]&lt;0, Audit[[#This Row],[Max Differences]]+ABS(Audit[[#This Row],[Canceled Differences]]), Audit[[#This Row],[Max Differences]]), 0)</f>
        <v>0</v>
      </c>
      <c r="AB760" s="111">
        <f>'Sampling Data'!P751</f>
        <v>3.6746692797648211E-4</v>
      </c>
      <c r="AC760" s="111">
        <f>IF(
      SUM(Audit[[#This Row],[Audit Losing Candidate]:[Audit Candidate 6]])
      &lt;&gt;0,
      (Audit[[#This Row],[Winning Candidate]]-Audit[[#This Row],[Losing Candidate]]-(Audit[[#This Row],[Audit Winning Candidate]]-Audit[[#This Row],[Audit Losing Candidate]]))/(Audit[[#Totals],[Winning Candidate]]-Audit[[#Totals],[Losing Candidate]]),
      0
)</f>
        <v>0</v>
      </c>
      <c r="AD7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0" s="111">
        <f>IF(Audit[[#This Row],[Max Relative Error (ep)]] = 0, 0, Audit[[#This Row],[Max Relative Error (ep)]]/Audit[[#This Row],[Error Bound (up) - Max. possible relative overstatement]])</f>
        <v>0</v>
      </c>
      <c r="AJ7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60" s="111">
        <f t="shared" si="11"/>
        <v>1</v>
      </c>
      <c r="AL760" s="111">
        <f>PRODUCT($AK$5:AK760)</f>
        <v>8.962823818226312E-2</v>
      </c>
      <c r="AM760" s="109">
        <f>1 - [K-M P Value]</f>
        <v>0.91037176181773694</v>
      </c>
      <c r="AN760" s="111" t="str">
        <f>IF(Audit[[#This Row],[K-M P Value]]&gt;1-'General Info'!$B$16,"Continue", "Stop")</f>
        <v>Stop</v>
      </c>
      <c r="AO760" s="110" t="b">
        <f>IF(Audit[[#This Row],[Status - Continue or stop audit]] = "Continue", TRUE, IF(AN759 = "Continue", TRUE, FALSE))</f>
        <v>0</v>
      </c>
      <c r="AP760" s="110"/>
    </row>
    <row r="761" spans="1:42" ht="15" hidden="1" customHeight="1">
      <c r="A761" s="111" t="str">
        <f>'Sampling Data'!W752</f>
        <v/>
      </c>
      <c r="B761" s="112" t="str">
        <f>'Sampling Data'!A752</f>
        <v>CLEVELAND -14-F - ABS</v>
      </c>
      <c r="C761" s="112">
        <f>'Sampling Data'!B752</f>
        <v>3</v>
      </c>
      <c r="D761" s="112">
        <f>'Sampling Data'!C752</f>
        <v>0</v>
      </c>
      <c r="E761" s="113">
        <f>'Sampling Data'!D752</f>
        <v>1</v>
      </c>
      <c r="F761" s="113">
        <f>'Sampling Data'!E752</f>
        <v>0</v>
      </c>
      <c r="G761" s="113">
        <f>'Sampling Data'!F752</f>
        <v>0</v>
      </c>
      <c r="H761" s="113">
        <f>'Sampling Data'!G752</f>
        <v>1</v>
      </c>
      <c r="I761" s="112">
        <f>'Sampling Data'!H752</f>
        <v>0</v>
      </c>
      <c r="J761" s="112">
        <f>'Sampling Data'!I752</f>
        <v>0</v>
      </c>
      <c r="K761" s="112">
        <f>'Sampling Data'!J752</f>
        <v>5</v>
      </c>
      <c r="L761" s="111">
        <f>'Sampling Data'!X752</f>
        <v>0</v>
      </c>
      <c r="M761" s="114"/>
      <c r="N761" s="114"/>
      <c r="O761" s="115"/>
      <c r="P761" s="115"/>
      <c r="Q761" s="116"/>
      <c r="R761" s="116"/>
      <c r="S761" s="111">
        <f>Audit[[#This Row],[Audit Losing Candidate]]-Audit[[#This Row],[Losing Candidate]]</f>
        <v>-3</v>
      </c>
      <c r="T761" s="111">
        <f>Audit[[#This Row],[Audit Winning Candidate]]-Audit[[#This Row],[Winning Candidate]]</f>
        <v>0</v>
      </c>
      <c r="U761" s="111">
        <f>Audit[[#This Row],[Audit Candidate 3]]-Audit[[#This Row],[Candidate 3]]</f>
        <v>-1</v>
      </c>
      <c r="V761" s="111">
        <f>Audit[[#This Row],[Audit Candidate 4]]-Audit[[#This Row],[Candidate 4]]</f>
        <v>0</v>
      </c>
      <c r="W761" s="111">
        <f>Audit[[#This Row],[Audit Candidate 5]]-Audit[[#This Row],[Candidate 5]]</f>
        <v>0</v>
      </c>
      <c r="X761" s="111">
        <f>Audit[[#This Row],[Audit Candidate 6]]-Audit[[#This Row],[Candidate 6]]</f>
        <v>-1</v>
      </c>
      <c r="Y761" s="111">
        <f>SUMIF(Audit[[#This Row],[Difference Loser]:[Difference Candidate 6]], "&gt;0")</f>
        <v>0</v>
      </c>
      <c r="Z761" s="111">
        <f>SUM(Audit[[#This Row],[Difference Loser]:[Difference Candidate 6]])</f>
        <v>-5</v>
      </c>
      <c r="AA761" s="111">
        <f>IF(Audit[[#This Row],[Times p Drawn - With Replacement]]&gt;0, IF(Audit[[#This Row],[Canceled Differences]]&lt;0, Audit[[#This Row],[Max Differences]]+ABS(Audit[[#This Row],[Canceled Differences]]), Audit[[#This Row],[Max Differences]]), 0)</f>
        <v>0</v>
      </c>
      <c r="AB761" s="111">
        <f>'Sampling Data'!P752</f>
        <v>1.4616036715484231E-4</v>
      </c>
      <c r="AC761" s="111">
        <f>IF(
      SUM(Audit[[#This Row],[Audit Losing Candidate]:[Audit Candidate 6]])
      &lt;&gt;0,
      (Audit[[#This Row],[Winning Candidate]]-Audit[[#This Row],[Losing Candidate]]-(Audit[[#This Row],[Audit Winning Candidate]]-Audit[[#This Row],[Audit Losing Candidate]]))/(Audit[[#Totals],[Winning Candidate]]-Audit[[#Totals],[Losing Candidate]]),
      0
)</f>
        <v>0</v>
      </c>
      <c r="AD7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1" s="111">
        <f>IF(Audit[[#This Row],[Max Relative Error (ep)]] = 0, 0, Audit[[#This Row],[Max Relative Error (ep)]]/Audit[[#This Row],[Error Bound (up) - Max. possible relative overstatement]])</f>
        <v>0</v>
      </c>
      <c r="AJ7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61" s="111">
        <f t="shared" si="11"/>
        <v>1</v>
      </c>
      <c r="AL761" s="111">
        <f>PRODUCT($AK$5:AK761)</f>
        <v>8.962823818226312E-2</v>
      </c>
      <c r="AM761" s="109">
        <f>1 - [K-M P Value]</f>
        <v>0.91037176181773694</v>
      </c>
      <c r="AN761" s="111" t="str">
        <f>IF(Audit[[#This Row],[K-M P Value]]&gt;1-'General Info'!$B$16,"Continue", "Stop")</f>
        <v>Stop</v>
      </c>
      <c r="AO761" s="110" t="b">
        <f>IF(Audit[[#This Row],[Status - Continue or stop audit]] = "Continue", TRUE, IF(AN760 = "Continue", TRUE, FALSE))</f>
        <v>0</v>
      </c>
      <c r="AP761" s="110"/>
    </row>
    <row r="762" spans="1:42" ht="15" hidden="1" customHeight="1">
      <c r="A762" s="111" t="str">
        <f>'Sampling Data'!W753</f>
        <v/>
      </c>
      <c r="B762" s="112" t="str">
        <f>'Sampling Data'!A753</f>
        <v>CLEVELAND -14-G</v>
      </c>
      <c r="C762" s="112">
        <f>'Sampling Data'!B753</f>
        <v>4</v>
      </c>
      <c r="D762" s="112">
        <f>'Sampling Data'!C753</f>
        <v>3</v>
      </c>
      <c r="E762" s="113">
        <f>'Sampling Data'!D753</f>
        <v>0</v>
      </c>
      <c r="F762" s="113">
        <f>'Sampling Data'!E753</f>
        <v>3</v>
      </c>
      <c r="G762" s="113">
        <f>'Sampling Data'!F753</f>
        <v>0</v>
      </c>
      <c r="H762" s="113">
        <f>'Sampling Data'!G753</f>
        <v>0</v>
      </c>
      <c r="I762" s="112">
        <f>'Sampling Data'!H753</f>
        <v>0</v>
      </c>
      <c r="J762" s="112">
        <f>'Sampling Data'!I753</f>
        <v>0</v>
      </c>
      <c r="K762" s="112">
        <f>'Sampling Data'!J753</f>
        <v>10</v>
      </c>
      <c r="L762" s="111">
        <f>'Sampling Data'!X753</f>
        <v>0</v>
      </c>
      <c r="M762" s="114"/>
      <c r="N762" s="114"/>
      <c r="O762" s="115"/>
      <c r="P762" s="115"/>
      <c r="Q762" s="116"/>
      <c r="R762" s="116"/>
      <c r="S762" s="111">
        <f>Audit[[#This Row],[Audit Losing Candidate]]-Audit[[#This Row],[Losing Candidate]]</f>
        <v>-4</v>
      </c>
      <c r="T762" s="111">
        <f>Audit[[#This Row],[Audit Winning Candidate]]-Audit[[#This Row],[Winning Candidate]]</f>
        <v>-3</v>
      </c>
      <c r="U762" s="111">
        <f>Audit[[#This Row],[Audit Candidate 3]]-Audit[[#This Row],[Candidate 3]]</f>
        <v>0</v>
      </c>
      <c r="V762" s="111">
        <f>Audit[[#This Row],[Audit Candidate 4]]-Audit[[#This Row],[Candidate 4]]</f>
        <v>-3</v>
      </c>
      <c r="W762" s="111">
        <f>Audit[[#This Row],[Audit Candidate 5]]-Audit[[#This Row],[Candidate 5]]</f>
        <v>0</v>
      </c>
      <c r="X762" s="111">
        <f>Audit[[#This Row],[Audit Candidate 6]]-Audit[[#This Row],[Candidate 6]]</f>
        <v>0</v>
      </c>
      <c r="Y762" s="111">
        <f>SUMIF(Audit[[#This Row],[Difference Loser]:[Difference Candidate 6]], "&gt;0")</f>
        <v>0</v>
      </c>
      <c r="Z762" s="111">
        <f>SUM(Audit[[#This Row],[Difference Loser]:[Difference Candidate 6]])</f>
        <v>-10</v>
      </c>
      <c r="AA762" s="111">
        <f>IF(Audit[[#This Row],[Times p Drawn - With Replacement]]&gt;0, IF(Audit[[#This Row],[Canceled Differences]]&lt;0, Audit[[#This Row],[Max Differences]]+ABS(Audit[[#This Row],[Canceled Differences]]), Audit[[#This Row],[Max Differences]]), 0)</f>
        <v>0</v>
      </c>
      <c r="AB762" s="111">
        <f>'Sampling Data'!P753</f>
        <v>5.5120039196472322E-4</v>
      </c>
      <c r="AC762" s="111">
        <f>IF(
      SUM(Audit[[#This Row],[Audit Losing Candidate]:[Audit Candidate 6]])
      &lt;&gt;0,
      (Audit[[#This Row],[Winning Candidate]]-Audit[[#This Row],[Losing Candidate]]-(Audit[[#This Row],[Audit Winning Candidate]]-Audit[[#This Row],[Audit Losing Candidate]]))/(Audit[[#Totals],[Winning Candidate]]-Audit[[#Totals],[Losing Candidate]]),
      0
)</f>
        <v>0</v>
      </c>
      <c r="AD7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2" s="111">
        <f>IF(Audit[[#This Row],[Max Relative Error (ep)]] = 0, 0, Audit[[#This Row],[Max Relative Error (ep)]]/Audit[[#This Row],[Error Bound (up) - Max. possible relative overstatement]])</f>
        <v>0</v>
      </c>
      <c r="AJ7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62" s="111">
        <f t="shared" si="11"/>
        <v>1</v>
      </c>
      <c r="AL762" s="111">
        <f>PRODUCT($AK$5:AK762)</f>
        <v>8.962823818226312E-2</v>
      </c>
      <c r="AM762" s="109">
        <f>1 - [K-M P Value]</f>
        <v>0.91037176181773694</v>
      </c>
      <c r="AN762" s="111" t="str">
        <f>IF(Audit[[#This Row],[K-M P Value]]&gt;1-'General Info'!$B$16,"Continue", "Stop")</f>
        <v>Stop</v>
      </c>
      <c r="AO762" s="110" t="b">
        <f>IF(Audit[[#This Row],[Status - Continue or stop audit]] = "Continue", TRUE, IF(AN761 = "Continue", TRUE, FALSE))</f>
        <v>0</v>
      </c>
      <c r="AP762" s="110"/>
    </row>
    <row r="763" spans="1:42" ht="15" hidden="1" customHeight="1">
      <c r="A763" s="111" t="str">
        <f>'Sampling Data'!W754</f>
        <v/>
      </c>
      <c r="B763" s="112" t="str">
        <f>'Sampling Data'!A754</f>
        <v>CLEVELAND -14-G - ABS</v>
      </c>
      <c r="C763" s="112">
        <f>'Sampling Data'!B754</f>
        <v>0</v>
      </c>
      <c r="D763" s="112">
        <f>'Sampling Data'!C754</f>
        <v>0</v>
      </c>
      <c r="E763" s="113">
        <f>'Sampling Data'!D754</f>
        <v>0</v>
      </c>
      <c r="F763" s="113">
        <f>'Sampling Data'!E754</f>
        <v>0</v>
      </c>
      <c r="G763" s="113">
        <f>'Sampling Data'!F754</f>
        <v>0</v>
      </c>
      <c r="H763" s="113">
        <f>'Sampling Data'!G754</f>
        <v>0</v>
      </c>
      <c r="I763" s="112">
        <f>'Sampling Data'!H754</f>
        <v>0</v>
      </c>
      <c r="J763" s="112">
        <f>'Sampling Data'!I754</f>
        <v>0</v>
      </c>
      <c r="K763" s="112">
        <f>'Sampling Data'!J754</f>
        <v>0</v>
      </c>
      <c r="L763" s="111">
        <f>'Sampling Data'!X754</f>
        <v>0</v>
      </c>
      <c r="M763" s="114"/>
      <c r="N763" s="114"/>
      <c r="O763" s="115"/>
      <c r="P763" s="115"/>
      <c r="Q763" s="116"/>
      <c r="R763" s="116"/>
      <c r="S763" s="111">
        <f>Audit[[#This Row],[Audit Losing Candidate]]-Audit[[#This Row],[Losing Candidate]]</f>
        <v>0</v>
      </c>
      <c r="T763" s="111">
        <f>Audit[[#This Row],[Audit Winning Candidate]]-Audit[[#This Row],[Winning Candidate]]</f>
        <v>0</v>
      </c>
      <c r="U763" s="111">
        <f>Audit[[#This Row],[Audit Candidate 3]]-Audit[[#This Row],[Candidate 3]]</f>
        <v>0</v>
      </c>
      <c r="V763" s="111">
        <f>Audit[[#This Row],[Audit Candidate 4]]-Audit[[#This Row],[Candidate 4]]</f>
        <v>0</v>
      </c>
      <c r="W763" s="111">
        <f>Audit[[#This Row],[Audit Candidate 5]]-Audit[[#This Row],[Candidate 5]]</f>
        <v>0</v>
      </c>
      <c r="X763" s="111">
        <f>Audit[[#This Row],[Audit Candidate 6]]-Audit[[#This Row],[Candidate 6]]</f>
        <v>0</v>
      </c>
      <c r="Y763" s="111">
        <f>SUMIF(Audit[[#This Row],[Difference Loser]:[Difference Candidate 6]], "&gt;0")</f>
        <v>0</v>
      </c>
      <c r="Z763" s="111">
        <f>SUM(Audit[[#This Row],[Difference Loser]:[Difference Candidate 6]])</f>
        <v>0</v>
      </c>
      <c r="AA763" s="111">
        <f>IF(Audit[[#This Row],[Times p Drawn - With Replacement]]&gt;0, IF(Audit[[#This Row],[Canceled Differences]]&lt;0, Audit[[#This Row],[Max Differences]]+ABS(Audit[[#This Row],[Canceled Differences]]), Audit[[#This Row],[Max Differences]]), 0)</f>
        <v>0</v>
      </c>
      <c r="AB763" s="111">
        <f>'Sampling Data'!P754</f>
        <v>0</v>
      </c>
      <c r="AC763" s="111">
        <f>IF(
      SUM(Audit[[#This Row],[Audit Losing Candidate]:[Audit Candidate 6]])
      &lt;&gt;0,
      (Audit[[#This Row],[Winning Candidate]]-Audit[[#This Row],[Losing Candidate]]-(Audit[[#This Row],[Audit Winning Candidate]]-Audit[[#This Row],[Audit Losing Candidate]]))/(Audit[[#Totals],[Winning Candidate]]-Audit[[#Totals],[Losing Candidate]]),
      0
)</f>
        <v>0</v>
      </c>
      <c r="AD7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3" s="111">
        <f>IF(Audit[[#This Row],[Max Relative Error (ep)]] = 0, 0, Audit[[#This Row],[Max Relative Error (ep)]]/Audit[[#This Row],[Error Bound (up) - Max. possible relative overstatement]])</f>
        <v>0</v>
      </c>
      <c r="AJ7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63" s="111">
        <f t="shared" si="11"/>
        <v>1</v>
      </c>
      <c r="AL763" s="111">
        <f>PRODUCT($AK$5:AK763)</f>
        <v>8.962823818226312E-2</v>
      </c>
      <c r="AM763" s="109">
        <f>1 - [K-M P Value]</f>
        <v>0.91037176181773694</v>
      </c>
      <c r="AN763" s="111" t="str">
        <f>IF(Audit[[#This Row],[K-M P Value]]&gt;1-'General Info'!$B$16,"Continue", "Stop")</f>
        <v>Stop</v>
      </c>
      <c r="AO763" s="110" t="b">
        <f>IF(Audit[[#This Row],[Status - Continue or stop audit]] = "Continue", TRUE, IF(AN762 = "Continue", TRUE, FALSE))</f>
        <v>0</v>
      </c>
      <c r="AP763" s="110"/>
    </row>
    <row r="764" spans="1:42" ht="15" hidden="1" customHeight="1">
      <c r="A764" s="111" t="str">
        <f>'Sampling Data'!W755</f>
        <v/>
      </c>
      <c r="B764" s="112" t="str">
        <f>'Sampling Data'!A755</f>
        <v>CLEVELAND -14-H</v>
      </c>
      <c r="C764" s="112">
        <f>'Sampling Data'!B755</f>
        <v>0</v>
      </c>
      <c r="D764" s="112">
        <f>'Sampling Data'!C755</f>
        <v>2</v>
      </c>
      <c r="E764" s="113">
        <f>'Sampling Data'!D755</f>
        <v>2</v>
      </c>
      <c r="F764" s="113">
        <f>'Sampling Data'!E755</f>
        <v>1</v>
      </c>
      <c r="G764" s="113">
        <f>'Sampling Data'!F755</f>
        <v>0</v>
      </c>
      <c r="H764" s="113">
        <f>'Sampling Data'!G755</f>
        <v>0</v>
      </c>
      <c r="I764" s="112">
        <f>'Sampling Data'!H755</f>
        <v>0</v>
      </c>
      <c r="J764" s="112">
        <f>'Sampling Data'!I755</f>
        <v>0</v>
      </c>
      <c r="K764" s="112">
        <f>'Sampling Data'!J755</f>
        <v>5</v>
      </c>
      <c r="L764" s="111">
        <f>'Sampling Data'!X755</f>
        <v>0</v>
      </c>
      <c r="M764" s="114"/>
      <c r="N764" s="114"/>
      <c r="O764" s="115"/>
      <c r="P764" s="115"/>
      <c r="Q764" s="116"/>
      <c r="R764" s="116"/>
      <c r="S764" s="111">
        <f>Audit[[#This Row],[Audit Losing Candidate]]-Audit[[#This Row],[Losing Candidate]]</f>
        <v>0</v>
      </c>
      <c r="T764" s="111">
        <f>Audit[[#This Row],[Audit Winning Candidate]]-Audit[[#This Row],[Winning Candidate]]</f>
        <v>-2</v>
      </c>
      <c r="U764" s="111">
        <f>Audit[[#This Row],[Audit Candidate 3]]-Audit[[#This Row],[Candidate 3]]</f>
        <v>-2</v>
      </c>
      <c r="V764" s="111">
        <f>Audit[[#This Row],[Audit Candidate 4]]-Audit[[#This Row],[Candidate 4]]</f>
        <v>-1</v>
      </c>
      <c r="W764" s="111">
        <f>Audit[[#This Row],[Audit Candidate 5]]-Audit[[#This Row],[Candidate 5]]</f>
        <v>0</v>
      </c>
      <c r="X764" s="111">
        <f>Audit[[#This Row],[Audit Candidate 6]]-Audit[[#This Row],[Candidate 6]]</f>
        <v>0</v>
      </c>
      <c r="Y764" s="111">
        <f>SUMIF(Audit[[#This Row],[Difference Loser]:[Difference Candidate 6]], "&gt;0")</f>
        <v>0</v>
      </c>
      <c r="Z764" s="111">
        <f>SUM(Audit[[#This Row],[Difference Loser]:[Difference Candidate 6]])</f>
        <v>-5</v>
      </c>
      <c r="AA764" s="111">
        <f>IF(Audit[[#This Row],[Times p Drawn - With Replacement]]&gt;0, IF(Audit[[#This Row],[Canceled Differences]]&lt;0, Audit[[#This Row],[Max Differences]]+ABS(Audit[[#This Row],[Canceled Differences]]), Audit[[#This Row],[Max Differences]]), 0)</f>
        <v>0</v>
      </c>
      <c r="AB764" s="111">
        <f>'Sampling Data'!P755</f>
        <v>4.2871141597256246E-4</v>
      </c>
      <c r="AC764" s="111">
        <f>IF(
      SUM(Audit[[#This Row],[Audit Losing Candidate]:[Audit Candidate 6]])
      &lt;&gt;0,
      (Audit[[#This Row],[Winning Candidate]]-Audit[[#This Row],[Losing Candidate]]-(Audit[[#This Row],[Audit Winning Candidate]]-Audit[[#This Row],[Audit Losing Candidate]]))/(Audit[[#Totals],[Winning Candidate]]-Audit[[#Totals],[Losing Candidate]]),
      0
)</f>
        <v>0</v>
      </c>
      <c r="AD7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4" s="111">
        <f>IF(Audit[[#This Row],[Max Relative Error (ep)]] = 0, 0, Audit[[#This Row],[Max Relative Error (ep)]]/Audit[[#This Row],[Error Bound (up) - Max. possible relative overstatement]])</f>
        <v>0</v>
      </c>
      <c r="AJ7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64" s="111">
        <f t="shared" si="11"/>
        <v>1</v>
      </c>
      <c r="AL764" s="111">
        <f>PRODUCT($AK$5:AK764)</f>
        <v>8.962823818226312E-2</v>
      </c>
      <c r="AM764" s="109">
        <f>1 - [K-M P Value]</f>
        <v>0.91037176181773694</v>
      </c>
      <c r="AN764" s="111" t="str">
        <f>IF(Audit[[#This Row],[K-M P Value]]&gt;1-'General Info'!$B$16,"Continue", "Stop")</f>
        <v>Stop</v>
      </c>
      <c r="AO764" s="110" t="b">
        <f>IF(Audit[[#This Row],[Status - Continue or stop audit]] = "Continue", TRUE, IF(AN763 = "Continue", TRUE, FALSE))</f>
        <v>0</v>
      </c>
      <c r="AP764" s="110"/>
    </row>
    <row r="765" spans="1:42" ht="15" hidden="1" customHeight="1">
      <c r="A765" s="111" t="str">
        <f>'Sampling Data'!W756</f>
        <v/>
      </c>
      <c r="B765" s="112" t="str">
        <f>'Sampling Data'!A756</f>
        <v>CLEVELAND -14-H - ABS</v>
      </c>
      <c r="C765" s="112">
        <f>'Sampling Data'!B756</f>
        <v>0</v>
      </c>
      <c r="D765" s="112">
        <f>'Sampling Data'!C756</f>
        <v>1</v>
      </c>
      <c r="E765" s="113">
        <f>'Sampling Data'!D756</f>
        <v>2</v>
      </c>
      <c r="F765" s="113">
        <f>'Sampling Data'!E756</f>
        <v>2</v>
      </c>
      <c r="G765" s="113">
        <f>'Sampling Data'!F756</f>
        <v>0</v>
      </c>
      <c r="H765" s="113">
        <f>'Sampling Data'!G756</f>
        <v>1</v>
      </c>
      <c r="I765" s="112">
        <f>'Sampling Data'!H756</f>
        <v>0</v>
      </c>
      <c r="J765" s="112">
        <f>'Sampling Data'!I756</f>
        <v>1</v>
      </c>
      <c r="K765" s="112">
        <f>'Sampling Data'!J756</f>
        <v>7</v>
      </c>
      <c r="L765" s="111">
        <f>'Sampling Data'!X756</f>
        <v>0</v>
      </c>
      <c r="M765" s="114"/>
      <c r="N765" s="114"/>
      <c r="O765" s="115"/>
      <c r="P765" s="115"/>
      <c r="Q765" s="116"/>
      <c r="R765" s="116"/>
      <c r="S765" s="111">
        <f>Audit[[#This Row],[Audit Losing Candidate]]-Audit[[#This Row],[Losing Candidate]]</f>
        <v>0</v>
      </c>
      <c r="T765" s="111">
        <f>Audit[[#This Row],[Audit Winning Candidate]]-Audit[[#This Row],[Winning Candidate]]</f>
        <v>-1</v>
      </c>
      <c r="U765" s="111">
        <f>Audit[[#This Row],[Audit Candidate 3]]-Audit[[#This Row],[Candidate 3]]</f>
        <v>-2</v>
      </c>
      <c r="V765" s="111">
        <f>Audit[[#This Row],[Audit Candidate 4]]-Audit[[#This Row],[Candidate 4]]</f>
        <v>-2</v>
      </c>
      <c r="W765" s="111">
        <f>Audit[[#This Row],[Audit Candidate 5]]-Audit[[#This Row],[Candidate 5]]</f>
        <v>0</v>
      </c>
      <c r="X765" s="111">
        <f>Audit[[#This Row],[Audit Candidate 6]]-Audit[[#This Row],[Candidate 6]]</f>
        <v>-1</v>
      </c>
      <c r="Y765" s="111">
        <f>SUMIF(Audit[[#This Row],[Difference Loser]:[Difference Candidate 6]], "&gt;0")</f>
        <v>0</v>
      </c>
      <c r="Z765" s="111">
        <f>SUM(Audit[[#This Row],[Difference Loser]:[Difference Candidate 6]])</f>
        <v>-6</v>
      </c>
      <c r="AA765" s="111">
        <f>IF(Audit[[#This Row],[Times p Drawn - With Replacement]]&gt;0, IF(Audit[[#This Row],[Canceled Differences]]&lt;0, Audit[[#This Row],[Max Differences]]+ABS(Audit[[#This Row],[Canceled Differences]]), Audit[[#This Row],[Max Differences]]), 0)</f>
        <v>0</v>
      </c>
      <c r="AB765" s="111">
        <f>'Sampling Data'!P756</f>
        <v>4.8995590396864281E-4</v>
      </c>
      <c r="AC765" s="111">
        <f>IF(
      SUM(Audit[[#This Row],[Audit Losing Candidate]:[Audit Candidate 6]])
      &lt;&gt;0,
      (Audit[[#This Row],[Winning Candidate]]-Audit[[#This Row],[Losing Candidate]]-(Audit[[#This Row],[Audit Winning Candidate]]-Audit[[#This Row],[Audit Losing Candidate]]))/(Audit[[#Totals],[Winning Candidate]]-Audit[[#Totals],[Losing Candidate]]),
      0
)</f>
        <v>0</v>
      </c>
      <c r="AD7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5" s="111">
        <f>IF(Audit[[#This Row],[Max Relative Error (ep)]] = 0, 0, Audit[[#This Row],[Max Relative Error (ep)]]/Audit[[#This Row],[Error Bound (up) - Max. possible relative overstatement]])</f>
        <v>0</v>
      </c>
      <c r="AJ7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65" s="111">
        <f t="shared" si="11"/>
        <v>1</v>
      </c>
      <c r="AL765" s="111">
        <f>PRODUCT($AK$5:AK765)</f>
        <v>8.962823818226312E-2</v>
      </c>
      <c r="AM765" s="109">
        <f>1 - [K-M P Value]</f>
        <v>0.91037176181773694</v>
      </c>
      <c r="AN765" s="111" t="str">
        <f>IF(Audit[[#This Row],[K-M P Value]]&gt;1-'General Info'!$B$16,"Continue", "Stop")</f>
        <v>Stop</v>
      </c>
      <c r="AO765" s="110" t="b">
        <f>IF(Audit[[#This Row],[Status - Continue or stop audit]] = "Continue", TRUE, IF(AN764 = "Continue", TRUE, FALSE))</f>
        <v>0</v>
      </c>
      <c r="AP765" s="110"/>
    </row>
    <row r="766" spans="1:42" ht="15" hidden="1" customHeight="1">
      <c r="A766" s="111" t="str">
        <f>'Sampling Data'!W757</f>
        <v/>
      </c>
      <c r="B766" s="112" t="str">
        <f>'Sampling Data'!A757</f>
        <v>CLEVELAND -14-I</v>
      </c>
      <c r="C766" s="112">
        <f>'Sampling Data'!B757</f>
        <v>7</v>
      </c>
      <c r="D766" s="112">
        <f>'Sampling Data'!C757</f>
        <v>2</v>
      </c>
      <c r="E766" s="113">
        <f>'Sampling Data'!D757</f>
        <v>1</v>
      </c>
      <c r="F766" s="113">
        <f>'Sampling Data'!E757</f>
        <v>1</v>
      </c>
      <c r="G766" s="113">
        <f>'Sampling Data'!F757</f>
        <v>0</v>
      </c>
      <c r="H766" s="113">
        <f>'Sampling Data'!G757</f>
        <v>0</v>
      </c>
      <c r="I766" s="112">
        <f>'Sampling Data'!H757</f>
        <v>0</v>
      </c>
      <c r="J766" s="112">
        <f>'Sampling Data'!I757</f>
        <v>0</v>
      </c>
      <c r="K766" s="112">
        <f>'Sampling Data'!J757</f>
        <v>11</v>
      </c>
      <c r="L766" s="111">
        <f>'Sampling Data'!X757</f>
        <v>0</v>
      </c>
      <c r="M766" s="114"/>
      <c r="N766" s="114"/>
      <c r="O766" s="115"/>
      <c r="P766" s="115"/>
      <c r="Q766" s="116"/>
      <c r="R766" s="116"/>
      <c r="S766" s="111">
        <f>Audit[[#This Row],[Audit Losing Candidate]]-Audit[[#This Row],[Losing Candidate]]</f>
        <v>-7</v>
      </c>
      <c r="T766" s="111">
        <f>Audit[[#This Row],[Audit Winning Candidate]]-Audit[[#This Row],[Winning Candidate]]</f>
        <v>-2</v>
      </c>
      <c r="U766" s="111">
        <f>Audit[[#This Row],[Audit Candidate 3]]-Audit[[#This Row],[Candidate 3]]</f>
        <v>-1</v>
      </c>
      <c r="V766" s="111">
        <f>Audit[[#This Row],[Audit Candidate 4]]-Audit[[#This Row],[Candidate 4]]</f>
        <v>-1</v>
      </c>
      <c r="W766" s="111">
        <f>Audit[[#This Row],[Audit Candidate 5]]-Audit[[#This Row],[Candidate 5]]</f>
        <v>0</v>
      </c>
      <c r="X766" s="111">
        <f>Audit[[#This Row],[Audit Candidate 6]]-Audit[[#This Row],[Candidate 6]]</f>
        <v>0</v>
      </c>
      <c r="Y766" s="111">
        <f>SUMIF(Audit[[#This Row],[Difference Loser]:[Difference Candidate 6]], "&gt;0")</f>
        <v>0</v>
      </c>
      <c r="Z766" s="111">
        <f>SUM(Audit[[#This Row],[Difference Loser]:[Difference Candidate 6]])</f>
        <v>-11</v>
      </c>
      <c r="AA766" s="111">
        <f>IF(Audit[[#This Row],[Times p Drawn - With Replacement]]&gt;0, IF(Audit[[#This Row],[Canceled Differences]]&lt;0, Audit[[#This Row],[Max Differences]]+ABS(Audit[[#This Row],[Canceled Differences]]), Audit[[#This Row],[Max Differences]]), 0)</f>
        <v>0</v>
      </c>
      <c r="AB766" s="111">
        <f>'Sampling Data'!P757</f>
        <v>3.8713423879730297E-4</v>
      </c>
      <c r="AC766" s="111">
        <f>IF(
      SUM(Audit[[#This Row],[Audit Losing Candidate]:[Audit Candidate 6]])
      &lt;&gt;0,
      (Audit[[#This Row],[Winning Candidate]]-Audit[[#This Row],[Losing Candidate]]-(Audit[[#This Row],[Audit Winning Candidate]]-Audit[[#This Row],[Audit Losing Candidate]]))/(Audit[[#Totals],[Winning Candidate]]-Audit[[#Totals],[Losing Candidate]]),
      0
)</f>
        <v>0</v>
      </c>
      <c r="AD7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6" s="111">
        <f>IF(Audit[[#This Row],[Max Relative Error (ep)]] = 0, 0, Audit[[#This Row],[Max Relative Error (ep)]]/Audit[[#This Row],[Error Bound (up) - Max. possible relative overstatement]])</f>
        <v>0</v>
      </c>
      <c r="AJ7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66" s="111">
        <f t="shared" si="11"/>
        <v>1</v>
      </c>
      <c r="AL766" s="111">
        <f>PRODUCT($AK$5:AK766)</f>
        <v>8.962823818226312E-2</v>
      </c>
      <c r="AM766" s="109">
        <f>1 - [K-M P Value]</f>
        <v>0.91037176181773694</v>
      </c>
      <c r="AN766" s="111" t="str">
        <f>IF(Audit[[#This Row],[K-M P Value]]&gt;1-'General Info'!$B$16,"Continue", "Stop")</f>
        <v>Stop</v>
      </c>
      <c r="AO766" s="110" t="b">
        <f>IF(Audit[[#This Row],[Status - Continue or stop audit]] = "Continue", TRUE, IF(AN765 = "Continue", TRUE, FALSE))</f>
        <v>0</v>
      </c>
      <c r="AP766" s="110"/>
    </row>
    <row r="767" spans="1:42" ht="15" hidden="1" customHeight="1">
      <c r="A767" s="111" t="str">
        <f>'Sampling Data'!W758</f>
        <v/>
      </c>
      <c r="B767" s="112" t="str">
        <f>'Sampling Data'!A758</f>
        <v>CLEVELAND -14-I - ABS</v>
      </c>
      <c r="C767" s="112">
        <f>'Sampling Data'!B758</f>
        <v>4</v>
      </c>
      <c r="D767" s="112">
        <f>'Sampling Data'!C758</f>
        <v>1</v>
      </c>
      <c r="E767" s="113">
        <f>'Sampling Data'!D758</f>
        <v>0</v>
      </c>
      <c r="F767" s="113">
        <f>'Sampling Data'!E758</f>
        <v>0</v>
      </c>
      <c r="G767" s="113">
        <f>'Sampling Data'!F758</f>
        <v>0</v>
      </c>
      <c r="H767" s="113">
        <f>'Sampling Data'!G758</f>
        <v>0</v>
      </c>
      <c r="I767" s="112">
        <f>'Sampling Data'!H758</f>
        <v>0</v>
      </c>
      <c r="J767" s="112">
        <f>'Sampling Data'!I758</f>
        <v>0</v>
      </c>
      <c r="K767" s="112">
        <f>'Sampling Data'!J758</f>
        <v>5</v>
      </c>
      <c r="L767" s="111">
        <f>'Sampling Data'!X758</f>
        <v>0</v>
      </c>
      <c r="M767" s="114"/>
      <c r="N767" s="114"/>
      <c r="O767" s="115"/>
      <c r="P767" s="115"/>
      <c r="Q767" s="116"/>
      <c r="R767" s="116"/>
      <c r="S767" s="111">
        <f>Audit[[#This Row],[Audit Losing Candidate]]-Audit[[#This Row],[Losing Candidate]]</f>
        <v>-4</v>
      </c>
      <c r="T767" s="111">
        <f>Audit[[#This Row],[Audit Winning Candidate]]-Audit[[#This Row],[Winning Candidate]]</f>
        <v>-1</v>
      </c>
      <c r="U767" s="111">
        <f>Audit[[#This Row],[Audit Candidate 3]]-Audit[[#This Row],[Candidate 3]]</f>
        <v>0</v>
      </c>
      <c r="V767" s="111">
        <f>Audit[[#This Row],[Audit Candidate 4]]-Audit[[#This Row],[Candidate 4]]</f>
        <v>0</v>
      </c>
      <c r="W767" s="111">
        <f>Audit[[#This Row],[Audit Candidate 5]]-Audit[[#This Row],[Candidate 5]]</f>
        <v>0</v>
      </c>
      <c r="X767" s="111">
        <f>Audit[[#This Row],[Audit Candidate 6]]-Audit[[#This Row],[Candidate 6]]</f>
        <v>0</v>
      </c>
      <c r="Y767" s="111">
        <f>SUMIF(Audit[[#This Row],[Difference Loser]:[Difference Candidate 6]], "&gt;0")</f>
        <v>0</v>
      </c>
      <c r="Z767" s="111">
        <f>SUM(Audit[[#This Row],[Difference Loser]:[Difference Candidate 6]])</f>
        <v>-5</v>
      </c>
      <c r="AA767" s="111">
        <f>IF(Audit[[#This Row],[Times p Drawn - With Replacement]]&gt;0, IF(Audit[[#This Row],[Canceled Differences]]&lt;0, Audit[[#This Row],[Max Differences]]+ABS(Audit[[#This Row],[Canceled Differences]]), Audit[[#This Row],[Max Differences]]), 0)</f>
        <v>0</v>
      </c>
      <c r="AB767" s="111">
        <f>'Sampling Data'!P758</f>
        <v>1.9356711939865149E-4</v>
      </c>
      <c r="AC767" s="111">
        <f>IF(
      SUM(Audit[[#This Row],[Audit Losing Candidate]:[Audit Candidate 6]])
      &lt;&gt;0,
      (Audit[[#This Row],[Winning Candidate]]-Audit[[#This Row],[Losing Candidate]]-(Audit[[#This Row],[Audit Winning Candidate]]-Audit[[#This Row],[Audit Losing Candidate]]))/(Audit[[#Totals],[Winning Candidate]]-Audit[[#Totals],[Losing Candidate]]),
      0
)</f>
        <v>0</v>
      </c>
      <c r="AD7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7" s="111">
        <f>IF(Audit[[#This Row],[Max Relative Error (ep)]] = 0, 0, Audit[[#This Row],[Max Relative Error (ep)]]/Audit[[#This Row],[Error Bound (up) - Max. possible relative overstatement]])</f>
        <v>0</v>
      </c>
      <c r="AJ7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67" s="111">
        <f t="shared" si="11"/>
        <v>1</v>
      </c>
      <c r="AL767" s="111">
        <f>PRODUCT($AK$5:AK767)</f>
        <v>8.962823818226312E-2</v>
      </c>
      <c r="AM767" s="109">
        <f>1 - [K-M P Value]</f>
        <v>0.91037176181773694</v>
      </c>
      <c r="AN767" s="111" t="str">
        <f>IF(Audit[[#This Row],[K-M P Value]]&gt;1-'General Info'!$B$16,"Continue", "Stop")</f>
        <v>Stop</v>
      </c>
      <c r="AO767" s="110" t="b">
        <f>IF(Audit[[#This Row],[Status - Continue or stop audit]] = "Continue", TRUE, IF(AN766 = "Continue", TRUE, FALSE))</f>
        <v>0</v>
      </c>
      <c r="AP767" s="110"/>
    </row>
    <row r="768" spans="1:42" ht="15" hidden="1" customHeight="1">
      <c r="A768" s="111" t="str">
        <f>'Sampling Data'!W759</f>
        <v/>
      </c>
      <c r="B768" s="112" t="str">
        <f>'Sampling Data'!A759</f>
        <v>CLEVELAND -14-J</v>
      </c>
      <c r="C768" s="112">
        <f>'Sampling Data'!B759</f>
        <v>8</v>
      </c>
      <c r="D768" s="112">
        <f>'Sampling Data'!C759</f>
        <v>3</v>
      </c>
      <c r="E768" s="113">
        <f>'Sampling Data'!D759</f>
        <v>1</v>
      </c>
      <c r="F768" s="113">
        <f>'Sampling Data'!E759</f>
        <v>2</v>
      </c>
      <c r="G768" s="113">
        <f>'Sampling Data'!F759</f>
        <v>0</v>
      </c>
      <c r="H768" s="113">
        <f>'Sampling Data'!G759</f>
        <v>0</v>
      </c>
      <c r="I768" s="112">
        <f>'Sampling Data'!H759</f>
        <v>0</v>
      </c>
      <c r="J768" s="112">
        <f>'Sampling Data'!I759</f>
        <v>0</v>
      </c>
      <c r="K768" s="112">
        <f>'Sampling Data'!J759</f>
        <v>14</v>
      </c>
      <c r="L768" s="111">
        <f>'Sampling Data'!X759</f>
        <v>0</v>
      </c>
      <c r="M768" s="114"/>
      <c r="N768" s="114"/>
      <c r="O768" s="115"/>
      <c r="P768" s="115"/>
      <c r="Q768" s="116"/>
      <c r="R768" s="116"/>
      <c r="S768" s="111">
        <f>Audit[[#This Row],[Audit Losing Candidate]]-Audit[[#This Row],[Losing Candidate]]</f>
        <v>-8</v>
      </c>
      <c r="T768" s="111">
        <f>Audit[[#This Row],[Audit Winning Candidate]]-Audit[[#This Row],[Winning Candidate]]</f>
        <v>-3</v>
      </c>
      <c r="U768" s="111">
        <f>Audit[[#This Row],[Audit Candidate 3]]-Audit[[#This Row],[Candidate 3]]</f>
        <v>-1</v>
      </c>
      <c r="V768" s="111">
        <f>Audit[[#This Row],[Audit Candidate 4]]-Audit[[#This Row],[Candidate 4]]</f>
        <v>-2</v>
      </c>
      <c r="W768" s="111">
        <f>Audit[[#This Row],[Audit Candidate 5]]-Audit[[#This Row],[Candidate 5]]</f>
        <v>0</v>
      </c>
      <c r="X768" s="111">
        <f>Audit[[#This Row],[Audit Candidate 6]]-Audit[[#This Row],[Candidate 6]]</f>
        <v>0</v>
      </c>
      <c r="Y768" s="111">
        <f>SUMIF(Audit[[#This Row],[Difference Loser]:[Difference Candidate 6]], "&gt;0")</f>
        <v>0</v>
      </c>
      <c r="Z768" s="111">
        <f>SUM(Audit[[#This Row],[Difference Loser]:[Difference Candidate 6]])</f>
        <v>-14</v>
      </c>
      <c r="AA768" s="111">
        <f>IF(Audit[[#This Row],[Times p Drawn - With Replacement]]&gt;0, IF(Audit[[#This Row],[Canceled Differences]]&lt;0, Audit[[#This Row],[Max Differences]]+ABS(Audit[[#This Row],[Canceled Differences]]), Audit[[#This Row],[Max Differences]]), 0)</f>
        <v>0</v>
      </c>
      <c r="AB768" s="111">
        <f>'Sampling Data'!P759</f>
        <v>5.5120039196472322E-4</v>
      </c>
      <c r="AC768" s="111">
        <f>IF(
      SUM(Audit[[#This Row],[Audit Losing Candidate]:[Audit Candidate 6]])
      &lt;&gt;0,
      (Audit[[#This Row],[Winning Candidate]]-Audit[[#This Row],[Losing Candidate]]-(Audit[[#This Row],[Audit Winning Candidate]]-Audit[[#This Row],[Audit Losing Candidate]]))/(Audit[[#Totals],[Winning Candidate]]-Audit[[#Totals],[Losing Candidate]]),
      0
)</f>
        <v>0</v>
      </c>
      <c r="AD7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8" s="111">
        <f>IF(Audit[[#This Row],[Max Relative Error (ep)]] = 0, 0, Audit[[#This Row],[Max Relative Error (ep)]]/Audit[[#This Row],[Error Bound (up) - Max. possible relative overstatement]])</f>
        <v>0</v>
      </c>
      <c r="AJ7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68" s="111">
        <f t="shared" si="11"/>
        <v>1</v>
      </c>
      <c r="AL768" s="111">
        <f>PRODUCT($AK$5:AK768)</f>
        <v>8.962823818226312E-2</v>
      </c>
      <c r="AM768" s="109">
        <f>1 - [K-M P Value]</f>
        <v>0.91037176181773694</v>
      </c>
      <c r="AN768" s="111" t="str">
        <f>IF(Audit[[#This Row],[K-M P Value]]&gt;1-'General Info'!$B$16,"Continue", "Stop")</f>
        <v>Stop</v>
      </c>
      <c r="AO768" s="110" t="b">
        <f>IF(Audit[[#This Row],[Status - Continue or stop audit]] = "Continue", TRUE, IF(AN767 = "Continue", TRUE, FALSE))</f>
        <v>0</v>
      </c>
      <c r="AP768" s="110"/>
    </row>
    <row r="769" spans="1:42" ht="15" hidden="1" customHeight="1">
      <c r="A769" s="111" t="str">
        <f>'Sampling Data'!W760</f>
        <v/>
      </c>
      <c r="B769" s="112" t="str">
        <f>'Sampling Data'!A760</f>
        <v>CLEVELAND -14-J - ABS</v>
      </c>
      <c r="C769" s="112">
        <f>'Sampling Data'!B760</f>
        <v>7</v>
      </c>
      <c r="D769" s="112">
        <f>'Sampling Data'!C760</f>
        <v>1</v>
      </c>
      <c r="E769" s="113">
        <f>'Sampling Data'!D760</f>
        <v>0</v>
      </c>
      <c r="F769" s="113">
        <f>'Sampling Data'!E760</f>
        <v>1</v>
      </c>
      <c r="G769" s="113">
        <f>'Sampling Data'!F760</f>
        <v>0</v>
      </c>
      <c r="H769" s="113">
        <f>'Sampling Data'!G760</f>
        <v>0</v>
      </c>
      <c r="I769" s="112">
        <f>'Sampling Data'!H760</f>
        <v>0</v>
      </c>
      <c r="J769" s="112">
        <f>'Sampling Data'!I760</f>
        <v>0</v>
      </c>
      <c r="K769" s="112">
        <f>'Sampling Data'!J760</f>
        <v>9</v>
      </c>
      <c r="L769" s="111">
        <f>'Sampling Data'!X760</f>
        <v>0</v>
      </c>
      <c r="M769" s="114"/>
      <c r="N769" s="114"/>
      <c r="O769" s="115"/>
      <c r="P769" s="115"/>
      <c r="Q769" s="116"/>
      <c r="R769" s="116"/>
      <c r="S769" s="111">
        <f>Audit[[#This Row],[Audit Losing Candidate]]-Audit[[#This Row],[Losing Candidate]]</f>
        <v>-7</v>
      </c>
      <c r="T769" s="111">
        <f>Audit[[#This Row],[Audit Winning Candidate]]-Audit[[#This Row],[Winning Candidate]]</f>
        <v>-1</v>
      </c>
      <c r="U769" s="111">
        <f>Audit[[#This Row],[Audit Candidate 3]]-Audit[[#This Row],[Candidate 3]]</f>
        <v>0</v>
      </c>
      <c r="V769" s="111">
        <f>Audit[[#This Row],[Audit Candidate 4]]-Audit[[#This Row],[Candidate 4]]</f>
        <v>-1</v>
      </c>
      <c r="W769" s="111">
        <f>Audit[[#This Row],[Audit Candidate 5]]-Audit[[#This Row],[Candidate 5]]</f>
        <v>0</v>
      </c>
      <c r="X769" s="111">
        <f>Audit[[#This Row],[Audit Candidate 6]]-Audit[[#This Row],[Candidate 6]]</f>
        <v>0</v>
      </c>
      <c r="Y769" s="111">
        <f>SUMIF(Audit[[#This Row],[Difference Loser]:[Difference Candidate 6]], "&gt;0")</f>
        <v>0</v>
      </c>
      <c r="Z769" s="111">
        <f>SUM(Audit[[#This Row],[Difference Loser]:[Difference Candidate 6]])</f>
        <v>-9</v>
      </c>
      <c r="AA769" s="111">
        <f>IF(Audit[[#This Row],[Times p Drawn - With Replacement]]&gt;0, IF(Audit[[#This Row],[Canceled Differences]]&lt;0, Audit[[#This Row],[Max Differences]]+ABS(Audit[[#This Row],[Canceled Differences]]), Audit[[#This Row],[Max Differences]]), 0)</f>
        <v>0</v>
      </c>
      <c r="AB769" s="111">
        <f>'Sampling Data'!P760</f>
        <v>3.2261186566441915E-4</v>
      </c>
      <c r="AC769" s="111">
        <f>IF(
      SUM(Audit[[#This Row],[Audit Losing Candidate]:[Audit Candidate 6]])
      &lt;&gt;0,
      (Audit[[#This Row],[Winning Candidate]]-Audit[[#This Row],[Losing Candidate]]-(Audit[[#This Row],[Audit Winning Candidate]]-Audit[[#This Row],[Audit Losing Candidate]]))/(Audit[[#Totals],[Winning Candidate]]-Audit[[#Totals],[Losing Candidate]]),
      0
)</f>
        <v>0</v>
      </c>
      <c r="AD7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9" s="111">
        <f>IF(Audit[[#This Row],[Max Relative Error (ep)]] = 0, 0, Audit[[#This Row],[Max Relative Error (ep)]]/Audit[[#This Row],[Error Bound (up) - Max. possible relative overstatement]])</f>
        <v>0</v>
      </c>
      <c r="AJ7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69" s="111">
        <f t="shared" si="11"/>
        <v>1</v>
      </c>
      <c r="AL769" s="111">
        <f>PRODUCT($AK$5:AK769)</f>
        <v>8.962823818226312E-2</v>
      </c>
      <c r="AM769" s="109">
        <f>1 - [K-M P Value]</f>
        <v>0.91037176181773694</v>
      </c>
      <c r="AN769" s="111" t="str">
        <f>IF(Audit[[#This Row],[K-M P Value]]&gt;1-'General Info'!$B$16,"Continue", "Stop")</f>
        <v>Stop</v>
      </c>
      <c r="AO769" s="110" t="b">
        <f>IF(Audit[[#This Row],[Status - Continue or stop audit]] = "Continue", TRUE, IF(AN768 = "Continue", TRUE, FALSE))</f>
        <v>0</v>
      </c>
      <c r="AP769" s="110"/>
    </row>
    <row r="770" spans="1:42" ht="15" hidden="1" customHeight="1">
      <c r="A770" s="111" t="str">
        <f>'Sampling Data'!W761</f>
        <v/>
      </c>
      <c r="B770" s="112" t="str">
        <f>'Sampling Data'!A761</f>
        <v>CLEVELAND -14-K</v>
      </c>
      <c r="C770" s="112">
        <f>'Sampling Data'!B761</f>
        <v>10</v>
      </c>
      <c r="D770" s="112">
        <f>'Sampling Data'!C761</f>
        <v>4</v>
      </c>
      <c r="E770" s="113">
        <f>'Sampling Data'!D761</f>
        <v>7</v>
      </c>
      <c r="F770" s="113">
        <f>'Sampling Data'!E761</f>
        <v>1</v>
      </c>
      <c r="G770" s="113">
        <f>'Sampling Data'!F761</f>
        <v>0</v>
      </c>
      <c r="H770" s="113">
        <f>'Sampling Data'!G761</f>
        <v>0</v>
      </c>
      <c r="I770" s="112">
        <f>'Sampling Data'!H761</f>
        <v>0</v>
      </c>
      <c r="J770" s="112">
        <f>'Sampling Data'!I761</f>
        <v>1</v>
      </c>
      <c r="K770" s="112">
        <f>'Sampling Data'!J761</f>
        <v>23</v>
      </c>
      <c r="L770" s="111">
        <f>'Sampling Data'!X761</f>
        <v>0</v>
      </c>
      <c r="M770" s="114"/>
      <c r="N770" s="114"/>
      <c r="O770" s="115"/>
      <c r="P770" s="115"/>
      <c r="Q770" s="116"/>
      <c r="R770" s="116"/>
      <c r="S770" s="111">
        <f>Audit[[#This Row],[Audit Losing Candidate]]-Audit[[#This Row],[Losing Candidate]]</f>
        <v>-10</v>
      </c>
      <c r="T770" s="111">
        <f>Audit[[#This Row],[Audit Winning Candidate]]-Audit[[#This Row],[Winning Candidate]]</f>
        <v>-4</v>
      </c>
      <c r="U770" s="111">
        <f>Audit[[#This Row],[Audit Candidate 3]]-Audit[[#This Row],[Candidate 3]]</f>
        <v>-7</v>
      </c>
      <c r="V770" s="111">
        <f>Audit[[#This Row],[Audit Candidate 4]]-Audit[[#This Row],[Candidate 4]]</f>
        <v>-1</v>
      </c>
      <c r="W770" s="111">
        <f>Audit[[#This Row],[Audit Candidate 5]]-Audit[[#This Row],[Candidate 5]]</f>
        <v>0</v>
      </c>
      <c r="X770" s="111">
        <f>Audit[[#This Row],[Audit Candidate 6]]-Audit[[#This Row],[Candidate 6]]</f>
        <v>0</v>
      </c>
      <c r="Y770" s="111">
        <f>SUMIF(Audit[[#This Row],[Difference Loser]:[Difference Candidate 6]], "&gt;0")</f>
        <v>0</v>
      </c>
      <c r="Z770" s="111">
        <f>SUM(Audit[[#This Row],[Difference Loser]:[Difference Candidate 6]])</f>
        <v>-22</v>
      </c>
      <c r="AA770" s="111">
        <f>IF(Audit[[#This Row],[Times p Drawn - With Replacement]]&gt;0, IF(Audit[[#This Row],[Canceled Differences]]&lt;0, Audit[[#This Row],[Max Differences]]+ABS(Audit[[#This Row],[Canceled Differences]]), Audit[[#This Row],[Max Differences]]), 0)</f>
        <v>0</v>
      </c>
      <c r="AB770" s="111">
        <f>'Sampling Data'!P761</f>
        <v>1.041156295933366E-3</v>
      </c>
      <c r="AC770" s="111">
        <f>IF(
      SUM(Audit[[#This Row],[Audit Losing Candidate]:[Audit Candidate 6]])
      &lt;&gt;0,
      (Audit[[#This Row],[Winning Candidate]]-Audit[[#This Row],[Losing Candidate]]-(Audit[[#This Row],[Audit Winning Candidate]]-Audit[[#This Row],[Audit Losing Candidate]]))/(Audit[[#Totals],[Winning Candidate]]-Audit[[#Totals],[Losing Candidate]]),
      0
)</f>
        <v>0</v>
      </c>
      <c r="AD7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0" s="111">
        <f>IF(Audit[[#This Row],[Max Relative Error (ep)]] = 0, 0, Audit[[#This Row],[Max Relative Error (ep)]]/Audit[[#This Row],[Error Bound (up) - Max. possible relative overstatement]])</f>
        <v>0</v>
      </c>
      <c r="AJ7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70" s="111">
        <f t="shared" si="11"/>
        <v>1</v>
      </c>
      <c r="AL770" s="111">
        <f>PRODUCT($AK$5:AK770)</f>
        <v>8.962823818226312E-2</v>
      </c>
      <c r="AM770" s="109">
        <f>1 - [K-M P Value]</f>
        <v>0.91037176181773694</v>
      </c>
      <c r="AN770" s="111" t="str">
        <f>IF(Audit[[#This Row],[K-M P Value]]&gt;1-'General Info'!$B$16,"Continue", "Stop")</f>
        <v>Stop</v>
      </c>
      <c r="AO770" s="110" t="b">
        <f>IF(Audit[[#This Row],[Status - Continue or stop audit]] = "Continue", TRUE, IF(AN769 = "Continue", TRUE, FALSE))</f>
        <v>0</v>
      </c>
      <c r="AP770" s="110"/>
    </row>
    <row r="771" spans="1:42" ht="15" hidden="1" customHeight="1">
      <c r="A771" s="111" t="str">
        <f>'Sampling Data'!W762</f>
        <v/>
      </c>
      <c r="B771" s="112" t="str">
        <f>'Sampling Data'!A762</f>
        <v>CLEVELAND -14-K - ABS</v>
      </c>
      <c r="C771" s="112">
        <f>'Sampling Data'!B762</f>
        <v>2</v>
      </c>
      <c r="D771" s="112">
        <f>'Sampling Data'!C762</f>
        <v>1</v>
      </c>
      <c r="E771" s="113">
        <f>'Sampling Data'!D762</f>
        <v>3</v>
      </c>
      <c r="F771" s="113">
        <f>'Sampling Data'!E762</f>
        <v>1</v>
      </c>
      <c r="G771" s="113">
        <f>'Sampling Data'!F762</f>
        <v>0</v>
      </c>
      <c r="H771" s="113">
        <f>'Sampling Data'!G762</f>
        <v>0</v>
      </c>
      <c r="I771" s="112">
        <f>'Sampling Data'!H762</f>
        <v>0</v>
      </c>
      <c r="J771" s="112">
        <f>'Sampling Data'!I762</f>
        <v>0</v>
      </c>
      <c r="K771" s="112">
        <f>'Sampling Data'!J762</f>
        <v>7</v>
      </c>
      <c r="L771" s="111">
        <f>'Sampling Data'!X762</f>
        <v>0</v>
      </c>
      <c r="M771" s="114"/>
      <c r="N771" s="114"/>
      <c r="O771" s="115"/>
      <c r="P771" s="115"/>
      <c r="Q771" s="116"/>
      <c r="R771" s="116"/>
      <c r="S771" s="111">
        <f>Audit[[#This Row],[Audit Losing Candidate]]-Audit[[#This Row],[Losing Candidate]]</f>
        <v>-2</v>
      </c>
      <c r="T771" s="111">
        <f>Audit[[#This Row],[Audit Winning Candidate]]-Audit[[#This Row],[Winning Candidate]]</f>
        <v>-1</v>
      </c>
      <c r="U771" s="111">
        <f>Audit[[#This Row],[Audit Candidate 3]]-Audit[[#This Row],[Candidate 3]]</f>
        <v>-3</v>
      </c>
      <c r="V771" s="111">
        <f>Audit[[#This Row],[Audit Candidate 4]]-Audit[[#This Row],[Candidate 4]]</f>
        <v>-1</v>
      </c>
      <c r="W771" s="111">
        <f>Audit[[#This Row],[Audit Candidate 5]]-Audit[[#This Row],[Candidate 5]]</f>
        <v>0</v>
      </c>
      <c r="X771" s="111">
        <f>Audit[[#This Row],[Audit Candidate 6]]-Audit[[#This Row],[Candidate 6]]</f>
        <v>0</v>
      </c>
      <c r="Y771" s="111">
        <f>SUMIF(Audit[[#This Row],[Difference Loser]:[Difference Candidate 6]], "&gt;0")</f>
        <v>0</v>
      </c>
      <c r="Z771" s="111">
        <f>SUM(Audit[[#This Row],[Difference Loser]:[Difference Candidate 6]])</f>
        <v>-7</v>
      </c>
      <c r="AA771" s="111">
        <f>IF(Audit[[#This Row],[Times p Drawn - With Replacement]]&gt;0, IF(Audit[[#This Row],[Canceled Differences]]&lt;0, Audit[[#This Row],[Max Differences]]+ABS(Audit[[#This Row],[Canceled Differences]]), Audit[[#This Row],[Max Differences]]), 0)</f>
        <v>0</v>
      </c>
      <c r="AB771" s="111">
        <f>'Sampling Data'!P762</f>
        <v>3.6746692797648211E-4</v>
      </c>
      <c r="AC771" s="111">
        <f>IF(
      SUM(Audit[[#This Row],[Audit Losing Candidate]:[Audit Candidate 6]])
      &lt;&gt;0,
      (Audit[[#This Row],[Winning Candidate]]-Audit[[#This Row],[Losing Candidate]]-(Audit[[#This Row],[Audit Winning Candidate]]-Audit[[#This Row],[Audit Losing Candidate]]))/(Audit[[#Totals],[Winning Candidate]]-Audit[[#Totals],[Losing Candidate]]),
      0
)</f>
        <v>0</v>
      </c>
      <c r="AD7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1" s="111">
        <f>IF(Audit[[#This Row],[Max Relative Error (ep)]] = 0, 0, Audit[[#This Row],[Max Relative Error (ep)]]/Audit[[#This Row],[Error Bound (up) - Max. possible relative overstatement]])</f>
        <v>0</v>
      </c>
      <c r="AJ7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71" s="111">
        <f t="shared" si="11"/>
        <v>1</v>
      </c>
      <c r="AL771" s="111">
        <f>PRODUCT($AK$5:AK771)</f>
        <v>8.962823818226312E-2</v>
      </c>
      <c r="AM771" s="109">
        <f>1 - [K-M P Value]</f>
        <v>0.91037176181773694</v>
      </c>
      <c r="AN771" s="111" t="str">
        <f>IF(Audit[[#This Row],[K-M P Value]]&gt;1-'General Info'!$B$16,"Continue", "Stop")</f>
        <v>Stop</v>
      </c>
      <c r="AO771" s="110" t="b">
        <f>IF(Audit[[#This Row],[Status - Continue or stop audit]] = "Continue", TRUE, IF(AN770 = "Continue", TRUE, FALSE))</f>
        <v>0</v>
      </c>
      <c r="AP771" s="110"/>
    </row>
    <row r="772" spans="1:42" ht="15" hidden="1" customHeight="1">
      <c r="A772" s="111" t="str">
        <f>'Sampling Data'!W763</f>
        <v/>
      </c>
      <c r="B772" s="112" t="str">
        <f>'Sampling Data'!A763</f>
        <v>CLEVELAND -14-K.02</v>
      </c>
      <c r="C772" s="112">
        <f>'Sampling Data'!B763</f>
        <v>0</v>
      </c>
      <c r="D772" s="112">
        <f>'Sampling Data'!C763</f>
        <v>1</v>
      </c>
      <c r="E772" s="113">
        <f>'Sampling Data'!D763</f>
        <v>0</v>
      </c>
      <c r="F772" s="113">
        <f>'Sampling Data'!E763</f>
        <v>0</v>
      </c>
      <c r="G772" s="113">
        <f>'Sampling Data'!F763</f>
        <v>0</v>
      </c>
      <c r="H772" s="113">
        <f>'Sampling Data'!G763</f>
        <v>0</v>
      </c>
      <c r="I772" s="112">
        <f>'Sampling Data'!H763</f>
        <v>0</v>
      </c>
      <c r="J772" s="112">
        <f>'Sampling Data'!I763</f>
        <v>0</v>
      </c>
      <c r="K772" s="112">
        <f>'Sampling Data'!J763</f>
        <v>1</v>
      </c>
      <c r="L772" s="111">
        <f>'Sampling Data'!X763</f>
        <v>0</v>
      </c>
      <c r="M772" s="114"/>
      <c r="N772" s="114"/>
      <c r="O772" s="115"/>
      <c r="P772" s="115"/>
      <c r="Q772" s="116"/>
      <c r="R772" s="116"/>
      <c r="S772" s="111">
        <f>Audit[[#This Row],[Audit Losing Candidate]]-Audit[[#This Row],[Losing Candidate]]</f>
        <v>0</v>
      </c>
      <c r="T772" s="111">
        <f>Audit[[#This Row],[Audit Winning Candidate]]-Audit[[#This Row],[Winning Candidate]]</f>
        <v>-1</v>
      </c>
      <c r="U772" s="111">
        <f>Audit[[#This Row],[Audit Candidate 3]]-Audit[[#This Row],[Candidate 3]]</f>
        <v>0</v>
      </c>
      <c r="V772" s="111">
        <f>Audit[[#This Row],[Audit Candidate 4]]-Audit[[#This Row],[Candidate 4]]</f>
        <v>0</v>
      </c>
      <c r="W772" s="111">
        <f>Audit[[#This Row],[Audit Candidate 5]]-Audit[[#This Row],[Candidate 5]]</f>
        <v>0</v>
      </c>
      <c r="X772" s="111">
        <f>Audit[[#This Row],[Audit Candidate 6]]-Audit[[#This Row],[Candidate 6]]</f>
        <v>0</v>
      </c>
      <c r="Y772" s="111">
        <f>SUMIF(Audit[[#This Row],[Difference Loser]:[Difference Candidate 6]], "&gt;0")</f>
        <v>0</v>
      </c>
      <c r="Z772" s="111">
        <f>SUM(Audit[[#This Row],[Difference Loser]:[Difference Candidate 6]])</f>
        <v>-1</v>
      </c>
      <c r="AA772" s="111">
        <f>IF(Audit[[#This Row],[Times p Drawn - With Replacement]]&gt;0, IF(Audit[[#This Row],[Canceled Differences]]&lt;0, Audit[[#This Row],[Max Differences]]+ABS(Audit[[#This Row],[Canceled Differences]]), Audit[[#This Row],[Max Differences]]), 0)</f>
        <v>0</v>
      </c>
      <c r="AB772" s="111">
        <f>'Sampling Data'!P763</f>
        <v>1.224889759921607E-4</v>
      </c>
      <c r="AC772" s="111">
        <f>IF(
      SUM(Audit[[#This Row],[Audit Losing Candidate]:[Audit Candidate 6]])
      &lt;&gt;0,
      (Audit[[#This Row],[Winning Candidate]]-Audit[[#This Row],[Losing Candidate]]-(Audit[[#This Row],[Audit Winning Candidate]]-Audit[[#This Row],[Audit Losing Candidate]]))/(Audit[[#Totals],[Winning Candidate]]-Audit[[#Totals],[Losing Candidate]]),
      0
)</f>
        <v>0</v>
      </c>
      <c r="AD7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2" s="111">
        <f>IF(Audit[[#This Row],[Max Relative Error (ep)]] = 0, 0, Audit[[#This Row],[Max Relative Error (ep)]]/Audit[[#This Row],[Error Bound (up) - Max. possible relative overstatement]])</f>
        <v>0</v>
      </c>
      <c r="AJ7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72" s="111">
        <f t="shared" si="11"/>
        <v>1</v>
      </c>
      <c r="AL772" s="111">
        <f>PRODUCT($AK$5:AK772)</f>
        <v>8.962823818226312E-2</v>
      </c>
      <c r="AM772" s="109">
        <f>1 - [K-M P Value]</f>
        <v>0.91037176181773694</v>
      </c>
      <c r="AN772" s="111" t="str">
        <f>IF(Audit[[#This Row],[K-M P Value]]&gt;1-'General Info'!$B$16,"Continue", "Stop")</f>
        <v>Stop</v>
      </c>
      <c r="AO772" s="110" t="b">
        <f>IF(Audit[[#This Row],[Status - Continue or stop audit]] = "Continue", TRUE, IF(AN771 = "Continue", TRUE, FALSE))</f>
        <v>0</v>
      </c>
      <c r="AP772" s="110"/>
    </row>
    <row r="773" spans="1:42" ht="15" hidden="1" customHeight="1">
      <c r="A773" s="111" t="str">
        <f>'Sampling Data'!W764</f>
        <v/>
      </c>
      <c r="B773" s="112" t="str">
        <f>'Sampling Data'!A764</f>
        <v>CLEVELAND -14-K.02 - ABS</v>
      </c>
      <c r="C773" s="112">
        <f>'Sampling Data'!B764</f>
        <v>0</v>
      </c>
      <c r="D773" s="112">
        <f>'Sampling Data'!C764</f>
        <v>0</v>
      </c>
      <c r="E773" s="113">
        <f>'Sampling Data'!D764</f>
        <v>0</v>
      </c>
      <c r="F773" s="113">
        <f>'Sampling Data'!E764</f>
        <v>0</v>
      </c>
      <c r="G773" s="113">
        <f>'Sampling Data'!F764</f>
        <v>0</v>
      </c>
      <c r="H773" s="113">
        <f>'Sampling Data'!G764</f>
        <v>0</v>
      </c>
      <c r="I773" s="112">
        <f>'Sampling Data'!H764</f>
        <v>0</v>
      </c>
      <c r="J773" s="112">
        <f>'Sampling Data'!I764</f>
        <v>0</v>
      </c>
      <c r="K773" s="112">
        <f>'Sampling Data'!J764</f>
        <v>0</v>
      </c>
      <c r="L773" s="111">
        <f>'Sampling Data'!X764</f>
        <v>0</v>
      </c>
      <c r="M773" s="114"/>
      <c r="N773" s="114"/>
      <c r="O773" s="115"/>
      <c r="P773" s="115"/>
      <c r="Q773" s="116"/>
      <c r="R773" s="116"/>
      <c r="S773" s="111">
        <f>Audit[[#This Row],[Audit Losing Candidate]]-Audit[[#This Row],[Losing Candidate]]</f>
        <v>0</v>
      </c>
      <c r="T773" s="111">
        <f>Audit[[#This Row],[Audit Winning Candidate]]-Audit[[#This Row],[Winning Candidate]]</f>
        <v>0</v>
      </c>
      <c r="U773" s="111">
        <f>Audit[[#This Row],[Audit Candidate 3]]-Audit[[#This Row],[Candidate 3]]</f>
        <v>0</v>
      </c>
      <c r="V773" s="111">
        <f>Audit[[#This Row],[Audit Candidate 4]]-Audit[[#This Row],[Candidate 4]]</f>
        <v>0</v>
      </c>
      <c r="W773" s="111">
        <f>Audit[[#This Row],[Audit Candidate 5]]-Audit[[#This Row],[Candidate 5]]</f>
        <v>0</v>
      </c>
      <c r="X773" s="111">
        <f>Audit[[#This Row],[Audit Candidate 6]]-Audit[[#This Row],[Candidate 6]]</f>
        <v>0</v>
      </c>
      <c r="Y773" s="111">
        <f>SUMIF(Audit[[#This Row],[Difference Loser]:[Difference Candidate 6]], "&gt;0")</f>
        <v>0</v>
      </c>
      <c r="Z773" s="111">
        <f>SUM(Audit[[#This Row],[Difference Loser]:[Difference Candidate 6]])</f>
        <v>0</v>
      </c>
      <c r="AA773" s="111">
        <f>IF(Audit[[#This Row],[Times p Drawn - With Replacement]]&gt;0, IF(Audit[[#This Row],[Canceled Differences]]&lt;0, Audit[[#This Row],[Max Differences]]+ABS(Audit[[#This Row],[Canceled Differences]]), Audit[[#This Row],[Max Differences]]), 0)</f>
        <v>0</v>
      </c>
      <c r="AB773" s="111">
        <f>'Sampling Data'!P764</f>
        <v>0</v>
      </c>
      <c r="AC773" s="111">
        <f>IF(
      SUM(Audit[[#This Row],[Audit Losing Candidate]:[Audit Candidate 6]])
      &lt;&gt;0,
      (Audit[[#This Row],[Winning Candidate]]-Audit[[#This Row],[Losing Candidate]]-(Audit[[#This Row],[Audit Winning Candidate]]-Audit[[#This Row],[Audit Losing Candidate]]))/(Audit[[#Totals],[Winning Candidate]]-Audit[[#Totals],[Losing Candidate]]),
      0
)</f>
        <v>0</v>
      </c>
      <c r="AD7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3" s="111">
        <f>IF(Audit[[#This Row],[Max Relative Error (ep)]] = 0, 0, Audit[[#This Row],[Max Relative Error (ep)]]/Audit[[#This Row],[Error Bound (up) - Max. possible relative overstatement]])</f>
        <v>0</v>
      </c>
      <c r="AJ7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73" s="111">
        <f t="shared" ref="AK773:AK836" si="12">IF(ISERR(POWER(AJ773,L773)), 0, POWER(AJ773,L773))</f>
        <v>1</v>
      </c>
      <c r="AL773" s="111">
        <f>PRODUCT($AK$5:AK773)</f>
        <v>8.962823818226312E-2</v>
      </c>
      <c r="AM773" s="109">
        <f>1 - [K-M P Value]</f>
        <v>0.91037176181773694</v>
      </c>
      <c r="AN773" s="111" t="str">
        <f>IF(Audit[[#This Row],[K-M P Value]]&gt;1-'General Info'!$B$16,"Continue", "Stop")</f>
        <v>Stop</v>
      </c>
      <c r="AO773" s="110" t="b">
        <f>IF(Audit[[#This Row],[Status - Continue or stop audit]] = "Continue", TRUE, IF(AN772 = "Continue", TRUE, FALSE))</f>
        <v>0</v>
      </c>
      <c r="AP773" s="110"/>
    </row>
    <row r="774" spans="1:42" ht="15" hidden="1" customHeight="1">
      <c r="A774" s="111" t="str">
        <f>'Sampling Data'!W765</f>
        <v/>
      </c>
      <c r="B774" s="112" t="str">
        <f>'Sampling Data'!A765</f>
        <v>CLEVELAND -14-L</v>
      </c>
      <c r="C774" s="112">
        <f>'Sampling Data'!B765</f>
        <v>2</v>
      </c>
      <c r="D774" s="112">
        <f>'Sampling Data'!C765</f>
        <v>4</v>
      </c>
      <c r="E774" s="113">
        <f>'Sampling Data'!D765</f>
        <v>0</v>
      </c>
      <c r="F774" s="113">
        <f>'Sampling Data'!E765</f>
        <v>1</v>
      </c>
      <c r="G774" s="113">
        <f>'Sampling Data'!F765</f>
        <v>1</v>
      </c>
      <c r="H774" s="113">
        <f>'Sampling Data'!G765</f>
        <v>0</v>
      </c>
      <c r="I774" s="112">
        <f>'Sampling Data'!H765</f>
        <v>0</v>
      </c>
      <c r="J774" s="112">
        <f>'Sampling Data'!I765</f>
        <v>0</v>
      </c>
      <c r="K774" s="112">
        <f>'Sampling Data'!J765</f>
        <v>8</v>
      </c>
      <c r="L774" s="111">
        <f>'Sampling Data'!X765</f>
        <v>0</v>
      </c>
      <c r="M774" s="114"/>
      <c r="N774" s="114"/>
      <c r="O774" s="115"/>
      <c r="P774" s="115"/>
      <c r="Q774" s="116"/>
      <c r="R774" s="116"/>
      <c r="S774" s="111">
        <f>Audit[[#This Row],[Audit Losing Candidate]]-Audit[[#This Row],[Losing Candidate]]</f>
        <v>-2</v>
      </c>
      <c r="T774" s="111">
        <f>Audit[[#This Row],[Audit Winning Candidate]]-Audit[[#This Row],[Winning Candidate]]</f>
        <v>-4</v>
      </c>
      <c r="U774" s="111">
        <f>Audit[[#This Row],[Audit Candidate 3]]-Audit[[#This Row],[Candidate 3]]</f>
        <v>0</v>
      </c>
      <c r="V774" s="111">
        <f>Audit[[#This Row],[Audit Candidate 4]]-Audit[[#This Row],[Candidate 4]]</f>
        <v>-1</v>
      </c>
      <c r="W774" s="111">
        <f>Audit[[#This Row],[Audit Candidate 5]]-Audit[[#This Row],[Candidate 5]]</f>
        <v>-1</v>
      </c>
      <c r="X774" s="111">
        <f>Audit[[#This Row],[Audit Candidate 6]]-Audit[[#This Row],[Candidate 6]]</f>
        <v>0</v>
      </c>
      <c r="Y774" s="111">
        <f>SUMIF(Audit[[#This Row],[Difference Loser]:[Difference Candidate 6]], "&gt;0")</f>
        <v>0</v>
      </c>
      <c r="Z774" s="111">
        <f>SUM(Audit[[#This Row],[Difference Loser]:[Difference Candidate 6]])</f>
        <v>-8</v>
      </c>
      <c r="AA774" s="111">
        <f>IF(Audit[[#This Row],[Times p Drawn - With Replacement]]&gt;0, IF(Audit[[#This Row],[Canceled Differences]]&lt;0, Audit[[#This Row],[Max Differences]]+ABS(Audit[[#This Row],[Canceled Differences]]), Audit[[#This Row],[Max Differences]]), 0)</f>
        <v>0</v>
      </c>
      <c r="AB774" s="111">
        <f>'Sampling Data'!P765</f>
        <v>6.1244487996080352E-4</v>
      </c>
      <c r="AC774" s="111">
        <f>IF(
      SUM(Audit[[#This Row],[Audit Losing Candidate]:[Audit Candidate 6]])
      &lt;&gt;0,
      (Audit[[#This Row],[Winning Candidate]]-Audit[[#This Row],[Losing Candidate]]-(Audit[[#This Row],[Audit Winning Candidate]]-Audit[[#This Row],[Audit Losing Candidate]]))/(Audit[[#Totals],[Winning Candidate]]-Audit[[#Totals],[Losing Candidate]]),
      0
)</f>
        <v>0</v>
      </c>
      <c r="AD7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4" s="111">
        <f>IF(Audit[[#This Row],[Max Relative Error (ep)]] = 0, 0, Audit[[#This Row],[Max Relative Error (ep)]]/Audit[[#This Row],[Error Bound (up) - Max. possible relative overstatement]])</f>
        <v>0</v>
      </c>
      <c r="AJ7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74" s="111">
        <f t="shared" si="12"/>
        <v>1</v>
      </c>
      <c r="AL774" s="111">
        <f>PRODUCT($AK$5:AK774)</f>
        <v>8.962823818226312E-2</v>
      </c>
      <c r="AM774" s="109">
        <f>1 - [K-M P Value]</f>
        <v>0.91037176181773694</v>
      </c>
      <c r="AN774" s="111" t="str">
        <f>IF(Audit[[#This Row],[K-M P Value]]&gt;1-'General Info'!$B$16,"Continue", "Stop")</f>
        <v>Stop</v>
      </c>
      <c r="AO774" s="110" t="b">
        <f>IF(Audit[[#This Row],[Status - Continue or stop audit]] = "Continue", TRUE, IF(AN773 = "Continue", TRUE, FALSE))</f>
        <v>0</v>
      </c>
      <c r="AP774" s="110"/>
    </row>
    <row r="775" spans="1:42" ht="15" hidden="1" customHeight="1">
      <c r="A775" s="111" t="str">
        <f>'Sampling Data'!W766</f>
        <v/>
      </c>
      <c r="B775" s="112" t="str">
        <f>'Sampling Data'!A766</f>
        <v>CLEVELAND -14-L - ABS</v>
      </c>
      <c r="C775" s="112">
        <f>'Sampling Data'!B766</f>
        <v>0</v>
      </c>
      <c r="D775" s="112">
        <f>'Sampling Data'!C766</f>
        <v>2</v>
      </c>
      <c r="E775" s="113">
        <f>'Sampling Data'!D766</f>
        <v>1</v>
      </c>
      <c r="F775" s="113">
        <f>'Sampling Data'!E766</f>
        <v>0</v>
      </c>
      <c r="G775" s="113">
        <f>'Sampling Data'!F766</f>
        <v>0</v>
      </c>
      <c r="H775" s="113">
        <f>'Sampling Data'!G766</f>
        <v>0</v>
      </c>
      <c r="I775" s="112">
        <f>'Sampling Data'!H766</f>
        <v>0</v>
      </c>
      <c r="J775" s="112">
        <f>'Sampling Data'!I766</f>
        <v>0</v>
      </c>
      <c r="K775" s="112">
        <f>'Sampling Data'!J766</f>
        <v>3</v>
      </c>
      <c r="L775" s="111">
        <f>'Sampling Data'!X766</f>
        <v>0</v>
      </c>
      <c r="M775" s="114"/>
      <c r="N775" s="114"/>
      <c r="O775" s="115"/>
      <c r="P775" s="115"/>
      <c r="Q775" s="116"/>
      <c r="R775" s="116"/>
      <c r="S775" s="111">
        <f>Audit[[#This Row],[Audit Losing Candidate]]-Audit[[#This Row],[Losing Candidate]]</f>
        <v>0</v>
      </c>
      <c r="T775" s="111">
        <f>Audit[[#This Row],[Audit Winning Candidate]]-Audit[[#This Row],[Winning Candidate]]</f>
        <v>-2</v>
      </c>
      <c r="U775" s="111">
        <f>Audit[[#This Row],[Audit Candidate 3]]-Audit[[#This Row],[Candidate 3]]</f>
        <v>-1</v>
      </c>
      <c r="V775" s="111">
        <f>Audit[[#This Row],[Audit Candidate 4]]-Audit[[#This Row],[Candidate 4]]</f>
        <v>0</v>
      </c>
      <c r="W775" s="111">
        <f>Audit[[#This Row],[Audit Candidate 5]]-Audit[[#This Row],[Candidate 5]]</f>
        <v>0</v>
      </c>
      <c r="X775" s="111">
        <f>Audit[[#This Row],[Audit Candidate 6]]-Audit[[#This Row],[Candidate 6]]</f>
        <v>0</v>
      </c>
      <c r="Y775" s="111">
        <f>SUMIF(Audit[[#This Row],[Difference Loser]:[Difference Candidate 6]], "&gt;0")</f>
        <v>0</v>
      </c>
      <c r="Z775" s="111">
        <f>SUM(Audit[[#This Row],[Difference Loser]:[Difference Candidate 6]])</f>
        <v>-3</v>
      </c>
      <c r="AA775" s="111">
        <f>IF(Audit[[#This Row],[Times p Drawn - With Replacement]]&gt;0, IF(Audit[[#This Row],[Canceled Differences]]&lt;0, Audit[[#This Row],[Max Differences]]+ABS(Audit[[#This Row],[Canceled Differences]]), Audit[[#This Row],[Max Differences]]), 0)</f>
        <v>0</v>
      </c>
      <c r="AB775" s="111">
        <f>'Sampling Data'!P766</f>
        <v>3.0622243998040176E-4</v>
      </c>
      <c r="AC775" s="111">
        <f>IF(
      SUM(Audit[[#This Row],[Audit Losing Candidate]:[Audit Candidate 6]])
      &lt;&gt;0,
      (Audit[[#This Row],[Winning Candidate]]-Audit[[#This Row],[Losing Candidate]]-(Audit[[#This Row],[Audit Winning Candidate]]-Audit[[#This Row],[Audit Losing Candidate]]))/(Audit[[#Totals],[Winning Candidate]]-Audit[[#Totals],[Losing Candidate]]),
      0
)</f>
        <v>0</v>
      </c>
      <c r="AD7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5" s="111">
        <f>IF(Audit[[#This Row],[Max Relative Error (ep)]] = 0, 0, Audit[[#This Row],[Max Relative Error (ep)]]/Audit[[#This Row],[Error Bound (up) - Max. possible relative overstatement]])</f>
        <v>0</v>
      </c>
      <c r="AJ7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75" s="111">
        <f t="shared" si="12"/>
        <v>1</v>
      </c>
      <c r="AL775" s="111">
        <f>PRODUCT($AK$5:AK775)</f>
        <v>8.962823818226312E-2</v>
      </c>
      <c r="AM775" s="109">
        <f>1 - [K-M P Value]</f>
        <v>0.91037176181773694</v>
      </c>
      <c r="AN775" s="111" t="str">
        <f>IF(Audit[[#This Row],[K-M P Value]]&gt;1-'General Info'!$B$16,"Continue", "Stop")</f>
        <v>Stop</v>
      </c>
      <c r="AO775" s="110" t="b">
        <f>IF(Audit[[#This Row],[Status - Continue or stop audit]] = "Continue", TRUE, IF(AN774 = "Continue", TRUE, FALSE))</f>
        <v>0</v>
      </c>
      <c r="AP775" s="110"/>
    </row>
    <row r="776" spans="1:42" ht="15" hidden="1" customHeight="1">
      <c r="A776" s="111" t="str">
        <f>'Sampling Data'!W767</f>
        <v/>
      </c>
      <c r="B776" s="112" t="str">
        <f>'Sampling Data'!A767</f>
        <v>CLEVELAND -14-M</v>
      </c>
      <c r="C776" s="112">
        <f>'Sampling Data'!B767</f>
        <v>6</v>
      </c>
      <c r="D776" s="112">
        <f>'Sampling Data'!C767</f>
        <v>7</v>
      </c>
      <c r="E776" s="113">
        <f>'Sampling Data'!D767</f>
        <v>1</v>
      </c>
      <c r="F776" s="113">
        <f>'Sampling Data'!E767</f>
        <v>1</v>
      </c>
      <c r="G776" s="113">
        <f>'Sampling Data'!F767</f>
        <v>0</v>
      </c>
      <c r="H776" s="113">
        <f>'Sampling Data'!G767</f>
        <v>0</v>
      </c>
      <c r="I776" s="112">
        <f>'Sampling Data'!H767</f>
        <v>0</v>
      </c>
      <c r="J776" s="112">
        <f>'Sampling Data'!I767</f>
        <v>0</v>
      </c>
      <c r="K776" s="112">
        <f>'Sampling Data'!J767</f>
        <v>15</v>
      </c>
      <c r="L776" s="111">
        <f>'Sampling Data'!X767</f>
        <v>0</v>
      </c>
      <c r="M776" s="114"/>
      <c r="N776" s="114"/>
      <c r="O776" s="115"/>
      <c r="P776" s="115"/>
      <c r="Q776" s="116"/>
      <c r="R776" s="116"/>
      <c r="S776" s="111">
        <f>Audit[[#This Row],[Audit Losing Candidate]]-Audit[[#This Row],[Losing Candidate]]</f>
        <v>-6</v>
      </c>
      <c r="T776" s="111">
        <f>Audit[[#This Row],[Audit Winning Candidate]]-Audit[[#This Row],[Winning Candidate]]</f>
        <v>-7</v>
      </c>
      <c r="U776" s="111">
        <f>Audit[[#This Row],[Audit Candidate 3]]-Audit[[#This Row],[Candidate 3]]</f>
        <v>-1</v>
      </c>
      <c r="V776" s="111">
        <f>Audit[[#This Row],[Audit Candidate 4]]-Audit[[#This Row],[Candidate 4]]</f>
        <v>-1</v>
      </c>
      <c r="W776" s="111">
        <f>Audit[[#This Row],[Audit Candidate 5]]-Audit[[#This Row],[Candidate 5]]</f>
        <v>0</v>
      </c>
      <c r="X776" s="111">
        <f>Audit[[#This Row],[Audit Candidate 6]]-Audit[[#This Row],[Candidate 6]]</f>
        <v>0</v>
      </c>
      <c r="Y776" s="111">
        <f>SUMIF(Audit[[#This Row],[Difference Loser]:[Difference Candidate 6]], "&gt;0")</f>
        <v>0</v>
      </c>
      <c r="Z776" s="111">
        <f>SUM(Audit[[#This Row],[Difference Loser]:[Difference Candidate 6]])</f>
        <v>-15</v>
      </c>
      <c r="AA776" s="111">
        <f>IF(Audit[[#This Row],[Times p Drawn - With Replacement]]&gt;0, IF(Audit[[#This Row],[Canceled Differences]]&lt;0, Audit[[#This Row],[Max Differences]]+ABS(Audit[[#This Row],[Canceled Differences]]), Audit[[#This Row],[Max Differences]]), 0)</f>
        <v>0</v>
      </c>
      <c r="AB776" s="111">
        <f>'Sampling Data'!P767</f>
        <v>9.7991180793728563E-4</v>
      </c>
      <c r="AC776" s="111">
        <f>IF(
      SUM(Audit[[#This Row],[Audit Losing Candidate]:[Audit Candidate 6]])
      &lt;&gt;0,
      (Audit[[#This Row],[Winning Candidate]]-Audit[[#This Row],[Losing Candidate]]-(Audit[[#This Row],[Audit Winning Candidate]]-Audit[[#This Row],[Audit Losing Candidate]]))/(Audit[[#Totals],[Winning Candidate]]-Audit[[#Totals],[Losing Candidate]]),
      0
)</f>
        <v>0</v>
      </c>
      <c r="AD7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6" s="111">
        <f>IF(Audit[[#This Row],[Max Relative Error (ep)]] = 0, 0, Audit[[#This Row],[Max Relative Error (ep)]]/Audit[[#This Row],[Error Bound (up) - Max. possible relative overstatement]])</f>
        <v>0</v>
      </c>
      <c r="AJ7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76" s="111">
        <f t="shared" si="12"/>
        <v>1</v>
      </c>
      <c r="AL776" s="111">
        <f>PRODUCT($AK$5:AK776)</f>
        <v>8.962823818226312E-2</v>
      </c>
      <c r="AM776" s="109">
        <f>1 - [K-M P Value]</f>
        <v>0.91037176181773694</v>
      </c>
      <c r="AN776" s="111" t="str">
        <f>IF(Audit[[#This Row],[K-M P Value]]&gt;1-'General Info'!$B$16,"Continue", "Stop")</f>
        <v>Stop</v>
      </c>
      <c r="AO776" s="110" t="b">
        <f>IF(Audit[[#This Row],[Status - Continue or stop audit]] = "Continue", TRUE, IF(AN775 = "Continue", TRUE, FALSE))</f>
        <v>0</v>
      </c>
      <c r="AP776" s="110"/>
    </row>
    <row r="777" spans="1:42" ht="15" hidden="1" customHeight="1">
      <c r="A777" s="111" t="str">
        <f>'Sampling Data'!W768</f>
        <v/>
      </c>
      <c r="B777" s="112" t="str">
        <f>'Sampling Data'!A768</f>
        <v>CLEVELAND -14-M - ABS</v>
      </c>
      <c r="C777" s="112">
        <f>'Sampling Data'!B768</f>
        <v>3</v>
      </c>
      <c r="D777" s="112">
        <f>'Sampling Data'!C768</f>
        <v>1</v>
      </c>
      <c r="E777" s="113">
        <f>'Sampling Data'!D768</f>
        <v>0</v>
      </c>
      <c r="F777" s="113">
        <f>'Sampling Data'!E768</f>
        <v>0</v>
      </c>
      <c r="G777" s="113">
        <f>'Sampling Data'!F768</f>
        <v>0</v>
      </c>
      <c r="H777" s="113">
        <f>'Sampling Data'!G768</f>
        <v>0</v>
      </c>
      <c r="I777" s="112">
        <f>'Sampling Data'!H768</f>
        <v>0</v>
      </c>
      <c r="J777" s="112">
        <f>'Sampling Data'!I768</f>
        <v>0</v>
      </c>
      <c r="K777" s="112">
        <f>'Sampling Data'!J768</f>
        <v>4</v>
      </c>
      <c r="L777" s="111">
        <f>'Sampling Data'!X768</f>
        <v>0</v>
      </c>
      <c r="M777" s="114"/>
      <c r="N777" s="114"/>
      <c r="O777" s="115"/>
      <c r="P777" s="115"/>
      <c r="Q777" s="116"/>
      <c r="R777" s="116"/>
      <c r="S777" s="111">
        <f>Audit[[#This Row],[Audit Losing Candidate]]-Audit[[#This Row],[Losing Candidate]]</f>
        <v>-3</v>
      </c>
      <c r="T777" s="111">
        <f>Audit[[#This Row],[Audit Winning Candidate]]-Audit[[#This Row],[Winning Candidate]]</f>
        <v>-1</v>
      </c>
      <c r="U777" s="111">
        <f>Audit[[#This Row],[Audit Candidate 3]]-Audit[[#This Row],[Candidate 3]]</f>
        <v>0</v>
      </c>
      <c r="V777" s="111">
        <f>Audit[[#This Row],[Audit Candidate 4]]-Audit[[#This Row],[Candidate 4]]</f>
        <v>0</v>
      </c>
      <c r="W777" s="111">
        <f>Audit[[#This Row],[Audit Candidate 5]]-Audit[[#This Row],[Candidate 5]]</f>
        <v>0</v>
      </c>
      <c r="X777" s="111">
        <f>Audit[[#This Row],[Audit Candidate 6]]-Audit[[#This Row],[Candidate 6]]</f>
        <v>0</v>
      </c>
      <c r="Y777" s="111">
        <f>SUMIF(Audit[[#This Row],[Difference Loser]:[Difference Candidate 6]], "&gt;0")</f>
        <v>0</v>
      </c>
      <c r="Z777" s="111">
        <f>SUM(Audit[[#This Row],[Difference Loser]:[Difference Candidate 6]])</f>
        <v>-4</v>
      </c>
      <c r="AA777" s="111">
        <f>IF(Audit[[#This Row],[Times p Drawn - With Replacement]]&gt;0, IF(Audit[[#This Row],[Canceled Differences]]&lt;0, Audit[[#This Row],[Max Differences]]+ABS(Audit[[#This Row],[Canceled Differences]]), Audit[[#This Row],[Max Differences]]), 0)</f>
        <v>0</v>
      </c>
      <c r="AB777" s="111">
        <f>'Sampling Data'!P768</f>
        <v>1.6130593283220958E-4</v>
      </c>
      <c r="AC777" s="111">
        <f>IF(
      SUM(Audit[[#This Row],[Audit Losing Candidate]:[Audit Candidate 6]])
      &lt;&gt;0,
      (Audit[[#This Row],[Winning Candidate]]-Audit[[#This Row],[Losing Candidate]]-(Audit[[#This Row],[Audit Winning Candidate]]-Audit[[#This Row],[Audit Losing Candidate]]))/(Audit[[#Totals],[Winning Candidate]]-Audit[[#Totals],[Losing Candidate]]),
      0
)</f>
        <v>0</v>
      </c>
      <c r="AD7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7" s="111">
        <f>IF(Audit[[#This Row],[Max Relative Error (ep)]] = 0, 0, Audit[[#This Row],[Max Relative Error (ep)]]/Audit[[#This Row],[Error Bound (up) - Max. possible relative overstatement]])</f>
        <v>0</v>
      </c>
      <c r="AJ7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77" s="111">
        <f t="shared" si="12"/>
        <v>1</v>
      </c>
      <c r="AL777" s="111">
        <f>PRODUCT($AK$5:AK777)</f>
        <v>8.962823818226312E-2</v>
      </c>
      <c r="AM777" s="109">
        <f>1 - [K-M P Value]</f>
        <v>0.91037176181773694</v>
      </c>
      <c r="AN777" s="111" t="str">
        <f>IF(Audit[[#This Row],[K-M P Value]]&gt;1-'General Info'!$B$16,"Continue", "Stop")</f>
        <v>Stop</v>
      </c>
      <c r="AO777" s="110" t="b">
        <f>IF(Audit[[#This Row],[Status - Continue or stop audit]] = "Continue", TRUE, IF(AN776 = "Continue", TRUE, FALSE))</f>
        <v>0</v>
      </c>
      <c r="AP777" s="110"/>
    </row>
    <row r="778" spans="1:42" ht="15" hidden="1" customHeight="1">
      <c r="A778" s="111" t="str">
        <f>'Sampling Data'!W769</f>
        <v/>
      </c>
      <c r="B778" s="112" t="str">
        <f>'Sampling Data'!A769</f>
        <v>CLEVELAND -14-N</v>
      </c>
      <c r="C778" s="112">
        <f>'Sampling Data'!B769</f>
        <v>4</v>
      </c>
      <c r="D778" s="112">
        <f>'Sampling Data'!C769</f>
        <v>4</v>
      </c>
      <c r="E778" s="113">
        <f>'Sampling Data'!D769</f>
        <v>1</v>
      </c>
      <c r="F778" s="113">
        <f>'Sampling Data'!E769</f>
        <v>4</v>
      </c>
      <c r="G778" s="113">
        <f>'Sampling Data'!F769</f>
        <v>0</v>
      </c>
      <c r="H778" s="113">
        <f>'Sampling Data'!G769</f>
        <v>1</v>
      </c>
      <c r="I778" s="112">
        <f>'Sampling Data'!H769</f>
        <v>0</v>
      </c>
      <c r="J778" s="112">
        <f>'Sampling Data'!I769</f>
        <v>0</v>
      </c>
      <c r="K778" s="112">
        <f>'Sampling Data'!J769</f>
        <v>14</v>
      </c>
      <c r="L778" s="111">
        <f>'Sampling Data'!X769</f>
        <v>0</v>
      </c>
      <c r="M778" s="114"/>
      <c r="N778" s="114"/>
      <c r="O778" s="115"/>
      <c r="P778" s="115"/>
      <c r="Q778" s="116"/>
      <c r="R778" s="116"/>
      <c r="S778" s="111">
        <f>Audit[[#This Row],[Audit Losing Candidate]]-Audit[[#This Row],[Losing Candidate]]</f>
        <v>-4</v>
      </c>
      <c r="T778" s="111">
        <f>Audit[[#This Row],[Audit Winning Candidate]]-Audit[[#This Row],[Winning Candidate]]</f>
        <v>-4</v>
      </c>
      <c r="U778" s="111">
        <f>Audit[[#This Row],[Audit Candidate 3]]-Audit[[#This Row],[Candidate 3]]</f>
        <v>-1</v>
      </c>
      <c r="V778" s="111">
        <f>Audit[[#This Row],[Audit Candidate 4]]-Audit[[#This Row],[Candidate 4]]</f>
        <v>-4</v>
      </c>
      <c r="W778" s="111">
        <f>Audit[[#This Row],[Audit Candidate 5]]-Audit[[#This Row],[Candidate 5]]</f>
        <v>0</v>
      </c>
      <c r="X778" s="111">
        <f>Audit[[#This Row],[Audit Candidate 6]]-Audit[[#This Row],[Candidate 6]]</f>
        <v>-1</v>
      </c>
      <c r="Y778" s="111">
        <f>SUMIF(Audit[[#This Row],[Difference Loser]:[Difference Candidate 6]], "&gt;0")</f>
        <v>0</v>
      </c>
      <c r="Z778" s="111">
        <f>SUM(Audit[[#This Row],[Difference Loser]:[Difference Candidate 6]])</f>
        <v>-14</v>
      </c>
      <c r="AA778" s="111">
        <f>IF(Audit[[#This Row],[Times p Drawn - With Replacement]]&gt;0, IF(Audit[[#This Row],[Canceled Differences]]&lt;0, Audit[[#This Row],[Max Differences]]+ABS(Audit[[#This Row],[Canceled Differences]]), Audit[[#This Row],[Max Differences]]), 0)</f>
        <v>0</v>
      </c>
      <c r="AB778" s="111">
        <f>'Sampling Data'!P769</f>
        <v>8.5742283194512492E-4</v>
      </c>
      <c r="AC778" s="111">
        <f>IF(
      SUM(Audit[[#This Row],[Audit Losing Candidate]:[Audit Candidate 6]])
      &lt;&gt;0,
      (Audit[[#This Row],[Winning Candidate]]-Audit[[#This Row],[Losing Candidate]]-(Audit[[#This Row],[Audit Winning Candidate]]-Audit[[#This Row],[Audit Losing Candidate]]))/(Audit[[#Totals],[Winning Candidate]]-Audit[[#Totals],[Losing Candidate]]),
      0
)</f>
        <v>0</v>
      </c>
      <c r="AD7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8" s="111">
        <f>IF(Audit[[#This Row],[Max Relative Error (ep)]] = 0, 0, Audit[[#This Row],[Max Relative Error (ep)]]/Audit[[#This Row],[Error Bound (up) - Max. possible relative overstatement]])</f>
        <v>0</v>
      </c>
      <c r="AJ7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78" s="111">
        <f t="shared" si="12"/>
        <v>1</v>
      </c>
      <c r="AL778" s="111">
        <f>PRODUCT($AK$5:AK778)</f>
        <v>8.962823818226312E-2</v>
      </c>
      <c r="AM778" s="109">
        <f>1 - [K-M P Value]</f>
        <v>0.91037176181773694</v>
      </c>
      <c r="AN778" s="111" t="str">
        <f>IF(Audit[[#This Row],[K-M P Value]]&gt;1-'General Info'!$B$16,"Continue", "Stop")</f>
        <v>Stop</v>
      </c>
      <c r="AO778" s="110" t="b">
        <f>IF(Audit[[#This Row],[Status - Continue or stop audit]] = "Continue", TRUE, IF(AN777 = "Continue", TRUE, FALSE))</f>
        <v>0</v>
      </c>
      <c r="AP778" s="110"/>
    </row>
    <row r="779" spans="1:42" ht="15" hidden="1" customHeight="1">
      <c r="A779" s="111" t="str">
        <f>'Sampling Data'!W770</f>
        <v/>
      </c>
      <c r="B779" s="112" t="str">
        <f>'Sampling Data'!A770</f>
        <v>CLEVELAND -14-N - ABS</v>
      </c>
      <c r="C779" s="112">
        <f>'Sampling Data'!B770</f>
        <v>0</v>
      </c>
      <c r="D779" s="112">
        <f>'Sampling Data'!C770</f>
        <v>2</v>
      </c>
      <c r="E779" s="113">
        <f>'Sampling Data'!D770</f>
        <v>2</v>
      </c>
      <c r="F779" s="113">
        <f>'Sampling Data'!E770</f>
        <v>0</v>
      </c>
      <c r="G779" s="113">
        <f>'Sampling Data'!F770</f>
        <v>0</v>
      </c>
      <c r="H779" s="113">
        <f>'Sampling Data'!G770</f>
        <v>0</v>
      </c>
      <c r="I779" s="112">
        <f>'Sampling Data'!H770</f>
        <v>0</v>
      </c>
      <c r="J779" s="112">
        <f>'Sampling Data'!I770</f>
        <v>0</v>
      </c>
      <c r="K779" s="112">
        <f>'Sampling Data'!J770</f>
        <v>4</v>
      </c>
      <c r="L779" s="111">
        <f>'Sampling Data'!X770</f>
        <v>0</v>
      </c>
      <c r="M779" s="114"/>
      <c r="N779" s="114"/>
      <c r="O779" s="115"/>
      <c r="P779" s="115"/>
      <c r="Q779" s="116"/>
      <c r="R779" s="116"/>
      <c r="S779" s="111">
        <f>Audit[[#This Row],[Audit Losing Candidate]]-Audit[[#This Row],[Losing Candidate]]</f>
        <v>0</v>
      </c>
      <c r="T779" s="111">
        <f>Audit[[#This Row],[Audit Winning Candidate]]-Audit[[#This Row],[Winning Candidate]]</f>
        <v>-2</v>
      </c>
      <c r="U779" s="111">
        <f>Audit[[#This Row],[Audit Candidate 3]]-Audit[[#This Row],[Candidate 3]]</f>
        <v>-2</v>
      </c>
      <c r="V779" s="111">
        <f>Audit[[#This Row],[Audit Candidate 4]]-Audit[[#This Row],[Candidate 4]]</f>
        <v>0</v>
      </c>
      <c r="W779" s="111">
        <f>Audit[[#This Row],[Audit Candidate 5]]-Audit[[#This Row],[Candidate 5]]</f>
        <v>0</v>
      </c>
      <c r="X779" s="111">
        <f>Audit[[#This Row],[Audit Candidate 6]]-Audit[[#This Row],[Candidate 6]]</f>
        <v>0</v>
      </c>
      <c r="Y779" s="111">
        <f>SUMIF(Audit[[#This Row],[Difference Loser]:[Difference Candidate 6]], "&gt;0")</f>
        <v>0</v>
      </c>
      <c r="Z779" s="111">
        <f>SUM(Audit[[#This Row],[Difference Loser]:[Difference Candidate 6]])</f>
        <v>-4</v>
      </c>
      <c r="AA779" s="111">
        <f>IF(Audit[[#This Row],[Times p Drawn - With Replacement]]&gt;0, IF(Audit[[#This Row],[Canceled Differences]]&lt;0, Audit[[#This Row],[Max Differences]]+ABS(Audit[[#This Row],[Canceled Differences]]), Audit[[#This Row],[Max Differences]]), 0)</f>
        <v>0</v>
      </c>
      <c r="AB779" s="111">
        <f>'Sampling Data'!P770</f>
        <v>3.6746692797648211E-4</v>
      </c>
      <c r="AC779" s="111">
        <f>IF(
      SUM(Audit[[#This Row],[Audit Losing Candidate]:[Audit Candidate 6]])
      &lt;&gt;0,
      (Audit[[#This Row],[Winning Candidate]]-Audit[[#This Row],[Losing Candidate]]-(Audit[[#This Row],[Audit Winning Candidate]]-Audit[[#This Row],[Audit Losing Candidate]]))/(Audit[[#Totals],[Winning Candidate]]-Audit[[#Totals],[Losing Candidate]]),
      0
)</f>
        <v>0</v>
      </c>
      <c r="AD7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9" s="111">
        <f>IF(Audit[[#This Row],[Max Relative Error (ep)]] = 0, 0, Audit[[#This Row],[Max Relative Error (ep)]]/Audit[[#This Row],[Error Bound (up) - Max. possible relative overstatement]])</f>
        <v>0</v>
      </c>
      <c r="AJ7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79" s="111">
        <f t="shared" si="12"/>
        <v>1</v>
      </c>
      <c r="AL779" s="111">
        <f>PRODUCT($AK$5:AK779)</f>
        <v>8.962823818226312E-2</v>
      </c>
      <c r="AM779" s="109">
        <f>1 - [K-M P Value]</f>
        <v>0.91037176181773694</v>
      </c>
      <c r="AN779" s="111" t="str">
        <f>IF(Audit[[#This Row],[K-M P Value]]&gt;1-'General Info'!$B$16,"Continue", "Stop")</f>
        <v>Stop</v>
      </c>
      <c r="AO779" s="110" t="b">
        <f>IF(Audit[[#This Row],[Status - Continue or stop audit]] = "Continue", TRUE, IF(AN778 = "Continue", TRUE, FALSE))</f>
        <v>0</v>
      </c>
      <c r="AP779" s="110"/>
    </row>
    <row r="780" spans="1:42" ht="15" hidden="1" customHeight="1">
      <c r="A780" s="111" t="str">
        <f>'Sampling Data'!W771</f>
        <v/>
      </c>
      <c r="B780" s="112" t="str">
        <f>'Sampling Data'!A771</f>
        <v>CLEVELAND -14-O</v>
      </c>
      <c r="C780" s="112">
        <f>'Sampling Data'!B771</f>
        <v>3</v>
      </c>
      <c r="D780" s="112">
        <f>'Sampling Data'!C771</f>
        <v>5</v>
      </c>
      <c r="E780" s="113">
        <f>'Sampling Data'!D771</f>
        <v>0</v>
      </c>
      <c r="F780" s="113">
        <f>'Sampling Data'!E771</f>
        <v>1</v>
      </c>
      <c r="G780" s="113">
        <f>'Sampling Data'!F771</f>
        <v>0</v>
      </c>
      <c r="H780" s="113">
        <f>'Sampling Data'!G771</f>
        <v>0</v>
      </c>
      <c r="I780" s="112">
        <f>'Sampling Data'!H771</f>
        <v>0</v>
      </c>
      <c r="J780" s="112">
        <f>'Sampling Data'!I771</f>
        <v>0</v>
      </c>
      <c r="K780" s="112">
        <f>'Sampling Data'!J771</f>
        <v>9</v>
      </c>
      <c r="L780" s="111">
        <f>'Sampling Data'!X771</f>
        <v>0</v>
      </c>
      <c r="M780" s="114"/>
      <c r="N780" s="114"/>
      <c r="O780" s="115"/>
      <c r="P780" s="115"/>
      <c r="Q780" s="116"/>
      <c r="R780" s="116"/>
      <c r="S780" s="111">
        <f>Audit[[#This Row],[Audit Losing Candidate]]-Audit[[#This Row],[Losing Candidate]]</f>
        <v>-3</v>
      </c>
      <c r="T780" s="111">
        <f>Audit[[#This Row],[Audit Winning Candidate]]-Audit[[#This Row],[Winning Candidate]]</f>
        <v>-5</v>
      </c>
      <c r="U780" s="111">
        <f>Audit[[#This Row],[Audit Candidate 3]]-Audit[[#This Row],[Candidate 3]]</f>
        <v>0</v>
      </c>
      <c r="V780" s="111">
        <f>Audit[[#This Row],[Audit Candidate 4]]-Audit[[#This Row],[Candidate 4]]</f>
        <v>-1</v>
      </c>
      <c r="W780" s="111">
        <f>Audit[[#This Row],[Audit Candidate 5]]-Audit[[#This Row],[Candidate 5]]</f>
        <v>0</v>
      </c>
      <c r="X780" s="111">
        <f>Audit[[#This Row],[Audit Candidate 6]]-Audit[[#This Row],[Candidate 6]]</f>
        <v>0</v>
      </c>
      <c r="Y780" s="111">
        <f>SUMIF(Audit[[#This Row],[Difference Loser]:[Difference Candidate 6]], "&gt;0")</f>
        <v>0</v>
      </c>
      <c r="Z780" s="111">
        <f>SUM(Audit[[#This Row],[Difference Loser]:[Difference Candidate 6]])</f>
        <v>-9</v>
      </c>
      <c r="AA780" s="111">
        <f>IF(Audit[[#This Row],[Times p Drawn - With Replacement]]&gt;0, IF(Audit[[#This Row],[Canceled Differences]]&lt;0, Audit[[#This Row],[Max Differences]]+ABS(Audit[[#This Row],[Canceled Differences]]), Audit[[#This Row],[Max Differences]]), 0)</f>
        <v>0</v>
      </c>
      <c r="AB780" s="111">
        <f>'Sampling Data'!P771</f>
        <v>6.7368936795688392E-4</v>
      </c>
      <c r="AC780" s="111">
        <f>IF(
      SUM(Audit[[#This Row],[Audit Losing Candidate]:[Audit Candidate 6]])
      &lt;&gt;0,
      (Audit[[#This Row],[Winning Candidate]]-Audit[[#This Row],[Losing Candidate]]-(Audit[[#This Row],[Audit Winning Candidate]]-Audit[[#This Row],[Audit Losing Candidate]]))/(Audit[[#Totals],[Winning Candidate]]-Audit[[#Totals],[Losing Candidate]]),
      0
)</f>
        <v>0</v>
      </c>
      <c r="AD7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0" s="111">
        <f>IF(Audit[[#This Row],[Max Relative Error (ep)]] = 0, 0, Audit[[#This Row],[Max Relative Error (ep)]]/Audit[[#This Row],[Error Bound (up) - Max. possible relative overstatement]])</f>
        <v>0</v>
      </c>
      <c r="AJ7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80" s="111">
        <f t="shared" si="12"/>
        <v>1</v>
      </c>
      <c r="AL780" s="111">
        <f>PRODUCT($AK$5:AK780)</f>
        <v>8.962823818226312E-2</v>
      </c>
      <c r="AM780" s="109">
        <f>1 - [K-M P Value]</f>
        <v>0.91037176181773694</v>
      </c>
      <c r="AN780" s="111" t="str">
        <f>IF(Audit[[#This Row],[K-M P Value]]&gt;1-'General Info'!$B$16,"Continue", "Stop")</f>
        <v>Stop</v>
      </c>
      <c r="AO780" s="110" t="b">
        <f>IF(Audit[[#This Row],[Status - Continue or stop audit]] = "Continue", TRUE, IF(AN779 = "Continue", TRUE, FALSE))</f>
        <v>0</v>
      </c>
      <c r="AP780" s="110"/>
    </row>
    <row r="781" spans="1:42" ht="15" hidden="1" customHeight="1">
      <c r="A781" s="111" t="str">
        <f>'Sampling Data'!W772</f>
        <v/>
      </c>
      <c r="B781" s="112" t="str">
        <f>'Sampling Data'!A772</f>
        <v>CLEVELAND -14-O - ABS</v>
      </c>
      <c r="C781" s="112">
        <f>'Sampling Data'!B772</f>
        <v>1</v>
      </c>
      <c r="D781" s="112">
        <f>'Sampling Data'!C772</f>
        <v>1</v>
      </c>
      <c r="E781" s="113">
        <f>'Sampling Data'!D772</f>
        <v>0</v>
      </c>
      <c r="F781" s="113">
        <f>'Sampling Data'!E772</f>
        <v>0</v>
      </c>
      <c r="G781" s="113">
        <f>'Sampling Data'!F772</f>
        <v>0</v>
      </c>
      <c r="H781" s="113">
        <f>'Sampling Data'!G772</f>
        <v>0</v>
      </c>
      <c r="I781" s="112">
        <f>'Sampling Data'!H772</f>
        <v>0</v>
      </c>
      <c r="J781" s="112">
        <f>'Sampling Data'!I772</f>
        <v>0</v>
      </c>
      <c r="K781" s="112">
        <f>'Sampling Data'!J772</f>
        <v>2</v>
      </c>
      <c r="L781" s="111">
        <f>'Sampling Data'!X772</f>
        <v>0</v>
      </c>
      <c r="M781" s="114"/>
      <c r="N781" s="114"/>
      <c r="O781" s="115"/>
      <c r="P781" s="115"/>
      <c r="Q781" s="116"/>
      <c r="R781" s="116"/>
      <c r="S781" s="111">
        <f>Audit[[#This Row],[Audit Losing Candidate]]-Audit[[#This Row],[Losing Candidate]]</f>
        <v>-1</v>
      </c>
      <c r="T781" s="111">
        <f>Audit[[#This Row],[Audit Winning Candidate]]-Audit[[#This Row],[Winning Candidate]]</f>
        <v>-1</v>
      </c>
      <c r="U781" s="111">
        <f>Audit[[#This Row],[Audit Candidate 3]]-Audit[[#This Row],[Candidate 3]]</f>
        <v>0</v>
      </c>
      <c r="V781" s="111">
        <f>Audit[[#This Row],[Audit Candidate 4]]-Audit[[#This Row],[Candidate 4]]</f>
        <v>0</v>
      </c>
      <c r="W781" s="111">
        <f>Audit[[#This Row],[Audit Candidate 5]]-Audit[[#This Row],[Candidate 5]]</f>
        <v>0</v>
      </c>
      <c r="X781" s="111">
        <f>Audit[[#This Row],[Audit Candidate 6]]-Audit[[#This Row],[Candidate 6]]</f>
        <v>0</v>
      </c>
      <c r="Y781" s="111">
        <f>SUMIF(Audit[[#This Row],[Difference Loser]:[Difference Candidate 6]], "&gt;0")</f>
        <v>0</v>
      </c>
      <c r="Z781" s="111">
        <f>SUM(Audit[[#This Row],[Difference Loser]:[Difference Candidate 6]])</f>
        <v>-2</v>
      </c>
      <c r="AA781" s="111">
        <f>IF(Audit[[#This Row],[Times p Drawn - With Replacement]]&gt;0, IF(Audit[[#This Row],[Canceled Differences]]&lt;0, Audit[[#This Row],[Max Differences]]+ABS(Audit[[#This Row],[Canceled Differences]]), Audit[[#This Row],[Max Differences]]), 0)</f>
        <v>0</v>
      </c>
      <c r="AB781" s="111">
        <f>'Sampling Data'!P772</f>
        <v>1.224889759921607E-4</v>
      </c>
      <c r="AC781" s="111">
        <f>IF(
      SUM(Audit[[#This Row],[Audit Losing Candidate]:[Audit Candidate 6]])
      &lt;&gt;0,
      (Audit[[#This Row],[Winning Candidate]]-Audit[[#This Row],[Losing Candidate]]-(Audit[[#This Row],[Audit Winning Candidate]]-Audit[[#This Row],[Audit Losing Candidate]]))/(Audit[[#Totals],[Winning Candidate]]-Audit[[#Totals],[Losing Candidate]]),
      0
)</f>
        <v>0</v>
      </c>
      <c r="AD7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1" s="111">
        <f>IF(Audit[[#This Row],[Max Relative Error (ep)]] = 0, 0, Audit[[#This Row],[Max Relative Error (ep)]]/Audit[[#This Row],[Error Bound (up) - Max. possible relative overstatement]])</f>
        <v>0</v>
      </c>
      <c r="AJ7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81" s="111">
        <f t="shared" si="12"/>
        <v>1</v>
      </c>
      <c r="AL781" s="111">
        <f>PRODUCT($AK$5:AK781)</f>
        <v>8.962823818226312E-2</v>
      </c>
      <c r="AM781" s="109">
        <f>1 - [K-M P Value]</f>
        <v>0.91037176181773694</v>
      </c>
      <c r="AN781" s="111" t="str">
        <f>IF(Audit[[#This Row],[K-M P Value]]&gt;1-'General Info'!$B$16,"Continue", "Stop")</f>
        <v>Stop</v>
      </c>
      <c r="AO781" s="110" t="b">
        <f>IF(Audit[[#This Row],[Status - Continue or stop audit]] = "Continue", TRUE, IF(AN780 = "Continue", TRUE, FALSE))</f>
        <v>0</v>
      </c>
      <c r="AP781" s="110"/>
    </row>
    <row r="782" spans="1:42" ht="15" hidden="1" customHeight="1">
      <c r="A782" s="111" t="str">
        <f>'Sampling Data'!W773</f>
        <v/>
      </c>
      <c r="B782" s="112" t="str">
        <f>'Sampling Data'!A773</f>
        <v>CLEVELAND -14-P</v>
      </c>
      <c r="C782" s="112">
        <f>'Sampling Data'!B773</f>
        <v>3</v>
      </c>
      <c r="D782" s="112">
        <f>'Sampling Data'!C773</f>
        <v>0</v>
      </c>
      <c r="E782" s="113">
        <f>'Sampling Data'!D773</f>
        <v>0</v>
      </c>
      <c r="F782" s="113">
        <f>'Sampling Data'!E773</f>
        <v>1</v>
      </c>
      <c r="G782" s="113">
        <f>'Sampling Data'!F773</f>
        <v>0</v>
      </c>
      <c r="H782" s="113">
        <f>'Sampling Data'!G773</f>
        <v>0</v>
      </c>
      <c r="I782" s="112">
        <f>'Sampling Data'!H773</f>
        <v>0</v>
      </c>
      <c r="J782" s="112">
        <f>'Sampling Data'!I773</f>
        <v>0</v>
      </c>
      <c r="K782" s="112">
        <f>'Sampling Data'!J773</f>
        <v>4</v>
      </c>
      <c r="L782" s="111">
        <f>'Sampling Data'!X773</f>
        <v>0</v>
      </c>
      <c r="M782" s="114"/>
      <c r="N782" s="114"/>
      <c r="O782" s="115"/>
      <c r="P782" s="115"/>
      <c r="Q782" s="116"/>
      <c r="R782" s="116"/>
      <c r="S782" s="111">
        <f>Audit[[#This Row],[Audit Losing Candidate]]-Audit[[#This Row],[Losing Candidate]]</f>
        <v>-3</v>
      </c>
      <c r="T782" s="111">
        <f>Audit[[#This Row],[Audit Winning Candidate]]-Audit[[#This Row],[Winning Candidate]]</f>
        <v>0</v>
      </c>
      <c r="U782" s="111">
        <f>Audit[[#This Row],[Audit Candidate 3]]-Audit[[#This Row],[Candidate 3]]</f>
        <v>0</v>
      </c>
      <c r="V782" s="111">
        <f>Audit[[#This Row],[Audit Candidate 4]]-Audit[[#This Row],[Candidate 4]]</f>
        <v>-1</v>
      </c>
      <c r="W782" s="111">
        <f>Audit[[#This Row],[Audit Candidate 5]]-Audit[[#This Row],[Candidate 5]]</f>
        <v>0</v>
      </c>
      <c r="X782" s="111">
        <f>Audit[[#This Row],[Audit Candidate 6]]-Audit[[#This Row],[Candidate 6]]</f>
        <v>0</v>
      </c>
      <c r="Y782" s="111">
        <f>SUMIF(Audit[[#This Row],[Difference Loser]:[Difference Candidate 6]], "&gt;0")</f>
        <v>0</v>
      </c>
      <c r="Z782" s="111">
        <f>SUM(Audit[[#This Row],[Difference Loser]:[Difference Candidate 6]])</f>
        <v>-4</v>
      </c>
      <c r="AA782" s="111">
        <f>IF(Audit[[#This Row],[Times p Drawn - With Replacement]]&gt;0, IF(Audit[[#This Row],[Canceled Differences]]&lt;0, Audit[[#This Row],[Max Differences]]+ABS(Audit[[#This Row],[Canceled Differences]]), Audit[[#This Row],[Max Differences]]), 0)</f>
        <v>0</v>
      </c>
      <c r="AB782" s="111">
        <f>'Sampling Data'!P773</f>
        <v>1.2904474626576767E-4</v>
      </c>
      <c r="AC782" s="111">
        <f>IF(
      SUM(Audit[[#This Row],[Audit Losing Candidate]:[Audit Candidate 6]])
      &lt;&gt;0,
      (Audit[[#This Row],[Winning Candidate]]-Audit[[#This Row],[Losing Candidate]]-(Audit[[#This Row],[Audit Winning Candidate]]-Audit[[#This Row],[Audit Losing Candidate]]))/(Audit[[#Totals],[Winning Candidate]]-Audit[[#Totals],[Losing Candidate]]),
      0
)</f>
        <v>0</v>
      </c>
      <c r="AD7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2" s="111">
        <f>IF(Audit[[#This Row],[Max Relative Error (ep)]] = 0, 0, Audit[[#This Row],[Max Relative Error (ep)]]/Audit[[#This Row],[Error Bound (up) - Max. possible relative overstatement]])</f>
        <v>0</v>
      </c>
      <c r="AJ7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82" s="111">
        <f t="shared" si="12"/>
        <v>1</v>
      </c>
      <c r="AL782" s="111">
        <f>PRODUCT($AK$5:AK782)</f>
        <v>8.962823818226312E-2</v>
      </c>
      <c r="AM782" s="109">
        <f>1 - [K-M P Value]</f>
        <v>0.91037176181773694</v>
      </c>
      <c r="AN782" s="111" t="str">
        <f>IF(Audit[[#This Row],[K-M P Value]]&gt;1-'General Info'!$B$16,"Continue", "Stop")</f>
        <v>Stop</v>
      </c>
      <c r="AO782" s="110" t="b">
        <f>IF(Audit[[#This Row],[Status - Continue or stop audit]] = "Continue", TRUE, IF(AN781 = "Continue", TRUE, FALSE))</f>
        <v>0</v>
      </c>
      <c r="AP782" s="110"/>
    </row>
    <row r="783" spans="1:42" ht="15" hidden="1" customHeight="1">
      <c r="A783" s="111" t="str">
        <f>'Sampling Data'!W774</f>
        <v/>
      </c>
      <c r="B783" s="112" t="str">
        <f>'Sampling Data'!A774</f>
        <v>CLEVELAND -14-P - ABS</v>
      </c>
      <c r="C783" s="112">
        <f>'Sampling Data'!B774</f>
        <v>0</v>
      </c>
      <c r="D783" s="112">
        <f>'Sampling Data'!C774</f>
        <v>0</v>
      </c>
      <c r="E783" s="113">
        <f>'Sampling Data'!D774</f>
        <v>0</v>
      </c>
      <c r="F783" s="113">
        <f>'Sampling Data'!E774</f>
        <v>0</v>
      </c>
      <c r="G783" s="113">
        <f>'Sampling Data'!F774</f>
        <v>0</v>
      </c>
      <c r="H783" s="113">
        <f>'Sampling Data'!G774</f>
        <v>0</v>
      </c>
      <c r="I783" s="112">
        <f>'Sampling Data'!H774</f>
        <v>0</v>
      </c>
      <c r="J783" s="112">
        <f>'Sampling Data'!I774</f>
        <v>0</v>
      </c>
      <c r="K783" s="112">
        <f>'Sampling Data'!J774</f>
        <v>0</v>
      </c>
      <c r="L783" s="111">
        <f>'Sampling Data'!X774</f>
        <v>0</v>
      </c>
      <c r="M783" s="114"/>
      <c r="N783" s="114"/>
      <c r="O783" s="115"/>
      <c r="P783" s="115"/>
      <c r="Q783" s="116"/>
      <c r="R783" s="116"/>
      <c r="S783" s="111">
        <f>Audit[[#This Row],[Audit Losing Candidate]]-Audit[[#This Row],[Losing Candidate]]</f>
        <v>0</v>
      </c>
      <c r="T783" s="111">
        <f>Audit[[#This Row],[Audit Winning Candidate]]-Audit[[#This Row],[Winning Candidate]]</f>
        <v>0</v>
      </c>
      <c r="U783" s="111">
        <f>Audit[[#This Row],[Audit Candidate 3]]-Audit[[#This Row],[Candidate 3]]</f>
        <v>0</v>
      </c>
      <c r="V783" s="111">
        <f>Audit[[#This Row],[Audit Candidate 4]]-Audit[[#This Row],[Candidate 4]]</f>
        <v>0</v>
      </c>
      <c r="W783" s="111">
        <f>Audit[[#This Row],[Audit Candidate 5]]-Audit[[#This Row],[Candidate 5]]</f>
        <v>0</v>
      </c>
      <c r="X783" s="111">
        <f>Audit[[#This Row],[Audit Candidate 6]]-Audit[[#This Row],[Candidate 6]]</f>
        <v>0</v>
      </c>
      <c r="Y783" s="111">
        <f>SUMIF(Audit[[#This Row],[Difference Loser]:[Difference Candidate 6]], "&gt;0")</f>
        <v>0</v>
      </c>
      <c r="Z783" s="111">
        <f>SUM(Audit[[#This Row],[Difference Loser]:[Difference Candidate 6]])</f>
        <v>0</v>
      </c>
      <c r="AA783" s="111">
        <f>IF(Audit[[#This Row],[Times p Drawn - With Replacement]]&gt;0, IF(Audit[[#This Row],[Canceled Differences]]&lt;0, Audit[[#This Row],[Max Differences]]+ABS(Audit[[#This Row],[Canceled Differences]]), Audit[[#This Row],[Max Differences]]), 0)</f>
        <v>0</v>
      </c>
      <c r="AB783" s="111">
        <f>'Sampling Data'!P774</f>
        <v>0</v>
      </c>
      <c r="AC783" s="111">
        <f>IF(
      SUM(Audit[[#This Row],[Audit Losing Candidate]:[Audit Candidate 6]])
      &lt;&gt;0,
      (Audit[[#This Row],[Winning Candidate]]-Audit[[#This Row],[Losing Candidate]]-(Audit[[#This Row],[Audit Winning Candidate]]-Audit[[#This Row],[Audit Losing Candidate]]))/(Audit[[#Totals],[Winning Candidate]]-Audit[[#Totals],[Losing Candidate]]),
      0
)</f>
        <v>0</v>
      </c>
      <c r="AD7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3" s="111">
        <f>IF(Audit[[#This Row],[Max Relative Error (ep)]] = 0, 0, Audit[[#This Row],[Max Relative Error (ep)]]/Audit[[#This Row],[Error Bound (up) - Max. possible relative overstatement]])</f>
        <v>0</v>
      </c>
      <c r="AJ7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83" s="111">
        <f t="shared" si="12"/>
        <v>1</v>
      </c>
      <c r="AL783" s="111">
        <f>PRODUCT($AK$5:AK783)</f>
        <v>8.962823818226312E-2</v>
      </c>
      <c r="AM783" s="109">
        <f>1 - [K-M P Value]</f>
        <v>0.91037176181773694</v>
      </c>
      <c r="AN783" s="111" t="str">
        <f>IF(Audit[[#This Row],[K-M P Value]]&gt;1-'General Info'!$B$16,"Continue", "Stop")</f>
        <v>Stop</v>
      </c>
      <c r="AO783" s="110" t="b">
        <f>IF(Audit[[#This Row],[Status - Continue or stop audit]] = "Continue", TRUE, IF(AN782 = "Continue", TRUE, FALSE))</f>
        <v>0</v>
      </c>
      <c r="AP783" s="110"/>
    </row>
    <row r="784" spans="1:42" ht="15" hidden="1" customHeight="1">
      <c r="A784" s="111" t="str">
        <f>'Sampling Data'!W775</f>
        <v/>
      </c>
      <c r="B784" s="112" t="str">
        <f>'Sampling Data'!A775</f>
        <v>CLEVELAND -14-Q</v>
      </c>
      <c r="C784" s="112">
        <f>'Sampling Data'!B775</f>
        <v>0</v>
      </c>
      <c r="D784" s="112">
        <f>'Sampling Data'!C775</f>
        <v>6</v>
      </c>
      <c r="E784" s="113">
        <f>'Sampling Data'!D775</f>
        <v>1</v>
      </c>
      <c r="F784" s="113">
        <f>'Sampling Data'!E775</f>
        <v>5</v>
      </c>
      <c r="G784" s="113">
        <f>'Sampling Data'!F775</f>
        <v>1</v>
      </c>
      <c r="H784" s="113">
        <f>'Sampling Data'!G775</f>
        <v>0</v>
      </c>
      <c r="I784" s="112">
        <f>'Sampling Data'!H775</f>
        <v>0</v>
      </c>
      <c r="J784" s="112">
        <f>'Sampling Data'!I775</f>
        <v>0</v>
      </c>
      <c r="K784" s="112">
        <f>'Sampling Data'!J775</f>
        <v>13</v>
      </c>
      <c r="L784" s="111">
        <f>'Sampling Data'!X775</f>
        <v>0</v>
      </c>
      <c r="M784" s="114"/>
      <c r="N784" s="114"/>
      <c r="O784" s="115"/>
      <c r="P784" s="115"/>
      <c r="Q784" s="116"/>
      <c r="R784" s="116"/>
      <c r="S784" s="111">
        <f>Audit[[#This Row],[Audit Losing Candidate]]-Audit[[#This Row],[Losing Candidate]]</f>
        <v>0</v>
      </c>
      <c r="T784" s="111">
        <f>Audit[[#This Row],[Audit Winning Candidate]]-Audit[[#This Row],[Winning Candidate]]</f>
        <v>-6</v>
      </c>
      <c r="U784" s="111">
        <f>Audit[[#This Row],[Audit Candidate 3]]-Audit[[#This Row],[Candidate 3]]</f>
        <v>-1</v>
      </c>
      <c r="V784" s="111">
        <f>Audit[[#This Row],[Audit Candidate 4]]-Audit[[#This Row],[Candidate 4]]</f>
        <v>-5</v>
      </c>
      <c r="W784" s="111">
        <f>Audit[[#This Row],[Audit Candidate 5]]-Audit[[#This Row],[Candidate 5]]</f>
        <v>-1</v>
      </c>
      <c r="X784" s="111">
        <f>Audit[[#This Row],[Audit Candidate 6]]-Audit[[#This Row],[Candidate 6]]</f>
        <v>0</v>
      </c>
      <c r="Y784" s="111">
        <f>SUMIF(Audit[[#This Row],[Difference Loser]:[Difference Candidate 6]], "&gt;0")</f>
        <v>0</v>
      </c>
      <c r="Z784" s="111">
        <f>SUM(Audit[[#This Row],[Difference Loser]:[Difference Candidate 6]])</f>
        <v>-13</v>
      </c>
      <c r="AA784" s="111">
        <f>IF(Audit[[#This Row],[Times p Drawn - With Replacement]]&gt;0, IF(Audit[[#This Row],[Canceled Differences]]&lt;0, Audit[[#This Row],[Max Differences]]+ABS(Audit[[#This Row],[Canceled Differences]]), Audit[[#This Row],[Max Differences]]), 0)</f>
        <v>0</v>
      </c>
      <c r="AB784" s="111">
        <f>'Sampling Data'!P775</f>
        <v>1.1636452719255266E-3</v>
      </c>
      <c r="AC784" s="111">
        <f>IF(
      SUM(Audit[[#This Row],[Audit Losing Candidate]:[Audit Candidate 6]])
      &lt;&gt;0,
      (Audit[[#This Row],[Winning Candidate]]-Audit[[#This Row],[Losing Candidate]]-(Audit[[#This Row],[Audit Winning Candidate]]-Audit[[#This Row],[Audit Losing Candidate]]))/(Audit[[#Totals],[Winning Candidate]]-Audit[[#Totals],[Losing Candidate]]),
      0
)</f>
        <v>0</v>
      </c>
      <c r="AD7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4" s="111">
        <f>IF(Audit[[#This Row],[Max Relative Error (ep)]] = 0, 0, Audit[[#This Row],[Max Relative Error (ep)]]/Audit[[#This Row],[Error Bound (up) - Max. possible relative overstatement]])</f>
        <v>0</v>
      </c>
      <c r="AJ7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84" s="111">
        <f t="shared" si="12"/>
        <v>1</v>
      </c>
      <c r="AL784" s="111">
        <f>PRODUCT($AK$5:AK784)</f>
        <v>8.962823818226312E-2</v>
      </c>
      <c r="AM784" s="109">
        <f>1 - [K-M P Value]</f>
        <v>0.91037176181773694</v>
      </c>
      <c r="AN784" s="111" t="str">
        <f>IF(Audit[[#This Row],[K-M P Value]]&gt;1-'General Info'!$B$16,"Continue", "Stop")</f>
        <v>Stop</v>
      </c>
      <c r="AO784" s="110" t="b">
        <f>IF(Audit[[#This Row],[Status - Continue or stop audit]] = "Continue", TRUE, IF(AN783 = "Continue", TRUE, FALSE))</f>
        <v>0</v>
      </c>
      <c r="AP784" s="110"/>
    </row>
    <row r="785" spans="1:42" ht="15" hidden="1" customHeight="1">
      <c r="A785" s="111" t="str">
        <f>'Sampling Data'!W776</f>
        <v/>
      </c>
      <c r="B785" s="112" t="str">
        <f>'Sampling Data'!A776</f>
        <v>CLEVELAND -14-Q - ABS</v>
      </c>
      <c r="C785" s="112">
        <f>'Sampling Data'!B776</f>
        <v>1</v>
      </c>
      <c r="D785" s="112">
        <f>'Sampling Data'!C776</f>
        <v>1</v>
      </c>
      <c r="E785" s="113">
        <f>'Sampling Data'!D776</f>
        <v>0</v>
      </c>
      <c r="F785" s="113">
        <f>'Sampling Data'!E776</f>
        <v>0</v>
      </c>
      <c r="G785" s="113">
        <f>'Sampling Data'!F776</f>
        <v>0</v>
      </c>
      <c r="H785" s="113">
        <f>'Sampling Data'!G776</f>
        <v>0</v>
      </c>
      <c r="I785" s="112">
        <f>'Sampling Data'!H776</f>
        <v>0</v>
      </c>
      <c r="J785" s="112">
        <f>'Sampling Data'!I776</f>
        <v>0</v>
      </c>
      <c r="K785" s="112">
        <f>'Sampling Data'!J776</f>
        <v>2</v>
      </c>
      <c r="L785" s="111">
        <f>'Sampling Data'!X776</f>
        <v>0</v>
      </c>
      <c r="M785" s="114"/>
      <c r="N785" s="114"/>
      <c r="O785" s="115"/>
      <c r="P785" s="115"/>
      <c r="Q785" s="116"/>
      <c r="R785" s="116"/>
      <c r="S785" s="111">
        <f>Audit[[#This Row],[Audit Losing Candidate]]-Audit[[#This Row],[Losing Candidate]]</f>
        <v>-1</v>
      </c>
      <c r="T785" s="111">
        <f>Audit[[#This Row],[Audit Winning Candidate]]-Audit[[#This Row],[Winning Candidate]]</f>
        <v>-1</v>
      </c>
      <c r="U785" s="111">
        <f>Audit[[#This Row],[Audit Candidate 3]]-Audit[[#This Row],[Candidate 3]]</f>
        <v>0</v>
      </c>
      <c r="V785" s="111">
        <f>Audit[[#This Row],[Audit Candidate 4]]-Audit[[#This Row],[Candidate 4]]</f>
        <v>0</v>
      </c>
      <c r="W785" s="111">
        <f>Audit[[#This Row],[Audit Candidate 5]]-Audit[[#This Row],[Candidate 5]]</f>
        <v>0</v>
      </c>
      <c r="X785" s="111">
        <f>Audit[[#This Row],[Audit Candidate 6]]-Audit[[#This Row],[Candidate 6]]</f>
        <v>0</v>
      </c>
      <c r="Y785" s="111">
        <f>SUMIF(Audit[[#This Row],[Difference Loser]:[Difference Candidate 6]], "&gt;0")</f>
        <v>0</v>
      </c>
      <c r="Z785" s="111">
        <f>SUM(Audit[[#This Row],[Difference Loser]:[Difference Candidate 6]])</f>
        <v>-2</v>
      </c>
      <c r="AA785" s="111">
        <f>IF(Audit[[#This Row],[Times p Drawn - With Replacement]]&gt;0, IF(Audit[[#This Row],[Canceled Differences]]&lt;0, Audit[[#This Row],[Max Differences]]+ABS(Audit[[#This Row],[Canceled Differences]]), Audit[[#This Row],[Max Differences]]), 0)</f>
        <v>0</v>
      </c>
      <c r="AB785" s="111">
        <f>'Sampling Data'!P776</f>
        <v>1.224889759921607E-4</v>
      </c>
      <c r="AC785" s="111">
        <f>IF(
      SUM(Audit[[#This Row],[Audit Losing Candidate]:[Audit Candidate 6]])
      &lt;&gt;0,
      (Audit[[#This Row],[Winning Candidate]]-Audit[[#This Row],[Losing Candidate]]-(Audit[[#This Row],[Audit Winning Candidate]]-Audit[[#This Row],[Audit Losing Candidate]]))/(Audit[[#Totals],[Winning Candidate]]-Audit[[#Totals],[Losing Candidate]]),
      0
)</f>
        <v>0</v>
      </c>
      <c r="AD7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5" s="111">
        <f>IF(Audit[[#This Row],[Max Relative Error (ep)]] = 0, 0, Audit[[#This Row],[Max Relative Error (ep)]]/Audit[[#This Row],[Error Bound (up) - Max. possible relative overstatement]])</f>
        <v>0</v>
      </c>
      <c r="AJ7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85" s="111">
        <f t="shared" si="12"/>
        <v>1</v>
      </c>
      <c r="AL785" s="111">
        <f>PRODUCT($AK$5:AK785)</f>
        <v>8.962823818226312E-2</v>
      </c>
      <c r="AM785" s="109">
        <f>1 - [K-M P Value]</f>
        <v>0.91037176181773694</v>
      </c>
      <c r="AN785" s="111" t="str">
        <f>IF(Audit[[#This Row],[K-M P Value]]&gt;1-'General Info'!$B$16,"Continue", "Stop")</f>
        <v>Stop</v>
      </c>
      <c r="AO785" s="110" t="b">
        <f>IF(Audit[[#This Row],[Status - Continue or stop audit]] = "Continue", TRUE, IF(AN784 = "Continue", TRUE, FALSE))</f>
        <v>0</v>
      </c>
      <c r="AP785" s="110"/>
    </row>
    <row r="786" spans="1:42" ht="15" hidden="1" customHeight="1">
      <c r="A786" s="111" t="str">
        <f>'Sampling Data'!W777</f>
        <v/>
      </c>
      <c r="B786" s="112" t="str">
        <f>'Sampling Data'!A777</f>
        <v>CLEVELAND -15-A</v>
      </c>
      <c r="C786" s="112">
        <f>'Sampling Data'!B777</f>
        <v>6</v>
      </c>
      <c r="D786" s="112">
        <f>'Sampling Data'!C777</f>
        <v>8</v>
      </c>
      <c r="E786" s="113">
        <f>'Sampling Data'!D777</f>
        <v>2</v>
      </c>
      <c r="F786" s="113">
        <f>'Sampling Data'!E777</f>
        <v>0</v>
      </c>
      <c r="G786" s="113">
        <f>'Sampling Data'!F777</f>
        <v>0</v>
      </c>
      <c r="H786" s="113">
        <f>'Sampling Data'!G777</f>
        <v>2</v>
      </c>
      <c r="I786" s="112">
        <f>'Sampling Data'!H777</f>
        <v>0</v>
      </c>
      <c r="J786" s="112">
        <f>'Sampling Data'!I777</f>
        <v>0</v>
      </c>
      <c r="K786" s="112">
        <f>'Sampling Data'!J777</f>
        <v>18</v>
      </c>
      <c r="L786" s="111">
        <f>'Sampling Data'!X777</f>
        <v>0</v>
      </c>
      <c r="M786" s="114"/>
      <c r="N786" s="114"/>
      <c r="O786" s="115"/>
      <c r="P786" s="115"/>
      <c r="Q786" s="116"/>
      <c r="R786" s="116"/>
      <c r="S786" s="111">
        <f>Audit[[#This Row],[Audit Losing Candidate]]-Audit[[#This Row],[Losing Candidate]]</f>
        <v>-6</v>
      </c>
      <c r="T786" s="111">
        <f>Audit[[#This Row],[Audit Winning Candidate]]-Audit[[#This Row],[Winning Candidate]]</f>
        <v>-8</v>
      </c>
      <c r="U786" s="111">
        <f>Audit[[#This Row],[Audit Candidate 3]]-Audit[[#This Row],[Candidate 3]]</f>
        <v>-2</v>
      </c>
      <c r="V786" s="111">
        <f>Audit[[#This Row],[Audit Candidate 4]]-Audit[[#This Row],[Candidate 4]]</f>
        <v>0</v>
      </c>
      <c r="W786" s="111">
        <f>Audit[[#This Row],[Audit Candidate 5]]-Audit[[#This Row],[Candidate 5]]</f>
        <v>0</v>
      </c>
      <c r="X786" s="111">
        <f>Audit[[#This Row],[Audit Candidate 6]]-Audit[[#This Row],[Candidate 6]]</f>
        <v>-2</v>
      </c>
      <c r="Y786" s="111">
        <f>SUMIF(Audit[[#This Row],[Difference Loser]:[Difference Candidate 6]], "&gt;0")</f>
        <v>0</v>
      </c>
      <c r="Z786" s="111">
        <f>SUM(Audit[[#This Row],[Difference Loser]:[Difference Candidate 6]])</f>
        <v>-18</v>
      </c>
      <c r="AA786" s="111">
        <f>IF(Audit[[#This Row],[Times p Drawn - With Replacement]]&gt;0, IF(Audit[[#This Row],[Canceled Differences]]&lt;0, Audit[[#This Row],[Max Differences]]+ABS(Audit[[#This Row],[Canceled Differences]]), Audit[[#This Row],[Max Differences]]), 0)</f>
        <v>0</v>
      </c>
      <c r="AB786" s="111">
        <f>'Sampling Data'!P777</f>
        <v>1.224889759921607E-3</v>
      </c>
      <c r="AC786" s="111">
        <f>IF(
      SUM(Audit[[#This Row],[Audit Losing Candidate]:[Audit Candidate 6]])
      &lt;&gt;0,
      (Audit[[#This Row],[Winning Candidate]]-Audit[[#This Row],[Losing Candidate]]-(Audit[[#This Row],[Audit Winning Candidate]]-Audit[[#This Row],[Audit Losing Candidate]]))/(Audit[[#Totals],[Winning Candidate]]-Audit[[#Totals],[Losing Candidate]]),
      0
)</f>
        <v>0</v>
      </c>
      <c r="AD7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6" s="111">
        <f>IF(Audit[[#This Row],[Max Relative Error (ep)]] = 0, 0, Audit[[#This Row],[Max Relative Error (ep)]]/Audit[[#This Row],[Error Bound (up) - Max. possible relative overstatement]])</f>
        <v>0</v>
      </c>
      <c r="AJ7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86" s="111">
        <f t="shared" si="12"/>
        <v>1</v>
      </c>
      <c r="AL786" s="111">
        <f>PRODUCT($AK$5:AK786)</f>
        <v>8.962823818226312E-2</v>
      </c>
      <c r="AM786" s="109">
        <f>1 - [K-M P Value]</f>
        <v>0.91037176181773694</v>
      </c>
      <c r="AN786" s="111" t="str">
        <f>IF(Audit[[#This Row],[K-M P Value]]&gt;1-'General Info'!$B$16,"Continue", "Stop")</f>
        <v>Stop</v>
      </c>
      <c r="AO786" s="110" t="b">
        <f>IF(Audit[[#This Row],[Status - Continue or stop audit]] = "Continue", TRUE, IF(AN785 = "Continue", TRUE, FALSE))</f>
        <v>0</v>
      </c>
      <c r="AP786" s="110"/>
    </row>
    <row r="787" spans="1:42" ht="15" hidden="1" customHeight="1">
      <c r="A787" s="111" t="str">
        <f>'Sampling Data'!W778</f>
        <v/>
      </c>
      <c r="B787" s="112" t="str">
        <f>'Sampling Data'!A778</f>
        <v>CLEVELAND -15-A - ABS</v>
      </c>
      <c r="C787" s="112">
        <f>'Sampling Data'!B778</f>
        <v>4</v>
      </c>
      <c r="D787" s="112">
        <f>'Sampling Data'!C778</f>
        <v>1</v>
      </c>
      <c r="E787" s="113">
        <f>'Sampling Data'!D778</f>
        <v>0</v>
      </c>
      <c r="F787" s="113">
        <f>'Sampling Data'!E778</f>
        <v>0</v>
      </c>
      <c r="G787" s="113">
        <f>'Sampling Data'!F778</f>
        <v>0</v>
      </c>
      <c r="H787" s="113">
        <f>'Sampling Data'!G778</f>
        <v>0</v>
      </c>
      <c r="I787" s="112">
        <f>'Sampling Data'!H778</f>
        <v>0</v>
      </c>
      <c r="J787" s="112">
        <f>'Sampling Data'!I778</f>
        <v>0</v>
      </c>
      <c r="K787" s="112">
        <f>'Sampling Data'!J778</f>
        <v>5</v>
      </c>
      <c r="L787" s="111">
        <f>'Sampling Data'!X778</f>
        <v>0</v>
      </c>
      <c r="M787" s="114"/>
      <c r="N787" s="114"/>
      <c r="O787" s="115"/>
      <c r="P787" s="115"/>
      <c r="Q787" s="116"/>
      <c r="R787" s="116"/>
      <c r="S787" s="111">
        <f>Audit[[#This Row],[Audit Losing Candidate]]-Audit[[#This Row],[Losing Candidate]]</f>
        <v>-4</v>
      </c>
      <c r="T787" s="111">
        <f>Audit[[#This Row],[Audit Winning Candidate]]-Audit[[#This Row],[Winning Candidate]]</f>
        <v>-1</v>
      </c>
      <c r="U787" s="111">
        <f>Audit[[#This Row],[Audit Candidate 3]]-Audit[[#This Row],[Candidate 3]]</f>
        <v>0</v>
      </c>
      <c r="V787" s="111">
        <f>Audit[[#This Row],[Audit Candidate 4]]-Audit[[#This Row],[Candidate 4]]</f>
        <v>0</v>
      </c>
      <c r="W787" s="111">
        <f>Audit[[#This Row],[Audit Candidate 5]]-Audit[[#This Row],[Candidate 5]]</f>
        <v>0</v>
      </c>
      <c r="X787" s="111">
        <f>Audit[[#This Row],[Audit Candidate 6]]-Audit[[#This Row],[Candidate 6]]</f>
        <v>0</v>
      </c>
      <c r="Y787" s="111">
        <f>SUMIF(Audit[[#This Row],[Difference Loser]:[Difference Candidate 6]], "&gt;0")</f>
        <v>0</v>
      </c>
      <c r="Z787" s="111">
        <f>SUM(Audit[[#This Row],[Difference Loser]:[Difference Candidate 6]])</f>
        <v>-5</v>
      </c>
      <c r="AA787" s="111">
        <f>IF(Audit[[#This Row],[Times p Drawn - With Replacement]]&gt;0, IF(Audit[[#This Row],[Canceled Differences]]&lt;0, Audit[[#This Row],[Max Differences]]+ABS(Audit[[#This Row],[Canceled Differences]]), Audit[[#This Row],[Max Differences]]), 0)</f>
        <v>0</v>
      </c>
      <c r="AB787" s="111">
        <f>'Sampling Data'!P778</f>
        <v>1.9356711939865149E-4</v>
      </c>
      <c r="AC787" s="111">
        <f>IF(
      SUM(Audit[[#This Row],[Audit Losing Candidate]:[Audit Candidate 6]])
      &lt;&gt;0,
      (Audit[[#This Row],[Winning Candidate]]-Audit[[#This Row],[Losing Candidate]]-(Audit[[#This Row],[Audit Winning Candidate]]-Audit[[#This Row],[Audit Losing Candidate]]))/(Audit[[#Totals],[Winning Candidate]]-Audit[[#Totals],[Losing Candidate]]),
      0
)</f>
        <v>0</v>
      </c>
      <c r="AD7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7" s="111">
        <f>IF(Audit[[#This Row],[Max Relative Error (ep)]] = 0, 0, Audit[[#This Row],[Max Relative Error (ep)]]/Audit[[#This Row],[Error Bound (up) - Max. possible relative overstatement]])</f>
        <v>0</v>
      </c>
      <c r="AJ7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87" s="111">
        <f t="shared" si="12"/>
        <v>1</v>
      </c>
      <c r="AL787" s="111">
        <f>PRODUCT($AK$5:AK787)</f>
        <v>8.962823818226312E-2</v>
      </c>
      <c r="AM787" s="109">
        <f>1 - [K-M P Value]</f>
        <v>0.91037176181773694</v>
      </c>
      <c r="AN787" s="111" t="str">
        <f>IF(Audit[[#This Row],[K-M P Value]]&gt;1-'General Info'!$B$16,"Continue", "Stop")</f>
        <v>Stop</v>
      </c>
      <c r="AO787" s="110" t="b">
        <f>IF(Audit[[#This Row],[Status - Continue or stop audit]] = "Continue", TRUE, IF(AN786 = "Continue", TRUE, FALSE))</f>
        <v>0</v>
      </c>
      <c r="AP787" s="110"/>
    </row>
    <row r="788" spans="1:42" ht="15" hidden="1" customHeight="1">
      <c r="A788" s="111" t="str">
        <f>'Sampling Data'!W779</f>
        <v/>
      </c>
      <c r="B788" s="112" t="str">
        <f>'Sampling Data'!A779</f>
        <v>CLEVELAND -15-B</v>
      </c>
      <c r="C788" s="112">
        <f>'Sampling Data'!B779</f>
        <v>4</v>
      </c>
      <c r="D788" s="112">
        <f>'Sampling Data'!C779</f>
        <v>4</v>
      </c>
      <c r="E788" s="113">
        <f>'Sampling Data'!D779</f>
        <v>2</v>
      </c>
      <c r="F788" s="113">
        <f>'Sampling Data'!E779</f>
        <v>2</v>
      </c>
      <c r="G788" s="113">
        <f>'Sampling Data'!F779</f>
        <v>1</v>
      </c>
      <c r="H788" s="113">
        <f>'Sampling Data'!G779</f>
        <v>1</v>
      </c>
      <c r="I788" s="112">
        <f>'Sampling Data'!H779</f>
        <v>0</v>
      </c>
      <c r="J788" s="112">
        <f>'Sampling Data'!I779</f>
        <v>0</v>
      </c>
      <c r="K788" s="112">
        <f>'Sampling Data'!J779</f>
        <v>14</v>
      </c>
      <c r="L788" s="111">
        <f>'Sampling Data'!X779</f>
        <v>0</v>
      </c>
      <c r="M788" s="114"/>
      <c r="N788" s="114"/>
      <c r="O788" s="115"/>
      <c r="P788" s="115"/>
      <c r="Q788" s="116"/>
      <c r="R788" s="116"/>
      <c r="S788" s="111">
        <f>Audit[[#This Row],[Audit Losing Candidate]]-Audit[[#This Row],[Losing Candidate]]</f>
        <v>-4</v>
      </c>
      <c r="T788" s="111">
        <f>Audit[[#This Row],[Audit Winning Candidate]]-Audit[[#This Row],[Winning Candidate]]</f>
        <v>-4</v>
      </c>
      <c r="U788" s="111">
        <f>Audit[[#This Row],[Audit Candidate 3]]-Audit[[#This Row],[Candidate 3]]</f>
        <v>-2</v>
      </c>
      <c r="V788" s="111">
        <f>Audit[[#This Row],[Audit Candidate 4]]-Audit[[#This Row],[Candidate 4]]</f>
        <v>-2</v>
      </c>
      <c r="W788" s="111">
        <f>Audit[[#This Row],[Audit Candidate 5]]-Audit[[#This Row],[Candidate 5]]</f>
        <v>-1</v>
      </c>
      <c r="X788" s="111">
        <f>Audit[[#This Row],[Audit Candidate 6]]-Audit[[#This Row],[Candidate 6]]</f>
        <v>-1</v>
      </c>
      <c r="Y788" s="111">
        <f>SUMIF(Audit[[#This Row],[Difference Loser]:[Difference Candidate 6]], "&gt;0")</f>
        <v>0</v>
      </c>
      <c r="Z788" s="111">
        <f>SUM(Audit[[#This Row],[Difference Loser]:[Difference Candidate 6]])</f>
        <v>-14</v>
      </c>
      <c r="AA788" s="111">
        <f>IF(Audit[[#This Row],[Times p Drawn - With Replacement]]&gt;0, IF(Audit[[#This Row],[Canceled Differences]]&lt;0, Audit[[#This Row],[Max Differences]]+ABS(Audit[[#This Row],[Canceled Differences]]), Audit[[#This Row],[Max Differences]]), 0)</f>
        <v>0</v>
      </c>
      <c r="AB788" s="111">
        <f>'Sampling Data'!P779</f>
        <v>8.5742283194512492E-4</v>
      </c>
      <c r="AC788" s="111">
        <f>IF(
      SUM(Audit[[#This Row],[Audit Losing Candidate]:[Audit Candidate 6]])
      &lt;&gt;0,
      (Audit[[#This Row],[Winning Candidate]]-Audit[[#This Row],[Losing Candidate]]-(Audit[[#This Row],[Audit Winning Candidate]]-Audit[[#This Row],[Audit Losing Candidate]]))/(Audit[[#Totals],[Winning Candidate]]-Audit[[#Totals],[Losing Candidate]]),
      0
)</f>
        <v>0</v>
      </c>
      <c r="AD7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8" s="111">
        <f>IF(Audit[[#This Row],[Max Relative Error (ep)]] = 0, 0, Audit[[#This Row],[Max Relative Error (ep)]]/Audit[[#This Row],[Error Bound (up) - Max. possible relative overstatement]])</f>
        <v>0</v>
      </c>
      <c r="AJ7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88" s="111">
        <f t="shared" si="12"/>
        <v>1</v>
      </c>
      <c r="AL788" s="111">
        <f>PRODUCT($AK$5:AK788)</f>
        <v>8.962823818226312E-2</v>
      </c>
      <c r="AM788" s="109">
        <f>1 - [K-M P Value]</f>
        <v>0.91037176181773694</v>
      </c>
      <c r="AN788" s="111" t="str">
        <f>IF(Audit[[#This Row],[K-M P Value]]&gt;1-'General Info'!$B$16,"Continue", "Stop")</f>
        <v>Stop</v>
      </c>
      <c r="AO788" s="110" t="b">
        <f>IF(Audit[[#This Row],[Status - Continue or stop audit]] = "Continue", TRUE, IF(AN787 = "Continue", TRUE, FALSE))</f>
        <v>0</v>
      </c>
      <c r="AP788" s="110"/>
    </row>
    <row r="789" spans="1:42" ht="15" hidden="1" customHeight="1">
      <c r="A789" s="111" t="str">
        <f>'Sampling Data'!W780</f>
        <v/>
      </c>
      <c r="B789" s="112" t="str">
        <f>'Sampling Data'!A780</f>
        <v>CLEVELAND -15-B - ABS</v>
      </c>
      <c r="C789" s="112">
        <f>'Sampling Data'!B780</f>
        <v>0</v>
      </c>
      <c r="D789" s="112">
        <f>'Sampling Data'!C780</f>
        <v>1</v>
      </c>
      <c r="E789" s="113">
        <f>'Sampling Data'!D780</f>
        <v>0</v>
      </c>
      <c r="F789" s="113">
        <f>'Sampling Data'!E780</f>
        <v>0</v>
      </c>
      <c r="G789" s="113">
        <f>'Sampling Data'!F780</f>
        <v>0</v>
      </c>
      <c r="H789" s="113">
        <f>'Sampling Data'!G780</f>
        <v>0</v>
      </c>
      <c r="I789" s="112">
        <f>'Sampling Data'!H780</f>
        <v>0</v>
      </c>
      <c r="J789" s="112">
        <f>'Sampling Data'!I780</f>
        <v>0</v>
      </c>
      <c r="K789" s="112">
        <f>'Sampling Data'!J780</f>
        <v>1</v>
      </c>
      <c r="L789" s="111">
        <f>'Sampling Data'!X780</f>
        <v>0</v>
      </c>
      <c r="M789" s="114"/>
      <c r="N789" s="114"/>
      <c r="O789" s="115"/>
      <c r="P789" s="115"/>
      <c r="Q789" s="116"/>
      <c r="R789" s="116"/>
      <c r="S789" s="111">
        <f>Audit[[#This Row],[Audit Losing Candidate]]-Audit[[#This Row],[Losing Candidate]]</f>
        <v>0</v>
      </c>
      <c r="T789" s="111">
        <f>Audit[[#This Row],[Audit Winning Candidate]]-Audit[[#This Row],[Winning Candidate]]</f>
        <v>-1</v>
      </c>
      <c r="U789" s="111">
        <f>Audit[[#This Row],[Audit Candidate 3]]-Audit[[#This Row],[Candidate 3]]</f>
        <v>0</v>
      </c>
      <c r="V789" s="111">
        <f>Audit[[#This Row],[Audit Candidate 4]]-Audit[[#This Row],[Candidate 4]]</f>
        <v>0</v>
      </c>
      <c r="W789" s="111">
        <f>Audit[[#This Row],[Audit Candidate 5]]-Audit[[#This Row],[Candidate 5]]</f>
        <v>0</v>
      </c>
      <c r="X789" s="111">
        <f>Audit[[#This Row],[Audit Candidate 6]]-Audit[[#This Row],[Candidate 6]]</f>
        <v>0</v>
      </c>
      <c r="Y789" s="111">
        <f>SUMIF(Audit[[#This Row],[Difference Loser]:[Difference Candidate 6]], "&gt;0")</f>
        <v>0</v>
      </c>
      <c r="Z789" s="111">
        <f>SUM(Audit[[#This Row],[Difference Loser]:[Difference Candidate 6]])</f>
        <v>-1</v>
      </c>
      <c r="AA789" s="111">
        <f>IF(Audit[[#This Row],[Times p Drawn - With Replacement]]&gt;0, IF(Audit[[#This Row],[Canceled Differences]]&lt;0, Audit[[#This Row],[Max Differences]]+ABS(Audit[[#This Row],[Canceled Differences]]), Audit[[#This Row],[Max Differences]]), 0)</f>
        <v>0</v>
      </c>
      <c r="AB789" s="111">
        <f>'Sampling Data'!P780</f>
        <v>1.224889759921607E-4</v>
      </c>
      <c r="AC789" s="111">
        <f>IF(
      SUM(Audit[[#This Row],[Audit Losing Candidate]:[Audit Candidate 6]])
      &lt;&gt;0,
      (Audit[[#This Row],[Winning Candidate]]-Audit[[#This Row],[Losing Candidate]]-(Audit[[#This Row],[Audit Winning Candidate]]-Audit[[#This Row],[Audit Losing Candidate]]))/(Audit[[#Totals],[Winning Candidate]]-Audit[[#Totals],[Losing Candidate]]),
      0
)</f>
        <v>0</v>
      </c>
      <c r="AD7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9" s="111">
        <f>IF(Audit[[#This Row],[Max Relative Error (ep)]] = 0, 0, Audit[[#This Row],[Max Relative Error (ep)]]/Audit[[#This Row],[Error Bound (up) - Max. possible relative overstatement]])</f>
        <v>0</v>
      </c>
      <c r="AJ7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89" s="111">
        <f t="shared" si="12"/>
        <v>1</v>
      </c>
      <c r="AL789" s="111">
        <f>PRODUCT($AK$5:AK789)</f>
        <v>8.962823818226312E-2</v>
      </c>
      <c r="AM789" s="109">
        <f>1 - [K-M P Value]</f>
        <v>0.91037176181773694</v>
      </c>
      <c r="AN789" s="111" t="str">
        <f>IF(Audit[[#This Row],[K-M P Value]]&gt;1-'General Info'!$B$16,"Continue", "Stop")</f>
        <v>Stop</v>
      </c>
      <c r="AO789" s="110" t="b">
        <f>IF(Audit[[#This Row],[Status - Continue or stop audit]] = "Continue", TRUE, IF(AN788 = "Continue", TRUE, FALSE))</f>
        <v>0</v>
      </c>
      <c r="AP789" s="110"/>
    </row>
    <row r="790" spans="1:42" ht="15" hidden="1" customHeight="1">
      <c r="A790" s="111" t="str">
        <f>'Sampling Data'!W781</f>
        <v/>
      </c>
      <c r="B790" s="112" t="str">
        <f>'Sampling Data'!A781</f>
        <v>CLEVELAND -15-C</v>
      </c>
      <c r="C790" s="112">
        <f>'Sampling Data'!B781</f>
        <v>2</v>
      </c>
      <c r="D790" s="112">
        <f>'Sampling Data'!C781</f>
        <v>5</v>
      </c>
      <c r="E790" s="113">
        <f>'Sampling Data'!D781</f>
        <v>4</v>
      </c>
      <c r="F790" s="113">
        <f>'Sampling Data'!E781</f>
        <v>0</v>
      </c>
      <c r="G790" s="113">
        <f>'Sampling Data'!F781</f>
        <v>0</v>
      </c>
      <c r="H790" s="113">
        <f>'Sampling Data'!G781</f>
        <v>0</v>
      </c>
      <c r="I790" s="112">
        <f>'Sampling Data'!H781</f>
        <v>0</v>
      </c>
      <c r="J790" s="112">
        <f>'Sampling Data'!I781</f>
        <v>0</v>
      </c>
      <c r="K790" s="112">
        <f>'Sampling Data'!J781</f>
        <v>11</v>
      </c>
      <c r="L790" s="111">
        <f>'Sampling Data'!X781</f>
        <v>0</v>
      </c>
      <c r="M790" s="114"/>
      <c r="N790" s="114"/>
      <c r="O790" s="115"/>
      <c r="P790" s="115"/>
      <c r="Q790" s="116"/>
      <c r="R790" s="116"/>
      <c r="S790" s="111">
        <f>Audit[[#This Row],[Audit Losing Candidate]]-Audit[[#This Row],[Losing Candidate]]</f>
        <v>-2</v>
      </c>
      <c r="T790" s="111">
        <f>Audit[[#This Row],[Audit Winning Candidate]]-Audit[[#This Row],[Winning Candidate]]</f>
        <v>-5</v>
      </c>
      <c r="U790" s="111">
        <f>Audit[[#This Row],[Audit Candidate 3]]-Audit[[#This Row],[Candidate 3]]</f>
        <v>-4</v>
      </c>
      <c r="V790" s="111">
        <f>Audit[[#This Row],[Audit Candidate 4]]-Audit[[#This Row],[Candidate 4]]</f>
        <v>0</v>
      </c>
      <c r="W790" s="111">
        <f>Audit[[#This Row],[Audit Candidate 5]]-Audit[[#This Row],[Candidate 5]]</f>
        <v>0</v>
      </c>
      <c r="X790" s="111">
        <f>Audit[[#This Row],[Audit Candidate 6]]-Audit[[#This Row],[Candidate 6]]</f>
        <v>0</v>
      </c>
      <c r="Y790" s="111">
        <f>SUMIF(Audit[[#This Row],[Difference Loser]:[Difference Candidate 6]], "&gt;0")</f>
        <v>0</v>
      </c>
      <c r="Z790" s="111">
        <f>SUM(Audit[[#This Row],[Difference Loser]:[Difference Candidate 6]])</f>
        <v>-11</v>
      </c>
      <c r="AA790" s="111">
        <f>IF(Audit[[#This Row],[Times p Drawn - With Replacement]]&gt;0, IF(Audit[[#This Row],[Canceled Differences]]&lt;0, Audit[[#This Row],[Max Differences]]+ABS(Audit[[#This Row],[Canceled Differences]]), Audit[[#This Row],[Max Differences]]), 0)</f>
        <v>0</v>
      </c>
      <c r="AB790" s="111">
        <f>'Sampling Data'!P781</f>
        <v>8.5742283194512492E-4</v>
      </c>
      <c r="AC790" s="111">
        <f>IF(
      SUM(Audit[[#This Row],[Audit Losing Candidate]:[Audit Candidate 6]])
      &lt;&gt;0,
      (Audit[[#This Row],[Winning Candidate]]-Audit[[#This Row],[Losing Candidate]]-(Audit[[#This Row],[Audit Winning Candidate]]-Audit[[#This Row],[Audit Losing Candidate]]))/(Audit[[#Totals],[Winning Candidate]]-Audit[[#Totals],[Losing Candidate]]),
      0
)</f>
        <v>0</v>
      </c>
      <c r="AD7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0" s="111">
        <f>IF(Audit[[#This Row],[Max Relative Error (ep)]] = 0, 0, Audit[[#This Row],[Max Relative Error (ep)]]/Audit[[#This Row],[Error Bound (up) - Max. possible relative overstatement]])</f>
        <v>0</v>
      </c>
      <c r="AJ7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90" s="111">
        <f t="shared" si="12"/>
        <v>1</v>
      </c>
      <c r="AL790" s="111">
        <f>PRODUCT($AK$5:AK790)</f>
        <v>8.962823818226312E-2</v>
      </c>
      <c r="AM790" s="109">
        <f>1 - [K-M P Value]</f>
        <v>0.91037176181773694</v>
      </c>
      <c r="AN790" s="111" t="str">
        <f>IF(Audit[[#This Row],[K-M P Value]]&gt;1-'General Info'!$B$16,"Continue", "Stop")</f>
        <v>Stop</v>
      </c>
      <c r="AO790" s="110" t="b">
        <f>IF(Audit[[#This Row],[Status - Continue or stop audit]] = "Continue", TRUE, IF(AN789 = "Continue", TRUE, FALSE))</f>
        <v>0</v>
      </c>
      <c r="AP790" s="110"/>
    </row>
    <row r="791" spans="1:42" ht="15" hidden="1" customHeight="1">
      <c r="A791" s="111" t="str">
        <f>'Sampling Data'!W782</f>
        <v/>
      </c>
      <c r="B791" s="112" t="str">
        <f>'Sampling Data'!A782</f>
        <v>CLEVELAND -15-C - ABS</v>
      </c>
      <c r="C791" s="112">
        <f>'Sampling Data'!B782</f>
        <v>1</v>
      </c>
      <c r="D791" s="112">
        <f>'Sampling Data'!C782</f>
        <v>1</v>
      </c>
      <c r="E791" s="113">
        <f>'Sampling Data'!D782</f>
        <v>3</v>
      </c>
      <c r="F791" s="113">
        <f>'Sampling Data'!E782</f>
        <v>0</v>
      </c>
      <c r="G791" s="113">
        <f>'Sampling Data'!F782</f>
        <v>0</v>
      </c>
      <c r="H791" s="113">
        <f>'Sampling Data'!G782</f>
        <v>0</v>
      </c>
      <c r="I791" s="112">
        <f>'Sampling Data'!H782</f>
        <v>0</v>
      </c>
      <c r="J791" s="112">
        <f>'Sampling Data'!I782</f>
        <v>0</v>
      </c>
      <c r="K791" s="112">
        <f>'Sampling Data'!J782</f>
        <v>5</v>
      </c>
      <c r="L791" s="111">
        <f>'Sampling Data'!X782</f>
        <v>0</v>
      </c>
      <c r="M791" s="114"/>
      <c r="N791" s="114"/>
      <c r="O791" s="115"/>
      <c r="P791" s="115"/>
      <c r="Q791" s="116"/>
      <c r="R791" s="116"/>
      <c r="S791" s="111">
        <f>Audit[[#This Row],[Audit Losing Candidate]]-Audit[[#This Row],[Losing Candidate]]</f>
        <v>-1</v>
      </c>
      <c r="T791" s="111">
        <f>Audit[[#This Row],[Audit Winning Candidate]]-Audit[[#This Row],[Winning Candidate]]</f>
        <v>-1</v>
      </c>
      <c r="U791" s="111">
        <f>Audit[[#This Row],[Audit Candidate 3]]-Audit[[#This Row],[Candidate 3]]</f>
        <v>-3</v>
      </c>
      <c r="V791" s="111">
        <f>Audit[[#This Row],[Audit Candidate 4]]-Audit[[#This Row],[Candidate 4]]</f>
        <v>0</v>
      </c>
      <c r="W791" s="111">
        <f>Audit[[#This Row],[Audit Candidate 5]]-Audit[[#This Row],[Candidate 5]]</f>
        <v>0</v>
      </c>
      <c r="X791" s="111">
        <f>Audit[[#This Row],[Audit Candidate 6]]-Audit[[#This Row],[Candidate 6]]</f>
        <v>0</v>
      </c>
      <c r="Y791" s="111">
        <f>SUMIF(Audit[[#This Row],[Difference Loser]:[Difference Candidate 6]], "&gt;0")</f>
        <v>0</v>
      </c>
      <c r="Z791" s="111">
        <f>SUM(Audit[[#This Row],[Difference Loser]:[Difference Candidate 6]])</f>
        <v>-5</v>
      </c>
      <c r="AA791" s="111">
        <f>IF(Audit[[#This Row],[Times p Drawn - With Replacement]]&gt;0, IF(Audit[[#This Row],[Canceled Differences]]&lt;0, Audit[[#This Row],[Max Differences]]+ABS(Audit[[#This Row],[Canceled Differences]]), Audit[[#This Row],[Max Differences]]), 0)</f>
        <v>0</v>
      </c>
      <c r="AB791" s="111">
        <f>'Sampling Data'!P782</f>
        <v>3.0622243998040176E-4</v>
      </c>
      <c r="AC791" s="111">
        <f>IF(
      SUM(Audit[[#This Row],[Audit Losing Candidate]:[Audit Candidate 6]])
      &lt;&gt;0,
      (Audit[[#This Row],[Winning Candidate]]-Audit[[#This Row],[Losing Candidate]]-(Audit[[#This Row],[Audit Winning Candidate]]-Audit[[#This Row],[Audit Losing Candidate]]))/(Audit[[#Totals],[Winning Candidate]]-Audit[[#Totals],[Losing Candidate]]),
      0
)</f>
        <v>0</v>
      </c>
      <c r="AD7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1" s="111">
        <f>IF(Audit[[#This Row],[Max Relative Error (ep)]] = 0, 0, Audit[[#This Row],[Max Relative Error (ep)]]/Audit[[#This Row],[Error Bound (up) - Max. possible relative overstatement]])</f>
        <v>0</v>
      </c>
      <c r="AJ7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91" s="111">
        <f t="shared" si="12"/>
        <v>1</v>
      </c>
      <c r="AL791" s="111">
        <f>PRODUCT($AK$5:AK791)</f>
        <v>8.962823818226312E-2</v>
      </c>
      <c r="AM791" s="109">
        <f>1 - [K-M P Value]</f>
        <v>0.91037176181773694</v>
      </c>
      <c r="AN791" s="111" t="str">
        <f>IF(Audit[[#This Row],[K-M P Value]]&gt;1-'General Info'!$B$16,"Continue", "Stop")</f>
        <v>Stop</v>
      </c>
      <c r="AO791" s="110" t="b">
        <f>IF(Audit[[#This Row],[Status - Continue or stop audit]] = "Continue", TRUE, IF(AN790 = "Continue", TRUE, FALSE))</f>
        <v>0</v>
      </c>
      <c r="AP791" s="110"/>
    </row>
    <row r="792" spans="1:42" ht="15" hidden="1" customHeight="1">
      <c r="A792" s="111" t="str">
        <f>'Sampling Data'!W783</f>
        <v/>
      </c>
      <c r="B792" s="112" t="str">
        <f>'Sampling Data'!A783</f>
        <v>CLEVELAND -15-C.02</v>
      </c>
      <c r="C792" s="112">
        <f>'Sampling Data'!B783</f>
        <v>1</v>
      </c>
      <c r="D792" s="112">
        <f>'Sampling Data'!C783</f>
        <v>0</v>
      </c>
      <c r="E792" s="113">
        <f>'Sampling Data'!D783</f>
        <v>0</v>
      </c>
      <c r="F792" s="113">
        <f>'Sampling Data'!E783</f>
        <v>0</v>
      </c>
      <c r="G792" s="113">
        <f>'Sampling Data'!F783</f>
        <v>0</v>
      </c>
      <c r="H792" s="113">
        <f>'Sampling Data'!G783</f>
        <v>0</v>
      </c>
      <c r="I792" s="112">
        <f>'Sampling Data'!H783</f>
        <v>0</v>
      </c>
      <c r="J792" s="112">
        <f>'Sampling Data'!I783</f>
        <v>0</v>
      </c>
      <c r="K792" s="112">
        <f>'Sampling Data'!J783</f>
        <v>1</v>
      </c>
      <c r="L792" s="111">
        <f>'Sampling Data'!X783</f>
        <v>0</v>
      </c>
      <c r="M792" s="114"/>
      <c r="N792" s="114"/>
      <c r="O792" s="115"/>
      <c r="P792" s="115"/>
      <c r="Q792" s="116"/>
      <c r="R792" s="116"/>
      <c r="S792" s="111">
        <f>Audit[[#This Row],[Audit Losing Candidate]]-Audit[[#This Row],[Losing Candidate]]</f>
        <v>-1</v>
      </c>
      <c r="T792" s="111">
        <f>Audit[[#This Row],[Audit Winning Candidate]]-Audit[[#This Row],[Winning Candidate]]</f>
        <v>0</v>
      </c>
      <c r="U792" s="111">
        <f>Audit[[#This Row],[Audit Candidate 3]]-Audit[[#This Row],[Candidate 3]]</f>
        <v>0</v>
      </c>
      <c r="V792" s="111">
        <f>Audit[[#This Row],[Audit Candidate 4]]-Audit[[#This Row],[Candidate 4]]</f>
        <v>0</v>
      </c>
      <c r="W792" s="111">
        <f>Audit[[#This Row],[Audit Candidate 5]]-Audit[[#This Row],[Candidate 5]]</f>
        <v>0</v>
      </c>
      <c r="X792" s="111">
        <f>Audit[[#This Row],[Audit Candidate 6]]-Audit[[#This Row],[Candidate 6]]</f>
        <v>0</v>
      </c>
      <c r="Y792" s="111">
        <f>SUMIF(Audit[[#This Row],[Difference Loser]:[Difference Candidate 6]], "&gt;0")</f>
        <v>0</v>
      </c>
      <c r="Z792" s="111">
        <f>SUM(Audit[[#This Row],[Difference Loser]:[Difference Candidate 6]])</f>
        <v>-1</v>
      </c>
      <c r="AA792" s="111">
        <f>IF(Audit[[#This Row],[Times p Drawn - With Replacement]]&gt;0, IF(Audit[[#This Row],[Canceled Differences]]&lt;0, Audit[[#This Row],[Max Differences]]+ABS(Audit[[#This Row],[Canceled Differences]]), Audit[[#This Row],[Max Differences]]), 0)</f>
        <v>0</v>
      </c>
      <c r="AB792" s="111">
        <f>'Sampling Data'!P783</f>
        <v>3.2261186566441917E-5</v>
      </c>
      <c r="AC792" s="111">
        <f>IF(
      SUM(Audit[[#This Row],[Audit Losing Candidate]:[Audit Candidate 6]])
      &lt;&gt;0,
      (Audit[[#This Row],[Winning Candidate]]-Audit[[#This Row],[Losing Candidate]]-(Audit[[#This Row],[Audit Winning Candidate]]-Audit[[#This Row],[Audit Losing Candidate]]))/(Audit[[#Totals],[Winning Candidate]]-Audit[[#Totals],[Losing Candidate]]),
      0
)</f>
        <v>0</v>
      </c>
      <c r="AD7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2" s="111">
        <f>IF(Audit[[#This Row],[Max Relative Error (ep)]] = 0, 0, Audit[[#This Row],[Max Relative Error (ep)]]/Audit[[#This Row],[Error Bound (up) - Max. possible relative overstatement]])</f>
        <v>0</v>
      </c>
      <c r="AJ7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92" s="111">
        <f t="shared" si="12"/>
        <v>1</v>
      </c>
      <c r="AL792" s="111">
        <f>PRODUCT($AK$5:AK792)</f>
        <v>8.962823818226312E-2</v>
      </c>
      <c r="AM792" s="109">
        <f>1 - [K-M P Value]</f>
        <v>0.91037176181773694</v>
      </c>
      <c r="AN792" s="111" t="str">
        <f>IF(Audit[[#This Row],[K-M P Value]]&gt;1-'General Info'!$B$16,"Continue", "Stop")</f>
        <v>Stop</v>
      </c>
      <c r="AO792" s="110" t="b">
        <f>IF(Audit[[#This Row],[Status - Continue or stop audit]] = "Continue", TRUE, IF(AN791 = "Continue", TRUE, FALSE))</f>
        <v>0</v>
      </c>
      <c r="AP792" s="110"/>
    </row>
    <row r="793" spans="1:42" ht="15" hidden="1" customHeight="1">
      <c r="A793" s="111" t="str">
        <f>'Sampling Data'!W784</f>
        <v/>
      </c>
      <c r="B793" s="112" t="str">
        <f>'Sampling Data'!A784</f>
        <v>CLEVELAND -15-C.02 - ABS</v>
      </c>
      <c r="C793" s="112">
        <f>'Sampling Data'!B784</f>
        <v>0</v>
      </c>
      <c r="D793" s="112">
        <f>'Sampling Data'!C784</f>
        <v>1</v>
      </c>
      <c r="E793" s="113">
        <f>'Sampling Data'!D784</f>
        <v>0</v>
      </c>
      <c r="F793" s="113">
        <f>'Sampling Data'!E784</f>
        <v>0</v>
      </c>
      <c r="G793" s="113">
        <f>'Sampling Data'!F784</f>
        <v>0</v>
      </c>
      <c r="H793" s="113">
        <f>'Sampling Data'!G784</f>
        <v>0</v>
      </c>
      <c r="I793" s="112">
        <f>'Sampling Data'!H784</f>
        <v>0</v>
      </c>
      <c r="J793" s="112">
        <f>'Sampling Data'!I784</f>
        <v>0</v>
      </c>
      <c r="K793" s="112">
        <f>'Sampling Data'!J784</f>
        <v>1</v>
      </c>
      <c r="L793" s="111">
        <f>'Sampling Data'!X784</f>
        <v>0</v>
      </c>
      <c r="M793" s="114"/>
      <c r="N793" s="114"/>
      <c r="O793" s="115"/>
      <c r="P793" s="115"/>
      <c r="Q793" s="116"/>
      <c r="R793" s="116"/>
      <c r="S793" s="111">
        <f>Audit[[#This Row],[Audit Losing Candidate]]-Audit[[#This Row],[Losing Candidate]]</f>
        <v>0</v>
      </c>
      <c r="T793" s="111">
        <f>Audit[[#This Row],[Audit Winning Candidate]]-Audit[[#This Row],[Winning Candidate]]</f>
        <v>-1</v>
      </c>
      <c r="U793" s="111">
        <f>Audit[[#This Row],[Audit Candidate 3]]-Audit[[#This Row],[Candidate 3]]</f>
        <v>0</v>
      </c>
      <c r="V793" s="111">
        <f>Audit[[#This Row],[Audit Candidate 4]]-Audit[[#This Row],[Candidate 4]]</f>
        <v>0</v>
      </c>
      <c r="W793" s="111">
        <f>Audit[[#This Row],[Audit Candidate 5]]-Audit[[#This Row],[Candidate 5]]</f>
        <v>0</v>
      </c>
      <c r="X793" s="111">
        <f>Audit[[#This Row],[Audit Candidate 6]]-Audit[[#This Row],[Candidate 6]]</f>
        <v>0</v>
      </c>
      <c r="Y793" s="111">
        <f>SUMIF(Audit[[#This Row],[Difference Loser]:[Difference Candidate 6]], "&gt;0")</f>
        <v>0</v>
      </c>
      <c r="Z793" s="111">
        <f>SUM(Audit[[#This Row],[Difference Loser]:[Difference Candidate 6]])</f>
        <v>-1</v>
      </c>
      <c r="AA793" s="111">
        <f>IF(Audit[[#This Row],[Times p Drawn - With Replacement]]&gt;0, IF(Audit[[#This Row],[Canceled Differences]]&lt;0, Audit[[#This Row],[Max Differences]]+ABS(Audit[[#This Row],[Canceled Differences]]), Audit[[#This Row],[Max Differences]]), 0)</f>
        <v>0</v>
      </c>
      <c r="AB793" s="111">
        <f>'Sampling Data'!P784</f>
        <v>1.224889759921607E-4</v>
      </c>
      <c r="AC793" s="111">
        <f>IF(
      SUM(Audit[[#This Row],[Audit Losing Candidate]:[Audit Candidate 6]])
      &lt;&gt;0,
      (Audit[[#This Row],[Winning Candidate]]-Audit[[#This Row],[Losing Candidate]]-(Audit[[#This Row],[Audit Winning Candidate]]-Audit[[#This Row],[Audit Losing Candidate]]))/(Audit[[#Totals],[Winning Candidate]]-Audit[[#Totals],[Losing Candidate]]),
      0
)</f>
        <v>0</v>
      </c>
      <c r="AD7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3" s="111">
        <f>IF(Audit[[#This Row],[Max Relative Error (ep)]] = 0, 0, Audit[[#This Row],[Max Relative Error (ep)]]/Audit[[#This Row],[Error Bound (up) - Max. possible relative overstatement]])</f>
        <v>0</v>
      </c>
      <c r="AJ7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93" s="111">
        <f t="shared" si="12"/>
        <v>1</v>
      </c>
      <c r="AL793" s="111">
        <f>PRODUCT($AK$5:AK793)</f>
        <v>8.962823818226312E-2</v>
      </c>
      <c r="AM793" s="109">
        <f>1 - [K-M P Value]</f>
        <v>0.91037176181773694</v>
      </c>
      <c r="AN793" s="111" t="str">
        <f>IF(Audit[[#This Row],[K-M P Value]]&gt;1-'General Info'!$B$16,"Continue", "Stop")</f>
        <v>Stop</v>
      </c>
      <c r="AO793" s="110" t="b">
        <f>IF(Audit[[#This Row],[Status - Continue or stop audit]] = "Continue", TRUE, IF(AN792 = "Continue", TRUE, FALSE))</f>
        <v>0</v>
      </c>
      <c r="AP793" s="110"/>
    </row>
    <row r="794" spans="1:42" ht="15" hidden="1" customHeight="1">
      <c r="A794" s="111" t="str">
        <f>'Sampling Data'!W785</f>
        <v/>
      </c>
      <c r="B794" s="112" t="str">
        <f>'Sampling Data'!A785</f>
        <v>CLEVELAND -15-D</v>
      </c>
      <c r="C794" s="112">
        <f>'Sampling Data'!B785</f>
        <v>4</v>
      </c>
      <c r="D794" s="112">
        <f>'Sampling Data'!C785</f>
        <v>2</v>
      </c>
      <c r="E794" s="113">
        <f>'Sampling Data'!D785</f>
        <v>2</v>
      </c>
      <c r="F794" s="113">
        <f>'Sampling Data'!E785</f>
        <v>5</v>
      </c>
      <c r="G794" s="113">
        <f>'Sampling Data'!F785</f>
        <v>0</v>
      </c>
      <c r="H794" s="113">
        <f>'Sampling Data'!G785</f>
        <v>0</v>
      </c>
      <c r="I794" s="112">
        <f>'Sampling Data'!H785</f>
        <v>0</v>
      </c>
      <c r="J794" s="112">
        <f>'Sampling Data'!I785</f>
        <v>1</v>
      </c>
      <c r="K794" s="112">
        <f>'Sampling Data'!J785</f>
        <v>14</v>
      </c>
      <c r="L794" s="111">
        <f>'Sampling Data'!X785</f>
        <v>0</v>
      </c>
      <c r="M794" s="114"/>
      <c r="N794" s="114"/>
      <c r="O794" s="115"/>
      <c r="P794" s="115"/>
      <c r="Q794" s="116"/>
      <c r="R794" s="116"/>
      <c r="S794" s="111">
        <f>Audit[[#This Row],[Audit Losing Candidate]]-Audit[[#This Row],[Losing Candidate]]</f>
        <v>-4</v>
      </c>
      <c r="T794" s="111">
        <f>Audit[[#This Row],[Audit Winning Candidate]]-Audit[[#This Row],[Winning Candidate]]</f>
        <v>-2</v>
      </c>
      <c r="U794" s="111">
        <f>Audit[[#This Row],[Audit Candidate 3]]-Audit[[#This Row],[Candidate 3]]</f>
        <v>-2</v>
      </c>
      <c r="V794" s="111">
        <f>Audit[[#This Row],[Audit Candidate 4]]-Audit[[#This Row],[Candidate 4]]</f>
        <v>-5</v>
      </c>
      <c r="W794" s="111">
        <f>Audit[[#This Row],[Audit Candidate 5]]-Audit[[#This Row],[Candidate 5]]</f>
        <v>0</v>
      </c>
      <c r="X794" s="111">
        <f>Audit[[#This Row],[Audit Candidate 6]]-Audit[[#This Row],[Candidate 6]]</f>
        <v>0</v>
      </c>
      <c r="Y794" s="111">
        <f>SUMIF(Audit[[#This Row],[Difference Loser]:[Difference Candidate 6]], "&gt;0")</f>
        <v>0</v>
      </c>
      <c r="Z794" s="111">
        <f>SUM(Audit[[#This Row],[Difference Loser]:[Difference Candidate 6]])</f>
        <v>-13</v>
      </c>
      <c r="AA794" s="111">
        <f>IF(Audit[[#This Row],[Times p Drawn - With Replacement]]&gt;0, IF(Audit[[#This Row],[Canceled Differences]]&lt;0, Audit[[#This Row],[Max Differences]]+ABS(Audit[[#This Row],[Canceled Differences]]), Audit[[#This Row],[Max Differences]]), 0)</f>
        <v>0</v>
      </c>
      <c r="AB794" s="111">
        <f>'Sampling Data'!P785</f>
        <v>7.3493385595296422E-4</v>
      </c>
      <c r="AC794" s="111">
        <f>IF(
      SUM(Audit[[#This Row],[Audit Losing Candidate]:[Audit Candidate 6]])
      &lt;&gt;0,
      (Audit[[#This Row],[Winning Candidate]]-Audit[[#This Row],[Losing Candidate]]-(Audit[[#This Row],[Audit Winning Candidate]]-Audit[[#This Row],[Audit Losing Candidate]]))/(Audit[[#Totals],[Winning Candidate]]-Audit[[#Totals],[Losing Candidate]]),
      0
)</f>
        <v>0</v>
      </c>
      <c r="AD7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4" s="111">
        <f>IF(Audit[[#This Row],[Max Relative Error (ep)]] = 0, 0, Audit[[#This Row],[Max Relative Error (ep)]]/Audit[[#This Row],[Error Bound (up) - Max. possible relative overstatement]])</f>
        <v>0</v>
      </c>
      <c r="AJ7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94" s="111">
        <f t="shared" si="12"/>
        <v>1</v>
      </c>
      <c r="AL794" s="111">
        <f>PRODUCT($AK$5:AK794)</f>
        <v>8.962823818226312E-2</v>
      </c>
      <c r="AM794" s="109">
        <f>1 - [K-M P Value]</f>
        <v>0.91037176181773694</v>
      </c>
      <c r="AN794" s="111" t="str">
        <f>IF(Audit[[#This Row],[K-M P Value]]&gt;1-'General Info'!$B$16,"Continue", "Stop")</f>
        <v>Stop</v>
      </c>
      <c r="AO794" s="110" t="b">
        <f>IF(Audit[[#This Row],[Status - Continue or stop audit]] = "Continue", TRUE, IF(AN793 = "Continue", TRUE, FALSE))</f>
        <v>0</v>
      </c>
      <c r="AP794" s="110"/>
    </row>
    <row r="795" spans="1:42" ht="15" hidden="1" customHeight="1">
      <c r="A795" s="111" t="str">
        <f>'Sampling Data'!W786</f>
        <v/>
      </c>
      <c r="B795" s="112" t="str">
        <f>'Sampling Data'!A786</f>
        <v>CLEVELAND -15-D - ABS</v>
      </c>
      <c r="C795" s="112">
        <f>'Sampling Data'!B786</f>
        <v>2</v>
      </c>
      <c r="D795" s="112">
        <f>'Sampling Data'!C786</f>
        <v>3</v>
      </c>
      <c r="E795" s="113">
        <f>'Sampling Data'!D786</f>
        <v>0</v>
      </c>
      <c r="F795" s="113">
        <f>'Sampling Data'!E786</f>
        <v>0</v>
      </c>
      <c r="G795" s="113">
        <f>'Sampling Data'!F786</f>
        <v>0</v>
      </c>
      <c r="H795" s="113">
        <f>'Sampling Data'!G786</f>
        <v>0</v>
      </c>
      <c r="I795" s="112">
        <f>'Sampling Data'!H786</f>
        <v>0</v>
      </c>
      <c r="J795" s="112">
        <f>'Sampling Data'!I786</f>
        <v>1</v>
      </c>
      <c r="K795" s="112">
        <f>'Sampling Data'!J786</f>
        <v>6</v>
      </c>
      <c r="L795" s="111">
        <f>'Sampling Data'!X786</f>
        <v>0</v>
      </c>
      <c r="M795" s="114"/>
      <c r="N795" s="114"/>
      <c r="O795" s="115"/>
      <c r="P795" s="115"/>
      <c r="Q795" s="116"/>
      <c r="R795" s="116"/>
      <c r="S795" s="111">
        <f>Audit[[#This Row],[Audit Losing Candidate]]-Audit[[#This Row],[Losing Candidate]]</f>
        <v>-2</v>
      </c>
      <c r="T795" s="111">
        <f>Audit[[#This Row],[Audit Winning Candidate]]-Audit[[#This Row],[Winning Candidate]]</f>
        <v>-3</v>
      </c>
      <c r="U795" s="111">
        <f>Audit[[#This Row],[Audit Candidate 3]]-Audit[[#This Row],[Candidate 3]]</f>
        <v>0</v>
      </c>
      <c r="V795" s="111">
        <f>Audit[[#This Row],[Audit Candidate 4]]-Audit[[#This Row],[Candidate 4]]</f>
        <v>0</v>
      </c>
      <c r="W795" s="111">
        <f>Audit[[#This Row],[Audit Candidate 5]]-Audit[[#This Row],[Candidate 5]]</f>
        <v>0</v>
      </c>
      <c r="X795" s="111">
        <f>Audit[[#This Row],[Audit Candidate 6]]-Audit[[#This Row],[Candidate 6]]</f>
        <v>0</v>
      </c>
      <c r="Y795" s="111">
        <f>SUMIF(Audit[[#This Row],[Difference Loser]:[Difference Candidate 6]], "&gt;0")</f>
        <v>0</v>
      </c>
      <c r="Z795" s="111">
        <f>SUM(Audit[[#This Row],[Difference Loser]:[Difference Candidate 6]])</f>
        <v>-5</v>
      </c>
      <c r="AA795" s="111">
        <f>IF(Audit[[#This Row],[Times p Drawn - With Replacement]]&gt;0, IF(Audit[[#This Row],[Canceled Differences]]&lt;0, Audit[[#This Row],[Max Differences]]+ABS(Audit[[#This Row],[Canceled Differences]]), Audit[[#This Row],[Max Differences]]), 0)</f>
        <v>0</v>
      </c>
      <c r="AB795" s="111">
        <f>'Sampling Data'!P786</f>
        <v>4.2871141597256246E-4</v>
      </c>
      <c r="AC795" s="111">
        <f>IF(
      SUM(Audit[[#This Row],[Audit Losing Candidate]:[Audit Candidate 6]])
      &lt;&gt;0,
      (Audit[[#This Row],[Winning Candidate]]-Audit[[#This Row],[Losing Candidate]]-(Audit[[#This Row],[Audit Winning Candidate]]-Audit[[#This Row],[Audit Losing Candidate]]))/(Audit[[#Totals],[Winning Candidate]]-Audit[[#Totals],[Losing Candidate]]),
      0
)</f>
        <v>0</v>
      </c>
      <c r="AD7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5" s="111">
        <f>IF(Audit[[#This Row],[Max Relative Error (ep)]] = 0, 0, Audit[[#This Row],[Max Relative Error (ep)]]/Audit[[#This Row],[Error Bound (up) - Max. possible relative overstatement]])</f>
        <v>0</v>
      </c>
      <c r="AJ7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95" s="111">
        <f t="shared" si="12"/>
        <v>1</v>
      </c>
      <c r="AL795" s="111">
        <f>PRODUCT($AK$5:AK795)</f>
        <v>8.962823818226312E-2</v>
      </c>
      <c r="AM795" s="109">
        <f>1 - [K-M P Value]</f>
        <v>0.91037176181773694</v>
      </c>
      <c r="AN795" s="111" t="str">
        <f>IF(Audit[[#This Row],[K-M P Value]]&gt;1-'General Info'!$B$16,"Continue", "Stop")</f>
        <v>Stop</v>
      </c>
      <c r="AO795" s="110" t="b">
        <f>IF(Audit[[#This Row],[Status - Continue or stop audit]] = "Continue", TRUE, IF(AN794 = "Continue", TRUE, FALSE))</f>
        <v>0</v>
      </c>
      <c r="AP795" s="110"/>
    </row>
    <row r="796" spans="1:42" ht="15" hidden="1" customHeight="1">
      <c r="A796" s="111" t="str">
        <f>'Sampling Data'!W787</f>
        <v/>
      </c>
      <c r="B796" s="112" t="str">
        <f>'Sampling Data'!A787</f>
        <v>CLEVELAND -15-E</v>
      </c>
      <c r="C796" s="112">
        <f>'Sampling Data'!B787</f>
        <v>1</v>
      </c>
      <c r="D796" s="112">
        <f>'Sampling Data'!C787</f>
        <v>3</v>
      </c>
      <c r="E796" s="113">
        <f>'Sampling Data'!D787</f>
        <v>0</v>
      </c>
      <c r="F796" s="113">
        <f>'Sampling Data'!E787</f>
        <v>2</v>
      </c>
      <c r="G796" s="113">
        <f>'Sampling Data'!F787</f>
        <v>0</v>
      </c>
      <c r="H796" s="113">
        <f>'Sampling Data'!G787</f>
        <v>0</v>
      </c>
      <c r="I796" s="112">
        <f>'Sampling Data'!H787</f>
        <v>0</v>
      </c>
      <c r="J796" s="112">
        <f>'Sampling Data'!I787</f>
        <v>0</v>
      </c>
      <c r="K796" s="112">
        <f>'Sampling Data'!J787</f>
        <v>6</v>
      </c>
      <c r="L796" s="111">
        <f>'Sampling Data'!X787</f>
        <v>0</v>
      </c>
      <c r="M796" s="114"/>
      <c r="N796" s="114"/>
      <c r="O796" s="115"/>
      <c r="P796" s="115"/>
      <c r="Q796" s="116"/>
      <c r="R796" s="116"/>
      <c r="S796" s="111">
        <f>Audit[[#This Row],[Audit Losing Candidate]]-Audit[[#This Row],[Losing Candidate]]</f>
        <v>-1</v>
      </c>
      <c r="T796" s="111">
        <f>Audit[[#This Row],[Audit Winning Candidate]]-Audit[[#This Row],[Winning Candidate]]</f>
        <v>-3</v>
      </c>
      <c r="U796" s="111">
        <f>Audit[[#This Row],[Audit Candidate 3]]-Audit[[#This Row],[Candidate 3]]</f>
        <v>0</v>
      </c>
      <c r="V796" s="111">
        <f>Audit[[#This Row],[Audit Candidate 4]]-Audit[[#This Row],[Candidate 4]]</f>
        <v>-2</v>
      </c>
      <c r="W796" s="111">
        <f>Audit[[#This Row],[Audit Candidate 5]]-Audit[[#This Row],[Candidate 5]]</f>
        <v>0</v>
      </c>
      <c r="X796" s="111">
        <f>Audit[[#This Row],[Audit Candidate 6]]-Audit[[#This Row],[Candidate 6]]</f>
        <v>0</v>
      </c>
      <c r="Y796" s="111">
        <f>SUMIF(Audit[[#This Row],[Difference Loser]:[Difference Candidate 6]], "&gt;0")</f>
        <v>0</v>
      </c>
      <c r="Z796" s="111">
        <f>SUM(Audit[[#This Row],[Difference Loser]:[Difference Candidate 6]])</f>
        <v>-6</v>
      </c>
      <c r="AA796" s="111">
        <f>IF(Audit[[#This Row],[Times p Drawn - With Replacement]]&gt;0, IF(Audit[[#This Row],[Canceled Differences]]&lt;0, Audit[[#This Row],[Max Differences]]+ABS(Audit[[#This Row],[Canceled Differences]]), Audit[[#This Row],[Max Differences]]), 0)</f>
        <v>0</v>
      </c>
      <c r="AB796" s="111">
        <f>'Sampling Data'!P787</f>
        <v>4.8995590396864281E-4</v>
      </c>
      <c r="AC796" s="111">
        <f>IF(
      SUM(Audit[[#This Row],[Audit Losing Candidate]:[Audit Candidate 6]])
      &lt;&gt;0,
      (Audit[[#This Row],[Winning Candidate]]-Audit[[#This Row],[Losing Candidate]]-(Audit[[#This Row],[Audit Winning Candidate]]-Audit[[#This Row],[Audit Losing Candidate]]))/(Audit[[#Totals],[Winning Candidate]]-Audit[[#Totals],[Losing Candidate]]),
      0
)</f>
        <v>0</v>
      </c>
      <c r="AD7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6" s="111">
        <f>IF(Audit[[#This Row],[Max Relative Error (ep)]] = 0, 0, Audit[[#This Row],[Max Relative Error (ep)]]/Audit[[#This Row],[Error Bound (up) - Max. possible relative overstatement]])</f>
        <v>0</v>
      </c>
      <c r="AJ7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96" s="111">
        <f t="shared" si="12"/>
        <v>1</v>
      </c>
      <c r="AL796" s="111">
        <f>PRODUCT($AK$5:AK796)</f>
        <v>8.962823818226312E-2</v>
      </c>
      <c r="AM796" s="109">
        <f>1 - [K-M P Value]</f>
        <v>0.91037176181773694</v>
      </c>
      <c r="AN796" s="111" t="str">
        <f>IF(Audit[[#This Row],[K-M P Value]]&gt;1-'General Info'!$B$16,"Continue", "Stop")</f>
        <v>Stop</v>
      </c>
      <c r="AO796" s="110" t="b">
        <f>IF(Audit[[#This Row],[Status - Continue or stop audit]] = "Continue", TRUE, IF(AN795 = "Continue", TRUE, FALSE))</f>
        <v>0</v>
      </c>
      <c r="AP796" s="110"/>
    </row>
    <row r="797" spans="1:42" ht="15" hidden="1" customHeight="1">
      <c r="A797" s="111" t="str">
        <f>'Sampling Data'!W788</f>
        <v/>
      </c>
      <c r="B797" s="112" t="str">
        <f>'Sampling Data'!A788</f>
        <v>CLEVELAND -15-E - ABS</v>
      </c>
      <c r="C797" s="112">
        <f>'Sampling Data'!B788</f>
        <v>0</v>
      </c>
      <c r="D797" s="112">
        <f>'Sampling Data'!C788</f>
        <v>1</v>
      </c>
      <c r="E797" s="113">
        <f>'Sampling Data'!D788</f>
        <v>0</v>
      </c>
      <c r="F797" s="113">
        <f>'Sampling Data'!E788</f>
        <v>0</v>
      </c>
      <c r="G797" s="113">
        <f>'Sampling Data'!F788</f>
        <v>0</v>
      </c>
      <c r="H797" s="113">
        <f>'Sampling Data'!G788</f>
        <v>0</v>
      </c>
      <c r="I797" s="112">
        <f>'Sampling Data'!H788</f>
        <v>0</v>
      </c>
      <c r="J797" s="112">
        <f>'Sampling Data'!I788</f>
        <v>0</v>
      </c>
      <c r="K797" s="112">
        <f>'Sampling Data'!J788</f>
        <v>1</v>
      </c>
      <c r="L797" s="111">
        <f>'Sampling Data'!X788</f>
        <v>0</v>
      </c>
      <c r="M797" s="114"/>
      <c r="N797" s="114"/>
      <c r="O797" s="115"/>
      <c r="P797" s="115"/>
      <c r="Q797" s="116"/>
      <c r="R797" s="116"/>
      <c r="S797" s="111">
        <f>Audit[[#This Row],[Audit Losing Candidate]]-Audit[[#This Row],[Losing Candidate]]</f>
        <v>0</v>
      </c>
      <c r="T797" s="111">
        <f>Audit[[#This Row],[Audit Winning Candidate]]-Audit[[#This Row],[Winning Candidate]]</f>
        <v>-1</v>
      </c>
      <c r="U797" s="111">
        <f>Audit[[#This Row],[Audit Candidate 3]]-Audit[[#This Row],[Candidate 3]]</f>
        <v>0</v>
      </c>
      <c r="V797" s="111">
        <f>Audit[[#This Row],[Audit Candidate 4]]-Audit[[#This Row],[Candidate 4]]</f>
        <v>0</v>
      </c>
      <c r="W797" s="111">
        <f>Audit[[#This Row],[Audit Candidate 5]]-Audit[[#This Row],[Candidate 5]]</f>
        <v>0</v>
      </c>
      <c r="X797" s="111">
        <f>Audit[[#This Row],[Audit Candidate 6]]-Audit[[#This Row],[Candidate 6]]</f>
        <v>0</v>
      </c>
      <c r="Y797" s="111">
        <f>SUMIF(Audit[[#This Row],[Difference Loser]:[Difference Candidate 6]], "&gt;0")</f>
        <v>0</v>
      </c>
      <c r="Z797" s="111">
        <f>SUM(Audit[[#This Row],[Difference Loser]:[Difference Candidate 6]])</f>
        <v>-1</v>
      </c>
      <c r="AA797" s="111">
        <f>IF(Audit[[#This Row],[Times p Drawn - With Replacement]]&gt;0, IF(Audit[[#This Row],[Canceled Differences]]&lt;0, Audit[[#This Row],[Max Differences]]+ABS(Audit[[#This Row],[Canceled Differences]]), Audit[[#This Row],[Max Differences]]), 0)</f>
        <v>0</v>
      </c>
      <c r="AB797" s="111">
        <f>'Sampling Data'!P788</f>
        <v>1.224889759921607E-4</v>
      </c>
      <c r="AC797" s="111">
        <f>IF(
      SUM(Audit[[#This Row],[Audit Losing Candidate]:[Audit Candidate 6]])
      &lt;&gt;0,
      (Audit[[#This Row],[Winning Candidate]]-Audit[[#This Row],[Losing Candidate]]-(Audit[[#This Row],[Audit Winning Candidate]]-Audit[[#This Row],[Audit Losing Candidate]]))/(Audit[[#Totals],[Winning Candidate]]-Audit[[#Totals],[Losing Candidate]]),
      0
)</f>
        <v>0</v>
      </c>
      <c r="AD7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7" s="111">
        <f>IF(Audit[[#This Row],[Max Relative Error (ep)]] = 0, 0, Audit[[#This Row],[Max Relative Error (ep)]]/Audit[[#This Row],[Error Bound (up) - Max. possible relative overstatement]])</f>
        <v>0</v>
      </c>
      <c r="AJ7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97" s="111">
        <f t="shared" si="12"/>
        <v>1</v>
      </c>
      <c r="AL797" s="111">
        <f>PRODUCT($AK$5:AK797)</f>
        <v>8.962823818226312E-2</v>
      </c>
      <c r="AM797" s="109">
        <f>1 - [K-M P Value]</f>
        <v>0.91037176181773694</v>
      </c>
      <c r="AN797" s="111" t="str">
        <f>IF(Audit[[#This Row],[K-M P Value]]&gt;1-'General Info'!$B$16,"Continue", "Stop")</f>
        <v>Stop</v>
      </c>
      <c r="AO797" s="110" t="b">
        <f>IF(Audit[[#This Row],[Status - Continue or stop audit]] = "Continue", TRUE, IF(AN796 = "Continue", TRUE, FALSE))</f>
        <v>0</v>
      </c>
      <c r="AP797" s="110"/>
    </row>
    <row r="798" spans="1:42" ht="15" hidden="1" customHeight="1">
      <c r="A798" s="111" t="str">
        <f>'Sampling Data'!W789</f>
        <v/>
      </c>
      <c r="B798" s="112" t="str">
        <f>'Sampling Data'!A789</f>
        <v>CLEVELAND -15-F</v>
      </c>
      <c r="C798" s="112">
        <f>'Sampling Data'!B789</f>
        <v>2</v>
      </c>
      <c r="D798" s="112">
        <f>'Sampling Data'!C789</f>
        <v>4</v>
      </c>
      <c r="E798" s="113">
        <f>'Sampling Data'!D789</f>
        <v>3</v>
      </c>
      <c r="F798" s="113">
        <f>'Sampling Data'!E789</f>
        <v>2</v>
      </c>
      <c r="G798" s="113">
        <f>'Sampling Data'!F789</f>
        <v>0</v>
      </c>
      <c r="H798" s="113">
        <f>'Sampling Data'!G789</f>
        <v>0</v>
      </c>
      <c r="I798" s="112">
        <f>'Sampling Data'!H789</f>
        <v>0</v>
      </c>
      <c r="J798" s="112">
        <f>'Sampling Data'!I789</f>
        <v>0</v>
      </c>
      <c r="K798" s="112">
        <f>'Sampling Data'!J789</f>
        <v>11</v>
      </c>
      <c r="L798" s="111">
        <f>'Sampling Data'!X789</f>
        <v>0</v>
      </c>
      <c r="M798" s="114"/>
      <c r="N798" s="114"/>
      <c r="O798" s="115"/>
      <c r="P798" s="115"/>
      <c r="Q798" s="116"/>
      <c r="R798" s="116"/>
      <c r="S798" s="111">
        <f>Audit[[#This Row],[Audit Losing Candidate]]-Audit[[#This Row],[Losing Candidate]]</f>
        <v>-2</v>
      </c>
      <c r="T798" s="111">
        <f>Audit[[#This Row],[Audit Winning Candidate]]-Audit[[#This Row],[Winning Candidate]]</f>
        <v>-4</v>
      </c>
      <c r="U798" s="111">
        <f>Audit[[#This Row],[Audit Candidate 3]]-Audit[[#This Row],[Candidate 3]]</f>
        <v>-3</v>
      </c>
      <c r="V798" s="111">
        <f>Audit[[#This Row],[Audit Candidate 4]]-Audit[[#This Row],[Candidate 4]]</f>
        <v>-2</v>
      </c>
      <c r="W798" s="111">
        <f>Audit[[#This Row],[Audit Candidate 5]]-Audit[[#This Row],[Candidate 5]]</f>
        <v>0</v>
      </c>
      <c r="X798" s="111">
        <f>Audit[[#This Row],[Audit Candidate 6]]-Audit[[#This Row],[Candidate 6]]</f>
        <v>0</v>
      </c>
      <c r="Y798" s="111">
        <f>SUMIF(Audit[[#This Row],[Difference Loser]:[Difference Candidate 6]], "&gt;0")</f>
        <v>0</v>
      </c>
      <c r="Z798" s="111">
        <f>SUM(Audit[[#This Row],[Difference Loser]:[Difference Candidate 6]])</f>
        <v>-11</v>
      </c>
      <c r="AA798" s="111">
        <f>IF(Audit[[#This Row],[Times p Drawn - With Replacement]]&gt;0, IF(Audit[[#This Row],[Canceled Differences]]&lt;0, Audit[[#This Row],[Max Differences]]+ABS(Audit[[#This Row],[Canceled Differences]]), Audit[[#This Row],[Max Differences]]), 0)</f>
        <v>0</v>
      </c>
      <c r="AB798" s="111">
        <f>'Sampling Data'!P789</f>
        <v>7.9617834394904463E-4</v>
      </c>
      <c r="AC798" s="111">
        <f>IF(
      SUM(Audit[[#This Row],[Audit Losing Candidate]:[Audit Candidate 6]])
      &lt;&gt;0,
      (Audit[[#This Row],[Winning Candidate]]-Audit[[#This Row],[Losing Candidate]]-(Audit[[#This Row],[Audit Winning Candidate]]-Audit[[#This Row],[Audit Losing Candidate]]))/(Audit[[#Totals],[Winning Candidate]]-Audit[[#Totals],[Losing Candidate]]),
      0
)</f>
        <v>0</v>
      </c>
      <c r="AD7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8" s="111">
        <f>IF(Audit[[#This Row],[Max Relative Error (ep)]] = 0, 0, Audit[[#This Row],[Max Relative Error (ep)]]/Audit[[#This Row],[Error Bound (up) - Max. possible relative overstatement]])</f>
        <v>0</v>
      </c>
      <c r="AJ7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98" s="111">
        <f t="shared" si="12"/>
        <v>1</v>
      </c>
      <c r="AL798" s="111">
        <f>PRODUCT($AK$5:AK798)</f>
        <v>8.962823818226312E-2</v>
      </c>
      <c r="AM798" s="109">
        <f>1 - [K-M P Value]</f>
        <v>0.91037176181773694</v>
      </c>
      <c r="AN798" s="111" t="str">
        <f>IF(Audit[[#This Row],[K-M P Value]]&gt;1-'General Info'!$B$16,"Continue", "Stop")</f>
        <v>Stop</v>
      </c>
      <c r="AO798" s="110" t="b">
        <f>IF(Audit[[#This Row],[Status - Continue or stop audit]] = "Continue", TRUE, IF(AN797 = "Continue", TRUE, FALSE))</f>
        <v>0</v>
      </c>
      <c r="AP798" s="110"/>
    </row>
    <row r="799" spans="1:42" ht="15" hidden="1" customHeight="1">
      <c r="A799" s="111" t="str">
        <f>'Sampling Data'!W790</f>
        <v/>
      </c>
      <c r="B799" s="112" t="str">
        <f>'Sampling Data'!A790</f>
        <v>CLEVELAND -15-F - ABS</v>
      </c>
      <c r="C799" s="112">
        <f>'Sampling Data'!B790</f>
        <v>1</v>
      </c>
      <c r="D799" s="112">
        <f>'Sampling Data'!C790</f>
        <v>0</v>
      </c>
      <c r="E799" s="113">
        <f>'Sampling Data'!D790</f>
        <v>0</v>
      </c>
      <c r="F799" s="113">
        <f>'Sampling Data'!E790</f>
        <v>1</v>
      </c>
      <c r="G799" s="113">
        <f>'Sampling Data'!F790</f>
        <v>0</v>
      </c>
      <c r="H799" s="113">
        <f>'Sampling Data'!G790</f>
        <v>0</v>
      </c>
      <c r="I799" s="112">
        <f>'Sampling Data'!H790</f>
        <v>0</v>
      </c>
      <c r="J799" s="112">
        <f>'Sampling Data'!I790</f>
        <v>0</v>
      </c>
      <c r="K799" s="112">
        <f>'Sampling Data'!J790</f>
        <v>2</v>
      </c>
      <c r="L799" s="111">
        <f>'Sampling Data'!X790</f>
        <v>0</v>
      </c>
      <c r="M799" s="114"/>
      <c r="N799" s="114"/>
      <c r="O799" s="115"/>
      <c r="P799" s="115"/>
      <c r="Q799" s="116"/>
      <c r="R799" s="116"/>
      <c r="S799" s="111">
        <f>Audit[[#This Row],[Audit Losing Candidate]]-Audit[[#This Row],[Losing Candidate]]</f>
        <v>-1</v>
      </c>
      <c r="T799" s="111">
        <f>Audit[[#This Row],[Audit Winning Candidate]]-Audit[[#This Row],[Winning Candidate]]</f>
        <v>0</v>
      </c>
      <c r="U799" s="111">
        <f>Audit[[#This Row],[Audit Candidate 3]]-Audit[[#This Row],[Candidate 3]]</f>
        <v>0</v>
      </c>
      <c r="V799" s="111">
        <f>Audit[[#This Row],[Audit Candidate 4]]-Audit[[#This Row],[Candidate 4]]</f>
        <v>-1</v>
      </c>
      <c r="W799" s="111">
        <f>Audit[[#This Row],[Audit Candidate 5]]-Audit[[#This Row],[Candidate 5]]</f>
        <v>0</v>
      </c>
      <c r="X799" s="111">
        <f>Audit[[#This Row],[Audit Candidate 6]]-Audit[[#This Row],[Candidate 6]]</f>
        <v>0</v>
      </c>
      <c r="Y799" s="111">
        <f>SUMIF(Audit[[#This Row],[Difference Loser]:[Difference Candidate 6]], "&gt;0")</f>
        <v>0</v>
      </c>
      <c r="Z799" s="111">
        <f>SUM(Audit[[#This Row],[Difference Loser]:[Difference Candidate 6]])</f>
        <v>-2</v>
      </c>
      <c r="AA799" s="111">
        <f>IF(Audit[[#This Row],[Times p Drawn - With Replacement]]&gt;0, IF(Audit[[#This Row],[Canceled Differences]]&lt;0, Audit[[#This Row],[Max Differences]]+ABS(Audit[[#This Row],[Canceled Differences]]), Audit[[#This Row],[Max Differences]]), 0)</f>
        <v>0</v>
      </c>
      <c r="AB799" s="111">
        <f>'Sampling Data'!P790</f>
        <v>6.4522373132883833E-5</v>
      </c>
      <c r="AC799" s="111">
        <f>IF(
      SUM(Audit[[#This Row],[Audit Losing Candidate]:[Audit Candidate 6]])
      &lt;&gt;0,
      (Audit[[#This Row],[Winning Candidate]]-Audit[[#This Row],[Losing Candidate]]-(Audit[[#This Row],[Audit Winning Candidate]]-Audit[[#This Row],[Audit Losing Candidate]]))/(Audit[[#Totals],[Winning Candidate]]-Audit[[#Totals],[Losing Candidate]]),
      0
)</f>
        <v>0</v>
      </c>
      <c r="AD7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9" s="111">
        <f>IF(Audit[[#This Row],[Max Relative Error (ep)]] = 0, 0, Audit[[#This Row],[Max Relative Error (ep)]]/Audit[[#This Row],[Error Bound (up) - Max. possible relative overstatement]])</f>
        <v>0</v>
      </c>
      <c r="AJ7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799" s="111">
        <f t="shared" si="12"/>
        <v>1</v>
      </c>
      <c r="AL799" s="111">
        <f>PRODUCT($AK$5:AK799)</f>
        <v>8.962823818226312E-2</v>
      </c>
      <c r="AM799" s="109">
        <f>1 - [K-M P Value]</f>
        <v>0.91037176181773694</v>
      </c>
      <c r="AN799" s="111" t="str">
        <f>IF(Audit[[#This Row],[K-M P Value]]&gt;1-'General Info'!$B$16,"Continue", "Stop")</f>
        <v>Stop</v>
      </c>
      <c r="AO799" s="110" t="b">
        <f>IF(Audit[[#This Row],[Status - Continue or stop audit]] = "Continue", TRUE, IF(AN798 = "Continue", TRUE, FALSE))</f>
        <v>0</v>
      </c>
      <c r="AP799" s="110"/>
    </row>
    <row r="800" spans="1:42" ht="15" hidden="1" customHeight="1">
      <c r="A800" s="111" t="str">
        <f>'Sampling Data'!W791</f>
        <v/>
      </c>
      <c r="B800" s="112" t="str">
        <f>'Sampling Data'!A791</f>
        <v>CLEVELAND -15-G</v>
      </c>
      <c r="C800" s="112">
        <f>'Sampling Data'!B791</f>
        <v>3</v>
      </c>
      <c r="D800" s="112">
        <f>'Sampling Data'!C791</f>
        <v>3</v>
      </c>
      <c r="E800" s="113">
        <f>'Sampling Data'!D791</f>
        <v>2</v>
      </c>
      <c r="F800" s="113">
        <f>'Sampling Data'!E791</f>
        <v>3</v>
      </c>
      <c r="G800" s="113">
        <f>'Sampling Data'!F791</f>
        <v>0</v>
      </c>
      <c r="H800" s="113">
        <f>'Sampling Data'!G791</f>
        <v>1</v>
      </c>
      <c r="I800" s="112">
        <f>'Sampling Data'!H791</f>
        <v>0</v>
      </c>
      <c r="J800" s="112">
        <f>'Sampling Data'!I791</f>
        <v>0</v>
      </c>
      <c r="K800" s="112">
        <f>'Sampling Data'!J791</f>
        <v>12</v>
      </c>
      <c r="L800" s="111">
        <f>'Sampling Data'!X791</f>
        <v>0</v>
      </c>
      <c r="M800" s="114"/>
      <c r="N800" s="114"/>
      <c r="O800" s="115"/>
      <c r="P800" s="115"/>
      <c r="Q800" s="116"/>
      <c r="R800" s="116"/>
      <c r="S800" s="111">
        <f>Audit[[#This Row],[Audit Losing Candidate]]-Audit[[#This Row],[Losing Candidate]]</f>
        <v>-3</v>
      </c>
      <c r="T800" s="111">
        <f>Audit[[#This Row],[Audit Winning Candidate]]-Audit[[#This Row],[Winning Candidate]]</f>
        <v>-3</v>
      </c>
      <c r="U800" s="111">
        <f>Audit[[#This Row],[Audit Candidate 3]]-Audit[[#This Row],[Candidate 3]]</f>
        <v>-2</v>
      </c>
      <c r="V800" s="111">
        <f>Audit[[#This Row],[Audit Candidate 4]]-Audit[[#This Row],[Candidate 4]]</f>
        <v>-3</v>
      </c>
      <c r="W800" s="111">
        <f>Audit[[#This Row],[Audit Candidate 5]]-Audit[[#This Row],[Candidate 5]]</f>
        <v>0</v>
      </c>
      <c r="X800" s="111">
        <f>Audit[[#This Row],[Audit Candidate 6]]-Audit[[#This Row],[Candidate 6]]</f>
        <v>-1</v>
      </c>
      <c r="Y800" s="111">
        <f>SUMIF(Audit[[#This Row],[Difference Loser]:[Difference Candidate 6]], "&gt;0")</f>
        <v>0</v>
      </c>
      <c r="Z800" s="111">
        <f>SUM(Audit[[#This Row],[Difference Loser]:[Difference Candidate 6]])</f>
        <v>-12</v>
      </c>
      <c r="AA800" s="111">
        <f>IF(Audit[[#This Row],[Times p Drawn - With Replacement]]&gt;0, IF(Audit[[#This Row],[Canceled Differences]]&lt;0, Audit[[#This Row],[Max Differences]]+ABS(Audit[[#This Row],[Canceled Differences]]), Audit[[#This Row],[Max Differences]]), 0)</f>
        <v>0</v>
      </c>
      <c r="AB800" s="111">
        <f>'Sampling Data'!P791</f>
        <v>7.3493385595296422E-4</v>
      </c>
      <c r="AC800" s="111">
        <f>IF(
      SUM(Audit[[#This Row],[Audit Losing Candidate]:[Audit Candidate 6]])
      &lt;&gt;0,
      (Audit[[#This Row],[Winning Candidate]]-Audit[[#This Row],[Losing Candidate]]-(Audit[[#This Row],[Audit Winning Candidate]]-Audit[[#This Row],[Audit Losing Candidate]]))/(Audit[[#Totals],[Winning Candidate]]-Audit[[#Totals],[Losing Candidate]]),
      0
)</f>
        <v>0</v>
      </c>
      <c r="AD8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0" s="111">
        <f>IF(Audit[[#This Row],[Max Relative Error (ep)]] = 0, 0, Audit[[#This Row],[Max Relative Error (ep)]]/Audit[[#This Row],[Error Bound (up) - Max. possible relative overstatement]])</f>
        <v>0</v>
      </c>
      <c r="AJ8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00" s="111">
        <f t="shared" si="12"/>
        <v>1</v>
      </c>
      <c r="AL800" s="111">
        <f>PRODUCT($AK$5:AK800)</f>
        <v>8.962823818226312E-2</v>
      </c>
      <c r="AM800" s="109">
        <f>1 - [K-M P Value]</f>
        <v>0.91037176181773694</v>
      </c>
      <c r="AN800" s="111" t="str">
        <f>IF(Audit[[#This Row],[K-M P Value]]&gt;1-'General Info'!$B$16,"Continue", "Stop")</f>
        <v>Stop</v>
      </c>
      <c r="AO800" s="110" t="b">
        <f>IF(Audit[[#This Row],[Status - Continue or stop audit]] = "Continue", TRUE, IF(AN799 = "Continue", TRUE, FALSE))</f>
        <v>0</v>
      </c>
      <c r="AP800" s="110"/>
    </row>
    <row r="801" spans="1:42" ht="15" hidden="1" customHeight="1">
      <c r="A801" s="111" t="str">
        <f>'Sampling Data'!W792</f>
        <v/>
      </c>
      <c r="B801" s="112" t="str">
        <f>'Sampling Data'!A792</f>
        <v>CLEVELAND -15-G - ABS</v>
      </c>
      <c r="C801" s="112">
        <f>'Sampling Data'!B792</f>
        <v>0</v>
      </c>
      <c r="D801" s="112">
        <f>'Sampling Data'!C792</f>
        <v>0</v>
      </c>
      <c r="E801" s="113">
        <f>'Sampling Data'!D792</f>
        <v>0</v>
      </c>
      <c r="F801" s="113">
        <f>'Sampling Data'!E792</f>
        <v>0</v>
      </c>
      <c r="G801" s="113">
        <f>'Sampling Data'!F792</f>
        <v>0</v>
      </c>
      <c r="H801" s="113">
        <f>'Sampling Data'!G792</f>
        <v>0</v>
      </c>
      <c r="I801" s="112">
        <f>'Sampling Data'!H792</f>
        <v>0</v>
      </c>
      <c r="J801" s="112">
        <f>'Sampling Data'!I792</f>
        <v>0</v>
      </c>
      <c r="K801" s="112">
        <f>'Sampling Data'!J792</f>
        <v>0</v>
      </c>
      <c r="L801" s="111">
        <f>'Sampling Data'!X792</f>
        <v>0</v>
      </c>
      <c r="M801" s="114"/>
      <c r="N801" s="114"/>
      <c r="O801" s="115"/>
      <c r="P801" s="115"/>
      <c r="Q801" s="116"/>
      <c r="R801" s="116"/>
      <c r="S801" s="111">
        <f>Audit[[#This Row],[Audit Losing Candidate]]-Audit[[#This Row],[Losing Candidate]]</f>
        <v>0</v>
      </c>
      <c r="T801" s="111">
        <f>Audit[[#This Row],[Audit Winning Candidate]]-Audit[[#This Row],[Winning Candidate]]</f>
        <v>0</v>
      </c>
      <c r="U801" s="111">
        <f>Audit[[#This Row],[Audit Candidate 3]]-Audit[[#This Row],[Candidate 3]]</f>
        <v>0</v>
      </c>
      <c r="V801" s="111">
        <f>Audit[[#This Row],[Audit Candidate 4]]-Audit[[#This Row],[Candidate 4]]</f>
        <v>0</v>
      </c>
      <c r="W801" s="111">
        <f>Audit[[#This Row],[Audit Candidate 5]]-Audit[[#This Row],[Candidate 5]]</f>
        <v>0</v>
      </c>
      <c r="X801" s="111">
        <f>Audit[[#This Row],[Audit Candidate 6]]-Audit[[#This Row],[Candidate 6]]</f>
        <v>0</v>
      </c>
      <c r="Y801" s="111">
        <f>SUMIF(Audit[[#This Row],[Difference Loser]:[Difference Candidate 6]], "&gt;0")</f>
        <v>0</v>
      </c>
      <c r="Z801" s="111">
        <f>SUM(Audit[[#This Row],[Difference Loser]:[Difference Candidate 6]])</f>
        <v>0</v>
      </c>
      <c r="AA801" s="111">
        <f>IF(Audit[[#This Row],[Times p Drawn - With Replacement]]&gt;0, IF(Audit[[#This Row],[Canceled Differences]]&lt;0, Audit[[#This Row],[Max Differences]]+ABS(Audit[[#This Row],[Canceled Differences]]), Audit[[#This Row],[Max Differences]]), 0)</f>
        <v>0</v>
      </c>
      <c r="AB801" s="111">
        <f>'Sampling Data'!P792</f>
        <v>0</v>
      </c>
      <c r="AC801" s="111">
        <f>IF(
      SUM(Audit[[#This Row],[Audit Losing Candidate]:[Audit Candidate 6]])
      &lt;&gt;0,
      (Audit[[#This Row],[Winning Candidate]]-Audit[[#This Row],[Losing Candidate]]-(Audit[[#This Row],[Audit Winning Candidate]]-Audit[[#This Row],[Audit Losing Candidate]]))/(Audit[[#Totals],[Winning Candidate]]-Audit[[#Totals],[Losing Candidate]]),
      0
)</f>
        <v>0</v>
      </c>
      <c r="AD8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1" s="111">
        <f>IF(Audit[[#This Row],[Max Relative Error (ep)]] = 0, 0, Audit[[#This Row],[Max Relative Error (ep)]]/Audit[[#This Row],[Error Bound (up) - Max. possible relative overstatement]])</f>
        <v>0</v>
      </c>
      <c r="AJ8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01" s="111">
        <f t="shared" si="12"/>
        <v>1</v>
      </c>
      <c r="AL801" s="111">
        <f>PRODUCT($AK$5:AK801)</f>
        <v>8.962823818226312E-2</v>
      </c>
      <c r="AM801" s="109">
        <f>1 - [K-M P Value]</f>
        <v>0.91037176181773694</v>
      </c>
      <c r="AN801" s="111" t="str">
        <f>IF(Audit[[#This Row],[K-M P Value]]&gt;1-'General Info'!$B$16,"Continue", "Stop")</f>
        <v>Stop</v>
      </c>
      <c r="AO801" s="110" t="b">
        <f>IF(Audit[[#This Row],[Status - Continue or stop audit]] = "Continue", TRUE, IF(AN800 = "Continue", TRUE, FALSE))</f>
        <v>0</v>
      </c>
      <c r="AP801" s="110"/>
    </row>
    <row r="802" spans="1:42" ht="15" hidden="1" customHeight="1">
      <c r="A802" s="111" t="str">
        <f>'Sampling Data'!W793</f>
        <v/>
      </c>
      <c r="B802" s="112" t="str">
        <f>'Sampling Data'!A793</f>
        <v>CLEVELAND -15-H</v>
      </c>
      <c r="C802" s="112">
        <f>'Sampling Data'!B793</f>
        <v>3</v>
      </c>
      <c r="D802" s="112">
        <f>'Sampling Data'!C793</f>
        <v>0</v>
      </c>
      <c r="E802" s="113">
        <f>'Sampling Data'!D793</f>
        <v>3</v>
      </c>
      <c r="F802" s="113">
        <f>'Sampling Data'!E793</f>
        <v>3</v>
      </c>
      <c r="G802" s="113">
        <f>'Sampling Data'!F793</f>
        <v>1</v>
      </c>
      <c r="H802" s="113">
        <f>'Sampling Data'!G793</f>
        <v>0</v>
      </c>
      <c r="I802" s="112">
        <f>'Sampling Data'!H793</f>
        <v>0</v>
      </c>
      <c r="J802" s="112">
        <f>'Sampling Data'!I793</f>
        <v>0</v>
      </c>
      <c r="K802" s="112">
        <f>'Sampling Data'!J793</f>
        <v>10</v>
      </c>
      <c r="L802" s="111">
        <f>'Sampling Data'!X793</f>
        <v>0</v>
      </c>
      <c r="M802" s="114"/>
      <c r="N802" s="114"/>
      <c r="O802" s="115"/>
      <c r="P802" s="115"/>
      <c r="Q802" s="116"/>
      <c r="R802" s="116"/>
      <c r="S802" s="111">
        <f>Audit[[#This Row],[Audit Losing Candidate]]-Audit[[#This Row],[Losing Candidate]]</f>
        <v>-3</v>
      </c>
      <c r="T802" s="111">
        <f>Audit[[#This Row],[Audit Winning Candidate]]-Audit[[#This Row],[Winning Candidate]]</f>
        <v>0</v>
      </c>
      <c r="U802" s="111">
        <f>Audit[[#This Row],[Audit Candidate 3]]-Audit[[#This Row],[Candidate 3]]</f>
        <v>-3</v>
      </c>
      <c r="V802" s="111">
        <f>Audit[[#This Row],[Audit Candidate 4]]-Audit[[#This Row],[Candidate 4]]</f>
        <v>-3</v>
      </c>
      <c r="W802" s="111">
        <f>Audit[[#This Row],[Audit Candidate 5]]-Audit[[#This Row],[Candidate 5]]</f>
        <v>-1</v>
      </c>
      <c r="X802" s="111">
        <f>Audit[[#This Row],[Audit Candidate 6]]-Audit[[#This Row],[Candidate 6]]</f>
        <v>0</v>
      </c>
      <c r="Y802" s="111">
        <f>SUMIF(Audit[[#This Row],[Difference Loser]:[Difference Candidate 6]], "&gt;0")</f>
        <v>0</v>
      </c>
      <c r="Z802" s="111">
        <f>SUM(Audit[[#This Row],[Difference Loser]:[Difference Candidate 6]])</f>
        <v>-10</v>
      </c>
      <c r="AA802" s="111">
        <f>IF(Audit[[#This Row],[Times p Drawn - With Replacement]]&gt;0, IF(Audit[[#This Row],[Canceled Differences]]&lt;0, Audit[[#This Row],[Max Differences]]+ABS(Audit[[#This Row],[Canceled Differences]]), Audit[[#This Row],[Max Differences]]), 0)</f>
        <v>0</v>
      </c>
      <c r="AB802" s="111">
        <f>'Sampling Data'!P793</f>
        <v>4.2871141597256246E-4</v>
      </c>
      <c r="AC802" s="111">
        <f>IF(
      SUM(Audit[[#This Row],[Audit Losing Candidate]:[Audit Candidate 6]])
      &lt;&gt;0,
      (Audit[[#This Row],[Winning Candidate]]-Audit[[#This Row],[Losing Candidate]]-(Audit[[#This Row],[Audit Winning Candidate]]-Audit[[#This Row],[Audit Losing Candidate]]))/(Audit[[#Totals],[Winning Candidate]]-Audit[[#Totals],[Losing Candidate]]),
      0
)</f>
        <v>0</v>
      </c>
      <c r="AD8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2" s="111">
        <f>IF(Audit[[#This Row],[Max Relative Error (ep)]] = 0, 0, Audit[[#This Row],[Max Relative Error (ep)]]/Audit[[#This Row],[Error Bound (up) - Max. possible relative overstatement]])</f>
        <v>0</v>
      </c>
      <c r="AJ8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02" s="111">
        <f t="shared" si="12"/>
        <v>1</v>
      </c>
      <c r="AL802" s="111">
        <f>PRODUCT($AK$5:AK802)</f>
        <v>8.962823818226312E-2</v>
      </c>
      <c r="AM802" s="109">
        <f>1 - [K-M P Value]</f>
        <v>0.91037176181773694</v>
      </c>
      <c r="AN802" s="111" t="str">
        <f>IF(Audit[[#This Row],[K-M P Value]]&gt;1-'General Info'!$B$16,"Continue", "Stop")</f>
        <v>Stop</v>
      </c>
      <c r="AO802" s="110" t="b">
        <f>IF(Audit[[#This Row],[Status - Continue or stop audit]] = "Continue", TRUE, IF(AN801 = "Continue", TRUE, FALSE))</f>
        <v>0</v>
      </c>
      <c r="AP802" s="110"/>
    </row>
    <row r="803" spans="1:42" ht="15" hidden="1" customHeight="1">
      <c r="A803" s="111" t="str">
        <f>'Sampling Data'!W794</f>
        <v/>
      </c>
      <c r="B803" s="112" t="str">
        <f>'Sampling Data'!A794</f>
        <v>CLEVELAND -15-H - ABS</v>
      </c>
      <c r="C803" s="112">
        <f>'Sampling Data'!B794</f>
        <v>0</v>
      </c>
      <c r="D803" s="112">
        <f>'Sampling Data'!C794</f>
        <v>0</v>
      </c>
      <c r="E803" s="113">
        <f>'Sampling Data'!D794</f>
        <v>0</v>
      </c>
      <c r="F803" s="113">
        <f>'Sampling Data'!E794</f>
        <v>0</v>
      </c>
      <c r="G803" s="113">
        <f>'Sampling Data'!F794</f>
        <v>0</v>
      </c>
      <c r="H803" s="113">
        <f>'Sampling Data'!G794</f>
        <v>0</v>
      </c>
      <c r="I803" s="112">
        <f>'Sampling Data'!H794</f>
        <v>0</v>
      </c>
      <c r="J803" s="112">
        <f>'Sampling Data'!I794</f>
        <v>0</v>
      </c>
      <c r="K803" s="112">
        <f>'Sampling Data'!J794</f>
        <v>0</v>
      </c>
      <c r="L803" s="111">
        <f>'Sampling Data'!X794</f>
        <v>0</v>
      </c>
      <c r="M803" s="114"/>
      <c r="N803" s="114"/>
      <c r="O803" s="115"/>
      <c r="P803" s="115"/>
      <c r="Q803" s="116"/>
      <c r="R803" s="116"/>
      <c r="S803" s="111">
        <f>Audit[[#This Row],[Audit Losing Candidate]]-Audit[[#This Row],[Losing Candidate]]</f>
        <v>0</v>
      </c>
      <c r="T803" s="111">
        <f>Audit[[#This Row],[Audit Winning Candidate]]-Audit[[#This Row],[Winning Candidate]]</f>
        <v>0</v>
      </c>
      <c r="U803" s="111">
        <f>Audit[[#This Row],[Audit Candidate 3]]-Audit[[#This Row],[Candidate 3]]</f>
        <v>0</v>
      </c>
      <c r="V803" s="111">
        <f>Audit[[#This Row],[Audit Candidate 4]]-Audit[[#This Row],[Candidate 4]]</f>
        <v>0</v>
      </c>
      <c r="W803" s="111">
        <f>Audit[[#This Row],[Audit Candidate 5]]-Audit[[#This Row],[Candidate 5]]</f>
        <v>0</v>
      </c>
      <c r="X803" s="111">
        <f>Audit[[#This Row],[Audit Candidate 6]]-Audit[[#This Row],[Candidate 6]]</f>
        <v>0</v>
      </c>
      <c r="Y803" s="111">
        <f>SUMIF(Audit[[#This Row],[Difference Loser]:[Difference Candidate 6]], "&gt;0")</f>
        <v>0</v>
      </c>
      <c r="Z803" s="111">
        <f>SUM(Audit[[#This Row],[Difference Loser]:[Difference Candidate 6]])</f>
        <v>0</v>
      </c>
      <c r="AA803" s="111">
        <f>IF(Audit[[#This Row],[Times p Drawn - With Replacement]]&gt;0, IF(Audit[[#This Row],[Canceled Differences]]&lt;0, Audit[[#This Row],[Max Differences]]+ABS(Audit[[#This Row],[Canceled Differences]]), Audit[[#This Row],[Max Differences]]), 0)</f>
        <v>0</v>
      </c>
      <c r="AB803" s="111">
        <f>'Sampling Data'!P794</f>
        <v>0</v>
      </c>
      <c r="AC803" s="111">
        <f>IF(
      SUM(Audit[[#This Row],[Audit Losing Candidate]:[Audit Candidate 6]])
      &lt;&gt;0,
      (Audit[[#This Row],[Winning Candidate]]-Audit[[#This Row],[Losing Candidate]]-(Audit[[#This Row],[Audit Winning Candidate]]-Audit[[#This Row],[Audit Losing Candidate]]))/(Audit[[#Totals],[Winning Candidate]]-Audit[[#Totals],[Losing Candidate]]),
      0
)</f>
        <v>0</v>
      </c>
      <c r="AD8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3" s="111">
        <f>IF(Audit[[#This Row],[Max Relative Error (ep)]] = 0, 0, Audit[[#This Row],[Max Relative Error (ep)]]/Audit[[#This Row],[Error Bound (up) - Max. possible relative overstatement]])</f>
        <v>0</v>
      </c>
      <c r="AJ8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03" s="111">
        <f t="shared" si="12"/>
        <v>1</v>
      </c>
      <c r="AL803" s="111">
        <f>PRODUCT($AK$5:AK803)</f>
        <v>8.962823818226312E-2</v>
      </c>
      <c r="AM803" s="109">
        <f>1 - [K-M P Value]</f>
        <v>0.91037176181773694</v>
      </c>
      <c r="AN803" s="111" t="str">
        <f>IF(Audit[[#This Row],[K-M P Value]]&gt;1-'General Info'!$B$16,"Continue", "Stop")</f>
        <v>Stop</v>
      </c>
      <c r="AO803" s="110" t="b">
        <f>IF(Audit[[#This Row],[Status - Continue or stop audit]] = "Continue", TRUE, IF(AN802 = "Continue", TRUE, FALSE))</f>
        <v>0</v>
      </c>
      <c r="AP803" s="110"/>
    </row>
    <row r="804" spans="1:42" ht="15" hidden="1" customHeight="1">
      <c r="A804" s="111" t="str">
        <f>'Sampling Data'!W795</f>
        <v/>
      </c>
      <c r="B804" s="112" t="str">
        <f>'Sampling Data'!A795</f>
        <v>CLEVELAND -15-I</v>
      </c>
      <c r="C804" s="112">
        <f>'Sampling Data'!B795</f>
        <v>3</v>
      </c>
      <c r="D804" s="112">
        <f>'Sampling Data'!C795</f>
        <v>3</v>
      </c>
      <c r="E804" s="113">
        <f>'Sampling Data'!D795</f>
        <v>0</v>
      </c>
      <c r="F804" s="113">
        <f>'Sampling Data'!E795</f>
        <v>2</v>
      </c>
      <c r="G804" s="113">
        <f>'Sampling Data'!F795</f>
        <v>0</v>
      </c>
      <c r="H804" s="113">
        <f>'Sampling Data'!G795</f>
        <v>0</v>
      </c>
      <c r="I804" s="112">
        <f>'Sampling Data'!H795</f>
        <v>0</v>
      </c>
      <c r="J804" s="112">
        <f>'Sampling Data'!I795</f>
        <v>0</v>
      </c>
      <c r="K804" s="112">
        <f>'Sampling Data'!J795</f>
        <v>8</v>
      </c>
      <c r="L804" s="111">
        <f>'Sampling Data'!X795</f>
        <v>0</v>
      </c>
      <c r="M804" s="114"/>
      <c r="N804" s="114"/>
      <c r="O804" s="115"/>
      <c r="P804" s="115"/>
      <c r="Q804" s="116"/>
      <c r="R804" s="116"/>
      <c r="S804" s="111">
        <f>Audit[[#This Row],[Audit Losing Candidate]]-Audit[[#This Row],[Losing Candidate]]</f>
        <v>-3</v>
      </c>
      <c r="T804" s="111">
        <f>Audit[[#This Row],[Audit Winning Candidate]]-Audit[[#This Row],[Winning Candidate]]</f>
        <v>-3</v>
      </c>
      <c r="U804" s="111">
        <f>Audit[[#This Row],[Audit Candidate 3]]-Audit[[#This Row],[Candidate 3]]</f>
        <v>0</v>
      </c>
      <c r="V804" s="111">
        <f>Audit[[#This Row],[Audit Candidate 4]]-Audit[[#This Row],[Candidate 4]]</f>
        <v>-2</v>
      </c>
      <c r="W804" s="111">
        <f>Audit[[#This Row],[Audit Candidate 5]]-Audit[[#This Row],[Candidate 5]]</f>
        <v>0</v>
      </c>
      <c r="X804" s="111">
        <f>Audit[[#This Row],[Audit Candidate 6]]-Audit[[#This Row],[Candidate 6]]</f>
        <v>0</v>
      </c>
      <c r="Y804" s="111">
        <f>SUMIF(Audit[[#This Row],[Difference Loser]:[Difference Candidate 6]], "&gt;0")</f>
        <v>0</v>
      </c>
      <c r="Z804" s="111">
        <f>SUM(Audit[[#This Row],[Difference Loser]:[Difference Candidate 6]])</f>
        <v>-8</v>
      </c>
      <c r="AA804" s="111">
        <f>IF(Audit[[#This Row],[Times p Drawn - With Replacement]]&gt;0, IF(Audit[[#This Row],[Canceled Differences]]&lt;0, Audit[[#This Row],[Max Differences]]+ABS(Audit[[#This Row],[Canceled Differences]]), Audit[[#This Row],[Max Differences]]), 0)</f>
        <v>0</v>
      </c>
      <c r="AB804" s="111">
        <f>'Sampling Data'!P795</f>
        <v>4.8995590396864281E-4</v>
      </c>
      <c r="AC804" s="111">
        <f>IF(
      SUM(Audit[[#This Row],[Audit Losing Candidate]:[Audit Candidate 6]])
      &lt;&gt;0,
      (Audit[[#This Row],[Winning Candidate]]-Audit[[#This Row],[Losing Candidate]]-(Audit[[#This Row],[Audit Winning Candidate]]-Audit[[#This Row],[Audit Losing Candidate]]))/(Audit[[#Totals],[Winning Candidate]]-Audit[[#Totals],[Losing Candidate]]),
      0
)</f>
        <v>0</v>
      </c>
      <c r="AD8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4" s="111">
        <f>IF(Audit[[#This Row],[Max Relative Error (ep)]] = 0, 0, Audit[[#This Row],[Max Relative Error (ep)]]/Audit[[#This Row],[Error Bound (up) - Max. possible relative overstatement]])</f>
        <v>0</v>
      </c>
      <c r="AJ8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04" s="111">
        <f t="shared" si="12"/>
        <v>1</v>
      </c>
      <c r="AL804" s="111">
        <f>PRODUCT($AK$5:AK804)</f>
        <v>8.962823818226312E-2</v>
      </c>
      <c r="AM804" s="109">
        <f>1 - [K-M P Value]</f>
        <v>0.91037176181773694</v>
      </c>
      <c r="AN804" s="111" t="str">
        <f>IF(Audit[[#This Row],[K-M P Value]]&gt;1-'General Info'!$B$16,"Continue", "Stop")</f>
        <v>Stop</v>
      </c>
      <c r="AO804" s="110" t="b">
        <f>IF(Audit[[#This Row],[Status - Continue or stop audit]] = "Continue", TRUE, IF(AN803 = "Continue", TRUE, FALSE))</f>
        <v>0</v>
      </c>
      <c r="AP804" s="110"/>
    </row>
    <row r="805" spans="1:42" ht="15" hidden="1" customHeight="1">
      <c r="A805" s="111" t="str">
        <f>'Sampling Data'!W796</f>
        <v/>
      </c>
      <c r="B805" s="112" t="str">
        <f>'Sampling Data'!A796</f>
        <v>CLEVELAND -15-I - ABS</v>
      </c>
      <c r="C805" s="112">
        <f>'Sampling Data'!B796</f>
        <v>2</v>
      </c>
      <c r="D805" s="112">
        <f>'Sampling Data'!C796</f>
        <v>1</v>
      </c>
      <c r="E805" s="113">
        <f>'Sampling Data'!D796</f>
        <v>1</v>
      </c>
      <c r="F805" s="113">
        <f>'Sampling Data'!E796</f>
        <v>1</v>
      </c>
      <c r="G805" s="113">
        <f>'Sampling Data'!F796</f>
        <v>0</v>
      </c>
      <c r="H805" s="113">
        <f>'Sampling Data'!G796</f>
        <v>0</v>
      </c>
      <c r="I805" s="112">
        <f>'Sampling Data'!H796</f>
        <v>0</v>
      </c>
      <c r="J805" s="112">
        <f>'Sampling Data'!I796</f>
        <v>0</v>
      </c>
      <c r="K805" s="112">
        <f>'Sampling Data'!J796</f>
        <v>5</v>
      </c>
      <c r="L805" s="111">
        <f>'Sampling Data'!X796</f>
        <v>0</v>
      </c>
      <c r="M805" s="114"/>
      <c r="N805" s="114"/>
      <c r="O805" s="115"/>
      <c r="P805" s="115"/>
      <c r="Q805" s="116"/>
      <c r="R805" s="116"/>
      <c r="S805" s="111">
        <f>Audit[[#This Row],[Audit Losing Candidate]]-Audit[[#This Row],[Losing Candidate]]</f>
        <v>-2</v>
      </c>
      <c r="T805" s="111">
        <f>Audit[[#This Row],[Audit Winning Candidate]]-Audit[[#This Row],[Winning Candidate]]</f>
        <v>-1</v>
      </c>
      <c r="U805" s="111">
        <f>Audit[[#This Row],[Audit Candidate 3]]-Audit[[#This Row],[Candidate 3]]</f>
        <v>-1</v>
      </c>
      <c r="V805" s="111">
        <f>Audit[[#This Row],[Audit Candidate 4]]-Audit[[#This Row],[Candidate 4]]</f>
        <v>-1</v>
      </c>
      <c r="W805" s="111">
        <f>Audit[[#This Row],[Audit Candidate 5]]-Audit[[#This Row],[Candidate 5]]</f>
        <v>0</v>
      </c>
      <c r="X805" s="111">
        <f>Audit[[#This Row],[Audit Candidate 6]]-Audit[[#This Row],[Candidate 6]]</f>
        <v>0</v>
      </c>
      <c r="Y805" s="111">
        <f>SUMIF(Audit[[#This Row],[Difference Loser]:[Difference Candidate 6]], "&gt;0")</f>
        <v>0</v>
      </c>
      <c r="Z805" s="111">
        <f>SUM(Audit[[#This Row],[Difference Loser]:[Difference Candidate 6]])</f>
        <v>-5</v>
      </c>
      <c r="AA805" s="111">
        <f>IF(Audit[[#This Row],[Times p Drawn - With Replacement]]&gt;0, IF(Audit[[#This Row],[Canceled Differences]]&lt;0, Audit[[#This Row],[Max Differences]]+ABS(Audit[[#This Row],[Canceled Differences]]), Audit[[#This Row],[Max Differences]]), 0)</f>
        <v>0</v>
      </c>
      <c r="AB805" s="111">
        <f>'Sampling Data'!P796</f>
        <v>2.4497795198432141E-4</v>
      </c>
      <c r="AC805" s="111">
        <f>IF(
      SUM(Audit[[#This Row],[Audit Losing Candidate]:[Audit Candidate 6]])
      &lt;&gt;0,
      (Audit[[#This Row],[Winning Candidate]]-Audit[[#This Row],[Losing Candidate]]-(Audit[[#This Row],[Audit Winning Candidate]]-Audit[[#This Row],[Audit Losing Candidate]]))/(Audit[[#Totals],[Winning Candidate]]-Audit[[#Totals],[Losing Candidate]]),
      0
)</f>
        <v>0</v>
      </c>
      <c r="AD8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5" s="111">
        <f>IF(Audit[[#This Row],[Max Relative Error (ep)]] = 0, 0, Audit[[#This Row],[Max Relative Error (ep)]]/Audit[[#This Row],[Error Bound (up) - Max. possible relative overstatement]])</f>
        <v>0</v>
      </c>
      <c r="AJ8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05" s="111">
        <f t="shared" si="12"/>
        <v>1</v>
      </c>
      <c r="AL805" s="111">
        <f>PRODUCT($AK$5:AK805)</f>
        <v>8.962823818226312E-2</v>
      </c>
      <c r="AM805" s="109">
        <f>1 - [K-M P Value]</f>
        <v>0.91037176181773694</v>
      </c>
      <c r="AN805" s="111" t="str">
        <f>IF(Audit[[#This Row],[K-M P Value]]&gt;1-'General Info'!$B$16,"Continue", "Stop")</f>
        <v>Stop</v>
      </c>
      <c r="AO805" s="110" t="b">
        <f>IF(Audit[[#This Row],[Status - Continue or stop audit]] = "Continue", TRUE, IF(AN804 = "Continue", TRUE, FALSE))</f>
        <v>0</v>
      </c>
      <c r="AP805" s="110"/>
    </row>
    <row r="806" spans="1:42" ht="15" hidden="1" customHeight="1">
      <c r="A806" s="111" t="str">
        <f>'Sampling Data'!W797</f>
        <v/>
      </c>
      <c r="B806" s="112" t="str">
        <f>'Sampling Data'!A797</f>
        <v>CLEVELAND -15-J</v>
      </c>
      <c r="C806" s="112">
        <f>'Sampling Data'!B797</f>
        <v>13</v>
      </c>
      <c r="D806" s="112">
        <f>'Sampling Data'!C797</f>
        <v>6</v>
      </c>
      <c r="E806" s="113">
        <f>'Sampling Data'!D797</f>
        <v>1</v>
      </c>
      <c r="F806" s="113">
        <f>'Sampling Data'!E797</f>
        <v>4</v>
      </c>
      <c r="G806" s="113">
        <f>'Sampling Data'!F797</f>
        <v>0</v>
      </c>
      <c r="H806" s="113">
        <f>'Sampling Data'!G797</f>
        <v>0</v>
      </c>
      <c r="I806" s="112">
        <f>'Sampling Data'!H797</f>
        <v>1</v>
      </c>
      <c r="J806" s="112">
        <f>'Sampling Data'!I797</f>
        <v>0</v>
      </c>
      <c r="K806" s="112">
        <f>'Sampling Data'!J797</f>
        <v>25</v>
      </c>
      <c r="L806" s="111">
        <f>'Sampling Data'!X797</f>
        <v>0</v>
      </c>
      <c r="M806" s="114"/>
      <c r="N806" s="114"/>
      <c r="O806" s="115"/>
      <c r="P806" s="115"/>
      <c r="Q806" s="116"/>
      <c r="R806" s="116"/>
      <c r="S806" s="111">
        <f>Audit[[#This Row],[Audit Losing Candidate]]-Audit[[#This Row],[Losing Candidate]]</f>
        <v>-13</v>
      </c>
      <c r="T806" s="111">
        <f>Audit[[#This Row],[Audit Winning Candidate]]-Audit[[#This Row],[Winning Candidate]]</f>
        <v>-6</v>
      </c>
      <c r="U806" s="111">
        <f>Audit[[#This Row],[Audit Candidate 3]]-Audit[[#This Row],[Candidate 3]]</f>
        <v>-1</v>
      </c>
      <c r="V806" s="111">
        <f>Audit[[#This Row],[Audit Candidate 4]]-Audit[[#This Row],[Candidate 4]]</f>
        <v>-4</v>
      </c>
      <c r="W806" s="111">
        <f>Audit[[#This Row],[Audit Candidate 5]]-Audit[[#This Row],[Candidate 5]]</f>
        <v>0</v>
      </c>
      <c r="X806" s="111">
        <f>Audit[[#This Row],[Audit Candidate 6]]-Audit[[#This Row],[Candidate 6]]</f>
        <v>0</v>
      </c>
      <c r="Y806" s="111">
        <f>SUMIF(Audit[[#This Row],[Difference Loser]:[Difference Candidate 6]], "&gt;0")</f>
        <v>0</v>
      </c>
      <c r="Z806" s="111">
        <f>SUM(Audit[[#This Row],[Difference Loser]:[Difference Candidate 6]])</f>
        <v>-24</v>
      </c>
      <c r="AA806" s="111">
        <f>IF(Audit[[#This Row],[Times p Drawn - With Replacement]]&gt;0, IF(Audit[[#This Row],[Canceled Differences]]&lt;0, Audit[[#This Row],[Max Differences]]+ABS(Audit[[#This Row],[Canceled Differences]]), Audit[[#This Row],[Max Differences]]), 0)</f>
        <v>0</v>
      </c>
      <c r="AB806" s="111">
        <f>'Sampling Data'!P797</f>
        <v>1.1024007839294464E-3</v>
      </c>
      <c r="AC806" s="111">
        <f>IF(
      SUM(Audit[[#This Row],[Audit Losing Candidate]:[Audit Candidate 6]])
      &lt;&gt;0,
      (Audit[[#This Row],[Winning Candidate]]-Audit[[#This Row],[Losing Candidate]]-(Audit[[#This Row],[Audit Winning Candidate]]-Audit[[#This Row],[Audit Losing Candidate]]))/(Audit[[#Totals],[Winning Candidate]]-Audit[[#Totals],[Losing Candidate]]),
      0
)</f>
        <v>0</v>
      </c>
      <c r="AD8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6" s="111">
        <f>IF(Audit[[#This Row],[Max Relative Error (ep)]] = 0, 0, Audit[[#This Row],[Max Relative Error (ep)]]/Audit[[#This Row],[Error Bound (up) - Max. possible relative overstatement]])</f>
        <v>0</v>
      </c>
      <c r="AJ8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06" s="111">
        <f t="shared" si="12"/>
        <v>1</v>
      </c>
      <c r="AL806" s="111">
        <f>PRODUCT($AK$5:AK806)</f>
        <v>8.962823818226312E-2</v>
      </c>
      <c r="AM806" s="109">
        <f>1 - [K-M P Value]</f>
        <v>0.91037176181773694</v>
      </c>
      <c r="AN806" s="111" t="str">
        <f>IF(Audit[[#This Row],[K-M P Value]]&gt;1-'General Info'!$B$16,"Continue", "Stop")</f>
        <v>Stop</v>
      </c>
      <c r="AO806" s="110" t="b">
        <f>IF(Audit[[#This Row],[Status - Continue or stop audit]] = "Continue", TRUE, IF(AN805 = "Continue", TRUE, FALSE))</f>
        <v>0</v>
      </c>
      <c r="AP806" s="110"/>
    </row>
    <row r="807" spans="1:42" ht="15" hidden="1" customHeight="1">
      <c r="A807" s="111" t="str">
        <f>'Sampling Data'!W798</f>
        <v/>
      </c>
      <c r="B807" s="112" t="str">
        <f>'Sampling Data'!A798</f>
        <v>CLEVELAND -15-J - ABS</v>
      </c>
      <c r="C807" s="112">
        <f>'Sampling Data'!B798</f>
        <v>2</v>
      </c>
      <c r="D807" s="112">
        <f>'Sampling Data'!C798</f>
        <v>3</v>
      </c>
      <c r="E807" s="113">
        <f>'Sampling Data'!D798</f>
        <v>1</v>
      </c>
      <c r="F807" s="113">
        <f>'Sampling Data'!E798</f>
        <v>1</v>
      </c>
      <c r="G807" s="113">
        <f>'Sampling Data'!F798</f>
        <v>0</v>
      </c>
      <c r="H807" s="113">
        <f>'Sampling Data'!G798</f>
        <v>1</v>
      </c>
      <c r="I807" s="112">
        <f>'Sampling Data'!H798</f>
        <v>0</v>
      </c>
      <c r="J807" s="112">
        <f>'Sampling Data'!I798</f>
        <v>0</v>
      </c>
      <c r="K807" s="112">
        <f>'Sampling Data'!J798</f>
        <v>8</v>
      </c>
      <c r="L807" s="111">
        <f>'Sampling Data'!X798</f>
        <v>0</v>
      </c>
      <c r="M807" s="114"/>
      <c r="N807" s="114"/>
      <c r="O807" s="115"/>
      <c r="P807" s="115"/>
      <c r="Q807" s="116"/>
      <c r="R807" s="116"/>
      <c r="S807" s="111">
        <f>Audit[[#This Row],[Audit Losing Candidate]]-Audit[[#This Row],[Losing Candidate]]</f>
        <v>-2</v>
      </c>
      <c r="T807" s="111">
        <f>Audit[[#This Row],[Audit Winning Candidate]]-Audit[[#This Row],[Winning Candidate]]</f>
        <v>-3</v>
      </c>
      <c r="U807" s="111">
        <f>Audit[[#This Row],[Audit Candidate 3]]-Audit[[#This Row],[Candidate 3]]</f>
        <v>-1</v>
      </c>
      <c r="V807" s="111">
        <f>Audit[[#This Row],[Audit Candidate 4]]-Audit[[#This Row],[Candidate 4]]</f>
        <v>-1</v>
      </c>
      <c r="W807" s="111">
        <f>Audit[[#This Row],[Audit Candidate 5]]-Audit[[#This Row],[Candidate 5]]</f>
        <v>0</v>
      </c>
      <c r="X807" s="111">
        <f>Audit[[#This Row],[Audit Candidate 6]]-Audit[[#This Row],[Candidate 6]]</f>
        <v>-1</v>
      </c>
      <c r="Y807" s="111">
        <f>SUMIF(Audit[[#This Row],[Difference Loser]:[Difference Candidate 6]], "&gt;0")</f>
        <v>0</v>
      </c>
      <c r="Z807" s="111">
        <f>SUM(Audit[[#This Row],[Difference Loser]:[Difference Candidate 6]])</f>
        <v>-8</v>
      </c>
      <c r="AA807" s="111">
        <f>IF(Audit[[#This Row],[Times p Drawn - With Replacement]]&gt;0, IF(Audit[[#This Row],[Canceled Differences]]&lt;0, Audit[[#This Row],[Max Differences]]+ABS(Audit[[#This Row],[Canceled Differences]]), Audit[[#This Row],[Max Differences]]), 0)</f>
        <v>0</v>
      </c>
      <c r="AB807" s="111">
        <f>'Sampling Data'!P798</f>
        <v>5.5120039196472322E-4</v>
      </c>
      <c r="AC807" s="111">
        <f>IF(
      SUM(Audit[[#This Row],[Audit Losing Candidate]:[Audit Candidate 6]])
      &lt;&gt;0,
      (Audit[[#This Row],[Winning Candidate]]-Audit[[#This Row],[Losing Candidate]]-(Audit[[#This Row],[Audit Winning Candidate]]-Audit[[#This Row],[Audit Losing Candidate]]))/(Audit[[#Totals],[Winning Candidate]]-Audit[[#Totals],[Losing Candidate]]),
      0
)</f>
        <v>0</v>
      </c>
      <c r="AD8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7" s="111">
        <f>IF(Audit[[#This Row],[Max Relative Error (ep)]] = 0, 0, Audit[[#This Row],[Max Relative Error (ep)]]/Audit[[#This Row],[Error Bound (up) - Max. possible relative overstatement]])</f>
        <v>0</v>
      </c>
      <c r="AJ8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07" s="111">
        <f t="shared" si="12"/>
        <v>1</v>
      </c>
      <c r="AL807" s="111">
        <f>PRODUCT($AK$5:AK807)</f>
        <v>8.962823818226312E-2</v>
      </c>
      <c r="AM807" s="109">
        <f>1 - [K-M P Value]</f>
        <v>0.91037176181773694</v>
      </c>
      <c r="AN807" s="111" t="str">
        <f>IF(Audit[[#This Row],[K-M P Value]]&gt;1-'General Info'!$B$16,"Continue", "Stop")</f>
        <v>Stop</v>
      </c>
      <c r="AO807" s="110" t="b">
        <f>IF(Audit[[#This Row],[Status - Continue or stop audit]] = "Continue", TRUE, IF(AN806 = "Continue", TRUE, FALSE))</f>
        <v>0</v>
      </c>
      <c r="AP807" s="110"/>
    </row>
    <row r="808" spans="1:42" ht="15" hidden="1" customHeight="1">
      <c r="A808" s="111" t="str">
        <f>'Sampling Data'!W799</f>
        <v/>
      </c>
      <c r="B808" s="112" t="str">
        <f>'Sampling Data'!A799</f>
        <v>CLEVELAND -15-K</v>
      </c>
      <c r="C808" s="112">
        <f>'Sampling Data'!B799</f>
        <v>2</v>
      </c>
      <c r="D808" s="112">
        <f>'Sampling Data'!C799</f>
        <v>4</v>
      </c>
      <c r="E808" s="113">
        <f>'Sampling Data'!D799</f>
        <v>2</v>
      </c>
      <c r="F808" s="113">
        <f>'Sampling Data'!E799</f>
        <v>0</v>
      </c>
      <c r="G808" s="113">
        <f>'Sampling Data'!F799</f>
        <v>0</v>
      </c>
      <c r="H808" s="113">
        <f>'Sampling Data'!G799</f>
        <v>0</v>
      </c>
      <c r="I808" s="112">
        <f>'Sampling Data'!H799</f>
        <v>0</v>
      </c>
      <c r="J808" s="112">
        <f>'Sampling Data'!I799</f>
        <v>0</v>
      </c>
      <c r="K808" s="112">
        <f>'Sampling Data'!J799</f>
        <v>8</v>
      </c>
      <c r="L808" s="111">
        <f>'Sampling Data'!X799</f>
        <v>0</v>
      </c>
      <c r="M808" s="114"/>
      <c r="N808" s="114"/>
      <c r="O808" s="115"/>
      <c r="P808" s="115"/>
      <c r="Q808" s="116"/>
      <c r="R808" s="116"/>
      <c r="S808" s="111">
        <f>Audit[[#This Row],[Audit Losing Candidate]]-Audit[[#This Row],[Losing Candidate]]</f>
        <v>-2</v>
      </c>
      <c r="T808" s="111">
        <f>Audit[[#This Row],[Audit Winning Candidate]]-Audit[[#This Row],[Winning Candidate]]</f>
        <v>-4</v>
      </c>
      <c r="U808" s="111">
        <f>Audit[[#This Row],[Audit Candidate 3]]-Audit[[#This Row],[Candidate 3]]</f>
        <v>-2</v>
      </c>
      <c r="V808" s="111">
        <f>Audit[[#This Row],[Audit Candidate 4]]-Audit[[#This Row],[Candidate 4]]</f>
        <v>0</v>
      </c>
      <c r="W808" s="111">
        <f>Audit[[#This Row],[Audit Candidate 5]]-Audit[[#This Row],[Candidate 5]]</f>
        <v>0</v>
      </c>
      <c r="X808" s="111">
        <f>Audit[[#This Row],[Audit Candidate 6]]-Audit[[#This Row],[Candidate 6]]</f>
        <v>0</v>
      </c>
      <c r="Y808" s="111">
        <f>SUMIF(Audit[[#This Row],[Difference Loser]:[Difference Candidate 6]], "&gt;0")</f>
        <v>0</v>
      </c>
      <c r="Z808" s="111">
        <f>SUM(Audit[[#This Row],[Difference Loser]:[Difference Candidate 6]])</f>
        <v>-8</v>
      </c>
      <c r="AA808" s="111">
        <f>IF(Audit[[#This Row],[Times p Drawn - With Replacement]]&gt;0, IF(Audit[[#This Row],[Canceled Differences]]&lt;0, Audit[[#This Row],[Max Differences]]+ABS(Audit[[#This Row],[Canceled Differences]]), Audit[[#This Row],[Max Differences]]), 0)</f>
        <v>0</v>
      </c>
      <c r="AB808" s="111">
        <f>'Sampling Data'!P799</f>
        <v>6.1244487996080352E-4</v>
      </c>
      <c r="AC808" s="111">
        <f>IF(
      SUM(Audit[[#This Row],[Audit Losing Candidate]:[Audit Candidate 6]])
      &lt;&gt;0,
      (Audit[[#This Row],[Winning Candidate]]-Audit[[#This Row],[Losing Candidate]]-(Audit[[#This Row],[Audit Winning Candidate]]-Audit[[#This Row],[Audit Losing Candidate]]))/(Audit[[#Totals],[Winning Candidate]]-Audit[[#Totals],[Losing Candidate]]),
      0
)</f>
        <v>0</v>
      </c>
      <c r="AD8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8" s="111">
        <f>IF(Audit[[#This Row],[Max Relative Error (ep)]] = 0, 0, Audit[[#This Row],[Max Relative Error (ep)]]/Audit[[#This Row],[Error Bound (up) - Max. possible relative overstatement]])</f>
        <v>0</v>
      </c>
      <c r="AJ8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08" s="111">
        <f t="shared" si="12"/>
        <v>1</v>
      </c>
      <c r="AL808" s="111">
        <f>PRODUCT($AK$5:AK808)</f>
        <v>8.962823818226312E-2</v>
      </c>
      <c r="AM808" s="109">
        <f>1 - [K-M P Value]</f>
        <v>0.91037176181773694</v>
      </c>
      <c r="AN808" s="111" t="str">
        <f>IF(Audit[[#This Row],[K-M P Value]]&gt;1-'General Info'!$B$16,"Continue", "Stop")</f>
        <v>Stop</v>
      </c>
      <c r="AO808" s="110" t="b">
        <f>IF(Audit[[#This Row],[Status - Continue or stop audit]] = "Continue", TRUE, IF(AN807 = "Continue", TRUE, FALSE))</f>
        <v>0</v>
      </c>
      <c r="AP808" s="110"/>
    </row>
    <row r="809" spans="1:42" ht="15" hidden="1" customHeight="1">
      <c r="A809" s="111" t="str">
        <f>'Sampling Data'!W800</f>
        <v/>
      </c>
      <c r="B809" s="112" t="str">
        <f>'Sampling Data'!A800</f>
        <v>CLEVELAND -15-K - ABS</v>
      </c>
      <c r="C809" s="112">
        <f>'Sampling Data'!B800</f>
        <v>0</v>
      </c>
      <c r="D809" s="112">
        <f>'Sampling Data'!C800</f>
        <v>2</v>
      </c>
      <c r="E809" s="113">
        <f>'Sampling Data'!D800</f>
        <v>0</v>
      </c>
      <c r="F809" s="113">
        <f>'Sampling Data'!E800</f>
        <v>1</v>
      </c>
      <c r="G809" s="113">
        <f>'Sampling Data'!F800</f>
        <v>0</v>
      </c>
      <c r="H809" s="113">
        <f>'Sampling Data'!G800</f>
        <v>0</v>
      </c>
      <c r="I809" s="112">
        <f>'Sampling Data'!H800</f>
        <v>0</v>
      </c>
      <c r="J809" s="112">
        <f>'Sampling Data'!I800</f>
        <v>0</v>
      </c>
      <c r="K809" s="112">
        <f>'Sampling Data'!J800</f>
        <v>3</v>
      </c>
      <c r="L809" s="111">
        <f>'Sampling Data'!X800</f>
        <v>0</v>
      </c>
      <c r="M809" s="114"/>
      <c r="N809" s="114"/>
      <c r="O809" s="115"/>
      <c r="P809" s="115"/>
      <c r="Q809" s="116"/>
      <c r="R809" s="116"/>
      <c r="S809" s="111">
        <f>Audit[[#This Row],[Audit Losing Candidate]]-Audit[[#This Row],[Losing Candidate]]</f>
        <v>0</v>
      </c>
      <c r="T809" s="111">
        <f>Audit[[#This Row],[Audit Winning Candidate]]-Audit[[#This Row],[Winning Candidate]]</f>
        <v>-2</v>
      </c>
      <c r="U809" s="111">
        <f>Audit[[#This Row],[Audit Candidate 3]]-Audit[[#This Row],[Candidate 3]]</f>
        <v>0</v>
      </c>
      <c r="V809" s="111">
        <f>Audit[[#This Row],[Audit Candidate 4]]-Audit[[#This Row],[Candidate 4]]</f>
        <v>-1</v>
      </c>
      <c r="W809" s="111">
        <f>Audit[[#This Row],[Audit Candidate 5]]-Audit[[#This Row],[Candidate 5]]</f>
        <v>0</v>
      </c>
      <c r="X809" s="111">
        <f>Audit[[#This Row],[Audit Candidate 6]]-Audit[[#This Row],[Candidate 6]]</f>
        <v>0</v>
      </c>
      <c r="Y809" s="111">
        <f>SUMIF(Audit[[#This Row],[Difference Loser]:[Difference Candidate 6]], "&gt;0")</f>
        <v>0</v>
      </c>
      <c r="Z809" s="111">
        <f>SUM(Audit[[#This Row],[Difference Loser]:[Difference Candidate 6]])</f>
        <v>-3</v>
      </c>
      <c r="AA809" s="111">
        <f>IF(Audit[[#This Row],[Times p Drawn - With Replacement]]&gt;0, IF(Audit[[#This Row],[Canceled Differences]]&lt;0, Audit[[#This Row],[Max Differences]]+ABS(Audit[[#This Row],[Canceled Differences]]), Audit[[#This Row],[Max Differences]]), 0)</f>
        <v>0</v>
      </c>
      <c r="AB809" s="111">
        <f>'Sampling Data'!P800</f>
        <v>3.0622243998040176E-4</v>
      </c>
      <c r="AC809" s="111">
        <f>IF(
      SUM(Audit[[#This Row],[Audit Losing Candidate]:[Audit Candidate 6]])
      &lt;&gt;0,
      (Audit[[#This Row],[Winning Candidate]]-Audit[[#This Row],[Losing Candidate]]-(Audit[[#This Row],[Audit Winning Candidate]]-Audit[[#This Row],[Audit Losing Candidate]]))/(Audit[[#Totals],[Winning Candidate]]-Audit[[#Totals],[Losing Candidate]]),
      0
)</f>
        <v>0</v>
      </c>
      <c r="AD8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9" s="111">
        <f>IF(Audit[[#This Row],[Max Relative Error (ep)]] = 0, 0, Audit[[#This Row],[Max Relative Error (ep)]]/Audit[[#This Row],[Error Bound (up) - Max. possible relative overstatement]])</f>
        <v>0</v>
      </c>
      <c r="AJ8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09" s="111">
        <f t="shared" si="12"/>
        <v>1</v>
      </c>
      <c r="AL809" s="111">
        <f>PRODUCT($AK$5:AK809)</f>
        <v>8.962823818226312E-2</v>
      </c>
      <c r="AM809" s="109">
        <f>1 - [K-M P Value]</f>
        <v>0.91037176181773694</v>
      </c>
      <c r="AN809" s="111" t="str">
        <f>IF(Audit[[#This Row],[K-M P Value]]&gt;1-'General Info'!$B$16,"Continue", "Stop")</f>
        <v>Stop</v>
      </c>
      <c r="AO809" s="110" t="b">
        <f>IF(Audit[[#This Row],[Status - Continue or stop audit]] = "Continue", TRUE, IF(AN808 = "Continue", TRUE, FALSE))</f>
        <v>0</v>
      </c>
      <c r="AP809" s="110"/>
    </row>
    <row r="810" spans="1:42" ht="15" hidden="1" customHeight="1">
      <c r="A810" s="111" t="str">
        <f>'Sampling Data'!W801</f>
        <v/>
      </c>
      <c r="B810" s="112" t="str">
        <f>'Sampling Data'!A801</f>
        <v>CLEVELAND -15-L</v>
      </c>
      <c r="C810" s="112">
        <f>'Sampling Data'!B801</f>
        <v>7</v>
      </c>
      <c r="D810" s="112">
        <f>'Sampling Data'!C801</f>
        <v>2</v>
      </c>
      <c r="E810" s="113">
        <f>'Sampling Data'!D801</f>
        <v>0</v>
      </c>
      <c r="F810" s="113">
        <f>'Sampling Data'!E801</f>
        <v>1</v>
      </c>
      <c r="G810" s="113">
        <f>'Sampling Data'!F801</f>
        <v>0</v>
      </c>
      <c r="H810" s="113">
        <f>'Sampling Data'!G801</f>
        <v>0</v>
      </c>
      <c r="I810" s="112">
        <f>'Sampling Data'!H801</f>
        <v>0</v>
      </c>
      <c r="J810" s="112">
        <f>'Sampling Data'!I801</f>
        <v>1</v>
      </c>
      <c r="K810" s="112">
        <f>'Sampling Data'!J801</f>
        <v>11</v>
      </c>
      <c r="L810" s="111">
        <f>'Sampling Data'!X801</f>
        <v>0</v>
      </c>
      <c r="M810" s="114"/>
      <c r="N810" s="114"/>
      <c r="O810" s="115"/>
      <c r="P810" s="115"/>
      <c r="Q810" s="116"/>
      <c r="R810" s="116"/>
      <c r="S810" s="111">
        <f>Audit[[#This Row],[Audit Losing Candidate]]-Audit[[#This Row],[Losing Candidate]]</f>
        <v>-7</v>
      </c>
      <c r="T810" s="111">
        <f>Audit[[#This Row],[Audit Winning Candidate]]-Audit[[#This Row],[Winning Candidate]]</f>
        <v>-2</v>
      </c>
      <c r="U810" s="111">
        <f>Audit[[#This Row],[Audit Candidate 3]]-Audit[[#This Row],[Candidate 3]]</f>
        <v>0</v>
      </c>
      <c r="V810" s="111">
        <f>Audit[[#This Row],[Audit Candidate 4]]-Audit[[#This Row],[Candidate 4]]</f>
        <v>-1</v>
      </c>
      <c r="W810" s="111">
        <f>Audit[[#This Row],[Audit Candidate 5]]-Audit[[#This Row],[Candidate 5]]</f>
        <v>0</v>
      </c>
      <c r="X810" s="111">
        <f>Audit[[#This Row],[Audit Candidate 6]]-Audit[[#This Row],[Candidate 6]]</f>
        <v>0</v>
      </c>
      <c r="Y810" s="111">
        <f>SUMIF(Audit[[#This Row],[Difference Loser]:[Difference Candidate 6]], "&gt;0")</f>
        <v>0</v>
      </c>
      <c r="Z810" s="111">
        <f>SUM(Audit[[#This Row],[Difference Loser]:[Difference Candidate 6]])</f>
        <v>-10</v>
      </c>
      <c r="AA810" s="111">
        <f>IF(Audit[[#This Row],[Times p Drawn - With Replacement]]&gt;0, IF(Audit[[#This Row],[Canceled Differences]]&lt;0, Audit[[#This Row],[Max Differences]]+ABS(Audit[[#This Row],[Canceled Differences]]), Audit[[#This Row],[Max Differences]]), 0)</f>
        <v>0</v>
      </c>
      <c r="AB810" s="111">
        <f>'Sampling Data'!P801</f>
        <v>4.1939542536374486E-4</v>
      </c>
      <c r="AC810" s="111">
        <f>IF(
      SUM(Audit[[#This Row],[Audit Losing Candidate]:[Audit Candidate 6]])
      &lt;&gt;0,
      (Audit[[#This Row],[Winning Candidate]]-Audit[[#This Row],[Losing Candidate]]-(Audit[[#This Row],[Audit Winning Candidate]]-Audit[[#This Row],[Audit Losing Candidate]]))/(Audit[[#Totals],[Winning Candidate]]-Audit[[#Totals],[Losing Candidate]]),
      0
)</f>
        <v>0</v>
      </c>
      <c r="AD8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0" s="111">
        <f>IF(Audit[[#This Row],[Max Relative Error (ep)]] = 0, 0, Audit[[#This Row],[Max Relative Error (ep)]]/Audit[[#This Row],[Error Bound (up) - Max. possible relative overstatement]])</f>
        <v>0</v>
      </c>
      <c r="AJ8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10" s="111">
        <f t="shared" si="12"/>
        <v>1</v>
      </c>
      <c r="AL810" s="111">
        <f>PRODUCT($AK$5:AK810)</f>
        <v>8.962823818226312E-2</v>
      </c>
      <c r="AM810" s="109">
        <f>1 - [K-M P Value]</f>
        <v>0.91037176181773694</v>
      </c>
      <c r="AN810" s="111" t="str">
        <f>IF(Audit[[#This Row],[K-M P Value]]&gt;1-'General Info'!$B$16,"Continue", "Stop")</f>
        <v>Stop</v>
      </c>
      <c r="AO810" s="110" t="b">
        <f>IF(Audit[[#This Row],[Status - Continue or stop audit]] = "Continue", TRUE, IF(AN809 = "Continue", TRUE, FALSE))</f>
        <v>0</v>
      </c>
      <c r="AP810" s="110"/>
    </row>
    <row r="811" spans="1:42" ht="15" hidden="1" customHeight="1">
      <c r="A811" s="111" t="str">
        <f>'Sampling Data'!W802</f>
        <v/>
      </c>
      <c r="B811" s="112" t="str">
        <f>'Sampling Data'!A802</f>
        <v>CLEVELAND -15-L - ABS</v>
      </c>
      <c r="C811" s="112">
        <f>'Sampling Data'!B802</f>
        <v>1</v>
      </c>
      <c r="D811" s="112">
        <f>'Sampling Data'!C802</f>
        <v>2</v>
      </c>
      <c r="E811" s="113">
        <f>'Sampling Data'!D802</f>
        <v>0</v>
      </c>
      <c r="F811" s="113">
        <f>'Sampling Data'!E802</f>
        <v>0</v>
      </c>
      <c r="G811" s="113">
        <f>'Sampling Data'!F802</f>
        <v>0</v>
      </c>
      <c r="H811" s="113">
        <f>'Sampling Data'!G802</f>
        <v>0</v>
      </c>
      <c r="I811" s="112">
        <f>'Sampling Data'!H802</f>
        <v>0</v>
      </c>
      <c r="J811" s="112">
        <f>'Sampling Data'!I802</f>
        <v>0</v>
      </c>
      <c r="K811" s="112">
        <f>'Sampling Data'!J802</f>
        <v>3</v>
      </c>
      <c r="L811" s="111">
        <f>'Sampling Data'!X802</f>
        <v>0</v>
      </c>
      <c r="M811" s="114"/>
      <c r="N811" s="114"/>
      <c r="O811" s="115"/>
      <c r="P811" s="115"/>
      <c r="Q811" s="116"/>
      <c r="R811" s="116"/>
      <c r="S811" s="111">
        <f>Audit[[#This Row],[Audit Losing Candidate]]-Audit[[#This Row],[Losing Candidate]]</f>
        <v>-1</v>
      </c>
      <c r="T811" s="111">
        <f>Audit[[#This Row],[Audit Winning Candidate]]-Audit[[#This Row],[Winning Candidate]]</f>
        <v>-2</v>
      </c>
      <c r="U811" s="111">
        <f>Audit[[#This Row],[Audit Candidate 3]]-Audit[[#This Row],[Candidate 3]]</f>
        <v>0</v>
      </c>
      <c r="V811" s="111">
        <f>Audit[[#This Row],[Audit Candidate 4]]-Audit[[#This Row],[Candidate 4]]</f>
        <v>0</v>
      </c>
      <c r="W811" s="111">
        <f>Audit[[#This Row],[Audit Candidate 5]]-Audit[[#This Row],[Candidate 5]]</f>
        <v>0</v>
      </c>
      <c r="X811" s="111">
        <f>Audit[[#This Row],[Audit Candidate 6]]-Audit[[#This Row],[Candidate 6]]</f>
        <v>0</v>
      </c>
      <c r="Y811" s="111">
        <f>SUMIF(Audit[[#This Row],[Difference Loser]:[Difference Candidate 6]], "&gt;0")</f>
        <v>0</v>
      </c>
      <c r="Z811" s="111">
        <f>SUM(Audit[[#This Row],[Difference Loser]:[Difference Candidate 6]])</f>
        <v>-3</v>
      </c>
      <c r="AA811" s="111">
        <f>IF(Audit[[#This Row],[Times p Drawn - With Replacement]]&gt;0, IF(Audit[[#This Row],[Canceled Differences]]&lt;0, Audit[[#This Row],[Max Differences]]+ABS(Audit[[#This Row],[Canceled Differences]]), Audit[[#This Row],[Max Differences]]), 0)</f>
        <v>0</v>
      </c>
      <c r="AB811" s="111">
        <f>'Sampling Data'!P802</f>
        <v>2.4497795198432141E-4</v>
      </c>
      <c r="AC811" s="111">
        <f>IF(
      SUM(Audit[[#This Row],[Audit Losing Candidate]:[Audit Candidate 6]])
      &lt;&gt;0,
      (Audit[[#This Row],[Winning Candidate]]-Audit[[#This Row],[Losing Candidate]]-(Audit[[#This Row],[Audit Winning Candidate]]-Audit[[#This Row],[Audit Losing Candidate]]))/(Audit[[#Totals],[Winning Candidate]]-Audit[[#Totals],[Losing Candidate]]),
      0
)</f>
        <v>0</v>
      </c>
      <c r="AD8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1" s="111">
        <f>IF(Audit[[#This Row],[Max Relative Error (ep)]] = 0, 0, Audit[[#This Row],[Max Relative Error (ep)]]/Audit[[#This Row],[Error Bound (up) - Max. possible relative overstatement]])</f>
        <v>0</v>
      </c>
      <c r="AJ8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11" s="111">
        <f t="shared" si="12"/>
        <v>1</v>
      </c>
      <c r="AL811" s="111">
        <f>PRODUCT($AK$5:AK811)</f>
        <v>8.962823818226312E-2</v>
      </c>
      <c r="AM811" s="109">
        <f>1 - [K-M P Value]</f>
        <v>0.91037176181773694</v>
      </c>
      <c r="AN811" s="111" t="str">
        <f>IF(Audit[[#This Row],[K-M P Value]]&gt;1-'General Info'!$B$16,"Continue", "Stop")</f>
        <v>Stop</v>
      </c>
      <c r="AO811" s="110" t="b">
        <f>IF(Audit[[#This Row],[Status - Continue or stop audit]] = "Continue", TRUE, IF(AN810 = "Continue", TRUE, FALSE))</f>
        <v>0</v>
      </c>
      <c r="AP811" s="110"/>
    </row>
    <row r="812" spans="1:42" ht="15" hidden="1" customHeight="1">
      <c r="A812" s="111" t="str">
        <f>'Sampling Data'!W803</f>
        <v/>
      </c>
      <c r="B812" s="112" t="str">
        <f>'Sampling Data'!A803</f>
        <v>CLEVELAND -15-M</v>
      </c>
      <c r="C812" s="112">
        <f>'Sampling Data'!B803</f>
        <v>6</v>
      </c>
      <c r="D812" s="112">
        <f>'Sampling Data'!C803</f>
        <v>6</v>
      </c>
      <c r="E812" s="113">
        <f>'Sampling Data'!D803</f>
        <v>3</v>
      </c>
      <c r="F812" s="113">
        <f>'Sampling Data'!E803</f>
        <v>1</v>
      </c>
      <c r="G812" s="113">
        <f>'Sampling Data'!F803</f>
        <v>0</v>
      </c>
      <c r="H812" s="113">
        <f>'Sampling Data'!G803</f>
        <v>0</v>
      </c>
      <c r="I812" s="112">
        <f>'Sampling Data'!H803</f>
        <v>0</v>
      </c>
      <c r="J812" s="112">
        <f>'Sampling Data'!I803</f>
        <v>0</v>
      </c>
      <c r="K812" s="112">
        <f>'Sampling Data'!J803</f>
        <v>16</v>
      </c>
      <c r="L812" s="111">
        <f>'Sampling Data'!X803</f>
        <v>0</v>
      </c>
      <c r="M812" s="114"/>
      <c r="N812" s="114"/>
      <c r="O812" s="115"/>
      <c r="P812" s="115"/>
      <c r="Q812" s="116"/>
      <c r="R812" s="116"/>
      <c r="S812" s="111">
        <f>Audit[[#This Row],[Audit Losing Candidate]]-Audit[[#This Row],[Losing Candidate]]</f>
        <v>-6</v>
      </c>
      <c r="T812" s="111">
        <f>Audit[[#This Row],[Audit Winning Candidate]]-Audit[[#This Row],[Winning Candidate]]</f>
        <v>-6</v>
      </c>
      <c r="U812" s="111">
        <f>Audit[[#This Row],[Audit Candidate 3]]-Audit[[#This Row],[Candidate 3]]</f>
        <v>-3</v>
      </c>
      <c r="V812" s="111">
        <f>Audit[[#This Row],[Audit Candidate 4]]-Audit[[#This Row],[Candidate 4]]</f>
        <v>-1</v>
      </c>
      <c r="W812" s="111">
        <f>Audit[[#This Row],[Audit Candidate 5]]-Audit[[#This Row],[Candidate 5]]</f>
        <v>0</v>
      </c>
      <c r="X812" s="111">
        <f>Audit[[#This Row],[Audit Candidate 6]]-Audit[[#This Row],[Candidate 6]]</f>
        <v>0</v>
      </c>
      <c r="Y812" s="111">
        <f>SUMIF(Audit[[#This Row],[Difference Loser]:[Difference Candidate 6]], "&gt;0")</f>
        <v>0</v>
      </c>
      <c r="Z812" s="111">
        <f>SUM(Audit[[#This Row],[Difference Loser]:[Difference Candidate 6]])</f>
        <v>-16</v>
      </c>
      <c r="AA812" s="111">
        <f>IF(Audit[[#This Row],[Times p Drawn - With Replacement]]&gt;0, IF(Audit[[#This Row],[Canceled Differences]]&lt;0, Audit[[#This Row],[Max Differences]]+ABS(Audit[[#This Row],[Canceled Differences]]), Audit[[#This Row],[Max Differences]]), 0)</f>
        <v>0</v>
      </c>
      <c r="AB812" s="111">
        <f>'Sampling Data'!P803</f>
        <v>9.7991180793728563E-4</v>
      </c>
      <c r="AC812" s="111">
        <f>IF(
      SUM(Audit[[#This Row],[Audit Losing Candidate]:[Audit Candidate 6]])
      &lt;&gt;0,
      (Audit[[#This Row],[Winning Candidate]]-Audit[[#This Row],[Losing Candidate]]-(Audit[[#This Row],[Audit Winning Candidate]]-Audit[[#This Row],[Audit Losing Candidate]]))/(Audit[[#Totals],[Winning Candidate]]-Audit[[#Totals],[Losing Candidate]]),
      0
)</f>
        <v>0</v>
      </c>
      <c r="AD8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2" s="111">
        <f>IF(Audit[[#This Row],[Max Relative Error (ep)]] = 0, 0, Audit[[#This Row],[Max Relative Error (ep)]]/Audit[[#This Row],[Error Bound (up) - Max. possible relative overstatement]])</f>
        <v>0</v>
      </c>
      <c r="AJ8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12" s="111">
        <f t="shared" si="12"/>
        <v>1</v>
      </c>
      <c r="AL812" s="111">
        <f>PRODUCT($AK$5:AK812)</f>
        <v>8.962823818226312E-2</v>
      </c>
      <c r="AM812" s="109">
        <f>1 - [K-M P Value]</f>
        <v>0.91037176181773694</v>
      </c>
      <c r="AN812" s="111" t="str">
        <f>IF(Audit[[#This Row],[K-M P Value]]&gt;1-'General Info'!$B$16,"Continue", "Stop")</f>
        <v>Stop</v>
      </c>
      <c r="AO812" s="110" t="b">
        <f>IF(Audit[[#This Row],[Status - Continue or stop audit]] = "Continue", TRUE, IF(AN811 = "Continue", TRUE, FALSE))</f>
        <v>0</v>
      </c>
      <c r="AP812" s="110"/>
    </row>
    <row r="813" spans="1:42" ht="15" hidden="1" customHeight="1">
      <c r="A813" s="111" t="str">
        <f>'Sampling Data'!W804</f>
        <v/>
      </c>
      <c r="B813" s="112" t="str">
        <f>'Sampling Data'!A804</f>
        <v>CLEVELAND -15-M - ABS</v>
      </c>
      <c r="C813" s="112">
        <f>'Sampling Data'!B804</f>
        <v>4</v>
      </c>
      <c r="D813" s="112">
        <f>'Sampling Data'!C804</f>
        <v>6</v>
      </c>
      <c r="E813" s="113">
        <f>'Sampling Data'!D804</f>
        <v>1</v>
      </c>
      <c r="F813" s="113">
        <f>'Sampling Data'!E804</f>
        <v>2</v>
      </c>
      <c r="G813" s="113">
        <f>'Sampling Data'!F804</f>
        <v>0</v>
      </c>
      <c r="H813" s="113">
        <f>'Sampling Data'!G804</f>
        <v>2</v>
      </c>
      <c r="I813" s="112">
        <f>'Sampling Data'!H804</f>
        <v>0</v>
      </c>
      <c r="J813" s="112">
        <f>'Sampling Data'!I804</f>
        <v>1</v>
      </c>
      <c r="K813" s="112">
        <f>'Sampling Data'!J804</f>
        <v>16</v>
      </c>
      <c r="L813" s="111">
        <f>'Sampling Data'!X804</f>
        <v>0</v>
      </c>
      <c r="M813" s="114"/>
      <c r="N813" s="114"/>
      <c r="O813" s="115"/>
      <c r="P813" s="115"/>
      <c r="Q813" s="116"/>
      <c r="R813" s="116"/>
      <c r="S813" s="111">
        <f>Audit[[#This Row],[Audit Losing Candidate]]-Audit[[#This Row],[Losing Candidate]]</f>
        <v>-4</v>
      </c>
      <c r="T813" s="111">
        <f>Audit[[#This Row],[Audit Winning Candidate]]-Audit[[#This Row],[Winning Candidate]]</f>
        <v>-6</v>
      </c>
      <c r="U813" s="111">
        <f>Audit[[#This Row],[Audit Candidate 3]]-Audit[[#This Row],[Candidate 3]]</f>
        <v>-1</v>
      </c>
      <c r="V813" s="111">
        <f>Audit[[#This Row],[Audit Candidate 4]]-Audit[[#This Row],[Candidate 4]]</f>
        <v>-2</v>
      </c>
      <c r="W813" s="111">
        <f>Audit[[#This Row],[Audit Candidate 5]]-Audit[[#This Row],[Candidate 5]]</f>
        <v>0</v>
      </c>
      <c r="X813" s="111">
        <f>Audit[[#This Row],[Audit Candidate 6]]-Audit[[#This Row],[Candidate 6]]</f>
        <v>-2</v>
      </c>
      <c r="Y813" s="111">
        <f>SUMIF(Audit[[#This Row],[Difference Loser]:[Difference Candidate 6]], "&gt;0")</f>
        <v>0</v>
      </c>
      <c r="Z813" s="111">
        <f>SUM(Audit[[#This Row],[Difference Loser]:[Difference Candidate 6]])</f>
        <v>-15</v>
      </c>
      <c r="AA813" s="111">
        <f>IF(Audit[[#This Row],[Times p Drawn - With Replacement]]&gt;0, IF(Audit[[#This Row],[Canceled Differences]]&lt;0, Audit[[#This Row],[Max Differences]]+ABS(Audit[[#This Row],[Canceled Differences]]), Audit[[#This Row],[Max Differences]]), 0)</f>
        <v>0</v>
      </c>
      <c r="AB813" s="111">
        <f>'Sampling Data'!P804</f>
        <v>1.1024007839294464E-3</v>
      </c>
      <c r="AC813" s="111">
        <f>IF(
      SUM(Audit[[#This Row],[Audit Losing Candidate]:[Audit Candidate 6]])
      &lt;&gt;0,
      (Audit[[#This Row],[Winning Candidate]]-Audit[[#This Row],[Losing Candidate]]-(Audit[[#This Row],[Audit Winning Candidate]]-Audit[[#This Row],[Audit Losing Candidate]]))/(Audit[[#Totals],[Winning Candidate]]-Audit[[#Totals],[Losing Candidate]]),
      0
)</f>
        <v>0</v>
      </c>
      <c r="AD8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3" s="111">
        <f>IF(Audit[[#This Row],[Max Relative Error (ep)]] = 0, 0, Audit[[#This Row],[Max Relative Error (ep)]]/Audit[[#This Row],[Error Bound (up) - Max. possible relative overstatement]])</f>
        <v>0</v>
      </c>
      <c r="AJ8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13" s="111">
        <f t="shared" si="12"/>
        <v>1</v>
      </c>
      <c r="AL813" s="111">
        <f>PRODUCT($AK$5:AK813)</f>
        <v>8.962823818226312E-2</v>
      </c>
      <c r="AM813" s="109">
        <f>1 - [K-M P Value]</f>
        <v>0.91037176181773694</v>
      </c>
      <c r="AN813" s="111" t="str">
        <f>IF(Audit[[#This Row],[K-M P Value]]&gt;1-'General Info'!$B$16,"Continue", "Stop")</f>
        <v>Stop</v>
      </c>
      <c r="AO813" s="110" t="b">
        <f>IF(Audit[[#This Row],[Status - Continue or stop audit]] = "Continue", TRUE, IF(AN812 = "Continue", TRUE, FALSE))</f>
        <v>0</v>
      </c>
      <c r="AP813" s="110"/>
    </row>
    <row r="814" spans="1:42" ht="15" hidden="1" customHeight="1">
      <c r="A814" s="111" t="str">
        <f>'Sampling Data'!W805</f>
        <v/>
      </c>
      <c r="B814" s="112" t="str">
        <f>'Sampling Data'!A805</f>
        <v>CLEVELAND -15-N</v>
      </c>
      <c r="C814" s="112">
        <f>'Sampling Data'!B805</f>
        <v>12</v>
      </c>
      <c r="D814" s="112">
        <f>'Sampling Data'!C805</f>
        <v>12</v>
      </c>
      <c r="E814" s="113">
        <f>'Sampling Data'!D805</f>
        <v>4</v>
      </c>
      <c r="F814" s="113">
        <f>'Sampling Data'!E805</f>
        <v>5</v>
      </c>
      <c r="G814" s="113">
        <f>'Sampling Data'!F805</f>
        <v>0</v>
      </c>
      <c r="H814" s="113">
        <f>'Sampling Data'!G805</f>
        <v>0</v>
      </c>
      <c r="I814" s="112">
        <f>'Sampling Data'!H805</f>
        <v>0</v>
      </c>
      <c r="J814" s="112">
        <f>'Sampling Data'!I805</f>
        <v>0</v>
      </c>
      <c r="K814" s="112">
        <f>'Sampling Data'!J805</f>
        <v>33</v>
      </c>
      <c r="L814" s="111">
        <f>'Sampling Data'!X805</f>
        <v>0</v>
      </c>
      <c r="M814" s="114"/>
      <c r="N814" s="114"/>
      <c r="O814" s="115"/>
      <c r="P814" s="115"/>
      <c r="Q814" s="116"/>
      <c r="R814" s="116"/>
      <c r="S814" s="111">
        <f>Audit[[#This Row],[Audit Losing Candidate]]-Audit[[#This Row],[Losing Candidate]]</f>
        <v>-12</v>
      </c>
      <c r="T814" s="111">
        <f>Audit[[#This Row],[Audit Winning Candidate]]-Audit[[#This Row],[Winning Candidate]]</f>
        <v>-12</v>
      </c>
      <c r="U814" s="111">
        <f>Audit[[#This Row],[Audit Candidate 3]]-Audit[[#This Row],[Candidate 3]]</f>
        <v>-4</v>
      </c>
      <c r="V814" s="111">
        <f>Audit[[#This Row],[Audit Candidate 4]]-Audit[[#This Row],[Candidate 4]]</f>
        <v>-5</v>
      </c>
      <c r="W814" s="111">
        <f>Audit[[#This Row],[Audit Candidate 5]]-Audit[[#This Row],[Candidate 5]]</f>
        <v>0</v>
      </c>
      <c r="X814" s="111">
        <f>Audit[[#This Row],[Audit Candidate 6]]-Audit[[#This Row],[Candidate 6]]</f>
        <v>0</v>
      </c>
      <c r="Y814" s="111">
        <f>SUMIF(Audit[[#This Row],[Difference Loser]:[Difference Candidate 6]], "&gt;0")</f>
        <v>0</v>
      </c>
      <c r="Z814" s="111">
        <f>SUM(Audit[[#This Row],[Difference Loser]:[Difference Candidate 6]])</f>
        <v>-33</v>
      </c>
      <c r="AA814" s="111">
        <f>IF(Audit[[#This Row],[Times p Drawn - With Replacement]]&gt;0, IF(Audit[[#This Row],[Canceled Differences]]&lt;0, Audit[[#This Row],[Max Differences]]+ABS(Audit[[#This Row],[Canceled Differences]]), Audit[[#This Row],[Max Differences]]), 0)</f>
        <v>0</v>
      </c>
      <c r="AB814" s="111">
        <f>'Sampling Data'!P805</f>
        <v>2.0210681038706517E-3</v>
      </c>
      <c r="AC814" s="111">
        <f>IF(
      SUM(Audit[[#This Row],[Audit Losing Candidate]:[Audit Candidate 6]])
      &lt;&gt;0,
      (Audit[[#This Row],[Winning Candidate]]-Audit[[#This Row],[Losing Candidate]]-(Audit[[#This Row],[Audit Winning Candidate]]-Audit[[#This Row],[Audit Losing Candidate]]))/(Audit[[#Totals],[Winning Candidate]]-Audit[[#Totals],[Losing Candidate]]),
      0
)</f>
        <v>0</v>
      </c>
      <c r="AD8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4" s="111">
        <f>IF(Audit[[#This Row],[Max Relative Error (ep)]] = 0, 0, Audit[[#This Row],[Max Relative Error (ep)]]/Audit[[#This Row],[Error Bound (up) - Max. possible relative overstatement]])</f>
        <v>0</v>
      </c>
      <c r="AJ8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14" s="111">
        <f t="shared" si="12"/>
        <v>1</v>
      </c>
      <c r="AL814" s="111">
        <f>PRODUCT($AK$5:AK814)</f>
        <v>8.962823818226312E-2</v>
      </c>
      <c r="AM814" s="109">
        <f>1 - [K-M P Value]</f>
        <v>0.91037176181773694</v>
      </c>
      <c r="AN814" s="111" t="str">
        <f>IF(Audit[[#This Row],[K-M P Value]]&gt;1-'General Info'!$B$16,"Continue", "Stop")</f>
        <v>Stop</v>
      </c>
      <c r="AO814" s="110" t="b">
        <f>IF(Audit[[#This Row],[Status - Continue or stop audit]] = "Continue", TRUE, IF(AN813 = "Continue", TRUE, FALSE))</f>
        <v>0</v>
      </c>
      <c r="AP814" s="110"/>
    </row>
    <row r="815" spans="1:42" ht="15" hidden="1" customHeight="1">
      <c r="A815" s="111" t="str">
        <f>'Sampling Data'!W806</f>
        <v/>
      </c>
      <c r="B815" s="112" t="str">
        <f>'Sampling Data'!A806</f>
        <v>CLEVELAND -15-N - ABS</v>
      </c>
      <c r="C815" s="112">
        <f>'Sampling Data'!B806</f>
        <v>4</v>
      </c>
      <c r="D815" s="112">
        <f>'Sampling Data'!C806</f>
        <v>4</v>
      </c>
      <c r="E815" s="113">
        <f>'Sampling Data'!D806</f>
        <v>0</v>
      </c>
      <c r="F815" s="113">
        <f>'Sampling Data'!E806</f>
        <v>0</v>
      </c>
      <c r="G815" s="113">
        <f>'Sampling Data'!F806</f>
        <v>0</v>
      </c>
      <c r="H815" s="113">
        <f>'Sampling Data'!G806</f>
        <v>1</v>
      </c>
      <c r="I815" s="112">
        <f>'Sampling Data'!H806</f>
        <v>0</v>
      </c>
      <c r="J815" s="112">
        <f>'Sampling Data'!I806</f>
        <v>0</v>
      </c>
      <c r="K815" s="112">
        <f>'Sampling Data'!J806</f>
        <v>9</v>
      </c>
      <c r="L815" s="111">
        <f>'Sampling Data'!X806</f>
        <v>0</v>
      </c>
      <c r="M815" s="114"/>
      <c r="N815" s="114"/>
      <c r="O815" s="115"/>
      <c r="P815" s="115"/>
      <c r="Q815" s="116"/>
      <c r="R815" s="116"/>
      <c r="S815" s="111">
        <f>Audit[[#This Row],[Audit Losing Candidate]]-Audit[[#This Row],[Losing Candidate]]</f>
        <v>-4</v>
      </c>
      <c r="T815" s="111">
        <f>Audit[[#This Row],[Audit Winning Candidate]]-Audit[[#This Row],[Winning Candidate]]</f>
        <v>-4</v>
      </c>
      <c r="U815" s="111">
        <f>Audit[[#This Row],[Audit Candidate 3]]-Audit[[#This Row],[Candidate 3]]</f>
        <v>0</v>
      </c>
      <c r="V815" s="111">
        <f>Audit[[#This Row],[Audit Candidate 4]]-Audit[[#This Row],[Candidate 4]]</f>
        <v>0</v>
      </c>
      <c r="W815" s="111">
        <f>Audit[[#This Row],[Audit Candidate 5]]-Audit[[#This Row],[Candidate 5]]</f>
        <v>0</v>
      </c>
      <c r="X815" s="111">
        <f>Audit[[#This Row],[Audit Candidate 6]]-Audit[[#This Row],[Candidate 6]]</f>
        <v>-1</v>
      </c>
      <c r="Y815" s="111">
        <f>SUMIF(Audit[[#This Row],[Difference Loser]:[Difference Candidate 6]], "&gt;0")</f>
        <v>0</v>
      </c>
      <c r="Z815" s="111">
        <f>SUM(Audit[[#This Row],[Difference Loser]:[Difference Candidate 6]])</f>
        <v>-9</v>
      </c>
      <c r="AA815" s="111">
        <f>IF(Audit[[#This Row],[Times p Drawn - With Replacement]]&gt;0, IF(Audit[[#This Row],[Canceled Differences]]&lt;0, Audit[[#This Row],[Max Differences]]+ABS(Audit[[#This Row],[Canceled Differences]]), Audit[[#This Row],[Max Differences]]), 0)</f>
        <v>0</v>
      </c>
      <c r="AB815" s="111">
        <f>'Sampling Data'!P806</f>
        <v>5.5120039196472322E-4</v>
      </c>
      <c r="AC815" s="111">
        <f>IF(
      SUM(Audit[[#This Row],[Audit Losing Candidate]:[Audit Candidate 6]])
      &lt;&gt;0,
      (Audit[[#This Row],[Winning Candidate]]-Audit[[#This Row],[Losing Candidate]]-(Audit[[#This Row],[Audit Winning Candidate]]-Audit[[#This Row],[Audit Losing Candidate]]))/(Audit[[#Totals],[Winning Candidate]]-Audit[[#Totals],[Losing Candidate]]),
      0
)</f>
        <v>0</v>
      </c>
      <c r="AD8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5" s="111">
        <f>IF(Audit[[#This Row],[Max Relative Error (ep)]] = 0, 0, Audit[[#This Row],[Max Relative Error (ep)]]/Audit[[#This Row],[Error Bound (up) - Max. possible relative overstatement]])</f>
        <v>0</v>
      </c>
      <c r="AJ8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15" s="111">
        <f t="shared" si="12"/>
        <v>1</v>
      </c>
      <c r="AL815" s="111">
        <f>PRODUCT($AK$5:AK815)</f>
        <v>8.962823818226312E-2</v>
      </c>
      <c r="AM815" s="109">
        <f>1 - [K-M P Value]</f>
        <v>0.91037176181773694</v>
      </c>
      <c r="AN815" s="111" t="str">
        <f>IF(Audit[[#This Row],[K-M P Value]]&gt;1-'General Info'!$B$16,"Continue", "Stop")</f>
        <v>Stop</v>
      </c>
      <c r="AO815" s="110" t="b">
        <f>IF(Audit[[#This Row],[Status - Continue or stop audit]] = "Continue", TRUE, IF(AN814 = "Continue", TRUE, FALSE))</f>
        <v>0</v>
      </c>
      <c r="AP815" s="110"/>
    </row>
    <row r="816" spans="1:42" ht="15" hidden="1" customHeight="1">
      <c r="A816" s="111" t="str">
        <f>'Sampling Data'!W807</f>
        <v/>
      </c>
      <c r="B816" s="112" t="str">
        <f>'Sampling Data'!A807</f>
        <v>CLEVELAND -15-O</v>
      </c>
      <c r="C816" s="112">
        <f>'Sampling Data'!B807</f>
        <v>5</v>
      </c>
      <c r="D816" s="112">
        <f>'Sampling Data'!C807</f>
        <v>5</v>
      </c>
      <c r="E816" s="113">
        <f>'Sampling Data'!D807</f>
        <v>0</v>
      </c>
      <c r="F816" s="113">
        <f>'Sampling Data'!E807</f>
        <v>1</v>
      </c>
      <c r="G816" s="113">
        <f>'Sampling Data'!F807</f>
        <v>1</v>
      </c>
      <c r="H816" s="113">
        <f>'Sampling Data'!G807</f>
        <v>0</v>
      </c>
      <c r="I816" s="112">
        <f>'Sampling Data'!H807</f>
        <v>0</v>
      </c>
      <c r="J816" s="112">
        <f>'Sampling Data'!I807</f>
        <v>0</v>
      </c>
      <c r="K816" s="112">
        <f>'Sampling Data'!J807</f>
        <v>12</v>
      </c>
      <c r="L816" s="111">
        <f>'Sampling Data'!X807</f>
        <v>0</v>
      </c>
      <c r="M816" s="114"/>
      <c r="N816" s="114"/>
      <c r="O816" s="115"/>
      <c r="P816" s="115"/>
      <c r="Q816" s="116"/>
      <c r="R816" s="116"/>
      <c r="S816" s="111">
        <f>Audit[[#This Row],[Audit Losing Candidate]]-Audit[[#This Row],[Losing Candidate]]</f>
        <v>-5</v>
      </c>
      <c r="T816" s="111">
        <f>Audit[[#This Row],[Audit Winning Candidate]]-Audit[[#This Row],[Winning Candidate]]</f>
        <v>-5</v>
      </c>
      <c r="U816" s="111">
        <f>Audit[[#This Row],[Audit Candidate 3]]-Audit[[#This Row],[Candidate 3]]</f>
        <v>0</v>
      </c>
      <c r="V816" s="111">
        <f>Audit[[#This Row],[Audit Candidate 4]]-Audit[[#This Row],[Candidate 4]]</f>
        <v>-1</v>
      </c>
      <c r="W816" s="111">
        <f>Audit[[#This Row],[Audit Candidate 5]]-Audit[[#This Row],[Candidate 5]]</f>
        <v>-1</v>
      </c>
      <c r="X816" s="111">
        <f>Audit[[#This Row],[Audit Candidate 6]]-Audit[[#This Row],[Candidate 6]]</f>
        <v>0</v>
      </c>
      <c r="Y816" s="111">
        <f>SUMIF(Audit[[#This Row],[Difference Loser]:[Difference Candidate 6]], "&gt;0")</f>
        <v>0</v>
      </c>
      <c r="Z816" s="111">
        <f>SUM(Audit[[#This Row],[Difference Loser]:[Difference Candidate 6]])</f>
        <v>-12</v>
      </c>
      <c r="AA816" s="111">
        <f>IF(Audit[[#This Row],[Times p Drawn - With Replacement]]&gt;0, IF(Audit[[#This Row],[Canceled Differences]]&lt;0, Audit[[#This Row],[Max Differences]]+ABS(Audit[[#This Row],[Canceled Differences]]), Audit[[#This Row],[Max Differences]]), 0)</f>
        <v>0</v>
      </c>
      <c r="AB816" s="111">
        <f>'Sampling Data'!P807</f>
        <v>7.3493385595296422E-4</v>
      </c>
      <c r="AC816" s="111">
        <f>IF(
      SUM(Audit[[#This Row],[Audit Losing Candidate]:[Audit Candidate 6]])
      &lt;&gt;0,
      (Audit[[#This Row],[Winning Candidate]]-Audit[[#This Row],[Losing Candidate]]-(Audit[[#This Row],[Audit Winning Candidate]]-Audit[[#This Row],[Audit Losing Candidate]]))/(Audit[[#Totals],[Winning Candidate]]-Audit[[#Totals],[Losing Candidate]]),
      0
)</f>
        <v>0</v>
      </c>
      <c r="AD8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6" s="111">
        <f>IF(Audit[[#This Row],[Max Relative Error (ep)]] = 0, 0, Audit[[#This Row],[Max Relative Error (ep)]]/Audit[[#This Row],[Error Bound (up) - Max. possible relative overstatement]])</f>
        <v>0</v>
      </c>
      <c r="AJ8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16" s="111">
        <f t="shared" si="12"/>
        <v>1</v>
      </c>
      <c r="AL816" s="111">
        <f>PRODUCT($AK$5:AK816)</f>
        <v>8.962823818226312E-2</v>
      </c>
      <c r="AM816" s="109">
        <f>1 - [K-M P Value]</f>
        <v>0.91037176181773694</v>
      </c>
      <c r="AN816" s="111" t="str">
        <f>IF(Audit[[#This Row],[K-M P Value]]&gt;1-'General Info'!$B$16,"Continue", "Stop")</f>
        <v>Stop</v>
      </c>
      <c r="AO816" s="110" t="b">
        <f>IF(Audit[[#This Row],[Status - Continue or stop audit]] = "Continue", TRUE, IF(AN815 = "Continue", TRUE, FALSE))</f>
        <v>0</v>
      </c>
      <c r="AP816" s="110"/>
    </row>
    <row r="817" spans="1:42" ht="15" hidden="1" customHeight="1">
      <c r="A817" s="111" t="str">
        <f>'Sampling Data'!W808</f>
        <v/>
      </c>
      <c r="B817" s="112" t="str">
        <f>'Sampling Data'!A808</f>
        <v>CLEVELAND -15-O - ABS</v>
      </c>
      <c r="C817" s="112">
        <f>'Sampling Data'!B808</f>
        <v>3</v>
      </c>
      <c r="D817" s="112">
        <f>'Sampling Data'!C808</f>
        <v>2</v>
      </c>
      <c r="E817" s="113">
        <f>'Sampling Data'!D808</f>
        <v>0</v>
      </c>
      <c r="F817" s="113">
        <f>'Sampling Data'!E808</f>
        <v>0</v>
      </c>
      <c r="G817" s="113">
        <f>'Sampling Data'!F808</f>
        <v>0</v>
      </c>
      <c r="H817" s="113">
        <f>'Sampling Data'!G808</f>
        <v>0</v>
      </c>
      <c r="I817" s="112">
        <f>'Sampling Data'!H808</f>
        <v>0</v>
      </c>
      <c r="J817" s="112">
        <f>'Sampling Data'!I808</f>
        <v>0</v>
      </c>
      <c r="K817" s="112">
        <f>'Sampling Data'!J808</f>
        <v>5</v>
      </c>
      <c r="L817" s="111">
        <f>'Sampling Data'!X808</f>
        <v>0</v>
      </c>
      <c r="M817" s="114"/>
      <c r="N817" s="114"/>
      <c r="O817" s="115"/>
      <c r="P817" s="115"/>
      <c r="Q817" s="116"/>
      <c r="R817" s="116"/>
      <c r="S817" s="111">
        <f>Audit[[#This Row],[Audit Losing Candidate]]-Audit[[#This Row],[Losing Candidate]]</f>
        <v>-3</v>
      </c>
      <c r="T817" s="111">
        <f>Audit[[#This Row],[Audit Winning Candidate]]-Audit[[#This Row],[Winning Candidate]]</f>
        <v>-2</v>
      </c>
      <c r="U817" s="111">
        <f>Audit[[#This Row],[Audit Candidate 3]]-Audit[[#This Row],[Candidate 3]]</f>
        <v>0</v>
      </c>
      <c r="V817" s="111">
        <f>Audit[[#This Row],[Audit Candidate 4]]-Audit[[#This Row],[Candidate 4]]</f>
        <v>0</v>
      </c>
      <c r="W817" s="111">
        <f>Audit[[#This Row],[Audit Candidate 5]]-Audit[[#This Row],[Candidate 5]]</f>
        <v>0</v>
      </c>
      <c r="X817" s="111">
        <f>Audit[[#This Row],[Audit Candidate 6]]-Audit[[#This Row],[Candidate 6]]</f>
        <v>0</v>
      </c>
      <c r="Y817" s="111">
        <f>SUMIF(Audit[[#This Row],[Difference Loser]:[Difference Candidate 6]], "&gt;0")</f>
        <v>0</v>
      </c>
      <c r="Z817" s="111">
        <f>SUM(Audit[[#This Row],[Difference Loser]:[Difference Candidate 6]])</f>
        <v>-5</v>
      </c>
      <c r="AA817" s="111">
        <f>IF(Audit[[#This Row],[Times p Drawn - With Replacement]]&gt;0, IF(Audit[[#This Row],[Canceled Differences]]&lt;0, Audit[[#This Row],[Max Differences]]+ABS(Audit[[#This Row],[Canceled Differences]]), Audit[[#This Row],[Max Differences]]), 0)</f>
        <v>0</v>
      </c>
      <c r="AB817" s="111">
        <f>'Sampling Data'!P808</f>
        <v>2.4497795198432141E-4</v>
      </c>
      <c r="AC817" s="111">
        <f>IF(
      SUM(Audit[[#This Row],[Audit Losing Candidate]:[Audit Candidate 6]])
      &lt;&gt;0,
      (Audit[[#This Row],[Winning Candidate]]-Audit[[#This Row],[Losing Candidate]]-(Audit[[#This Row],[Audit Winning Candidate]]-Audit[[#This Row],[Audit Losing Candidate]]))/(Audit[[#Totals],[Winning Candidate]]-Audit[[#Totals],[Losing Candidate]]),
      0
)</f>
        <v>0</v>
      </c>
      <c r="AD8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7" s="111">
        <f>IF(Audit[[#This Row],[Max Relative Error (ep)]] = 0, 0, Audit[[#This Row],[Max Relative Error (ep)]]/Audit[[#This Row],[Error Bound (up) - Max. possible relative overstatement]])</f>
        <v>0</v>
      </c>
      <c r="AJ8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17" s="111">
        <f t="shared" si="12"/>
        <v>1</v>
      </c>
      <c r="AL817" s="111">
        <f>PRODUCT($AK$5:AK817)</f>
        <v>8.962823818226312E-2</v>
      </c>
      <c r="AM817" s="109">
        <f>1 - [K-M P Value]</f>
        <v>0.91037176181773694</v>
      </c>
      <c r="AN817" s="111" t="str">
        <f>IF(Audit[[#This Row],[K-M P Value]]&gt;1-'General Info'!$B$16,"Continue", "Stop")</f>
        <v>Stop</v>
      </c>
      <c r="AO817" s="110" t="b">
        <f>IF(Audit[[#This Row],[Status - Continue or stop audit]] = "Continue", TRUE, IF(AN816 = "Continue", TRUE, FALSE))</f>
        <v>0</v>
      </c>
      <c r="AP817" s="110"/>
    </row>
    <row r="818" spans="1:42" ht="15" hidden="1" customHeight="1">
      <c r="A818" s="111" t="str">
        <f>'Sampling Data'!W809</f>
        <v/>
      </c>
      <c r="B818" s="112" t="str">
        <f>'Sampling Data'!A809</f>
        <v>CLEVELAND -15-P</v>
      </c>
      <c r="C818" s="112">
        <f>'Sampling Data'!B809</f>
        <v>6</v>
      </c>
      <c r="D818" s="112">
        <f>'Sampling Data'!C809</f>
        <v>10</v>
      </c>
      <c r="E818" s="113">
        <f>'Sampling Data'!D809</f>
        <v>1</v>
      </c>
      <c r="F818" s="113">
        <f>'Sampling Data'!E809</f>
        <v>5</v>
      </c>
      <c r="G818" s="113">
        <f>'Sampling Data'!F809</f>
        <v>0</v>
      </c>
      <c r="H818" s="113">
        <f>'Sampling Data'!G809</f>
        <v>0</v>
      </c>
      <c r="I818" s="112">
        <f>'Sampling Data'!H809</f>
        <v>0</v>
      </c>
      <c r="J818" s="112">
        <f>'Sampling Data'!I809</f>
        <v>0</v>
      </c>
      <c r="K818" s="112">
        <f>'Sampling Data'!J809</f>
        <v>22</v>
      </c>
      <c r="L818" s="111">
        <f>'Sampling Data'!X809</f>
        <v>0</v>
      </c>
      <c r="M818" s="114"/>
      <c r="N818" s="114"/>
      <c r="O818" s="115"/>
      <c r="P818" s="115"/>
      <c r="Q818" s="116"/>
      <c r="R818" s="116"/>
      <c r="S818" s="111">
        <f>Audit[[#This Row],[Audit Losing Candidate]]-Audit[[#This Row],[Losing Candidate]]</f>
        <v>-6</v>
      </c>
      <c r="T818" s="111">
        <f>Audit[[#This Row],[Audit Winning Candidate]]-Audit[[#This Row],[Winning Candidate]]</f>
        <v>-10</v>
      </c>
      <c r="U818" s="111">
        <f>Audit[[#This Row],[Audit Candidate 3]]-Audit[[#This Row],[Candidate 3]]</f>
        <v>-1</v>
      </c>
      <c r="V818" s="111">
        <f>Audit[[#This Row],[Audit Candidate 4]]-Audit[[#This Row],[Candidate 4]]</f>
        <v>-5</v>
      </c>
      <c r="W818" s="111">
        <f>Audit[[#This Row],[Audit Candidate 5]]-Audit[[#This Row],[Candidate 5]]</f>
        <v>0</v>
      </c>
      <c r="X818" s="111">
        <f>Audit[[#This Row],[Audit Candidate 6]]-Audit[[#This Row],[Candidate 6]]</f>
        <v>0</v>
      </c>
      <c r="Y818" s="111">
        <f>SUMIF(Audit[[#This Row],[Difference Loser]:[Difference Candidate 6]], "&gt;0")</f>
        <v>0</v>
      </c>
      <c r="Z818" s="111">
        <f>SUM(Audit[[#This Row],[Difference Loser]:[Difference Candidate 6]])</f>
        <v>-22</v>
      </c>
      <c r="AA818" s="111">
        <f>IF(Audit[[#This Row],[Times p Drawn - With Replacement]]&gt;0, IF(Audit[[#This Row],[Canceled Differences]]&lt;0, Audit[[#This Row],[Max Differences]]+ABS(Audit[[#This Row],[Canceled Differences]]), Audit[[#This Row],[Max Differences]]), 0)</f>
        <v>0</v>
      </c>
      <c r="AB818" s="111">
        <f>'Sampling Data'!P809</f>
        <v>1.5923566878980893E-3</v>
      </c>
      <c r="AC818" s="111">
        <f>IF(
      SUM(Audit[[#This Row],[Audit Losing Candidate]:[Audit Candidate 6]])
      &lt;&gt;0,
      (Audit[[#This Row],[Winning Candidate]]-Audit[[#This Row],[Losing Candidate]]-(Audit[[#This Row],[Audit Winning Candidate]]-Audit[[#This Row],[Audit Losing Candidate]]))/(Audit[[#Totals],[Winning Candidate]]-Audit[[#Totals],[Losing Candidate]]),
      0
)</f>
        <v>0</v>
      </c>
      <c r="AD8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8" s="111">
        <f>IF(Audit[[#This Row],[Max Relative Error (ep)]] = 0, 0, Audit[[#This Row],[Max Relative Error (ep)]]/Audit[[#This Row],[Error Bound (up) - Max. possible relative overstatement]])</f>
        <v>0</v>
      </c>
      <c r="AJ8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18" s="111">
        <f t="shared" si="12"/>
        <v>1</v>
      </c>
      <c r="AL818" s="111">
        <f>PRODUCT($AK$5:AK818)</f>
        <v>8.962823818226312E-2</v>
      </c>
      <c r="AM818" s="109">
        <f>1 - [K-M P Value]</f>
        <v>0.91037176181773694</v>
      </c>
      <c r="AN818" s="111" t="str">
        <f>IF(Audit[[#This Row],[K-M P Value]]&gt;1-'General Info'!$B$16,"Continue", "Stop")</f>
        <v>Stop</v>
      </c>
      <c r="AO818" s="110" t="b">
        <f>IF(Audit[[#This Row],[Status - Continue or stop audit]] = "Continue", TRUE, IF(AN817 = "Continue", TRUE, FALSE))</f>
        <v>0</v>
      </c>
      <c r="AP818" s="110"/>
    </row>
    <row r="819" spans="1:42" ht="15" hidden="1" customHeight="1">
      <c r="A819" s="111" t="str">
        <f>'Sampling Data'!W810</f>
        <v/>
      </c>
      <c r="B819" s="112" t="str">
        <f>'Sampling Data'!A810</f>
        <v>CLEVELAND -15-P - ABS</v>
      </c>
      <c r="C819" s="112">
        <f>'Sampling Data'!B810</f>
        <v>0</v>
      </c>
      <c r="D819" s="112">
        <f>'Sampling Data'!C810</f>
        <v>2</v>
      </c>
      <c r="E819" s="113">
        <f>'Sampling Data'!D810</f>
        <v>0</v>
      </c>
      <c r="F819" s="113">
        <f>'Sampling Data'!E810</f>
        <v>0</v>
      </c>
      <c r="G819" s="113">
        <f>'Sampling Data'!F810</f>
        <v>0</v>
      </c>
      <c r="H819" s="113">
        <f>'Sampling Data'!G810</f>
        <v>0</v>
      </c>
      <c r="I819" s="112">
        <f>'Sampling Data'!H810</f>
        <v>0</v>
      </c>
      <c r="J819" s="112">
        <f>'Sampling Data'!I810</f>
        <v>0</v>
      </c>
      <c r="K819" s="112">
        <f>'Sampling Data'!J810</f>
        <v>2</v>
      </c>
      <c r="L819" s="111">
        <f>'Sampling Data'!X810</f>
        <v>0</v>
      </c>
      <c r="M819" s="114"/>
      <c r="N819" s="114"/>
      <c r="O819" s="115"/>
      <c r="P819" s="115"/>
      <c r="Q819" s="116"/>
      <c r="R819" s="116"/>
      <c r="S819" s="111">
        <f>Audit[[#This Row],[Audit Losing Candidate]]-Audit[[#This Row],[Losing Candidate]]</f>
        <v>0</v>
      </c>
      <c r="T819" s="111">
        <f>Audit[[#This Row],[Audit Winning Candidate]]-Audit[[#This Row],[Winning Candidate]]</f>
        <v>-2</v>
      </c>
      <c r="U819" s="111">
        <f>Audit[[#This Row],[Audit Candidate 3]]-Audit[[#This Row],[Candidate 3]]</f>
        <v>0</v>
      </c>
      <c r="V819" s="111">
        <f>Audit[[#This Row],[Audit Candidate 4]]-Audit[[#This Row],[Candidate 4]]</f>
        <v>0</v>
      </c>
      <c r="W819" s="111">
        <f>Audit[[#This Row],[Audit Candidate 5]]-Audit[[#This Row],[Candidate 5]]</f>
        <v>0</v>
      </c>
      <c r="X819" s="111">
        <f>Audit[[#This Row],[Audit Candidate 6]]-Audit[[#This Row],[Candidate 6]]</f>
        <v>0</v>
      </c>
      <c r="Y819" s="111">
        <f>SUMIF(Audit[[#This Row],[Difference Loser]:[Difference Candidate 6]], "&gt;0")</f>
        <v>0</v>
      </c>
      <c r="Z819" s="111">
        <f>SUM(Audit[[#This Row],[Difference Loser]:[Difference Candidate 6]])</f>
        <v>-2</v>
      </c>
      <c r="AA819" s="111">
        <f>IF(Audit[[#This Row],[Times p Drawn - With Replacement]]&gt;0, IF(Audit[[#This Row],[Canceled Differences]]&lt;0, Audit[[#This Row],[Max Differences]]+ABS(Audit[[#This Row],[Canceled Differences]]), Audit[[#This Row],[Max Differences]]), 0)</f>
        <v>0</v>
      </c>
      <c r="AB819" s="111">
        <f>'Sampling Data'!P810</f>
        <v>2.4497795198432141E-4</v>
      </c>
      <c r="AC819" s="111">
        <f>IF(
      SUM(Audit[[#This Row],[Audit Losing Candidate]:[Audit Candidate 6]])
      &lt;&gt;0,
      (Audit[[#This Row],[Winning Candidate]]-Audit[[#This Row],[Losing Candidate]]-(Audit[[#This Row],[Audit Winning Candidate]]-Audit[[#This Row],[Audit Losing Candidate]]))/(Audit[[#Totals],[Winning Candidate]]-Audit[[#Totals],[Losing Candidate]]),
      0
)</f>
        <v>0</v>
      </c>
      <c r="AD8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9" s="111">
        <f>IF(Audit[[#This Row],[Max Relative Error (ep)]] = 0, 0, Audit[[#This Row],[Max Relative Error (ep)]]/Audit[[#This Row],[Error Bound (up) - Max. possible relative overstatement]])</f>
        <v>0</v>
      </c>
      <c r="AJ8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19" s="111">
        <f t="shared" si="12"/>
        <v>1</v>
      </c>
      <c r="AL819" s="111">
        <f>PRODUCT($AK$5:AK819)</f>
        <v>8.962823818226312E-2</v>
      </c>
      <c r="AM819" s="109">
        <f>1 - [K-M P Value]</f>
        <v>0.91037176181773694</v>
      </c>
      <c r="AN819" s="111" t="str">
        <f>IF(Audit[[#This Row],[K-M P Value]]&gt;1-'General Info'!$B$16,"Continue", "Stop")</f>
        <v>Stop</v>
      </c>
      <c r="AO819" s="110" t="b">
        <f>IF(Audit[[#This Row],[Status - Continue or stop audit]] = "Continue", TRUE, IF(AN818 = "Continue", TRUE, FALSE))</f>
        <v>0</v>
      </c>
      <c r="AP819" s="110"/>
    </row>
    <row r="820" spans="1:42" ht="15" hidden="1" customHeight="1">
      <c r="A820" s="111" t="str">
        <f>'Sampling Data'!W811</f>
        <v/>
      </c>
      <c r="B820" s="112" t="str">
        <f>'Sampling Data'!A811</f>
        <v>CLEVELAND -15-Q</v>
      </c>
      <c r="C820" s="112">
        <f>'Sampling Data'!B811</f>
        <v>6</v>
      </c>
      <c r="D820" s="112">
        <f>'Sampling Data'!C811</f>
        <v>6</v>
      </c>
      <c r="E820" s="113">
        <f>'Sampling Data'!D811</f>
        <v>2</v>
      </c>
      <c r="F820" s="113">
        <f>'Sampling Data'!E811</f>
        <v>5</v>
      </c>
      <c r="G820" s="113">
        <f>'Sampling Data'!F811</f>
        <v>0</v>
      </c>
      <c r="H820" s="113">
        <f>'Sampling Data'!G811</f>
        <v>0</v>
      </c>
      <c r="I820" s="112">
        <f>'Sampling Data'!H811</f>
        <v>0</v>
      </c>
      <c r="J820" s="112">
        <f>'Sampling Data'!I811</f>
        <v>0</v>
      </c>
      <c r="K820" s="112">
        <f>'Sampling Data'!J811</f>
        <v>19</v>
      </c>
      <c r="L820" s="111">
        <f>'Sampling Data'!X811</f>
        <v>0</v>
      </c>
      <c r="M820" s="114"/>
      <c r="N820" s="114"/>
      <c r="O820" s="115"/>
      <c r="P820" s="115"/>
      <c r="Q820" s="116"/>
      <c r="R820" s="116"/>
      <c r="S820" s="111">
        <f>Audit[[#This Row],[Audit Losing Candidate]]-Audit[[#This Row],[Losing Candidate]]</f>
        <v>-6</v>
      </c>
      <c r="T820" s="111">
        <f>Audit[[#This Row],[Audit Winning Candidate]]-Audit[[#This Row],[Winning Candidate]]</f>
        <v>-6</v>
      </c>
      <c r="U820" s="111">
        <f>Audit[[#This Row],[Audit Candidate 3]]-Audit[[#This Row],[Candidate 3]]</f>
        <v>-2</v>
      </c>
      <c r="V820" s="111">
        <f>Audit[[#This Row],[Audit Candidate 4]]-Audit[[#This Row],[Candidate 4]]</f>
        <v>-5</v>
      </c>
      <c r="W820" s="111">
        <f>Audit[[#This Row],[Audit Candidate 5]]-Audit[[#This Row],[Candidate 5]]</f>
        <v>0</v>
      </c>
      <c r="X820" s="111">
        <f>Audit[[#This Row],[Audit Candidate 6]]-Audit[[#This Row],[Candidate 6]]</f>
        <v>0</v>
      </c>
      <c r="Y820" s="111">
        <f>SUMIF(Audit[[#This Row],[Difference Loser]:[Difference Candidate 6]], "&gt;0")</f>
        <v>0</v>
      </c>
      <c r="Z820" s="111">
        <f>SUM(Audit[[#This Row],[Difference Loser]:[Difference Candidate 6]])</f>
        <v>-19</v>
      </c>
      <c r="AA820" s="111">
        <f>IF(Audit[[#This Row],[Times p Drawn - With Replacement]]&gt;0, IF(Audit[[#This Row],[Canceled Differences]]&lt;0, Audit[[#This Row],[Max Differences]]+ABS(Audit[[#This Row],[Canceled Differences]]), Audit[[#This Row],[Max Differences]]), 0)</f>
        <v>0</v>
      </c>
      <c r="AB820" s="111">
        <f>'Sampling Data'!P811</f>
        <v>1.1636452719255266E-3</v>
      </c>
      <c r="AC820" s="111">
        <f>IF(
      SUM(Audit[[#This Row],[Audit Losing Candidate]:[Audit Candidate 6]])
      &lt;&gt;0,
      (Audit[[#This Row],[Winning Candidate]]-Audit[[#This Row],[Losing Candidate]]-(Audit[[#This Row],[Audit Winning Candidate]]-Audit[[#This Row],[Audit Losing Candidate]]))/(Audit[[#Totals],[Winning Candidate]]-Audit[[#Totals],[Losing Candidate]]),
      0
)</f>
        <v>0</v>
      </c>
      <c r="AD8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0" s="111">
        <f>IF(Audit[[#This Row],[Max Relative Error (ep)]] = 0, 0, Audit[[#This Row],[Max Relative Error (ep)]]/Audit[[#This Row],[Error Bound (up) - Max. possible relative overstatement]])</f>
        <v>0</v>
      </c>
      <c r="AJ8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20" s="111">
        <f t="shared" si="12"/>
        <v>1</v>
      </c>
      <c r="AL820" s="111">
        <f>PRODUCT($AK$5:AK820)</f>
        <v>8.962823818226312E-2</v>
      </c>
      <c r="AM820" s="109">
        <f>1 - [K-M P Value]</f>
        <v>0.91037176181773694</v>
      </c>
      <c r="AN820" s="111" t="str">
        <f>IF(Audit[[#This Row],[K-M P Value]]&gt;1-'General Info'!$B$16,"Continue", "Stop")</f>
        <v>Stop</v>
      </c>
      <c r="AO820" s="110" t="b">
        <f>IF(Audit[[#This Row],[Status - Continue or stop audit]] = "Continue", TRUE, IF(AN819 = "Continue", TRUE, FALSE))</f>
        <v>0</v>
      </c>
      <c r="AP820" s="110"/>
    </row>
    <row r="821" spans="1:42" ht="15" hidden="1" customHeight="1">
      <c r="A821" s="111" t="str">
        <f>'Sampling Data'!W812</f>
        <v/>
      </c>
      <c r="B821" s="112" t="str">
        <f>'Sampling Data'!A812</f>
        <v>CLEVELAND -15-Q - ABS</v>
      </c>
      <c r="C821" s="112">
        <f>'Sampling Data'!B812</f>
        <v>2</v>
      </c>
      <c r="D821" s="112">
        <f>'Sampling Data'!C812</f>
        <v>5</v>
      </c>
      <c r="E821" s="113">
        <f>'Sampling Data'!D812</f>
        <v>3</v>
      </c>
      <c r="F821" s="113">
        <f>'Sampling Data'!E812</f>
        <v>0</v>
      </c>
      <c r="G821" s="113">
        <f>'Sampling Data'!F812</f>
        <v>0</v>
      </c>
      <c r="H821" s="113">
        <f>'Sampling Data'!G812</f>
        <v>0</v>
      </c>
      <c r="I821" s="112">
        <f>'Sampling Data'!H812</f>
        <v>0</v>
      </c>
      <c r="J821" s="112">
        <f>'Sampling Data'!I812</f>
        <v>1</v>
      </c>
      <c r="K821" s="112">
        <f>'Sampling Data'!J812</f>
        <v>11</v>
      </c>
      <c r="L821" s="111">
        <f>'Sampling Data'!X812</f>
        <v>0</v>
      </c>
      <c r="M821" s="114"/>
      <c r="N821" s="114"/>
      <c r="O821" s="115"/>
      <c r="P821" s="115"/>
      <c r="Q821" s="116"/>
      <c r="R821" s="116"/>
      <c r="S821" s="111">
        <f>Audit[[#This Row],[Audit Losing Candidate]]-Audit[[#This Row],[Losing Candidate]]</f>
        <v>-2</v>
      </c>
      <c r="T821" s="111">
        <f>Audit[[#This Row],[Audit Winning Candidate]]-Audit[[#This Row],[Winning Candidate]]</f>
        <v>-5</v>
      </c>
      <c r="U821" s="111">
        <f>Audit[[#This Row],[Audit Candidate 3]]-Audit[[#This Row],[Candidate 3]]</f>
        <v>-3</v>
      </c>
      <c r="V821" s="111">
        <f>Audit[[#This Row],[Audit Candidate 4]]-Audit[[#This Row],[Candidate 4]]</f>
        <v>0</v>
      </c>
      <c r="W821" s="111">
        <f>Audit[[#This Row],[Audit Candidate 5]]-Audit[[#This Row],[Candidate 5]]</f>
        <v>0</v>
      </c>
      <c r="X821" s="111">
        <f>Audit[[#This Row],[Audit Candidate 6]]-Audit[[#This Row],[Candidate 6]]</f>
        <v>0</v>
      </c>
      <c r="Y821" s="111">
        <f>SUMIF(Audit[[#This Row],[Difference Loser]:[Difference Candidate 6]], "&gt;0")</f>
        <v>0</v>
      </c>
      <c r="Z821" s="111">
        <f>SUM(Audit[[#This Row],[Difference Loser]:[Difference Candidate 6]])</f>
        <v>-10</v>
      </c>
      <c r="AA821" s="111">
        <f>IF(Audit[[#This Row],[Times p Drawn - With Replacement]]&gt;0, IF(Audit[[#This Row],[Canceled Differences]]&lt;0, Audit[[#This Row],[Max Differences]]+ABS(Audit[[#This Row],[Canceled Differences]]), Audit[[#This Row],[Max Differences]]), 0)</f>
        <v>0</v>
      </c>
      <c r="AB821" s="111">
        <f>'Sampling Data'!P812</f>
        <v>8.5742283194512492E-4</v>
      </c>
      <c r="AC821" s="111">
        <f>IF(
      SUM(Audit[[#This Row],[Audit Losing Candidate]:[Audit Candidate 6]])
      &lt;&gt;0,
      (Audit[[#This Row],[Winning Candidate]]-Audit[[#This Row],[Losing Candidate]]-(Audit[[#This Row],[Audit Winning Candidate]]-Audit[[#This Row],[Audit Losing Candidate]]))/(Audit[[#Totals],[Winning Candidate]]-Audit[[#Totals],[Losing Candidate]]),
      0
)</f>
        <v>0</v>
      </c>
      <c r="AD8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1" s="111">
        <f>IF(Audit[[#This Row],[Max Relative Error (ep)]] = 0, 0, Audit[[#This Row],[Max Relative Error (ep)]]/Audit[[#This Row],[Error Bound (up) - Max. possible relative overstatement]])</f>
        <v>0</v>
      </c>
      <c r="AJ8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21" s="111">
        <f t="shared" si="12"/>
        <v>1</v>
      </c>
      <c r="AL821" s="111">
        <f>PRODUCT($AK$5:AK821)</f>
        <v>8.962823818226312E-2</v>
      </c>
      <c r="AM821" s="109">
        <f>1 - [K-M P Value]</f>
        <v>0.91037176181773694</v>
      </c>
      <c r="AN821" s="111" t="str">
        <f>IF(Audit[[#This Row],[K-M P Value]]&gt;1-'General Info'!$B$16,"Continue", "Stop")</f>
        <v>Stop</v>
      </c>
      <c r="AO821" s="110" t="b">
        <f>IF(Audit[[#This Row],[Status - Continue or stop audit]] = "Continue", TRUE, IF(AN820 = "Continue", TRUE, FALSE))</f>
        <v>0</v>
      </c>
      <c r="AP821" s="110"/>
    </row>
    <row r="822" spans="1:42" ht="15" hidden="1" customHeight="1">
      <c r="A822" s="111" t="str">
        <f>'Sampling Data'!W813</f>
        <v/>
      </c>
      <c r="B822" s="112" t="str">
        <f>'Sampling Data'!A813</f>
        <v>CLEVELAND -16-A</v>
      </c>
      <c r="C822" s="112">
        <f>'Sampling Data'!B813</f>
        <v>10</v>
      </c>
      <c r="D822" s="112">
        <f>'Sampling Data'!C813</f>
        <v>24</v>
      </c>
      <c r="E822" s="113">
        <f>'Sampling Data'!D813</f>
        <v>6</v>
      </c>
      <c r="F822" s="113">
        <f>'Sampling Data'!E813</f>
        <v>8</v>
      </c>
      <c r="G822" s="113">
        <f>'Sampling Data'!F813</f>
        <v>1</v>
      </c>
      <c r="H822" s="113">
        <f>'Sampling Data'!G813</f>
        <v>0</v>
      </c>
      <c r="I822" s="112">
        <f>'Sampling Data'!H813</f>
        <v>0</v>
      </c>
      <c r="J822" s="112">
        <f>'Sampling Data'!I813</f>
        <v>0</v>
      </c>
      <c r="K822" s="112">
        <f>'Sampling Data'!J813</f>
        <v>49</v>
      </c>
      <c r="L822" s="111">
        <f>'Sampling Data'!X813</f>
        <v>0</v>
      </c>
      <c r="M822" s="114"/>
      <c r="N822" s="114"/>
      <c r="O822" s="115"/>
      <c r="P822" s="115"/>
      <c r="Q822" s="116"/>
      <c r="R822" s="116"/>
      <c r="S822" s="111">
        <f>Audit[[#This Row],[Audit Losing Candidate]]-Audit[[#This Row],[Losing Candidate]]</f>
        <v>-10</v>
      </c>
      <c r="T822" s="111">
        <f>Audit[[#This Row],[Audit Winning Candidate]]-Audit[[#This Row],[Winning Candidate]]</f>
        <v>-24</v>
      </c>
      <c r="U822" s="111">
        <f>Audit[[#This Row],[Audit Candidate 3]]-Audit[[#This Row],[Candidate 3]]</f>
        <v>-6</v>
      </c>
      <c r="V822" s="111">
        <f>Audit[[#This Row],[Audit Candidate 4]]-Audit[[#This Row],[Candidate 4]]</f>
        <v>-8</v>
      </c>
      <c r="W822" s="111">
        <f>Audit[[#This Row],[Audit Candidate 5]]-Audit[[#This Row],[Candidate 5]]</f>
        <v>-1</v>
      </c>
      <c r="X822" s="111">
        <f>Audit[[#This Row],[Audit Candidate 6]]-Audit[[#This Row],[Candidate 6]]</f>
        <v>0</v>
      </c>
      <c r="Y822" s="111">
        <f>SUMIF(Audit[[#This Row],[Difference Loser]:[Difference Candidate 6]], "&gt;0")</f>
        <v>0</v>
      </c>
      <c r="Z822" s="111">
        <f>SUM(Audit[[#This Row],[Difference Loser]:[Difference Candidate 6]])</f>
        <v>-49</v>
      </c>
      <c r="AA822" s="111">
        <f>IF(Audit[[#This Row],[Times p Drawn - With Replacement]]&gt;0, IF(Audit[[#This Row],[Canceled Differences]]&lt;0, Audit[[#This Row],[Max Differences]]+ABS(Audit[[#This Row],[Canceled Differences]]), Audit[[#This Row],[Max Differences]]), 0)</f>
        <v>0</v>
      </c>
      <c r="AB822" s="111">
        <f>'Sampling Data'!P813</f>
        <v>3.8584027437530621E-3</v>
      </c>
      <c r="AC822" s="111">
        <f>IF(
      SUM(Audit[[#This Row],[Audit Losing Candidate]:[Audit Candidate 6]])
      &lt;&gt;0,
      (Audit[[#This Row],[Winning Candidate]]-Audit[[#This Row],[Losing Candidate]]-(Audit[[#This Row],[Audit Winning Candidate]]-Audit[[#This Row],[Audit Losing Candidate]]))/(Audit[[#Totals],[Winning Candidate]]-Audit[[#Totals],[Losing Candidate]]),
      0
)</f>
        <v>0</v>
      </c>
      <c r="AD8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2" s="111">
        <f>IF(Audit[[#This Row],[Max Relative Error (ep)]] = 0, 0, Audit[[#This Row],[Max Relative Error (ep)]]/Audit[[#This Row],[Error Bound (up) - Max. possible relative overstatement]])</f>
        <v>0</v>
      </c>
      <c r="AJ8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22" s="111">
        <f t="shared" si="12"/>
        <v>1</v>
      </c>
      <c r="AL822" s="111">
        <f>PRODUCT($AK$5:AK822)</f>
        <v>8.962823818226312E-2</v>
      </c>
      <c r="AM822" s="109">
        <f>1 - [K-M P Value]</f>
        <v>0.91037176181773694</v>
      </c>
      <c r="AN822" s="111" t="str">
        <f>IF(Audit[[#This Row],[K-M P Value]]&gt;1-'General Info'!$B$16,"Continue", "Stop")</f>
        <v>Stop</v>
      </c>
      <c r="AO822" s="110" t="b">
        <f>IF(Audit[[#This Row],[Status - Continue or stop audit]] = "Continue", TRUE, IF(AN821 = "Continue", TRUE, FALSE))</f>
        <v>0</v>
      </c>
      <c r="AP822" s="110"/>
    </row>
    <row r="823" spans="1:42" ht="15" hidden="1" customHeight="1">
      <c r="A823" s="111" t="str">
        <f>'Sampling Data'!W814</f>
        <v/>
      </c>
      <c r="B823" s="112" t="str">
        <f>'Sampling Data'!A814</f>
        <v>CLEVELAND -16-A - ABS</v>
      </c>
      <c r="C823" s="112">
        <f>'Sampling Data'!B814</f>
        <v>1</v>
      </c>
      <c r="D823" s="112">
        <f>'Sampling Data'!C814</f>
        <v>9</v>
      </c>
      <c r="E823" s="113">
        <f>'Sampling Data'!D814</f>
        <v>3</v>
      </c>
      <c r="F823" s="113">
        <f>'Sampling Data'!E814</f>
        <v>5</v>
      </c>
      <c r="G823" s="113">
        <f>'Sampling Data'!F814</f>
        <v>1</v>
      </c>
      <c r="H823" s="113">
        <f>'Sampling Data'!G814</f>
        <v>1</v>
      </c>
      <c r="I823" s="112">
        <f>'Sampling Data'!H814</f>
        <v>0</v>
      </c>
      <c r="J823" s="112">
        <f>'Sampling Data'!I814</f>
        <v>1</v>
      </c>
      <c r="K823" s="112">
        <f>'Sampling Data'!J814</f>
        <v>21</v>
      </c>
      <c r="L823" s="111">
        <f>'Sampling Data'!X814</f>
        <v>0</v>
      </c>
      <c r="M823" s="114"/>
      <c r="N823" s="114"/>
      <c r="O823" s="115"/>
      <c r="P823" s="115"/>
      <c r="Q823" s="116"/>
      <c r="R823" s="116"/>
      <c r="S823" s="111">
        <f>Audit[[#This Row],[Audit Losing Candidate]]-Audit[[#This Row],[Losing Candidate]]</f>
        <v>-1</v>
      </c>
      <c r="T823" s="111">
        <f>Audit[[#This Row],[Audit Winning Candidate]]-Audit[[#This Row],[Winning Candidate]]</f>
        <v>-9</v>
      </c>
      <c r="U823" s="111">
        <f>Audit[[#This Row],[Audit Candidate 3]]-Audit[[#This Row],[Candidate 3]]</f>
        <v>-3</v>
      </c>
      <c r="V823" s="111">
        <f>Audit[[#This Row],[Audit Candidate 4]]-Audit[[#This Row],[Candidate 4]]</f>
        <v>-5</v>
      </c>
      <c r="W823" s="111">
        <f>Audit[[#This Row],[Audit Candidate 5]]-Audit[[#This Row],[Candidate 5]]</f>
        <v>-1</v>
      </c>
      <c r="X823" s="111">
        <f>Audit[[#This Row],[Audit Candidate 6]]-Audit[[#This Row],[Candidate 6]]</f>
        <v>-1</v>
      </c>
      <c r="Y823" s="111">
        <f>SUMIF(Audit[[#This Row],[Difference Loser]:[Difference Candidate 6]], "&gt;0")</f>
        <v>0</v>
      </c>
      <c r="Z823" s="111">
        <f>SUM(Audit[[#This Row],[Difference Loser]:[Difference Candidate 6]])</f>
        <v>-20</v>
      </c>
      <c r="AA823" s="111">
        <f>IF(Audit[[#This Row],[Times p Drawn - With Replacement]]&gt;0, IF(Audit[[#This Row],[Canceled Differences]]&lt;0, Audit[[#This Row],[Max Differences]]+ABS(Audit[[#This Row],[Canceled Differences]]), Audit[[#This Row],[Max Differences]]), 0)</f>
        <v>0</v>
      </c>
      <c r="AB823" s="111">
        <f>'Sampling Data'!P814</f>
        <v>1.7760901518863303E-3</v>
      </c>
      <c r="AC823" s="111">
        <f>IF(
      SUM(Audit[[#This Row],[Audit Losing Candidate]:[Audit Candidate 6]])
      &lt;&gt;0,
      (Audit[[#This Row],[Winning Candidate]]-Audit[[#This Row],[Losing Candidate]]-(Audit[[#This Row],[Audit Winning Candidate]]-Audit[[#This Row],[Audit Losing Candidate]]))/(Audit[[#Totals],[Winning Candidate]]-Audit[[#Totals],[Losing Candidate]]),
      0
)</f>
        <v>0</v>
      </c>
      <c r="AD8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3" s="111">
        <f>IF(Audit[[#This Row],[Max Relative Error (ep)]] = 0, 0, Audit[[#This Row],[Max Relative Error (ep)]]/Audit[[#This Row],[Error Bound (up) - Max. possible relative overstatement]])</f>
        <v>0</v>
      </c>
      <c r="AJ8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23" s="111">
        <f t="shared" si="12"/>
        <v>1</v>
      </c>
      <c r="AL823" s="111">
        <f>PRODUCT($AK$5:AK823)</f>
        <v>8.962823818226312E-2</v>
      </c>
      <c r="AM823" s="109">
        <f>1 - [K-M P Value]</f>
        <v>0.91037176181773694</v>
      </c>
      <c r="AN823" s="111" t="str">
        <f>IF(Audit[[#This Row],[K-M P Value]]&gt;1-'General Info'!$B$16,"Continue", "Stop")</f>
        <v>Stop</v>
      </c>
      <c r="AO823" s="110" t="b">
        <f>IF(Audit[[#This Row],[Status - Continue or stop audit]] = "Continue", TRUE, IF(AN822 = "Continue", TRUE, FALSE))</f>
        <v>0</v>
      </c>
      <c r="AP823" s="110"/>
    </row>
    <row r="824" spans="1:42" ht="15" hidden="1" customHeight="1">
      <c r="A824" s="111" t="str">
        <f>'Sampling Data'!W815</f>
        <v/>
      </c>
      <c r="B824" s="112" t="str">
        <f>'Sampling Data'!A815</f>
        <v>CLEVELAND -16-B</v>
      </c>
      <c r="C824" s="112">
        <f>'Sampling Data'!B815</f>
        <v>6</v>
      </c>
      <c r="D824" s="112">
        <f>'Sampling Data'!C815</f>
        <v>30</v>
      </c>
      <c r="E824" s="113">
        <f>'Sampling Data'!D815</f>
        <v>9</v>
      </c>
      <c r="F824" s="113">
        <f>'Sampling Data'!E815</f>
        <v>8</v>
      </c>
      <c r="G824" s="113">
        <f>'Sampling Data'!F815</f>
        <v>0</v>
      </c>
      <c r="H824" s="113">
        <f>'Sampling Data'!G815</f>
        <v>0</v>
      </c>
      <c r="I824" s="112">
        <f>'Sampling Data'!H815</f>
        <v>0</v>
      </c>
      <c r="J824" s="112">
        <f>'Sampling Data'!I815</f>
        <v>0</v>
      </c>
      <c r="K824" s="112">
        <f>'Sampling Data'!J815</f>
        <v>53</v>
      </c>
      <c r="L824" s="111">
        <f>'Sampling Data'!X815</f>
        <v>0</v>
      </c>
      <c r="M824" s="114"/>
      <c r="N824" s="114"/>
      <c r="O824" s="115"/>
      <c r="P824" s="115"/>
      <c r="Q824" s="116"/>
      <c r="R824" s="116"/>
      <c r="S824" s="111">
        <f>Audit[[#This Row],[Audit Losing Candidate]]-Audit[[#This Row],[Losing Candidate]]</f>
        <v>-6</v>
      </c>
      <c r="T824" s="111">
        <f>Audit[[#This Row],[Audit Winning Candidate]]-Audit[[#This Row],[Winning Candidate]]</f>
        <v>-30</v>
      </c>
      <c r="U824" s="111">
        <f>Audit[[#This Row],[Audit Candidate 3]]-Audit[[#This Row],[Candidate 3]]</f>
        <v>-9</v>
      </c>
      <c r="V824" s="111">
        <f>Audit[[#This Row],[Audit Candidate 4]]-Audit[[#This Row],[Candidate 4]]</f>
        <v>-8</v>
      </c>
      <c r="W824" s="111">
        <f>Audit[[#This Row],[Audit Candidate 5]]-Audit[[#This Row],[Candidate 5]]</f>
        <v>0</v>
      </c>
      <c r="X824" s="111">
        <f>Audit[[#This Row],[Audit Candidate 6]]-Audit[[#This Row],[Candidate 6]]</f>
        <v>0</v>
      </c>
      <c r="Y824" s="111">
        <f>SUMIF(Audit[[#This Row],[Difference Loser]:[Difference Candidate 6]], "&gt;0")</f>
        <v>0</v>
      </c>
      <c r="Z824" s="111">
        <f>SUM(Audit[[#This Row],[Difference Loser]:[Difference Candidate 6]])</f>
        <v>-53</v>
      </c>
      <c r="AA824" s="111">
        <f>IF(Audit[[#This Row],[Times p Drawn - With Replacement]]&gt;0, IF(Audit[[#This Row],[Canceled Differences]]&lt;0, Audit[[#This Row],[Max Differences]]+ABS(Audit[[#This Row],[Canceled Differences]]), Audit[[#This Row],[Max Differences]]), 0)</f>
        <v>0</v>
      </c>
      <c r="AB824" s="111">
        <f>'Sampling Data'!P815</f>
        <v>4.7158255756981869E-3</v>
      </c>
      <c r="AC824" s="111">
        <f>IF(
      SUM(Audit[[#This Row],[Audit Losing Candidate]:[Audit Candidate 6]])
      &lt;&gt;0,
      (Audit[[#This Row],[Winning Candidate]]-Audit[[#This Row],[Losing Candidate]]-(Audit[[#This Row],[Audit Winning Candidate]]-Audit[[#This Row],[Audit Losing Candidate]]))/(Audit[[#Totals],[Winning Candidate]]-Audit[[#Totals],[Losing Candidate]]),
      0
)</f>
        <v>0</v>
      </c>
      <c r="AD8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4" s="111">
        <f>IF(Audit[[#This Row],[Max Relative Error (ep)]] = 0, 0, Audit[[#This Row],[Max Relative Error (ep)]]/Audit[[#This Row],[Error Bound (up) - Max. possible relative overstatement]])</f>
        <v>0</v>
      </c>
      <c r="AJ8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24" s="111">
        <f t="shared" si="12"/>
        <v>1</v>
      </c>
      <c r="AL824" s="111">
        <f>PRODUCT($AK$5:AK824)</f>
        <v>8.962823818226312E-2</v>
      </c>
      <c r="AM824" s="109">
        <f>1 - [K-M P Value]</f>
        <v>0.91037176181773694</v>
      </c>
      <c r="AN824" s="111" t="str">
        <f>IF(Audit[[#This Row],[K-M P Value]]&gt;1-'General Info'!$B$16,"Continue", "Stop")</f>
        <v>Stop</v>
      </c>
      <c r="AO824" s="110" t="b">
        <f>IF(Audit[[#This Row],[Status - Continue or stop audit]] = "Continue", TRUE, IF(AN823 = "Continue", TRUE, FALSE))</f>
        <v>0</v>
      </c>
      <c r="AP824" s="110"/>
    </row>
    <row r="825" spans="1:42" ht="15" hidden="1" customHeight="1">
      <c r="A825" s="111" t="str">
        <f>'Sampling Data'!W816</f>
        <v/>
      </c>
      <c r="B825" s="112" t="str">
        <f>'Sampling Data'!A816</f>
        <v>CLEVELAND -16-B - ABS</v>
      </c>
      <c r="C825" s="112">
        <f>'Sampling Data'!B816</f>
        <v>2</v>
      </c>
      <c r="D825" s="112">
        <f>'Sampling Data'!C816</f>
        <v>9</v>
      </c>
      <c r="E825" s="113">
        <f>'Sampling Data'!D816</f>
        <v>0</v>
      </c>
      <c r="F825" s="113">
        <f>'Sampling Data'!E816</f>
        <v>1</v>
      </c>
      <c r="G825" s="113">
        <f>'Sampling Data'!F816</f>
        <v>0</v>
      </c>
      <c r="H825" s="113">
        <f>'Sampling Data'!G816</f>
        <v>0</v>
      </c>
      <c r="I825" s="112">
        <f>'Sampling Data'!H816</f>
        <v>0</v>
      </c>
      <c r="J825" s="112">
        <f>'Sampling Data'!I816</f>
        <v>0</v>
      </c>
      <c r="K825" s="112">
        <f>'Sampling Data'!J816</f>
        <v>12</v>
      </c>
      <c r="L825" s="111">
        <f>'Sampling Data'!X816</f>
        <v>0</v>
      </c>
      <c r="M825" s="114"/>
      <c r="N825" s="114"/>
      <c r="O825" s="115"/>
      <c r="P825" s="115"/>
      <c r="Q825" s="116"/>
      <c r="R825" s="116"/>
      <c r="S825" s="111">
        <f>Audit[[#This Row],[Audit Losing Candidate]]-Audit[[#This Row],[Losing Candidate]]</f>
        <v>-2</v>
      </c>
      <c r="T825" s="111">
        <f>Audit[[#This Row],[Audit Winning Candidate]]-Audit[[#This Row],[Winning Candidate]]</f>
        <v>-9</v>
      </c>
      <c r="U825" s="111">
        <f>Audit[[#This Row],[Audit Candidate 3]]-Audit[[#This Row],[Candidate 3]]</f>
        <v>0</v>
      </c>
      <c r="V825" s="111">
        <f>Audit[[#This Row],[Audit Candidate 4]]-Audit[[#This Row],[Candidate 4]]</f>
        <v>-1</v>
      </c>
      <c r="W825" s="111">
        <f>Audit[[#This Row],[Audit Candidate 5]]-Audit[[#This Row],[Candidate 5]]</f>
        <v>0</v>
      </c>
      <c r="X825" s="111">
        <f>Audit[[#This Row],[Audit Candidate 6]]-Audit[[#This Row],[Candidate 6]]</f>
        <v>0</v>
      </c>
      <c r="Y825" s="111">
        <f>SUMIF(Audit[[#This Row],[Difference Loser]:[Difference Candidate 6]], "&gt;0")</f>
        <v>0</v>
      </c>
      <c r="Z825" s="111">
        <f>SUM(Audit[[#This Row],[Difference Loser]:[Difference Candidate 6]])</f>
        <v>-12</v>
      </c>
      <c r="AA825" s="111">
        <f>IF(Audit[[#This Row],[Times p Drawn - With Replacement]]&gt;0, IF(Audit[[#This Row],[Canceled Differences]]&lt;0, Audit[[#This Row],[Max Differences]]+ABS(Audit[[#This Row],[Canceled Differences]]), Audit[[#This Row],[Max Differences]]), 0)</f>
        <v>0</v>
      </c>
      <c r="AB825" s="111">
        <f>'Sampling Data'!P816</f>
        <v>1.1636452719255266E-3</v>
      </c>
      <c r="AC825" s="111">
        <f>IF(
      SUM(Audit[[#This Row],[Audit Losing Candidate]:[Audit Candidate 6]])
      &lt;&gt;0,
      (Audit[[#This Row],[Winning Candidate]]-Audit[[#This Row],[Losing Candidate]]-(Audit[[#This Row],[Audit Winning Candidate]]-Audit[[#This Row],[Audit Losing Candidate]]))/(Audit[[#Totals],[Winning Candidate]]-Audit[[#Totals],[Losing Candidate]]),
      0
)</f>
        <v>0</v>
      </c>
      <c r="AD8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5" s="111">
        <f>IF(Audit[[#This Row],[Max Relative Error (ep)]] = 0, 0, Audit[[#This Row],[Max Relative Error (ep)]]/Audit[[#This Row],[Error Bound (up) - Max. possible relative overstatement]])</f>
        <v>0</v>
      </c>
      <c r="AJ8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25" s="111">
        <f t="shared" si="12"/>
        <v>1</v>
      </c>
      <c r="AL825" s="111">
        <f>PRODUCT($AK$5:AK825)</f>
        <v>8.962823818226312E-2</v>
      </c>
      <c r="AM825" s="109">
        <f>1 - [K-M P Value]</f>
        <v>0.91037176181773694</v>
      </c>
      <c r="AN825" s="111" t="str">
        <f>IF(Audit[[#This Row],[K-M P Value]]&gt;1-'General Info'!$B$16,"Continue", "Stop")</f>
        <v>Stop</v>
      </c>
      <c r="AO825" s="110" t="b">
        <f>IF(Audit[[#This Row],[Status - Continue or stop audit]] = "Continue", TRUE, IF(AN824 = "Continue", TRUE, FALSE))</f>
        <v>0</v>
      </c>
      <c r="AP825" s="110"/>
    </row>
    <row r="826" spans="1:42" ht="15" hidden="1" customHeight="1">
      <c r="A826" s="111" t="str">
        <f>'Sampling Data'!W817</f>
        <v/>
      </c>
      <c r="B826" s="112" t="str">
        <f>'Sampling Data'!A817</f>
        <v>CLEVELAND -16-C</v>
      </c>
      <c r="C826" s="112">
        <f>'Sampling Data'!B817</f>
        <v>19</v>
      </c>
      <c r="D826" s="112">
        <f>'Sampling Data'!C817</f>
        <v>16</v>
      </c>
      <c r="E826" s="113">
        <f>'Sampling Data'!D817</f>
        <v>1</v>
      </c>
      <c r="F826" s="113">
        <f>'Sampling Data'!E817</f>
        <v>8</v>
      </c>
      <c r="G826" s="113">
        <f>'Sampling Data'!F817</f>
        <v>0</v>
      </c>
      <c r="H826" s="113">
        <f>'Sampling Data'!G817</f>
        <v>0</v>
      </c>
      <c r="I826" s="112">
        <f>'Sampling Data'!H817</f>
        <v>0</v>
      </c>
      <c r="J826" s="112">
        <f>'Sampling Data'!I817</f>
        <v>0</v>
      </c>
      <c r="K826" s="112">
        <f>'Sampling Data'!J817</f>
        <v>44</v>
      </c>
      <c r="L826" s="111">
        <f>'Sampling Data'!X817</f>
        <v>0</v>
      </c>
      <c r="M826" s="114"/>
      <c r="N826" s="114"/>
      <c r="O826" s="115"/>
      <c r="P826" s="115"/>
      <c r="Q826" s="116"/>
      <c r="R826" s="116"/>
      <c r="S826" s="111">
        <f>Audit[[#This Row],[Audit Losing Candidate]]-Audit[[#This Row],[Losing Candidate]]</f>
        <v>-19</v>
      </c>
      <c r="T826" s="111">
        <f>Audit[[#This Row],[Audit Winning Candidate]]-Audit[[#This Row],[Winning Candidate]]</f>
        <v>-16</v>
      </c>
      <c r="U826" s="111">
        <f>Audit[[#This Row],[Audit Candidate 3]]-Audit[[#This Row],[Candidate 3]]</f>
        <v>-1</v>
      </c>
      <c r="V826" s="111">
        <f>Audit[[#This Row],[Audit Candidate 4]]-Audit[[#This Row],[Candidate 4]]</f>
        <v>-8</v>
      </c>
      <c r="W826" s="111">
        <f>Audit[[#This Row],[Audit Candidate 5]]-Audit[[#This Row],[Candidate 5]]</f>
        <v>0</v>
      </c>
      <c r="X826" s="111">
        <f>Audit[[#This Row],[Audit Candidate 6]]-Audit[[#This Row],[Candidate 6]]</f>
        <v>0</v>
      </c>
      <c r="Y826" s="111">
        <f>SUMIF(Audit[[#This Row],[Difference Loser]:[Difference Candidate 6]], "&gt;0")</f>
        <v>0</v>
      </c>
      <c r="Z826" s="111">
        <f>SUM(Audit[[#This Row],[Difference Loser]:[Difference Candidate 6]])</f>
        <v>-44</v>
      </c>
      <c r="AA826" s="111">
        <f>IF(Audit[[#This Row],[Times p Drawn - With Replacement]]&gt;0, IF(Audit[[#This Row],[Canceled Differences]]&lt;0, Audit[[#This Row],[Max Differences]]+ABS(Audit[[#This Row],[Canceled Differences]]), Audit[[#This Row],[Max Differences]]), 0)</f>
        <v>0</v>
      </c>
      <c r="AB826" s="111">
        <f>'Sampling Data'!P817</f>
        <v>2.5110240078392945E-3</v>
      </c>
      <c r="AC826" s="111">
        <f>IF(
      SUM(Audit[[#This Row],[Audit Losing Candidate]:[Audit Candidate 6]])
      &lt;&gt;0,
      (Audit[[#This Row],[Winning Candidate]]-Audit[[#This Row],[Losing Candidate]]-(Audit[[#This Row],[Audit Winning Candidate]]-Audit[[#This Row],[Audit Losing Candidate]]))/(Audit[[#Totals],[Winning Candidate]]-Audit[[#Totals],[Losing Candidate]]),
      0
)</f>
        <v>0</v>
      </c>
      <c r="AD8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6" s="111">
        <f>IF(Audit[[#This Row],[Max Relative Error (ep)]] = 0, 0, Audit[[#This Row],[Max Relative Error (ep)]]/Audit[[#This Row],[Error Bound (up) - Max. possible relative overstatement]])</f>
        <v>0</v>
      </c>
      <c r="AJ8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26" s="111">
        <f t="shared" si="12"/>
        <v>1</v>
      </c>
      <c r="AL826" s="111">
        <f>PRODUCT($AK$5:AK826)</f>
        <v>8.962823818226312E-2</v>
      </c>
      <c r="AM826" s="109">
        <f>1 - [K-M P Value]</f>
        <v>0.91037176181773694</v>
      </c>
      <c r="AN826" s="111" t="str">
        <f>IF(Audit[[#This Row],[K-M P Value]]&gt;1-'General Info'!$B$16,"Continue", "Stop")</f>
        <v>Stop</v>
      </c>
      <c r="AO826" s="110" t="b">
        <f>IF(Audit[[#This Row],[Status - Continue or stop audit]] = "Continue", TRUE, IF(AN825 = "Continue", TRUE, FALSE))</f>
        <v>0</v>
      </c>
      <c r="AP826" s="110"/>
    </row>
    <row r="827" spans="1:42" ht="15" hidden="1" customHeight="1">
      <c r="A827" s="111" t="str">
        <f>'Sampling Data'!W818</f>
        <v/>
      </c>
      <c r="B827" s="112" t="str">
        <f>'Sampling Data'!A818</f>
        <v>CLEVELAND -16-C - ABS</v>
      </c>
      <c r="C827" s="112">
        <f>'Sampling Data'!B818</f>
        <v>3</v>
      </c>
      <c r="D827" s="112">
        <f>'Sampling Data'!C818</f>
        <v>6</v>
      </c>
      <c r="E827" s="113">
        <f>'Sampling Data'!D818</f>
        <v>6</v>
      </c>
      <c r="F827" s="113">
        <f>'Sampling Data'!E818</f>
        <v>1</v>
      </c>
      <c r="G827" s="113">
        <f>'Sampling Data'!F818</f>
        <v>0</v>
      </c>
      <c r="H827" s="113">
        <f>'Sampling Data'!G818</f>
        <v>0</v>
      </c>
      <c r="I827" s="112">
        <f>'Sampling Data'!H818</f>
        <v>0</v>
      </c>
      <c r="J827" s="112">
        <f>'Sampling Data'!I818</f>
        <v>0</v>
      </c>
      <c r="K827" s="112">
        <f>'Sampling Data'!J818</f>
        <v>16</v>
      </c>
      <c r="L827" s="111">
        <f>'Sampling Data'!X818</f>
        <v>0</v>
      </c>
      <c r="M827" s="114"/>
      <c r="N827" s="114"/>
      <c r="O827" s="115"/>
      <c r="P827" s="115"/>
      <c r="Q827" s="116"/>
      <c r="R827" s="116"/>
      <c r="S827" s="111">
        <f>Audit[[#This Row],[Audit Losing Candidate]]-Audit[[#This Row],[Losing Candidate]]</f>
        <v>-3</v>
      </c>
      <c r="T827" s="111">
        <f>Audit[[#This Row],[Audit Winning Candidate]]-Audit[[#This Row],[Winning Candidate]]</f>
        <v>-6</v>
      </c>
      <c r="U827" s="111">
        <f>Audit[[#This Row],[Audit Candidate 3]]-Audit[[#This Row],[Candidate 3]]</f>
        <v>-6</v>
      </c>
      <c r="V827" s="111">
        <f>Audit[[#This Row],[Audit Candidate 4]]-Audit[[#This Row],[Candidate 4]]</f>
        <v>-1</v>
      </c>
      <c r="W827" s="111">
        <f>Audit[[#This Row],[Audit Candidate 5]]-Audit[[#This Row],[Candidate 5]]</f>
        <v>0</v>
      </c>
      <c r="X827" s="111">
        <f>Audit[[#This Row],[Audit Candidate 6]]-Audit[[#This Row],[Candidate 6]]</f>
        <v>0</v>
      </c>
      <c r="Y827" s="111">
        <f>SUMIF(Audit[[#This Row],[Difference Loser]:[Difference Candidate 6]], "&gt;0")</f>
        <v>0</v>
      </c>
      <c r="Z827" s="111">
        <f>SUM(Audit[[#This Row],[Difference Loser]:[Difference Candidate 6]])</f>
        <v>-16</v>
      </c>
      <c r="AA827" s="111">
        <f>IF(Audit[[#This Row],[Times p Drawn - With Replacement]]&gt;0, IF(Audit[[#This Row],[Canceled Differences]]&lt;0, Audit[[#This Row],[Max Differences]]+ABS(Audit[[#This Row],[Canceled Differences]]), Audit[[#This Row],[Max Differences]]), 0)</f>
        <v>0</v>
      </c>
      <c r="AB827" s="111">
        <f>'Sampling Data'!P818</f>
        <v>1.1636452719255266E-3</v>
      </c>
      <c r="AC827" s="111">
        <f>IF(
      SUM(Audit[[#This Row],[Audit Losing Candidate]:[Audit Candidate 6]])
      &lt;&gt;0,
      (Audit[[#This Row],[Winning Candidate]]-Audit[[#This Row],[Losing Candidate]]-(Audit[[#This Row],[Audit Winning Candidate]]-Audit[[#This Row],[Audit Losing Candidate]]))/(Audit[[#Totals],[Winning Candidate]]-Audit[[#Totals],[Losing Candidate]]),
      0
)</f>
        <v>0</v>
      </c>
      <c r="AD8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7" s="111">
        <f>IF(Audit[[#This Row],[Max Relative Error (ep)]] = 0, 0, Audit[[#This Row],[Max Relative Error (ep)]]/Audit[[#This Row],[Error Bound (up) - Max. possible relative overstatement]])</f>
        <v>0</v>
      </c>
      <c r="AJ8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27" s="111">
        <f t="shared" si="12"/>
        <v>1</v>
      </c>
      <c r="AL827" s="111">
        <f>PRODUCT($AK$5:AK827)</f>
        <v>8.962823818226312E-2</v>
      </c>
      <c r="AM827" s="109">
        <f>1 - [K-M P Value]</f>
        <v>0.91037176181773694</v>
      </c>
      <c r="AN827" s="111" t="str">
        <f>IF(Audit[[#This Row],[K-M P Value]]&gt;1-'General Info'!$B$16,"Continue", "Stop")</f>
        <v>Stop</v>
      </c>
      <c r="AO827" s="110" t="b">
        <f>IF(Audit[[#This Row],[Status - Continue or stop audit]] = "Continue", TRUE, IF(AN826 = "Continue", TRUE, FALSE))</f>
        <v>0</v>
      </c>
      <c r="AP827" s="110"/>
    </row>
    <row r="828" spans="1:42" ht="15" hidden="1" customHeight="1">
      <c r="A828" s="111" t="str">
        <f>'Sampling Data'!W819</f>
        <v/>
      </c>
      <c r="B828" s="112" t="str">
        <f>'Sampling Data'!A819</f>
        <v>CLEVELAND -16-D</v>
      </c>
      <c r="C828" s="112">
        <f>'Sampling Data'!B819</f>
        <v>4</v>
      </c>
      <c r="D828" s="112">
        <f>'Sampling Data'!C819</f>
        <v>7</v>
      </c>
      <c r="E828" s="113">
        <f>'Sampling Data'!D819</f>
        <v>1</v>
      </c>
      <c r="F828" s="113">
        <f>'Sampling Data'!E819</f>
        <v>2</v>
      </c>
      <c r="G828" s="113">
        <f>'Sampling Data'!F819</f>
        <v>1</v>
      </c>
      <c r="H828" s="113">
        <f>'Sampling Data'!G819</f>
        <v>0</v>
      </c>
      <c r="I828" s="112">
        <f>'Sampling Data'!H819</f>
        <v>0</v>
      </c>
      <c r="J828" s="112">
        <f>'Sampling Data'!I819</f>
        <v>0</v>
      </c>
      <c r="K828" s="112">
        <f>'Sampling Data'!J819</f>
        <v>15</v>
      </c>
      <c r="L828" s="111">
        <f>'Sampling Data'!X819</f>
        <v>0</v>
      </c>
      <c r="M828" s="114"/>
      <c r="N828" s="114"/>
      <c r="O828" s="115"/>
      <c r="P828" s="115"/>
      <c r="Q828" s="116"/>
      <c r="R828" s="116"/>
      <c r="S828" s="111">
        <f>Audit[[#This Row],[Audit Losing Candidate]]-Audit[[#This Row],[Losing Candidate]]</f>
        <v>-4</v>
      </c>
      <c r="T828" s="111">
        <f>Audit[[#This Row],[Audit Winning Candidate]]-Audit[[#This Row],[Winning Candidate]]</f>
        <v>-7</v>
      </c>
      <c r="U828" s="111">
        <f>Audit[[#This Row],[Audit Candidate 3]]-Audit[[#This Row],[Candidate 3]]</f>
        <v>-1</v>
      </c>
      <c r="V828" s="111">
        <f>Audit[[#This Row],[Audit Candidate 4]]-Audit[[#This Row],[Candidate 4]]</f>
        <v>-2</v>
      </c>
      <c r="W828" s="111">
        <f>Audit[[#This Row],[Audit Candidate 5]]-Audit[[#This Row],[Candidate 5]]</f>
        <v>-1</v>
      </c>
      <c r="X828" s="111">
        <f>Audit[[#This Row],[Audit Candidate 6]]-Audit[[#This Row],[Candidate 6]]</f>
        <v>0</v>
      </c>
      <c r="Y828" s="111">
        <f>SUMIF(Audit[[#This Row],[Difference Loser]:[Difference Candidate 6]], "&gt;0")</f>
        <v>0</v>
      </c>
      <c r="Z828" s="111">
        <f>SUM(Audit[[#This Row],[Difference Loser]:[Difference Candidate 6]])</f>
        <v>-15</v>
      </c>
      <c r="AA828" s="111">
        <f>IF(Audit[[#This Row],[Times p Drawn - With Replacement]]&gt;0, IF(Audit[[#This Row],[Canceled Differences]]&lt;0, Audit[[#This Row],[Max Differences]]+ABS(Audit[[#This Row],[Canceled Differences]]), Audit[[#This Row],[Max Differences]]), 0)</f>
        <v>0</v>
      </c>
      <c r="AB828" s="111">
        <f>'Sampling Data'!P819</f>
        <v>1.1024007839294464E-3</v>
      </c>
      <c r="AC828" s="111">
        <f>IF(
      SUM(Audit[[#This Row],[Audit Losing Candidate]:[Audit Candidate 6]])
      &lt;&gt;0,
      (Audit[[#This Row],[Winning Candidate]]-Audit[[#This Row],[Losing Candidate]]-(Audit[[#This Row],[Audit Winning Candidate]]-Audit[[#This Row],[Audit Losing Candidate]]))/(Audit[[#Totals],[Winning Candidate]]-Audit[[#Totals],[Losing Candidate]]),
      0
)</f>
        <v>0</v>
      </c>
      <c r="AD8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8" s="111">
        <f>IF(Audit[[#This Row],[Max Relative Error (ep)]] = 0, 0, Audit[[#This Row],[Max Relative Error (ep)]]/Audit[[#This Row],[Error Bound (up) - Max. possible relative overstatement]])</f>
        <v>0</v>
      </c>
      <c r="AJ8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28" s="111">
        <f t="shared" si="12"/>
        <v>1</v>
      </c>
      <c r="AL828" s="111">
        <f>PRODUCT($AK$5:AK828)</f>
        <v>8.962823818226312E-2</v>
      </c>
      <c r="AM828" s="109">
        <f>1 - [K-M P Value]</f>
        <v>0.91037176181773694</v>
      </c>
      <c r="AN828" s="111" t="str">
        <f>IF(Audit[[#This Row],[K-M P Value]]&gt;1-'General Info'!$B$16,"Continue", "Stop")</f>
        <v>Stop</v>
      </c>
      <c r="AO828" s="110" t="b">
        <f>IF(Audit[[#This Row],[Status - Continue or stop audit]] = "Continue", TRUE, IF(AN827 = "Continue", TRUE, FALSE))</f>
        <v>0</v>
      </c>
      <c r="AP828" s="110"/>
    </row>
    <row r="829" spans="1:42" ht="15" hidden="1" customHeight="1">
      <c r="A829" s="111" t="str">
        <f>'Sampling Data'!W820</f>
        <v/>
      </c>
      <c r="B829" s="112" t="str">
        <f>'Sampling Data'!A820</f>
        <v>CLEVELAND -16-D - ABS</v>
      </c>
      <c r="C829" s="112">
        <f>'Sampling Data'!B820</f>
        <v>2</v>
      </c>
      <c r="D829" s="112">
        <f>'Sampling Data'!C820</f>
        <v>1</v>
      </c>
      <c r="E829" s="113">
        <f>'Sampling Data'!D820</f>
        <v>0</v>
      </c>
      <c r="F829" s="113">
        <f>'Sampling Data'!E820</f>
        <v>0</v>
      </c>
      <c r="G829" s="113">
        <f>'Sampling Data'!F820</f>
        <v>1</v>
      </c>
      <c r="H829" s="113">
        <f>'Sampling Data'!G820</f>
        <v>0</v>
      </c>
      <c r="I829" s="112">
        <f>'Sampling Data'!H820</f>
        <v>0</v>
      </c>
      <c r="J829" s="112">
        <f>'Sampling Data'!I820</f>
        <v>0</v>
      </c>
      <c r="K829" s="112">
        <f>'Sampling Data'!J820</f>
        <v>4</v>
      </c>
      <c r="L829" s="111">
        <f>'Sampling Data'!X820</f>
        <v>0</v>
      </c>
      <c r="M829" s="114"/>
      <c r="N829" s="114"/>
      <c r="O829" s="115"/>
      <c r="P829" s="115"/>
      <c r="Q829" s="116"/>
      <c r="R829" s="116"/>
      <c r="S829" s="111">
        <f>Audit[[#This Row],[Audit Losing Candidate]]-Audit[[#This Row],[Losing Candidate]]</f>
        <v>-2</v>
      </c>
      <c r="T829" s="111">
        <f>Audit[[#This Row],[Audit Winning Candidate]]-Audit[[#This Row],[Winning Candidate]]</f>
        <v>-1</v>
      </c>
      <c r="U829" s="111">
        <f>Audit[[#This Row],[Audit Candidate 3]]-Audit[[#This Row],[Candidate 3]]</f>
        <v>0</v>
      </c>
      <c r="V829" s="111">
        <f>Audit[[#This Row],[Audit Candidate 4]]-Audit[[#This Row],[Candidate 4]]</f>
        <v>0</v>
      </c>
      <c r="W829" s="111">
        <f>Audit[[#This Row],[Audit Candidate 5]]-Audit[[#This Row],[Candidate 5]]</f>
        <v>-1</v>
      </c>
      <c r="X829" s="111">
        <f>Audit[[#This Row],[Audit Candidate 6]]-Audit[[#This Row],[Candidate 6]]</f>
        <v>0</v>
      </c>
      <c r="Y829" s="111">
        <f>SUMIF(Audit[[#This Row],[Difference Loser]:[Difference Candidate 6]], "&gt;0")</f>
        <v>0</v>
      </c>
      <c r="Z829" s="111">
        <f>SUM(Audit[[#This Row],[Difference Loser]:[Difference Candidate 6]])</f>
        <v>-4</v>
      </c>
      <c r="AA829" s="111">
        <f>IF(Audit[[#This Row],[Times p Drawn - With Replacement]]&gt;0, IF(Audit[[#This Row],[Canceled Differences]]&lt;0, Audit[[#This Row],[Max Differences]]+ABS(Audit[[#This Row],[Canceled Differences]]), Audit[[#This Row],[Max Differences]]), 0)</f>
        <v>0</v>
      </c>
      <c r="AB829" s="111">
        <f>'Sampling Data'!P820</f>
        <v>1.8373346398824106E-4</v>
      </c>
      <c r="AC829" s="111">
        <f>IF(
      SUM(Audit[[#This Row],[Audit Losing Candidate]:[Audit Candidate 6]])
      &lt;&gt;0,
      (Audit[[#This Row],[Winning Candidate]]-Audit[[#This Row],[Losing Candidate]]-(Audit[[#This Row],[Audit Winning Candidate]]-Audit[[#This Row],[Audit Losing Candidate]]))/(Audit[[#Totals],[Winning Candidate]]-Audit[[#Totals],[Losing Candidate]]),
      0
)</f>
        <v>0</v>
      </c>
      <c r="AD8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9" s="111">
        <f>IF(Audit[[#This Row],[Max Relative Error (ep)]] = 0, 0, Audit[[#This Row],[Max Relative Error (ep)]]/Audit[[#This Row],[Error Bound (up) - Max. possible relative overstatement]])</f>
        <v>0</v>
      </c>
      <c r="AJ8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29" s="111">
        <f t="shared" si="12"/>
        <v>1</v>
      </c>
      <c r="AL829" s="111">
        <f>PRODUCT($AK$5:AK829)</f>
        <v>8.962823818226312E-2</v>
      </c>
      <c r="AM829" s="109">
        <f>1 - [K-M P Value]</f>
        <v>0.91037176181773694</v>
      </c>
      <c r="AN829" s="111" t="str">
        <f>IF(Audit[[#This Row],[K-M P Value]]&gt;1-'General Info'!$B$16,"Continue", "Stop")</f>
        <v>Stop</v>
      </c>
      <c r="AO829" s="110" t="b">
        <f>IF(Audit[[#This Row],[Status - Continue or stop audit]] = "Continue", TRUE, IF(AN828 = "Continue", TRUE, FALSE))</f>
        <v>0</v>
      </c>
      <c r="AP829" s="110"/>
    </row>
    <row r="830" spans="1:42" ht="15" hidden="1" customHeight="1">
      <c r="A830" s="111" t="str">
        <f>'Sampling Data'!W821</f>
        <v/>
      </c>
      <c r="B830" s="112" t="str">
        <f>'Sampling Data'!A821</f>
        <v>CLEVELAND -16-E</v>
      </c>
      <c r="C830" s="112">
        <f>'Sampling Data'!B821</f>
        <v>3</v>
      </c>
      <c r="D830" s="112">
        <f>'Sampling Data'!C821</f>
        <v>3</v>
      </c>
      <c r="E830" s="113">
        <f>'Sampling Data'!D821</f>
        <v>1</v>
      </c>
      <c r="F830" s="113">
        <f>'Sampling Data'!E821</f>
        <v>1</v>
      </c>
      <c r="G830" s="113">
        <f>'Sampling Data'!F821</f>
        <v>0</v>
      </c>
      <c r="H830" s="113">
        <f>'Sampling Data'!G821</f>
        <v>0</v>
      </c>
      <c r="I830" s="112">
        <f>'Sampling Data'!H821</f>
        <v>0</v>
      </c>
      <c r="J830" s="112">
        <f>'Sampling Data'!I821</f>
        <v>1</v>
      </c>
      <c r="K830" s="112">
        <f>'Sampling Data'!J821</f>
        <v>9</v>
      </c>
      <c r="L830" s="111">
        <f>'Sampling Data'!X821</f>
        <v>0</v>
      </c>
      <c r="M830" s="114"/>
      <c r="N830" s="114"/>
      <c r="O830" s="115"/>
      <c r="P830" s="115"/>
      <c r="Q830" s="116"/>
      <c r="R830" s="116"/>
      <c r="S830" s="111">
        <f>Audit[[#This Row],[Audit Losing Candidate]]-Audit[[#This Row],[Losing Candidate]]</f>
        <v>-3</v>
      </c>
      <c r="T830" s="111">
        <f>Audit[[#This Row],[Audit Winning Candidate]]-Audit[[#This Row],[Winning Candidate]]</f>
        <v>-3</v>
      </c>
      <c r="U830" s="111">
        <f>Audit[[#This Row],[Audit Candidate 3]]-Audit[[#This Row],[Candidate 3]]</f>
        <v>-1</v>
      </c>
      <c r="V830" s="111">
        <f>Audit[[#This Row],[Audit Candidate 4]]-Audit[[#This Row],[Candidate 4]]</f>
        <v>-1</v>
      </c>
      <c r="W830" s="111">
        <f>Audit[[#This Row],[Audit Candidate 5]]-Audit[[#This Row],[Candidate 5]]</f>
        <v>0</v>
      </c>
      <c r="X830" s="111">
        <f>Audit[[#This Row],[Audit Candidate 6]]-Audit[[#This Row],[Candidate 6]]</f>
        <v>0</v>
      </c>
      <c r="Y830" s="111">
        <f>SUMIF(Audit[[#This Row],[Difference Loser]:[Difference Candidate 6]], "&gt;0")</f>
        <v>0</v>
      </c>
      <c r="Z830" s="111">
        <f>SUM(Audit[[#This Row],[Difference Loser]:[Difference Candidate 6]])</f>
        <v>-8</v>
      </c>
      <c r="AA830" s="111">
        <f>IF(Audit[[#This Row],[Times p Drawn - With Replacement]]&gt;0, IF(Audit[[#This Row],[Canceled Differences]]&lt;0, Audit[[#This Row],[Max Differences]]+ABS(Audit[[#This Row],[Canceled Differences]]), Audit[[#This Row],[Max Differences]]), 0)</f>
        <v>0</v>
      </c>
      <c r="AB830" s="111">
        <f>'Sampling Data'!P821</f>
        <v>5.5120039196472322E-4</v>
      </c>
      <c r="AC830" s="111">
        <f>IF(
      SUM(Audit[[#This Row],[Audit Losing Candidate]:[Audit Candidate 6]])
      &lt;&gt;0,
      (Audit[[#This Row],[Winning Candidate]]-Audit[[#This Row],[Losing Candidate]]-(Audit[[#This Row],[Audit Winning Candidate]]-Audit[[#This Row],[Audit Losing Candidate]]))/(Audit[[#Totals],[Winning Candidate]]-Audit[[#Totals],[Losing Candidate]]),
      0
)</f>
        <v>0</v>
      </c>
      <c r="AD8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0" s="111">
        <f>IF(Audit[[#This Row],[Max Relative Error (ep)]] = 0, 0, Audit[[#This Row],[Max Relative Error (ep)]]/Audit[[#This Row],[Error Bound (up) - Max. possible relative overstatement]])</f>
        <v>0</v>
      </c>
      <c r="AJ8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30" s="111">
        <f t="shared" si="12"/>
        <v>1</v>
      </c>
      <c r="AL830" s="111">
        <f>PRODUCT($AK$5:AK830)</f>
        <v>8.962823818226312E-2</v>
      </c>
      <c r="AM830" s="109">
        <f>1 - [K-M P Value]</f>
        <v>0.91037176181773694</v>
      </c>
      <c r="AN830" s="111" t="str">
        <f>IF(Audit[[#This Row],[K-M P Value]]&gt;1-'General Info'!$B$16,"Continue", "Stop")</f>
        <v>Stop</v>
      </c>
      <c r="AO830" s="110" t="b">
        <f>IF(Audit[[#This Row],[Status - Continue or stop audit]] = "Continue", TRUE, IF(AN829 = "Continue", TRUE, FALSE))</f>
        <v>0</v>
      </c>
      <c r="AP830" s="110"/>
    </row>
    <row r="831" spans="1:42" ht="15" hidden="1" customHeight="1">
      <c r="A831" s="111" t="str">
        <f>'Sampling Data'!W822</f>
        <v/>
      </c>
      <c r="B831" s="112" t="str">
        <f>'Sampling Data'!A822</f>
        <v>CLEVELAND -16-E - ABS</v>
      </c>
      <c r="C831" s="112">
        <f>'Sampling Data'!B822</f>
        <v>2</v>
      </c>
      <c r="D831" s="112">
        <f>'Sampling Data'!C822</f>
        <v>1</v>
      </c>
      <c r="E831" s="113">
        <f>'Sampling Data'!D822</f>
        <v>1</v>
      </c>
      <c r="F831" s="113">
        <f>'Sampling Data'!E822</f>
        <v>2</v>
      </c>
      <c r="G831" s="113">
        <f>'Sampling Data'!F822</f>
        <v>0</v>
      </c>
      <c r="H831" s="113">
        <f>'Sampling Data'!G822</f>
        <v>0</v>
      </c>
      <c r="I831" s="112">
        <f>'Sampling Data'!H822</f>
        <v>0</v>
      </c>
      <c r="J831" s="112">
        <f>'Sampling Data'!I822</f>
        <v>0</v>
      </c>
      <c r="K831" s="112">
        <f>'Sampling Data'!J822</f>
        <v>6</v>
      </c>
      <c r="L831" s="111">
        <f>'Sampling Data'!X822</f>
        <v>0</v>
      </c>
      <c r="M831" s="114"/>
      <c r="N831" s="114"/>
      <c r="O831" s="115"/>
      <c r="P831" s="115"/>
      <c r="Q831" s="116"/>
      <c r="R831" s="116"/>
      <c r="S831" s="111">
        <f>Audit[[#This Row],[Audit Losing Candidate]]-Audit[[#This Row],[Losing Candidate]]</f>
        <v>-2</v>
      </c>
      <c r="T831" s="111">
        <f>Audit[[#This Row],[Audit Winning Candidate]]-Audit[[#This Row],[Winning Candidate]]</f>
        <v>-1</v>
      </c>
      <c r="U831" s="111">
        <f>Audit[[#This Row],[Audit Candidate 3]]-Audit[[#This Row],[Candidate 3]]</f>
        <v>-1</v>
      </c>
      <c r="V831" s="111">
        <f>Audit[[#This Row],[Audit Candidate 4]]-Audit[[#This Row],[Candidate 4]]</f>
        <v>-2</v>
      </c>
      <c r="W831" s="111">
        <f>Audit[[#This Row],[Audit Candidate 5]]-Audit[[#This Row],[Candidate 5]]</f>
        <v>0</v>
      </c>
      <c r="X831" s="111">
        <f>Audit[[#This Row],[Audit Candidate 6]]-Audit[[#This Row],[Candidate 6]]</f>
        <v>0</v>
      </c>
      <c r="Y831" s="111">
        <f>SUMIF(Audit[[#This Row],[Difference Loser]:[Difference Candidate 6]], "&gt;0")</f>
        <v>0</v>
      </c>
      <c r="Z831" s="111">
        <f>SUM(Audit[[#This Row],[Difference Loser]:[Difference Candidate 6]])</f>
        <v>-6</v>
      </c>
      <c r="AA831" s="111">
        <f>IF(Audit[[#This Row],[Times p Drawn - With Replacement]]&gt;0, IF(Audit[[#This Row],[Canceled Differences]]&lt;0, Audit[[#This Row],[Max Differences]]+ABS(Audit[[#This Row],[Canceled Differences]]), Audit[[#This Row],[Max Differences]]), 0)</f>
        <v>0</v>
      </c>
      <c r="AB831" s="111">
        <f>'Sampling Data'!P822</f>
        <v>3.0622243998040176E-4</v>
      </c>
      <c r="AC831" s="111">
        <f>IF(
      SUM(Audit[[#This Row],[Audit Losing Candidate]:[Audit Candidate 6]])
      &lt;&gt;0,
      (Audit[[#This Row],[Winning Candidate]]-Audit[[#This Row],[Losing Candidate]]-(Audit[[#This Row],[Audit Winning Candidate]]-Audit[[#This Row],[Audit Losing Candidate]]))/(Audit[[#Totals],[Winning Candidate]]-Audit[[#Totals],[Losing Candidate]]),
      0
)</f>
        <v>0</v>
      </c>
      <c r="AD8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1" s="111">
        <f>IF(Audit[[#This Row],[Max Relative Error (ep)]] = 0, 0, Audit[[#This Row],[Max Relative Error (ep)]]/Audit[[#This Row],[Error Bound (up) - Max. possible relative overstatement]])</f>
        <v>0</v>
      </c>
      <c r="AJ8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31" s="111">
        <f t="shared" si="12"/>
        <v>1</v>
      </c>
      <c r="AL831" s="111">
        <f>PRODUCT($AK$5:AK831)</f>
        <v>8.962823818226312E-2</v>
      </c>
      <c r="AM831" s="109">
        <f>1 - [K-M P Value]</f>
        <v>0.91037176181773694</v>
      </c>
      <c r="AN831" s="111" t="str">
        <f>IF(Audit[[#This Row],[K-M P Value]]&gt;1-'General Info'!$B$16,"Continue", "Stop")</f>
        <v>Stop</v>
      </c>
      <c r="AO831" s="110" t="b">
        <f>IF(Audit[[#This Row],[Status - Continue or stop audit]] = "Continue", TRUE, IF(AN830 = "Continue", TRUE, FALSE))</f>
        <v>0</v>
      </c>
      <c r="AP831" s="110"/>
    </row>
    <row r="832" spans="1:42" ht="15" hidden="1" customHeight="1">
      <c r="A832" s="111" t="str">
        <f>'Sampling Data'!W823</f>
        <v/>
      </c>
      <c r="B832" s="112" t="str">
        <f>'Sampling Data'!A823</f>
        <v>CLEVELAND -16-F</v>
      </c>
      <c r="C832" s="112">
        <f>'Sampling Data'!B823</f>
        <v>2</v>
      </c>
      <c r="D832" s="112">
        <f>'Sampling Data'!C823</f>
        <v>7</v>
      </c>
      <c r="E832" s="113">
        <f>'Sampling Data'!D823</f>
        <v>1</v>
      </c>
      <c r="F832" s="113">
        <f>'Sampling Data'!E823</f>
        <v>1</v>
      </c>
      <c r="G832" s="113">
        <f>'Sampling Data'!F823</f>
        <v>0</v>
      </c>
      <c r="H832" s="113">
        <f>'Sampling Data'!G823</f>
        <v>1</v>
      </c>
      <c r="I832" s="112">
        <f>'Sampling Data'!H823</f>
        <v>0</v>
      </c>
      <c r="J832" s="112">
        <f>'Sampling Data'!I823</f>
        <v>1</v>
      </c>
      <c r="K832" s="112">
        <f>'Sampling Data'!J823</f>
        <v>13</v>
      </c>
      <c r="L832" s="111">
        <f>'Sampling Data'!X823</f>
        <v>0</v>
      </c>
      <c r="M832" s="114"/>
      <c r="N832" s="114"/>
      <c r="O832" s="115"/>
      <c r="P832" s="115"/>
      <c r="Q832" s="116"/>
      <c r="R832" s="116"/>
      <c r="S832" s="111">
        <f>Audit[[#This Row],[Audit Losing Candidate]]-Audit[[#This Row],[Losing Candidate]]</f>
        <v>-2</v>
      </c>
      <c r="T832" s="111">
        <f>Audit[[#This Row],[Audit Winning Candidate]]-Audit[[#This Row],[Winning Candidate]]</f>
        <v>-7</v>
      </c>
      <c r="U832" s="111">
        <f>Audit[[#This Row],[Audit Candidate 3]]-Audit[[#This Row],[Candidate 3]]</f>
        <v>-1</v>
      </c>
      <c r="V832" s="111">
        <f>Audit[[#This Row],[Audit Candidate 4]]-Audit[[#This Row],[Candidate 4]]</f>
        <v>-1</v>
      </c>
      <c r="W832" s="111">
        <f>Audit[[#This Row],[Audit Candidate 5]]-Audit[[#This Row],[Candidate 5]]</f>
        <v>0</v>
      </c>
      <c r="X832" s="111">
        <f>Audit[[#This Row],[Audit Candidate 6]]-Audit[[#This Row],[Candidate 6]]</f>
        <v>-1</v>
      </c>
      <c r="Y832" s="111">
        <f>SUMIF(Audit[[#This Row],[Difference Loser]:[Difference Candidate 6]], "&gt;0")</f>
        <v>0</v>
      </c>
      <c r="Z832" s="111">
        <f>SUM(Audit[[#This Row],[Difference Loser]:[Difference Candidate 6]])</f>
        <v>-12</v>
      </c>
      <c r="AA832" s="111">
        <f>IF(Audit[[#This Row],[Times p Drawn - With Replacement]]&gt;0, IF(Audit[[#This Row],[Canceled Differences]]&lt;0, Audit[[#This Row],[Max Differences]]+ABS(Audit[[#This Row],[Canceled Differences]]), Audit[[#This Row],[Max Differences]]), 0)</f>
        <v>0</v>
      </c>
      <c r="AB832" s="111">
        <f>'Sampling Data'!P823</f>
        <v>1.1024007839294464E-3</v>
      </c>
      <c r="AC832" s="111">
        <f>IF(
      SUM(Audit[[#This Row],[Audit Losing Candidate]:[Audit Candidate 6]])
      &lt;&gt;0,
      (Audit[[#This Row],[Winning Candidate]]-Audit[[#This Row],[Losing Candidate]]-(Audit[[#This Row],[Audit Winning Candidate]]-Audit[[#This Row],[Audit Losing Candidate]]))/(Audit[[#Totals],[Winning Candidate]]-Audit[[#Totals],[Losing Candidate]]),
      0
)</f>
        <v>0</v>
      </c>
      <c r="AD8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2" s="111">
        <f>IF(Audit[[#This Row],[Max Relative Error (ep)]] = 0, 0, Audit[[#This Row],[Max Relative Error (ep)]]/Audit[[#This Row],[Error Bound (up) - Max. possible relative overstatement]])</f>
        <v>0</v>
      </c>
      <c r="AJ8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32" s="111">
        <f t="shared" si="12"/>
        <v>1</v>
      </c>
      <c r="AL832" s="111">
        <f>PRODUCT($AK$5:AK832)</f>
        <v>8.962823818226312E-2</v>
      </c>
      <c r="AM832" s="109">
        <f>1 - [K-M P Value]</f>
        <v>0.91037176181773694</v>
      </c>
      <c r="AN832" s="111" t="str">
        <f>IF(Audit[[#This Row],[K-M P Value]]&gt;1-'General Info'!$B$16,"Continue", "Stop")</f>
        <v>Stop</v>
      </c>
      <c r="AO832" s="110" t="b">
        <f>IF(Audit[[#This Row],[Status - Continue or stop audit]] = "Continue", TRUE, IF(AN831 = "Continue", TRUE, FALSE))</f>
        <v>0</v>
      </c>
      <c r="AP832" s="110"/>
    </row>
    <row r="833" spans="1:42" ht="15" hidden="1" customHeight="1">
      <c r="A833" s="111" t="str">
        <f>'Sampling Data'!W824</f>
        <v/>
      </c>
      <c r="B833" s="112" t="str">
        <f>'Sampling Data'!A824</f>
        <v>CLEVELAND -16-F - ABS</v>
      </c>
      <c r="C833" s="112">
        <f>'Sampling Data'!B824</f>
        <v>0</v>
      </c>
      <c r="D833" s="112">
        <f>'Sampling Data'!C824</f>
        <v>1</v>
      </c>
      <c r="E833" s="113">
        <f>'Sampling Data'!D824</f>
        <v>0</v>
      </c>
      <c r="F833" s="113">
        <f>'Sampling Data'!E824</f>
        <v>0</v>
      </c>
      <c r="G833" s="113">
        <f>'Sampling Data'!F824</f>
        <v>0</v>
      </c>
      <c r="H833" s="113">
        <f>'Sampling Data'!G824</f>
        <v>0</v>
      </c>
      <c r="I833" s="112">
        <f>'Sampling Data'!H824</f>
        <v>0</v>
      </c>
      <c r="J833" s="112">
        <f>'Sampling Data'!I824</f>
        <v>0</v>
      </c>
      <c r="K833" s="112">
        <f>'Sampling Data'!J824</f>
        <v>1</v>
      </c>
      <c r="L833" s="111">
        <f>'Sampling Data'!X824</f>
        <v>0</v>
      </c>
      <c r="M833" s="114"/>
      <c r="N833" s="114"/>
      <c r="O833" s="115"/>
      <c r="P833" s="115"/>
      <c r="Q833" s="116"/>
      <c r="R833" s="116"/>
      <c r="S833" s="111">
        <f>Audit[[#This Row],[Audit Losing Candidate]]-Audit[[#This Row],[Losing Candidate]]</f>
        <v>0</v>
      </c>
      <c r="T833" s="111">
        <f>Audit[[#This Row],[Audit Winning Candidate]]-Audit[[#This Row],[Winning Candidate]]</f>
        <v>-1</v>
      </c>
      <c r="U833" s="111">
        <f>Audit[[#This Row],[Audit Candidate 3]]-Audit[[#This Row],[Candidate 3]]</f>
        <v>0</v>
      </c>
      <c r="V833" s="111">
        <f>Audit[[#This Row],[Audit Candidate 4]]-Audit[[#This Row],[Candidate 4]]</f>
        <v>0</v>
      </c>
      <c r="W833" s="111">
        <f>Audit[[#This Row],[Audit Candidate 5]]-Audit[[#This Row],[Candidate 5]]</f>
        <v>0</v>
      </c>
      <c r="X833" s="111">
        <f>Audit[[#This Row],[Audit Candidate 6]]-Audit[[#This Row],[Candidate 6]]</f>
        <v>0</v>
      </c>
      <c r="Y833" s="111">
        <f>SUMIF(Audit[[#This Row],[Difference Loser]:[Difference Candidate 6]], "&gt;0")</f>
        <v>0</v>
      </c>
      <c r="Z833" s="111">
        <f>SUM(Audit[[#This Row],[Difference Loser]:[Difference Candidate 6]])</f>
        <v>-1</v>
      </c>
      <c r="AA833" s="111">
        <f>IF(Audit[[#This Row],[Times p Drawn - With Replacement]]&gt;0, IF(Audit[[#This Row],[Canceled Differences]]&lt;0, Audit[[#This Row],[Max Differences]]+ABS(Audit[[#This Row],[Canceled Differences]]), Audit[[#This Row],[Max Differences]]), 0)</f>
        <v>0</v>
      </c>
      <c r="AB833" s="111">
        <f>'Sampling Data'!P824</f>
        <v>1.224889759921607E-4</v>
      </c>
      <c r="AC833" s="111">
        <f>IF(
      SUM(Audit[[#This Row],[Audit Losing Candidate]:[Audit Candidate 6]])
      &lt;&gt;0,
      (Audit[[#This Row],[Winning Candidate]]-Audit[[#This Row],[Losing Candidate]]-(Audit[[#This Row],[Audit Winning Candidate]]-Audit[[#This Row],[Audit Losing Candidate]]))/(Audit[[#Totals],[Winning Candidate]]-Audit[[#Totals],[Losing Candidate]]),
      0
)</f>
        <v>0</v>
      </c>
      <c r="AD8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3" s="111">
        <f>IF(Audit[[#This Row],[Max Relative Error (ep)]] = 0, 0, Audit[[#This Row],[Max Relative Error (ep)]]/Audit[[#This Row],[Error Bound (up) - Max. possible relative overstatement]])</f>
        <v>0</v>
      </c>
      <c r="AJ8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33" s="111">
        <f t="shared" si="12"/>
        <v>1</v>
      </c>
      <c r="AL833" s="111">
        <f>PRODUCT($AK$5:AK833)</f>
        <v>8.962823818226312E-2</v>
      </c>
      <c r="AM833" s="109">
        <f>1 - [K-M P Value]</f>
        <v>0.91037176181773694</v>
      </c>
      <c r="AN833" s="111" t="str">
        <f>IF(Audit[[#This Row],[K-M P Value]]&gt;1-'General Info'!$B$16,"Continue", "Stop")</f>
        <v>Stop</v>
      </c>
      <c r="AO833" s="110" t="b">
        <f>IF(Audit[[#This Row],[Status - Continue or stop audit]] = "Continue", TRUE, IF(AN832 = "Continue", TRUE, FALSE))</f>
        <v>0</v>
      </c>
      <c r="AP833" s="110"/>
    </row>
    <row r="834" spans="1:42" ht="15" hidden="1" customHeight="1">
      <c r="A834" s="111" t="str">
        <f>'Sampling Data'!W825</f>
        <v/>
      </c>
      <c r="B834" s="112" t="str">
        <f>'Sampling Data'!A825</f>
        <v>CLEVELAND -16-G</v>
      </c>
      <c r="C834" s="112">
        <f>'Sampling Data'!B825</f>
        <v>8</v>
      </c>
      <c r="D834" s="112">
        <f>'Sampling Data'!C825</f>
        <v>3</v>
      </c>
      <c r="E834" s="113">
        <f>'Sampling Data'!D825</f>
        <v>5</v>
      </c>
      <c r="F834" s="113">
        <f>'Sampling Data'!E825</f>
        <v>0</v>
      </c>
      <c r="G834" s="113">
        <f>'Sampling Data'!F825</f>
        <v>0</v>
      </c>
      <c r="H834" s="113">
        <f>'Sampling Data'!G825</f>
        <v>0</v>
      </c>
      <c r="I834" s="112">
        <f>'Sampling Data'!H825</f>
        <v>0</v>
      </c>
      <c r="J834" s="112">
        <f>'Sampling Data'!I825</f>
        <v>0</v>
      </c>
      <c r="K834" s="112">
        <f>'Sampling Data'!J825</f>
        <v>16</v>
      </c>
      <c r="L834" s="111">
        <f>'Sampling Data'!X825</f>
        <v>0</v>
      </c>
      <c r="M834" s="114"/>
      <c r="N834" s="114"/>
      <c r="O834" s="115"/>
      <c r="P834" s="115"/>
      <c r="Q834" s="116"/>
      <c r="R834" s="116"/>
      <c r="S834" s="111">
        <f>Audit[[#This Row],[Audit Losing Candidate]]-Audit[[#This Row],[Losing Candidate]]</f>
        <v>-8</v>
      </c>
      <c r="T834" s="111">
        <f>Audit[[#This Row],[Audit Winning Candidate]]-Audit[[#This Row],[Winning Candidate]]</f>
        <v>-3</v>
      </c>
      <c r="U834" s="111">
        <f>Audit[[#This Row],[Audit Candidate 3]]-Audit[[#This Row],[Candidate 3]]</f>
        <v>-5</v>
      </c>
      <c r="V834" s="111">
        <f>Audit[[#This Row],[Audit Candidate 4]]-Audit[[#This Row],[Candidate 4]]</f>
        <v>0</v>
      </c>
      <c r="W834" s="111">
        <f>Audit[[#This Row],[Audit Candidate 5]]-Audit[[#This Row],[Candidate 5]]</f>
        <v>0</v>
      </c>
      <c r="X834" s="111">
        <f>Audit[[#This Row],[Audit Candidate 6]]-Audit[[#This Row],[Candidate 6]]</f>
        <v>0</v>
      </c>
      <c r="Y834" s="111">
        <f>SUMIF(Audit[[#This Row],[Difference Loser]:[Difference Candidate 6]], "&gt;0")</f>
        <v>0</v>
      </c>
      <c r="Z834" s="111">
        <f>SUM(Audit[[#This Row],[Difference Loser]:[Difference Candidate 6]])</f>
        <v>-16</v>
      </c>
      <c r="AA834" s="111">
        <f>IF(Audit[[#This Row],[Times p Drawn - With Replacement]]&gt;0, IF(Audit[[#This Row],[Canceled Differences]]&lt;0, Audit[[#This Row],[Max Differences]]+ABS(Audit[[#This Row],[Canceled Differences]]), Audit[[#This Row],[Max Differences]]), 0)</f>
        <v>0</v>
      </c>
      <c r="AB834" s="111">
        <f>'Sampling Data'!P825</f>
        <v>6.7368936795688392E-4</v>
      </c>
      <c r="AC834" s="111">
        <f>IF(
      SUM(Audit[[#This Row],[Audit Losing Candidate]:[Audit Candidate 6]])
      &lt;&gt;0,
      (Audit[[#This Row],[Winning Candidate]]-Audit[[#This Row],[Losing Candidate]]-(Audit[[#This Row],[Audit Winning Candidate]]-Audit[[#This Row],[Audit Losing Candidate]]))/(Audit[[#Totals],[Winning Candidate]]-Audit[[#Totals],[Losing Candidate]]),
      0
)</f>
        <v>0</v>
      </c>
      <c r="AD8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4" s="111">
        <f>IF(Audit[[#This Row],[Max Relative Error (ep)]] = 0, 0, Audit[[#This Row],[Max Relative Error (ep)]]/Audit[[#This Row],[Error Bound (up) - Max. possible relative overstatement]])</f>
        <v>0</v>
      </c>
      <c r="AJ8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34" s="111">
        <f t="shared" si="12"/>
        <v>1</v>
      </c>
      <c r="AL834" s="111">
        <f>PRODUCT($AK$5:AK834)</f>
        <v>8.962823818226312E-2</v>
      </c>
      <c r="AM834" s="109">
        <f>1 - [K-M P Value]</f>
        <v>0.91037176181773694</v>
      </c>
      <c r="AN834" s="111" t="str">
        <f>IF(Audit[[#This Row],[K-M P Value]]&gt;1-'General Info'!$B$16,"Continue", "Stop")</f>
        <v>Stop</v>
      </c>
      <c r="AO834" s="110" t="b">
        <f>IF(Audit[[#This Row],[Status - Continue or stop audit]] = "Continue", TRUE, IF(AN833 = "Continue", TRUE, FALSE))</f>
        <v>0</v>
      </c>
      <c r="AP834" s="110"/>
    </row>
    <row r="835" spans="1:42" ht="15" hidden="1" customHeight="1">
      <c r="A835" s="111" t="str">
        <f>'Sampling Data'!W826</f>
        <v/>
      </c>
      <c r="B835" s="112" t="str">
        <f>'Sampling Data'!A826</f>
        <v>CLEVELAND -16-G - ABS</v>
      </c>
      <c r="C835" s="112">
        <f>'Sampling Data'!B826</f>
        <v>1</v>
      </c>
      <c r="D835" s="112">
        <f>'Sampling Data'!C826</f>
        <v>2</v>
      </c>
      <c r="E835" s="113">
        <f>'Sampling Data'!D826</f>
        <v>0</v>
      </c>
      <c r="F835" s="113">
        <f>'Sampling Data'!E826</f>
        <v>1</v>
      </c>
      <c r="G835" s="113">
        <f>'Sampling Data'!F826</f>
        <v>0</v>
      </c>
      <c r="H835" s="113">
        <f>'Sampling Data'!G826</f>
        <v>0</v>
      </c>
      <c r="I835" s="112">
        <f>'Sampling Data'!H826</f>
        <v>0</v>
      </c>
      <c r="J835" s="112">
        <f>'Sampling Data'!I826</f>
        <v>0</v>
      </c>
      <c r="K835" s="112">
        <f>'Sampling Data'!J826</f>
        <v>4</v>
      </c>
      <c r="L835" s="111">
        <f>'Sampling Data'!X826</f>
        <v>0</v>
      </c>
      <c r="M835" s="114"/>
      <c r="N835" s="114"/>
      <c r="O835" s="115"/>
      <c r="P835" s="115"/>
      <c r="Q835" s="116"/>
      <c r="R835" s="116"/>
      <c r="S835" s="111">
        <f>Audit[[#This Row],[Audit Losing Candidate]]-Audit[[#This Row],[Losing Candidate]]</f>
        <v>-1</v>
      </c>
      <c r="T835" s="111">
        <f>Audit[[#This Row],[Audit Winning Candidate]]-Audit[[#This Row],[Winning Candidate]]</f>
        <v>-2</v>
      </c>
      <c r="U835" s="111">
        <f>Audit[[#This Row],[Audit Candidate 3]]-Audit[[#This Row],[Candidate 3]]</f>
        <v>0</v>
      </c>
      <c r="V835" s="111">
        <f>Audit[[#This Row],[Audit Candidate 4]]-Audit[[#This Row],[Candidate 4]]</f>
        <v>-1</v>
      </c>
      <c r="W835" s="111">
        <f>Audit[[#This Row],[Audit Candidate 5]]-Audit[[#This Row],[Candidate 5]]</f>
        <v>0</v>
      </c>
      <c r="X835" s="111">
        <f>Audit[[#This Row],[Audit Candidate 6]]-Audit[[#This Row],[Candidate 6]]</f>
        <v>0</v>
      </c>
      <c r="Y835" s="111">
        <f>SUMIF(Audit[[#This Row],[Difference Loser]:[Difference Candidate 6]], "&gt;0")</f>
        <v>0</v>
      </c>
      <c r="Z835" s="111">
        <f>SUM(Audit[[#This Row],[Difference Loser]:[Difference Candidate 6]])</f>
        <v>-4</v>
      </c>
      <c r="AA835" s="111">
        <f>IF(Audit[[#This Row],[Times p Drawn - With Replacement]]&gt;0, IF(Audit[[#This Row],[Canceled Differences]]&lt;0, Audit[[#This Row],[Max Differences]]+ABS(Audit[[#This Row],[Canceled Differences]]), Audit[[#This Row],[Max Differences]]), 0)</f>
        <v>0</v>
      </c>
      <c r="AB835" s="111">
        <f>'Sampling Data'!P826</f>
        <v>3.0622243998040176E-4</v>
      </c>
      <c r="AC835" s="111">
        <f>IF(
      SUM(Audit[[#This Row],[Audit Losing Candidate]:[Audit Candidate 6]])
      &lt;&gt;0,
      (Audit[[#This Row],[Winning Candidate]]-Audit[[#This Row],[Losing Candidate]]-(Audit[[#This Row],[Audit Winning Candidate]]-Audit[[#This Row],[Audit Losing Candidate]]))/(Audit[[#Totals],[Winning Candidate]]-Audit[[#Totals],[Losing Candidate]]),
      0
)</f>
        <v>0</v>
      </c>
      <c r="AD8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5" s="111">
        <f>IF(Audit[[#This Row],[Max Relative Error (ep)]] = 0, 0, Audit[[#This Row],[Max Relative Error (ep)]]/Audit[[#This Row],[Error Bound (up) - Max. possible relative overstatement]])</f>
        <v>0</v>
      </c>
      <c r="AJ8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35" s="111">
        <f t="shared" si="12"/>
        <v>1</v>
      </c>
      <c r="AL835" s="111">
        <f>PRODUCT($AK$5:AK835)</f>
        <v>8.962823818226312E-2</v>
      </c>
      <c r="AM835" s="109">
        <f>1 - [K-M P Value]</f>
        <v>0.91037176181773694</v>
      </c>
      <c r="AN835" s="111" t="str">
        <f>IF(Audit[[#This Row],[K-M P Value]]&gt;1-'General Info'!$B$16,"Continue", "Stop")</f>
        <v>Stop</v>
      </c>
      <c r="AO835" s="110" t="b">
        <f>IF(Audit[[#This Row],[Status - Continue or stop audit]] = "Continue", TRUE, IF(AN834 = "Continue", TRUE, FALSE))</f>
        <v>0</v>
      </c>
      <c r="AP835" s="110"/>
    </row>
    <row r="836" spans="1:42" ht="15" hidden="1" customHeight="1">
      <c r="A836" s="111" t="str">
        <f>'Sampling Data'!W827</f>
        <v/>
      </c>
      <c r="B836" s="112" t="str">
        <f>'Sampling Data'!A827</f>
        <v>CLEVELAND -16-G.02</v>
      </c>
      <c r="C836" s="112">
        <f>'Sampling Data'!B827</f>
        <v>0</v>
      </c>
      <c r="D836" s="112">
        <f>'Sampling Data'!C827</f>
        <v>0</v>
      </c>
      <c r="E836" s="113">
        <f>'Sampling Data'!D827</f>
        <v>0</v>
      </c>
      <c r="F836" s="113">
        <f>'Sampling Data'!E827</f>
        <v>0</v>
      </c>
      <c r="G836" s="113">
        <f>'Sampling Data'!F827</f>
        <v>0</v>
      </c>
      <c r="H836" s="113">
        <f>'Sampling Data'!G827</f>
        <v>0</v>
      </c>
      <c r="I836" s="112">
        <f>'Sampling Data'!H827</f>
        <v>0</v>
      </c>
      <c r="J836" s="112">
        <f>'Sampling Data'!I827</f>
        <v>0</v>
      </c>
      <c r="K836" s="112">
        <f>'Sampling Data'!J827</f>
        <v>0</v>
      </c>
      <c r="L836" s="111">
        <f>'Sampling Data'!X827</f>
        <v>0</v>
      </c>
      <c r="M836" s="114"/>
      <c r="N836" s="114"/>
      <c r="O836" s="115"/>
      <c r="P836" s="115"/>
      <c r="Q836" s="116"/>
      <c r="R836" s="116"/>
      <c r="S836" s="111">
        <f>Audit[[#This Row],[Audit Losing Candidate]]-Audit[[#This Row],[Losing Candidate]]</f>
        <v>0</v>
      </c>
      <c r="T836" s="111">
        <f>Audit[[#This Row],[Audit Winning Candidate]]-Audit[[#This Row],[Winning Candidate]]</f>
        <v>0</v>
      </c>
      <c r="U836" s="111">
        <f>Audit[[#This Row],[Audit Candidate 3]]-Audit[[#This Row],[Candidate 3]]</f>
        <v>0</v>
      </c>
      <c r="V836" s="111">
        <f>Audit[[#This Row],[Audit Candidate 4]]-Audit[[#This Row],[Candidate 4]]</f>
        <v>0</v>
      </c>
      <c r="W836" s="111">
        <f>Audit[[#This Row],[Audit Candidate 5]]-Audit[[#This Row],[Candidate 5]]</f>
        <v>0</v>
      </c>
      <c r="X836" s="111">
        <f>Audit[[#This Row],[Audit Candidate 6]]-Audit[[#This Row],[Candidate 6]]</f>
        <v>0</v>
      </c>
      <c r="Y836" s="111">
        <f>SUMIF(Audit[[#This Row],[Difference Loser]:[Difference Candidate 6]], "&gt;0")</f>
        <v>0</v>
      </c>
      <c r="Z836" s="111">
        <f>SUM(Audit[[#This Row],[Difference Loser]:[Difference Candidate 6]])</f>
        <v>0</v>
      </c>
      <c r="AA836" s="111">
        <f>IF(Audit[[#This Row],[Times p Drawn - With Replacement]]&gt;0, IF(Audit[[#This Row],[Canceled Differences]]&lt;0, Audit[[#This Row],[Max Differences]]+ABS(Audit[[#This Row],[Canceled Differences]]), Audit[[#This Row],[Max Differences]]), 0)</f>
        <v>0</v>
      </c>
      <c r="AB836" s="111">
        <f>'Sampling Data'!P827</f>
        <v>0</v>
      </c>
      <c r="AC836" s="111">
        <f>IF(
      SUM(Audit[[#This Row],[Audit Losing Candidate]:[Audit Candidate 6]])
      &lt;&gt;0,
      (Audit[[#This Row],[Winning Candidate]]-Audit[[#This Row],[Losing Candidate]]-(Audit[[#This Row],[Audit Winning Candidate]]-Audit[[#This Row],[Audit Losing Candidate]]))/(Audit[[#Totals],[Winning Candidate]]-Audit[[#Totals],[Losing Candidate]]),
      0
)</f>
        <v>0</v>
      </c>
      <c r="AD8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6" s="111">
        <f>IF(Audit[[#This Row],[Max Relative Error (ep)]] = 0, 0, Audit[[#This Row],[Max Relative Error (ep)]]/Audit[[#This Row],[Error Bound (up) - Max. possible relative overstatement]])</f>
        <v>0</v>
      </c>
      <c r="AJ8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36" s="111">
        <f t="shared" si="12"/>
        <v>1</v>
      </c>
      <c r="AL836" s="111">
        <f>PRODUCT($AK$5:AK836)</f>
        <v>8.962823818226312E-2</v>
      </c>
      <c r="AM836" s="109">
        <f>1 - [K-M P Value]</f>
        <v>0.91037176181773694</v>
      </c>
      <c r="AN836" s="111" t="str">
        <f>IF(Audit[[#This Row],[K-M P Value]]&gt;1-'General Info'!$B$16,"Continue", "Stop")</f>
        <v>Stop</v>
      </c>
      <c r="AO836" s="110" t="b">
        <f>IF(Audit[[#This Row],[Status - Continue or stop audit]] = "Continue", TRUE, IF(AN835 = "Continue", TRUE, FALSE))</f>
        <v>0</v>
      </c>
      <c r="AP836" s="110"/>
    </row>
    <row r="837" spans="1:42" ht="15" hidden="1" customHeight="1">
      <c r="A837" s="111" t="str">
        <f>'Sampling Data'!W828</f>
        <v/>
      </c>
      <c r="B837" s="112" t="str">
        <f>'Sampling Data'!A828</f>
        <v>CLEVELAND -16-G.02 - ABS</v>
      </c>
      <c r="C837" s="112">
        <f>'Sampling Data'!B828</f>
        <v>0</v>
      </c>
      <c r="D837" s="112">
        <f>'Sampling Data'!C828</f>
        <v>0</v>
      </c>
      <c r="E837" s="113">
        <f>'Sampling Data'!D828</f>
        <v>0</v>
      </c>
      <c r="F837" s="113">
        <f>'Sampling Data'!E828</f>
        <v>0</v>
      </c>
      <c r="G837" s="113">
        <f>'Sampling Data'!F828</f>
        <v>0</v>
      </c>
      <c r="H837" s="113">
        <f>'Sampling Data'!G828</f>
        <v>0</v>
      </c>
      <c r="I837" s="112">
        <f>'Sampling Data'!H828</f>
        <v>0</v>
      </c>
      <c r="J837" s="112">
        <f>'Sampling Data'!I828</f>
        <v>0</v>
      </c>
      <c r="K837" s="112">
        <f>'Sampling Data'!J828</f>
        <v>0</v>
      </c>
      <c r="L837" s="111">
        <f>'Sampling Data'!X828</f>
        <v>0</v>
      </c>
      <c r="M837" s="114"/>
      <c r="N837" s="114"/>
      <c r="O837" s="115"/>
      <c r="P837" s="115"/>
      <c r="Q837" s="116"/>
      <c r="R837" s="116"/>
      <c r="S837" s="111">
        <f>Audit[[#This Row],[Audit Losing Candidate]]-Audit[[#This Row],[Losing Candidate]]</f>
        <v>0</v>
      </c>
      <c r="T837" s="111">
        <f>Audit[[#This Row],[Audit Winning Candidate]]-Audit[[#This Row],[Winning Candidate]]</f>
        <v>0</v>
      </c>
      <c r="U837" s="111">
        <f>Audit[[#This Row],[Audit Candidate 3]]-Audit[[#This Row],[Candidate 3]]</f>
        <v>0</v>
      </c>
      <c r="V837" s="111">
        <f>Audit[[#This Row],[Audit Candidate 4]]-Audit[[#This Row],[Candidate 4]]</f>
        <v>0</v>
      </c>
      <c r="W837" s="111">
        <f>Audit[[#This Row],[Audit Candidate 5]]-Audit[[#This Row],[Candidate 5]]</f>
        <v>0</v>
      </c>
      <c r="X837" s="111">
        <f>Audit[[#This Row],[Audit Candidate 6]]-Audit[[#This Row],[Candidate 6]]</f>
        <v>0</v>
      </c>
      <c r="Y837" s="111">
        <f>SUMIF(Audit[[#This Row],[Difference Loser]:[Difference Candidate 6]], "&gt;0")</f>
        <v>0</v>
      </c>
      <c r="Z837" s="111">
        <f>SUM(Audit[[#This Row],[Difference Loser]:[Difference Candidate 6]])</f>
        <v>0</v>
      </c>
      <c r="AA837" s="111">
        <f>IF(Audit[[#This Row],[Times p Drawn - With Replacement]]&gt;0, IF(Audit[[#This Row],[Canceled Differences]]&lt;0, Audit[[#This Row],[Max Differences]]+ABS(Audit[[#This Row],[Canceled Differences]]), Audit[[#This Row],[Max Differences]]), 0)</f>
        <v>0</v>
      </c>
      <c r="AB837" s="111">
        <f>'Sampling Data'!P828</f>
        <v>0</v>
      </c>
      <c r="AC837" s="111">
        <f>IF(
      SUM(Audit[[#This Row],[Audit Losing Candidate]:[Audit Candidate 6]])
      &lt;&gt;0,
      (Audit[[#This Row],[Winning Candidate]]-Audit[[#This Row],[Losing Candidate]]-(Audit[[#This Row],[Audit Winning Candidate]]-Audit[[#This Row],[Audit Losing Candidate]]))/(Audit[[#Totals],[Winning Candidate]]-Audit[[#Totals],[Losing Candidate]]),
      0
)</f>
        <v>0</v>
      </c>
      <c r="AD8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7" s="111">
        <f>IF(Audit[[#This Row],[Max Relative Error (ep)]] = 0, 0, Audit[[#This Row],[Max Relative Error (ep)]]/Audit[[#This Row],[Error Bound (up) - Max. possible relative overstatement]])</f>
        <v>0</v>
      </c>
      <c r="AJ8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37" s="111">
        <f t="shared" ref="AK837:AK900" si="13">IF(ISERR(POWER(AJ837,L837)), 0, POWER(AJ837,L837))</f>
        <v>1</v>
      </c>
      <c r="AL837" s="111">
        <f>PRODUCT($AK$5:AK837)</f>
        <v>8.962823818226312E-2</v>
      </c>
      <c r="AM837" s="109">
        <f>1 - [K-M P Value]</f>
        <v>0.91037176181773694</v>
      </c>
      <c r="AN837" s="111" t="str">
        <f>IF(Audit[[#This Row],[K-M P Value]]&gt;1-'General Info'!$B$16,"Continue", "Stop")</f>
        <v>Stop</v>
      </c>
      <c r="AO837" s="110" t="b">
        <f>IF(Audit[[#This Row],[Status - Continue or stop audit]] = "Continue", TRUE, IF(AN836 = "Continue", TRUE, FALSE))</f>
        <v>0</v>
      </c>
      <c r="AP837" s="110"/>
    </row>
    <row r="838" spans="1:42" ht="15" hidden="1" customHeight="1">
      <c r="A838" s="111" t="str">
        <f>'Sampling Data'!W829</f>
        <v/>
      </c>
      <c r="B838" s="112" t="str">
        <f>'Sampling Data'!A829</f>
        <v>CLEVELAND -16-H</v>
      </c>
      <c r="C838" s="112">
        <f>'Sampling Data'!B829</f>
        <v>1</v>
      </c>
      <c r="D838" s="112">
        <f>'Sampling Data'!C829</f>
        <v>0</v>
      </c>
      <c r="E838" s="113">
        <f>'Sampling Data'!D829</f>
        <v>0</v>
      </c>
      <c r="F838" s="113">
        <f>'Sampling Data'!E829</f>
        <v>0</v>
      </c>
      <c r="G838" s="113">
        <f>'Sampling Data'!F829</f>
        <v>0</v>
      </c>
      <c r="H838" s="113">
        <f>'Sampling Data'!G829</f>
        <v>0</v>
      </c>
      <c r="I838" s="112">
        <f>'Sampling Data'!H829</f>
        <v>0</v>
      </c>
      <c r="J838" s="112">
        <f>'Sampling Data'!I829</f>
        <v>0</v>
      </c>
      <c r="K838" s="112">
        <f>'Sampling Data'!J829</f>
        <v>1</v>
      </c>
      <c r="L838" s="111">
        <f>'Sampling Data'!X829</f>
        <v>0</v>
      </c>
      <c r="M838" s="114"/>
      <c r="N838" s="114"/>
      <c r="O838" s="115"/>
      <c r="P838" s="115"/>
      <c r="Q838" s="116"/>
      <c r="R838" s="116"/>
      <c r="S838" s="111">
        <f>Audit[[#This Row],[Audit Losing Candidate]]-Audit[[#This Row],[Losing Candidate]]</f>
        <v>-1</v>
      </c>
      <c r="T838" s="111">
        <f>Audit[[#This Row],[Audit Winning Candidate]]-Audit[[#This Row],[Winning Candidate]]</f>
        <v>0</v>
      </c>
      <c r="U838" s="111">
        <f>Audit[[#This Row],[Audit Candidate 3]]-Audit[[#This Row],[Candidate 3]]</f>
        <v>0</v>
      </c>
      <c r="V838" s="111">
        <f>Audit[[#This Row],[Audit Candidate 4]]-Audit[[#This Row],[Candidate 4]]</f>
        <v>0</v>
      </c>
      <c r="W838" s="111">
        <f>Audit[[#This Row],[Audit Candidate 5]]-Audit[[#This Row],[Candidate 5]]</f>
        <v>0</v>
      </c>
      <c r="X838" s="111">
        <f>Audit[[#This Row],[Audit Candidate 6]]-Audit[[#This Row],[Candidate 6]]</f>
        <v>0</v>
      </c>
      <c r="Y838" s="111">
        <f>SUMIF(Audit[[#This Row],[Difference Loser]:[Difference Candidate 6]], "&gt;0")</f>
        <v>0</v>
      </c>
      <c r="Z838" s="111">
        <f>SUM(Audit[[#This Row],[Difference Loser]:[Difference Candidate 6]])</f>
        <v>-1</v>
      </c>
      <c r="AA838" s="111">
        <f>IF(Audit[[#This Row],[Times p Drawn - With Replacement]]&gt;0, IF(Audit[[#This Row],[Canceled Differences]]&lt;0, Audit[[#This Row],[Max Differences]]+ABS(Audit[[#This Row],[Canceled Differences]]), Audit[[#This Row],[Max Differences]]), 0)</f>
        <v>0</v>
      </c>
      <c r="AB838" s="111">
        <f>'Sampling Data'!P829</f>
        <v>3.2261186566441917E-5</v>
      </c>
      <c r="AC838" s="111">
        <f>IF(
      SUM(Audit[[#This Row],[Audit Losing Candidate]:[Audit Candidate 6]])
      &lt;&gt;0,
      (Audit[[#This Row],[Winning Candidate]]-Audit[[#This Row],[Losing Candidate]]-(Audit[[#This Row],[Audit Winning Candidate]]-Audit[[#This Row],[Audit Losing Candidate]]))/(Audit[[#Totals],[Winning Candidate]]-Audit[[#Totals],[Losing Candidate]]),
      0
)</f>
        <v>0</v>
      </c>
      <c r="AD8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8" s="111">
        <f>IF(Audit[[#This Row],[Max Relative Error (ep)]] = 0, 0, Audit[[#This Row],[Max Relative Error (ep)]]/Audit[[#This Row],[Error Bound (up) - Max. possible relative overstatement]])</f>
        <v>0</v>
      </c>
      <c r="AJ8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38" s="111">
        <f t="shared" si="13"/>
        <v>1</v>
      </c>
      <c r="AL838" s="111">
        <f>PRODUCT($AK$5:AK838)</f>
        <v>8.962823818226312E-2</v>
      </c>
      <c r="AM838" s="109">
        <f>1 - [K-M P Value]</f>
        <v>0.91037176181773694</v>
      </c>
      <c r="AN838" s="111" t="str">
        <f>IF(Audit[[#This Row],[K-M P Value]]&gt;1-'General Info'!$B$16,"Continue", "Stop")</f>
        <v>Stop</v>
      </c>
      <c r="AO838" s="110" t="b">
        <f>IF(Audit[[#This Row],[Status - Continue or stop audit]] = "Continue", TRUE, IF(AN837 = "Continue", TRUE, FALSE))</f>
        <v>0</v>
      </c>
      <c r="AP838" s="110"/>
    </row>
    <row r="839" spans="1:42" ht="15" hidden="1" customHeight="1">
      <c r="A839" s="111" t="str">
        <f>'Sampling Data'!W830</f>
        <v/>
      </c>
      <c r="B839" s="112" t="str">
        <f>'Sampling Data'!A830</f>
        <v>CLEVELAND -16-H - ABS</v>
      </c>
      <c r="C839" s="112">
        <f>'Sampling Data'!B830</f>
        <v>2</v>
      </c>
      <c r="D839" s="112">
        <f>'Sampling Data'!C830</f>
        <v>4</v>
      </c>
      <c r="E839" s="113">
        <f>'Sampling Data'!D830</f>
        <v>2</v>
      </c>
      <c r="F839" s="113">
        <f>'Sampling Data'!E830</f>
        <v>0</v>
      </c>
      <c r="G839" s="113">
        <f>'Sampling Data'!F830</f>
        <v>0</v>
      </c>
      <c r="H839" s="113">
        <f>'Sampling Data'!G830</f>
        <v>0</v>
      </c>
      <c r="I839" s="112">
        <f>'Sampling Data'!H830</f>
        <v>0</v>
      </c>
      <c r="J839" s="112">
        <f>'Sampling Data'!I830</f>
        <v>1</v>
      </c>
      <c r="K839" s="112">
        <f>'Sampling Data'!J830</f>
        <v>9</v>
      </c>
      <c r="L839" s="111">
        <f>'Sampling Data'!X830</f>
        <v>0</v>
      </c>
      <c r="M839" s="114"/>
      <c r="N839" s="114"/>
      <c r="O839" s="115"/>
      <c r="P839" s="115"/>
      <c r="Q839" s="116"/>
      <c r="R839" s="116"/>
      <c r="S839" s="111">
        <f>Audit[[#This Row],[Audit Losing Candidate]]-Audit[[#This Row],[Losing Candidate]]</f>
        <v>-2</v>
      </c>
      <c r="T839" s="111">
        <f>Audit[[#This Row],[Audit Winning Candidate]]-Audit[[#This Row],[Winning Candidate]]</f>
        <v>-4</v>
      </c>
      <c r="U839" s="111">
        <f>Audit[[#This Row],[Audit Candidate 3]]-Audit[[#This Row],[Candidate 3]]</f>
        <v>-2</v>
      </c>
      <c r="V839" s="111">
        <f>Audit[[#This Row],[Audit Candidate 4]]-Audit[[#This Row],[Candidate 4]]</f>
        <v>0</v>
      </c>
      <c r="W839" s="111">
        <f>Audit[[#This Row],[Audit Candidate 5]]-Audit[[#This Row],[Candidate 5]]</f>
        <v>0</v>
      </c>
      <c r="X839" s="111">
        <f>Audit[[#This Row],[Audit Candidate 6]]-Audit[[#This Row],[Candidate 6]]</f>
        <v>0</v>
      </c>
      <c r="Y839" s="111">
        <f>SUMIF(Audit[[#This Row],[Difference Loser]:[Difference Candidate 6]], "&gt;0")</f>
        <v>0</v>
      </c>
      <c r="Z839" s="111">
        <f>SUM(Audit[[#This Row],[Difference Loser]:[Difference Candidate 6]])</f>
        <v>-8</v>
      </c>
      <c r="AA839" s="111">
        <f>IF(Audit[[#This Row],[Times p Drawn - With Replacement]]&gt;0, IF(Audit[[#This Row],[Canceled Differences]]&lt;0, Audit[[#This Row],[Max Differences]]+ABS(Audit[[#This Row],[Canceled Differences]]), Audit[[#This Row],[Max Differences]]), 0)</f>
        <v>0</v>
      </c>
      <c r="AB839" s="111">
        <f>'Sampling Data'!P830</f>
        <v>6.7368936795688392E-4</v>
      </c>
      <c r="AC839" s="111">
        <f>IF(
      SUM(Audit[[#This Row],[Audit Losing Candidate]:[Audit Candidate 6]])
      &lt;&gt;0,
      (Audit[[#This Row],[Winning Candidate]]-Audit[[#This Row],[Losing Candidate]]-(Audit[[#This Row],[Audit Winning Candidate]]-Audit[[#This Row],[Audit Losing Candidate]]))/(Audit[[#Totals],[Winning Candidate]]-Audit[[#Totals],[Losing Candidate]]),
      0
)</f>
        <v>0</v>
      </c>
      <c r="AD8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9" s="111">
        <f>IF(Audit[[#This Row],[Max Relative Error (ep)]] = 0, 0, Audit[[#This Row],[Max Relative Error (ep)]]/Audit[[#This Row],[Error Bound (up) - Max. possible relative overstatement]])</f>
        <v>0</v>
      </c>
      <c r="AJ8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39" s="111">
        <f t="shared" si="13"/>
        <v>1</v>
      </c>
      <c r="AL839" s="111">
        <f>PRODUCT($AK$5:AK839)</f>
        <v>8.962823818226312E-2</v>
      </c>
      <c r="AM839" s="109">
        <f>1 - [K-M P Value]</f>
        <v>0.91037176181773694</v>
      </c>
      <c r="AN839" s="111" t="str">
        <f>IF(Audit[[#This Row],[K-M P Value]]&gt;1-'General Info'!$B$16,"Continue", "Stop")</f>
        <v>Stop</v>
      </c>
      <c r="AO839" s="110" t="b">
        <f>IF(Audit[[#This Row],[Status - Continue or stop audit]] = "Continue", TRUE, IF(AN838 = "Continue", TRUE, FALSE))</f>
        <v>0</v>
      </c>
      <c r="AP839" s="110"/>
    </row>
    <row r="840" spans="1:42" ht="15" hidden="1" customHeight="1">
      <c r="A840" s="111" t="str">
        <f>'Sampling Data'!W831</f>
        <v/>
      </c>
      <c r="B840" s="112" t="str">
        <f>'Sampling Data'!A831</f>
        <v>CLEVELAND -16-H.02</v>
      </c>
      <c r="C840" s="112">
        <f>'Sampling Data'!B831</f>
        <v>5</v>
      </c>
      <c r="D840" s="112">
        <f>'Sampling Data'!C831</f>
        <v>5</v>
      </c>
      <c r="E840" s="113">
        <f>'Sampling Data'!D831</f>
        <v>4</v>
      </c>
      <c r="F840" s="113">
        <f>'Sampling Data'!E831</f>
        <v>4</v>
      </c>
      <c r="G840" s="113">
        <f>'Sampling Data'!F831</f>
        <v>0</v>
      </c>
      <c r="H840" s="113">
        <f>'Sampling Data'!G831</f>
        <v>0</v>
      </c>
      <c r="I840" s="112">
        <f>'Sampling Data'!H831</f>
        <v>0</v>
      </c>
      <c r="J840" s="112">
        <f>'Sampling Data'!I831</f>
        <v>0</v>
      </c>
      <c r="K840" s="112">
        <f>'Sampling Data'!J831</f>
        <v>18</v>
      </c>
      <c r="L840" s="111">
        <f>'Sampling Data'!X831</f>
        <v>0</v>
      </c>
      <c r="M840" s="114"/>
      <c r="N840" s="114"/>
      <c r="O840" s="115"/>
      <c r="P840" s="115"/>
      <c r="Q840" s="116"/>
      <c r="R840" s="116"/>
      <c r="S840" s="111">
        <f>Audit[[#This Row],[Audit Losing Candidate]]-Audit[[#This Row],[Losing Candidate]]</f>
        <v>-5</v>
      </c>
      <c r="T840" s="111">
        <f>Audit[[#This Row],[Audit Winning Candidate]]-Audit[[#This Row],[Winning Candidate]]</f>
        <v>-5</v>
      </c>
      <c r="U840" s="111">
        <f>Audit[[#This Row],[Audit Candidate 3]]-Audit[[#This Row],[Candidate 3]]</f>
        <v>-4</v>
      </c>
      <c r="V840" s="111">
        <f>Audit[[#This Row],[Audit Candidate 4]]-Audit[[#This Row],[Candidate 4]]</f>
        <v>-4</v>
      </c>
      <c r="W840" s="111">
        <f>Audit[[#This Row],[Audit Candidate 5]]-Audit[[#This Row],[Candidate 5]]</f>
        <v>0</v>
      </c>
      <c r="X840" s="111">
        <f>Audit[[#This Row],[Audit Candidate 6]]-Audit[[#This Row],[Candidate 6]]</f>
        <v>0</v>
      </c>
      <c r="Y840" s="111">
        <f>SUMIF(Audit[[#This Row],[Difference Loser]:[Difference Candidate 6]], "&gt;0")</f>
        <v>0</v>
      </c>
      <c r="Z840" s="111">
        <f>SUM(Audit[[#This Row],[Difference Loser]:[Difference Candidate 6]])</f>
        <v>-18</v>
      </c>
      <c r="AA840" s="111">
        <f>IF(Audit[[#This Row],[Times p Drawn - With Replacement]]&gt;0, IF(Audit[[#This Row],[Canceled Differences]]&lt;0, Audit[[#This Row],[Max Differences]]+ABS(Audit[[#This Row],[Canceled Differences]]), Audit[[#This Row],[Max Differences]]), 0)</f>
        <v>0</v>
      </c>
      <c r="AB840" s="111">
        <f>'Sampling Data'!P831</f>
        <v>1.1024007839294464E-3</v>
      </c>
      <c r="AC840" s="111">
        <f>IF(
      SUM(Audit[[#This Row],[Audit Losing Candidate]:[Audit Candidate 6]])
      &lt;&gt;0,
      (Audit[[#This Row],[Winning Candidate]]-Audit[[#This Row],[Losing Candidate]]-(Audit[[#This Row],[Audit Winning Candidate]]-Audit[[#This Row],[Audit Losing Candidate]]))/(Audit[[#Totals],[Winning Candidate]]-Audit[[#Totals],[Losing Candidate]]),
      0
)</f>
        <v>0</v>
      </c>
      <c r="AD8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0" s="111">
        <f>IF(Audit[[#This Row],[Max Relative Error (ep)]] = 0, 0, Audit[[#This Row],[Max Relative Error (ep)]]/Audit[[#This Row],[Error Bound (up) - Max. possible relative overstatement]])</f>
        <v>0</v>
      </c>
      <c r="AJ8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40" s="111">
        <f t="shared" si="13"/>
        <v>1</v>
      </c>
      <c r="AL840" s="111">
        <f>PRODUCT($AK$5:AK840)</f>
        <v>8.962823818226312E-2</v>
      </c>
      <c r="AM840" s="109">
        <f>1 - [K-M P Value]</f>
        <v>0.91037176181773694</v>
      </c>
      <c r="AN840" s="111" t="str">
        <f>IF(Audit[[#This Row],[K-M P Value]]&gt;1-'General Info'!$B$16,"Continue", "Stop")</f>
        <v>Stop</v>
      </c>
      <c r="AO840" s="110" t="b">
        <f>IF(Audit[[#This Row],[Status - Continue or stop audit]] = "Continue", TRUE, IF(AN839 = "Continue", TRUE, FALSE))</f>
        <v>0</v>
      </c>
      <c r="AP840" s="110"/>
    </row>
    <row r="841" spans="1:42" ht="15" hidden="1" customHeight="1">
      <c r="A841" s="111" t="str">
        <f>'Sampling Data'!W832</f>
        <v/>
      </c>
      <c r="B841" s="112" t="str">
        <f>'Sampling Data'!A832</f>
        <v>CLEVELAND -16-H.02 - ABS</v>
      </c>
      <c r="C841" s="112">
        <f>'Sampling Data'!B832</f>
        <v>0</v>
      </c>
      <c r="D841" s="112">
        <f>'Sampling Data'!C832</f>
        <v>0</v>
      </c>
      <c r="E841" s="113">
        <f>'Sampling Data'!D832</f>
        <v>0</v>
      </c>
      <c r="F841" s="113">
        <f>'Sampling Data'!E832</f>
        <v>0</v>
      </c>
      <c r="G841" s="113">
        <f>'Sampling Data'!F832</f>
        <v>0</v>
      </c>
      <c r="H841" s="113">
        <f>'Sampling Data'!G832</f>
        <v>0</v>
      </c>
      <c r="I841" s="112">
        <f>'Sampling Data'!H832</f>
        <v>0</v>
      </c>
      <c r="J841" s="112">
        <f>'Sampling Data'!I832</f>
        <v>0</v>
      </c>
      <c r="K841" s="112">
        <f>'Sampling Data'!J832</f>
        <v>0</v>
      </c>
      <c r="L841" s="111">
        <f>'Sampling Data'!X832</f>
        <v>0</v>
      </c>
      <c r="M841" s="114"/>
      <c r="N841" s="114"/>
      <c r="O841" s="115"/>
      <c r="P841" s="115"/>
      <c r="Q841" s="116"/>
      <c r="R841" s="116"/>
      <c r="S841" s="111">
        <f>Audit[[#This Row],[Audit Losing Candidate]]-Audit[[#This Row],[Losing Candidate]]</f>
        <v>0</v>
      </c>
      <c r="T841" s="111">
        <f>Audit[[#This Row],[Audit Winning Candidate]]-Audit[[#This Row],[Winning Candidate]]</f>
        <v>0</v>
      </c>
      <c r="U841" s="111">
        <f>Audit[[#This Row],[Audit Candidate 3]]-Audit[[#This Row],[Candidate 3]]</f>
        <v>0</v>
      </c>
      <c r="V841" s="111">
        <f>Audit[[#This Row],[Audit Candidate 4]]-Audit[[#This Row],[Candidate 4]]</f>
        <v>0</v>
      </c>
      <c r="W841" s="111">
        <f>Audit[[#This Row],[Audit Candidate 5]]-Audit[[#This Row],[Candidate 5]]</f>
        <v>0</v>
      </c>
      <c r="X841" s="111">
        <f>Audit[[#This Row],[Audit Candidate 6]]-Audit[[#This Row],[Candidate 6]]</f>
        <v>0</v>
      </c>
      <c r="Y841" s="111">
        <f>SUMIF(Audit[[#This Row],[Difference Loser]:[Difference Candidate 6]], "&gt;0")</f>
        <v>0</v>
      </c>
      <c r="Z841" s="111">
        <f>SUM(Audit[[#This Row],[Difference Loser]:[Difference Candidate 6]])</f>
        <v>0</v>
      </c>
      <c r="AA841" s="111">
        <f>IF(Audit[[#This Row],[Times p Drawn - With Replacement]]&gt;0, IF(Audit[[#This Row],[Canceled Differences]]&lt;0, Audit[[#This Row],[Max Differences]]+ABS(Audit[[#This Row],[Canceled Differences]]), Audit[[#This Row],[Max Differences]]), 0)</f>
        <v>0</v>
      </c>
      <c r="AB841" s="111">
        <f>'Sampling Data'!P832</f>
        <v>0</v>
      </c>
      <c r="AC841" s="111">
        <f>IF(
      SUM(Audit[[#This Row],[Audit Losing Candidate]:[Audit Candidate 6]])
      &lt;&gt;0,
      (Audit[[#This Row],[Winning Candidate]]-Audit[[#This Row],[Losing Candidate]]-(Audit[[#This Row],[Audit Winning Candidate]]-Audit[[#This Row],[Audit Losing Candidate]]))/(Audit[[#Totals],[Winning Candidate]]-Audit[[#Totals],[Losing Candidate]]),
      0
)</f>
        <v>0</v>
      </c>
      <c r="AD8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1" s="111">
        <f>IF(Audit[[#This Row],[Max Relative Error (ep)]] = 0, 0, Audit[[#This Row],[Max Relative Error (ep)]]/Audit[[#This Row],[Error Bound (up) - Max. possible relative overstatement]])</f>
        <v>0</v>
      </c>
      <c r="AJ8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41" s="111">
        <f t="shared" si="13"/>
        <v>1</v>
      </c>
      <c r="AL841" s="111">
        <f>PRODUCT($AK$5:AK841)</f>
        <v>8.962823818226312E-2</v>
      </c>
      <c r="AM841" s="109">
        <f>1 - [K-M P Value]</f>
        <v>0.91037176181773694</v>
      </c>
      <c r="AN841" s="111" t="str">
        <f>IF(Audit[[#This Row],[K-M P Value]]&gt;1-'General Info'!$B$16,"Continue", "Stop")</f>
        <v>Stop</v>
      </c>
      <c r="AO841" s="110" t="b">
        <f>IF(Audit[[#This Row],[Status - Continue or stop audit]] = "Continue", TRUE, IF(AN840 = "Continue", TRUE, FALSE))</f>
        <v>0</v>
      </c>
      <c r="AP841" s="110"/>
    </row>
    <row r="842" spans="1:42" ht="15" hidden="1" customHeight="1">
      <c r="A842" s="111" t="str">
        <f>'Sampling Data'!W833</f>
        <v/>
      </c>
      <c r="B842" s="112" t="str">
        <f>'Sampling Data'!A833</f>
        <v>CLEVELAND -16-I</v>
      </c>
      <c r="C842" s="112">
        <f>'Sampling Data'!B833</f>
        <v>4</v>
      </c>
      <c r="D842" s="112">
        <f>'Sampling Data'!C833</f>
        <v>10</v>
      </c>
      <c r="E842" s="113">
        <f>'Sampling Data'!D833</f>
        <v>1</v>
      </c>
      <c r="F842" s="113">
        <f>'Sampling Data'!E833</f>
        <v>2</v>
      </c>
      <c r="G842" s="113">
        <f>'Sampling Data'!F833</f>
        <v>0</v>
      </c>
      <c r="H842" s="113">
        <f>'Sampling Data'!G833</f>
        <v>0</v>
      </c>
      <c r="I842" s="112">
        <f>'Sampling Data'!H833</f>
        <v>0</v>
      </c>
      <c r="J842" s="112">
        <f>'Sampling Data'!I833</f>
        <v>0</v>
      </c>
      <c r="K842" s="112">
        <f>'Sampling Data'!J833</f>
        <v>17</v>
      </c>
      <c r="L842" s="111">
        <f>'Sampling Data'!X833</f>
        <v>0</v>
      </c>
      <c r="M842" s="114"/>
      <c r="N842" s="114"/>
      <c r="O842" s="115"/>
      <c r="P842" s="115"/>
      <c r="Q842" s="116"/>
      <c r="R842" s="116"/>
      <c r="S842" s="111">
        <f>Audit[[#This Row],[Audit Losing Candidate]]-Audit[[#This Row],[Losing Candidate]]</f>
        <v>-4</v>
      </c>
      <c r="T842" s="111">
        <f>Audit[[#This Row],[Audit Winning Candidate]]-Audit[[#This Row],[Winning Candidate]]</f>
        <v>-10</v>
      </c>
      <c r="U842" s="111">
        <f>Audit[[#This Row],[Audit Candidate 3]]-Audit[[#This Row],[Candidate 3]]</f>
        <v>-1</v>
      </c>
      <c r="V842" s="111">
        <f>Audit[[#This Row],[Audit Candidate 4]]-Audit[[#This Row],[Candidate 4]]</f>
        <v>-2</v>
      </c>
      <c r="W842" s="111">
        <f>Audit[[#This Row],[Audit Candidate 5]]-Audit[[#This Row],[Candidate 5]]</f>
        <v>0</v>
      </c>
      <c r="X842" s="111">
        <f>Audit[[#This Row],[Audit Candidate 6]]-Audit[[#This Row],[Candidate 6]]</f>
        <v>0</v>
      </c>
      <c r="Y842" s="111">
        <f>SUMIF(Audit[[#This Row],[Difference Loser]:[Difference Candidate 6]], "&gt;0")</f>
        <v>0</v>
      </c>
      <c r="Z842" s="111">
        <f>SUM(Audit[[#This Row],[Difference Loser]:[Difference Candidate 6]])</f>
        <v>-17</v>
      </c>
      <c r="AA842" s="111">
        <f>IF(Audit[[#This Row],[Times p Drawn - With Replacement]]&gt;0, IF(Audit[[#This Row],[Canceled Differences]]&lt;0, Audit[[#This Row],[Max Differences]]+ABS(Audit[[#This Row],[Canceled Differences]]), Audit[[#This Row],[Max Differences]]), 0)</f>
        <v>0</v>
      </c>
      <c r="AB842" s="111">
        <f>'Sampling Data'!P833</f>
        <v>1.408623223909848E-3</v>
      </c>
      <c r="AC842" s="111">
        <f>IF(
      SUM(Audit[[#This Row],[Audit Losing Candidate]:[Audit Candidate 6]])
      &lt;&gt;0,
      (Audit[[#This Row],[Winning Candidate]]-Audit[[#This Row],[Losing Candidate]]-(Audit[[#This Row],[Audit Winning Candidate]]-Audit[[#This Row],[Audit Losing Candidate]]))/(Audit[[#Totals],[Winning Candidate]]-Audit[[#Totals],[Losing Candidate]]),
      0
)</f>
        <v>0</v>
      </c>
      <c r="AD8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2" s="111">
        <f>IF(Audit[[#This Row],[Max Relative Error (ep)]] = 0, 0, Audit[[#This Row],[Max Relative Error (ep)]]/Audit[[#This Row],[Error Bound (up) - Max. possible relative overstatement]])</f>
        <v>0</v>
      </c>
      <c r="AJ8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42" s="111">
        <f t="shared" si="13"/>
        <v>1</v>
      </c>
      <c r="AL842" s="111">
        <f>PRODUCT($AK$5:AK842)</f>
        <v>8.962823818226312E-2</v>
      </c>
      <c r="AM842" s="109">
        <f>1 - [K-M P Value]</f>
        <v>0.91037176181773694</v>
      </c>
      <c r="AN842" s="111" t="str">
        <f>IF(Audit[[#This Row],[K-M P Value]]&gt;1-'General Info'!$B$16,"Continue", "Stop")</f>
        <v>Stop</v>
      </c>
      <c r="AO842" s="110" t="b">
        <f>IF(Audit[[#This Row],[Status - Continue or stop audit]] = "Continue", TRUE, IF(AN841 = "Continue", TRUE, FALSE))</f>
        <v>0</v>
      </c>
      <c r="AP842" s="110"/>
    </row>
    <row r="843" spans="1:42" ht="15" hidden="1" customHeight="1">
      <c r="A843" s="111" t="str">
        <f>'Sampling Data'!W834</f>
        <v/>
      </c>
      <c r="B843" s="112" t="str">
        <f>'Sampling Data'!A834</f>
        <v>CLEVELAND -16-I - ABS</v>
      </c>
      <c r="C843" s="112">
        <f>'Sampling Data'!B834</f>
        <v>4</v>
      </c>
      <c r="D843" s="112">
        <f>'Sampling Data'!C834</f>
        <v>1</v>
      </c>
      <c r="E843" s="113">
        <f>'Sampling Data'!D834</f>
        <v>0</v>
      </c>
      <c r="F843" s="113">
        <f>'Sampling Data'!E834</f>
        <v>0</v>
      </c>
      <c r="G843" s="113">
        <f>'Sampling Data'!F834</f>
        <v>0</v>
      </c>
      <c r="H843" s="113">
        <f>'Sampling Data'!G834</f>
        <v>0</v>
      </c>
      <c r="I843" s="112">
        <f>'Sampling Data'!H834</f>
        <v>0</v>
      </c>
      <c r="J843" s="112">
        <f>'Sampling Data'!I834</f>
        <v>0</v>
      </c>
      <c r="K843" s="112">
        <f>'Sampling Data'!J834</f>
        <v>5</v>
      </c>
      <c r="L843" s="111">
        <f>'Sampling Data'!X834</f>
        <v>0</v>
      </c>
      <c r="M843" s="114"/>
      <c r="N843" s="114"/>
      <c r="O843" s="115"/>
      <c r="P843" s="115"/>
      <c r="Q843" s="116"/>
      <c r="R843" s="116"/>
      <c r="S843" s="111">
        <f>Audit[[#This Row],[Audit Losing Candidate]]-Audit[[#This Row],[Losing Candidate]]</f>
        <v>-4</v>
      </c>
      <c r="T843" s="111">
        <f>Audit[[#This Row],[Audit Winning Candidate]]-Audit[[#This Row],[Winning Candidate]]</f>
        <v>-1</v>
      </c>
      <c r="U843" s="111">
        <f>Audit[[#This Row],[Audit Candidate 3]]-Audit[[#This Row],[Candidate 3]]</f>
        <v>0</v>
      </c>
      <c r="V843" s="111">
        <f>Audit[[#This Row],[Audit Candidate 4]]-Audit[[#This Row],[Candidate 4]]</f>
        <v>0</v>
      </c>
      <c r="W843" s="111">
        <f>Audit[[#This Row],[Audit Candidate 5]]-Audit[[#This Row],[Candidate 5]]</f>
        <v>0</v>
      </c>
      <c r="X843" s="111">
        <f>Audit[[#This Row],[Audit Candidate 6]]-Audit[[#This Row],[Candidate 6]]</f>
        <v>0</v>
      </c>
      <c r="Y843" s="111">
        <f>SUMIF(Audit[[#This Row],[Difference Loser]:[Difference Candidate 6]], "&gt;0")</f>
        <v>0</v>
      </c>
      <c r="Z843" s="111">
        <f>SUM(Audit[[#This Row],[Difference Loser]:[Difference Candidate 6]])</f>
        <v>-5</v>
      </c>
      <c r="AA843" s="111">
        <f>IF(Audit[[#This Row],[Times p Drawn - With Replacement]]&gt;0, IF(Audit[[#This Row],[Canceled Differences]]&lt;0, Audit[[#This Row],[Max Differences]]+ABS(Audit[[#This Row],[Canceled Differences]]), Audit[[#This Row],[Max Differences]]), 0)</f>
        <v>0</v>
      </c>
      <c r="AB843" s="111">
        <f>'Sampling Data'!P834</f>
        <v>1.9356711939865149E-4</v>
      </c>
      <c r="AC843" s="111">
        <f>IF(
      SUM(Audit[[#This Row],[Audit Losing Candidate]:[Audit Candidate 6]])
      &lt;&gt;0,
      (Audit[[#This Row],[Winning Candidate]]-Audit[[#This Row],[Losing Candidate]]-(Audit[[#This Row],[Audit Winning Candidate]]-Audit[[#This Row],[Audit Losing Candidate]]))/(Audit[[#Totals],[Winning Candidate]]-Audit[[#Totals],[Losing Candidate]]),
      0
)</f>
        <v>0</v>
      </c>
      <c r="AD8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3" s="111">
        <f>IF(Audit[[#This Row],[Max Relative Error (ep)]] = 0, 0, Audit[[#This Row],[Max Relative Error (ep)]]/Audit[[#This Row],[Error Bound (up) - Max. possible relative overstatement]])</f>
        <v>0</v>
      </c>
      <c r="AJ8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43" s="111">
        <f t="shared" si="13"/>
        <v>1</v>
      </c>
      <c r="AL843" s="111">
        <f>PRODUCT($AK$5:AK843)</f>
        <v>8.962823818226312E-2</v>
      </c>
      <c r="AM843" s="109">
        <f>1 - [K-M P Value]</f>
        <v>0.91037176181773694</v>
      </c>
      <c r="AN843" s="111" t="str">
        <f>IF(Audit[[#This Row],[K-M P Value]]&gt;1-'General Info'!$B$16,"Continue", "Stop")</f>
        <v>Stop</v>
      </c>
      <c r="AO843" s="110" t="b">
        <f>IF(Audit[[#This Row],[Status - Continue or stop audit]] = "Continue", TRUE, IF(AN842 = "Continue", TRUE, FALSE))</f>
        <v>0</v>
      </c>
      <c r="AP843" s="110"/>
    </row>
    <row r="844" spans="1:42" ht="15" hidden="1" customHeight="1">
      <c r="A844" s="111" t="str">
        <f>'Sampling Data'!W835</f>
        <v/>
      </c>
      <c r="B844" s="112" t="str">
        <f>'Sampling Data'!A835</f>
        <v>CLEVELAND -16-J</v>
      </c>
      <c r="C844" s="112">
        <f>'Sampling Data'!B835</f>
        <v>2</v>
      </c>
      <c r="D844" s="112">
        <f>'Sampling Data'!C835</f>
        <v>3</v>
      </c>
      <c r="E844" s="113">
        <f>'Sampling Data'!D835</f>
        <v>0</v>
      </c>
      <c r="F844" s="113">
        <f>'Sampling Data'!E835</f>
        <v>3</v>
      </c>
      <c r="G844" s="113">
        <f>'Sampling Data'!F835</f>
        <v>0</v>
      </c>
      <c r="H844" s="113">
        <f>'Sampling Data'!G835</f>
        <v>0</v>
      </c>
      <c r="I844" s="112">
        <f>'Sampling Data'!H835</f>
        <v>0</v>
      </c>
      <c r="J844" s="112">
        <f>'Sampling Data'!I835</f>
        <v>1</v>
      </c>
      <c r="K844" s="112">
        <f>'Sampling Data'!J835</f>
        <v>9</v>
      </c>
      <c r="L844" s="111">
        <f>'Sampling Data'!X835</f>
        <v>0</v>
      </c>
      <c r="M844" s="114"/>
      <c r="N844" s="114"/>
      <c r="O844" s="115"/>
      <c r="P844" s="115"/>
      <c r="Q844" s="116"/>
      <c r="R844" s="116"/>
      <c r="S844" s="111">
        <f>Audit[[#This Row],[Audit Losing Candidate]]-Audit[[#This Row],[Losing Candidate]]</f>
        <v>-2</v>
      </c>
      <c r="T844" s="111">
        <f>Audit[[#This Row],[Audit Winning Candidate]]-Audit[[#This Row],[Winning Candidate]]</f>
        <v>-3</v>
      </c>
      <c r="U844" s="111">
        <f>Audit[[#This Row],[Audit Candidate 3]]-Audit[[#This Row],[Candidate 3]]</f>
        <v>0</v>
      </c>
      <c r="V844" s="111">
        <f>Audit[[#This Row],[Audit Candidate 4]]-Audit[[#This Row],[Candidate 4]]</f>
        <v>-3</v>
      </c>
      <c r="W844" s="111">
        <f>Audit[[#This Row],[Audit Candidate 5]]-Audit[[#This Row],[Candidate 5]]</f>
        <v>0</v>
      </c>
      <c r="X844" s="111">
        <f>Audit[[#This Row],[Audit Candidate 6]]-Audit[[#This Row],[Candidate 6]]</f>
        <v>0</v>
      </c>
      <c r="Y844" s="111">
        <f>SUMIF(Audit[[#This Row],[Difference Loser]:[Difference Candidate 6]], "&gt;0")</f>
        <v>0</v>
      </c>
      <c r="Z844" s="111">
        <f>SUM(Audit[[#This Row],[Difference Loser]:[Difference Candidate 6]])</f>
        <v>-8</v>
      </c>
      <c r="AA844" s="111">
        <f>IF(Audit[[#This Row],[Times p Drawn - With Replacement]]&gt;0, IF(Audit[[#This Row],[Canceled Differences]]&lt;0, Audit[[#This Row],[Max Differences]]+ABS(Audit[[#This Row],[Canceled Differences]]), Audit[[#This Row],[Max Differences]]), 0)</f>
        <v>0</v>
      </c>
      <c r="AB844" s="111">
        <f>'Sampling Data'!P835</f>
        <v>6.1244487996080352E-4</v>
      </c>
      <c r="AC844" s="111">
        <f>IF(
      SUM(Audit[[#This Row],[Audit Losing Candidate]:[Audit Candidate 6]])
      &lt;&gt;0,
      (Audit[[#This Row],[Winning Candidate]]-Audit[[#This Row],[Losing Candidate]]-(Audit[[#This Row],[Audit Winning Candidate]]-Audit[[#This Row],[Audit Losing Candidate]]))/(Audit[[#Totals],[Winning Candidate]]-Audit[[#Totals],[Losing Candidate]]),
      0
)</f>
        <v>0</v>
      </c>
      <c r="AD8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4" s="111">
        <f>IF(Audit[[#This Row],[Max Relative Error (ep)]] = 0, 0, Audit[[#This Row],[Max Relative Error (ep)]]/Audit[[#This Row],[Error Bound (up) - Max. possible relative overstatement]])</f>
        <v>0</v>
      </c>
      <c r="AJ8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44" s="111">
        <f t="shared" si="13"/>
        <v>1</v>
      </c>
      <c r="AL844" s="111">
        <f>PRODUCT($AK$5:AK844)</f>
        <v>8.962823818226312E-2</v>
      </c>
      <c r="AM844" s="109">
        <f>1 - [K-M P Value]</f>
        <v>0.91037176181773694</v>
      </c>
      <c r="AN844" s="111" t="str">
        <f>IF(Audit[[#This Row],[K-M P Value]]&gt;1-'General Info'!$B$16,"Continue", "Stop")</f>
        <v>Stop</v>
      </c>
      <c r="AO844" s="110" t="b">
        <f>IF(Audit[[#This Row],[Status - Continue or stop audit]] = "Continue", TRUE, IF(AN843 = "Continue", TRUE, FALSE))</f>
        <v>0</v>
      </c>
      <c r="AP844" s="110"/>
    </row>
    <row r="845" spans="1:42" ht="15" hidden="1" customHeight="1">
      <c r="A845" s="111" t="str">
        <f>'Sampling Data'!W836</f>
        <v/>
      </c>
      <c r="B845" s="112" t="str">
        <f>'Sampling Data'!A836</f>
        <v>CLEVELAND -16-J - ABS</v>
      </c>
      <c r="C845" s="112">
        <f>'Sampling Data'!B836</f>
        <v>0</v>
      </c>
      <c r="D845" s="112">
        <f>'Sampling Data'!C836</f>
        <v>1</v>
      </c>
      <c r="E845" s="113">
        <f>'Sampling Data'!D836</f>
        <v>0</v>
      </c>
      <c r="F845" s="113">
        <f>'Sampling Data'!E836</f>
        <v>0</v>
      </c>
      <c r="G845" s="113">
        <f>'Sampling Data'!F836</f>
        <v>0</v>
      </c>
      <c r="H845" s="113">
        <f>'Sampling Data'!G836</f>
        <v>0</v>
      </c>
      <c r="I845" s="112">
        <f>'Sampling Data'!H836</f>
        <v>0</v>
      </c>
      <c r="J845" s="112">
        <f>'Sampling Data'!I836</f>
        <v>0</v>
      </c>
      <c r="K845" s="112">
        <f>'Sampling Data'!J836</f>
        <v>1</v>
      </c>
      <c r="L845" s="111">
        <f>'Sampling Data'!X836</f>
        <v>0</v>
      </c>
      <c r="M845" s="114"/>
      <c r="N845" s="114"/>
      <c r="O845" s="115"/>
      <c r="P845" s="115"/>
      <c r="Q845" s="116"/>
      <c r="R845" s="116"/>
      <c r="S845" s="111">
        <f>Audit[[#This Row],[Audit Losing Candidate]]-Audit[[#This Row],[Losing Candidate]]</f>
        <v>0</v>
      </c>
      <c r="T845" s="111">
        <f>Audit[[#This Row],[Audit Winning Candidate]]-Audit[[#This Row],[Winning Candidate]]</f>
        <v>-1</v>
      </c>
      <c r="U845" s="111">
        <f>Audit[[#This Row],[Audit Candidate 3]]-Audit[[#This Row],[Candidate 3]]</f>
        <v>0</v>
      </c>
      <c r="V845" s="111">
        <f>Audit[[#This Row],[Audit Candidate 4]]-Audit[[#This Row],[Candidate 4]]</f>
        <v>0</v>
      </c>
      <c r="W845" s="111">
        <f>Audit[[#This Row],[Audit Candidate 5]]-Audit[[#This Row],[Candidate 5]]</f>
        <v>0</v>
      </c>
      <c r="X845" s="111">
        <f>Audit[[#This Row],[Audit Candidate 6]]-Audit[[#This Row],[Candidate 6]]</f>
        <v>0</v>
      </c>
      <c r="Y845" s="111">
        <f>SUMIF(Audit[[#This Row],[Difference Loser]:[Difference Candidate 6]], "&gt;0")</f>
        <v>0</v>
      </c>
      <c r="Z845" s="111">
        <f>SUM(Audit[[#This Row],[Difference Loser]:[Difference Candidate 6]])</f>
        <v>-1</v>
      </c>
      <c r="AA845" s="111">
        <f>IF(Audit[[#This Row],[Times p Drawn - With Replacement]]&gt;0, IF(Audit[[#This Row],[Canceled Differences]]&lt;0, Audit[[#This Row],[Max Differences]]+ABS(Audit[[#This Row],[Canceled Differences]]), Audit[[#This Row],[Max Differences]]), 0)</f>
        <v>0</v>
      </c>
      <c r="AB845" s="111">
        <f>'Sampling Data'!P836</f>
        <v>1.224889759921607E-4</v>
      </c>
      <c r="AC845" s="111">
        <f>IF(
      SUM(Audit[[#This Row],[Audit Losing Candidate]:[Audit Candidate 6]])
      &lt;&gt;0,
      (Audit[[#This Row],[Winning Candidate]]-Audit[[#This Row],[Losing Candidate]]-(Audit[[#This Row],[Audit Winning Candidate]]-Audit[[#This Row],[Audit Losing Candidate]]))/(Audit[[#Totals],[Winning Candidate]]-Audit[[#Totals],[Losing Candidate]]),
      0
)</f>
        <v>0</v>
      </c>
      <c r="AD8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5" s="111">
        <f>IF(Audit[[#This Row],[Max Relative Error (ep)]] = 0, 0, Audit[[#This Row],[Max Relative Error (ep)]]/Audit[[#This Row],[Error Bound (up) - Max. possible relative overstatement]])</f>
        <v>0</v>
      </c>
      <c r="AJ8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45" s="111">
        <f t="shared" si="13"/>
        <v>1</v>
      </c>
      <c r="AL845" s="111">
        <f>PRODUCT($AK$5:AK845)</f>
        <v>8.962823818226312E-2</v>
      </c>
      <c r="AM845" s="109">
        <f>1 - [K-M P Value]</f>
        <v>0.91037176181773694</v>
      </c>
      <c r="AN845" s="111" t="str">
        <f>IF(Audit[[#This Row],[K-M P Value]]&gt;1-'General Info'!$B$16,"Continue", "Stop")</f>
        <v>Stop</v>
      </c>
      <c r="AO845" s="110" t="b">
        <f>IF(Audit[[#This Row],[Status - Continue or stop audit]] = "Continue", TRUE, IF(AN844 = "Continue", TRUE, FALSE))</f>
        <v>0</v>
      </c>
      <c r="AP845" s="110"/>
    </row>
    <row r="846" spans="1:42" ht="15" hidden="1" customHeight="1">
      <c r="A846" s="111" t="str">
        <f>'Sampling Data'!W837</f>
        <v/>
      </c>
      <c r="B846" s="112" t="str">
        <f>'Sampling Data'!A837</f>
        <v>CLEVELAND -16-J.02</v>
      </c>
      <c r="C846" s="112">
        <f>'Sampling Data'!B837</f>
        <v>0</v>
      </c>
      <c r="D846" s="112">
        <f>'Sampling Data'!C837</f>
        <v>1</v>
      </c>
      <c r="E846" s="113">
        <f>'Sampling Data'!D837</f>
        <v>0</v>
      </c>
      <c r="F846" s="113">
        <f>'Sampling Data'!E837</f>
        <v>0</v>
      </c>
      <c r="G846" s="113">
        <f>'Sampling Data'!F837</f>
        <v>0</v>
      </c>
      <c r="H846" s="113">
        <f>'Sampling Data'!G837</f>
        <v>0</v>
      </c>
      <c r="I846" s="112">
        <f>'Sampling Data'!H837</f>
        <v>0</v>
      </c>
      <c r="J846" s="112">
        <f>'Sampling Data'!I837</f>
        <v>0</v>
      </c>
      <c r="K846" s="112">
        <f>'Sampling Data'!J837</f>
        <v>1</v>
      </c>
      <c r="L846" s="111">
        <f>'Sampling Data'!X837</f>
        <v>0</v>
      </c>
      <c r="M846" s="114"/>
      <c r="N846" s="114"/>
      <c r="O846" s="115"/>
      <c r="P846" s="115"/>
      <c r="Q846" s="116"/>
      <c r="R846" s="116"/>
      <c r="S846" s="111">
        <f>Audit[[#This Row],[Audit Losing Candidate]]-Audit[[#This Row],[Losing Candidate]]</f>
        <v>0</v>
      </c>
      <c r="T846" s="111">
        <f>Audit[[#This Row],[Audit Winning Candidate]]-Audit[[#This Row],[Winning Candidate]]</f>
        <v>-1</v>
      </c>
      <c r="U846" s="111">
        <f>Audit[[#This Row],[Audit Candidate 3]]-Audit[[#This Row],[Candidate 3]]</f>
        <v>0</v>
      </c>
      <c r="V846" s="111">
        <f>Audit[[#This Row],[Audit Candidate 4]]-Audit[[#This Row],[Candidate 4]]</f>
        <v>0</v>
      </c>
      <c r="W846" s="111">
        <f>Audit[[#This Row],[Audit Candidate 5]]-Audit[[#This Row],[Candidate 5]]</f>
        <v>0</v>
      </c>
      <c r="X846" s="111">
        <f>Audit[[#This Row],[Audit Candidate 6]]-Audit[[#This Row],[Candidate 6]]</f>
        <v>0</v>
      </c>
      <c r="Y846" s="111">
        <f>SUMIF(Audit[[#This Row],[Difference Loser]:[Difference Candidate 6]], "&gt;0")</f>
        <v>0</v>
      </c>
      <c r="Z846" s="111">
        <f>SUM(Audit[[#This Row],[Difference Loser]:[Difference Candidate 6]])</f>
        <v>-1</v>
      </c>
      <c r="AA846" s="111">
        <f>IF(Audit[[#This Row],[Times p Drawn - With Replacement]]&gt;0, IF(Audit[[#This Row],[Canceled Differences]]&lt;0, Audit[[#This Row],[Max Differences]]+ABS(Audit[[#This Row],[Canceled Differences]]), Audit[[#This Row],[Max Differences]]), 0)</f>
        <v>0</v>
      </c>
      <c r="AB846" s="111">
        <f>'Sampling Data'!P837</f>
        <v>1.224889759921607E-4</v>
      </c>
      <c r="AC846" s="111">
        <f>IF(
      SUM(Audit[[#This Row],[Audit Losing Candidate]:[Audit Candidate 6]])
      &lt;&gt;0,
      (Audit[[#This Row],[Winning Candidate]]-Audit[[#This Row],[Losing Candidate]]-(Audit[[#This Row],[Audit Winning Candidate]]-Audit[[#This Row],[Audit Losing Candidate]]))/(Audit[[#Totals],[Winning Candidate]]-Audit[[#Totals],[Losing Candidate]]),
      0
)</f>
        <v>0</v>
      </c>
      <c r="AD8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6" s="111">
        <f>IF(Audit[[#This Row],[Max Relative Error (ep)]] = 0, 0, Audit[[#This Row],[Max Relative Error (ep)]]/Audit[[#This Row],[Error Bound (up) - Max. possible relative overstatement]])</f>
        <v>0</v>
      </c>
      <c r="AJ8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46" s="111">
        <f t="shared" si="13"/>
        <v>1</v>
      </c>
      <c r="AL846" s="111">
        <f>PRODUCT($AK$5:AK846)</f>
        <v>8.962823818226312E-2</v>
      </c>
      <c r="AM846" s="109">
        <f>1 - [K-M P Value]</f>
        <v>0.91037176181773694</v>
      </c>
      <c r="AN846" s="111" t="str">
        <f>IF(Audit[[#This Row],[K-M P Value]]&gt;1-'General Info'!$B$16,"Continue", "Stop")</f>
        <v>Stop</v>
      </c>
      <c r="AO846" s="110" t="b">
        <f>IF(Audit[[#This Row],[Status - Continue or stop audit]] = "Continue", TRUE, IF(AN845 = "Continue", TRUE, FALSE))</f>
        <v>0</v>
      </c>
      <c r="AP846" s="110"/>
    </row>
    <row r="847" spans="1:42" ht="15" hidden="1" customHeight="1">
      <c r="A847" s="111" t="str">
        <f>'Sampling Data'!W838</f>
        <v/>
      </c>
      <c r="B847" s="112" t="str">
        <f>'Sampling Data'!A838</f>
        <v>CLEVELAND -16-J.02 - ABS</v>
      </c>
      <c r="C847" s="112">
        <f>'Sampling Data'!B838</f>
        <v>0</v>
      </c>
      <c r="D847" s="112">
        <f>'Sampling Data'!C838</f>
        <v>0</v>
      </c>
      <c r="E847" s="113">
        <f>'Sampling Data'!D838</f>
        <v>0</v>
      </c>
      <c r="F847" s="113">
        <f>'Sampling Data'!E838</f>
        <v>0</v>
      </c>
      <c r="G847" s="113">
        <f>'Sampling Data'!F838</f>
        <v>0</v>
      </c>
      <c r="H847" s="113">
        <f>'Sampling Data'!G838</f>
        <v>0</v>
      </c>
      <c r="I847" s="112">
        <f>'Sampling Data'!H838</f>
        <v>0</v>
      </c>
      <c r="J847" s="112">
        <f>'Sampling Data'!I838</f>
        <v>0</v>
      </c>
      <c r="K847" s="112">
        <f>'Sampling Data'!J838</f>
        <v>0</v>
      </c>
      <c r="L847" s="111">
        <f>'Sampling Data'!X838</f>
        <v>0</v>
      </c>
      <c r="M847" s="114"/>
      <c r="N847" s="114"/>
      <c r="O847" s="115"/>
      <c r="P847" s="115"/>
      <c r="Q847" s="116"/>
      <c r="R847" s="116"/>
      <c r="S847" s="111">
        <f>Audit[[#This Row],[Audit Losing Candidate]]-Audit[[#This Row],[Losing Candidate]]</f>
        <v>0</v>
      </c>
      <c r="T847" s="111">
        <f>Audit[[#This Row],[Audit Winning Candidate]]-Audit[[#This Row],[Winning Candidate]]</f>
        <v>0</v>
      </c>
      <c r="U847" s="111">
        <f>Audit[[#This Row],[Audit Candidate 3]]-Audit[[#This Row],[Candidate 3]]</f>
        <v>0</v>
      </c>
      <c r="V847" s="111">
        <f>Audit[[#This Row],[Audit Candidate 4]]-Audit[[#This Row],[Candidate 4]]</f>
        <v>0</v>
      </c>
      <c r="W847" s="111">
        <f>Audit[[#This Row],[Audit Candidate 5]]-Audit[[#This Row],[Candidate 5]]</f>
        <v>0</v>
      </c>
      <c r="X847" s="111">
        <f>Audit[[#This Row],[Audit Candidate 6]]-Audit[[#This Row],[Candidate 6]]</f>
        <v>0</v>
      </c>
      <c r="Y847" s="111">
        <f>SUMIF(Audit[[#This Row],[Difference Loser]:[Difference Candidate 6]], "&gt;0")</f>
        <v>0</v>
      </c>
      <c r="Z847" s="111">
        <f>SUM(Audit[[#This Row],[Difference Loser]:[Difference Candidate 6]])</f>
        <v>0</v>
      </c>
      <c r="AA847" s="111">
        <f>IF(Audit[[#This Row],[Times p Drawn - With Replacement]]&gt;0, IF(Audit[[#This Row],[Canceled Differences]]&lt;0, Audit[[#This Row],[Max Differences]]+ABS(Audit[[#This Row],[Canceled Differences]]), Audit[[#This Row],[Max Differences]]), 0)</f>
        <v>0</v>
      </c>
      <c r="AB847" s="111">
        <f>'Sampling Data'!P838</f>
        <v>0</v>
      </c>
      <c r="AC847" s="111">
        <f>IF(
      SUM(Audit[[#This Row],[Audit Losing Candidate]:[Audit Candidate 6]])
      &lt;&gt;0,
      (Audit[[#This Row],[Winning Candidate]]-Audit[[#This Row],[Losing Candidate]]-(Audit[[#This Row],[Audit Winning Candidate]]-Audit[[#This Row],[Audit Losing Candidate]]))/(Audit[[#Totals],[Winning Candidate]]-Audit[[#Totals],[Losing Candidate]]),
      0
)</f>
        <v>0</v>
      </c>
      <c r="AD8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7" s="111">
        <f>IF(Audit[[#This Row],[Max Relative Error (ep)]] = 0, 0, Audit[[#This Row],[Max Relative Error (ep)]]/Audit[[#This Row],[Error Bound (up) - Max. possible relative overstatement]])</f>
        <v>0</v>
      </c>
      <c r="AJ8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47" s="111">
        <f t="shared" si="13"/>
        <v>1</v>
      </c>
      <c r="AL847" s="111">
        <f>PRODUCT($AK$5:AK847)</f>
        <v>8.962823818226312E-2</v>
      </c>
      <c r="AM847" s="109">
        <f>1 - [K-M P Value]</f>
        <v>0.91037176181773694</v>
      </c>
      <c r="AN847" s="111" t="str">
        <f>IF(Audit[[#This Row],[K-M P Value]]&gt;1-'General Info'!$B$16,"Continue", "Stop")</f>
        <v>Stop</v>
      </c>
      <c r="AO847" s="110" t="b">
        <f>IF(Audit[[#This Row],[Status - Continue or stop audit]] = "Continue", TRUE, IF(AN846 = "Continue", TRUE, FALSE))</f>
        <v>0</v>
      </c>
      <c r="AP847" s="110"/>
    </row>
    <row r="848" spans="1:42" ht="15" hidden="1" customHeight="1">
      <c r="A848" s="111" t="str">
        <f>'Sampling Data'!W839</f>
        <v/>
      </c>
      <c r="B848" s="112" t="str">
        <f>'Sampling Data'!A839</f>
        <v>CLEVELAND -16-K</v>
      </c>
      <c r="C848" s="112">
        <f>'Sampling Data'!B839</f>
        <v>6</v>
      </c>
      <c r="D848" s="112">
        <f>'Sampling Data'!C839</f>
        <v>4</v>
      </c>
      <c r="E848" s="113">
        <f>'Sampling Data'!D839</f>
        <v>3</v>
      </c>
      <c r="F848" s="113">
        <f>'Sampling Data'!E839</f>
        <v>3</v>
      </c>
      <c r="G848" s="113">
        <f>'Sampling Data'!F839</f>
        <v>0</v>
      </c>
      <c r="H848" s="113">
        <f>'Sampling Data'!G839</f>
        <v>0</v>
      </c>
      <c r="I848" s="112">
        <f>'Sampling Data'!H839</f>
        <v>0</v>
      </c>
      <c r="J848" s="112">
        <f>'Sampling Data'!I839</f>
        <v>0</v>
      </c>
      <c r="K848" s="112">
        <f>'Sampling Data'!J839</f>
        <v>16</v>
      </c>
      <c r="L848" s="111">
        <f>'Sampling Data'!X839</f>
        <v>0</v>
      </c>
      <c r="M848" s="114"/>
      <c r="N848" s="114"/>
      <c r="O848" s="115"/>
      <c r="P848" s="115"/>
      <c r="Q848" s="116"/>
      <c r="R848" s="116"/>
      <c r="S848" s="111">
        <f>Audit[[#This Row],[Audit Losing Candidate]]-Audit[[#This Row],[Losing Candidate]]</f>
        <v>-6</v>
      </c>
      <c r="T848" s="111">
        <f>Audit[[#This Row],[Audit Winning Candidate]]-Audit[[#This Row],[Winning Candidate]]</f>
        <v>-4</v>
      </c>
      <c r="U848" s="111">
        <f>Audit[[#This Row],[Audit Candidate 3]]-Audit[[#This Row],[Candidate 3]]</f>
        <v>-3</v>
      </c>
      <c r="V848" s="111">
        <f>Audit[[#This Row],[Audit Candidate 4]]-Audit[[#This Row],[Candidate 4]]</f>
        <v>-3</v>
      </c>
      <c r="W848" s="111">
        <f>Audit[[#This Row],[Audit Candidate 5]]-Audit[[#This Row],[Candidate 5]]</f>
        <v>0</v>
      </c>
      <c r="X848" s="111">
        <f>Audit[[#This Row],[Audit Candidate 6]]-Audit[[#This Row],[Candidate 6]]</f>
        <v>0</v>
      </c>
      <c r="Y848" s="111">
        <f>SUMIF(Audit[[#This Row],[Difference Loser]:[Difference Candidate 6]], "&gt;0")</f>
        <v>0</v>
      </c>
      <c r="Z848" s="111">
        <f>SUM(Audit[[#This Row],[Difference Loser]:[Difference Candidate 6]])</f>
        <v>-16</v>
      </c>
      <c r="AA848" s="111">
        <f>IF(Audit[[#This Row],[Times p Drawn - With Replacement]]&gt;0, IF(Audit[[#This Row],[Canceled Differences]]&lt;0, Audit[[#This Row],[Max Differences]]+ABS(Audit[[#This Row],[Canceled Differences]]), Audit[[#This Row],[Max Differences]]), 0)</f>
        <v>0</v>
      </c>
      <c r="AB848" s="111">
        <f>'Sampling Data'!P839</f>
        <v>8.5742283194512492E-4</v>
      </c>
      <c r="AC848" s="111">
        <f>IF(
      SUM(Audit[[#This Row],[Audit Losing Candidate]:[Audit Candidate 6]])
      &lt;&gt;0,
      (Audit[[#This Row],[Winning Candidate]]-Audit[[#This Row],[Losing Candidate]]-(Audit[[#This Row],[Audit Winning Candidate]]-Audit[[#This Row],[Audit Losing Candidate]]))/(Audit[[#Totals],[Winning Candidate]]-Audit[[#Totals],[Losing Candidate]]),
      0
)</f>
        <v>0</v>
      </c>
      <c r="AD8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8" s="111">
        <f>IF(Audit[[#This Row],[Max Relative Error (ep)]] = 0, 0, Audit[[#This Row],[Max Relative Error (ep)]]/Audit[[#This Row],[Error Bound (up) - Max. possible relative overstatement]])</f>
        <v>0</v>
      </c>
      <c r="AJ8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48" s="111">
        <f t="shared" si="13"/>
        <v>1</v>
      </c>
      <c r="AL848" s="111">
        <f>PRODUCT($AK$5:AK848)</f>
        <v>8.962823818226312E-2</v>
      </c>
      <c r="AM848" s="109">
        <f>1 - [K-M P Value]</f>
        <v>0.91037176181773694</v>
      </c>
      <c r="AN848" s="111" t="str">
        <f>IF(Audit[[#This Row],[K-M P Value]]&gt;1-'General Info'!$B$16,"Continue", "Stop")</f>
        <v>Stop</v>
      </c>
      <c r="AO848" s="110" t="b">
        <f>IF(Audit[[#This Row],[Status - Continue or stop audit]] = "Continue", TRUE, IF(AN847 = "Continue", TRUE, FALSE))</f>
        <v>0</v>
      </c>
      <c r="AP848" s="110"/>
    </row>
    <row r="849" spans="1:42" ht="15" hidden="1" customHeight="1">
      <c r="A849" s="111" t="str">
        <f>'Sampling Data'!W840</f>
        <v/>
      </c>
      <c r="B849" s="112" t="str">
        <f>'Sampling Data'!A840</f>
        <v>CLEVELAND -16-K - ABS</v>
      </c>
      <c r="C849" s="112">
        <f>'Sampling Data'!B840</f>
        <v>1</v>
      </c>
      <c r="D849" s="112">
        <f>'Sampling Data'!C840</f>
        <v>1</v>
      </c>
      <c r="E849" s="113">
        <f>'Sampling Data'!D840</f>
        <v>0</v>
      </c>
      <c r="F849" s="113">
        <f>'Sampling Data'!E840</f>
        <v>1</v>
      </c>
      <c r="G849" s="113">
        <f>'Sampling Data'!F840</f>
        <v>0</v>
      </c>
      <c r="H849" s="113">
        <f>'Sampling Data'!G840</f>
        <v>0</v>
      </c>
      <c r="I849" s="112">
        <f>'Sampling Data'!H840</f>
        <v>0</v>
      </c>
      <c r="J849" s="112">
        <f>'Sampling Data'!I840</f>
        <v>0</v>
      </c>
      <c r="K849" s="112">
        <f>'Sampling Data'!J840</f>
        <v>3</v>
      </c>
      <c r="L849" s="111">
        <f>'Sampling Data'!X840</f>
        <v>0</v>
      </c>
      <c r="M849" s="114"/>
      <c r="N849" s="114"/>
      <c r="O849" s="115"/>
      <c r="P849" s="115"/>
      <c r="Q849" s="116"/>
      <c r="R849" s="116"/>
      <c r="S849" s="111">
        <f>Audit[[#This Row],[Audit Losing Candidate]]-Audit[[#This Row],[Losing Candidate]]</f>
        <v>-1</v>
      </c>
      <c r="T849" s="111">
        <f>Audit[[#This Row],[Audit Winning Candidate]]-Audit[[#This Row],[Winning Candidate]]</f>
        <v>-1</v>
      </c>
      <c r="U849" s="111">
        <f>Audit[[#This Row],[Audit Candidate 3]]-Audit[[#This Row],[Candidate 3]]</f>
        <v>0</v>
      </c>
      <c r="V849" s="111">
        <f>Audit[[#This Row],[Audit Candidate 4]]-Audit[[#This Row],[Candidate 4]]</f>
        <v>-1</v>
      </c>
      <c r="W849" s="111">
        <f>Audit[[#This Row],[Audit Candidate 5]]-Audit[[#This Row],[Candidate 5]]</f>
        <v>0</v>
      </c>
      <c r="X849" s="111">
        <f>Audit[[#This Row],[Audit Candidate 6]]-Audit[[#This Row],[Candidate 6]]</f>
        <v>0</v>
      </c>
      <c r="Y849" s="111">
        <f>SUMIF(Audit[[#This Row],[Difference Loser]:[Difference Candidate 6]], "&gt;0")</f>
        <v>0</v>
      </c>
      <c r="Z849" s="111">
        <f>SUM(Audit[[#This Row],[Difference Loser]:[Difference Candidate 6]])</f>
        <v>-3</v>
      </c>
      <c r="AA849" s="111">
        <f>IF(Audit[[#This Row],[Times p Drawn - With Replacement]]&gt;0, IF(Audit[[#This Row],[Canceled Differences]]&lt;0, Audit[[#This Row],[Max Differences]]+ABS(Audit[[#This Row],[Canceled Differences]]), Audit[[#This Row],[Max Differences]]), 0)</f>
        <v>0</v>
      </c>
      <c r="AB849" s="111">
        <f>'Sampling Data'!P840</f>
        <v>1.8373346398824106E-4</v>
      </c>
      <c r="AC849" s="111">
        <f>IF(
      SUM(Audit[[#This Row],[Audit Losing Candidate]:[Audit Candidate 6]])
      &lt;&gt;0,
      (Audit[[#This Row],[Winning Candidate]]-Audit[[#This Row],[Losing Candidate]]-(Audit[[#This Row],[Audit Winning Candidate]]-Audit[[#This Row],[Audit Losing Candidate]]))/(Audit[[#Totals],[Winning Candidate]]-Audit[[#Totals],[Losing Candidate]]),
      0
)</f>
        <v>0</v>
      </c>
      <c r="AD8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9" s="111">
        <f>IF(Audit[[#This Row],[Max Relative Error (ep)]] = 0, 0, Audit[[#This Row],[Max Relative Error (ep)]]/Audit[[#This Row],[Error Bound (up) - Max. possible relative overstatement]])</f>
        <v>0</v>
      </c>
      <c r="AJ8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49" s="111">
        <f t="shared" si="13"/>
        <v>1</v>
      </c>
      <c r="AL849" s="111">
        <f>PRODUCT($AK$5:AK849)</f>
        <v>8.962823818226312E-2</v>
      </c>
      <c r="AM849" s="109">
        <f>1 - [K-M P Value]</f>
        <v>0.91037176181773694</v>
      </c>
      <c r="AN849" s="111" t="str">
        <f>IF(Audit[[#This Row],[K-M P Value]]&gt;1-'General Info'!$B$16,"Continue", "Stop")</f>
        <v>Stop</v>
      </c>
      <c r="AO849" s="110" t="b">
        <f>IF(Audit[[#This Row],[Status - Continue or stop audit]] = "Continue", TRUE, IF(AN848 = "Continue", TRUE, FALSE))</f>
        <v>0</v>
      </c>
      <c r="AP849" s="110"/>
    </row>
    <row r="850" spans="1:42" ht="15" hidden="1" customHeight="1">
      <c r="A850" s="111" t="str">
        <f>'Sampling Data'!W841</f>
        <v/>
      </c>
      <c r="B850" s="112" t="str">
        <f>'Sampling Data'!A841</f>
        <v>CLEVELAND -16-L</v>
      </c>
      <c r="C850" s="112">
        <f>'Sampling Data'!B841</f>
        <v>2</v>
      </c>
      <c r="D850" s="112">
        <f>'Sampling Data'!C841</f>
        <v>2</v>
      </c>
      <c r="E850" s="113">
        <f>'Sampling Data'!D841</f>
        <v>4</v>
      </c>
      <c r="F850" s="113">
        <f>'Sampling Data'!E841</f>
        <v>2</v>
      </c>
      <c r="G850" s="113">
        <f>'Sampling Data'!F841</f>
        <v>0</v>
      </c>
      <c r="H850" s="113">
        <f>'Sampling Data'!G841</f>
        <v>1</v>
      </c>
      <c r="I850" s="112">
        <f>'Sampling Data'!H841</f>
        <v>0</v>
      </c>
      <c r="J850" s="112">
        <f>'Sampling Data'!I841</f>
        <v>0</v>
      </c>
      <c r="K850" s="112">
        <f>'Sampling Data'!J841</f>
        <v>11</v>
      </c>
      <c r="L850" s="111">
        <f>'Sampling Data'!X841</f>
        <v>0</v>
      </c>
      <c r="M850" s="114"/>
      <c r="N850" s="114"/>
      <c r="O850" s="115"/>
      <c r="P850" s="115"/>
      <c r="Q850" s="116"/>
      <c r="R850" s="116"/>
      <c r="S850" s="111">
        <f>Audit[[#This Row],[Audit Losing Candidate]]-Audit[[#This Row],[Losing Candidate]]</f>
        <v>-2</v>
      </c>
      <c r="T850" s="111">
        <f>Audit[[#This Row],[Audit Winning Candidate]]-Audit[[#This Row],[Winning Candidate]]</f>
        <v>-2</v>
      </c>
      <c r="U850" s="111">
        <f>Audit[[#This Row],[Audit Candidate 3]]-Audit[[#This Row],[Candidate 3]]</f>
        <v>-4</v>
      </c>
      <c r="V850" s="111">
        <f>Audit[[#This Row],[Audit Candidate 4]]-Audit[[#This Row],[Candidate 4]]</f>
        <v>-2</v>
      </c>
      <c r="W850" s="111">
        <f>Audit[[#This Row],[Audit Candidate 5]]-Audit[[#This Row],[Candidate 5]]</f>
        <v>0</v>
      </c>
      <c r="X850" s="111">
        <f>Audit[[#This Row],[Audit Candidate 6]]-Audit[[#This Row],[Candidate 6]]</f>
        <v>-1</v>
      </c>
      <c r="Y850" s="111">
        <f>SUMIF(Audit[[#This Row],[Difference Loser]:[Difference Candidate 6]], "&gt;0")</f>
        <v>0</v>
      </c>
      <c r="Z850" s="111">
        <f>SUM(Audit[[#This Row],[Difference Loser]:[Difference Candidate 6]])</f>
        <v>-11</v>
      </c>
      <c r="AA850" s="111">
        <f>IF(Audit[[#This Row],[Times p Drawn - With Replacement]]&gt;0, IF(Audit[[#This Row],[Canceled Differences]]&lt;0, Audit[[#This Row],[Max Differences]]+ABS(Audit[[#This Row],[Canceled Differences]]), Audit[[#This Row],[Max Differences]]), 0)</f>
        <v>0</v>
      </c>
      <c r="AB850" s="111">
        <f>'Sampling Data'!P841</f>
        <v>6.7368936795688392E-4</v>
      </c>
      <c r="AC850" s="111">
        <f>IF(
      SUM(Audit[[#This Row],[Audit Losing Candidate]:[Audit Candidate 6]])
      &lt;&gt;0,
      (Audit[[#This Row],[Winning Candidate]]-Audit[[#This Row],[Losing Candidate]]-(Audit[[#This Row],[Audit Winning Candidate]]-Audit[[#This Row],[Audit Losing Candidate]]))/(Audit[[#Totals],[Winning Candidate]]-Audit[[#Totals],[Losing Candidate]]),
      0
)</f>
        <v>0</v>
      </c>
      <c r="AD8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0" s="111">
        <f>IF(Audit[[#This Row],[Max Relative Error (ep)]] = 0, 0, Audit[[#This Row],[Max Relative Error (ep)]]/Audit[[#This Row],[Error Bound (up) - Max. possible relative overstatement]])</f>
        <v>0</v>
      </c>
      <c r="AJ8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50" s="111">
        <f t="shared" si="13"/>
        <v>1</v>
      </c>
      <c r="AL850" s="111">
        <f>PRODUCT($AK$5:AK850)</f>
        <v>8.962823818226312E-2</v>
      </c>
      <c r="AM850" s="109">
        <f>1 - [K-M P Value]</f>
        <v>0.91037176181773694</v>
      </c>
      <c r="AN850" s="111" t="str">
        <f>IF(Audit[[#This Row],[K-M P Value]]&gt;1-'General Info'!$B$16,"Continue", "Stop")</f>
        <v>Stop</v>
      </c>
      <c r="AO850" s="110" t="b">
        <f>IF(Audit[[#This Row],[Status - Continue or stop audit]] = "Continue", TRUE, IF(AN849 = "Continue", TRUE, FALSE))</f>
        <v>0</v>
      </c>
      <c r="AP850" s="110"/>
    </row>
    <row r="851" spans="1:42" ht="15" hidden="1" customHeight="1">
      <c r="A851" s="111" t="str">
        <f>'Sampling Data'!W842</f>
        <v/>
      </c>
      <c r="B851" s="112" t="str">
        <f>'Sampling Data'!A842</f>
        <v>CLEVELAND -16-L - ABS</v>
      </c>
      <c r="C851" s="112">
        <f>'Sampling Data'!B842</f>
        <v>0</v>
      </c>
      <c r="D851" s="112">
        <f>'Sampling Data'!C842</f>
        <v>2</v>
      </c>
      <c r="E851" s="113">
        <f>'Sampling Data'!D842</f>
        <v>1</v>
      </c>
      <c r="F851" s="113">
        <f>'Sampling Data'!E842</f>
        <v>0</v>
      </c>
      <c r="G851" s="113">
        <f>'Sampling Data'!F842</f>
        <v>0</v>
      </c>
      <c r="H851" s="113">
        <f>'Sampling Data'!G842</f>
        <v>0</v>
      </c>
      <c r="I851" s="112">
        <f>'Sampling Data'!H842</f>
        <v>0</v>
      </c>
      <c r="J851" s="112">
        <f>'Sampling Data'!I842</f>
        <v>0</v>
      </c>
      <c r="K851" s="112">
        <f>'Sampling Data'!J842</f>
        <v>3</v>
      </c>
      <c r="L851" s="111">
        <f>'Sampling Data'!X842</f>
        <v>0</v>
      </c>
      <c r="M851" s="114"/>
      <c r="N851" s="114"/>
      <c r="O851" s="115"/>
      <c r="P851" s="115"/>
      <c r="Q851" s="116"/>
      <c r="R851" s="116"/>
      <c r="S851" s="111">
        <f>Audit[[#This Row],[Audit Losing Candidate]]-Audit[[#This Row],[Losing Candidate]]</f>
        <v>0</v>
      </c>
      <c r="T851" s="111">
        <f>Audit[[#This Row],[Audit Winning Candidate]]-Audit[[#This Row],[Winning Candidate]]</f>
        <v>-2</v>
      </c>
      <c r="U851" s="111">
        <f>Audit[[#This Row],[Audit Candidate 3]]-Audit[[#This Row],[Candidate 3]]</f>
        <v>-1</v>
      </c>
      <c r="V851" s="111">
        <f>Audit[[#This Row],[Audit Candidate 4]]-Audit[[#This Row],[Candidate 4]]</f>
        <v>0</v>
      </c>
      <c r="W851" s="111">
        <f>Audit[[#This Row],[Audit Candidate 5]]-Audit[[#This Row],[Candidate 5]]</f>
        <v>0</v>
      </c>
      <c r="X851" s="111">
        <f>Audit[[#This Row],[Audit Candidate 6]]-Audit[[#This Row],[Candidate 6]]</f>
        <v>0</v>
      </c>
      <c r="Y851" s="111">
        <f>SUMIF(Audit[[#This Row],[Difference Loser]:[Difference Candidate 6]], "&gt;0")</f>
        <v>0</v>
      </c>
      <c r="Z851" s="111">
        <f>SUM(Audit[[#This Row],[Difference Loser]:[Difference Candidate 6]])</f>
        <v>-3</v>
      </c>
      <c r="AA851" s="111">
        <f>IF(Audit[[#This Row],[Times p Drawn - With Replacement]]&gt;0, IF(Audit[[#This Row],[Canceled Differences]]&lt;0, Audit[[#This Row],[Max Differences]]+ABS(Audit[[#This Row],[Canceled Differences]]), Audit[[#This Row],[Max Differences]]), 0)</f>
        <v>0</v>
      </c>
      <c r="AB851" s="111">
        <f>'Sampling Data'!P842</f>
        <v>3.0622243998040176E-4</v>
      </c>
      <c r="AC851" s="111">
        <f>IF(
      SUM(Audit[[#This Row],[Audit Losing Candidate]:[Audit Candidate 6]])
      &lt;&gt;0,
      (Audit[[#This Row],[Winning Candidate]]-Audit[[#This Row],[Losing Candidate]]-(Audit[[#This Row],[Audit Winning Candidate]]-Audit[[#This Row],[Audit Losing Candidate]]))/(Audit[[#Totals],[Winning Candidate]]-Audit[[#Totals],[Losing Candidate]]),
      0
)</f>
        <v>0</v>
      </c>
      <c r="AD8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1" s="111">
        <f>IF(Audit[[#This Row],[Max Relative Error (ep)]] = 0, 0, Audit[[#This Row],[Max Relative Error (ep)]]/Audit[[#This Row],[Error Bound (up) - Max. possible relative overstatement]])</f>
        <v>0</v>
      </c>
      <c r="AJ8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51" s="111">
        <f t="shared" si="13"/>
        <v>1</v>
      </c>
      <c r="AL851" s="111">
        <f>PRODUCT($AK$5:AK851)</f>
        <v>8.962823818226312E-2</v>
      </c>
      <c r="AM851" s="109">
        <f>1 - [K-M P Value]</f>
        <v>0.91037176181773694</v>
      </c>
      <c r="AN851" s="111" t="str">
        <f>IF(Audit[[#This Row],[K-M P Value]]&gt;1-'General Info'!$B$16,"Continue", "Stop")</f>
        <v>Stop</v>
      </c>
      <c r="AO851" s="110" t="b">
        <f>IF(Audit[[#This Row],[Status - Continue or stop audit]] = "Continue", TRUE, IF(AN850 = "Continue", TRUE, FALSE))</f>
        <v>0</v>
      </c>
      <c r="AP851" s="110"/>
    </row>
    <row r="852" spans="1:42" ht="15" hidden="1" customHeight="1">
      <c r="A852" s="111" t="str">
        <f>'Sampling Data'!W843</f>
        <v/>
      </c>
      <c r="B852" s="112" t="str">
        <f>'Sampling Data'!A843</f>
        <v>CLEVELAND -16-M</v>
      </c>
      <c r="C852" s="112">
        <f>'Sampling Data'!B843</f>
        <v>2</v>
      </c>
      <c r="D852" s="112">
        <f>'Sampling Data'!C843</f>
        <v>6</v>
      </c>
      <c r="E852" s="113">
        <f>'Sampling Data'!D843</f>
        <v>3</v>
      </c>
      <c r="F852" s="113">
        <f>'Sampling Data'!E843</f>
        <v>0</v>
      </c>
      <c r="G852" s="113">
        <f>'Sampling Data'!F843</f>
        <v>0</v>
      </c>
      <c r="H852" s="113">
        <f>'Sampling Data'!G843</f>
        <v>0</v>
      </c>
      <c r="I852" s="112">
        <f>'Sampling Data'!H843</f>
        <v>0</v>
      </c>
      <c r="J852" s="112">
        <f>'Sampling Data'!I843</f>
        <v>1</v>
      </c>
      <c r="K852" s="112">
        <f>'Sampling Data'!J843</f>
        <v>12</v>
      </c>
      <c r="L852" s="111">
        <f>'Sampling Data'!X843</f>
        <v>0</v>
      </c>
      <c r="M852" s="114"/>
      <c r="N852" s="114"/>
      <c r="O852" s="115"/>
      <c r="P852" s="115"/>
      <c r="Q852" s="116"/>
      <c r="R852" s="116"/>
      <c r="S852" s="111">
        <f>Audit[[#This Row],[Audit Losing Candidate]]-Audit[[#This Row],[Losing Candidate]]</f>
        <v>-2</v>
      </c>
      <c r="T852" s="111">
        <f>Audit[[#This Row],[Audit Winning Candidate]]-Audit[[#This Row],[Winning Candidate]]</f>
        <v>-6</v>
      </c>
      <c r="U852" s="111">
        <f>Audit[[#This Row],[Audit Candidate 3]]-Audit[[#This Row],[Candidate 3]]</f>
        <v>-3</v>
      </c>
      <c r="V852" s="111">
        <f>Audit[[#This Row],[Audit Candidate 4]]-Audit[[#This Row],[Candidate 4]]</f>
        <v>0</v>
      </c>
      <c r="W852" s="111">
        <f>Audit[[#This Row],[Audit Candidate 5]]-Audit[[#This Row],[Candidate 5]]</f>
        <v>0</v>
      </c>
      <c r="X852" s="111">
        <f>Audit[[#This Row],[Audit Candidate 6]]-Audit[[#This Row],[Candidate 6]]</f>
        <v>0</v>
      </c>
      <c r="Y852" s="111">
        <f>SUMIF(Audit[[#This Row],[Difference Loser]:[Difference Candidate 6]], "&gt;0")</f>
        <v>0</v>
      </c>
      <c r="Z852" s="111">
        <f>SUM(Audit[[#This Row],[Difference Loser]:[Difference Candidate 6]])</f>
        <v>-11</v>
      </c>
      <c r="AA852" s="111">
        <f>IF(Audit[[#This Row],[Times p Drawn - With Replacement]]&gt;0, IF(Audit[[#This Row],[Canceled Differences]]&lt;0, Audit[[#This Row],[Max Differences]]+ABS(Audit[[#This Row],[Canceled Differences]]), Audit[[#This Row],[Max Differences]]), 0)</f>
        <v>0</v>
      </c>
      <c r="AB852" s="111">
        <f>'Sampling Data'!P843</f>
        <v>9.7991180793728563E-4</v>
      </c>
      <c r="AC852" s="111">
        <f>IF(
      SUM(Audit[[#This Row],[Audit Losing Candidate]:[Audit Candidate 6]])
      &lt;&gt;0,
      (Audit[[#This Row],[Winning Candidate]]-Audit[[#This Row],[Losing Candidate]]-(Audit[[#This Row],[Audit Winning Candidate]]-Audit[[#This Row],[Audit Losing Candidate]]))/(Audit[[#Totals],[Winning Candidate]]-Audit[[#Totals],[Losing Candidate]]),
      0
)</f>
        <v>0</v>
      </c>
      <c r="AD8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2" s="111">
        <f>IF(Audit[[#This Row],[Max Relative Error (ep)]] = 0, 0, Audit[[#This Row],[Max Relative Error (ep)]]/Audit[[#This Row],[Error Bound (up) - Max. possible relative overstatement]])</f>
        <v>0</v>
      </c>
      <c r="AJ8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52" s="111">
        <f t="shared" si="13"/>
        <v>1</v>
      </c>
      <c r="AL852" s="111">
        <f>PRODUCT($AK$5:AK852)</f>
        <v>8.962823818226312E-2</v>
      </c>
      <c r="AM852" s="109">
        <f>1 - [K-M P Value]</f>
        <v>0.91037176181773694</v>
      </c>
      <c r="AN852" s="111" t="str">
        <f>IF(Audit[[#This Row],[K-M P Value]]&gt;1-'General Info'!$B$16,"Continue", "Stop")</f>
        <v>Stop</v>
      </c>
      <c r="AO852" s="110" t="b">
        <f>IF(Audit[[#This Row],[Status - Continue or stop audit]] = "Continue", TRUE, IF(AN851 = "Continue", TRUE, FALSE))</f>
        <v>0</v>
      </c>
      <c r="AP852" s="110"/>
    </row>
    <row r="853" spans="1:42" ht="15" hidden="1" customHeight="1">
      <c r="A853" s="111" t="str">
        <f>'Sampling Data'!W844</f>
        <v/>
      </c>
      <c r="B853" s="112" t="str">
        <f>'Sampling Data'!A844</f>
        <v>CLEVELAND -16-M - ABS</v>
      </c>
      <c r="C853" s="112">
        <f>'Sampling Data'!B844</f>
        <v>2</v>
      </c>
      <c r="D853" s="112">
        <f>'Sampling Data'!C844</f>
        <v>0</v>
      </c>
      <c r="E853" s="113">
        <f>'Sampling Data'!D844</f>
        <v>0</v>
      </c>
      <c r="F853" s="113">
        <f>'Sampling Data'!E844</f>
        <v>0</v>
      </c>
      <c r="G853" s="113">
        <f>'Sampling Data'!F844</f>
        <v>0</v>
      </c>
      <c r="H853" s="113">
        <f>'Sampling Data'!G844</f>
        <v>0</v>
      </c>
      <c r="I853" s="112">
        <f>'Sampling Data'!H844</f>
        <v>0</v>
      </c>
      <c r="J853" s="112">
        <f>'Sampling Data'!I844</f>
        <v>0</v>
      </c>
      <c r="K853" s="112">
        <f>'Sampling Data'!J844</f>
        <v>2</v>
      </c>
      <c r="L853" s="111">
        <f>'Sampling Data'!X844</f>
        <v>0</v>
      </c>
      <c r="M853" s="114"/>
      <c r="N853" s="114"/>
      <c r="O853" s="115"/>
      <c r="P853" s="115"/>
      <c r="Q853" s="116"/>
      <c r="R853" s="116"/>
      <c r="S853" s="111">
        <f>Audit[[#This Row],[Audit Losing Candidate]]-Audit[[#This Row],[Losing Candidate]]</f>
        <v>-2</v>
      </c>
      <c r="T853" s="111">
        <f>Audit[[#This Row],[Audit Winning Candidate]]-Audit[[#This Row],[Winning Candidate]]</f>
        <v>0</v>
      </c>
      <c r="U853" s="111">
        <f>Audit[[#This Row],[Audit Candidate 3]]-Audit[[#This Row],[Candidate 3]]</f>
        <v>0</v>
      </c>
      <c r="V853" s="111">
        <f>Audit[[#This Row],[Audit Candidate 4]]-Audit[[#This Row],[Candidate 4]]</f>
        <v>0</v>
      </c>
      <c r="W853" s="111">
        <f>Audit[[#This Row],[Audit Candidate 5]]-Audit[[#This Row],[Candidate 5]]</f>
        <v>0</v>
      </c>
      <c r="X853" s="111">
        <f>Audit[[#This Row],[Audit Candidate 6]]-Audit[[#This Row],[Candidate 6]]</f>
        <v>0</v>
      </c>
      <c r="Y853" s="111">
        <f>SUMIF(Audit[[#This Row],[Difference Loser]:[Difference Candidate 6]], "&gt;0")</f>
        <v>0</v>
      </c>
      <c r="Z853" s="111">
        <f>SUM(Audit[[#This Row],[Difference Loser]:[Difference Candidate 6]])</f>
        <v>-2</v>
      </c>
      <c r="AA853" s="111">
        <f>IF(Audit[[#This Row],[Times p Drawn - With Replacement]]&gt;0, IF(Audit[[#This Row],[Canceled Differences]]&lt;0, Audit[[#This Row],[Max Differences]]+ABS(Audit[[#This Row],[Canceled Differences]]), Audit[[#This Row],[Max Differences]]), 0)</f>
        <v>0</v>
      </c>
      <c r="AB853" s="111">
        <f>'Sampling Data'!P844</f>
        <v>6.4522373132883833E-5</v>
      </c>
      <c r="AC853" s="111">
        <f>IF(
      SUM(Audit[[#This Row],[Audit Losing Candidate]:[Audit Candidate 6]])
      &lt;&gt;0,
      (Audit[[#This Row],[Winning Candidate]]-Audit[[#This Row],[Losing Candidate]]-(Audit[[#This Row],[Audit Winning Candidate]]-Audit[[#This Row],[Audit Losing Candidate]]))/(Audit[[#Totals],[Winning Candidate]]-Audit[[#Totals],[Losing Candidate]]),
      0
)</f>
        <v>0</v>
      </c>
      <c r="AD8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3" s="111">
        <f>IF(Audit[[#This Row],[Max Relative Error (ep)]] = 0, 0, Audit[[#This Row],[Max Relative Error (ep)]]/Audit[[#This Row],[Error Bound (up) - Max. possible relative overstatement]])</f>
        <v>0</v>
      </c>
      <c r="AJ8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53" s="111">
        <f t="shared" si="13"/>
        <v>1</v>
      </c>
      <c r="AL853" s="111">
        <f>PRODUCT($AK$5:AK853)</f>
        <v>8.962823818226312E-2</v>
      </c>
      <c r="AM853" s="109">
        <f>1 - [K-M P Value]</f>
        <v>0.91037176181773694</v>
      </c>
      <c r="AN853" s="111" t="str">
        <f>IF(Audit[[#This Row],[K-M P Value]]&gt;1-'General Info'!$B$16,"Continue", "Stop")</f>
        <v>Stop</v>
      </c>
      <c r="AO853" s="110" t="b">
        <f>IF(Audit[[#This Row],[Status - Continue or stop audit]] = "Continue", TRUE, IF(AN852 = "Continue", TRUE, FALSE))</f>
        <v>0</v>
      </c>
      <c r="AP853" s="110"/>
    </row>
    <row r="854" spans="1:42" ht="15" hidden="1" customHeight="1">
      <c r="A854" s="111" t="str">
        <f>'Sampling Data'!W845</f>
        <v/>
      </c>
      <c r="B854" s="112" t="str">
        <f>'Sampling Data'!A845</f>
        <v>CLEVELAND -16-N</v>
      </c>
      <c r="C854" s="112">
        <f>'Sampling Data'!B845</f>
        <v>9</v>
      </c>
      <c r="D854" s="112">
        <f>'Sampling Data'!C845</f>
        <v>0</v>
      </c>
      <c r="E854" s="113">
        <f>'Sampling Data'!D845</f>
        <v>2</v>
      </c>
      <c r="F854" s="113">
        <f>'Sampling Data'!E845</f>
        <v>2</v>
      </c>
      <c r="G854" s="113">
        <f>'Sampling Data'!F845</f>
        <v>0</v>
      </c>
      <c r="H854" s="113">
        <f>'Sampling Data'!G845</f>
        <v>0</v>
      </c>
      <c r="I854" s="112">
        <f>'Sampling Data'!H845</f>
        <v>0</v>
      </c>
      <c r="J854" s="112">
        <f>'Sampling Data'!I845</f>
        <v>0</v>
      </c>
      <c r="K854" s="112">
        <f>'Sampling Data'!J845</f>
        <v>13</v>
      </c>
      <c r="L854" s="111">
        <f>'Sampling Data'!X845</f>
        <v>0</v>
      </c>
      <c r="M854" s="114"/>
      <c r="N854" s="114"/>
      <c r="O854" s="115"/>
      <c r="P854" s="115"/>
      <c r="Q854" s="116"/>
      <c r="R854" s="116"/>
      <c r="S854" s="111">
        <f>Audit[[#This Row],[Audit Losing Candidate]]-Audit[[#This Row],[Losing Candidate]]</f>
        <v>-9</v>
      </c>
      <c r="T854" s="111">
        <f>Audit[[#This Row],[Audit Winning Candidate]]-Audit[[#This Row],[Winning Candidate]]</f>
        <v>0</v>
      </c>
      <c r="U854" s="111">
        <f>Audit[[#This Row],[Audit Candidate 3]]-Audit[[#This Row],[Candidate 3]]</f>
        <v>-2</v>
      </c>
      <c r="V854" s="111">
        <f>Audit[[#This Row],[Audit Candidate 4]]-Audit[[#This Row],[Candidate 4]]</f>
        <v>-2</v>
      </c>
      <c r="W854" s="111">
        <f>Audit[[#This Row],[Audit Candidate 5]]-Audit[[#This Row],[Candidate 5]]</f>
        <v>0</v>
      </c>
      <c r="X854" s="111">
        <f>Audit[[#This Row],[Audit Candidate 6]]-Audit[[#This Row],[Candidate 6]]</f>
        <v>0</v>
      </c>
      <c r="Y854" s="111">
        <f>SUMIF(Audit[[#This Row],[Difference Loser]:[Difference Candidate 6]], "&gt;0")</f>
        <v>0</v>
      </c>
      <c r="Z854" s="111">
        <f>SUM(Audit[[#This Row],[Difference Loser]:[Difference Candidate 6]])</f>
        <v>-13</v>
      </c>
      <c r="AA854" s="111">
        <f>IF(Audit[[#This Row],[Times p Drawn - With Replacement]]&gt;0, IF(Audit[[#This Row],[Canceled Differences]]&lt;0, Audit[[#This Row],[Max Differences]]+ABS(Audit[[#This Row],[Canceled Differences]]), Audit[[#This Row],[Max Differences]]), 0)</f>
        <v>0</v>
      </c>
      <c r="AB854" s="111">
        <f>'Sampling Data'!P845</f>
        <v>3.5487305223086104E-4</v>
      </c>
      <c r="AC854" s="111">
        <f>IF(
      SUM(Audit[[#This Row],[Audit Losing Candidate]:[Audit Candidate 6]])
      &lt;&gt;0,
      (Audit[[#This Row],[Winning Candidate]]-Audit[[#This Row],[Losing Candidate]]-(Audit[[#This Row],[Audit Winning Candidate]]-Audit[[#This Row],[Audit Losing Candidate]]))/(Audit[[#Totals],[Winning Candidate]]-Audit[[#Totals],[Losing Candidate]]),
      0
)</f>
        <v>0</v>
      </c>
      <c r="AD8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4" s="111">
        <f>IF(Audit[[#This Row],[Max Relative Error (ep)]] = 0, 0, Audit[[#This Row],[Max Relative Error (ep)]]/Audit[[#This Row],[Error Bound (up) - Max. possible relative overstatement]])</f>
        <v>0</v>
      </c>
      <c r="AJ8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54" s="111">
        <f t="shared" si="13"/>
        <v>1</v>
      </c>
      <c r="AL854" s="111">
        <f>PRODUCT($AK$5:AK854)</f>
        <v>8.962823818226312E-2</v>
      </c>
      <c r="AM854" s="109">
        <f>1 - [K-M P Value]</f>
        <v>0.91037176181773694</v>
      </c>
      <c r="AN854" s="111" t="str">
        <f>IF(Audit[[#This Row],[K-M P Value]]&gt;1-'General Info'!$B$16,"Continue", "Stop")</f>
        <v>Stop</v>
      </c>
      <c r="AO854" s="110" t="b">
        <f>IF(Audit[[#This Row],[Status - Continue or stop audit]] = "Continue", TRUE, IF(AN853 = "Continue", TRUE, FALSE))</f>
        <v>0</v>
      </c>
      <c r="AP854" s="110"/>
    </row>
    <row r="855" spans="1:42" ht="15" hidden="1" customHeight="1">
      <c r="A855" s="111" t="str">
        <f>'Sampling Data'!W846</f>
        <v/>
      </c>
      <c r="B855" s="112" t="str">
        <f>'Sampling Data'!A846</f>
        <v>CLEVELAND -16-N - ABS</v>
      </c>
      <c r="C855" s="112">
        <f>'Sampling Data'!B846</f>
        <v>4</v>
      </c>
      <c r="D855" s="112">
        <f>'Sampling Data'!C846</f>
        <v>0</v>
      </c>
      <c r="E855" s="113">
        <f>'Sampling Data'!D846</f>
        <v>0</v>
      </c>
      <c r="F855" s="113">
        <f>'Sampling Data'!E846</f>
        <v>1</v>
      </c>
      <c r="G855" s="113">
        <f>'Sampling Data'!F846</f>
        <v>0</v>
      </c>
      <c r="H855" s="113">
        <f>'Sampling Data'!G846</f>
        <v>0</v>
      </c>
      <c r="I855" s="112">
        <f>'Sampling Data'!H846</f>
        <v>0</v>
      </c>
      <c r="J855" s="112">
        <f>'Sampling Data'!I846</f>
        <v>0</v>
      </c>
      <c r="K855" s="112">
        <f>'Sampling Data'!J846</f>
        <v>5</v>
      </c>
      <c r="L855" s="111">
        <f>'Sampling Data'!X846</f>
        <v>0</v>
      </c>
      <c r="M855" s="114"/>
      <c r="N855" s="114"/>
      <c r="O855" s="115"/>
      <c r="P855" s="115"/>
      <c r="Q855" s="116"/>
      <c r="R855" s="116"/>
      <c r="S855" s="111">
        <f>Audit[[#This Row],[Audit Losing Candidate]]-Audit[[#This Row],[Losing Candidate]]</f>
        <v>-4</v>
      </c>
      <c r="T855" s="111">
        <f>Audit[[#This Row],[Audit Winning Candidate]]-Audit[[#This Row],[Winning Candidate]]</f>
        <v>0</v>
      </c>
      <c r="U855" s="111">
        <f>Audit[[#This Row],[Audit Candidate 3]]-Audit[[#This Row],[Candidate 3]]</f>
        <v>0</v>
      </c>
      <c r="V855" s="111">
        <f>Audit[[#This Row],[Audit Candidate 4]]-Audit[[#This Row],[Candidate 4]]</f>
        <v>-1</v>
      </c>
      <c r="W855" s="111">
        <f>Audit[[#This Row],[Audit Candidate 5]]-Audit[[#This Row],[Candidate 5]]</f>
        <v>0</v>
      </c>
      <c r="X855" s="111">
        <f>Audit[[#This Row],[Audit Candidate 6]]-Audit[[#This Row],[Candidate 6]]</f>
        <v>0</v>
      </c>
      <c r="Y855" s="111">
        <f>SUMIF(Audit[[#This Row],[Difference Loser]:[Difference Candidate 6]], "&gt;0")</f>
        <v>0</v>
      </c>
      <c r="Z855" s="111">
        <f>SUM(Audit[[#This Row],[Difference Loser]:[Difference Candidate 6]])</f>
        <v>-5</v>
      </c>
      <c r="AA855" s="111">
        <f>IF(Audit[[#This Row],[Times p Drawn - With Replacement]]&gt;0, IF(Audit[[#This Row],[Canceled Differences]]&lt;0, Audit[[#This Row],[Max Differences]]+ABS(Audit[[#This Row],[Canceled Differences]]), Audit[[#This Row],[Max Differences]]), 0)</f>
        <v>0</v>
      </c>
      <c r="AB855" s="111">
        <f>'Sampling Data'!P846</f>
        <v>1.6130593283220958E-4</v>
      </c>
      <c r="AC855" s="111">
        <f>IF(
      SUM(Audit[[#This Row],[Audit Losing Candidate]:[Audit Candidate 6]])
      &lt;&gt;0,
      (Audit[[#This Row],[Winning Candidate]]-Audit[[#This Row],[Losing Candidate]]-(Audit[[#This Row],[Audit Winning Candidate]]-Audit[[#This Row],[Audit Losing Candidate]]))/(Audit[[#Totals],[Winning Candidate]]-Audit[[#Totals],[Losing Candidate]]),
      0
)</f>
        <v>0</v>
      </c>
      <c r="AD8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5" s="111">
        <f>IF(Audit[[#This Row],[Max Relative Error (ep)]] = 0, 0, Audit[[#This Row],[Max Relative Error (ep)]]/Audit[[#This Row],[Error Bound (up) - Max. possible relative overstatement]])</f>
        <v>0</v>
      </c>
      <c r="AJ8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55" s="111">
        <f t="shared" si="13"/>
        <v>1</v>
      </c>
      <c r="AL855" s="111">
        <f>PRODUCT($AK$5:AK855)</f>
        <v>8.962823818226312E-2</v>
      </c>
      <c r="AM855" s="109">
        <f>1 - [K-M P Value]</f>
        <v>0.91037176181773694</v>
      </c>
      <c r="AN855" s="111" t="str">
        <f>IF(Audit[[#This Row],[K-M P Value]]&gt;1-'General Info'!$B$16,"Continue", "Stop")</f>
        <v>Stop</v>
      </c>
      <c r="AO855" s="110" t="b">
        <f>IF(Audit[[#This Row],[Status - Continue or stop audit]] = "Continue", TRUE, IF(AN854 = "Continue", TRUE, FALSE))</f>
        <v>0</v>
      </c>
      <c r="AP855" s="110"/>
    </row>
    <row r="856" spans="1:42" ht="15" hidden="1" customHeight="1">
      <c r="A856" s="111" t="str">
        <f>'Sampling Data'!W847</f>
        <v/>
      </c>
      <c r="B856" s="112" t="str">
        <f>'Sampling Data'!A847</f>
        <v>CLEVELAND -16-O</v>
      </c>
      <c r="C856" s="112">
        <f>'Sampling Data'!B847</f>
        <v>8</v>
      </c>
      <c r="D856" s="112">
        <f>'Sampling Data'!C847</f>
        <v>3</v>
      </c>
      <c r="E856" s="113">
        <f>'Sampling Data'!D847</f>
        <v>3</v>
      </c>
      <c r="F856" s="113">
        <f>'Sampling Data'!E847</f>
        <v>6</v>
      </c>
      <c r="G856" s="113">
        <f>'Sampling Data'!F847</f>
        <v>0</v>
      </c>
      <c r="H856" s="113">
        <f>'Sampling Data'!G847</f>
        <v>0</v>
      </c>
      <c r="I856" s="112">
        <f>'Sampling Data'!H847</f>
        <v>0</v>
      </c>
      <c r="J856" s="112">
        <f>'Sampling Data'!I847</f>
        <v>1</v>
      </c>
      <c r="K856" s="112">
        <f>'Sampling Data'!J847</f>
        <v>21</v>
      </c>
      <c r="L856" s="111">
        <f>'Sampling Data'!X847</f>
        <v>0</v>
      </c>
      <c r="M856" s="114"/>
      <c r="N856" s="114"/>
      <c r="O856" s="115"/>
      <c r="P856" s="115"/>
      <c r="Q856" s="116"/>
      <c r="R856" s="116"/>
      <c r="S856" s="111">
        <f>Audit[[#This Row],[Audit Losing Candidate]]-Audit[[#This Row],[Losing Candidate]]</f>
        <v>-8</v>
      </c>
      <c r="T856" s="111">
        <f>Audit[[#This Row],[Audit Winning Candidate]]-Audit[[#This Row],[Winning Candidate]]</f>
        <v>-3</v>
      </c>
      <c r="U856" s="111">
        <f>Audit[[#This Row],[Audit Candidate 3]]-Audit[[#This Row],[Candidate 3]]</f>
        <v>-3</v>
      </c>
      <c r="V856" s="111">
        <f>Audit[[#This Row],[Audit Candidate 4]]-Audit[[#This Row],[Candidate 4]]</f>
        <v>-6</v>
      </c>
      <c r="W856" s="111">
        <f>Audit[[#This Row],[Audit Candidate 5]]-Audit[[#This Row],[Candidate 5]]</f>
        <v>0</v>
      </c>
      <c r="X856" s="111">
        <f>Audit[[#This Row],[Audit Candidate 6]]-Audit[[#This Row],[Candidate 6]]</f>
        <v>0</v>
      </c>
      <c r="Y856" s="111">
        <f>SUMIF(Audit[[#This Row],[Difference Loser]:[Difference Candidate 6]], "&gt;0")</f>
        <v>0</v>
      </c>
      <c r="Z856" s="111">
        <f>SUM(Audit[[#This Row],[Difference Loser]:[Difference Candidate 6]])</f>
        <v>-20</v>
      </c>
      <c r="AA856" s="111">
        <f>IF(Audit[[#This Row],[Times p Drawn - With Replacement]]&gt;0, IF(Audit[[#This Row],[Canceled Differences]]&lt;0, Audit[[#This Row],[Max Differences]]+ABS(Audit[[#This Row],[Canceled Differences]]), Audit[[#This Row],[Max Differences]]), 0)</f>
        <v>0</v>
      </c>
      <c r="AB856" s="111">
        <f>'Sampling Data'!P847</f>
        <v>9.7991180793728563E-4</v>
      </c>
      <c r="AC856" s="111">
        <f>IF(
      SUM(Audit[[#This Row],[Audit Losing Candidate]:[Audit Candidate 6]])
      &lt;&gt;0,
      (Audit[[#This Row],[Winning Candidate]]-Audit[[#This Row],[Losing Candidate]]-(Audit[[#This Row],[Audit Winning Candidate]]-Audit[[#This Row],[Audit Losing Candidate]]))/(Audit[[#Totals],[Winning Candidate]]-Audit[[#Totals],[Losing Candidate]]),
      0
)</f>
        <v>0</v>
      </c>
      <c r="AD8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6" s="111">
        <f>IF(Audit[[#This Row],[Max Relative Error (ep)]] = 0, 0, Audit[[#This Row],[Max Relative Error (ep)]]/Audit[[#This Row],[Error Bound (up) - Max. possible relative overstatement]])</f>
        <v>0</v>
      </c>
      <c r="AJ8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56" s="111">
        <f t="shared" si="13"/>
        <v>1</v>
      </c>
      <c r="AL856" s="111">
        <f>PRODUCT($AK$5:AK856)</f>
        <v>8.962823818226312E-2</v>
      </c>
      <c r="AM856" s="109">
        <f>1 - [K-M P Value]</f>
        <v>0.91037176181773694</v>
      </c>
      <c r="AN856" s="111" t="str">
        <f>IF(Audit[[#This Row],[K-M P Value]]&gt;1-'General Info'!$B$16,"Continue", "Stop")</f>
        <v>Stop</v>
      </c>
      <c r="AO856" s="110" t="b">
        <f>IF(Audit[[#This Row],[Status - Continue or stop audit]] = "Continue", TRUE, IF(AN855 = "Continue", TRUE, FALSE))</f>
        <v>0</v>
      </c>
      <c r="AP856" s="110"/>
    </row>
    <row r="857" spans="1:42" ht="15" hidden="1" customHeight="1">
      <c r="A857" s="111" t="str">
        <f>'Sampling Data'!W848</f>
        <v/>
      </c>
      <c r="B857" s="112" t="str">
        <f>'Sampling Data'!A848</f>
        <v>CLEVELAND -16-O - ABS</v>
      </c>
      <c r="C857" s="112">
        <f>'Sampling Data'!B848</f>
        <v>5</v>
      </c>
      <c r="D857" s="112">
        <f>'Sampling Data'!C848</f>
        <v>4</v>
      </c>
      <c r="E857" s="113">
        <f>'Sampling Data'!D848</f>
        <v>2</v>
      </c>
      <c r="F857" s="113">
        <f>'Sampling Data'!E848</f>
        <v>1</v>
      </c>
      <c r="G857" s="113">
        <f>'Sampling Data'!F848</f>
        <v>0</v>
      </c>
      <c r="H857" s="113">
        <f>'Sampling Data'!G848</f>
        <v>0</v>
      </c>
      <c r="I857" s="112">
        <f>'Sampling Data'!H848</f>
        <v>0</v>
      </c>
      <c r="J857" s="112">
        <f>'Sampling Data'!I848</f>
        <v>0</v>
      </c>
      <c r="K857" s="112">
        <f>'Sampling Data'!J848</f>
        <v>12</v>
      </c>
      <c r="L857" s="111">
        <f>'Sampling Data'!X848</f>
        <v>0</v>
      </c>
      <c r="M857" s="114"/>
      <c r="N857" s="114"/>
      <c r="O857" s="115"/>
      <c r="P857" s="115"/>
      <c r="Q857" s="116"/>
      <c r="R857" s="116"/>
      <c r="S857" s="111">
        <f>Audit[[#This Row],[Audit Losing Candidate]]-Audit[[#This Row],[Losing Candidate]]</f>
        <v>-5</v>
      </c>
      <c r="T857" s="111">
        <f>Audit[[#This Row],[Audit Winning Candidate]]-Audit[[#This Row],[Winning Candidate]]</f>
        <v>-4</v>
      </c>
      <c r="U857" s="111">
        <f>Audit[[#This Row],[Audit Candidate 3]]-Audit[[#This Row],[Candidate 3]]</f>
        <v>-2</v>
      </c>
      <c r="V857" s="111">
        <f>Audit[[#This Row],[Audit Candidate 4]]-Audit[[#This Row],[Candidate 4]]</f>
        <v>-1</v>
      </c>
      <c r="W857" s="111">
        <f>Audit[[#This Row],[Audit Candidate 5]]-Audit[[#This Row],[Candidate 5]]</f>
        <v>0</v>
      </c>
      <c r="X857" s="111">
        <f>Audit[[#This Row],[Audit Candidate 6]]-Audit[[#This Row],[Candidate 6]]</f>
        <v>0</v>
      </c>
      <c r="Y857" s="111">
        <f>SUMIF(Audit[[#This Row],[Difference Loser]:[Difference Candidate 6]], "&gt;0")</f>
        <v>0</v>
      </c>
      <c r="Z857" s="111">
        <f>SUM(Audit[[#This Row],[Difference Loser]:[Difference Candidate 6]])</f>
        <v>-12</v>
      </c>
      <c r="AA857" s="111">
        <f>IF(Audit[[#This Row],[Times p Drawn - With Replacement]]&gt;0, IF(Audit[[#This Row],[Canceled Differences]]&lt;0, Audit[[#This Row],[Max Differences]]+ABS(Audit[[#This Row],[Canceled Differences]]), Audit[[#This Row],[Max Differences]]), 0)</f>
        <v>0</v>
      </c>
      <c r="AB857" s="111">
        <f>'Sampling Data'!P848</f>
        <v>6.7368936795688392E-4</v>
      </c>
      <c r="AC857" s="111">
        <f>IF(
      SUM(Audit[[#This Row],[Audit Losing Candidate]:[Audit Candidate 6]])
      &lt;&gt;0,
      (Audit[[#This Row],[Winning Candidate]]-Audit[[#This Row],[Losing Candidate]]-(Audit[[#This Row],[Audit Winning Candidate]]-Audit[[#This Row],[Audit Losing Candidate]]))/(Audit[[#Totals],[Winning Candidate]]-Audit[[#Totals],[Losing Candidate]]),
      0
)</f>
        <v>0</v>
      </c>
      <c r="AD8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7" s="111">
        <f>IF(Audit[[#This Row],[Max Relative Error (ep)]] = 0, 0, Audit[[#This Row],[Max Relative Error (ep)]]/Audit[[#This Row],[Error Bound (up) - Max. possible relative overstatement]])</f>
        <v>0</v>
      </c>
      <c r="AJ8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57" s="111">
        <f t="shared" si="13"/>
        <v>1</v>
      </c>
      <c r="AL857" s="111">
        <f>PRODUCT($AK$5:AK857)</f>
        <v>8.962823818226312E-2</v>
      </c>
      <c r="AM857" s="109">
        <f>1 - [K-M P Value]</f>
        <v>0.91037176181773694</v>
      </c>
      <c r="AN857" s="111" t="str">
        <f>IF(Audit[[#This Row],[K-M P Value]]&gt;1-'General Info'!$B$16,"Continue", "Stop")</f>
        <v>Stop</v>
      </c>
      <c r="AO857" s="110" t="b">
        <f>IF(Audit[[#This Row],[Status - Continue or stop audit]] = "Continue", TRUE, IF(AN856 = "Continue", TRUE, FALSE))</f>
        <v>0</v>
      </c>
      <c r="AP857" s="110"/>
    </row>
    <row r="858" spans="1:42" ht="15" hidden="1" customHeight="1">
      <c r="A858" s="111" t="str">
        <f>'Sampling Data'!W849</f>
        <v/>
      </c>
      <c r="B858" s="112" t="str">
        <f>'Sampling Data'!A849</f>
        <v>CLEVELAND -16-P</v>
      </c>
      <c r="C858" s="112">
        <f>'Sampling Data'!B849</f>
        <v>10</v>
      </c>
      <c r="D858" s="112">
        <f>'Sampling Data'!C849</f>
        <v>11</v>
      </c>
      <c r="E858" s="113">
        <f>'Sampling Data'!D849</f>
        <v>4</v>
      </c>
      <c r="F858" s="113">
        <f>'Sampling Data'!E849</f>
        <v>5</v>
      </c>
      <c r="G858" s="113">
        <f>'Sampling Data'!F849</f>
        <v>0</v>
      </c>
      <c r="H858" s="113">
        <f>'Sampling Data'!G849</f>
        <v>0</v>
      </c>
      <c r="I858" s="112">
        <f>'Sampling Data'!H849</f>
        <v>0</v>
      </c>
      <c r="J858" s="112">
        <f>'Sampling Data'!I849</f>
        <v>0</v>
      </c>
      <c r="K858" s="112">
        <f>'Sampling Data'!J849</f>
        <v>30</v>
      </c>
      <c r="L858" s="111">
        <f>'Sampling Data'!X849</f>
        <v>0</v>
      </c>
      <c r="M858" s="114"/>
      <c r="N858" s="114"/>
      <c r="O858" s="115"/>
      <c r="P858" s="115"/>
      <c r="Q858" s="116"/>
      <c r="R858" s="116"/>
      <c r="S858" s="111">
        <f>Audit[[#This Row],[Audit Losing Candidate]]-Audit[[#This Row],[Losing Candidate]]</f>
        <v>-10</v>
      </c>
      <c r="T858" s="111">
        <f>Audit[[#This Row],[Audit Winning Candidate]]-Audit[[#This Row],[Winning Candidate]]</f>
        <v>-11</v>
      </c>
      <c r="U858" s="111">
        <f>Audit[[#This Row],[Audit Candidate 3]]-Audit[[#This Row],[Candidate 3]]</f>
        <v>-4</v>
      </c>
      <c r="V858" s="111">
        <f>Audit[[#This Row],[Audit Candidate 4]]-Audit[[#This Row],[Candidate 4]]</f>
        <v>-5</v>
      </c>
      <c r="W858" s="111">
        <f>Audit[[#This Row],[Audit Candidate 5]]-Audit[[#This Row],[Candidate 5]]</f>
        <v>0</v>
      </c>
      <c r="X858" s="111">
        <f>Audit[[#This Row],[Audit Candidate 6]]-Audit[[#This Row],[Candidate 6]]</f>
        <v>0</v>
      </c>
      <c r="Y858" s="111">
        <f>SUMIF(Audit[[#This Row],[Difference Loser]:[Difference Candidate 6]], "&gt;0")</f>
        <v>0</v>
      </c>
      <c r="Z858" s="111">
        <f>SUM(Audit[[#This Row],[Difference Loser]:[Difference Candidate 6]])</f>
        <v>-30</v>
      </c>
      <c r="AA858" s="111">
        <f>IF(Audit[[#This Row],[Times p Drawn - With Replacement]]&gt;0, IF(Audit[[#This Row],[Canceled Differences]]&lt;0, Audit[[#This Row],[Max Differences]]+ABS(Audit[[#This Row],[Canceled Differences]]), Audit[[#This Row],[Max Differences]]), 0)</f>
        <v>0</v>
      </c>
      <c r="AB858" s="111">
        <f>'Sampling Data'!P849</f>
        <v>1.8985791278784908E-3</v>
      </c>
      <c r="AC858" s="111">
        <f>IF(
      SUM(Audit[[#This Row],[Audit Losing Candidate]:[Audit Candidate 6]])
      &lt;&gt;0,
      (Audit[[#This Row],[Winning Candidate]]-Audit[[#This Row],[Losing Candidate]]-(Audit[[#This Row],[Audit Winning Candidate]]-Audit[[#This Row],[Audit Losing Candidate]]))/(Audit[[#Totals],[Winning Candidate]]-Audit[[#Totals],[Losing Candidate]]),
      0
)</f>
        <v>0</v>
      </c>
      <c r="AD8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8" s="111">
        <f>IF(Audit[[#This Row],[Max Relative Error (ep)]] = 0, 0, Audit[[#This Row],[Max Relative Error (ep)]]/Audit[[#This Row],[Error Bound (up) - Max. possible relative overstatement]])</f>
        <v>0</v>
      </c>
      <c r="AJ8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58" s="111">
        <f t="shared" si="13"/>
        <v>1</v>
      </c>
      <c r="AL858" s="111">
        <f>PRODUCT($AK$5:AK858)</f>
        <v>8.962823818226312E-2</v>
      </c>
      <c r="AM858" s="109">
        <f>1 - [K-M P Value]</f>
        <v>0.91037176181773694</v>
      </c>
      <c r="AN858" s="111" t="str">
        <f>IF(Audit[[#This Row],[K-M P Value]]&gt;1-'General Info'!$B$16,"Continue", "Stop")</f>
        <v>Stop</v>
      </c>
      <c r="AO858" s="110" t="b">
        <f>IF(Audit[[#This Row],[Status - Continue or stop audit]] = "Continue", TRUE, IF(AN857 = "Continue", TRUE, FALSE))</f>
        <v>0</v>
      </c>
      <c r="AP858" s="110"/>
    </row>
    <row r="859" spans="1:42" ht="15" hidden="1" customHeight="1">
      <c r="A859" s="111" t="str">
        <f>'Sampling Data'!W850</f>
        <v/>
      </c>
      <c r="B859" s="112" t="str">
        <f>'Sampling Data'!A850</f>
        <v>CLEVELAND -16-P - ABS</v>
      </c>
      <c r="C859" s="112">
        <f>'Sampling Data'!B850</f>
        <v>2</v>
      </c>
      <c r="D859" s="112">
        <f>'Sampling Data'!C850</f>
        <v>3</v>
      </c>
      <c r="E859" s="113">
        <f>'Sampling Data'!D850</f>
        <v>1</v>
      </c>
      <c r="F859" s="113">
        <f>'Sampling Data'!E850</f>
        <v>2</v>
      </c>
      <c r="G859" s="113">
        <f>'Sampling Data'!F850</f>
        <v>0</v>
      </c>
      <c r="H859" s="113">
        <f>'Sampling Data'!G850</f>
        <v>0</v>
      </c>
      <c r="I859" s="112">
        <f>'Sampling Data'!H850</f>
        <v>0</v>
      </c>
      <c r="J859" s="112">
        <f>'Sampling Data'!I850</f>
        <v>0</v>
      </c>
      <c r="K859" s="112">
        <f>'Sampling Data'!J850</f>
        <v>8</v>
      </c>
      <c r="L859" s="111">
        <f>'Sampling Data'!X850</f>
        <v>0</v>
      </c>
      <c r="M859" s="114"/>
      <c r="N859" s="114"/>
      <c r="O859" s="115"/>
      <c r="P859" s="115"/>
      <c r="Q859" s="116"/>
      <c r="R859" s="116"/>
      <c r="S859" s="111">
        <f>Audit[[#This Row],[Audit Losing Candidate]]-Audit[[#This Row],[Losing Candidate]]</f>
        <v>-2</v>
      </c>
      <c r="T859" s="111">
        <f>Audit[[#This Row],[Audit Winning Candidate]]-Audit[[#This Row],[Winning Candidate]]</f>
        <v>-3</v>
      </c>
      <c r="U859" s="111">
        <f>Audit[[#This Row],[Audit Candidate 3]]-Audit[[#This Row],[Candidate 3]]</f>
        <v>-1</v>
      </c>
      <c r="V859" s="111">
        <f>Audit[[#This Row],[Audit Candidate 4]]-Audit[[#This Row],[Candidate 4]]</f>
        <v>-2</v>
      </c>
      <c r="W859" s="111">
        <f>Audit[[#This Row],[Audit Candidate 5]]-Audit[[#This Row],[Candidate 5]]</f>
        <v>0</v>
      </c>
      <c r="X859" s="111">
        <f>Audit[[#This Row],[Audit Candidate 6]]-Audit[[#This Row],[Candidate 6]]</f>
        <v>0</v>
      </c>
      <c r="Y859" s="111">
        <f>SUMIF(Audit[[#This Row],[Difference Loser]:[Difference Candidate 6]], "&gt;0")</f>
        <v>0</v>
      </c>
      <c r="Z859" s="111">
        <f>SUM(Audit[[#This Row],[Difference Loser]:[Difference Candidate 6]])</f>
        <v>-8</v>
      </c>
      <c r="AA859" s="111">
        <f>IF(Audit[[#This Row],[Times p Drawn - With Replacement]]&gt;0, IF(Audit[[#This Row],[Canceled Differences]]&lt;0, Audit[[#This Row],[Max Differences]]+ABS(Audit[[#This Row],[Canceled Differences]]), Audit[[#This Row],[Max Differences]]), 0)</f>
        <v>0</v>
      </c>
      <c r="AB859" s="111">
        <f>'Sampling Data'!P850</f>
        <v>5.5120039196472322E-4</v>
      </c>
      <c r="AC859" s="111">
        <f>IF(
      SUM(Audit[[#This Row],[Audit Losing Candidate]:[Audit Candidate 6]])
      &lt;&gt;0,
      (Audit[[#This Row],[Winning Candidate]]-Audit[[#This Row],[Losing Candidate]]-(Audit[[#This Row],[Audit Winning Candidate]]-Audit[[#This Row],[Audit Losing Candidate]]))/(Audit[[#Totals],[Winning Candidate]]-Audit[[#Totals],[Losing Candidate]]),
      0
)</f>
        <v>0</v>
      </c>
      <c r="AD8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9" s="111">
        <f>IF(Audit[[#This Row],[Max Relative Error (ep)]] = 0, 0, Audit[[#This Row],[Max Relative Error (ep)]]/Audit[[#This Row],[Error Bound (up) - Max. possible relative overstatement]])</f>
        <v>0</v>
      </c>
      <c r="AJ8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59" s="111">
        <f t="shared" si="13"/>
        <v>1</v>
      </c>
      <c r="AL859" s="111">
        <f>PRODUCT($AK$5:AK859)</f>
        <v>8.962823818226312E-2</v>
      </c>
      <c r="AM859" s="109">
        <f>1 - [K-M P Value]</f>
        <v>0.91037176181773694</v>
      </c>
      <c r="AN859" s="111" t="str">
        <f>IF(Audit[[#This Row],[K-M P Value]]&gt;1-'General Info'!$B$16,"Continue", "Stop")</f>
        <v>Stop</v>
      </c>
      <c r="AO859" s="110" t="b">
        <f>IF(Audit[[#This Row],[Status - Continue or stop audit]] = "Continue", TRUE, IF(AN858 = "Continue", TRUE, FALSE))</f>
        <v>0</v>
      </c>
      <c r="AP859" s="110"/>
    </row>
    <row r="860" spans="1:42" ht="15" hidden="1" customHeight="1">
      <c r="A860" s="111" t="str">
        <f>'Sampling Data'!W851</f>
        <v/>
      </c>
      <c r="B860" s="112" t="str">
        <f>'Sampling Data'!A851</f>
        <v>CLEVELAND -17-A</v>
      </c>
      <c r="C860" s="112">
        <f>'Sampling Data'!B851</f>
        <v>3</v>
      </c>
      <c r="D860" s="112">
        <f>'Sampling Data'!C851</f>
        <v>1</v>
      </c>
      <c r="E860" s="113">
        <f>'Sampling Data'!D851</f>
        <v>0</v>
      </c>
      <c r="F860" s="113">
        <f>'Sampling Data'!E851</f>
        <v>2</v>
      </c>
      <c r="G860" s="113">
        <f>'Sampling Data'!F851</f>
        <v>0</v>
      </c>
      <c r="H860" s="113">
        <f>'Sampling Data'!G851</f>
        <v>0</v>
      </c>
      <c r="I860" s="112">
        <f>'Sampling Data'!H851</f>
        <v>0</v>
      </c>
      <c r="J860" s="112">
        <f>'Sampling Data'!I851</f>
        <v>1</v>
      </c>
      <c r="K860" s="112">
        <f>'Sampling Data'!J851</f>
        <v>7</v>
      </c>
      <c r="L860" s="111">
        <f>'Sampling Data'!X851</f>
        <v>0</v>
      </c>
      <c r="M860" s="114"/>
      <c r="N860" s="114"/>
      <c r="O860" s="115"/>
      <c r="P860" s="115"/>
      <c r="Q860" s="116"/>
      <c r="R860" s="116"/>
      <c r="S860" s="111">
        <f>Audit[[#This Row],[Audit Losing Candidate]]-Audit[[#This Row],[Losing Candidate]]</f>
        <v>-3</v>
      </c>
      <c r="T860" s="111">
        <f>Audit[[#This Row],[Audit Winning Candidate]]-Audit[[#This Row],[Winning Candidate]]</f>
        <v>-1</v>
      </c>
      <c r="U860" s="111">
        <f>Audit[[#This Row],[Audit Candidate 3]]-Audit[[#This Row],[Candidate 3]]</f>
        <v>0</v>
      </c>
      <c r="V860" s="111">
        <f>Audit[[#This Row],[Audit Candidate 4]]-Audit[[#This Row],[Candidate 4]]</f>
        <v>-2</v>
      </c>
      <c r="W860" s="111">
        <f>Audit[[#This Row],[Audit Candidate 5]]-Audit[[#This Row],[Candidate 5]]</f>
        <v>0</v>
      </c>
      <c r="X860" s="111">
        <f>Audit[[#This Row],[Audit Candidate 6]]-Audit[[#This Row],[Candidate 6]]</f>
        <v>0</v>
      </c>
      <c r="Y860" s="111">
        <f>SUMIF(Audit[[#This Row],[Difference Loser]:[Difference Candidate 6]], "&gt;0")</f>
        <v>0</v>
      </c>
      <c r="Z860" s="111">
        <f>SUM(Audit[[#This Row],[Difference Loser]:[Difference Candidate 6]])</f>
        <v>-6</v>
      </c>
      <c r="AA860" s="111">
        <f>IF(Audit[[#This Row],[Times p Drawn - With Replacement]]&gt;0, IF(Audit[[#This Row],[Canceled Differences]]&lt;0, Audit[[#This Row],[Max Differences]]+ABS(Audit[[#This Row],[Canceled Differences]]), Audit[[#This Row],[Max Differences]]), 0)</f>
        <v>0</v>
      </c>
      <c r="AB860" s="111">
        <f>'Sampling Data'!P851</f>
        <v>3.0622243998040176E-4</v>
      </c>
      <c r="AC860" s="111">
        <f>IF(
      SUM(Audit[[#This Row],[Audit Losing Candidate]:[Audit Candidate 6]])
      &lt;&gt;0,
      (Audit[[#This Row],[Winning Candidate]]-Audit[[#This Row],[Losing Candidate]]-(Audit[[#This Row],[Audit Winning Candidate]]-Audit[[#This Row],[Audit Losing Candidate]]))/(Audit[[#Totals],[Winning Candidate]]-Audit[[#Totals],[Losing Candidate]]),
      0
)</f>
        <v>0</v>
      </c>
      <c r="AD8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0" s="111">
        <f>IF(Audit[[#This Row],[Max Relative Error (ep)]] = 0, 0, Audit[[#This Row],[Max Relative Error (ep)]]/Audit[[#This Row],[Error Bound (up) - Max. possible relative overstatement]])</f>
        <v>0</v>
      </c>
      <c r="AJ8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60" s="111">
        <f t="shared" si="13"/>
        <v>1</v>
      </c>
      <c r="AL860" s="111">
        <f>PRODUCT($AK$5:AK860)</f>
        <v>8.962823818226312E-2</v>
      </c>
      <c r="AM860" s="109">
        <f>1 - [K-M P Value]</f>
        <v>0.91037176181773694</v>
      </c>
      <c r="AN860" s="111" t="str">
        <f>IF(Audit[[#This Row],[K-M P Value]]&gt;1-'General Info'!$B$16,"Continue", "Stop")</f>
        <v>Stop</v>
      </c>
      <c r="AO860" s="110" t="b">
        <f>IF(Audit[[#This Row],[Status - Continue or stop audit]] = "Continue", TRUE, IF(AN859 = "Continue", TRUE, FALSE))</f>
        <v>0</v>
      </c>
      <c r="AP860" s="110"/>
    </row>
    <row r="861" spans="1:42" ht="15" hidden="1" customHeight="1">
      <c r="A861" s="111" t="str">
        <f>'Sampling Data'!W852</f>
        <v/>
      </c>
      <c r="B861" s="112" t="str">
        <f>'Sampling Data'!A852</f>
        <v>CLEVELAND -17-A - ABS</v>
      </c>
      <c r="C861" s="112">
        <f>'Sampling Data'!B852</f>
        <v>1</v>
      </c>
      <c r="D861" s="112">
        <f>'Sampling Data'!C852</f>
        <v>0</v>
      </c>
      <c r="E861" s="113">
        <f>'Sampling Data'!D852</f>
        <v>2</v>
      </c>
      <c r="F861" s="113">
        <f>'Sampling Data'!E852</f>
        <v>2</v>
      </c>
      <c r="G861" s="113">
        <f>'Sampling Data'!F852</f>
        <v>0</v>
      </c>
      <c r="H861" s="113">
        <f>'Sampling Data'!G852</f>
        <v>0</v>
      </c>
      <c r="I861" s="112">
        <f>'Sampling Data'!H852</f>
        <v>0</v>
      </c>
      <c r="J861" s="112">
        <f>'Sampling Data'!I852</f>
        <v>0</v>
      </c>
      <c r="K861" s="112">
        <f>'Sampling Data'!J852</f>
        <v>5</v>
      </c>
      <c r="L861" s="111">
        <f>'Sampling Data'!X852</f>
        <v>0</v>
      </c>
      <c r="M861" s="114"/>
      <c r="N861" s="114"/>
      <c r="O861" s="115"/>
      <c r="P861" s="115"/>
      <c r="Q861" s="116"/>
      <c r="R861" s="116"/>
      <c r="S861" s="111">
        <f>Audit[[#This Row],[Audit Losing Candidate]]-Audit[[#This Row],[Losing Candidate]]</f>
        <v>-1</v>
      </c>
      <c r="T861" s="111">
        <f>Audit[[#This Row],[Audit Winning Candidate]]-Audit[[#This Row],[Winning Candidate]]</f>
        <v>0</v>
      </c>
      <c r="U861" s="111">
        <f>Audit[[#This Row],[Audit Candidate 3]]-Audit[[#This Row],[Candidate 3]]</f>
        <v>-2</v>
      </c>
      <c r="V861" s="111">
        <f>Audit[[#This Row],[Audit Candidate 4]]-Audit[[#This Row],[Candidate 4]]</f>
        <v>-2</v>
      </c>
      <c r="W861" s="111">
        <f>Audit[[#This Row],[Audit Candidate 5]]-Audit[[#This Row],[Candidate 5]]</f>
        <v>0</v>
      </c>
      <c r="X861" s="111">
        <f>Audit[[#This Row],[Audit Candidate 6]]-Audit[[#This Row],[Candidate 6]]</f>
        <v>0</v>
      </c>
      <c r="Y861" s="111">
        <f>SUMIF(Audit[[#This Row],[Difference Loser]:[Difference Candidate 6]], "&gt;0")</f>
        <v>0</v>
      </c>
      <c r="Z861" s="111">
        <f>SUM(Audit[[#This Row],[Difference Loser]:[Difference Candidate 6]])</f>
        <v>-5</v>
      </c>
      <c r="AA861" s="111">
        <f>IF(Audit[[#This Row],[Times p Drawn - With Replacement]]&gt;0, IF(Audit[[#This Row],[Canceled Differences]]&lt;0, Audit[[#This Row],[Max Differences]]+ABS(Audit[[#This Row],[Canceled Differences]]), Audit[[#This Row],[Max Differences]]), 0)</f>
        <v>0</v>
      </c>
      <c r="AB861" s="111">
        <f>'Sampling Data'!P852</f>
        <v>2.4497795198432141E-4</v>
      </c>
      <c r="AC861" s="111">
        <f>IF(
      SUM(Audit[[#This Row],[Audit Losing Candidate]:[Audit Candidate 6]])
      &lt;&gt;0,
      (Audit[[#This Row],[Winning Candidate]]-Audit[[#This Row],[Losing Candidate]]-(Audit[[#This Row],[Audit Winning Candidate]]-Audit[[#This Row],[Audit Losing Candidate]]))/(Audit[[#Totals],[Winning Candidate]]-Audit[[#Totals],[Losing Candidate]]),
      0
)</f>
        <v>0</v>
      </c>
      <c r="AD8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1" s="111">
        <f>IF(Audit[[#This Row],[Max Relative Error (ep)]] = 0, 0, Audit[[#This Row],[Max Relative Error (ep)]]/Audit[[#This Row],[Error Bound (up) - Max. possible relative overstatement]])</f>
        <v>0</v>
      </c>
      <c r="AJ8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61" s="111">
        <f t="shared" si="13"/>
        <v>1</v>
      </c>
      <c r="AL861" s="111">
        <f>PRODUCT($AK$5:AK861)</f>
        <v>8.962823818226312E-2</v>
      </c>
      <c r="AM861" s="109">
        <f>1 - [K-M P Value]</f>
        <v>0.91037176181773694</v>
      </c>
      <c r="AN861" s="111" t="str">
        <f>IF(Audit[[#This Row],[K-M P Value]]&gt;1-'General Info'!$B$16,"Continue", "Stop")</f>
        <v>Stop</v>
      </c>
      <c r="AO861" s="110" t="b">
        <f>IF(Audit[[#This Row],[Status - Continue or stop audit]] = "Continue", TRUE, IF(AN860 = "Continue", TRUE, FALSE))</f>
        <v>0</v>
      </c>
      <c r="AP861" s="110"/>
    </row>
    <row r="862" spans="1:42" ht="15" hidden="1" customHeight="1">
      <c r="A862" s="111" t="str">
        <f>'Sampling Data'!W853</f>
        <v/>
      </c>
      <c r="B862" s="112" t="str">
        <f>'Sampling Data'!A853</f>
        <v>CLEVELAND -17-B</v>
      </c>
      <c r="C862" s="112">
        <f>'Sampling Data'!B853</f>
        <v>3</v>
      </c>
      <c r="D862" s="112">
        <f>'Sampling Data'!C853</f>
        <v>2</v>
      </c>
      <c r="E862" s="113">
        <f>'Sampling Data'!D853</f>
        <v>1</v>
      </c>
      <c r="F862" s="113">
        <f>'Sampling Data'!E853</f>
        <v>2</v>
      </c>
      <c r="G862" s="113">
        <f>'Sampling Data'!F853</f>
        <v>0</v>
      </c>
      <c r="H862" s="113">
        <f>'Sampling Data'!G853</f>
        <v>0</v>
      </c>
      <c r="I862" s="112">
        <f>'Sampling Data'!H853</f>
        <v>0</v>
      </c>
      <c r="J862" s="112">
        <f>'Sampling Data'!I853</f>
        <v>0</v>
      </c>
      <c r="K862" s="112">
        <f>'Sampling Data'!J853</f>
        <v>8</v>
      </c>
      <c r="L862" s="111">
        <f>'Sampling Data'!X853</f>
        <v>0</v>
      </c>
      <c r="M862" s="114"/>
      <c r="N862" s="114"/>
      <c r="O862" s="115"/>
      <c r="P862" s="115"/>
      <c r="Q862" s="116"/>
      <c r="R862" s="116"/>
      <c r="S862" s="111">
        <f>Audit[[#This Row],[Audit Losing Candidate]]-Audit[[#This Row],[Losing Candidate]]</f>
        <v>-3</v>
      </c>
      <c r="T862" s="111">
        <f>Audit[[#This Row],[Audit Winning Candidate]]-Audit[[#This Row],[Winning Candidate]]</f>
        <v>-2</v>
      </c>
      <c r="U862" s="111">
        <f>Audit[[#This Row],[Audit Candidate 3]]-Audit[[#This Row],[Candidate 3]]</f>
        <v>-1</v>
      </c>
      <c r="V862" s="111">
        <f>Audit[[#This Row],[Audit Candidate 4]]-Audit[[#This Row],[Candidate 4]]</f>
        <v>-2</v>
      </c>
      <c r="W862" s="111">
        <f>Audit[[#This Row],[Audit Candidate 5]]-Audit[[#This Row],[Candidate 5]]</f>
        <v>0</v>
      </c>
      <c r="X862" s="111">
        <f>Audit[[#This Row],[Audit Candidate 6]]-Audit[[#This Row],[Candidate 6]]</f>
        <v>0</v>
      </c>
      <c r="Y862" s="111">
        <f>SUMIF(Audit[[#This Row],[Difference Loser]:[Difference Candidate 6]], "&gt;0")</f>
        <v>0</v>
      </c>
      <c r="Z862" s="111">
        <f>SUM(Audit[[#This Row],[Difference Loser]:[Difference Candidate 6]])</f>
        <v>-8</v>
      </c>
      <c r="AA862" s="111">
        <f>IF(Audit[[#This Row],[Times p Drawn - With Replacement]]&gt;0, IF(Audit[[#This Row],[Canceled Differences]]&lt;0, Audit[[#This Row],[Max Differences]]+ABS(Audit[[#This Row],[Canceled Differences]]), Audit[[#This Row],[Max Differences]]), 0)</f>
        <v>0</v>
      </c>
      <c r="AB862" s="111">
        <f>'Sampling Data'!P853</f>
        <v>4.2871141597256246E-4</v>
      </c>
      <c r="AC862" s="111">
        <f>IF(
      SUM(Audit[[#This Row],[Audit Losing Candidate]:[Audit Candidate 6]])
      &lt;&gt;0,
      (Audit[[#This Row],[Winning Candidate]]-Audit[[#This Row],[Losing Candidate]]-(Audit[[#This Row],[Audit Winning Candidate]]-Audit[[#This Row],[Audit Losing Candidate]]))/(Audit[[#Totals],[Winning Candidate]]-Audit[[#Totals],[Losing Candidate]]),
      0
)</f>
        <v>0</v>
      </c>
      <c r="AD8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2" s="111">
        <f>IF(Audit[[#This Row],[Max Relative Error (ep)]] = 0, 0, Audit[[#This Row],[Max Relative Error (ep)]]/Audit[[#This Row],[Error Bound (up) - Max. possible relative overstatement]])</f>
        <v>0</v>
      </c>
      <c r="AJ8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62" s="111">
        <f t="shared" si="13"/>
        <v>1</v>
      </c>
      <c r="AL862" s="111">
        <f>PRODUCT($AK$5:AK862)</f>
        <v>8.962823818226312E-2</v>
      </c>
      <c r="AM862" s="109">
        <f>1 - [K-M P Value]</f>
        <v>0.91037176181773694</v>
      </c>
      <c r="AN862" s="111" t="str">
        <f>IF(Audit[[#This Row],[K-M P Value]]&gt;1-'General Info'!$B$16,"Continue", "Stop")</f>
        <v>Stop</v>
      </c>
      <c r="AO862" s="110" t="b">
        <f>IF(Audit[[#This Row],[Status - Continue or stop audit]] = "Continue", TRUE, IF(AN861 = "Continue", TRUE, FALSE))</f>
        <v>0</v>
      </c>
      <c r="AP862" s="110"/>
    </row>
    <row r="863" spans="1:42" ht="15" hidden="1" customHeight="1">
      <c r="A863" s="111" t="str">
        <f>'Sampling Data'!W854</f>
        <v/>
      </c>
      <c r="B863" s="112" t="str">
        <f>'Sampling Data'!A854</f>
        <v>CLEVELAND -17-B - ABS</v>
      </c>
      <c r="C863" s="112">
        <f>'Sampling Data'!B854</f>
        <v>1</v>
      </c>
      <c r="D863" s="112">
        <f>'Sampling Data'!C854</f>
        <v>0</v>
      </c>
      <c r="E863" s="113">
        <f>'Sampling Data'!D854</f>
        <v>0</v>
      </c>
      <c r="F863" s="113">
        <f>'Sampling Data'!E854</f>
        <v>0</v>
      </c>
      <c r="G863" s="113">
        <f>'Sampling Data'!F854</f>
        <v>0</v>
      </c>
      <c r="H863" s="113">
        <f>'Sampling Data'!G854</f>
        <v>0</v>
      </c>
      <c r="I863" s="112">
        <f>'Sampling Data'!H854</f>
        <v>0</v>
      </c>
      <c r="J863" s="112">
        <f>'Sampling Data'!I854</f>
        <v>0</v>
      </c>
      <c r="K863" s="112">
        <f>'Sampling Data'!J854</f>
        <v>1</v>
      </c>
      <c r="L863" s="111">
        <f>'Sampling Data'!X854</f>
        <v>0</v>
      </c>
      <c r="M863" s="114"/>
      <c r="N863" s="114"/>
      <c r="O863" s="115"/>
      <c r="P863" s="115"/>
      <c r="Q863" s="116"/>
      <c r="R863" s="116"/>
      <c r="S863" s="111">
        <f>Audit[[#This Row],[Audit Losing Candidate]]-Audit[[#This Row],[Losing Candidate]]</f>
        <v>-1</v>
      </c>
      <c r="T863" s="111">
        <f>Audit[[#This Row],[Audit Winning Candidate]]-Audit[[#This Row],[Winning Candidate]]</f>
        <v>0</v>
      </c>
      <c r="U863" s="111">
        <f>Audit[[#This Row],[Audit Candidate 3]]-Audit[[#This Row],[Candidate 3]]</f>
        <v>0</v>
      </c>
      <c r="V863" s="111">
        <f>Audit[[#This Row],[Audit Candidate 4]]-Audit[[#This Row],[Candidate 4]]</f>
        <v>0</v>
      </c>
      <c r="W863" s="111">
        <f>Audit[[#This Row],[Audit Candidate 5]]-Audit[[#This Row],[Candidate 5]]</f>
        <v>0</v>
      </c>
      <c r="X863" s="111">
        <f>Audit[[#This Row],[Audit Candidate 6]]-Audit[[#This Row],[Candidate 6]]</f>
        <v>0</v>
      </c>
      <c r="Y863" s="111">
        <f>SUMIF(Audit[[#This Row],[Difference Loser]:[Difference Candidate 6]], "&gt;0")</f>
        <v>0</v>
      </c>
      <c r="Z863" s="111">
        <f>SUM(Audit[[#This Row],[Difference Loser]:[Difference Candidate 6]])</f>
        <v>-1</v>
      </c>
      <c r="AA863" s="111">
        <f>IF(Audit[[#This Row],[Times p Drawn - With Replacement]]&gt;0, IF(Audit[[#This Row],[Canceled Differences]]&lt;0, Audit[[#This Row],[Max Differences]]+ABS(Audit[[#This Row],[Canceled Differences]]), Audit[[#This Row],[Max Differences]]), 0)</f>
        <v>0</v>
      </c>
      <c r="AB863" s="111">
        <f>'Sampling Data'!P854</f>
        <v>3.2261186566441917E-5</v>
      </c>
      <c r="AC863" s="111">
        <f>IF(
      SUM(Audit[[#This Row],[Audit Losing Candidate]:[Audit Candidate 6]])
      &lt;&gt;0,
      (Audit[[#This Row],[Winning Candidate]]-Audit[[#This Row],[Losing Candidate]]-(Audit[[#This Row],[Audit Winning Candidate]]-Audit[[#This Row],[Audit Losing Candidate]]))/(Audit[[#Totals],[Winning Candidate]]-Audit[[#Totals],[Losing Candidate]]),
      0
)</f>
        <v>0</v>
      </c>
      <c r="AD8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3" s="111">
        <f>IF(Audit[[#This Row],[Max Relative Error (ep)]] = 0, 0, Audit[[#This Row],[Max Relative Error (ep)]]/Audit[[#This Row],[Error Bound (up) - Max. possible relative overstatement]])</f>
        <v>0</v>
      </c>
      <c r="AJ8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63" s="111">
        <f t="shared" si="13"/>
        <v>1</v>
      </c>
      <c r="AL863" s="111">
        <f>PRODUCT($AK$5:AK863)</f>
        <v>8.962823818226312E-2</v>
      </c>
      <c r="AM863" s="109">
        <f>1 - [K-M P Value]</f>
        <v>0.91037176181773694</v>
      </c>
      <c r="AN863" s="111" t="str">
        <f>IF(Audit[[#This Row],[K-M P Value]]&gt;1-'General Info'!$B$16,"Continue", "Stop")</f>
        <v>Stop</v>
      </c>
      <c r="AO863" s="110" t="b">
        <f>IF(Audit[[#This Row],[Status - Continue or stop audit]] = "Continue", TRUE, IF(AN862 = "Continue", TRUE, FALSE))</f>
        <v>0</v>
      </c>
      <c r="AP863" s="110"/>
    </row>
    <row r="864" spans="1:42" ht="15" hidden="1" customHeight="1">
      <c r="A864" s="111" t="str">
        <f>'Sampling Data'!W855</f>
        <v/>
      </c>
      <c r="B864" s="112" t="str">
        <f>'Sampling Data'!A855</f>
        <v>CLEVELAND -17-C</v>
      </c>
      <c r="C864" s="112">
        <f>'Sampling Data'!B855</f>
        <v>7</v>
      </c>
      <c r="D864" s="112">
        <f>'Sampling Data'!C855</f>
        <v>9</v>
      </c>
      <c r="E864" s="113">
        <f>'Sampling Data'!D855</f>
        <v>1</v>
      </c>
      <c r="F864" s="113">
        <f>'Sampling Data'!E855</f>
        <v>1</v>
      </c>
      <c r="G864" s="113">
        <f>'Sampling Data'!F855</f>
        <v>0</v>
      </c>
      <c r="H864" s="113">
        <f>'Sampling Data'!G855</f>
        <v>0</v>
      </c>
      <c r="I864" s="112">
        <f>'Sampling Data'!H855</f>
        <v>0</v>
      </c>
      <c r="J864" s="112">
        <f>'Sampling Data'!I855</f>
        <v>0</v>
      </c>
      <c r="K864" s="112">
        <f>'Sampling Data'!J855</f>
        <v>18</v>
      </c>
      <c r="L864" s="111">
        <f>'Sampling Data'!X855</f>
        <v>0</v>
      </c>
      <c r="M864" s="114"/>
      <c r="N864" s="114"/>
      <c r="O864" s="115"/>
      <c r="P864" s="115"/>
      <c r="Q864" s="116"/>
      <c r="R864" s="116"/>
      <c r="S864" s="111">
        <f>Audit[[#This Row],[Audit Losing Candidate]]-Audit[[#This Row],[Losing Candidate]]</f>
        <v>-7</v>
      </c>
      <c r="T864" s="111">
        <f>Audit[[#This Row],[Audit Winning Candidate]]-Audit[[#This Row],[Winning Candidate]]</f>
        <v>-9</v>
      </c>
      <c r="U864" s="111">
        <f>Audit[[#This Row],[Audit Candidate 3]]-Audit[[#This Row],[Candidate 3]]</f>
        <v>-1</v>
      </c>
      <c r="V864" s="111">
        <f>Audit[[#This Row],[Audit Candidate 4]]-Audit[[#This Row],[Candidate 4]]</f>
        <v>-1</v>
      </c>
      <c r="W864" s="111">
        <f>Audit[[#This Row],[Audit Candidate 5]]-Audit[[#This Row],[Candidate 5]]</f>
        <v>0</v>
      </c>
      <c r="X864" s="111">
        <f>Audit[[#This Row],[Audit Candidate 6]]-Audit[[#This Row],[Candidate 6]]</f>
        <v>0</v>
      </c>
      <c r="Y864" s="111">
        <f>SUMIF(Audit[[#This Row],[Difference Loser]:[Difference Candidate 6]], "&gt;0")</f>
        <v>0</v>
      </c>
      <c r="Z864" s="111">
        <f>SUM(Audit[[#This Row],[Difference Loser]:[Difference Candidate 6]])</f>
        <v>-18</v>
      </c>
      <c r="AA864" s="111">
        <f>IF(Audit[[#This Row],[Times p Drawn - With Replacement]]&gt;0, IF(Audit[[#This Row],[Canceled Differences]]&lt;0, Audit[[#This Row],[Max Differences]]+ABS(Audit[[#This Row],[Canceled Differences]]), Audit[[#This Row],[Max Differences]]), 0)</f>
        <v>0</v>
      </c>
      <c r="AB864" s="111">
        <f>'Sampling Data'!P855</f>
        <v>1.224889759921607E-3</v>
      </c>
      <c r="AC864" s="111">
        <f>IF(
      SUM(Audit[[#This Row],[Audit Losing Candidate]:[Audit Candidate 6]])
      &lt;&gt;0,
      (Audit[[#This Row],[Winning Candidate]]-Audit[[#This Row],[Losing Candidate]]-(Audit[[#This Row],[Audit Winning Candidate]]-Audit[[#This Row],[Audit Losing Candidate]]))/(Audit[[#Totals],[Winning Candidate]]-Audit[[#Totals],[Losing Candidate]]),
      0
)</f>
        <v>0</v>
      </c>
      <c r="AD8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4" s="111">
        <f>IF(Audit[[#This Row],[Max Relative Error (ep)]] = 0, 0, Audit[[#This Row],[Max Relative Error (ep)]]/Audit[[#This Row],[Error Bound (up) - Max. possible relative overstatement]])</f>
        <v>0</v>
      </c>
      <c r="AJ8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64" s="111">
        <f t="shared" si="13"/>
        <v>1</v>
      </c>
      <c r="AL864" s="111">
        <f>PRODUCT($AK$5:AK864)</f>
        <v>8.962823818226312E-2</v>
      </c>
      <c r="AM864" s="109">
        <f>1 - [K-M P Value]</f>
        <v>0.91037176181773694</v>
      </c>
      <c r="AN864" s="111" t="str">
        <f>IF(Audit[[#This Row],[K-M P Value]]&gt;1-'General Info'!$B$16,"Continue", "Stop")</f>
        <v>Stop</v>
      </c>
      <c r="AO864" s="110" t="b">
        <f>IF(Audit[[#This Row],[Status - Continue or stop audit]] = "Continue", TRUE, IF(AN863 = "Continue", TRUE, FALSE))</f>
        <v>0</v>
      </c>
      <c r="AP864" s="110"/>
    </row>
    <row r="865" spans="1:42" ht="15" hidden="1" customHeight="1">
      <c r="A865" s="111" t="str">
        <f>'Sampling Data'!W856</f>
        <v/>
      </c>
      <c r="B865" s="112" t="str">
        <f>'Sampling Data'!A856</f>
        <v>CLEVELAND -17-C - ABS</v>
      </c>
      <c r="C865" s="112">
        <f>'Sampling Data'!B856</f>
        <v>1</v>
      </c>
      <c r="D865" s="112">
        <f>'Sampling Data'!C856</f>
        <v>4</v>
      </c>
      <c r="E865" s="113">
        <f>'Sampling Data'!D856</f>
        <v>0</v>
      </c>
      <c r="F865" s="113">
        <f>'Sampling Data'!E856</f>
        <v>0</v>
      </c>
      <c r="G865" s="113">
        <f>'Sampling Data'!F856</f>
        <v>0</v>
      </c>
      <c r="H865" s="113">
        <f>'Sampling Data'!G856</f>
        <v>0</v>
      </c>
      <c r="I865" s="112">
        <f>'Sampling Data'!H856</f>
        <v>0</v>
      </c>
      <c r="J865" s="112">
        <f>'Sampling Data'!I856</f>
        <v>0</v>
      </c>
      <c r="K865" s="112">
        <f>'Sampling Data'!J856</f>
        <v>5</v>
      </c>
      <c r="L865" s="111">
        <f>'Sampling Data'!X856</f>
        <v>0</v>
      </c>
      <c r="M865" s="114"/>
      <c r="N865" s="114"/>
      <c r="O865" s="115"/>
      <c r="P865" s="115"/>
      <c r="Q865" s="116"/>
      <c r="R865" s="116"/>
      <c r="S865" s="111">
        <f>Audit[[#This Row],[Audit Losing Candidate]]-Audit[[#This Row],[Losing Candidate]]</f>
        <v>-1</v>
      </c>
      <c r="T865" s="111">
        <f>Audit[[#This Row],[Audit Winning Candidate]]-Audit[[#This Row],[Winning Candidate]]</f>
        <v>-4</v>
      </c>
      <c r="U865" s="111">
        <f>Audit[[#This Row],[Audit Candidate 3]]-Audit[[#This Row],[Candidate 3]]</f>
        <v>0</v>
      </c>
      <c r="V865" s="111">
        <f>Audit[[#This Row],[Audit Candidate 4]]-Audit[[#This Row],[Candidate 4]]</f>
        <v>0</v>
      </c>
      <c r="W865" s="111">
        <f>Audit[[#This Row],[Audit Candidate 5]]-Audit[[#This Row],[Candidate 5]]</f>
        <v>0</v>
      </c>
      <c r="X865" s="111">
        <f>Audit[[#This Row],[Audit Candidate 6]]-Audit[[#This Row],[Candidate 6]]</f>
        <v>0</v>
      </c>
      <c r="Y865" s="111">
        <f>SUMIF(Audit[[#This Row],[Difference Loser]:[Difference Candidate 6]], "&gt;0")</f>
        <v>0</v>
      </c>
      <c r="Z865" s="111">
        <f>SUM(Audit[[#This Row],[Difference Loser]:[Difference Candidate 6]])</f>
        <v>-5</v>
      </c>
      <c r="AA865" s="111">
        <f>IF(Audit[[#This Row],[Times p Drawn - With Replacement]]&gt;0, IF(Audit[[#This Row],[Canceled Differences]]&lt;0, Audit[[#This Row],[Max Differences]]+ABS(Audit[[#This Row],[Canceled Differences]]), Audit[[#This Row],[Max Differences]]), 0)</f>
        <v>0</v>
      </c>
      <c r="AB865" s="111">
        <f>'Sampling Data'!P856</f>
        <v>4.8995590396864281E-4</v>
      </c>
      <c r="AC865" s="111">
        <f>IF(
      SUM(Audit[[#This Row],[Audit Losing Candidate]:[Audit Candidate 6]])
      &lt;&gt;0,
      (Audit[[#This Row],[Winning Candidate]]-Audit[[#This Row],[Losing Candidate]]-(Audit[[#This Row],[Audit Winning Candidate]]-Audit[[#This Row],[Audit Losing Candidate]]))/(Audit[[#Totals],[Winning Candidate]]-Audit[[#Totals],[Losing Candidate]]),
      0
)</f>
        <v>0</v>
      </c>
      <c r="AD8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5" s="111">
        <f>IF(Audit[[#This Row],[Max Relative Error (ep)]] = 0, 0, Audit[[#This Row],[Max Relative Error (ep)]]/Audit[[#This Row],[Error Bound (up) - Max. possible relative overstatement]])</f>
        <v>0</v>
      </c>
      <c r="AJ8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65" s="111">
        <f t="shared" si="13"/>
        <v>1</v>
      </c>
      <c r="AL865" s="111">
        <f>PRODUCT($AK$5:AK865)</f>
        <v>8.962823818226312E-2</v>
      </c>
      <c r="AM865" s="109">
        <f>1 - [K-M P Value]</f>
        <v>0.91037176181773694</v>
      </c>
      <c r="AN865" s="111" t="str">
        <f>IF(Audit[[#This Row],[K-M P Value]]&gt;1-'General Info'!$B$16,"Continue", "Stop")</f>
        <v>Stop</v>
      </c>
      <c r="AO865" s="110" t="b">
        <f>IF(Audit[[#This Row],[Status - Continue or stop audit]] = "Continue", TRUE, IF(AN864 = "Continue", TRUE, FALSE))</f>
        <v>0</v>
      </c>
      <c r="AP865" s="110"/>
    </row>
    <row r="866" spans="1:42" ht="15" hidden="1" customHeight="1">
      <c r="A866" s="111" t="str">
        <f>'Sampling Data'!W857</f>
        <v/>
      </c>
      <c r="B866" s="112" t="str">
        <f>'Sampling Data'!A857</f>
        <v>CLEVELAND -17-D</v>
      </c>
      <c r="C866" s="112">
        <f>'Sampling Data'!B857</f>
        <v>4</v>
      </c>
      <c r="D866" s="112">
        <f>'Sampling Data'!C857</f>
        <v>4</v>
      </c>
      <c r="E866" s="113">
        <f>'Sampling Data'!D857</f>
        <v>4</v>
      </c>
      <c r="F866" s="113">
        <f>'Sampling Data'!E857</f>
        <v>6</v>
      </c>
      <c r="G866" s="113">
        <f>'Sampling Data'!F857</f>
        <v>0</v>
      </c>
      <c r="H866" s="113">
        <f>'Sampling Data'!G857</f>
        <v>1</v>
      </c>
      <c r="I866" s="112">
        <f>'Sampling Data'!H857</f>
        <v>0</v>
      </c>
      <c r="J866" s="112">
        <f>'Sampling Data'!I857</f>
        <v>1</v>
      </c>
      <c r="K866" s="112">
        <f>'Sampling Data'!J857</f>
        <v>20</v>
      </c>
      <c r="L866" s="111">
        <f>'Sampling Data'!X857</f>
        <v>0</v>
      </c>
      <c r="M866" s="114"/>
      <c r="N866" s="114"/>
      <c r="O866" s="115"/>
      <c r="P866" s="115"/>
      <c r="Q866" s="116"/>
      <c r="R866" s="116"/>
      <c r="S866" s="111">
        <f>Audit[[#This Row],[Audit Losing Candidate]]-Audit[[#This Row],[Losing Candidate]]</f>
        <v>-4</v>
      </c>
      <c r="T866" s="111">
        <f>Audit[[#This Row],[Audit Winning Candidate]]-Audit[[#This Row],[Winning Candidate]]</f>
        <v>-4</v>
      </c>
      <c r="U866" s="111">
        <f>Audit[[#This Row],[Audit Candidate 3]]-Audit[[#This Row],[Candidate 3]]</f>
        <v>-4</v>
      </c>
      <c r="V866" s="111">
        <f>Audit[[#This Row],[Audit Candidate 4]]-Audit[[#This Row],[Candidate 4]]</f>
        <v>-6</v>
      </c>
      <c r="W866" s="111">
        <f>Audit[[#This Row],[Audit Candidate 5]]-Audit[[#This Row],[Candidate 5]]</f>
        <v>0</v>
      </c>
      <c r="X866" s="111">
        <f>Audit[[#This Row],[Audit Candidate 6]]-Audit[[#This Row],[Candidate 6]]</f>
        <v>-1</v>
      </c>
      <c r="Y866" s="111">
        <f>SUMIF(Audit[[#This Row],[Difference Loser]:[Difference Candidate 6]], "&gt;0")</f>
        <v>0</v>
      </c>
      <c r="Z866" s="111">
        <f>SUM(Audit[[#This Row],[Difference Loser]:[Difference Candidate 6]])</f>
        <v>-19</v>
      </c>
      <c r="AA866" s="111">
        <f>IF(Audit[[#This Row],[Times p Drawn - With Replacement]]&gt;0, IF(Audit[[#This Row],[Canceled Differences]]&lt;0, Audit[[#This Row],[Max Differences]]+ABS(Audit[[#This Row],[Canceled Differences]]), Audit[[#This Row],[Max Differences]]), 0)</f>
        <v>0</v>
      </c>
      <c r="AB866" s="111">
        <f>'Sampling Data'!P857</f>
        <v>1.224889759921607E-3</v>
      </c>
      <c r="AC866" s="111">
        <f>IF(
      SUM(Audit[[#This Row],[Audit Losing Candidate]:[Audit Candidate 6]])
      &lt;&gt;0,
      (Audit[[#This Row],[Winning Candidate]]-Audit[[#This Row],[Losing Candidate]]-(Audit[[#This Row],[Audit Winning Candidate]]-Audit[[#This Row],[Audit Losing Candidate]]))/(Audit[[#Totals],[Winning Candidate]]-Audit[[#Totals],[Losing Candidate]]),
      0
)</f>
        <v>0</v>
      </c>
      <c r="AD8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6" s="111">
        <f>IF(Audit[[#This Row],[Max Relative Error (ep)]] = 0, 0, Audit[[#This Row],[Max Relative Error (ep)]]/Audit[[#This Row],[Error Bound (up) - Max. possible relative overstatement]])</f>
        <v>0</v>
      </c>
      <c r="AJ8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66" s="111">
        <f t="shared" si="13"/>
        <v>1</v>
      </c>
      <c r="AL866" s="111">
        <f>PRODUCT($AK$5:AK866)</f>
        <v>8.962823818226312E-2</v>
      </c>
      <c r="AM866" s="109">
        <f>1 - [K-M P Value]</f>
        <v>0.91037176181773694</v>
      </c>
      <c r="AN866" s="111" t="str">
        <f>IF(Audit[[#This Row],[K-M P Value]]&gt;1-'General Info'!$B$16,"Continue", "Stop")</f>
        <v>Stop</v>
      </c>
      <c r="AO866" s="110" t="b">
        <f>IF(Audit[[#This Row],[Status - Continue or stop audit]] = "Continue", TRUE, IF(AN865 = "Continue", TRUE, FALSE))</f>
        <v>0</v>
      </c>
      <c r="AP866" s="110"/>
    </row>
    <row r="867" spans="1:42" ht="15" hidden="1" customHeight="1">
      <c r="A867" s="111" t="str">
        <f>'Sampling Data'!W858</f>
        <v/>
      </c>
      <c r="B867" s="112" t="str">
        <f>'Sampling Data'!A858</f>
        <v>CLEVELAND -17-D - ABS</v>
      </c>
      <c r="C867" s="112">
        <f>'Sampling Data'!B858</f>
        <v>1</v>
      </c>
      <c r="D867" s="112">
        <f>'Sampling Data'!C858</f>
        <v>4</v>
      </c>
      <c r="E867" s="113">
        <f>'Sampling Data'!D858</f>
        <v>3</v>
      </c>
      <c r="F867" s="113">
        <f>'Sampling Data'!E858</f>
        <v>1</v>
      </c>
      <c r="G867" s="113">
        <f>'Sampling Data'!F858</f>
        <v>0</v>
      </c>
      <c r="H867" s="113">
        <f>'Sampling Data'!G858</f>
        <v>0</v>
      </c>
      <c r="I867" s="112">
        <f>'Sampling Data'!H858</f>
        <v>0</v>
      </c>
      <c r="J867" s="112">
        <f>'Sampling Data'!I858</f>
        <v>0</v>
      </c>
      <c r="K867" s="112">
        <f>'Sampling Data'!J858</f>
        <v>9</v>
      </c>
      <c r="L867" s="111">
        <f>'Sampling Data'!X858</f>
        <v>0</v>
      </c>
      <c r="M867" s="114"/>
      <c r="N867" s="114"/>
      <c r="O867" s="115"/>
      <c r="P867" s="115"/>
      <c r="Q867" s="116"/>
      <c r="R867" s="116"/>
      <c r="S867" s="111">
        <f>Audit[[#This Row],[Audit Losing Candidate]]-Audit[[#This Row],[Losing Candidate]]</f>
        <v>-1</v>
      </c>
      <c r="T867" s="111">
        <f>Audit[[#This Row],[Audit Winning Candidate]]-Audit[[#This Row],[Winning Candidate]]</f>
        <v>-4</v>
      </c>
      <c r="U867" s="111">
        <f>Audit[[#This Row],[Audit Candidate 3]]-Audit[[#This Row],[Candidate 3]]</f>
        <v>-3</v>
      </c>
      <c r="V867" s="111">
        <f>Audit[[#This Row],[Audit Candidate 4]]-Audit[[#This Row],[Candidate 4]]</f>
        <v>-1</v>
      </c>
      <c r="W867" s="111">
        <f>Audit[[#This Row],[Audit Candidate 5]]-Audit[[#This Row],[Candidate 5]]</f>
        <v>0</v>
      </c>
      <c r="X867" s="111">
        <f>Audit[[#This Row],[Audit Candidate 6]]-Audit[[#This Row],[Candidate 6]]</f>
        <v>0</v>
      </c>
      <c r="Y867" s="111">
        <f>SUMIF(Audit[[#This Row],[Difference Loser]:[Difference Candidate 6]], "&gt;0")</f>
        <v>0</v>
      </c>
      <c r="Z867" s="111">
        <f>SUM(Audit[[#This Row],[Difference Loser]:[Difference Candidate 6]])</f>
        <v>-9</v>
      </c>
      <c r="AA867" s="111">
        <f>IF(Audit[[#This Row],[Times p Drawn - With Replacement]]&gt;0, IF(Audit[[#This Row],[Canceled Differences]]&lt;0, Audit[[#This Row],[Max Differences]]+ABS(Audit[[#This Row],[Canceled Differences]]), Audit[[#This Row],[Max Differences]]), 0)</f>
        <v>0</v>
      </c>
      <c r="AB867" s="111">
        <f>'Sampling Data'!P858</f>
        <v>7.3493385595296422E-4</v>
      </c>
      <c r="AC867" s="111">
        <f>IF(
      SUM(Audit[[#This Row],[Audit Losing Candidate]:[Audit Candidate 6]])
      &lt;&gt;0,
      (Audit[[#This Row],[Winning Candidate]]-Audit[[#This Row],[Losing Candidate]]-(Audit[[#This Row],[Audit Winning Candidate]]-Audit[[#This Row],[Audit Losing Candidate]]))/(Audit[[#Totals],[Winning Candidate]]-Audit[[#Totals],[Losing Candidate]]),
      0
)</f>
        <v>0</v>
      </c>
      <c r="AD8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7" s="111">
        <f>IF(Audit[[#This Row],[Max Relative Error (ep)]] = 0, 0, Audit[[#This Row],[Max Relative Error (ep)]]/Audit[[#This Row],[Error Bound (up) - Max. possible relative overstatement]])</f>
        <v>0</v>
      </c>
      <c r="AJ8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67" s="111">
        <f t="shared" si="13"/>
        <v>1</v>
      </c>
      <c r="AL867" s="111">
        <f>PRODUCT($AK$5:AK867)</f>
        <v>8.962823818226312E-2</v>
      </c>
      <c r="AM867" s="109">
        <f>1 - [K-M P Value]</f>
        <v>0.91037176181773694</v>
      </c>
      <c r="AN867" s="111" t="str">
        <f>IF(Audit[[#This Row],[K-M P Value]]&gt;1-'General Info'!$B$16,"Continue", "Stop")</f>
        <v>Stop</v>
      </c>
      <c r="AO867" s="110" t="b">
        <f>IF(Audit[[#This Row],[Status - Continue or stop audit]] = "Continue", TRUE, IF(AN866 = "Continue", TRUE, FALSE))</f>
        <v>0</v>
      </c>
      <c r="AP867" s="110"/>
    </row>
    <row r="868" spans="1:42" ht="15" hidden="1" customHeight="1">
      <c r="A868" s="111" t="str">
        <f>'Sampling Data'!W859</f>
        <v/>
      </c>
      <c r="B868" s="112" t="str">
        <f>'Sampling Data'!A859</f>
        <v>CLEVELAND -17-E</v>
      </c>
      <c r="C868" s="112">
        <f>'Sampling Data'!B859</f>
        <v>12</v>
      </c>
      <c r="D868" s="112">
        <f>'Sampling Data'!C859</f>
        <v>11</v>
      </c>
      <c r="E868" s="113">
        <f>'Sampling Data'!D859</f>
        <v>3</v>
      </c>
      <c r="F868" s="113">
        <f>'Sampling Data'!E859</f>
        <v>2</v>
      </c>
      <c r="G868" s="113">
        <f>'Sampling Data'!F859</f>
        <v>0</v>
      </c>
      <c r="H868" s="113">
        <f>'Sampling Data'!G859</f>
        <v>0</v>
      </c>
      <c r="I868" s="112">
        <f>'Sampling Data'!H859</f>
        <v>0</v>
      </c>
      <c r="J868" s="112">
        <f>'Sampling Data'!I859</f>
        <v>0</v>
      </c>
      <c r="K868" s="112">
        <f>'Sampling Data'!J859</f>
        <v>28</v>
      </c>
      <c r="L868" s="111">
        <f>'Sampling Data'!X859</f>
        <v>0</v>
      </c>
      <c r="M868" s="114"/>
      <c r="N868" s="114"/>
      <c r="O868" s="115"/>
      <c r="P868" s="115"/>
      <c r="Q868" s="116"/>
      <c r="R868" s="116"/>
      <c r="S868" s="111">
        <f>Audit[[#This Row],[Audit Losing Candidate]]-Audit[[#This Row],[Losing Candidate]]</f>
        <v>-12</v>
      </c>
      <c r="T868" s="111">
        <f>Audit[[#This Row],[Audit Winning Candidate]]-Audit[[#This Row],[Winning Candidate]]</f>
        <v>-11</v>
      </c>
      <c r="U868" s="111">
        <f>Audit[[#This Row],[Audit Candidate 3]]-Audit[[#This Row],[Candidate 3]]</f>
        <v>-3</v>
      </c>
      <c r="V868" s="111">
        <f>Audit[[#This Row],[Audit Candidate 4]]-Audit[[#This Row],[Candidate 4]]</f>
        <v>-2</v>
      </c>
      <c r="W868" s="111">
        <f>Audit[[#This Row],[Audit Candidate 5]]-Audit[[#This Row],[Candidate 5]]</f>
        <v>0</v>
      </c>
      <c r="X868" s="111">
        <f>Audit[[#This Row],[Audit Candidate 6]]-Audit[[#This Row],[Candidate 6]]</f>
        <v>0</v>
      </c>
      <c r="Y868" s="111">
        <f>SUMIF(Audit[[#This Row],[Difference Loser]:[Difference Candidate 6]], "&gt;0")</f>
        <v>0</v>
      </c>
      <c r="Z868" s="111">
        <f>SUM(Audit[[#This Row],[Difference Loser]:[Difference Candidate 6]])</f>
        <v>-28</v>
      </c>
      <c r="AA868" s="111">
        <f>IF(Audit[[#This Row],[Times p Drawn - With Replacement]]&gt;0, IF(Audit[[#This Row],[Canceled Differences]]&lt;0, Audit[[#This Row],[Max Differences]]+ABS(Audit[[#This Row],[Canceled Differences]]), Audit[[#This Row],[Max Differences]]), 0)</f>
        <v>0</v>
      </c>
      <c r="AB868" s="111">
        <f>'Sampling Data'!P859</f>
        <v>1.6536011758941694E-3</v>
      </c>
      <c r="AC868" s="111">
        <f>IF(
      SUM(Audit[[#This Row],[Audit Losing Candidate]:[Audit Candidate 6]])
      &lt;&gt;0,
      (Audit[[#This Row],[Winning Candidate]]-Audit[[#This Row],[Losing Candidate]]-(Audit[[#This Row],[Audit Winning Candidate]]-Audit[[#This Row],[Audit Losing Candidate]]))/(Audit[[#Totals],[Winning Candidate]]-Audit[[#Totals],[Losing Candidate]]),
      0
)</f>
        <v>0</v>
      </c>
      <c r="AD8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8" s="111">
        <f>IF(Audit[[#This Row],[Max Relative Error (ep)]] = 0, 0, Audit[[#This Row],[Max Relative Error (ep)]]/Audit[[#This Row],[Error Bound (up) - Max. possible relative overstatement]])</f>
        <v>0</v>
      </c>
      <c r="AJ8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68" s="111">
        <f t="shared" si="13"/>
        <v>1</v>
      </c>
      <c r="AL868" s="111">
        <f>PRODUCT($AK$5:AK868)</f>
        <v>8.962823818226312E-2</v>
      </c>
      <c r="AM868" s="109">
        <f>1 - [K-M P Value]</f>
        <v>0.91037176181773694</v>
      </c>
      <c r="AN868" s="111" t="str">
        <f>IF(Audit[[#This Row],[K-M P Value]]&gt;1-'General Info'!$B$16,"Continue", "Stop")</f>
        <v>Stop</v>
      </c>
      <c r="AO868" s="110" t="b">
        <f>IF(Audit[[#This Row],[Status - Continue or stop audit]] = "Continue", TRUE, IF(AN867 = "Continue", TRUE, FALSE))</f>
        <v>0</v>
      </c>
      <c r="AP868" s="110"/>
    </row>
    <row r="869" spans="1:42" ht="15" hidden="1" customHeight="1">
      <c r="A869" s="111" t="str">
        <f>'Sampling Data'!W860</f>
        <v/>
      </c>
      <c r="B869" s="112" t="str">
        <f>'Sampling Data'!A860</f>
        <v>CLEVELAND -17-E - ABS</v>
      </c>
      <c r="C869" s="112">
        <f>'Sampling Data'!B860</f>
        <v>2</v>
      </c>
      <c r="D869" s="112">
        <f>'Sampling Data'!C860</f>
        <v>0</v>
      </c>
      <c r="E869" s="113">
        <f>'Sampling Data'!D860</f>
        <v>0</v>
      </c>
      <c r="F869" s="113">
        <f>'Sampling Data'!E860</f>
        <v>3</v>
      </c>
      <c r="G869" s="113">
        <f>'Sampling Data'!F860</f>
        <v>0</v>
      </c>
      <c r="H869" s="113">
        <f>'Sampling Data'!G860</f>
        <v>0</v>
      </c>
      <c r="I869" s="112">
        <f>'Sampling Data'!H860</f>
        <v>0</v>
      </c>
      <c r="J869" s="112">
        <f>'Sampling Data'!I860</f>
        <v>0</v>
      </c>
      <c r="K869" s="112">
        <f>'Sampling Data'!J860</f>
        <v>5</v>
      </c>
      <c r="L869" s="111">
        <f>'Sampling Data'!X860</f>
        <v>0</v>
      </c>
      <c r="M869" s="114"/>
      <c r="N869" s="114"/>
      <c r="O869" s="115"/>
      <c r="P869" s="115"/>
      <c r="Q869" s="116"/>
      <c r="R869" s="116"/>
      <c r="S869" s="111">
        <f>Audit[[#This Row],[Audit Losing Candidate]]-Audit[[#This Row],[Losing Candidate]]</f>
        <v>-2</v>
      </c>
      <c r="T869" s="111">
        <f>Audit[[#This Row],[Audit Winning Candidate]]-Audit[[#This Row],[Winning Candidate]]</f>
        <v>0</v>
      </c>
      <c r="U869" s="111">
        <f>Audit[[#This Row],[Audit Candidate 3]]-Audit[[#This Row],[Candidate 3]]</f>
        <v>0</v>
      </c>
      <c r="V869" s="111">
        <f>Audit[[#This Row],[Audit Candidate 4]]-Audit[[#This Row],[Candidate 4]]</f>
        <v>-3</v>
      </c>
      <c r="W869" s="111">
        <f>Audit[[#This Row],[Audit Candidate 5]]-Audit[[#This Row],[Candidate 5]]</f>
        <v>0</v>
      </c>
      <c r="X869" s="111">
        <f>Audit[[#This Row],[Audit Candidate 6]]-Audit[[#This Row],[Candidate 6]]</f>
        <v>0</v>
      </c>
      <c r="Y869" s="111">
        <f>SUMIF(Audit[[#This Row],[Difference Loser]:[Difference Candidate 6]], "&gt;0")</f>
        <v>0</v>
      </c>
      <c r="Z869" s="111">
        <f>SUM(Audit[[#This Row],[Difference Loser]:[Difference Candidate 6]])</f>
        <v>-5</v>
      </c>
      <c r="AA869" s="111">
        <f>IF(Audit[[#This Row],[Times p Drawn - With Replacement]]&gt;0, IF(Audit[[#This Row],[Canceled Differences]]&lt;0, Audit[[#This Row],[Max Differences]]+ABS(Audit[[#This Row],[Canceled Differences]]), Audit[[#This Row],[Max Differences]]), 0)</f>
        <v>0</v>
      </c>
      <c r="AB869" s="111">
        <f>'Sampling Data'!P860</f>
        <v>1.8373346398824106E-4</v>
      </c>
      <c r="AC869" s="111">
        <f>IF(
      SUM(Audit[[#This Row],[Audit Losing Candidate]:[Audit Candidate 6]])
      &lt;&gt;0,
      (Audit[[#This Row],[Winning Candidate]]-Audit[[#This Row],[Losing Candidate]]-(Audit[[#This Row],[Audit Winning Candidate]]-Audit[[#This Row],[Audit Losing Candidate]]))/(Audit[[#Totals],[Winning Candidate]]-Audit[[#Totals],[Losing Candidate]]),
      0
)</f>
        <v>0</v>
      </c>
      <c r="AD8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9" s="111">
        <f>IF(Audit[[#This Row],[Max Relative Error (ep)]] = 0, 0, Audit[[#This Row],[Max Relative Error (ep)]]/Audit[[#This Row],[Error Bound (up) - Max. possible relative overstatement]])</f>
        <v>0</v>
      </c>
      <c r="AJ8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69" s="111">
        <f t="shared" si="13"/>
        <v>1</v>
      </c>
      <c r="AL869" s="111">
        <f>PRODUCT($AK$5:AK869)</f>
        <v>8.962823818226312E-2</v>
      </c>
      <c r="AM869" s="109">
        <f>1 - [K-M P Value]</f>
        <v>0.91037176181773694</v>
      </c>
      <c r="AN869" s="111" t="str">
        <f>IF(Audit[[#This Row],[K-M P Value]]&gt;1-'General Info'!$B$16,"Continue", "Stop")</f>
        <v>Stop</v>
      </c>
      <c r="AO869" s="110" t="b">
        <f>IF(Audit[[#This Row],[Status - Continue or stop audit]] = "Continue", TRUE, IF(AN868 = "Continue", TRUE, FALSE))</f>
        <v>0</v>
      </c>
      <c r="AP869" s="110"/>
    </row>
    <row r="870" spans="1:42" ht="15" hidden="1" customHeight="1">
      <c r="A870" s="111" t="str">
        <f>'Sampling Data'!W861</f>
        <v/>
      </c>
      <c r="B870" s="112" t="str">
        <f>'Sampling Data'!A861</f>
        <v>CLEVELAND -17-F</v>
      </c>
      <c r="C870" s="112">
        <f>'Sampling Data'!B861</f>
        <v>6</v>
      </c>
      <c r="D870" s="112">
        <f>'Sampling Data'!C861</f>
        <v>16</v>
      </c>
      <c r="E870" s="113">
        <f>'Sampling Data'!D861</f>
        <v>3</v>
      </c>
      <c r="F870" s="113">
        <f>'Sampling Data'!E861</f>
        <v>6</v>
      </c>
      <c r="G870" s="113">
        <f>'Sampling Data'!F861</f>
        <v>0</v>
      </c>
      <c r="H870" s="113">
        <f>'Sampling Data'!G861</f>
        <v>0</v>
      </c>
      <c r="I870" s="112">
        <f>'Sampling Data'!H861</f>
        <v>1</v>
      </c>
      <c r="J870" s="112">
        <f>'Sampling Data'!I861</f>
        <v>0</v>
      </c>
      <c r="K870" s="112">
        <f>'Sampling Data'!J861</f>
        <v>32</v>
      </c>
      <c r="L870" s="111">
        <f>'Sampling Data'!X861</f>
        <v>0</v>
      </c>
      <c r="M870" s="114"/>
      <c r="N870" s="114"/>
      <c r="O870" s="115"/>
      <c r="P870" s="115"/>
      <c r="Q870" s="116"/>
      <c r="R870" s="116"/>
      <c r="S870" s="111">
        <f>Audit[[#This Row],[Audit Losing Candidate]]-Audit[[#This Row],[Losing Candidate]]</f>
        <v>-6</v>
      </c>
      <c r="T870" s="111">
        <f>Audit[[#This Row],[Audit Winning Candidate]]-Audit[[#This Row],[Winning Candidate]]</f>
        <v>-16</v>
      </c>
      <c r="U870" s="111">
        <f>Audit[[#This Row],[Audit Candidate 3]]-Audit[[#This Row],[Candidate 3]]</f>
        <v>-3</v>
      </c>
      <c r="V870" s="111">
        <f>Audit[[#This Row],[Audit Candidate 4]]-Audit[[#This Row],[Candidate 4]]</f>
        <v>-6</v>
      </c>
      <c r="W870" s="111">
        <f>Audit[[#This Row],[Audit Candidate 5]]-Audit[[#This Row],[Candidate 5]]</f>
        <v>0</v>
      </c>
      <c r="X870" s="111">
        <f>Audit[[#This Row],[Audit Candidate 6]]-Audit[[#This Row],[Candidate 6]]</f>
        <v>0</v>
      </c>
      <c r="Y870" s="111">
        <f>SUMIF(Audit[[#This Row],[Difference Loser]:[Difference Candidate 6]], "&gt;0")</f>
        <v>0</v>
      </c>
      <c r="Z870" s="111">
        <f>SUM(Audit[[#This Row],[Difference Loser]:[Difference Candidate 6]])</f>
        <v>-31</v>
      </c>
      <c r="AA870" s="111">
        <f>IF(Audit[[#This Row],[Times p Drawn - With Replacement]]&gt;0, IF(Audit[[#This Row],[Canceled Differences]]&lt;0, Audit[[#This Row],[Max Differences]]+ABS(Audit[[#This Row],[Canceled Differences]]), Audit[[#This Row],[Max Differences]]), 0)</f>
        <v>0</v>
      </c>
      <c r="AB870" s="111">
        <f>'Sampling Data'!P861</f>
        <v>2.5722684958353749E-3</v>
      </c>
      <c r="AC870" s="111">
        <f>IF(
      SUM(Audit[[#This Row],[Audit Losing Candidate]:[Audit Candidate 6]])
      &lt;&gt;0,
      (Audit[[#This Row],[Winning Candidate]]-Audit[[#This Row],[Losing Candidate]]-(Audit[[#This Row],[Audit Winning Candidate]]-Audit[[#This Row],[Audit Losing Candidate]]))/(Audit[[#Totals],[Winning Candidate]]-Audit[[#Totals],[Losing Candidate]]),
      0
)</f>
        <v>0</v>
      </c>
      <c r="AD8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0" s="111">
        <f>IF(Audit[[#This Row],[Max Relative Error (ep)]] = 0, 0, Audit[[#This Row],[Max Relative Error (ep)]]/Audit[[#This Row],[Error Bound (up) - Max. possible relative overstatement]])</f>
        <v>0</v>
      </c>
      <c r="AJ8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70" s="111">
        <f t="shared" si="13"/>
        <v>1</v>
      </c>
      <c r="AL870" s="111">
        <f>PRODUCT($AK$5:AK870)</f>
        <v>8.962823818226312E-2</v>
      </c>
      <c r="AM870" s="109">
        <f>1 - [K-M P Value]</f>
        <v>0.91037176181773694</v>
      </c>
      <c r="AN870" s="111" t="str">
        <f>IF(Audit[[#This Row],[K-M P Value]]&gt;1-'General Info'!$B$16,"Continue", "Stop")</f>
        <v>Stop</v>
      </c>
      <c r="AO870" s="110" t="b">
        <f>IF(Audit[[#This Row],[Status - Continue or stop audit]] = "Continue", TRUE, IF(AN869 = "Continue", TRUE, FALSE))</f>
        <v>0</v>
      </c>
      <c r="AP870" s="110"/>
    </row>
    <row r="871" spans="1:42" ht="15" hidden="1" customHeight="1">
      <c r="A871" s="111" t="str">
        <f>'Sampling Data'!W862</f>
        <v/>
      </c>
      <c r="B871" s="112" t="str">
        <f>'Sampling Data'!A862</f>
        <v>CLEVELAND -17-F - ABS</v>
      </c>
      <c r="C871" s="112">
        <f>'Sampling Data'!B862</f>
        <v>0</v>
      </c>
      <c r="D871" s="112">
        <f>'Sampling Data'!C862</f>
        <v>1</v>
      </c>
      <c r="E871" s="113">
        <f>'Sampling Data'!D862</f>
        <v>0</v>
      </c>
      <c r="F871" s="113">
        <f>'Sampling Data'!E862</f>
        <v>0</v>
      </c>
      <c r="G871" s="113">
        <f>'Sampling Data'!F862</f>
        <v>0</v>
      </c>
      <c r="H871" s="113">
        <f>'Sampling Data'!G862</f>
        <v>0</v>
      </c>
      <c r="I871" s="112">
        <f>'Sampling Data'!H862</f>
        <v>0</v>
      </c>
      <c r="J871" s="112">
        <f>'Sampling Data'!I862</f>
        <v>0</v>
      </c>
      <c r="K871" s="112">
        <f>'Sampling Data'!J862</f>
        <v>1</v>
      </c>
      <c r="L871" s="111">
        <f>'Sampling Data'!X862</f>
        <v>0</v>
      </c>
      <c r="M871" s="114"/>
      <c r="N871" s="114"/>
      <c r="O871" s="115"/>
      <c r="P871" s="115"/>
      <c r="Q871" s="116"/>
      <c r="R871" s="116"/>
      <c r="S871" s="111">
        <f>Audit[[#This Row],[Audit Losing Candidate]]-Audit[[#This Row],[Losing Candidate]]</f>
        <v>0</v>
      </c>
      <c r="T871" s="111">
        <f>Audit[[#This Row],[Audit Winning Candidate]]-Audit[[#This Row],[Winning Candidate]]</f>
        <v>-1</v>
      </c>
      <c r="U871" s="111">
        <f>Audit[[#This Row],[Audit Candidate 3]]-Audit[[#This Row],[Candidate 3]]</f>
        <v>0</v>
      </c>
      <c r="V871" s="111">
        <f>Audit[[#This Row],[Audit Candidate 4]]-Audit[[#This Row],[Candidate 4]]</f>
        <v>0</v>
      </c>
      <c r="W871" s="111">
        <f>Audit[[#This Row],[Audit Candidate 5]]-Audit[[#This Row],[Candidate 5]]</f>
        <v>0</v>
      </c>
      <c r="X871" s="111">
        <f>Audit[[#This Row],[Audit Candidate 6]]-Audit[[#This Row],[Candidate 6]]</f>
        <v>0</v>
      </c>
      <c r="Y871" s="111">
        <f>SUMIF(Audit[[#This Row],[Difference Loser]:[Difference Candidate 6]], "&gt;0")</f>
        <v>0</v>
      </c>
      <c r="Z871" s="111">
        <f>SUM(Audit[[#This Row],[Difference Loser]:[Difference Candidate 6]])</f>
        <v>-1</v>
      </c>
      <c r="AA871" s="111">
        <f>IF(Audit[[#This Row],[Times p Drawn - With Replacement]]&gt;0, IF(Audit[[#This Row],[Canceled Differences]]&lt;0, Audit[[#This Row],[Max Differences]]+ABS(Audit[[#This Row],[Canceled Differences]]), Audit[[#This Row],[Max Differences]]), 0)</f>
        <v>0</v>
      </c>
      <c r="AB871" s="111">
        <f>'Sampling Data'!P862</f>
        <v>1.224889759921607E-4</v>
      </c>
      <c r="AC871" s="111">
        <f>IF(
      SUM(Audit[[#This Row],[Audit Losing Candidate]:[Audit Candidate 6]])
      &lt;&gt;0,
      (Audit[[#This Row],[Winning Candidate]]-Audit[[#This Row],[Losing Candidate]]-(Audit[[#This Row],[Audit Winning Candidate]]-Audit[[#This Row],[Audit Losing Candidate]]))/(Audit[[#Totals],[Winning Candidate]]-Audit[[#Totals],[Losing Candidate]]),
      0
)</f>
        <v>0</v>
      </c>
      <c r="AD8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1" s="111">
        <f>IF(Audit[[#This Row],[Max Relative Error (ep)]] = 0, 0, Audit[[#This Row],[Max Relative Error (ep)]]/Audit[[#This Row],[Error Bound (up) - Max. possible relative overstatement]])</f>
        <v>0</v>
      </c>
      <c r="AJ8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71" s="111">
        <f t="shared" si="13"/>
        <v>1</v>
      </c>
      <c r="AL871" s="111">
        <f>PRODUCT($AK$5:AK871)</f>
        <v>8.962823818226312E-2</v>
      </c>
      <c r="AM871" s="109">
        <f>1 - [K-M P Value]</f>
        <v>0.91037176181773694</v>
      </c>
      <c r="AN871" s="111" t="str">
        <f>IF(Audit[[#This Row],[K-M P Value]]&gt;1-'General Info'!$B$16,"Continue", "Stop")</f>
        <v>Stop</v>
      </c>
      <c r="AO871" s="110" t="b">
        <f>IF(Audit[[#This Row],[Status - Continue or stop audit]] = "Continue", TRUE, IF(AN870 = "Continue", TRUE, FALSE))</f>
        <v>0</v>
      </c>
      <c r="AP871" s="110"/>
    </row>
    <row r="872" spans="1:42" ht="15" hidden="1" customHeight="1">
      <c r="A872" s="111" t="str">
        <f>'Sampling Data'!W863</f>
        <v/>
      </c>
      <c r="B872" s="112" t="str">
        <f>'Sampling Data'!A863</f>
        <v>CLEVELAND -17-G</v>
      </c>
      <c r="C872" s="112">
        <f>'Sampling Data'!B863</f>
        <v>9</v>
      </c>
      <c r="D872" s="112">
        <f>'Sampling Data'!C863</f>
        <v>9</v>
      </c>
      <c r="E872" s="113">
        <f>'Sampling Data'!D863</f>
        <v>4</v>
      </c>
      <c r="F872" s="113">
        <f>'Sampling Data'!E863</f>
        <v>2</v>
      </c>
      <c r="G872" s="113">
        <f>'Sampling Data'!F863</f>
        <v>1</v>
      </c>
      <c r="H872" s="113">
        <f>'Sampling Data'!G863</f>
        <v>1</v>
      </c>
      <c r="I872" s="112">
        <f>'Sampling Data'!H863</f>
        <v>0</v>
      </c>
      <c r="J872" s="112">
        <f>'Sampling Data'!I863</f>
        <v>0</v>
      </c>
      <c r="K872" s="112">
        <f>'Sampling Data'!J863</f>
        <v>26</v>
      </c>
      <c r="L872" s="111">
        <f>'Sampling Data'!X863</f>
        <v>0</v>
      </c>
      <c r="M872" s="114"/>
      <c r="N872" s="114"/>
      <c r="O872" s="115"/>
      <c r="P872" s="115"/>
      <c r="Q872" s="116"/>
      <c r="R872" s="116"/>
      <c r="S872" s="111">
        <f>Audit[[#This Row],[Audit Losing Candidate]]-Audit[[#This Row],[Losing Candidate]]</f>
        <v>-9</v>
      </c>
      <c r="T872" s="111">
        <f>Audit[[#This Row],[Audit Winning Candidate]]-Audit[[#This Row],[Winning Candidate]]</f>
        <v>-9</v>
      </c>
      <c r="U872" s="111">
        <f>Audit[[#This Row],[Audit Candidate 3]]-Audit[[#This Row],[Candidate 3]]</f>
        <v>-4</v>
      </c>
      <c r="V872" s="111">
        <f>Audit[[#This Row],[Audit Candidate 4]]-Audit[[#This Row],[Candidate 4]]</f>
        <v>-2</v>
      </c>
      <c r="W872" s="111">
        <f>Audit[[#This Row],[Audit Candidate 5]]-Audit[[#This Row],[Candidate 5]]</f>
        <v>-1</v>
      </c>
      <c r="X872" s="111">
        <f>Audit[[#This Row],[Audit Candidate 6]]-Audit[[#This Row],[Candidate 6]]</f>
        <v>-1</v>
      </c>
      <c r="Y872" s="111">
        <f>SUMIF(Audit[[#This Row],[Difference Loser]:[Difference Candidate 6]], "&gt;0")</f>
        <v>0</v>
      </c>
      <c r="Z872" s="111">
        <f>SUM(Audit[[#This Row],[Difference Loser]:[Difference Candidate 6]])</f>
        <v>-26</v>
      </c>
      <c r="AA872" s="111">
        <f>IF(Audit[[#This Row],[Times p Drawn - With Replacement]]&gt;0, IF(Audit[[#This Row],[Canceled Differences]]&lt;0, Audit[[#This Row],[Max Differences]]+ABS(Audit[[#This Row],[Canceled Differences]]), Audit[[#This Row],[Max Differences]]), 0)</f>
        <v>0</v>
      </c>
      <c r="AB872" s="111">
        <f>'Sampling Data'!P863</f>
        <v>1.5923566878980893E-3</v>
      </c>
      <c r="AC872" s="111">
        <f>IF(
      SUM(Audit[[#This Row],[Audit Losing Candidate]:[Audit Candidate 6]])
      &lt;&gt;0,
      (Audit[[#This Row],[Winning Candidate]]-Audit[[#This Row],[Losing Candidate]]-(Audit[[#This Row],[Audit Winning Candidate]]-Audit[[#This Row],[Audit Losing Candidate]]))/(Audit[[#Totals],[Winning Candidate]]-Audit[[#Totals],[Losing Candidate]]),
      0
)</f>
        <v>0</v>
      </c>
      <c r="AD8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2" s="111">
        <f>IF(Audit[[#This Row],[Max Relative Error (ep)]] = 0, 0, Audit[[#This Row],[Max Relative Error (ep)]]/Audit[[#This Row],[Error Bound (up) - Max. possible relative overstatement]])</f>
        <v>0</v>
      </c>
      <c r="AJ8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72" s="111">
        <f t="shared" si="13"/>
        <v>1</v>
      </c>
      <c r="AL872" s="111">
        <f>PRODUCT($AK$5:AK872)</f>
        <v>8.962823818226312E-2</v>
      </c>
      <c r="AM872" s="109">
        <f>1 - [K-M P Value]</f>
        <v>0.91037176181773694</v>
      </c>
      <c r="AN872" s="111" t="str">
        <f>IF(Audit[[#This Row],[K-M P Value]]&gt;1-'General Info'!$B$16,"Continue", "Stop")</f>
        <v>Stop</v>
      </c>
      <c r="AO872" s="110" t="b">
        <f>IF(Audit[[#This Row],[Status - Continue or stop audit]] = "Continue", TRUE, IF(AN871 = "Continue", TRUE, FALSE))</f>
        <v>0</v>
      </c>
      <c r="AP872" s="110"/>
    </row>
    <row r="873" spans="1:42" ht="15" hidden="1" customHeight="1">
      <c r="A873" s="111" t="str">
        <f>'Sampling Data'!W864</f>
        <v/>
      </c>
      <c r="B873" s="112" t="str">
        <f>'Sampling Data'!A864</f>
        <v>CLEVELAND -17-G - ABS</v>
      </c>
      <c r="C873" s="112">
        <f>'Sampling Data'!B864</f>
        <v>3</v>
      </c>
      <c r="D873" s="112">
        <f>'Sampling Data'!C864</f>
        <v>3</v>
      </c>
      <c r="E873" s="113">
        <f>'Sampling Data'!D864</f>
        <v>1</v>
      </c>
      <c r="F873" s="113">
        <f>'Sampling Data'!E864</f>
        <v>0</v>
      </c>
      <c r="G873" s="113">
        <f>'Sampling Data'!F864</f>
        <v>0</v>
      </c>
      <c r="H873" s="113">
        <f>'Sampling Data'!G864</f>
        <v>0</v>
      </c>
      <c r="I873" s="112">
        <f>'Sampling Data'!H864</f>
        <v>0</v>
      </c>
      <c r="J873" s="112">
        <f>'Sampling Data'!I864</f>
        <v>0</v>
      </c>
      <c r="K873" s="112">
        <f>'Sampling Data'!J864</f>
        <v>7</v>
      </c>
      <c r="L873" s="111">
        <f>'Sampling Data'!X864</f>
        <v>0</v>
      </c>
      <c r="M873" s="114"/>
      <c r="N873" s="114"/>
      <c r="O873" s="115"/>
      <c r="P873" s="115"/>
      <c r="Q873" s="116"/>
      <c r="R873" s="116"/>
      <c r="S873" s="111">
        <f>Audit[[#This Row],[Audit Losing Candidate]]-Audit[[#This Row],[Losing Candidate]]</f>
        <v>-3</v>
      </c>
      <c r="T873" s="111">
        <f>Audit[[#This Row],[Audit Winning Candidate]]-Audit[[#This Row],[Winning Candidate]]</f>
        <v>-3</v>
      </c>
      <c r="U873" s="111">
        <f>Audit[[#This Row],[Audit Candidate 3]]-Audit[[#This Row],[Candidate 3]]</f>
        <v>-1</v>
      </c>
      <c r="V873" s="111">
        <f>Audit[[#This Row],[Audit Candidate 4]]-Audit[[#This Row],[Candidate 4]]</f>
        <v>0</v>
      </c>
      <c r="W873" s="111">
        <f>Audit[[#This Row],[Audit Candidate 5]]-Audit[[#This Row],[Candidate 5]]</f>
        <v>0</v>
      </c>
      <c r="X873" s="111">
        <f>Audit[[#This Row],[Audit Candidate 6]]-Audit[[#This Row],[Candidate 6]]</f>
        <v>0</v>
      </c>
      <c r="Y873" s="111">
        <f>SUMIF(Audit[[#This Row],[Difference Loser]:[Difference Candidate 6]], "&gt;0")</f>
        <v>0</v>
      </c>
      <c r="Z873" s="111">
        <f>SUM(Audit[[#This Row],[Difference Loser]:[Difference Candidate 6]])</f>
        <v>-7</v>
      </c>
      <c r="AA873" s="111">
        <f>IF(Audit[[#This Row],[Times p Drawn - With Replacement]]&gt;0, IF(Audit[[#This Row],[Canceled Differences]]&lt;0, Audit[[#This Row],[Max Differences]]+ABS(Audit[[#This Row],[Canceled Differences]]), Audit[[#This Row],[Max Differences]]), 0)</f>
        <v>0</v>
      </c>
      <c r="AB873" s="111">
        <f>'Sampling Data'!P864</f>
        <v>4.2871141597256246E-4</v>
      </c>
      <c r="AC873" s="111">
        <f>IF(
      SUM(Audit[[#This Row],[Audit Losing Candidate]:[Audit Candidate 6]])
      &lt;&gt;0,
      (Audit[[#This Row],[Winning Candidate]]-Audit[[#This Row],[Losing Candidate]]-(Audit[[#This Row],[Audit Winning Candidate]]-Audit[[#This Row],[Audit Losing Candidate]]))/(Audit[[#Totals],[Winning Candidate]]-Audit[[#Totals],[Losing Candidate]]),
      0
)</f>
        <v>0</v>
      </c>
      <c r="AD8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3" s="111">
        <f>IF(Audit[[#This Row],[Max Relative Error (ep)]] = 0, 0, Audit[[#This Row],[Max Relative Error (ep)]]/Audit[[#This Row],[Error Bound (up) - Max. possible relative overstatement]])</f>
        <v>0</v>
      </c>
      <c r="AJ8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73" s="111">
        <f t="shared" si="13"/>
        <v>1</v>
      </c>
      <c r="AL873" s="111">
        <f>PRODUCT($AK$5:AK873)</f>
        <v>8.962823818226312E-2</v>
      </c>
      <c r="AM873" s="109">
        <f>1 - [K-M P Value]</f>
        <v>0.91037176181773694</v>
      </c>
      <c r="AN873" s="111" t="str">
        <f>IF(Audit[[#This Row],[K-M P Value]]&gt;1-'General Info'!$B$16,"Continue", "Stop")</f>
        <v>Stop</v>
      </c>
      <c r="AO873" s="110" t="b">
        <f>IF(Audit[[#This Row],[Status - Continue or stop audit]] = "Continue", TRUE, IF(AN872 = "Continue", TRUE, FALSE))</f>
        <v>0</v>
      </c>
      <c r="AP873" s="110"/>
    </row>
    <row r="874" spans="1:42" ht="15" hidden="1" customHeight="1">
      <c r="A874" s="111" t="str">
        <f>'Sampling Data'!W865</f>
        <v/>
      </c>
      <c r="B874" s="112" t="str">
        <f>'Sampling Data'!A865</f>
        <v>CLEVELAND -17-H</v>
      </c>
      <c r="C874" s="112">
        <f>'Sampling Data'!B865</f>
        <v>14</v>
      </c>
      <c r="D874" s="112">
        <f>'Sampling Data'!C865</f>
        <v>18</v>
      </c>
      <c r="E874" s="113">
        <f>'Sampling Data'!D865</f>
        <v>4</v>
      </c>
      <c r="F874" s="113">
        <f>'Sampling Data'!E865</f>
        <v>4</v>
      </c>
      <c r="G874" s="113">
        <f>'Sampling Data'!F865</f>
        <v>0</v>
      </c>
      <c r="H874" s="113">
        <f>'Sampling Data'!G865</f>
        <v>1</v>
      </c>
      <c r="I874" s="112">
        <f>'Sampling Data'!H865</f>
        <v>0</v>
      </c>
      <c r="J874" s="112">
        <f>'Sampling Data'!I865</f>
        <v>0</v>
      </c>
      <c r="K874" s="112">
        <f>'Sampling Data'!J865</f>
        <v>41</v>
      </c>
      <c r="L874" s="111">
        <f>'Sampling Data'!X865</f>
        <v>0</v>
      </c>
      <c r="M874" s="114"/>
      <c r="N874" s="114"/>
      <c r="O874" s="115"/>
      <c r="P874" s="115"/>
      <c r="Q874" s="116"/>
      <c r="R874" s="116"/>
      <c r="S874" s="111">
        <f>Audit[[#This Row],[Audit Losing Candidate]]-Audit[[#This Row],[Losing Candidate]]</f>
        <v>-14</v>
      </c>
      <c r="T874" s="111">
        <f>Audit[[#This Row],[Audit Winning Candidate]]-Audit[[#This Row],[Winning Candidate]]</f>
        <v>-18</v>
      </c>
      <c r="U874" s="111">
        <f>Audit[[#This Row],[Audit Candidate 3]]-Audit[[#This Row],[Candidate 3]]</f>
        <v>-4</v>
      </c>
      <c r="V874" s="111">
        <f>Audit[[#This Row],[Audit Candidate 4]]-Audit[[#This Row],[Candidate 4]]</f>
        <v>-4</v>
      </c>
      <c r="W874" s="111">
        <f>Audit[[#This Row],[Audit Candidate 5]]-Audit[[#This Row],[Candidate 5]]</f>
        <v>0</v>
      </c>
      <c r="X874" s="111">
        <f>Audit[[#This Row],[Audit Candidate 6]]-Audit[[#This Row],[Candidate 6]]</f>
        <v>-1</v>
      </c>
      <c r="Y874" s="111">
        <f>SUMIF(Audit[[#This Row],[Difference Loser]:[Difference Candidate 6]], "&gt;0")</f>
        <v>0</v>
      </c>
      <c r="Z874" s="111">
        <f>SUM(Audit[[#This Row],[Difference Loser]:[Difference Candidate 6]])</f>
        <v>-41</v>
      </c>
      <c r="AA874" s="111">
        <f>IF(Audit[[#This Row],[Times p Drawn - With Replacement]]&gt;0, IF(Audit[[#This Row],[Canceled Differences]]&lt;0, Audit[[#This Row],[Max Differences]]+ABS(Audit[[#This Row],[Canceled Differences]]), Audit[[#This Row],[Max Differences]]), 0)</f>
        <v>0</v>
      </c>
      <c r="AB874" s="111">
        <f>'Sampling Data'!P865</f>
        <v>2.7560019598236157E-3</v>
      </c>
      <c r="AC874" s="111">
        <f>IF(
      SUM(Audit[[#This Row],[Audit Losing Candidate]:[Audit Candidate 6]])
      &lt;&gt;0,
      (Audit[[#This Row],[Winning Candidate]]-Audit[[#This Row],[Losing Candidate]]-(Audit[[#This Row],[Audit Winning Candidate]]-Audit[[#This Row],[Audit Losing Candidate]]))/(Audit[[#Totals],[Winning Candidate]]-Audit[[#Totals],[Losing Candidate]]),
      0
)</f>
        <v>0</v>
      </c>
      <c r="AD8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4" s="111">
        <f>IF(Audit[[#This Row],[Max Relative Error (ep)]] = 0, 0, Audit[[#This Row],[Max Relative Error (ep)]]/Audit[[#This Row],[Error Bound (up) - Max. possible relative overstatement]])</f>
        <v>0</v>
      </c>
      <c r="AJ8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74" s="111">
        <f t="shared" si="13"/>
        <v>1</v>
      </c>
      <c r="AL874" s="111">
        <f>PRODUCT($AK$5:AK874)</f>
        <v>8.962823818226312E-2</v>
      </c>
      <c r="AM874" s="109">
        <f>1 - [K-M P Value]</f>
        <v>0.91037176181773694</v>
      </c>
      <c r="AN874" s="111" t="str">
        <f>IF(Audit[[#This Row],[K-M P Value]]&gt;1-'General Info'!$B$16,"Continue", "Stop")</f>
        <v>Stop</v>
      </c>
      <c r="AO874" s="110" t="b">
        <f>IF(Audit[[#This Row],[Status - Continue or stop audit]] = "Continue", TRUE, IF(AN873 = "Continue", TRUE, FALSE))</f>
        <v>0</v>
      </c>
      <c r="AP874" s="110"/>
    </row>
    <row r="875" spans="1:42" ht="15" hidden="1" customHeight="1">
      <c r="A875" s="111" t="str">
        <f>'Sampling Data'!W866</f>
        <v/>
      </c>
      <c r="B875" s="112" t="str">
        <f>'Sampling Data'!A866</f>
        <v>CLEVELAND -17-H - ABS</v>
      </c>
      <c r="C875" s="112">
        <f>'Sampling Data'!B866</f>
        <v>5</v>
      </c>
      <c r="D875" s="112">
        <f>'Sampling Data'!C866</f>
        <v>2</v>
      </c>
      <c r="E875" s="113">
        <f>'Sampling Data'!D866</f>
        <v>4</v>
      </c>
      <c r="F875" s="113">
        <f>'Sampling Data'!E866</f>
        <v>1</v>
      </c>
      <c r="G875" s="113">
        <f>'Sampling Data'!F866</f>
        <v>0</v>
      </c>
      <c r="H875" s="113">
        <f>'Sampling Data'!G866</f>
        <v>0</v>
      </c>
      <c r="I875" s="112">
        <f>'Sampling Data'!H866</f>
        <v>0</v>
      </c>
      <c r="J875" s="112">
        <f>'Sampling Data'!I866</f>
        <v>0</v>
      </c>
      <c r="K875" s="112">
        <f>'Sampling Data'!J866</f>
        <v>12</v>
      </c>
      <c r="L875" s="111">
        <f>'Sampling Data'!X866</f>
        <v>0</v>
      </c>
      <c r="M875" s="114"/>
      <c r="N875" s="114"/>
      <c r="O875" s="115"/>
      <c r="P875" s="115"/>
      <c r="Q875" s="116"/>
      <c r="R875" s="116"/>
      <c r="S875" s="111">
        <f>Audit[[#This Row],[Audit Losing Candidate]]-Audit[[#This Row],[Losing Candidate]]</f>
        <v>-5</v>
      </c>
      <c r="T875" s="111">
        <f>Audit[[#This Row],[Audit Winning Candidate]]-Audit[[#This Row],[Winning Candidate]]</f>
        <v>-2</v>
      </c>
      <c r="U875" s="111">
        <f>Audit[[#This Row],[Audit Candidate 3]]-Audit[[#This Row],[Candidate 3]]</f>
        <v>-4</v>
      </c>
      <c r="V875" s="111">
        <f>Audit[[#This Row],[Audit Candidate 4]]-Audit[[#This Row],[Candidate 4]]</f>
        <v>-1</v>
      </c>
      <c r="W875" s="111">
        <f>Audit[[#This Row],[Audit Candidate 5]]-Audit[[#This Row],[Candidate 5]]</f>
        <v>0</v>
      </c>
      <c r="X875" s="111">
        <f>Audit[[#This Row],[Audit Candidate 6]]-Audit[[#This Row],[Candidate 6]]</f>
        <v>0</v>
      </c>
      <c r="Y875" s="111">
        <f>SUMIF(Audit[[#This Row],[Difference Loser]:[Difference Candidate 6]], "&gt;0")</f>
        <v>0</v>
      </c>
      <c r="Z875" s="111">
        <f>SUM(Audit[[#This Row],[Difference Loser]:[Difference Candidate 6]])</f>
        <v>-12</v>
      </c>
      <c r="AA875" s="111">
        <f>IF(Audit[[#This Row],[Times p Drawn - With Replacement]]&gt;0, IF(Audit[[#This Row],[Canceled Differences]]&lt;0, Audit[[#This Row],[Max Differences]]+ABS(Audit[[#This Row],[Canceled Differences]]), Audit[[#This Row],[Max Differences]]), 0)</f>
        <v>0</v>
      </c>
      <c r="AB875" s="111">
        <f>'Sampling Data'!P866</f>
        <v>5.5120039196472322E-4</v>
      </c>
      <c r="AC875" s="111">
        <f>IF(
      SUM(Audit[[#This Row],[Audit Losing Candidate]:[Audit Candidate 6]])
      &lt;&gt;0,
      (Audit[[#This Row],[Winning Candidate]]-Audit[[#This Row],[Losing Candidate]]-(Audit[[#This Row],[Audit Winning Candidate]]-Audit[[#This Row],[Audit Losing Candidate]]))/(Audit[[#Totals],[Winning Candidate]]-Audit[[#Totals],[Losing Candidate]]),
      0
)</f>
        <v>0</v>
      </c>
      <c r="AD8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5" s="111">
        <f>IF(Audit[[#This Row],[Max Relative Error (ep)]] = 0, 0, Audit[[#This Row],[Max Relative Error (ep)]]/Audit[[#This Row],[Error Bound (up) - Max. possible relative overstatement]])</f>
        <v>0</v>
      </c>
      <c r="AJ8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75" s="111">
        <f t="shared" si="13"/>
        <v>1</v>
      </c>
      <c r="AL875" s="111">
        <f>PRODUCT($AK$5:AK875)</f>
        <v>8.962823818226312E-2</v>
      </c>
      <c r="AM875" s="109">
        <f>1 - [K-M P Value]</f>
        <v>0.91037176181773694</v>
      </c>
      <c r="AN875" s="111" t="str">
        <f>IF(Audit[[#This Row],[K-M P Value]]&gt;1-'General Info'!$B$16,"Continue", "Stop")</f>
        <v>Stop</v>
      </c>
      <c r="AO875" s="110" t="b">
        <f>IF(Audit[[#This Row],[Status - Continue or stop audit]] = "Continue", TRUE, IF(AN874 = "Continue", TRUE, FALSE))</f>
        <v>0</v>
      </c>
      <c r="AP875" s="110"/>
    </row>
    <row r="876" spans="1:42" ht="15" hidden="1" customHeight="1">
      <c r="A876" s="111" t="str">
        <f>'Sampling Data'!W867</f>
        <v/>
      </c>
      <c r="B876" s="112" t="str">
        <f>'Sampling Data'!A867</f>
        <v>CLEVELAND -17-I</v>
      </c>
      <c r="C876" s="112">
        <f>'Sampling Data'!B867</f>
        <v>15</v>
      </c>
      <c r="D876" s="112">
        <f>'Sampling Data'!C867</f>
        <v>8</v>
      </c>
      <c r="E876" s="113">
        <f>'Sampling Data'!D867</f>
        <v>4</v>
      </c>
      <c r="F876" s="113">
        <f>'Sampling Data'!E867</f>
        <v>6</v>
      </c>
      <c r="G876" s="113">
        <f>'Sampling Data'!F867</f>
        <v>0</v>
      </c>
      <c r="H876" s="113">
        <f>'Sampling Data'!G867</f>
        <v>0</v>
      </c>
      <c r="I876" s="112">
        <f>'Sampling Data'!H867</f>
        <v>0</v>
      </c>
      <c r="J876" s="112">
        <f>'Sampling Data'!I867</f>
        <v>0</v>
      </c>
      <c r="K876" s="112">
        <f>'Sampling Data'!J867</f>
        <v>33</v>
      </c>
      <c r="L876" s="111">
        <f>'Sampling Data'!X867</f>
        <v>0</v>
      </c>
      <c r="M876" s="114"/>
      <c r="N876" s="114"/>
      <c r="O876" s="115"/>
      <c r="P876" s="115"/>
      <c r="Q876" s="116"/>
      <c r="R876" s="116"/>
      <c r="S876" s="111">
        <f>Audit[[#This Row],[Audit Losing Candidate]]-Audit[[#This Row],[Losing Candidate]]</f>
        <v>-15</v>
      </c>
      <c r="T876" s="111">
        <f>Audit[[#This Row],[Audit Winning Candidate]]-Audit[[#This Row],[Winning Candidate]]</f>
        <v>-8</v>
      </c>
      <c r="U876" s="111">
        <f>Audit[[#This Row],[Audit Candidate 3]]-Audit[[#This Row],[Candidate 3]]</f>
        <v>-4</v>
      </c>
      <c r="V876" s="111">
        <f>Audit[[#This Row],[Audit Candidate 4]]-Audit[[#This Row],[Candidate 4]]</f>
        <v>-6</v>
      </c>
      <c r="W876" s="111">
        <f>Audit[[#This Row],[Audit Candidate 5]]-Audit[[#This Row],[Candidate 5]]</f>
        <v>0</v>
      </c>
      <c r="X876" s="111">
        <f>Audit[[#This Row],[Audit Candidate 6]]-Audit[[#This Row],[Candidate 6]]</f>
        <v>0</v>
      </c>
      <c r="Y876" s="111">
        <f>SUMIF(Audit[[#This Row],[Difference Loser]:[Difference Candidate 6]], "&gt;0")</f>
        <v>0</v>
      </c>
      <c r="Z876" s="111">
        <f>SUM(Audit[[#This Row],[Difference Loser]:[Difference Candidate 6]])</f>
        <v>-33</v>
      </c>
      <c r="AA876" s="111">
        <f>IF(Audit[[#This Row],[Times p Drawn - With Replacement]]&gt;0, IF(Audit[[#This Row],[Canceled Differences]]&lt;0, Audit[[#This Row],[Max Differences]]+ABS(Audit[[#This Row],[Canceled Differences]]), Audit[[#This Row],[Max Differences]]), 0)</f>
        <v>0</v>
      </c>
      <c r="AB876" s="111">
        <f>'Sampling Data'!P867</f>
        <v>1.5923566878980893E-3</v>
      </c>
      <c r="AC876" s="111">
        <f>IF(
      SUM(Audit[[#This Row],[Audit Losing Candidate]:[Audit Candidate 6]])
      &lt;&gt;0,
      (Audit[[#This Row],[Winning Candidate]]-Audit[[#This Row],[Losing Candidate]]-(Audit[[#This Row],[Audit Winning Candidate]]-Audit[[#This Row],[Audit Losing Candidate]]))/(Audit[[#Totals],[Winning Candidate]]-Audit[[#Totals],[Losing Candidate]]),
      0
)</f>
        <v>0</v>
      </c>
      <c r="AD8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6" s="111">
        <f>IF(Audit[[#This Row],[Max Relative Error (ep)]] = 0, 0, Audit[[#This Row],[Max Relative Error (ep)]]/Audit[[#This Row],[Error Bound (up) - Max. possible relative overstatement]])</f>
        <v>0</v>
      </c>
      <c r="AJ8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76" s="111">
        <f t="shared" si="13"/>
        <v>1</v>
      </c>
      <c r="AL876" s="111">
        <f>PRODUCT($AK$5:AK876)</f>
        <v>8.962823818226312E-2</v>
      </c>
      <c r="AM876" s="109">
        <f>1 - [K-M P Value]</f>
        <v>0.91037176181773694</v>
      </c>
      <c r="AN876" s="111" t="str">
        <f>IF(Audit[[#This Row],[K-M P Value]]&gt;1-'General Info'!$B$16,"Continue", "Stop")</f>
        <v>Stop</v>
      </c>
      <c r="AO876" s="110" t="b">
        <f>IF(Audit[[#This Row],[Status - Continue or stop audit]] = "Continue", TRUE, IF(AN875 = "Continue", TRUE, FALSE))</f>
        <v>0</v>
      </c>
      <c r="AP876" s="110"/>
    </row>
    <row r="877" spans="1:42" ht="15" hidden="1" customHeight="1">
      <c r="A877" s="111" t="str">
        <f>'Sampling Data'!W868</f>
        <v/>
      </c>
      <c r="B877" s="112" t="str">
        <f>'Sampling Data'!A868</f>
        <v>CLEVELAND -17-I - ABS</v>
      </c>
      <c r="C877" s="112">
        <f>'Sampling Data'!B868</f>
        <v>2</v>
      </c>
      <c r="D877" s="112">
        <f>'Sampling Data'!C868</f>
        <v>3</v>
      </c>
      <c r="E877" s="113">
        <f>'Sampling Data'!D868</f>
        <v>2</v>
      </c>
      <c r="F877" s="113">
        <f>'Sampling Data'!E868</f>
        <v>0</v>
      </c>
      <c r="G877" s="113">
        <f>'Sampling Data'!F868</f>
        <v>0</v>
      </c>
      <c r="H877" s="113">
        <f>'Sampling Data'!G868</f>
        <v>1</v>
      </c>
      <c r="I877" s="112">
        <f>'Sampling Data'!H868</f>
        <v>0</v>
      </c>
      <c r="J877" s="112">
        <f>'Sampling Data'!I868</f>
        <v>0</v>
      </c>
      <c r="K877" s="112">
        <f>'Sampling Data'!J868</f>
        <v>8</v>
      </c>
      <c r="L877" s="111">
        <f>'Sampling Data'!X868</f>
        <v>0</v>
      </c>
      <c r="M877" s="114"/>
      <c r="N877" s="114"/>
      <c r="O877" s="115"/>
      <c r="P877" s="115"/>
      <c r="Q877" s="116"/>
      <c r="R877" s="116"/>
      <c r="S877" s="111">
        <f>Audit[[#This Row],[Audit Losing Candidate]]-Audit[[#This Row],[Losing Candidate]]</f>
        <v>-2</v>
      </c>
      <c r="T877" s="111">
        <f>Audit[[#This Row],[Audit Winning Candidate]]-Audit[[#This Row],[Winning Candidate]]</f>
        <v>-3</v>
      </c>
      <c r="U877" s="111">
        <f>Audit[[#This Row],[Audit Candidate 3]]-Audit[[#This Row],[Candidate 3]]</f>
        <v>-2</v>
      </c>
      <c r="V877" s="111">
        <f>Audit[[#This Row],[Audit Candidate 4]]-Audit[[#This Row],[Candidate 4]]</f>
        <v>0</v>
      </c>
      <c r="W877" s="111">
        <f>Audit[[#This Row],[Audit Candidate 5]]-Audit[[#This Row],[Candidate 5]]</f>
        <v>0</v>
      </c>
      <c r="X877" s="111">
        <f>Audit[[#This Row],[Audit Candidate 6]]-Audit[[#This Row],[Candidate 6]]</f>
        <v>-1</v>
      </c>
      <c r="Y877" s="111">
        <f>SUMIF(Audit[[#This Row],[Difference Loser]:[Difference Candidate 6]], "&gt;0")</f>
        <v>0</v>
      </c>
      <c r="Z877" s="111">
        <f>SUM(Audit[[#This Row],[Difference Loser]:[Difference Candidate 6]])</f>
        <v>-8</v>
      </c>
      <c r="AA877" s="111">
        <f>IF(Audit[[#This Row],[Times p Drawn - With Replacement]]&gt;0, IF(Audit[[#This Row],[Canceled Differences]]&lt;0, Audit[[#This Row],[Max Differences]]+ABS(Audit[[#This Row],[Canceled Differences]]), Audit[[#This Row],[Max Differences]]), 0)</f>
        <v>0</v>
      </c>
      <c r="AB877" s="111">
        <f>'Sampling Data'!P868</f>
        <v>5.5120039196472322E-4</v>
      </c>
      <c r="AC877" s="111">
        <f>IF(
      SUM(Audit[[#This Row],[Audit Losing Candidate]:[Audit Candidate 6]])
      &lt;&gt;0,
      (Audit[[#This Row],[Winning Candidate]]-Audit[[#This Row],[Losing Candidate]]-(Audit[[#This Row],[Audit Winning Candidate]]-Audit[[#This Row],[Audit Losing Candidate]]))/(Audit[[#Totals],[Winning Candidate]]-Audit[[#Totals],[Losing Candidate]]),
      0
)</f>
        <v>0</v>
      </c>
      <c r="AD8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7" s="111">
        <f>IF(Audit[[#This Row],[Max Relative Error (ep)]] = 0, 0, Audit[[#This Row],[Max Relative Error (ep)]]/Audit[[#This Row],[Error Bound (up) - Max. possible relative overstatement]])</f>
        <v>0</v>
      </c>
      <c r="AJ8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77" s="111">
        <f t="shared" si="13"/>
        <v>1</v>
      </c>
      <c r="AL877" s="111">
        <f>PRODUCT($AK$5:AK877)</f>
        <v>8.962823818226312E-2</v>
      </c>
      <c r="AM877" s="109">
        <f>1 - [K-M P Value]</f>
        <v>0.91037176181773694</v>
      </c>
      <c r="AN877" s="111" t="str">
        <f>IF(Audit[[#This Row],[K-M P Value]]&gt;1-'General Info'!$B$16,"Continue", "Stop")</f>
        <v>Stop</v>
      </c>
      <c r="AO877" s="110" t="b">
        <f>IF(Audit[[#This Row],[Status - Continue or stop audit]] = "Continue", TRUE, IF(AN876 = "Continue", TRUE, FALSE))</f>
        <v>0</v>
      </c>
      <c r="AP877" s="110"/>
    </row>
    <row r="878" spans="1:42" ht="15" hidden="1" customHeight="1">
      <c r="A878" s="111" t="str">
        <f>'Sampling Data'!W869</f>
        <v/>
      </c>
      <c r="B878" s="112" t="str">
        <f>'Sampling Data'!A869</f>
        <v>CLEVELAND -17-J</v>
      </c>
      <c r="C878" s="112">
        <f>'Sampling Data'!B869</f>
        <v>19</v>
      </c>
      <c r="D878" s="112">
        <f>'Sampling Data'!C869</f>
        <v>20</v>
      </c>
      <c r="E878" s="113">
        <f>'Sampling Data'!D869</f>
        <v>5</v>
      </c>
      <c r="F878" s="113">
        <f>'Sampling Data'!E869</f>
        <v>7</v>
      </c>
      <c r="G878" s="113">
        <f>'Sampling Data'!F869</f>
        <v>1</v>
      </c>
      <c r="H878" s="113">
        <f>'Sampling Data'!G869</f>
        <v>0</v>
      </c>
      <c r="I878" s="112">
        <f>'Sampling Data'!H869</f>
        <v>0</v>
      </c>
      <c r="J878" s="112">
        <f>'Sampling Data'!I869</f>
        <v>0</v>
      </c>
      <c r="K878" s="112">
        <f>'Sampling Data'!J869</f>
        <v>52</v>
      </c>
      <c r="L878" s="111">
        <f>'Sampling Data'!X869</f>
        <v>0</v>
      </c>
      <c r="M878" s="114"/>
      <c r="N878" s="114"/>
      <c r="O878" s="115"/>
      <c r="P878" s="115"/>
      <c r="Q878" s="116"/>
      <c r="R878" s="116"/>
      <c r="S878" s="111">
        <f>Audit[[#This Row],[Audit Losing Candidate]]-Audit[[#This Row],[Losing Candidate]]</f>
        <v>-19</v>
      </c>
      <c r="T878" s="111">
        <f>Audit[[#This Row],[Audit Winning Candidate]]-Audit[[#This Row],[Winning Candidate]]</f>
        <v>-20</v>
      </c>
      <c r="U878" s="111">
        <f>Audit[[#This Row],[Audit Candidate 3]]-Audit[[#This Row],[Candidate 3]]</f>
        <v>-5</v>
      </c>
      <c r="V878" s="111">
        <f>Audit[[#This Row],[Audit Candidate 4]]-Audit[[#This Row],[Candidate 4]]</f>
        <v>-7</v>
      </c>
      <c r="W878" s="111">
        <f>Audit[[#This Row],[Audit Candidate 5]]-Audit[[#This Row],[Candidate 5]]</f>
        <v>-1</v>
      </c>
      <c r="X878" s="111">
        <f>Audit[[#This Row],[Audit Candidate 6]]-Audit[[#This Row],[Candidate 6]]</f>
        <v>0</v>
      </c>
      <c r="Y878" s="111">
        <f>SUMIF(Audit[[#This Row],[Difference Loser]:[Difference Candidate 6]], "&gt;0")</f>
        <v>0</v>
      </c>
      <c r="Z878" s="111">
        <f>SUM(Audit[[#This Row],[Difference Loser]:[Difference Candidate 6]])</f>
        <v>-52</v>
      </c>
      <c r="AA878" s="111">
        <f>IF(Audit[[#This Row],[Times p Drawn - With Replacement]]&gt;0, IF(Audit[[#This Row],[Canceled Differences]]&lt;0, Audit[[#This Row],[Max Differences]]+ABS(Audit[[#This Row],[Canceled Differences]]), Audit[[#This Row],[Max Differences]]), 0)</f>
        <v>0</v>
      </c>
      <c r="AB878" s="111">
        <f>'Sampling Data'!P869</f>
        <v>3.2459578637922589E-3</v>
      </c>
      <c r="AC878" s="111">
        <f>IF(
      SUM(Audit[[#This Row],[Audit Losing Candidate]:[Audit Candidate 6]])
      &lt;&gt;0,
      (Audit[[#This Row],[Winning Candidate]]-Audit[[#This Row],[Losing Candidate]]-(Audit[[#This Row],[Audit Winning Candidate]]-Audit[[#This Row],[Audit Losing Candidate]]))/(Audit[[#Totals],[Winning Candidate]]-Audit[[#Totals],[Losing Candidate]]),
      0
)</f>
        <v>0</v>
      </c>
      <c r="AD8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8" s="111">
        <f>IF(Audit[[#This Row],[Max Relative Error (ep)]] = 0, 0, Audit[[#This Row],[Max Relative Error (ep)]]/Audit[[#This Row],[Error Bound (up) - Max. possible relative overstatement]])</f>
        <v>0</v>
      </c>
      <c r="AJ8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78" s="111">
        <f t="shared" si="13"/>
        <v>1</v>
      </c>
      <c r="AL878" s="111">
        <f>PRODUCT($AK$5:AK878)</f>
        <v>8.962823818226312E-2</v>
      </c>
      <c r="AM878" s="109">
        <f>1 - [K-M P Value]</f>
        <v>0.91037176181773694</v>
      </c>
      <c r="AN878" s="111" t="str">
        <f>IF(Audit[[#This Row],[K-M P Value]]&gt;1-'General Info'!$B$16,"Continue", "Stop")</f>
        <v>Stop</v>
      </c>
      <c r="AO878" s="110" t="b">
        <f>IF(Audit[[#This Row],[Status - Continue or stop audit]] = "Continue", TRUE, IF(AN877 = "Continue", TRUE, FALSE))</f>
        <v>0</v>
      </c>
      <c r="AP878" s="110"/>
    </row>
    <row r="879" spans="1:42" ht="15" hidden="1" customHeight="1">
      <c r="A879" s="111" t="str">
        <f>'Sampling Data'!W870</f>
        <v/>
      </c>
      <c r="B879" s="112" t="str">
        <f>'Sampling Data'!A870</f>
        <v>CLEVELAND -17-J - ABS</v>
      </c>
      <c r="C879" s="112">
        <f>'Sampling Data'!B870</f>
        <v>8</v>
      </c>
      <c r="D879" s="112">
        <f>'Sampling Data'!C870</f>
        <v>2</v>
      </c>
      <c r="E879" s="113">
        <f>'Sampling Data'!D870</f>
        <v>2</v>
      </c>
      <c r="F879" s="113">
        <f>'Sampling Data'!E870</f>
        <v>1</v>
      </c>
      <c r="G879" s="113">
        <f>'Sampling Data'!F870</f>
        <v>0</v>
      </c>
      <c r="H879" s="113">
        <f>'Sampling Data'!G870</f>
        <v>0</v>
      </c>
      <c r="I879" s="112">
        <f>'Sampling Data'!H870</f>
        <v>1</v>
      </c>
      <c r="J879" s="112">
        <f>'Sampling Data'!I870</f>
        <v>0</v>
      </c>
      <c r="K879" s="112">
        <f>'Sampling Data'!J870</f>
        <v>14</v>
      </c>
      <c r="L879" s="111">
        <f>'Sampling Data'!X870</f>
        <v>0</v>
      </c>
      <c r="M879" s="114"/>
      <c r="N879" s="114"/>
      <c r="O879" s="115"/>
      <c r="P879" s="115"/>
      <c r="Q879" s="116"/>
      <c r="R879" s="116"/>
      <c r="S879" s="111">
        <f>Audit[[#This Row],[Audit Losing Candidate]]-Audit[[#This Row],[Losing Candidate]]</f>
        <v>-8</v>
      </c>
      <c r="T879" s="111">
        <f>Audit[[#This Row],[Audit Winning Candidate]]-Audit[[#This Row],[Winning Candidate]]</f>
        <v>-2</v>
      </c>
      <c r="U879" s="111">
        <f>Audit[[#This Row],[Audit Candidate 3]]-Audit[[#This Row],[Candidate 3]]</f>
        <v>-2</v>
      </c>
      <c r="V879" s="111">
        <f>Audit[[#This Row],[Audit Candidate 4]]-Audit[[#This Row],[Candidate 4]]</f>
        <v>-1</v>
      </c>
      <c r="W879" s="111">
        <f>Audit[[#This Row],[Audit Candidate 5]]-Audit[[#This Row],[Candidate 5]]</f>
        <v>0</v>
      </c>
      <c r="X879" s="111">
        <f>Audit[[#This Row],[Audit Candidate 6]]-Audit[[#This Row],[Candidate 6]]</f>
        <v>0</v>
      </c>
      <c r="Y879" s="111">
        <f>SUMIF(Audit[[#This Row],[Difference Loser]:[Difference Candidate 6]], "&gt;0")</f>
        <v>0</v>
      </c>
      <c r="Z879" s="111">
        <f>SUM(Audit[[#This Row],[Difference Loser]:[Difference Candidate 6]])</f>
        <v>-13</v>
      </c>
      <c r="AA879" s="111">
        <f>IF(Audit[[#This Row],[Times p Drawn - With Replacement]]&gt;0, IF(Audit[[#This Row],[Canceled Differences]]&lt;0, Audit[[#This Row],[Max Differences]]+ABS(Audit[[#This Row],[Canceled Differences]]), Audit[[#This Row],[Max Differences]]), 0)</f>
        <v>0</v>
      </c>
      <c r="AB879" s="111">
        <f>'Sampling Data'!P870</f>
        <v>4.8995590396864281E-4</v>
      </c>
      <c r="AC879" s="111">
        <f>IF(
      SUM(Audit[[#This Row],[Audit Losing Candidate]:[Audit Candidate 6]])
      &lt;&gt;0,
      (Audit[[#This Row],[Winning Candidate]]-Audit[[#This Row],[Losing Candidate]]-(Audit[[#This Row],[Audit Winning Candidate]]-Audit[[#This Row],[Audit Losing Candidate]]))/(Audit[[#Totals],[Winning Candidate]]-Audit[[#Totals],[Losing Candidate]]),
      0
)</f>
        <v>0</v>
      </c>
      <c r="AD8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9" s="111">
        <f>IF(Audit[[#This Row],[Max Relative Error (ep)]] = 0, 0, Audit[[#This Row],[Max Relative Error (ep)]]/Audit[[#This Row],[Error Bound (up) - Max. possible relative overstatement]])</f>
        <v>0</v>
      </c>
      <c r="AJ8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79" s="111">
        <f t="shared" si="13"/>
        <v>1</v>
      </c>
      <c r="AL879" s="111">
        <f>PRODUCT($AK$5:AK879)</f>
        <v>8.962823818226312E-2</v>
      </c>
      <c r="AM879" s="109">
        <f>1 - [K-M P Value]</f>
        <v>0.91037176181773694</v>
      </c>
      <c r="AN879" s="111" t="str">
        <f>IF(Audit[[#This Row],[K-M P Value]]&gt;1-'General Info'!$B$16,"Continue", "Stop")</f>
        <v>Stop</v>
      </c>
      <c r="AO879" s="110" t="b">
        <f>IF(Audit[[#This Row],[Status - Continue or stop audit]] = "Continue", TRUE, IF(AN878 = "Continue", TRUE, FALSE))</f>
        <v>0</v>
      </c>
      <c r="AP879" s="110"/>
    </row>
    <row r="880" spans="1:42" ht="15" hidden="1" customHeight="1">
      <c r="A880" s="111" t="str">
        <f>'Sampling Data'!W871</f>
        <v/>
      </c>
      <c r="B880" s="112" t="str">
        <f>'Sampling Data'!A871</f>
        <v>CLEVELAND -17-K</v>
      </c>
      <c r="C880" s="112">
        <f>'Sampling Data'!B871</f>
        <v>5</v>
      </c>
      <c r="D880" s="112">
        <f>'Sampling Data'!C871</f>
        <v>6</v>
      </c>
      <c r="E880" s="113">
        <f>'Sampling Data'!D871</f>
        <v>2</v>
      </c>
      <c r="F880" s="113">
        <f>'Sampling Data'!E871</f>
        <v>1</v>
      </c>
      <c r="G880" s="113">
        <f>'Sampling Data'!F871</f>
        <v>0</v>
      </c>
      <c r="H880" s="113">
        <f>'Sampling Data'!G871</f>
        <v>1</v>
      </c>
      <c r="I880" s="112">
        <f>'Sampling Data'!H871</f>
        <v>0</v>
      </c>
      <c r="J880" s="112">
        <f>'Sampling Data'!I871</f>
        <v>0</v>
      </c>
      <c r="K880" s="112">
        <f>'Sampling Data'!J871</f>
        <v>15</v>
      </c>
      <c r="L880" s="111">
        <f>'Sampling Data'!X871</f>
        <v>0</v>
      </c>
      <c r="M880" s="114"/>
      <c r="N880" s="114"/>
      <c r="O880" s="115"/>
      <c r="P880" s="115"/>
      <c r="Q880" s="116"/>
      <c r="R880" s="116"/>
      <c r="S880" s="111">
        <f>Audit[[#This Row],[Audit Losing Candidate]]-Audit[[#This Row],[Losing Candidate]]</f>
        <v>-5</v>
      </c>
      <c r="T880" s="111">
        <f>Audit[[#This Row],[Audit Winning Candidate]]-Audit[[#This Row],[Winning Candidate]]</f>
        <v>-6</v>
      </c>
      <c r="U880" s="111">
        <f>Audit[[#This Row],[Audit Candidate 3]]-Audit[[#This Row],[Candidate 3]]</f>
        <v>-2</v>
      </c>
      <c r="V880" s="111">
        <f>Audit[[#This Row],[Audit Candidate 4]]-Audit[[#This Row],[Candidate 4]]</f>
        <v>-1</v>
      </c>
      <c r="W880" s="111">
        <f>Audit[[#This Row],[Audit Candidate 5]]-Audit[[#This Row],[Candidate 5]]</f>
        <v>0</v>
      </c>
      <c r="X880" s="111">
        <f>Audit[[#This Row],[Audit Candidate 6]]-Audit[[#This Row],[Candidate 6]]</f>
        <v>-1</v>
      </c>
      <c r="Y880" s="111">
        <f>SUMIF(Audit[[#This Row],[Difference Loser]:[Difference Candidate 6]], "&gt;0")</f>
        <v>0</v>
      </c>
      <c r="Z880" s="111">
        <f>SUM(Audit[[#This Row],[Difference Loser]:[Difference Candidate 6]])</f>
        <v>-15</v>
      </c>
      <c r="AA880" s="111">
        <f>IF(Audit[[#This Row],[Times p Drawn - With Replacement]]&gt;0, IF(Audit[[#This Row],[Canceled Differences]]&lt;0, Audit[[#This Row],[Max Differences]]+ABS(Audit[[#This Row],[Canceled Differences]]), Audit[[#This Row],[Max Differences]]), 0)</f>
        <v>0</v>
      </c>
      <c r="AB880" s="111">
        <f>'Sampling Data'!P871</f>
        <v>9.7991180793728563E-4</v>
      </c>
      <c r="AC880" s="111">
        <f>IF(
      SUM(Audit[[#This Row],[Audit Losing Candidate]:[Audit Candidate 6]])
      &lt;&gt;0,
      (Audit[[#This Row],[Winning Candidate]]-Audit[[#This Row],[Losing Candidate]]-(Audit[[#This Row],[Audit Winning Candidate]]-Audit[[#This Row],[Audit Losing Candidate]]))/(Audit[[#Totals],[Winning Candidate]]-Audit[[#Totals],[Losing Candidate]]),
      0
)</f>
        <v>0</v>
      </c>
      <c r="AD8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0" s="111">
        <f>IF(Audit[[#This Row],[Max Relative Error (ep)]] = 0, 0, Audit[[#This Row],[Max Relative Error (ep)]]/Audit[[#This Row],[Error Bound (up) - Max. possible relative overstatement]])</f>
        <v>0</v>
      </c>
      <c r="AJ8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80" s="111">
        <f t="shared" si="13"/>
        <v>1</v>
      </c>
      <c r="AL880" s="111">
        <f>PRODUCT($AK$5:AK880)</f>
        <v>8.962823818226312E-2</v>
      </c>
      <c r="AM880" s="109">
        <f>1 - [K-M P Value]</f>
        <v>0.91037176181773694</v>
      </c>
      <c r="AN880" s="111" t="str">
        <f>IF(Audit[[#This Row],[K-M P Value]]&gt;1-'General Info'!$B$16,"Continue", "Stop")</f>
        <v>Stop</v>
      </c>
      <c r="AO880" s="110" t="b">
        <f>IF(Audit[[#This Row],[Status - Continue or stop audit]] = "Continue", TRUE, IF(AN879 = "Continue", TRUE, FALSE))</f>
        <v>0</v>
      </c>
      <c r="AP880" s="110"/>
    </row>
    <row r="881" spans="1:42" ht="15" hidden="1" customHeight="1">
      <c r="A881" s="111" t="str">
        <f>'Sampling Data'!W872</f>
        <v/>
      </c>
      <c r="B881" s="112" t="str">
        <f>'Sampling Data'!A872</f>
        <v>CLEVELAND -17-K - ABS</v>
      </c>
      <c r="C881" s="112">
        <f>'Sampling Data'!B872</f>
        <v>3</v>
      </c>
      <c r="D881" s="112">
        <f>'Sampling Data'!C872</f>
        <v>1</v>
      </c>
      <c r="E881" s="113">
        <f>'Sampling Data'!D872</f>
        <v>0</v>
      </c>
      <c r="F881" s="113">
        <f>'Sampling Data'!E872</f>
        <v>1</v>
      </c>
      <c r="G881" s="113">
        <f>'Sampling Data'!F872</f>
        <v>0</v>
      </c>
      <c r="H881" s="113">
        <f>'Sampling Data'!G872</f>
        <v>0</v>
      </c>
      <c r="I881" s="112">
        <f>'Sampling Data'!H872</f>
        <v>0</v>
      </c>
      <c r="J881" s="112">
        <f>'Sampling Data'!I872</f>
        <v>0</v>
      </c>
      <c r="K881" s="112">
        <f>'Sampling Data'!J872</f>
        <v>5</v>
      </c>
      <c r="L881" s="111">
        <f>'Sampling Data'!X872</f>
        <v>0</v>
      </c>
      <c r="M881" s="114"/>
      <c r="N881" s="114"/>
      <c r="O881" s="115"/>
      <c r="P881" s="115"/>
      <c r="Q881" s="116"/>
      <c r="R881" s="116"/>
      <c r="S881" s="111">
        <f>Audit[[#This Row],[Audit Losing Candidate]]-Audit[[#This Row],[Losing Candidate]]</f>
        <v>-3</v>
      </c>
      <c r="T881" s="111">
        <f>Audit[[#This Row],[Audit Winning Candidate]]-Audit[[#This Row],[Winning Candidate]]</f>
        <v>-1</v>
      </c>
      <c r="U881" s="111">
        <f>Audit[[#This Row],[Audit Candidate 3]]-Audit[[#This Row],[Candidate 3]]</f>
        <v>0</v>
      </c>
      <c r="V881" s="111">
        <f>Audit[[#This Row],[Audit Candidate 4]]-Audit[[#This Row],[Candidate 4]]</f>
        <v>-1</v>
      </c>
      <c r="W881" s="111">
        <f>Audit[[#This Row],[Audit Candidate 5]]-Audit[[#This Row],[Candidate 5]]</f>
        <v>0</v>
      </c>
      <c r="X881" s="111">
        <f>Audit[[#This Row],[Audit Candidate 6]]-Audit[[#This Row],[Candidate 6]]</f>
        <v>0</v>
      </c>
      <c r="Y881" s="111">
        <f>SUMIF(Audit[[#This Row],[Difference Loser]:[Difference Candidate 6]], "&gt;0")</f>
        <v>0</v>
      </c>
      <c r="Z881" s="111">
        <f>SUM(Audit[[#This Row],[Difference Loser]:[Difference Candidate 6]])</f>
        <v>-5</v>
      </c>
      <c r="AA881" s="111">
        <f>IF(Audit[[#This Row],[Times p Drawn - With Replacement]]&gt;0, IF(Audit[[#This Row],[Canceled Differences]]&lt;0, Audit[[#This Row],[Max Differences]]+ABS(Audit[[#This Row],[Canceled Differences]]), Audit[[#This Row],[Max Differences]]), 0)</f>
        <v>0</v>
      </c>
      <c r="AB881" s="111">
        <f>'Sampling Data'!P872</f>
        <v>1.9356711939865149E-4</v>
      </c>
      <c r="AC881" s="111">
        <f>IF(
      SUM(Audit[[#This Row],[Audit Losing Candidate]:[Audit Candidate 6]])
      &lt;&gt;0,
      (Audit[[#This Row],[Winning Candidate]]-Audit[[#This Row],[Losing Candidate]]-(Audit[[#This Row],[Audit Winning Candidate]]-Audit[[#This Row],[Audit Losing Candidate]]))/(Audit[[#Totals],[Winning Candidate]]-Audit[[#Totals],[Losing Candidate]]),
      0
)</f>
        <v>0</v>
      </c>
      <c r="AD8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1" s="111">
        <f>IF(Audit[[#This Row],[Max Relative Error (ep)]] = 0, 0, Audit[[#This Row],[Max Relative Error (ep)]]/Audit[[#This Row],[Error Bound (up) - Max. possible relative overstatement]])</f>
        <v>0</v>
      </c>
      <c r="AJ8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81" s="111">
        <f t="shared" si="13"/>
        <v>1</v>
      </c>
      <c r="AL881" s="111">
        <f>PRODUCT($AK$5:AK881)</f>
        <v>8.962823818226312E-2</v>
      </c>
      <c r="AM881" s="109">
        <f>1 - [K-M P Value]</f>
        <v>0.91037176181773694</v>
      </c>
      <c r="AN881" s="111" t="str">
        <f>IF(Audit[[#This Row],[K-M P Value]]&gt;1-'General Info'!$B$16,"Continue", "Stop")</f>
        <v>Stop</v>
      </c>
      <c r="AO881" s="110" t="b">
        <f>IF(Audit[[#This Row],[Status - Continue or stop audit]] = "Continue", TRUE, IF(AN880 = "Continue", TRUE, FALSE))</f>
        <v>0</v>
      </c>
      <c r="AP881" s="110"/>
    </row>
    <row r="882" spans="1:42" ht="15" hidden="1" customHeight="1">
      <c r="A882" s="111" t="str">
        <f>'Sampling Data'!W873</f>
        <v/>
      </c>
      <c r="B882" s="112" t="str">
        <f>'Sampling Data'!A873</f>
        <v>CLEVELAND -17-L</v>
      </c>
      <c r="C882" s="112">
        <f>'Sampling Data'!B873</f>
        <v>5</v>
      </c>
      <c r="D882" s="112">
        <f>'Sampling Data'!C873</f>
        <v>10</v>
      </c>
      <c r="E882" s="113">
        <f>'Sampling Data'!D873</f>
        <v>5</v>
      </c>
      <c r="F882" s="113">
        <f>'Sampling Data'!E873</f>
        <v>2</v>
      </c>
      <c r="G882" s="113">
        <f>'Sampling Data'!F873</f>
        <v>0</v>
      </c>
      <c r="H882" s="113">
        <f>'Sampling Data'!G873</f>
        <v>1</v>
      </c>
      <c r="I882" s="112">
        <f>'Sampling Data'!H873</f>
        <v>0</v>
      </c>
      <c r="J882" s="112">
        <f>'Sampling Data'!I873</f>
        <v>1</v>
      </c>
      <c r="K882" s="112">
        <f>'Sampling Data'!J873</f>
        <v>24</v>
      </c>
      <c r="L882" s="111">
        <f>'Sampling Data'!X873</f>
        <v>0</v>
      </c>
      <c r="M882" s="114"/>
      <c r="N882" s="114"/>
      <c r="O882" s="115"/>
      <c r="P882" s="115"/>
      <c r="Q882" s="116"/>
      <c r="R882" s="116"/>
      <c r="S882" s="111">
        <f>Audit[[#This Row],[Audit Losing Candidate]]-Audit[[#This Row],[Losing Candidate]]</f>
        <v>-5</v>
      </c>
      <c r="T882" s="111">
        <f>Audit[[#This Row],[Audit Winning Candidate]]-Audit[[#This Row],[Winning Candidate]]</f>
        <v>-10</v>
      </c>
      <c r="U882" s="111">
        <f>Audit[[#This Row],[Audit Candidate 3]]-Audit[[#This Row],[Candidate 3]]</f>
        <v>-5</v>
      </c>
      <c r="V882" s="111">
        <f>Audit[[#This Row],[Audit Candidate 4]]-Audit[[#This Row],[Candidate 4]]</f>
        <v>-2</v>
      </c>
      <c r="W882" s="111">
        <f>Audit[[#This Row],[Audit Candidate 5]]-Audit[[#This Row],[Candidate 5]]</f>
        <v>0</v>
      </c>
      <c r="X882" s="111">
        <f>Audit[[#This Row],[Audit Candidate 6]]-Audit[[#This Row],[Candidate 6]]</f>
        <v>-1</v>
      </c>
      <c r="Y882" s="111">
        <f>SUMIF(Audit[[#This Row],[Difference Loser]:[Difference Candidate 6]], "&gt;0")</f>
        <v>0</v>
      </c>
      <c r="Z882" s="111">
        <f>SUM(Audit[[#This Row],[Difference Loser]:[Difference Candidate 6]])</f>
        <v>-23</v>
      </c>
      <c r="AA882" s="111">
        <f>IF(Audit[[#This Row],[Times p Drawn - With Replacement]]&gt;0, IF(Audit[[#This Row],[Canceled Differences]]&lt;0, Audit[[#This Row],[Max Differences]]+ABS(Audit[[#This Row],[Canceled Differences]]), Audit[[#This Row],[Max Differences]]), 0)</f>
        <v>0</v>
      </c>
      <c r="AB882" s="111">
        <f>'Sampling Data'!P873</f>
        <v>1.7760901518863303E-3</v>
      </c>
      <c r="AC882" s="111">
        <f>IF(
      SUM(Audit[[#This Row],[Audit Losing Candidate]:[Audit Candidate 6]])
      &lt;&gt;0,
      (Audit[[#This Row],[Winning Candidate]]-Audit[[#This Row],[Losing Candidate]]-(Audit[[#This Row],[Audit Winning Candidate]]-Audit[[#This Row],[Audit Losing Candidate]]))/(Audit[[#Totals],[Winning Candidate]]-Audit[[#Totals],[Losing Candidate]]),
      0
)</f>
        <v>0</v>
      </c>
      <c r="AD8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2" s="111">
        <f>IF(Audit[[#This Row],[Max Relative Error (ep)]] = 0, 0, Audit[[#This Row],[Max Relative Error (ep)]]/Audit[[#This Row],[Error Bound (up) - Max. possible relative overstatement]])</f>
        <v>0</v>
      </c>
      <c r="AJ8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82" s="111">
        <f t="shared" si="13"/>
        <v>1</v>
      </c>
      <c r="AL882" s="111">
        <f>PRODUCT($AK$5:AK882)</f>
        <v>8.962823818226312E-2</v>
      </c>
      <c r="AM882" s="109">
        <f>1 - [K-M P Value]</f>
        <v>0.91037176181773694</v>
      </c>
      <c r="AN882" s="111" t="str">
        <f>IF(Audit[[#This Row],[K-M P Value]]&gt;1-'General Info'!$B$16,"Continue", "Stop")</f>
        <v>Stop</v>
      </c>
      <c r="AO882" s="110" t="b">
        <f>IF(Audit[[#This Row],[Status - Continue or stop audit]] = "Continue", TRUE, IF(AN881 = "Continue", TRUE, FALSE))</f>
        <v>0</v>
      </c>
      <c r="AP882" s="110"/>
    </row>
    <row r="883" spans="1:42" ht="15" hidden="1" customHeight="1">
      <c r="A883" s="111" t="str">
        <f>'Sampling Data'!W874</f>
        <v/>
      </c>
      <c r="B883" s="112" t="str">
        <f>'Sampling Data'!A874</f>
        <v>CLEVELAND -17-L - ABS</v>
      </c>
      <c r="C883" s="112">
        <f>'Sampling Data'!B874</f>
        <v>1</v>
      </c>
      <c r="D883" s="112">
        <f>'Sampling Data'!C874</f>
        <v>2</v>
      </c>
      <c r="E883" s="113">
        <f>'Sampling Data'!D874</f>
        <v>1</v>
      </c>
      <c r="F883" s="113">
        <f>'Sampling Data'!E874</f>
        <v>0</v>
      </c>
      <c r="G883" s="113">
        <f>'Sampling Data'!F874</f>
        <v>0</v>
      </c>
      <c r="H883" s="113">
        <f>'Sampling Data'!G874</f>
        <v>0</v>
      </c>
      <c r="I883" s="112">
        <f>'Sampling Data'!H874</f>
        <v>0</v>
      </c>
      <c r="J883" s="112">
        <f>'Sampling Data'!I874</f>
        <v>1</v>
      </c>
      <c r="K883" s="112">
        <f>'Sampling Data'!J874</f>
        <v>5</v>
      </c>
      <c r="L883" s="111">
        <f>'Sampling Data'!X874</f>
        <v>0</v>
      </c>
      <c r="M883" s="114"/>
      <c r="N883" s="114"/>
      <c r="O883" s="115"/>
      <c r="P883" s="115"/>
      <c r="Q883" s="116"/>
      <c r="R883" s="116"/>
      <c r="S883" s="111">
        <f>Audit[[#This Row],[Audit Losing Candidate]]-Audit[[#This Row],[Losing Candidate]]</f>
        <v>-1</v>
      </c>
      <c r="T883" s="111">
        <f>Audit[[#This Row],[Audit Winning Candidate]]-Audit[[#This Row],[Winning Candidate]]</f>
        <v>-2</v>
      </c>
      <c r="U883" s="111">
        <f>Audit[[#This Row],[Audit Candidate 3]]-Audit[[#This Row],[Candidate 3]]</f>
        <v>-1</v>
      </c>
      <c r="V883" s="111">
        <f>Audit[[#This Row],[Audit Candidate 4]]-Audit[[#This Row],[Candidate 4]]</f>
        <v>0</v>
      </c>
      <c r="W883" s="111">
        <f>Audit[[#This Row],[Audit Candidate 5]]-Audit[[#This Row],[Candidate 5]]</f>
        <v>0</v>
      </c>
      <c r="X883" s="111">
        <f>Audit[[#This Row],[Audit Candidate 6]]-Audit[[#This Row],[Candidate 6]]</f>
        <v>0</v>
      </c>
      <c r="Y883" s="111">
        <f>SUMIF(Audit[[#This Row],[Difference Loser]:[Difference Candidate 6]], "&gt;0")</f>
        <v>0</v>
      </c>
      <c r="Z883" s="111">
        <f>SUM(Audit[[#This Row],[Difference Loser]:[Difference Candidate 6]])</f>
        <v>-4</v>
      </c>
      <c r="AA883" s="111">
        <f>IF(Audit[[#This Row],[Times p Drawn - With Replacement]]&gt;0, IF(Audit[[#This Row],[Canceled Differences]]&lt;0, Audit[[#This Row],[Max Differences]]+ABS(Audit[[#This Row],[Canceled Differences]]), Audit[[#This Row],[Max Differences]]), 0)</f>
        <v>0</v>
      </c>
      <c r="AB883" s="111">
        <f>'Sampling Data'!P874</f>
        <v>3.6746692797648211E-4</v>
      </c>
      <c r="AC883" s="111">
        <f>IF(
      SUM(Audit[[#This Row],[Audit Losing Candidate]:[Audit Candidate 6]])
      &lt;&gt;0,
      (Audit[[#This Row],[Winning Candidate]]-Audit[[#This Row],[Losing Candidate]]-(Audit[[#This Row],[Audit Winning Candidate]]-Audit[[#This Row],[Audit Losing Candidate]]))/(Audit[[#Totals],[Winning Candidate]]-Audit[[#Totals],[Losing Candidate]]),
      0
)</f>
        <v>0</v>
      </c>
      <c r="AD8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3" s="111">
        <f>IF(Audit[[#This Row],[Max Relative Error (ep)]] = 0, 0, Audit[[#This Row],[Max Relative Error (ep)]]/Audit[[#This Row],[Error Bound (up) - Max. possible relative overstatement]])</f>
        <v>0</v>
      </c>
      <c r="AJ8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83" s="111">
        <f t="shared" si="13"/>
        <v>1</v>
      </c>
      <c r="AL883" s="111">
        <f>PRODUCT($AK$5:AK883)</f>
        <v>8.962823818226312E-2</v>
      </c>
      <c r="AM883" s="109">
        <f>1 - [K-M P Value]</f>
        <v>0.91037176181773694</v>
      </c>
      <c r="AN883" s="111" t="str">
        <f>IF(Audit[[#This Row],[K-M P Value]]&gt;1-'General Info'!$B$16,"Continue", "Stop")</f>
        <v>Stop</v>
      </c>
      <c r="AO883" s="110" t="b">
        <f>IF(Audit[[#This Row],[Status - Continue or stop audit]] = "Continue", TRUE, IF(AN882 = "Continue", TRUE, FALSE))</f>
        <v>0</v>
      </c>
      <c r="AP883" s="110"/>
    </row>
    <row r="884" spans="1:42" ht="15" hidden="1" customHeight="1">
      <c r="A884" s="111" t="str">
        <f>'Sampling Data'!W875</f>
        <v/>
      </c>
      <c r="B884" s="112" t="str">
        <f>'Sampling Data'!A875</f>
        <v>CLEVELAND -17-M</v>
      </c>
      <c r="C884" s="112">
        <f>'Sampling Data'!B875</f>
        <v>2</v>
      </c>
      <c r="D884" s="112">
        <f>'Sampling Data'!C875</f>
        <v>4</v>
      </c>
      <c r="E884" s="113">
        <f>'Sampling Data'!D875</f>
        <v>4</v>
      </c>
      <c r="F884" s="113">
        <f>'Sampling Data'!E875</f>
        <v>1</v>
      </c>
      <c r="G884" s="113">
        <f>'Sampling Data'!F875</f>
        <v>0</v>
      </c>
      <c r="H884" s="113">
        <f>'Sampling Data'!G875</f>
        <v>0</v>
      </c>
      <c r="I884" s="112">
        <f>'Sampling Data'!H875</f>
        <v>1</v>
      </c>
      <c r="J884" s="112">
        <f>'Sampling Data'!I875</f>
        <v>0</v>
      </c>
      <c r="K884" s="112">
        <f>'Sampling Data'!J875</f>
        <v>12</v>
      </c>
      <c r="L884" s="111">
        <f>'Sampling Data'!X875</f>
        <v>0</v>
      </c>
      <c r="M884" s="114"/>
      <c r="N884" s="114"/>
      <c r="O884" s="115"/>
      <c r="P884" s="115"/>
      <c r="Q884" s="116"/>
      <c r="R884" s="116"/>
      <c r="S884" s="111">
        <f>Audit[[#This Row],[Audit Losing Candidate]]-Audit[[#This Row],[Losing Candidate]]</f>
        <v>-2</v>
      </c>
      <c r="T884" s="111">
        <f>Audit[[#This Row],[Audit Winning Candidate]]-Audit[[#This Row],[Winning Candidate]]</f>
        <v>-4</v>
      </c>
      <c r="U884" s="111">
        <f>Audit[[#This Row],[Audit Candidate 3]]-Audit[[#This Row],[Candidate 3]]</f>
        <v>-4</v>
      </c>
      <c r="V884" s="111">
        <f>Audit[[#This Row],[Audit Candidate 4]]-Audit[[#This Row],[Candidate 4]]</f>
        <v>-1</v>
      </c>
      <c r="W884" s="111">
        <f>Audit[[#This Row],[Audit Candidate 5]]-Audit[[#This Row],[Candidate 5]]</f>
        <v>0</v>
      </c>
      <c r="X884" s="111">
        <f>Audit[[#This Row],[Audit Candidate 6]]-Audit[[#This Row],[Candidate 6]]</f>
        <v>0</v>
      </c>
      <c r="Y884" s="111">
        <f>SUMIF(Audit[[#This Row],[Difference Loser]:[Difference Candidate 6]], "&gt;0")</f>
        <v>0</v>
      </c>
      <c r="Z884" s="111">
        <f>SUM(Audit[[#This Row],[Difference Loser]:[Difference Candidate 6]])</f>
        <v>-11</v>
      </c>
      <c r="AA884" s="111">
        <f>IF(Audit[[#This Row],[Times p Drawn - With Replacement]]&gt;0, IF(Audit[[#This Row],[Canceled Differences]]&lt;0, Audit[[#This Row],[Max Differences]]+ABS(Audit[[#This Row],[Canceled Differences]]), Audit[[#This Row],[Max Differences]]), 0)</f>
        <v>0</v>
      </c>
      <c r="AB884" s="111">
        <f>'Sampling Data'!P875</f>
        <v>8.5742283194512492E-4</v>
      </c>
      <c r="AC884" s="111">
        <f>IF(
      SUM(Audit[[#This Row],[Audit Losing Candidate]:[Audit Candidate 6]])
      &lt;&gt;0,
      (Audit[[#This Row],[Winning Candidate]]-Audit[[#This Row],[Losing Candidate]]-(Audit[[#This Row],[Audit Winning Candidate]]-Audit[[#This Row],[Audit Losing Candidate]]))/(Audit[[#Totals],[Winning Candidate]]-Audit[[#Totals],[Losing Candidate]]),
      0
)</f>
        <v>0</v>
      </c>
      <c r="AD8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4" s="111">
        <f>IF(Audit[[#This Row],[Max Relative Error (ep)]] = 0, 0, Audit[[#This Row],[Max Relative Error (ep)]]/Audit[[#This Row],[Error Bound (up) - Max. possible relative overstatement]])</f>
        <v>0</v>
      </c>
      <c r="AJ8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84" s="111">
        <f t="shared" si="13"/>
        <v>1</v>
      </c>
      <c r="AL884" s="111">
        <f>PRODUCT($AK$5:AK884)</f>
        <v>8.962823818226312E-2</v>
      </c>
      <c r="AM884" s="109">
        <f>1 - [K-M P Value]</f>
        <v>0.91037176181773694</v>
      </c>
      <c r="AN884" s="111" t="str">
        <f>IF(Audit[[#This Row],[K-M P Value]]&gt;1-'General Info'!$B$16,"Continue", "Stop")</f>
        <v>Stop</v>
      </c>
      <c r="AO884" s="110" t="b">
        <f>IF(Audit[[#This Row],[Status - Continue or stop audit]] = "Continue", TRUE, IF(AN883 = "Continue", TRUE, FALSE))</f>
        <v>0</v>
      </c>
      <c r="AP884" s="110"/>
    </row>
    <row r="885" spans="1:42" ht="15" hidden="1" customHeight="1">
      <c r="A885" s="111" t="str">
        <f>'Sampling Data'!W876</f>
        <v/>
      </c>
      <c r="B885" s="112" t="str">
        <f>'Sampling Data'!A876</f>
        <v>CLEVELAND -17-M - ABS</v>
      </c>
      <c r="C885" s="112">
        <f>'Sampling Data'!B876</f>
        <v>2</v>
      </c>
      <c r="D885" s="112">
        <f>'Sampling Data'!C876</f>
        <v>1</v>
      </c>
      <c r="E885" s="113">
        <f>'Sampling Data'!D876</f>
        <v>0</v>
      </c>
      <c r="F885" s="113">
        <f>'Sampling Data'!E876</f>
        <v>0</v>
      </c>
      <c r="G885" s="113">
        <f>'Sampling Data'!F876</f>
        <v>0</v>
      </c>
      <c r="H885" s="113">
        <f>'Sampling Data'!G876</f>
        <v>0</v>
      </c>
      <c r="I885" s="112">
        <f>'Sampling Data'!H876</f>
        <v>0</v>
      </c>
      <c r="J885" s="112">
        <f>'Sampling Data'!I876</f>
        <v>0</v>
      </c>
      <c r="K885" s="112">
        <f>'Sampling Data'!J876</f>
        <v>3</v>
      </c>
      <c r="L885" s="111">
        <f>'Sampling Data'!X876</f>
        <v>0</v>
      </c>
      <c r="M885" s="114"/>
      <c r="N885" s="114"/>
      <c r="O885" s="115"/>
      <c r="P885" s="115"/>
      <c r="Q885" s="116"/>
      <c r="R885" s="116"/>
      <c r="S885" s="111">
        <f>Audit[[#This Row],[Audit Losing Candidate]]-Audit[[#This Row],[Losing Candidate]]</f>
        <v>-2</v>
      </c>
      <c r="T885" s="111">
        <f>Audit[[#This Row],[Audit Winning Candidate]]-Audit[[#This Row],[Winning Candidate]]</f>
        <v>-1</v>
      </c>
      <c r="U885" s="111">
        <f>Audit[[#This Row],[Audit Candidate 3]]-Audit[[#This Row],[Candidate 3]]</f>
        <v>0</v>
      </c>
      <c r="V885" s="111">
        <f>Audit[[#This Row],[Audit Candidate 4]]-Audit[[#This Row],[Candidate 4]]</f>
        <v>0</v>
      </c>
      <c r="W885" s="111">
        <f>Audit[[#This Row],[Audit Candidate 5]]-Audit[[#This Row],[Candidate 5]]</f>
        <v>0</v>
      </c>
      <c r="X885" s="111">
        <f>Audit[[#This Row],[Audit Candidate 6]]-Audit[[#This Row],[Candidate 6]]</f>
        <v>0</v>
      </c>
      <c r="Y885" s="111">
        <f>SUMIF(Audit[[#This Row],[Difference Loser]:[Difference Candidate 6]], "&gt;0")</f>
        <v>0</v>
      </c>
      <c r="Z885" s="111">
        <f>SUM(Audit[[#This Row],[Difference Loser]:[Difference Candidate 6]])</f>
        <v>-3</v>
      </c>
      <c r="AA885" s="111">
        <f>IF(Audit[[#This Row],[Times p Drawn - With Replacement]]&gt;0, IF(Audit[[#This Row],[Canceled Differences]]&lt;0, Audit[[#This Row],[Max Differences]]+ABS(Audit[[#This Row],[Canceled Differences]]), Audit[[#This Row],[Max Differences]]), 0)</f>
        <v>0</v>
      </c>
      <c r="AB885" s="111">
        <f>'Sampling Data'!P876</f>
        <v>1.2904474626576767E-4</v>
      </c>
      <c r="AC885" s="111">
        <f>IF(
      SUM(Audit[[#This Row],[Audit Losing Candidate]:[Audit Candidate 6]])
      &lt;&gt;0,
      (Audit[[#This Row],[Winning Candidate]]-Audit[[#This Row],[Losing Candidate]]-(Audit[[#This Row],[Audit Winning Candidate]]-Audit[[#This Row],[Audit Losing Candidate]]))/(Audit[[#Totals],[Winning Candidate]]-Audit[[#Totals],[Losing Candidate]]),
      0
)</f>
        <v>0</v>
      </c>
      <c r="AD8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5" s="111">
        <f>IF(Audit[[#This Row],[Max Relative Error (ep)]] = 0, 0, Audit[[#This Row],[Max Relative Error (ep)]]/Audit[[#This Row],[Error Bound (up) - Max. possible relative overstatement]])</f>
        <v>0</v>
      </c>
      <c r="AJ8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85" s="111">
        <f t="shared" si="13"/>
        <v>1</v>
      </c>
      <c r="AL885" s="111">
        <f>PRODUCT($AK$5:AK885)</f>
        <v>8.962823818226312E-2</v>
      </c>
      <c r="AM885" s="109">
        <f>1 - [K-M P Value]</f>
        <v>0.91037176181773694</v>
      </c>
      <c r="AN885" s="111" t="str">
        <f>IF(Audit[[#This Row],[K-M P Value]]&gt;1-'General Info'!$B$16,"Continue", "Stop")</f>
        <v>Stop</v>
      </c>
      <c r="AO885" s="110" t="b">
        <f>IF(Audit[[#This Row],[Status - Continue or stop audit]] = "Continue", TRUE, IF(AN884 = "Continue", TRUE, FALSE))</f>
        <v>0</v>
      </c>
      <c r="AP885" s="110"/>
    </row>
    <row r="886" spans="1:42" ht="15" hidden="1" customHeight="1">
      <c r="A886" s="111" t="str">
        <f>'Sampling Data'!W877</f>
        <v/>
      </c>
      <c r="B886" s="112" t="str">
        <f>'Sampling Data'!A877</f>
        <v>CLEVELAND -17-N</v>
      </c>
      <c r="C886" s="112">
        <f>'Sampling Data'!B877</f>
        <v>0</v>
      </c>
      <c r="D886" s="112">
        <f>'Sampling Data'!C877</f>
        <v>3</v>
      </c>
      <c r="E886" s="113">
        <f>'Sampling Data'!D877</f>
        <v>1</v>
      </c>
      <c r="F886" s="113">
        <f>'Sampling Data'!E877</f>
        <v>0</v>
      </c>
      <c r="G886" s="113">
        <f>'Sampling Data'!F877</f>
        <v>0</v>
      </c>
      <c r="H886" s="113">
        <f>'Sampling Data'!G877</f>
        <v>1</v>
      </c>
      <c r="I886" s="112">
        <f>'Sampling Data'!H877</f>
        <v>1</v>
      </c>
      <c r="J886" s="112">
        <f>'Sampling Data'!I877</f>
        <v>0</v>
      </c>
      <c r="K886" s="112">
        <f>'Sampling Data'!J877</f>
        <v>6</v>
      </c>
      <c r="L886" s="111">
        <f>'Sampling Data'!X877</f>
        <v>0</v>
      </c>
      <c r="M886" s="114"/>
      <c r="N886" s="114"/>
      <c r="O886" s="115"/>
      <c r="P886" s="115"/>
      <c r="Q886" s="116"/>
      <c r="R886" s="116"/>
      <c r="S886" s="111">
        <f>Audit[[#This Row],[Audit Losing Candidate]]-Audit[[#This Row],[Losing Candidate]]</f>
        <v>0</v>
      </c>
      <c r="T886" s="111">
        <f>Audit[[#This Row],[Audit Winning Candidate]]-Audit[[#This Row],[Winning Candidate]]</f>
        <v>-3</v>
      </c>
      <c r="U886" s="111">
        <f>Audit[[#This Row],[Audit Candidate 3]]-Audit[[#This Row],[Candidate 3]]</f>
        <v>-1</v>
      </c>
      <c r="V886" s="111">
        <f>Audit[[#This Row],[Audit Candidate 4]]-Audit[[#This Row],[Candidate 4]]</f>
        <v>0</v>
      </c>
      <c r="W886" s="111">
        <f>Audit[[#This Row],[Audit Candidate 5]]-Audit[[#This Row],[Candidate 5]]</f>
        <v>0</v>
      </c>
      <c r="X886" s="111">
        <f>Audit[[#This Row],[Audit Candidate 6]]-Audit[[#This Row],[Candidate 6]]</f>
        <v>-1</v>
      </c>
      <c r="Y886" s="111">
        <f>SUMIF(Audit[[#This Row],[Difference Loser]:[Difference Candidate 6]], "&gt;0")</f>
        <v>0</v>
      </c>
      <c r="Z886" s="111">
        <f>SUM(Audit[[#This Row],[Difference Loser]:[Difference Candidate 6]])</f>
        <v>-5</v>
      </c>
      <c r="AA886" s="111">
        <f>IF(Audit[[#This Row],[Times p Drawn - With Replacement]]&gt;0, IF(Audit[[#This Row],[Canceled Differences]]&lt;0, Audit[[#This Row],[Max Differences]]+ABS(Audit[[#This Row],[Canceled Differences]]), Audit[[#This Row],[Max Differences]]), 0)</f>
        <v>0</v>
      </c>
      <c r="AB886" s="111">
        <f>'Sampling Data'!P877</f>
        <v>5.5120039196472322E-4</v>
      </c>
      <c r="AC886" s="111">
        <f>IF(
      SUM(Audit[[#This Row],[Audit Losing Candidate]:[Audit Candidate 6]])
      &lt;&gt;0,
      (Audit[[#This Row],[Winning Candidate]]-Audit[[#This Row],[Losing Candidate]]-(Audit[[#This Row],[Audit Winning Candidate]]-Audit[[#This Row],[Audit Losing Candidate]]))/(Audit[[#Totals],[Winning Candidate]]-Audit[[#Totals],[Losing Candidate]]),
      0
)</f>
        <v>0</v>
      </c>
      <c r="AD8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6" s="111">
        <f>IF(Audit[[#This Row],[Max Relative Error (ep)]] = 0, 0, Audit[[#This Row],[Max Relative Error (ep)]]/Audit[[#This Row],[Error Bound (up) - Max. possible relative overstatement]])</f>
        <v>0</v>
      </c>
      <c r="AJ8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86" s="111">
        <f t="shared" si="13"/>
        <v>1</v>
      </c>
      <c r="AL886" s="111">
        <f>PRODUCT($AK$5:AK886)</f>
        <v>8.962823818226312E-2</v>
      </c>
      <c r="AM886" s="109">
        <f>1 - [K-M P Value]</f>
        <v>0.91037176181773694</v>
      </c>
      <c r="AN886" s="111" t="str">
        <f>IF(Audit[[#This Row],[K-M P Value]]&gt;1-'General Info'!$B$16,"Continue", "Stop")</f>
        <v>Stop</v>
      </c>
      <c r="AO886" s="110" t="b">
        <f>IF(Audit[[#This Row],[Status - Continue or stop audit]] = "Continue", TRUE, IF(AN885 = "Continue", TRUE, FALSE))</f>
        <v>0</v>
      </c>
      <c r="AP886" s="110"/>
    </row>
    <row r="887" spans="1:42" ht="15" hidden="1" customHeight="1">
      <c r="A887" s="111" t="str">
        <f>'Sampling Data'!W878</f>
        <v/>
      </c>
      <c r="B887" s="112" t="str">
        <f>'Sampling Data'!A878</f>
        <v>CLEVELAND -17-N - ABS</v>
      </c>
      <c r="C887" s="112">
        <f>'Sampling Data'!B878</f>
        <v>0</v>
      </c>
      <c r="D887" s="112">
        <f>'Sampling Data'!C878</f>
        <v>3</v>
      </c>
      <c r="E887" s="113">
        <f>'Sampling Data'!D878</f>
        <v>1</v>
      </c>
      <c r="F887" s="113">
        <f>'Sampling Data'!E878</f>
        <v>0</v>
      </c>
      <c r="G887" s="113">
        <f>'Sampling Data'!F878</f>
        <v>0</v>
      </c>
      <c r="H887" s="113">
        <f>'Sampling Data'!G878</f>
        <v>0</v>
      </c>
      <c r="I887" s="112">
        <f>'Sampling Data'!H878</f>
        <v>0</v>
      </c>
      <c r="J887" s="112">
        <f>'Sampling Data'!I878</f>
        <v>0</v>
      </c>
      <c r="K887" s="112">
        <f>'Sampling Data'!J878</f>
        <v>4</v>
      </c>
      <c r="L887" s="111">
        <f>'Sampling Data'!X878</f>
        <v>0</v>
      </c>
      <c r="M887" s="114"/>
      <c r="N887" s="114"/>
      <c r="O887" s="115"/>
      <c r="P887" s="115"/>
      <c r="Q887" s="116"/>
      <c r="R887" s="116"/>
      <c r="S887" s="111">
        <f>Audit[[#This Row],[Audit Losing Candidate]]-Audit[[#This Row],[Losing Candidate]]</f>
        <v>0</v>
      </c>
      <c r="T887" s="111">
        <f>Audit[[#This Row],[Audit Winning Candidate]]-Audit[[#This Row],[Winning Candidate]]</f>
        <v>-3</v>
      </c>
      <c r="U887" s="111">
        <f>Audit[[#This Row],[Audit Candidate 3]]-Audit[[#This Row],[Candidate 3]]</f>
        <v>-1</v>
      </c>
      <c r="V887" s="111">
        <f>Audit[[#This Row],[Audit Candidate 4]]-Audit[[#This Row],[Candidate 4]]</f>
        <v>0</v>
      </c>
      <c r="W887" s="111">
        <f>Audit[[#This Row],[Audit Candidate 5]]-Audit[[#This Row],[Candidate 5]]</f>
        <v>0</v>
      </c>
      <c r="X887" s="111">
        <f>Audit[[#This Row],[Audit Candidate 6]]-Audit[[#This Row],[Candidate 6]]</f>
        <v>0</v>
      </c>
      <c r="Y887" s="111">
        <f>SUMIF(Audit[[#This Row],[Difference Loser]:[Difference Candidate 6]], "&gt;0")</f>
        <v>0</v>
      </c>
      <c r="Z887" s="111">
        <f>SUM(Audit[[#This Row],[Difference Loser]:[Difference Candidate 6]])</f>
        <v>-4</v>
      </c>
      <c r="AA887" s="111">
        <f>IF(Audit[[#This Row],[Times p Drawn - With Replacement]]&gt;0, IF(Audit[[#This Row],[Canceled Differences]]&lt;0, Audit[[#This Row],[Max Differences]]+ABS(Audit[[#This Row],[Canceled Differences]]), Audit[[#This Row],[Max Differences]]), 0)</f>
        <v>0</v>
      </c>
      <c r="AB887" s="111">
        <f>'Sampling Data'!P878</f>
        <v>4.2871141597256246E-4</v>
      </c>
      <c r="AC887" s="111">
        <f>IF(
      SUM(Audit[[#This Row],[Audit Losing Candidate]:[Audit Candidate 6]])
      &lt;&gt;0,
      (Audit[[#This Row],[Winning Candidate]]-Audit[[#This Row],[Losing Candidate]]-(Audit[[#This Row],[Audit Winning Candidate]]-Audit[[#This Row],[Audit Losing Candidate]]))/(Audit[[#Totals],[Winning Candidate]]-Audit[[#Totals],[Losing Candidate]]),
      0
)</f>
        <v>0</v>
      </c>
      <c r="AD8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7" s="111">
        <f>IF(Audit[[#This Row],[Max Relative Error (ep)]] = 0, 0, Audit[[#This Row],[Max Relative Error (ep)]]/Audit[[#This Row],[Error Bound (up) - Max. possible relative overstatement]])</f>
        <v>0</v>
      </c>
      <c r="AJ8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87" s="111">
        <f t="shared" si="13"/>
        <v>1</v>
      </c>
      <c r="AL887" s="111">
        <f>PRODUCT($AK$5:AK887)</f>
        <v>8.962823818226312E-2</v>
      </c>
      <c r="AM887" s="109">
        <f>1 - [K-M P Value]</f>
        <v>0.91037176181773694</v>
      </c>
      <c r="AN887" s="111" t="str">
        <f>IF(Audit[[#This Row],[K-M P Value]]&gt;1-'General Info'!$B$16,"Continue", "Stop")</f>
        <v>Stop</v>
      </c>
      <c r="AO887" s="110" t="b">
        <f>IF(Audit[[#This Row],[Status - Continue or stop audit]] = "Continue", TRUE, IF(AN886 = "Continue", TRUE, FALSE))</f>
        <v>0</v>
      </c>
      <c r="AP887" s="110"/>
    </row>
    <row r="888" spans="1:42" ht="15" hidden="1" customHeight="1">
      <c r="A888" s="111" t="str">
        <f>'Sampling Data'!W879</f>
        <v/>
      </c>
      <c r="B888" s="112" t="str">
        <f>'Sampling Data'!A879</f>
        <v>CLEVELAND -18-A</v>
      </c>
      <c r="C888" s="112">
        <f>'Sampling Data'!B879</f>
        <v>7</v>
      </c>
      <c r="D888" s="112">
        <f>'Sampling Data'!C879</f>
        <v>10</v>
      </c>
      <c r="E888" s="113">
        <f>'Sampling Data'!D879</f>
        <v>3</v>
      </c>
      <c r="F888" s="113">
        <f>'Sampling Data'!E879</f>
        <v>2</v>
      </c>
      <c r="G888" s="113">
        <f>'Sampling Data'!F879</f>
        <v>0</v>
      </c>
      <c r="H888" s="113">
        <f>'Sampling Data'!G879</f>
        <v>0</v>
      </c>
      <c r="I888" s="112">
        <f>'Sampling Data'!H879</f>
        <v>0</v>
      </c>
      <c r="J888" s="112">
        <f>'Sampling Data'!I879</f>
        <v>1</v>
      </c>
      <c r="K888" s="112">
        <f>'Sampling Data'!J879</f>
        <v>23</v>
      </c>
      <c r="L888" s="111">
        <f>'Sampling Data'!X879</f>
        <v>0</v>
      </c>
      <c r="M888" s="114"/>
      <c r="N888" s="114"/>
      <c r="O888" s="115"/>
      <c r="P888" s="115"/>
      <c r="Q888" s="116"/>
      <c r="R888" s="116"/>
      <c r="S888" s="111">
        <f>Audit[[#This Row],[Audit Losing Candidate]]-Audit[[#This Row],[Losing Candidate]]</f>
        <v>-7</v>
      </c>
      <c r="T888" s="111">
        <f>Audit[[#This Row],[Audit Winning Candidate]]-Audit[[#This Row],[Winning Candidate]]</f>
        <v>-10</v>
      </c>
      <c r="U888" s="111">
        <f>Audit[[#This Row],[Audit Candidate 3]]-Audit[[#This Row],[Candidate 3]]</f>
        <v>-3</v>
      </c>
      <c r="V888" s="111">
        <f>Audit[[#This Row],[Audit Candidate 4]]-Audit[[#This Row],[Candidate 4]]</f>
        <v>-2</v>
      </c>
      <c r="W888" s="111">
        <f>Audit[[#This Row],[Audit Candidate 5]]-Audit[[#This Row],[Candidate 5]]</f>
        <v>0</v>
      </c>
      <c r="X888" s="111">
        <f>Audit[[#This Row],[Audit Candidate 6]]-Audit[[#This Row],[Candidate 6]]</f>
        <v>0</v>
      </c>
      <c r="Y888" s="111">
        <f>SUMIF(Audit[[#This Row],[Difference Loser]:[Difference Candidate 6]], "&gt;0")</f>
        <v>0</v>
      </c>
      <c r="Z888" s="111">
        <f>SUM(Audit[[#This Row],[Difference Loser]:[Difference Candidate 6]])</f>
        <v>-22</v>
      </c>
      <c r="AA888" s="111">
        <f>IF(Audit[[#This Row],[Times p Drawn - With Replacement]]&gt;0, IF(Audit[[#This Row],[Canceled Differences]]&lt;0, Audit[[#This Row],[Max Differences]]+ABS(Audit[[#This Row],[Canceled Differences]]), Audit[[#This Row],[Max Differences]]), 0)</f>
        <v>0</v>
      </c>
      <c r="AB888" s="111">
        <f>'Sampling Data'!P879</f>
        <v>1.5923566878980893E-3</v>
      </c>
      <c r="AC888" s="111">
        <f>IF(
      SUM(Audit[[#This Row],[Audit Losing Candidate]:[Audit Candidate 6]])
      &lt;&gt;0,
      (Audit[[#This Row],[Winning Candidate]]-Audit[[#This Row],[Losing Candidate]]-(Audit[[#This Row],[Audit Winning Candidate]]-Audit[[#This Row],[Audit Losing Candidate]]))/(Audit[[#Totals],[Winning Candidate]]-Audit[[#Totals],[Losing Candidate]]),
      0
)</f>
        <v>0</v>
      </c>
      <c r="AD8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8" s="111">
        <f>IF(Audit[[#This Row],[Max Relative Error (ep)]] = 0, 0, Audit[[#This Row],[Max Relative Error (ep)]]/Audit[[#This Row],[Error Bound (up) - Max. possible relative overstatement]])</f>
        <v>0</v>
      </c>
      <c r="AJ8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88" s="111">
        <f t="shared" si="13"/>
        <v>1</v>
      </c>
      <c r="AL888" s="111">
        <f>PRODUCT($AK$5:AK888)</f>
        <v>8.962823818226312E-2</v>
      </c>
      <c r="AM888" s="109">
        <f>1 - [K-M P Value]</f>
        <v>0.91037176181773694</v>
      </c>
      <c r="AN888" s="111" t="str">
        <f>IF(Audit[[#This Row],[K-M P Value]]&gt;1-'General Info'!$B$16,"Continue", "Stop")</f>
        <v>Stop</v>
      </c>
      <c r="AO888" s="110" t="b">
        <f>IF(Audit[[#This Row],[Status - Continue or stop audit]] = "Continue", TRUE, IF(AN887 = "Continue", TRUE, FALSE))</f>
        <v>0</v>
      </c>
      <c r="AP888" s="110"/>
    </row>
    <row r="889" spans="1:42" ht="15" hidden="1" customHeight="1">
      <c r="A889" s="111" t="str">
        <f>'Sampling Data'!W880</f>
        <v/>
      </c>
      <c r="B889" s="112" t="str">
        <f>'Sampling Data'!A880</f>
        <v>CLEVELAND -18-A - ABS</v>
      </c>
      <c r="C889" s="112">
        <f>'Sampling Data'!B880</f>
        <v>8</v>
      </c>
      <c r="D889" s="112">
        <f>'Sampling Data'!C880</f>
        <v>1</v>
      </c>
      <c r="E889" s="113">
        <f>'Sampling Data'!D880</f>
        <v>0</v>
      </c>
      <c r="F889" s="113">
        <f>'Sampling Data'!E880</f>
        <v>0</v>
      </c>
      <c r="G889" s="113">
        <f>'Sampling Data'!F880</f>
        <v>0</v>
      </c>
      <c r="H889" s="113">
        <f>'Sampling Data'!G880</f>
        <v>0</v>
      </c>
      <c r="I889" s="112">
        <f>'Sampling Data'!H880</f>
        <v>0</v>
      </c>
      <c r="J889" s="112">
        <f>'Sampling Data'!I880</f>
        <v>0</v>
      </c>
      <c r="K889" s="112">
        <f>'Sampling Data'!J880</f>
        <v>9</v>
      </c>
      <c r="L889" s="111">
        <f>'Sampling Data'!X880</f>
        <v>0</v>
      </c>
      <c r="M889" s="114"/>
      <c r="N889" s="114"/>
      <c r="O889" s="115"/>
      <c r="P889" s="115"/>
      <c r="Q889" s="116"/>
      <c r="R889" s="116"/>
      <c r="S889" s="111">
        <f>Audit[[#This Row],[Audit Losing Candidate]]-Audit[[#This Row],[Losing Candidate]]</f>
        <v>-8</v>
      </c>
      <c r="T889" s="111">
        <f>Audit[[#This Row],[Audit Winning Candidate]]-Audit[[#This Row],[Winning Candidate]]</f>
        <v>-1</v>
      </c>
      <c r="U889" s="111">
        <f>Audit[[#This Row],[Audit Candidate 3]]-Audit[[#This Row],[Candidate 3]]</f>
        <v>0</v>
      </c>
      <c r="V889" s="111">
        <f>Audit[[#This Row],[Audit Candidate 4]]-Audit[[#This Row],[Candidate 4]]</f>
        <v>0</v>
      </c>
      <c r="W889" s="111">
        <f>Audit[[#This Row],[Audit Candidate 5]]-Audit[[#This Row],[Candidate 5]]</f>
        <v>0</v>
      </c>
      <c r="X889" s="111">
        <f>Audit[[#This Row],[Audit Candidate 6]]-Audit[[#This Row],[Candidate 6]]</f>
        <v>0</v>
      </c>
      <c r="Y889" s="111">
        <f>SUMIF(Audit[[#This Row],[Difference Loser]:[Difference Candidate 6]], "&gt;0")</f>
        <v>0</v>
      </c>
      <c r="Z889" s="111">
        <f>SUM(Audit[[#This Row],[Difference Loser]:[Difference Candidate 6]])</f>
        <v>-9</v>
      </c>
      <c r="AA889" s="111">
        <f>IF(Audit[[#This Row],[Times p Drawn - With Replacement]]&gt;0, IF(Audit[[#This Row],[Canceled Differences]]&lt;0, Audit[[#This Row],[Max Differences]]+ABS(Audit[[#This Row],[Canceled Differences]]), Audit[[#This Row],[Max Differences]]), 0)</f>
        <v>0</v>
      </c>
      <c r="AB889" s="111">
        <f>'Sampling Data'!P880</f>
        <v>3.2261186566441915E-4</v>
      </c>
      <c r="AC889" s="111">
        <f>IF(
      SUM(Audit[[#This Row],[Audit Losing Candidate]:[Audit Candidate 6]])
      &lt;&gt;0,
      (Audit[[#This Row],[Winning Candidate]]-Audit[[#This Row],[Losing Candidate]]-(Audit[[#This Row],[Audit Winning Candidate]]-Audit[[#This Row],[Audit Losing Candidate]]))/(Audit[[#Totals],[Winning Candidate]]-Audit[[#Totals],[Losing Candidate]]),
      0
)</f>
        <v>0</v>
      </c>
      <c r="AD8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9" s="111">
        <f>IF(Audit[[#This Row],[Max Relative Error (ep)]] = 0, 0, Audit[[#This Row],[Max Relative Error (ep)]]/Audit[[#This Row],[Error Bound (up) - Max. possible relative overstatement]])</f>
        <v>0</v>
      </c>
      <c r="AJ8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89" s="111">
        <f t="shared" si="13"/>
        <v>1</v>
      </c>
      <c r="AL889" s="111">
        <f>PRODUCT($AK$5:AK889)</f>
        <v>8.962823818226312E-2</v>
      </c>
      <c r="AM889" s="109">
        <f>1 - [K-M P Value]</f>
        <v>0.91037176181773694</v>
      </c>
      <c r="AN889" s="111" t="str">
        <f>IF(Audit[[#This Row],[K-M P Value]]&gt;1-'General Info'!$B$16,"Continue", "Stop")</f>
        <v>Stop</v>
      </c>
      <c r="AO889" s="110" t="b">
        <f>IF(Audit[[#This Row],[Status - Continue or stop audit]] = "Continue", TRUE, IF(AN888 = "Continue", TRUE, FALSE))</f>
        <v>0</v>
      </c>
      <c r="AP889" s="110"/>
    </row>
    <row r="890" spans="1:42" ht="15" hidden="1" customHeight="1">
      <c r="A890" s="111" t="str">
        <f>'Sampling Data'!W881</f>
        <v/>
      </c>
      <c r="B890" s="112" t="str">
        <f>'Sampling Data'!A881</f>
        <v>CLEVELAND -18-B</v>
      </c>
      <c r="C890" s="112">
        <f>'Sampling Data'!B881</f>
        <v>4</v>
      </c>
      <c r="D890" s="112">
        <f>'Sampling Data'!C881</f>
        <v>12</v>
      </c>
      <c r="E890" s="113">
        <f>'Sampling Data'!D881</f>
        <v>5</v>
      </c>
      <c r="F890" s="113">
        <f>'Sampling Data'!E881</f>
        <v>2</v>
      </c>
      <c r="G890" s="113">
        <f>'Sampling Data'!F881</f>
        <v>0</v>
      </c>
      <c r="H890" s="113">
        <f>'Sampling Data'!G881</f>
        <v>1</v>
      </c>
      <c r="I890" s="112">
        <f>'Sampling Data'!H881</f>
        <v>0</v>
      </c>
      <c r="J890" s="112">
        <f>'Sampling Data'!I881</f>
        <v>2</v>
      </c>
      <c r="K890" s="112">
        <f>'Sampling Data'!J881</f>
        <v>26</v>
      </c>
      <c r="L890" s="111">
        <f>'Sampling Data'!X881</f>
        <v>0</v>
      </c>
      <c r="M890" s="114"/>
      <c r="N890" s="114"/>
      <c r="O890" s="115"/>
      <c r="P890" s="115"/>
      <c r="Q890" s="116"/>
      <c r="R890" s="116"/>
      <c r="S890" s="111">
        <f>Audit[[#This Row],[Audit Losing Candidate]]-Audit[[#This Row],[Losing Candidate]]</f>
        <v>-4</v>
      </c>
      <c r="T890" s="111">
        <f>Audit[[#This Row],[Audit Winning Candidate]]-Audit[[#This Row],[Winning Candidate]]</f>
        <v>-12</v>
      </c>
      <c r="U890" s="111">
        <f>Audit[[#This Row],[Audit Candidate 3]]-Audit[[#This Row],[Candidate 3]]</f>
        <v>-5</v>
      </c>
      <c r="V890" s="111">
        <f>Audit[[#This Row],[Audit Candidate 4]]-Audit[[#This Row],[Candidate 4]]</f>
        <v>-2</v>
      </c>
      <c r="W890" s="111">
        <f>Audit[[#This Row],[Audit Candidate 5]]-Audit[[#This Row],[Candidate 5]]</f>
        <v>0</v>
      </c>
      <c r="X890" s="111">
        <f>Audit[[#This Row],[Audit Candidate 6]]-Audit[[#This Row],[Candidate 6]]</f>
        <v>-1</v>
      </c>
      <c r="Y890" s="111">
        <f>SUMIF(Audit[[#This Row],[Difference Loser]:[Difference Candidate 6]], "&gt;0")</f>
        <v>0</v>
      </c>
      <c r="Z890" s="111">
        <f>SUM(Audit[[#This Row],[Difference Loser]:[Difference Candidate 6]])</f>
        <v>-24</v>
      </c>
      <c r="AA890" s="111">
        <f>IF(Audit[[#This Row],[Times p Drawn - With Replacement]]&gt;0, IF(Audit[[#This Row],[Canceled Differences]]&lt;0, Audit[[#This Row],[Max Differences]]+ABS(Audit[[#This Row],[Canceled Differences]]), Audit[[#This Row],[Max Differences]]), 0)</f>
        <v>0</v>
      </c>
      <c r="AB890" s="111">
        <f>'Sampling Data'!P881</f>
        <v>2.0823125918667321E-3</v>
      </c>
      <c r="AC890" s="111">
        <f>IF(
      SUM(Audit[[#This Row],[Audit Losing Candidate]:[Audit Candidate 6]])
      &lt;&gt;0,
      (Audit[[#This Row],[Winning Candidate]]-Audit[[#This Row],[Losing Candidate]]-(Audit[[#This Row],[Audit Winning Candidate]]-Audit[[#This Row],[Audit Losing Candidate]]))/(Audit[[#Totals],[Winning Candidate]]-Audit[[#Totals],[Losing Candidate]]),
      0
)</f>
        <v>0</v>
      </c>
      <c r="AD8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0" s="111">
        <f>IF(Audit[[#This Row],[Max Relative Error (ep)]] = 0, 0, Audit[[#This Row],[Max Relative Error (ep)]]/Audit[[#This Row],[Error Bound (up) - Max. possible relative overstatement]])</f>
        <v>0</v>
      </c>
      <c r="AJ8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90" s="111">
        <f t="shared" si="13"/>
        <v>1</v>
      </c>
      <c r="AL890" s="111">
        <f>PRODUCT($AK$5:AK890)</f>
        <v>8.962823818226312E-2</v>
      </c>
      <c r="AM890" s="109">
        <f>1 - [K-M P Value]</f>
        <v>0.91037176181773694</v>
      </c>
      <c r="AN890" s="111" t="str">
        <f>IF(Audit[[#This Row],[K-M P Value]]&gt;1-'General Info'!$B$16,"Continue", "Stop")</f>
        <v>Stop</v>
      </c>
      <c r="AO890" s="110" t="b">
        <f>IF(Audit[[#This Row],[Status - Continue or stop audit]] = "Continue", TRUE, IF(AN889 = "Continue", TRUE, FALSE))</f>
        <v>0</v>
      </c>
      <c r="AP890" s="110"/>
    </row>
    <row r="891" spans="1:42" ht="15" hidden="1" customHeight="1">
      <c r="A891" s="111" t="str">
        <f>'Sampling Data'!W882</f>
        <v/>
      </c>
      <c r="B891" s="112" t="str">
        <f>'Sampling Data'!A882</f>
        <v>CLEVELAND -18-B - ABS</v>
      </c>
      <c r="C891" s="112">
        <f>'Sampling Data'!B882</f>
        <v>4</v>
      </c>
      <c r="D891" s="112">
        <f>'Sampling Data'!C882</f>
        <v>0</v>
      </c>
      <c r="E891" s="113">
        <f>'Sampling Data'!D882</f>
        <v>0</v>
      </c>
      <c r="F891" s="113">
        <f>'Sampling Data'!E882</f>
        <v>1</v>
      </c>
      <c r="G891" s="113">
        <f>'Sampling Data'!F882</f>
        <v>0</v>
      </c>
      <c r="H891" s="113">
        <f>'Sampling Data'!G882</f>
        <v>0</v>
      </c>
      <c r="I891" s="112">
        <f>'Sampling Data'!H882</f>
        <v>0</v>
      </c>
      <c r="J891" s="112">
        <f>'Sampling Data'!I882</f>
        <v>0</v>
      </c>
      <c r="K891" s="112">
        <f>'Sampling Data'!J882</f>
        <v>5</v>
      </c>
      <c r="L891" s="111">
        <f>'Sampling Data'!X882</f>
        <v>0</v>
      </c>
      <c r="M891" s="114"/>
      <c r="N891" s="114"/>
      <c r="O891" s="115"/>
      <c r="P891" s="115"/>
      <c r="Q891" s="116"/>
      <c r="R891" s="116"/>
      <c r="S891" s="111">
        <f>Audit[[#This Row],[Audit Losing Candidate]]-Audit[[#This Row],[Losing Candidate]]</f>
        <v>-4</v>
      </c>
      <c r="T891" s="111">
        <f>Audit[[#This Row],[Audit Winning Candidate]]-Audit[[#This Row],[Winning Candidate]]</f>
        <v>0</v>
      </c>
      <c r="U891" s="111">
        <f>Audit[[#This Row],[Audit Candidate 3]]-Audit[[#This Row],[Candidate 3]]</f>
        <v>0</v>
      </c>
      <c r="V891" s="111">
        <f>Audit[[#This Row],[Audit Candidate 4]]-Audit[[#This Row],[Candidate 4]]</f>
        <v>-1</v>
      </c>
      <c r="W891" s="111">
        <f>Audit[[#This Row],[Audit Candidate 5]]-Audit[[#This Row],[Candidate 5]]</f>
        <v>0</v>
      </c>
      <c r="X891" s="111">
        <f>Audit[[#This Row],[Audit Candidate 6]]-Audit[[#This Row],[Candidate 6]]</f>
        <v>0</v>
      </c>
      <c r="Y891" s="111">
        <f>SUMIF(Audit[[#This Row],[Difference Loser]:[Difference Candidate 6]], "&gt;0")</f>
        <v>0</v>
      </c>
      <c r="Z891" s="111">
        <f>SUM(Audit[[#This Row],[Difference Loser]:[Difference Candidate 6]])</f>
        <v>-5</v>
      </c>
      <c r="AA891" s="111">
        <f>IF(Audit[[#This Row],[Times p Drawn - With Replacement]]&gt;0, IF(Audit[[#This Row],[Canceled Differences]]&lt;0, Audit[[#This Row],[Max Differences]]+ABS(Audit[[#This Row],[Canceled Differences]]), Audit[[#This Row],[Max Differences]]), 0)</f>
        <v>0</v>
      </c>
      <c r="AB891" s="111">
        <f>'Sampling Data'!P882</f>
        <v>1.6130593283220958E-4</v>
      </c>
      <c r="AC891" s="111">
        <f>IF(
      SUM(Audit[[#This Row],[Audit Losing Candidate]:[Audit Candidate 6]])
      &lt;&gt;0,
      (Audit[[#This Row],[Winning Candidate]]-Audit[[#This Row],[Losing Candidate]]-(Audit[[#This Row],[Audit Winning Candidate]]-Audit[[#This Row],[Audit Losing Candidate]]))/(Audit[[#Totals],[Winning Candidate]]-Audit[[#Totals],[Losing Candidate]]),
      0
)</f>
        <v>0</v>
      </c>
      <c r="AD8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1" s="111">
        <f>IF(Audit[[#This Row],[Max Relative Error (ep)]] = 0, 0, Audit[[#This Row],[Max Relative Error (ep)]]/Audit[[#This Row],[Error Bound (up) - Max. possible relative overstatement]])</f>
        <v>0</v>
      </c>
      <c r="AJ8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91" s="111">
        <f t="shared" si="13"/>
        <v>1</v>
      </c>
      <c r="AL891" s="111">
        <f>PRODUCT($AK$5:AK891)</f>
        <v>8.962823818226312E-2</v>
      </c>
      <c r="AM891" s="109">
        <f>1 - [K-M P Value]</f>
        <v>0.91037176181773694</v>
      </c>
      <c r="AN891" s="111" t="str">
        <f>IF(Audit[[#This Row],[K-M P Value]]&gt;1-'General Info'!$B$16,"Continue", "Stop")</f>
        <v>Stop</v>
      </c>
      <c r="AO891" s="110" t="b">
        <f>IF(Audit[[#This Row],[Status - Continue or stop audit]] = "Continue", TRUE, IF(AN890 = "Continue", TRUE, FALSE))</f>
        <v>0</v>
      </c>
      <c r="AP891" s="110"/>
    </row>
    <row r="892" spans="1:42" ht="15" hidden="1" customHeight="1">
      <c r="A892" s="111" t="str">
        <f>'Sampling Data'!W883</f>
        <v/>
      </c>
      <c r="B892" s="112" t="str">
        <f>'Sampling Data'!A883</f>
        <v>CLEVELAND -18-C</v>
      </c>
      <c r="C892" s="112">
        <f>'Sampling Data'!B883</f>
        <v>12</v>
      </c>
      <c r="D892" s="112">
        <f>'Sampling Data'!C883</f>
        <v>14</v>
      </c>
      <c r="E892" s="113">
        <f>'Sampling Data'!D883</f>
        <v>13</v>
      </c>
      <c r="F892" s="113">
        <f>'Sampling Data'!E883</f>
        <v>4</v>
      </c>
      <c r="G892" s="113">
        <f>'Sampling Data'!F883</f>
        <v>0</v>
      </c>
      <c r="H892" s="113">
        <f>'Sampling Data'!G883</f>
        <v>0</v>
      </c>
      <c r="I892" s="112">
        <f>'Sampling Data'!H883</f>
        <v>0</v>
      </c>
      <c r="J892" s="112">
        <f>'Sampling Data'!I883</f>
        <v>0</v>
      </c>
      <c r="K892" s="112">
        <f>'Sampling Data'!J883</f>
        <v>43</v>
      </c>
      <c r="L892" s="111">
        <f>'Sampling Data'!X883</f>
        <v>0</v>
      </c>
      <c r="M892" s="114"/>
      <c r="N892" s="114"/>
      <c r="O892" s="115"/>
      <c r="P892" s="115"/>
      <c r="Q892" s="116"/>
      <c r="R892" s="116"/>
      <c r="S892" s="111">
        <f>Audit[[#This Row],[Audit Losing Candidate]]-Audit[[#This Row],[Losing Candidate]]</f>
        <v>-12</v>
      </c>
      <c r="T892" s="111">
        <f>Audit[[#This Row],[Audit Winning Candidate]]-Audit[[#This Row],[Winning Candidate]]</f>
        <v>-14</v>
      </c>
      <c r="U892" s="111">
        <f>Audit[[#This Row],[Audit Candidate 3]]-Audit[[#This Row],[Candidate 3]]</f>
        <v>-13</v>
      </c>
      <c r="V892" s="111">
        <f>Audit[[#This Row],[Audit Candidate 4]]-Audit[[#This Row],[Candidate 4]]</f>
        <v>-4</v>
      </c>
      <c r="W892" s="111">
        <f>Audit[[#This Row],[Audit Candidate 5]]-Audit[[#This Row],[Candidate 5]]</f>
        <v>0</v>
      </c>
      <c r="X892" s="111">
        <f>Audit[[#This Row],[Audit Candidate 6]]-Audit[[#This Row],[Candidate 6]]</f>
        <v>0</v>
      </c>
      <c r="Y892" s="111">
        <f>SUMIF(Audit[[#This Row],[Difference Loser]:[Difference Candidate 6]], "&gt;0")</f>
        <v>0</v>
      </c>
      <c r="Z892" s="111">
        <f>SUM(Audit[[#This Row],[Difference Loser]:[Difference Candidate 6]])</f>
        <v>-43</v>
      </c>
      <c r="AA892" s="111">
        <f>IF(Audit[[#This Row],[Times p Drawn - With Replacement]]&gt;0, IF(Audit[[#This Row],[Canceled Differences]]&lt;0, Audit[[#This Row],[Max Differences]]+ABS(Audit[[#This Row],[Canceled Differences]]), Audit[[#This Row],[Max Differences]]), 0)</f>
        <v>0</v>
      </c>
      <c r="AB892" s="111">
        <f>'Sampling Data'!P883</f>
        <v>2.7560019598236157E-3</v>
      </c>
      <c r="AC892" s="111">
        <f>IF(
      SUM(Audit[[#This Row],[Audit Losing Candidate]:[Audit Candidate 6]])
      &lt;&gt;0,
      (Audit[[#This Row],[Winning Candidate]]-Audit[[#This Row],[Losing Candidate]]-(Audit[[#This Row],[Audit Winning Candidate]]-Audit[[#This Row],[Audit Losing Candidate]]))/(Audit[[#Totals],[Winning Candidate]]-Audit[[#Totals],[Losing Candidate]]),
      0
)</f>
        <v>0</v>
      </c>
      <c r="AD8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2" s="111">
        <f>IF(Audit[[#This Row],[Max Relative Error (ep)]] = 0, 0, Audit[[#This Row],[Max Relative Error (ep)]]/Audit[[#This Row],[Error Bound (up) - Max. possible relative overstatement]])</f>
        <v>0</v>
      </c>
      <c r="AJ8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92" s="111">
        <f t="shared" si="13"/>
        <v>1</v>
      </c>
      <c r="AL892" s="111">
        <f>PRODUCT($AK$5:AK892)</f>
        <v>8.962823818226312E-2</v>
      </c>
      <c r="AM892" s="109">
        <f>1 - [K-M P Value]</f>
        <v>0.91037176181773694</v>
      </c>
      <c r="AN892" s="111" t="str">
        <f>IF(Audit[[#This Row],[K-M P Value]]&gt;1-'General Info'!$B$16,"Continue", "Stop")</f>
        <v>Stop</v>
      </c>
      <c r="AO892" s="110" t="b">
        <f>IF(Audit[[#This Row],[Status - Continue or stop audit]] = "Continue", TRUE, IF(AN891 = "Continue", TRUE, FALSE))</f>
        <v>0</v>
      </c>
      <c r="AP892" s="110"/>
    </row>
    <row r="893" spans="1:42" ht="15" hidden="1" customHeight="1">
      <c r="A893" s="111" t="str">
        <f>'Sampling Data'!W884</f>
        <v/>
      </c>
      <c r="B893" s="112" t="str">
        <f>'Sampling Data'!A884</f>
        <v>CLEVELAND -18-C - ABS</v>
      </c>
      <c r="C893" s="112">
        <f>'Sampling Data'!B884</f>
        <v>4</v>
      </c>
      <c r="D893" s="112">
        <f>'Sampling Data'!C884</f>
        <v>7</v>
      </c>
      <c r="E893" s="113">
        <f>'Sampling Data'!D884</f>
        <v>3</v>
      </c>
      <c r="F893" s="113">
        <f>'Sampling Data'!E884</f>
        <v>1</v>
      </c>
      <c r="G893" s="113">
        <f>'Sampling Data'!F884</f>
        <v>0</v>
      </c>
      <c r="H893" s="113">
        <f>'Sampling Data'!G884</f>
        <v>0</v>
      </c>
      <c r="I893" s="112">
        <f>'Sampling Data'!H884</f>
        <v>0</v>
      </c>
      <c r="J893" s="112">
        <f>'Sampling Data'!I884</f>
        <v>2</v>
      </c>
      <c r="K893" s="112">
        <f>'Sampling Data'!J884</f>
        <v>17</v>
      </c>
      <c r="L893" s="111">
        <f>'Sampling Data'!X884</f>
        <v>0</v>
      </c>
      <c r="M893" s="114"/>
      <c r="N893" s="114"/>
      <c r="O893" s="115"/>
      <c r="P893" s="115"/>
      <c r="Q893" s="116"/>
      <c r="R893" s="116"/>
      <c r="S893" s="111">
        <f>Audit[[#This Row],[Audit Losing Candidate]]-Audit[[#This Row],[Losing Candidate]]</f>
        <v>-4</v>
      </c>
      <c r="T893" s="111">
        <f>Audit[[#This Row],[Audit Winning Candidate]]-Audit[[#This Row],[Winning Candidate]]</f>
        <v>-7</v>
      </c>
      <c r="U893" s="111">
        <f>Audit[[#This Row],[Audit Candidate 3]]-Audit[[#This Row],[Candidate 3]]</f>
        <v>-3</v>
      </c>
      <c r="V893" s="111">
        <f>Audit[[#This Row],[Audit Candidate 4]]-Audit[[#This Row],[Candidate 4]]</f>
        <v>-1</v>
      </c>
      <c r="W893" s="111">
        <f>Audit[[#This Row],[Audit Candidate 5]]-Audit[[#This Row],[Candidate 5]]</f>
        <v>0</v>
      </c>
      <c r="X893" s="111">
        <f>Audit[[#This Row],[Audit Candidate 6]]-Audit[[#This Row],[Candidate 6]]</f>
        <v>0</v>
      </c>
      <c r="Y893" s="111">
        <f>SUMIF(Audit[[#This Row],[Difference Loser]:[Difference Candidate 6]], "&gt;0")</f>
        <v>0</v>
      </c>
      <c r="Z893" s="111">
        <f>SUM(Audit[[#This Row],[Difference Loser]:[Difference Candidate 6]])</f>
        <v>-15</v>
      </c>
      <c r="AA893" s="111">
        <f>IF(Audit[[#This Row],[Times p Drawn - With Replacement]]&gt;0, IF(Audit[[#This Row],[Canceled Differences]]&lt;0, Audit[[#This Row],[Max Differences]]+ABS(Audit[[#This Row],[Canceled Differences]]), Audit[[#This Row],[Max Differences]]), 0)</f>
        <v>0</v>
      </c>
      <c r="AB893" s="111">
        <f>'Sampling Data'!P884</f>
        <v>1.224889759921607E-3</v>
      </c>
      <c r="AC893" s="111">
        <f>IF(
      SUM(Audit[[#This Row],[Audit Losing Candidate]:[Audit Candidate 6]])
      &lt;&gt;0,
      (Audit[[#This Row],[Winning Candidate]]-Audit[[#This Row],[Losing Candidate]]-(Audit[[#This Row],[Audit Winning Candidate]]-Audit[[#This Row],[Audit Losing Candidate]]))/(Audit[[#Totals],[Winning Candidate]]-Audit[[#Totals],[Losing Candidate]]),
      0
)</f>
        <v>0</v>
      </c>
      <c r="AD8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3" s="111">
        <f>IF(Audit[[#This Row],[Max Relative Error (ep)]] = 0, 0, Audit[[#This Row],[Max Relative Error (ep)]]/Audit[[#This Row],[Error Bound (up) - Max. possible relative overstatement]])</f>
        <v>0</v>
      </c>
      <c r="AJ8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93" s="111">
        <f t="shared" si="13"/>
        <v>1</v>
      </c>
      <c r="AL893" s="111">
        <f>PRODUCT($AK$5:AK893)</f>
        <v>8.962823818226312E-2</v>
      </c>
      <c r="AM893" s="109">
        <f>1 - [K-M P Value]</f>
        <v>0.91037176181773694</v>
      </c>
      <c r="AN893" s="111" t="str">
        <f>IF(Audit[[#This Row],[K-M P Value]]&gt;1-'General Info'!$B$16,"Continue", "Stop")</f>
        <v>Stop</v>
      </c>
      <c r="AO893" s="110" t="b">
        <f>IF(Audit[[#This Row],[Status - Continue or stop audit]] = "Continue", TRUE, IF(AN892 = "Continue", TRUE, FALSE))</f>
        <v>0</v>
      </c>
      <c r="AP893" s="110"/>
    </row>
    <row r="894" spans="1:42" ht="15" hidden="1" customHeight="1">
      <c r="A894" s="111" t="str">
        <f>'Sampling Data'!W885</f>
        <v/>
      </c>
      <c r="B894" s="112" t="str">
        <f>'Sampling Data'!A885</f>
        <v>CLEVELAND -18-D</v>
      </c>
      <c r="C894" s="112">
        <f>'Sampling Data'!B885</f>
        <v>22</v>
      </c>
      <c r="D894" s="112">
        <f>'Sampling Data'!C885</f>
        <v>17</v>
      </c>
      <c r="E894" s="113">
        <f>'Sampling Data'!D885</f>
        <v>10</v>
      </c>
      <c r="F894" s="113">
        <f>'Sampling Data'!E885</f>
        <v>3</v>
      </c>
      <c r="G894" s="113">
        <f>'Sampling Data'!F885</f>
        <v>0</v>
      </c>
      <c r="H894" s="113">
        <f>'Sampling Data'!G885</f>
        <v>0</v>
      </c>
      <c r="I894" s="112">
        <f>'Sampling Data'!H885</f>
        <v>0</v>
      </c>
      <c r="J894" s="112">
        <f>'Sampling Data'!I885</f>
        <v>0</v>
      </c>
      <c r="K894" s="112">
        <f>'Sampling Data'!J885</f>
        <v>52</v>
      </c>
      <c r="L894" s="111">
        <f>'Sampling Data'!X885</f>
        <v>0</v>
      </c>
      <c r="M894" s="114"/>
      <c r="N894" s="114"/>
      <c r="O894" s="115"/>
      <c r="P894" s="115"/>
      <c r="Q894" s="116"/>
      <c r="R894" s="116"/>
      <c r="S894" s="111">
        <f>Audit[[#This Row],[Audit Losing Candidate]]-Audit[[#This Row],[Losing Candidate]]</f>
        <v>-22</v>
      </c>
      <c r="T894" s="111">
        <f>Audit[[#This Row],[Audit Winning Candidate]]-Audit[[#This Row],[Winning Candidate]]</f>
        <v>-17</v>
      </c>
      <c r="U894" s="111">
        <f>Audit[[#This Row],[Audit Candidate 3]]-Audit[[#This Row],[Candidate 3]]</f>
        <v>-10</v>
      </c>
      <c r="V894" s="111">
        <f>Audit[[#This Row],[Audit Candidate 4]]-Audit[[#This Row],[Candidate 4]]</f>
        <v>-3</v>
      </c>
      <c r="W894" s="111">
        <f>Audit[[#This Row],[Audit Candidate 5]]-Audit[[#This Row],[Candidate 5]]</f>
        <v>0</v>
      </c>
      <c r="X894" s="111">
        <f>Audit[[#This Row],[Audit Candidate 6]]-Audit[[#This Row],[Candidate 6]]</f>
        <v>0</v>
      </c>
      <c r="Y894" s="111">
        <f>SUMIF(Audit[[#This Row],[Difference Loser]:[Difference Candidate 6]], "&gt;0")</f>
        <v>0</v>
      </c>
      <c r="Z894" s="111">
        <f>SUM(Audit[[#This Row],[Difference Loser]:[Difference Candidate 6]])</f>
        <v>-52</v>
      </c>
      <c r="AA894" s="111">
        <f>IF(Audit[[#This Row],[Times p Drawn - With Replacement]]&gt;0, IF(Audit[[#This Row],[Canceled Differences]]&lt;0, Audit[[#This Row],[Max Differences]]+ABS(Audit[[#This Row],[Canceled Differences]]), Audit[[#This Row],[Max Differences]]), 0)</f>
        <v>0</v>
      </c>
      <c r="AB894" s="111">
        <f>'Sampling Data'!P885</f>
        <v>2.8784909358157765E-3</v>
      </c>
      <c r="AC894" s="111">
        <f>IF(
      SUM(Audit[[#This Row],[Audit Losing Candidate]:[Audit Candidate 6]])
      &lt;&gt;0,
      (Audit[[#This Row],[Winning Candidate]]-Audit[[#This Row],[Losing Candidate]]-(Audit[[#This Row],[Audit Winning Candidate]]-Audit[[#This Row],[Audit Losing Candidate]]))/(Audit[[#Totals],[Winning Candidate]]-Audit[[#Totals],[Losing Candidate]]),
      0
)</f>
        <v>0</v>
      </c>
      <c r="AD8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4" s="111">
        <f>IF(Audit[[#This Row],[Max Relative Error (ep)]] = 0, 0, Audit[[#This Row],[Max Relative Error (ep)]]/Audit[[#This Row],[Error Bound (up) - Max. possible relative overstatement]])</f>
        <v>0</v>
      </c>
      <c r="AJ8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94" s="111">
        <f t="shared" si="13"/>
        <v>1</v>
      </c>
      <c r="AL894" s="111">
        <f>PRODUCT($AK$5:AK894)</f>
        <v>8.962823818226312E-2</v>
      </c>
      <c r="AM894" s="109">
        <f>1 - [K-M P Value]</f>
        <v>0.91037176181773694</v>
      </c>
      <c r="AN894" s="111" t="str">
        <f>IF(Audit[[#This Row],[K-M P Value]]&gt;1-'General Info'!$B$16,"Continue", "Stop")</f>
        <v>Stop</v>
      </c>
      <c r="AO894" s="110" t="b">
        <f>IF(Audit[[#This Row],[Status - Continue or stop audit]] = "Continue", TRUE, IF(AN893 = "Continue", TRUE, FALSE))</f>
        <v>0</v>
      </c>
      <c r="AP894" s="110"/>
    </row>
    <row r="895" spans="1:42" ht="15" hidden="1" customHeight="1">
      <c r="A895" s="111" t="str">
        <f>'Sampling Data'!W886</f>
        <v/>
      </c>
      <c r="B895" s="112" t="str">
        <f>'Sampling Data'!A886</f>
        <v>CLEVELAND -18-D - ABS</v>
      </c>
      <c r="C895" s="112">
        <f>'Sampling Data'!B886</f>
        <v>4</v>
      </c>
      <c r="D895" s="112">
        <f>'Sampling Data'!C886</f>
        <v>9</v>
      </c>
      <c r="E895" s="113">
        <f>'Sampling Data'!D886</f>
        <v>1</v>
      </c>
      <c r="F895" s="113">
        <f>'Sampling Data'!E886</f>
        <v>2</v>
      </c>
      <c r="G895" s="113">
        <f>'Sampling Data'!F886</f>
        <v>0</v>
      </c>
      <c r="H895" s="113">
        <f>'Sampling Data'!G886</f>
        <v>0</v>
      </c>
      <c r="I895" s="112">
        <f>'Sampling Data'!H886</f>
        <v>0</v>
      </c>
      <c r="J895" s="112">
        <f>'Sampling Data'!I886</f>
        <v>0</v>
      </c>
      <c r="K895" s="112">
        <f>'Sampling Data'!J886</f>
        <v>16</v>
      </c>
      <c r="L895" s="111">
        <f>'Sampling Data'!X886</f>
        <v>0</v>
      </c>
      <c r="M895" s="114"/>
      <c r="N895" s="114"/>
      <c r="O895" s="115"/>
      <c r="P895" s="115"/>
      <c r="Q895" s="116"/>
      <c r="R895" s="116"/>
      <c r="S895" s="111">
        <f>Audit[[#This Row],[Audit Losing Candidate]]-Audit[[#This Row],[Losing Candidate]]</f>
        <v>-4</v>
      </c>
      <c r="T895" s="111">
        <f>Audit[[#This Row],[Audit Winning Candidate]]-Audit[[#This Row],[Winning Candidate]]</f>
        <v>-9</v>
      </c>
      <c r="U895" s="111">
        <f>Audit[[#This Row],[Audit Candidate 3]]-Audit[[#This Row],[Candidate 3]]</f>
        <v>-1</v>
      </c>
      <c r="V895" s="111">
        <f>Audit[[#This Row],[Audit Candidate 4]]-Audit[[#This Row],[Candidate 4]]</f>
        <v>-2</v>
      </c>
      <c r="W895" s="111">
        <f>Audit[[#This Row],[Audit Candidate 5]]-Audit[[#This Row],[Candidate 5]]</f>
        <v>0</v>
      </c>
      <c r="X895" s="111">
        <f>Audit[[#This Row],[Audit Candidate 6]]-Audit[[#This Row],[Candidate 6]]</f>
        <v>0</v>
      </c>
      <c r="Y895" s="111">
        <f>SUMIF(Audit[[#This Row],[Difference Loser]:[Difference Candidate 6]], "&gt;0")</f>
        <v>0</v>
      </c>
      <c r="Z895" s="111">
        <f>SUM(Audit[[#This Row],[Difference Loser]:[Difference Candidate 6]])</f>
        <v>-16</v>
      </c>
      <c r="AA895" s="111">
        <f>IF(Audit[[#This Row],[Times p Drawn - With Replacement]]&gt;0, IF(Audit[[#This Row],[Canceled Differences]]&lt;0, Audit[[#This Row],[Max Differences]]+ABS(Audit[[#This Row],[Canceled Differences]]), Audit[[#This Row],[Max Differences]]), 0)</f>
        <v>0</v>
      </c>
      <c r="AB895" s="111">
        <f>'Sampling Data'!P886</f>
        <v>1.2861342479176874E-3</v>
      </c>
      <c r="AC895" s="111">
        <f>IF(
      SUM(Audit[[#This Row],[Audit Losing Candidate]:[Audit Candidate 6]])
      &lt;&gt;0,
      (Audit[[#This Row],[Winning Candidate]]-Audit[[#This Row],[Losing Candidate]]-(Audit[[#This Row],[Audit Winning Candidate]]-Audit[[#This Row],[Audit Losing Candidate]]))/(Audit[[#Totals],[Winning Candidate]]-Audit[[#Totals],[Losing Candidate]]),
      0
)</f>
        <v>0</v>
      </c>
      <c r="AD8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5" s="111">
        <f>IF(Audit[[#This Row],[Max Relative Error (ep)]] = 0, 0, Audit[[#This Row],[Max Relative Error (ep)]]/Audit[[#This Row],[Error Bound (up) - Max. possible relative overstatement]])</f>
        <v>0</v>
      </c>
      <c r="AJ8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95" s="111">
        <f t="shared" si="13"/>
        <v>1</v>
      </c>
      <c r="AL895" s="111">
        <f>PRODUCT($AK$5:AK895)</f>
        <v>8.962823818226312E-2</v>
      </c>
      <c r="AM895" s="109">
        <f>1 - [K-M P Value]</f>
        <v>0.91037176181773694</v>
      </c>
      <c r="AN895" s="111" t="str">
        <f>IF(Audit[[#This Row],[K-M P Value]]&gt;1-'General Info'!$B$16,"Continue", "Stop")</f>
        <v>Stop</v>
      </c>
      <c r="AO895" s="110" t="b">
        <f>IF(Audit[[#This Row],[Status - Continue or stop audit]] = "Continue", TRUE, IF(AN894 = "Continue", TRUE, FALSE))</f>
        <v>0</v>
      </c>
      <c r="AP895" s="110"/>
    </row>
    <row r="896" spans="1:42" ht="15" hidden="1" customHeight="1">
      <c r="A896" s="111" t="str">
        <f>'Sampling Data'!W887</f>
        <v/>
      </c>
      <c r="B896" s="112" t="str">
        <f>'Sampling Data'!A887</f>
        <v>CLEVELAND -18-E</v>
      </c>
      <c r="C896" s="112">
        <f>'Sampling Data'!B887</f>
        <v>15</v>
      </c>
      <c r="D896" s="112">
        <f>'Sampling Data'!C887</f>
        <v>23</v>
      </c>
      <c r="E896" s="113">
        <f>'Sampling Data'!D887</f>
        <v>6</v>
      </c>
      <c r="F896" s="113">
        <f>'Sampling Data'!E887</f>
        <v>6</v>
      </c>
      <c r="G896" s="113">
        <f>'Sampling Data'!F887</f>
        <v>0</v>
      </c>
      <c r="H896" s="113">
        <f>'Sampling Data'!G887</f>
        <v>0</v>
      </c>
      <c r="I896" s="112">
        <f>'Sampling Data'!H887</f>
        <v>2</v>
      </c>
      <c r="J896" s="112">
        <f>'Sampling Data'!I887</f>
        <v>1</v>
      </c>
      <c r="K896" s="112">
        <f>'Sampling Data'!J887</f>
        <v>53</v>
      </c>
      <c r="L896" s="111">
        <f>'Sampling Data'!X887</f>
        <v>0</v>
      </c>
      <c r="M896" s="114"/>
      <c r="N896" s="114"/>
      <c r="O896" s="115"/>
      <c r="P896" s="115"/>
      <c r="Q896" s="116"/>
      <c r="R896" s="116"/>
      <c r="S896" s="111">
        <f>Audit[[#This Row],[Audit Losing Candidate]]-Audit[[#This Row],[Losing Candidate]]</f>
        <v>-15</v>
      </c>
      <c r="T896" s="111">
        <f>Audit[[#This Row],[Audit Winning Candidate]]-Audit[[#This Row],[Winning Candidate]]</f>
        <v>-23</v>
      </c>
      <c r="U896" s="111">
        <f>Audit[[#This Row],[Audit Candidate 3]]-Audit[[#This Row],[Candidate 3]]</f>
        <v>-6</v>
      </c>
      <c r="V896" s="111">
        <f>Audit[[#This Row],[Audit Candidate 4]]-Audit[[#This Row],[Candidate 4]]</f>
        <v>-6</v>
      </c>
      <c r="W896" s="111">
        <f>Audit[[#This Row],[Audit Candidate 5]]-Audit[[#This Row],[Candidate 5]]</f>
        <v>0</v>
      </c>
      <c r="X896" s="111">
        <f>Audit[[#This Row],[Audit Candidate 6]]-Audit[[#This Row],[Candidate 6]]</f>
        <v>0</v>
      </c>
      <c r="Y896" s="111">
        <f>SUMIF(Audit[[#This Row],[Difference Loser]:[Difference Candidate 6]], "&gt;0")</f>
        <v>0</v>
      </c>
      <c r="Z896" s="111">
        <f>SUM(Audit[[#This Row],[Difference Loser]:[Difference Candidate 6]])</f>
        <v>-50</v>
      </c>
      <c r="AA896" s="111">
        <f>IF(Audit[[#This Row],[Times p Drawn - With Replacement]]&gt;0, IF(Audit[[#This Row],[Canceled Differences]]&lt;0, Audit[[#This Row],[Max Differences]]+ABS(Audit[[#This Row],[Canceled Differences]]), Audit[[#This Row],[Max Differences]]), 0)</f>
        <v>0</v>
      </c>
      <c r="AB896" s="111">
        <f>'Sampling Data'!P887</f>
        <v>3.7359137677609017E-3</v>
      </c>
      <c r="AC896" s="111">
        <f>IF(
      SUM(Audit[[#This Row],[Audit Losing Candidate]:[Audit Candidate 6]])
      &lt;&gt;0,
      (Audit[[#This Row],[Winning Candidate]]-Audit[[#This Row],[Losing Candidate]]-(Audit[[#This Row],[Audit Winning Candidate]]-Audit[[#This Row],[Audit Losing Candidate]]))/(Audit[[#Totals],[Winning Candidate]]-Audit[[#Totals],[Losing Candidate]]),
      0
)</f>
        <v>0</v>
      </c>
      <c r="AD8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6" s="111">
        <f>IF(Audit[[#This Row],[Max Relative Error (ep)]] = 0, 0, Audit[[#This Row],[Max Relative Error (ep)]]/Audit[[#This Row],[Error Bound (up) - Max. possible relative overstatement]])</f>
        <v>0</v>
      </c>
      <c r="AJ8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96" s="111">
        <f t="shared" si="13"/>
        <v>1</v>
      </c>
      <c r="AL896" s="111">
        <f>PRODUCT($AK$5:AK896)</f>
        <v>8.962823818226312E-2</v>
      </c>
      <c r="AM896" s="109">
        <f>1 - [K-M P Value]</f>
        <v>0.91037176181773694</v>
      </c>
      <c r="AN896" s="111" t="str">
        <f>IF(Audit[[#This Row],[K-M P Value]]&gt;1-'General Info'!$B$16,"Continue", "Stop")</f>
        <v>Stop</v>
      </c>
      <c r="AO896" s="110" t="b">
        <f>IF(Audit[[#This Row],[Status - Continue or stop audit]] = "Continue", TRUE, IF(AN895 = "Continue", TRUE, FALSE))</f>
        <v>0</v>
      </c>
      <c r="AP896" s="110"/>
    </row>
    <row r="897" spans="1:42" ht="15" hidden="1" customHeight="1">
      <c r="A897" s="111" t="str">
        <f>'Sampling Data'!W888</f>
        <v/>
      </c>
      <c r="B897" s="112" t="str">
        <f>'Sampling Data'!A888</f>
        <v>CLEVELAND -18-E - ABS</v>
      </c>
      <c r="C897" s="112">
        <f>'Sampling Data'!B888</f>
        <v>5</v>
      </c>
      <c r="D897" s="112">
        <f>'Sampling Data'!C888</f>
        <v>9</v>
      </c>
      <c r="E897" s="113">
        <f>'Sampling Data'!D888</f>
        <v>1</v>
      </c>
      <c r="F897" s="113">
        <f>'Sampling Data'!E888</f>
        <v>1</v>
      </c>
      <c r="G897" s="113">
        <f>'Sampling Data'!F888</f>
        <v>0</v>
      </c>
      <c r="H897" s="113">
        <f>'Sampling Data'!G888</f>
        <v>0</v>
      </c>
      <c r="I897" s="112">
        <f>'Sampling Data'!H888</f>
        <v>0</v>
      </c>
      <c r="J897" s="112">
        <f>'Sampling Data'!I888</f>
        <v>0</v>
      </c>
      <c r="K897" s="112">
        <f>'Sampling Data'!J888</f>
        <v>16</v>
      </c>
      <c r="L897" s="111">
        <f>'Sampling Data'!X888</f>
        <v>0</v>
      </c>
      <c r="M897" s="114"/>
      <c r="N897" s="114"/>
      <c r="O897" s="115"/>
      <c r="P897" s="115"/>
      <c r="Q897" s="116"/>
      <c r="R897" s="116"/>
      <c r="S897" s="111">
        <f>Audit[[#This Row],[Audit Losing Candidate]]-Audit[[#This Row],[Losing Candidate]]</f>
        <v>-5</v>
      </c>
      <c r="T897" s="111">
        <f>Audit[[#This Row],[Audit Winning Candidate]]-Audit[[#This Row],[Winning Candidate]]</f>
        <v>-9</v>
      </c>
      <c r="U897" s="111">
        <f>Audit[[#This Row],[Audit Candidate 3]]-Audit[[#This Row],[Candidate 3]]</f>
        <v>-1</v>
      </c>
      <c r="V897" s="111">
        <f>Audit[[#This Row],[Audit Candidate 4]]-Audit[[#This Row],[Candidate 4]]</f>
        <v>-1</v>
      </c>
      <c r="W897" s="111">
        <f>Audit[[#This Row],[Audit Candidate 5]]-Audit[[#This Row],[Candidate 5]]</f>
        <v>0</v>
      </c>
      <c r="X897" s="111">
        <f>Audit[[#This Row],[Audit Candidate 6]]-Audit[[#This Row],[Candidate 6]]</f>
        <v>0</v>
      </c>
      <c r="Y897" s="111">
        <f>SUMIF(Audit[[#This Row],[Difference Loser]:[Difference Candidate 6]], "&gt;0")</f>
        <v>0</v>
      </c>
      <c r="Z897" s="111">
        <f>SUM(Audit[[#This Row],[Difference Loser]:[Difference Candidate 6]])</f>
        <v>-16</v>
      </c>
      <c r="AA897" s="111">
        <f>IF(Audit[[#This Row],[Times p Drawn - With Replacement]]&gt;0, IF(Audit[[#This Row],[Canceled Differences]]&lt;0, Audit[[#This Row],[Max Differences]]+ABS(Audit[[#This Row],[Canceled Differences]]), Audit[[#This Row],[Max Differences]]), 0)</f>
        <v>0</v>
      </c>
      <c r="AB897" s="111">
        <f>'Sampling Data'!P888</f>
        <v>1.224889759921607E-3</v>
      </c>
      <c r="AC897" s="111">
        <f>IF(
      SUM(Audit[[#This Row],[Audit Losing Candidate]:[Audit Candidate 6]])
      &lt;&gt;0,
      (Audit[[#This Row],[Winning Candidate]]-Audit[[#This Row],[Losing Candidate]]-(Audit[[#This Row],[Audit Winning Candidate]]-Audit[[#This Row],[Audit Losing Candidate]]))/(Audit[[#Totals],[Winning Candidate]]-Audit[[#Totals],[Losing Candidate]]),
      0
)</f>
        <v>0</v>
      </c>
      <c r="AD8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7" s="111">
        <f>IF(Audit[[#This Row],[Max Relative Error (ep)]] = 0, 0, Audit[[#This Row],[Max Relative Error (ep)]]/Audit[[#This Row],[Error Bound (up) - Max. possible relative overstatement]])</f>
        <v>0</v>
      </c>
      <c r="AJ8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97" s="111">
        <f t="shared" si="13"/>
        <v>1</v>
      </c>
      <c r="AL897" s="111">
        <f>PRODUCT($AK$5:AK897)</f>
        <v>8.962823818226312E-2</v>
      </c>
      <c r="AM897" s="109">
        <f>1 - [K-M P Value]</f>
        <v>0.91037176181773694</v>
      </c>
      <c r="AN897" s="111" t="str">
        <f>IF(Audit[[#This Row],[K-M P Value]]&gt;1-'General Info'!$B$16,"Continue", "Stop")</f>
        <v>Stop</v>
      </c>
      <c r="AO897" s="110" t="b">
        <f>IF(Audit[[#This Row],[Status - Continue or stop audit]] = "Continue", TRUE, IF(AN896 = "Continue", TRUE, FALSE))</f>
        <v>0</v>
      </c>
      <c r="AP897" s="110"/>
    </row>
    <row r="898" spans="1:42" ht="15" hidden="1" customHeight="1">
      <c r="A898" s="111" t="str">
        <f>'Sampling Data'!W889</f>
        <v/>
      </c>
      <c r="B898" s="112" t="str">
        <f>'Sampling Data'!A889</f>
        <v>CLEVELAND -18-F</v>
      </c>
      <c r="C898" s="112">
        <f>'Sampling Data'!B889</f>
        <v>7</v>
      </c>
      <c r="D898" s="112">
        <f>'Sampling Data'!C889</f>
        <v>11</v>
      </c>
      <c r="E898" s="113">
        <f>'Sampling Data'!D889</f>
        <v>12</v>
      </c>
      <c r="F898" s="113">
        <f>'Sampling Data'!E889</f>
        <v>8</v>
      </c>
      <c r="G898" s="113">
        <f>'Sampling Data'!F889</f>
        <v>0</v>
      </c>
      <c r="H898" s="113">
        <f>'Sampling Data'!G889</f>
        <v>0</v>
      </c>
      <c r="I898" s="112">
        <f>'Sampling Data'!H889</f>
        <v>0</v>
      </c>
      <c r="J898" s="112">
        <f>'Sampling Data'!I889</f>
        <v>0</v>
      </c>
      <c r="K898" s="112">
        <f>'Sampling Data'!J889</f>
        <v>38</v>
      </c>
      <c r="L898" s="111">
        <f>'Sampling Data'!X889</f>
        <v>0</v>
      </c>
      <c r="M898" s="114"/>
      <c r="N898" s="114"/>
      <c r="O898" s="115"/>
      <c r="P898" s="115"/>
      <c r="Q898" s="116"/>
      <c r="R898" s="116"/>
      <c r="S898" s="111">
        <f>Audit[[#This Row],[Audit Losing Candidate]]-Audit[[#This Row],[Losing Candidate]]</f>
        <v>-7</v>
      </c>
      <c r="T898" s="111">
        <f>Audit[[#This Row],[Audit Winning Candidate]]-Audit[[#This Row],[Winning Candidate]]</f>
        <v>-11</v>
      </c>
      <c r="U898" s="111">
        <f>Audit[[#This Row],[Audit Candidate 3]]-Audit[[#This Row],[Candidate 3]]</f>
        <v>-12</v>
      </c>
      <c r="V898" s="111">
        <f>Audit[[#This Row],[Audit Candidate 4]]-Audit[[#This Row],[Candidate 4]]</f>
        <v>-8</v>
      </c>
      <c r="W898" s="111">
        <f>Audit[[#This Row],[Audit Candidate 5]]-Audit[[#This Row],[Candidate 5]]</f>
        <v>0</v>
      </c>
      <c r="X898" s="111">
        <f>Audit[[#This Row],[Audit Candidate 6]]-Audit[[#This Row],[Candidate 6]]</f>
        <v>0</v>
      </c>
      <c r="Y898" s="111">
        <f>SUMIF(Audit[[#This Row],[Difference Loser]:[Difference Candidate 6]], "&gt;0")</f>
        <v>0</v>
      </c>
      <c r="Z898" s="111">
        <f>SUM(Audit[[#This Row],[Difference Loser]:[Difference Candidate 6]])</f>
        <v>-38</v>
      </c>
      <c r="AA898" s="111">
        <f>IF(Audit[[#This Row],[Times p Drawn - With Replacement]]&gt;0, IF(Audit[[#This Row],[Canceled Differences]]&lt;0, Audit[[#This Row],[Max Differences]]+ABS(Audit[[#This Row],[Canceled Differences]]), Audit[[#This Row],[Max Differences]]), 0)</f>
        <v>0</v>
      </c>
      <c r="AB898" s="111">
        <f>'Sampling Data'!P889</f>
        <v>2.5722684958353749E-3</v>
      </c>
      <c r="AC898" s="111">
        <f>IF(
      SUM(Audit[[#This Row],[Audit Losing Candidate]:[Audit Candidate 6]])
      &lt;&gt;0,
      (Audit[[#This Row],[Winning Candidate]]-Audit[[#This Row],[Losing Candidate]]-(Audit[[#This Row],[Audit Winning Candidate]]-Audit[[#This Row],[Audit Losing Candidate]]))/(Audit[[#Totals],[Winning Candidate]]-Audit[[#Totals],[Losing Candidate]]),
      0
)</f>
        <v>0</v>
      </c>
      <c r="AD8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8" s="111">
        <f>IF(Audit[[#This Row],[Max Relative Error (ep)]] = 0, 0, Audit[[#This Row],[Max Relative Error (ep)]]/Audit[[#This Row],[Error Bound (up) - Max. possible relative overstatement]])</f>
        <v>0</v>
      </c>
      <c r="AJ8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98" s="111">
        <f t="shared" si="13"/>
        <v>1</v>
      </c>
      <c r="AL898" s="111">
        <f>PRODUCT($AK$5:AK898)</f>
        <v>8.962823818226312E-2</v>
      </c>
      <c r="AM898" s="109">
        <f>1 - [K-M P Value]</f>
        <v>0.91037176181773694</v>
      </c>
      <c r="AN898" s="111" t="str">
        <f>IF(Audit[[#This Row],[K-M P Value]]&gt;1-'General Info'!$B$16,"Continue", "Stop")</f>
        <v>Stop</v>
      </c>
      <c r="AO898" s="110" t="b">
        <f>IF(Audit[[#This Row],[Status - Continue or stop audit]] = "Continue", TRUE, IF(AN897 = "Continue", TRUE, FALSE))</f>
        <v>0</v>
      </c>
      <c r="AP898" s="110"/>
    </row>
    <row r="899" spans="1:42" ht="15" hidden="1" customHeight="1">
      <c r="A899" s="111" t="str">
        <f>'Sampling Data'!W890</f>
        <v/>
      </c>
      <c r="B899" s="112" t="str">
        <f>'Sampling Data'!A890</f>
        <v>CLEVELAND -18-F - ABS</v>
      </c>
      <c r="C899" s="112">
        <f>'Sampling Data'!B890</f>
        <v>1</v>
      </c>
      <c r="D899" s="112">
        <f>'Sampling Data'!C890</f>
        <v>7</v>
      </c>
      <c r="E899" s="113">
        <f>'Sampling Data'!D890</f>
        <v>0</v>
      </c>
      <c r="F899" s="113">
        <f>'Sampling Data'!E890</f>
        <v>0</v>
      </c>
      <c r="G899" s="113">
        <f>'Sampling Data'!F890</f>
        <v>0</v>
      </c>
      <c r="H899" s="113">
        <f>'Sampling Data'!G890</f>
        <v>0</v>
      </c>
      <c r="I899" s="112">
        <f>'Sampling Data'!H890</f>
        <v>0</v>
      </c>
      <c r="J899" s="112">
        <f>'Sampling Data'!I890</f>
        <v>0</v>
      </c>
      <c r="K899" s="112">
        <f>'Sampling Data'!J890</f>
        <v>8</v>
      </c>
      <c r="L899" s="111">
        <f>'Sampling Data'!X890</f>
        <v>0</v>
      </c>
      <c r="M899" s="114"/>
      <c r="N899" s="114"/>
      <c r="O899" s="115"/>
      <c r="P899" s="115"/>
      <c r="Q899" s="116"/>
      <c r="R899" s="116"/>
      <c r="S899" s="111">
        <f>Audit[[#This Row],[Audit Losing Candidate]]-Audit[[#This Row],[Losing Candidate]]</f>
        <v>-1</v>
      </c>
      <c r="T899" s="111">
        <f>Audit[[#This Row],[Audit Winning Candidate]]-Audit[[#This Row],[Winning Candidate]]</f>
        <v>-7</v>
      </c>
      <c r="U899" s="111">
        <f>Audit[[#This Row],[Audit Candidate 3]]-Audit[[#This Row],[Candidate 3]]</f>
        <v>0</v>
      </c>
      <c r="V899" s="111">
        <f>Audit[[#This Row],[Audit Candidate 4]]-Audit[[#This Row],[Candidate 4]]</f>
        <v>0</v>
      </c>
      <c r="W899" s="111">
        <f>Audit[[#This Row],[Audit Candidate 5]]-Audit[[#This Row],[Candidate 5]]</f>
        <v>0</v>
      </c>
      <c r="X899" s="111">
        <f>Audit[[#This Row],[Audit Candidate 6]]-Audit[[#This Row],[Candidate 6]]</f>
        <v>0</v>
      </c>
      <c r="Y899" s="111">
        <f>SUMIF(Audit[[#This Row],[Difference Loser]:[Difference Candidate 6]], "&gt;0")</f>
        <v>0</v>
      </c>
      <c r="Z899" s="111">
        <f>SUM(Audit[[#This Row],[Difference Loser]:[Difference Candidate 6]])</f>
        <v>-8</v>
      </c>
      <c r="AA899" s="111">
        <f>IF(Audit[[#This Row],[Times p Drawn - With Replacement]]&gt;0, IF(Audit[[#This Row],[Canceled Differences]]&lt;0, Audit[[#This Row],[Max Differences]]+ABS(Audit[[#This Row],[Canceled Differences]]), Audit[[#This Row],[Max Differences]]), 0)</f>
        <v>0</v>
      </c>
      <c r="AB899" s="111">
        <f>'Sampling Data'!P890</f>
        <v>8.5742283194512492E-4</v>
      </c>
      <c r="AC899" s="111">
        <f>IF(
      SUM(Audit[[#This Row],[Audit Losing Candidate]:[Audit Candidate 6]])
      &lt;&gt;0,
      (Audit[[#This Row],[Winning Candidate]]-Audit[[#This Row],[Losing Candidate]]-(Audit[[#This Row],[Audit Winning Candidate]]-Audit[[#This Row],[Audit Losing Candidate]]))/(Audit[[#Totals],[Winning Candidate]]-Audit[[#Totals],[Losing Candidate]]),
      0
)</f>
        <v>0</v>
      </c>
      <c r="AD8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9" s="111">
        <f>IF(Audit[[#This Row],[Max Relative Error (ep)]] = 0, 0, Audit[[#This Row],[Max Relative Error (ep)]]/Audit[[#This Row],[Error Bound (up) - Max. possible relative overstatement]])</f>
        <v>0</v>
      </c>
      <c r="AJ8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899" s="111">
        <f t="shared" si="13"/>
        <v>1</v>
      </c>
      <c r="AL899" s="111">
        <f>PRODUCT($AK$5:AK899)</f>
        <v>8.962823818226312E-2</v>
      </c>
      <c r="AM899" s="109">
        <f>1 - [K-M P Value]</f>
        <v>0.91037176181773694</v>
      </c>
      <c r="AN899" s="111" t="str">
        <f>IF(Audit[[#This Row],[K-M P Value]]&gt;1-'General Info'!$B$16,"Continue", "Stop")</f>
        <v>Stop</v>
      </c>
      <c r="AO899" s="110" t="b">
        <f>IF(Audit[[#This Row],[Status - Continue or stop audit]] = "Continue", TRUE, IF(AN898 = "Continue", TRUE, FALSE))</f>
        <v>0</v>
      </c>
      <c r="AP899" s="110"/>
    </row>
    <row r="900" spans="1:42" ht="15" hidden="1" customHeight="1">
      <c r="A900" s="111" t="str">
        <f>'Sampling Data'!W891</f>
        <v/>
      </c>
      <c r="B900" s="112" t="str">
        <f>'Sampling Data'!A891</f>
        <v>CLEVELAND -18-G</v>
      </c>
      <c r="C900" s="112">
        <f>'Sampling Data'!B891</f>
        <v>5</v>
      </c>
      <c r="D900" s="112">
        <f>'Sampling Data'!C891</f>
        <v>6</v>
      </c>
      <c r="E900" s="113">
        <f>'Sampling Data'!D891</f>
        <v>5</v>
      </c>
      <c r="F900" s="113">
        <f>'Sampling Data'!E891</f>
        <v>4</v>
      </c>
      <c r="G900" s="113">
        <f>'Sampling Data'!F891</f>
        <v>0</v>
      </c>
      <c r="H900" s="113">
        <f>'Sampling Data'!G891</f>
        <v>1</v>
      </c>
      <c r="I900" s="112">
        <f>'Sampling Data'!H891</f>
        <v>0</v>
      </c>
      <c r="J900" s="112">
        <f>'Sampling Data'!I891</f>
        <v>1</v>
      </c>
      <c r="K900" s="112">
        <f>'Sampling Data'!J891</f>
        <v>22</v>
      </c>
      <c r="L900" s="111">
        <f>'Sampling Data'!X891</f>
        <v>0</v>
      </c>
      <c r="M900" s="114"/>
      <c r="N900" s="114"/>
      <c r="O900" s="115"/>
      <c r="P900" s="115"/>
      <c r="Q900" s="116"/>
      <c r="R900" s="116"/>
      <c r="S900" s="111">
        <f>Audit[[#This Row],[Audit Losing Candidate]]-Audit[[#This Row],[Losing Candidate]]</f>
        <v>-5</v>
      </c>
      <c r="T900" s="111">
        <f>Audit[[#This Row],[Audit Winning Candidate]]-Audit[[#This Row],[Winning Candidate]]</f>
        <v>-6</v>
      </c>
      <c r="U900" s="111">
        <f>Audit[[#This Row],[Audit Candidate 3]]-Audit[[#This Row],[Candidate 3]]</f>
        <v>-5</v>
      </c>
      <c r="V900" s="111">
        <f>Audit[[#This Row],[Audit Candidate 4]]-Audit[[#This Row],[Candidate 4]]</f>
        <v>-4</v>
      </c>
      <c r="W900" s="111">
        <f>Audit[[#This Row],[Audit Candidate 5]]-Audit[[#This Row],[Candidate 5]]</f>
        <v>0</v>
      </c>
      <c r="X900" s="111">
        <f>Audit[[#This Row],[Audit Candidate 6]]-Audit[[#This Row],[Candidate 6]]</f>
        <v>-1</v>
      </c>
      <c r="Y900" s="111">
        <f>SUMIF(Audit[[#This Row],[Difference Loser]:[Difference Candidate 6]], "&gt;0")</f>
        <v>0</v>
      </c>
      <c r="Z900" s="111">
        <f>SUM(Audit[[#This Row],[Difference Loser]:[Difference Candidate 6]])</f>
        <v>-21</v>
      </c>
      <c r="AA900" s="111">
        <f>IF(Audit[[#This Row],[Times p Drawn - With Replacement]]&gt;0, IF(Audit[[#This Row],[Canceled Differences]]&lt;0, Audit[[#This Row],[Max Differences]]+ABS(Audit[[#This Row],[Canceled Differences]]), Audit[[#This Row],[Max Differences]]), 0)</f>
        <v>0</v>
      </c>
      <c r="AB900" s="111">
        <f>'Sampling Data'!P891</f>
        <v>1.408623223909848E-3</v>
      </c>
      <c r="AC900" s="111">
        <f>IF(
      SUM(Audit[[#This Row],[Audit Losing Candidate]:[Audit Candidate 6]])
      &lt;&gt;0,
      (Audit[[#This Row],[Winning Candidate]]-Audit[[#This Row],[Losing Candidate]]-(Audit[[#This Row],[Audit Winning Candidate]]-Audit[[#This Row],[Audit Losing Candidate]]))/(Audit[[#Totals],[Winning Candidate]]-Audit[[#Totals],[Losing Candidate]]),
      0
)</f>
        <v>0</v>
      </c>
      <c r="AD9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0" s="111">
        <f>IF(Audit[[#This Row],[Max Relative Error (ep)]] = 0, 0, Audit[[#This Row],[Max Relative Error (ep)]]/Audit[[#This Row],[Error Bound (up) - Max. possible relative overstatement]])</f>
        <v>0</v>
      </c>
      <c r="AJ9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00" s="111">
        <f t="shared" si="13"/>
        <v>1</v>
      </c>
      <c r="AL900" s="111">
        <f>PRODUCT($AK$5:AK900)</f>
        <v>8.962823818226312E-2</v>
      </c>
      <c r="AM900" s="109">
        <f>1 - [K-M P Value]</f>
        <v>0.91037176181773694</v>
      </c>
      <c r="AN900" s="111" t="str">
        <f>IF(Audit[[#This Row],[K-M P Value]]&gt;1-'General Info'!$B$16,"Continue", "Stop")</f>
        <v>Stop</v>
      </c>
      <c r="AO900" s="110" t="b">
        <f>IF(Audit[[#This Row],[Status - Continue or stop audit]] = "Continue", TRUE, IF(AN899 = "Continue", TRUE, FALSE))</f>
        <v>0</v>
      </c>
      <c r="AP900" s="110"/>
    </row>
    <row r="901" spans="1:42" ht="15" hidden="1" customHeight="1">
      <c r="A901" s="111" t="str">
        <f>'Sampling Data'!W892</f>
        <v/>
      </c>
      <c r="B901" s="112" t="str">
        <f>'Sampling Data'!A892</f>
        <v>CLEVELAND -18-G - ABS</v>
      </c>
      <c r="C901" s="112">
        <f>'Sampling Data'!B892</f>
        <v>3</v>
      </c>
      <c r="D901" s="112">
        <f>'Sampling Data'!C892</f>
        <v>2</v>
      </c>
      <c r="E901" s="113">
        <f>'Sampling Data'!D892</f>
        <v>2</v>
      </c>
      <c r="F901" s="113">
        <f>'Sampling Data'!E892</f>
        <v>2</v>
      </c>
      <c r="G901" s="113">
        <f>'Sampling Data'!F892</f>
        <v>0</v>
      </c>
      <c r="H901" s="113">
        <f>'Sampling Data'!G892</f>
        <v>0</v>
      </c>
      <c r="I901" s="112">
        <f>'Sampling Data'!H892</f>
        <v>0</v>
      </c>
      <c r="J901" s="112">
        <f>'Sampling Data'!I892</f>
        <v>0</v>
      </c>
      <c r="K901" s="112">
        <f>'Sampling Data'!J892</f>
        <v>9</v>
      </c>
      <c r="L901" s="111">
        <f>'Sampling Data'!X892</f>
        <v>0</v>
      </c>
      <c r="M901" s="114"/>
      <c r="N901" s="114"/>
      <c r="O901" s="115"/>
      <c r="P901" s="115"/>
      <c r="Q901" s="116"/>
      <c r="R901" s="116"/>
      <c r="S901" s="111">
        <f>Audit[[#This Row],[Audit Losing Candidate]]-Audit[[#This Row],[Losing Candidate]]</f>
        <v>-3</v>
      </c>
      <c r="T901" s="111">
        <f>Audit[[#This Row],[Audit Winning Candidate]]-Audit[[#This Row],[Winning Candidate]]</f>
        <v>-2</v>
      </c>
      <c r="U901" s="111">
        <f>Audit[[#This Row],[Audit Candidate 3]]-Audit[[#This Row],[Candidate 3]]</f>
        <v>-2</v>
      </c>
      <c r="V901" s="111">
        <f>Audit[[#This Row],[Audit Candidate 4]]-Audit[[#This Row],[Candidate 4]]</f>
        <v>-2</v>
      </c>
      <c r="W901" s="111">
        <f>Audit[[#This Row],[Audit Candidate 5]]-Audit[[#This Row],[Candidate 5]]</f>
        <v>0</v>
      </c>
      <c r="X901" s="111">
        <f>Audit[[#This Row],[Audit Candidate 6]]-Audit[[#This Row],[Candidate 6]]</f>
        <v>0</v>
      </c>
      <c r="Y901" s="111">
        <f>SUMIF(Audit[[#This Row],[Difference Loser]:[Difference Candidate 6]], "&gt;0")</f>
        <v>0</v>
      </c>
      <c r="Z901" s="111">
        <f>SUM(Audit[[#This Row],[Difference Loser]:[Difference Candidate 6]])</f>
        <v>-9</v>
      </c>
      <c r="AA901" s="111">
        <f>IF(Audit[[#This Row],[Times p Drawn - With Replacement]]&gt;0, IF(Audit[[#This Row],[Canceled Differences]]&lt;0, Audit[[#This Row],[Max Differences]]+ABS(Audit[[#This Row],[Canceled Differences]]), Audit[[#This Row],[Max Differences]]), 0)</f>
        <v>0</v>
      </c>
      <c r="AB901" s="111">
        <f>'Sampling Data'!P892</f>
        <v>4.8995590396864281E-4</v>
      </c>
      <c r="AC901" s="111">
        <f>IF(
      SUM(Audit[[#This Row],[Audit Losing Candidate]:[Audit Candidate 6]])
      &lt;&gt;0,
      (Audit[[#This Row],[Winning Candidate]]-Audit[[#This Row],[Losing Candidate]]-(Audit[[#This Row],[Audit Winning Candidate]]-Audit[[#This Row],[Audit Losing Candidate]]))/(Audit[[#Totals],[Winning Candidate]]-Audit[[#Totals],[Losing Candidate]]),
      0
)</f>
        <v>0</v>
      </c>
      <c r="AD9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1" s="111">
        <f>IF(Audit[[#This Row],[Max Relative Error (ep)]] = 0, 0, Audit[[#This Row],[Max Relative Error (ep)]]/Audit[[#This Row],[Error Bound (up) - Max. possible relative overstatement]])</f>
        <v>0</v>
      </c>
      <c r="AJ9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01" s="111">
        <f t="shared" ref="AK901:AK964" si="14">IF(ISERR(POWER(AJ901,L901)), 0, POWER(AJ901,L901))</f>
        <v>1</v>
      </c>
      <c r="AL901" s="111">
        <f>PRODUCT($AK$5:AK901)</f>
        <v>8.962823818226312E-2</v>
      </c>
      <c r="AM901" s="109">
        <f>1 - [K-M P Value]</f>
        <v>0.91037176181773694</v>
      </c>
      <c r="AN901" s="111" t="str">
        <f>IF(Audit[[#This Row],[K-M P Value]]&gt;1-'General Info'!$B$16,"Continue", "Stop")</f>
        <v>Stop</v>
      </c>
      <c r="AO901" s="110" t="b">
        <f>IF(Audit[[#This Row],[Status - Continue or stop audit]] = "Continue", TRUE, IF(AN900 = "Continue", TRUE, FALSE))</f>
        <v>0</v>
      </c>
      <c r="AP901" s="110"/>
    </row>
    <row r="902" spans="1:42" ht="15" hidden="1" customHeight="1">
      <c r="A902" s="111" t="str">
        <f>'Sampling Data'!W893</f>
        <v/>
      </c>
      <c r="B902" s="112" t="str">
        <f>'Sampling Data'!A893</f>
        <v>CLEVELAND -18-H</v>
      </c>
      <c r="C902" s="112">
        <f>'Sampling Data'!B893</f>
        <v>11</v>
      </c>
      <c r="D902" s="112">
        <f>'Sampling Data'!C893</f>
        <v>13</v>
      </c>
      <c r="E902" s="113">
        <f>'Sampling Data'!D893</f>
        <v>4</v>
      </c>
      <c r="F902" s="113">
        <f>'Sampling Data'!E893</f>
        <v>3</v>
      </c>
      <c r="G902" s="113">
        <f>'Sampling Data'!F893</f>
        <v>0</v>
      </c>
      <c r="H902" s="113">
        <f>'Sampling Data'!G893</f>
        <v>0</v>
      </c>
      <c r="I902" s="112">
        <f>'Sampling Data'!H893</f>
        <v>0</v>
      </c>
      <c r="J902" s="112">
        <f>'Sampling Data'!I893</f>
        <v>0</v>
      </c>
      <c r="K902" s="112">
        <f>'Sampling Data'!J893</f>
        <v>31</v>
      </c>
      <c r="L902" s="111">
        <f>'Sampling Data'!X893</f>
        <v>0</v>
      </c>
      <c r="M902" s="114"/>
      <c r="N902" s="114"/>
      <c r="O902" s="115"/>
      <c r="P902" s="115"/>
      <c r="Q902" s="116"/>
      <c r="R902" s="116"/>
      <c r="S902" s="111">
        <f>Audit[[#This Row],[Audit Losing Candidate]]-Audit[[#This Row],[Losing Candidate]]</f>
        <v>-11</v>
      </c>
      <c r="T902" s="111">
        <f>Audit[[#This Row],[Audit Winning Candidate]]-Audit[[#This Row],[Winning Candidate]]</f>
        <v>-13</v>
      </c>
      <c r="U902" s="111">
        <f>Audit[[#This Row],[Audit Candidate 3]]-Audit[[#This Row],[Candidate 3]]</f>
        <v>-4</v>
      </c>
      <c r="V902" s="111">
        <f>Audit[[#This Row],[Audit Candidate 4]]-Audit[[#This Row],[Candidate 4]]</f>
        <v>-3</v>
      </c>
      <c r="W902" s="111">
        <f>Audit[[#This Row],[Audit Candidate 5]]-Audit[[#This Row],[Candidate 5]]</f>
        <v>0</v>
      </c>
      <c r="X902" s="111">
        <f>Audit[[#This Row],[Audit Candidate 6]]-Audit[[#This Row],[Candidate 6]]</f>
        <v>0</v>
      </c>
      <c r="Y902" s="111">
        <f>SUMIF(Audit[[#This Row],[Difference Loser]:[Difference Candidate 6]], "&gt;0")</f>
        <v>0</v>
      </c>
      <c r="Z902" s="111">
        <f>SUM(Audit[[#This Row],[Difference Loser]:[Difference Candidate 6]])</f>
        <v>-31</v>
      </c>
      <c r="AA902" s="111">
        <f>IF(Audit[[#This Row],[Times p Drawn - With Replacement]]&gt;0, IF(Audit[[#This Row],[Canceled Differences]]&lt;0, Audit[[#This Row],[Max Differences]]+ABS(Audit[[#This Row],[Canceled Differences]]), Audit[[#This Row],[Max Differences]]), 0)</f>
        <v>0</v>
      </c>
      <c r="AB902" s="111">
        <f>'Sampling Data'!P893</f>
        <v>2.0210681038706517E-3</v>
      </c>
      <c r="AC902" s="111">
        <f>IF(
      SUM(Audit[[#This Row],[Audit Losing Candidate]:[Audit Candidate 6]])
      &lt;&gt;0,
      (Audit[[#This Row],[Winning Candidate]]-Audit[[#This Row],[Losing Candidate]]-(Audit[[#This Row],[Audit Winning Candidate]]-Audit[[#This Row],[Audit Losing Candidate]]))/(Audit[[#Totals],[Winning Candidate]]-Audit[[#Totals],[Losing Candidate]]),
      0
)</f>
        <v>0</v>
      </c>
      <c r="AD9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2" s="111">
        <f>IF(Audit[[#This Row],[Max Relative Error (ep)]] = 0, 0, Audit[[#This Row],[Max Relative Error (ep)]]/Audit[[#This Row],[Error Bound (up) - Max. possible relative overstatement]])</f>
        <v>0</v>
      </c>
      <c r="AJ9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02" s="111">
        <f t="shared" si="14"/>
        <v>1</v>
      </c>
      <c r="AL902" s="111">
        <f>PRODUCT($AK$5:AK902)</f>
        <v>8.962823818226312E-2</v>
      </c>
      <c r="AM902" s="109">
        <f>1 - [K-M P Value]</f>
        <v>0.91037176181773694</v>
      </c>
      <c r="AN902" s="111" t="str">
        <f>IF(Audit[[#This Row],[K-M P Value]]&gt;1-'General Info'!$B$16,"Continue", "Stop")</f>
        <v>Stop</v>
      </c>
      <c r="AO902" s="110" t="b">
        <f>IF(Audit[[#This Row],[Status - Continue or stop audit]] = "Continue", TRUE, IF(AN901 = "Continue", TRUE, FALSE))</f>
        <v>0</v>
      </c>
      <c r="AP902" s="110"/>
    </row>
    <row r="903" spans="1:42" ht="15" hidden="1" customHeight="1">
      <c r="A903" s="111" t="str">
        <f>'Sampling Data'!W894</f>
        <v/>
      </c>
      <c r="B903" s="112" t="str">
        <f>'Sampling Data'!A894</f>
        <v>CLEVELAND -18-H - ABS</v>
      </c>
      <c r="C903" s="112">
        <f>'Sampling Data'!B894</f>
        <v>9</v>
      </c>
      <c r="D903" s="112">
        <f>'Sampling Data'!C894</f>
        <v>2</v>
      </c>
      <c r="E903" s="113">
        <f>'Sampling Data'!D894</f>
        <v>2</v>
      </c>
      <c r="F903" s="113">
        <f>'Sampling Data'!E894</f>
        <v>0</v>
      </c>
      <c r="G903" s="113">
        <f>'Sampling Data'!F894</f>
        <v>0</v>
      </c>
      <c r="H903" s="113">
        <f>'Sampling Data'!G894</f>
        <v>1</v>
      </c>
      <c r="I903" s="112">
        <f>'Sampling Data'!H894</f>
        <v>0</v>
      </c>
      <c r="J903" s="112">
        <f>'Sampling Data'!I894</f>
        <v>0</v>
      </c>
      <c r="K903" s="112">
        <f>'Sampling Data'!J894</f>
        <v>14</v>
      </c>
      <c r="L903" s="111">
        <f>'Sampling Data'!X894</f>
        <v>0</v>
      </c>
      <c r="M903" s="114"/>
      <c r="N903" s="114"/>
      <c r="O903" s="115"/>
      <c r="P903" s="115"/>
      <c r="Q903" s="116"/>
      <c r="R903" s="116"/>
      <c r="S903" s="111">
        <f>Audit[[#This Row],[Audit Losing Candidate]]-Audit[[#This Row],[Losing Candidate]]</f>
        <v>-9</v>
      </c>
      <c r="T903" s="111">
        <f>Audit[[#This Row],[Audit Winning Candidate]]-Audit[[#This Row],[Winning Candidate]]</f>
        <v>-2</v>
      </c>
      <c r="U903" s="111">
        <f>Audit[[#This Row],[Audit Candidate 3]]-Audit[[#This Row],[Candidate 3]]</f>
        <v>-2</v>
      </c>
      <c r="V903" s="111">
        <f>Audit[[#This Row],[Audit Candidate 4]]-Audit[[#This Row],[Candidate 4]]</f>
        <v>0</v>
      </c>
      <c r="W903" s="111">
        <f>Audit[[#This Row],[Audit Candidate 5]]-Audit[[#This Row],[Candidate 5]]</f>
        <v>0</v>
      </c>
      <c r="X903" s="111">
        <f>Audit[[#This Row],[Audit Candidate 6]]-Audit[[#This Row],[Candidate 6]]</f>
        <v>-1</v>
      </c>
      <c r="Y903" s="111">
        <f>SUMIF(Audit[[#This Row],[Difference Loser]:[Difference Candidate 6]], "&gt;0")</f>
        <v>0</v>
      </c>
      <c r="Z903" s="111">
        <f>SUM(Audit[[#This Row],[Difference Loser]:[Difference Candidate 6]])</f>
        <v>-14</v>
      </c>
      <c r="AA903" s="111">
        <f>IF(Audit[[#This Row],[Times p Drawn - With Replacement]]&gt;0, IF(Audit[[#This Row],[Canceled Differences]]&lt;0, Audit[[#This Row],[Max Differences]]+ABS(Audit[[#This Row],[Canceled Differences]]), Audit[[#This Row],[Max Differences]]), 0)</f>
        <v>0</v>
      </c>
      <c r="AB903" s="111">
        <f>'Sampling Data'!P894</f>
        <v>4.6771317489549536E-4</v>
      </c>
      <c r="AC903" s="111">
        <f>IF(
      SUM(Audit[[#This Row],[Audit Losing Candidate]:[Audit Candidate 6]])
      &lt;&gt;0,
      (Audit[[#This Row],[Winning Candidate]]-Audit[[#This Row],[Losing Candidate]]-(Audit[[#This Row],[Audit Winning Candidate]]-Audit[[#This Row],[Audit Losing Candidate]]))/(Audit[[#Totals],[Winning Candidate]]-Audit[[#Totals],[Losing Candidate]]),
      0
)</f>
        <v>0</v>
      </c>
      <c r="AD9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3" s="111">
        <f>IF(Audit[[#This Row],[Max Relative Error (ep)]] = 0, 0, Audit[[#This Row],[Max Relative Error (ep)]]/Audit[[#This Row],[Error Bound (up) - Max. possible relative overstatement]])</f>
        <v>0</v>
      </c>
      <c r="AJ9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03" s="111">
        <f t="shared" si="14"/>
        <v>1</v>
      </c>
      <c r="AL903" s="111">
        <f>PRODUCT($AK$5:AK903)</f>
        <v>8.962823818226312E-2</v>
      </c>
      <c r="AM903" s="109">
        <f>1 - [K-M P Value]</f>
        <v>0.91037176181773694</v>
      </c>
      <c r="AN903" s="111" t="str">
        <f>IF(Audit[[#This Row],[K-M P Value]]&gt;1-'General Info'!$B$16,"Continue", "Stop")</f>
        <v>Stop</v>
      </c>
      <c r="AO903" s="110" t="b">
        <f>IF(Audit[[#This Row],[Status - Continue or stop audit]] = "Continue", TRUE, IF(AN902 = "Continue", TRUE, FALSE))</f>
        <v>0</v>
      </c>
      <c r="AP903" s="110"/>
    </row>
    <row r="904" spans="1:42" ht="15" hidden="1" customHeight="1">
      <c r="A904" s="111" t="str">
        <f>'Sampling Data'!W895</f>
        <v/>
      </c>
      <c r="B904" s="112" t="str">
        <f>'Sampling Data'!A895</f>
        <v>CLEVELAND -18-I</v>
      </c>
      <c r="C904" s="112">
        <f>'Sampling Data'!B895</f>
        <v>12</v>
      </c>
      <c r="D904" s="112">
        <f>'Sampling Data'!C895</f>
        <v>20</v>
      </c>
      <c r="E904" s="113">
        <f>'Sampling Data'!D895</f>
        <v>8</v>
      </c>
      <c r="F904" s="113">
        <f>'Sampling Data'!E895</f>
        <v>5</v>
      </c>
      <c r="G904" s="113">
        <f>'Sampling Data'!F895</f>
        <v>0</v>
      </c>
      <c r="H904" s="113">
        <f>'Sampling Data'!G895</f>
        <v>0</v>
      </c>
      <c r="I904" s="112">
        <f>'Sampling Data'!H895</f>
        <v>0</v>
      </c>
      <c r="J904" s="112">
        <f>'Sampling Data'!I895</f>
        <v>0</v>
      </c>
      <c r="K904" s="112">
        <f>'Sampling Data'!J895</f>
        <v>45</v>
      </c>
      <c r="L904" s="111">
        <f>'Sampling Data'!X895</f>
        <v>0</v>
      </c>
      <c r="M904" s="114"/>
      <c r="N904" s="114"/>
      <c r="O904" s="115"/>
      <c r="P904" s="115"/>
      <c r="Q904" s="116"/>
      <c r="R904" s="116"/>
      <c r="S904" s="111">
        <f>Audit[[#This Row],[Audit Losing Candidate]]-Audit[[#This Row],[Losing Candidate]]</f>
        <v>-12</v>
      </c>
      <c r="T904" s="111">
        <f>Audit[[#This Row],[Audit Winning Candidate]]-Audit[[#This Row],[Winning Candidate]]</f>
        <v>-20</v>
      </c>
      <c r="U904" s="111">
        <f>Audit[[#This Row],[Audit Candidate 3]]-Audit[[#This Row],[Candidate 3]]</f>
        <v>-8</v>
      </c>
      <c r="V904" s="111">
        <f>Audit[[#This Row],[Audit Candidate 4]]-Audit[[#This Row],[Candidate 4]]</f>
        <v>-5</v>
      </c>
      <c r="W904" s="111">
        <f>Audit[[#This Row],[Audit Candidate 5]]-Audit[[#This Row],[Candidate 5]]</f>
        <v>0</v>
      </c>
      <c r="X904" s="111">
        <f>Audit[[#This Row],[Audit Candidate 6]]-Audit[[#This Row],[Candidate 6]]</f>
        <v>0</v>
      </c>
      <c r="Y904" s="111">
        <f>SUMIF(Audit[[#This Row],[Difference Loser]:[Difference Candidate 6]], "&gt;0")</f>
        <v>0</v>
      </c>
      <c r="Z904" s="111">
        <f>SUM(Audit[[#This Row],[Difference Loser]:[Difference Candidate 6]])</f>
        <v>-45</v>
      </c>
      <c r="AA904" s="111">
        <f>IF(Audit[[#This Row],[Times p Drawn - With Replacement]]&gt;0, IF(Audit[[#This Row],[Canceled Differences]]&lt;0, Audit[[#This Row],[Max Differences]]+ABS(Audit[[#This Row],[Canceled Differences]]), Audit[[#This Row],[Max Differences]]), 0)</f>
        <v>0</v>
      </c>
      <c r="AB904" s="111">
        <f>'Sampling Data'!P895</f>
        <v>3.2459578637922589E-3</v>
      </c>
      <c r="AC904" s="111">
        <f>IF(
      SUM(Audit[[#This Row],[Audit Losing Candidate]:[Audit Candidate 6]])
      &lt;&gt;0,
      (Audit[[#This Row],[Winning Candidate]]-Audit[[#This Row],[Losing Candidate]]-(Audit[[#This Row],[Audit Winning Candidate]]-Audit[[#This Row],[Audit Losing Candidate]]))/(Audit[[#Totals],[Winning Candidate]]-Audit[[#Totals],[Losing Candidate]]),
      0
)</f>
        <v>0</v>
      </c>
      <c r="AD9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4" s="111">
        <f>IF(Audit[[#This Row],[Max Relative Error (ep)]] = 0, 0, Audit[[#This Row],[Max Relative Error (ep)]]/Audit[[#This Row],[Error Bound (up) - Max. possible relative overstatement]])</f>
        <v>0</v>
      </c>
      <c r="AJ9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04" s="111">
        <f t="shared" si="14"/>
        <v>1</v>
      </c>
      <c r="AL904" s="111">
        <f>PRODUCT($AK$5:AK904)</f>
        <v>8.962823818226312E-2</v>
      </c>
      <c r="AM904" s="109">
        <f>1 - [K-M P Value]</f>
        <v>0.91037176181773694</v>
      </c>
      <c r="AN904" s="111" t="str">
        <f>IF(Audit[[#This Row],[K-M P Value]]&gt;1-'General Info'!$B$16,"Continue", "Stop")</f>
        <v>Stop</v>
      </c>
      <c r="AO904" s="110" t="b">
        <f>IF(Audit[[#This Row],[Status - Continue or stop audit]] = "Continue", TRUE, IF(AN903 = "Continue", TRUE, FALSE))</f>
        <v>0</v>
      </c>
      <c r="AP904" s="110"/>
    </row>
    <row r="905" spans="1:42" ht="15" hidden="1" customHeight="1">
      <c r="A905" s="111" t="str">
        <f>'Sampling Data'!W896</f>
        <v/>
      </c>
      <c r="B905" s="112" t="str">
        <f>'Sampling Data'!A896</f>
        <v>CLEVELAND -18-I - ABS</v>
      </c>
      <c r="C905" s="112">
        <f>'Sampling Data'!B896</f>
        <v>6</v>
      </c>
      <c r="D905" s="112">
        <f>'Sampling Data'!C896</f>
        <v>6</v>
      </c>
      <c r="E905" s="113">
        <f>'Sampling Data'!D896</f>
        <v>0</v>
      </c>
      <c r="F905" s="113">
        <f>'Sampling Data'!E896</f>
        <v>0</v>
      </c>
      <c r="G905" s="113">
        <f>'Sampling Data'!F896</f>
        <v>0</v>
      </c>
      <c r="H905" s="113">
        <f>'Sampling Data'!G896</f>
        <v>0</v>
      </c>
      <c r="I905" s="112">
        <f>'Sampling Data'!H896</f>
        <v>0</v>
      </c>
      <c r="J905" s="112">
        <f>'Sampling Data'!I896</f>
        <v>3</v>
      </c>
      <c r="K905" s="112">
        <f>'Sampling Data'!J896</f>
        <v>15</v>
      </c>
      <c r="L905" s="111">
        <f>'Sampling Data'!X896</f>
        <v>0</v>
      </c>
      <c r="M905" s="114"/>
      <c r="N905" s="114"/>
      <c r="O905" s="115"/>
      <c r="P905" s="115"/>
      <c r="Q905" s="116"/>
      <c r="R905" s="116"/>
      <c r="S905" s="111">
        <f>Audit[[#This Row],[Audit Losing Candidate]]-Audit[[#This Row],[Losing Candidate]]</f>
        <v>-6</v>
      </c>
      <c r="T905" s="111">
        <f>Audit[[#This Row],[Audit Winning Candidate]]-Audit[[#This Row],[Winning Candidate]]</f>
        <v>-6</v>
      </c>
      <c r="U905" s="111">
        <f>Audit[[#This Row],[Audit Candidate 3]]-Audit[[#This Row],[Candidate 3]]</f>
        <v>0</v>
      </c>
      <c r="V905" s="111">
        <f>Audit[[#This Row],[Audit Candidate 4]]-Audit[[#This Row],[Candidate 4]]</f>
        <v>0</v>
      </c>
      <c r="W905" s="111">
        <f>Audit[[#This Row],[Audit Candidate 5]]-Audit[[#This Row],[Candidate 5]]</f>
        <v>0</v>
      </c>
      <c r="X905" s="111">
        <f>Audit[[#This Row],[Audit Candidate 6]]-Audit[[#This Row],[Candidate 6]]</f>
        <v>0</v>
      </c>
      <c r="Y905" s="111">
        <f>SUMIF(Audit[[#This Row],[Difference Loser]:[Difference Candidate 6]], "&gt;0")</f>
        <v>0</v>
      </c>
      <c r="Z905" s="111">
        <f>SUM(Audit[[#This Row],[Difference Loser]:[Difference Candidate 6]])</f>
        <v>-12</v>
      </c>
      <c r="AA905" s="111">
        <f>IF(Audit[[#This Row],[Times p Drawn - With Replacement]]&gt;0, IF(Audit[[#This Row],[Canceled Differences]]&lt;0, Audit[[#This Row],[Max Differences]]+ABS(Audit[[#This Row],[Canceled Differences]]), Audit[[#This Row],[Max Differences]]), 0)</f>
        <v>0</v>
      </c>
      <c r="AB905" s="111">
        <f>'Sampling Data'!P896</f>
        <v>9.1866731994120533E-4</v>
      </c>
      <c r="AC905" s="111">
        <f>IF(
      SUM(Audit[[#This Row],[Audit Losing Candidate]:[Audit Candidate 6]])
      &lt;&gt;0,
      (Audit[[#This Row],[Winning Candidate]]-Audit[[#This Row],[Losing Candidate]]-(Audit[[#This Row],[Audit Winning Candidate]]-Audit[[#This Row],[Audit Losing Candidate]]))/(Audit[[#Totals],[Winning Candidate]]-Audit[[#Totals],[Losing Candidate]]),
      0
)</f>
        <v>0</v>
      </c>
      <c r="AD9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5" s="111">
        <f>IF(Audit[[#This Row],[Max Relative Error (ep)]] = 0, 0, Audit[[#This Row],[Max Relative Error (ep)]]/Audit[[#This Row],[Error Bound (up) - Max. possible relative overstatement]])</f>
        <v>0</v>
      </c>
      <c r="AJ9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05" s="111">
        <f t="shared" si="14"/>
        <v>1</v>
      </c>
      <c r="AL905" s="111">
        <f>PRODUCT($AK$5:AK905)</f>
        <v>8.962823818226312E-2</v>
      </c>
      <c r="AM905" s="109">
        <f>1 - [K-M P Value]</f>
        <v>0.91037176181773694</v>
      </c>
      <c r="AN905" s="111" t="str">
        <f>IF(Audit[[#This Row],[K-M P Value]]&gt;1-'General Info'!$B$16,"Continue", "Stop")</f>
        <v>Stop</v>
      </c>
      <c r="AO905" s="110" t="b">
        <f>IF(Audit[[#This Row],[Status - Continue or stop audit]] = "Continue", TRUE, IF(AN904 = "Continue", TRUE, FALSE))</f>
        <v>0</v>
      </c>
      <c r="AP905" s="110"/>
    </row>
    <row r="906" spans="1:42" ht="15" hidden="1" customHeight="1">
      <c r="A906" s="111" t="str">
        <f>'Sampling Data'!W897</f>
        <v/>
      </c>
      <c r="B906" s="112" t="str">
        <f>'Sampling Data'!A897</f>
        <v>CLEVELAND -18-J</v>
      </c>
      <c r="C906" s="112">
        <f>'Sampling Data'!B897</f>
        <v>16</v>
      </c>
      <c r="D906" s="112">
        <f>'Sampling Data'!C897</f>
        <v>6</v>
      </c>
      <c r="E906" s="113">
        <f>'Sampling Data'!D897</f>
        <v>3</v>
      </c>
      <c r="F906" s="113">
        <f>'Sampling Data'!E897</f>
        <v>9</v>
      </c>
      <c r="G906" s="113">
        <f>'Sampling Data'!F897</f>
        <v>0</v>
      </c>
      <c r="H906" s="113">
        <f>'Sampling Data'!G897</f>
        <v>0</v>
      </c>
      <c r="I906" s="112">
        <f>'Sampling Data'!H897</f>
        <v>0</v>
      </c>
      <c r="J906" s="112">
        <f>'Sampling Data'!I897</f>
        <v>2</v>
      </c>
      <c r="K906" s="112">
        <f>'Sampling Data'!J897</f>
        <v>36</v>
      </c>
      <c r="L906" s="111">
        <f>'Sampling Data'!X897</f>
        <v>0</v>
      </c>
      <c r="M906" s="114"/>
      <c r="N906" s="114"/>
      <c r="O906" s="115"/>
      <c r="P906" s="115"/>
      <c r="Q906" s="116"/>
      <c r="R906" s="116"/>
      <c r="S906" s="111">
        <f>Audit[[#This Row],[Audit Losing Candidate]]-Audit[[#This Row],[Losing Candidate]]</f>
        <v>-16</v>
      </c>
      <c r="T906" s="111">
        <f>Audit[[#This Row],[Audit Winning Candidate]]-Audit[[#This Row],[Winning Candidate]]</f>
        <v>-6</v>
      </c>
      <c r="U906" s="111">
        <f>Audit[[#This Row],[Audit Candidate 3]]-Audit[[#This Row],[Candidate 3]]</f>
        <v>-3</v>
      </c>
      <c r="V906" s="111">
        <f>Audit[[#This Row],[Audit Candidate 4]]-Audit[[#This Row],[Candidate 4]]</f>
        <v>-9</v>
      </c>
      <c r="W906" s="111">
        <f>Audit[[#This Row],[Audit Candidate 5]]-Audit[[#This Row],[Candidate 5]]</f>
        <v>0</v>
      </c>
      <c r="X906" s="111">
        <f>Audit[[#This Row],[Audit Candidate 6]]-Audit[[#This Row],[Candidate 6]]</f>
        <v>0</v>
      </c>
      <c r="Y906" s="111">
        <f>SUMIF(Audit[[#This Row],[Difference Loser]:[Difference Candidate 6]], "&gt;0")</f>
        <v>0</v>
      </c>
      <c r="Z906" s="111">
        <f>SUM(Audit[[#This Row],[Difference Loser]:[Difference Candidate 6]])</f>
        <v>-34</v>
      </c>
      <c r="AA906" s="111">
        <f>IF(Audit[[#This Row],[Times p Drawn - With Replacement]]&gt;0, IF(Audit[[#This Row],[Canceled Differences]]&lt;0, Audit[[#This Row],[Max Differences]]+ABS(Audit[[#This Row],[Canceled Differences]]), Audit[[#This Row],[Max Differences]]), 0)</f>
        <v>0</v>
      </c>
      <c r="AB906" s="111">
        <f>'Sampling Data'!P897</f>
        <v>1.5923566878980893E-3</v>
      </c>
      <c r="AC906" s="111">
        <f>IF(
      SUM(Audit[[#This Row],[Audit Losing Candidate]:[Audit Candidate 6]])
      &lt;&gt;0,
      (Audit[[#This Row],[Winning Candidate]]-Audit[[#This Row],[Losing Candidate]]-(Audit[[#This Row],[Audit Winning Candidate]]-Audit[[#This Row],[Audit Losing Candidate]]))/(Audit[[#Totals],[Winning Candidate]]-Audit[[#Totals],[Losing Candidate]]),
      0
)</f>
        <v>0</v>
      </c>
      <c r="AD9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6" s="111">
        <f>IF(Audit[[#This Row],[Max Relative Error (ep)]] = 0, 0, Audit[[#This Row],[Max Relative Error (ep)]]/Audit[[#This Row],[Error Bound (up) - Max. possible relative overstatement]])</f>
        <v>0</v>
      </c>
      <c r="AJ9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06" s="111">
        <f t="shared" si="14"/>
        <v>1</v>
      </c>
      <c r="AL906" s="111">
        <f>PRODUCT($AK$5:AK906)</f>
        <v>8.962823818226312E-2</v>
      </c>
      <c r="AM906" s="109">
        <f>1 - [K-M P Value]</f>
        <v>0.91037176181773694</v>
      </c>
      <c r="AN906" s="111" t="str">
        <f>IF(Audit[[#This Row],[K-M P Value]]&gt;1-'General Info'!$B$16,"Continue", "Stop")</f>
        <v>Stop</v>
      </c>
      <c r="AO906" s="110" t="b">
        <f>IF(Audit[[#This Row],[Status - Continue or stop audit]] = "Continue", TRUE, IF(AN905 = "Continue", TRUE, FALSE))</f>
        <v>0</v>
      </c>
      <c r="AP906" s="110"/>
    </row>
    <row r="907" spans="1:42" ht="15" hidden="1" customHeight="1">
      <c r="A907" s="111" t="str">
        <f>'Sampling Data'!W898</f>
        <v/>
      </c>
      <c r="B907" s="112" t="str">
        <f>'Sampling Data'!A898</f>
        <v>CLEVELAND -18-J - ABS</v>
      </c>
      <c r="C907" s="112">
        <f>'Sampling Data'!B898</f>
        <v>5</v>
      </c>
      <c r="D907" s="112">
        <f>'Sampling Data'!C898</f>
        <v>8</v>
      </c>
      <c r="E907" s="113">
        <f>'Sampling Data'!D898</f>
        <v>2</v>
      </c>
      <c r="F907" s="113">
        <f>'Sampling Data'!E898</f>
        <v>2</v>
      </c>
      <c r="G907" s="113">
        <f>'Sampling Data'!F898</f>
        <v>0</v>
      </c>
      <c r="H907" s="113">
        <f>'Sampling Data'!G898</f>
        <v>0</v>
      </c>
      <c r="I907" s="112">
        <f>'Sampling Data'!H898</f>
        <v>0</v>
      </c>
      <c r="J907" s="112">
        <f>'Sampling Data'!I898</f>
        <v>0</v>
      </c>
      <c r="K907" s="112">
        <f>'Sampling Data'!J898</f>
        <v>17</v>
      </c>
      <c r="L907" s="111">
        <f>'Sampling Data'!X898</f>
        <v>0</v>
      </c>
      <c r="M907" s="114"/>
      <c r="N907" s="114"/>
      <c r="O907" s="115"/>
      <c r="P907" s="115"/>
      <c r="Q907" s="116"/>
      <c r="R907" s="116"/>
      <c r="S907" s="111">
        <f>Audit[[#This Row],[Audit Losing Candidate]]-Audit[[#This Row],[Losing Candidate]]</f>
        <v>-5</v>
      </c>
      <c r="T907" s="111">
        <f>Audit[[#This Row],[Audit Winning Candidate]]-Audit[[#This Row],[Winning Candidate]]</f>
        <v>-8</v>
      </c>
      <c r="U907" s="111">
        <f>Audit[[#This Row],[Audit Candidate 3]]-Audit[[#This Row],[Candidate 3]]</f>
        <v>-2</v>
      </c>
      <c r="V907" s="111">
        <f>Audit[[#This Row],[Audit Candidate 4]]-Audit[[#This Row],[Candidate 4]]</f>
        <v>-2</v>
      </c>
      <c r="W907" s="111">
        <f>Audit[[#This Row],[Audit Candidate 5]]-Audit[[#This Row],[Candidate 5]]</f>
        <v>0</v>
      </c>
      <c r="X907" s="111">
        <f>Audit[[#This Row],[Audit Candidate 6]]-Audit[[#This Row],[Candidate 6]]</f>
        <v>0</v>
      </c>
      <c r="Y907" s="111">
        <f>SUMIF(Audit[[#This Row],[Difference Loser]:[Difference Candidate 6]], "&gt;0")</f>
        <v>0</v>
      </c>
      <c r="Z907" s="111">
        <f>SUM(Audit[[#This Row],[Difference Loser]:[Difference Candidate 6]])</f>
        <v>-17</v>
      </c>
      <c r="AA907" s="111">
        <f>IF(Audit[[#This Row],[Times p Drawn - With Replacement]]&gt;0, IF(Audit[[#This Row],[Canceled Differences]]&lt;0, Audit[[#This Row],[Max Differences]]+ABS(Audit[[#This Row],[Canceled Differences]]), Audit[[#This Row],[Max Differences]]), 0)</f>
        <v>0</v>
      </c>
      <c r="AB907" s="111">
        <f>'Sampling Data'!P898</f>
        <v>1.224889759921607E-3</v>
      </c>
      <c r="AC907" s="111">
        <f>IF(
      SUM(Audit[[#This Row],[Audit Losing Candidate]:[Audit Candidate 6]])
      &lt;&gt;0,
      (Audit[[#This Row],[Winning Candidate]]-Audit[[#This Row],[Losing Candidate]]-(Audit[[#This Row],[Audit Winning Candidate]]-Audit[[#This Row],[Audit Losing Candidate]]))/(Audit[[#Totals],[Winning Candidate]]-Audit[[#Totals],[Losing Candidate]]),
      0
)</f>
        <v>0</v>
      </c>
      <c r="AD9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7" s="111">
        <f>IF(Audit[[#This Row],[Max Relative Error (ep)]] = 0, 0, Audit[[#This Row],[Max Relative Error (ep)]]/Audit[[#This Row],[Error Bound (up) - Max. possible relative overstatement]])</f>
        <v>0</v>
      </c>
      <c r="AJ9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07" s="111">
        <f t="shared" si="14"/>
        <v>1</v>
      </c>
      <c r="AL907" s="111">
        <f>PRODUCT($AK$5:AK907)</f>
        <v>8.962823818226312E-2</v>
      </c>
      <c r="AM907" s="109">
        <f>1 - [K-M P Value]</f>
        <v>0.91037176181773694</v>
      </c>
      <c r="AN907" s="111" t="str">
        <f>IF(Audit[[#This Row],[K-M P Value]]&gt;1-'General Info'!$B$16,"Continue", "Stop")</f>
        <v>Stop</v>
      </c>
      <c r="AO907" s="110" t="b">
        <f>IF(Audit[[#This Row],[Status - Continue or stop audit]] = "Continue", TRUE, IF(AN906 = "Continue", TRUE, FALSE))</f>
        <v>0</v>
      </c>
      <c r="AP907" s="110"/>
    </row>
    <row r="908" spans="1:42" ht="15" hidden="1" customHeight="1">
      <c r="A908" s="111" t="str">
        <f>'Sampling Data'!W899</f>
        <v/>
      </c>
      <c r="B908" s="112" t="str">
        <f>'Sampling Data'!A899</f>
        <v>CLEVELAND -18-K</v>
      </c>
      <c r="C908" s="112">
        <f>'Sampling Data'!B899</f>
        <v>24</v>
      </c>
      <c r="D908" s="112">
        <f>'Sampling Data'!C899</f>
        <v>20</v>
      </c>
      <c r="E908" s="113">
        <f>'Sampling Data'!D899</f>
        <v>9</v>
      </c>
      <c r="F908" s="113">
        <f>'Sampling Data'!E899</f>
        <v>4</v>
      </c>
      <c r="G908" s="113">
        <f>'Sampling Data'!F899</f>
        <v>0</v>
      </c>
      <c r="H908" s="113">
        <f>'Sampling Data'!G899</f>
        <v>0</v>
      </c>
      <c r="I908" s="112">
        <f>'Sampling Data'!H899</f>
        <v>0</v>
      </c>
      <c r="J908" s="112">
        <f>'Sampling Data'!I899</f>
        <v>0</v>
      </c>
      <c r="K908" s="112">
        <f>'Sampling Data'!J899</f>
        <v>57</v>
      </c>
      <c r="L908" s="111">
        <f>'Sampling Data'!X899</f>
        <v>0</v>
      </c>
      <c r="M908" s="114"/>
      <c r="N908" s="114"/>
      <c r="O908" s="115"/>
      <c r="P908" s="115"/>
      <c r="Q908" s="116"/>
      <c r="R908" s="116"/>
      <c r="S908" s="111">
        <f>Audit[[#This Row],[Audit Losing Candidate]]-Audit[[#This Row],[Losing Candidate]]</f>
        <v>-24</v>
      </c>
      <c r="T908" s="111">
        <f>Audit[[#This Row],[Audit Winning Candidate]]-Audit[[#This Row],[Winning Candidate]]</f>
        <v>-20</v>
      </c>
      <c r="U908" s="111">
        <f>Audit[[#This Row],[Audit Candidate 3]]-Audit[[#This Row],[Candidate 3]]</f>
        <v>-9</v>
      </c>
      <c r="V908" s="111">
        <f>Audit[[#This Row],[Audit Candidate 4]]-Audit[[#This Row],[Candidate 4]]</f>
        <v>-4</v>
      </c>
      <c r="W908" s="111">
        <f>Audit[[#This Row],[Audit Candidate 5]]-Audit[[#This Row],[Candidate 5]]</f>
        <v>0</v>
      </c>
      <c r="X908" s="111">
        <f>Audit[[#This Row],[Audit Candidate 6]]-Audit[[#This Row],[Candidate 6]]</f>
        <v>0</v>
      </c>
      <c r="Y908" s="111">
        <f>SUMIF(Audit[[#This Row],[Difference Loser]:[Difference Candidate 6]], "&gt;0")</f>
        <v>0</v>
      </c>
      <c r="Z908" s="111">
        <f>SUM(Audit[[#This Row],[Difference Loser]:[Difference Candidate 6]])</f>
        <v>-57</v>
      </c>
      <c r="AA908" s="111">
        <f>IF(Audit[[#This Row],[Times p Drawn - With Replacement]]&gt;0, IF(Audit[[#This Row],[Canceled Differences]]&lt;0, Audit[[#This Row],[Max Differences]]+ABS(Audit[[#This Row],[Canceled Differences]]), Audit[[#This Row],[Max Differences]]), 0)</f>
        <v>0</v>
      </c>
      <c r="AB908" s="111">
        <f>'Sampling Data'!P899</f>
        <v>3.2459578637922589E-3</v>
      </c>
      <c r="AC908" s="111">
        <f>IF(
      SUM(Audit[[#This Row],[Audit Losing Candidate]:[Audit Candidate 6]])
      &lt;&gt;0,
      (Audit[[#This Row],[Winning Candidate]]-Audit[[#This Row],[Losing Candidate]]-(Audit[[#This Row],[Audit Winning Candidate]]-Audit[[#This Row],[Audit Losing Candidate]]))/(Audit[[#Totals],[Winning Candidate]]-Audit[[#Totals],[Losing Candidate]]),
      0
)</f>
        <v>0</v>
      </c>
      <c r="AD9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8" s="111">
        <f>IF(Audit[[#This Row],[Max Relative Error (ep)]] = 0, 0, Audit[[#This Row],[Max Relative Error (ep)]]/Audit[[#This Row],[Error Bound (up) - Max. possible relative overstatement]])</f>
        <v>0</v>
      </c>
      <c r="AJ9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08" s="111">
        <f t="shared" si="14"/>
        <v>1</v>
      </c>
      <c r="AL908" s="111">
        <f>PRODUCT($AK$5:AK908)</f>
        <v>8.962823818226312E-2</v>
      </c>
      <c r="AM908" s="109">
        <f>1 - [K-M P Value]</f>
        <v>0.91037176181773694</v>
      </c>
      <c r="AN908" s="111" t="str">
        <f>IF(Audit[[#This Row],[K-M P Value]]&gt;1-'General Info'!$B$16,"Continue", "Stop")</f>
        <v>Stop</v>
      </c>
      <c r="AO908" s="110" t="b">
        <f>IF(Audit[[#This Row],[Status - Continue or stop audit]] = "Continue", TRUE, IF(AN907 = "Continue", TRUE, FALSE))</f>
        <v>0</v>
      </c>
      <c r="AP908" s="110"/>
    </row>
    <row r="909" spans="1:42" ht="15" hidden="1" customHeight="1">
      <c r="A909" s="111" t="str">
        <f>'Sampling Data'!W900</f>
        <v/>
      </c>
      <c r="B909" s="112" t="str">
        <f>'Sampling Data'!A900</f>
        <v>CLEVELAND -18-K - ABS</v>
      </c>
      <c r="C909" s="112">
        <f>'Sampling Data'!B900</f>
        <v>6</v>
      </c>
      <c r="D909" s="112">
        <f>'Sampling Data'!C900</f>
        <v>3</v>
      </c>
      <c r="E909" s="113">
        <f>'Sampling Data'!D900</f>
        <v>1</v>
      </c>
      <c r="F909" s="113">
        <f>'Sampling Data'!E900</f>
        <v>0</v>
      </c>
      <c r="G909" s="113">
        <f>'Sampling Data'!F900</f>
        <v>0</v>
      </c>
      <c r="H909" s="113">
        <f>'Sampling Data'!G900</f>
        <v>0</v>
      </c>
      <c r="I909" s="112">
        <f>'Sampling Data'!H900</f>
        <v>0</v>
      </c>
      <c r="J909" s="112">
        <f>'Sampling Data'!I900</f>
        <v>0</v>
      </c>
      <c r="K909" s="112">
        <f>'Sampling Data'!J900</f>
        <v>10</v>
      </c>
      <c r="L909" s="111">
        <f>'Sampling Data'!X900</f>
        <v>0</v>
      </c>
      <c r="M909" s="114"/>
      <c r="N909" s="114"/>
      <c r="O909" s="115"/>
      <c r="P909" s="115"/>
      <c r="Q909" s="116"/>
      <c r="R909" s="116"/>
      <c r="S909" s="111">
        <f>Audit[[#This Row],[Audit Losing Candidate]]-Audit[[#This Row],[Losing Candidate]]</f>
        <v>-6</v>
      </c>
      <c r="T909" s="111">
        <f>Audit[[#This Row],[Audit Winning Candidate]]-Audit[[#This Row],[Winning Candidate]]</f>
        <v>-3</v>
      </c>
      <c r="U909" s="111">
        <f>Audit[[#This Row],[Audit Candidate 3]]-Audit[[#This Row],[Candidate 3]]</f>
        <v>-1</v>
      </c>
      <c r="V909" s="111">
        <f>Audit[[#This Row],[Audit Candidate 4]]-Audit[[#This Row],[Candidate 4]]</f>
        <v>0</v>
      </c>
      <c r="W909" s="111">
        <f>Audit[[#This Row],[Audit Candidate 5]]-Audit[[#This Row],[Candidate 5]]</f>
        <v>0</v>
      </c>
      <c r="X909" s="111">
        <f>Audit[[#This Row],[Audit Candidate 6]]-Audit[[#This Row],[Candidate 6]]</f>
        <v>0</v>
      </c>
      <c r="Y909" s="111">
        <f>SUMIF(Audit[[#This Row],[Difference Loser]:[Difference Candidate 6]], "&gt;0")</f>
        <v>0</v>
      </c>
      <c r="Z909" s="111">
        <f>SUM(Audit[[#This Row],[Difference Loser]:[Difference Candidate 6]])</f>
        <v>-10</v>
      </c>
      <c r="AA909" s="111">
        <f>IF(Audit[[#This Row],[Times p Drawn - With Replacement]]&gt;0, IF(Audit[[#This Row],[Canceled Differences]]&lt;0, Audit[[#This Row],[Max Differences]]+ABS(Audit[[#This Row],[Canceled Differences]]), Audit[[#This Row],[Max Differences]]), 0)</f>
        <v>0</v>
      </c>
      <c r="AB909" s="111">
        <f>'Sampling Data'!P900</f>
        <v>4.2871141597256246E-4</v>
      </c>
      <c r="AC909" s="111">
        <f>IF(
      SUM(Audit[[#This Row],[Audit Losing Candidate]:[Audit Candidate 6]])
      &lt;&gt;0,
      (Audit[[#This Row],[Winning Candidate]]-Audit[[#This Row],[Losing Candidate]]-(Audit[[#This Row],[Audit Winning Candidate]]-Audit[[#This Row],[Audit Losing Candidate]]))/(Audit[[#Totals],[Winning Candidate]]-Audit[[#Totals],[Losing Candidate]]),
      0
)</f>
        <v>0</v>
      </c>
      <c r="AD9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9" s="111">
        <f>IF(Audit[[#This Row],[Max Relative Error (ep)]] = 0, 0, Audit[[#This Row],[Max Relative Error (ep)]]/Audit[[#This Row],[Error Bound (up) - Max. possible relative overstatement]])</f>
        <v>0</v>
      </c>
      <c r="AJ9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09" s="111">
        <f t="shared" si="14"/>
        <v>1</v>
      </c>
      <c r="AL909" s="111">
        <f>PRODUCT($AK$5:AK909)</f>
        <v>8.962823818226312E-2</v>
      </c>
      <c r="AM909" s="109">
        <f>1 - [K-M P Value]</f>
        <v>0.91037176181773694</v>
      </c>
      <c r="AN909" s="111" t="str">
        <f>IF(Audit[[#This Row],[K-M P Value]]&gt;1-'General Info'!$B$16,"Continue", "Stop")</f>
        <v>Stop</v>
      </c>
      <c r="AO909" s="110" t="b">
        <f>IF(Audit[[#This Row],[Status - Continue or stop audit]] = "Continue", TRUE, IF(AN908 = "Continue", TRUE, FALSE))</f>
        <v>0</v>
      </c>
      <c r="AP909" s="110"/>
    </row>
    <row r="910" spans="1:42" ht="15" hidden="1" customHeight="1">
      <c r="A910" s="111" t="str">
        <f>'Sampling Data'!W901</f>
        <v/>
      </c>
      <c r="B910" s="112" t="str">
        <f>'Sampling Data'!A901</f>
        <v>CLEVELAND -18-L</v>
      </c>
      <c r="C910" s="112">
        <f>'Sampling Data'!B901</f>
        <v>9</v>
      </c>
      <c r="D910" s="112">
        <f>'Sampling Data'!C901</f>
        <v>10</v>
      </c>
      <c r="E910" s="113">
        <f>'Sampling Data'!D901</f>
        <v>4</v>
      </c>
      <c r="F910" s="113">
        <f>'Sampling Data'!E901</f>
        <v>7</v>
      </c>
      <c r="G910" s="113">
        <f>'Sampling Data'!F901</f>
        <v>0</v>
      </c>
      <c r="H910" s="113">
        <f>'Sampling Data'!G901</f>
        <v>0</v>
      </c>
      <c r="I910" s="112">
        <f>'Sampling Data'!H901</f>
        <v>0</v>
      </c>
      <c r="J910" s="112">
        <f>'Sampling Data'!I901</f>
        <v>0</v>
      </c>
      <c r="K910" s="112">
        <f>'Sampling Data'!J901</f>
        <v>30</v>
      </c>
      <c r="L910" s="111">
        <f>'Sampling Data'!X901</f>
        <v>0</v>
      </c>
      <c r="M910" s="114"/>
      <c r="N910" s="114"/>
      <c r="O910" s="115"/>
      <c r="P910" s="115"/>
      <c r="Q910" s="116"/>
      <c r="R910" s="116"/>
      <c r="S910" s="111">
        <f>Audit[[#This Row],[Audit Losing Candidate]]-Audit[[#This Row],[Losing Candidate]]</f>
        <v>-9</v>
      </c>
      <c r="T910" s="111">
        <f>Audit[[#This Row],[Audit Winning Candidate]]-Audit[[#This Row],[Winning Candidate]]</f>
        <v>-10</v>
      </c>
      <c r="U910" s="111">
        <f>Audit[[#This Row],[Audit Candidate 3]]-Audit[[#This Row],[Candidate 3]]</f>
        <v>-4</v>
      </c>
      <c r="V910" s="111">
        <f>Audit[[#This Row],[Audit Candidate 4]]-Audit[[#This Row],[Candidate 4]]</f>
        <v>-7</v>
      </c>
      <c r="W910" s="111">
        <f>Audit[[#This Row],[Audit Candidate 5]]-Audit[[#This Row],[Candidate 5]]</f>
        <v>0</v>
      </c>
      <c r="X910" s="111">
        <f>Audit[[#This Row],[Audit Candidate 6]]-Audit[[#This Row],[Candidate 6]]</f>
        <v>0</v>
      </c>
      <c r="Y910" s="111">
        <f>SUMIF(Audit[[#This Row],[Difference Loser]:[Difference Candidate 6]], "&gt;0")</f>
        <v>0</v>
      </c>
      <c r="Z910" s="111">
        <f>SUM(Audit[[#This Row],[Difference Loser]:[Difference Candidate 6]])</f>
        <v>-30</v>
      </c>
      <c r="AA910" s="111">
        <f>IF(Audit[[#This Row],[Times p Drawn - With Replacement]]&gt;0, IF(Audit[[#This Row],[Canceled Differences]]&lt;0, Audit[[#This Row],[Max Differences]]+ABS(Audit[[#This Row],[Canceled Differences]]), Audit[[#This Row],[Max Differences]]), 0)</f>
        <v>0</v>
      </c>
      <c r="AB910" s="111">
        <f>'Sampling Data'!P901</f>
        <v>1.8985791278784908E-3</v>
      </c>
      <c r="AC910" s="111">
        <f>IF(
      SUM(Audit[[#This Row],[Audit Losing Candidate]:[Audit Candidate 6]])
      &lt;&gt;0,
      (Audit[[#This Row],[Winning Candidate]]-Audit[[#This Row],[Losing Candidate]]-(Audit[[#This Row],[Audit Winning Candidate]]-Audit[[#This Row],[Audit Losing Candidate]]))/(Audit[[#Totals],[Winning Candidate]]-Audit[[#Totals],[Losing Candidate]]),
      0
)</f>
        <v>0</v>
      </c>
      <c r="AD9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0" s="111">
        <f>IF(Audit[[#This Row],[Max Relative Error (ep)]] = 0, 0, Audit[[#This Row],[Max Relative Error (ep)]]/Audit[[#This Row],[Error Bound (up) - Max. possible relative overstatement]])</f>
        <v>0</v>
      </c>
      <c r="AJ9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10" s="111">
        <f t="shared" si="14"/>
        <v>1</v>
      </c>
      <c r="AL910" s="111">
        <f>PRODUCT($AK$5:AK910)</f>
        <v>8.962823818226312E-2</v>
      </c>
      <c r="AM910" s="109">
        <f>1 - [K-M P Value]</f>
        <v>0.91037176181773694</v>
      </c>
      <c r="AN910" s="111" t="str">
        <f>IF(Audit[[#This Row],[K-M P Value]]&gt;1-'General Info'!$B$16,"Continue", "Stop")</f>
        <v>Stop</v>
      </c>
      <c r="AO910" s="110" t="b">
        <f>IF(Audit[[#This Row],[Status - Continue or stop audit]] = "Continue", TRUE, IF(AN909 = "Continue", TRUE, FALSE))</f>
        <v>0</v>
      </c>
      <c r="AP910" s="110"/>
    </row>
    <row r="911" spans="1:42" ht="15" hidden="1" customHeight="1">
      <c r="A911" s="111" t="str">
        <f>'Sampling Data'!W902</f>
        <v/>
      </c>
      <c r="B911" s="112" t="str">
        <f>'Sampling Data'!A902</f>
        <v>CLEVELAND -18-L - ABS</v>
      </c>
      <c r="C911" s="112">
        <f>'Sampling Data'!B902</f>
        <v>9</v>
      </c>
      <c r="D911" s="112">
        <f>'Sampling Data'!C902</f>
        <v>3</v>
      </c>
      <c r="E911" s="113">
        <f>'Sampling Data'!D902</f>
        <v>1</v>
      </c>
      <c r="F911" s="113">
        <f>'Sampling Data'!E902</f>
        <v>3</v>
      </c>
      <c r="G911" s="113">
        <f>'Sampling Data'!F902</f>
        <v>0</v>
      </c>
      <c r="H911" s="113">
        <f>'Sampling Data'!G902</f>
        <v>0</v>
      </c>
      <c r="I911" s="112">
        <f>'Sampling Data'!H902</f>
        <v>0</v>
      </c>
      <c r="J911" s="112">
        <f>'Sampling Data'!I902</f>
        <v>0</v>
      </c>
      <c r="K911" s="112">
        <f>'Sampling Data'!J902</f>
        <v>16</v>
      </c>
      <c r="L911" s="111">
        <f>'Sampling Data'!X902</f>
        <v>0</v>
      </c>
      <c r="M911" s="114"/>
      <c r="N911" s="114"/>
      <c r="O911" s="115"/>
      <c r="P911" s="115"/>
      <c r="Q911" s="116"/>
      <c r="R911" s="116"/>
      <c r="S911" s="111">
        <f>Audit[[#This Row],[Audit Losing Candidate]]-Audit[[#This Row],[Losing Candidate]]</f>
        <v>-9</v>
      </c>
      <c r="T911" s="111">
        <f>Audit[[#This Row],[Audit Winning Candidate]]-Audit[[#This Row],[Winning Candidate]]</f>
        <v>-3</v>
      </c>
      <c r="U911" s="111">
        <f>Audit[[#This Row],[Audit Candidate 3]]-Audit[[#This Row],[Candidate 3]]</f>
        <v>-1</v>
      </c>
      <c r="V911" s="111">
        <f>Audit[[#This Row],[Audit Candidate 4]]-Audit[[#This Row],[Candidate 4]]</f>
        <v>-3</v>
      </c>
      <c r="W911" s="111">
        <f>Audit[[#This Row],[Audit Candidate 5]]-Audit[[#This Row],[Candidate 5]]</f>
        <v>0</v>
      </c>
      <c r="X911" s="111">
        <f>Audit[[#This Row],[Audit Candidate 6]]-Audit[[#This Row],[Candidate 6]]</f>
        <v>0</v>
      </c>
      <c r="Y911" s="111">
        <f>SUMIF(Audit[[#This Row],[Difference Loser]:[Difference Candidate 6]], "&gt;0")</f>
        <v>0</v>
      </c>
      <c r="Z911" s="111">
        <f>SUM(Audit[[#This Row],[Difference Loser]:[Difference Candidate 6]])</f>
        <v>-16</v>
      </c>
      <c r="AA911" s="111">
        <f>IF(Audit[[#This Row],[Times p Drawn - With Replacement]]&gt;0, IF(Audit[[#This Row],[Canceled Differences]]&lt;0, Audit[[#This Row],[Max Differences]]+ABS(Audit[[#This Row],[Canceled Differences]]), Audit[[#This Row],[Max Differences]]), 0)</f>
        <v>0</v>
      </c>
      <c r="AB911" s="111">
        <f>'Sampling Data'!P902</f>
        <v>6.1244487996080352E-4</v>
      </c>
      <c r="AC911" s="111">
        <f>IF(
      SUM(Audit[[#This Row],[Audit Losing Candidate]:[Audit Candidate 6]])
      &lt;&gt;0,
      (Audit[[#This Row],[Winning Candidate]]-Audit[[#This Row],[Losing Candidate]]-(Audit[[#This Row],[Audit Winning Candidate]]-Audit[[#This Row],[Audit Losing Candidate]]))/(Audit[[#Totals],[Winning Candidate]]-Audit[[#Totals],[Losing Candidate]]),
      0
)</f>
        <v>0</v>
      </c>
      <c r="AD9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1" s="111">
        <f>IF(Audit[[#This Row],[Max Relative Error (ep)]] = 0, 0, Audit[[#This Row],[Max Relative Error (ep)]]/Audit[[#This Row],[Error Bound (up) - Max. possible relative overstatement]])</f>
        <v>0</v>
      </c>
      <c r="AJ9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11" s="111">
        <f t="shared" si="14"/>
        <v>1</v>
      </c>
      <c r="AL911" s="111">
        <f>PRODUCT($AK$5:AK911)</f>
        <v>8.962823818226312E-2</v>
      </c>
      <c r="AM911" s="109">
        <f>1 - [K-M P Value]</f>
        <v>0.91037176181773694</v>
      </c>
      <c r="AN911" s="111" t="str">
        <f>IF(Audit[[#This Row],[K-M P Value]]&gt;1-'General Info'!$B$16,"Continue", "Stop")</f>
        <v>Stop</v>
      </c>
      <c r="AO911" s="110" t="b">
        <f>IF(Audit[[#This Row],[Status - Continue or stop audit]] = "Continue", TRUE, IF(AN910 = "Continue", TRUE, FALSE))</f>
        <v>0</v>
      </c>
      <c r="AP911" s="110"/>
    </row>
    <row r="912" spans="1:42" ht="15" hidden="1" customHeight="1">
      <c r="A912" s="111" t="str">
        <f>'Sampling Data'!W903</f>
        <v/>
      </c>
      <c r="B912" s="112" t="str">
        <f>'Sampling Data'!A903</f>
        <v>CLEVELAND -18-M</v>
      </c>
      <c r="C912" s="112">
        <f>'Sampling Data'!B903</f>
        <v>12</v>
      </c>
      <c r="D912" s="112">
        <f>'Sampling Data'!C903</f>
        <v>14</v>
      </c>
      <c r="E912" s="113">
        <f>'Sampling Data'!D903</f>
        <v>6</v>
      </c>
      <c r="F912" s="113">
        <f>'Sampling Data'!E903</f>
        <v>10</v>
      </c>
      <c r="G912" s="113">
        <f>'Sampling Data'!F903</f>
        <v>0</v>
      </c>
      <c r="H912" s="113">
        <f>'Sampling Data'!G903</f>
        <v>1</v>
      </c>
      <c r="I912" s="112">
        <f>'Sampling Data'!H903</f>
        <v>0</v>
      </c>
      <c r="J912" s="112">
        <f>'Sampling Data'!I903</f>
        <v>0</v>
      </c>
      <c r="K912" s="112">
        <f>'Sampling Data'!J903</f>
        <v>43</v>
      </c>
      <c r="L912" s="111">
        <f>'Sampling Data'!X903</f>
        <v>0</v>
      </c>
      <c r="M912" s="114"/>
      <c r="N912" s="114"/>
      <c r="O912" s="115"/>
      <c r="P912" s="115"/>
      <c r="Q912" s="116"/>
      <c r="R912" s="116"/>
      <c r="S912" s="111">
        <f>Audit[[#This Row],[Audit Losing Candidate]]-Audit[[#This Row],[Losing Candidate]]</f>
        <v>-12</v>
      </c>
      <c r="T912" s="111">
        <f>Audit[[#This Row],[Audit Winning Candidate]]-Audit[[#This Row],[Winning Candidate]]</f>
        <v>-14</v>
      </c>
      <c r="U912" s="111">
        <f>Audit[[#This Row],[Audit Candidate 3]]-Audit[[#This Row],[Candidate 3]]</f>
        <v>-6</v>
      </c>
      <c r="V912" s="111">
        <f>Audit[[#This Row],[Audit Candidate 4]]-Audit[[#This Row],[Candidate 4]]</f>
        <v>-10</v>
      </c>
      <c r="W912" s="111">
        <f>Audit[[#This Row],[Audit Candidate 5]]-Audit[[#This Row],[Candidate 5]]</f>
        <v>0</v>
      </c>
      <c r="X912" s="111">
        <f>Audit[[#This Row],[Audit Candidate 6]]-Audit[[#This Row],[Candidate 6]]</f>
        <v>-1</v>
      </c>
      <c r="Y912" s="111">
        <f>SUMIF(Audit[[#This Row],[Difference Loser]:[Difference Candidate 6]], "&gt;0")</f>
        <v>0</v>
      </c>
      <c r="Z912" s="111">
        <f>SUM(Audit[[#This Row],[Difference Loser]:[Difference Candidate 6]])</f>
        <v>-43</v>
      </c>
      <c r="AA912" s="111">
        <f>IF(Audit[[#This Row],[Times p Drawn - With Replacement]]&gt;0, IF(Audit[[#This Row],[Canceled Differences]]&lt;0, Audit[[#This Row],[Max Differences]]+ABS(Audit[[#This Row],[Canceled Differences]]), Audit[[#This Row],[Max Differences]]), 0)</f>
        <v>0</v>
      </c>
      <c r="AB912" s="111">
        <f>'Sampling Data'!P903</f>
        <v>2.7560019598236157E-3</v>
      </c>
      <c r="AC912" s="111">
        <f>IF(
      SUM(Audit[[#This Row],[Audit Losing Candidate]:[Audit Candidate 6]])
      &lt;&gt;0,
      (Audit[[#This Row],[Winning Candidate]]-Audit[[#This Row],[Losing Candidate]]-(Audit[[#This Row],[Audit Winning Candidate]]-Audit[[#This Row],[Audit Losing Candidate]]))/(Audit[[#Totals],[Winning Candidate]]-Audit[[#Totals],[Losing Candidate]]),
      0
)</f>
        <v>0</v>
      </c>
      <c r="AD9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2" s="111">
        <f>IF(Audit[[#This Row],[Max Relative Error (ep)]] = 0, 0, Audit[[#This Row],[Max Relative Error (ep)]]/Audit[[#This Row],[Error Bound (up) - Max. possible relative overstatement]])</f>
        <v>0</v>
      </c>
      <c r="AJ9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12" s="111">
        <f t="shared" si="14"/>
        <v>1</v>
      </c>
      <c r="AL912" s="111">
        <f>PRODUCT($AK$5:AK912)</f>
        <v>8.962823818226312E-2</v>
      </c>
      <c r="AM912" s="109">
        <f>1 - [K-M P Value]</f>
        <v>0.91037176181773694</v>
      </c>
      <c r="AN912" s="111" t="str">
        <f>IF(Audit[[#This Row],[K-M P Value]]&gt;1-'General Info'!$B$16,"Continue", "Stop")</f>
        <v>Stop</v>
      </c>
      <c r="AO912" s="110" t="b">
        <f>IF(Audit[[#This Row],[Status - Continue or stop audit]] = "Continue", TRUE, IF(AN911 = "Continue", TRUE, FALSE))</f>
        <v>0</v>
      </c>
      <c r="AP912" s="110"/>
    </row>
    <row r="913" spans="1:42" ht="15" hidden="1" customHeight="1">
      <c r="A913" s="111" t="str">
        <f>'Sampling Data'!W904</f>
        <v/>
      </c>
      <c r="B913" s="112" t="str">
        <f>'Sampling Data'!A904</f>
        <v>CLEVELAND -18-M - ABS</v>
      </c>
      <c r="C913" s="112">
        <f>'Sampling Data'!B904</f>
        <v>9</v>
      </c>
      <c r="D913" s="112">
        <f>'Sampling Data'!C904</f>
        <v>5</v>
      </c>
      <c r="E913" s="113">
        <f>'Sampling Data'!D904</f>
        <v>0</v>
      </c>
      <c r="F913" s="113">
        <f>'Sampling Data'!E904</f>
        <v>1</v>
      </c>
      <c r="G913" s="113">
        <f>'Sampling Data'!F904</f>
        <v>0</v>
      </c>
      <c r="H913" s="113">
        <f>'Sampling Data'!G904</f>
        <v>1</v>
      </c>
      <c r="I913" s="112">
        <f>'Sampling Data'!H904</f>
        <v>0</v>
      </c>
      <c r="J913" s="112">
        <f>'Sampling Data'!I904</f>
        <v>0</v>
      </c>
      <c r="K913" s="112">
        <f>'Sampling Data'!J904</f>
        <v>16</v>
      </c>
      <c r="L913" s="111">
        <f>'Sampling Data'!X904</f>
        <v>0</v>
      </c>
      <c r="M913" s="114"/>
      <c r="N913" s="114"/>
      <c r="O913" s="115"/>
      <c r="P913" s="115"/>
      <c r="Q913" s="116"/>
      <c r="R913" s="116"/>
      <c r="S913" s="111">
        <f>Audit[[#This Row],[Audit Losing Candidate]]-Audit[[#This Row],[Losing Candidate]]</f>
        <v>-9</v>
      </c>
      <c r="T913" s="111">
        <f>Audit[[#This Row],[Audit Winning Candidate]]-Audit[[#This Row],[Winning Candidate]]</f>
        <v>-5</v>
      </c>
      <c r="U913" s="111">
        <f>Audit[[#This Row],[Audit Candidate 3]]-Audit[[#This Row],[Candidate 3]]</f>
        <v>0</v>
      </c>
      <c r="V913" s="111">
        <f>Audit[[#This Row],[Audit Candidate 4]]-Audit[[#This Row],[Candidate 4]]</f>
        <v>-1</v>
      </c>
      <c r="W913" s="111">
        <f>Audit[[#This Row],[Audit Candidate 5]]-Audit[[#This Row],[Candidate 5]]</f>
        <v>0</v>
      </c>
      <c r="X913" s="111">
        <f>Audit[[#This Row],[Audit Candidate 6]]-Audit[[#This Row],[Candidate 6]]</f>
        <v>-1</v>
      </c>
      <c r="Y913" s="111">
        <f>SUMIF(Audit[[#This Row],[Difference Loser]:[Difference Candidate 6]], "&gt;0")</f>
        <v>0</v>
      </c>
      <c r="Z913" s="111">
        <f>SUM(Audit[[#This Row],[Difference Loser]:[Difference Candidate 6]])</f>
        <v>-16</v>
      </c>
      <c r="AA913" s="111">
        <f>IF(Audit[[#This Row],[Times p Drawn - With Replacement]]&gt;0, IF(Audit[[#This Row],[Canceled Differences]]&lt;0, Audit[[#This Row],[Max Differences]]+ABS(Audit[[#This Row],[Canceled Differences]]), Audit[[#This Row],[Max Differences]]), 0)</f>
        <v>0</v>
      </c>
      <c r="AB913" s="111">
        <f>'Sampling Data'!P904</f>
        <v>7.3493385595296422E-4</v>
      </c>
      <c r="AC913" s="111">
        <f>IF(
      SUM(Audit[[#This Row],[Audit Losing Candidate]:[Audit Candidate 6]])
      &lt;&gt;0,
      (Audit[[#This Row],[Winning Candidate]]-Audit[[#This Row],[Losing Candidate]]-(Audit[[#This Row],[Audit Winning Candidate]]-Audit[[#This Row],[Audit Losing Candidate]]))/(Audit[[#Totals],[Winning Candidate]]-Audit[[#Totals],[Losing Candidate]]),
      0
)</f>
        <v>0</v>
      </c>
      <c r="AD9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3" s="111">
        <f>IF(Audit[[#This Row],[Max Relative Error (ep)]] = 0, 0, Audit[[#This Row],[Max Relative Error (ep)]]/Audit[[#This Row],[Error Bound (up) - Max. possible relative overstatement]])</f>
        <v>0</v>
      </c>
      <c r="AJ9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13" s="111">
        <f t="shared" si="14"/>
        <v>1</v>
      </c>
      <c r="AL913" s="111">
        <f>PRODUCT($AK$5:AK913)</f>
        <v>8.962823818226312E-2</v>
      </c>
      <c r="AM913" s="109">
        <f>1 - [K-M P Value]</f>
        <v>0.91037176181773694</v>
      </c>
      <c r="AN913" s="111" t="str">
        <f>IF(Audit[[#This Row],[K-M P Value]]&gt;1-'General Info'!$B$16,"Continue", "Stop")</f>
        <v>Stop</v>
      </c>
      <c r="AO913" s="110" t="b">
        <f>IF(Audit[[#This Row],[Status - Continue or stop audit]] = "Continue", TRUE, IF(AN912 = "Continue", TRUE, FALSE))</f>
        <v>0</v>
      </c>
      <c r="AP913" s="110"/>
    </row>
    <row r="914" spans="1:42" ht="15" hidden="1" customHeight="1">
      <c r="A914" s="111" t="str">
        <f>'Sampling Data'!W905</f>
        <v/>
      </c>
      <c r="B914" s="112" t="str">
        <f>'Sampling Data'!A905</f>
        <v>CLEVELAND -18-N</v>
      </c>
      <c r="C914" s="112">
        <f>'Sampling Data'!B905</f>
        <v>14</v>
      </c>
      <c r="D914" s="112">
        <f>'Sampling Data'!C905</f>
        <v>17</v>
      </c>
      <c r="E914" s="113">
        <f>'Sampling Data'!D905</f>
        <v>7</v>
      </c>
      <c r="F914" s="113">
        <f>'Sampling Data'!E905</f>
        <v>2</v>
      </c>
      <c r="G914" s="113">
        <f>'Sampling Data'!F905</f>
        <v>0</v>
      </c>
      <c r="H914" s="113">
        <f>'Sampling Data'!G905</f>
        <v>0</v>
      </c>
      <c r="I914" s="112">
        <f>'Sampling Data'!H905</f>
        <v>0</v>
      </c>
      <c r="J914" s="112">
        <f>'Sampling Data'!I905</f>
        <v>0</v>
      </c>
      <c r="K914" s="112">
        <f>'Sampling Data'!J905</f>
        <v>40</v>
      </c>
      <c r="L914" s="111">
        <f>'Sampling Data'!X905</f>
        <v>0</v>
      </c>
      <c r="M914" s="114"/>
      <c r="N914" s="114"/>
      <c r="O914" s="115"/>
      <c r="P914" s="115"/>
      <c r="Q914" s="116"/>
      <c r="R914" s="116"/>
      <c r="S914" s="111">
        <f>Audit[[#This Row],[Audit Losing Candidate]]-Audit[[#This Row],[Losing Candidate]]</f>
        <v>-14</v>
      </c>
      <c r="T914" s="111">
        <f>Audit[[#This Row],[Audit Winning Candidate]]-Audit[[#This Row],[Winning Candidate]]</f>
        <v>-17</v>
      </c>
      <c r="U914" s="111">
        <f>Audit[[#This Row],[Audit Candidate 3]]-Audit[[#This Row],[Candidate 3]]</f>
        <v>-7</v>
      </c>
      <c r="V914" s="111">
        <f>Audit[[#This Row],[Audit Candidate 4]]-Audit[[#This Row],[Candidate 4]]</f>
        <v>-2</v>
      </c>
      <c r="W914" s="111">
        <f>Audit[[#This Row],[Audit Candidate 5]]-Audit[[#This Row],[Candidate 5]]</f>
        <v>0</v>
      </c>
      <c r="X914" s="111">
        <f>Audit[[#This Row],[Audit Candidate 6]]-Audit[[#This Row],[Candidate 6]]</f>
        <v>0</v>
      </c>
      <c r="Y914" s="111">
        <f>SUMIF(Audit[[#This Row],[Difference Loser]:[Difference Candidate 6]], "&gt;0")</f>
        <v>0</v>
      </c>
      <c r="Z914" s="111">
        <f>SUM(Audit[[#This Row],[Difference Loser]:[Difference Candidate 6]])</f>
        <v>-40</v>
      </c>
      <c r="AA914" s="111">
        <f>IF(Audit[[#This Row],[Times p Drawn - With Replacement]]&gt;0, IF(Audit[[#This Row],[Canceled Differences]]&lt;0, Audit[[#This Row],[Max Differences]]+ABS(Audit[[#This Row],[Canceled Differences]]), Audit[[#This Row],[Max Differences]]), 0)</f>
        <v>0</v>
      </c>
      <c r="AB914" s="111">
        <f>'Sampling Data'!P905</f>
        <v>2.6335129838314553E-3</v>
      </c>
      <c r="AC914" s="111">
        <f>IF(
      SUM(Audit[[#This Row],[Audit Losing Candidate]:[Audit Candidate 6]])
      &lt;&gt;0,
      (Audit[[#This Row],[Winning Candidate]]-Audit[[#This Row],[Losing Candidate]]-(Audit[[#This Row],[Audit Winning Candidate]]-Audit[[#This Row],[Audit Losing Candidate]]))/(Audit[[#Totals],[Winning Candidate]]-Audit[[#Totals],[Losing Candidate]]),
      0
)</f>
        <v>0</v>
      </c>
      <c r="AD9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4" s="111">
        <f>IF(Audit[[#This Row],[Max Relative Error (ep)]] = 0, 0, Audit[[#This Row],[Max Relative Error (ep)]]/Audit[[#This Row],[Error Bound (up) - Max. possible relative overstatement]])</f>
        <v>0</v>
      </c>
      <c r="AJ9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14" s="111">
        <f t="shared" si="14"/>
        <v>1</v>
      </c>
      <c r="AL914" s="111">
        <f>PRODUCT($AK$5:AK914)</f>
        <v>8.962823818226312E-2</v>
      </c>
      <c r="AM914" s="109">
        <f>1 - [K-M P Value]</f>
        <v>0.91037176181773694</v>
      </c>
      <c r="AN914" s="111" t="str">
        <f>IF(Audit[[#This Row],[K-M P Value]]&gt;1-'General Info'!$B$16,"Continue", "Stop")</f>
        <v>Stop</v>
      </c>
      <c r="AO914" s="110" t="b">
        <f>IF(Audit[[#This Row],[Status - Continue or stop audit]] = "Continue", TRUE, IF(AN913 = "Continue", TRUE, FALSE))</f>
        <v>0</v>
      </c>
      <c r="AP914" s="110"/>
    </row>
    <row r="915" spans="1:42" ht="15" hidden="1" customHeight="1">
      <c r="A915" s="111" t="str">
        <f>'Sampling Data'!W906</f>
        <v/>
      </c>
      <c r="B915" s="112" t="str">
        <f>'Sampling Data'!A906</f>
        <v>CLEVELAND -18-N - ABS</v>
      </c>
      <c r="C915" s="112">
        <f>'Sampling Data'!B906</f>
        <v>8</v>
      </c>
      <c r="D915" s="112">
        <f>'Sampling Data'!C906</f>
        <v>5</v>
      </c>
      <c r="E915" s="113">
        <f>'Sampling Data'!D906</f>
        <v>2</v>
      </c>
      <c r="F915" s="113">
        <f>'Sampling Data'!E906</f>
        <v>1</v>
      </c>
      <c r="G915" s="113">
        <f>'Sampling Data'!F906</f>
        <v>0</v>
      </c>
      <c r="H915" s="113">
        <f>'Sampling Data'!G906</f>
        <v>0</v>
      </c>
      <c r="I915" s="112">
        <f>'Sampling Data'!H906</f>
        <v>0</v>
      </c>
      <c r="J915" s="112">
        <f>'Sampling Data'!I906</f>
        <v>0</v>
      </c>
      <c r="K915" s="112">
        <f>'Sampling Data'!J906</f>
        <v>16</v>
      </c>
      <c r="L915" s="111">
        <f>'Sampling Data'!X906</f>
        <v>0</v>
      </c>
      <c r="M915" s="114"/>
      <c r="N915" s="114"/>
      <c r="O915" s="115"/>
      <c r="P915" s="115"/>
      <c r="Q915" s="116"/>
      <c r="R915" s="116"/>
      <c r="S915" s="111">
        <f>Audit[[#This Row],[Audit Losing Candidate]]-Audit[[#This Row],[Losing Candidate]]</f>
        <v>-8</v>
      </c>
      <c r="T915" s="111">
        <f>Audit[[#This Row],[Audit Winning Candidate]]-Audit[[#This Row],[Winning Candidate]]</f>
        <v>-5</v>
      </c>
      <c r="U915" s="111">
        <f>Audit[[#This Row],[Audit Candidate 3]]-Audit[[#This Row],[Candidate 3]]</f>
        <v>-2</v>
      </c>
      <c r="V915" s="111">
        <f>Audit[[#This Row],[Audit Candidate 4]]-Audit[[#This Row],[Candidate 4]]</f>
        <v>-1</v>
      </c>
      <c r="W915" s="111">
        <f>Audit[[#This Row],[Audit Candidate 5]]-Audit[[#This Row],[Candidate 5]]</f>
        <v>0</v>
      </c>
      <c r="X915" s="111">
        <f>Audit[[#This Row],[Audit Candidate 6]]-Audit[[#This Row],[Candidate 6]]</f>
        <v>0</v>
      </c>
      <c r="Y915" s="111">
        <f>SUMIF(Audit[[#This Row],[Difference Loser]:[Difference Candidate 6]], "&gt;0")</f>
        <v>0</v>
      </c>
      <c r="Z915" s="111">
        <f>SUM(Audit[[#This Row],[Difference Loser]:[Difference Candidate 6]])</f>
        <v>-16</v>
      </c>
      <c r="AA915" s="111">
        <f>IF(Audit[[#This Row],[Times p Drawn - With Replacement]]&gt;0, IF(Audit[[#This Row],[Canceled Differences]]&lt;0, Audit[[#This Row],[Max Differences]]+ABS(Audit[[#This Row],[Canceled Differences]]), Audit[[#This Row],[Max Differences]]), 0)</f>
        <v>0</v>
      </c>
      <c r="AB915" s="111">
        <f>'Sampling Data'!P906</f>
        <v>7.9617834394904463E-4</v>
      </c>
      <c r="AC915" s="111">
        <f>IF(
      SUM(Audit[[#This Row],[Audit Losing Candidate]:[Audit Candidate 6]])
      &lt;&gt;0,
      (Audit[[#This Row],[Winning Candidate]]-Audit[[#This Row],[Losing Candidate]]-(Audit[[#This Row],[Audit Winning Candidate]]-Audit[[#This Row],[Audit Losing Candidate]]))/(Audit[[#Totals],[Winning Candidate]]-Audit[[#Totals],[Losing Candidate]]),
      0
)</f>
        <v>0</v>
      </c>
      <c r="AD9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5" s="111">
        <f>IF(Audit[[#This Row],[Max Relative Error (ep)]] = 0, 0, Audit[[#This Row],[Max Relative Error (ep)]]/Audit[[#This Row],[Error Bound (up) - Max. possible relative overstatement]])</f>
        <v>0</v>
      </c>
      <c r="AJ9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15" s="111">
        <f t="shared" si="14"/>
        <v>1</v>
      </c>
      <c r="AL915" s="111">
        <f>PRODUCT($AK$5:AK915)</f>
        <v>8.962823818226312E-2</v>
      </c>
      <c r="AM915" s="109">
        <f>1 - [K-M P Value]</f>
        <v>0.91037176181773694</v>
      </c>
      <c r="AN915" s="111" t="str">
        <f>IF(Audit[[#This Row],[K-M P Value]]&gt;1-'General Info'!$B$16,"Continue", "Stop")</f>
        <v>Stop</v>
      </c>
      <c r="AO915" s="110" t="b">
        <f>IF(Audit[[#This Row],[Status - Continue or stop audit]] = "Continue", TRUE, IF(AN914 = "Continue", TRUE, FALSE))</f>
        <v>0</v>
      </c>
      <c r="AP915" s="110"/>
    </row>
    <row r="916" spans="1:42" ht="15" hidden="1" customHeight="1">
      <c r="A916" s="111" t="str">
        <f>'Sampling Data'!W907</f>
        <v/>
      </c>
      <c r="B916" s="112" t="str">
        <f>'Sampling Data'!A907</f>
        <v>CLEVELAND -18-O</v>
      </c>
      <c r="C916" s="112">
        <f>'Sampling Data'!B907</f>
        <v>18</v>
      </c>
      <c r="D916" s="112">
        <f>'Sampling Data'!C907</f>
        <v>17</v>
      </c>
      <c r="E916" s="113">
        <f>'Sampling Data'!D907</f>
        <v>8</v>
      </c>
      <c r="F916" s="113">
        <f>'Sampling Data'!E907</f>
        <v>10</v>
      </c>
      <c r="G916" s="113">
        <f>'Sampling Data'!F907</f>
        <v>0</v>
      </c>
      <c r="H916" s="113">
        <f>'Sampling Data'!G907</f>
        <v>0</v>
      </c>
      <c r="I916" s="112">
        <f>'Sampling Data'!H907</f>
        <v>0</v>
      </c>
      <c r="J916" s="112">
        <f>'Sampling Data'!I907</f>
        <v>0</v>
      </c>
      <c r="K916" s="112">
        <f>'Sampling Data'!J907</f>
        <v>53</v>
      </c>
      <c r="L916" s="111">
        <f>'Sampling Data'!X907</f>
        <v>0</v>
      </c>
      <c r="M916" s="114"/>
      <c r="N916" s="114"/>
      <c r="O916" s="115"/>
      <c r="P916" s="115"/>
      <c r="Q916" s="116"/>
      <c r="R916" s="116"/>
      <c r="S916" s="111">
        <f>Audit[[#This Row],[Audit Losing Candidate]]-Audit[[#This Row],[Losing Candidate]]</f>
        <v>-18</v>
      </c>
      <c r="T916" s="111">
        <f>Audit[[#This Row],[Audit Winning Candidate]]-Audit[[#This Row],[Winning Candidate]]</f>
        <v>-17</v>
      </c>
      <c r="U916" s="111">
        <f>Audit[[#This Row],[Audit Candidate 3]]-Audit[[#This Row],[Candidate 3]]</f>
        <v>-8</v>
      </c>
      <c r="V916" s="111">
        <f>Audit[[#This Row],[Audit Candidate 4]]-Audit[[#This Row],[Candidate 4]]</f>
        <v>-10</v>
      </c>
      <c r="W916" s="111">
        <f>Audit[[#This Row],[Audit Candidate 5]]-Audit[[#This Row],[Candidate 5]]</f>
        <v>0</v>
      </c>
      <c r="X916" s="111">
        <f>Audit[[#This Row],[Audit Candidate 6]]-Audit[[#This Row],[Candidate 6]]</f>
        <v>0</v>
      </c>
      <c r="Y916" s="111">
        <f>SUMIF(Audit[[#This Row],[Difference Loser]:[Difference Candidate 6]], "&gt;0")</f>
        <v>0</v>
      </c>
      <c r="Z916" s="111">
        <f>SUM(Audit[[#This Row],[Difference Loser]:[Difference Candidate 6]])</f>
        <v>-53</v>
      </c>
      <c r="AA916" s="111">
        <f>IF(Audit[[#This Row],[Times p Drawn - With Replacement]]&gt;0, IF(Audit[[#This Row],[Canceled Differences]]&lt;0, Audit[[#This Row],[Max Differences]]+ABS(Audit[[#This Row],[Canceled Differences]]), Audit[[#This Row],[Max Differences]]), 0)</f>
        <v>0</v>
      </c>
      <c r="AB916" s="111">
        <f>'Sampling Data'!P907</f>
        <v>3.1847133757961785E-3</v>
      </c>
      <c r="AC916" s="111">
        <f>IF(
      SUM(Audit[[#This Row],[Audit Losing Candidate]:[Audit Candidate 6]])
      &lt;&gt;0,
      (Audit[[#This Row],[Winning Candidate]]-Audit[[#This Row],[Losing Candidate]]-(Audit[[#This Row],[Audit Winning Candidate]]-Audit[[#This Row],[Audit Losing Candidate]]))/(Audit[[#Totals],[Winning Candidate]]-Audit[[#Totals],[Losing Candidate]]),
      0
)</f>
        <v>0</v>
      </c>
      <c r="AD9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6" s="111">
        <f>IF(Audit[[#This Row],[Max Relative Error (ep)]] = 0, 0, Audit[[#This Row],[Max Relative Error (ep)]]/Audit[[#This Row],[Error Bound (up) - Max. possible relative overstatement]])</f>
        <v>0</v>
      </c>
      <c r="AJ9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16" s="111">
        <f t="shared" si="14"/>
        <v>1</v>
      </c>
      <c r="AL916" s="111">
        <f>PRODUCT($AK$5:AK916)</f>
        <v>8.962823818226312E-2</v>
      </c>
      <c r="AM916" s="109">
        <f>1 - [K-M P Value]</f>
        <v>0.91037176181773694</v>
      </c>
      <c r="AN916" s="111" t="str">
        <f>IF(Audit[[#This Row],[K-M P Value]]&gt;1-'General Info'!$B$16,"Continue", "Stop")</f>
        <v>Stop</v>
      </c>
      <c r="AO916" s="110" t="b">
        <f>IF(Audit[[#This Row],[Status - Continue or stop audit]] = "Continue", TRUE, IF(AN915 = "Continue", TRUE, FALSE))</f>
        <v>0</v>
      </c>
      <c r="AP916" s="110"/>
    </row>
    <row r="917" spans="1:42" ht="15" hidden="1" customHeight="1">
      <c r="A917" s="111" t="str">
        <f>'Sampling Data'!W908</f>
        <v/>
      </c>
      <c r="B917" s="112" t="str">
        <f>'Sampling Data'!A908</f>
        <v>CLEVELAND -18-O - ABS</v>
      </c>
      <c r="C917" s="112">
        <f>'Sampling Data'!B908</f>
        <v>6</v>
      </c>
      <c r="D917" s="112">
        <f>'Sampling Data'!C908</f>
        <v>2</v>
      </c>
      <c r="E917" s="113">
        <f>'Sampling Data'!D908</f>
        <v>0</v>
      </c>
      <c r="F917" s="113">
        <f>'Sampling Data'!E908</f>
        <v>0</v>
      </c>
      <c r="G917" s="113">
        <f>'Sampling Data'!F908</f>
        <v>0</v>
      </c>
      <c r="H917" s="113">
        <f>'Sampling Data'!G908</f>
        <v>0</v>
      </c>
      <c r="I917" s="112">
        <f>'Sampling Data'!H908</f>
        <v>0</v>
      </c>
      <c r="J917" s="112">
        <f>'Sampling Data'!I908</f>
        <v>0</v>
      </c>
      <c r="K917" s="112">
        <f>'Sampling Data'!J908</f>
        <v>8</v>
      </c>
      <c r="L917" s="111">
        <f>'Sampling Data'!X908</f>
        <v>0</v>
      </c>
      <c r="M917" s="114"/>
      <c r="N917" s="114"/>
      <c r="O917" s="115"/>
      <c r="P917" s="115"/>
      <c r="Q917" s="116"/>
      <c r="R917" s="116"/>
      <c r="S917" s="111">
        <f>Audit[[#This Row],[Audit Losing Candidate]]-Audit[[#This Row],[Losing Candidate]]</f>
        <v>-6</v>
      </c>
      <c r="T917" s="111">
        <f>Audit[[#This Row],[Audit Winning Candidate]]-Audit[[#This Row],[Winning Candidate]]</f>
        <v>-2</v>
      </c>
      <c r="U917" s="111">
        <f>Audit[[#This Row],[Audit Candidate 3]]-Audit[[#This Row],[Candidate 3]]</f>
        <v>0</v>
      </c>
      <c r="V917" s="111">
        <f>Audit[[#This Row],[Audit Candidate 4]]-Audit[[#This Row],[Candidate 4]]</f>
        <v>0</v>
      </c>
      <c r="W917" s="111">
        <f>Audit[[#This Row],[Audit Candidate 5]]-Audit[[#This Row],[Candidate 5]]</f>
        <v>0</v>
      </c>
      <c r="X917" s="111">
        <f>Audit[[#This Row],[Audit Candidate 6]]-Audit[[#This Row],[Candidate 6]]</f>
        <v>0</v>
      </c>
      <c r="Y917" s="111">
        <f>SUMIF(Audit[[#This Row],[Difference Loser]:[Difference Candidate 6]], "&gt;0")</f>
        <v>0</v>
      </c>
      <c r="Z917" s="111">
        <f>SUM(Audit[[#This Row],[Difference Loser]:[Difference Candidate 6]])</f>
        <v>-8</v>
      </c>
      <c r="AA917" s="111">
        <f>IF(Audit[[#This Row],[Times p Drawn - With Replacement]]&gt;0, IF(Audit[[#This Row],[Canceled Differences]]&lt;0, Audit[[#This Row],[Max Differences]]+ABS(Audit[[#This Row],[Canceled Differences]]), Audit[[#This Row],[Max Differences]]), 0)</f>
        <v>0</v>
      </c>
      <c r="AB917" s="111">
        <f>'Sampling Data'!P908</f>
        <v>3.2261186566441915E-4</v>
      </c>
      <c r="AC917" s="111">
        <f>IF(
      SUM(Audit[[#This Row],[Audit Losing Candidate]:[Audit Candidate 6]])
      &lt;&gt;0,
      (Audit[[#This Row],[Winning Candidate]]-Audit[[#This Row],[Losing Candidate]]-(Audit[[#This Row],[Audit Winning Candidate]]-Audit[[#This Row],[Audit Losing Candidate]]))/(Audit[[#Totals],[Winning Candidate]]-Audit[[#Totals],[Losing Candidate]]),
      0
)</f>
        <v>0</v>
      </c>
      <c r="AD9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7" s="111">
        <f>IF(Audit[[#This Row],[Max Relative Error (ep)]] = 0, 0, Audit[[#This Row],[Max Relative Error (ep)]]/Audit[[#This Row],[Error Bound (up) - Max. possible relative overstatement]])</f>
        <v>0</v>
      </c>
      <c r="AJ9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17" s="111">
        <f t="shared" si="14"/>
        <v>1</v>
      </c>
      <c r="AL917" s="111">
        <f>PRODUCT($AK$5:AK917)</f>
        <v>8.962823818226312E-2</v>
      </c>
      <c r="AM917" s="109">
        <f>1 - [K-M P Value]</f>
        <v>0.91037176181773694</v>
      </c>
      <c r="AN917" s="111" t="str">
        <f>IF(Audit[[#This Row],[K-M P Value]]&gt;1-'General Info'!$B$16,"Continue", "Stop")</f>
        <v>Stop</v>
      </c>
      <c r="AO917" s="110" t="b">
        <f>IF(Audit[[#This Row],[Status - Continue or stop audit]] = "Continue", TRUE, IF(AN916 = "Continue", TRUE, FALSE))</f>
        <v>0</v>
      </c>
      <c r="AP917" s="110"/>
    </row>
    <row r="918" spans="1:42" ht="15" hidden="1" customHeight="1">
      <c r="A918" s="111" t="str">
        <f>'Sampling Data'!W909</f>
        <v/>
      </c>
      <c r="B918" s="112" t="str">
        <f>'Sampling Data'!A909</f>
        <v>CLEVELAND -19-A</v>
      </c>
      <c r="C918" s="112">
        <f>'Sampling Data'!B909</f>
        <v>11</v>
      </c>
      <c r="D918" s="112">
        <f>'Sampling Data'!C909</f>
        <v>21</v>
      </c>
      <c r="E918" s="113">
        <f>'Sampling Data'!D909</f>
        <v>3</v>
      </c>
      <c r="F918" s="113">
        <f>'Sampling Data'!E909</f>
        <v>3</v>
      </c>
      <c r="G918" s="113">
        <f>'Sampling Data'!F909</f>
        <v>1</v>
      </c>
      <c r="H918" s="113">
        <f>'Sampling Data'!G909</f>
        <v>0</v>
      </c>
      <c r="I918" s="112">
        <f>'Sampling Data'!H909</f>
        <v>0</v>
      </c>
      <c r="J918" s="112">
        <f>'Sampling Data'!I909</f>
        <v>2</v>
      </c>
      <c r="K918" s="112">
        <f>'Sampling Data'!J909</f>
        <v>41</v>
      </c>
      <c r="L918" s="111">
        <f>'Sampling Data'!X909</f>
        <v>0</v>
      </c>
      <c r="M918" s="114"/>
      <c r="N918" s="114"/>
      <c r="O918" s="115"/>
      <c r="P918" s="115"/>
      <c r="Q918" s="116"/>
      <c r="R918" s="116"/>
      <c r="S918" s="111">
        <f>Audit[[#This Row],[Audit Losing Candidate]]-Audit[[#This Row],[Losing Candidate]]</f>
        <v>-11</v>
      </c>
      <c r="T918" s="111">
        <f>Audit[[#This Row],[Audit Winning Candidate]]-Audit[[#This Row],[Winning Candidate]]</f>
        <v>-21</v>
      </c>
      <c r="U918" s="111">
        <f>Audit[[#This Row],[Audit Candidate 3]]-Audit[[#This Row],[Candidate 3]]</f>
        <v>-3</v>
      </c>
      <c r="V918" s="111">
        <f>Audit[[#This Row],[Audit Candidate 4]]-Audit[[#This Row],[Candidate 4]]</f>
        <v>-3</v>
      </c>
      <c r="W918" s="111">
        <f>Audit[[#This Row],[Audit Candidate 5]]-Audit[[#This Row],[Candidate 5]]</f>
        <v>-1</v>
      </c>
      <c r="X918" s="111">
        <f>Audit[[#This Row],[Audit Candidate 6]]-Audit[[#This Row],[Candidate 6]]</f>
        <v>0</v>
      </c>
      <c r="Y918" s="111">
        <f>SUMIF(Audit[[#This Row],[Difference Loser]:[Difference Candidate 6]], "&gt;0")</f>
        <v>0</v>
      </c>
      <c r="Z918" s="111">
        <f>SUM(Audit[[#This Row],[Difference Loser]:[Difference Candidate 6]])</f>
        <v>-39</v>
      </c>
      <c r="AA918" s="111">
        <f>IF(Audit[[#This Row],[Times p Drawn - With Replacement]]&gt;0, IF(Audit[[#This Row],[Canceled Differences]]&lt;0, Audit[[#This Row],[Max Differences]]+ABS(Audit[[#This Row],[Canceled Differences]]), Audit[[#This Row],[Max Differences]]), 0)</f>
        <v>0</v>
      </c>
      <c r="AB918" s="111">
        <f>'Sampling Data'!P909</f>
        <v>3.1234688878000981E-3</v>
      </c>
      <c r="AC918" s="111">
        <f>IF(
      SUM(Audit[[#This Row],[Audit Losing Candidate]:[Audit Candidate 6]])
      &lt;&gt;0,
      (Audit[[#This Row],[Winning Candidate]]-Audit[[#This Row],[Losing Candidate]]-(Audit[[#This Row],[Audit Winning Candidate]]-Audit[[#This Row],[Audit Losing Candidate]]))/(Audit[[#Totals],[Winning Candidate]]-Audit[[#Totals],[Losing Candidate]]),
      0
)</f>
        <v>0</v>
      </c>
      <c r="AD9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8" s="111">
        <f>IF(Audit[[#This Row],[Max Relative Error (ep)]] = 0, 0, Audit[[#This Row],[Max Relative Error (ep)]]/Audit[[#This Row],[Error Bound (up) - Max. possible relative overstatement]])</f>
        <v>0</v>
      </c>
      <c r="AJ9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18" s="111">
        <f t="shared" si="14"/>
        <v>1</v>
      </c>
      <c r="AL918" s="111">
        <f>PRODUCT($AK$5:AK918)</f>
        <v>8.962823818226312E-2</v>
      </c>
      <c r="AM918" s="109">
        <f>1 - [K-M P Value]</f>
        <v>0.91037176181773694</v>
      </c>
      <c r="AN918" s="111" t="str">
        <f>IF(Audit[[#This Row],[K-M P Value]]&gt;1-'General Info'!$B$16,"Continue", "Stop")</f>
        <v>Stop</v>
      </c>
      <c r="AO918" s="110" t="b">
        <f>IF(Audit[[#This Row],[Status - Continue or stop audit]] = "Continue", TRUE, IF(AN917 = "Continue", TRUE, FALSE))</f>
        <v>0</v>
      </c>
      <c r="AP918" s="110"/>
    </row>
    <row r="919" spans="1:42" ht="15" hidden="1" customHeight="1">
      <c r="A919" s="111" t="str">
        <f>'Sampling Data'!W910</f>
        <v/>
      </c>
      <c r="B919" s="112" t="str">
        <f>'Sampling Data'!A910</f>
        <v>CLEVELAND -19-A - ABS</v>
      </c>
      <c r="C919" s="112">
        <f>'Sampling Data'!B910</f>
        <v>11</v>
      </c>
      <c r="D919" s="112">
        <f>'Sampling Data'!C910</f>
        <v>4</v>
      </c>
      <c r="E919" s="113">
        <f>'Sampling Data'!D910</f>
        <v>0</v>
      </c>
      <c r="F919" s="113">
        <f>'Sampling Data'!E910</f>
        <v>2</v>
      </c>
      <c r="G919" s="113">
        <f>'Sampling Data'!F910</f>
        <v>0</v>
      </c>
      <c r="H919" s="113">
        <f>'Sampling Data'!G910</f>
        <v>0</v>
      </c>
      <c r="I919" s="112">
        <f>'Sampling Data'!H910</f>
        <v>0</v>
      </c>
      <c r="J919" s="112">
        <f>'Sampling Data'!I910</f>
        <v>0</v>
      </c>
      <c r="K919" s="112">
        <f>'Sampling Data'!J910</f>
        <v>17</v>
      </c>
      <c r="L919" s="111">
        <f>'Sampling Data'!X910</f>
        <v>0</v>
      </c>
      <c r="M919" s="114"/>
      <c r="N919" s="114"/>
      <c r="O919" s="115"/>
      <c r="P919" s="115"/>
      <c r="Q919" s="116"/>
      <c r="R919" s="116"/>
      <c r="S919" s="111">
        <f>Audit[[#This Row],[Audit Losing Candidate]]-Audit[[#This Row],[Losing Candidate]]</f>
        <v>-11</v>
      </c>
      <c r="T919" s="111">
        <f>Audit[[#This Row],[Audit Winning Candidate]]-Audit[[#This Row],[Winning Candidate]]</f>
        <v>-4</v>
      </c>
      <c r="U919" s="111">
        <f>Audit[[#This Row],[Audit Candidate 3]]-Audit[[#This Row],[Candidate 3]]</f>
        <v>0</v>
      </c>
      <c r="V919" s="111">
        <f>Audit[[#This Row],[Audit Candidate 4]]-Audit[[#This Row],[Candidate 4]]</f>
        <v>-2</v>
      </c>
      <c r="W919" s="111">
        <f>Audit[[#This Row],[Audit Candidate 5]]-Audit[[#This Row],[Candidate 5]]</f>
        <v>0</v>
      </c>
      <c r="X919" s="111">
        <f>Audit[[#This Row],[Audit Candidate 6]]-Audit[[#This Row],[Candidate 6]]</f>
        <v>0</v>
      </c>
      <c r="Y919" s="111">
        <f>SUMIF(Audit[[#This Row],[Difference Loser]:[Difference Candidate 6]], "&gt;0")</f>
        <v>0</v>
      </c>
      <c r="Z919" s="111">
        <f>SUM(Audit[[#This Row],[Difference Loser]:[Difference Candidate 6]])</f>
        <v>-17</v>
      </c>
      <c r="AA919" s="111">
        <f>IF(Audit[[#This Row],[Times p Drawn - With Replacement]]&gt;0, IF(Audit[[#This Row],[Canceled Differences]]&lt;0, Audit[[#This Row],[Max Differences]]+ABS(Audit[[#This Row],[Canceled Differences]]), Audit[[#This Row],[Max Differences]]), 0)</f>
        <v>0</v>
      </c>
      <c r="AB919" s="111">
        <f>'Sampling Data'!P910</f>
        <v>6.7748491789528019E-4</v>
      </c>
      <c r="AC919" s="111">
        <f>IF(
      SUM(Audit[[#This Row],[Audit Losing Candidate]:[Audit Candidate 6]])
      &lt;&gt;0,
      (Audit[[#This Row],[Winning Candidate]]-Audit[[#This Row],[Losing Candidate]]-(Audit[[#This Row],[Audit Winning Candidate]]-Audit[[#This Row],[Audit Losing Candidate]]))/(Audit[[#Totals],[Winning Candidate]]-Audit[[#Totals],[Losing Candidate]]),
      0
)</f>
        <v>0</v>
      </c>
      <c r="AD9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9" s="111">
        <f>IF(Audit[[#This Row],[Max Relative Error (ep)]] = 0, 0, Audit[[#This Row],[Max Relative Error (ep)]]/Audit[[#This Row],[Error Bound (up) - Max. possible relative overstatement]])</f>
        <v>0</v>
      </c>
      <c r="AJ9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19" s="111">
        <f t="shared" si="14"/>
        <v>1</v>
      </c>
      <c r="AL919" s="111">
        <f>PRODUCT($AK$5:AK919)</f>
        <v>8.962823818226312E-2</v>
      </c>
      <c r="AM919" s="109">
        <f>1 - [K-M P Value]</f>
        <v>0.91037176181773694</v>
      </c>
      <c r="AN919" s="111" t="str">
        <f>IF(Audit[[#This Row],[K-M P Value]]&gt;1-'General Info'!$B$16,"Continue", "Stop")</f>
        <v>Stop</v>
      </c>
      <c r="AO919" s="110" t="b">
        <f>IF(Audit[[#This Row],[Status - Continue or stop audit]] = "Continue", TRUE, IF(AN918 = "Continue", TRUE, FALSE))</f>
        <v>0</v>
      </c>
      <c r="AP919" s="110"/>
    </row>
    <row r="920" spans="1:42" ht="15" hidden="1" customHeight="1">
      <c r="A920" s="111" t="str">
        <f>'Sampling Data'!W911</f>
        <v/>
      </c>
      <c r="B920" s="112" t="str">
        <f>'Sampling Data'!A911</f>
        <v>CLEVELAND -19-B</v>
      </c>
      <c r="C920" s="112">
        <f>'Sampling Data'!B911</f>
        <v>20</v>
      </c>
      <c r="D920" s="112">
        <f>'Sampling Data'!C911</f>
        <v>19</v>
      </c>
      <c r="E920" s="113">
        <f>'Sampling Data'!D911</f>
        <v>4</v>
      </c>
      <c r="F920" s="113">
        <f>'Sampling Data'!E911</f>
        <v>1</v>
      </c>
      <c r="G920" s="113">
        <f>'Sampling Data'!F911</f>
        <v>0</v>
      </c>
      <c r="H920" s="113">
        <f>'Sampling Data'!G911</f>
        <v>0</v>
      </c>
      <c r="I920" s="112">
        <f>'Sampling Data'!H911</f>
        <v>0</v>
      </c>
      <c r="J920" s="112">
        <f>'Sampling Data'!I911</f>
        <v>0</v>
      </c>
      <c r="K920" s="112">
        <f>'Sampling Data'!J911</f>
        <v>44</v>
      </c>
      <c r="L920" s="111">
        <f>'Sampling Data'!X911</f>
        <v>0</v>
      </c>
      <c r="M920" s="114"/>
      <c r="N920" s="114"/>
      <c r="O920" s="115"/>
      <c r="P920" s="115"/>
      <c r="Q920" s="116"/>
      <c r="R920" s="116"/>
      <c r="S920" s="111">
        <f>Audit[[#This Row],[Audit Losing Candidate]]-Audit[[#This Row],[Losing Candidate]]</f>
        <v>-20</v>
      </c>
      <c r="T920" s="111">
        <f>Audit[[#This Row],[Audit Winning Candidate]]-Audit[[#This Row],[Winning Candidate]]</f>
        <v>-19</v>
      </c>
      <c r="U920" s="111">
        <f>Audit[[#This Row],[Audit Candidate 3]]-Audit[[#This Row],[Candidate 3]]</f>
        <v>-4</v>
      </c>
      <c r="V920" s="111">
        <f>Audit[[#This Row],[Audit Candidate 4]]-Audit[[#This Row],[Candidate 4]]</f>
        <v>-1</v>
      </c>
      <c r="W920" s="111">
        <f>Audit[[#This Row],[Audit Candidate 5]]-Audit[[#This Row],[Candidate 5]]</f>
        <v>0</v>
      </c>
      <c r="X920" s="111">
        <f>Audit[[#This Row],[Audit Candidate 6]]-Audit[[#This Row],[Candidate 6]]</f>
        <v>0</v>
      </c>
      <c r="Y920" s="111">
        <f>SUMIF(Audit[[#This Row],[Difference Loser]:[Difference Candidate 6]], "&gt;0")</f>
        <v>0</v>
      </c>
      <c r="Z920" s="111">
        <f>SUM(Audit[[#This Row],[Difference Loser]:[Difference Candidate 6]])</f>
        <v>-44</v>
      </c>
      <c r="AA920" s="111">
        <f>IF(Audit[[#This Row],[Times p Drawn - With Replacement]]&gt;0, IF(Audit[[#This Row],[Canceled Differences]]&lt;0, Audit[[#This Row],[Max Differences]]+ABS(Audit[[#This Row],[Canceled Differences]]), Audit[[#This Row],[Max Differences]]), 0)</f>
        <v>0</v>
      </c>
      <c r="AB920" s="111">
        <f>'Sampling Data'!P911</f>
        <v>2.6335129838314553E-3</v>
      </c>
      <c r="AC920" s="111">
        <f>IF(
      SUM(Audit[[#This Row],[Audit Losing Candidate]:[Audit Candidate 6]])
      &lt;&gt;0,
      (Audit[[#This Row],[Winning Candidate]]-Audit[[#This Row],[Losing Candidate]]-(Audit[[#This Row],[Audit Winning Candidate]]-Audit[[#This Row],[Audit Losing Candidate]]))/(Audit[[#Totals],[Winning Candidate]]-Audit[[#Totals],[Losing Candidate]]),
      0
)</f>
        <v>0</v>
      </c>
      <c r="AD9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0" s="111">
        <f>IF(Audit[[#This Row],[Max Relative Error (ep)]] = 0, 0, Audit[[#This Row],[Max Relative Error (ep)]]/Audit[[#This Row],[Error Bound (up) - Max. possible relative overstatement]])</f>
        <v>0</v>
      </c>
      <c r="AJ9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20" s="111">
        <f t="shared" si="14"/>
        <v>1</v>
      </c>
      <c r="AL920" s="111">
        <f>PRODUCT($AK$5:AK920)</f>
        <v>8.962823818226312E-2</v>
      </c>
      <c r="AM920" s="109">
        <f>1 - [K-M P Value]</f>
        <v>0.91037176181773694</v>
      </c>
      <c r="AN920" s="111" t="str">
        <f>IF(Audit[[#This Row],[K-M P Value]]&gt;1-'General Info'!$B$16,"Continue", "Stop")</f>
        <v>Stop</v>
      </c>
      <c r="AO920" s="110" t="b">
        <f>IF(Audit[[#This Row],[Status - Continue or stop audit]] = "Continue", TRUE, IF(AN919 = "Continue", TRUE, FALSE))</f>
        <v>0</v>
      </c>
      <c r="AP920" s="110"/>
    </row>
    <row r="921" spans="1:42" ht="15" hidden="1" customHeight="1">
      <c r="A921" s="111" t="str">
        <f>'Sampling Data'!W912</f>
        <v/>
      </c>
      <c r="B921" s="112" t="str">
        <f>'Sampling Data'!A912</f>
        <v>CLEVELAND -19-B - ABS</v>
      </c>
      <c r="C921" s="112">
        <f>'Sampling Data'!B912</f>
        <v>9</v>
      </c>
      <c r="D921" s="112">
        <f>'Sampling Data'!C912</f>
        <v>7</v>
      </c>
      <c r="E921" s="113">
        <f>'Sampling Data'!D912</f>
        <v>1</v>
      </c>
      <c r="F921" s="113">
        <f>'Sampling Data'!E912</f>
        <v>1</v>
      </c>
      <c r="G921" s="113">
        <f>'Sampling Data'!F912</f>
        <v>0</v>
      </c>
      <c r="H921" s="113">
        <f>'Sampling Data'!G912</f>
        <v>0</v>
      </c>
      <c r="I921" s="112">
        <f>'Sampling Data'!H912</f>
        <v>0</v>
      </c>
      <c r="J921" s="112">
        <f>'Sampling Data'!I912</f>
        <v>3</v>
      </c>
      <c r="K921" s="112">
        <f>'Sampling Data'!J912</f>
        <v>21</v>
      </c>
      <c r="L921" s="111">
        <f>'Sampling Data'!X912</f>
        <v>0</v>
      </c>
      <c r="M921" s="114"/>
      <c r="N921" s="114"/>
      <c r="O921" s="115"/>
      <c r="P921" s="115"/>
      <c r="Q921" s="116"/>
      <c r="R921" s="116"/>
      <c r="S921" s="111">
        <f>Audit[[#This Row],[Audit Losing Candidate]]-Audit[[#This Row],[Losing Candidate]]</f>
        <v>-9</v>
      </c>
      <c r="T921" s="111">
        <f>Audit[[#This Row],[Audit Winning Candidate]]-Audit[[#This Row],[Winning Candidate]]</f>
        <v>-7</v>
      </c>
      <c r="U921" s="111">
        <f>Audit[[#This Row],[Audit Candidate 3]]-Audit[[#This Row],[Candidate 3]]</f>
        <v>-1</v>
      </c>
      <c r="V921" s="111">
        <f>Audit[[#This Row],[Audit Candidate 4]]-Audit[[#This Row],[Candidate 4]]</f>
        <v>-1</v>
      </c>
      <c r="W921" s="111">
        <f>Audit[[#This Row],[Audit Candidate 5]]-Audit[[#This Row],[Candidate 5]]</f>
        <v>0</v>
      </c>
      <c r="X921" s="111">
        <f>Audit[[#This Row],[Audit Candidate 6]]-Audit[[#This Row],[Candidate 6]]</f>
        <v>0</v>
      </c>
      <c r="Y921" s="111">
        <f>SUMIF(Audit[[#This Row],[Difference Loser]:[Difference Candidate 6]], "&gt;0")</f>
        <v>0</v>
      </c>
      <c r="Z921" s="111">
        <f>SUM(Audit[[#This Row],[Difference Loser]:[Difference Candidate 6]])</f>
        <v>-18</v>
      </c>
      <c r="AA921" s="111">
        <f>IF(Audit[[#This Row],[Times p Drawn - With Replacement]]&gt;0, IF(Audit[[#This Row],[Canceled Differences]]&lt;0, Audit[[#This Row],[Max Differences]]+ABS(Audit[[#This Row],[Canceled Differences]]), Audit[[#This Row],[Max Differences]]), 0)</f>
        <v>0</v>
      </c>
      <c r="AB921" s="111">
        <f>'Sampling Data'!P912</f>
        <v>1.1636452719255266E-3</v>
      </c>
      <c r="AC921" s="111">
        <f>IF(
      SUM(Audit[[#This Row],[Audit Losing Candidate]:[Audit Candidate 6]])
      &lt;&gt;0,
      (Audit[[#This Row],[Winning Candidate]]-Audit[[#This Row],[Losing Candidate]]-(Audit[[#This Row],[Audit Winning Candidate]]-Audit[[#This Row],[Audit Losing Candidate]]))/(Audit[[#Totals],[Winning Candidate]]-Audit[[#Totals],[Losing Candidate]]),
      0
)</f>
        <v>0</v>
      </c>
      <c r="AD9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1" s="111">
        <f>IF(Audit[[#This Row],[Max Relative Error (ep)]] = 0, 0, Audit[[#This Row],[Max Relative Error (ep)]]/Audit[[#This Row],[Error Bound (up) - Max. possible relative overstatement]])</f>
        <v>0</v>
      </c>
      <c r="AJ9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21" s="111">
        <f t="shared" si="14"/>
        <v>1</v>
      </c>
      <c r="AL921" s="111">
        <f>PRODUCT($AK$5:AK921)</f>
        <v>8.962823818226312E-2</v>
      </c>
      <c r="AM921" s="109">
        <f>1 - [K-M P Value]</f>
        <v>0.91037176181773694</v>
      </c>
      <c r="AN921" s="111" t="str">
        <f>IF(Audit[[#This Row],[K-M P Value]]&gt;1-'General Info'!$B$16,"Continue", "Stop")</f>
        <v>Stop</v>
      </c>
      <c r="AO921" s="110" t="b">
        <f>IF(Audit[[#This Row],[Status - Continue or stop audit]] = "Continue", TRUE, IF(AN920 = "Continue", TRUE, FALSE))</f>
        <v>0</v>
      </c>
      <c r="AP921" s="110"/>
    </row>
    <row r="922" spans="1:42" ht="15" hidden="1" customHeight="1">
      <c r="A922" s="111" t="str">
        <f>'Sampling Data'!W913</f>
        <v/>
      </c>
      <c r="B922" s="112" t="str">
        <f>'Sampling Data'!A913</f>
        <v>CLEVELAND -19-C</v>
      </c>
      <c r="C922" s="112">
        <f>'Sampling Data'!B913</f>
        <v>16</v>
      </c>
      <c r="D922" s="112">
        <f>'Sampling Data'!C913</f>
        <v>19</v>
      </c>
      <c r="E922" s="113">
        <f>'Sampling Data'!D913</f>
        <v>11</v>
      </c>
      <c r="F922" s="113">
        <f>'Sampling Data'!E913</f>
        <v>13</v>
      </c>
      <c r="G922" s="113">
        <f>'Sampling Data'!F913</f>
        <v>1</v>
      </c>
      <c r="H922" s="113">
        <f>'Sampling Data'!G913</f>
        <v>0</v>
      </c>
      <c r="I922" s="112">
        <f>'Sampling Data'!H913</f>
        <v>0</v>
      </c>
      <c r="J922" s="112">
        <f>'Sampling Data'!I913</f>
        <v>1</v>
      </c>
      <c r="K922" s="112">
        <f>'Sampling Data'!J913</f>
        <v>61</v>
      </c>
      <c r="L922" s="111">
        <f>'Sampling Data'!X913</f>
        <v>0</v>
      </c>
      <c r="M922" s="114"/>
      <c r="N922" s="114"/>
      <c r="O922" s="115"/>
      <c r="P922" s="115"/>
      <c r="Q922" s="116"/>
      <c r="R922" s="116"/>
      <c r="S922" s="111">
        <f>Audit[[#This Row],[Audit Losing Candidate]]-Audit[[#This Row],[Losing Candidate]]</f>
        <v>-16</v>
      </c>
      <c r="T922" s="111">
        <f>Audit[[#This Row],[Audit Winning Candidate]]-Audit[[#This Row],[Winning Candidate]]</f>
        <v>-19</v>
      </c>
      <c r="U922" s="111">
        <f>Audit[[#This Row],[Audit Candidate 3]]-Audit[[#This Row],[Candidate 3]]</f>
        <v>-11</v>
      </c>
      <c r="V922" s="111">
        <f>Audit[[#This Row],[Audit Candidate 4]]-Audit[[#This Row],[Candidate 4]]</f>
        <v>-13</v>
      </c>
      <c r="W922" s="111">
        <f>Audit[[#This Row],[Audit Candidate 5]]-Audit[[#This Row],[Candidate 5]]</f>
        <v>-1</v>
      </c>
      <c r="X922" s="111">
        <f>Audit[[#This Row],[Audit Candidate 6]]-Audit[[#This Row],[Candidate 6]]</f>
        <v>0</v>
      </c>
      <c r="Y922" s="111">
        <f>SUMIF(Audit[[#This Row],[Difference Loser]:[Difference Candidate 6]], "&gt;0")</f>
        <v>0</v>
      </c>
      <c r="Z922" s="111">
        <f>SUM(Audit[[#This Row],[Difference Loser]:[Difference Candidate 6]])</f>
        <v>-60</v>
      </c>
      <c r="AA922" s="111">
        <f>IF(Audit[[#This Row],[Times p Drawn - With Replacement]]&gt;0, IF(Audit[[#This Row],[Canceled Differences]]&lt;0, Audit[[#This Row],[Max Differences]]+ABS(Audit[[#This Row],[Canceled Differences]]), Audit[[#This Row],[Max Differences]]), 0)</f>
        <v>0</v>
      </c>
      <c r="AB922" s="111">
        <f>'Sampling Data'!P913</f>
        <v>3.9196472317491425E-3</v>
      </c>
      <c r="AC922" s="111">
        <f>IF(
      SUM(Audit[[#This Row],[Audit Losing Candidate]:[Audit Candidate 6]])
      &lt;&gt;0,
      (Audit[[#This Row],[Winning Candidate]]-Audit[[#This Row],[Losing Candidate]]-(Audit[[#This Row],[Audit Winning Candidate]]-Audit[[#This Row],[Audit Losing Candidate]]))/(Audit[[#Totals],[Winning Candidate]]-Audit[[#Totals],[Losing Candidate]]),
      0
)</f>
        <v>0</v>
      </c>
      <c r="AD9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2" s="111">
        <f>IF(Audit[[#This Row],[Max Relative Error (ep)]] = 0, 0, Audit[[#This Row],[Max Relative Error (ep)]]/Audit[[#This Row],[Error Bound (up) - Max. possible relative overstatement]])</f>
        <v>0</v>
      </c>
      <c r="AJ9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22" s="111">
        <f t="shared" si="14"/>
        <v>1</v>
      </c>
      <c r="AL922" s="111">
        <f>PRODUCT($AK$5:AK922)</f>
        <v>8.962823818226312E-2</v>
      </c>
      <c r="AM922" s="109">
        <f>1 - [K-M P Value]</f>
        <v>0.91037176181773694</v>
      </c>
      <c r="AN922" s="111" t="str">
        <f>IF(Audit[[#This Row],[K-M P Value]]&gt;1-'General Info'!$B$16,"Continue", "Stop")</f>
        <v>Stop</v>
      </c>
      <c r="AO922" s="110" t="b">
        <f>IF(Audit[[#This Row],[Status - Continue or stop audit]] = "Continue", TRUE, IF(AN921 = "Continue", TRUE, FALSE))</f>
        <v>0</v>
      </c>
      <c r="AP922" s="110"/>
    </row>
    <row r="923" spans="1:42" ht="15" hidden="1" customHeight="1">
      <c r="A923" s="111" t="str">
        <f>'Sampling Data'!W914</f>
        <v/>
      </c>
      <c r="B923" s="112" t="str">
        <f>'Sampling Data'!A914</f>
        <v>CLEVELAND -19-C - ABS</v>
      </c>
      <c r="C923" s="112">
        <f>'Sampling Data'!B914</f>
        <v>4</v>
      </c>
      <c r="D923" s="112">
        <f>'Sampling Data'!C914</f>
        <v>2</v>
      </c>
      <c r="E923" s="113">
        <f>'Sampling Data'!D914</f>
        <v>4</v>
      </c>
      <c r="F923" s="113">
        <f>'Sampling Data'!E914</f>
        <v>2</v>
      </c>
      <c r="G923" s="113">
        <f>'Sampling Data'!F914</f>
        <v>0</v>
      </c>
      <c r="H923" s="113">
        <f>'Sampling Data'!G914</f>
        <v>0</v>
      </c>
      <c r="I923" s="112">
        <f>'Sampling Data'!H914</f>
        <v>0</v>
      </c>
      <c r="J923" s="112">
        <f>'Sampling Data'!I914</f>
        <v>0</v>
      </c>
      <c r="K923" s="112">
        <f>'Sampling Data'!J914</f>
        <v>12</v>
      </c>
      <c r="L923" s="111">
        <f>'Sampling Data'!X914</f>
        <v>0</v>
      </c>
      <c r="M923" s="114"/>
      <c r="N923" s="114"/>
      <c r="O923" s="115"/>
      <c r="P923" s="115"/>
      <c r="Q923" s="116"/>
      <c r="R923" s="116"/>
      <c r="S923" s="111">
        <f>Audit[[#This Row],[Audit Losing Candidate]]-Audit[[#This Row],[Losing Candidate]]</f>
        <v>-4</v>
      </c>
      <c r="T923" s="111">
        <f>Audit[[#This Row],[Audit Winning Candidate]]-Audit[[#This Row],[Winning Candidate]]</f>
        <v>-2</v>
      </c>
      <c r="U923" s="111">
        <f>Audit[[#This Row],[Audit Candidate 3]]-Audit[[#This Row],[Candidate 3]]</f>
        <v>-4</v>
      </c>
      <c r="V923" s="111">
        <f>Audit[[#This Row],[Audit Candidate 4]]-Audit[[#This Row],[Candidate 4]]</f>
        <v>-2</v>
      </c>
      <c r="W923" s="111">
        <f>Audit[[#This Row],[Audit Candidate 5]]-Audit[[#This Row],[Candidate 5]]</f>
        <v>0</v>
      </c>
      <c r="X923" s="111">
        <f>Audit[[#This Row],[Audit Candidate 6]]-Audit[[#This Row],[Candidate 6]]</f>
        <v>0</v>
      </c>
      <c r="Y923" s="111">
        <f>SUMIF(Audit[[#This Row],[Difference Loser]:[Difference Candidate 6]], "&gt;0")</f>
        <v>0</v>
      </c>
      <c r="Z923" s="111">
        <f>SUM(Audit[[#This Row],[Difference Loser]:[Difference Candidate 6]])</f>
        <v>-12</v>
      </c>
      <c r="AA923" s="111">
        <f>IF(Audit[[#This Row],[Times p Drawn - With Replacement]]&gt;0, IF(Audit[[#This Row],[Canceled Differences]]&lt;0, Audit[[#This Row],[Max Differences]]+ABS(Audit[[#This Row],[Canceled Differences]]), Audit[[#This Row],[Max Differences]]), 0)</f>
        <v>0</v>
      </c>
      <c r="AB923" s="111">
        <f>'Sampling Data'!P914</f>
        <v>6.1244487996080352E-4</v>
      </c>
      <c r="AC923" s="111">
        <f>IF(
      SUM(Audit[[#This Row],[Audit Losing Candidate]:[Audit Candidate 6]])
      &lt;&gt;0,
      (Audit[[#This Row],[Winning Candidate]]-Audit[[#This Row],[Losing Candidate]]-(Audit[[#This Row],[Audit Winning Candidate]]-Audit[[#This Row],[Audit Losing Candidate]]))/(Audit[[#Totals],[Winning Candidate]]-Audit[[#Totals],[Losing Candidate]]),
      0
)</f>
        <v>0</v>
      </c>
      <c r="AD9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3" s="111">
        <f>IF(Audit[[#This Row],[Max Relative Error (ep)]] = 0, 0, Audit[[#This Row],[Max Relative Error (ep)]]/Audit[[#This Row],[Error Bound (up) - Max. possible relative overstatement]])</f>
        <v>0</v>
      </c>
      <c r="AJ9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23" s="111">
        <f t="shared" si="14"/>
        <v>1</v>
      </c>
      <c r="AL923" s="111">
        <f>PRODUCT($AK$5:AK923)</f>
        <v>8.962823818226312E-2</v>
      </c>
      <c r="AM923" s="109">
        <f>1 - [K-M P Value]</f>
        <v>0.91037176181773694</v>
      </c>
      <c r="AN923" s="111" t="str">
        <f>IF(Audit[[#This Row],[K-M P Value]]&gt;1-'General Info'!$B$16,"Continue", "Stop")</f>
        <v>Stop</v>
      </c>
      <c r="AO923" s="110" t="b">
        <f>IF(Audit[[#This Row],[Status - Continue or stop audit]] = "Continue", TRUE, IF(AN922 = "Continue", TRUE, FALSE))</f>
        <v>0</v>
      </c>
      <c r="AP923" s="110"/>
    </row>
    <row r="924" spans="1:42" ht="15" hidden="1" customHeight="1">
      <c r="A924" s="111" t="str">
        <f>'Sampling Data'!W915</f>
        <v/>
      </c>
      <c r="B924" s="112" t="str">
        <f>'Sampling Data'!A915</f>
        <v>CLEVELAND -19-D</v>
      </c>
      <c r="C924" s="112">
        <f>'Sampling Data'!B915</f>
        <v>15</v>
      </c>
      <c r="D924" s="112">
        <f>'Sampling Data'!C915</f>
        <v>11</v>
      </c>
      <c r="E924" s="113">
        <f>'Sampling Data'!D915</f>
        <v>5</v>
      </c>
      <c r="F924" s="113">
        <f>'Sampling Data'!E915</f>
        <v>4</v>
      </c>
      <c r="G924" s="113">
        <f>'Sampling Data'!F915</f>
        <v>0</v>
      </c>
      <c r="H924" s="113">
        <f>'Sampling Data'!G915</f>
        <v>1</v>
      </c>
      <c r="I924" s="112">
        <f>'Sampling Data'!H915</f>
        <v>0</v>
      </c>
      <c r="J924" s="112">
        <f>'Sampling Data'!I915</f>
        <v>0</v>
      </c>
      <c r="K924" s="112">
        <f>'Sampling Data'!J915</f>
        <v>36</v>
      </c>
      <c r="L924" s="111">
        <f>'Sampling Data'!X915</f>
        <v>0</v>
      </c>
      <c r="M924" s="114"/>
      <c r="N924" s="114"/>
      <c r="O924" s="115"/>
      <c r="P924" s="115"/>
      <c r="Q924" s="116"/>
      <c r="R924" s="116"/>
      <c r="S924" s="111">
        <f>Audit[[#This Row],[Audit Losing Candidate]]-Audit[[#This Row],[Losing Candidate]]</f>
        <v>-15</v>
      </c>
      <c r="T924" s="111">
        <f>Audit[[#This Row],[Audit Winning Candidate]]-Audit[[#This Row],[Winning Candidate]]</f>
        <v>-11</v>
      </c>
      <c r="U924" s="111">
        <f>Audit[[#This Row],[Audit Candidate 3]]-Audit[[#This Row],[Candidate 3]]</f>
        <v>-5</v>
      </c>
      <c r="V924" s="111">
        <f>Audit[[#This Row],[Audit Candidate 4]]-Audit[[#This Row],[Candidate 4]]</f>
        <v>-4</v>
      </c>
      <c r="W924" s="111">
        <f>Audit[[#This Row],[Audit Candidate 5]]-Audit[[#This Row],[Candidate 5]]</f>
        <v>0</v>
      </c>
      <c r="X924" s="111">
        <f>Audit[[#This Row],[Audit Candidate 6]]-Audit[[#This Row],[Candidate 6]]</f>
        <v>-1</v>
      </c>
      <c r="Y924" s="111">
        <f>SUMIF(Audit[[#This Row],[Difference Loser]:[Difference Candidate 6]], "&gt;0")</f>
        <v>0</v>
      </c>
      <c r="Z924" s="111">
        <f>SUM(Audit[[#This Row],[Difference Loser]:[Difference Candidate 6]])</f>
        <v>-36</v>
      </c>
      <c r="AA924" s="111">
        <f>IF(Audit[[#This Row],[Times p Drawn - With Replacement]]&gt;0, IF(Audit[[#This Row],[Canceled Differences]]&lt;0, Audit[[#This Row],[Max Differences]]+ABS(Audit[[#This Row],[Canceled Differences]]), Audit[[#This Row],[Max Differences]]), 0)</f>
        <v>0</v>
      </c>
      <c r="AB924" s="111">
        <f>'Sampling Data'!P915</f>
        <v>1.9598236158745713E-3</v>
      </c>
      <c r="AC924" s="111">
        <f>IF(
      SUM(Audit[[#This Row],[Audit Losing Candidate]:[Audit Candidate 6]])
      &lt;&gt;0,
      (Audit[[#This Row],[Winning Candidate]]-Audit[[#This Row],[Losing Candidate]]-(Audit[[#This Row],[Audit Winning Candidate]]-Audit[[#This Row],[Audit Losing Candidate]]))/(Audit[[#Totals],[Winning Candidate]]-Audit[[#Totals],[Losing Candidate]]),
      0
)</f>
        <v>0</v>
      </c>
      <c r="AD9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4" s="111">
        <f>IF(Audit[[#This Row],[Max Relative Error (ep)]] = 0, 0, Audit[[#This Row],[Max Relative Error (ep)]]/Audit[[#This Row],[Error Bound (up) - Max. possible relative overstatement]])</f>
        <v>0</v>
      </c>
      <c r="AJ9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24" s="111">
        <f t="shared" si="14"/>
        <v>1</v>
      </c>
      <c r="AL924" s="111">
        <f>PRODUCT($AK$5:AK924)</f>
        <v>8.962823818226312E-2</v>
      </c>
      <c r="AM924" s="109">
        <f>1 - [K-M P Value]</f>
        <v>0.91037176181773694</v>
      </c>
      <c r="AN924" s="111" t="str">
        <f>IF(Audit[[#This Row],[K-M P Value]]&gt;1-'General Info'!$B$16,"Continue", "Stop")</f>
        <v>Stop</v>
      </c>
      <c r="AO924" s="110" t="b">
        <f>IF(Audit[[#This Row],[Status - Continue or stop audit]] = "Continue", TRUE, IF(AN923 = "Continue", TRUE, FALSE))</f>
        <v>0</v>
      </c>
      <c r="AP924" s="110"/>
    </row>
    <row r="925" spans="1:42" ht="15" hidden="1" customHeight="1">
      <c r="A925" s="111" t="str">
        <f>'Sampling Data'!W916</f>
        <v/>
      </c>
      <c r="B925" s="112" t="str">
        <f>'Sampling Data'!A916</f>
        <v>CLEVELAND -19-D - ABS</v>
      </c>
      <c r="C925" s="112">
        <f>'Sampling Data'!B916</f>
        <v>8</v>
      </c>
      <c r="D925" s="112">
        <f>'Sampling Data'!C916</f>
        <v>8</v>
      </c>
      <c r="E925" s="113">
        <f>'Sampling Data'!D916</f>
        <v>6</v>
      </c>
      <c r="F925" s="113">
        <f>'Sampling Data'!E916</f>
        <v>0</v>
      </c>
      <c r="G925" s="113">
        <f>'Sampling Data'!F916</f>
        <v>0</v>
      </c>
      <c r="H925" s="113">
        <f>'Sampling Data'!G916</f>
        <v>0</v>
      </c>
      <c r="I925" s="112">
        <f>'Sampling Data'!H916</f>
        <v>0</v>
      </c>
      <c r="J925" s="112">
        <f>'Sampling Data'!I916</f>
        <v>0</v>
      </c>
      <c r="K925" s="112">
        <f>'Sampling Data'!J916</f>
        <v>22</v>
      </c>
      <c r="L925" s="111">
        <f>'Sampling Data'!X916</f>
        <v>0</v>
      </c>
      <c r="M925" s="114"/>
      <c r="N925" s="114"/>
      <c r="O925" s="115"/>
      <c r="P925" s="115"/>
      <c r="Q925" s="116"/>
      <c r="R925" s="116"/>
      <c r="S925" s="111">
        <f>Audit[[#This Row],[Audit Losing Candidate]]-Audit[[#This Row],[Losing Candidate]]</f>
        <v>-8</v>
      </c>
      <c r="T925" s="111">
        <f>Audit[[#This Row],[Audit Winning Candidate]]-Audit[[#This Row],[Winning Candidate]]</f>
        <v>-8</v>
      </c>
      <c r="U925" s="111">
        <f>Audit[[#This Row],[Audit Candidate 3]]-Audit[[#This Row],[Candidate 3]]</f>
        <v>-6</v>
      </c>
      <c r="V925" s="111">
        <f>Audit[[#This Row],[Audit Candidate 4]]-Audit[[#This Row],[Candidate 4]]</f>
        <v>0</v>
      </c>
      <c r="W925" s="111">
        <f>Audit[[#This Row],[Audit Candidate 5]]-Audit[[#This Row],[Candidate 5]]</f>
        <v>0</v>
      </c>
      <c r="X925" s="111">
        <f>Audit[[#This Row],[Audit Candidate 6]]-Audit[[#This Row],[Candidate 6]]</f>
        <v>0</v>
      </c>
      <c r="Y925" s="111">
        <f>SUMIF(Audit[[#This Row],[Difference Loser]:[Difference Candidate 6]], "&gt;0")</f>
        <v>0</v>
      </c>
      <c r="Z925" s="111">
        <f>SUM(Audit[[#This Row],[Difference Loser]:[Difference Candidate 6]])</f>
        <v>-22</v>
      </c>
      <c r="AA925" s="111">
        <f>IF(Audit[[#This Row],[Times p Drawn - With Replacement]]&gt;0, IF(Audit[[#This Row],[Canceled Differences]]&lt;0, Audit[[#This Row],[Max Differences]]+ABS(Audit[[#This Row],[Canceled Differences]]), Audit[[#This Row],[Max Differences]]), 0)</f>
        <v>0</v>
      </c>
      <c r="AB925" s="111">
        <f>'Sampling Data'!P916</f>
        <v>1.3473787359137678E-3</v>
      </c>
      <c r="AC925" s="111">
        <f>IF(
      SUM(Audit[[#This Row],[Audit Losing Candidate]:[Audit Candidate 6]])
      &lt;&gt;0,
      (Audit[[#This Row],[Winning Candidate]]-Audit[[#This Row],[Losing Candidate]]-(Audit[[#This Row],[Audit Winning Candidate]]-Audit[[#This Row],[Audit Losing Candidate]]))/(Audit[[#Totals],[Winning Candidate]]-Audit[[#Totals],[Losing Candidate]]),
      0
)</f>
        <v>0</v>
      </c>
      <c r="AD9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5" s="111">
        <f>IF(Audit[[#This Row],[Max Relative Error (ep)]] = 0, 0, Audit[[#This Row],[Max Relative Error (ep)]]/Audit[[#This Row],[Error Bound (up) - Max. possible relative overstatement]])</f>
        <v>0</v>
      </c>
      <c r="AJ9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25" s="111">
        <f t="shared" si="14"/>
        <v>1</v>
      </c>
      <c r="AL925" s="111">
        <f>PRODUCT($AK$5:AK925)</f>
        <v>8.962823818226312E-2</v>
      </c>
      <c r="AM925" s="109">
        <f>1 - [K-M P Value]</f>
        <v>0.91037176181773694</v>
      </c>
      <c r="AN925" s="111" t="str">
        <f>IF(Audit[[#This Row],[K-M P Value]]&gt;1-'General Info'!$B$16,"Continue", "Stop")</f>
        <v>Stop</v>
      </c>
      <c r="AO925" s="110" t="b">
        <f>IF(Audit[[#This Row],[Status - Continue or stop audit]] = "Continue", TRUE, IF(AN924 = "Continue", TRUE, FALSE))</f>
        <v>0</v>
      </c>
      <c r="AP925" s="110"/>
    </row>
    <row r="926" spans="1:42" ht="15" hidden="1" customHeight="1">
      <c r="A926" s="111" t="str">
        <f>'Sampling Data'!W917</f>
        <v/>
      </c>
      <c r="B926" s="112" t="str">
        <f>'Sampling Data'!A917</f>
        <v>CLEVELAND -19-E</v>
      </c>
      <c r="C926" s="112">
        <f>'Sampling Data'!B917</f>
        <v>13</v>
      </c>
      <c r="D926" s="112">
        <f>'Sampling Data'!C917</f>
        <v>27</v>
      </c>
      <c r="E926" s="113">
        <f>'Sampling Data'!D917</f>
        <v>5</v>
      </c>
      <c r="F926" s="113">
        <f>'Sampling Data'!E917</f>
        <v>6</v>
      </c>
      <c r="G926" s="113">
        <f>'Sampling Data'!F917</f>
        <v>0</v>
      </c>
      <c r="H926" s="113">
        <f>'Sampling Data'!G917</f>
        <v>0</v>
      </c>
      <c r="I926" s="112">
        <f>'Sampling Data'!H917</f>
        <v>0</v>
      </c>
      <c r="J926" s="112">
        <f>'Sampling Data'!I917</f>
        <v>0</v>
      </c>
      <c r="K926" s="112">
        <f>'Sampling Data'!J917</f>
        <v>51</v>
      </c>
      <c r="L926" s="111">
        <f>'Sampling Data'!X917</f>
        <v>0</v>
      </c>
      <c r="M926" s="114"/>
      <c r="N926" s="114"/>
      <c r="O926" s="115"/>
      <c r="P926" s="115"/>
      <c r="Q926" s="116"/>
      <c r="R926" s="116"/>
      <c r="S926" s="111">
        <f>Audit[[#This Row],[Audit Losing Candidate]]-Audit[[#This Row],[Losing Candidate]]</f>
        <v>-13</v>
      </c>
      <c r="T926" s="111">
        <f>Audit[[#This Row],[Audit Winning Candidate]]-Audit[[#This Row],[Winning Candidate]]</f>
        <v>-27</v>
      </c>
      <c r="U926" s="111">
        <f>Audit[[#This Row],[Audit Candidate 3]]-Audit[[#This Row],[Candidate 3]]</f>
        <v>-5</v>
      </c>
      <c r="V926" s="111">
        <f>Audit[[#This Row],[Audit Candidate 4]]-Audit[[#This Row],[Candidate 4]]</f>
        <v>-6</v>
      </c>
      <c r="W926" s="111">
        <f>Audit[[#This Row],[Audit Candidate 5]]-Audit[[#This Row],[Candidate 5]]</f>
        <v>0</v>
      </c>
      <c r="X926" s="111">
        <f>Audit[[#This Row],[Audit Candidate 6]]-Audit[[#This Row],[Candidate 6]]</f>
        <v>0</v>
      </c>
      <c r="Y926" s="111">
        <f>SUMIF(Audit[[#This Row],[Difference Loser]:[Difference Candidate 6]], "&gt;0")</f>
        <v>0</v>
      </c>
      <c r="Z926" s="111">
        <f>SUM(Audit[[#This Row],[Difference Loser]:[Difference Candidate 6]])</f>
        <v>-51</v>
      </c>
      <c r="AA926" s="111">
        <f>IF(Audit[[#This Row],[Times p Drawn - With Replacement]]&gt;0, IF(Audit[[#This Row],[Canceled Differences]]&lt;0, Audit[[#This Row],[Max Differences]]+ABS(Audit[[#This Row],[Canceled Differences]]), Audit[[#This Row],[Max Differences]]), 0)</f>
        <v>0</v>
      </c>
      <c r="AB926" s="111">
        <f>'Sampling Data'!P917</f>
        <v>3.9808917197452229E-3</v>
      </c>
      <c r="AC926" s="111">
        <f>IF(
      SUM(Audit[[#This Row],[Audit Losing Candidate]:[Audit Candidate 6]])
      &lt;&gt;0,
      (Audit[[#This Row],[Winning Candidate]]-Audit[[#This Row],[Losing Candidate]]-(Audit[[#This Row],[Audit Winning Candidate]]-Audit[[#This Row],[Audit Losing Candidate]]))/(Audit[[#Totals],[Winning Candidate]]-Audit[[#Totals],[Losing Candidate]]),
      0
)</f>
        <v>0</v>
      </c>
      <c r="AD9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6" s="111">
        <f>IF(Audit[[#This Row],[Max Relative Error (ep)]] = 0, 0, Audit[[#This Row],[Max Relative Error (ep)]]/Audit[[#This Row],[Error Bound (up) - Max. possible relative overstatement]])</f>
        <v>0</v>
      </c>
      <c r="AJ9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26" s="111">
        <f t="shared" si="14"/>
        <v>1</v>
      </c>
      <c r="AL926" s="111">
        <f>PRODUCT($AK$5:AK926)</f>
        <v>8.962823818226312E-2</v>
      </c>
      <c r="AM926" s="109">
        <f>1 - [K-M P Value]</f>
        <v>0.91037176181773694</v>
      </c>
      <c r="AN926" s="111" t="str">
        <f>IF(Audit[[#This Row],[K-M P Value]]&gt;1-'General Info'!$B$16,"Continue", "Stop")</f>
        <v>Stop</v>
      </c>
      <c r="AO926" s="110" t="b">
        <f>IF(Audit[[#This Row],[Status - Continue or stop audit]] = "Continue", TRUE, IF(AN925 = "Continue", TRUE, FALSE))</f>
        <v>0</v>
      </c>
      <c r="AP926" s="110"/>
    </row>
    <row r="927" spans="1:42" ht="15" hidden="1" customHeight="1">
      <c r="A927" s="111" t="str">
        <f>'Sampling Data'!W918</f>
        <v/>
      </c>
      <c r="B927" s="112" t="str">
        <f>'Sampling Data'!A918</f>
        <v>CLEVELAND -19-E - ABS</v>
      </c>
      <c r="C927" s="112">
        <f>'Sampling Data'!B918</f>
        <v>7</v>
      </c>
      <c r="D927" s="112">
        <f>'Sampling Data'!C918</f>
        <v>11</v>
      </c>
      <c r="E927" s="113">
        <f>'Sampling Data'!D918</f>
        <v>1</v>
      </c>
      <c r="F927" s="113">
        <f>'Sampling Data'!E918</f>
        <v>2</v>
      </c>
      <c r="G927" s="113">
        <f>'Sampling Data'!F918</f>
        <v>0</v>
      </c>
      <c r="H927" s="113">
        <f>'Sampling Data'!G918</f>
        <v>0</v>
      </c>
      <c r="I927" s="112">
        <f>'Sampling Data'!H918</f>
        <v>0</v>
      </c>
      <c r="J927" s="112">
        <f>'Sampling Data'!I918</f>
        <v>0</v>
      </c>
      <c r="K927" s="112">
        <f>'Sampling Data'!J918</f>
        <v>21</v>
      </c>
      <c r="L927" s="111">
        <f>'Sampling Data'!X918</f>
        <v>0</v>
      </c>
      <c r="M927" s="114"/>
      <c r="N927" s="114"/>
      <c r="O927" s="115"/>
      <c r="P927" s="115"/>
      <c r="Q927" s="116"/>
      <c r="R927" s="116"/>
      <c r="S927" s="111">
        <f>Audit[[#This Row],[Audit Losing Candidate]]-Audit[[#This Row],[Losing Candidate]]</f>
        <v>-7</v>
      </c>
      <c r="T927" s="111">
        <f>Audit[[#This Row],[Audit Winning Candidate]]-Audit[[#This Row],[Winning Candidate]]</f>
        <v>-11</v>
      </c>
      <c r="U927" s="111">
        <f>Audit[[#This Row],[Audit Candidate 3]]-Audit[[#This Row],[Candidate 3]]</f>
        <v>-1</v>
      </c>
      <c r="V927" s="111">
        <f>Audit[[#This Row],[Audit Candidate 4]]-Audit[[#This Row],[Candidate 4]]</f>
        <v>-2</v>
      </c>
      <c r="W927" s="111">
        <f>Audit[[#This Row],[Audit Candidate 5]]-Audit[[#This Row],[Candidate 5]]</f>
        <v>0</v>
      </c>
      <c r="X927" s="111">
        <f>Audit[[#This Row],[Audit Candidate 6]]-Audit[[#This Row],[Candidate 6]]</f>
        <v>0</v>
      </c>
      <c r="Y927" s="111">
        <f>SUMIF(Audit[[#This Row],[Difference Loser]:[Difference Candidate 6]], "&gt;0")</f>
        <v>0</v>
      </c>
      <c r="Z927" s="111">
        <f>SUM(Audit[[#This Row],[Difference Loser]:[Difference Candidate 6]])</f>
        <v>-21</v>
      </c>
      <c r="AA927" s="111">
        <f>IF(Audit[[#This Row],[Times p Drawn - With Replacement]]&gt;0, IF(Audit[[#This Row],[Canceled Differences]]&lt;0, Audit[[#This Row],[Max Differences]]+ABS(Audit[[#This Row],[Canceled Differences]]), Audit[[#This Row],[Max Differences]]), 0)</f>
        <v>0</v>
      </c>
      <c r="AB927" s="111">
        <f>'Sampling Data'!P918</f>
        <v>1.5311121999020088E-3</v>
      </c>
      <c r="AC927" s="111">
        <f>IF(
      SUM(Audit[[#This Row],[Audit Losing Candidate]:[Audit Candidate 6]])
      &lt;&gt;0,
      (Audit[[#This Row],[Winning Candidate]]-Audit[[#This Row],[Losing Candidate]]-(Audit[[#This Row],[Audit Winning Candidate]]-Audit[[#This Row],[Audit Losing Candidate]]))/(Audit[[#Totals],[Winning Candidate]]-Audit[[#Totals],[Losing Candidate]]),
      0
)</f>
        <v>0</v>
      </c>
      <c r="AD9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7" s="111">
        <f>IF(Audit[[#This Row],[Max Relative Error (ep)]] = 0, 0, Audit[[#This Row],[Max Relative Error (ep)]]/Audit[[#This Row],[Error Bound (up) - Max. possible relative overstatement]])</f>
        <v>0</v>
      </c>
      <c r="AJ9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27" s="111">
        <f t="shared" si="14"/>
        <v>1</v>
      </c>
      <c r="AL927" s="111">
        <f>PRODUCT($AK$5:AK927)</f>
        <v>8.962823818226312E-2</v>
      </c>
      <c r="AM927" s="109">
        <f>1 - [K-M P Value]</f>
        <v>0.91037176181773694</v>
      </c>
      <c r="AN927" s="111" t="str">
        <f>IF(Audit[[#This Row],[K-M P Value]]&gt;1-'General Info'!$B$16,"Continue", "Stop")</f>
        <v>Stop</v>
      </c>
      <c r="AO927" s="110" t="b">
        <f>IF(Audit[[#This Row],[Status - Continue or stop audit]] = "Continue", TRUE, IF(AN926 = "Continue", TRUE, FALSE))</f>
        <v>0</v>
      </c>
      <c r="AP927" s="110"/>
    </row>
    <row r="928" spans="1:42" ht="15" hidden="1" customHeight="1">
      <c r="A928" s="111" t="str">
        <f>'Sampling Data'!W919</f>
        <v/>
      </c>
      <c r="B928" s="112" t="str">
        <f>'Sampling Data'!A919</f>
        <v>CLEVELAND -19-F</v>
      </c>
      <c r="C928" s="112">
        <f>'Sampling Data'!B919</f>
        <v>19</v>
      </c>
      <c r="D928" s="112">
        <f>'Sampling Data'!C919</f>
        <v>36</v>
      </c>
      <c r="E928" s="113">
        <f>'Sampling Data'!D919</f>
        <v>8</v>
      </c>
      <c r="F928" s="113">
        <f>'Sampling Data'!E919</f>
        <v>7</v>
      </c>
      <c r="G928" s="113">
        <f>'Sampling Data'!F919</f>
        <v>0</v>
      </c>
      <c r="H928" s="113">
        <f>'Sampling Data'!G919</f>
        <v>0</v>
      </c>
      <c r="I928" s="112">
        <f>'Sampling Data'!H919</f>
        <v>0</v>
      </c>
      <c r="J928" s="112">
        <f>'Sampling Data'!I919</f>
        <v>3</v>
      </c>
      <c r="K928" s="112">
        <f>'Sampling Data'!J919</f>
        <v>73</v>
      </c>
      <c r="L928" s="111">
        <f>'Sampling Data'!X919</f>
        <v>0</v>
      </c>
      <c r="M928" s="114"/>
      <c r="N928" s="114"/>
      <c r="O928" s="115"/>
      <c r="P928" s="115"/>
      <c r="Q928" s="116"/>
      <c r="R928" s="116"/>
      <c r="S928" s="111">
        <f>Audit[[#This Row],[Audit Losing Candidate]]-Audit[[#This Row],[Losing Candidate]]</f>
        <v>-19</v>
      </c>
      <c r="T928" s="111">
        <f>Audit[[#This Row],[Audit Winning Candidate]]-Audit[[#This Row],[Winning Candidate]]</f>
        <v>-36</v>
      </c>
      <c r="U928" s="111">
        <f>Audit[[#This Row],[Audit Candidate 3]]-Audit[[#This Row],[Candidate 3]]</f>
        <v>-8</v>
      </c>
      <c r="V928" s="111">
        <f>Audit[[#This Row],[Audit Candidate 4]]-Audit[[#This Row],[Candidate 4]]</f>
        <v>-7</v>
      </c>
      <c r="W928" s="111">
        <f>Audit[[#This Row],[Audit Candidate 5]]-Audit[[#This Row],[Candidate 5]]</f>
        <v>0</v>
      </c>
      <c r="X928" s="111">
        <f>Audit[[#This Row],[Audit Candidate 6]]-Audit[[#This Row],[Candidate 6]]</f>
        <v>0</v>
      </c>
      <c r="Y928" s="111">
        <f>SUMIF(Audit[[#This Row],[Difference Loser]:[Difference Candidate 6]], "&gt;0")</f>
        <v>0</v>
      </c>
      <c r="Z928" s="111">
        <f>SUM(Audit[[#This Row],[Difference Loser]:[Difference Candidate 6]])</f>
        <v>-70</v>
      </c>
      <c r="AA928" s="111">
        <f>IF(Audit[[#This Row],[Times p Drawn - With Replacement]]&gt;0, IF(Audit[[#This Row],[Canceled Differences]]&lt;0, Audit[[#This Row],[Max Differences]]+ABS(Audit[[#This Row],[Canceled Differences]]), Audit[[#This Row],[Max Differences]]), 0)</f>
        <v>0</v>
      </c>
      <c r="AB928" s="111">
        <f>'Sampling Data'!P919</f>
        <v>5.5120039196472313E-3</v>
      </c>
      <c r="AC928" s="111">
        <f>IF(
      SUM(Audit[[#This Row],[Audit Losing Candidate]:[Audit Candidate 6]])
      &lt;&gt;0,
      (Audit[[#This Row],[Winning Candidate]]-Audit[[#This Row],[Losing Candidate]]-(Audit[[#This Row],[Audit Winning Candidate]]-Audit[[#This Row],[Audit Losing Candidate]]))/(Audit[[#Totals],[Winning Candidate]]-Audit[[#Totals],[Losing Candidate]]),
      0
)</f>
        <v>0</v>
      </c>
      <c r="AD9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8" s="111">
        <f>IF(Audit[[#This Row],[Max Relative Error (ep)]] = 0, 0, Audit[[#This Row],[Max Relative Error (ep)]]/Audit[[#This Row],[Error Bound (up) - Max. possible relative overstatement]])</f>
        <v>0</v>
      </c>
      <c r="AJ9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28" s="111">
        <f t="shared" si="14"/>
        <v>1</v>
      </c>
      <c r="AL928" s="111">
        <f>PRODUCT($AK$5:AK928)</f>
        <v>8.962823818226312E-2</v>
      </c>
      <c r="AM928" s="109">
        <f>1 - [K-M P Value]</f>
        <v>0.91037176181773694</v>
      </c>
      <c r="AN928" s="111" t="str">
        <f>IF(Audit[[#This Row],[K-M P Value]]&gt;1-'General Info'!$B$16,"Continue", "Stop")</f>
        <v>Stop</v>
      </c>
      <c r="AO928" s="110" t="b">
        <f>IF(Audit[[#This Row],[Status - Continue or stop audit]] = "Continue", TRUE, IF(AN927 = "Continue", TRUE, FALSE))</f>
        <v>0</v>
      </c>
      <c r="AP928" s="110"/>
    </row>
    <row r="929" spans="1:42" ht="15" hidden="1" customHeight="1">
      <c r="A929" s="111" t="str">
        <f>'Sampling Data'!W920</f>
        <v/>
      </c>
      <c r="B929" s="112" t="str">
        <f>'Sampling Data'!A920</f>
        <v>CLEVELAND -19-F - ABS</v>
      </c>
      <c r="C929" s="112">
        <f>'Sampling Data'!B920</f>
        <v>16</v>
      </c>
      <c r="D929" s="112">
        <f>'Sampling Data'!C920</f>
        <v>5</v>
      </c>
      <c r="E929" s="113">
        <f>'Sampling Data'!D920</f>
        <v>2</v>
      </c>
      <c r="F929" s="113">
        <f>'Sampling Data'!E920</f>
        <v>1</v>
      </c>
      <c r="G929" s="113">
        <f>'Sampling Data'!F920</f>
        <v>0</v>
      </c>
      <c r="H929" s="113">
        <f>'Sampling Data'!G920</f>
        <v>0</v>
      </c>
      <c r="I929" s="112">
        <f>'Sampling Data'!H920</f>
        <v>0</v>
      </c>
      <c r="J929" s="112">
        <f>'Sampling Data'!I920</f>
        <v>0</v>
      </c>
      <c r="K929" s="112">
        <f>'Sampling Data'!J920</f>
        <v>24</v>
      </c>
      <c r="L929" s="111">
        <f>'Sampling Data'!X920</f>
        <v>0</v>
      </c>
      <c r="M929" s="114"/>
      <c r="N929" s="114"/>
      <c r="O929" s="115"/>
      <c r="P929" s="115"/>
      <c r="Q929" s="116"/>
      <c r="R929" s="116"/>
      <c r="S929" s="111">
        <f>Audit[[#This Row],[Audit Losing Candidate]]-Audit[[#This Row],[Losing Candidate]]</f>
        <v>-16</v>
      </c>
      <c r="T929" s="111">
        <f>Audit[[#This Row],[Audit Winning Candidate]]-Audit[[#This Row],[Winning Candidate]]</f>
        <v>-5</v>
      </c>
      <c r="U929" s="111">
        <f>Audit[[#This Row],[Audit Candidate 3]]-Audit[[#This Row],[Candidate 3]]</f>
        <v>-2</v>
      </c>
      <c r="V929" s="111">
        <f>Audit[[#This Row],[Audit Candidate 4]]-Audit[[#This Row],[Candidate 4]]</f>
        <v>-1</v>
      </c>
      <c r="W929" s="111">
        <f>Audit[[#This Row],[Audit Candidate 5]]-Audit[[#This Row],[Candidate 5]]</f>
        <v>0</v>
      </c>
      <c r="X929" s="111">
        <f>Audit[[#This Row],[Audit Candidate 6]]-Audit[[#This Row],[Candidate 6]]</f>
        <v>0</v>
      </c>
      <c r="Y929" s="111">
        <f>SUMIF(Audit[[#This Row],[Difference Loser]:[Difference Candidate 6]], "&gt;0")</f>
        <v>0</v>
      </c>
      <c r="Z929" s="111">
        <f>SUM(Audit[[#This Row],[Difference Loser]:[Difference Candidate 6]])</f>
        <v>-24</v>
      </c>
      <c r="AA929" s="111">
        <f>IF(Audit[[#This Row],[Times p Drawn - With Replacement]]&gt;0, IF(Audit[[#This Row],[Canceled Differences]]&lt;0, Audit[[#This Row],[Max Differences]]+ABS(Audit[[#This Row],[Canceled Differences]]), Audit[[#This Row],[Max Differences]]), 0)</f>
        <v>0</v>
      </c>
      <c r="AB929" s="111">
        <f>'Sampling Data'!P920</f>
        <v>8.710520372939317E-4</v>
      </c>
      <c r="AC929" s="111">
        <f>IF(
      SUM(Audit[[#This Row],[Audit Losing Candidate]:[Audit Candidate 6]])
      &lt;&gt;0,
      (Audit[[#This Row],[Winning Candidate]]-Audit[[#This Row],[Losing Candidate]]-(Audit[[#This Row],[Audit Winning Candidate]]-Audit[[#This Row],[Audit Losing Candidate]]))/(Audit[[#Totals],[Winning Candidate]]-Audit[[#Totals],[Losing Candidate]]),
      0
)</f>
        <v>0</v>
      </c>
      <c r="AD9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9" s="111">
        <f>IF(Audit[[#This Row],[Max Relative Error (ep)]] = 0, 0, Audit[[#This Row],[Max Relative Error (ep)]]/Audit[[#This Row],[Error Bound (up) - Max. possible relative overstatement]])</f>
        <v>0</v>
      </c>
      <c r="AJ9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29" s="111">
        <f t="shared" si="14"/>
        <v>1</v>
      </c>
      <c r="AL929" s="111">
        <f>PRODUCT($AK$5:AK929)</f>
        <v>8.962823818226312E-2</v>
      </c>
      <c r="AM929" s="109">
        <f>1 - [K-M P Value]</f>
        <v>0.91037176181773694</v>
      </c>
      <c r="AN929" s="111" t="str">
        <f>IF(Audit[[#This Row],[K-M P Value]]&gt;1-'General Info'!$B$16,"Continue", "Stop")</f>
        <v>Stop</v>
      </c>
      <c r="AO929" s="110" t="b">
        <f>IF(Audit[[#This Row],[Status - Continue or stop audit]] = "Continue", TRUE, IF(AN928 = "Continue", TRUE, FALSE))</f>
        <v>0</v>
      </c>
      <c r="AP929" s="110"/>
    </row>
    <row r="930" spans="1:42" ht="15" hidden="1" customHeight="1">
      <c r="A930" s="111" t="str">
        <f>'Sampling Data'!W921</f>
        <v/>
      </c>
      <c r="B930" s="112" t="str">
        <f>'Sampling Data'!A921</f>
        <v>CLEVELAND -19-G</v>
      </c>
      <c r="C930" s="112">
        <f>'Sampling Data'!B921</f>
        <v>13</v>
      </c>
      <c r="D930" s="112">
        <f>'Sampling Data'!C921</f>
        <v>11</v>
      </c>
      <c r="E930" s="113">
        <f>'Sampling Data'!D921</f>
        <v>3</v>
      </c>
      <c r="F930" s="113">
        <f>'Sampling Data'!E921</f>
        <v>6</v>
      </c>
      <c r="G930" s="113">
        <f>'Sampling Data'!F921</f>
        <v>0</v>
      </c>
      <c r="H930" s="113">
        <f>'Sampling Data'!G921</f>
        <v>0</v>
      </c>
      <c r="I930" s="112">
        <f>'Sampling Data'!H921</f>
        <v>0</v>
      </c>
      <c r="J930" s="112">
        <f>'Sampling Data'!I921</f>
        <v>0</v>
      </c>
      <c r="K930" s="112">
        <f>'Sampling Data'!J921</f>
        <v>33</v>
      </c>
      <c r="L930" s="111">
        <f>'Sampling Data'!X921</f>
        <v>0</v>
      </c>
      <c r="M930" s="114"/>
      <c r="N930" s="114"/>
      <c r="O930" s="115"/>
      <c r="P930" s="115"/>
      <c r="Q930" s="116"/>
      <c r="R930" s="116"/>
      <c r="S930" s="111">
        <f>Audit[[#This Row],[Audit Losing Candidate]]-Audit[[#This Row],[Losing Candidate]]</f>
        <v>-13</v>
      </c>
      <c r="T930" s="111">
        <f>Audit[[#This Row],[Audit Winning Candidate]]-Audit[[#This Row],[Winning Candidate]]</f>
        <v>-11</v>
      </c>
      <c r="U930" s="111">
        <f>Audit[[#This Row],[Audit Candidate 3]]-Audit[[#This Row],[Candidate 3]]</f>
        <v>-3</v>
      </c>
      <c r="V930" s="111">
        <f>Audit[[#This Row],[Audit Candidate 4]]-Audit[[#This Row],[Candidate 4]]</f>
        <v>-6</v>
      </c>
      <c r="W930" s="111">
        <f>Audit[[#This Row],[Audit Candidate 5]]-Audit[[#This Row],[Candidate 5]]</f>
        <v>0</v>
      </c>
      <c r="X930" s="111">
        <f>Audit[[#This Row],[Audit Candidate 6]]-Audit[[#This Row],[Candidate 6]]</f>
        <v>0</v>
      </c>
      <c r="Y930" s="111">
        <f>SUMIF(Audit[[#This Row],[Difference Loser]:[Difference Candidate 6]], "&gt;0")</f>
        <v>0</v>
      </c>
      <c r="Z930" s="111">
        <f>SUM(Audit[[#This Row],[Difference Loser]:[Difference Candidate 6]])</f>
        <v>-33</v>
      </c>
      <c r="AA930" s="111">
        <f>IF(Audit[[#This Row],[Times p Drawn - With Replacement]]&gt;0, IF(Audit[[#This Row],[Canceled Differences]]&lt;0, Audit[[#This Row],[Max Differences]]+ABS(Audit[[#This Row],[Canceled Differences]]), Audit[[#This Row],[Max Differences]]), 0)</f>
        <v>0</v>
      </c>
      <c r="AB930" s="111">
        <f>'Sampling Data'!P921</f>
        <v>1.8985791278784908E-3</v>
      </c>
      <c r="AC930" s="111">
        <f>IF(
      SUM(Audit[[#This Row],[Audit Losing Candidate]:[Audit Candidate 6]])
      &lt;&gt;0,
      (Audit[[#This Row],[Winning Candidate]]-Audit[[#This Row],[Losing Candidate]]-(Audit[[#This Row],[Audit Winning Candidate]]-Audit[[#This Row],[Audit Losing Candidate]]))/(Audit[[#Totals],[Winning Candidate]]-Audit[[#Totals],[Losing Candidate]]),
      0
)</f>
        <v>0</v>
      </c>
      <c r="AD9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0" s="111">
        <f>IF(Audit[[#This Row],[Max Relative Error (ep)]] = 0, 0, Audit[[#This Row],[Max Relative Error (ep)]]/Audit[[#This Row],[Error Bound (up) - Max. possible relative overstatement]])</f>
        <v>0</v>
      </c>
      <c r="AJ9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30" s="111">
        <f t="shared" si="14"/>
        <v>1</v>
      </c>
      <c r="AL930" s="111">
        <f>PRODUCT($AK$5:AK930)</f>
        <v>8.962823818226312E-2</v>
      </c>
      <c r="AM930" s="109">
        <f>1 - [K-M P Value]</f>
        <v>0.91037176181773694</v>
      </c>
      <c r="AN930" s="111" t="str">
        <f>IF(Audit[[#This Row],[K-M P Value]]&gt;1-'General Info'!$B$16,"Continue", "Stop")</f>
        <v>Stop</v>
      </c>
      <c r="AO930" s="110" t="b">
        <f>IF(Audit[[#This Row],[Status - Continue or stop audit]] = "Continue", TRUE, IF(AN929 = "Continue", TRUE, FALSE))</f>
        <v>0</v>
      </c>
      <c r="AP930" s="110"/>
    </row>
    <row r="931" spans="1:42" ht="15" hidden="1" customHeight="1">
      <c r="A931" s="111" t="str">
        <f>'Sampling Data'!W922</f>
        <v/>
      </c>
      <c r="B931" s="112" t="str">
        <f>'Sampling Data'!A922</f>
        <v>CLEVELAND -19-G - ABS</v>
      </c>
      <c r="C931" s="112">
        <f>'Sampling Data'!B922</f>
        <v>6</v>
      </c>
      <c r="D931" s="112">
        <f>'Sampling Data'!C922</f>
        <v>4</v>
      </c>
      <c r="E931" s="113">
        <f>'Sampling Data'!D922</f>
        <v>3</v>
      </c>
      <c r="F931" s="113">
        <f>'Sampling Data'!E922</f>
        <v>0</v>
      </c>
      <c r="G931" s="113">
        <f>'Sampling Data'!F922</f>
        <v>1</v>
      </c>
      <c r="H931" s="113">
        <f>'Sampling Data'!G922</f>
        <v>1</v>
      </c>
      <c r="I931" s="112">
        <f>'Sampling Data'!H922</f>
        <v>0</v>
      </c>
      <c r="J931" s="112">
        <f>'Sampling Data'!I922</f>
        <v>0</v>
      </c>
      <c r="K931" s="112">
        <f>'Sampling Data'!J922</f>
        <v>15</v>
      </c>
      <c r="L931" s="111">
        <f>'Sampling Data'!X922</f>
        <v>0</v>
      </c>
      <c r="M931" s="114"/>
      <c r="N931" s="114"/>
      <c r="O931" s="115"/>
      <c r="P931" s="115"/>
      <c r="Q931" s="116"/>
      <c r="R931" s="116"/>
      <c r="S931" s="111">
        <f>Audit[[#This Row],[Audit Losing Candidate]]-Audit[[#This Row],[Losing Candidate]]</f>
        <v>-6</v>
      </c>
      <c r="T931" s="111">
        <f>Audit[[#This Row],[Audit Winning Candidate]]-Audit[[#This Row],[Winning Candidate]]</f>
        <v>-4</v>
      </c>
      <c r="U931" s="111">
        <f>Audit[[#This Row],[Audit Candidate 3]]-Audit[[#This Row],[Candidate 3]]</f>
        <v>-3</v>
      </c>
      <c r="V931" s="111">
        <f>Audit[[#This Row],[Audit Candidate 4]]-Audit[[#This Row],[Candidate 4]]</f>
        <v>0</v>
      </c>
      <c r="W931" s="111">
        <f>Audit[[#This Row],[Audit Candidate 5]]-Audit[[#This Row],[Candidate 5]]</f>
        <v>-1</v>
      </c>
      <c r="X931" s="111">
        <f>Audit[[#This Row],[Audit Candidate 6]]-Audit[[#This Row],[Candidate 6]]</f>
        <v>-1</v>
      </c>
      <c r="Y931" s="111">
        <f>SUMIF(Audit[[#This Row],[Difference Loser]:[Difference Candidate 6]], "&gt;0")</f>
        <v>0</v>
      </c>
      <c r="Z931" s="111">
        <f>SUM(Audit[[#This Row],[Difference Loser]:[Difference Candidate 6]])</f>
        <v>-15</v>
      </c>
      <c r="AA931" s="111">
        <f>IF(Audit[[#This Row],[Times p Drawn - With Replacement]]&gt;0, IF(Audit[[#This Row],[Canceled Differences]]&lt;0, Audit[[#This Row],[Max Differences]]+ABS(Audit[[#This Row],[Canceled Differences]]), Audit[[#This Row],[Max Differences]]), 0)</f>
        <v>0</v>
      </c>
      <c r="AB931" s="111">
        <f>'Sampling Data'!P922</f>
        <v>7.9617834394904463E-4</v>
      </c>
      <c r="AC931" s="111">
        <f>IF(
      SUM(Audit[[#This Row],[Audit Losing Candidate]:[Audit Candidate 6]])
      &lt;&gt;0,
      (Audit[[#This Row],[Winning Candidate]]-Audit[[#This Row],[Losing Candidate]]-(Audit[[#This Row],[Audit Winning Candidate]]-Audit[[#This Row],[Audit Losing Candidate]]))/(Audit[[#Totals],[Winning Candidate]]-Audit[[#Totals],[Losing Candidate]]),
      0
)</f>
        <v>0</v>
      </c>
      <c r="AD9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1" s="111">
        <f>IF(Audit[[#This Row],[Max Relative Error (ep)]] = 0, 0, Audit[[#This Row],[Max Relative Error (ep)]]/Audit[[#This Row],[Error Bound (up) - Max. possible relative overstatement]])</f>
        <v>0</v>
      </c>
      <c r="AJ9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31" s="111">
        <f t="shared" si="14"/>
        <v>1</v>
      </c>
      <c r="AL931" s="111">
        <f>PRODUCT($AK$5:AK931)</f>
        <v>8.962823818226312E-2</v>
      </c>
      <c r="AM931" s="109">
        <f>1 - [K-M P Value]</f>
        <v>0.91037176181773694</v>
      </c>
      <c r="AN931" s="111" t="str">
        <f>IF(Audit[[#This Row],[K-M P Value]]&gt;1-'General Info'!$B$16,"Continue", "Stop")</f>
        <v>Stop</v>
      </c>
      <c r="AO931" s="110" t="b">
        <f>IF(Audit[[#This Row],[Status - Continue or stop audit]] = "Continue", TRUE, IF(AN930 = "Continue", TRUE, FALSE))</f>
        <v>0</v>
      </c>
      <c r="AP931" s="110"/>
    </row>
    <row r="932" spans="1:42" ht="15" hidden="1" customHeight="1">
      <c r="A932" s="111" t="str">
        <f>'Sampling Data'!W923</f>
        <v/>
      </c>
      <c r="B932" s="112" t="str">
        <f>'Sampling Data'!A923</f>
        <v>CLEVELAND -19-H</v>
      </c>
      <c r="C932" s="112">
        <f>'Sampling Data'!B923</f>
        <v>22</v>
      </c>
      <c r="D932" s="112">
        <f>'Sampling Data'!C923</f>
        <v>19</v>
      </c>
      <c r="E932" s="113">
        <f>'Sampling Data'!D923</f>
        <v>4</v>
      </c>
      <c r="F932" s="113">
        <f>'Sampling Data'!E923</f>
        <v>6</v>
      </c>
      <c r="G932" s="113">
        <f>'Sampling Data'!F923</f>
        <v>0</v>
      </c>
      <c r="H932" s="113">
        <f>'Sampling Data'!G923</f>
        <v>0</v>
      </c>
      <c r="I932" s="112">
        <f>'Sampling Data'!H923</f>
        <v>0</v>
      </c>
      <c r="J932" s="112">
        <f>'Sampling Data'!I923</f>
        <v>1</v>
      </c>
      <c r="K932" s="112">
        <f>'Sampling Data'!J923</f>
        <v>52</v>
      </c>
      <c r="L932" s="111">
        <f>'Sampling Data'!X923</f>
        <v>0</v>
      </c>
      <c r="M932" s="114"/>
      <c r="N932" s="114"/>
      <c r="O932" s="115"/>
      <c r="P932" s="115"/>
      <c r="Q932" s="116"/>
      <c r="R932" s="116"/>
      <c r="S932" s="111">
        <f>Audit[[#This Row],[Audit Losing Candidate]]-Audit[[#This Row],[Losing Candidate]]</f>
        <v>-22</v>
      </c>
      <c r="T932" s="111">
        <f>Audit[[#This Row],[Audit Winning Candidate]]-Audit[[#This Row],[Winning Candidate]]</f>
        <v>-19</v>
      </c>
      <c r="U932" s="111">
        <f>Audit[[#This Row],[Audit Candidate 3]]-Audit[[#This Row],[Candidate 3]]</f>
        <v>-4</v>
      </c>
      <c r="V932" s="111">
        <f>Audit[[#This Row],[Audit Candidate 4]]-Audit[[#This Row],[Candidate 4]]</f>
        <v>-6</v>
      </c>
      <c r="W932" s="111">
        <f>Audit[[#This Row],[Audit Candidate 5]]-Audit[[#This Row],[Candidate 5]]</f>
        <v>0</v>
      </c>
      <c r="X932" s="111">
        <f>Audit[[#This Row],[Audit Candidate 6]]-Audit[[#This Row],[Candidate 6]]</f>
        <v>0</v>
      </c>
      <c r="Y932" s="111">
        <f>SUMIF(Audit[[#This Row],[Difference Loser]:[Difference Candidate 6]], "&gt;0")</f>
        <v>0</v>
      </c>
      <c r="Z932" s="111">
        <f>SUM(Audit[[#This Row],[Difference Loser]:[Difference Candidate 6]])</f>
        <v>-51</v>
      </c>
      <c r="AA932" s="111">
        <f>IF(Audit[[#This Row],[Times p Drawn - With Replacement]]&gt;0, IF(Audit[[#This Row],[Canceled Differences]]&lt;0, Audit[[#This Row],[Max Differences]]+ABS(Audit[[#This Row],[Canceled Differences]]), Audit[[#This Row],[Max Differences]]), 0)</f>
        <v>0</v>
      </c>
      <c r="AB932" s="111">
        <f>'Sampling Data'!P923</f>
        <v>3.0009799118079373E-3</v>
      </c>
      <c r="AC932" s="111">
        <f>IF(
      SUM(Audit[[#This Row],[Audit Losing Candidate]:[Audit Candidate 6]])
      &lt;&gt;0,
      (Audit[[#This Row],[Winning Candidate]]-Audit[[#This Row],[Losing Candidate]]-(Audit[[#This Row],[Audit Winning Candidate]]-Audit[[#This Row],[Audit Losing Candidate]]))/(Audit[[#Totals],[Winning Candidate]]-Audit[[#Totals],[Losing Candidate]]),
      0
)</f>
        <v>0</v>
      </c>
      <c r="AD9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2" s="111">
        <f>IF(Audit[[#This Row],[Max Relative Error (ep)]] = 0, 0, Audit[[#This Row],[Max Relative Error (ep)]]/Audit[[#This Row],[Error Bound (up) - Max. possible relative overstatement]])</f>
        <v>0</v>
      </c>
      <c r="AJ9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32" s="111">
        <f t="shared" si="14"/>
        <v>1</v>
      </c>
      <c r="AL932" s="111">
        <f>PRODUCT($AK$5:AK932)</f>
        <v>8.962823818226312E-2</v>
      </c>
      <c r="AM932" s="109">
        <f>1 - [K-M P Value]</f>
        <v>0.91037176181773694</v>
      </c>
      <c r="AN932" s="111" t="str">
        <f>IF(Audit[[#This Row],[K-M P Value]]&gt;1-'General Info'!$B$16,"Continue", "Stop")</f>
        <v>Stop</v>
      </c>
      <c r="AO932" s="110" t="b">
        <f>IF(Audit[[#This Row],[Status - Continue or stop audit]] = "Continue", TRUE, IF(AN931 = "Continue", TRUE, FALSE))</f>
        <v>0</v>
      </c>
      <c r="AP932" s="110"/>
    </row>
    <row r="933" spans="1:42" ht="15" hidden="1" customHeight="1">
      <c r="A933" s="111" t="str">
        <f>'Sampling Data'!W924</f>
        <v/>
      </c>
      <c r="B933" s="112" t="str">
        <f>'Sampling Data'!A924</f>
        <v>CLEVELAND -19-H - ABS</v>
      </c>
      <c r="C933" s="112">
        <f>'Sampling Data'!B924</f>
        <v>7</v>
      </c>
      <c r="D933" s="112">
        <f>'Sampling Data'!C924</f>
        <v>6</v>
      </c>
      <c r="E933" s="113">
        <f>'Sampling Data'!D924</f>
        <v>4</v>
      </c>
      <c r="F933" s="113">
        <f>'Sampling Data'!E924</f>
        <v>1</v>
      </c>
      <c r="G933" s="113">
        <f>'Sampling Data'!F924</f>
        <v>1</v>
      </c>
      <c r="H933" s="113">
        <f>'Sampling Data'!G924</f>
        <v>0</v>
      </c>
      <c r="I933" s="112">
        <f>'Sampling Data'!H924</f>
        <v>0</v>
      </c>
      <c r="J933" s="112">
        <f>'Sampling Data'!I924</f>
        <v>0</v>
      </c>
      <c r="K933" s="112">
        <f>'Sampling Data'!J924</f>
        <v>19</v>
      </c>
      <c r="L933" s="111">
        <f>'Sampling Data'!X924</f>
        <v>0</v>
      </c>
      <c r="M933" s="114"/>
      <c r="N933" s="114"/>
      <c r="O933" s="115"/>
      <c r="P933" s="115"/>
      <c r="Q933" s="116"/>
      <c r="R933" s="116"/>
      <c r="S933" s="111">
        <f>Audit[[#This Row],[Audit Losing Candidate]]-Audit[[#This Row],[Losing Candidate]]</f>
        <v>-7</v>
      </c>
      <c r="T933" s="111">
        <f>Audit[[#This Row],[Audit Winning Candidate]]-Audit[[#This Row],[Winning Candidate]]</f>
        <v>-6</v>
      </c>
      <c r="U933" s="111">
        <f>Audit[[#This Row],[Audit Candidate 3]]-Audit[[#This Row],[Candidate 3]]</f>
        <v>-4</v>
      </c>
      <c r="V933" s="111">
        <f>Audit[[#This Row],[Audit Candidate 4]]-Audit[[#This Row],[Candidate 4]]</f>
        <v>-1</v>
      </c>
      <c r="W933" s="111">
        <f>Audit[[#This Row],[Audit Candidate 5]]-Audit[[#This Row],[Candidate 5]]</f>
        <v>-1</v>
      </c>
      <c r="X933" s="111">
        <f>Audit[[#This Row],[Audit Candidate 6]]-Audit[[#This Row],[Candidate 6]]</f>
        <v>0</v>
      </c>
      <c r="Y933" s="111">
        <f>SUMIF(Audit[[#This Row],[Difference Loser]:[Difference Candidate 6]], "&gt;0")</f>
        <v>0</v>
      </c>
      <c r="Z933" s="111">
        <f>SUM(Audit[[#This Row],[Difference Loser]:[Difference Candidate 6]])</f>
        <v>-19</v>
      </c>
      <c r="AA933" s="111">
        <f>IF(Audit[[#This Row],[Times p Drawn - With Replacement]]&gt;0, IF(Audit[[#This Row],[Canceled Differences]]&lt;0, Audit[[#This Row],[Max Differences]]+ABS(Audit[[#This Row],[Canceled Differences]]), Audit[[#This Row],[Max Differences]]), 0)</f>
        <v>0</v>
      </c>
      <c r="AB933" s="111">
        <f>'Sampling Data'!P924</f>
        <v>1.1024007839294464E-3</v>
      </c>
      <c r="AC933" s="111">
        <f>IF(
      SUM(Audit[[#This Row],[Audit Losing Candidate]:[Audit Candidate 6]])
      &lt;&gt;0,
      (Audit[[#This Row],[Winning Candidate]]-Audit[[#This Row],[Losing Candidate]]-(Audit[[#This Row],[Audit Winning Candidate]]-Audit[[#This Row],[Audit Losing Candidate]]))/(Audit[[#Totals],[Winning Candidate]]-Audit[[#Totals],[Losing Candidate]]),
      0
)</f>
        <v>0</v>
      </c>
      <c r="AD9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3" s="111">
        <f>IF(Audit[[#This Row],[Max Relative Error (ep)]] = 0, 0, Audit[[#This Row],[Max Relative Error (ep)]]/Audit[[#This Row],[Error Bound (up) - Max. possible relative overstatement]])</f>
        <v>0</v>
      </c>
      <c r="AJ9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33" s="111">
        <f t="shared" si="14"/>
        <v>1</v>
      </c>
      <c r="AL933" s="111">
        <f>PRODUCT($AK$5:AK933)</f>
        <v>8.962823818226312E-2</v>
      </c>
      <c r="AM933" s="109">
        <f>1 - [K-M P Value]</f>
        <v>0.91037176181773694</v>
      </c>
      <c r="AN933" s="111" t="str">
        <f>IF(Audit[[#This Row],[K-M P Value]]&gt;1-'General Info'!$B$16,"Continue", "Stop")</f>
        <v>Stop</v>
      </c>
      <c r="AO933" s="110" t="b">
        <f>IF(Audit[[#This Row],[Status - Continue or stop audit]] = "Continue", TRUE, IF(AN932 = "Continue", TRUE, FALSE))</f>
        <v>0</v>
      </c>
      <c r="AP933" s="110"/>
    </row>
    <row r="934" spans="1:42" ht="15" hidden="1" customHeight="1">
      <c r="A934" s="111" t="str">
        <f>'Sampling Data'!W925</f>
        <v/>
      </c>
      <c r="B934" s="112" t="str">
        <f>'Sampling Data'!A925</f>
        <v>CLEVELAND -19-I</v>
      </c>
      <c r="C934" s="112">
        <f>'Sampling Data'!B925</f>
        <v>18</v>
      </c>
      <c r="D934" s="112">
        <f>'Sampling Data'!C925</f>
        <v>31</v>
      </c>
      <c r="E934" s="113">
        <f>'Sampling Data'!D925</f>
        <v>7</v>
      </c>
      <c r="F934" s="113">
        <f>'Sampling Data'!E925</f>
        <v>6</v>
      </c>
      <c r="G934" s="113">
        <f>'Sampling Data'!F925</f>
        <v>0</v>
      </c>
      <c r="H934" s="113">
        <f>'Sampling Data'!G925</f>
        <v>0</v>
      </c>
      <c r="I934" s="112">
        <f>'Sampling Data'!H925</f>
        <v>0</v>
      </c>
      <c r="J934" s="112">
        <f>'Sampling Data'!I925</f>
        <v>0</v>
      </c>
      <c r="K934" s="112">
        <f>'Sampling Data'!J925</f>
        <v>62</v>
      </c>
      <c r="L934" s="111">
        <f>'Sampling Data'!X925</f>
        <v>0</v>
      </c>
      <c r="M934" s="114"/>
      <c r="N934" s="114"/>
      <c r="O934" s="115"/>
      <c r="P934" s="115"/>
      <c r="Q934" s="116"/>
      <c r="R934" s="116"/>
      <c r="S934" s="111">
        <f>Audit[[#This Row],[Audit Losing Candidate]]-Audit[[#This Row],[Losing Candidate]]</f>
        <v>-18</v>
      </c>
      <c r="T934" s="111">
        <f>Audit[[#This Row],[Audit Winning Candidate]]-Audit[[#This Row],[Winning Candidate]]</f>
        <v>-31</v>
      </c>
      <c r="U934" s="111">
        <f>Audit[[#This Row],[Audit Candidate 3]]-Audit[[#This Row],[Candidate 3]]</f>
        <v>-7</v>
      </c>
      <c r="V934" s="111">
        <f>Audit[[#This Row],[Audit Candidate 4]]-Audit[[#This Row],[Candidate 4]]</f>
        <v>-6</v>
      </c>
      <c r="W934" s="111">
        <f>Audit[[#This Row],[Audit Candidate 5]]-Audit[[#This Row],[Candidate 5]]</f>
        <v>0</v>
      </c>
      <c r="X934" s="111">
        <f>Audit[[#This Row],[Audit Candidate 6]]-Audit[[#This Row],[Candidate 6]]</f>
        <v>0</v>
      </c>
      <c r="Y934" s="111">
        <f>SUMIF(Audit[[#This Row],[Difference Loser]:[Difference Candidate 6]], "&gt;0")</f>
        <v>0</v>
      </c>
      <c r="Z934" s="111">
        <f>SUM(Audit[[#This Row],[Difference Loser]:[Difference Candidate 6]])</f>
        <v>-62</v>
      </c>
      <c r="AA934" s="111">
        <f>IF(Audit[[#This Row],[Times p Drawn - With Replacement]]&gt;0, IF(Audit[[#This Row],[Canceled Differences]]&lt;0, Audit[[#This Row],[Max Differences]]+ABS(Audit[[#This Row],[Canceled Differences]]), Audit[[#This Row],[Max Differences]]), 0)</f>
        <v>0</v>
      </c>
      <c r="AB934" s="111">
        <f>'Sampling Data'!P925</f>
        <v>4.5933365997060261E-3</v>
      </c>
      <c r="AC934" s="111">
        <f>IF(
      SUM(Audit[[#This Row],[Audit Losing Candidate]:[Audit Candidate 6]])
      &lt;&gt;0,
      (Audit[[#This Row],[Winning Candidate]]-Audit[[#This Row],[Losing Candidate]]-(Audit[[#This Row],[Audit Winning Candidate]]-Audit[[#This Row],[Audit Losing Candidate]]))/(Audit[[#Totals],[Winning Candidate]]-Audit[[#Totals],[Losing Candidate]]),
      0
)</f>
        <v>0</v>
      </c>
      <c r="AD9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4" s="111">
        <f>IF(Audit[[#This Row],[Max Relative Error (ep)]] = 0, 0, Audit[[#This Row],[Max Relative Error (ep)]]/Audit[[#This Row],[Error Bound (up) - Max. possible relative overstatement]])</f>
        <v>0</v>
      </c>
      <c r="AJ9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34" s="111">
        <f t="shared" si="14"/>
        <v>1</v>
      </c>
      <c r="AL934" s="111">
        <f>PRODUCT($AK$5:AK934)</f>
        <v>8.962823818226312E-2</v>
      </c>
      <c r="AM934" s="109">
        <f>1 - [K-M P Value]</f>
        <v>0.91037176181773694</v>
      </c>
      <c r="AN934" s="111" t="str">
        <f>IF(Audit[[#This Row],[K-M P Value]]&gt;1-'General Info'!$B$16,"Continue", "Stop")</f>
        <v>Stop</v>
      </c>
      <c r="AO934" s="110" t="b">
        <f>IF(Audit[[#This Row],[Status - Continue or stop audit]] = "Continue", TRUE, IF(AN933 = "Continue", TRUE, FALSE))</f>
        <v>0</v>
      </c>
      <c r="AP934" s="110"/>
    </row>
    <row r="935" spans="1:42" ht="15" hidden="1" customHeight="1">
      <c r="A935" s="111" t="str">
        <f>'Sampling Data'!W926</f>
        <v/>
      </c>
      <c r="B935" s="112" t="str">
        <f>'Sampling Data'!A926</f>
        <v>CLEVELAND -19-I - ABS</v>
      </c>
      <c r="C935" s="112">
        <f>'Sampling Data'!B926</f>
        <v>7</v>
      </c>
      <c r="D935" s="112">
        <f>'Sampling Data'!C926</f>
        <v>6</v>
      </c>
      <c r="E935" s="113">
        <f>'Sampling Data'!D926</f>
        <v>2</v>
      </c>
      <c r="F935" s="113">
        <f>'Sampling Data'!E926</f>
        <v>2</v>
      </c>
      <c r="G935" s="113">
        <f>'Sampling Data'!F926</f>
        <v>0</v>
      </c>
      <c r="H935" s="113">
        <f>'Sampling Data'!G926</f>
        <v>0</v>
      </c>
      <c r="I935" s="112">
        <f>'Sampling Data'!H926</f>
        <v>0</v>
      </c>
      <c r="J935" s="112">
        <f>'Sampling Data'!I926</f>
        <v>1</v>
      </c>
      <c r="K935" s="112">
        <f>'Sampling Data'!J926</f>
        <v>18</v>
      </c>
      <c r="L935" s="111">
        <f>'Sampling Data'!X926</f>
        <v>0</v>
      </c>
      <c r="M935" s="114"/>
      <c r="N935" s="114"/>
      <c r="O935" s="115"/>
      <c r="P935" s="115"/>
      <c r="Q935" s="116"/>
      <c r="R935" s="116"/>
      <c r="S935" s="111">
        <f>Audit[[#This Row],[Audit Losing Candidate]]-Audit[[#This Row],[Losing Candidate]]</f>
        <v>-7</v>
      </c>
      <c r="T935" s="111">
        <f>Audit[[#This Row],[Audit Winning Candidate]]-Audit[[#This Row],[Winning Candidate]]</f>
        <v>-6</v>
      </c>
      <c r="U935" s="111">
        <f>Audit[[#This Row],[Audit Candidate 3]]-Audit[[#This Row],[Candidate 3]]</f>
        <v>-2</v>
      </c>
      <c r="V935" s="111">
        <f>Audit[[#This Row],[Audit Candidate 4]]-Audit[[#This Row],[Candidate 4]]</f>
        <v>-2</v>
      </c>
      <c r="W935" s="111">
        <f>Audit[[#This Row],[Audit Candidate 5]]-Audit[[#This Row],[Candidate 5]]</f>
        <v>0</v>
      </c>
      <c r="X935" s="111">
        <f>Audit[[#This Row],[Audit Candidate 6]]-Audit[[#This Row],[Candidate 6]]</f>
        <v>0</v>
      </c>
      <c r="Y935" s="111">
        <f>SUMIF(Audit[[#This Row],[Difference Loser]:[Difference Candidate 6]], "&gt;0")</f>
        <v>0</v>
      </c>
      <c r="Z935" s="111">
        <f>SUM(Audit[[#This Row],[Difference Loser]:[Difference Candidate 6]])</f>
        <v>-17</v>
      </c>
      <c r="AA935" s="111">
        <f>IF(Audit[[#This Row],[Times p Drawn - With Replacement]]&gt;0, IF(Audit[[#This Row],[Canceled Differences]]&lt;0, Audit[[#This Row],[Max Differences]]+ABS(Audit[[#This Row],[Canceled Differences]]), Audit[[#This Row],[Max Differences]]), 0)</f>
        <v>0</v>
      </c>
      <c r="AB935" s="111">
        <f>'Sampling Data'!P926</f>
        <v>1.041156295933366E-3</v>
      </c>
      <c r="AC935" s="111">
        <f>IF(
      SUM(Audit[[#This Row],[Audit Losing Candidate]:[Audit Candidate 6]])
      &lt;&gt;0,
      (Audit[[#This Row],[Winning Candidate]]-Audit[[#This Row],[Losing Candidate]]-(Audit[[#This Row],[Audit Winning Candidate]]-Audit[[#This Row],[Audit Losing Candidate]]))/(Audit[[#Totals],[Winning Candidate]]-Audit[[#Totals],[Losing Candidate]]),
      0
)</f>
        <v>0</v>
      </c>
      <c r="AD9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5" s="111">
        <f>IF(Audit[[#This Row],[Max Relative Error (ep)]] = 0, 0, Audit[[#This Row],[Max Relative Error (ep)]]/Audit[[#This Row],[Error Bound (up) - Max. possible relative overstatement]])</f>
        <v>0</v>
      </c>
      <c r="AJ9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35" s="111">
        <f t="shared" si="14"/>
        <v>1</v>
      </c>
      <c r="AL935" s="111">
        <f>PRODUCT($AK$5:AK935)</f>
        <v>8.962823818226312E-2</v>
      </c>
      <c r="AM935" s="109">
        <f>1 - [K-M P Value]</f>
        <v>0.91037176181773694</v>
      </c>
      <c r="AN935" s="111" t="str">
        <f>IF(Audit[[#This Row],[K-M P Value]]&gt;1-'General Info'!$B$16,"Continue", "Stop")</f>
        <v>Stop</v>
      </c>
      <c r="AO935" s="110" t="b">
        <f>IF(Audit[[#This Row],[Status - Continue or stop audit]] = "Continue", TRUE, IF(AN934 = "Continue", TRUE, FALSE))</f>
        <v>0</v>
      </c>
      <c r="AP935" s="110"/>
    </row>
    <row r="936" spans="1:42" ht="15" hidden="1" customHeight="1">
      <c r="A936" s="111" t="str">
        <f>'Sampling Data'!W927</f>
        <v/>
      </c>
      <c r="B936" s="112" t="str">
        <f>'Sampling Data'!A927</f>
        <v>CLEVELAND -19-J</v>
      </c>
      <c r="C936" s="112">
        <f>'Sampling Data'!B927</f>
        <v>44</v>
      </c>
      <c r="D936" s="112">
        <f>'Sampling Data'!C927</f>
        <v>43</v>
      </c>
      <c r="E936" s="113">
        <f>'Sampling Data'!D927</f>
        <v>16</v>
      </c>
      <c r="F936" s="113">
        <f>'Sampling Data'!E927</f>
        <v>16</v>
      </c>
      <c r="G936" s="113">
        <f>'Sampling Data'!F927</f>
        <v>1</v>
      </c>
      <c r="H936" s="113">
        <f>'Sampling Data'!G927</f>
        <v>1</v>
      </c>
      <c r="I936" s="112">
        <f>'Sampling Data'!H927</f>
        <v>0</v>
      </c>
      <c r="J936" s="112">
        <f>'Sampling Data'!I927</f>
        <v>0</v>
      </c>
      <c r="K936" s="112">
        <f>'Sampling Data'!J927</f>
        <v>121</v>
      </c>
      <c r="L936" s="111">
        <f>'Sampling Data'!X927</f>
        <v>0</v>
      </c>
      <c r="M936" s="114"/>
      <c r="N936" s="114"/>
      <c r="O936" s="115"/>
      <c r="P936" s="115"/>
      <c r="Q936" s="116"/>
      <c r="R936" s="116"/>
      <c r="S936" s="111">
        <f>Audit[[#This Row],[Audit Losing Candidate]]-Audit[[#This Row],[Losing Candidate]]</f>
        <v>-44</v>
      </c>
      <c r="T936" s="111">
        <f>Audit[[#This Row],[Audit Winning Candidate]]-Audit[[#This Row],[Winning Candidate]]</f>
        <v>-43</v>
      </c>
      <c r="U936" s="111">
        <f>Audit[[#This Row],[Audit Candidate 3]]-Audit[[#This Row],[Candidate 3]]</f>
        <v>-16</v>
      </c>
      <c r="V936" s="111">
        <f>Audit[[#This Row],[Audit Candidate 4]]-Audit[[#This Row],[Candidate 4]]</f>
        <v>-16</v>
      </c>
      <c r="W936" s="111">
        <f>Audit[[#This Row],[Audit Candidate 5]]-Audit[[#This Row],[Candidate 5]]</f>
        <v>-1</v>
      </c>
      <c r="X936" s="111">
        <f>Audit[[#This Row],[Audit Candidate 6]]-Audit[[#This Row],[Candidate 6]]</f>
        <v>-1</v>
      </c>
      <c r="Y936" s="111">
        <f>SUMIF(Audit[[#This Row],[Difference Loser]:[Difference Candidate 6]], "&gt;0")</f>
        <v>0</v>
      </c>
      <c r="Z936" s="111">
        <f>SUM(Audit[[#This Row],[Difference Loser]:[Difference Candidate 6]])</f>
        <v>-121</v>
      </c>
      <c r="AA936" s="111">
        <f>IF(Audit[[#This Row],[Times p Drawn - With Replacement]]&gt;0, IF(Audit[[#This Row],[Canceled Differences]]&lt;0, Audit[[#This Row],[Max Differences]]+ABS(Audit[[#This Row],[Canceled Differences]]), Audit[[#This Row],[Max Differences]]), 0)</f>
        <v>0</v>
      </c>
      <c r="AB936" s="111">
        <f>'Sampling Data'!P927</f>
        <v>7.3493385595296426E-3</v>
      </c>
      <c r="AC936" s="111">
        <f>IF(
      SUM(Audit[[#This Row],[Audit Losing Candidate]:[Audit Candidate 6]])
      &lt;&gt;0,
      (Audit[[#This Row],[Winning Candidate]]-Audit[[#This Row],[Losing Candidate]]-(Audit[[#This Row],[Audit Winning Candidate]]-Audit[[#This Row],[Audit Losing Candidate]]))/(Audit[[#Totals],[Winning Candidate]]-Audit[[#Totals],[Losing Candidate]]),
      0
)</f>
        <v>0</v>
      </c>
      <c r="AD9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6" s="111">
        <f>IF(Audit[[#This Row],[Max Relative Error (ep)]] = 0, 0, Audit[[#This Row],[Max Relative Error (ep)]]/Audit[[#This Row],[Error Bound (up) - Max. possible relative overstatement]])</f>
        <v>0</v>
      </c>
      <c r="AJ9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36" s="111">
        <f t="shared" si="14"/>
        <v>1</v>
      </c>
      <c r="AL936" s="111">
        <f>PRODUCT($AK$5:AK936)</f>
        <v>8.962823818226312E-2</v>
      </c>
      <c r="AM936" s="109">
        <f>1 - [K-M P Value]</f>
        <v>0.91037176181773694</v>
      </c>
      <c r="AN936" s="111" t="str">
        <f>IF(Audit[[#This Row],[K-M P Value]]&gt;1-'General Info'!$B$16,"Continue", "Stop")</f>
        <v>Stop</v>
      </c>
      <c r="AO936" s="110" t="b">
        <f>IF(Audit[[#This Row],[Status - Continue or stop audit]] = "Continue", TRUE, IF(AN935 = "Continue", TRUE, FALSE))</f>
        <v>0</v>
      </c>
      <c r="AP936" s="110"/>
    </row>
    <row r="937" spans="1:42" ht="15" hidden="1" customHeight="1">
      <c r="A937" s="111" t="str">
        <f>'Sampling Data'!W928</f>
        <v/>
      </c>
      <c r="B937" s="112" t="str">
        <f>'Sampling Data'!A928</f>
        <v>CLEVELAND -19-J - ABS</v>
      </c>
      <c r="C937" s="112">
        <f>'Sampling Data'!B928</f>
        <v>4</v>
      </c>
      <c r="D937" s="112">
        <f>'Sampling Data'!C928</f>
        <v>6</v>
      </c>
      <c r="E937" s="113">
        <f>'Sampling Data'!D928</f>
        <v>3</v>
      </c>
      <c r="F937" s="113">
        <f>'Sampling Data'!E928</f>
        <v>3</v>
      </c>
      <c r="G937" s="113">
        <f>'Sampling Data'!F928</f>
        <v>0</v>
      </c>
      <c r="H937" s="113">
        <f>'Sampling Data'!G928</f>
        <v>0</v>
      </c>
      <c r="I937" s="112">
        <f>'Sampling Data'!H928</f>
        <v>0</v>
      </c>
      <c r="J937" s="112">
        <f>'Sampling Data'!I928</f>
        <v>0</v>
      </c>
      <c r="K937" s="112">
        <f>'Sampling Data'!J928</f>
        <v>16</v>
      </c>
      <c r="L937" s="111">
        <f>'Sampling Data'!X928</f>
        <v>0</v>
      </c>
      <c r="M937" s="114"/>
      <c r="N937" s="114"/>
      <c r="O937" s="115"/>
      <c r="P937" s="115"/>
      <c r="Q937" s="116"/>
      <c r="R937" s="116"/>
      <c r="S937" s="111">
        <f>Audit[[#This Row],[Audit Losing Candidate]]-Audit[[#This Row],[Losing Candidate]]</f>
        <v>-4</v>
      </c>
      <c r="T937" s="111">
        <f>Audit[[#This Row],[Audit Winning Candidate]]-Audit[[#This Row],[Winning Candidate]]</f>
        <v>-6</v>
      </c>
      <c r="U937" s="111">
        <f>Audit[[#This Row],[Audit Candidate 3]]-Audit[[#This Row],[Candidate 3]]</f>
        <v>-3</v>
      </c>
      <c r="V937" s="111">
        <f>Audit[[#This Row],[Audit Candidate 4]]-Audit[[#This Row],[Candidate 4]]</f>
        <v>-3</v>
      </c>
      <c r="W937" s="111">
        <f>Audit[[#This Row],[Audit Candidate 5]]-Audit[[#This Row],[Candidate 5]]</f>
        <v>0</v>
      </c>
      <c r="X937" s="111">
        <f>Audit[[#This Row],[Audit Candidate 6]]-Audit[[#This Row],[Candidate 6]]</f>
        <v>0</v>
      </c>
      <c r="Y937" s="111">
        <f>SUMIF(Audit[[#This Row],[Difference Loser]:[Difference Candidate 6]], "&gt;0")</f>
        <v>0</v>
      </c>
      <c r="Z937" s="111">
        <f>SUM(Audit[[#This Row],[Difference Loser]:[Difference Candidate 6]])</f>
        <v>-16</v>
      </c>
      <c r="AA937" s="111">
        <f>IF(Audit[[#This Row],[Times p Drawn - With Replacement]]&gt;0, IF(Audit[[#This Row],[Canceled Differences]]&lt;0, Audit[[#This Row],[Max Differences]]+ABS(Audit[[#This Row],[Canceled Differences]]), Audit[[#This Row],[Max Differences]]), 0)</f>
        <v>0</v>
      </c>
      <c r="AB937" s="111">
        <f>'Sampling Data'!P928</f>
        <v>1.1024007839294464E-3</v>
      </c>
      <c r="AC937" s="111">
        <f>IF(
      SUM(Audit[[#This Row],[Audit Losing Candidate]:[Audit Candidate 6]])
      &lt;&gt;0,
      (Audit[[#This Row],[Winning Candidate]]-Audit[[#This Row],[Losing Candidate]]-(Audit[[#This Row],[Audit Winning Candidate]]-Audit[[#This Row],[Audit Losing Candidate]]))/(Audit[[#Totals],[Winning Candidate]]-Audit[[#Totals],[Losing Candidate]]),
      0
)</f>
        <v>0</v>
      </c>
      <c r="AD9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7" s="111">
        <f>IF(Audit[[#This Row],[Max Relative Error (ep)]] = 0, 0, Audit[[#This Row],[Max Relative Error (ep)]]/Audit[[#This Row],[Error Bound (up) - Max. possible relative overstatement]])</f>
        <v>0</v>
      </c>
      <c r="AJ9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37" s="111">
        <f t="shared" si="14"/>
        <v>1</v>
      </c>
      <c r="AL937" s="111">
        <f>PRODUCT($AK$5:AK937)</f>
        <v>8.962823818226312E-2</v>
      </c>
      <c r="AM937" s="109">
        <f>1 - [K-M P Value]</f>
        <v>0.91037176181773694</v>
      </c>
      <c r="AN937" s="111" t="str">
        <f>IF(Audit[[#This Row],[K-M P Value]]&gt;1-'General Info'!$B$16,"Continue", "Stop")</f>
        <v>Stop</v>
      </c>
      <c r="AO937" s="110" t="b">
        <f>IF(Audit[[#This Row],[Status - Continue or stop audit]] = "Continue", TRUE, IF(AN936 = "Continue", TRUE, FALSE))</f>
        <v>0</v>
      </c>
      <c r="AP937" s="110"/>
    </row>
    <row r="938" spans="1:42" ht="15" hidden="1" customHeight="1">
      <c r="A938" s="111" t="str">
        <f>'Sampling Data'!W929</f>
        <v/>
      </c>
      <c r="B938" s="112" t="str">
        <f>'Sampling Data'!A929</f>
        <v>CLEVELAND -19-K</v>
      </c>
      <c r="C938" s="112">
        <f>'Sampling Data'!B929</f>
        <v>29</v>
      </c>
      <c r="D938" s="112">
        <f>'Sampling Data'!C929</f>
        <v>25</v>
      </c>
      <c r="E938" s="113">
        <f>'Sampling Data'!D929</f>
        <v>10</v>
      </c>
      <c r="F938" s="113">
        <f>'Sampling Data'!E929</f>
        <v>13</v>
      </c>
      <c r="G938" s="113">
        <f>'Sampling Data'!F929</f>
        <v>0</v>
      </c>
      <c r="H938" s="113">
        <f>'Sampling Data'!G929</f>
        <v>0</v>
      </c>
      <c r="I938" s="112">
        <f>'Sampling Data'!H929</f>
        <v>0</v>
      </c>
      <c r="J938" s="112">
        <f>'Sampling Data'!I929</f>
        <v>1</v>
      </c>
      <c r="K938" s="112">
        <f>'Sampling Data'!J929</f>
        <v>78</v>
      </c>
      <c r="L938" s="111">
        <f>'Sampling Data'!X929</f>
        <v>0</v>
      </c>
      <c r="M938" s="114"/>
      <c r="N938" s="114"/>
      <c r="O938" s="115"/>
      <c r="P938" s="115"/>
      <c r="Q938" s="116"/>
      <c r="R938" s="116"/>
      <c r="S938" s="111">
        <f>Audit[[#This Row],[Audit Losing Candidate]]-Audit[[#This Row],[Losing Candidate]]</f>
        <v>-29</v>
      </c>
      <c r="T938" s="111">
        <f>Audit[[#This Row],[Audit Winning Candidate]]-Audit[[#This Row],[Winning Candidate]]</f>
        <v>-25</v>
      </c>
      <c r="U938" s="111">
        <f>Audit[[#This Row],[Audit Candidate 3]]-Audit[[#This Row],[Candidate 3]]</f>
        <v>-10</v>
      </c>
      <c r="V938" s="111">
        <f>Audit[[#This Row],[Audit Candidate 4]]-Audit[[#This Row],[Candidate 4]]</f>
        <v>-13</v>
      </c>
      <c r="W938" s="111">
        <f>Audit[[#This Row],[Audit Candidate 5]]-Audit[[#This Row],[Candidate 5]]</f>
        <v>0</v>
      </c>
      <c r="X938" s="111">
        <f>Audit[[#This Row],[Audit Candidate 6]]-Audit[[#This Row],[Candidate 6]]</f>
        <v>0</v>
      </c>
      <c r="Y938" s="111">
        <f>SUMIF(Audit[[#This Row],[Difference Loser]:[Difference Candidate 6]], "&gt;0")</f>
        <v>0</v>
      </c>
      <c r="Z938" s="111">
        <f>SUM(Audit[[#This Row],[Difference Loser]:[Difference Candidate 6]])</f>
        <v>-77</v>
      </c>
      <c r="AA938" s="111">
        <f>IF(Audit[[#This Row],[Times p Drawn - With Replacement]]&gt;0, IF(Audit[[#This Row],[Canceled Differences]]&lt;0, Audit[[#This Row],[Max Differences]]+ABS(Audit[[#This Row],[Canceled Differences]]), Audit[[#This Row],[Max Differences]]), 0)</f>
        <v>0</v>
      </c>
      <c r="AB938" s="111">
        <f>'Sampling Data'!P929</f>
        <v>4.5320921117099457E-3</v>
      </c>
      <c r="AC938" s="111">
        <f>IF(
      SUM(Audit[[#This Row],[Audit Losing Candidate]:[Audit Candidate 6]])
      &lt;&gt;0,
      (Audit[[#This Row],[Winning Candidate]]-Audit[[#This Row],[Losing Candidate]]-(Audit[[#This Row],[Audit Winning Candidate]]-Audit[[#This Row],[Audit Losing Candidate]]))/(Audit[[#Totals],[Winning Candidate]]-Audit[[#Totals],[Losing Candidate]]),
      0
)</f>
        <v>0</v>
      </c>
      <c r="AD9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8" s="111">
        <f>IF(Audit[[#This Row],[Max Relative Error (ep)]] = 0, 0, Audit[[#This Row],[Max Relative Error (ep)]]/Audit[[#This Row],[Error Bound (up) - Max. possible relative overstatement]])</f>
        <v>0</v>
      </c>
      <c r="AJ9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38" s="111">
        <f t="shared" si="14"/>
        <v>1</v>
      </c>
      <c r="AL938" s="111">
        <f>PRODUCT($AK$5:AK938)</f>
        <v>8.962823818226312E-2</v>
      </c>
      <c r="AM938" s="109">
        <f>1 - [K-M P Value]</f>
        <v>0.91037176181773694</v>
      </c>
      <c r="AN938" s="111" t="str">
        <f>IF(Audit[[#This Row],[K-M P Value]]&gt;1-'General Info'!$B$16,"Continue", "Stop")</f>
        <v>Stop</v>
      </c>
      <c r="AO938" s="110" t="b">
        <f>IF(Audit[[#This Row],[Status - Continue or stop audit]] = "Continue", TRUE, IF(AN937 = "Continue", TRUE, FALSE))</f>
        <v>0</v>
      </c>
      <c r="AP938" s="110"/>
    </row>
    <row r="939" spans="1:42" ht="15" hidden="1" customHeight="1">
      <c r="A939" s="111" t="str">
        <f>'Sampling Data'!W930</f>
        <v/>
      </c>
      <c r="B939" s="112" t="str">
        <f>'Sampling Data'!A930</f>
        <v>CLEVELAND -19-K - ABS</v>
      </c>
      <c r="C939" s="112">
        <f>'Sampling Data'!B930</f>
        <v>5</v>
      </c>
      <c r="D939" s="112">
        <f>'Sampling Data'!C930</f>
        <v>5</v>
      </c>
      <c r="E939" s="113">
        <f>'Sampling Data'!D930</f>
        <v>3</v>
      </c>
      <c r="F939" s="113">
        <f>'Sampling Data'!E930</f>
        <v>1</v>
      </c>
      <c r="G939" s="113">
        <f>'Sampling Data'!F930</f>
        <v>0</v>
      </c>
      <c r="H939" s="113">
        <f>'Sampling Data'!G930</f>
        <v>0</v>
      </c>
      <c r="I939" s="112">
        <f>'Sampling Data'!H930</f>
        <v>0</v>
      </c>
      <c r="J939" s="112">
        <f>'Sampling Data'!I930</f>
        <v>0</v>
      </c>
      <c r="K939" s="112">
        <f>'Sampling Data'!J930</f>
        <v>14</v>
      </c>
      <c r="L939" s="111">
        <f>'Sampling Data'!X930</f>
        <v>0</v>
      </c>
      <c r="M939" s="114"/>
      <c r="N939" s="114"/>
      <c r="O939" s="115"/>
      <c r="P939" s="115"/>
      <c r="Q939" s="116"/>
      <c r="R939" s="116"/>
      <c r="S939" s="111">
        <f>Audit[[#This Row],[Audit Losing Candidate]]-Audit[[#This Row],[Losing Candidate]]</f>
        <v>-5</v>
      </c>
      <c r="T939" s="111">
        <f>Audit[[#This Row],[Audit Winning Candidate]]-Audit[[#This Row],[Winning Candidate]]</f>
        <v>-5</v>
      </c>
      <c r="U939" s="111">
        <f>Audit[[#This Row],[Audit Candidate 3]]-Audit[[#This Row],[Candidate 3]]</f>
        <v>-3</v>
      </c>
      <c r="V939" s="111">
        <f>Audit[[#This Row],[Audit Candidate 4]]-Audit[[#This Row],[Candidate 4]]</f>
        <v>-1</v>
      </c>
      <c r="W939" s="111">
        <f>Audit[[#This Row],[Audit Candidate 5]]-Audit[[#This Row],[Candidate 5]]</f>
        <v>0</v>
      </c>
      <c r="X939" s="111">
        <f>Audit[[#This Row],[Audit Candidate 6]]-Audit[[#This Row],[Candidate 6]]</f>
        <v>0</v>
      </c>
      <c r="Y939" s="111">
        <f>SUMIF(Audit[[#This Row],[Difference Loser]:[Difference Candidate 6]], "&gt;0")</f>
        <v>0</v>
      </c>
      <c r="Z939" s="111">
        <f>SUM(Audit[[#This Row],[Difference Loser]:[Difference Candidate 6]])</f>
        <v>-14</v>
      </c>
      <c r="AA939" s="111">
        <f>IF(Audit[[#This Row],[Times p Drawn - With Replacement]]&gt;0, IF(Audit[[#This Row],[Canceled Differences]]&lt;0, Audit[[#This Row],[Max Differences]]+ABS(Audit[[#This Row],[Canceled Differences]]), Audit[[#This Row],[Max Differences]]), 0)</f>
        <v>0</v>
      </c>
      <c r="AB939" s="111">
        <f>'Sampling Data'!P930</f>
        <v>8.5742283194512492E-4</v>
      </c>
      <c r="AC939" s="111">
        <f>IF(
      SUM(Audit[[#This Row],[Audit Losing Candidate]:[Audit Candidate 6]])
      &lt;&gt;0,
      (Audit[[#This Row],[Winning Candidate]]-Audit[[#This Row],[Losing Candidate]]-(Audit[[#This Row],[Audit Winning Candidate]]-Audit[[#This Row],[Audit Losing Candidate]]))/(Audit[[#Totals],[Winning Candidate]]-Audit[[#Totals],[Losing Candidate]]),
      0
)</f>
        <v>0</v>
      </c>
      <c r="AD9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9" s="111">
        <f>IF(Audit[[#This Row],[Max Relative Error (ep)]] = 0, 0, Audit[[#This Row],[Max Relative Error (ep)]]/Audit[[#This Row],[Error Bound (up) - Max. possible relative overstatement]])</f>
        <v>0</v>
      </c>
      <c r="AJ9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39" s="111">
        <f t="shared" si="14"/>
        <v>1</v>
      </c>
      <c r="AL939" s="111">
        <f>PRODUCT($AK$5:AK939)</f>
        <v>8.962823818226312E-2</v>
      </c>
      <c r="AM939" s="109">
        <f>1 - [K-M P Value]</f>
        <v>0.91037176181773694</v>
      </c>
      <c r="AN939" s="111" t="str">
        <f>IF(Audit[[#This Row],[K-M P Value]]&gt;1-'General Info'!$B$16,"Continue", "Stop")</f>
        <v>Stop</v>
      </c>
      <c r="AO939" s="110" t="b">
        <f>IF(Audit[[#This Row],[Status - Continue or stop audit]] = "Continue", TRUE, IF(AN938 = "Continue", TRUE, FALSE))</f>
        <v>0</v>
      </c>
      <c r="AP939" s="110"/>
    </row>
    <row r="940" spans="1:42" ht="15" hidden="1" customHeight="1">
      <c r="A940" s="111" t="str">
        <f>'Sampling Data'!W931</f>
        <v/>
      </c>
      <c r="B940" s="112" t="str">
        <f>'Sampling Data'!A931</f>
        <v>CLEVELAND -19-L</v>
      </c>
      <c r="C940" s="112">
        <f>'Sampling Data'!B931</f>
        <v>23</v>
      </c>
      <c r="D940" s="112">
        <f>'Sampling Data'!C931</f>
        <v>23</v>
      </c>
      <c r="E940" s="113">
        <f>'Sampling Data'!D931</f>
        <v>9</v>
      </c>
      <c r="F940" s="113">
        <f>'Sampling Data'!E931</f>
        <v>11</v>
      </c>
      <c r="G940" s="113">
        <f>'Sampling Data'!F931</f>
        <v>0</v>
      </c>
      <c r="H940" s="113">
        <f>'Sampling Data'!G931</f>
        <v>0</v>
      </c>
      <c r="I940" s="112">
        <f>'Sampling Data'!H931</f>
        <v>0</v>
      </c>
      <c r="J940" s="112">
        <f>'Sampling Data'!I931</f>
        <v>0</v>
      </c>
      <c r="K940" s="112">
        <f>'Sampling Data'!J931</f>
        <v>66</v>
      </c>
      <c r="L940" s="111">
        <f>'Sampling Data'!X931</f>
        <v>0</v>
      </c>
      <c r="M940" s="114"/>
      <c r="N940" s="114"/>
      <c r="O940" s="115"/>
      <c r="P940" s="115"/>
      <c r="Q940" s="116"/>
      <c r="R940" s="116"/>
      <c r="S940" s="111">
        <f>Audit[[#This Row],[Audit Losing Candidate]]-Audit[[#This Row],[Losing Candidate]]</f>
        <v>-23</v>
      </c>
      <c r="T940" s="111">
        <f>Audit[[#This Row],[Audit Winning Candidate]]-Audit[[#This Row],[Winning Candidate]]</f>
        <v>-23</v>
      </c>
      <c r="U940" s="111">
        <f>Audit[[#This Row],[Audit Candidate 3]]-Audit[[#This Row],[Candidate 3]]</f>
        <v>-9</v>
      </c>
      <c r="V940" s="111">
        <f>Audit[[#This Row],[Audit Candidate 4]]-Audit[[#This Row],[Candidate 4]]</f>
        <v>-11</v>
      </c>
      <c r="W940" s="111">
        <f>Audit[[#This Row],[Audit Candidate 5]]-Audit[[#This Row],[Candidate 5]]</f>
        <v>0</v>
      </c>
      <c r="X940" s="111">
        <f>Audit[[#This Row],[Audit Candidate 6]]-Audit[[#This Row],[Candidate 6]]</f>
        <v>0</v>
      </c>
      <c r="Y940" s="111">
        <f>SUMIF(Audit[[#This Row],[Difference Loser]:[Difference Candidate 6]], "&gt;0")</f>
        <v>0</v>
      </c>
      <c r="Z940" s="111">
        <f>SUM(Audit[[#This Row],[Difference Loser]:[Difference Candidate 6]])</f>
        <v>-66</v>
      </c>
      <c r="AA940" s="111">
        <f>IF(Audit[[#This Row],[Times p Drawn - With Replacement]]&gt;0, IF(Audit[[#This Row],[Canceled Differences]]&lt;0, Audit[[#This Row],[Max Differences]]+ABS(Audit[[#This Row],[Canceled Differences]]), Audit[[#This Row],[Max Differences]]), 0)</f>
        <v>0</v>
      </c>
      <c r="AB940" s="111">
        <f>'Sampling Data'!P931</f>
        <v>4.0421362077413033E-3</v>
      </c>
      <c r="AC940" s="111">
        <f>IF(
      SUM(Audit[[#This Row],[Audit Losing Candidate]:[Audit Candidate 6]])
      &lt;&gt;0,
      (Audit[[#This Row],[Winning Candidate]]-Audit[[#This Row],[Losing Candidate]]-(Audit[[#This Row],[Audit Winning Candidate]]-Audit[[#This Row],[Audit Losing Candidate]]))/(Audit[[#Totals],[Winning Candidate]]-Audit[[#Totals],[Losing Candidate]]),
      0
)</f>
        <v>0</v>
      </c>
      <c r="AD9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0" s="111">
        <f>IF(Audit[[#This Row],[Max Relative Error (ep)]] = 0, 0, Audit[[#This Row],[Max Relative Error (ep)]]/Audit[[#This Row],[Error Bound (up) - Max. possible relative overstatement]])</f>
        <v>0</v>
      </c>
      <c r="AJ9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40" s="111">
        <f t="shared" si="14"/>
        <v>1</v>
      </c>
      <c r="AL940" s="111">
        <f>PRODUCT($AK$5:AK940)</f>
        <v>8.962823818226312E-2</v>
      </c>
      <c r="AM940" s="109">
        <f>1 - [K-M P Value]</f>
        <v>0.91037176181773694</v>
      </c>
      <c r="AN940" s="111" t="str">
        <f>IF(Audit[[#This Row],[K-M P Value]]&gt;1-'General Info'!$B$16,"Continue", "Stop")</f>
        <v>Stop</v>
      </c>
      <c r="AO940" s="110" t="b">
        <f>IF(Audit[[#This Row],[Status - Continue or stop audit]] = "Continue", TRUE, IF(AN939 = "Continue", TRUE, FALSE))</f>
        <v>0</v>
      </c>
      <c r="AP940" s="110"/>
    </row>
    <row r="941" spans="1:42" ht="15" hidden="1" customHeight="1">
      <c r="A941" s="111" t="str">
        <f>'Sampling Data'!W932</f>
        <v/>
      </c>
      <c r="B941" s="112" t="str">
        <f>'Sampling Data'!A932</f>
        <v>CLEVELAND -19-L - ABS</v>
      </c>
      <c r="C941" s="112">
        <f>'Sampling Data'!B932</f>
        <v>7</v>
      </c>
      <c r="D941" s="112">
        <f>'Sampling Data'!C932</f>
        <v>3</v>
      </c>
      <c r="E941" s="113">
        <f>'Sampling Data'!D932</f>
        <v>1</v>
      </c>
      <c r="F941" s="113">
        <f>'Sampling Data'!E932</f>
        <v>2</v>
      </c>
      <c r="G941" s="113">
        <f>'Sampling Data'!F932</f>
        <v>0</v>
      </c>
      <c r="H941" s="113">
        <f>'Sampling Data'!G932</f>
        <v>0</v>
      </c>
      <c r="I941" s="112">
        <f>'Sampling Data'!H932</f>
        <v>0</v>
      </c>
      <c r="J941" s="112">
        <f>'Sampling Data'!I932</f>
        <v>2</v>
      </c>
      <c r="K941" s="112">
        <f>'Sampling Data'!J932</f>
        <v>15</v>
      </c>
      <c r="L941" s="111">
        <f>'Sampling Data'!X932</f>
        <v>0</v>
      </c>
      <c r="M941" s="114"/>
      <c r="N941" s="114"/>
      <c r="O941" s="115"/>
      <c r="P941" s="115"/>
      <c r="Q941" s="116"/>
      <c r="R941" s="116"/>
      <c r="S941" s="111">
        <f>Audit[[#This Row],[Audit Losing Candidate]]-Audit[[#This Row],[Losing Candidate]]</f>
        <v>-7</v>
      </c>
      <c r="T941" s="111">
        <f>Audit[[#This Row],[Audit Winning Candidate]]-Audit[[#This Row],[Winning Candidate]]</f>
        <v>-3</v>
      </c>
      <c r="U941" s="111">
        <f>Audit[[#This Row],[Audit Candidate 3]]-Audit[[#This Row],[Candidate 3]]</f>
        <v>-1</v>
      </c>
      <c r="V941" s="111">
        <f>Audit[[#This Row],[Audit Candidate 4]]-Audit[[#This Row],[Candidate 4]]</f>
        <v>-2</v>
      </c>
      <c r="W941" s="111">
        <f>Audit[[#This Row],[Audit Candidate 5]]-Audit[[#This Row],[Candidate 5]]</f>
        <v>0</v>
      </c>
      <c r="X941" s="111">
        <f>Audit[[#This Row],[Audit Candidate 6]]-Audit[[#This Row],[Candidate 6]]</f>
        <v>0</v>
      </c>
      <c r="Y941" s="111">
        <f>SUMIF(Audit[[#This Row],[Difference Loser]:[Difference Candidate 6]], "&gt;0")</f>
        <v>0</v>
      </c>
      <c r="Z941" s="111">
        <f>SUM(Audit[[#This Row],[Difference Loser]:[Difference Candidate 6]])</f>
        <v>-13</v>
      </c>
      <c r="AA941" s="111">
        <f>IF(Audit[[#This Row],[Times p Drawn - With Replacement]]&gt;0, IF(Audit[[#This Row],[Canceled Differences]]&lt;0, Audit[[#This Row],[Max Differences]]+ABS(Audit[[#This Row],[Canceled Differences]]), Audit[[#This Row],[Max Differences]]), 0)</f>
        <v>0</v>
      </c>
      <c r="AB941" s="111">
        <f>'Sampling Data'!P932</f>
        <v>6.7368936795688392E-4</v>
      </c>
      <c r="AC941" s="111">
        <f>IF(
      SUM(Audit[[#This Row],[Audit Losing Candidate]:[Audit Candidate 6]])
      &lt;&gt;0,
      (Audit[[#This Row],[Winning Candidate]]-Audit[[#This Row],[Losing Candidate]]-(Audit[[#This Row],[Audit Winning Candidate]]-Audit[[#This Row],[Audit Losing Candidate]]))/(Audit[[#Totals],[Winning Candidate]]-Audit[[#Totals],[Losing Candidate]]),
      0
)</f>
        <v>0</v>
      </c>
      <c r="AD9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1" s="111">
        <f>IF(Audit[[#This Row],[Max Relative Error (ep)]] = 0, 0, Audit[[#This Row],[Max Relative Error (ep)]]/Audit[[#This Row],[Error Bound (up) - Max. possible relative overstatement]])</f>
        <v>0</v>
      </c>
      <c r="AJ9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41" s="111">
        <f t="shared" si="14"/>
        <v>1</v>
      </c>
      <c r="AL941" s="111">
        <f>PRODUCT($AK$5:AK941)</f>
        <v>8.962823818226312E-2</v>
      </c>
      <c r="AM941" s="109">
        <f>1 - [K-M P Value]</f>
        <v>0.91037176181773694</v>
      </c>
      <c r="AN941" s="111" t="str">
        <f>IF(Audit[[#This Row],[K-M P Value]]&gt;1-'General Info'!$B$16,"Continue", "Stop")</f>
        <v>Stop</v>
      </c>
      <c r="AO941" s="110" t="b">
        <f>IF(Audit[[#This Row],[Status - Continue or stop audit]] = "Continue", TRUE, IF(AN940 = "Continue", TRUE, FALSE))</f>
        <v>0</v>
      </c>
      <c r="AP941" s="110"/>
    </row>
    <row r="942" spans="1:42" ht="15" hidden="1" customHeight="1">
      <c r="A942" s="111" t="str">
        <f>'Sampling Data'!W933</f>
        <v/>
      </c>
      <c r="B942" s="112" t="str">
        <f>'Sampling Data'!A933</f>
        <v>CLEVELAND -19-M</v>
      </c>
      <c r="C942" s="112">
        <f>'Sampling Data'!B933</f>
        <v>11</v>
      </c>
      <c r="D942" s="112">
        <f>'Sampling Data'!C933</f>
        <v>9</v>
      </c>
      <c r="E942" s="113">
        <f>'Sampling Data'!D933</f>
        <v>4</v>
      </c>
      <c r="F942" s="113">
        <f>'Sampling Data'!E933</f>
        <v>5</v>
      </c>
      <c r="G942" s="113">
        <f>'Sampling Data'!F933</f>
        <v>0</v>
      </c>
      <c r="H942" s="113">
        <f>'Sampling Data'!G933</f>
        <v>0</v>
      </c>
      <c r="I942" s="112">
        <f>'Sampling Data'!H933</f>
        <v>0</v>
      </c>
      <c r="J942" s="112">
        <f>'Sampling Data'!I933</f>
        <v>0</v>
      </c>
      <c r="K942" s="112">
        <f>'Sampling Data'!J933</f>
        <v>29</v>
      </c>
      <c r="L942" s="111">
        <f>'Sampling Data'!X933</f>
        <v>0</v>
      </c>
      <c r="M942" s="114"/>
      <c r="N942" s="114"/>
      <c r="O942" s="115"/>
      <c r="P942" s="115"/>
      <c r="Q942" s="116"/>
      <c r="R942" s="116"/>
      <c r="S942" s="111">
        <f>Audit[[#This Row],[Audit Losing Candidate]]-Audit[[#This Row],[Losing Candidate]]</f>
        <v>-11</v>
      </c>
      <c r="T942" s="111">
        <f>Audit[[#This Row],[Audit Winning Candidate]]-Audit[[#This Row],[Winning Candidate]]</f>
        <v>-9</v>
      </c>
      <c r="U942" s="111">
        <f>Audit[[#This Row],[Audit Candidate 3]]-Audit[[#This Row],[Candidate 3]]</f>
        <v>-4</v>
      </c>
      <c r="V942" s="111">
        <f>Audit[[#This Row],[Audit Candidate 4]]-Audit[[#This Row],[Candidate 4]]</f>
        <v>-5</v>
      </c>
      <c r="W942" s="111">
        <f>Audit[[#This Row],[Audit Candidate 5]]-Audit[[#This Row],[Candidate 5]]</f>
        <v>0</v>
      </c>
      <c r="X942" s="111">
        <f>Audit[[#This Row],[Audit Candidate 6]]-Audit[[#This Row],[Candidate 6]]</f>
        <v>0</v>
      </c>
      <c r="Y942" s="111">
        <f>SUMIF(Audit[[#This Row],[Difference Loser]:[Difference Candidate 6]], "&gt;0")</f>
        <v>0</v>
      </c>
      <c r="Z942" s="111">
        <f>SUM(Audit[[#This Row],[Difference Loser]:[Difference Candidate 6]])</f>
        <v>-29</v>
      </c>
      <c r="AA942" s="111">
        <f>IF(Audit[[#This Row],[Times p Drawn - With Replacement]]&gt;0, IF(Audit[[#This Row],[Canceled Differences]]&lt;0, Audit[[#This Row],[Max Differences]]+ABS(Audit[[#This Row],[Canceled Differences]]), Audit[[#This Row],[Max Differences]]), 0)</f>
        <v>0</v>
      </c>
      <c r="AB942" s="111">
        <f>'Sampling Data'!P933</f>
        <v>1.6536011758941694E-3</v>
      </c>
      <c r="AC942" s="111">
        <f>IF(
      SUM(Audit[[#This Row],[Audit Losing Candidate]:[Audit Candidate 6]])
      &lt;&gt;0,
      (Audit[[#This Row],[Winning Candidate]]-Audit[[#This Row],[Losing Candidate]]-(Audit[[#This Row],[Audit Winning Candidate]]-Audit[[#This Row],[Audit Losing Candidate]]))/(Audit[[#Totals],[Winning Candidate]]-Audit[[#Totals],[Losing Candidate]]),
      0
)</f>
        <v>0</v>
      </c>
      <c r="AD9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2" s="111">
        <f>IF(Audit[[#This Row],[Max Relative Error (ep)]] = 0, 0, Audit[[#This Row],[Max Relative Error (ep)]]/Audit[[#This Row],[Error Bound (up) - Max. possible relative overstatement]])</f>
        <v>0</v>
      </c>
      <c r="AJ9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42" s="111">
        <f t="shared" si="14"/>
        <v>1</v>
      </c>
      <c r="AL942" s="111">
        <f>PRODUCT($AK$5:AK942)</f>
        <v>8.962823818226312E-2</v>
      </c>
      <c r="AM942" s="109">
        <f>1 - [K-M P Value]</f>
        <v>0.91037176181773694</v>
      </c>
      <c r="AN942" s="111" t="str">
        <f>IF(Audit[[#This Row],[K-M P Value]]&gt;1-'General Info'!$B$16,"Continue", "Stop")</f>
        <v>Stop</v>
      </c>
      <c r="AO942" s="110" t="b">
        <f>IF(Audit[[#This Row],[Status - Continue or stop audit]] = "Continue", TRUE, IF(AN941 = "Continue", TRUE, FALSE))</f>
        <v>0</v>
      </c>
      <c r="AP942" s="110"/>
    </row>
    <row r="943" spans="1:42" ht="15" hidden="1" customHeight="1">
      <c r="A943" s="111" t="str">
        <f>'Sampling Data'!W934</f>
        <v/>
      </c>
      <c r="B943" s="112" t="str">
        <f>'Sampling Data'!A934</f>
        <v>CLEVELAND -19-M - ABS</v>
      </c>
      <c r="C943" s="112">
        <f>'Sampling Data'!B934</f>
        <v>3</v>
      </c>
      <c r="D943" s="112">
        <f>'Sampling Data'!C934</f>
        <v>2</v>
      </c>
      <c r="E943" s="113">
        <f>'Sampling Data'!D934</f>
        <v>1</v>
      </c>
      <c r="F943" s="113">
        <f>'Sampling Data'!E934</f>
        <v>1</v>
      </c>
      <c r="G943" s="113">
        <f>'Sampling Data'!F934</f>
        <v>0</v>
      </c>
      <c r="H943" s="113">
        <f>'Sampling Data'!G934</f>
        <v>0</v>
      </c>
      <c r="I943" s="112">
        <f>'Sampling Data'!H934</f>
        <v>0</v>
      </c>
      <c r="J943" s="112">
        <f>'Sampling Data'!I934</f>
        <v>0</v>
      </c>
      <c r="K943" s="112">
        <f>'Sampling Data'!J934</f>
        <v>7</v>
      </c>
      <c r="L943" s="111">
        <f>'Sampling Data'!X934</f>
        <v>0</v>
      </c>
      <c r="M943" s="114"/>
      <c r="N943" s="114"/>
      <c r="O943" s="115"/>
      <c r="P943" s="115"/>
      <c r="Q943" s="116"/>
      <c r="R943" s="116"/>
      <c r="S943" s="111">
        <f>Audit[[#This Row],[Audit Losing Candidate]]-Audit[[#This Row],[Losing Candidate]]</f>
        <v>-3</v>
      </c>
      <c r="T943" s="111">
        <f>Audit[[#This Row],[Audit Winning Candidate]]-Audit[[#This Row],[Winning Candidate]]</f>
        <v>-2</v>
      </c>
      <c r="U943" s="111">
        <f>Audit[[#This Row],[Audit Candidate 3]]-Audit[[#This Row],[Candidate 3]]</f>
        <v>-1</v>
      </c>
      <c r="V943" s="111">
        <f>Audit[[#This Row],[Audit Candidate 4]]-Audit[[#This Row],[Candidate 4]]</f>
        <v>-1</v>
      </c>
      <c r="W943" s="111">
        <f>Audit[[#This Row],[Audit Candidate 5]]-Audit[[#This Row],[Candidate 5]]</f>
        <v>0</v>
      </c>
      <c r="X943" s="111">
        <f>Audit[[#This Row],[Audit Candidate 6]]-Audit[[#This Row],[Candidate 6]]</f>
        <v>0</v>
      </c>
      <c r="Y943" s="111">
        <f>SUMIF(Audit[[#This Row],[Difference Loser]:[Difference Candidate 6]], "&gt;0")</f>
        <v>0</v>
      </c>
      <c r="Z943" s="111">
        <f>SUM(Audit[[#This Row],[Difference Loser]:[Difference Candidate 6]])</f>
        <v>-7</v>
      </c>
      <c r="AA943" s="111">
        <f>IF(Audit[[#This Row],[Times p Drawn - With Replacement]]&gt;0, IF(Audit[[#This Row],[Canceled Differences]]&lt;0, Audit[[#This Row],[Max Differences]]+ABS(Audit[[#This Row],[Canceled Differences]]), Audit[[#This Row],[Max Differences]]), 0)</f>
        <v>0</v>
      </c>
      <c r="AB943" s="111">
        <f>'Sampling Data'!P934</f>
        <v>3.6746692797648211E-4</v>
      </c>
      <c r="AC943" s="111">
        <f>IF(
      SUM(Audit[[#This Row],[Audit Losing Candidate]:[Audit Candidate 6]])
      &lt;&gt;0,
      (Audit[[#This Row],[Winning Candidate]]-Audit[[#This Row],[Losing Candidate]]-(Audit[[#This Row],[Audit Winning Candidate]]-Audit[[#This Row],[Audit Losing Candidate]]))/(Audit[[#Totals],[Winning Candidate]]-Audit[[#Totals],[Losing Candidate]]),
      0
)</f>
        <v>0</v>
      </c>
      <c r="AD9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3" s="111">
        <f>IF(Audit[[#This Row],[Max Relative Error (ep)]] = 0, 0, Audit[[#This Row],[Max Relative Error (ep)]]/Audit[[#This Row],[Error Bound (up) - Max. possible relative overstatement]])</f>
        <v>0</v>
      </c>
      <c r="AJ9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43" s="111">
        <f t="shared" si="14"/>
        <v>1</v>
      </c>
      <c r="AL943" s="111">
        <f>PRODUCT($AK$5:AK943)</f>
        <v>8.962823818226312E-2</v>
      </c>
      <c r="AM943" s="109">
        <f>1 - [K-M P Value]</f>
        <v>0.91037176181773694</v>
      </c>
      <c r="AN943" s="111" t="str">
        <f>IF(Audit[[#This Row],[K-M P Value]]&gt;1-'General Info'!$B$16,"Continue", "Stop")</f>
        <v>Stop</v>
      </c>
      <c r="AO943" s="110" t="b">
        <f>IF(Audit[[#This Row],[Status - Continue or stop audit]] = "Continue", TRUE, IF(AN942 = "Continue", TRUE, FALSE))</f>
        <v>0</v>
      </c>
      <c r="AP943" s="110"/>
    </row>
    <row r="944" spans="1:42" ht="15" hidden="1" customHeight="1">
      <c r="A944" s="111" t="str">
        <f>'Sampling Data'!W935</f>
        <v/>
      </c>
      <c r="B944" s="112" t="str">
        <f>'Sampling Data'!A935</f>
        <v>CLEVELAND -19-N</v>
      </c>
      <c r="C944" s="112">
        <f>'Sampling Data'!B935</f>
        <v>17</v>
      </c>
      <c r="D944" s="112">
        <f>'Sampling Data'!C935</f>
        <v>19</v>
      </c>
      <c r="E944" s="113">
        <f>'Sampling Data'!D935</f>
        <v>2</v>
      </c>
      <c r="F944" s="113">
        <f>'Sampling Data'!E935</f>
        <v>2</v>
      </c>
      <c r="G944" s="113">
        <f>'Sampling Data'!F935</f>
        <v>1</v>
      </c>
      <c r="H944" s="113">
        <f>'Sampling Data'!G935</f>
        <v>0</v>
      </c>
      <c r="I944" s="112">
        <f>'Sampling Data'!H935</f>
        <v>0</v>
      </c>
      <c r="J944" s="112">
        <f>'Sampling Data'!I935</f>
        <v>1</v>
      </c>
      <c r="K944" s="112">
        <f>'Sampling Data'!J935</f>
        <v>42</v>
      </c>
      <c r="L944" s="111">
        <f>'Sampling Data'!X935</f>
        <v>0</v>
      </c>
      <c r="M944" s="114"/>
      <c r="N944" s="114"/>
      <c r="O944" s="115"/>
      <c r="P944" s="115"/>
      <c r="Q944" s="116"/>
      <c r="R944" s="116"/>
      <c r="S944" s="111">
        <f>Audit[[#This Row],[Audit Losing Candidate]]-Audit[[#This Row],[Losing Candidate]]</f>
        <v>-17</v>
      </c>
      <c r="T944" s="111">
        <f>Audit[[#This Row],[Audit Winning Candidate]]-Audit[[#This Row],[Winning Candidate]]</f>
        <v>-19</v>
      </c>
      <c r="U944" s="111">
        <f>Audit[[#This Row],[Audit Candidate 3]]-Audit[[#This Row],[Candidate 3]]</f>
        <v>-2</v>
      </c>
      <c r="V944" s="111">
        <f>Audit[[#This Row],[Audit Candidate 4]]-Audit[[#This Row],[Candidate 4]]</f>
        <v>-2</v>
      </c>
      <c r="W944" s="111">
        <f>Audit[[#This Row],[Audit Candidate 5]]-Audit[[#This Row],[Candidate 5]]</f>
        <v>-1</v>
      </c>
      <c r="X944" s="111">
        <f>Audit[[#This Row],[Audit Candidate 6]]-Audit[[#This Row],[Candidate 6]]</f>
        <v>0</v>
      </c>
      <c r="Y944" s="111">
        <f>SUMIF(Audit[[#This Row],[Difference Loser]:[Difference Candidate 6]], "&gt;0")</f>
        <v>0</v>
      </c>
      <c r="Z944" s="111">
        <f>SUM(Audit[[#This Row],[Difference Loser]:[Difference Candidate 6]])</f>
        <v>-41</v>
      </c>
      <c r="AA944" s="111">
        <f>IF(Audit[[#This Row],[Times p Drawn - With Replacement]]&gt;0, IF(Audit[[#This Row],[Canceled Differences]]&lt;0, Audit[[#This Row],[Max Differences]]+ABS(Audit[[#This Row],[Canceled Differences]]), Audit[[#This Row],[Max Differences]]), 0)</f>
        <v>0</v>
      </c>
      <c r="AB944" s="111">
        <f>'Sampling Data'!P935</f>
        <v>2.6947574718275357E-3</v>
      </c>
      <c r="AC944" s="111">
        <f>IF(
      SUM(Audit[[#This Row],[Audit Losing Candidate]:[Audit Candidate 6]])
      &lt;&gt;0,
      (Audit[[#This Row],[Winning Candidate]]-Audit[[#This Row],[Losing Candidate]]-(Audit[[#This Row],[Audit Winning Candidate]]-Audit[[#This Row],[Audit Losing Candidate]]))/(Audit[[#Totals],[Winning Candidate]]-Audit[[#Totals],[Losing Candidate]]),
      0
)</f>
        <v>0</v>
      </c>
      <c r="AD9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4" s="111">
        <f>IF(Audit[[#This Row],[Max Relative Error (ep)]] = 0, 0, Audit[[#This Row],[Max Relative Error (ep)]]/Audit[[#This Row],[Error Bound (up) - Max. possible relative overstatement]])</f>
        <v>0</v>
      </c>
      <c r="AJ9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44" s="111">
        <f t="shared" si="14"/>
        <v>1</v>
      </c>
      <c r="AL944" s="111">
        <f>PRODUCT($AK$5:AK944)</f>
        <v>8.962823818226312E-2</v>
      </c>
      <c r="AM944" s="109">
        <f>1 - [K-M P Value]</f>
        <v>0.91037176181773694</v>
      </c>
      <c r="AN944" s="111" t="str">
        <f>IF(Audit[[#This Row],[K-M P Value]]&gt;1-'General Info'!$B$16,"Continue", "Stop")</f>
        <v>Stop</v>
      </c>
      <c r="AO944" s="110" t="b">
        <f>IF(Audit[[#This Row],[Status - Continue or stop audit]] = "Continue", TRUE, IF(AN943 = "Continue", TRUE, FALSE))</f>
        <v>0</v>
      </c>
      <c r="AP944" s="110"/>
    </row>
    <row r="945" spans="1:42" ht="15" hidden="1" customHeight="1">
      <c r="A945" s="111" t="str">
        <f>'Sampling Data'!W936</f>
        <v/>
      </c>
      <c r="B945" s="112" t="str">
        <f>'Sampling Data'!A936</f>
        <v>CLEVELAND -19-N - ABS</v>
      </c>
      <c r="C945" s="112">
        <f>'Sampling Data'!B936</f>
        <v>4</v>
      </c>
      <c r="D945" s="112">
        <f>'Sampling Data'!C936</f>
        <v>6</v>
      </c>
      <c r="E945" s="113">
        <f>'Sampling Data'!D936</f>
        <v>1</v>
      </c>
      <c r="F945" s="113">
        <f>'Sampling Data'!E936</f>
        <v>0</v>
      </c>
      <c r="G945" s="113">
        <f>'Sampling Data'!F936</f>
        <v>0</v>
      </c>
      <c r="H945" s="113">
        <f>'Sampling Data'!G936</f>
        <v>0</v>
      </c>
      <c r="I945" s="112">
        <f>'Sampling Data'!H936</f>
        <v>0</v>
      </c>
      <c r="J945" s="112">
        <f>'Sampling Data'!I936</f>
        <v>0</v>
      </c>
      <c r="K945" s="112">
        <f>'Sampling Data'!J936</f>
        <v>11</v>
      </c>
      <c r="L945" s="111">
        <f>'Sampling Data'!X936</f>
        <v>0</v>
      </c>
      <c r="M945" s="114"/>
      <c r="N945" s="114"/>
      <c r="O945" s="115"/>
      <c r="P945" s="115"/>
      <c r="Q945" s="116"/>
      <c r="R945" s="116"/>
      <c r="S945" s="111">
        <f>Audit[[#This Row],[Audit Losing Candidate]]-Audit[[#This Row],[Losing Candidate]]</f>
        <v>-4</v>
      </c>
      <c r="T945" s="111">
        <f>Audit[[#This Row],[Audit Winning Candidate]]-Audit[[#This Row],[Winning Candidate]]</f>
        <v>-6</v>
      </c>
      <c r="U945" s="111">
        <f>Audit[[#This Row],[Audit Candidate 3]]-Audit[[#This Row],[Candidate 3]]</f>
        <v>-1</v>
      </c>
      <c r="V945" s="111">
        <f>Audit[[#This Row],[Audit Candidate 4]]-Audit[[#This Row],[Candidate 4]]</f>
        <v>0</v>
      </c>
      <c r="W945" s="111">
        <f>Audit[[#This Row],[Audit Candidate 5]]-Audit[[#This Row],[Candidate 5]]</f>
        <v>0</v>
      </c>
      <c r="X945" s="111">
        <f>Audit[[#This Row],[Audit Candidate 6]]-Audit[[#This Row],[Candidate 6]]</f>
        <v>0</v>
      </c>
      <c r="Y945" s="111">
        <f>SUMIF(Audit[[#This Row],[Difference Loser]:[Difference Candidate 6]], "&gt;0")</f>
        <v>0</v>
      </c>
      <c r="Z945" s="111">
        <f>SUM(Audit[[#This Row],[Difference Loser]:[Difference Candidate 6]])</f>
        <v>-11</v>
      </c>
      <c r="AA945" s="111">
        <f>IF(Audit[[#This Row],[Times p Drawn - With Replacement]]&gt;0, IF(Audit[[#This Row],[Canceled Differences]]&lt;0, Audit[[#This Row],[Max Differences]]+ABS(Audit[[#This Row],[Canceled Differences]]), Audit[[#This Row],[Max Differences]]), 0)</f>
        <v>0</v>
      </c>
      <c r="AB945" s="111">
        <f>'Sampling Data'!P936</f>
        <v>7.9617834394904463E-4</v>
      </c>
      <c r="AC945" s="111">
        <f>IF(
      SUM(Audit[[#This Row],[Audit Losing Candidate]:[Audit Candidate 6]])
      &lt;&gt;0,
      (Audit[[#This Row],[Winning Candidate]]-Audit[[#This Row],[Losing Candidate]]-(Audit[[#This Row],[Audit Winning Candidate]]-Audit[[#This Row],[Audit Losing Candidate]]))/(Audit[[#Totals],[Winning Candidate]]-Audit[[#Totals],[Losing Candidate]]),
      0
)</f>
        <v>0</v>
      </c>
      <c r="AD9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5" s="111">
        <f>IF(Audit[[#This Row],[Max Relative Error (ep)]] = 0, 0, Audit[[#This Row],[Max Relative Error (ep)]]/Audit[[#This Row],[Error Bound (up) - Max. possible relative overstatement]])</f>
        <v>0</v>
      </c>
      <c r="AJ9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45" s="111">
        <f t="shared" si="14"/>
        <v>1</v>
      </c>
      <c r="AL945" s="111">
        <f>PRODUCT($AK$5:AK945)</f>
        <v>8.962823818226312E-2</v>
      </c>
      <c r="AM945" s="109">
        <f>1 - [K-M P Value]</f>
        <v>0.91037176181773694</v>
      </c>
      <c r="AN945" s="111" t="str">
        <f>IF(Audit[[#This Row],[K-M P Value]]&gt;1-'General Info'!$B$16,"Continue", "Stop")</f>
        <v>Stop</v>
      </c>
      <c r="AO945" s="110" t="b">
        <f>IF(Audit[[#This Row],[Status - Continue or stop audit]] = "Continue", TRUE, IF(AN944 = "Continue", TRUE, FALSE))</f>
        <v>0</v>
      </c>
      <c r="AP945" s="110"/>
    </row>
    <row r="946" spans="1:42" ht="15" hidden="1" customHeight="1">
      <c r="A946" s="111" t="str">
        <f>'Sampling Data'!W937</f>
        <v/>
      </c>
      <c r="B946" s="112" t="str">
        <f>'Sampling Data'!A937</f>
        <v>CLEVELAND -19-O</v>
      </c>
      <c r="C946" s="112">
        <f>'Sampling Data'!B937</f>
        <v>19</v>
      </c>
      <c r="D946" s="112">
        <f>'Sampling Data'!C937</f>
        <v>29</v>
      </c>
      <c r="E946" s="113">
        <f>'Sampling Data'!D937</f>
        <v>4</v>
      </c>
      <c r="F946" s="113">
        <f>'Sampling Data'!E937</f>
        <v>5</v>
      </c>
      <c r="G946" s="113">
        <f>'Sampling Data'!F937</f>
        <v>0</v>
      </c>
      <c r="H946" s="113">
        <f>'Sampling Data'!G937</f>
        <v>0</v>
      </c>
      <c r="I946" s="112">
        <f>'Sampling Data'!H937</f>
        <v>0</v>
      </c>
      <c r="J946" s="112">
        <f>'Sampling Data'!I937</f>
        <v>0</v>
      </c>
      <c r="K946" s="112">
        <f>'Sampling Data'!J937</f>
        <v>57</v>
      </c>
      <c r="L946" s="111">
        <f>'Sampling Data'!X937</f>
        <v>0</v>
      </c>
      <c r="M946" s="114"/>
      <c r="N946" s="114"/>
      <c r="O946" s="115"/>
      <c r="P946" s="115"/>
      <c r="Q946" s="116"/>
      <c r="R946" s="116"/>
      <c r="S946" s="111">
        <f>Audit[[#This Row],[Audit Losing Candidate]]-Audit[[#This Row],[Losing Candidate]]</f>
        <v>-19</v>
      </c>
      <c r="T946" s="111">
        <f>Audit[[#This Row],[Audit Winning Candidate]]-Audit[[#This Row],[Winning Candidate]]</f>
        <v>-29</v>
      </c>
      <c r="U946" s="111">
        <f>Audit[[#This Row],[Audit Candidate 3]]-Audit[[#This Row],[Candidate 3]]</f>
        <v>-4</v>
      </c>
      <c r="V946" s="111">
        <f>Audit[[#This Row],[Audit Candidate 4]]-Audit[[#This Row],[Candidate 4]]</f>
        <v>-5</v>
      </c>
      <c r="W946" s="111">
        <f>Audit[[#This Row],[Audit Candidate 5]]-Audit[[#This Row],[Candidate 5]]</f>
        <v>0</v>
      </c>
      <c r="X946" s="111">
        <f>Audit[[#This Row],[Audit Candidate 6]]-Audit[[#This Row],[Candidate 6]]</f>
        <v>0</v>
      </c>
      <c r="Y946" s="111">
        <f>SUMIF(Audit[[#This Row],[Difference Loser]:[Difference Candidate 6]], "&gt;0")</f>
        <v>0</v>
      </c>
      <c r="Z946" s="111">
        <f>SUM(Audit[[#This Row],[Difference Loser]:[Difference Candidate 6]])</f>
        <v>-57</v>
      </c>
      <c r="AA946" s="111">
        <f>IF(Audit[[#This Row],[Times p Drawn - With Replacement]]&gt;0, IF(Audit[[#This Row],[Canceled Differences]]&lt;0, Audit[[#This Row],[Max Differences]]+ABS(Audit[[#This Row],[Canceled Differences]]), Audit[[#This Row],[Max Differences]]), 0)</f>
        <v>0</v>
      </c>
      <c r="AB946" s="111">
        <f>'Sampling Data'!P937</f>
        <v>4.1033806957373837E-3</v>
      </c>
      <c r="AC946" s="111">
        <f>IF(
      SUM(Audit[[#This Row],[Audit Losing Candidate]:[Audit Candidate 6]])
      &lt;&gt;0,
      (Audit[[#This Row],[Winning Candidate]]-Audit[[#This Row],[Losing Candidate]]-(Audit[[#This Row],[Audit Winning Candidate]]-Audit[[#This Row],[Audit Losing Candidate]]))/(Audit[[#Totals],[Winning Candidate]]-Audit[[#Totals],[Losing Candidate]]),
      0
)</f>
        <v>0</v>
      </c>
      <c r="AD9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6" s="111">
        <f>IF(Audit[[#This Row],[Max Relative Error (ep)]] = 0, 0, Audit[[#This Row],[Max Relative Error (ep)]]/Audit[[#This Row],[Error Bound (up) - Max. possible relative overstatement]])</f>
        <v>0</v>
      </c>
      <c r="AJ9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46" s="111">
        <f t="shared" si="14"/>
        <v>1</v>
      </c>
      <c r="AL946" s="111">
        <f>PRODUCT($AK$5:AK946)</f>
        <v>8.962823818226312E-2</v>
      </c>
      <c r="AM946" s="109">
        <f>1 - [K-M P Value]</f>
        <v>0.91037176181773694</v>
      </c>
      <c r="AN946" s="111" t="str">
        <f>IF(Audit[[#This Row],[K-M P Value]]&gt;1-'General Info'!$B$16,"Continue", "Stop")</f>
        <v>Stop</v>
      </c>
      <c r="AO946" s="110" t="b">
        <f>IF(Audit[[#This Row],[Status - Continue or stop audit]] = "Continue", TRUE, IF(AN945 = "Continue", TRUE, FALSE))</f>
        <v>0</v>
      </c>
      <c r="AP946" s="110"/>
    </row>
    <row r="947" spans="1:42" ht="15" hidden="1" customHeight="1">
      <c r="A947" s="111" t="str">
        <f>'Sampling Data'!W938</f>
        <v/>
      </c>
      <c r="B947" s="112" t="str">
        <f>'Sampling Data'!A938</f>
        <v>CLEVELAND -19-O - ABS</v>
      </c>
      <c r="C947" s="112">
        <f>'Sampling Data'!B938</f>
        <v>9</v>
      </c>
      <c r="D947" s="112">
        <f>'Sampling Data'!C938</f>
        <v>7</v>
      </c>
      <c r="E947" s="113">
        <f>'Sampling Data'!D938</f>
        <v>0</v>
      </c>
      <c r="F947" s="113">
        <f>'Sampling Data'!E938</f>
        <v>3</v>
      </c>
      <c r="G947" s="113">
        <f>'Sampling Data'!F938</f>
        <v>0</v>
      </c>
      <c r="H947" s="113">
        <f>'Sampling Data'!G938</f>
        <v>0</v>
      </c>
      <c r="I947" s="112">
        <f>'Sampling Data'!H938</f>
        <v>0</v>
      </c>
      <c r="J947" s="112">
        <f>'Sampling Data'!I938</f>
        <v>1</v>
      </c>
      <c r="K947" s="112">
        <f>'Sampling Data'!J938</f>
        <v>20</v>
      </c>
      <c r="L947" s="111">
        <f>'Sampling Data'!X938</f>
        <v>0</v>
      </c>
      <c r="M947" s="114"/>
      <c r="N947" s="114"/>
      <c r="O947" s="115"/>
      <c r="P947" s="115"/>
      <c r="Q947" s="116"/>
      <c r="R947" s="116"/>
      <c r="S947" s="111">
        <f>Audit[[#This Row],[Audit Losing Candidate]]-Audit[[#This Row],[Losing Candidate]]</f>
        <v>-9</v>
      </c>
      <c r="T947" s="111">
        <f>Audit[[#This Row],[Audit Winning Candidate]]-Audit[[#This Row],[Winning Candidate]]</f>
        <v>-7</v>
      </c>
      <c r="U947" s="111">
        <f>Audit[[#This Row],[Audit Candidate 3]]-Audit[[#This Row],[Candidate 3]]</f>
        <v>0</v>
      </c>
      <c r="V947" s="111">
        <f>Audit[[#This Row],[Audit Candidate 4]]-Audit[[#This Row],[Candidate 4]]</f>
        <v>-3</v>
      </c>
      <c r="W947" s="111">
        <f>Audit[[#This Row],[Audit Candidate 5]]-Audit[[#This Row],[Candidate 5]]</f>
        <v>0</v>
      </c>
      <c r="X947" s="111">
        <f>Audit[[#This Row],[Audit Candidate 6]]-Audit[[#This Row],[Candidate 6]]</f>
        <v>0</v>
      </c>
      <c r="Y947" s="111">
        <f>SUMIF(Audit[[#This Row],[Difference Loser]:[Difference Candidate 6]], "&gt;0")</f>
        <v>0</v>
      </c>
      <c r="Z947" s="111">
        <f>SUM(Audit[[#This Row],[Difference Loser]:[Difference Candidate 6]])</f>
        <v>-19</v>
      </c>
      <c r="AA947" s="111">
        <f>IF(Audit[[#This Row],[Times p Drawn - With Replacement]]&gt;0, IF(Audit[[#This Row],[Canceled Differences]]&lt;0, Audit[[#This Row],[Max Differences]]+ABS(Audit[[#This Row],[Canceled Differences]]), Audit[[#This Row],[Max Differences]]), 0)</f>
        <v>0</v>
      </c>
      <c r="AB947" s="111">
        <f>'Sampling Data'!P938</f>
        <v>1.1024007839294464E-3</v>
      </c>
      <c r="AC947" s="111">
        <f>IF(
      SUM(Audit[[#This Row],[Audit Losing Candidate]:[Audit Candidate 6]])
      &lt;&gt;0,
      (Audit[[#This Row],[Winning Candidate]]-Audit[[#This Row],[Losing Candidate]]-(Audit[[#This Row],[Audit Winning Candidate]]-Audit[[#This Row],[Audit Losing Candidate]]))/(Audit[[#Totals],[Winning Candidate]]-Audit[[#Totals],[Losing Candidate]]),
      0
)</f>
        <v>0</v>
      </c>
      <c r="AD9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7" s="111">
        <f>IF(Audit[[#This Row],[Max Relative Error (ep)]] = 0, 0, Audit[[#This Row],[Max Relative Error (ep)]]/Audit[[#This Row],[Error Bound (up) - Max. possible relative overstatement]])</f>
        <v>0</v>
      </c>
      <c r="AJ9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47" s="111">
        <f t="shared" si="14"/>
        <v>1</v>
      </c>
      <c r="AL947" s="111">
        <f>PRODUCT($AK$5:AK947)</f>
        <v>8.962823818226312E-2</v>
      </c>
      <c r="AM947" s="109">
        <f>1 - [K-M P Value]</f>
        <v>0.91037176181773694</v>
      </c>
      <c r="AN947" s="111" t="str">
        <f>IF(Audit[[#This Row],[K-M P Value]]&gt;1-'General Info'!$B$16,"Continue", "Stop")</f>
        <v>Stop</v>
      </c>
      <c r="AO947" s="110" t="b">
        <f>IF(Audit[[#This Row],[Status - Continue or stop audit]] = "Continue", TRUE, IF(AN946 = "Continue", TRUE, FALSE))</f>
        <v>0</v>
      </c>
      <c r="AP947" s="110"/>
    </row>
    <row r="948" spans="1:42" ht="15" hidden="1" customHeight="1">
      <c r="A948" s="111" t="str">
        <f>'Sampling Data'!W939</f>
        <v/>
      </c>
      <c r="B948" s="112" t="str">
        <f>'Sampling Data'!A939</f>
        <v>CLEVELAND -19-P</v>
      </c>
      <c r="C948" s="112">
        <f>'Sampling Data'!B939</f>
        <v>38</v>
      </c>
      <c r="D948" s="112">
        <f>'Sampling Data'!C939</f>
        <v>38</v>
      </c>
      <c r="E948" s="113">
        <f>'Sampling Data'!D939</f>
        <v>7</v>
      </c>
      <c r="F948" s="113">
        <f>'Sampling Data'!E939</f>
        <v>13</v>
      </c>
      <c r="G948" s="113">
        <f>'Sampling Data'!F939</f>
        <v>0</v>
      </c>
      <c r="H948" s="113">
        <f>'Sampling Data'!G939</f>
        <v>1</v>
      </c>
      <c r="I948" s="112">
        <f>'Sampling Data'!H939</f>
        <v>0</v>
      </c>
      <c r="J948" s="112">
        <f>'Sampling Data'!I939</f>
        <v>0</v>
      </c>
      <c r="K948" s="112">
        <f>'Sampling Data'!J939</f>
        <v>97</v>
      </c>
      <c r="L948" s="111">
        <f>'Sampling Data'!X939</f>
        <v>0</v>
      </c>
      <c r="M948" s="114"/>
      <c r="N948" s="114"/>
      <c r="O948" s="115"/>
      <c r="P948" s="115"/>
      <c r="Q948" s="116"/>
      <c r="R948" s="116"/>
      <c r="S948" s="111">
        <f>Audit[[#This Row],[Audit Losing Candidate]]-Audit[[#This Row],[Losing Candidate]]</f>
        <v>-38</v>
      </c>
      <c r="T948" s="111">
        <f>Audit[[#This Row],[Audit Winning Candidate]]-Audit[[#This Row],[Winning Candidate]]</f>
        <v>-38</v>
      </c>
      <c r="U948" s="111">
        <f>Audit[[#This Row],[Audit Candidate 3]]-Audit[[#This Row],[Candidate 3]]</f>
        <v>-7</v>
      </c>
      <c r="V948" s="111">
        <f>Audit[[#This Row],[Audit Candidate 4]]-Audit[[#This Row],[Candidate 4]]</f>
        <v>-13</v>
      </c>
      <c r="W948" s="111">
        <f>Audit[[#This Row],[Audit Candidate 5]]-Audit[[#This Row],[Candidate 5]]</f>
        <v>0</v>
      </c>
      <c r="X948" s="111">
        <f>Audit[[#This Row],[Audit Candidate 6]]-Audit[[#This Row],[Candidate 6]]</f>
        <v>-1</v>
      </c>
      <c r="Y948" s="111">
        <f>SUMIF(Audit[[#This Row],[Difference Loser]:[Difference Candidate 6]], "&gt;0")</f>
        <v>0</v>
      </c>
      <c r="Z948" s="111">
        <f>SUM(Audit[[#This Row],[Difference Loser]:[Difference Candidate 6]])</f>
        <v>-97</v>
      </c>
      <c r="AA948" s="111">
        <f>IF(Audit[[#This Row],[Times p Drawn - With Replacement]]&gt;0, IF(Audit[[#This Row],[Canceled Differences]]&lt;0, Audit[[#This Row],[Max Differences]]+ABS(Audit[[#This Row],[Canceled Differences]]), Audit[[#This Row],[Max Differences]]), 0)</f>
        <v>0</v>
      </c>
      <c r="AB948" s="111">
        <f>'Sampling Data'!P939</f>
        <v>5.9407153356197942E-3</v>
      </c>
      <c r="AC948" s="111">
        <f>IF(
      SUM(Audit[[#This Row],[Audit Losing Candidate]:[Audit Candidate 6]])
      &lt;&gt;0,
      (Audit[[#This Row],[Winning Candidate]]-Audit[[#This Row],[Losing Candidate]]-(Audit[[#This Row],[Audit Winning Candidate]]-Audit[[#This Row],[Audit Losing Candidate]]))/(Audit[[#Totals],[Winning Candidate]]-Audit[[#Totals],[Losing Candidate]]),
      0
)</f>
        <v>0</v>
      </c>
      <c r="AD9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8" s="111">
        <f>IF(Audit[[#This Row],[Max Relative Error (ep)]] = 0, 0, Audit[[#This Row],[Max Relative Error (ep)]]/Audit[[#This Row],[Error Bound (up) - Max. possible relative overstatement]])</f>
        <v>0</v>
      </c>
      <c r="AJ9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48" s="111">
        <f t="shared" si="14"/>
        <v>1</v>
      </c>
      <c r="AL948" s="111">
        <f>PRODUCT($AK$5:AK948)</f>
        <v>8.962823818226312E-2</v>
      </c>
      <c r="AM948" s="109">
        <f>1 - [K-M P Value]</f>
        <v>0.91037176181773694</v>
      </c>
      <c r="AN948" s="111" t="str">
        <f>IF(Audit[[#This Row],[K-M P Value]]&gt;1-'General Info'!$B$16,"Continue", "Stop")</f>
        <v>Stop</v>
      </c>
      <c r="AO948" s="110" t="b">
        <f>IF(Audit[[#This Row],[Status - Continue or stop audit]] = "Continue", TRUE, IF(AN947 = "Continue", TRUE, FALSE))</f>
        <v>0</v>
      </c>
      <c r="AP948" s="110"/>
    </row>
    <row r="949" spans="1:42" ht="15" hidden="1" customHeight="1">
      <c r="A949" s="111" t="str">
        <f>'Sampling Data'!W940</f>
        <v/>
      </c>
      <c r="B949" s="112" t="str">
        <f>'Sampling Data'!A940</f>
        <v>CLEVELAND -19-P - ABS</v>
      </c>
      <c r="C949" s="112">
        <f>'Sampling Data'!B940</f>
        <v>16</v>
      </c>
      <c r="D949" s="112">
        <f>'Sampling Data'!C940</f>
        <v>9</v>
      </c>
      <c r="E949" s="113">
        <f>'Sampling Data'!D940</f>
        <v>3</v>
      </c>
      <c r="F949" s="113">
        <f>'Sampling Data'!E940</f>
        <v>2</v>
      </c>
      <c r="G949" s="113">
        <f>'Sampling Data'!F940</f>
        <v>0</v>
      </c>
      <c r="H949" s="113">
        <f>'Sampling Data'!G940</f>
        <v>0</v>
      </c>
      <c r="I949" s="112">
        <f>'Sampling Data'!H940</f>
        <v>0</v>
      </c>
      <c r="J949" s="112">
        <f>'Sampling Data'!I940</f>
        <v>0</v>
      </c>
      <c r="K949" s="112">
        <f>'Sampling Data'!J940</f>
        <v>30</v>
      </c>
      <c r="L949" s="111">
        <f>'Sampling Data'!X940</f>
        <v>0</v>
      </c>
      <c r="M949" s="114"/>
      <c r="N949" s="114"/>
      <c r="O949" s="115"/>
      <c r="P949" s="115"/>
      <c r="Q949" s="116"/>
      <c r="R949" s="116"/>
      <c r="S949" s="111">
        <f>Audit[[#This Row],[Audit Losing Candidate]]-Audit[[#This Row],[Losing Candidate]]</f>
        <v>-16</v>
      </c>
      <c r="T949" s="111">
        <f>Audit[[#This Row],[Audit Winning Candidate]]-Audit[[#This Row],[Winning Candidate]]</f>
        <v>-9</v>
      </c>
      <c r="U949" s="111">
        <f>Audit[[#This Row],[Audit Candidate 3]]-Audit[[#This Row],[Candidate 3]]</f>
        <v>-3</v>
      </c>
      <c r="V949" s="111">
        <f>Audit[[#This Row],[Audit Candidate 4]]-Audit[[#This Row],[Candidate 4]]</f>
        <v>-2</v>
      </c>
      <c r="W949" s="111">
        <f>Audit[[#This Row],[Audit Candidate 5]]-Audit[[#This Row],[Candidate 5]]</f>
        <v>0</v>
      </c>
      <c r="X949" s="111">
        <f>Audit[[#This Row],[Audit Candidate 6]]-Audit[[#This Row],[Candidate 6]]</f>
        <v>0</v>
      </c>
      <c r="Y949" s="111">
        <f>SUMIF(Audit[[#This Row],[Difference Loser]:[Difference Candidate 6]], "&gt;0")</f>
        <v>0</v>
      </c>
      <c r="Z949" s="111">
        <f>SUM(Audit[[#This Row],[Difference Loser]:[Difference Candidate 6]])</f>
        <v>-30</v>
      </c>
      <c r="AA949" s="111">
        <f>IF(Audit[[#This Row],[Times p Drawn - With Replacement]]&gt;0, IF(Audit[[#This Row],[Canceled Differences]]&lt;0, Audit[[#This Row],[Max Differences]]+ABS(Audit[[#This Row],[Canceled Differences]]), Audit[[#This Row],[Max Differences]]), 0)</f>
        <v>0</v>
      </c>
      <c r="AB949" s="111">
        <f>'Sampling Data'!P940</f>
        <v>1.408623223909848E-3</v>
      </c>
      <c r="AC949" s="111">
        <f>IF(
      SUM(Audit[[#This Row],[Audit Losing Candidate]:[Audit Candidate 6]])
      &lt;&gt;0,
      (Audit[[#This Row],[Winning Candidate]]-Audit[[#This Row],[Losing Candidate]]-(Audit[[#This Row],[Audit Winning Candidate]]-Audit[[#This Row],[Audit Losing Candidate]]))/(Audit[[#Totals],[Winning Candidate]]-Audit[[#Totals],[Losing Candidate]]),
      0
)</f>
        <v>0</v>
      </c>
      <c r="AD9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9" s="111">
        <f>IF(Audit[[#This Row],[Max Relative Error (ep)]] = 0, 0, Audit[[#This Row],[Max Relative Error (ep)]]/Audit[[#This Row],[Error Bound (up) - Max. possible relative overstatement]])</f>
        <v>0</v>
      </c>
      <c r="AJ9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49" s="111">
        <f t="shared" si="14"/>
        <v>1</v>
      </c>
      <c r="AL949" s="111">
        <f>PRODUCT($AK$5:AK949)</f>
        <v>8.962823818226312E-2</v>
      </c>
      <c r="AM949" s="109">
        <f>1 - [K-M P Value]</f>
        <v>0.91037176181773694</v>
      </c>
      <c r="AN949" s="111" t="str">
        <f>IF(Audit[[#This Row],[K-M P Value]]&gt;1-'General Info'!$B$16,"Continue", "Stop")</f>
        <v>Stop</v>
      </c>
      <c r="AO949" s="110" t="b">
        <f>IF(Audit[[#This Row],[Status - Continue or stop audit]] = "Continue", TRUE, IF(AN948 = "Continue", TRUE, FALSE))</f>
        <v>0</v>
      </c>
      <c r="AP949" s="110"/>
    </row>
    <row r="950" spans="1:42" ht="15" hidden="1" customHeight="1">
      <c r="A950" s="111" t="str">
        <f>'Sampling Data'!W941</f>
        <v/>
      </c>
      <c r="B950" s="112" t="str">
        <f>'Sampling Data'!A941</f>
        <v>CLEVELAND -19-Q</v>
      </c>
      <c r="C950" s="112">
        <f>'Sampling Data'!B941</f>
        <v>23</v>
      </c>
      <c r="D950" s="112">
        <f>'Sampling Data'!C941</f>
        <v>33</v>
      </c>
      <c r="E950" s="113">
        <f>'Sampling Data'!D941</f>
        <v>9</v>
      </c>
      <c r="F950" s="113">
        <f>'Sampling Data'!E941</f>
        <v>12</v>
      </c>
      <c r="G950" s="113">
        <f>'Sampling Data'!F941</f>
        <v>0</v>
      </c>
      <c r="H950" s="113">
        <f>'Sampling Data'!G941</f>
        <v>0</v>
      </c>
      <c r="I950" s="112">
        <f>'Sampling Data'!H941</f>
        <v>0</v>
      </c>
      <c r="J950" s="112">
        <f>'Sampling Data'!I941</f>
        <v>1</v>
      </c>
      <c r="K950" s="112">
        <f>'Sampling Data'!J941</f>
        <v>78</v>
      </c>
      <c r="L950" s="111">
        <f>'Sampling Data'!X941</f>
        <v>0</v>
      </c>
      <c r="M950" s="114"/>
      <c r="N950" s="114"/>
      <c r="O950" s="115"/>
      <c r="P950" s="115"/>
      <c r="Q950" s="116"/>
      <c r="R950" s="116"/>
      <c r="S950" s="111">
        <f>Audit[[#This Row],[Audit Losing Candidate]]-Audit[[#This Row],[Losing Candidate]]</f>
        <v>-23</v>
      </c>
      <c r="T950" s="111">
        <f>Audit[[#This Row],[Audit Winning Candidate]]-Audit[[#This Row],[Winning Candidate]]</f>
        <v>-33</v>
      </c>
      <c r="U950" s="111">
        <f>Audit[[#This Row],[Audit Candidate 3]]-Audit[[#This Row],[Candidate 3]]</f>
        <v>-9</v>
      </c>
      <c r="V950" s="111">
        <f>Audit[[#This Row],[Audit Candidate 4]]-Audit[[#This Row],[Candidate 4]]</f>
        <v>-12</v>
      </c>
      <c r="W950" s="111">
        <f>Audit[[#This Row],[Audit Candidate 5]]-Audit[[#This Row],[Candidate 5]]</f>
        <v>0</v>
      </c>
      <c r="X950" s="111">
        <f>Audit[[#This Row],[Audit Candidate 6]]-Audit[[#This Row],[Candidate 6]]</f>
        <v>0</v>
      </c>
      <c r="Y950" s="111">
        <f>SUMIF(Audit[[#This Row],[Difference Loser]:[Difference Candidate 6]], "&gt;0")</f>
        <v>0</v>
      </c>
      <c r="Z950" s="111">
        <f>SUM(Audit[[#This Row],[Difference Loser]:[Difference Candidate 6]])</f>
        <v>-77</v>
      </c>
      <c r="AA950" s="111">
        <f>IF(Audit[[#This Row],[Times p Drawn - With Replacement]]&gt;0, IF(Audit[[#This Row],[Canceled Differences]]&lt;0, Audit[[#This Row],[Max Differences]]+ABS(Audit[[#This Row],[Canceled Differences]]), Audit[[#This Row],[Max Differences]]), 0)</f>
        <v>0</v>
      </c>
      <c r="AB950" s="111">
        <f>'Sampling Data'!P941</f>
        <v>5.3895149436550714E-3</v>
      </c>
      <c r="AC950" s="111">
        <f>IF(
      SUM(Audit[[#This Row],[Audit Losing Candidate]:[Audit Candidate 6]])
      &lt;&gt;0,
      (Audit[[#This Row],[Winning Candidate]]-Audit[[#This Row],[Losing Candidate]]-(Audit[[#This Row],[Audit Winning Candidate]]-Audit[[#This Row],[Audit Losing Candidate]]))/(Audit[[#Totals],[Winning Candidate]]-Audit[[#Totals],[Losing Candidate]]),
      0
)</f>
        <v>0</v>
      </c>
      <c r="AD9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0" s="111">
        <f>IF(Audit[[#This Row],[Max Relative Error (ep)]] = 0, 0, Audit[[#This Row],[Max Relative Error (ep)]]/Audit[[#This Row],[Error Bound (up) - Max. possible relative overstatement]])</f>
        <v>0</v>
      </c>
      <c r="AJ9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50" s="111">
        <f t="shared" si="14"/>
        <v>1</v>
      </c>
      <c r="AL950" s="111">
        <f>PRODUCT($AK$5:AK950)</f>
        <v>8.962823818226312E-2</v>
      </c>
      <c r="AM950" s="109">
        <f>1 - [K-M P Value]</f>
        <v>0.91037176181773694</v>
      </c>
      <c r="AN950" s="111" t="str">
        <f>IF(Audit[[#This Row],[K-M P Value]]&gt;1-'General Info'!$B$16,"Continue", "Stop")</f>
        <v>Stop</v>
      </c>
      <c r="AO950" s="110" t="b">
        <f>IF(Audit[[#This Row],[Status - Continue or stop audit]] = "Continue", TRUE, IF(AN949 = "Continue", TRUE, FALSE))</f>
        <v>0</v>
      </c>
      <c r="AP950" s="110"/>
    </row>
    <row r="951" spans="1:42" ht="15" hidden="1" customHeight="1">
      <c r="A951" s="111" t="str">
        <f>'Sampling Data'!W942</f>
        <v/>
      </c>
      <c r="B951" s="112" t="str">
        <f>'Sampling Data'!A942</f>
        <v>CLEVELAND -19-Q - ABS</v>
      </c>
      <c r="C951" s="112">
        <f>'Sampling Data'!B942</f>
        <v>23</v>
      </c>
      <c r="D951" s="112">
        <f>'Sampling Data'!C942</f>
        <v>11</v>
      </c>
      <c r="E951" s="113">
        <f>'Sampling Data'!D942</f>
        <v>2</v>
      </c>
      <c r="F951" s="113">
        <f>'Sampling Data'!E942</f>
        <v>4</v>
      </c>
      <c r="G951" s="113">
        <f>'Sampling Data'!F942</f>
        <v>0</v>
      </c>
      <c r="H951" s="113">
        <f>'Sampling Data'!G942</f>
        <v>0</v>
      </c>
      <c r="I951" s="112">
        <f>'Sampling Data'!H942</f>
        <v>0</v>
      </c>
      <c r="J951" s="112">
        <f>'Sampling Data'!I942</f>
        <v>0</v>
      </c>
      <c r="K951" s="112">
        <f>'Sampling Data'!J942</f>
        <v>40</v>
      </c>
      <c r="L951" s="111">
        <f>'Sampling Data'!X942</f>
        <v>0</v>
      </c>
      <c r="M951" s="114"/>
      <c r="N951" s="114"/>
      <c r="O951" s="115"/>
      <c r="P951" s="115"/>
      <c r="Q951" s="116"/>
      <c r="R951" s="116"/>
      <c r="S951" s="111">
        <f>Audit[[#This Row],[Audit Losing Candidate]]-Audit[[#This Row],[Losing Candidate]]</f>
        <v>-23</v>
      </c>
      <c r="T951" s="111">
        <f>Audit[[#This Row],[Audit Winning Candidate]]-Audit[[#This Row],[Winning Candidate]]</f>
        <v>-11</v>
      </c>
      <c r="U951" s="111">
        <f>Audit[[#This Row],[Audit Candidate 3]]-Audit[[#This Row],[Candidate 3]]</f>
        <v>-2</v>
      </c>
      <c r="V951" s="111">
        <f>Audit[[#This Row],[Audit Candidate 4]]-Audit[[#This Row],[Candidate 4]]</f>
        <v>-4</v>
      </c>
      <c r="W951" s="111">
        <f>Audit[[#This Row],[Audit Candidate 5]]-Audit[[#This Row],[Candidate 5]]</f>
        <v>0</v>
      </c>
      <c r="X951" s="111">
        <f>Audit[[#This Row],[Audit Candidate 6]]-Audit[[#This Row],[Candidate 6]]</f>
        <v>0</v>
      </c>
      <c r="Y951" s="111">
        <f>SUMIF(Audit[[#This Row],[Difference Loser]:[Difference Candidate 6]], "&gt;0")</f>
        <v>0</v>
      </c>
      <c r="Z951" s="111">
        <f>SUM(Audit[[#This Row],[Difference Loser]:[Difference Candidate 6]])</f>
        <v>-40</v>
      </c>
      <c r="AA951" s="111">
        <f>IF(Audit[[#This Row],[Times p Drawn - With Replacement]]&gt;0, IF(Audit[[#This Row],[Canceled Differences]]&lt;0, Audit[[#This Row],[Max Differences]]+ABS(Audit[[#This Row],[Canceled Differences]]), Audit[[#This Row],[Max Differences]]), 0)</f>
        <v>0</v>
      </c>
      <c r="AB951" s="111">
        <f>'Sampling Data'!P942</f>
        <v>1.7148456638902498E-3</v>
      </c>
      <c r="AC951" s="111">
        <f>IF(
      SUM(Audit[[#This Row],[Audit Losing Candidate]:[Audit Candidate 6]])
      &lt;&gt;0,
      (Audit[[#This Row],[Winning Candidate]]-Audit[[#This Row],[Losing Candidate]]-(Audit[[#This Row],[Audit Winning Candidate]]-Audit[[#This Row],[Audit Losing Candidate]]))/(Audit[[#Totals],[Winning Candidate]]-Audit[[#Totals],[Losing Candidate]]),
      0
)</f>
        <v>0</v>
      </c>
      <c r="AD9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1" s="111">
        <f>IF(Audit[[#This Row],[Max Relative Error (ep)]] = 0, 0, Audit[[#This Row],[Max Relative Error (ep)]]/Audit[[#This Row],[Error Bound (up) - Max. possible relative overstatement]])</f>
        <v>0</v>
      </c>
      <c r="AJ9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51" s="111">
        <f t="shared" si="14"/>
        <v>1</v>
      </c>
      <c r="AL951" s="111">
        <f>PRODUCT($AK$5:AK951)</f>
        <v>8.962823818226312E-2</v>
      </c>
      <c r="AM951" s="109">
        <f>1 - [K-M P Value]</f>
        <v>0.91037176181773694</v>
      </c>
      <c r="AN951" s="111" t="str">
        <f>IF(Audit[[#This Row],[K-M P Value]]&gt;1-'General Info'!$B$16,"Continue", "Stop")</f>
        <v>Stop</v>
      </c>
      <c r="AO951" s="110" t="b">
        <f>IF(Audit[[#This Row],[Status - Continue or stop audit]] = "Continue", TRUE, IF(AN950 = "Continue", TRUE, FALSE))</f>
        <v>0</v>
      </c>
      <c r="AP951" s="110"/>
    </row>
    <row r="952" spans="1:42" ht="15" hidden="1" customHeight="1">
      <c r="A952" s="111" t="str">
        <f>'Sampling Data'!W943</f>
        <v/>
      </c>
      <c r="B952" s="112" t="str">
        <f>'Sampling Data'!A943</f>
        <v>CLEVELAND -19-R</v>
      </c>
      <c r="C952" s="112">
        <f>'Sampling Data'!B943</f>
        <v>20</v>
      </c>
      <c r="D952" s="112">
        <f>'Sampling Data'!C943</f>
        <v>37</v>
      </c>
      <c r="E952" s="113">
        <f>'Sampling Data'!D943</f>
        <v>8</v>
      </c>
      <c r="F952" s="113">
        <f>'Sampling Data'!E943</f>
        <v>10</v>
      </c>
      <c r="G952" s="113">
        <f>'Sampling Data'!F943</f>
        <v>0</v>
      </c>
      <c r="H952" s="113">
        <f>'Sampling Data'!G943</f>
        <v>1</v>
      </c>
      <c r="I952" s="112">
        <f>'Sampling Data'!H943</f>
        <v>0</v>
      </c>
      <c r="J952" s="112">
        <f>'Sampling Data'!I943</f>
        <v>3</v>
      </c>
      <c r="K952" s="112">
        <f>'Sampling Data'!J943</f>
        <v>79</v>
      </c>
      <c r="L952" s="111">
        <f>'Sampling Data'!X943</f>
        <v>0</v>
      </c>
      <c r="M952" s="114"/>
      <c r="N952" s="114"/>
      <c r="O952" s="115"/>
      <c r="P952" s="115"/>
      <c r="Q952" s="116"/>
      <c r="R952" s="116"/>
      <c r="S952" s="111">
        <f>Audit[[#This Row],[Audit Losing Candidate]]-Audit[[#This Row],[Losing Candidate]]</f>
        <v>-20</v>
      </c>
      <c r="T952" s="111">
        <f>Audit[[#This Row],[Audit Winning Candidate]]-Audit[[#This Row],[Winning Candidate]]</f>
        <v>-37</v>
      </c>
      <c r="U952" s="111">
        <f>Audit[[#This Row],[Audit Candidate 3]]-Audit[[#This Row],[Candidate 3]]</f>
        <v>-8</v>
      </c>
      <c r="V952" s="111">
        <f>Audit[[#This Row],[Audit Candidate 4]]-Audit[[#This Row],[Candidate 4]]</f>
        <v>-10</v>
      </c>
      <c r="W952" s="111">
        <f>Audit[[#This Row],[Audit Candidate 5]]-Audit[[#This Row],[Candidate 5]]</f>
        <v>0</v>
      </c>
      <c r="X952" s="111">
        <f>Audit[[#This Row],[Audit Candidate 6]]-Audit[[#This Row],[Candidate 6]]</f>
        <v>-1</v>
      </c>
      <c r="Y952" s="111">
        <f>SUMIF(Audit[[#This Row],[Difference Loser]:[Difference Candidate 6]], "&gt;0")</f>
        <v>0</v>
      </c>
      <c r="Z952" s="111">
        <f>SUM(Audit[[#This Row],[Difference Loser]:[Difference Candidate 6]])</f>
        <v>-76</v>
      </c>
      <c r="AA952" s="111">
        <f>IF(Audit[[#This Row],[Times p Drawn - With Replacement]]&gt;0, IF(Audit[[#This Row],[Canceled Differences]]&lt;0, Audit[[#This Row],[Max Differences]]+ABS(Audit[[#This Row],[Canceled Differences]]), Audit[[#This Row],[Max Differences]]), 0)</f>
        <v>0</v>
      </c>
      <c r="AB952" s="111">
        <f>'Sampling Data'!P943</f>
        <v>5.8794708476237138E-3</v>
      </c>
      <c r="AC952" s="111">
        <f>IF(
      SUM(Audit[[#This Row],[Audit Losing Candidate]:[Audit Candidate 6]])
      &lt;&gt;0,
      (Audit[[#This Row],[Winning Candidate]]-Audit[[#This Row],[Losing Candidate]]-(Audit[[#This Row],[Audit Winning Candidate]]-Audit[[#This Row],[Audit Losing Candidate]]))/(Audit[[#Totals],[Winning Candidate]]-Audit[[#Totals],[Losing Candidate]]),
      0
)</f>
        <v>0</v>
      </c>
      <c r="AD9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2" s="111">
        <f>IF(Audit[[#This Row],[Max Relative Error (ep)]] = 0, 0, Audit[[#This Row],[Max Relative Error (ep)]]/Audit[[#This Row],[Error Bound (up) - Max. possible relative overstatement]])</f>
        <v>0</v>
      </c>
      <c r="AJ9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52" s="111">
        <f t="shared" si="14"/>
        <v>1</v>
      </c>
      <c r="AL952" s="111">
        <f>PRODUCT($AK$5:AK952)</f>
        <v>8.962823818226312E-2</v>
      </c>
      <c r="AM952" s="109">
        <f>1 - [K-M P Value]</f>
        <v>0.91037176181773694</v>
      </c>
      <c r="AN952" s="111" t="str">
        <f>IF(Audit[[#This Row],[K-M P Value]]&gt;1-'General Info'!$B$16,"Continue", "Stop")</f>
        <v>Stop</v>
      </c>
      <c r="AO952" s="110" t="b">
        <f>IF(Audit[[#This Row],[Status - Continue or stop audit]] = "Continue", TRUE, IF(AN951 = "Continue", TRUE, FALSE))</f>
        <v>0</v>
      </c>
      <c r="AP952" s="110"/>
    </row>
    <row r="953" spans="1:42" ht="15" hidden="1" customHeight="1">
      <c r="A953" s="111" t="str">
        <f>'Sampling Data'!W944</f>
        <v/>
      </c>
      <c r="B953" s="112" t="str">
        <f>'Sampling Data'!A944</f>
        <v>CLEVELAND -19-R - ABS</v>
      </c>
      <c r="C953" s="112">
        <f>'Sampling Data'!B944</f>
        <v>24</v>
      </c>
      <c r="D953" s="112">
        <f>'Sampling Data'!C944</f>
        <v>17</v>
      </c>
      <c r="E953" s="113">
        <f>'Sampling Data'!D944</f>
        <v>1</v>
      </c>
      <c r="F953" s="113">
        <f>'Sampling Data'!E944</f>
        <v>3</v>
      </c>
      <c r="G953" s="113">
        <f>'Sampling Data'!F944</f>
        <v>0</v>
      </c>
      <c r="H953" s="113">
        <f>'Sampling Data'!G944</f>
        <v>0</v>
      </c>
      <c r="I953" s="112">
        <f>'Sampling Data'!H944</f>
        <v>0</v>
      </c>
      <c r="J953" s="112">
        <f>'Sampling Data'!I944</f>
        <v>0</v>
      </c>
      <c r="K953" s="112">
        <f>'Sampling Data'!J944</f>
        <v>45</v>
      </c>
      <c r="L953" s="111">
        <f>'Sampling Data'!X944</f>
        <v>0</v>
      </c>
      <c r="M953" s="114"/>
      <c r="N953" s="114"/>
      <c r="O953" s="115"/>
      <c r="P953" s="115"/>
      <c r="Q953" s="116"/>
      <c r="R953" s="116"/>
      <c r="S953" s="111">
        <f>Audit[[#This Row],[Audit Losing Candidate]]-Audit[[#This Row],[Losing Candidate]]</f>
        <v>-24</v>
      </c>
      <c r="T953" s="111">
        <f>Audit[[#This Row],[Audit Winning Candidate]]-Audit[[#This Row],[Winning Candidate]]</f>
        <v>-17</v>
      </c>
      <c r="U953" s="111">
        <f>Audit[[#This Row],[Audit Candidate 3]]-Audit[[#This Row],[Candidate 3]]</f>
        <v>-1</v>
      </c>
      <c r="V953" s="111">
        <f>Audit[[#This Row],[Audit Candidate 4]]-Audit[[#This Row],[Candidate 4]]</f>
        <v>-3</v>
      </c>
      <c r="W953" s="111">
        <f>Audit[[#This Row],[Audit Candidate 5]]-Audit[[#This Row],[Candidate 5]]</f>
        <v>0</v>
      </c>
      <c r="X953" s="111">
        <f>Audit[[#This Row],[Audit Candidate 6]]-Audit[[#This Row],[Candidate 6]]</f>
        <v>0</v>
      </c>
      <c r="Y953" s="111">
        <f>SUMIF(Audit[[#This Row],[Difference Loser]:[Difference Candidate 6]], "&gt;0")</f>
        <v>0</v>
      </c>
      <c r="Z953" s="111">
        <f>SUM(Audit[[#This Row],[Difference Loser]:[Difference Candidate 6]])</f>
        <v>-45</v>
      </c>
      <c r="AA953" s="111">
        <f>IF(Audit[[#This Row],[Times p Drawn - With Replacement]]&gt;0, IF(Audit[[#This Row],[Canceled Differences]]&lt;0, Audit[[#This Row],[Max Differences]]+ABS(Audit[[#This Row],[Canceled Differences]]), Audit[[#This Row],[Max Differences]]), 0)</f>
        <v>0</v>
      </c>
      <c r="AB953" s="111">
        <f>'Sampling Data'!P944</f>
        <v>2.3272905438510533E-3</v>
      </c>
      <c r="AC953" s="111">
        <f>IF(
      SUM(Audit[[#This Row],[Audit Losing Candidate]:[Audit Candidate 6]])
      &lt;&gt;0,
      (Audit[[#This Row],[Winning Candidate]]-Audit[[#This Row],[Losing Candidate]]-(Audit[[#This Row],[Audit Winning Candidate]]-Audit[[#This Row],[Audit Losing Candidate]]))/(Audit[[#Totals],[Winning Candidate]]-Audit[[#Totals],[Losing Candidate]]),
      0
)</f>
        <v>0</v>
      </c>
      <c r="AD9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3" s="111">
        <f>IF(Audit[[#This Row],[Max Relative Error (ep)]] = 0, 0, Audit[[#This Row],[Max Relative Error (ep)]]/Audit[[#This Row],[Error Bound (up) - Max. possible relative overstatement]])</f>
        <v>0</v>
      </c>
      <c r="AJ9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53" s="111">
        <f t="shared" si="14"/>
        <v>1</v>
      </c>
      <c r="AL953" s="111">
        <f>PRODUCT($AK$5:AK953)</f>
        <v>8.962823818226312E-2</v>
      </c>
      <c r="AM953" s="109">
        <f>1 - [K-M P Value]</f>
        <v>0.91037176181773694</v>
      </c>
      <c r="AN953" s="111" t="str">
        <f>IF(Audit[[#This Row],[K-M P Value]]&gt;1-'General Info'!$B$16,"Continue", "Stop")</f>
        <v>Stop</v>
      </c>
      <c r="AO953" s="110" t="b">
        <f>IF(Audit[[#This Row],[Status - Continue or stop audit]] = "Continue", TRUE, IF(AN952 = "Continue", TRUE, FALSE))</f>
        <v>0</v>
      </c>
      <c r="AP953" s="110"/>
    </row>
    <row r="954" spans="1:42" ht="15" hidden="1" customHeight="1">
      <c r="A954" s="111" t="str">
        <f>'Sampling Data'!W945</f>
        <v/>
      </c>
      <c r="B954" s="112" t="str">
        <f>'Sampling Data'!A945</f>
        <v>CLEVELAND HEIGHTS -01-A</v>
      </c>
      <c r="C954" s="112">
        <f>'Sampling Data'!B945</f>
        <v>2</v>
      </c>
      <c r="D954" s="112">
        <f>'Sampling Data'!C945</f>
        <v>26</v>
      </c>
      <c r="E954" s="113">
        <f>'Sampling Data'!D945</f>
        <v>4</v>
      </c>
      <c r="F954" s="113">
        <f>'Sampling Data'!E945</f>
        <v>11</v>
      </c>
      <c r="G954" s="113">
        <f>'Sampling Data'!F945</f>
        <v>1</v>
      </c>
      <c r="H954" s="113">
        <f>'Sampling Data'!G945</f>
        <v>0</v>
      </c>
      <c r="I954" s="112">
        <f>'Sampling Data'!H945</f>
        <v>0</v>
      </c>
      <c r="J954" s="112">
        <f>'Sampling Data'!I945</f>
        <v>0</v>
      </c>
      <c r="K954" s="112">
        <f>'Sampling Data'!J945</f>
        <v>44</v>
      </c>
      <c r="L954" s="111">
        <f>'Sampling Data'!X945</f>
        <v>0</v>
      </c>
      <c r="M954" s="114"/>
      <c r="N954" s="114"/>
      <c r="O954" s="115"/>
      <c r="P954" s="115"/>
      <c r="Q954" s="116"/>
      <c r="R954" s="116"/>
      <c r="S954" s="111">
        <f>Audit[[#This Row],[Audit Losing Candidate]]-Audit[[#This Row],[Losing Candidate]]</f>
        <v>-2</v>
      </c>
      <c r="T954" s="111">
        <f>Audit[[#This Row],[Audit Winning Candidate]]-Audit[[#This Row],[Winning Candidate]]</f>
        <v>-26</v>
      </c>
      <c r="U954" s="111">
        <f>Audit[[#This Row],[Audit Candidate 3]]-Audit[[#This Row],[Candidate 3]]</f>
        <v>-4</v>
      </c>
      <c r="V954" s="111">
        <f>Audit[[#This Row],[Audit Candidate 4]]-Audit[[#This Row],[Candidate 4]]</f>
        <v>-11</v>
      </c>
      <c r="W954" s="111">
        <f>Audit[[#This Row],[Audit Candidate 5]]-Audit[[#This Row],[Candidate 5]]</f>
        <v>-1</v>
      </c>
      <c r="X954" s="111">
        <f>Audit[[#This Row],[Audit Candidate 6]]-Audit[[#This Row],[Candidate 6]]</f>
        <v>0</v>
      </c>
      <c r="Y954" s="111">
        <f>SUMIF(Audit[[#This Row],[Difference Loser]:[Difference Candidate 6]], "&gt;0")</f>
        <v>0</v>
      </c>
      <c r="Z954" s="111">
        <f>SUM(Audit[[#This Row],[Difference Loser]:[Difference Candidate 6]])</f>
        <v>-44</v>
      </c>
      <c r="AA954" s="111">
        <f>IF(Audit[[#This Row],[Times p Drawn - With Replacement]]&gt;0, IF(Audit[[#This Row],[Canceled Differences]]&lt;0, Audit[[#This Row],[Max Differences]]+ABS(Audit[[#This Row],[Canceled Differences]]), Audit[[#This Row],[Max Differences]]), 0)</f>
        <v>0</v>
      </c>
      <c r="AB954" s="111">
        <f>'Sampling Data'!P945</f>
        <v>4.1646251837334641E-3</v>
      </c>
      <c r="AC954" s="111">
        <f>IF(
      SUM(Audit[[#This Row],[Audit Losing Candidate]:[Audit Candidate 6]])
      &lt;&gt;0,
      (Audit[[#This Row],[Winning Candidate]]-Audit[[#This Row],[Losing Candidate]]-(Audit[[#This Row],[Audit Winning Candidate]]-Audit[[#This Row],[Audit Losing Candidate]]))/(Audit[[#Totals],[Winning Candidate]]-Audit[[#Totals],[Losing Candidate]]),
      0
)</f>
        <v>0</v>
      </c>
      <c r="AD9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4" s="111">
        <f>IF(Audit[[#This Row],[Max Relative Error (ep)]] = 0, 0, Audit[[#This Row],[Max Relative Error (ep)]]/Audit[[#This Row],[Error Bound (up) - Max. possible relative overstatement]])</f>
        <v>0</v>
      </c>
      <c r="AJ9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54" s="111">
        <f t="shared" si="14"/>
        <v>1</v>
      </c>
      <c r="AL954" s="111">
        <f>PRODUCT($AK$5:AK954)</f>
        <v>8.962823818226312E-2</v>
      </c>
      <c r="AM954" s="109">
        <f>1 - [K-M P Value]</f>
        <v>0.91037176181773694</v>
      </c>
      <c r="AN954" s="111" t="str">
        <f>IF(Audit[[#This Row],[K-M P Value]]&gt;1-'General Info'!$B$16,"Continue", "Stop")</f>
        <v>Stop</v>
      </c>
      <c r="AO954" s="110" t="b">
        <f>IF(Audit[[#This Row],[Status - Continue or stop audit]] = "Continue", TRUE, IF(AN953 = "Continue", TRUE, FALSE))</f>
        <v>0</v>
      </c>
      <c r="AP954" s="110"/>
    </row>
    <row r="955" spans="1:42" ht="15" hidden="1" customHeight="1">
      <c r="A955" s="111" t="str">
        <f>'Sampling Data'!W946</f>
        <v/>
      </c>
      <c r="B955" s="112" t="str">
        <f>'Sampling Data'!A946</f>
        <v>CLEVELAND HEIGHTS -01-A - ABS</v>
      </c>
      <c r="C955" s="112">
        <f>'Sampling Data'!B946</f>
        <v>3</v>
      </c>
      <c r="D955" s="112">
        <f>'Sampling Data'!C946</f>
        <v>7</v>
      </c>
      <c r="E955" s="113">
        <f>'Sampling Data'!D946</f>
        <v>2</v>
      </c>
      <c r="F955" s="113">
        <f>'Sampling Data'!E946</f>
        <v>0</v>
      </c>
      <c r="G955" s="113">
        <f>'Sampling Data'!F946</f>
        <v>0</v>
      </c>
      <c r="H955" s="113">
        <f>'Sampling Data'!G946</f>
        <v>0</v>
      </c>
      <c r="I955" s="112">
        <f>'Sampling Data'!H946</f>
        <v>0</v>
      </c>
      <c r="J955" s="112">
        <f>'Sampling Data'!I946</f>
        <v>0</v>
      </c>
      <c r="K955" s="112">
        <f>'Sampling Data'!J946</f>
        <v>12</v>
      </c>
      <c r="L955" s="111">
        <f>'Sampling Data'!X946</f>
        <v>0</v>
      </c>
      <c r="M955" s="114"/>
      <c r="N955" s="114"/>
      <c r="O955" s="115"/>
      <c r="P955" s="115"/>
      <c r="Q955" s="116"/>
      <c r="R955" s="116"/>
      <c r="S955" s="111">
        <f>Audit[[#This Row],[Audit Losing Candidate]]-Audit[[#This Row],[Losing Candidate]]</f>
        <v>-3</v>
      </c>
      <c r="T955" s="111">
        <f>Audit[[#This Row],[Audit Winning Candidate]]-Audit[[#This Row],[Winning Candidate]]</f>
        <v>-7</v>
      </c>
      <c r="U955" s="111">
        <f>Audit[[#This Row],[Audit Candidate 3]]-Audit[[#This Row],[Candidate 3]]</f>
        <v>-2</v>
      </c>
      <c r="V955" s="111">
        <f>Audit[[#This Row],[Audit Candidate 4]]-Audit[[#This Row],[Candidate 4]]</f>
        <v>0</v>
      </c>
      <c r="W955" s="111">
        <f>Audit[[#This Row],[Audit Candidate 5]]-Audit[[#This Row],[Candidate 5]]</f>
        <v>0</v>
      </c>
      <c r="X955" s="111">
        <f>Audit[[#This Row],[Audit Candidate 6]]-Audit[[#This Row],[Candidate 6]]</f>
        <v>0</v>
      </c>
      <c r="Y955" s="111">
        <f>SUMIF(Audit[[#This Row],[Difference Loser]:[Difference Candidate 6]], "&gt;0")</f>
        <v>0</v>
      </c>
      <c r="Z955" s="111">
        <f>SUM(Audit[[#This Row],[Difference Loser]:[Difference Candidate 6]])</f>
        <v>-12</v>
      </c>
      <c r="AA955" s="111">
        <f>IF(Audit[[#This Row],[Times p Drawn - With Replacement]]&gt;0, IF(Audit[[#This Row],[Canceled Differences]]&lt;0, Audit[[#This Row],[Max Differences]]+ABS(Audit[[#This Row],[Canceled Differences]]), Audit[[#This Row],[Max Differences]]), 0)</f>
        <v>0</v>
      </c>
      <c r="AB955" s="111">
        <f>'Sampling Data'!P946</f>
        <v>9.7991180793728563E-4</v>
      </c>
      <c r="AC955" s="111">
        <f>IF(
      SUM(Audit[[#This Row],[Audit Losing Candidate]:[Audit Candidate 6]])
      &lt;&gt;0,
      (Audit[[#This Row],[Winning Candidate]]-Audit[[#This Row],[Losing Candidate]]-(Audit[[#This Row],[Audit Winning Candidate]]-Audit[[#This Row],[Audit Losing Candidate]]))/(Audit[[#Totals],[Winning Candidate]]-Audit[[#Totals],[Losing Candidate]]),
      0
)</f>
        <v>0</v>
      </c>
      <c r="AD9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5" s="111">
        <f>IF(Audit[[#This Row],[Max Relative Error (ep)]] = 0, 0, Audit[[#This Row],[Max Relative Error (ep)]]/Audit[[#This Row],[Error Bound (up) - Max. possible relative overstatement]])</f>
        <v>0</v>
      </c>
      <c r="AJ9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55" s="111">
        <f t="shared" si="14"/>
        <v>1</v>
      </c>
      <c r="AL955" s="111">
        <f>PRODUCT($AK$5:AK955)</f>
        <v>8.962823818226312E-2</v>
      </c>
      <c r="AM955" s="109">
        <f>1 - [K-M P Value]</f>
        <v>0.91037176181773694</v>
      </c>
      <c r="AN955" s="111" t="str">
        <f>IF(Audit[[#This Row],[K-M P Value]]&gt;1-'General Info'!$B$16,"Continue", "Stop")</f>
        <v>Stop</v>
      </c>
      <c r="AO955" s="110" t="b">
        <f>IF(Audit[[#This Row],[Status - Continue or stop audit]] = "Continue", TRUE, IF(AN954 = "Continue", TRUE, FALSE))</f>
        <v>0</v>
      </c>
      <c r="AP955" s="110"/>
    </row>
    <row r="956" spans="1:42" ht="15" hidden="1" customHeight="1">
      <c r="A956" s="111" t="str">
        <f>'Sampling Data'!W947</f>
        <v/>
      </c>
      <c r="B956" s="112" t="str">
        <f>'Sampling Data'!A947</f>
        <v>CLEVELAND HEIGHTS -01-B</v>
      </c>
      <c r="C956" s="112">
        <f>'Sampling Data'!B947</f>
        <v>10</v>
      </c>
      <c r="D956" s="112">
        <f>'Sampling Data'!C947</f>
        <v>22</v>
      </c>
      <c r="E956" s="113">
        <f>'Sampling Data'!D947</f>
        <v>3</v>
      </c>
      <c r="F956" s="113">
        <f>'Sampling Data'!E947</f>
        <v>5</v>
      </c>
      <c r="G956" s="113">
        <f>'Sampling Data'!F947</f>
        <v>0</v>
      </c>
      <c r="H956" s="113">
        <f>'Sampling Data'!G947</f>
        <v>1</v>
      </c>
      <c r="I956" s="112">
        <f>'Sampling Data'!H947</f>
        <v>0</v>
      </c>
      <c r="J956" s="112">
        <f>'Sampling Data'!I947</f>
        <v>1</v>
      </c>
      <c r="K956" s="112">
        <f>'Sampling Data'!J947</f>
        <v>42</v>
      </c>
      <c r="L956" s="111">
        <f>'Sampling Data'!X947</f>
        <v>0</v>
      </c>
      <c r="M956" s="114"/>
      <c r="N956" s="114"/>
      <c r="O956" s="115"/>
      <c r="P956" s="115"/>
      <c r="Q956" s="116"/>
      <c r="R956" s="116"/>
      <c r="S956" s="111">
        <f>Audit[[#This Row],[Audit Losing Candidate]]-Audit[[#This Row],[Losing Candidate]]</f>
        <v>-10</v>
      </c>
      <c r="T956" s="111">
        <f>Audit[[#This Row],[Audit Winning Candidate]]-Audit[[#This Row],[Winning Candidate]]</f>
        <v>-22</v>
      </c>
      <c r="U956" s="111">
        <f>Audit[[#This Row],[Audit Candidate 3]]-Audit[[#This Row],[Candidate 3]]</f>
        <v>-3</v>
      </c>
      <c r="V956" s="111">
        <f>Audit[[#This Row],[Audit Candidate 4]]-Audit[[#This Row],[Candidate 4]]</f>
        <v>-5</v>
      </c>
      <c r="W956" s="111">
        <f>Audit[[#This Row],[Audit Candidate 5]]-Audit[[#This Row],[Candidate 5]]</f>
        <v>0</v>
      </c>
      <c r="X956" s="111">
        <f>Audit[[#This Row],[Audit Candidate 6]]-Audit[[#This Row],[Candidate 6]]</f>
        <v>-1</v>
      </c>
      <c r="Y956" s="111">
        <f>SUMIF(Audit[[#This Row],[Difference Loser]:[Difference Candidate 6]], "&gt;0")</f>
        <v>0</v>
      </c>
      <c r="Z956" s="111">
        <f>SUM(Audit[[#This Row],[Difference Loser]:[Difference Candidate 6]])</f>
        <v>-41</v>
      </c>
      <c r="AA956" s="111">
        <f>IF(Audit[[#This Row],[Times p Drawn - With Replacement]]&gt;0, IF(Audit[[#This Row],[Canceled Differences]]&lt;0, Audit[[#This Row],[Max Differences]]+ABS(Audit[[#This Row],[Canceled Differences]]), Audit[[#This Row],[Max Differences]]), 0)</f>
        <v>0</v>
      </c>
      <c r="AB956" s="111">
        <f>'Sampling Data'!P947</f>
        <v>3.3072023517883389E-3</v>
      </c>
      <c r="AC956" s="111">
        <f>IF(
      SUM(Audit[[#This Row],[Audit Losing Candidate]:[Audit Candidate 6]])
      &lt;&gt;0,
      (Audit[[#This Row],[Winning Candidate]]-Audit[[#This Row],[Losing Candidate]]-(Audit[[#This Row],[Audit Winning Candidate]]-Audit[[#This Row],[Audit Losing Candidate]]))/(Audit[[#Totals],[Winning Candidate]]-Audit[[#Totals],[Losing Candidate]]),
      0
)</f>
        <v>0</v>
      </c>
      <c r="AD9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6" s="111">
        <f>IF(Audit[[#This Row],[Max Relative Error (ep)]] = 0, 0, Audit[[#This Row],[Max Relative Error (ep)]]/Audit[[#This Row],[Error Bound (up) - Max. possible relative overstatement]])</f>
        <v>0</v>
      </c>
      <c r="AJ9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56" s="111">
        <f t="shared" si="14"/>
        <v>1</v>
      </c>
      <c r="AL956" s="111">
        <f>PRODUCT($AK$5:AK956)</f>
        <v>8.962823818226312E-2</v>
      </c>
      <c r="AM956" s="109">
        <f>1 - [K-M P Value]</f>
        <v>0.91037176181773694</v>
      </c>
      <c r="AN956" s="111" t="str">
        <f>IF(Audit[[#This Row],[K-M P Value]]&gt;1-'General Info'!$B$16,"Continue", "Stop")</f>
        <v>Stop</v>
      </c>
      <c r="AO956" s="110" t="b">
        <f>IF(Audit[[#This Row],[Status - Continue or stop audit]] = "Continue", TRUE, IF(AN955 = "Continue", TRUE, FALSE))</f>
        <v>0</v>
      </c>
      <c r="AP956" s="110"/>
    </row>
    <row r="957" spans="1:42" ht="15" hidden="1" customHeight="1">
      <c r="A957" s="111" t="str">
        <f>'Sampling Data'!W948</f>
        <v/>
      </c>
      <c r="B957" s="112" t="str">
        <f>'Sampling Data'!A948</f>
        <v>CLEVELAND HEIGHTS -01-B - ABS</v>
      </c>
      <c r="C957" s="112">
        <f>'Sampling Data'!B948</f>
        <v>1</v>
      </c>
      <c r="D957" s="112">
        <f>'Sampling Data'!C948</f>
        <v>3</v>
      </c>
      <c r="E957" s="113">
        <f>'Sampling Data'!D948</f>
        <v>0</v>
      </c>
      <c r="F957" s="113">
        <f>'Sampling Data'!E948</f>
        <v>0</v>
      </c>
      <c r="G957" s="113">
        <f>'Sampling Data'!F948</f>
        <v>0</v>
      </c>
      <c r="H957" s="113">
        <f>'Sampling Data'!G948</f>
        <v>0</v>
      </c>
      <c r="I957" s="112">
        <f>'Sampling Data'!H948</f>
        <v>0</v>
      </c>
      <c r="J957" s="112">
        <f>'Sampling Data'!I948</f>
        <v>0</v>
      </c>
      <c r="K957" s="112">
        <f>'Sampling Data'!J948</f>
        <v>4</v>
      </c>
      <c r="L957" s="111">
        <f>'Sampling Data'!X948</f>
        <v>0</v>
      </c>
      <c r="M957" s="114"/>
      <c r="N957" s="114"/>
      <c r="O957" s="115"/>
      <c r="P957" s="115"/>
      <c r="Q957" s="116"/>
      <c r="R957" s="116"/>
      <c r="S957" s="111">
        <f>Audit[[#This Row],[Audit Losing Candidate]]-Audit[[#This Row],[Losing Candidate]]</f>
        <v>-1</v>
      </c>
      <c r="T957" s="111">
        <f>Audit[[#This Row],[Audit Winning Candidate]]-Audit[[#This Row],[Winning Candidate]]</f>
        <v>-3</v>
      </c>
      <c r="U957" s="111">
        <f>Audit[[#This Row],[Audit Candidate 3]]-Audit[[#This Row],[Candidate 3]]</f>
        <v>0</v>
      </c>
      <c r="V957" s="111">
        <f>Audit[[#This Row],[Audit Candidate 4]]-Audit[[#This Row],[Candidate 4]]</f>
        <v>0</v>
      </c>
      <c r="W957" s="111">
        <f>Audit[[#This Row],[Audit Candidate 5]]-Audit[[#This Row],[Candidate 5]]</f>
        <v>0</v>
      </c>
      <c r="X957" s="111">
        <f>Audit[[#This Row],[Audit Candidate 6]]-Audit[[#This Row],[Candidate 6]]</f>
        <v>0</v>
      </c>
      <c r="Y957" s="111">
        <f>SUMIF(Audit[[#This Row],[Difference Loser]:[Difference Candidate 6]], "&gt;0")</f>
        <v>0</v>
      </c>
      <c r="Z957" s="111">
        <f>SUM(Audit[[#This Row],[Difference Loser]:[Difference Candidate 6]])</f>
        <v>-4</v>
      </c>
      <c r="AA957" s="111">
        <f>IF(Audit[[#This Row],[Times p Drawn - With Replacement]]&gt;0, IF(Audit[[#This Row],[Canceled Differences]]&lt;0, Audit[[#This Row],[Max Differences]]+ABS(Audit[[#This Row],[Canceled Differences]]), Audit[[#This Row],[Max Differences]]), 0)</f>
        <v>0</v>
      </c>
      <c r="AB957" s="111">
        <f>'Sampling Data'!P948</f>
        <v>3.6746692797648211E-4</v>
      </c>
      <c r="AC957" s="111">
        <f>IF(
      SUM(Audit[[#This Row],[Audit Losing Candidate]:[Audit Candidate 6]])
      &lt;&gt;0,
      (Audit[[#This Row],[Winning Candidate]]-Audit[[#This Row],[Losing Candidate]]-(Audit[[#This Row],[Audit Winning Candidate]]-Audit[[#This Row],[Audit Losing Candidate]]))/(Audit[[#Totals],[Winning Candidate]]-Audit[[#Totals],[Losing Candidate]]),
      0
)</f>
        <v>0</v>
      </c>
      <c r="AD9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7" s="111">
        <f>IF(Audit[[#This Row],[Max Relative Error (ep)]] = 0, 0, Audit[[#This Row],[Max Relative Error (ep)]]/Audit[[#This Row],[Error Bound (up) - Max. possible relative overstatement]])</f>
        <v>0</v>
      </c>
      <c r="AJ9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57" s="111">
        <f t="shared" si="14"/>
        <v>1</v>
      </c>
      <c r="AL957" s="111">
        <f>PRODUCT($AK$5:AK957)</f>
        <v>8.962823818226312E-2</v>
      </c>
      <c r="AM957" s="109">
        <f>1 - [K-M P Value]</f>
        <v>0.91037176181773694</v>
      </c>
      <c r="AN957" s="111" t="str">
        <f>IF(Audit[[#This Row],[K-M P Value]]&gt;1-'General Info'!$B$16,"Continue", "Stop")</f>
        <v>Stop</v>
      </c>
      <c r="AO957" s="110" t="b">
        <f>IF(Audit[[#This Row],[Status - Continue or stop audit]] = "Continue", TRUE, IF(AN956 = "Continue", TRUE, FALSE))</f>
        <v>0</v>
      </c>
      <c r="AP957" s="110"/>
    </row>
    <row r="958" spans="1:42" ht="15" hidden="1" customHeight="1">
      <c r="A958" s="111" t="str">
        <f>'Sampling Data'!W949</f>
        <v/>
      </c>
      <c r="B958" s="112" t="str">
        <f>'Sampling Data'!A949</f>
        <v>CLEVELAND HEIGHTS -01-C</v>
      </c>
      <c r="C958" s="112">
        <f>'Sampling Data'!B949</f>
        <v>6</v>
      </c>
      <c r="D958" s="112">
        <f>'Sampling Data'!C949</f>
        <v>16</v>
      </c>
      <c r="E958" s="113">
        <f>'Sampling Data'!D949</f>
        <v>0</v>
      </c>
      <c r="F958" s="113">
        <f>'Sampling Data'!E949</f>
        <v>7</v>
      </c>
      <c r="G958" s="113">
        <f>'Sampling Data'!F949</f>
        <v>1</v>
      </c>
      <c r="H958" s="113">
        <f>'Sampling Data'!G949</f>
        <v>0</v>
      </c>
      <c r="I958" s="112">
        <f>'Sampling Data'!H949</f>
        <v>0</v>
      </c>
      <c r="J958" s="112">
        <f>'Sampling Data'!I949</f>
        <v>0</v>
      </c>
      <c r="K958" s="112">
        <f>'Sampling Data'!J949</f>
        <v>30</v>
      </c>
      <c r="L958" s="111">
        <f>'Sampling Data'!X949</f>
        <v>0</v>
      </c>
      <c r="M958" s="114"/>
      <c r="N958" s="114"/>
      <c r="O958" s="115"/>
      <c r="P958" s="115"/>
      <c r="Q958" s="116"/>
      <c r="R958" s="116"/>
      <c r="S958" s="111">
        <f>Audit[[#This Row],[Audit Losing Candidate]]-Audit[[#This Row],[Losing Candidate]]</f>
        <v>-6</v>
      </c>
      <c r="T958" s="111">
        <f>Audit[[#This Row],[Audit Winning Candidate]]-Audit[[#This Row],[Winning Candidate]]</f>
        <v>-16</v>
      </c>
      <c r="U958" s="111">
        <f>Audit[[#This Row],[Audit Candidate 3]]-Audit[[#This Row],[Candidate 3]]</f>
        <v>0</v>
      </c>
      <c r="V958" s="111">
        <f>Audit[[#This Row],[Audit Candidate 4]]-Audit[[#This Row],[Candidate 4]]</f>
        <v>-7</v>
      </c>
      <c r="W958" s="111">
        <f>Audit[[#This Row],[Audit Candidate 5]]-Audit[[#This Row],[Candidate 5]]</f>
        <v>-1</v>
      </c>
      <c r="X958" s="111">
        <f>Audit[[#This Row],[Audit Candidate 6]]-Audit[[#This Row],[Candidate 6]]</f>
        <v>0</v>
      </c>
      <c r="Y958" s="111">
        <f>SUMIF(Audit[[#This Row],[Difference Loser]:[Difference Candidate 6]], "&gt;0")</f>
        <v>0</v>
      </c>
      <c r="Z958" s="111">
        <f>SUM(Audit[[#This Row],[Difference Loser]:[Difference Candidate 6]])</f>
        <v>-30</v>
      </c>
      <c r="AA958" s="111">
        <f>IF(Audit[[#This Row],[Times p Drawn - With Replacement]]&gt;0, IF(Audit[[#This Row],[Canceled Differences]]&lt;0, Audit[[#This Row],[Max Differences]]+ABS(Audit[[#This Row],[Canceled Differences]]), Audit[[#This Row],[Max Differences]]), 0)</f>
        <v>0</v>
      </c>
      <c r="AB958" s="111">
        <f>'Sampling Data'!P949</f>
        <v>2.4497795198432141E-3</v>
      </c>
      <c r="AC958" s="111">
        <f>IF(
      SUM(Audit[[#This Row],[Audit Losing Candidate]:[Audit Candidate 6]])
      &lt;&gt;0,
      (Audit[[#This Row],[Winning Candidate]]-Audit[[#This Row],[Losing Candidate]]-(Audit[[#This Row],[Audit Winning Candidate]]-Audit[[#This Row],[Audit Losing Candidate]]))/(Audit[[#Totals],[Winning Candidate]]-Audit[[#Totals],[Losing Candidate]]),
      0
)</f>
        <v>0</v>
      </c>
      <c r="AD9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8" s="111">
        <f>IF(Audit[[#This Row],[Max Relative Error (ep)]] = 0, 0, Audit[[#This Row],[Max Relative Error (ep)]]/Audit[[#This Row],[Error Bound (up) - Max. possible relative overstatement]])</f>
        <v>0</v>
      </c>
      <c r="AJ9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58" s="111">
        <f t="shared" si="14"/>
        <v>1</v>
      </c>
      <c r="AL958" s="111">
        <f>PRODUCT($AK$5:AK958)</f>
        <v>8.962823818226312E-2</v>
      </c>
      <c r="AM958" s="109">
        <f>1 - [K-M P Value]</f>
        <v>0.91037176181773694</v>
      </c>
      <c r="AN958" s="111" t="str">
        <f>IF(Audit[[#This Row],[K-M P Value]]&gt;1-'General Info'!$B$16,"Continue", "Stop")</f>
        <v>Stop</v>
      </c>
      <c r="AO958" s="110" t="b">
        <f>IF(Audit[[#This Row],[Status - Continue or stop audit]] = "Continue", TRUE, IF(AN957 = "Continue", TRUE, FALSE))</f>
        <v>0</v>
      </c>
      <c r="AP958" s="110"/>
    </row>
    <row r="959" spans="1:42" ht="15" hidden="1" customHeight="1">
      <c r="A959" s="111" t="str">
        <f>'Sampling Data'!W950</f>
        <v/>
      </c>
      <c r="B959" s="112" t="str">
        <f>'Sampling Data'!A950</f>
        <v>CLEVELAND HEIGHTS -01-C - ABS</v>
      </c>
      <c r="C959" s="112">
        <f>'Sampling Data'!B950</f>
        <v>2</v>
      </c>
      <c r="D959" s="112">
        <f>'Sampling Data'!C950</f>
        <v>5</v>
      </c>
      <c r="E959" s="113">
        <f>'Sampling Data'!D950</f>
        <v>1</v>
      </c>
      <c r="F959" s="113">
        <f>'Sampling Data'!E950</f>
        <v>2</v>
      </c>
      <c r="G959" s="113">
        <f>'Sampling Data'!F950</f>
        <v>0</v>
      </c>
      <c r="H959" s="113">
        <f>'Sampling Data'!G950</f>
        <v>0</v>
      </c>
      <c r="I959" s="112">
        <f>'Sampling Data'!H950</f>
        <v>0</v>
      </c>
      <c r="J959" s="112">
        <f>'Sampling Data'!I950</f>
        <v>0</v>
      </c>
      <c r="K959" s="112">
        <f>'Sampling Data'!J950</f>
        <v>10</v>
      </c>
      <c r="L959" s="111">
        <f>'Sampling Data'!X950</f>
        <v>0</v>
      </c>
      <c r="M959" s="114"/>
      <c r="N959" s="114"/>
      <c r="O959" s="115"/>
      <c r="P959" s="115"/>
      <c r="Q959" s="116"/>
      <c r="R959" s="116"/>
      <c r="S959" s="111">
        <f>Audit[[#This Row],[Audit Losing Candidate]]-Audit[[#This Row],[Losing Candidate]]</f>
        <v>-2</v>
      </c>
      <c r="T959" s="111">
        <f>Audit[[#This Row],[Audit Winning Candidate]]-Audit[[#This Row],[Winning Candidate]]</f>
        <v>-5</v>
      </c>
      <c r="U959" s="111">
        <f>Audit[[#This Row],[Audit Candidate 3]]-Audit[[#This Row],[Candidate 3]]</f>
        <v>-1</v>
      </c>
      <c r="V959" s="111">
        <f>Audit[[#This Row],[Audit Candidate 4]]-Audit[[#This Row],[Candidate 4]]</f>
        <v>-2</v>
      </c>
      <c r="W959" s="111">
        <f>Audit[[#This Row],[Audit Candidate 5]]-Audit[[#This Row],[Candidate 5]]</f>
        <v>0</v>
      </c>
      <c r="X959" s="111">
        <f>Audit[[#This Row],[Audit Candidate 6]]-Audit[[#This Row],[Candidate 6]]</f>
        <v>0</v>
      </c>
      <c r="Y959" s="111">
        <f>SUMIF(Audit[[#This Row],[Difference Loser]:[Difference Candidate 6]], "&gt;0")</f>
        <v>0</v>
      </c>
      <c r="Z959" s="111">
        <f>SUM(Audit[[#This Row],[Difference Loser]:[Difference Candidate 6]])</f>
        <v>-10</v>
      </c>
      <c r="AA959" s="111">
        <f>IF(Audit[[#This Row],[Times p Drawn - With Replacement]]&gt;0, IF(Audit[[#This Row],[Canceled Differences]]&lt;0, Audit[[#This Row],[Max Differences]]+ABS(Audit[[#This Row],[Canceled Differences]]), Audit[[#This Row],[Max Differences]]), 0)</f>
        <v>0</v>
      </c>
      <c r="AB959" s="111">
        <f>'Sampling Data'!P950</f>
        <v>7.9617834394904463E-4</v>
      </c>
      <c r="AC959" s="111">
        <f>IF(
      SUM(Audit[[#This Row],[Audit Losing Candidate]:[Audit Candidate 6]])
      &lt;&gt;0,
      (Audit[[#This Row],[Winning Candidate]]-Audit[[#This Row],[Losing Candidate]]-(Audit[[#This Row],[Audit Winning Candidate]]-Audit[[#This Row],[Audit Losing Candidate]]))/(Audit[[#Totals],[Winning Candidate]]-Audit[[#Totals],[Losing Candidate]]),
      0
)</f>
        <v>0</v>
      </c>
      <c r="AD9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9" s="111">
        <f>IF(Audit[[#This Row],[Max Relative Error (ep)]] = 0, 0, Audit[[#This Row],[Max Relative Error (ep)]]/Audit[[#This Row],[Error Bound (up) - Max. possible relative overstatement]])</f>
        <v>0</v>
      </c>
      <c r="AJ9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59" s="111">
        <f t="shared" si="14"/>
        <v>1</v>
      </c>
      <c r="AL959" s="111">
        <f>PRODUCT($AK$5:AK959)</f>
        <v>8.962823818226312E-2</v>
      </c>
      <c r="AM959" s="109">
        <f>1 - [K-M P Value]</f>
        <v>0.91037176181773694</v>
      </c>
      <c r="AN959" s="111" t="str">
        <f>IF(Audit[[#This Row],[K-M P Value]]&gt;1-'General Info'!$B$16,"Continue", "Stop")</f>
        <v>Stop</v>
      </c>
      <c r="AO959" s="110" t="b">
        <f>IF(Audit[[#This Row],[Status - Continue or stop audit]] = "Continue", TRUE, IF(AN958 = "Continue", TRUE, FALSE))</f>
        <v>0</v>
      </c>
      <c r="AP959" s="110"/>
    </row>
    <row r="960" spans="1:42" ht="15" hidden="1" customHeight="1">
      <c r="A960" s="111" t="str">
        <f>'Sampling Data'!W951</f>
        <v/>
      </c>
      <c r="B960" s="112" t="str">
        <f>'Sampling Data'!A951</f>
        <v>CLEVELAND HEIGHTS -01-D</v>
      </c>
      <c r="C960" s="112">
        <f>'Sampling Data'!B951</f>
        <v>3</v>
      </c>
      <c r="D960" s="112">
        <f>'Sampling Data'!C951</f>
        <v>3</v>
      </c>
      <c r="E960" s="113">
        <f>'Sampling Data'!D951</f>
        <v>0</v>
      </c>
      <c r="F960" s="113">
        <f>'Sampling Data'!E951</f>
        <v>5</v>
      </c>
      <c r="G960" s="113">
        <f>'Sampling Data'!F951</f>
        <v>0</v>
      </c>
      <c r="H960" s="113">
        <f>'Sampling Data'!G951</f>
        <v>0</v>
      </c>
      <c r="I960" s="112">
        <f>'Sampling Data'!H951</f>
        <v>0</v>
      </c>
      <c r="J960" s="112">
        <f>'Sampling Data'!I951</f>
        <v>0</v>
      </c>
      <c r="K960" s="112">
        <f>'Sampling Data'!J951</f>
        <v>11</v>
      </c>
      <c r="L960" s="111">
        <f>'Sampling Data'!X951</f>
        <v>0</v>
      </c>
      <c r="M960" s="114"/>
      <c r="N960" s="114"/>
      <c r="O960" s="115"/>
      <c r="P960" s="115"/>
      <c r="Q960" s="116"/>
      <c r="R960" s="116"/>
      <c r="S960" s="111">
        <f>Audit[[#This Row],[Audit Losing Candidate]]-Audit[[#This Row],[Losing Candidate]]</f>
        <v>-3</v>
      </c>
      <c r="T960" s="111">
        <f>Audit[[#This Row],[Audit Winning Candidate]]-Audit[[#This Row],[Winning Candidate]]</f>
        <v>-3</v>
      </c>
      <c r="U960" s="111">
        <f>Audit[[#This Row],[Audit Candidate 3]]-Audit[[#This Row],[Candidate 3]]</f>
        <v>0</v>
      </c>
      <c r="V960" s="111">
        <f>Audit[[#This Row],[Audit Candidate 4]]-Audit[[#This Row],[Candidate 4]]</f>
        <v>-5</v>
      </c>
      <c r="W960" s="111">
        <f>Audit[[#This Row],[Audit Candidate 5]]-Audit[[#This Row],[Candidate 5]]</f>
        <v>0</v>
      </c>
      <c r="X960" s="111">
        <f>Audit[[#This Row],[Audit Candidate 6]]-Audit[[#This Row],[Candidate 6]]</f>
        <v>0</v>
      </c>
      <c r="Y960" s="111">
        <f>SUMIF(Audit[[#This Row],[Difference Loser]:[Difference Candidate 6]], "&gt;0")</f>
        <v>0</v>
      </c>
      <c r="Z960" s="111">
        <f>SUM(Audit[[#This Row],[Difference Loser]:[Difference Candidate 6]])</f>
        <v>-11</v>
      </c>
      <c r="AA960" s="111">
        <f>IF(Audit[[#This Row],[Times p Drawn - With Replacement]]&gt;0, IF(Audit[[#This Row],[Canceled Differences]]&lt;0, Audit[[#This Row],[Max Differences]]+ABS(Audit[[#This Row],[Canceled Differences]]), Audit[[#This Row],[Max Differences]]), 0)</f>
        <v>0</v>
      </c>
      <c r="AB960" s="111">
        <f>'Sampling Data'!P951</f>
        <v>6.7368936795688392E-4</v>
      </c>
      <c r="AC960" s="111">
        <f>IF(
      SUM(Audit[[#This Row],[Audit Losing Candidate]:[Audit Candidate 6]])
      &lt;&gt;0,
      (Audit[[#This Row],[Winning Candidate]]-Audit[[#This Row],[Losing Candidate]]-(Audit[[#This Row],[Audit Winning Candidate]]-Audit[[#This Row],[Audit Losing Candidate]]))/(Audit[[#Totals],[Winning Candidate]]-Audit[[#Totals],[Losing Candidate]]),
      0
)</f>
        <v>0</v>
      </c>
      <c r="AD9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0" s="111">
        <f>IF(Audit[[#This Row],[Max Relative Error (ep)]] = 0, 0, Audit[[#This Row],[Max Relative Error (ep)]]/Audit[[#This Row],[Error Bound (up) - Max. possible relative overstatement]])</f>
        <v>0</v>
      </c>
      <c r="AJ9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60" s="111">
        <f t="shared" si="14"/>
        <v>1</v>
      </c>
      <c r="AL960" s="111">
        <f>PRODUCT($AK$5:AK960)</f>
        <v>8.962823818226312E-2</v>
      </c>
      <c r="AM960" s="109">
        <f>1 - [K-M P Value]</f>
        <v>0.91037176181773694</v>
      </c>
      <c r="AN960" s="111" t="str">
        <f>IF(Audit[[#This Row],[K-M P Value]]&gt;1-'General Info'!$B$16,"Continue", "Stop")</f>
        <v>Stop</v>
      </c>
      <c r="AO960" s="110" t="b">
        <f>IF(Audit[[#This Row],[Status - Continue or stop audit]] = "Continue", TRUE, IF(AN959 = "Continue", TRUE, FALSE))</f>
        <v>0</v>
      </c>
      <c r="AP960" s="110"/>
    </row>
    <row r="961" spans="1:42" ht="15" hidden="1" customHeight="1">
      <c r="A961" s="111" t="str">
        <f>'Sampling Data'!W952</f>
        <v/>
      </c>
      <c r="B961" s="112" t="str">
        <f>'Sampling Data'!A952</f>
        <v>CLEVELAND HEIGHTS -01-D - ABS</v>
      </c>
      <c r="C961" s="112">
        <f>'Sampling Data'!B952</f>
        <v>0</v>
      </c>
      <c r="D961" s="112">
        <f>'Sampling Data'!C952</f>
        <v>1</v>
      </c>
      <c r="E961" s="113">
        <f>'Sampling Data'!D952</f>
        <v>0</v>
      </c>
      <c r="F961" s="113">
        <f>'Sampling Data'!E952</f>
        <v>0</v>
      </c>
      <c r="G961" s="113">
        <f>'Sampling Data'!F952</f>
        <v>0</v>
      </c>
      <c r="H961" s="113">
        <f>'Sampling Data'!G952</f>
        <v>0</v>
      </c>
      <c r="I961" s="112">
        <f>'Sampling Data'!H952</f>
        <v>0</v>
      </c>
      <c r="J961" s="112">
        <f>'Sampling Data'!I952</f>
        <v>0</v>
      </c>
      <c r="K961" s="112">
        <f>'Sampling Data'!J952</f>
        <v>1</v>
      </c>
      <c r="L961" s="111">
        <f>'Sampling Data'!X952</f>
        <v>0</v>
      </c>
      <c r="M961" s="114"/>
      <c r="N961" s="114"/>
      <c r="O961" s="115"/>
      <c r="P961" s="115"/>
      <c r="Q961" s="116"/>
      <c r="R961" s="116"/>
      <c r="S961" s="111">
        <f>Audit[[#This Row],[Audit Losing Candidate]]-Audit[[#This Row],[Losing Candidate]]</f>
        <v>0</v>
      </c>
      <c r="T961" s="111">
        <f>Audit[[#This Row],[Audit Winning Candidate]]-Audit[[#This Row],[Winning Candidate]]</f>
        <v>-1</v>
      </c>
      <c r="U961" s="111">
        <f>Audit[[#This Row],[Audit Candidate 3]]-Audit[[#This Row],[Candidate 3]]</f>
        <v>0</v>
      </c>
      <c r="V961" s="111">
        <f>Audit[[#This Row],[Audit Candidate 4]]-Audit[[#This Row],[Candidate 4]]</f>
        <v>0</v>
      </c>
      <c r="W961" s="111">
        <f>Audit[[#This Row],[Audit Candidate 5]]-Audit[[#This Row],[Candidate 5]]</f>
        <v>0</v>
      </c>
      <c r="X961" s="111">
        <f>Audit[[#This Row],[Audit Candidate 6]]-Audit[[#This Row],[Candidate 6]]</f>
        <v>0</v>
      </c>
      <c r="Y961" s="111">
        <f>SUMIF(Audit[[#This Row],[Difference Loser]:[Difference Candidate 6]], "&gt;0")</f>
        <v>0</v>
      </c>
      <c r="Z961" s="111">
        <f>SUM(Audit[[#This Row],[Difference Loser]:[Difference Candidate 6]])</f>
        <v>-1</v>
      </c>
      <c r="AA961" s="111">
        <f>IF(Audit[[#This Row],[Times p Drawn - With Replacement]]&gt;0, IF(Audit[[#This Row],[Canceled Differences]]&lt;0, Audit[[#This Row],[Max Differences]]+ABS(Audit[[#This Row],[Canceled Differences]]), Audit[[#This Row],[Max Differences]]), 0)</f>
        <v>0</v>
      </c>
      <c r="AB961" s="111">
        <f>'Sampling Data'!P952</f>
        <v>1.224889759921607E-4</v>
      </c>
      <c r="AC961" s="111">
        <f>IF(
      SUM(Audit[[#This Row],[Audit Losing Candidate]:[Audit Candidate 6]])
      &lt;&gt;0,
      (Audit[[#This Row],[Winning Candidate]]-Audit[[#This Row],[Losing Candidate]]-(Audit[[#This Row],[Audit Winning Candidate]]-Audit[[#This Row],[Audit Losing Candidate]]))/(Audit[[#Totals],[Winning Candidate]]-Audit[[#Totals],[Losing Candidate]]),
      0
)</f>
        <v>0</v>
      </c>
      <c r="AD9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1" s="111">
        <f>IF(Audit[[#This Row],[Max Relative Error (ep)]] = 0, 0, Audit[[#This Row],[Max Relative Error (ep)]]/Audit[[#This Row],[Error Bound (up) - Max. possible relative overstatement]])</f>
        <v>0</v>
      </c>
      <c r="AJ9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61" s="111">
        <f t="shared" si="14"/>
        <v>1</v>
      </c>
      <c r="AL961" s="111">
        <f>PRODUCT($AK$5:AK961)</f>
        <v>8.962823818226312E-2</v>
      </c>
      <c r="AM961" s="109">
        <f>1 - [K-M P Value]</f>
        <v>0.91037176181773694</v>
      </c>
      <c r="AN961" s="111" t="str">
        <f>IF(Audit[[#This Row],[K-M P Value]]&gt;1-'General Info'!$B$16,"Continue", "Stop")</f>
        <v>Stop</v>
      </c>
      <c r="AO961" s="110" t="b">
        <f>IF(Audit[[#This Row],[Status - Continue or stop audit]] = "Continue", TRUE, IF(AN960 = "Continue", TRUE, FALSE))</f>
        <v>0</v>
      </c>
      <c r="AP961" s="110"/>
    </row>
    <row r="962" spans="1:42" ht="15" hidden="1" customHeight="1">
      <c r="A962" s="111" t="str">
        <f>'Sampling Data'!W953</f>
        <v/>
      </c>
      <c r="B962" s="112" t="str">
        <f>'Sampling Data'!A953</f>
        <v>CLEVELAND HEIGHTS -01-E</v>
      </c>
      <c r="C962" s="112">
        <f>'Sampling Data'!B953</f>
        <v>9</v>
      </c>
      <c r="D962" s="112">
        <f>'Sampling Data'!C953</f>
        <v>24</v>
      </c>
      <c r="E962" s="113">
        <f>'Sampling Data'!D953</f>
        <v>3</v>
      </c>
      <c r="F962" s="113">
        <f>'Sampling Data'!E953</f>
        <v>9</v>
      </c>
      <c r="G962" s="113">
        <f>'Sampling Data'!F953</f>
        <v>0</v>
      </c>
      <c r="H962" s="113">
        <f>'Sampling Data'!G953</f>
        <v>0</v>
      </c>
      <c r="I962" s="112">
        <f>'Sampling Data'!H953</f>
        <v>0</v>
      </c>
      <c r="J962" s="112">
        <f>'Sampling Data'!I953</f>
        <v>0</v>
      </c>
      <c r="K962" s="112">
        <f>'Sampling Data'!J953</f>
        <v>45</v>
      </c>
      <c r="L962" s="111">
        <f>'Sampling Data'!X953</f>
        <v>0</v>
      </c>
      <c r="M962" s="114"/>
      <c r="N962" s="114"/>
      <c r="O962" s="115"/>
      <c r="P962" s="115"/>
      <c r="Q962" s="116"/>
      <c r="R962" s="116"/>
      <c r="S962" s="111">
        <f>Audit[[#This Row],[Audit Losing Candidate]]-Audit[[#This Row],[Losing Candidate]]</f>
        <v>-9</v>
      </c>
      <c r="T962" s="111">
        <f>Audit[[#This Row],[Audit Winning Candidate]]-Audit[[#This Row],[Winning Candidate]]</f>
        <v>-24</v>
      </c>
      <c r="U962" s="111">
        <f>Audit[[#This Row],[Audit Candidate 3]]-Audit[[#This Row],[Candidate 3]]</f>
        <v>-3</v>
      </c>
      <c r="V962" s="111">
        <f>Audit[[#This Row],[Audit Candidate 4]]-Audit[[#This Row],[Candidate 4]]</f>
        <v>-9</v>
      </c>
      <c r="W962" s="111">
        <f>Audit[[#This Row],[Audit Candidate 5]]-Audit[[#This Row],[Candidate 5]]</f>
        <v>0</v>
      </c>
      <c r="X962" s="111">
        <f>Audit[[#This Row],[Audit Candidate 6]]-Audit[[#This Row],[Candidate 6]]</f>
        <v>0</v>
      </c>
      <c r="Y962" s="111">
        <f>SUMIF(Audit[[#This Row],[Difference Loser]:[Difference Candidate 6]], "&gt;0")</f>
        <v>0</v>
      </c>
      <c r="Z962" s="111">
        <f>SUM(Audit[[#This Row],[Difference Loser]:[Difference Candidate 6]])</f>
        <v>-45</v>
      </c>
      <c r="AA962" s="111">
        <f>IF(Audit[[#This Row],[Times p Drawn - With Replacement]]&gt;0, IF(Audit[[#This Row],[Canceled Differences]]&lt;0, Audit[[#This Row],[Max Differences]]+ABS(Audit[[#This Row],[Canceled Differences]]), Audit[[#This Row],[Max Differences]]), 0)</f>
        <v>0</v>
      </c>
      <c r="AB962" s="111">
        <f>'Sampling Data'!P953</f>
        <v>3.6746692797648213E-3</v>
      </c>
      <c r="AC962" s="111">
        <f>IF(
      SUM(Audit[[#This Row],[Audit Losing Candidate]:[Audit Candidate 6]])
      &lt;&gt;0,
      (Audit[[#This Row],[Winning Candidate]]-Audit[[#This Row],[Losing Candidate]]-(Audit[[#This Row],[Audit Winning Candidate]]-Audit[[#This Row],[Audit Losing Candidate]]))/(Audit[[#Totals],[Winning Candidate]]-Audit[[#Totals],[Losing Candidate]]),
      0
)</f>
        <v>0</v>
      </c>
      <c r="AD9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2" s="111">
        <f>IF(Audit[[#This Row],[Max Relative Error (ep)]] = 0, 0, Audit[[#This Row],[Max Relative Error (ep)]]/Audit[[#This Row],[Error Bound (up) - Max. possible relative overstatement]])</f>
        <v>0</v>
      </c>
      <c r="AJ9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62" s="111">
        <f t="shared" si="14"/>
        <v>1</v>
      </c>
      <c r="AL962" s="111">
        <f>PRODUCT($AK$5:AK962)</f>
        <v>8.962823818226312E-2</v>
      </c>
      <c r="AM962" s="109">
        <f>1 - [K-M P Value]</f>
        <v>0.91037176181773694</v>
      </c>
      <c r="AN962" s="111" t="str">
        <f>IF(Audit[[#This Row],[K-M P Value]]&gt;1-'General Info'!$B$16,"Continue", "Stop")</f>
        <v>Stop</v>
      </c>
      <c r="AO962" s="110" t="b">
        <f>IF(Audit[[#This Row],[Status - Continue or stop audit]] = "Continue", TRUE, IF(AN961 = "Continue", TRUE, FALSE))</f>
        <v>0</v>
      </c>
      <c r="AP962" s="110"/>
    </row>
    <row r="963" spans="1:42" ht="15" hidden="1" customHeight="1">
      <c r="A963" s="111" t="str">
        <f>'Sampling Data'!W954</f>
        <v/>
      </c>
      <c r="B963" s="112" t="str">
        <f>'Sampling Data'!A954</f>
        <v>CLEVELAND HEIGHTS -01-E - ABS</v>
      </c>
      <c r="C963" s="112">
        <f>'Sampling Data'!B954</f>
        <v>5</v>
      </c>
      <c r="D963" s="112">
        <f>'Sampling Data'!C954</f>
        <v>14</v>
      </c>
      <c r="E963" s="113">
        <f>'Sampling Data'!D954</f>
        <v>0</v>
      </c>
      <c r="F963" s="113">
        <f>'Sampling Data'!E954</f>
        <v>2</v>
      </c>
      <c r="G963" s="113">
        <f>'Sampling Data'!F954</f>
        <v>0</v>
      </c>
      <c r="H963" s="113">
        <f>'Sampling Data'!G954</f>
        <v>0</v>
      </c>
      <c r="I963" s="112">
        <f>'Sampling Data'!H954</f>
        <v>0</v>
      </c>
      <c r="J963" s="112">
        <f>'Sampling Data'!I954</f>
        <v>1</v>
      </c>
      <c r="K963" s="112">
        <f>'Sampling Data'!J954</f>
        <v>22</v>
      </c>
      <c r="L963" s="111">
        <f>'Sampling Data'!X954</f>
        <v>0</v>
      </c>
      <c r="M963" s="114"/>
      <c r="N963" s="114"/>
      <c r="O963" s="115"/>
      <c r="P963" s="115"/>
      <c r="Q963" s="116"/>
      <c r="R963" s="116"/>
      <c r="S963" s="111">
        <f>Audit[[#This Row],[Audit Losing Candidate]]-Audit[[#This Row],[Losing Candidate]]</f>
        <v>-5</v>
      </c>
      <c r="T963" s="111">
        <f>Audit[[#This Row],[Audit Winning Candidate]]-Audit[[#This Row],[Winning Candidate]]</f>
        <v>-14</v>
      </c>
      <c r="U963" s="111">
        <f>Audit[[#This Row],[Audit Candidate 3]]-Audit[[#This Row],[Candidate 3]]</f>
        <v>0</v>
      </c>
      <c r="V963" s="111">
        <f>Audit[[#This Row],[Audit Candidate 4]]-Audit[[#This Row],[Candidate 4]]</f>
        <v>-2</v>
      </c>
      <c r="W963" s="111">
        <f>Audit[[#This Row],[Audit Candidate 5]]-Audit[[#This Row],[Candidate 5]]</f>
        <v>0</v>
      </c>
      <c r="X963" s="111">
        <f>Audit[[#This Row],[Audit Candidate 6]]-Audit[[#This Row],[Candidate 6]]</f>
        <v>0</v>
      </c>
      <c r="Y963" s="111">
        <f>SUMIF(Audit[[#This Row],[Difference Loser]:[Difference Candidate 6]], "&gt;0")</f>
        <v>0</v>
      </c>
      <c r="Z963" s="111">
        <f>SUM(Audit[[#This Row],[Difference Loser]:[Difference Candidate 6]])</f>
        <v>-21</v>
      </c>
      <c r="AA963" s="111">
        <f>IF(Audit[[#This Row],[Times p Drawn - With Replacement]]&gt;0, IF(Audit[[#This Row],[Canceled Differences]]&lt;0, Audit[[#This Row],[Max Differences]]+ABS(Audit[[#This Row],[Canceled Differences]]), Audit[[#This Row],[Max Differences]]), 0)</f>
        <v>0</v>
      </c>
      <c r="AB963" s="111">
        <f>'Sampling Data'!P954</f>
        <v>1.8985791278784908E-3</v>
      </c>
      <c r="AC963" s="111">
        <f>IF(
      SUM(Audit[[#This Row],[Audit Losing Candidate]:[Audit Candidate 6]])
      &lt;&gt;0,
      (Audit[[#This Row],[Winning Candidate]]-Audit[[#This Row],[Losing Candidate]]-(Audit[[#This Row],[Audit Winning Candidate]]-Audit[[#This Row],[Audit Losing Candidate]]))/(Audit[[#Totals],[Winning Candidate]]-Audit[[#Totals],[Losing Candidate]]),
      0
)</f>
        <v>0</v>
      </c>
      <c r="AD9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3" s="111">
        <f>IF(Audit[[#This Row],[Max Relative Error (ep)]] = 0, 0, Audit[[#This Row],[Max Relative Error (ep)]]/Audit[[#This Row],[Error Bound (up) - Max. possible relative overstatement]])</f>
        <v>0</v>
      </c>
      <c r="AJ9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63" s="111">
        <f t="shared" si="14"/>
        <v>1</v>
      </c>
      <c r="AL963" s="111">
        <f>PRODUCT($AK$5:AK963)</f>
        <v>8.962823818226312E-2</v>
      </c>
      <c r="AM963" s="109">
        <f>1 - [K-M P Value]</f>
        <v>0.91037176181773694</v>
      </c>
      <c r="AN963" s="111" t="str">
        <f>IF(Audit[[#This Row],[K-M P Value]]&gt;1-'General Info'!$B$16,"Continue", "Stop")</f>
        <v>Stop</v>
      </c>
      <c r="AO963" s="110" t="b">
        <f>IF(Audit[[#This Row],[Status - Continue or stop audit]] = "Continue", TRUE, IF(AN962 = "Continue", TRUE, FALSE))</f>
        <v>0</v>
      </c>
      <c r="AP963" s="110"/>
    </row>
    <row r="964" spans="1:42" ht="15" hidden="1" customHeight="1">
      <c r="A964" s="111" t="str">
        <f>'Sampling Data'!W955</f>
        <v/>
      </c>
      <c r="B964" s="112" t="str">
        <f>'Sampling Data'!A955</f>
        <v>CLEVELAND HEIGHTS -01-F</v>
      </c>
      <c r="C964" s="112">
        <f>'Sampling Data'!B955</f>
        <v>12</v>
      </c>
      <c r="D964" s="112">
        <f>'Sampling Data'!C955</f>
        <v>48</v>
      </c>
      <c r="E964" s="113">
        <f>'Sampling Data'!D955</f>
        <v>8</v>
      </c>
      <c r="F964" s="113">
        <f>'Sampling Data'!E955</f>
        <v>4</v>
      </c>
      <c r="G964" s="113">
        <f>'Sampling Data'!F955</f>
        <v>1</v>
      </c>
      <c r="H964" s="113">
        <f>'Sampling Data'!G955</f>
        <v>0</v>
      </c>
      <c r="I964" s="112">
        <f>'Sampling Data'!H955</f>
        <v>1</v>
      </c>
      <c r="J964" s="112">
        <f>'Sampling Data'!I955</f>
        <v>0</v>
      </c>
      <c r="K964" s="112">
        <f>'Sampling Data'!J955</f>
        <v>74</v>
      </c>
      <c r="L964" s="111">
        <f>'Sampling Data'!X955</f>
        <v>0</v>
      </c>
      <c r="M964" s="114"/>
      <c r="N964" s="114"/>
      <c r="O964" s="115"/>
      <c r="P964" s="115"/>
      <c r="Q964" s="116"/>
      <c r="R964" s="116"/>
      <c r="S964" s="111">
        <f>Audit[[#This Row],[Audit Losing Candidate]]-Audit[[#This Row],[Losing Candidate]]</f>
        <v>-12</v>
      </c>
      <c r="T964" s="111">
        <f>Audit[[#This Row],[Audit Winning Candidate]]-Audit[[#This Row],[Winning Candidate]]</f>
        <v>-48</v>
      </c>
      <c r="U964" s="111">
        <f>Audit[[#This Row],[Audit Candidate 3]]-Audit[[#This Row],[Candidate 3]]</f>
        <v>-8</v>
      </c>
      <c r="V964" s="111">
        <f>Audit[[#This Row],[Audit Candidate 4]]-Audit[[#This Row],[Candidate 4]]</f>
        <v>-4</v>
      </c>
      <c r="W964" s="111">
        <f>Audit[[#This Row],[Audit Candidate 5]]-Audit[[#This Row],[Candidate 5]]</f>
        <v>-1</v>
      </c>
      <c r="X964" s="111">
        <f>Audit[[#This Row],[Audit Candidate 6]]-Audit[[#This Row],[Candidate 6]]</f>
        <v>0</v>
      </c>
      <c r="Y964" s="111">
        <f>SUMIF(Audit[[#This Row],[Difference Loser]:[Difference Candidate 6]], "&gt;0")</f>
        <v>0</v>
      </c>
      <c r="Z964" s="111">
        <f>SUM(Audit[[#This Row],[Difference Loser]:[Difference Candidate 6]])</f>
        <v>-73</v>
      </c>
      <c r="AA964" s="111">
        <f>IF(Audit[[#This Row],[Times p Drawn - With Replacement]]&gt;0, IF(Audit[[#This Row],[Canceled Differences]]&lt;0, Audit[[#This Row],[Max Differences]]+ABS(Audit[[#This Row],[Canceled Differences]]), Audit[[#This Row],[Max Differences]]), 0)</f>
        <v>0</v>
      </c>
      <c r="AB964" s="111">
        <f>'Sampling Data'!P955</f>
        <v>6.7368936795688386E-3</v>
      </c>
      <c r="AC964" s="111">
        <f>IF(
      SUM(Audit[[#This Row],[Audit Losing Candidate]:[Audit Candidate 6]])
      &lt;&gt;0,
      (Audit[[#This Row],[Winning Candidate]]-Audit[[#This Row],[Losing Candidate]]-(Audit[[#This Row],[Audit Winning Candidate]]-Audit[[#This Row],[Audit Losing Candidate]]))/(Audit[[#Totals],[Winning Candidate]]-Audit[[#Totals],[Losing Candidate]]),
      0
)</f>
        <v>0</v>
      </c>
      <c r="AD9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4" s="111">
        <f>IF(Audit[[#This Row],[Max Relative Error (ep)]] = 0, 0, Audit[[#This Row],[Max Relative Error (ep)]]/Audit[[#This Row],[Error Bound (up) - Max. possible relative overstatement]])</f>
        <v>0</v>
      </c>
      <c r="AJ9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64" s="111">
        <f t="shared" si="14"/>
        <v>1</v>
      </c>
      <c r="AL964" s="111">
        <f>PRODUCT($AK$5:AK964)</f>
        <v>8.962823818226312E-2</v>
      </c>
      <c r="AM964" s="109">
        <f>1 - [K-M P Value]</f>
        <v>0.91037176181773694</v>
      </c>
      <c r="AN964" s="111" t="str">
        <f>IF(Audit[[#This Row],[K-M P Value]]&gt;1-'General Info'!$B$16,"Continue", "Stop")</f>
        <v>Stop</v>
      </c>
      <c r="AO964" s="110" t="b">
        <f>IF(Audit[[#This Row],[Status - Continue or stop audit]] = "Continue", TRUE, IF(AN963 = "Continue", TRUE, FALSE))</f>
        <v>0</v>
      </c>
      <c r="AP964" s="110"/>
    </row>
    <row r="965" spans="1:42" ht="15" hidden="1" customHeight="1">
      <c r="A965" s="111" t="str">
        <f>'Sampling Data'!W956</f>
        <v/>
      </c>
      <c r="B965" s="112" t="str">
        <f>'Sampling Data'!A956</f>
        <v>CLEVELAND HEIGHTS -01-F - ABS</v>
      </c>
      <c r="C965" s="112">
        <f>'Sampling Data'!B956</f>
        <v>9</v>
      </c>
      <c r="D965" s="112">
        <f>'Sampling Data'!C956</f>
        <v>24</v>
      </c>
      <c r="E965" s="113">
        <f>'Sampling Data'!D956</f>
        <v>0</v>
      </c>
      <c r="F965" s="113">
        <f>'Sampling Data'!E956</f>
        <v>2</v>
      </c>
      <c r="G965" s="113">
        <f>'Sampling Data'!F956</f>
        <v>0</v>
      </c>
      <c r="H965" s="113">
        <f>'Sampling Data'!G956</f>
        <v>0</v>
      </c>
      <c r="I965" s="112">
        <f>'Sampling Data'!H956</f>
        <v>0</v>
      </c>
      <c r="J965" s="112">
        <f>'Sampling Data'!I956</f>
        <v>2</v>
      </c>
      <c r="K965" s="112">
        <f>'Sampling Data'!J956</f>
        <v>37</v>
      </c>
      <c r="L965" s="111">
        <f>'Sampling Data'!X956</f>
        <v>0</v>
      </c>
      <c r="M965" s="114"/>
      <c r="N965" s="114"/>
      <c r="O965" s="115"/>
      <c r="P965" s="115"/>
      <c r="Q965" s="116"/>
      <c r="R965" s="116"/>
      <c r="S965" s="111">
        <f>Audit[[#This Row],[Audit Losing Candidate]]-Audit[[#This Row],[Losing Candidate]]</f>
        <v>-9</v>
      </c>
      <c r="T965" s="111">
        <f>Audit[[#This Row],[Audit Winning Candidate]]-Audit[[#This Row],[Winning Candidate]]</f>
        <v>-24</v>
      </c>
      <c r="U965" s="111">
        <f>Audit[[#This Row],[Audit Candidate 3]]-Audit[[#This Row],[Candidate 3]]</f>
        <v>0</v>
      </c>
      <c r="V965" s="111">
        <f>Audit[[#This Row],[Audit Candidate 4]]-Audit[[#This Row],[Candidate 4]]</f>
        <v>-2</v>
      </c>
      <c r="W965" s="111">
        <f>Audit[[#This Row],[Audit Candidate 5]]-Audit[[#This Row],[Candidate 5]]</f>
        <v>0</v>
      </c>
      <c r="X965" s="111">
        <f>Audit[[#This Row],[Audit Candidate 6]]-Audit[[#This Row],[Candidate 6]]</f>
        <v>0</v>
      </c>
      <c r="Y965" s="111">
        <f>SUMIF(Audit[[#This Row],[Difference Loser]:[Difference Candidate 6]], "&gt;0")</f>
        <v>0</v>
      </c>
      <c r="Z965" s="111">
        <f>SUM(Audit[[#This Row],[Difference Loser]:[Difference Candidate 6]])</f>
        <v>-35</v>
      </c>
      <c r="AA965" s="111">
        <f>IF(Audit[[#This Row],[Times p Drawn - With Replacement]]&gt;0, IF(Audit[[#This Row],[Canceled Differences]]&lt;0, Audit[[#This Row],[Max Differences]]+ABS(Audit[[#This Row],[Canceled Differences]]), Audit[[#This Row],[Max Differences]]), 0)</f>
        <v>0</v>
      </c>
      <c r="AB965" s="111">
        <f>'Sampling Data'!P956</f>
        <v>3.1847133757961785E-3</v>
      </c>
      <c r="AC965" s="111">
        <f>IF(
      SUM(Audit[[#This Row],[Audit Losing Candidate]:[Audit Candidate 6]])
      &lt;&gt;0,
      (Audit[[#This Row],[Winning Candidate]]-Audit[[#This Row],[Losing Candidate]]-(Audit[[#This Row],[Audit Winning Candidate]]-Audit[[#This Row],[Audit Losing Candidate]]))/(Audit[[#Totals],[Winning Candidate]]-Audit[[#Totals],[Losing Candidate]]),
      0
)</f>
        <v>0</v>
      </c>
      <c r="AD9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5" s="111">
        <f>IF(Audit[[#This Row],[Max Relative Error (ep)]] = 0, 0, Audit[[#This Row],[Max Relative Error (ep)]]/Audit[[#This Row],[Error Bound (up) - Max. possible relative overstatement]])</f>
        <v>0</v>
      </c>
      <c r="AJ9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65" s="111">
        <f t="shared" ref="AK965:AK1028" si="15">IF(ISERR(POWER(AJ965,L965)), 0, POWER(AJ965,L965))</f>
        <v>1</v>
      </c>
      <c r="AL965" s="111">
        <f>PRODUCT($AK$5:AK965)</f>
        <v>8.962823818226312E-2</v>
      </c>
      <c r="AM965" s="109">
        <f>1 - [K-M P Value]</f>
        <v>0.91037176181773694</v>
      </c>
      <c r="AN965" s="111" t="str">
        <f>IF(Audit[[#This Row],[K-M P Value]]&gt;1-'General Info'!$B$16,"Continue", "Stop")</f>
        <v>Stop</v>
      </c>
      <c r="AO965" s="110" t="b">
        <f>IF(Audit[[#This Row],[Status - Continue or stop audit]] = "Continue", TRUE, IF(AN964 = "Continue", TRUE, FALSE))</f>
        <v>0</v>
      </c>
      <c r="AP965" s="110"/>
    </row>
    <row r="966" spans="1:42" ht="15" hidden="1" customHeight="1">
      <c r="A966" s="111" t="str">
        <f>'Sampling Data'!W957</f>
        <v/>
      </c>
      <c r="B966" s="112" t="str">
        <f>'Sampling Data'!A957</f>
        <v>CLEVELAND HEIGHTS -01-G</v>
      </c>
      <c r="C966" s="112">
        <f>'Sampling Data'!B957</f>
        <v>13</v>
      </c>
      <c r="D966" s="112">
        <f>'Sampling Data'!C957</f>
        <v>29</v>
      </c>
      <c r="E966" s="113">
        <f>'Sampling Data'!D957</f>
        <v>1</v>
      </c>
      <c r="F966" s="113">
        <f>'Sampling Data'!E957</f>
        <v>6</v>
      </c>
      <c r="G966" s="113">
        <f>'Sampling Data'!F957</f>
        <v>0</v>
      </c>
      <c r="H966" s="113">
        <f>'Sampling Data'!G957</f>
        <v>0</v>
      </c>
      <c r="I966" s="112">
        <f>'Sampling Data'!H957</f>
        <v>0</v>
      </c>
      <c r="J966" s="112">
        <f>'Sampling Data'!I957</f>
        <v>0</v>
      </c>
      <c r="K966" s="112">
        <f>'Sampling Data'!J957</f>
        <v>49</v>
      </c>
      <c r="L966" s="111">
        <f>'Sampling Data'!X957</f>
        <v>0</v>
      </c>
      <c r="M966" s="114"/>
      <c r="N966" s="114"/>
      <c r="O966" s="115"/>
      <c r="P966" s="115"/>
      <c r="Q966" s="116"/>
      <c r="R966" s="116"/>
      <c r="S966" s="111">
        <f>Audit[[#This Row],[Audit Losing Candidate]]-Audit[[#This Row],[Losing Candidate]]</f>
        <v>-13</v>
      </c>
      <c r="T966" s="111">
        <f>Audit[[#This Row],[Audit Winning Candidate]]-Audit[[#This Row],[Winning Candidate]]</f>
        <v>-29</v>
      </c>
      <c r="U966" s="111">
        <f>Audit[[#This Row],[Audit Candidate 3]]-Audit[[#This Row],[Candidate 3]]</f>
        <v>-1</v>
      </c>
      <c r="V966" s="111">
        <f>Audit[[#This Row],[Audit Candidate 4]]-Audit[[#This Row],[Candidate 4]]</f>
        <v>-6</v>
      </c>
      <c r="W966" s="111">
        <f>Audit[[#This Row],[Audit Candidate 5]]-Audit[[#This Row],[Candidate 5]]</f>
        <v>0</v>
      </c>
      <c r="X966" s="111">
        <f>Audit[[#This Row],[Audit Candidate 6]]-Audit[[#This Row],[Candidate 6]]</f>
        <v>0</v>
      </c>
      <c r="Y966" s="111">
        <f>SUMIF(Audit[[#This Row],[Difference Loser]:[Difference Candidate 6]], "&gt;0")</f>
        <v>0</v>
      </c>
      <c r="Z966" s="111">
        <f>SUM(Audit[[#This Row],[Difference Loser]:[Difference Candidate 6]])</f>
        <v>-49</v>
      </c>
      <c r="AA966" s="111">
        <f>IF(Audit[[#This Row],[Times p Drawn - With Replacement]]&gt;0, IF(Audit[[#This Row],[Canceled Differences]]&lt;0, Audit[[#This Row],[Max Differences]]+ABS(Audit[[#This Row],[Canceled Differences]]), Audit[[#This Row],[Max Differences]]), 0)</f>
        <v>0</v>
      </c>
      <c r="AB966" s="111">
        <f>'Sampling Data'!P957</f>
        <v>3.9808917197452229E-3</v>
      </c>
      <c r="AC966" s="111">
        <f>IF(
      SUM(Audit[[#This Row],[Audit Losing Candidate]:[Audit Candidate 6]])
      &lt;&gt;0,
      (Audit[[#This Row],[Winning Candidate]]-Audit[[#This Row],[Losing Candidate]]-(Audit[[#This Row],[Audit Winning Candidate]]-Audit[[#This Row],[Audit Losing Candidate]]))/(Audit[[#Totals],[Winning Candidate]]-Audit[[#Totals],[Losing Candidate]]),
      0
)</f>
        <v>0</v>
      </c>
      <c r="AD9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6" s="111">
        <f>IF(Audit[[#This Row],[Max Relative Error (ep)]] = 0, 0, Audit[[#This Row],[Max Relative Error (ep)]]/Audit[[#This Row],[Error Bound (up) - Max. possible relative overstatement]])</f>
        <v>0</v>
      </c>
      <c r="AJ9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66" s="111">
        <f t="shared" si="15"/>
        <v>1</v>
      </c>
      <c r="AL966" s="111">
        <f>PRODUCT($AK$5:AK966)</f>
        <v>8.962823818226312E-2</v>
      </c>
      <c r="AM966" s="109">
        <f>1 - [K-M P Value]</f>
        <v>0.91037176181773694</v>
      </c>
      <c r="AN966" s="111" t="str">
        <f>IF(Audit[[#This Row],[K-M P Value]]&gt;1-'General Info'!$B$16,"Continue", "Stop")</f>
        <v>Stop</v>
      </c>
      <c r="AO966" s="110" t="b">
        <f>IF(Audit[[#This Row],[Status - Continue or stop audit]] = "Continue", TRUE, IF(AN965 = "Continue", TRUE, FALSE))</f>
        <v>0</v>
      </c>
      <c r="AP966" s="110"/>
    </row>
    <row r="967" spans="1:42" ht="15" hidden="1" customHeight="1">
      <c r="A967" s="111" t="str">
        <f>'Sampling Data'!W958</f>
        <v/>
      </c>
      <c r="B967" s="112" t="str">
        <f>'Sampling Data'!A958</f>
        <v>CLEVELAND HEIGHTS -01-G - ABS</v>
      </c>
      <c r="C967" s="112">
        <f>'Sampling Data'!B958</f>
        <v>5</v>
      </c>
      <c r="D967" s="112">
        <f>'Sampling Data'!C958</f>
        <v>14</v>
      </c>
      <c r="E967" s="113">
        <f>'Sampling Data'!D958</f>
        <v>1</v>
      </c>
      <c r="F967" s="113">
        <f>'Sampling Data'!E958</f>
        <v>1</v>
      </c>
      <c r="G967" s="113">
        <f>'Sampling Data'!F958</f>
        <v>1</v>
      </c>
      <c r="H967" s="113">
        <f>'Sampling Data'!G958</f>
        <v>0</v>
      </c>
      <c r="I967" s="112">
        <f>'Sampling Data'!H958</f>
        <v>0</v>
      </c>
      <c r="J967" s="112">
        <f>'Sampling Data'!I958</f>
        <v>1</v>
      </c>
      <c r="K967" s="112">
        <f>'Sampling Data'!J958</f>
        <v>23</v>
      </c>
      <c r="L967" s="111">
        <f>'Sampling Data'!X958</f>
        <v>0</v>
      </c>
      <c r="M967" s="114"/>
      <c r="N967" s="114"/>
      <c r="O967" s="115"/>
      <c r="P967" s="115"/>
      <c r="Q967" s="116"/>
      <c r="R967" s="116"/>
      <c r="S967" s="111">
        <f>Audit[[#This Row],[Audit Losing Candidate]]-Audit[[#This Row],[Losing Candidate]]</f>
        <v>-5</v>
      </c>
      <c r="T967" s="111">
        <f>Audit[[#This Row],[Audit Winning Candidate]]-Audit[[#This Row],[Winning Candidate]]</f>
        <v>-14</v>
      </c>
      <c r="U967" s="111">
        <f>Audit[[#This Row],[Audit Candidate 3]]-Audit[[#This Row],[Candidate 3]]</f>
        <v>-1</v>
      </c>
      <c r="V967" s="111">
        <f>Audit[[#This Row],[Audit Candidate 4]]-Audit[[#This Row],[Candidate 4]]</f>
        <v>-1</v>
      </c>
      <c r="W967" s="111">
        <f>Audit[[#This Row],[Audit Candidate 5]]-Audit[[#This Row],[Candidate 5]]</f>
        <v>-1</v>
      </c>
      <c r="X967" s="111">
        <f>Audit[[#This Row],[Audit Candidate 6]]-Audit[[#This Row],[Candidate 6]]</f>
        <v>0</v>
      </c>
      <c r="Y967" s="111">
        <f>SUMIF(Audit[[#This Row],[Difference Loser]:[Difference Candidate 6]], "&gt;0")</f>
        <v>0</v>
      </c>
      <c r="Z967" s="111">
        <f>SUM(Audit[[#This Row],[Difference Loser]:[Difference Candidate 6]])</f>
        <v>-22</v>
      </c>
      <c r="AA967" s="111">
        <f>IF(Audit[[#This Row],[Times p Drawn - With Replacement]]&gt;0, IF(Audit[[#This Row],[Canceled Differences]]&lt;0, Audit[[#This Row],[Max Differences]]+ABS(Audit[[#This Row],[Canceled Differences]]), Audit[[#This Row],[Max Differences]]), 0)</f>
        <v>0</v>
      </c>
      <c r="AB967" s="111">
        <f>'Sampling Data'!P958</f>
        <v>1.9598236158745713E-3</v>
      </c>
      <c r="AC967" s="111">
        <f>IF(
      SUM(Audit[[#This Row],[Audit Losing Candidate]:[Audit Candidate 6]])
      &lt;&gt;0,
      (Audit[[#This Row],[Winning Candidate]]-Audit[[#This Row],[Losing Candidate]]-(Audit[[#This Row],[Audit Winning Candidate]]-Audit[[#This Row],[Audit Losing Candidate]]))/(Audit[[#Totals],[Winning Candidate]]-Audit[[#Totals],[Losing Candidate]]),
      0
)</f>
        <v>0</v>
      </c>
      <c r="AD9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7" s="111">
        <f>IF(Audit[[#This Row],[Max Relative Error (ep)]] = 0, 0, Audit[[#This Row],[Max Relative Error (ep)]]/Audit[[#This Row],[Error Bound (up) - Max. possible relative overstatement]])</f>
        <v>0</v>
      </c>
      <c r="AJ9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67" s="111">
        <f t="shared" si="15"/>
        <v>1</v>
      </c>
      <c r="AL967" s="111">
        <f>PRODUCT($AK$5:AK967)</f>
        <v>8.962823818226312E-2</v>
      </c>
      <c r="AM967" s="109">
        <f>1 - [K-M P Value]</f>
        <v>0.91037176181773694</v>
      </c>
      <c r="AN967" s="111" t="str">
        <f>IF(Audit[[#This Row],[K-M P Value]]&gt;1-'General Info'!$B$16,"Continue", "Stop")</f>
        <v>Stop</v>
      </c>
      <c r="AO967" s="110" t="b">
        <f>IF(Audit[[#This Row],[Status - Continue or stop audit]] = "Continue", TRUE, IF(AN966 = "Continue", TRUE, FALSE))</f>
        <v>0</v>
      </c>
      <c r="AP967" s="110"/>
    </row>
    <row r="968" spans="1:42" ht="15" hidden="1" customHeight="1">
      <c r="A968" s="111" t="str">
        <f>'Sampling Data'!W959</f>
        <v/>
      </c>
      <c r="B968" s="112" t="str">
        <f>'Sampling Data'!A959</f>
        <v>CLEVELAND HEIGHTS -02-A</v>
      </c>
      <c r="C968" s="112">
        <f>'Sampling Data'!B959</f>
        <v>14</v>
      </c>
      <c r="D968" s="112">
        <f>'Sampling Data'!C959</f>
        <v>14</v>
      </c>
      <c r="E968" s="113">
        <f>'Sampling Data'!D959</f>
        <v>1</v>
      </c>
      <c r="F968" s="113">
        <f>'Sampling Data'!E959</f>
        <v>4</v>
      </c>
      <c r="G968" s="113">
        <f>'Sampling Data'!F959</f>
        <v>2</v>
      </c>
      <c r="H968" s="113">
        <f>'Sampling Data'!G959</f>
        <v>0</v>
      </c>
      <c r="I968" s="112">
        <f>'Sampling Data'!H959</f>
        <v>1</v>
      </c>
      <c r="J968" s="112">
        <f>'Sampling Data'!I959</f>
        <v>0</v>
      </c>
      <c r="K968" s="112">
        <f>'Sampling Data'!J959</f>
        <v>36</v>
      </c>
      <c r="L968" s="111">
        <f>'Sampling Data'!X959</f>
        <v>0</v>
      </c>
      <c r="M968" s="114"/>
      <c r="N968" s="114"/>
      <c r="O968" s="115"/>
      <c r="P968" s="115"/>
      <c r="Q968" s="116"/>
      <c r="R968" s="116"/>
      <c r="S968" s="111">
        <f>Audit[[#This Row],[Audit Losing Candidate]]-Audit[[#This Row],[Losing Candidate]]</f>
        <v>-14</v>
      </c>
      <c r="T968" s="111">
        <f>Audit[[#This Row],[Audit Winning Candidate]]-Audit[[#This Row],[Winning Candidate]]</f>
        <v>-14</v>
      </c>
      <c r="U968" s="111">
        <f>Audit[[#This Row],[Audit Candidate 3]]-Audit[[#This Row],[Candidate 3]]</f>
        <v>-1</v>
      </c>
      <c r="V968" s="111">
        <f>Audit[[#This Row],[Audit Candidate 4]]-Audit[[#This Row],[Candidate 4]]</f>
        <v>-4</v>
      </c>
      <c r="W968" s="111">
        <f>Audit[[#This Row],[Audit Candidate 5]]-Audit[[#This Row],[Candidate 5]]</f>
        <v>-2</v>
      </c>
      <c r="X968" s="111">
        <f>Audit[[#This Row],[Audit Candidate 6]]-Audit[[#This Row],[Candidate 6]]</f>
        <v>0</v>
      </c>
      <c r="Y968" s="111">
        <f>SUMIF(Audit[[#This Row],[Difference Loser]:[Difference Candidate 6]], "&gt;0")</f>
        <v>0</v>
      </c>
      <c r="Z968" s="111">
        <f>SUM(Audit[[#This Row],[Difference Loser]:[Difference Candidate 6]])</f>
        <v>-35</v>
      </c>
      <c r="AA968" s="111">
        <f>IF(Audit[[#This Row],[Times p Drawn - With Replacement]]&gt;0, IF(Audit[[#This Row],[Canceled Differences]]&lt;0, Audit[[#This Row],[Max Differences]]+ABS(Audit[[#This Row],[Canceled Differences]]), Audit[[#This Row],[Max Differences]]), 0)</f>
        <v>0</v>
      </c>
      <c r="AB968" s="111">
        <f>'Sampling Data'!P959</f>
        <v>2.2048015678588929E-3</v>
      </c>
      <c r="AC968" s="111">
        <f>IF(
      SUM(Audit[[#This Row],[Audit Losing Candidate]:[Audit Candidate 6]])
      &lt;&gt;0,
      (Audit[[#This Row],[Winning Candidate]]-Audit[[#This Row],[Losing Candidate]]-(Audit[[#This Row],[Audit Winning Candidate]]-Audit[[#This Row],[Audit Losing Candidate]]))/(Audit[[#Totals],[Winning Candidate]]-Audit[[#Totals],[Losing Candidate]]),
      0
)</f>
        <v>0</v>
      </c>
      <c r="AD9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8" s="111">
        <f>IF(Audit[[#This Row],[Max Relative Error (ep)]] = 0, 0, Audit[[#This Row],[Max Relative Error (ep)]]/Audit[[#This Row],[Error Bound (up) - Max. possible relative overstatement]])</f>
        <v>0</v>
      </c>
      <c r="AJ9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68" s="111">
        <f t="shared" si="15"/>
        <v>1</v>
      </c>
      <c r="AL968" s="111">
        <f>PRODUCT($AK$5:AK968)</f>
        <v>8.962823818226312E-2</v>
      </c>
      <c r="AM968" s="109">
        <f>1 - [K-M P Value]</f>
        <v>0.91037176181773694</v>
      </c>
      <c r="AN968" s="111" t="str">
        <f>IF(Audit[[#This Row],[K-M P Value]]&gt;1-'General Info'!$B$16,"Continue", "Stop")</f>
        <v>Stop</v>
      </c>
      <c r="AO968" s="110" t="b">
        <f>IF(Audit[[#This Row],[Status - Continue or stop audit]] = "Continue", TRUE, IF(AN967 = "Continue", TRUE, FALSE))</f>
        <v>0</v>
      </c>
      <c r="AP968" s="110"/>
    </row>
    <row r="969" spans="1:42" ht="15" hidden="1" customHeight="1">
      <c r="A969" s="111" t="str">
        <f>'Sampling Data'!W960</f>
        <v/>
      </c>
      <c r="B969" s="112" t="str">
        <f>'Sampling Data'!A960</f>
        <v>CLEVELAND HEIGHTS -02-A - ABS</v>
      </c>
      <c r="C969" s="112">
        <f>'Sampling Data'!B960</f>
        <v>1</v>
      </c>
      <c r="D969" s="112">
        <f>'Sampling Data'!C960</f>
        <v>4</v>
      </c>
      <c r="E969" s="113">
        <f>'Sampling Data'!D960</f>
        <v>3</v>
      </c>
      <c r="F969" s="113">
        <f>'Sampling Data'!E960</f>
        <v>0</v>
      </c>
      <c r="G969" s="113">
        <f>'Sampling Data'!F960</f>
        <v>0</v>
      </c>
      <c r="H969" s="113">
        <f>'Sampling Data'!G960</f>
        <v>0</v>
      </c>
      <c r="I969" s="112">
        <f>'Sampling Data'!H960</f>
        <v>0</v>
      </c>
      <c r="J969" s="112">
        <f>'Sampling Data'!I960</f>
        <v>1</v>
      </c>
      <c r="K969" s="112">
        <f>'Sampling Data'!J960</f>
        <v>9</v>
      </c>
      <c r="L969" s="111">
        <f>'Sampling Data'!X960</f>
        <v>0</v>
      </c>
      <c r="M969" s="114"/>
      <c r="N969" s="114"/>
      <c r="O969" s="115"/>
      <c r="P969" s="115"/>
      <c r="Q969" s="116"/>
      <c r="R969" s="116"/>
      <c r="S969" s="111">
        <f>Audit[[#This Row],[Audit Losing Candidate]]-Audit[[#This Row],[Losing Candidate]]</f>
        <v>-1</v>
      </c>
      <c r="T969" s="111">
        <f>Audit[[#This Row],[Audit Winning Candidate]]-Audit[[#This Row],[Winning Candidate]]</f>
        <v>-4</v>
      </c>
      <c r="U969" s="111">
        <f>Audit[[#This Row],[Audit Candidate 3]]-Audit[[#This Row],[Candidate 3]]</f>
        <v>-3</v>
      </c>
      <c r="V969" s="111">
        <f>Audit[[#This Row],[Audit Candidate 4]]-Audit[[#This Row],[Candidate 4]]</f>
        <v>0</v>
      </c>
      <c r="W969" s="111">
        <f>Audit[[#This Row],[Audit Candidate 5]]-Audit[[#This Row],[Candidate 5]]</f>
        <v>0</v>
      </c>
      <c r="X969" s="111">
        <f>Audit[[#This Row],[Audit Candidate 6]]-Audit[[#This Row],[Candidate 6]]</f>
        <v>0</v>
      </c>
      <c r="Y969" s="111">
        <f>SUMIF(Audit[[#This Row],[Difference Loser]:[Difference Candidate 6]], "&gt;0")</f>
        <v>0</v>
      </c>
      <c r="Z969" s="111">
        <f>SUM(Audit[[#This Row],[Difference Loser]:[Difference Candidate 6]])</f>
        <v>-8</v>
      </c>
      <c r="AA969" s="111">
        <f>IF(Audit[[#This Row],[Times p Drawn - With Replacement]]&gt;0, IF(Audit[[#This Row],[Canceled Differences]]&lt;0, Audit[[#This Row],[Max Differences]]+ABS(Audit[[#This Row],[Canceled Differences]]), Audit[[#This Row],[Max Differences]]), 0)</f>
        <v>0</v>
      </c>
      <c r="AB969" s="111">
        <f>'Sampling Data'!P960</f>
        <v>7.3493385595296422E-4</v>
      </c>
      <c r="AC969" s="111">
        <f>IF(
      SUM(Audit[[#This Row],[Audit Losing Candidate]:[Audit Candidate 6]])
      &lt;&gt;0,
      (Audit[[#This Row],[Winning Candidate]]-Audit[[#This Row],[Losing Candidate]]-(Audit[[#This Row],[Audit Winning Candidate]]-Audit[[#This Row],[Audit Losing Candidate]]))/(Audit[[#Totals],[Winning Candidate]]-Audit[[#Totals],[Losing Candidate]]),
      0
)</f>
        <v>0</v>
      </c>
      <c r="AD9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9" s="111">
        <f>IF(Audit[[#This Row],[Max Relative Error (ep)]] = 0, 0, Audit[[#This Row],[Max Relative Error (ep)]]/Audit[[#This Row],[Error Bound (up) - Max. possible relative overstatement]])</f>
        <v>0</v>
      </c>
      <c r="AJ9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69" s="111">
        <f t="shared" si="15"/>
        <v>1</v>
      </c>
      <c r="AL969" s="111">
        <f>PRODUCT($AK$5:AK969)</f>
        <v>8.962823818226312E-2</v>
      </c>
      <c r="AM969" s="109">
        <f>1 - [K-M P Value]</f>
        <v>0.91037176181773694</v>
      </c>
      <c r="AN969" s="111" t="str">
        <f>IF(Audit[[#This Row],[K-M P Value]]&gt;1-'General Info'!$B$16,"Continue", "Stop")</f>
        <v>Stop</v>
      </c>
      <c r="AO969" s="110" t="b">
        <f>IF(Audit[[#This Row],[Status - Continue or stop audit]] = "Continue", TRUE, IF(AN968 = "Continue", TRUE, FALSE))</f>
        <v>0</v>
      </c>
      <c r="AP969" s="110"/>
    </row>
    <row r="970" spans="1:42" ht="15" hidden="1" customHeight="1">
      <c r="A970" s="111" t="str">
        <f>'Sampling Data'!W961</f>
        <v/>
      </c>
      <c r="B970" s="112" t="str">
        <f>'Sampling Data'!A961</f>
        <v>CLEVELAND HEIGHTS -02-B</v>
      </c>
      <c r="C970" s="112">
        <f>'Sampling Data'!B961</f>
        <v>20</v>
      </c>
      <c r="D970" s="112">
        <f>'Sampling Data'!C961</f>
        <v>54</v>
      </c>
      <c r="E970" s="113">
        <f>'Sampling Data'!D961</f>
        <v>5</v>
      </c>
      <c r="F970" s="113">
        <f>'Sampling Data'!E961</f>
        <v>5</v>
      </c>
      <c r="G970" s="113">
        <f>'Sampling Data'!F961</f>
        <v>0</v>
      </c>
      <c r="H970" s="113">
        <f>'Sampling Data'!G961</f>
        <v>0</v>
      </c>
      <c r="I970" s="112">
        <f>'Sampling Data'!H961</f>
        <v>0</v>
      </c>
      <c r="J970" s="112">
        <f>'Sampling Data'!I961</f>
        <v>0</v>
      </c>
      <c r="K970" s="112">
        <f>'Sampling Data'!J961</f>
        <v>84</v>
      </c>
      <c r="L970" s="111">
        <f>'Sampling Data'!X961</f>
        <v>0</v>
      </c>
      <c r="M970" s="114"/>
      <c r="N970" s="114"/>
      <c r="O970" s="115"/>
      <c r="P970" s="115"/>
      <c r="Q970" s="116"/>
      <c r="R970" s="116"/>
      <c r="S970" s="111">
        <f>Audit[[#This Row],[Audit Losing Candidate]]-Audit[[#This Row],[Losing Candidate]]</f>
        <v>-20</v>
      </c>
      <c r="T970" s="111">
        <f>Audit[[#This Row],[Audit Winning Candidate]]-Audit[[#This Row],[Winning Candidate]]</f>
        <v>-54</v>
      </c>
      <c r="U970" s="111">
        <f>Audit[[#This Row],[Audit Candidate 3]]-Audit[[#This Row],[Candidate 3]]</f>
        <v>-5</v>
      </c>
      <c r="V970" s="111">
        <f>Audit[[#This Row],[Audit Candidate 4]]-Audit[[#This Row],[Candidate 4]]</f>
        <v>-5</v>
      </c>
      <c r="W970" s="111">
        <f>Audit[[#This Row],[Audit Candidate 5]]-Audit[[#This Row],[Candidate 5]]</f>
        <v>0</v>
      </c>
      <c r="X970" s="111">
        <f>Audit[[#This Row],[Audit Candidate 6]]-Audit[[#This Row],[Candidate 6]]</f>
        <v>0</v>
      </c>
      <c r="Y970" s="111">
        <f>SUMIF(Audit[[#This Row],[Difference Loser]:[Difference Candidate 6]], "&gt;0")</f>
        <v>0</v>
      </c>
      <c r="Z970" s="111">
        <f>SUM(Audit[[#This Row],[Difference Loser]:[Difference Candidate 6]])</f>
        <v>-84</v>
      </c>
      <c r="AA970" s="111">
        <f>IF(Audit[[#This Row],[Times p Drawn - With Replacement]]&gt;0, IF(Audit[[#This Row],[Canceled Differences]]&lt;0, Audit[[#This Row],[Max Differences]]+ABS(Audit[[#This Row],[Canceled Differences]]), Audit[[#This Row],[Max Differences]]), 0)</f>
        <v>0</v>
      </c>
      <c r="AB970" s="111">
        <f>'Sampling Data'!P961</f>
        <v>7.2268495835374818E-3</v>
      </c>
      <c r="AC970" s="111">
        <f>IF(
      SUM(Audit[[#This Row],[Audit Losing Candidate]:[Audit Candidate 6]])
      &lt;&gt;0,
      (Audit[[#This Row],[Winning Candidate]]-Audit[[#This Row],[Losing Candidate]]-(Audit[[#This Row],[Audit Winning Candidate]]-Audit[[#This Row],[Audit Losing Candidate]]))/(Audit[[#Totals],[Winning Candidate]]-Audit[[#Totals],[Losing Candidate]]),
      0
)</f>
        <v>0</v>
      </c>
      <c r="AD9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0" s="111">
        <f>IF(Audit[[#This Row],[Max Relative Error (ep)]] = 0, 0, Audit[[#This Row],[Max Relative Error (ep)]]/Audit[[#This Row],[Error Bound (up) - Max. possible relative overstatement]])</f>
        <v>0</v>
      </c>
      <c r="AJ9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70" s="111">
        <f t="shared" si="15"/>
        <v>1</v>
      </c>
      <c r="AL970" s="111">
        <f>PRODUCT($AK$5:AK970)</f>
        <v>8.962823818226312E-2</v>
      </c>
      <c r="AM970" s="109">
        <f>1 - [K-M P Value]</f>
        <v>0.91037176181773694</v>
      </c>
      <c r="AN970" s="111" t="str">
        <f>IF(Audit[[#This Row],[K-M P Value]]&gt;1-'General Info'!$B$16,"Continue", "Stop")</f>
        <v>Stop</v>
      </c>
      <c r="AO970" s="110" t="b">
        <f>IF(Audit[[#This Row],[Status - Continue or stop audit]] = "Continue", TRUE, IF(AN969 = "Continue", TRUE, FALSE))</f>
        <v>0</v>
      </c>
      <c r="AP970" s="110"/>
    </row>
    <row r="971" spans="1:42" ht="15" hidden="1" customHeight="1">
      <c r="A971" s="111" t="str">
        <f>'Sampling Data'!W962</f>
        <v/>
      </c>
      <c r="B971" s="112" t="str">
        <f>'Sampling Data'!A962</f>
        <v>CLEVELAND HEIGHTS -02-B - ABS</v>
      </c>
      <c r="C971" s="112">
        <f>'Sampling Data'!B962</f>
        <v>4</v>
      </c>
      <c r="D971" s="112">
        <f>'Sampling Data'!C962</f>
        <v>24</v>
      </c>
      <c r="E971" s="113">
        <f>'Sampling Data'!D962</f>
        <v>5</v>
      </c>
      <c r="F971" s="113">
        <f>'Sampling Data'!E962</f>
        <v>3</v>
      </c>
      <c r="G971" s="113">
        <f>'Sampling Data'!F962</f>
        <v>0</v>
      </c>
      <c r="H971" s="113">
        <f>'Sampling Data'!G962</f>
        <v>0</v>
      </c>
      <c r="I971" s="112">
        <f>'Sampling Data'!H962</f>
        <v>0</v>
      </c>
      <c r="J971" s="112">
        <f>'Sampling Data'!I962</f>
        <v>0</v>
      </c>
      <c r="K971" s="112">
        <f>'Sampling Data'!J962</f>
        <v>36</v>
      </c>
      <c r="L971" s="111">
        <f>'Sampling Data'!X962</f>
        <v>0</v>
      </c>
      <c r="M971" s="114"/>
      <c r="N971" s="114"/>
      <c r="O971" s="115"/>
      <c r="P971" s="115"/>
      <c r="Q971" s="116"/>
      <c r="R971" s="116"/>
      <c r="S971" s="111">
        <f>Audit[[#This Row],[Audit Losing Candidate]]-Audit[[#This Row],[Losing Candidate]]</f>
        <v>-4</v>
      </c>
      <c r="T971" s="111">
        <f>Audit[[#This Row],[Audit Winning Candidate]]-Audit[[#This Row],[Winning Candidate]]</f>
        <v>-24</v>
      </c>
      <c r="U971" s="111">
        <f>Audit[[#This Row],[Audit Candidate 3]]-Audit[[#This Row],[Candidate 3]]</f>
        <v>-5</v>
      </c>
      <c r="V971" s="111">
        <f>Audit[[#This Row],[Audit Candidate 4]]-Audit[[#This Row],[Candidate 4]]</f>
        <v>-3</v>
      </c>
      <c r="W971" s="111">
        <f>Audit[[#This Row],[Audit Candidate 5]]-Audit[[#This Row],[Candidate 5]]</f>
        <v>0</v>
      </c>
      <c r="X971" s="111">
        <f>Audit[[#This Row],[Audit Candidate 6]]-Audit[[#This Row],[Candidate 6]]</f>
        <v>0</v>
      </c>
      <c r="Y971" s="111">
        <f>SUMIF(Audit[[#This Row],[Difference Loser]:[Difference Candidate 6]], "&gt;0")</f>
        <v>0</v>
      </c>
      <c r="Z971" s="111">
        <f>SUM(Audit[[#This Row],[Difference Loser]:[Difference Candidate 6]])</f>
        <v>-36</v>
      </c>
      <c r="AA971" s="111">
        <f>IF(Audit[[#This Row],[Times p Drawn - With Replacement]]&gt;0, IF(Audit[[#This Row],[Canceled Differences]]&lt;0, Audit[[#This Row],[Max Differences]]+ABS(Audit[[#This Row],[Canceled Differences]]), Audit[[#This Row],[Max Differences]]), 0)</f>
        <v>0</v>
      </c>
      <c r="AB971" s="111">
        <f>'Sampling Data'!P962</f>
        <v>3.4296913277804997E-3</v>
      </c>
      <c r="AC971" s="111">
        <f>IF(
      SUM(Audit[[#This Row],[Audit Losing Candidate]:[Audit Candidate 6]])
      &lt;&gt;0,
      (Audit[[#This Row],[Winning Candidate]]-Audit[[#This Row],[Losing Candidate]]-(Audit[[#This Row],[Audit Winning Candidate]]-Audit[[#This Row],[Audit Losing Candidate]]))/(Audit[[#Totals],[Winning Candidate]]-Audit[[#Totals],[Losing Candidate]]),
      0
)</f>
        <v>0</v>
      </c>
      <c r="AD9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1" s="111">
        <f>IF(Audit[[#This Row],[Max Relative Error (ep)]] = 0, 0, Audit[[#This Row],[Max Relative Error (ep)]]/Audit[[#This Row],[Error Bound (up) - Max. possible relative overstatement]])</f>
        <v>0</v>
      </c>
      <c r="AJ9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71" s="111">
        <f t="shared" si="15"/>
        <v>1</v>
      </c>
      <c r="AL971" s="111">
        <f>PRODUCT($AK$5:AK971)</f>
        <v>8.962823818226312E-2</v>
      </c>
      <c r="AM971" s="109">
        <f>1 - [K-M P Value]</f>
        <v>0.91037176181773694</v>
      </c>
      <c r="AN971" s="111" t="str">
        <f>IF(Audit[[#This Row],[K-M P Value]]&gt;1-'General Info'!$B$16,"Continue", "Stop")</f>
        <v>Stop</v>
      </c>
      <c r="AO971" s="110" t="b">
        <f>IF(Audit[[#This Row],[Status - Continue or stop audit]] = "Continue", TRUE, IF(AN970 = "Continue", TRUE, FALSE))</f>
        <v>0</v>
      </c>
      <c r="AP971" s="110"/>
    </row>
    <row r="972" spans="1:42" ht="15" hidden="1" customHeight="1">
      <c r="A972" s="111" t="str">
        <f>'Sampling Data'!W963</f>
        <v/>
      </c>
      <c r="B972" s="112" t="str">
        <f>'Sampling Data'!A963</f>
        <v>CLEVELAND HEIGHTS -02-C</v>
      </c>
      <c r="C972" s="112">
        <f>'Sampling Data'!B963</f>
        <v>19</v>
      </c>
      <c r="D972" s="112">
        <f>'Sampling Data'!C963</f>
        <v>36</v>
      </c>
      <c r="E972" s="113">
        <f>'Sampling Data'!D963</f>
        <v>6</v>
      </c>
      <c r="F972" s="113">
        <f>'Sampling Data'!E963</f>
        <v>7</v>
      </c>
      <c r="G972" s="113">
        <f>'Sampling Data'!F963</f>
        <v>0</v>
      </c>
      <c r="H972" s="113">
        <f>'Sampling Data'!G963</f>
        <v>0</v>
      </c>
      <c r="I972" s="112">
        <f>'Sampling Data'!H963</f>
        <v>0</v>
      </c>
      <c r="J972" s="112">
        <f>'Sampling Data'!I963</f>
        <v>1</v>
      </c>
      <c r="K972" s="112">
        <f>'Sampling Data'!J963</f>
        <v>69</v>
      </c>
      <c r="L972" s="111">
        <f>'Sampling Data'!X963</f>
        <v>0</v>
      </c>
      <c r="M972" s="114"/>
      <c r="N972" s="114"/>
      <c r="O972" s="115"/>
      <c r="P972" s="115"/>
      <c r="Q972" s="116"/>
      <c r="R972" s="116"/>
      <c r="S972" s="111">
        <f>Audit[[#This Row],[Audit Losing Candidate]]-Audit[[#This Row],[Losing Candidate]]</f>
        <v>-19</v>
      </c>
      <c r="T972" s="111">
        <f>Audit[[#This Row],[Audit Winning Candidate]]-Audit[[#This Row],[Winning Candidate]]</f>
        <v>-36</v>
      </c>
      <c r="U972" s="111">
        <f>Audit[[#This Row],[Audit Candidate 3]]-Audit[[#This Row],[Candidate 3]]</f>
        <v>-6</v>
      </c>
      <c r="V972" s="111">
        <f>Audit[[#This Row],[Audit Candidate 4]]-Audit[[#This Row],[Candidate 4]]</f>
        <v>-7</v>
      </c>
      <c r="W972" s="111">
        <f>Audit[[#This Row],[Audit Candidate 5]]-Audit[[#This Row],[Candidate 5]]</f>
        <v>0</v>
      </c>
      <c r="X972" s="111">
        <f>Audit[[#This Row],[Audit Candidate 6]]-Audit[[#This Row],[Candidate 6]]</f>
        <v>0</v>
      </c>
      <c r="Y972" s="111">
        <f>SUMIF(Audit[[#This Row],[Difference Loser]:[Difference Candidate 6]], "&gt;0")</f>
        <v>0</v>
      </c>
      <c r="Z972" s="111">
        <f>SUM(Audit[[#This Row],[Difference Loser]:[Difference Candidate 6]])</f>
        <v>-68</v>
      </c>
      <c r="AA972" s="111">
        <f>IF(Audit[[#This Row],[Times p Drawn - With Replacement]]&gt;0, IF(Audit[[#This Row],[Canceled Differences]]&lt;0, Audit[[#This Row],[Max Differences]]+ABS(Audit[[#This Row],[Canceled Differences]]), Audit[[#This Row],[Max Differences]]), 0)</f>
        <v>0</v>
      </c>
      <c r="AB972" s="111">
        <f>'Sampling Data'!P963</f>
        <v>5.2670259676629106E-3</v>
      </c>
      <c r="AC972" s="111">
        <f>IF(
      SUM(Audit[[#This Row],[Audit Losing Candidate]:[Audit Candidate 6]])
      &lt;&gt;0,
      (Audit[[#This Row],[Winning Candidate]]-Audit[[#This Row],[Losing Candidate]]-(Audit[[#This Row],[Audit Winning Candidate]]-Audit[[#This Row],[Audit Losing Candidate]]))/(Audit[[#Totals],[Winning Candidate]]-Audit[[#Totals],[Losing Candidate]]),
      0
)</f>
        <v>0</v>
      </c>
      <c r="AD9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2" s="111">
        <f>IF(Audit[[#This Row],[Max Relative Error (ep)]] = 0, 0, Audit[[#This Row],[Max Relative Error (ep)]]/Audit[[#This Row],[Error Bound (up) - Max. possible relative overstatement]])</f>
        <v>0</v>
      </c>
      <c r="AJ9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72" s="111">
        <f t="shared" si="15"/>
        <v>1</v>
      </c>
      <c r="AL972" s="111">
        <f>PRODUCT($AK$5:AK972)</f>
        <v>8.962823818226312E-2</v>
      </c>
      <c r="AM972" s="109">
        <f>1 - [K-M P Value]</f>
        <v>0.91037176181773694</v>
      </c>
      <c r="AN972" s="111" t="str">
        <f>IF(Audit[[#This Row],[K-M P Value]]&gt;1-'General Info'!$B$16,"Continue", "Stop")</f>
        <v>Stop</v>
      </c>
      <c r="AO972" s="110" t="b">
        <f>IF(Audit[[#This Row],[Status - Continue or stop audit]] = "Continue", TRUE, IF(AN971 = "Continue", TRUE, FALSE))</f>
        <v>0</v>
      </c>
      <c r="AP972" s="110"/>
    </row>
    <row r="973" spans="1:42" ht="15" hidden="1" customHeight="1">
      <c r="A973" s="111" t="str">
        <f>'Sampling Data'!W964</f>
        <v/>
      </c>
      <c r="B973" s="112" t="str">
        <f>'Sampling Data'!A964</f>
        <v>CLEVELAND HEIGHTS -02-C - ABS</v>
      </c>
      <c r="C973" s="112">
        <f>'Sampling Data'!B964</f>
        <v>5</v>
      </c>
      <c r="D973" s="112">
        <f>'Sampling Data'!C964</f>
        <v>21</v>
      </c>
      <c r="E973" s="113">
        <f>'Sampling Data'!D964</f>
        <v>1</v>
      </c>
      <c r="F973" s="113">
        <f>'Sampling Data'!E964</f>
        <v>1</v>
      </c>
      <c r="G973" s="113">
        <f>'Sampling Data'!F964</f>
        <v>1</v>
      </c>
      <c r="H973" s="113">
        <f>'Sampling Data'!G964</f>
        <v>0</v>
      </c>
      <c r="I973" s="112">
        <f>'Sampling Data'!H964</f>
        <v>0</v>
      </c>
      <c r="J973" s="112">
        <f>'Sampling Data'!I964</f>
        <v>0</v>
      </c>
      <c r="K973" s="112">
        <f>'Sampling Data'!J964</f>
        <v>29</v>
      </c>
      <c r="L973" s="111">
        <f>'Sampling Data'!X964</f>
        <v>0</v>
      </c>
      <c r="M973" s="114"/>
      <c r="N973" s="114"/>
      <c r="O973" s="115"/>
      <c r="P973" s="115"/>
      <c r="Q973" s="116"/>
      <c r="R973" s="116"/>
      <c r="S973" s="111">
        <f>Audit[[#This Row],[Audit Losing Candidate]]-Audit[[#This Row],[Losing Candidate]]</f>
        <v>-5</v>
      </c>
      <c r="T973" s="111">
        <f>Audit[[#This Row],[Audit Winning Candidate]]-Audit[[#This Row],[Winning Candidate]]</f>
        <v>-21</v>
      </c>
      <c r="U973" s="111">
        <f>Audit[[#This Row],[Audit Candidate 3]]-Audit[[#This Row],[Candidate 3]]</f>
        <v>-1</v>
      </c>
      <c r="V973" s="111">
        <f>Audit[[#This Row],[Audit Candidate 4]]-Audit[[#This Row],[Candidate 4]]</f>
        <v>-1</v>
      </c>
      <c r="W973" s="111">
        <f>Audit[[#This Row],[Audit Candidate 5]]-Audit[[#This Row],[Candidate 5]]</f>
        <v>-1</v>
      </c>
      <c r="X973" s="111">
        <f>Audit[[#This Row],[Audit Candidate 6]]-Audit[[#This Row],[Candidate 6]]</f>
        <v>0</v>
      </c>
      <c r="Y973" s="111">
        <f>SUMIF(Audit[[#This Row],[Difference Loser]:[Difference Candidate 6]], "&gt;0")</f>
        <v>0</v>
      </c>
      <c r="Z973" s="111">
        <f>SUM(Audit[[#This Row],[Difference Loser]:[Difference Candidate 6]])</f>
        <v>-29</v>
      </c>
      <c r="AA973" s="111">
        <f>IF(Audit[[#This Row],[Times p Drawn - With Replacement]]&gt;0, IF(Audit[[#This Row],[Canceled Differences]]&lt;0, Audit[[#This Row],[Max Differences]]+ABS(Audit[[#This Row],[Canceled Differences]]), Audit[[#This Row],[Max Differences]]), 0)</f>
        <v>0</v>
      </c>
      <c r="AB973" s="111">
        <f>'Sampling Data'!P964</f>
        <v>2.7560019598236157E-3</v>
      </c>
      <c r="AC973" s="111">
        <f>IF(
      SUM(Audit[[#This Row],[Audit Losing Candidate]:[Audit Candidate 6]])
      &lt;&gt;0,
      (Audit[[#This Row],[Winning Candidate]]-Audit[[#This Row],[Losing Candidate]]-(Audit[[#This Row],[Audit Winning Candidate]]-Audit[[#This Row],[Audit Losing Candidate]]))/(Audit[[#Totals],[Winning Candidate]]-Audit[[#Totals],[Losing Candidate]]),
      0
)</f>
        <v>0</v>
      </c>
      <c r="AD9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3" s="111">
        <f>IF(Audit[[#This Row],[Max Relative Error (ep)]] = 0, 0, Audit[[#This Row],[Max Relative Error (ep)]]/Audit[[#This Row],[Error Bound (up) - Max. possible relative overstatement]])</f>
        <v>0</v>
      </c>
      <c r="AJ9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73" s="111">
        <f t="shared" si="15"/>
        <v>1</v>
      </c>
      <c r="AL973" s="111">
        <f>PRODUCT($AK$5:AK973)</f>
        <v>8.962823818226312E-2</v>
      </c>
      <c r="AM973" s="109">
        <f>1 - [K-M P Value]</f>
        <v>0.91037176181773694</v>
      </c>
      <c r="AN973" s="111" t="str">
        <f>IF(Audit[[#This Row],[K-M P Value]]&gt;1-'General Info'!$B$16,"Continue", "Stop")</f>
        <v>Stop</v>
      </c>
      <c r="AO973" s="110" t="b">
        <f>IF(Audit[[#This Row],[Status - Continue or stop audit]] = "Continue", TRUE, IF(AN972 = "Continue", TRUE, FALSE))</f>
        <v>0</v>
      </c>
      <c r="AP973" s="110"/>
    </row>
    <row r="974" spans="1:42" ht="15" hidden="1" customHeight="1">
      <c r="A974" s="111" t="str">
        <f>'Sampling Data'!W966</f>
        <v/>
      </c>
      <c r="B974" s="112" t="str">
        <f>'Sampling Data'!A966</f>
        <v>CLEVELAND HEIGHTS -02-D - ABS</v>
      </c>
      <c r="C974" s="112">
        <f>'Sampling Data'!B966</f>
        <v>9</v>
      </c>
      <c r="D974" s="112">
        <f>'Sampling Data'!C966</f>
        <v>10</v>
      </c>
      <c r="E974" s="113">
        <f>'Sampling Data'!D966</f>
        <v>1</v>
      </c>
      <c r="F974" s="113">
        <f>'Sampling Data'!E966</f>
        <v>0</v>
      </c>
      <c r="G974" s="113">
        <f>'Sampling Data'!F966</f>
        <v>0</v>
      </c>
      <c r="H974" s="113">
        <f>'Sampling Data'!G966</f>
        <v>0</v>
      </c>
      <c r="I974" s="112">
        <f>'Sampling Data'!H966</f>
        <v>0</v>
      </c>
      <c r="J974" s="112">
        <f>'Sampling Data'!I966</f>
        <v>0</v>
      </c>
      <c r="K974" s="112">
        <f>'Sampling Data'!J966</f>
        <v>20</v>
      </c>
      <c r="L974" s="111">
        <f>'Sampling Data'!X966</f>
        <v>0</v>
      </c>
      <c r="M974" s="114"/>
      <c r="N974" s="114"/>
      <c r="O974" s="115"/>
      <c r="P974" s="115"/>
      <c r="Q974" s="116"/>
      <c r="R974" s="116"/>
      <c r="S974" s="111">
        <f>Audit[[#This Row],[Audit Losing Candidate]]-Audit[[#This Row],[Losing Candidate]]</f>
        <v>-9</v>
      </c>
      <c r="T974" s="111">
        <f>Audit[[#This Row],[Audit Winning Candidate]]-Audit[[#This Row],[Winning Candidate]]</f>
        <v>-10</v>
      </c>
      <c r="U974" s="111">
        <f>Audit[[#This Row],[Audit Candidate 3]]-Audit[[#This Row],[Candidate 3]]</f>
        <v>-1</v>
      </c>
      <c r="V974" s="111">
        <f>Audit[[#This Row],[Audit Candidate 4]]-Audit[[#This Row],[Candidate 4]]</f>
        <v>0</v>
      </c>
      <c r="W974" s="111">
        <f>Audit[[#This Row],[Audit Candidate 5]]-Audit[[#This Row],[Candidate 5]]</f>
        <v>0</v>
      </c>
      <c r="X974" s="111">
        <f>Audit[[#This Row],[Audit Candidate 6]]-Audit[[#This Row],[Candidate 6]]</f>
        <v>0</v>
      </c>
      <c r="Y974" s="111">
        <f>SUMIF(Audit[[#This Row],[Difference Loser]:[Difference Candidate 6]], "&gt;0")</f>
        <v>0</v>
      </c>
      <c r="Z974" s="111">
        <f>SUM(Audit[[#This Row],[Difference Loser]:[Difference Candidate 6]])</f>
        <v>-20</v>
      </c>
      <c r="AA974" s="111">
        <f>IF(Audit[[#This Row],[Times p Drawn - With Replacement]]&gt;0, IF(Audit[[#This Row],[Canceled Differences]]&lt;0, Audit[[#This Row],[Max Differences]]+ABS(Audit[[#This Row],[Canceled Differences]]), Audit[[#This Row],[Max Differences]]), 0)</f>
        <v>0</v>
      </c>
      <c r="AB974" s="111">
        <f>'Sampling Data'!P966</f>
        <v>1.2861342479176874E-3</v>
      </c>
      <c r="AC974" s="111">
        <f>IF(
      SUM(Audit[[#This Row],[Audit Losing Candidate]:[Audit Candidate 6]])
      &lt;&gt;0,
      (Audit[[#This Row],[Winning Candidate]]-Audit[[#This Row],[Losing Candidate]]-(Audit[[#This Row],[Audit Winning Candidate]]-Audit[[#This Row],[Audit Losing Candidate]]))/(Audit[[#Totals],[Winning Candidate]]-Audit[[#Totals],[Losing Candidate]]),
      0
)</f>
        <v>0</v>
      </c>
      <c r="AD9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4" s="111">
        <f>IF(Audit[[#This Row],[Max Relative Error (ep)]] = 0, 0, Audit[[#This Row],[Max Relative Error (ep)]]/Audit[[#This Row],[Error Bound (up) - Max. possible relative overstatement]])</f>
        <v>0</v>
      </c>
      <c r="AJ9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74" s="111">
        <f t="shared" si="15"/>
        <v>1</v>
      </c>
      <c r="AL974" s="111">
        <f>PRODUCT($AK$5:AK974)</f>
        <v>8.962823818226312E-2</v>
      </c>
      <c r="AM974" s="109">
        <f>1 - [K-M P Value]</f>
        <v>0.91037176181773694</v>
      </c>
      <c r="AN974" s="111" t="str">
        <f>IF(Audit[[#This Row],[K-M P Value]]&gt;1-'General Info'!$B$16,"Continue", "Stop")</f>
        <v>Stop</v>
      </c>
      <c r="AO974" s="110" t="b">
        <f>IF(Audit[[#This Row],[Status - Continue or stop audit]] = "Continue", TRUE, IF(AN973 = "Continue", TRUE, FALSE))</f>
        <v>0</v>
      </c>
      <c r="AP974" s="110"/>
    </row>
    <row r="975" spans="1:42" ht="15" hidden="1" customHeight="1">
      <c r="A975" s="111" t="str">
        <f>'Sampling Data'!W967</f>
        <v/>
      </c>
      <c r="B975" s="112" t="str">
        <f>'Sampling Data'!A967</f>
        <v>CLEVELAND HEIGHTS -02-E</v>
      </c>
      <c r="C975" s="112">
        <f>'Sampling Data'!B967</f>
        <v>29</v>
      </c>
      <c r="D975" s="112">
        <f>'Sampling Data'!C967</f>
        <v>27</v>
      </c>
      <c r="E975" s="113">
        <f>'Sampling Data'!D967</f>
        <v>6</v>
      </c>
      <c r="F975" s="113">
        <f>'Sampling Data'!E967</f>
        <v>15</v>
      </c>
      <c r="G975" s="113">
        <f>'Sampling Data'!F967</f>
        <v>1</v>
      </c>
      <c r="H975" s="113">
        <f>'Sampling Data'!G967</f>
        <v>0</v>
      </c>
      <c r="I975" s="112">
        <f>'Sampling Data'!H967</f>
        <v>0</v>
      </c>
      <c r="J975" s="112">
        <f>'Sampling Data'!I967</f>
        <v>1</v>
      </c>
      <c r="K975" s="112">
        <f>'Sampling Data'!J967</f>
        <v>79</v>
      </c>
      <c r="L975" s="111">
        <f>'Sampling Data'!X967</f>
        <v>0</v>
      </c>
      <c r="M975" s="114"/>
      <c r="N975" s="114"/>
      <c r="O975" s="115"/>
      <c r="P975" s="115"/>
      <c r="Q975" s="116"/>
      <c r="R975" s="116"/>
      <c r="S975" s="111">
        <f>Audit[[#This Row],[Audit Losing Candidate]]-Audit[[#This Row],[Losing Candidate]]</f>
        <v>-29</v>
      </c>
      <c r="T975" s="111">
        <f>Audit[[#This Row],[Audit Winning Candidate]]-Audit[[#This Row],[Winning Candidate]]</f>
        <v>-27</v>
      </c>
      <c r="U975" s="111">
        <f>Audit[[#This Row],[Audit Candidate 3]]-Audit[[#This Row],[Candidate 3]]</f>
        <v>-6</v>
      </c>
      <c r="V975" s="111">
        <f>Audit[[#This Row],[Audit Candidate 4]]-Audit[[#This Row],[Candidate 4]]</f>
        <v>-15</v>
      </c>
      <c r="W975" s="111">
        <f>Audit[[#This Row],[Audit Candidate 5]]-Audit[[#This Row],[Candidate 5]]</f>
        <v>-1</v>
      </c>
      <c r="X975" s="111">
        <f>Audit[[#This Row],[Audit Candidate 6]]-Audit[[#This Row],[Candidate 6]]</f>
        <v>0</v>
      </c>
      <c r="Y975" s="111">
        <f>SUMIF(Audit[[#This Row],[Difference Loser]:[Difference Candidate 6]], "&gt;0")</f>
        <v>0</v>
      </c>
      <c r="Z975" s="111">
        <f>SUM(Audit[[#This Row],[Difference Loser]:[Difference Candidate 6]])</f>
        <v>-78</v>
      </c>
      <c r="AA975" s="111">
        <f>IF(Audit[[#This Row],[Times p Drawn - With Replacement]]&gt;0, IF(Audit[[#This Row],[Canceled Differences]]&lt;0, Audit[[#This Row],[Max Differences]]+ABS(Audit[[#This Row],[Canceled Differences]]), Audit[[#This Row],[Max Differences]]), 0)</f>
        <v>0</v>
      </c>
      <c r="AB975" s="111">
        <f>'Sampling Data'!P967</f>
        <v>4.7158255756981869E-3</v>
      </c>
      <c r="AC975" s="111">
        <f>IF(
      SUM(Audit[[#This Row],[Audit Losing Candidate]:[Audit Candidate 6]])
      &lt;&gt;0,
      (Audit[[#This Row],[Winning Candidate]]-Audit[[#This Row],[Losing Candidate]]-(Audit[[#This Row],[Audit Winning Candidate]]-Audit[[#This Row],[Audit Losing Candidate]]))/(Audit[[#Totals],[Winning Candidate]]-Audit[[#Totals],[Losing Candidate]]),
      0
)</f>
        <v>0</v>
      </c>
      <c r="AD9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5" s="111">
        <f>IF(Audit[[#This Row],[Max Relative Error (ep)]] = 0, 0, Audit[[#This Row],[Max Relative Error (ep)]]/Audit[[#This Row],[Error Bound (up) - Max. possible relative overstatement]])</f>
        <v>0</v>
      </c>
      <c r="AJ9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75" s="111">
        <f t="shared" si="15"/>
        <v>1</v>
      </c>
      <c r="AL975" s="111">
        <f>PRODUCT($AK$5:AK975)</f>
        <v>8.962823818226312E-2</v>
      </c>
      <c r="AM975" s="109">
        <f>1 - [K-M P Value]</f>
        <v>0.91037176181773694</v>
      </c>
      <c r="AN975" s="111" t="str">
        <f>IF(Audit[[#This Row],[K-M P Value]]&gt;1-'General Info'!$B$16,"Continue", "Stop")</f>
        <v>Stop</v>
      </c>
      <c r="AO975" s="110" t="b">
        <f>IF(Audit[[#This Row],[Status - Continue or stop audit]] = "Continue", TRUE, IF(AN974 = "Continue", TRUE, FALSE))</f>
        <v>0</v>
      </c>
      <c r="AP975" s="110"/>
    </row>
    <row r="976" spans="1:42" ht="15" hidden="1" customHeight="1">
      <c r="A976" s="111" t="str">
        <f>'Sampling Data'!W968</f>
        <v/>
      </c>
      <c r="B976" s="112" t="str">
        <f>'Sampling Data'!A968</f>
        <v>CLEVELAND HEIGHTS -02-E - ABS</v>
      </c>
      <c r="C976" s="112">
        <f>'Sampling Data'!B968</f>
        <v>10</v>
      </c>
      <c r="D976" s="112">
        <f>'Sampling Data'!C968</f>
        <v>12</v>
      </c>
      <c r="E976" s="113">
        <f>'Sampling Data'!D968</f>
        <v>2</v>
      </c>
      <c r="F976" s="113">
        <f>'Sampling Data'!E968</f>
        <v>5</v>
      </c>
      <c r="G976" s="113">
        <f>'Sampling Data'!F968</f>
        <v>0</v>
      </c>
      <c r="H976" s="113">
        <f>'Sampling Data'!G968</f>
        <v>0</v>
      </c>
      <c r="I976" s="112">
        <f>'Sampling Data'!H968</f>
        <v>0</v>
      </c>
      <c r="J976" s="112">
        <f>'Sampling Data'!I968</f>
        <v>0</v>
      </c>
      <c r="K976" s="112">
        <f>'Sampling Data'!J968</f>
        <v>29</v>
      </c>
      <c r="L976" s="111">
        <f>'Sampling Data'!X968</f>
        <v>0</v>
      </c>
      <c r="M976" s="114"/>
      <c r="N976" s="114"/>
      <c r="O976" s="115"/>
      <c r="P976" s="115"/>
      <c r="Q976" s="116"/>
      <c r="R976" s="116"/>
      <c r="S976" s="111">
        <f>Audit[[#This Row],[Audit Losing Candidate]]-Audit[[#This Row],[Losing Candidate]]</f>
        <v>-10</v>
      </c>
      <c r="T976" s="111">
        <f>Audit[[#This Row],[Audit Winning Candidate]]-Audit[[#This Row],[Winning Candidate]]</f>
        <v>-12</v>
      </c>
      <c r="U976" s="111">
        <f>Audit[[#This Row],[Audit Candidate 3]]-Audit[[#This Row],[Candidate 3]]</f>
        <v>-2</v>
      </c>
      <c r="V976" s="111">
        <f>Audit[[#This Row],[Audit Candidate 4]]-Audit[[#This Row],[Candidate 4]]</f>
        <v>-5</v>
      </c>
      <c r="W976" s="111">
        <f>Audit[[#This Row],[Audit Candidate 5]]-Audit[[#This Row],[Candidate 5]]</f>
        <v>0</v>
      </c>
      <c r="X976" s="111">
        <f>Audit[[#This Row],[Audit Candidate 6]]-Audit[[#This Row],[Candidate 6]]</f>
        <v>0</v>
      </c>
      <c r="Y976" s="111">
        <f>SUMIF(Audit[[#This Row],[Difference Loser]:[Difference Candidate 6]], "&gt;0")</f>
        <v>0</v>
      </c>
      <c r="Z976" s="111">
        <f>SUM(Audit[[#This Row],[Difference Loser]:[Difference Candidate 6]])</f>
        <v>-29</v>
      </c>
      <c r="AA976" s="111">
        <f>IF(Audit[[#This Row],[Times p Drawn - With Replacement]]&gt;0, IF(Audit[[#This Row],[Canceled Differences]]&lt;0, Audit[[#This Row],[Max Differences]]+ABS(Audit[[#This Row],[Canceled Differences]]), Audit[[#This Row],[Max Differences]]), 0)</f>
        <v>0</v>
      </c>
      <c r="AB976" s="111">
        <f>'Sampling Data'!P968</f>
        <v>1.8985791278784908E-3</v>
      </c>
      <c r="AC976" s="111">
        <f>IF(
      SUM(Audit[[#This Row],[Audit Losing Candidate]:[Audit Candidate 6]])
      &lt;&gt;0,
      (Audit[[#This Row],[Winning Candidate]]-Audit[[#This Row],[Losing Candidate]]-(Audit[[#This Row],[Audit Winning Candidate]]-Audit[[#This Row],[Audit Losing Candidate]]))/(Audit[[#Totals],[Winning Candidate]]-Audit[[#Totals],[Losing Candidate]]),
      0
)</f>
        <v>0</v>
      </c>
      <c r="AD9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6" s="111">
        <f>IF(Audit[[#This Row],[Max Relative Error (ep)]] = 0, 0, Audit[[#This Row],[Max Relative Error (ep)]]/Audit[[#This Row],[Error Bound (up) - Max. possible relative overstatement]])</f>
        <v>0</v>
      </c>
      <c r="AJ9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76" s="111">
        <f t="shared" si="15"/>
        <v>1</v>
      </c>
      <c r="AL976" s="111">
        <f>PRODUCT($AK$5:AK976)</f>
        <v>8.962823818226312E-2</v>
      </c>
      <c r="AM976" s="109">
        <f>1 - [K-M P Value]</f>
        <v>0.91037176181773694</v>
      </c>
      <c r="AN976" s="111" t="str">
        <f>IF(Audit[[#This Row],[K-M P Value]]&gt;1-'General Info'!$B$16,"Continue", "Stop")</f>
        <v>Stop</v>
      </c>
      <c r="AO976" s="110" t="b">
        <f>IF(Audit[[#This Row],[Status - Continue or stop audit]] = "Continue", TRUE, IF(AN975 = "Continue", TRUE, FALSE))</f>
        <v>0</v>
      </c>
      <c r="AP976" s="110"/>
    </row>
    <row r="977" spans="1:42" ht="15" hidden="1" customHeight="1">
      <c r="A977" s="111" t="str">
        <f>'Sampling Data'!W969</f>
        <v/>
      </c>
      <c r="B977" s="112" t="str">
        <f>'Sampling Data'!A969</f>
        <v>CLEVELAND HEIGHTS -02-F</v>
      </c>
      <c r="C977" s="112">
        <f>'Sampling Data'!B969</f>
        <v>3</v>
      </c>
      <c r="D977" s="112">
        <f>'Sampling Data'!C969</f>
        <v>18</v>
      </c>
      <c r="E977" s="113">
        <f>'Sampling Data'!D969</f>
        <v>2</v>
      </c>
      <c r="F977" s="113">
        <f>'Sampling Data'!E969</f>
        <v>5</v>
      </c>
      <c r="G977" s="113">
        <f>'Sampling Data'!F969</f>
        <v>0</v>
      </c>
      <c r="H977" s="113">
        <f>'Sampling Data'!G969</f>
        <v>0</v>
      </c>
      <c r="I977" s="112">
        <f>'Sampling Data'!H969</f>
        <v>0</v>
      </c>
      <c r="J977" s="112">
        <f>'Sampling Data'!I969</f>
        <v>0</v>
      </c>
      <c r="K977" s="112">
        <f>'Sampling Data'!J969</f>
        <v>28</v>
      </c>
      <c r="L977" s="111">
        <f>'Sampling Data'!X969</f>
        <v>0</v>
      </c>
      <c r="M977" s="114"/>
      <c r="N977" s="114"/>
      <c r="O977" s="115"/>
      <c r="P977" s="115"/>
      <c r="Q977" s="116"/>
      <c r="R977" s="116"/>
      <c r="S977" s="111">
        <f>Audit[[#This Row],[Audit Losing Candidate]]-Audit[[#This Row],[Losing Candidate]]</f>
        <v>-3</v>
      </c>
      <c r="T977" s="111">
        <f>Audit[[#This Row],[Audit Winning Candidate]]-Audit[[#This Row],[Winning Candidate]]</f>
        <v>-18</v>
      </c>
      <c r="U977" s="111">
        <f>Audit[[#This Row],[Audit Candidate 3]]-Audit[[#This Row],[Candidate 3]]</f>
        <v>-2</v>
      </c>
      <c r="V977" s="111">
        <f>Audit[[#This Row],[Audit Candidate 4]]-Audit[[#This Row],[Candidate 4]]</f>
        <v>-5</v>
      </c>
      <c r="W977" s="111">
        <f>Audit[[#This Row],[Audit Candidate 5]]-Audit[[#This Row],[Candidate 5]]</f>
        <v>0</v>
      </c>
      <c r="X977" s="111">
        <f>Audit[[#This Row],[Audit Candidate 6]]-Audit[[#This Row],[Candidate 6]]</f>
        <v>0</v>
      </c>
      <c r="Y977" s="111">
        <f>SUMIF(Audit[[#This Row],[Difference Loser]:[Difference Candidate 6]], "&gt;0")</f>
        <v>0</v>
      </c>
      <c r="Z977" s="111">
        <f>SUM(Audit[[#This Row],[Difference Loser]:[Difference Candidate 6]])</f>
        <v>-28</v>
      </c>
      <c r="AA977" s="111">
        <f>IF(Audit[[#This Row],[Times p Drawn - With Replacement]]&gt;0, IF(Audit[[#This Row],[Canceled Differences]]&lt;0, Audit[[#This Row],[Max Differences]]+ABS(Audit[[#This Row],[Canceled Differences]]), Audit[[#This Row],[Max Differences]]), 0)</f>
        <v>0</v>
      </c>
      <c r="AB977" s="111">
        <f>'Sampling Data'!P969</f>
        <v>2.6335129838314553E-3</v>
      </c>
      <c r="AC977" s="111">
        <f>IF(
      SUM(Audit[[#This Row],[Audit Losing Candidate]:[Audit Candidate 6]])
      &lt;&gt;0,
      (Audit[[#This Row],[Winning Candidate]]-Audit[[#This Row],[Losing Candidate]]-(Audit[[#This Row],[Audit Winning Candidate]]-Audit[[#This Row],[Audit Losing Candidate]]))/(Audit[[#Totals],[Winning Candidate]]-Audit[[#Totals],[Losing Candidate]]),
      0
)</f>
        <v>0</v>
      </c>
      <c r="AD9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7" s="111">
        <f>IF(Audit[[#This Row],[Max Relative Error (ep)]] = 0, 0, Audit[[#This Row],[Max Relative Error (ep)]]/Audit[[#This Row],[Error Bound (up) - Max. possible relative overstatement]])</f>
        <v>0</v>
      </c>
      <c r="AJ9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77" s="111">
        <f t="shared" si="15"/>
        <v>1</v>
      </c>
      <c r="AL977" s="111">
        <f>PRODUCT($AK$5:AK977)</f>
        <v>8.962823818226312E-2</v>
      </c>
      <c r="AM977" s="109">
        <f>1 - [K-M P Value]</f>
        <v>0.91037176181773694</v>
      </c>
      <c r="AN977" s="111" t="str">
        <f>IF(Audit[[#This Row],[K-M P Value]]&gt;1-'General Info'!$B$16,"Continue", "Stop")</f>
        <v>Stop</v>
      </c>
      <c r="AO977" s="110" t="b">
        <f>IF(Audit[[#This Row],[Status - Continue or stop audit]] = "Continue", TRUE, IF(AN976 = "Continue", TRUE, FALSE))</f>
        <v>0</v>
      </c>
      <c r="AP977" s="110"/>
    </row>
    <row r="978" spans="1:42" ht="15" hidden="1" customHeight="1">
      <c r="A978" s="111" t="str">
        <f>'Sampling Data'!W970</f>
        <v/>
      </c>
      <c r="B978" s="112" t="str">
        <f>'Sampling Data'!A970</f>
        <v>CLEVELAND HEIGHTS -02-F - ABS</v>
      </c>
      <c r="C978" s="112">
        <f>'Sampling Data'!B970</f>
        <v>3</v>
      </c>
      <c r="D978" s="112">
        <f>'Sampling Data'!C970</f>
        <v>3</v>
      </c>
      <c r="E978" s="113">
        <f>'Sampling Data'!D970</f>
        <v>0</v>
      </c>
      <c r="F978" s="113">
        <f>'Sampling Data'!E970</f>
        <v>0</v>
      </c>
      <c r="G978" s="113">
        <f>'Sampling Data'!F970</f>
        <v>0</v>
      </c>
      <c r="H978" s="113">
        <f>'Sampling Data'!G970</f>
        <v>0</v>
      </c>
      <c r="I978" s="112">
        <f>'Sampling Data'!H970</f>
        <v>0</v>
      </c>
      <c r="J978" s="112">
        <f>'Sampling Data'!I970</f>
        <v>0</v>
      </c>
      <c r="K978" s="112">
        <f>'Sampling Data'!J970</f>
        <v>6</v>
      </c>
      <c r="L978" s="111">
        <f>'Sampling Data'!X970</f>
        <v>0</v>
      </c>
      <c r="M978" s="114"/>
      <c r="N978" s="114"/>
      <c r="O978" s="115"/>
      <c r="P978" s="115"/>
      <c r="Q978" s="116"/>
      <c r="R978" s="116"/>
      <c r="S978" s="111">
        <f>Audit[[#This Row],[Audit Losing Candidate]]-Audit[[#This Row],[Losing Candidate]]</f>
        <v>-3</v>
      </c>
      <c r="T978" s="111">
        <f>Audit[[#This Row],[Audit Winning Candidate]]-Audit[[#This Row],[Winning Candidate]]</f>
        <v>-3</v>
      </c>
      <c r="U978" s="111">
        <f>Audit[[#This Row],[Audit Candidate 3]]-Audit[[#This Row],[Candidate 3]]</f>
        <v>0</v>
      </c>
      <c r="V978" s="111">
        <f>Audit[[#This Row],[Audit Candidate 4]]-Audit[[#This Row],[Candidate 4]]</f>
        <v>0</v>
      </c>
      <c r="W978" s="111">
        <f>Audit[[#This Row],[Audit Candidate 5]]-Audit[[#This Row],[Candidate 5]]</f>
        <v>0</v>
      </c>
      <c r="X978" s="111">
        <f>Audit[[#This Row],[Audit Candidate 6]]-Audit[[#This Row],[Candidate 6]]</f>
        <v>0</v>
      </c>
      <c r="Y978" s="111">
        <f>SUMIF(Audit[[#This Row],[Difference Loser]:[Difference Candidate 6]], "&gt;0")</f>
        <v>0</v>
      </c>
      <c r="Z978" s="111">
        <f>SUM(Audit[[#This Row],[Difference Loser]:[Difference Candidate 6]])</f>
        <v>-6</v>
      </c>
      <c r="AA978" s="111">
        <f>IF(Audit[[#This Row],[Times p Drawn - With Replacement]]&gt;0, IF(Audit[[#This Row],[Canceled Differences]]&lt;0, Audit[[#This Row],[Max Differences]]+ABS(Audit[[#This Row],[Canceled Differences]]), Audit[[#This Row],[Max Differences]]), 0)</f>
        <v>0</v>
      </c>
      <c r="AB978" s="111">
        <f>'Sampling Data'!P970</f>
        <v>3.6746692797648211E-4</v>
      </c>
      <c r="AC978" s="111">
        <f>IF(
      SUM(Audit[[#This Row],[Audit Losing Candidate]:[Audit Candidate 6]])
      &lt;&gt;0,
      (Audit[[#This Row],[Winning Candidate]]-Audit[[#This Row],[Losing Candidate]]-(Audit[[#This Row],[Audit Winning Candidate]]-Audit[[#This Row],[Audit Losing Candidate]]))/(Audit[[#Totals],[Winning Candidate]]-Audit[[#Totals],[Losing Candidate]]),
      0
)</f>
        <v>0</v>
      </c>
      <c r="AD9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8" s="111">
        <f>IF(Audit[[#This Row],[Max Relative Error (ep)]] = 0, 0, Audit[[#This Row],[Max Relative Error (ep)]]/Audit[[#This Row],[Error Bound (up) - Max. possible relative overstatement]])</f>
        <v>0</v>
      </c>
      <c r="AJ9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78" s="111">
        <f t="shared" si="15"/>
        <v>1</v>
      </c>
      <c r="AL978" s="111">
        <f>PRODUCT($AK$5:AK978)</f>
        <v>8.962823818226312E-2</v>
      </c>
      <c r="AM978" s="109">
        <f>1 - [K-M P Value]</f>
        <v>0.91037176181773694</v>
      </c>
      <c r="AN978" s="111" t="str">
        <f>IF(Audit[[#This Row],[K-M P Value]]&gt;1-'General Info'!$B$16,"Continue", "Stop")</f>
        <v>Stop</v>
      </c>
      <c r="AO978" s="110" t="b">
        <f>IF(Audit[[#This Row],[Status - Continue or stop audit]] = "Continue", TRUE, IF(AN977 = "Continue", TRUE, FALSE))</f>
        <v>0</v>
      </c>
      <c r="AP978" s="110"/>
    </row>
    <row r="979" spans="1:42" ht="15" hidden="1" customHeight="1">
      <c r="A979" s="111" t="str">
        <f>'Sampling Data'!W971</f>
        <v/>
      </c>
      <c r="B979" s="112" t="str">
        <f>'Sampling Data'!A971</f>
        <v>CLEVELAND HEIGHTS -02-G</v>
      </c>
      <c r="C979" s="112">
        <f>'Sampling Data'!B971</f>
        <v>13</v>
      </c>
      <c r="D979" s="112">
        <f>'Sampling Data'!C971</f>
        <v>15</v>
      </c>
      <c r="E979" s="113">
        <f>'Sampling Data'!D971</f>
        <v>4</v>
      </c>
      <c r="F979" s="113">
        <f>'Sampling Data'!E971</f>
        <v>0</v>
      </c>
      <c r="G979" s="113">
        <f>'Sampling Data'!F971</f>
        <v>0</v>
      </c>
      <c r="H979" s="113">
        <f>'Sampling Data'!G971</f>
        <v>1</v>
      </c>
      <c r="I979" s="112">
        <f>'Sampling Data'!H971</f>
        <v>0</v>
      </c>
      <c r="J979" s="112">
        <f>'Sampling Data'!I971</f>
        <v>0</v>
      </c>
      <c r="K979" s="112">
        <f>'Sampling Data'!J971</f>
        <v>33</v>
      </c>
      <c r="L979" s="111">
        <f>'Sampling Data'!X971</f>
        <v>0</v>
      </c>
      <c r="M979" s="114"/>
      <c r="N979" s="114"/>
      <c r="O979" s="115"/>
      <c r="P979" s="115"/>
      <c r="Q979" s="116"/>
      <c r="R979" s="116"/>
      <c r="S979" s="111">
        <f>Audit[[#This Row],[Audit Losing Candidate]]-Audit[[#This Row],[Losing Candidate]]</f>
        <v>-13</v>
      </c>
      <c r="T979" s="111">
        <f>Audit[[#This Row],[Audit Winning Candidate]]-Audit[[#This Row],[Winning Candidate]]</f>
        <v>-15</v>
      </c>
      <c r="U979" s="111">
        <f>Audit[[#This Row],[Audit Candidate 3]]-Audit[[#This Row],[Candidate 3]]</f>
        <v>-4</v>
      </c>
      <c r="V979" s="111">
        <f>Audit[[#This Row],[Audit Candidate 4]]-Audit[[#This Row],[Candidate 4]]</f>
        <v>0</v>
      </c>
      <c r="W979" s="111">
        <f>Audit[[#This Row],[Audit Candidate 5]]-Audit[[#This Row],[Candidate 5]]</f>
        <v>0</v>
      </c>
      <c r="X979" s="111">
        <f>Audit[[#This Row],[Audit Candidate 6]]-Audit[[#This Row],[Candidate 6]]</f>
        <v>-1</v>
      </c>
      <c r="Y979" s="111">
        <f>SUMIF(Audit[[#This Row],[Difference Loser]:[Difference Candidate 6]], "&gt;0")</f>
        <v>0</v>
      </c>
      <c r="Z979" s="111">
        <f>SUM(Audit[[#This Row],[Difference Loser]:[Difference Candidate 6]])</f>
        <v>-33</v>
      </c>
      <c r="AA979" s="111">
        <f>IF(Audit[[#This Row],[Times p Drawn - With Replacement]]&gt;0, IF(Audit[[#This Row],[Canceled Differences]]&lt;0, Audit[[#This Row],[Max Differences]]+ABS(Audit[[#This Row],[Canceled Differences]]), Audit[[#This Row],[Max Differences]]), 0)</f>
        <v>0</v>
      </c>
      <c r="AB979" s="111">
        <f>'Sampling Data'!P971</f>
        <v>2.1435570798628125E-3</v>
      </c>
      <c r="AC979" s="111">
        <f>IF(
      SUM(Audit[[#This Row],[Audit Losing Candidate]:[Audit Candidate 6]])
      &lt;&gt;0,
      (Audit[[#This Row],[Winning Candidate]]-Audit[[#This Row],[Losing Candidate]]-(Audit[[#This Row],[Audit Winning Candidate]]-Audit[[#This Row],[Audit Losing Candidate]]))/(Audit[[#Totals],[Winning Candidate]]-Audit[[#Totals],[Losing Candidate]]),
      0
)</f>
        <v>0</v>
      </c>
      <c r="AD9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9" s="111">
        <f>IF(Audit[[#This Row],[Max Relative Error (ep)]] = 0, 0, Audit[[#This Row],[Max Relative Error (ep)]]/Audit[[#This Row],[Error Bound (up) - Max. possible relative overstatement]])</f>
        <v>0</v>
      </c>
      <c r="AJ9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79" s="111">
        <f t="shared" si="15"/>
        <v>1</v>
      </c>
      <c r="AL979" s="111">
        <f>PRODUCT($AK$5:AK979)</f>
        <v>8.962823818226312E-2</v>
      </c>
      <c r="AM979" s="109">
        <f>1 - [K-M P Value]</f>
        <v>0.91037176181773694</v>
      </c>
      <c r="AN979" s="111" t="str">
        <f>IF(Audit[[#This Row],[K-M P Value]]&gt;1-'General Info'!$B$16,"Continue", "Stop")</f>
        <v>Stop</v>
      </c>
      <c r="AO979" s="110" t="b">
        <f>IF(Audit[[#This Row],[Status - Continue or stop audit]] = "Continue", TRUE, IF(AN978 = "Continue", TRUE, FALSE))</f>
        <v>0</v>
      </c>
      <c r="AP979" s="110"/>
    </row>
    <row r="980" spans="1:42" ht="15" hidden="1" customHeight="1">
      <c r="A980" s="111" t="str">
        <f>'Sampling Data'!W972</f>
        <v/>
      </c>
      <c r="B980" s="112" t="str">
        <f>'Sampling Data'!A972</f>
        <v>CLEVELAND HEIGHTS -02-G - ABS</v>
      </c>
      <c r="C980" s="112">
        <f>'Sampling Data'!B972</f>
        <v>0</v>
      </c>
      <c r="D980" s="112">
        <f>'Sampling Data'!C972</f>
        <v>3</v>
      </c>
      <c r="E980" s="113">
        <f>'Sampling Data'!D972</f>
        <v>0</v>
      </c>
      <c r="F980" s="113">
        <f>'Sampling Data'!E972</f>
        <v>2</v>
      </c>
      <c r="G980" s="113">
        <f>'Sampling Data'!F972</f>
        <v>0</v>
      </c>
      <c r="H980" s="113">
        <f>'Sampling Data'!G972</f>
        <v>1</v>
      </c>
      <c r="I980" s="112">
        <f>'Sampling Data'!H972</f>
        <v>0</v>
      </c>
      <c r="J980" s="112">
        <f>'Sampling Data'!I972</f>
        <v>0</v>
      </c>
      <c r="K980" s="112">
        <f>'Sampling Data'!J972</f>
        <v>6</v>
      </c>
      <c r="L980" s="111">
        <f>'Sampling Data'!X972</f>
        <v>0</v>
      </c>
      <c r="M980" s="114"/>
      <c r="N980" s="114"/>
      <c r="O980" s="115"/>
      <c r="P980" s="115"/>
      <c r="Q980" s="116"/>
      <c r="R980" s="116"/>
      <c r="S980" s="111">
        <f>Audit[[#This Row],[Audit Losing Candidate]]-Audit[[#This Row],[Losing Candidate]]</f>
        <v>0</v>
      </c>
      <c r="T980" s="111">
        <f>Audit[[#This Row],[Audit Winning Candidate]]-Audit[[#This Row],[Winning Candidate]]</f>
        <v>-3</v>
      </c>
      <c r="U980" s="111">
        <f>Audit[[#This Row],[Audit Candidate 3]]-Audit[[#This Row],[Candidate 3]]</f>
        <v>0</v>
      </c>
      <c r="V980" s="111">
        <f>Audit[[#This Row],[Audit Candidate 4]]-Audit[[#This Row],[Candidate 4]]</f>
        <v>-2</v>
      </c>
      <c r="W980" s="111">
        <f>Audit[[#This Row],[Audit Candidate 5]]-Audit[[#This Row],[Candidate 5]]</f>
        <v>0</v>
      </c>
      <c r="X980" s="111">
        <f>Audit[[#This Row],[Audit Candidate 6]]-Audit[[#This Row],[Candidate 6]]</f>
        <v>-1</v>
      </c>
      <c r="Y980" s="111">
        <f>SUMIF(Audit[[#This Row],[Difference Loser]:[Difference Candidate 6]], "&gt;0")</f>
        <v>0</v>
      </c>
      <c r="Z980" s="111">
        <f>SUM(Audit[[#This Row],[Difference Loser]:[Difference Candidate 6]])</f>
        <v>-6</v>
      </c>
      <c r="AA980" s="111">
        <f>IF(Audit[[#This Row],[Times p Drawn - With Replacement]]&gt;0, IF(Audit[[#This Row],[Canceled Differences]]&lt;0, Audit[[#This Row],[Max Differences]]+ABS(Audit[[#This Row],[Canceled Differences]]), Audit[[#This Row],[Max Differences]]), 0)</f>
        <v>0</v>
      </c>
      <c r="AB980" s="111">
        <f>'Sampling Data'!P972</f>
        <v>5.5120039196472322E-4</v>
      </c>
      <c r="AC980" s="111">
        <f>IF(
      SUM(Audit[[#This Row],[Audit Losing Candidate]:[Audit Candidate 6]])
      &lt;&gt;0,
      (Audit[[#This Row],[Winning Candidate]]-Audit[[#This Row],[Losing Candidate]]-(Audit[[#This Row],[Audit Winning Candidate]]-Audit[[#This Row],[Audit Losing Candidate]]))/(Audit[[#Totals],[Winning Candidate]]-Audit[[#Totals],[Losing Candidate]]),
      0
)</f>
        <v>0</v>
      </c>
      <c r="AD9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0" s="111">
        <f>IF(Audit[[#This Row],[Max Relative Error (ep)]] = 0, 0, Audit[[#This Row],[Max Relative Error (ep)]]/Audit[[#This Row],[Error Bound (up) - Max. possible relative overstatement]])</f>
        <v>0</v>
      </c>
      <c r="AJ9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80" s="111">
        <f t="shared" si="15"/>
        <v>1</v>
      </c>
      <c r="AL980" s="111">
        <f>PRODUCT($AK$5:AK980)</f>
        <v>8.962823818226312E-2</v>
      </c>
      <c r="AM980" s="109">
        <f>1 - [K-M P Value]</f>
        <v>0.91037176181773694</v>
      </c>
      <c r="AN980" s="111" t="str">
        <f>IF(Audit[[#This Row],[K-M P Value]]&gt;1-'General Info'!$B$16,"Continue", "Stop")</f>
        <v>Stop</v>
      </c>
      <c r="AO980" s="110" t="b">
        <f>IF(Audit[[#This Row],[Status - Continue or stop audit]] = "Continue", TRUE, IF(AN979 = "Continue", TRUE, FALSE))</f>
        <v>0</v>
      </c>
      <c r="AP980" s="110"/>
    </row>
    <row r="981" spans="1:42" ht="15" hidden="1" customHeight="1">
      <c r="A981" s="111" t="str">
        <f>'Sampling Data'!W973</f>
        <v/>
      </c>
      <c r="B981" s="112" t="str">
        <f>'Sampling Data'!A973</f>
        <v>CLEVELAND HEIGHTS -03-A</v>
      </c>
      <c r="C981" s="112">
        <f>'Sampling Data'!B973</f>
        <v>1</v>
      </c>
      <c r="D981" s="112">
        <f>'Sampling Data'!C973</f>
        <v>5</v>
      </c>
      <c r="E981" s="113">
        <f>'Sampling Data'!D973</f>
        <v>4</v>
      </c>
      <c r="F981" s="113">
        <f>'Sampling Data'!E973</f>
        <v>0</v>
      </c>
      <c r="G981" s="113">
        <f>'Sampling Data'!F973</f>
        <v>0</v>
      </c>
      <c r="H981" s="113">
        <f>'Sampling Data'!G973</f>
        <v>0</v>
      </c>
      <c r="I981" s="112">
        <f>'Sampling Data'!H973</f>
        <v>0</v>
      </c>
      <c r="J981" s="112">
        <f>'Sampling Data'!I973</f>
        <v>0</v>
      </c>
      <c r="K981" s="112">
        <f>'Sampling Data'!J973</f>
        <v>10</v>
      </c>
      <c r="L981" s="111">
        <f>'Sampling Data'!X973</f>
        <v>0</v>
      </c>
      <c r="M981" s="114"/>
      <c r="N981" s="114"/>
      <c r="O981" s="115"/>
      <c r="P981" s="115"/>
      <c r="Q981" s="116"/>
      <c r="R981" s="116"/>
      <c r="S981" s="111">
        <f>Audit[[#This Row],[Audit Losing Candidate]]-Audit[[#This Row],[Losing Candidate]]</f>
        <v>-1</v>
      </c>
      <c r="T981" s="111">
        <f>Audit[[#This Row],[Audit Winning Candidate]]-Audit[[#This Row],[Winning Candidate]]</f>
        <v>-5</v>
      </c>
      <c r="U981" s="111">
        <f>Audit[[#This Row],[Audit Candidate 3]]-Audit[[#This Row],[Candidate 3]]</f>
        <v>-4</v>
      </c>
      <c r="V981" s="111">
        <f>Audit[[#This Row],[Audit Candidate 4]]-Audit[[#This Row],[Candidate 4]]</f>
        <v>0</v>
      </c>
      <c r="W981" s="111">
        <f>Audit[[#This Row],[Audit Candidate 5]]-Audit[[#This Row],[Candidate 5]]</f>
        <v>0</v>
      </c>
      <c r="X981" s="111">
        <f>Audit[[#This Row],[Audit Candidate 6]]-Audit[[#This Row],[Candidate 6]]</f>
        <v>0</v>
      </c>
      <c r="Y981" s="111">
        <f>SUMIF(Audit[[#This Row],[Difference Loser]:[Difference Candidate 6]], "&gt;0")</f>
        <v>0</v>
      </c>
      <c r="Z981" s="111">
        <f>SUM(Audit[[#This Row],[Difference Loser]:[Difference Candidate 6]])</f>
        <v>-10</v>
      </c>
      <c r="AA981" s="111">
        <f>IF(Audit[[#This Row],[Times p Drawn - With Replacement]]&gt;0, IF(Audit[[#This Row],[Canceled Differences]]&lt;0, Audit[[#This Row],[Max Differences]]+ABS(Audit[[#This Row],[Canceled Differences]]), Audit[[#This Row],[Max Differences]]), 0)</f>
        <v>0</v>
      </c>
      <c r="AB981" s="111">
        <f>'Sampling Data'!P973</f>
        <v>8.5742283194512492E-4</v>
      </c>
      <c r="AC981" s="111">
        <f>IF(
      SUM(Audit[[#This Row],[Audit Losing Candidate]:[Audit Candidate 6]])
      &lt;&gt;0,
      (Audit[[#This Row],[Winning Candidate]]-Audit[[#This Row],[Losing Candidate]]-(Audit[[#This Row],[Audit Winning Candidate]]-Audit[[#This Row],[Audit Losing Candidate]]))/(Audit[[#Totals],[Winning Candidate]]-Audit[[#Totals],[Losing Candidate]]),
      0
)</f>
        <v>0</v>
      </c>
      <c r="AD9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1" s="111">
        <f>IF(Audit[[#This Row],[Max Relative Error (ep)]] = 0, 0, Audit[[#This Row],[Max Relative Error (ep)]]/Audit[[#This Row],[Error Bound (up) - Max. possible relative overstatement]])</f>
        <v>0</v>
      </c>
      <c r="AJ9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81" s="111">
        <f t="shared" si="15"/>
        <v>1</v>
      </c>
      <c r="AL981" s="111">
        <f>PRODUCT($AK$5:AK981)</f>
        <v>8.962823818226312E-2</v>
      </c>
      <c r="AM981" s="109">
        <f>1 - [K-M P Value]</f>
        <v>0.91037176181773694</v>
      </c>
      <c r="AN981" s="111" t="str">
        <f>IF(Audit[[#This Row],[K-M P Value]]&gt;1-'General Info'!$B$16,"Continue", "Stop")</f>
        <v>Stop</v>
      </c>
      <c r="AO981" s="110" t="b">
        <f>IF(Audit[[#This Row],[Status - Continue or stop audit]] = "Continue", TRUE, IF(AN980 = "Continue", TRUE, FALSE))</f>
        <v>0</v>
      </c>
      <c r="AP981" s="110"/>
    </row>
    <row r="982" spans="1:42" ht="15" hidden="1" customHeight="1">
      <c r="A982" s="111" t="str">
        <f>'Sampling Data'!W974</f>
        <v/>
      </c>
      <c r="B982" s="112" t="str">
        <f>'Sampling Data'!A974</f>
        <v>CLEVELAND HEIGHTS -03-A - ABS</v>
      </c>
      <c r="C982" s="112">
        <f>'Sampling Data'!B974</f>
        <v>0</v>
      </c>
      <c r="D982" s="112">
        <f>'Sampling Data'!C974</f>
        <v>0</v>
      </c>
      <c r="E982" s="113">
        <f>'Sampling Data'!D974</f>
        <v>0</v>
      </c>
      <c r="F982" s="113">
        <f>'Sampling Data'!E974</f>
        <v>1</v>
      </c>
      <c r="G982" s="113">
        <f>'Sampling Data'!F974</f>
        <v>0</v>
      </c>
      <c r="H982" s="113">
        <f>'Sampling Data'!G974</f>
        <v>0</v>
      </c>
      <c r="I982" s="112">
        <f>'Sampling Data'!H974</f>
        <v>0</v>
      </c>
      <c r="J982" s="112">
        <f>'Sampling Data'!I974</f>
        <v>0</v>
      </c>
      <c r="K982" s="112">
        <f>'Sampling Data'!J974</f>
        <v>1</v>
      </c>
      <c r="L982" s="111">
        <f>'Sampling Data'!X974</f>
        <v>0</v>
      </c>
      <c r="M982" s="114"/>
      <c r="N982" s="114"/>
      <c r="O982" s="115"/>
      <c r="P982" s="115"/>
      <c r="Q982" s="116"/>
      <c r="R982" s="116"/>
      <c r="S982" s="111">
        <f>Audit[[#This Row],[Audit Losing Candidate]]-Audit[[#This Row],[Losing Candidate]]</f>
        <v>0</v>
      </c>
      <c r="T982" s="111">
        <f>Audit[[#This Row],[Audit Winning Candidate]]-Audit[[#This Row],[Winning Candidate]]</f>
        <v>0</v>
      </c>
      <c r="U982" s="111">
        <f>Audit[[#This Row],[Audit Candidate 3]]-Audit[[#This Row],[Candidate 3]]</f>
        <v>0</v>
      </c>
      <c r="V982" s="111">
        <f>Audit[[#This Row],[Audit Candidate 4]]-Audit[[#This Row],[Candidate 4]]</f>
        <v>-1</v>
      </c>
      <c r="W982" s="111">
        <f>Audit[[#This Row],[Audit Candidate 5]]-Audit[[#This Row],[Candidate 5]]</f>
        <v>0</v>
      </c>
      <c r="X982" s="111">
        <f>Audit[[#This Row],[Audit Candidate 6]]-Audit[[#This Row],[Candidate 6]]</f>
        <v>0</v>
      </c>
      <c r="Y982" s="111">
        <f>SUMIF(Audit[[#This Row],[Difference Loser]:[Difference Candidate 6]], "&gt;0")</f>
        <v>0</v>
      </c>
      <c r="Z982" s="111">
        <f>SUM(Audit[[#This Row],[Difference Loser]:[Difference Candidate 6]])</f>
        <v>-1</v>
      </c>
      <c r="AA982" s="111">
        <f>IF(Audit[[#This Row],[Times p Drawn - With Replacement]]&gt;0, IF(Audit[[#This Row],[Canceled Differences]]&lt;0, Audit[[#This Row],[Max Differences]]+ABS(Audit[[#This Row],[Canceled Differences]]), Audit[[#This Row],[Max Differences]]), 0)</f>
        <v>0</v>
      </c>
      <c r="AB982" s="111">
        <f>'Sampling Data'!P974</f>
        <v>6.1244487996080352E-5</v>
      </c>
      <c r="AC982" s="111">
        <f>IF(
      SUM(Audit[[#This Row],[Audit Losing Candidate]:[Audit Candidate 6]])
      &lt;&gt;0,
      (Audit[[#This Row],[Winning Candidate]]-Audit[[#This Row],[Losing Candidate]]-(Audit[[#This Row],[Audit Winning Candidate]]-Audit[[#This Row],[Audit Losing Candidate]]))/(Audit[[#Totals],[Winning Candidate]]-Audit[[#Totals],[Losing Candidate]]),
      0
)</f>
        <v>0</v>
      </c>
      <c r="AD9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2" s="111">
        <f>IF(Audit[[#This Row],[Max Relative Error (ep)]] = 0, 0, Audit[[#This Row],[Max Relative Error (ep)]]/Audit[[#This Row],[Error Bound (up) - Max. possible relative overstatement]])</f>
        <v>0</v>
      </c>
      <c r="AJ9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82" s="111">
        <f t="shared" si="15"/>
        <v>1</v>
      </c>
      <c r="AL982" s="111">
        <f>PRODUCT($AK$5:AK982)</f>
        <v>8.962823818226312E-2</v>
      </c>
      <c r="AM982" s="109">
        <f>1 - [K-M P Value]</f>
        <v>0.91037176181773694</v>
      </c>
      <c r="AN982" s="111" t="str">
        <f>IF(Audit[[#This Row],[K-M P Value]]&gt;1-'General Info'!$B$16,"Continue", "Stop")</f>
        <v>Stop</v>
      </c>
      <c r="AO982" s="110" t="b">
        <f>IF(Audit[[#This Row],[Status - Continue or stop audit]] = "Continue", TRUE, IF(AN981 = "Continue", TRUE, FALSE))</f>
        <v>0</v>
      </c>
      <c r="AP982" s="110"/>
    </row>
    <row r="983" spans="1:42" ht="15" hidden="1" customHeight="1">
      <c r="A983" s="111" t="str">
        <f>'Sampling Data'!W975</f>
        <v/>
      </c>
      <c r="B983" s="112" t="str">
        <f>'Sampling Data'!A975</f>
        <v>CLEVELAND HEIGHTS -03-B</v>
      </c>
      <c r="C983" s="112">
        <f>'Sampling Data'!B975</f>
        <v>6</v>
      </c>
      <c r="D983" s="112">
        <f>'Sampling Data'!C975</f>
        <v>5</v>
      </c>
      <c r="E983" s="113">
        <f>'Sampling Data'!D975</f>
        <v>0</v>
      </c>
      <c r="F983" s="113">
        <f>'Sampling Data'!E975</f>
        <v>1</v>
      </c>
      <c r="G983" s="113">
        <f>'Sampling Data'!F975</f>
        <v>2</v>
      </c>
      <c r="H983" s="113">
        <f>'Sampling Data'!G975</f>
        <v>0</v>
      </c>
      <c r="I983" s="112">
        <f>'Sampling Data'!H975</f>
        <v>0</v>
      </c>
      <c r="J983" s="112">
        <f>'Sampling Data'!I975</f>
        <v>0</v>
      </c>
      <c r="K983" s="112">
        <f>'Sampling Data'!J975</f>
        <v>14</v>
      </c>
      <c r="L983" s="111">
        <f>'Sampling Data'!X975</f>
        <v>0</v>
      </c>
      <c r="M983" s="114"/>
      <c r="N983" s="114"/>
      <c r="O983" s="115"/>
      <c r="P983" s="115"/>
      <c r="Q983" s="116"/>
      <c r="R983" s="116"/>
      <c r="S983" s="111">
        <f>Audit[[#This Row],[Audit Losing Candidate]]-Audit[[#This Row],[Losing Candidate]]</f>
        <v>-6</v>
      </c>
      <c r="T983" s="111">
        <f>Audit[[#This Row],[Audit Winning Candidate]]-Audit[[#This Row],[Winning Candidate]]</f>
        <v>-5</v>
      </c>
      <c r="U983" s="111">
        <f>Audit[[#This Row],[Audit Candidate 3]]-Audit[[#This Row],[Candidate 3]]</f>
        <v>0</v>
      </c>
      <c r="V983" s="111">
        <f>Audit[[#This Row],[Audit Candidate 4]]-Audit[[#This Row],[Candidate 4]]</f>
        <v>-1</v>
      </c>
      <c r="W983" s="111">
        <f>Audit[[#This Row],[Audit Candidate 5]]-Audit[[#This Row],[Candidate 5]]</f>
        <v>-2</v>
      </c>
      <c r="X983" s="111">
        <f>Audit[[#This Row],[Audit Candidate 6]]-Audit[[#This Row],[Candidate 6]]</f>
        <v>0</v>
      </c>
      <c r="Y983" s="111">
        <f>SUMIF(Audit[[#This Row],[Difference Loser]:[Difference Candidate 6]], "&gt;0")</f>
        <v>0</v>
      </c>
      <c r="Z983" s="111">
        <f>SUM(Audit[[#This Row],[Difference Loser]:[Difference Candidate 6]])</f>
        <v>-14</v>
      </c>
      <c r="AA983" s="111">
        <f>IF(Audit[[#This Row],[Times p Drawn - With Replacement]]&gt;0, IF(Audit[[#This Row],[Canceled Differences]]&lt;0, Audit[[#This Row],[Max Differences]]+ABS(Audit[[#This Row],[Canceled Differences]]), Audit[[#This Row],[Max Differences]]), 0)</f>
        <v>0</v>
      </c>
      <c r="AB983" s="111">
        <f>'Sampling Data'!P975</f>
        <v>7.9617834394904463E-4</v>
      </c>
      <c r="AC983" s="111">
        <f>IF(
      SUM(Audit[[#This Row],[Audit Losing Candidate]:[Audit Candidate 6]])
      &lt;&gt;0,
      (Audit[[#This Row],[Winning Candidate]]-Audit[[#This Row],[Losing Candidate]]-(Audit[[#This Row],[Audit Winning Candidate]]-Audit[[#This Row],[Audit Losing Candidate]]))/(Audit[[#Totals],[Winning Candidate]]-Audit[[#Totals],[Losing Candidate]]),
      0
)</f>
        <v>0</v>
      </c>
      <c r="AD9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3" s="111">
        <f>IF(Audit[[#This Row],[Max Relative Error (ep)]] = 0, 0, Audit[[#This Row],[Max Relative Error (ep)]]/Audit[[#This Row],[Error Bound (up) - Max. possible relative overstatement]])</f>
        <v>0</v>
      </c>
      <c r="AJ9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83" s="111">
        <f t="shared" si="15"/>
        <v>1</v>
      </c>
      <c r="AL983" s="111">
        <f>PRODUCT($AK$5:AK983)</f>
        <v>8.962823818226312E-2</v>
      </c>
      <c r="AM983" s="109">
        <f>1 - [K-M P Value]</f>
        <v>0.91037176181773694</v>
      </c>
      <c r="AN983" s="111" t="str">
        <f>IF(Audit[[#This Row],[K-M P Value]]&gt;1-'General Info'!$B$16,"Continue", "Stop")</f>
        <v>Stop</v>
      </c>
      <c r="AO983" s="110" t="b">
        <f>IF(Audit[[#This Row],[Status - Continue or stop audit]] = "Continue", TRUE, IF(AN982 = "Continue", TRUE, FALSE))</f>
        <v>0</v>
      </c>
      <c r="AP983" s="110"/>
    </row>
    <row r="984" spans="1:42" ht="15" hidden="1" customHeight="1">
      <c r="A984" s="111" t="str">
        <f>'Sampling Data'!W976</f>
        <v/>
      </c>
      <c r="B984" s="112" t="str">
        <f>'Sampling Data'!A976</f>
        <v>CLEVELAND HEIGHTS -03-B - ABS</v>
      </c>
      <c r="C984" s="112">
        <f>'Sampling Data'!B976</f>
        <v>0</v>
      </c>
      <c r="D984" s="112">
        <f>'Sampling Data'!C976</f>
        <v>5</v>
      </c>
      <c r="E984" s="113">
        <f>'Sampling Data'!D976</f>
        <v>0</v>
      </c>
      <c r="F984" s="113">
        <f>'Sampling Data'!E976</f>
        <v>0</v>
      </c>
      <c r="G984" s="113">
        <f>'Sampling Data'!F976</f>
        <v>0</v>
      </c>
      <c r="H984" s="113">
        <f>'Sampling Data'!G976</f>
        <v>0</v>
      </c>
      <c r="I984" s="112">
        <f>'Sampling Data'!H976</f>
        <v>0</v>
      </c>
      <c r="J984" s="112">
        <f>'Sampling Data'!I976</f>
        <v>0</v>
      </c>
      <c r="K984" s="112">
        <f>'Sampling Data'!J976</f>
        <v>5</v>
      </c>
      <c r="L984" s="111">
        <f>'Sampling Data'!X976</f>
        <v>0</v>
      </c>
      <c r="M984" s="114"/>
      <c r="N984" s="114"/>
      <c r="O984" s="115"/>
      <c r="P984" s="115"/>
      <c r="Q984" s="116"/>
      <c r="R984" s="116"/>
      <c r="S984" s="111">
        <f>Audit[[#This Row],[Audit Losing Candidate]]-Audit[[#This Row],[Losing Candidate]]</f>
        <v>0</v>
      </c>
      <c r="T984" s="111">
        <f>Audit[[#This Row],[Audit Winning Candidate]]-Audit[[#This Row],[Winning Candidate]]</f>
        <v>-5</v>
      </c>
      <c r="U984" s="111">
        <f>Audit[[#This Row],[Audit Candidate 3]]-Audit[[#This Row],[Candidate 3]]</f>
        <v>0</v>
      </c>
      <c r="V984" s="111">
        <f>Audit[[#This Row],[Audit Candidate 4]]-Audit[[#This Row],[Candidate 4]]</f>
        <v>0</v>
      </c>
      <c r="W984" s="111">
        <f>Audit[[#This Row],[Audit Candidate 5]]-Audit[[#This Row],[Candidate 5]]</f>
        <v>0</v>
      </c>
      <c r="X984" s="111">
        <f>Audit[[#This Row],[Audit Candidate 6]]-Audit[[#This Row],[Candidate 6]]</f>
        <v>0</v>
      </c>
      <c r="Y984" s="111">
        <f>SUMIF(Audit[[#This Row],[Difference Loser]:[Difference Candidate 6]], "&gt;0")</f>
        <v>0</v>
      </c>
      <c r="Z984" s="111">
        <f>SUM(Audit[[#This Row],[Difference Loser]:[Difference Candidate 6]])</f>
        <v>-5</v>
      </c>
      <c r="AA984" s="111">
        <f>IF(Audit[[#This Row],[Times p Drawn - With Replacement]]&gt;0, IF(Audit[[#This Row],[Canceled Differences]]&lt;0, Audit[[#This Row],[Max Differences]]+ABS(Audit[[#This Row],[Canceled Differences]]), Audit[[#This Row],[Max Differences]]), 0)</f>
        <v>0</v>
      </c>
      <c r="AB984" s="111">
        <f>'Sampling Data'!P976</f>
        <v>6.1244487996080352E-4</v>
      </c>
      <c r="AC984" s="111">
        <f>IF(
      SUM(Audit[[#This Row],[Audit Losing Candidate]:[Audit Candidate 6]])
      &lt;&gt;0,
      (Audit[[#This Row],[Winning Candidate]]-Audit[[#This Row],[Losing Candidate]]-(Audit[[#This Row],[Audit Winning Candidate]]-Audit[[#This Row],[Audit Losing Candidate]]))/(Audit[[#Totals],[Winning Candidate]]-Audit[[#Totals],[Losing Candidate]]),
      0
)</f>
        <v>0</v>
      </c>
      <c r="AD9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4" s="111">
        <f>IF(Audit[[#This Row],[Max Relative Error (ep)]] = 0, 0, Audit[[#This Row],[Max Relative Error (ep)]]/Audit[[#This Row],[Error Bound (up) - Max. possible relative overstatement]])</f>
        <v>0</v>
      </c>
      <c r="AJ9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84" s="111">
        <f t="shared" si="15"/>
        <v>1</v>
      </c>
      <c r="AL984" s="111">
        <f>PRODUCT($AK$5:AK984)</f>
        <v>8.962823818226312E-2</v>
      </c>
      <c r="AM984" s="109">
        <f>1 - [K-M P Value]</f>
        <v>0.91037176181773694</v>
      </c>
      <c r="AN984" s="111" t="str">
        <f>IF(Audit[[#This Row],[K-M P Value]]&gt;1-'General Info'!$B$16,"Continue", "Stop")</f>
        <v>Stop</v>
      </c>
      <c r="AO984" s="110" t="b">
        <f>IF(Audit[[#This Row],[Status - Continue or stop audit]] = "Continue", TRUE, IF(AN983 = "Continue", TRUE, FALSE))</f>
        <v>0</v>
      </c>
      <c r="AP984" s="110"/>
    </row>
    <row r="985" spans="1:42" ht="15" hidden="1" customHeight="1">
      <c r="A985" s="111" t="str">
        <f>'Sampling Data'!W977</f>
        <v/>
      </c>
      <c r="B985" s="112" t="str">
        <f>'Sampling Data'!A977</f>
        <v>CLEVELAND HEIGHTS -03-C</v>
      </c>
      <c r="C985" s="112">
        <f>'Sampling Data'!B977</f>
        <v>6</v>
      </c>
      <c r="D985" s="112">
        <f>'Sampling Data'!C977</f>
        <v>13</v>
      </c>
      <c r="E985" s="113">
        <f>'Sampling Data'!D977</f>
        <v>0</v>
      </c>
      <c r="F985" s="113">
        <f>'Sampling Data'!E977</f>
        <v>3</v>
      </c>
      <c r="G985" s="113">
        <f>'Sampling Data'!F977</f>
        <v>0</v>
      </c>
      <c r="H985" s="113">
        <f>'Sampling Data'!G977</f>
        <v>0</v>
      </c>
      <c r="I985" s="112">
        <f>'Sampling Data'!H977</f>
        <v>0</v>
      </c>
      <c r="J985" s="112">
        <f>'Sampling Data'!I977</f>
        <v>1</v>
      </c>
      <c r="K985" s="112">
        <f>'Sampling Data'!J977</f>
        <v>23</v>
      </c>
      <c r="L985" s="111">
        <f>'Sampling Data'!X977</f>
        <v>0</v>
      </c>
      <c r="M985" s="114"/>
      <c r="N985" s="114"/>
      <c r="O985" s="115"/>
      <c r="P985" s="115"/>
      <c r="Q985" s="116"/>
      <c r="R985" s="116"/>
      <c r="S985" s="111">
        <f>Audit[[#This Row],[Audit Losing Candidate]]-Audit[[#This Row],[Losing Candidate]]</f>
        <v>-6</v>
      </c>
      <c r="T985" s="111">
        <f>Audit[[#This Row],[Audit Winning Candidate]]-Audit[[#This Row],[Winning Candidate]]</f>
        <v>-13</v>
      </c>
      <c r="U985" s="111">
        <f>Audit[[#This Row],[Audit Candidate 3]]-Audit[[#This Row],[Candidate 3]]</f>
        <v>0</v>
      </c>
      <c r="V985" s="111">
        <f>Audit[[#This Row],[Audit Candidate 4]]-Audit[[#This Row],[Candidate 4]]</f>
        <v>-3</v>
      </c>
      <c r="W985" s="111">
        <f>Audit[[#This Row],[Audit Candidate 5]]-Audit[[#This Row],[Candidate 5]]</f>
        <v>0</v>
      </c>
      <c r="X985" s="111">
        <f>Audit[[#This Row],[Audit Candidate 6]]-Audit[[#This Row],[Candidate 6]]</f>
        <v>0</v>
      </c>
      <c r="Y985" s="111">
        <f>SUMIF(Audit[[#This Row],[Difference Loser]:[Difference Candidate 6]], "&gt;0")</f>
        <v>0</v>
      </c>
      <c r="Z985" s="111">
        <f>SUM(Audit[[#This Row],[Difference Loser]:[Difference Candidate 6]])</f>
        <v>-22</v>
      </c>
      <c r="AA985" s="111">
        <f>IF(Audit[[#This Row],[Times p Drawn - With Replacement]]&gt;0, IF(Audit[[#This Row],[Canceled Differences]]&lt;0, Audit[[#This Row],[Max Differences]]+ABS(Audit[[#This Row],[Canceled Differences]]), Audit[[#This Row],[Max Differences]]), 0)</f>
        <v>0</v>
      </c>
      <c r="AB985" s="111">
        <f>'Sampling Data'!P977</f>
        <v>1.8373346398824107E-3</v>
      </c>
      <c r="AC985" s="111">
        <f>IF(
      SUM(Audit[[#This Row],[Audit Losing Candidate]:[Audit Candidate 6]])
      &lt;&gt;0,
      (Audit[[#This Row],[Winning Candidate]]-Audit[[#This Row],[Losing Candidate]]-(Audit[[#This Row],[Audit Winning Candidate]]-Audit[[#This Row],[Audit Losing Candidate]]))/(Audit[[#Totals],[Winning Candidate]]-Audit[[#Totals],[Losing Candidate]]),
      0
)</f>
        <v>0</v>
      </c>
      <c r="AD9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5" s="111">
        <f>IF(Audit[[#This Row],[Max Relative Error (ep)]] = 0, 0, Audit[[#This Row],[Max Relative Error (ep)]]/Audit[[#This Row],[Error Bound (up) - Max. possible relative overstatement]])</f>
        <v>0</v>
      </c>
      <c r="AJ9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85" s="111">
        <f t="shared" si="15"/>
        <v>1</v>
      </c>
      <c r="AL985" s="111">
        <f>PRODUCT($AK$5:AK985)</f>
        <v>8.962823818226312E-2</v>
      </c>
      <c r="AM985" s="109">
        <f>1 - [K-M P Value]</f>
        <v>0.91037176181773694</v>
      </c>
      <c r="AN985" s="111" t="str">
        <f>IF(Audit[[#This Row],[K-M P Value]]&gt;1-'General Info'!$B$16,"Continue", "Stop")</f>
        <v>Stop</v>
      </c>
      <c r="AO985" s="110" t="b">
        <f>IF(Audit[[#This Row],[Status - Continue or stop audit]] = "Continue", TRUE, IF(AN984 = "Continue", TRUE, FALSE))</f>
        <v>0</v>
      </c>
      <c r="AP985" s="110"/>
    </row>
    <row r="986" spans="1:42" ht="15" hidden="1" customHeight="1">
      <c r="A986" s="111" t="str">
        <f>'Sampling Data'!W978</f>
        <v/>
      </c>
      <c r="B986" s="112" t="str">
        <f>'Sampling Data'!A978</f>
        <v>CLEVELAND HEIGHTS -03-C - ABS</v>
      </c>
      <c r="C986" s="112">
        <f>'Sampling Data'!B978</f>
        <v>4</v>
      </c>
      <c r="D986" s="112">
        <f>'Sampling Data'!C978</f>
        <v>1</v>
      </c>
      <c r="E986" s="113">
        <f>'Sampling Data'!D978</f>
        <v>0</v>
      </c>
      <c r="F986" s="113">
        <f>'Sampling Data'!E978</f>
        <v>4</v>
      </c>
      <c r="G986" s="113">
        <f>'Sampling Data'!F978</f>
        <v>1</v>
      </c>
      <c r="H986" s="113">
        <f>'Sampling Data'!G978</f>
        <v>0</v>
      </c>
      <c r="I986" s="112">
        <f>'Sampling Data'!H978</f>
        <v>0</v>
      </c>
      <c r="J986" s="112">
        <f>'Sampling Data'!I978</f>
        <v>0</v>
      </c>
      <c r="K986" s="112">
        <f>'Sampling Data'!J978</f>
        <v>10</v>
      </c>
      <c r="L986" s="111">
        <f>'Sampling Data'!X978</f>
        <v>0</v>
      </c>
      <c r="M986" s="114"/>
      <c r="N986" s="114"/>
      <c r="O986" s="115"/>
      <c r="P986" s="115"/>
      <c r="Q986" s="116"/>
      <c r="R986" s="116"/>
      <c r="S986" s="111">
        <f>Audit[[#This Row],[Audit Losing Candidate]]-Audit[[#This Row],[Losing Candidate]]</f>
        <v>-4</v>
      </c>
      <c r="T986" s="111">
        <f>Audit[[#This Row],[Audit Winning Candidate]]-Audit[[#This Row],[Winning Candidate]]</f>
        <v>-1</v>
      </c>
      <c r="U986" s="111">
        <f>Audit[[#This Row],[Audit Candidate 3]]-Audit[[#This Row],[Candidate 3]]</f>
        <v>0</v>
      </c>
      <c r="V986" s="111">
        <f>Audit[[#This Row],[Audit Candidate 4]]-Audit[[#This Row],[Candidate 4]]</f>
        <v>-4</v>
      </c>
      <c r="W986" s="111">
        <f>Audit[[#This Row],[Audit Candidate 5]]-Audit[[#This Row],[Candidate 5]]</f>
        <v>-1</v>
      </c>
      <c r="X986" s="111">
        <f>Audit[[#This Row],[Audit Candidate 6]]-Audit[[#This Row],[Candidate 6]]</f>
        <v>0</v>
      </c>
      <c r="Y986" s="111">
        <f>SUMIF(Audit[[#This Row],[Difference Loser]:[Difference Candidate 6]], "&gt;0")</f>
        <v>0</v>
      </c>
      <c r="Z986" s="111">
        <f>SUM(Audit[[#This Row],[Difference Loser]:[Difference Candidate 6]])</f>
        <v>-10</v>
      </c>
      <c r="AA986" s="111">
        <f>IF(Audit[[#This Row],[Times p Drawn - With Replacement]]&gt;0, IF(Audit[[#This Row],[Canceled Differences]]&lt;0, Audit[[#This Row],[Max Differences]]+ABS(Audit[[#This Row],[Canceled Differences]]), Audit[[#This Row],[Max Differences]]), 0)</f>
        <v>0</v>
      </c>
      <c r="AB986" s="111">
        <f>'Sampling Data'!P978</f>
        <v>4.2871141597256246E-4</v>
      </c>
      <c r="AC986" s="111">
        <f>IF(
      SUM(Audit[[#This Row],[Audit Losing Candidate]:[Audit Candidate 6]])
      &lt;&gt;0,
      (Audit[[#This Row],[Winning Candidate]]-Audit[[#This Row],[Losing Candidate]]-(Audit[[#This Row],[Audit Winning Candidate]]-Audit[[#This Row],[Audit Losing Candidate]]))/(Audit[[#Totals],[Winning Candidate]]-Audit[[#Totals],[Losing Candidate]]),
      0
)</f>
        <v>0</v>
      </c>
      <c r="AD9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6" s="111">
        <f>IF(Audit[[#This Row],[Max Relative Error (ep)]] = 0, 0, Audit[[#This Row],[Max Relative Error (ep)]]/Audit[[#This Row],[Error Bound (up) - Max. possible relative overstatement]])</f>
        <v>0</v>
      </c>
      <c r="AJ9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86" s="111">
        <f t="shared" si="15"/>
        <v>1</v>
      </c>
      <c r="AL986" s="111">
        <f>PRODUCT($AK$5:AK986)</f>
        <v>8.962823818226312E-2</v>
      </c>
      <c r="AM986" s="109">
        <f>1 - [K-M P Value]</f>
        <v>0.91037176181773694</v>
      </c>
      <c r="AN986" s="111" t="str">
        <f>IF(Audit[[#This Row],[K-M P Value]]&gt;1-'General Info'!$B$16,"Continue", "Stop")</f>
        <v>Stop</v>
      </c>
      <c r="AO986" s="110" t="b">
        <f>IF(Audit[[#This Row],[Status - Continue or stop audit]] = "Continue", TRUE, IF(AN985 = "Continue", TRUE, FALSE))</f>
        <v>0</v>
      </c>
      <c r="AP986" s="110"/>
    </row>
    <row r="987" spans="1:42" ht="15" hidden="1" customHeight="1">
      <c r="A987" s="111" t="str">
        <f>'Sampling Data'!W979</f>
        <v/>
      </c>
      <c r="B987" s="112" t="str">
        <f>'Sampling Data'!A979</f>
        <v>CLEVELAND HEIGHTS -03-D</v>
      </c>
      <c r="C987" s="112">
        <f>'Sampling Data'!B979</f>
        <v>10</v>
      </c>
      <c r="D987" s="112">
        <f>'Sampling Data'!C979</f>
        <v>8</v>
      </c>
      <c r="E987" s="113">
        <f>'Sampling Data'!D979</f>
        <v>3</v>
      </c>
      <c r="F987" s="113">
        <f>'Sampling Data'!E979</f>
        <v>6</v>
      </c>
      <c r="G987" s="113">
        <f>'Sampling Data'!F979</f>
        <v>1</v>
      </c>
      <c r="H987" s="113">
        <f>'Sampling Data'!G979</f>
        <v>0</v>
      </c>
      <c r="I987" s="112">
        <f>'Sampling Data'!H979</f>
        <v>0</v>
      </c>
      <c r="J987" s="112">
        <f>'Sampling Data'!I979</f>
        <v>0</v>
      </c>
      <c r="K987" s="112">
        <f>'Sampling Data'!J979</f>
        <v>28</v>
      </c>
      <c r="L987" s="111">
        <f>'Sampling Data'!X979</f>
        <v>0</v>
      </c>
      <c r="M987" s="114"/>
      <c r="N987" s="114"/>
      <c r="O987" s="115"/>
      <c r="P987" s="115"/>
      <c r="Q987" s="116"/>
      <c r="R987" s="116"/>
      <c r="S987" s="111">
        <f>Audit[[#This Row],[Audit Losing Candidate]]-Audit[[#This Row],[Losing Candidate]]</f>
        <v>-10</v>
      </c>
      <c r="T987" s="111">
        <f>Audit[[#This Row],[Audit Winning Candidate]]-Audit[[#This Row],[Winning Candidate]]</f>
        <v>-8</v>
      </c>
      <c r="U987" s="111">
        <f>Audit[[#This Row],[Audit Candidate 3]]-Audit[[#This Row],[Candidate 3]]</f>
        <v>-3</v>
      </c>
      <c r="V987" s="111">
        <f>Audit[[#This Row],[Audit Candidate 4]]-Audit[[#This Row],[Candidate 4]]</f>
        <v>-6</v>
      </c>
      <c r="W987" s="111">
        <f>Audit[[#This Row],[Audit Candidate 5]]-Audit[[#This Row],[Candidate 5]]</f>
        <v>-1</v>
      </c>
      <c r="X987" s="111">
        <f>Audit[[#This Row],[Audit Candidate 6]]-Audit[[#This Row],[Candidate 6]]</f>
        <v>0</v>
      </c>
      <c r="Y987" s="111">
        <f>SUMIF(Audit[[#This Row],[Difference Loser]:[Difference Candidate 6]], "&gt;0")</f>
        <v>0</v>
      </c>
      <c r="Z987" s="111">
        <f>SUM(Audit[[#This Row],[Difference Loser]:[Difference Candidate 6]])</f>
        <v>-28</v>
      </c>
      <c r="AA987" s="111">
        <f>IF(Audit[[#This Row],[Times p Drawn - With Replacement]]&gt;0, IF(Audit[[#This Row],[Canceled Differences]]&lt;0, Audit[[#This Row],[Max Differences]]+ABS(Audit[[#This Row],[Canceled Differences]]), Audit[[#This Row],[Max Differences]]), 0)</f>
        <v>0</v>
      </c>
      <c r="AB987" s="111">
        <f>'Sampling Data'!P979</f>
        <v>1.5923566878980893E-3</v>
      </c>
      <c r="AC987" s="111">
        <f>IF(
      SUM(Audit[[#This Row],[Audit Losing Candidate]:[Audit Candidate 6]])
      &lt;&gt;0,
      (Audit[[#This Row],[Winning Candidate]]-Audit[[#This Row],[Losing Candidate]]-(Audit[[#This Row],[Audit Winning Candidate]]-Audit[[#This Row],[Audit Losing Candidate]]))/(Audit[[#Totals],[Winning Candidate]]-Audit[[#Totals],[Losing Candidate]]),
      0
)</f>
        <v>0</v>
      </c>
      <c r="AD9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7" s="111">
        <f>IF(Audit[[#This Row],[Max Relative Error (ep)]] = 0, 0, Audit[[#This Row],[Max Relative Error (ep)]]/Audit[[#This Row],[Error Bound (up) - Max. possible relative overstatement]])</f>
        <v>0</v>
      </c>
      <c r="AJ9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87" s="111">
        <f t="shared" si="15"/>
        <v>1</v>
      </c>
      <c r="AL987" s="111">
        <f>PRODUCT($AK$5:AK987)</f>
        <v>8.962823818226312E-2</v>
      </c>
      <c r="AM987" s="109">
        <f>1 - [K-M P Value]</f>
        <v>0.91037176181773694</v>
      </c>
      <c r="AN987" s="111" t="str">
        <f>IF(Audit[[#This Row],[K-M P Value]]&gt;1-'General Info'!$B$16,"Continue", "Stop")</f>
        <v>Stop</v>
      </c>
      <c r="AO987" s="110" t="b">
        <f>IF(Audit[[#This Row],[Status - Continue or stop audit]] = "Continue", TRUE, IF(AN986 = "Continue", TRUE, FALSE))</f>
        <v>0</v>
      </c>
      <c r="AP987" s="110"/>
    </row>
    <row r="988" spans="1:42" ht="15" hidden="1" customHeight="1">
      <c r="A988" s="111" t="str">
        <f>'Sampling Data'!W980</f>
        <v/>
      </c>
      <c r="B988" s="112" t="str">
        <f>'Sampling Data'!A980</f>
        <v>CLEVELAND HEIGHTS -03-D - ABS</v>
      </c>
      <c r="C988" s="112">
        <f>'Sampling Data'!B980</f>
        <v>6</v>
      </c>
      <c r="D988" s="112">
        <f>'Sampling Data'!C980</f>
        <v>4</v>
      </c>
      <c r="E988" s="113">
        <f>'Sampling Data'!D980</f>
        <v>3</v>
      </c>
      <c r="F988" s="113">
        <f>'Sampling Data'!E980</f>
        <v>0</v>
      </c>
      <c r="G988" s="113">
        <f>'Sampling Data'!F980</f>
        <v>0</v>
      </c>
      <c r="H988" s="113">
        <f>'Sampling Data'!G980</f>
        <v>0</v>
      </c>
      <c r="I988" s="112">
        <f>'Sampling Data'!H980</f>
        <v>0</v>
      </c>
      <c r="J988" s="112">
        <f>'Sampling Data'!I980</f>
        <v>0</v>
      </c>
      <c r="K988" s="112">
        <f>'Sampling Data'!J980</f>
        <v>13</v>
      </c>
      <c r="L988" s="111">
        <f>'Sampling Data'!X980</f>
        <v>0</v>
      </c>
      <c r="M988" s="114"/>
      <c r="N988" s="114"/>
      <c r="O988" s="115"/>
      <c r="P988" s="115"/>
      <c r="Q988" s="116"/>
      <c r="R988" s="116"/>
      <c r="S988" s="111">
        <f>Audit[[#This Row],[Audit Losing Candidate]]-Audit[[#This Row],[Losing Candidate]]</f>
        <v>-6</v>
      </c>
      <c r="T988" s="111">
        <f>Audit[[#This Row],[Audit Winning Candidate]]-Audit[[#This Row],[Winning Candidate]]</f>
        <v>-4</v>
      </c>
      <c r="U988" s="111">
        <f>Audit[[#This Row],[Audit Candidate 3]]-Audit[[#This Row],[Candidate 3]]</f>
        <v>-3</v>
      </c>
      <c r="V988" s="111">
        <f>Audit[[#This Row],[Audit Candidate 4]]-Audit[[#This Row],[Candidate 4]]</f>
        <v>0</v>
      </c>
      <c r="W988" s="111">
        <f>Audit[[#This Row],[Audit Candidate 5]]-Audit[[#This Row],[Candidate 5]]</f>
        <v>0</v>
      </c>
      <c r="X988" s="111">
        <f>Audit[[#This Row],[Audit Candidate 6]]-Audit[[#This Row],[Candidate 6]]</f>
        <v>0</v>
      </c>
      <c r="Y988" s="111">
        <f>SUMIF(Audit[[#This Row],[Difference Loser]:[Difference Candidate 6]], "&gt;0")</f>
        <v>0</v>
      </c>
      <c r="Z988" s="111">
        <f>SUM(Audit[[#This Row],[Difference Loser]:[Difference Candidate 6]])</f>
        <v>-13</v>
      </c>
      <c r="AA988" s="111">
        <f>IF(Audit[[#This Row],[Times p Drawn - With Replacement]]&gt;0, IF(Audit[[#This Row],[Canceled Differences]]&lt;0, Audit[[#This Row],[Max Differences]]+ABS(Audit[[#This Row],[Canceled Differences]]), Audit[[#This Row],[Max Differences]]), 0)</f>
        <v>0</v>
      </c>
      <c r="AB988" s="111">
        <f>'Sampling Data'!P980</f>
        <v>6.7368936795688392E-4</v>
      </c>
      <c r="AC988" s="111">
        <f>IF(
      SUM(Audit[[#This Row],[Audit Losing Candidate]:[Audit Candidate 6]])
      &lt;&gt;0,
      (Audit[[#This Row],[Winning Candidate]]-Audit[[#This Row],[Losing Candidate]]-(Audit[[#This Row],[Audit Winning Candidate]]-Audit[[#This Row],[Audit Losing Candidate]]))/(Audit[[#Totals],[Winning Candidate]]-Audit[[#Totals],[Losing Candidate]]),
      0
)</f>
        <v>0</v>
      </c>
      <c r="AD9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8" s="111">
        <f>IF(Audit[[#This Row],[Max Relative Error (ep)]] = 0, 0, Audit[[#This Row],[Max Relative Error (ep)]]/Audit[[#This Row],[Error Bound (up) - Max. possible relative overstatement]])</f>
        <v>0</v>
      </c>
      <c r="AJ9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88" s="111">
        <f t="shared" si="15"/>
        <v>1</v>
      </c>
      <c r="AL988" s="111">
        <f>PRODUCT($AK$5:AK988)</f>
        <v>8.962823818226312E-2</v>
      </c>
      <c r="AM988" s="109">
        <f>1 - [K-M P Value]</f>
        <v>0.91037176181773694</v>
      </c>
      <c r="AN988" s="111" t="str">
        <f>IF(Audit[[#This Row],[K-M P Value]]&gt;1-'General Info'!$B$16,"Continue", "Stop")</f>
        <v>Stop</v>
      </c>
      <c r="AO988" s="110" t="b">
        <f>IF(Audit[[#This Row],[Status - Continue or stop audit]] = "Continue", TRUE, IF(AN987 = "Continue", TRUE, FALSE))</f>
        <v>0</v>
      </c>
      <c r="AP988" s="110"/>
    </row>
    <row r="989" spans="1:42" ht="15" hidden="1" customHeight="1">
      <c r="A989" s="111" t="str">
        <f>'Sampling Data'!W981</f>
        <v/>
      </c>
      <c r="B989" s="112" t="str">
        <f>'Sampling Data'!A981</f>
        <v>CLEVELAND HEIGHTS -03-E</v>
      </c>
      <c r="C989" s="112">
        <f>'Sampling Data'!B981</f>
        <v>9</v>
      </c>
      <c r="D989" s="112">
        <f>'Sampling Data'!C981</f>
        <v>14</v>
      </c>
      <c r="E989" s="113">
        <f>'Sampling Data'!D981</f>
        <v>5</v>
      </c>
      <c r="F989" s="113">
        <f>'Sampling Data'!E981</f>
        <v>5</v>
      </c>
      <c r="G989" s="113">
        <f>'Sampling Data'!F981</f>
        <v>0</v>
      </c>
      <c r="H989" s="113">
        <f>'Sampling Data'!G981</f>
        <v>0</v>
      </c>
      <c r="I989" s="112">
        <f>'Sampling Data'!H981</f>
        <v>0</v>
      </c>
      <c r="J989" s="112">
        <f>'Sampling Data'!I981</f>
        <v>0</v>
      </c>
      <c r="K989" s="112">
        <f>'Sampling Data'!J981</f>
        <v>33</v>
      </c>
      <c r="L989" s="111">
        <f>'Sampling Data'!X981</f>
        <v>0</v>
      </c>
      <c r="M989" s="114"/>
      <c r="N989" s="114"/>
      <c r="O989" s="115"/>
      <c r="P989" s="115"/>
      <c r="Q989" s="116"/>
      <c r="R989" s="116"/>
      <c r="S989" s="111">
        <f>Audit[[#This Row],[Audit Losing Candidate]]-Audit[[#This Row],[Losing Candidate]]</f>
        <v>-9</v>
      </c>
      <c r="T989" s="111">
        <f>Audit[[#This Row],[Audit Winning Candidate]]-Audit[[#This Row],[Winning Candidate]]</f>
        <v>-14</v>
      </c>
      <c r="U989" s="111">
        <f>Audit[[#This Row],[Audit Candidate 3]]-Audit[[#This Row],[Candidate 3]]</f>
        <v>-5</v>
      </c>
      <c r="V989" s="111">
        <f>Audit[[#This Row],[Audit Candidate 4]]-Audit[[#This Row],[Candidate 4]]</f>
        <v>-5</v>
      </c>
      <c r="W989" s="111">
        <f>Audit[[#This Row],[Audit Candidate 5]]-Audit[[#This Row],[Candidate 5]]</f>
        <v>0</v>
      </c>
      <c r="X989" s="111">
        <f>Audit[[#This Row],[Audit Candidate 6]]-Audit[[#This Row],[Candidate 6]]</f>
        <v>0</v>
      </c>
      <c r="Y989" s="111">
        <f>SUMIF(Audit[[#This Row],[Difference Loser]:[Difference Candidate 6]], "&gt;0")</f>
        <v>0</v>
      </c>
      <c r="Z989" s="111">
        <f>SUM(Audit[[#This Row],[Difference Loser]:[Difference Candidate 6]])</f>
        <v>-33</v>
      </c>
      <c r="AA989" s="111">
        <f>IF(Audit[[#This Row],[Times p Drawn - With Replacement]]&gt;0, IF(Audit[[#This Row],[Canceled Differences]]&lt;0, Audit[[#This Row],[Max Differences]]+ABS(Audit[[#This Row],[Canceled Differences]]), Audit[[#This Row],[Max Differences]]), 0)</f>
        <v>0</v>
      </c>
      <c r="AB989" s="111">
        <f>'Sampling Data'!P981</f>
        <v>2.3272905438510533E-3</v>
      </c>
      <c r="AC989" s="111">
        <f>IF(
      SUM(Audit[[#This Row],[Audit Losing Candidate]:[Audit Candidate 6]])
      &lt;&gt;0,
      (Audit[[#This Row],[Winning Candidate]]-Audit[[#This Row],[Losing Candidate]]-(Audit[[#This Row],[Audit Winning Candidate]]-Audit[[#This Row],[Audit Losing Candidate]]))/(Audit[[#Totals],[Winning Candidate]]-Audit[[#Totals],[Losing Candidate]]),
      0
)</f>
        <v>0</v>
      </c>
      <c r="AD9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9" s="111">
        <f>IF(Audit[[#This Row],[Max Relative Error (ep)]] = 0, 0, Audit[[#This Row],[Max Relative Error (ep)]]/Audit[[#This Row],[Error Bound (up) - Max. possible relative overstatement]])</f>
        <v>0</v>
      </c>
      <c r="AJ9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89" s="111">
        <f t="shared" si="15"/>
        <v>1</v>
      </c>
      <c r="AL989" s="111">
        <f>PRODUCT($AK$5:AK989)</f>
        <v>8.962823818226312E-2</v>
      </c>
      <c r="AM989" s="109">
        <f>1 - [K-M P Value]</f>
        <v>0.91037176181773694</v>
      </c>
      <c r="AN989" s="111" t="str">
        <f>IF(Audit[[#This Row],[K-M P Value]]&gt;1-'General Info'!$B$16,"Continue", "Stop")</f>
        <v>Stop</v>
      </c>
      <c r="AO989" s="110" t="b">
        <f>IF(Audit[[#This Row],[Status - Continue or stop audit]] = "Continue", TRUE, IF(AN988 = "Continue", TRUE, FALSE))</f>
        <v>0</v>
      </c>
      <c r="AP989" s="110"/>
    </row>
    <row r="990" spans="1:42" ht="15" hidden="1" customHeight="1">
      <c r="A990" s="111" t="str">
        <f>'Sampling Data'!W982</f>
        <v/>
      </c>
      <c r="B990" s="112" t="str">
        <f>'Sampling Data'!A982</f>
        <v>CLEVELAND HEIGHTS -03-E - ABS</v>
      </c>
      <c r="C990" s="112">
        <f>'Sampling Data'!B982</f>
        <v>3</v>
      </c>
      <c r="D990" s="112">
        <f>'Sampling Data'!C982</f>
        <v>0</v>
      </c>
      <c r="E990" s="113">
        <f>'Sampling Data'!D982</f>
        <v>1</v>
      </c>
      <c r="F990" s="113">
        <f>'Sampling Data'!E982</f>
        <v>0</v>
      </c>
      <c r="G990" s="113">
        <f>'Sampling Data'!F982</f>
        <v>0</v>
      </c>
      <c r="H990" s="113">
        <f>'Sampling Data'!G982</f>
        <v>0</v>
      </c>
      <c r="I990" s="112">
        <f>'Sampling Data'!H982</f>
        <v>0</v>
      </c>
      <c r="J990" s="112">
        <f>'Sampling Data'!I982</f>
        <v>0</v>
      </c>
      <c r="K990" s="112">
        <f>'Sampling Data'!J982</f>
        <v>4</v>
      </c>
      <c r="L990" s="111">
        <f>'Sampling Data'!X982</f>
        <v>0</v>
      </c>
      <c r="M990" s="114"/>
      <c r="N990" s="114"/>
      <c r="O990" s="115"/>
      <c r="P990" s="115"/>
      <c r="Q990" s="116"/>
      <c r="R990" s="116"/>
      <c r="S990" s="111">
        <f>Audit[[#This Row],[Audit Losing Candidate]]-Audit[[#This Row],[Losing Candidate]]</f>
        <v>-3</v>
      </c>
      <c r="T990" s="111">
        <f>Audit[[#This Row],[Audit Winning Candidate]]-Audit[[#This Row],[Winning Candidate]]</f>
        <v>0</v>
      </c>
      <c r="U990" s="111">
        <f>Audit[[#This Row],[Audit Candidate 3]]-Audit[[#This Row],[Candidate 3]]</f>
        <v>-1</v>
      </c>
      <c r="V990" s="111">
        <f>Audit[[#This Row],[Audit Candidate 4]]-Audit[[#This Row],[Candidate 4]]</f>
        <v>0</v>
      </c>
      <c r="W990" s="111">
        <f>Audit[[#This Row],[Audit Candidate 5]]-Audit[[#This Row],[Candidate 5]]</f>
        <v>0</v>
      </c>
      <c r="X990" s="111">
        <f>Audit[[#This Row],[Audit Candidate 6]]-Audit[[#This Row],[Candidate 6]]</f>
        <v>0</v>
      </c>
      <c r="Y990" s="111">
        <f>SUMIF(Audit[[#This Row],[Difference Loser]:[Difference Candidate 6]], "&gt;0")</f>
        <v>0</v>
      </c>
      <c r="Z990" s="111">
        <f>SUM(Audit[[#This Row],[Difference Loser]:[Difference Candidate 6]])</f>
        <v>-4</v>
      </c>
      <c r="AA990" s="111">
        <f>IF(Audit[[#This Row],[Times p Drawn - With Replacement]]&gt;0, IF(Audit[[#This Row],[Canceled Differences]]&lt;0, Audit[[#This Row],[Max Differences]]+ABS(Audit[[#This Row],[Canceled Differences]]), Audit[[#This Row],[Max Differences]]), 0)</f>
        <v>0</v>
      </c>
      <c r="AB990" s="111">
        <f>'Sampling Data'!P982</f>
        <v>1.1692829372387384E-4</v>
      </c>
      <c r="AC990" s="111">
        <f>IF(
      SUM(Audit[[#This Row],[Audit Losing Candidate]:[Audit Candidate 6]])
      &lt;&gt;0,
      (Audit[[#This Row],[Winning Candidate]]-Audit[[#This Row],[Losing Candidate]]-(Audit[[#This Row],[Audit Winning Candidate]]-Audit[[#This Row],[Audit Losing Candidate]]))/(Audit[[#Totals],[Winning Candidate]]-Audit[[#Totals],[Losing Candidate]]),
      0
)</f>
        <v>0</v>
      </c>
      <c r="AD9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0" s="111">
        <f>IF(Audit[[#This Row],[Max Relative Error (ep)]] = 0, 0, Audit[[#This Row],[Max Relative Error (ep)]]/Audit[[#This Row],[Error Bound (up) - Max. possible relative overstatement]])</f>
        <v>0</v>
      </c>
      <c r="AJ9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90" s="111">
        <f t="shared" si="15"/>
        <v>1</v>
      </c>
      <c r="AL990" s="111">
        <f>PRODUCT($AK$5:AK990)</f>
        <v>8.962823818226312E-2</v>
      </c>
      <c r="AM990" s="109">
        <f>1 - [K-M P Value]</f>
        <v>0.91037176181773694</v>
      </c>
      <c r="AN990" s="111" t="str">
        <f>IF(Audit[[#This Row],[K-M P Value]]&gt;1-'General Info'!$B$16,"Continue", "Stop")</f>
        <v>Stop</v>
      </c>
      <c r="AO990" s="110" t="b">
        <f>IF(Audit[[#This Row],[Status - Continue or stop audit]] = "Continue", TRUE, IF(AN989 = "Continue", TRUE, FALSE))</f>
        <v>0</v>
      </c>
      <c r="AP990" s="110"/>
    </row>
    <row r="991" spans="1:42" ht="15" hidden="1" customHeight="1">
      <c r="A991" s="111" t="str">
        <f>'Sampling Data'!W983</f>
        <v/>
      </c>
      <c r="B991" s="112" t="str">
        <f>'Sampling Data'!A983</f>
        <v>CLEVELAND HEIGHTS -03-F</v>
      </c>
      <c r="C991" s="112">
        <f>'Sampling Data'!B983</f>
        <v>3</v>
      </c>
      <c r="D991" s="112">
        <f>'Sampling Data'!C983</f>
        <v>5</v>
      </c>
      <c r="E991" s="113">
        <f>'Sampling Data'!D983</f>
        <v>3</v>
      </c>
      <c r="F991" s="113">
        <f>'Sampling Data'!E983</f>
        <v>6</v>
      </c>
      <c r="G991" s="113">
        <f>'Sampling Data'!F983</f>
        <v>0</v>
      </c>
      <c r="H991" s="113">
        <f>'Sampling Data'!G983</f>
        <v>0</v>
      </c>
      <c r="I991" s="112">
        <f>'Sampling Data'!H983</f>
        <v>0</v>
      </c>
      <c r="J991" s="112">
        <f>'Sampling Data'!I983</f>
        <v>2</v>
      </c>
      <c r="K991" s="112">
        <f>'Sampling Data'!J983</f>
        <v>19</v>
      </c>
      <c r="L991" s="111">
        <f>'Sampling Data'!X983</f>
        <v>0</v>
      </c>
      <c r="M991" s="114"/>
      <c r="N991" s="114"/>
      <c r="O991" s="115"/>
      <c r="P991" s="115"/>
      <c r="Q991" s="116"/>
      <c r="R991" s="116"/>
      <c r="S991" s="111">
        <f>Audit[[#This Row],[Audit Losing Candidate]]-Audit[[#This Row],[Losing Candidate]]</f>
        <v>-3</v>
      </c>
      <c r="T991" s="111">
        <f>Audit[[#This Row],[Audit Winning Candidate]]-Audit[[#This Row],[Winning Candidate]]</f>
        <v>-5</v>
      </c>
      <c r="U991" s="111">
        <f>Audit[[#This Row],[Audit Candidate 3]]-Audit[[#This Row],[Candidate 3]]</f>
        <v>-3</v>
      </c>
      <c r="V991" s="111">
        <f>Audit[[#This Row],[Audit Candidate 4]]-Audit[[#This Row],[Candidate 4]]</f>
        <v>-6</v>
      </c>
      <c r="W991" s="111">
        <f>Audit[[#This Row],[Audit Candidate 5]]-Audit[[#This Row],[Candidate 5]]</f>
        <v>0</v>
      </c>
      <c r="X991" s="111">
        <f>Audit[[#This Row],[Audit Candidate 6]]-Audit[[#This Row],[Candidate 6]]</f>
        <v>0</v>
      </c>
      <c r="Y991" s="111">
        <f>SUMIF(Audit[[#This Row],[Difference Loser]:[Difference Candidate 6]], "&gt;0")</f>
        <v>0</v>
      </c>
      <c r="Z991" s="111">
        <f>SUM(Audit[[#This Row],[Difference Loser]:[Difference Candidate 6]])</f>
        <v>-17</v>
      </c>
      <c r="AA991" s="111">
        <f>IF(Audit[[#This Row],[Times p Drawn - With Replacement]]&gt;0, IF(Audit[[#This Row],[Canceled Differences]]&lt;0, Audit[[#This Row],[Max Differences]]+ABS(Audit[[#This Row],[Canceled Differences]]), Audit[[#This Row],[Max Differences]]), 0)</f>
        <v>0</v>
      </c>
      <c r="AB991" s="111">
        <f>'Sampling Data'!P983</f>
        <v>1.2861342479176874E-3</v>
      </c>
      <c r="AC991" s="111">
        <f>IF(
      SUM(Audit[[#This Row],[Audit Losing Candidate]:[Audit Candidate 6]])
      &lt;&gt;0,
      (Audit[[#This Row],[Winning Candidate]]-Audit[[#This Row],[Losing Candidate]]-(Audit[[#This Row],[Audit Winning Candidate]]-Audit[[#This Row],[Audit Losing Candidate]]))/(Audit[[#Totals],[Winning Candidate]]-Audit[[#Totals],[Losing Candidate]]),
      0
)</f>
        <v>0</v>
      </c>
      <c r="AD9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1" s="111">
        <f>IF(Audit[[#This Row],[Max Relative Error (ep)]] = 0, 0, Audit[[#This Row],[Max Relative Error (ep)]]/Audit[[#This Row],[Error Bound (up) - Max. possible relative overstatement]])</f>
        <v>0</v>
      </c>
      <c r="AJ9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91" s="111">
        <f t="shared" si="15"/>
        <v>1</v>
      </c>
      <c r="AL991" s="111">
        <f>PRODUCT($AK$5:AK991)</f>
        <v>8.962823818226312E-2</v>
      </c>
      <c r="AM991" s="109">
        <f>1 - [K-M P Value]</f>
        <v>0.91037176181773694</v>
      </c>
      <c r="AN991" s="111" t="str">
        <f>IF(Audit[[#This Row],[K-M P Value]]&gt;1-'General Info'!$B$16,"Continue", "Stop")</f>
        <v>Stop</v>
      </c>
      <c r="AO991" s="110" t="b">
        <f>IF(Audit[[#This Row],[Status - Continue or stop audit]] = "Continue", TRUE, IF(AN990 = "Continue", TRUE, FALSE))</f>
        <v>0</v>
      </c>
      <c r="AP991" s="110"/>
    </row>
    <row r="992" spans="1:42" ht="15" hidden="1" customHeight="1">
      <c r="A992" s="111" t="str">
        <f>'Sampling Data'!W984</f>
        <v/>
      </c>
      <c r="B992" s="112" t="str">
        <f>'Sampling Data'!A984</f>
        <v>CLEVELAND HEIGHTS -03-F - ABS</v>
      </c>
      <c r="C992" s="112">
        <f>'Sampling Data'!B984</f>
        <v>0</v>
      </c>
      <c r="D992" s="112">
        <f>'Sampling Data'!C984</f>
        <v>1</v>
      </c>
      <c r="E992" s="113">
        <f>'Sampling Data'!D984</f>
        <v>1</v>
      </c>
      <c r="F992" s="113">
        <f>'Sampling Data'!E984</f>
        <v>0</v>
      </c>
      <c r="G992" s="113">
        <f>'Sampling Data'!F984</f>
        <v>0</v>
      </c>
      <c r="H992" s="113">
        <f>'Sampling Data'!G984</f>
        <v>0</v>
      </c>
      <c r="I992" s="112">
        <f>'Sampling Data'!H984</f>
        <v>0</v>
      </c>
      <c r="J992" s="112">
        <f>'Sampling Data'!I984</f>
        <v>0</v>
      </c>
      <c r="K992" s="112">
        <f>'Sampling Data'!J984</f>
        <v>2</v>
      </c>
      <c r="L992" s="111">
        <f>'Sampling Data'!X984</f>
        <v>0</v>
      </c>
      <c r="M992" s="114"/>
      <c r="N992" s="114"/>
      <c r="O992" s="115"/>
      <c r="P992" s="115"/>
      <c r="Q992" s="116"/>
      <c r="R992" s="116"/>
      <c r="S992" s="111">
        <f>Audit[[#This Row],[Audit Losing Candidate]]-Audit[[#This Row],[Losing Candidate]]</f>
        <v>0</v>
      </c>
      <c r="T992" s="111">
        <f>Audit[[#This Row],[Audit Winning Candidate]]-Audit[[#This Row],[Winning Candidate]]</f>
        <v>-1</v>
      </c>
      <c r="U992" s="111">
        <f>Audit[[#This Row],[Audit Candidate 3]]-Audit[[#This Row],[Candidate 3]]</f>
        <v>-1</v>
      </c>
      <c r="V992" s="111">
        <f>Audit[[#This Row],[Audit Candidate 4]]-Audit[[#This Row],[Candidate 4]]</f>
        <v>0</v>
      </c>
      <c r="W992" s="111">
        <f>Audit[[#This Row],[Audit Candidate 5]]-Audit[[#This Row],[Candidate 5]]</f>
        <v>0</v>
      </c>
      <c r="X992" s="111">
        <f>Audit[[#This Row],[Audit Candidate 6]]-Audit[[#This Row],[Candidate 6]]</f>
        <v>0</v>
      </c>
      <c r="Y992" s="111">
        <f>SUMIF(Audit[[#This Row],[Difference Loser]:[Difference Candidate 6]], "&gt;0")</f>
        <v>0</v>
      </c>
      <c r="Z992" s="111">
        <f>SUM(Audit[[#This Row],[Difference Loser]:[Difference Candidate 6]])</f>
        <v>-2</v>
      </c>
      <c r="AA992" s="111">
        <f>IF(Audit[[#This Row],[Times p Drawn - With Replacement]]&gt;0, IF(Audit[[#This Row],[Canceled Differences]]&lt;0, Audit[[#This Row],[Max Differences]]+ABS(Audit[[#This Row],[Canceled Differences]]), Audit[[#This Row],[Max Differences]]), 0)</f>
        <v>0</v>
      </c>
      <c r="AB992" s="111">
        <f>'Sampling Data'!P984</f>
        <v>1.8373346398824106E-4</v>
      </c>
      <c r="AC992" s="111">
        <f>IF(
      SUM(Audit[[#This Row],[Audit Losing Candidate]:[Audit Candidate 6]])
      &lt;&gt;0,
      (Audit[[#This Row],[Winning Candidate]]-Audit[[#This Row],[Losing Candidate]]-(Audit[[#This Row],[Audit Winning Candidate]]-Audit[[#This Row],[Audit Losing Candidate]]))/(Audit[[#Totals],[Winning Candidate]]-Audit[[#Totals],[Losing Candidate]]),
      0
)</f>
        <v>0</v>
      </c>
      <c r="AD9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2" s="111">
        <f>IF(Audit[[#This Row],[Max Relative Error (ep)]] = 0, 0, Audit[[#This Row],[Max Relative Error (ep)]]/Audit[[#This Row],[Error Bound (up) - Max. possible relative overstatement]])</f>
        <v>0</v>
      </c>
      <c r="AJ9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92" s="111">
        <f t="shared" si="15"/>
        <v>1</v>
      </c>
      <c r="AL992" s="111">
        <f>PRODUCT($AK$5:AK992)</f>
        <v>8.962823818226312E-2</v>
      </c>
      <c r="AM992" s="109">
        <f>1 - [K-M P Value]</f>
        <v>0.91037176181773694</v>
      </c>
      <c r="AN992" s="111" t="str">
        <f>IF(Audit[[#This Row],[K-M P Value]]&gt;1-'General Info'!$B$16,"Continue", "Stop")</f>
        <v>Stop</v>
      </c>
      <c r="AO992" s="110" t="b">
        <f>IF(Audit[[#This Row],[Status - Continue or stop audit]] = "Continue", TRUE, IF(AN991 = "Continue", TRUE, FALSE))</f>
        <v>0</v>
      </c>
      <c r="AP992" s="110"/>
    </row>
    <row r="993" spans="1:42" ht="15" hidden="1" customHeight="1">
      <c r="A993" s="111" t="str">
        <f>'Sampling Data'!W985</f>
        <v/>
      </c>
      <c r="B993" s="112" t="str">
        <f>'Sampling Data'!A985</f>
        <v>CLEVELAND HEIGHTS -04-A</v>
      </c>
      <c r="C993" s="112">
        <f>'Sampling Data'!B985</f>
        <v>8</v>
      </c>
      <c r="D993" s="112">
        <f>'Sampling Data'!C985</f>
        <v>18</v>
      </c>
      <c r="E993" s="113">
        <f>'Sampling Data'!D985</f>
        <v>2</v>
      </c>
      <c r="F993" s="113">
        <f>'Sampling Data'!E985</f>
        <v>2</v>
      </c>
      <c r="G993" s="113">
        <f>'Sampling Data'!F985</f>
        <v>0</v>
      </c>
      <c r="H993" s="113">
        <f>'Sampling Data'!G985</f>
        <v>1</v>
      </c>
      <c r="I993" s="112">
        <f>'Sampling Data'!H985</f>
        <v>0</v>
      </c>
      <c r="J993" s="112">
        <f>'Sampling Data'!I985</f>
        <v>0</v>
      </c>
      <c r="K993" s="112">
        <f>'Sampling Data'!J985</f>
        <v>31</v>
      </c>
      <c r="L993" s="111">
        <f>'Sampling Data'!X985</f>
        <v>0</v>
      </c>
      <c r="M993" s="114"/>
      <c r="N993" s="114"/>
      <c r="O993" s="115"/>
      <c r="P993" s="115"/>
      <c r="Q993" s="116"/>
      <c r="R993" s="116"/>
      <c r="S993" s="111">
        <f>Audit[[#This Row],[Audit Losing Candidate]]-Audit[[#This Row],[Losing Candidate]]</f>
        <v>-8</v>
      </c>
      <c r="T993" s="111">
        <f>Audit[[#This Row],[Audit Winning Candidate]]-Audit[[#This Row],[Winning Candidate]]</f>
        <v>-18</v>
      </c>
      <c r="U993" s="111">
        <f>Audit[[#This Row],[Audit Candidate 3]]-Audit[[#This Row],[Candidate 3]]</f>
        <v>-2</v>
      </c>
      <c r="V993" s="111">
        <f>Audit[[#This Row],[Audit Candidate 4]]-Audit[[#This Row],[Candidate 4]]</f>
        <v>-2</v>
      </c>
      <c r="W993" s="111">
        <f>Audit[[#This Row],[Audit Candidate 5]]-Audit[[#This Row],[Candidate 5]]</f>
        <v>0</v>
      </c>
      <c r="X993" s="111">
        <f>Audit[[#This Row],[Audit Candidate 6]]-Audit[[#This Row],[Candidate 6]]</f>
        <v>-1</v>
      </c>
      <c r="Y993" s="111">
        <f>SUMIF(Audit[[#This Row],[Difference Loser]:[Difference Candidate 6]], "&gt;0")</f>
        <v>0</v>
      </c>
      <c r="Z993" s="111">
        <f>SUM(Audit[[#This Row],[Difference Loser]:[Difference Candidate 6]])</f>
        <v>-31</v>
      </c>
      <c r="AA993" s="111">
        <f>IF(Audit[[#This Row],[Times p Drawn - With Replacement]]&gt;0, IF(Audit[[#This Row],[Canceled Differences]]&lt;0, Audit[[#This Row],[Max Differences]]+ABS(Audit[[#This Row],[Canceled Differences]]), Audit[[#This Row],[Max Differences]]), 0)</f>
        <v>0</v>
      </c>
      <c r="AB993" s="111">
        <f>'Sampling Data'!P985</f>
        <v>2.5110240078392945E-3</v>
      </c>
      <c r="AC993" s="111">
        <f>IF(
      SUM(Audit[[#This Row],[Audit Losing Candidate]:[Audit Candidate 6]])
      &lt;&gt;0,
      (Audit[[#This Row],[Winning Candidate]]-Audit[[#This Row],[Losing Candidate]]-(Audit[[#This Row],[Audit Winning Candidate]]-Audit[[#This Row],[Audit Losing Candidate]]))/(Audit[[#Totals],[Winning Candidate]]-Audit[[#Totals],[Losing Candidate]]),
      0
)</f>
        <v>0</v>
      </c>
      <c r="AD9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3" s="111">
        <f>IF(Audit[[#This Row],[Max Relative Error (ep)]] = 0, 0, Audit[[#This Row],[Max Relative Error (ep)]]/Audit[[#This Row],[Error Bound (up) - Max. possible relative overstatement]])</f>
        <v>0</v>
      </c>
      <c r="AJ9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93" s="111">
        <f t="shared" si="15"/>
        <v>1</v>
      </c>
      <c r="AL993" s="111">
        <f>PRODUCT($AK$5:AK993)</f>
        <v>8.962823818226312E-2</v>
      </c>
      <c r="AM993" s="109">
        <f>1 - [K-M P Value]</f>
        <v>0.91037176181773694</v>
      </c>
      <c r="AN993" s="111" t="str">
        <f>IF(Audit[[#This Row],[K-M P Value]]&gt;1-'General Info'!$B$16,"Continue", "Stop")</f>
        <v>Stop</v>
      </c>
      <c r="AO993" s="110" t="b">
        <f>IF(Audit[[#This Row],[Status - Continue or stop audit]] = "Continue", TRUE, IF(AN992 = "Continue", TRUE, FALSE))</f>
        <v>0</v>
      </c>
      <c r="AP993" s="110"/>
    </row>
    <row r="994" spans="1:42" ht="15" hidden="1" customHeight="1">
      <c r="A994" s="111" t="str">
        <f>'Sampling Data'!W986</f>
        <v/>
      </c>
      <c r="B994" s="112" t="str">
        <f>'Sampling Data'!A986</f>
        <v>CLEVELAND HEIGHTS -04-A - ABS</v>
      </c>
      <c r="C994" s="112">
        <f>'Sampling Data'!B986</f>
        <v>6</v>
      </c>
      <c r="D994" s="112">
        <f>'Sampling Data'!C986</f>
        <v>5</v>
      </c>
      <c r="E994" s="113">
        <f>'Sampling Data'!D986</f>
        <v>0</v>
      </c>
      <c r="F994" s="113">
        <f>'Sampling Data'!E986</f>
        <v>1</v>
      </c>
      <c r="G994" s="113">
        <f>'Sampling Data'!F986</f>
        <v>0</v>
      </c>
      <c r="H994" s="113">
        <f>'Sampling Data'!G986</f>
        <v>0</v>
      </c>
      <c r="I994" s="112">
        <f>'Sampling Data'!H986</f>
        <v>0</v>
      </c>
      <c r="J994" s="112">
        <f>'Sampling Data'!I986</f>
        <v>1</v>
      </c>
      <c r="K994" s="112">
        <f>'Sampling Data'!J986</f>
        <v>13</v>
      </c>
      <c r="L994" s="111">
        <f>'Sampling Data'!X986</f>
        <v>0</v>
      </c>
      <c r="M994" s="114"/>
      <c r="N994" s="114"/>
      <c r="O994" s="115"/>
      <c r="P994" s="115"/>
      <c r="Q994" s="116"/>
      <c r="R994" s="116"/>
      <c r="S994" s="111">
        <f>Audit[[#This Row],[Audit Losing Candidate]]-Audit[[#This Row],[Losing Candidate]]</f>
        <v>-6</v>
      </c>
      <c r="T994" s="111">
        <f>Audit[[#This Row],[Audit Winning Candidate]]-Audit[[#This Row],[Winning Candidate]]</f>
        <v>-5</v>
      </c>
      <c r="U994" s="111">
        <f>Audit[[#This Row],[Audit Candidate 3]]-Audit[[#This Row],[Candidate 3]]</f>
        <v>0</v>
      </c>
      <c r="V994" s="111">
        <f>Audit[[#This Row],[Audit Candidate 4]]-Audit[[#This Row],[Candidate 4]]</f>
        <v>-1</v>
      </c>
      <c r="W994" s="111">
        <f>Audit[[#This Row],[Audit Candidate 5]]-Audit[[#This Row],[Candidate 5]]</f>
        <v>0</v>
      </c>
      <c r="X994" s="111">
        <f>Audit[[#This Row],[Audit Candidate 6]]-Audit[[#This Row],[Candidate 6]]</f>
        <v>0</v>
      </c>
      <c r="Y994" s="111">
        <f>SUMIF(Audit[[#This Row],[Difference Loser]:[Difference Candidate 6]], "&gt;0")</f>
        <v>0</v>
      </c>
      <c r="Z994" s="111">
        <f>SUM(Audit[[#This Row],[Difference Loser]:[Difference Candidate 6]])</f>
        <v>-12</v>
      </c>
      <c r="AA994" s="111">
        <f>IF(Audit[[#This Row],[Times p Drawn - With Replacement]]&gt;0, IF(Audit[[#This Row],[Canceled Differences]]&lt;0, Audit[[#This Row],[Max Differences]]+ABS(Audit[[#This Row],[Canceled Differences]]), Audit[[#This Row],[Max Differences]]), 0)</f>
        <v>0</v>
      </c>
      <c r="AB994" s="111">
        <f>'Sampling Data'!P986</f>
        <v>7.3493385595296422E-4</v>
      </c>
      <c r="AC994" s="111">
        <f>IF(
      SUM(Audit[[#This Row],[Audit Losing Candidate]:[Audit Candidate 6]])
      &lt;&gt;0,
      (Audit[[#This Row],[Winning Candidate]]-Audit[[#This Row],[Losing Candidate]]-(Audit[[#This Row],[Audit Winning Candidate]]-Audit[[#This Row],[Audit Losing Candidate]]))/(Audit[[#Totals],[Winning Candidate]]-Audit[[#Totals],[Losing Candidate]]),
      0
)</f>
        <v>0</v>
      </c>
      <c r="AD9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4" s="111">
        <f>IF(Audit[[#This Row],[Max Relative Error (ep)]] = 0, 0, Audit[[#This Row],[Max Relative Error (ep)]]/Audit[[#This Row],[Error Bound (up) - Max. possible relative overstatement]])</f>
        <v>0</v>
      </c>
      <c r="AJ9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94" s="111">
        <f t="shared" si="15"/>
        <v>1</v>
      </c>
      <c r="AL994" s="111">
        <f>PRODUCT($AK$5:AK994)</f>
        <v>8.962823818226312E-2</v>
      </c>
      <c r="AM994" s="109">
        <f>1 - [K-M P Value]</f>
        <v>0.91037176181773694</v>
      </c>
      <c r="AN994" s="111" t="str">
        <f>IF(Audit[[#This Row],[K-M P Value]]&gt;1-'General Info'!$B$16,"Continue", "Stop")</f>
        <v>Stop</v>
      </c>
      <c r="AO994" s="110" t="b">
        <f>IF(Audit[[#This Row],[Status - Continue or stop audit]] = "Continue", TRUE, IF(AN993 = "Continue", TRUE, FALSE))</f>
        <v>0</v>
      </c>
      <c r="AP994" s="110"/>
    </row>
    <row r="995" spans="1:42" ht="15" hidden="1" customHeight="1">
      <c r="A995" s="111" t="str">
        <f>'Sampling Data'!W987</f>
        <v/>
      </c>
      <c r="B995" s="112" t="str">
        <f>'Sampling Data'!A987</f>
        <v>CLEVELAND HEIGHTS -04-B</v>
      </c>
      <c r="C995" s="112">
        <f>'Sampling Data'!B987</f>
        <v>15</v>
      </c>
      <c r="D995" s="112">
        <f>'Sampling Data'!C987</f>
        <v>34</v>
      </c>
      <c r="E995" s="113">
        <f>'Sampling Data'!D987</f>
        <v>13</v>
      </c>
      <c r="F995" s="113">
        <f>'Sampling Data'!E987</f>
        <v>1</v>
      </c>
      <c r="G995" s="113">
        <f>'Sampling Data'!F987</f>
        <v>0</v>
      </c>
      <c r="H995" s="113">
        <f>'Sampling Data'!G987</f>
        <v>0</v>
      </c>
      <c r="I995" s="112">
        <f>'Sampling Data'!H987</f>
        <v>0</v>
      </c>
      <c r="J995" s="112">
        <f>'Sampling Data'!I987</f>
        <v>0</v>
      </c>
      <c r="K995" s="112">
        <f>'Sampling Data'!J987</f>
        <v>63</v>
      </c>
      <c r="L995" s="111">
        <f>'Sampling Data'!X987</f>
        <v>0</v>
      </c>
      <c r="M995" s="114"/>
      <c r="N995" s="114"/>
      <c r="O995" s="115"/>
      <c r="P995" s="115"/>
      <c r="Q995" s="116"/>
      <c r="R995" s="116"/>
      <c r="S995" s="111">
        <f>Audit[[#This Row],[Audit Losing Candidate]]-Audit[[#This Row],[Losing Candidate]]</f>
        <v>-15</v>
      </c>
      <c r="T995" s="111">
        <f>Audit[[#This Row],[Audit Winning Candidate]]-Audit[[#This Row],[Winning Candidate]]</f>
        <v>-34</v>
      </c>
      <c r="U995" s="111">
        <f>Audit[[#This Row],[Audit Candidate 3]]-Audit[[#This Row],[Candidate 3]]</f>
        <v>-13</v>
      </c>
      <c r="V995" s="111">
        <f>Audit[[#This Row],[Audit Candidate 4]]-Audit[[#This Row],[Candidate 4]]</f>
        <v>-1</v>
      </c>
      <c r="W995" s="111">
        <f>Audit[[#This Row],[Audit Candidate 5]]-Audit[[#This Row],[Candidate 5]]</f>
        <v>0</v>
      </c>
      <c r="X995" s="111">
        <f>Audit[[#This Row],[Audit Candidate 6]]-Audit[[#This Row],[Candidate 6]]</f>
        <v>0</v>
      </c>
      <c r="Y995" s="111">
        <f>SUMIF(Audit[[#This Row],[Difference Loser]:[Difference Candidate 6]], "&gt;0")</f>
        <v>0</v>
      </c>
      <c r="Z995" s="111">
        <f>SUM(Audit[[#This Row],[Difference Loser]:[Difference Candidate 6]])</f>
        <v>-63</v>
      </c>
      <c r="AA995" s="111">
        <f>IF(Audit[[#This Row],[Times p Drawn - With Replacement]]&gt;0, IF(Audit[[#This Row],[Canceled Differences]]&lt;0, Audit[[#This Row],[Max Differences]]+ABS(Audit[[#This Row],[Canceled Differences]]), Audit[[#This Row],[Max Differences]]), 0)</f>
        <v>0</v>
      </c>
      <c r="AB995" s="111">
        <f>'Sampling Data'!P987</f>
        <v>5.0220480156785889E-3</v>
      </c>
      <c r="AC995" s="111">
        <f>IF(
      SUM(Audit[[#This Row],[Audit Losing Candidate]:[Audit Candidate 6]])
      &lt;&gt;0,
      (Audit[[#This Row],[Winning Candidate]]-Audit[[#This Row],[Losing Candidate]]-(Audit[[#This Row],[Audit Winning Candidate]]-Audit[[#This Row],[Audit Losing Candidate]]))/(Audit[[#Totals],[Winning Candidate]]-Audit[[#Totals],[Losing Candidate]]),
      0
)</f>
        <v>0</v>
      </c>
      <c r="AD9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5" s="111">
        <f>IF(Audit[[#This Row],[Max Relative Error (ep)]] = 0, 0, Audit[[#This Row],[Max Relative Error (ep)]]/Audit[[#This Row],[Error Bound (up) - Max. possible relative overstatement]])</f>
        <v>0</v>
      </c>
      <c r="AJ9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95" s="111">
        <f t="shared" si="15"/>
        <v>1</v>
      </c>
      <c r="AL995" s="111">
        <f>PRODUCT($AK$5:AK995)</f>
        <v>8.962823818226312E-2</v>
      </c>
      <c r="AM995" s="109">
        <f>1 - [K-M P Value]</f>
        <v>0.91037176181773694</v>
      </c>
      <c r="AN995" s="111" t="str">
        <f>IF(Audit[[#This Row],[K-M P Value]]&gt;1-'General Info'!$B$16,"Continue", "Stop")</f>
        <v>Stop</v>
      </c>
      <c r="AO995" s="110" t="b">
        <f>IF(Audit[[#This Row],[Status - Continue or stop audit]] = "Continue", TRUE, IF(AN994 = "Continue", TRUE, FALSE))</f>
        <v>0</v>
      </c>
      <c r="AP995" s="110"/>
    </row>
    <row r="996" spans="1:42" ht="15" hidden="1" customHeight="1">
      <c r="A996" s="111" t="str">
        <f>'Sampling Data'!W988</f>
        <v/>
      </c>
      <c r="B996" s="112" t="str">
        <f>'Sampling Data'!A988</f>
        <v>CLEVELAND HEIGHTS -04-B - ABS</v>
      </c>
      <c r="C996" s="112">
        <f>'Sampling Data'!B988</f>
        <v>7</v>
      </c>
      <c r="D996" s="112">
        <f>'Sampling Data'!C988</f>
        <v>9</v>
      </c>
      <c r="E996" s="113">
        <f>'Sampling Data'!D988</f>
        <v>4</v>
      </c>
      <c r="F996" s="113">
        <f>'Sampling Data'!E988</f>
        <v>0</v>
      </c>
      <c r="G996" s="113">
        <f>'Sampling Data'!F988</f>
        <v>1</v>
      </c>
      <c r="H996" s="113">
        <f>'Sampling Data'!G988</f>
        <v>0</v>
      </c>
      <c r="I996" s="112">
        <f>'Sampling Data'!H988</f>
        <v>0</v>
      </c>
      <c r="J996" s="112">
        <f>'Sampling Data'!I988</f>
        <v>0</v>
      </c>
      <c r="K996" s="112">
        <f>'Sampling Data'!J988</f>
        <v>21</v>
      </c>
      <c r="L996" s="111">
        <f>'Sampling Data'!X988</f>
        <v>0</v>
      </c>
      <c r="M996" s="114"/>
      <c r="N996" s="114"/>
      <c r="O996" s="115"/>
      <c r="P996" s="115"/>
      <c r="Q996" s="116"/>
      <c r="R996" s="116"/>
      <c r="S996" s="111">
        <f>Audit[[#This Row],[Audit Losing Candidate]]-Audit[[#This Row],[Losing Candidate]]</f>
        <v>-7</v>
      </c>
      <c r="T996" s="111">
        <f>Audit[[#This Row],[Audit Winning Candidate]]-Audit[[#This Row],[Winning Candidate]]</f>
        <v>-9</v>
      </c>
      <c r="U996" s="111">
        <f>Audit[[#This Row],[Audit Candidate 3]]-Audit[[#This Row],[Candidate 3]]</f>
        <v>-4</v>
      </c>
      <c r="V996" s="111">
        <f>Audit[[#This Row],[Audit Candidate 4]]-Audit[[#This Row],[Candidate 4]]</f>
        <v>0</v>
      </c>
      <c r="W996" s="111">
        <f>Audit[[#This Row],[Audit Candidate 5]]-Audit[[#This Row],[Candidate 5]]</f>
        <v>-1</v>
      </c>
      <c r="X996" s="111">
        <f>Audit[[#This Row],[Audit Candidate 6]]-Audit[[#This Row],[Candidate 6]]</f>
        <v>0</v>
      </c>
      <c r="Y996" s="111">
        <f>SUMIF(Audit[[#This Row],[Difference Loser]:[Difference Candidate 6]], "&gt;0")</f>
        <v>0</v>
      </c>
      <c r="Z996" s="111">
        <f>SUM(Audit[[#This Row],[Difference Loser]:[Difference Candidate 6]])</f>
        <v>-21</v>
      </c>
      <c r="AA996" s="111">
        <f>IF(Audit[[#This Row],[Times p Drawn - With Replacement]]&gt;0, IF(Audit[[#This Row],[Canceled Differences]]&lt;0, Audit[[#This Row],[Max Differences]]+ABS(Audit[[#This Row],[Canceled Differences]]), Audit[[#This Row],[Max Differences]]), 0)</f>
        <v>0</v>
      </c>
      <c r="AB996" s="111">
        <f>'Sampling Data'!P988</f>
        <v>1.408623223909848E-3</v>
      </c>
      <c r="AC996" s="111">
        <f>IF(
      SUM(Audit[[#This Row],[Audit Losing Candidate]:[Audit Candidate 6]])
      &lt;&gt;0,
      (Audit[[#This Row],[Winning Candidate]]-Audit[[#This Row],[Losing Candidate]]-(Audit[[#This Row],[Audit Winning Candidate]]-Audit[[#This Row],[Audit Losing Candidate]]))/(Audit[[#Totals],[Winning Candidate]]-Audit[[#Totals],[Losing Candidate]]),
      0
)</f>
        <v>0</v>
      </c>
      <c r="AD9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6" s="111">
        <f>IF(Audit[[#This Row],[Max Relative Error (ep)]] = 0, 0, Audit[[#This Row],[Max Relative Error (ep)]]/Audit[[#This Row],[Error Bound (up) - Max. possible relative overstatement]])</f>
        <v>0</v>
      </c>
      <c r="AJ9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96" s="111">
        <f t="shared" si="15"/>
        <v>1</v>
      </c>
      <c r="AL996" s="111">
        <f>PRODUCT($AK$5:AK996)</f>
        <v>8.962823818226312E-2</v>
      </c>
      <c r="AM996" s="109">
        <f>1 - [K-M P Value]</f>
        <v>0.91037176181773694</v>
      </c>
      <c r="AN996" s="111" t="str">
        <f>IF(Audit[[#This Row],[K-M P Value]]&gt;1-'General Info'!$B$16,"Continue", "Stop")</f>
        <v>Stop</v>
      </c>
      <c r="AO996" s="110" t="b">
        <f>IF(Audit[[#This Row],[Status - Continue or stop audit]] = "Continue", TRUE, IF(AN995 = "Continue", TRUE, FALSE))</f>
        <v>0</v>
      </c>
      <c r="AP996" s="110"/>
    </row>
    <row r="997" spans="1:42" ht="15" hidden="1" customHeight="1">
      <c r="A997" s="111" t="str">
        <f>'Sampling Data'!W989</f>
        <v/>
      </c>
      <c r="B997" s="112" t="str">
        <f>'Sampling Data'!A989</f>
        <v>CLEVELAND HEIGHTS -04-C</v>
      </c>
      <c r="C997" s="112">
        <f>'Sampling Data'!B989</f>
        <v>11</v>
      </c>
      <c r="D997" s="112">
        <f>'Sampling Data'!C989</f>
        <v>10</v>
      </c>
      <c r="E997" s="113">
        <f>'Sampling Data'!D989</f>
        <v>7</v>
      </c>
      <c r="F997" s="113">
        <f>'Sampling Data'!E989</f>
        <v>1</v>
      </c>
      <c r="G997" s="113">
        <f>'Sampling Data'!F989</f>
        <v>0</v>
      </c>
      <c r="H997" s="113">
        <f>'Sampling Data'!G989</f>
        <v>0</v>
      </c>
      <c r="I997" s="112">
        <f>'Sampling Data'!H989</f>
        <v>0</v>
      </c>
      <c r="J997" s="112">
        <f>'Sampling Data'!I989</f>
        <v>1</v>
      </c>
      <c r="K997" s="112">
        <f>'Sampling Data'!J989</f>
        <v>30</v>
      </c>
      <c r="L997" s="111">
        <f>'Sampling Data'!X989</f>
        <v>0</v>
      </c>
      <c r="M997" s="114"/>
      <c r="N997" s="114"/>
      <c r="O997" s="115"/>
      <c r="P997" s="115"/>
      <c r="Q997" s="116"/>
      <c r="R997" s="116"/>
      <c r="S997" s="111">
        <f>Audit[[#This Row],[Audit Losing Candidate]]-Audit[[#This Row],[Losing Candidate]]</f>
        <v>-11</v>
      </c>
      <c r="T997" s="111">
        <f>Audit[[#This Row],[Audit Winning Candidate]]-Audit[[#This Row],[Winning Candidate]]</f>
        <v>-10</v>
      </c>
      <c r="U997" s="111">
        <f>Audit[[#This Row],[Audit Candidate 3]]-Audit[[#This Row],[Candidate 3]]</f>
        <v>-7</v>
      </c>
      <c r="V997" s="111">
        <f>Audit[[#This Row],[Audit Candidate 4]]-Audit[[#This Row],[Candidate 4]]</f>
        <v>-1</v>
      </c>
      <c r="W997" s="111">
        <f>Audit[[#This Row],[Audit Candidate 5]]-Audit[[#This Row],[Candidate 5]]</f>
        <v>0</v>
      </c>
      <c r="X997" s="111">
        <f>Audit[[#This Row],[Audit Candidate 6]]-Audit[[#This Row],[Candidate 6]]</f>
        <v>0</v>
      </c>
      <c r="Y997" s="111">
        <f>SUMIF(Audit[[#This Row],[Difference Loser]:[Difference Candidate 6]], "&gt;0")</f>
        <v>0</v>
      </c>
      <c r="Z997" s="111">
        <f>SUM(Audit[[#This Row],[Difference Loser]:[Difference Candidate 6]])</f>
        <v>-29</v>
      </c>
      <c r="AA997" s="111">
        <f>IF(Audit[[#This Row],[Times p Drawn - With Replacement]]&gt;0, IF(Audit[[#This Row],[Canceled Differences]]&lt;0, Audit[[#This Row],[Max Differences]]+ABS(Audit[[#This Row],[Canceled Differences]]), Audit[[#This Row],[Max Differences]]), 0)</f>
        <v>0</v>
      </c>
      <c r="AB997" s="111">
        <f>'Sampling Data'!P989</f>
        <v>1.7760901518863303E-3</v>
      </c>
      <c r="AC997" s="111">
        <f>IF(
      SUM(Audit[[#This Row],[Audit Losing Candidate]:[Audit Candidate 6]])
      &lt;&gt;0,
      (Audit[[#This Row],[Winning Candidate]]-Audit[[#This Row],[Losing Candidate]]-(Audit[[#This Row],[Audit Winning Candidate]]-Audit[[#This Row],[Audit Losing Candidate]]))/(Audit[[#Totals],[Winning Candidate]]-Audit[[#Totals],[Losing Candidate]]),
      0
)</f>
        <v>0</v>
      </c>
      <c r="AD9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7" s="111">
        <f>IF(Audit[[#This Row],[Max Relative Error (ep)]] = 0, 0, Audit[[#This Row],[Max Relative Error (ep)]]/Audit[[#This Row],[Error Bound (up) - Max. possible relative overstatement]])</f>
        <v>0</v>
      </c>
      <c r="AJ9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97" s="111">
        <f t="shared" si="15"/>
        <v>1</v>
      </c>
      <c r="AL997" s="111">
        <f>PRODUCT($AK$5:AK997)</f>
        <v>8.962823818226312E-2</v>
      </c>
      <c r="AM997" s="109">
        <f>1 - [K-M P Value]</f>
        <v>0.91037176181773694</v>
      </c>
      <c r="AN997" s="111" t="str">
        <f>IF(Audit[[#This Row],[K-M P Value]]&gt;1-'General Info'!$B$16,"Continue", "Stop")</f>
        <v>Stop</v>
      </c>
      <c r="AO997" s="110" t="b">
        <f>IF(Audit[[#This Row],[Status - Continue or stop audit]] = "Continue", TRUE, IF(AN996 = "Continue", TRUE, FALSE))</f>
        <v>0</v>
      </c>
      <c r="AP997" s="110"/>
    </row>
    <row r="998" spans="1:42" ht="15" hidden="1" customHeight="1">
      <c r="A998" s="111" t="str">
        <f>'Sampling Data'!W990</f>
        <v/>
      </c>
      <c r="B998" s="112" t="str">
        <f>'Sampling Data'!A990</f>
        <v>CLEVELAND HEIGHTS -04-C - ABS</v>
      </c>
      <c r="C998" s="112">
        <f>'Sampling Data'!B990</f>
        <v>0</v>
      </c>
      <c r="D998" s="112">
        <f>'Sampling Data'!C990</f>
        <v>9</v>
      </c>
      <c r="E998" s="113">
        <f>'Sampling Data'!D990</f>
        <v>2</v>
      </c>
      <c r="F998" s="113">
        <f>'Sampling Data'!E990</f>
        <v>3</v>
      </c>
      <c r="G998" s="113">
        <f>'Sampling Data'!F990</f>
        <v>1</v>
      </c>
      <c r="H998" s="113">
        <f>'Sampling Data'!G990</f>
        <v>0</v>
      </c>
      <c r="I998" s="112">
        <f>'Sampling Data'!H990</f>
        <v>0</v>
      </c>
      <c r="J998" s="112">
        <f>'Sampling Data'!I990</f>
        <v>1</v>
      </c>
      <c r="K998" s="112">
        <f>'Sampling Data'!J990</f>
        <v>16</v>
      </c>
      <c r="L998" s="111">
        <f>'Sampling Data'!X990</f>
        <v>0</v>
      </c>
      <c r="M998" s="114"/>
      <c r="N998" s="114"/>
      <c r="O998" s="115"/>
      <c r="P998" s="115"/>
      <c r="Q998" s="116"/>
      <c r="R998" s="116"/>
      <c r="S998" s="111">
        <f>Audit[[#This Row],[Audit Losing Candidate]]-Audit[[#This Row],[Losing Candidate]]</f>
        <v>0</v>
      </c>
      <c r="T998" s="111">
        <f>Audit[[#This Row],[Audit Winning Candidate]]-Audit[[#This Row],[Winning Candidate]]</f>
        <v>-9</v>
      </c>
      <c r="U998" s="111">
        <f>Audit[[#This Row],[Audit Candidate 3]]-Audit[[#This Row],[Candidate 3]]</f>
        <v>-2</v>
      </c>
      <c r="V998" s="111">
        <f>Audit[[#This Row],[Audit Candidate 4]]-Audit[[#This Row],[Candidate 4]]</f>
        <v>-3</v>
      </c>
      <c r="W998" s="111">
        <f>Audit[[#This Row],[Audit Candidate 5]]-Audit[[#This Row],[Candidate 5]]</f>
        <v>-1</v>
      </c>
      <c r="X998" s="111">
        <f>Audit[[#This Row],[Audit Candidate 6]]-Audit[[#This Row],[Candidate 6]]</f>
        <v>0</v>
      </c>
      <c r="Y998" s="111">
        <f>SUMIF(Audit[[#This Row],[Difference Loser]:[Difference Candidate 6]], "&gt;0")</f>
        <v>0</v>
      </c>
      <c r="Z998" s="111">
        <f>SUM(Audit[[#This Row],[Difference Loser]:[Difference Candidate 6]])</f>
        <v>-15</v>
      </c>
      <c r="AA998" s="111">
        <f>IF(Audit[[#This Row],[Times p Drawn - With Replacement]]&gt;0, IF(Audit[[#This Row],[Canceled Differences]]&lt;0, Audit[[#This Row],[Max Differences]]+ABS(Audit[[#This Row],[Canceled Differences]]), Audit[[#This Row],[Max Differences]]), 0)</f>
        <v>0</v>
      </c>
      <c r="AB998" s="111">
        <f>'Sampling Data'!P990</f>
        <v>1.5311121999020088E-3</v>
      </c>
      <c r="AC998" s="111">
        <f>IF(
      SUM(Audit[[#This Row],[Audit Losing Candidate]:[Audit Candidate 6]])
      &lt;&gt;0,
      (Audit[[#This Row],[Winning Candidate]]-Audit[[#This Row],[Losing Candidate]]-(Audit[[#This Row],[Audit Winning Candidate]]-Audit[[#This Row],[Audit Losing Candidate]]))/(Audit[[#Totals],[Winning Candidate]]-Audit[[#Totals],[Losing Candidate]]),
      0
)</f>
        <v>0</v>
      </c>
      <c r="AD9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8" s="111">
        <f>IF(Audit[[#This Row],[Max Relative Error (ep)]] = 0, 0, Audit[[#This Row],[Max Relative Error (ep)]]/Audit[[#This Row],[Error Bound (up) - Max. possible relative overstatement]])</f>
        <v>0</v>
      </c>
      <c r="AJ9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98" s="111">
        <f t="shared" si="15"/>
        <v>1</v>
      </c>
      <c r="AL998" s="111">
        <f>PRODUCT($AK$5:AK998)</f>
        <v>8.962823818226312E-2</v>
      </c>
      <c r="AM998" s="109">
        <f>1 - [K-M P Value]</f>
        <v>0.91037176181773694</v>
      </c>
      <c r="AN998" s="111" t="str">
        <f>IF(Audit[[#This Row],[K-M P Value]]&gt;1-'General Info'!$B$16,"Continue", "Stop")</f>
        <v>Stop</v>
      </c>
      <c r="AO998" s="110" t="b">
        <f>IF(Audit[[#This Row],[Status - Continue or stop audit]] = "Continue", TRUE, IF(AN997 = "Continue", TRUE, FALSE))</f>
        <v>0</v>
      </c>
      <c r="AP998" s="110"/>
    </row>
    <row r="999" spans="1:42" ht="15" hidden="1" customHeight="1">
      <c r="A999" s="111" t="str">
        <f>'Sampling Data'!W991</f>
        <v/>
      </c>
      <c r="B999" s="112" t="str">
        <f>'Sampling Data'!A991</f>
        <v>CLEVELAND HEIGHTS -04-D</v>
      </c>
      <c r="C999" s="112">
        <f>'Sampling Data'!B991</f>
        <v>4</v>
      </c>
      <c r="D999" s="112">
        <f>'Sampling Data'!C991</f>
        <v>6</v>
      </c>
      <c r="E999" s="113">
        <f>'Sampling Data'!D991</f>
        <v>1</v>
      </c>
      <c r="F999" s="113">
        <f>'Sampling Data'!E991</f>
        <v>2</v>
      </c>
      <c r="G999" s="113">
        <f>'Sampling Data'!F991</f>
        <v>0</v>
      </c>
      <c r="H999" s="113">
        <f>'Sampling Data'!G991</f>
        <v>0</v>
      </c>
      <c r="I999" s="112">
        <f>'Sampling Data'!H991</f>
        <v>0</v>
      </c>
      <c r="J999" s="112">
        <f>'Sampling Data'!I991</f>
        <v>2</v>
      </c>
      <c r="K999" s="112">
        <f>'Sampling Data'!J991</f>
        <v>15</v>
      </c>
      <c r="L999" s="111">
        <f>'Sampling Data'!X991</f>
        <v>0</v>
      </c>
      <c r="M999" s="114"/>
      <c r="N999" s="114"/>
      <c r="O999" s="115"/>
      <c r="P999" s="115"/>
      <c r="Q999" s="116"/>
      <c r="R999" s="116"/>
      <c r="S999" s="111">
        <f>Audit[[#This Row],[Audit Losing Candidate]]-Audit[[#This Row],[Losing Candidate]]</f>
        <v>-4</v>
      </c>
      <c r="T999" s="111">
        <f>Audit[[#This Row],[Audit Winning Candidate]]-Audit[[#This Row],[Winning Candidate]]</f>
        <v>-6</v>
      </c>
      <c r="U999" s="111">
        <f>Audit[[#This Row],[Audit Candidate 3]]-Audit[[#This Row],[Candidate 3]]</f>
        <v>-1</v>
      </c>
      <c r="V999" s="111">
        <f>Audit[[#This Row],[Audit Candidate 4]]-Audit[[#This Row],[Candidate 4]]</f>
        <v>-2</v>
      </c>
      <c r="W999" s="111">
        <f>Audit[[#This Row],[Audit Candidate 5]]-Audit[[#This Row],[Candidate 5]]</f>
        <v>0</v>
      </c>
      <c r="X999" s="111">
        <f>Audit[[#This Row],[Audit Candidate 6]]-Audit[[#This Row],[Candidate 6]]</f>
        <v>0</v>
      </c>
      <c r="Y999" s="111">
        <f>SUMIF(Audit[[#This Row],[Difference Loser]:[Difference Candidate 6]], "&gt;0")</f>
        <v>0</v>
      </c>
      <c r="Z999" s="111">
        <f>SUM(Audit[[#This Row],[Difference Loser]:[Difference Candidate 6]])</f>
        <v>-13</v>
      </c>
      <c r="AA999" s="111">
        <f>IF(Audit[[#This Row],[Times p Drawn - With Replacement]]&gt;0, IF(Audit[[#This Row],[Canceled Differences]]&lt;0, Audit[[#This Row],[Max Differences]]+ABS(Audit[[#This Row],[Canceled Differences]]), Audit[[#This Row],[Max Differences]]), 0)</f>
        <v>0</v>
      </c>
      <c r="AB999" s="111">
        <f>'Sampling Data'!P991</f>
        <v>1.041156295933366E-3</v>
      </c>
      <c r="AC999" s="111">
        <f>IF(
      SUM(Audit[[#This Row],[Audit Losing Candidate]:[Audit Candidate 6]])
      &lt;&gt;0,
      (Audit[[#This Row],[Winning Candidate]]-Audit[[#This Row],[Losing Candidate]]-(Audit[[#This Row],[Audit Winning Candidate]]-Audit[[#This Row],[Audit Losing Candidate]]))/(Audit[[#Totals],[Winning Candidate]]-Audit[[#Totals],[Losing Candidate]]),
      0
)</f>
        <v>0</v>
      </c>
      <c r="AD9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9" s="111">
        <f>IF(Audit[[#This Row],[Max Relative Error (ep)]] = 0, 0, Audit[[#This Row],[Max Relative Error (ep)]]/Audit[[#This Row],[Error Bound (up) - Max. possible relative overstatement]])</f>
        <v>0</v>
      </c>
      <c r="AJ9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999" s="111">
        <f t="shared" si="15"/>
        <v>1</v>
      </c>
      <c r="AL999" s="111">
        <f>PRODUCT($AK$5:AK999)</f>
        <v>8.962823818226312E-2</v>
      </c>
      <c r="AM999" s="109">
        <f>1 - [K-M P Value]</f>
        <v>0.91037176181773694</v>
      </c>
      <c r="AN999" s="111" t="str">
        <f>IF(Audit[[#This Row],[K-M P Value]]&gt;1-'General Info'!$B$16,"Continue", "Stop")</f>
        <v>Stop</v>
      </c>
      <c r="AO999" s="110" t="b">
        <f>IF(Audit[[#This Row],[Status - Continue or stop audit]] = "Continue", TRUE, IF(AN998 = "Continue", TRUE, FALSE))</f>
        <v>0</v>
      </c>
      <c r="AP999" s="110"/>
    </row>
    <row r="1000" spans="1:42" ht="15" hidden="1" customHeight="1">
      <c r="A1000" s="111" t="str">
        <f>'Sampling Data'!W992</f>
        <v/>
      </c>
      <c r="B1000" s="112" t="str">
        <f>'Sampling Data'!A992</f>
        <v>CLEVELAND HEIGHTS -04-D - ABS</v>
      </c>
      <c r="C1000" s="112">
        <f>'Sampling Data'!B992</f>
        <v>2</v>
      </c>
      <c r="D1000" s="112">
        <f>'Sampling Data'!C992</f>
        <v>7</v>
      </c>
      <c r="E1000" s="113">
        <f>'Sampling Data'!D992</f>
        <v>3</v>
      </c>
      <c r="F1000" s="113">
        <f>'Sampling Data'!E992</f>
        <v>0</v>
      </c>
      <c r="G1000" s="113">
        <f>'Sampling Data'!F992</f>
        <v>0</v>
      </c>
      <c r="H1000" s="113">
        <f>'Sampling Data'!G992</f>
        <v>0</v>
      </c>
      <c r="I1000" s="112">
        <f>'Sampling Data'!H992</f>
        <v>0</v>
      </c>
      <c r="J1000" s="112">
        <f>'Sampling Data'!I992</f>
        <v>0</v>
      </c>
      <c r="K1000" s="112">
        <f>'Sampling Data'!J992</f>
        <v>12</v>
      </c>
      <c r="L1000" s="111">
        <f>'Sampling Data'!X992</f>
        <v>0</v>
      </c>
      <c r="M1000" s="114"/>
      <c r="N1000" s="114"/>
      <c r="O1000" s="115"/>
      <c r="P1000" s="115"/>
      <c r="Q1000" s="116"/>
      <c r="R1000" s="116"/>
      <c r="S1000" s="111">
        <f>Audit[[#This Row],[Audit Losing Candidate]]-Audit[[#This Row],[Losing Candidate]]</f>
        <v>-2</v>
      </c>
      <c r="T1000" s="111">
        <f>Audit[[#This Row],[Audit Winning Candidate]]-Audit[[#This Row],[Winning Candidate]]</f>
        <v>-7</v>
      </c>
      <c r="U1000" s="111">
        <f>Audit[[#This Row],[Audit Candidate 3]]-Audit[[#This Row],[Candidate 3]]</f>
        <v>-3</v>
      </c>
      <c r="V1000" s="111">
        <f>Audit[[#This Row],[Audit Candidate 4]]-Audit[[#This Row],[Candidate 4]]</f>
        <v>0</v>
      </c>
      <c r="W1000" s="111">
        <f>Audit[[#This Row],[Audit Candidate 5]]-Audit[[#This Row],[Candidate 5]]</f>
        <v>0</v>
      </c>
      <c r="X1000" s="111">
        <f>Audit[[#This Row],[Audit Candidate 6]]-Audit[[#This Row],[Candidate 6]]</f>
        <v>0</v>
      </c>
      <c r="Y1000" s="111">
        <f>SUMIF(Audit[[#This Row],[Difference Loser]:[Difference Candidate 6]], "&gt;0")</f>
        <v>0</v>
      </c>
      <c r="Z1000" s="111">
        <f>SUM(Audit[[#This Row],[Difference Loser]:[Difference Candidate 6]])</f>
        <v>-12</v>
      </c>
      <c r="AA1000" s="111">
        <f>IF(Audit[[#This Row],[Times p Drawn - With Replacement]]&gt;0, IF(Audit[[#This Row],[Canceled Differences]]&lt;0, Audit[[#This Row],[Max Differences]]+ABS(Audit[[#This Row],[Canceled Differences]]), Audit[[#This Row],[Max Differences]]), 0)</f>
        <v>0</v>
      </c>
      <c r="AB1000" s="111">
        <f>'Sampling Data'!P992</f>
        <v>1.041156295933366E-3</v>
      </c>
      <c r="AC1000" s="111">
        <f>IF(
      SUM(Audit[[#This Row],[Audit Losing Candidate]:[Audit Candidate 6]])
      &lt;&gt;0,
      (Audit[[#This Row],[Winning Candidate]]-Audit[[#This Row],[Losing Candidate]]-(Audit[[#This Row],[Audit Winning Candidate]]-Audit[[#This Row],[Audit Losing Candidate]]))/(Audit[[#Totals],[Winning Candidate]]-Audit[[#Totals],[Losing Candidate]]),
      0
)</f>
        <v>0</v>
      </c>
      <c r="AD10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0" s="111">
        <f>IF(Audit[[#This Row],[Max Relative Error (ep)]] = 0, 0, Audit[[#This Row],[Max Relative Error (ep)]]/Audit[[#This Row],[Error Bound (up) - Max. possible relative overstatement]])</f>
        <v>0</v>
      </c>
      <c r="AJ10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00" s="111">
        <f t="shared" si="15"/>
        <v>1</v>
      </c>
      <c r="AL1000" s="111">
        <f>PRODUCT($AK$5:AK1000)</f>
        <v>8.962823818226312E-2</v>
      </c>
      <c r="AM1000" s="109">
        <f>1 - [K-M P Value]</f>
        <v>0.91037176181773694</v>
      </c>
      <c r="AN1000" s="111" t="str">
        <f>IF(Audit[[#This Row],[K-M P Value]]&gt;1-'General Info'!$B$16,"Continue", "Stop")</f>
        <v>Stop</v>
      </c>
      <c r="AO1000" s="110" t="b">
        <f>IF(Audit[[#This Row],[Status - Continue or stop audit]] = "Continue", TRUE, IF(AN999 = "Continue", TRUE, FALSE))</f>
        <v>0</v>
      </c>
      <c r="AP1000" s="110"/>
    </row>
    <row r="1001" spans="1:42" ht="15" hidden="1" customHeight="1">
      <c r="A1001" s="111" t="str">
        <f>'Sampling Data'!W993</f>
        <v/>
      </c>
      <c r="B1001" s="112" t="str">
        <f>'Sampling Data'!A993</f>
        <v>CLEVELAND HEIGHTS -04-E</v>
      </c>
      <c r="C1001" s="112">
        <f>'Sampling Data'!B993</f>
        <v>4</v>
      </c>
      <c r="D1001" s="112">
        <f>'Sampling Data'!C993</f>
        <v>12</v>
      </c>
      <c r="E1001" s="113">
        <f>'Sampling Data'!D993</f>
        <v>3</v>
      </c>
      <c r="F1001" s="113">
        <f>'Sampling Data'!E993</f>
        <v>6</v>
      </c>
      <c r="G1001" s="113">
        <f>'Sampling Data'!F993</f>
        <v>0</v>
      </c>
      <c r="H1001" s="113">
        <f>'Sampling Data'!G993</f>
        <v>0</v>
      </c>
      <c r="I1001" s="112">
        <f>'Sampling Data'!H993</f>
        <v>0</v>
      </c>
      <c r="J1001" s="112">
        <f>'Sampling Data'!I993</f>
        <v>1</v>
      </c>
      <c r="K1001" s="112">
        <f>'Sampling Data'!J993</f>
        <v>26</v>
      </c>
      <c r="L1001" s="111">
        <f>'Sampling Data'!X993</f>
        <v>0</v>
      </c>
      <c r="M1001" s="114"/>
      <c r="N1001" s="114"/>
      <c r="O1001" s="115"/>
      <c r="P1001" s="115"/>
      <c r="Q1001" s="116"/>
      <c r="R1001" s="116"/>
      <c r="S1001" s="111">
        <f>Audit[[#This Row],[Audit Losing Candidate]]-Audit[[#This Row],[Losing Candidate]]</f>
        <v>-4</v>
      </c>
      <c r="T1001" s="111">
        <f>Audit[[#This Row],[Audit Winning Candidate]]-Audit[[#This Row],[Winning Candidate]]</f>
        <v>-12</v>
      </c>
      <c r="U1001" s="111">
        <f>Audit[[#This Row],[Audit Candidate 3]]-Audit[[#This Row],[Candidate 3]]</f>
        <v>-3</v>
      </c>
      <c r="V1001" s="111">
        <f>Audit[[#This Row],[Audit Candidate 4]]-Audit[[#This Row],[Candidate 4]]</f>
        <v>-6</v>
      </c>
      <c r="W1001" s="111">
        <f>Audit[[#This Row],[Audit Candidate 5]]-Audit[[#This Row],[Candidate 5]]</f>
        <v>0</v>
      </c>
      <c r="X1001" s="111">
        <f>Audit[[#This Row],[Audit Candidate 6]]-Audit[[#This Row],[Candidate 6]]</f>
        <v>0</v>
      </c>
      <c r="Y1001" s="111">
        <f>SUMIF(Audit[[#This Row],[Difference Loser]:[Difference Candidate 6]], "&gt;0")</f>
        <v>0</v>
      </c>
      <c r="Z1001" s="111">
        <f>SUM(Audit[[#This Row],[Difference Loser]:[Difference Candidate 6]])</f>
        <v>-25</v>
      </c>
      <c r="AA1001" s="111">
        <f>IF(Audit[[#This Row],[Times p Drawn - With Replacement]]&gt;0, IF(Audit[[#This Row],[Canceled Differences]]&lt;0, Audit[[#This Row],[Max Differences]]+ABS(Audit[[#This Row],[Canceled Differences]]), Audit[[#This Row],[Max Differences]]), 0)</f>
        <v>0</v>
      </c>
      <c r="AB1001" s="111">
        <f>'Sampling Data'!P993</f>
        <v>2.0823125918667321E-3</v>
      </c>
      <c r="AC1001" s="111">
        <f>IF(
      SUM(Audit[[#This Row],[Audit Losing Candidate]:[Audit Candidate 6]])
      &lt;&gt;0,
      (Audit[[#This Row],[Winning Candidate]]-Audit[[#This Row],[Losing Candidate]]-(Audit[[#This Row],[Audit Winning Candidate]]-Audit[[#This Row],[Audit Losing Candidate]]))/(Audit[[#Totals],[Winning Candidate]]-Audit[[#Totals],[Losing Candidate]]),
      0
)</f>
        <v>0</v>
      </c>
      <c r="AD10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1" s="111">
        <f>IF(Audit[[#This Row],[Max Relative Error (ep)]] = 0, 0, Audit[[#This Row],[Max Relative Error (ep)]]/Audit[[#This Row],[Error Bound (up) - Max. possible relative overstatement]])</f>
        <v>0</v>
      </c>
      <c r="AJ10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01" s="111">
        <f t="shared" si="15"/>
        <v>1</v>
      </c>
      <c r="AL1001" s="111">
        <f>PRODUCT($AK$5:AK1001)</f>
        <v>8.962823818226312E-2</v>
      </c>
      <c r="AM1001" s="109">
        <f>1 - [K-M P Value]</f>
        <v>0.91037176181773694</v>
      </c>
      <c r="AN1001" s="111" t="str">
        <f>IF(Audit[[#This Row],[K-M P Value]]&gt;1-'General Info'!$B$16,"Continue", "Stop")</f>
        <v>Stop</v>
      </c>
      <c r="AO1001" s="110" t="b">
        <f>IF(Audit[[#This Row],[Status - Continue or stop audit]] = "Continue", TRUE, IF(AN1000 = "Continue", TRUE, FALSE))</f>
        <v>0</v>
      </c>
      <c r="AP1001" s="110"/>
    </row>
    <row r="1002" spans="1:42" ht="15" hidden="1" customHeight="1">
      <c r="A1002" s="111" t="str">
        <f>'Sampling Data'!W994</f>
        <v/>
      </c>
      <c r="B1002" s="112" t="str">
        <f>'Sampling Data'!A994</f>
        <v>CLEVELAND HEIGHTS -04-E - ABS</v>
      </c>
      <c r="C1002" s="112">
        <f>'Sampling Data'!B994</f>
        <v>4</v>
      </c>
      <c r="D1002" s="112">
        <f>'Sampling Data'!C994</f>
        <v>8</v>
      </c>
      <c r="E1002" s="113">
        <f>'Sampling Data'!D994</f>
        <v>0</v>
      </c>
      <c r="F1002" s="113">
        <f>'Sampling Data'!E994</f>
        <v>3</v>
      </c>
      <c r="G1002" s="113">
        <f>'Sampling Data'!F994</f>
        <v>1</v>
      </c>
      <c r="H1002" s="113">
        <f>'Sampling Data'!G994</f>
        <v>0</v>
      </c>
      <c r="I1002" s="112">
        <f>'Sampling Data'!H994</f>
        <v>0</v>
      </c>
      <c r="J1002" s="112">
        <f>'Sampling Data'!I994</f>
        <v>0</v>
      </c>
      <c r="K1002" s="112">
        <f>'Sampling Data'!J994</f>
        <v>16</v>
      </c>
      <c r="L1002" s="111">
        <f>'Sampling Data'!X994</f>
        <v>0</v>
      </c>
      <c r="M1002" s="114"/>
      <c r="N1002" s="114"/>
      <c r="O1002" s="115"/>
      <c r="P1002" s="115"/>
      <c r="Q1002" s="116"/>
      <c r="R1002" s="116"/>
      <c r="S1002" s="111">
        <f>Audit[[#This Row],[Audit Losing Candidate]]-Audit[[#This Row],[Losing Candidate]]</f>
        <v>-4</v>
      </c>
      <c r="T1002" s="111">
        <f>Audit[[#This Row],[Audit Winning Candidate]]-Audit[[#This Row],[Winning Candidate]]</f>
        <v>-8</v>
      </c>
      <c r="U1002" s="111">
        <f>Audit[[#This Row],[Audit Candidate 3]]-Audit[[#This Row],[Candidate 3]]</f>
        <v>0</v>
      </c>
      <c r="V1002" s="111">
        <f>Audit[[#This Row],[Audit Candidate 4]]-Audit[[#This Row],[Candidate 4]]</f>
        <v>-3</v>
      </c>
      <c r="W1002" s="111">
        <f>Audit[[#This Row],[Audit Candidate 5]]-Audit[[#This Row],[Candidate 5]]</f>
        <v>-1</v>
      </c>
      <c r="X1002" s="111">
        <f>Audit[[#This Row],[Audit Candidate 6]]-Audit[[#This Row],[Candidate 6]]</f>
        <v>0</v>
      </c>
      <c r="Y1002" s="111">
        <f>SUMIF(Audit[[#This Row],[Difference Loser]:[Difference Candidate 6]], "&gt;0")</f>
        <v>0</v>
      </c>
      <c r="Z1002" s="111">
        <f>SUM(Audit[[#This Row],[Difference Loser]:[Difference Candidate 6]])</f>
        <v>-16</v>
      </c>
      <c r="AA1002" s="111">
        <f>IF(Audit[[#This Row],[Times p Drawn - With Replacement]]&gt;0, IF(Audit[[#This Row],[Canceled Differences]]&lt;0, Audit[[#This Row],[Max Differences]]+ABS(Audit[[#This Row],[Canceled Differences]]), Audit[[#This Row],[Max Differences]]), 0)</f>
        <v>0</v>
      </c>
      <c r="AB1002" s="111">
        <f>'Sampling Data'!P994</f>
        <v>1.224889759921607E-3</v>
      </c>
      <c r="AC1002" s="111">
        <f>IF(
      SUM(Audit[[#This Row],[Audit Losing Candidate]:[Audit Candidate 6]])
      &lt;&gt;0,
      (Audit[[#This Row],[Winning Candidate]]-Audit[[#This Row],[Losing Candidate]]-(Audit[[#This Row],[Audit Winning Candidate]]-Audit[[#This Row],[Audit Losing Candidate]]))/(Audit[[#Totals],[Winning Candidate]]-Audit[[#Totals],[Losing Candidate]]),
      0
)</f>
        <v>0</v>
      </c>
      <c r="AD10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2" s="111">
        <f>IF(Audit[[#This Row],[Max Relative Error (ep)]] = 0, 0, Audit[[#This Row],[Max Relative Error (ep)]]/Audit[[#This Row],[Error Bound (up) - Max. possible relative overstatement]])</f>
        <v>0</v>
      </c>
      <c r="AJ10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02" s="111">
        <f t="shared" si="15"/>
        <v>1</v>
      </c>
      <c r="AL1002" s="111">
        <f>PRODUCT($AK$5:AK1002)</f>
        <v>8.962823818226312E-2</v>
      </c>
      <c r="AM1002" s="109">
        <f>1 - [K-M P Value]</f>
        <v>0.91037176181773694</v>
      </c>
      <c r="AN1002" s="111" t="str">
        <f>IF(Audit[[#This Row],[K-M P Value]]&gt;1-'General Info'!$B$16,"Continue", "Stop")</f>
        <v>Stop</v>
      </c>
      <c r="AO1002" s="110" t="b">
        <f>IF(Audit[[#This Row],[Status - Continue or stop audit]] = "Continue", TRUE, IF(AN1001 = "Continue", TRUE, FALSE))</f>
        <v>0</v>
      </c>
      <c r="AP1002" s="110"/>
    </row>
    <row r="1003" spans="1:42" ht="15" hidden="1" customHeight="1">
      <c r="A1003" s="111" t="str">
        <f>'Sampling Data'!W995</f>
        <v/>
      </c>
      <c r="B1003" s="112" t="str">
        <f>'Sampling Data'!A995</f>
        <v>CLEVELAND HEIGHTS -04-F</v>
      </c>
      <c r="C1003" s="112">
        <f>'Sampling Data'!B995</f>
        <v>5</v>
      </c>
      <c r="D1003" s="112">
        <f>'Sampling Data'!C995</f>
        <v>20</v>
      </c>
      <c r="E1003" s="113">
        <f>'Sampling Data'!D995</f>
        <v>5</v>
      </c>
      <c r="F1003" s="113">
        <f>'Sampling Data'!E995</f>
        <v>5</v>
      </c>
      <c r="G1003" s="113">
        <f>'Sampling Data'!F995</f>
        <v>0</v>
      </c>
      <c r="H1003" s="113">
        <f>'Sampling Data'!G995</f>
        <v>0</v>
      </c>
      <c r="I1003" s="112">
        <f>'Sampling Data'!H995</f>
        <v>0</v>
      </c>
      <c r="J1003" s="112">
        <f>'Sampling Data'!I995</f>
        <v>1</v>
      </c>
      <c r="K1003" s="112">
        <f>'Sampling Data'!J995</f>
        <v>36</v>
      </c>
      <c r="L1003" s="111">
        <f>'Sampling Data'!X995</f>
        <v>0</v>
      </c>
      <c r="M1003" s="114"/>
      <c r="N1003" s="114"/>
      <c r="O1003" s="115"/>
      <c r="P1003" s="115"/>
      <c r="Q1003" s="116"/>
      <c r="R1003" s="116"/>
      <c r="S1003" s="111">
        <f>Audit[[#This Row],[Audit Losing Candidate]]-Audit[[#This Row],[Losing Candidate]]</f>
        <v>-5</v>
      </c>
      <c r="T1003" s="111">
        <f>Audit[[#This Row],[Audit Winning Candidate]]-Audit[[#This Row],[Winning Candidate]]</f>
        <v>-20</v>
      </c>
      <c r="U1003" s="111">
        <f>Audit[[#This Row],[Audit Candidate 3]]-Audit[[#This Row],[Candidate 3]]</f>
        <v>-5</v>
      </c>
      <c r="V1003" s="111">
        <f>Audit[[#This Row],[Audit Candidate 4]]-Audit[[#This Row],[Candidate 4]]</f>
        <v>-5</v>
      </c>
      <c r="W1003" s="111">
        <f>Audit[[#This Row],[Audit Candidate 5]]-Audit[[#This Row],[Candidate 5]]</f>
        <v>0</v>
      </c>
      <c r="X1003" s="111">
        <f>Audit[[#This Row],[Audit Candidate 6]]-Audit[[#This Row],[Candidate 6]]</f>
        <v>0</v>
      </c>
      <c r="Y1003" s="111">
        <f>SUMIF(Audit[[#This Row],[Difference Loser]:[Difference Candidate 6]], "&gt;0")</f>
        <v>0</v>
      </c>
      <c r="Z1003" s="111">
        <f>SUM(Audit[[#This Row],[Difference Loser]:[Difference Candidate 6]])</f>
        <v>-35</v>
      </c>
      <c r="AA1003" s="111">
        <f>IF(Audit[[#This Row],[Times p Drawn - With Replacement]]&gt;0, IF(Audit[[#This Row],[Canceled Differences]]&lt;0, Audit[[#This Row],[Max Differences]]+ABS(Audit[[#This Row],[Canceled Differences]]), Audit[[#This Row],[Max Differences]]), 0)</f>
        <v>0</v>
      </c>
      <c r="AB1003" s="111">
        <f>'Sampling Data'!P995</f>
        <v>3.1234688878000981E-3</v>
      </c>
      <c r="AC1003" s="111">
        <f>IF(
      SUM(Audit[[#This Row],[Audit Losing Candidate]:[Audit Candidate 6]])
      &lt;&gt;0,
      (Audit[[#This Row],[Winning Candidate]]-Audit[[#This Row],[Losing Candidate]]-(Audit[[#This Row],[Audit Winning Candidate]]-Audit[[#This Row],[Audit Losing Candidate]]))/(Audit[[#Totals],[Winning Candidate]]-Audit[[#Totals],[Losing Candidate]]),
      0
)</f>
        <v>0</v>
      </c>
      <c r="AD10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3" s="111">
        <f>IF(Audit[[#This Row],[Max Relative Error (ep)]] = 0, 0, Audit[[#This Row],[Max Relative Error (ep)]]/Audit[[#This Row],[Error Bound (up) - Max. possible relative overstatement]])</f>
        <v>0</v>
      </c>
      <c r="AJ10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03" s="111">
        <f t="shared" si="15"/>
        <v>1</v>
      </c>
      <c r="AL1003" s="111">
        <f>PRODUCT($AK$5:AK1003)</f>
        <v>8.962823818226312E-2</v>
      </c>
      <c r="AM1003" s="109">
        <f>1 - [K-M P Value]</f>
        <v>0.91037176181773694</v>
      </c>
      <c r="AN1003" s="111" t="str">
        <f>IF(Audit[[#This Row],[K-M P Value]]&gt;1-'General Info'!$B$16,"Continue", "Stop")</f>
        <v>Stop</v>
      </c>
      <c r="AO1003" s="110" t="b">
        <f>IF(Audit[[#This Row],[Status - Continue or stop audit]] = "Continue", TRUE, IF(AN1002 = "Continue", TRUE, FALSE))</f>
        <v>0</v>
      </c>
      <c r="AP1003" s="110"/>
    </row>
    <row r="1004" spans="1:42" ht="15" hidden="1" customHeight="1">
      <c r="A1004" s="111" t="str">
        <f>'Sampling Data'!W996</f>
        <v/>
      </c>
      <c r="B1004" s="112" t="str">
        <f>'Sampling Data'!A996</f>
        <v>CLEVELAND HEIGHTS -04-F - ABS</v>
      </c>
      <c r="C1004" s="112">
        <f>'Sampling Data'!B996</f>
        <v>0</v>
      </c>
      <c r="D1004" s="112">
        <f>'Sampling Data'!C996</f>
        <v>8</v>
      </c>
      <c r="E1004" s="113">
        <f>'Sampling Data'!D996</f>
        <v>1</v>
      </c>
      <c r="F1004" s="113">
        <f>'Sampling Data'!E996</f>
        <v>1</v>
      </c>
      <c r="G1004" s="113">
        <f>'Sampling Data'!F996</f>
        <v>2</v>
      </c>
      <c r="H1004" s="113">
        <f>'Sampling Data'!G996</f>
        <v>0</v>
      </c>
      <c r="I1004" s="112">
        <f>'Sampling Data'!H996</f>
        <v>0</v>
      </c>
      <c r="J1004" s="112">
        <f>'Sampling Data'!I996</f>
        <v>2</v>
      </c>
      <c r="K1004" s="112">
        <f>'Sampling Data'!J996</f>
        <v>14</v>
      </c>
      <c r="L1004" s="111">
        <f>'Sampling Data'!X996</f>
        <v>0</v>
      </c>
      <c r="M1004" s="114"/>
      <c r="N1004" s="114"/>
      <c r="O1004" s="115"/>
      <c r="P1004" s="115"/>
      <c r="Q1004" s="116"/>
      <c r="R1004" s="116"/>
      <c r="S1004" s="111">
        <f>Audit[[#This Row],[Audit Losing Candidate]]-Audit[[#This Row],[Losing Candidate]]</f>
        <v>0</v>
      </c>
      <c r="T1004" s="111">
        <f>Audit[[#This Row],[Audit Winning Candidate]]-Audit[[#This Row],[Winning Candidate]]</f>
        <v>-8</v>
      </c>
      <c r="U1004" s="111">
        <f>Audit[[#This Row],[Audit Candidate 3]]-Audit[[#This Row],[Candidate 3]]</f>
        <v>-1</v>
      </c>
      <c r="V1004" s="111">
        <f>Audit[[#This Row],[Audit Candidate 4]]-Audit[[#This Row],[Candidate 4]]</f>
        <v>-1</v>
      </c>
      <c r="W1004" s="111">
        <f>Audit[[#This Row],[Audit Candidate 5]]-Audit[[#This Row],[Candidate 5]]</f>
        <v>-2</v>
      </c>
      <c r="X1004" s="111">
        <f>Audit[[#This Row],[Audit Candidate 6]]-Audit[[#This Row],[Candidate 6]]</f>
        <v>0</v>
      </c>
      <c r="Y1004" s="111">
        <f>SUMIF(Audit[[#This Row],[Difference Loser]:[Difference Candidate 6]], "&gt;0")</f>
        <v>0</v>
      </c>
      <c r="Z1004" s="111">
        <f>SUM(Audit[[#This Row],[Difference Loser]:[Difference Candidate 6]])</f>
        <v>-12</v>
      </c>
      <c r="AA1004" s="111">
        <f>IF(Audit[[#This Row],[Times p Drawn - With Replacement]]&gt;0, IF(Audit[[#This Row],[Canceled Differences]]&lt;0, Audit[[#This Row],[Max Differences]]+ABS(Audit[[#This Row],[Canceled Differences]]), Audit[[#This Row],[Max Differences]]), 0)</f>
        <v>0</v>
      </c>
      <c r="AB1004" s="111">
        <f>'Sampling Data'!P996</f>
        <v>1.3473787359137678E-3</v>
      </c>
      <c r="AC1004" s="111">
        <f>IF(
      SUM(Audit[[#This Row],[Audit Losing Candidate]:[Audit Candidate 6]])
      &lt;&gt;0,
      (Audit[[#This Row],[Winning Candidate]]-Audit[[#This Row],[Losing Candidate]]-(Audit[[#This Row],[Audit Winning Candidate]]-Audit[[#This Row],[Audit Losing Candidate]]))/(Audit[[#Totals],[Winning Candidate]]-Audit[[#Totals],[Losing Candidate]]),
      0
)</f>
        <v>0</v>
      </c>
      <c r="AD10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4" s="111">
        <f>IF(Audit[[#This Row],[Max Relative Error (ep)]] = 0, 0, Audit[[#This Row],[Max Relative Error (ep)]]/Audit[[#This Row],[Error Bound (up) - Max. possible relative overstatement]])</f>
        <v>0</v>
      </c>
      <c r="AJ10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04" s="111">
        <f t="shared" si="15"/>
        <v>1</v>
      </c>
      <c r="AL1004" s="111">
        <f>PRODUCT($AK$5:AK1004)</f>
        <v>8.962823818226312E-2</v>
      </c>
      <c r="AM1004" s="109">
        <f>1 - [K-M P Value]</f>
        <v>0.91037176181773694</v>
      </c>
      <c r="AN1004" s="111" t="str">
        <f>IF(Audit[[#This Row],[K-M P Value]]&gt;1-'General Info'!$B$16,"Continue", "Stop")</f>
        <v>Stop</v>
      </c>
      <c r="AO1004" s="110" t="b">
        <f>IF(Audit[[#This Row],[Status - Continue or stop audit]] = "Continue", TRUE, IF(AN1003 = "Continue", TRUE, FALSE))</f>
        <v>0</v>
      </c>
      <c r="AP1004" s="110"/>
    </row>
    <row r="1005" spans="1:42" ht="15" hidden="1" customHeight="1">
      <c r="A1005" s="111" t="str">
        <f>'Sampling Data'!W997</f>
        <v/>
      </c>
      <c r="B1005" s="112" t="str">
        <f>'Sampling Data'!A997</f>
        <v>CLEVELAND HEIGHTS -04-G</v>
      </c>
      <c r="C1005" s="112">
        <f>'Sampling Data'!B997</f>
        <v>10</v>
      </c>
      <c r="D1005" s="112">
        <f>'Sampling Data'!C997</f>
        <v>35</v>
      </c>
      <c r="E1005" s="113">
        <f>'Sampling Data'!D997</f>
        <v>3</v>
      </c>
      <c r="F1005" s="113">
        <f>'Sampling Data'!E997</f>
        <v>1</v>
      </c>
      <c r="G1005" s="113">
        <f>'Sampling Data'!F997</f>
        <v>0</v>
      </c>
      <c r="H1005" s="113">
        <f>'Sampling Data'!G997</f>
        <v>0</v>
      </c>
      <c r="I1005" s="112">
        <f>'Sampling Data'!H997</f>
        <v>0</v>
      </c>
      <c r="J1005" s="112">
        <f>'Sampling Data'!I997</f>
        <v>0</v>
      </c>
      <c r="K1005" s="112">
        <f>'Sampling Data'!J997</f>
        <v>49</v>
      </c>
      <c r="L1005" s="111">
        <f>'Sampling Data'!X997</f>
        <v>0</v>
      </c>
      <c r="M1005" s="114"/>
      <c r="N1005" s="114"/>
      <c r="O1005" s="115"/>
      <c r="P1005" s="115"/>
      <c r="Q1005" s="116"/>
      <c r="R1005" s="116"/>
      <c r="S1005" s="111">
        <f>Audit[[#This Row],[Audit Losing Candidate]]-Audit[[#This Row],[Losing Candidate]]</f>
        <v>-10</v>
      </c>
      <c r="T1005" s="111">
        <f>Audit[[#This Row],[Audit Winning Candidate]]-Audit[[#This Row],[Winning Candidate]]</f>
        <v>-35</v>
      </c>
      <c r="U1005" s="111">
        <f>Audit[[#This Row],[Audit Candidate 3]]-Audit[[#This Row],[Candidate 3]]</f>
        <v>-3</v>
      </c>
      <c r="V1005" s="111">
        <f>Audit[[#This Row],[Audit Candidate 4]]-Audit[[#This Row],[Candidate 4]]</f>
        <v>-1</v>
      </c>
      <c r="W1005" s="111">
        <f>Audit[[#This Row],[Audit Candidate 5]]-Audit[[#This Row],[Candidate 5]]</f>
        <v>0</v>
      </c>
      <c r="X1005" s="111">
        <f>Audit[[#This Row],[Audit Candidate 6]]-Audit[[#This Row],[Candidate 6]]</f>
        <v>0</v>
      </c>
      <c r="Y1005" s="111">
        <f>SUMIF(Audit[[#This Row],[Difference Loser]:[Difference Candidate 6]], "&gt;0")</f>
        <v>0</v>
      </c>
      <c r="Z1005" s="111">
        <f>SUM(Audit[[#This Row],[Difference Loser]:[Difference Candidate 6]])</f>
        <v>-49</v>
      </c>
      <c r="AA1005" s="111">
        <f>IF(Audit[[#This Row],[Times p Drawn - With Replacement]]&gt;0, IF(Audit[[#This Row],[Canceled Differences]]&lt;0, Audit[[#This Row],[Max Differences]]+ABS(Audit[[#This Row],[Canceled Differences]]), Audit[[#This Row],[Max Differences]]), 0)</f>
        <v>0</v>
      </c>
      <c r="AB1005" s="111">
        <f>'Sampling Data'!P997</f>
        <v>4.5320921117099457E-3</v>
      </c>
      <c r="AC1005" s="111">
        <f>IF(
      SUM(Audit[[#This Row],[Audit Losing Candidate]:[Audit Candidate 6]])
      &lt;&gt;0,
      (Audit[[#This Row],[Winning Candidate]]-Audit[[#This Row],[Losing Candidate]]-(Audit[[#This Row],[Audit Winning Candidate]]-Audit[[#This Row],[Audit Losing Candidate]]))/(Audit[[#Totals],[Winning Candidate]]-Audit[[#Totals],[Losing Candidate]]),
      0
)</f>
        <v>0</v>
      </c>
      <c r="AD10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5" s="111">
        <f>IF(Audit[[#This Row],[Max Relative Error (ep)]] = 0, 0, Audit[[#This Row],[Max Relative Error (ep)]]/Audit[[#This Row],[Error Bound (up) - Max. possible relative overstatement]])</f>
        <v>0</v>
      </c>
      <c r="AJ10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05" s="111">
        <f t="shared" si="15"/>
        <v>1</v>
      </c>
      <c r="AL1005" s="111">
        <f>PRODUCT($AK$5:AK1005)</f>
        <v>8.962823818226312E-2</v>
      </c>
      <c r="AM1005" s="109">
        <f>1 - [K-M P Value]</f>
        <v>0.91037176181773694</v>
      </c>
      <c r="AN1005" s="111" t="str">
        <f>IF(Audit[[#This Row],[K-M P Value]]&gt;1-'General Info'!$B$16,"Continue", "Stop")</f>
        <v>Stop</v>
      </c>
      <c r="AO1005" s="110" t="b">
        <f>IF(Audit[[#This Row],[Status - Continue or stop audit]] = "Continue", TRUE, IF(AN1004 = "Continue", TRUE, FALSE))</f>
        <v>0</v>
      </c>
      <c r="AP1005" s="110"/>
    </row>
    <row r="1006" spans="1:42" ht="15" hidden="1" customHeight="1">
      <c r="A1006" s="111" t="str">
        <f>'Sampling Data'!W998</f>
        <v/>
      </c>
      <c r="B1006" s="112" t="str">
        <f>'Sampling Data'!A998</f>
        <v>CLEVELAND HEIGHTS -04-G - ABS</v>
      </c>
      <c r="C1006" s="112">
        <f>'Sampling Data'!B998</f>
        <v>7</v>
      </c>
      <c r="D1006" s="112">
        <f>'Sampling Data'!C998</f>
        <v>12</v>
      </c>
      <c r="E1006" s="113">
        <f>'Sampling Data'!D998</f>
        <v>2</v>
      </c>
      <c r="F1006" s="113">
        <f>'Sampling Data'!E998</f>
        <v>0</v>
      </c>
      <c r="G1006" s="113">
        <f>'Sampling Data'!F998</f>
        <v>0</v>
      </c>
      <c r="H1006" s="113">
        <f>'Sampling Data'!G998</f>
        <v>1</v>
      </c>
      <c r="I1006" s="112">
        <f>'Sampling Data'!H998</f>
        <v>0</v>
      </c>
      <c r="J1006" s="112">
        <f>'Sampling Data'!I998</f>
        <v>0</v>
      </c>
      <c r="K1006" s="112">
        <f>'Sampling Data'!J998</f>
        <v>22</v>
      </c>
      <c r="L1006" s="111">
        <f>'Sampling Data'!X998</f>
        <v>0</v>
      </c>
      <c r="M1006" s="114"/>
      <c r="N1006" s="114"/>
      <c r="O1006" s="115"/>
      <c r="P1006" s="115"/>
      <c r="Q1006" s="116"/>
      <c r="R1006" s="116"/>
      <c r="S1006" s="111">
        <f>Audit[[#This Row],[Audit Losing Candidate]]-Audit[[#This Row],[Losing Candidate]]</f>
        <v>-7</v>
      </c>
      <c r="T1006" s="111">
        <f>Audit[[#This Row],[Audit Winning Candidate]]-Audit[[#This Row],[Winning Candidate]]</f>
        <v>-12</v>
      </c>
      <c r="U1006" s="111">
        <f>Audit[[#This Row],[Audit Candidate 3]]-Audit[[#This Row],[Candidate 3]]</f>
        <v>-2</v>
      </c>
      <c r="V1006" s="111">
        <f>Audit[[#This Row],[Audit Candidate 4]]-Audit[[#This Row],[Candidate 4]]</f>
        <v>0</v>
      </c>
      <c r="W1006" s="111">
        <f>Audit[[#This Row],[Audit Candidate 5]]-Audit[[#This Row],[Candidate 5]]</f>
        <v>0</v>
      </c>
      <c r="X1006" s="111">
        <f>Audit[[#This Row],[Audit Candidate 6]]-Audit[[#This Row],[Candidate 6]]</f>
        <v>-1</v>
      </c>
      <c r="Y1006" s="111">
        <f>SUMIF(Audit[[#This Row],[Difference Loser]:[Difference Candidate 6]], "&gt;0")</f>
        <v>0</v>
      </c>
      <c r="Z1006" s="111">
        <f>SUM(Audit[[#This Row],[Difference Loser]:[Difference Candidate 6]])</f>
        <v>-22</v>
      </c>
      <c r="AA1006" s="111">
        <f>IF(Audit[[#This Row],[Times p Drawn - With Replacement]]&gt;0, IF(Audit[[#This Row],[Canceled Differences]]&lt;0, Audit[[#This Row],[Max Differences]]+ABS(Audit[[#This Row],[Canceled Differences]]), Audit[[#This Row],[Max Differences]]), 0)</f>
        <v>0</v>
      </c>
      <c r="AB1006" s="111">
        <f>'Sampling Data'!P998</f>
        <v>1.6536011758941694E-3</v>
      </c>
      <c r="AC1006" s="111">
        <f>IF(
      SUM(Audit[[#This Row],[Audit Losing Candidate]:[Audit Candidate 6]])
      &lt;&gt;0,
      (Audit[[#This Row],[Winning Candidate]]-Audit[[#This Row],[Losing Candidate]]-(Audit[[#This Row],[Audit Winning Candidate]]-Audit[[#This Row],[Audit Losing Candidate]]))/(Audit[[#Totals],[Winning Candidate]]-Audit[[#Totals],[Losing Candidate]]),
      0
)</f>
        <v>0</v>
      </c>
      <c r="AD10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6" s="111">
        <f>IF(Audit[[#This Row],[Max Relative Error (ep)]] = 0, 0, Audit[[#This Row],[Max Relative Error (ep)]]/Audit[[#This Row],[Error Bound (up) - Max. possible relative overstatement]])</f>
        <v>0</v>
      </c>
      <c r="AJ10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06" s="111">
        <f t="shared" si="15"/>
        <v>1</v>
      </c>
      <c r="AL1006" s="111">
        <f>PRODUCT($AK$5:AK1006)</f>
        <v>8.962823818226312E-2</v>
      </c>
      <c r="AM1006" s="109">
        <f>1 - [K-M P Value]</f>
        <v>0.91037176181773694</v>
      </c>
      <c r="AN1006" s="111" t="str">
        <f>IF(Audit[[#This Row],[K-M P Value]]&gt;1-'General Info'!$B$16,"Continue", "Stop")</f>
        <v>Stop</v>
      </c>
      <c r="AO1006" s="110" t="b">
        <f>IF(Audit[[#This Row],[Status - Continue or stop audit]] = "Continue", TRUE, IF(AN1005 = "Continue", TRUE, FALSE))</f>
        <v>0</v>
      </c>
      <c r="AP1006" s="110"/>
    </row>
    <row r="1007" spans="1:42" ht="15" hidden="1" customHeight="1">
      <c r="A1007" s="111" t="str">
        <f>'Sampling Data'!W999</f>
        <v/>
      </c>
      <c r="B1007" s="112" t="str">
        <f>'Sampling Data'!A999</f>
        <v>CLEVELAND HEIGHTS -04-H</v>
      </c>
      <c r="C1007" s="112">
        <f>'Sampling Data'!B999</f>
        <v>10</v>
      </c>
      <c r="D1007" s="112">
        <f>'Sampling Data'!C999</f>
        <v>23</v>
      </c>
      <c r="E1007" s="113">
        <f>'Sampling Data'!D999</f>
        <v>2</v>
      </c>
      <c r="F1007" s="113">
        <f>'Sampling Data'!E999</f>
        <v>3</v>
      </c>
      <c r="G1007" s="113">
        <f>'Sampling Data'!F999</f>
        <v>1</v>
      </c>
      <c r="H1007" s="113">
        <f>'Sampling Data'!G999</f>
        <v>0</v>
      </c>
      <c r="I1007" s="112">
        <f>'Sampling Data'!H999</f>
        <v>0</v>
      </c>
      <c r="J1007" s="112">
        <f>'Sampling Data'!I999</f>
        <v>0</v>
      </c>
      <c r="K1007" s="112">
        <f>'Sampling Data'!J999</f>
        <v>39</v>
      </c>
      <c r="L1007" s="111">
        <f>'Sampling Data'!X999</f>
        <v>0</v>
      </c>
      <c r="M1007" s="114"/>
      <c r="N1007" s="114"/>
      <c r="O1007" s="115"/>
      <c r="P1007" s="115"/>
      <c r="Q1007" s="116"/>
      <c r="R1007" s="116"/>
      <c r="S1007" s="111">
        <f>Audit[[#This Row],[Audit Losing Candidate]]-Audit[[#This Row],[Losing Candidate]]</f>
        <v>-10</v>
      </c>
      <c r="T1007" s="111">
        <f>Audit[[#This Row],[Audit Winning Candidate]]-Audit[[#This Row],[Winning Candidate]]</f>
        <v>-23</v>
      </c>
      <c r="U1007" s="111">
        <f>Audit[[#This Row],[Audit Candidate 3]]-Audit[[#This Row],[Candidate 3]]</f>
        <v>-2</v>
      </c>
      <c r="V1007" s="111">
        <f>Audit[[#This Row],[Audit Candidate 4]]-Audit[[#This Row],[Candidate 4]]</f>
        <v>-3</v>
      </c>
      <c r="W1007" s="111">
        <f>Audit[[#This Row],[Audit Candidate 5]]-Audit[[#This Row],[Candidate 5]]</f>
        <v>-1</v>
      </c>
      <c r="X1007" s="111">
        <f>Audit[[#This Row],[Audit Candidate 6]]-Audit[[#This Row],[Candidate 6]]</f>
        <v>0</v>
      </c>
      <c r="Y1007" s="111">
        <f>SUMIF(Audit[[#This Row],[Difference Loser]:[Difference Candidate 6]], "&gt;0")</f>
        <v>0</v>
      </c>
      <c r="Z1007" s="111">
        <f>SUM(Audit[[#This Row],[Difference Loser]:[Difference Candidate 6]])</f>
        <v>-39</v>
      </c>
      <c r="AA1007" s="111">
        <f>IF(Audit[[#This Row],[Times p Drawn - With Replacement]]&gt;0, IF(Audit[[#This Row],[Canceled Differences]]&lt;0, Audit[[#This Row],[Max Differences]]+ABS(Audit[[#This Row],[Canceled Differences]]), Audit[[#This Row],[Max Differences]]), 0)</f>
        <v>0</v>
      </c>
      <c r="AB1007" s="111">
        <f>'Sampling Data'!P999</f>
        <v>3.1847133757961785E-3</v>
      </c>
      <c r="AC1007" s="111">
        <f>IF(
      SUM(Audit[[#This Row],[Audit Losing Candidate]:[Audit Candidate 6]])
      &lt;&gt;0,
      (Audit[[#This Row],[Winning Candidate]]-Audit[[#This Row],[Losing Candidate]]-(Audit[[#This Row],[Audit Winning Candidate]]-Audit[[#This Row],[Audit Losing Candidate]]))/(Audit[[#Totals],[Winning Candidate]]-Audit[[#Totals],[Losing Candidate]]),
      0
)</f>
        <v>0</v>
      </c>
      <c r="AD10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7" s="111">
        <f>IF(Audit[[#This Row],[Max Relative Error (ep)]] = 0, 0, Audit[[#This Row],[Max Relative Error (ep)]]/Audit[[#This Row],[Error Bound (up) - Max. possible relative overstatement]])</f>
        <v>0</v>
      </c>
      <c r="AJ10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07" s="111">
        <f t="shared" si="15"/>
        <v>1</v>
      </c>
      <c r="AL1007" s="111">
        <f>PRODUCT($AK$5:AK1007)</f>
        <v>8.962823818226312E-2</v>
      </c>
      <c r="AM1007" s="109">
        <f>1 - [K-M P Value]</f>
        <v>0.91037176181773694</v>
      </c>
      <c r="AN1007" s="111" t="str">
        <f>IF(Audit[[#This Row],[K-M P Value]]&gt;1-'General Info'!$B$16,"Continue", "Stop")</f>
        <v>Stop</v>
      </c>
      <c r="AO1007" s="110" t="b">
        <f>IF(Audit[[#This Row],[Status - Continue or stop audit]] = "Continue", TRUE, IF(AN1006 = "Continue", TRUE, FALSE))</f>
        <v>0</v>
      </c>
      <c r="AP1007" s="110"/>
    </row>
    <row r="1008" spans="1:42" ht="15" hidden="1" customHeight="1">
      <c r="A1008" s="111" t="str">
        <f>'Sampling Data'!W1000</f>
        <v/>
      </c>
      <c r="B1008" s="112" t="str">
        <f>'Sampling Data'!A1000</f>
        <v>CLEVELAND HEIGHTS -04-H - ABS</v>
      </c>
      <c r="C1008" s="112">
        <f>'Sampling Data'!B1000</f>
        <v>10</v>
      </c>
      <c r="D1008" s="112">
        <f>'Sampling Data'!C1000</f>
        <v>12</v>
      </c>
      <c r="E1008" s="113">
        <f>'Sampling Data'!D1000</f>
        <v>1</v>
      </c>
      <c r="F1008" s="113">
        <f>'Sampling Data'!E1000</f>
        <v>3</v>
      </c>
      <c r="G1008" s="113">
        <f>'Sampling Data'!F1000</f>
        <v>0</v>
      </c>
      <c r="H1008" s="113">
        <f>'Sampling Data'!G1000</f>
        <v>0</v>
      </c>
      <c r="I1008" s="112">
        <f>'Sampling Data'!H1000</f>
        <v>0</v>
      </c>
      <c r="J1008" s="112">
        <f>'Sampling Data'!I1000</f>
        <v>0</v>
      </c>
      <c r="K1008" s="112">
        <f>'Sampling Data'!J1000</f>
        <v>26</v>
      </c>
      <c r="L1008" s="111">
        <f>'Sampling Data'!X1000</f>
        <v>0</v>
      </c>
      <c r="M1008" s="114"/>
      <c r="N1008" s="114"/>
      <c r="O1008" s="115"/>
      <c r="P1008" s="115"/>
      <c r="Q1008" s="116"/>
      <c r="R1008" s="116"/>
      <c r="S1008" s="111">
        <f>Audit[[#This Row],[Audit Losing Candidate]]-Audit[[#This Row],[Losing Candidate]]</f>
        <v>-10</v>
      </c>
      <c r="T1008" s="111">
        <f>Audit[[#This Row],[Audit Winning Candidate]]-Audit[[#This Row],[Winning Candidate]]</f>
        <v>-12</v>
      </c>
      <c r="U1008" s="111">
        <f>Audit[[#This Row],[Audit Candidate 3]]-Audit[[#This Row],[Candidate 3]]</f>
        <v>-1</v>
      </c>
      <c r="V1008" s="111">
        <f>Audit[[#This Row],[Audit Candidate 4]]-Audit[[#This Row],[Candidate 4]]</f>
        <v>-3</v>
      </c>
      <c r="W1008" s="111">
        <f>Audit[[#This Row],[Audit Candidate 5]]-Audit[[#This Row],[Candidate 5]]</f>
        <v>0</v>
      </c>
      <c r="X1008" s="111">
        <f>Audit[[#This Row],[Audit Candidate 6]]-Audit[[#This Row],[Candidate 6]]</f>
        <v>0</v>
      </c>
      <c r="Y1008" s="111">
        <f>SUMIF(Audit[[#This Row],[Difference Loser]:[Difference Candidate 6]], "&gt;0")</f>
        <v>0</v>
      </c>
      <c r="Z1008" s="111">
        <f>SUM(Audit[[#This Row],[Difference Loser]:[Difference Candidate 6]])</f>
        <v>-26</v>
      </c>
      <c r="AA1008" s="111">
        <f>IF(Audit[[#This Row],[Times p Drawn - With Replacement]]&gt;0, IF(Audit[[#This Row],[Canceled Differences]]&lt;0, Audit[[#This Row],[Max Differences]]+ABS(Audit[[#This Row],[Canceled Differences]]), Audit[[#This Row],[Max Differences]]), 0)</f>
        <v>0</v>
      </c>
      <c r="AB1008" s="111">
        <f>'Sampling Data'!P1000</f>
        <v>1.7148456638902498E-3</v>
      </c>
      <c r="AC1008" s="111">
        <f>IF(
      SUM(Audit[[#This Row],[Audit Losing Candidate]:[Audit Candidate 6]])
      &lt;&gt;0,
      (Audit[[#This Row],[Winning Candidate]]-Audit[[#This Row],[Losing Candidate]]-(Audit[[#This Row],[Audit Winning Candidate]]-Audit[[#This Row],[Audit Losing Candidate]]))/(Audit[[#Totals],[Winning Candidate]]-Audit[[#Totals],[Losing Candidate]]),
      0
)</f>
        <v>0</v>
      </c>
      <c r="AD10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8" s="111">
        <f>IF(Audit[[#This Row],[Max Relative Error (ep)]] = 0, 0, Audit[[#This Row],[Max Relative Error (ep)]]/Audit[[#This Row],[Error Bound (up) - Max. possible relative overstatement]])</f>
        <v>0</v>
      </c>
      <c r="AJ10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08" s="111">
        <f t="shared" si="15"/>
        <v>1</v>
      </c>
      <c r="AL1008" s="111">
        <f>PRODUCT($AK$5:AK1008)</f>
        <v>8.962823818226312E-2</v>
      </c>
      <c r="AM1008" s="109">
        <f>1 - [K-M P Value]</f>
        <v>0.91037176181773694</v>
      </c>
      <c r="AN1008" s="111" t="str">
        <f>IF(Audit[[#This Row],[K-M P Value]]&gt;1-'General Info'!$B$16,"Continue", "Stop")</f>
        <v>Stop</v>
      </c>
      <c r="AO1008" s="110" t="b">
        <f>IF(Audit[[#This Row],[Status - Continue or stop audit]] = "Continue", TRUE, IF(AN1007 = "Continue", TRUE, FALSE))</f>
        <v>0</v>
      </c>
      <c r="AP1008" s="110"/>
    </row>
    <row r="1009" spans="1:42" ht="15" hidden="1" customHeight="1">
      <c r="A1009" s="111" t="str">
        <f>'Sampling Data'!W1001</f>
        <v/>
      </c>
      <c r="B1009" s="112" t="str">
        <f>'Sampling Data'!A1001</f>
        <v>CLEVELAND HEIGHTS -04-I</v>
      </c>
      <c r="C1009" s="112">
        <f>'Sampling Data'!B1001</f>
        <v>8</v>
      </c>
      <c r="D1009" s="112">
        <f>'Sampling Data'!C1001</f>
        <v>16</v>
      </c>
      <c r="E1009" s="113">
        <f>'Sampling Data'!D1001</f>
        <v>6</v>
      </c>
      <c r="F1009" s="113">
        <f>'Sampling Data'!E1001</f>
        <v>2</v>
      </c>
      <c r="G1009" s="113">
        <f>'Sampling Data'!F1001</f>
        <v>0</v>
      </c>
      <c r="H1009" s="113">
        <f>'Sampling Data'!G1001</f>
        <v>0</v>
      </c>
      <c r="I1009" s="112">
        <f>'Sampling Data'!H1001</f>
        <v>0</v>
      </c>
      <c r="J1009" s="112">
        <f>'Sampling Data'!I1001</f>
        <v>0</v>
      </c>
      <c r="K1009" s="112">
        <f>'Sampling Data'!J1001</f>
        <v>32</v>
      </c>
      <c r="L1009" s="111">
        <f>'Sampling Data'!X1001</f>
        <v>0</v>
      </c>
      <c r="M1009" s="114"/>
      <c r="N1009" s="114"/>
      <c r="O1009" s="115"/>
      <c r="P1009" s="115"/>
      <c r="Q1009" s="116"/>
      <c r="R1009" s="116"/>
      <c r="S1009" s="111">
        <f>Audit[[#This Row],[Audit Losing Candidate]]-Audit[[#This Row],[Losing Candidate]]</f>
        <v>-8</v>
      </c>
      <c r="T1009" s="111">
        <f>Audit[[#This Row],[Audit Winning Candidate]]-Audit[[#This Row],[Winning Candidate]]</f>
        <v>-16</v>
      </c>
      <c r="U1009" s="111">
        <f>Audit[[#This Row],[Audit Candidate 3]]-Audit[[#This Row],[Candidate 3]]</f>
        <v>-6</v>
      </c>
      <c r="V1009" s="111">
        <f>Audit[[#This Row],[Audit Candidate 4]]-Audit[[#This Row],[Candidate 4]]</f>
        <v>-2</v>
      </c>
      <c r="W1009" s="111">
        <f>Audit[[#This Row],[Audit Candidate 5]]-Audit[[#This Row],[Candidate 5]]</f>
        <v>0</v>
      </c>
      <c r="X1009" s="111">
        <f>Audit[[#This Row],[Audit Candidate 6]]-Audit[[#This Row],[Candidate 6]]</f>
        <v>0</v>
      </c>
      <c r="Y1009" s="111">
        <f>SUMIF(Audit[[#This Row],[Difference Loser]:[Difference Candidate 6]], "&gt;0")</f>
        <v>0</v>
      </c>
      <c r="Z1009" s="111">
        <f>SUM(Audit[[#This Row],[Difference Loser]:[Difference Candidate 6]])</f>
        <v>-32</v>
      </c>
      <c r="AA1009" s="111">
        <f>IF(Audit[[#This Row],[Times p Drawn - With Replacement]]&gt;0, IF(Audit[[#This Row],[Canceled Differences]]&lt;0, Audit[[#This Row],[Max Differences]]+ABS(Audit[[#This Row],[Canceled Differences]]), Audit[[#This Row],[Max Differences]]), 0)</f>
        <v>0</v>
      </c>
      <c r="AB1009" s="111">
        <f>'Sampling Data'!P1001</f>
        <v>2.4497795198432141E-3</v>
      </c>
      <c r="AC1009" s="111">
        <f>IF(
      SUM(Audit[[#This Row],[Audit Losing Candidate]:[Audit Candidate 6]])
      &lt;&gt;0,
      (Audit[[#This Row],[Winning Candidate]]-Audit[[#This Row],[Losing Candidate]]-(Audit[[#This Row],[Audit Winning Candidate]]-Audit[[#This Row],[Audit Losing Candidate]]))/(Audit[[#Totals],[Winning Candidate]]-Audit[[#Totals],[Losing Candidate]]),
      0
)</f>
        <v>0</v>
      </c>
      <c r="AD10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9" s="111">
        <f>IF(Audit[[#This Row],[Max Relative Error (ep)]] = 0, 0, Audit[[#This Row],[Max Relative Error (ep)]]/Audit[[#This Row],[Error Bound (up) - Max. possible relative overstatement]])</f>
        <v>0</v>
      </c>
      <c r="AJ10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09" s="111">
        <f t="shared" si="15"/>
        <v>1</v>
      </c>
      <c r="AL1009" s="111">
        <f>PRODUCT($AK$5:AK1009)</f>
        <v>8.962823818226312E-2</v>
      </c>
      <c r="AM1009" s="109">
        <f>1 - [K-M P Value]</f>
        <v>0.91037176181773694</v>
      </c>
      <c r="AN1009" s="111" t="str">
        <f>IF(Audit[[#This Row],[K-M P Value]]&gt;1-'General Info'!$B$16,"Continue", "Stop")</f>
        <v>Stop</v>
      </c>
      <c r="AO1009" s="110" t="b">
        <f>IF(Audit[[#This Row],[Status - Continue or stop audit]] = "Continue", TRUE, IF(AN1008 = "Continue", TRUE, FALSE))</f>
        <v>0</v>
      </c>
      <c r="AP1009" s="110"/>
    </row>
    <row r="1010" spans="1:42" ht="15" hidden="1" customHeight="1">
      <c r="A1010" s="111" t="str">
        <f>'Sampling Data'!W1002</f>
        <v/>
      </c>
      <c r="B1010" s="112" t="str">
        <f>'Sampling Data'!A1002</f>
        <v>CLEVELAND HEIGHTS -04-I - ABS</v>
      </c>
      <c r="C1010" s="112">
        <f>'Sampling Data'!B1002</f>
        <v>7</v>
      </c>
      <c r="D1010" s="112">
        <f>'Sampling Data'!C1002</f>
        <v>11</v>
      </c>
      <c r="E1010" s="113">
        <f>'Sampling Data'!D1002</f>
        <v>0</v>
      </c>
      <c r="F1010" s="113">
        <f>'Sampling Data'!E1002</f>
        <v>1</v>
      </c>
      <c r="G1010" s="113">
        <f>'Sampling Data'!F1002</f>
        <v>0</v>
      </c>
      <c r="H1010" s="113">
        <f>'Sampling Data'!G1002</f>
        <v>0</v>
      </c>
      <c r="I1010" s="112">
        <f>'Sampling Data'!H1002</f>
        <v>0</v>
      </c>
      <c r="J1010" s="112">
        <f>'Sampling Data'!I1002</f>
        <v>2</v>
      </c>
      <c r="K1010" s="112">
        <f>'Sampling Data'!J1002</f>
        <v>21</v>
      </c>
      <c r="L1010" s="111">
        <f>'Sampling Data'!X1002</f>
        <v>0</v>
      </c>
      <c r="M1010" s="114"/>
      <c r="N1010" s="114"/>
      <c r="O1010" s="115"/>
      <c r="P1010" s="115"/>
      <c r="Q1010" s="116"/>
      <c r="R1010" s="116"/>
      <c r="S1010" s="111">
        <f>Audit[[#This Row],[Audit Losing Candidate]]-Audit[[#This Row],[Losing Candidate]]</f>
        <v>-7</v>
      </c>
      <c r="T1010" s="111">
        <f>Audit[[#This Row],[Audit Winning Candidate]]-Audit[[#This Row],[Winning Candidate]]</f>
        <v>-11</v>
      </c>
      <c r="U1010" s="111">
        <f>Audit[[#This Row],[Audit Candidate 3]]-Audit[[#This Row],[Candidate 3]]</f>
        <v>0</v>
      </c>
      <c r="V1010" s="111">
        <f>Audit[[#This Row],[Audit Candidate 4]]-Audit[[#This Row],[Candidate 4]]</f>
        <v>-1</v>
      </c>
      <c r="W1010" s="111">
        <f>Audit[[#This Row],[Audit Candidate 5]]-Audit[[#This Row],[Candidate 5]]</f>
        <v>0</v>
      </c>
      <c r="X1010" s="111">
        <f>Audit[[#This Row],[Audit Candidate 6]]-Audit[[#This Row],[Candidate 6]]</f>
        <v>0</v>
      </c>
      <c r="Y1010" s="111">
        <f>SUMIF(Audit[[#This Row],[Difference Loser]:[Difference Candidate 6]], "&gt;0")</f>
        <v>0</v>
      </c>
      <c r="Z1010" s="111">
        <f>SUM(Audit[[#This Row],[Difference Loser]:[Difference Candidate 6]])</f>
        <v>-19</v>
      </c>
      <c r="AA1010" s="111">
        <f>IF(Audit[[#This Row],[Times p Drawn - With Replacement]]&gt;0, IF(Audit[[#This Row],[Canceled Differences]]&lt;0, Audit[[#This Row],[Max Differences]]+ABS(Audit[[#This Row],[Canceled Differences]]), Audit[[#This Row],[Max Differences]]), 0)</f>
        <v>0</v>
      </c>
      <c r="AB1010" s="111">
        <f>'Sampling Data'!P1002</f>
        <v>1.5311121999020088E-3</v>
      </c>
      <c r="AC1010" s="111">
        <f>IF(
      SUM(Audit[[#This Row],[Audit Losing Candidate]:[Audit Candidate 6]])
      &lt;&gt;0,
      (Audit[[#This Row],[Winning Candidate]]-Audit[[#This Row],[Losing Candidate]]-(Audit[[#This Row],[Audit Winning Candidate]]-Audit[[#This Row],[Audit Losing Candidate]]))/(Audit[[#Totals],[Winning Candidate]]-Audit[[#Totals],[Losing Candidate]]),
      0
)</f>
        <v>0</v>
      </c>
      <c r="AD10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0" s="111">
        <f>IF(Audit[[#This Row],[Max Relative Error (ep)]] = 0, 0, Audit[[#This Row],[Max Relative Error (ep)]]/Audit[[#This Row],[Error Bound (up) - Max. possible relative overstatement]])</f>
        <v>0</v>
      </c>
      <c r="AJ10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10" s="111">
        <f t="shared" si="15"/>
        <v>1</v>
      </c>
      <c r="AL1010" s="111">
        <f>PRODUCT($AK$5:AK1010)</f>
        <v>8.962823818226312E-2</v>
      </c>
      <c r="AM1010" s="109">
        <f>1 - [K-M P Value]</f>
        <v>0.91037176181773694</v>
      </c>
      <c r="AN1010" s="111" t="str">
        <f>IF(Audit[[#This Row],[K-M P Value]]&gt;1-'General Info'!$B$16,"Continue", "Stop")</f>
        <v>Stop</v>
      </c>
      <c r="AO1010" s="110" t="b">
        <f>IF(Audit[[#This Row],[Status - Continue or stop audit]] = "Continue", TRUE, IF(AN1009 = "Continue", TRUE, FALSE))</f>
        <v>0</v>
      </c>
      <c r="AP1010" s="110"/>
    </row>
    <row r="1011" spans="1:42" ht="15" hidden="1" customHeight="1">
      <c r="A1011" s="111" t="str">
        <f>'Sampling Data'!W1003</f>
        <v/>
      </c>
      <c r="B1011" s="112" t="str">
        <f>'Sampling Data'!A1003</f>
        <v>CLEVELAND HEIGHTS -05-A</v>
      </c>
      <c r="C1011" s="112">
        <f>'Sampling Data'!B1003</f>
        <v>9</v>
      </c>
      <c r="D1011" s="112">
        <f>'Sampling Data'!C1003</f>
        <v>5</v>
      </c>
      <c r="E1011" s="113">
        <f>'Sampling Data'!D1003</f>
        <v>1</v>
      </c>
      <c r="F1011" s="113">
        <f>'Sampling Data'!E1003</f>
        <v>3</v>
      </c>
      <c r="G1011" s="113">
        <f>'Sampling Data'!F1003</f>
        <v>0</v>
      </c>
      <c r="H1011" s="113">
        <f>'Sampling Data'!G1003</f>
        <v>0</v>
      </c>
      <c r="I1011" s="112">
        <f>'Sampling Data'!H1003</f>
        <v>0</v>
      </c>
      <c r="J1011" s="112">
        <f>'Sampling Data'!I1003</f>
        <v>0</v>
      </c>
      <c r="K1011" s="112">
        <f>'Sampling Data'!J1003</f>
        <v>18</v>
      </c>
      <c r="L1011" s="111">
        <f>'Sampling Data'!X1003</f>
        <v>0</v>
      </c>
      <c r="M1011" s="114"/>
      <c r="N1011" s="114"/>
      <c r="O1011" s="115"/>
      <c r="P1011" s="115"/>
      <c r="Q1011" s="116"/>
      <c r="R1011" s="116"/>
      <c r="S1011" s="111">
        <f>Audit[[#This Row],[Audit Losing Candidate]]-Audit[[#This Row],[Losing Candidate]]</f>
        <v>-9</v>
      </c>
      <c r="T1011" s="111">
        <f>Audit[[#This Row],[Audit Winning Candidate]]-Audit[[#This Row],[Winning Candidate]]</f>
        <v>-5</v>
      </c>
      <c r="U1011" s="111">
        <f>Audit[[#This Row],[Audit Candidate 3]]-Audit[[#This Row],[Candidate 3]]</f>
        <v>-1</v>
      </c>
      <c r="V1011" s="111">
        <f>Audit[[#This Row],[Audit Candidate 4]]-Audit[[#This Row],[Candidate 4]]</f>
        <v>-3</v>
      </c>
      <c r="W1011" s="111">
        <f>Audit[[#This Row],[Audit Candidate 5]]-Audit[[#This Row],[Candidate 5]]</f>
        <v>0</v>
      </c>
      <c r="X1011" s="111">
        <f>Audit[[#This Row],[Audit Candidate 6]]-Audit[[#This Row],[Candidate 6]]</f>
        <v>0</v>
      </c>
      <c r="Y1011" s="111">
        <f>SUMIF(Audit[[#This Row],[Difference Loser]:[Difference Candidate 6]], "&gt;0")</f>
        <v>0</v>
      </c>
      <c r="Z1011" s="111">
        <f>SUM(Audit[[#This Row],[Difference Loser]:[Difference Candidate 6]])</f>
        <v>-18</v>
      </c>
      <c r="AA1011" s="111">
        <f>IF(Audit[[#This Row],[Times p Drawn - With Replacement]]&gt;0, IF(Audit[[#This Row],[Canceled Differences]]&lt;0, Audit[[#This Row],[Max Differences]]+ABS(Audit[[#This Row],[Canceled Differences]]), Audit[[#This Row],[Max Differences]]), 0)</f>
        <v>0</v>
      </c>
      <c r="AB1011" s="111">
        <f>'Sampling Data'!P1003</f>
        <v>8.5742283194512492E-4</v>
      </c>
      <c r="AC1011" s="111">
        <f>IF(
      SUM(Audit[[#This Row],[Audit Losing Candidate]:[Audit Candidate 6]])
      &lt;&gt;0,
      (Audit[[#This Row],[Winning Candidate]]-Audit[[#This Row],[Losing Candidate]]-(Audit[[#This Row],[Audit Winning Candidate]]-Audit[[#This Row],[Audit Losing Candidate]]))/(Audit[[#Totals],[Winning Candidate]]-Audit[[#Totals],[Losing Candidate]]),
      0
)</f>
        <v>0</v>
      </c>
      <c r="AD10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1" s="111">
        <f>IF(Audit[[#This Row],[Max Relative Error (ep)]] = 0, 0, Audit[[#This Row],[Max Relative Error (ep)]]/Audit[[#This Row],[Error Bound (up) - Max. possible relative overstatement]])</f>
        <v>0</v>
      </c>
      <c r="AJ10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11" s="111">
        <f t="shared" si="15"/>
        <v>1</v>
      </c>
      <c r="AL1011" s="111">
        <f>PRODUCT($AK$5:AK1011)</f>
        <v>8.962823818226312E-2</v>
      </c>
      <c r="AM1011" s="109">
        <f>1 - [K-M P Value]</f>
        <v>0.91037176181773694</v>
      </c>
      <c r="AN1011" s="111" t="str">
        <f>IF(Audit[[#This Row],[K-M P Value]]&gt;1-'General Info'!$B$16,"Continue", "Stop")</f>
        <v>Stop</v>
      </c>
      <c r="AO1011" s="110" t="b">
        <f>IF(Audit[[#This Row],[Status - Continue or stop audit]] = "Continue", TRUE, IF(AN1010 = "Continue", TRUE, FALSE))</f>
        <v>0</v>
      </c>
      <c r="AP1011" s="110"/>
    </row>
    <row r="1012" spans="1:42" ht="15" hidden="1" customHeight="1">
      <c r="A1012" s="111" t="str">
        <f>'Sampling Data'!W1004</f>
        <v/>
      </c>
      <c r="B1012" s="112" t="str">
        <f>'Sampling Data'!A1004</f>
        <v>CLEVELAND HEIGHTS -05-A - ABS</v>
      </c>
      <c r="C1012" s="112">
        <f>'Sampling Data'!B1004</f>
        <v>9</v>
      </c>
      <c r="D1012" s="112">
        <f>'Sampling Data'!C1004</f>
        <v>9</v>
      </c>
      <c r="E1012" s="113">
        <f>'Sampling Data'!D1004</f>
        <v>1</v>
      </c>
      <c r="F1012" s="113">
        <f>'Sampling Data'!E1004</f>
        <v>0</v>
      </c>
      <c r="G1012" s="113">
        <f>'Sampling Data'!F1004</f>
        <v>0</v>
      </c>
      <c r="H1012" s="113">
        <f>'Sampling Data'!G1004</f>
        <v>0</v>
      </c>
      <c r="I1012" s="112">
        <f>'Sampling Data'!H1004</f>
        <v>0</v>
      </c>
      <c r="J1012" s="112">
        <f>'Sampling Data'!I1004</f>
        <v>1</v>
      </c>
      <c r="K1012" s="112">
        <f>'Sampling Data'!J1004</f>
        <v>20</v>
      </c>
      <c r="L1012" s="111">
        <f>'Sampling Data'!X1004</f>
        <v>0</v>
      </c>
      <c r="M1012" s="114"/>
      <c r="N1012" s="114"/>
      <c r="O1012" s="115"/>
      <c r="P1012" s="115"/>
      <c r="Q1012" s="116"/>
      <c r="R1012" s="116"/>
      <c r="S1012" s="111">
        <f>Audit[[#This Row],[Audit Losing Candidate]]-Audit[[#This Row],[Losing Candidate]]</f>
        <v>-9</v>
      </c>
      <c r="T1012" s="111">
        <f>Audit[[#This Row],[Audit Winning Candidate]]-Audit[[#This Row],[Winning Candidate]]</f>
        <v>-9</v>
      </c>
      <c r="U1012" s="111">
        <f>Audit[[#This Row],[Audit Candidate 3]]-Audit[[#This Row],[Candidate 3]]</f>
        <v>-1</v>
      </c>
      <c r="V1012" s="111">
        <f>Audit[[#This Row],[Audit Candidate 4]]-Audit[[#This Row],[Candidate 4]]</f>
        <v>0</v>
      </c>
      <c r="W1012" s="111">
        <f>Audit[[#This Row],[Audit Candidate 5]]-Audit[[#This Row],[Candidate 5]]</f>
        <v>0</v>
      </c>
      <c r="X1012" s="111">
        <f>Audit[[#This Row],[Audit Candidate 6]]-Audit[[#This Row],[Candidate 6]]</f>
        <v>0</v>
      </c>
      <c r="Y1012" s="111">
        <f>SUMIF(Audit[[#This Row],[Difference Loser]:[Difference Candidate 6]], "&gt;0")</f>
        <v>0</v>
      </c>
      <c r="Z1012" s="111">
        <f>SUM(Audit[[#This Row],[Difference Loser]:[Difference Candidate 6]])</f>
        <v>-19</v>
      </c>
      <c r="AA1012" s="111">
        <f>IF(Audit[[#This Row],[Times p Drawn - With Replacement]]&gt;0, IF(Audit[[#This Row],[Canceled Differences]]&lt;0, Audit[[#This Row],[Max Differences]]+ABS(Audit[[#This Row],[Canceled Differences]]), Audit[[#This Row],[Max Differences]]), 0)</f>
        <v>0</v>
      </c>
      <c r="AB1012" s="111">
        <f>'Sampling Data'!P1004</f>
        <v>1.224889759921607E-3</v>
      </c>
      <c r="AC1012" s="111">
        <f>IF(
      SUM(Audit[[#This Row],[Audit Losing Candidate]:[Audit Candidate 6]])
      &lt;&gt;0,
      (Audit[[#This Row],[Winning Candidate]]-Audit[[#This Row],[Losing Candidate]]-(Audit[[#This Row],[Audit Winning Candidate]]-Audit[[#This Row],[Audit Losing Candidate]]))/(Audit[[#Totals],[Winning Candidate]]-Audit[[#Totals],[Losing Candidate]]),
      0
)</f>
        <v>0</v>
      </c>
      <c r="AD10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2" s="111">
        <f>IF(Audit[[#This Row],[Max Relative Error (ep)]] = 0, 0, Audit[[#This Row],[Max Relative Error (ep)]]/Audit[[#This Row],[Error Bound (up) - Max. possible relative overstatement]])</f>
        <v>0</v>
      </c>
      <c r="AJ10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12" s="111">
        <f t="shared" si="15"/>
        <v>1</v>
      </c>
      <c r="AL1012" s="111">
        <f>PRODUCT($AK$5:AK1012)</f>
        <v>8.962823818226312E-2</v>
      </c>
      <c r="AM1012" s="109">
        <f>1 - [K-M P Value]</f>
        <v>0.91037176181773694</v>
      </c>
      <c r="AN1012" s="111" t="str">
        <f>IF(Audit[[#This Row],[K-M P Value]]&gt;1-'General Info'!$B$16,"Continue", "Stop")</f>
        <v>Stop</v>
      </c>
      <c r="AO1012" s="110" t="b">
        <f>IF(Audit[[#This Row],[Status - Continue or stop audit]] = "Continue", TRUE, IF(AN1011 = "Continue", TRUE, FALSE))</f>
        <v>0</v>
      </c>
      <c r="AP1012" s="110"/>
    </row>
    <row r="1013" spans="1:42" ht="15" hidden="1" customHeight="1">
      <c r="A1013" s="111" t="str">
        <f>'Sampling Data'!W1005</f>
        <v/>
      </c>
      <c r="B1013" s="112" t="str">
        <f>'Sampling Data'!A1005</f>
        <v>CLEVELAND HEIGHTS -05-B</v>
      </c>
      <c r="C1013" s="112">
        <f>'Sampling Data'!B1005</f>
        <v>10</v>
      </c>
      <c r="D1013" s="112">
        <f>'Sampling Data'!C1005</f>
        <v>9</v>
      </c>
      <c r="E1013" s="113">
        <f>'Sampling Data'!D1005</f>
        <v>3</v>
      </c>
      <c r="F1013" s="113">
        <f>'Sampling Data'!E1005</f>
        <v>2</v>
      </c>
      <c r="G1013" s="113">
        <f>'Sampling Data'!F1005</f>
        <v>0</v>
      </c>
      <c r="H1013" s="113">
        <f>'Sampling Data'!G1005</f>
        <v>0</v>
      </c>
      <c r="I1013" s="112">
        <f>'Sampling Data'!H1005</f>
        <v>0</v>
      </c>
      <c r="J1013" s="112">
        <f>'Sampling Data'!I1005</f>
        <v>0</v>
      </c>
      <c r="K1013" s="112">
        <f>'Sampling Data'!J1005</f>
        <v>24</v>
      </c>
      <c r="L1013" s="111">
        <f>'Sampling Data'!X1005</f>
        <v>0</v>
      </c>
      <c r="M1013" s="114"/>
      <c r="N1013" s="114"/>
      <c r="O1013" s="115"/>
      <c r="P1013" s="115"/>
      <c r="Q1013" s="116"/>
      <c r="R1013" s="116"/>
      <c r="S1013" s="111">
        <f>Audit[[#This Row],[Audit Losing Candidate]]-Audit[[#This Row],[Losing Candidate]]</f>
        <v>-10</v>
      </c>
      <c r="T1013" s="111">
        <f>Audit[[#This Row],[Audit Winning Candidate]]-Audit[[#This Row],[Winning Candidate]]</f>
        <v>-9</v>
      </c>
      <c r="U1013" s="111">
        <f>Audit[[#This Row],[Audit Candidate 3]]-Audit[[#This Row],[Candidate 3]]</f>
        <v>-3</v>
      </c>
      <c r="V1013" s="111">
        <f>Audit[[#This Row],[Audit Candidate 4]]-Audit[[#This Row],[Candidate 4]]</f>
        <v>-2</v>
      </c>
      <c r="W1013" s="111">
        <f>Audit[[#This Row],[Audit Candidate 5]]-Audit[[#This Row],[Candidate 5]]</f>
        <v>0</v>
      </c>
      <c r="X1013" s="111">
        <f>Audit[[#This Row],[Audit Candidate 6]]-Audit[[#This Row],[Candidate 6]]</f>
        <v>0</v>
      </c>
      <c r="Y1013" s="111">
        <f>SUMIF(Audit[[#This Row],[Difference Loser]:[Difference Candidate 6]], "&gt;0")</f>
        <v>0</v>
      </c>
      <c r="Z1013" s="111">
        <f>SUM(Audit[[#This Row],[Difference Loser]:[Difference Candidate 6]])</f>
        <v>-24</v>
      </c>
      <c r="AA1013" s="111">
        <f>IF(Audit[[#This Row],[Times p Drawn - With Replacement]]&gt;0, IF(Audit[[#This Row],[Canceled Differences]]&lt;0, Audit[[#This Row],[Max Differences]]+ABS(Audit[[#This Row],[Canceled Differences]]), Audit[[#This Row],[Max Differences]]), 0)</f>
        <v>0</v>
      </c>
      <c r="AB1013" s="111">
        <f>'Sampling Data'!P1005</f>
        <v>1.408623223909848E-3</v>
      </c>
      <c r="AC1013" s="111">
        <f>IF(
      SUM(Audit[[#This Row],[Audit Losing Candidate]:[Audit Candidate 6]])
      &lt;&gt;0,
      (Audit[[#This Row],[Winning Candidate]]-Audit[[#This Row],[Losing Candidate]]-(Audit[[#This Row],[Audit Winning Candidate]]-Audit[[#This Row],[Audit Losing Candidate]]))/(Audit[[#Totals],[Winning Candidate]]-Audit[[#Totals],[Losing Candidate]]),
      0
)</f>
        <v>0</v>
      </c>
      <c r="AD10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3" s="111">
        <f>IF(Audit[[#This Row],[Max Relative Error (ep)]] = 0, 0, Audit[[#This Row],[Max Relative Error (ep)]]/Audit[[#This Row],[Error Bound (up) - Max. possible relative overstatement]])</f>
        <v>0</v>
      </c>
      <c r="AJ10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13" s="111">
        <f t="shared" si="15"/>
        <v>1</v>
      </c>
      <c r="AL1013" s="111">
        <f>PRODUCT($AK$5:AK1013)</f>
        <v>8.962823818226312E-2</v>
      </c>
      <c r="AM1013" s="109">
        <f>1 - [K-M P Value]</f>
        <v>0.91037176181773694</v>
      </c>
      <c r="AN1013" s="111" t="str">
        <f>IF(Audit[[#This Row],[K-M P Value]]&gt;1-'General Info'!$B$16,"Continue", "Stop")</f>
        <v>Stop</v>
      </c>
      <c r="AO1013" s="110" t="b">
        <f>IF(Audit[[#This Row],[Status - Continue or stop audit]] = "Continue", TRUE, IF(AN1012 = "Continue", TRUE, FALSE))</f>
        <v>0</v>
      </c>
      <c r="AP1013" s="110"/>
    </row>
    <row r="1014" spans="1:42" ht="15" hidden="1" customHeight="1">
      <c r="A1014" s="111" t="str">
        <f>'Sampling Data'!W1006</f>
        <v/>
      </c>
      <c r="B1014" s="112" t="str">
        <f>'Sampling Data'!A1006</f>
        <v>CLEVELAND HEIGHTS -05-B - ABS</v>
      </c>
      <c r="C1014" s="112">
        <f>'Sampling Data'!B1006</f>
        <v>5</v>
      </c>
      <c r="D1014" s="112">
        <f>'Sampling Data'!C1006</f>
        <v>8</v>
      </c>
      <c r="E1014" s="113">
        <f>'Sampling Data'!D1006</f>
        <v>4</v>
      </c>
      <c r="F1014" s="113">
        <f>'Sampling Data'!E1006</f>
        <v>2</v>
      </c>
      <c r="G1014" s="113">
        <f>'Sampling Data'!F1006</f>
        <v>0</v>
      </c>
      <c r="H1014" s="113">
        <f>'Sampling Data'!G1006</f>
        <v>0</v>
      </c>
      <c r="I1014" s="112">
        <f>'Sampling Data'!H1006</f>
        <v>0</v>
      </c>
      <c r="J1014" s="112">
        <f>'Sampling Data'!I1006</f>
        <v>0</v>
      </c>
      <c r="K1014" s="112">
        <f>'Sampling Data'!J1006</f>
        <v>19</v>
      </c>
      <c r="L1014" s="111">
        <f>'Sampling Data'!X1006</f>
        <v>0</v>
      </c>
      <c r="M1014" s="114"/>
      <c r="N1014" s="114"/>
      <c r="O1014" s="115"/>
      <c r="P1014" s="115"/>
      <c r="Q1014" s="116"/>
      <c r="R1014" s="116"/>
      <c r="S1014" s="111">
        <f>Audit[[#This Row],[Audit Losing Candidate]]-Audit[[#This Row],[Losing Candidate]]</f>
        <v>-5</v>
      </c>
      <c r="T1014" s="111">
        <f>Audit[[#This Row],[Audit Winning Candidate]]-Audit[[#This Row],[Winning Candidate]]</f>
        <v>-8</v>
      </c>
      <c r="U1014" s="111">
        <f>Audit[[#This Row],[Audit Candidate 3]]-Audit[[#This Row],[Candidate 3]]</f>
        <v>-4</v>
      </c>
      <c r="V1014" s="111">
        <f>Audit[[#This Row],[Audit Candidate 4]]-Audit[[#This Row],[Candidate 4]]</f>
        <v>-2</v>
      </c>
      <c r="W1014" s="111">
        <f>Audit[[#This Row],[Audit Candidate 5]]-Audit[[#This Row],[Candidate 5]]</f>
        <v>0</v>
      </c>
      <c r="X1014" s="111">
        <f>Audit[[#This Row],[Audit Candidate 6]]-Audit[[#This Row],[Candidate 6]]</f>
        <v>0</v>
      </c>
      <c r="Y1014" s="111">
        <f>SUMIF(Audit[[#This Row],[Difference Loser]:[Difference Candidate 6]], "&gt;0")</f>
        <v>0</v>
      </c>
      <c r="Z1014" s="111">
        <f>SUM(Audit[[#This Row],[Difference Loser]:[Difference Candidate 6]])</f>
        <v>-19</v>
      </c>
      <c r="AA1014" s="111">
        <f>IF(Audit[[#This Row],[Times p Drawn - With Replacement]]&gt;0, IF(Audit[[#This Row],[Canceled Differences]]&lt;0, Audit[[#This Row],[Max Differences]]+ABS(Audit[[#This Row],[Canceled Differences]]), Audit[[#This Row],[Max Differences]]), 0)</f>
        <v>0</v>
      </c>
      <c r="AB1014" s="111">
        <f>'Sampling Data'!P1006</f>
        <v>1.3473787359137678E-3</v>
      </c>
      <c r="AC1014" s="111">
        <f>IF(
      SUM(Audit[[#This Row],[Audit Losing Candidate]:[Audit Candidate 6]])
      &lt;&gt;0,
      (Audit[[#This Row],[Winning Candidate]]-Audit[[#This Row],[Losing Candidate]]-(Audit[[#This Row],[Audit Winning Candidate]]-Audit[[#This Row],[Audit Losing Candidate]]))/(Audit[[#Totals],[Winning Candidate]]-Audit[[#Totals],[Losing Candidate]]),
      0
)</f>
        <v>0</v>
      </c>
      <c r="AD10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4" s="111">
        <f>IF(Audit[[#This Row],[Max Relative Error (ep)]] = 0, 0, Audit[[#This Row],[Max Relative Error (ep)]]/Audit[[#This Row],[Error Bound (up) - Max. possible relative overstatement]])</f>
        <v>0</v>
      </c>
      <c r="AJ10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14" s="111">
        <f t="shared" si="15"/>
        <v>1</v>
      </c>
      <c r="AL1014" s="111">
        <f>PRODUCT($AK$5:AK1014)</f>
        <v>8.962823818226312E-2</v>
      </c>
      <c r="AM1014" s="109">
        <f>1 - [K-M P Value]</f>
        <v>0.91037176181773694</v>
      </c>
      <c r="AN1014" s="111" t="str">
        <f>IF(Audit[[#This Row],[K-M P Value]]&gt;1-'General Info'!$B$16,"Continue", "Stop")</f>
        <v>Stop</v>
      </c>
      <c r="AO1014" s="110" t="b">
        <f>IF(Audit[[#This Row],[Status - Continue or stop audit]] = "Continue", TRUE, IF(AN1013 = "Continue", TRUE, FALSE))</f>
        <v>0</v>
      </c>
      <c r="AP1014" s="110"/>
    </row>
    <row r="1015" spans="1:42" ht="15" hidden="1" customHeight="1">
      <c r="A1015" s="111" t="str">
        <f>'Sampling Data'!W1007</f>
        <v/>
      </c>
      <c r="B1015" s="112" t="str">
        <f>'Sampling Data'!A1007</f>
        <v>CLEVELAND HEIGHTS -05-C</v>
      </c>
      <c r="C1015" s="112">
        <f>'Sampling Data'!B1007</f>
        <v>7</v>
      </c>
      <c r="D1015" s="112">
        <f>'Sampling Data'!C1007</f>
        <v>14</v>
      </c>
      <c r="E1015" s="113">
        <f>'Sampling Data'!D1007</f>
        <v>3</v>
      </c>
      <c r="F1015" s="113">
        <f>'Sampling Data'!E1007</f>
        <v>2</v>
      </c>
      <c r="G1015" s="113">
        <f>'Sampling Data'!F1007</f>
        <v>0</v>
      </c>
      <c r="H1015" s="113">
        <f>'Sampling Data'!G1007</f>
        <v>0</v>
      </c>
      <c r="I1015" s="112">
        <f>'Sampling Data'!H1007</f>
        <v>0</v>
      </c>
      <c r="J1015" s="112">
        <f>'Sampling Data'!I1007</f>
        <v>0</v>
      </c>
      <c r="K1015" s="112">
        <f>'Sampling Data'!J1007</f>
        <v>26</v>
      </c>
      <c r="L1015" s="111">
        <f>'Sampling Data'!X1007</f>
        <v>0</v>
      </c>
      <c r="M1015" s="114"/>
      <c r="N1015" s="114"/>
      <c r="O1015" s="115"/>
      <c r="P1015" s="115"/>
      <c r="Q1015" s="116"/>
      <c r="R1015" s="116"/>
      <c r="S1015" s="111">
        <f>Audit[[#This Row],[Audit Losing Candidate]]-Audit[[#This Row],[Losing Candidate]]</f>
        <v>-7</v>
      </c>
      <c r="T1015" s="111">
        <f>Audit[[#This Row],[Audit Winning Candidate]]-Audit[[#This Row],[Winning Candidate]]</f>
        <v>-14</v>
      </c>
      <c r="U1015" s="111">
        <f>Audit[[#This Row],[Audit Candidate 3]]-Audit[[#This Row],[Candidate 3]]</f>
        <v>-3</v>
      </c>
      <c r="V1015" s="111">
        <f>Audit[[#This Row],[Audit Candidate 4]]-Audit[[#This Row],[Candidate 4]]</f>
        <v>-2</v>
      </c>
      <c r="W1015" s="111">
        <f>Audit[[#This Row],[Audit Candidate 5]]-Audit[[#This Row],[Candidate 5]]</f>
        <v>0</v>
      </c>
      <c r="X1015" s="111">
        <f>Audit[[#This Row],[Audit Candidate 6]]-Audit[[#This Row],[Candidate 6]]</f>
        <v>0</v>
      </c>
      <c r="Y1015" s="111">
        <f>SUMIF(Audit[[#This Row],[Difference Loser]:[Difference Candidate 6]], "&gt;0")</f>
        <v>0</v>
      </c>
      <c r="Z1015" s="111">
        <f>SUM(Audit[[#This Row],[Difference Loser]:[Difference Candidate 6]])</f>
        <v>-26</v>
      </c>
      <c r="AA1015" s="111">
        <f>IF(Audit[[#This Row],[Times p Drawn - With Replacement]]&gt;0, IF(Audit[[#This Row],[Canceled Differences]]&lt;0, Audit[[#This Row],[Max Differences]]+ABS(Audit[[#This Row],[Canceled Differences]]), Audit[[#This Row],[Max Differences]]), 0)</f>
        <v>0</v>
      </c>
      <c r="AB1015" s="111">
        <f>'Sampling Data'!P1007</f>
        <v>2.0210681038706517E-3</v>
      </c>
      <c r="AC1015" s="111">
        <f>IF(
      SUM(Audit[[#This Row],[Audit Losing Candidate]:[Audit Candidate 6]])
      &lt;&gt;0,
      (Audit[[#This Row],[Winning Candidate]]-Audit[[#This Row],[Losing Candidate]]-(Audit[[#This Row],[Audit Winning Candidate]]-Audit[[#This Row],[Audit Losing Candidate]]))/(Audit[[#Totals],[Winning Candidate]]-Audit[[#Totals],[Losing Candidate]]),
      0
)</f>
        <v>0</v>
      </c>
      <c r="AD10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5" s="111">
        <f>IF(Audit[[#This Row],[Max Relative Error (ep)]] = 0, 0, Audit[[#This Row],[Max Relative Error (ep)]]/Audit[[#This Row],[Error Bound (up) - Max. possible relative overstatement]])</f>
        <v>0</v>
      </c>
      <c r="AJ10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15" s="111">
        <f t="shared" si="15"/>
        <v>1</v>
      </c>
      <c r="AL1015" s="111">
        <f>PRODUCT($AK$5:AK1015)</f>
        <v>8.962823818226312E-2</v>
      </c>
      <c r="AM1015" s="109">
        <f>1 - [K-M P Value]</f>
        <v>0.91037176181773694</v>
      </c>
      <c r="AN1015" s="111" t="str">
        <f>IF(Audit[[#This Row],[K-M P Value]]&gt;1-'General Info'!$B$16,"Continue", "Stop")</f>
        <v>Stop</v>
      </c>
      <c r="AO1015" s="110" t="b">
        <f>IF(Audit[[#This Row],[Status - Continue or stop audit]] = "Continue", TRUE, IF(AN1014 = "Continue", TRUE, FALSE))</f>
        <v>0</v>
      </c>
      <c r="AP1015" s="110"/>
    </row>
    <row r="1016" spans="1:42" ht="15" hidden="1" customHeight="1">
      <c r="A1016" s="111" t="str">
        <f>'Sampling Data'!W1008</f>
        <v/>
      </c>
      <c r="B1016" s="112" t="str">
        <f>'Sampling Data'!A1008</f>
        <v>CLEVELAND HEIGHTS -05-C - ABS</v>
      </c>
      <c r="C1016" s="112">
        <f>'Sampling Data'!B1008</f>
        <v>8</v>
      </c>
      <c r="D1016" s="112">
        <f>'Sampling Data'!C1008</f>
        <v>7</v>
      </c>
      <c r="E1016" s="113">
        <f>'Sampling Data'!D1008</f>
        <v>0</v>
      </c>
      <c r="F1016" s="113">
        <f>'Sampling Data'!E1008</f>
        <v>0</v>
      </c>
      <c r="G1016" s="113">
        <f>'Sampling Data'!F1008</f>
        <v>0</v>
      </c>
      <c r="H1016" s="113">
        <f>'Sampling Data'!G1008</f>
        <v>0</v>
      </c>
      <c r="I1016" s="112">
        <f>'Sampling Data'!H1008</f>
        <v>0</v>
      </c>
      <c r="J1016" s="112">
        <f>'Sampling Data'!I1008</f>
        <v>1</v>
      </c>
      <c r="K1016" s="112">
        <f>'Sampling Data'!J1008</f>
        <v>16</v>
      </c>
      <c r="L1016" s="111">
        <f>'Sampling Data'!X1008</f>
        <v>0</v>
      </c>
      <c r="M1016" s="114"/>
      <c r="N1016" s="114"/>
      <c r="O1016" s="115"/>
      <c r="P1016" s="115"/>
      <c r="Q1016" s="116"/>
      <c r="R1016" s="116"/>
      <c r="S1016" s="111">
        <f>Audit[[#This Row],[Audit Losing Candidate]]-Audit[[#This Row],[Losing Candidate]]</f>
        <v>-8</v>
      </c>
      <c r="T1016" s="111">
        <f>Audit[[#This Row],[Audit Winning Candidate]]-Audit[[#This Row],[Winning Candidate]]</f>
        <v>-7</v>
      </c>
      <c r="U1016" s="111">
        <f>Audit[[#This Row],[Audit Candidate 3]]-Audit[[#This Row],[Candidate 3]]</f>
        <v>0</v>
      </c>
      <c r="V1016" s="111">
        <f>Audit[[#This Row],[Audit Candidate 4]]-Audit[[#This Row],[Candidate 4]]</f>
        <v>0</v>
      </c>
      <c r="W1016" s="111">
        <f>Audit[[#This Row],[Audit Candidate 5]]-Audit[[#This Row],[Candidate 5]]</f>
        <v>0</v>
      </c>
      <c r="X1016" s="111">
        <f>Audit[[#This Row],[Audit Candidate 6]]-Audit[[#This Row],[Candidate 6]]</f>
        <v>0</v>
      </c>
      <c r="Y1016" s="111">
        <f>SUMIF(Audit[[#This Row],[Difference Loser]:[Difference Candidate 6]], "&gt;0")</f>
        <v>0</v>
      </c>
      <c r="Z1016" s="111">
        <f>SUM(Audit[[#This Row],[Difference Loser]:[Difference Candidate 6]])</f>
        <v>-15</v>
      </c>
      <c r="AA1016" s="111">
        <f>IF(Audit[[#This Row],[Times p Drawn - With Replacement]]&gt;0, IF(Audit[[#This Row],[Canceled Differences]]&lt;0, Audit[[#This Row],[Max Differences]]+ABS(Audit[[#This Row],[Canceled Differences]]), Audit[[#This Row],[Max Differences]]), 0)</f>
        <v>0</v>
      </c>
      <c r="AB1016" s="111">
        <f>'Sampling Data'!P1008</f>
        <v>9.1866731994120533E-4</v>
      </c>
      <c r="AC1016" s="111">
        <f>IF(
      SUM(Audit[[#This Row],[Audit Losing Candidate]:[Audit Candidate 6]])
      &lt;&gt;0,
      (Audit[[#This Row],[Winning Candidate]]-Audit[[#This Row],[Losing Candidate]]-(Audit[[#This Row],[Audit Winning Candidate]]-Audit[[#This Row],[Audit Losing Candidate]]))/(Audit[[#Totals],[Winning Candidate]]-Audit[[#Totals],[Losing Candidate]]),
      0
)</f>
        <v>0</v>
      </c>
      <c r="AD10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6" s="111">
        <f>IF(Audit[[#This Row],[Max Relative Error (ep)]] = 0, 0, Audit[[#This Row],[Max Relative Error (ep)]]/Audit[[#This Row],[Error Bound (up) - Max. possible relative overstatement]])</f>
        <v>0</v>
      </c>
      <c r="AJ10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16" s="111">
        <f t="shared" si="15"/>
        <v>1</v>
      </c>
      <c r="AL1016" s="111">
        <f>PRODUCT($AK$5:AK1016)</f>
        <v>8.962823818226312E-2</v>
      </c>
      <c r="AM1016" s="109">
        <f>1 - [K-M P Value]</f>
        <v>0.91037176181773694</v>
      </c>
      <c r="AN1016" s="111" t="str">
        <f>IF(Audit[[#This Row],[K-M P Value]]&gt;1-'General Info'!$B$16,"Continue", "Stop")</f>
        <v>Stop</v>
      </c>
      <c r="AO1016" s="110" t="b">
        <f>IF(Audit[[#This Row],[Status - Continue or stop audit]] = "Continue", TRUE, IF(AN1015 = "Continue", TRUE, FALSE))</f>
        <v>0</v>
      </c>
      <c r="AP1016" s="110"/>
    </row>
    <row r="1017" spans="1:42" ht="15" hidden="1" customHeight="1">
      <c r="A1017" s="111" t="str">
        <f>'Sampling Data'!W1009</f>
        <v/>
      </c>
      <c r="B1017" s="112" t="str">
        <f>'Sampling Data'!A1009</f>
        <v>CLEVELAND HEIGHTS -05-D</v>
      </c>
      <c r="C1017" s="112">
        <f>'Sampling Data'!B1009</f>
        <v>2</v>
      </c>
      <c r="D1017" s="112">
        <f>'Sampling Data'!C1009</f>
        <v>4</v>
      </c>
      <c r="E1017" s="113">
        <f>'Sampling Data'!D1009</f>
        <v>0</v>
      </c>
      <c r="F1017" s="113">
        <f>'Sampling Data'!E1009</f>
        <v>0</v>
      </c>
      <c r="G1017" s="113">
        <f>'Sampling Data'!F1009</f>
        <v>0</v>
      </c>
      <c r="H1017" s="113">
        <f>'Sampling Data'!G1009</f>
        <v>0</v>
      </c>
      <c r="I1017" s="112">
        <f>'Sampling Data'!H1009</f>
        <v>0</v>
      </c>
      <c r="J1017" s="112">
        <f>'Sampling Data'!I1009</f>
        <v>0</v>
      </c>
      <c r="K1017" s="112">
        <f>'Sampling Data'!J1009</f>
        <v>6</v>
      </c>
      <c r="L1017" s="111">
        <f>'Sampling Data'!X1009</f>
        <v>0</v>
      </c>
      <c r="M1017" s="114"/>
      <c r="N1017" s="114"/>
      <c r="O1017" s="115"/>
      <c r="P1017" s="115"/>
      <c r="Q1017" s="116"/>
      <c r="R1017" s="116"/>
      <c r="S1017" s="111">
        <f>Audit[[#This Row],[Audit Losing Candidate]]-Audit[[#This Row],[Losing Candidate]]</f>
        <v>-2</v>
      </c>
      <c r="T1017" s="111">
        <f>Audit[[#This Row],[Audit Winning Candidate]]-Audit[[#This Row],[Winning Candidate]]</f>
        <v>-4</v>
      </c>
      <c r="U1017" s="111">
        <f>Audit[[#This Row],[Audit Candidate 3]]-Audit[[#This Row],[Candidate 3]]</f>
        <v>0</v>
      </c>
      <c r="V1017" s="111">
        <f>Audit[[#This Row],[Audit Candidate 4]]-Audit[[#This Row],[Candidate 4]]</f>
        <v>0</v>
      </c>
      <c r="W1017" s="111">
        <f>Audit[[#This Row],[Audit Candidate 5]]-Audit[[#This Row],[Candidate 5]]</f>
        <v>0</v>
      </c>
      <c r="X1017" s="111">
        <f>Audit[[#This Row],[Audit Candidate 6]]-Audit[[#This Row],[Candidate 6]]</f>
        <v>0</v>
      </c>
      <c r="Y1017" s="111">
        <f>SUMIF(Audit[[#This Row],[Difference Loser]:[Difference Candidate 6]], "&gt;0")</f>
        <v>0</v>
      </c>
      <c r="Z1017" s="111">
        <f>SUM(Audit[[#This Row],[Difference Loser]:[Difference Candidate 6]])</f>
        <v>-6</v>
      </c>
      <c r="AA1017" s="111">
        <f>IF(Audit[[#This Row],[Times p Drawn - With Replacement]]&gt;0, IF(Audit[[#This Row],[Canceled Differences]]&lt;0, Audit[[#This Row],[Max Differences]]+ABS(Audit[[#This Row],[Canceled Differences]]), Audit[[#This Row],[Max Differences]]), 0)</f>
        <v>0</v>
      </c>
      <c r="AB1017" s="111">
        <f>'Sampling Data'!P1009</f>
        <v>4.8995590396864281E-4</v>
      </c>
      <c r="AC1017" s="111">
        <f>IF(
      SUM(Audit[[#This Row],[Audit Losing Candidate]:[Audit Candidate 6]])
      &lt;&gt;0,
      (Audit[[#This Row],[Winning Candidate]]-Audit[[#This Row],[Losing Candidate]]-(Audit[[#This Row],[Audit Winning Candidate]]-Audit[[#This Row],[Audit Losing Candidate]]))/(Audit[[#Totals],[Winning Candidate]]-Audit[[#Totals],[Losing Candidate]]),
      0
)</f>
        <v>0</v>
      </c>
      <c r="AD10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7" s="111">
        <f>IF(Audit[[#This Row],[Max Relative Error (ep)]] = 0, 0, Audit[[#This Row],[Max Relative Error (ep)]]/Audit[[#This Row],[Error Bound (up) - Max. possible relative overstatement]])</f>
        <v>0</v>
      </c>
      <c r="AJ10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17" s="111">
        <f t="shared" si="15"/>
        <v>1</v>
      </c>
      <c r="AL1017" s="111">
        <f>PRODUCT($AK$5:AK1017)</f>
        <v>8.962823818226312E-2</v>
      </c>
      <c r="AM1017" s="109">
        <f>1 - [K-M P Value]</f>
        <v>0.91037176181773694</v>
      </c>
      <c r="AN1017" s="111" t="str">
        <f>IF(Audit[[#This Row],[K-M P Value]]&gt;1-'General Info'!$B$16,"Continue", "Stop")</f>
        <v>Stop</v>
      </c>
      <c r="AO1017" s="110" t="b">
        <f>IF(Audit[[#This Row],[Status - Continue or stop audit]] = "Continue", TRUE, IF(AN1016 = "Continue", TRUE, FALSE))</f>
        <v>0</v>
      </c>
      <c r="AP1017" s="110"/>
    </row>
    <row r="1018" spans="1:42" ht="15" hidden="1" customHeight="1">
      <c r="A1018" s="111" t="str">
        <f>'Sampling Data'!W1010</f>
        <v/>
      </c>
      <c r="B1018" s="112" t="str">
        <f>'Sampling Data'!A1010</f>
        <v>CLEVELAND HEIGHTS -05-D - ABS</v>
      </c>
      <c r="C1018" s="112">
        <f>'Sampling Data'!B1010</f>
        <v>3</v>
      </c>
      <c r="D1018" s="112">
        <f>'Sampling Data'!C1010</f>
        <v>2</v>
      </c>
      <c r="E1018" s="113">
        <f>'Sampling Data'!D1010</f>
        <v>2</v>
      </c>
      <c r="F1018" s="113">
        <f>'Sampling Data'!E1010</f>
        <v>0</v>
      </c>
      <c r="G1018" s="113">
        <f>'Sampling Data'!F1010</f>
        <v>0</v>
      </c>
      <c r="H1018" s="113">
        <f>'Sampling Data'!G1010</f>
        <v>1</v>
      </c>
      <c r="I1018" s="112">
        <f>'Sampling Data'!H1010</f>
        <v>0</v>
      </c>
      <c r="J1018" s="112">
        <f>'Sampling Data'!I1010</f>
        <v>0</v>
      </c>
      <c r="K1018" s="112">
        <f>'Sampling Data'!J1010</f>
        <v>8</v>
      </c>
      <c r="L1018" s="111">
        <f>'Sampling Data'!X1010</f>
        <v>0</v>
      </c>
      <c r="M1018" s="114"/>
      <c r="N1018" s="114"/>
      <c r="O1018" s="115"/>
      <c r="P1018" s="115"/>
      <c r="Q1018" s="116"/>
      <c r="R1018" s="116"/>
      <c r="S1018" s="111">
        <f>Audit[[#This Row],[Audit Losing Candidate]]-Audit[[#This Row],[Losing Candidate]]</f>
        <v>-3</v>
      </c>
      <c r="T1018" s="111">
        <f>Audit[[#This Row],[Audit Winning Candidate]]-Audit[[#This Row],[Winning Candidate]]</f>
        <v>-2</v>
      </c>
      <c r="U1018" s="111">
        <f>Audit[[#This Row],[Audit Candidate 3]]-Audit[[#This Row],[Candidate 3]]</f>
        <v>-2</v>
      </c>
      <c r="V1018" s="111">
        <f>Audit[[#This Row],[Audit Candidate 4]]-Audit[[#This Row],[Candidate 4]]</f>
        <v>0</v>
      </c>
      <c r="W1018" s="111">
        <f>Audit[[#This Row],[Audit Candidate 5]]-Audit[[#This Row],[Candidate 5]]</f>
        <v>0</v>
      </c>
      <c r="X1018" s="111">
        <f>Audit[[#This Row],[Audit Candidate 6]]-Audit[[#This Row],[Candidate 6]]</f>
        <v>-1</v>
      </c>
      <c r="Y1018" s="111">
        <f>SUMIF(Audit[[#This Row],[Difference Loser]:[Difference Candidate 6]], "&gt;0")</f>
        <v>0</v>
      </c>
      <c r="Z1018" s="111">
        <f>SUM(Audit[[#This Row],[Difference Loser]:[Difference Candidate 6]])</f>
        <v>-8</v>
      </c>
      <c r="AA1018" s="111">
        <f>IF(Audit[[#This Row],[Times p Drawn - With Replacement]]&gt;0, IF(Audit[[#This Row],[Canceled Differences]]&lt;0, Audit[[#This Row],[Max Differences]]+ABS(Audit[[#This Row],[Canceled Differences]]), Audit[[#This Row],[Max Differences]]), 0)</f>
        <v>0</v>
      </c>
      <c r="AB1018" s="111">
        <f>'Sampling Data'!P1010</f>
        <v>4.2871141597256246E-4</v>
      </c>
      <c r="AC1018" s="111">
        <f>IF(
      SUM(Audit[[#This Row],[Audit Losing Candidate]:[Audit Candidate 6]])
      &lt;&gt;0,
      (Audit[[#This Row],[Winning Candidate]]-Audit[[#This Row],[Losing Candidate]]-(Audit[[#This Row],[Audit Winning Candidate]]-Audit[[#This Row],[Audit Losing Candidate]]))/(Audit[[#Totals],[Winning Candidate]]-Audit[[#Totals],[Losing Candidate]]),
      0
)</f>
        <v>0</v>
      </c>
      <c r="AD10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8" s="111">
        <f>IF(Audit[[#This Row],[Max Relative Error (ep)]] = 0, 0, Audit[[#This Row],[Max Relative Error (ep)]]/Audit[[#This Row],[Error Bound (up) - Max. possible relative overstatement]])</f>
        <v>0</v>
      </c>
      <c r="AJ10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18" s="111">
        <f t="shared" si="15"/>
        <v>1</v>
      </c>
      <c r="AL1018" s="111">
        <f>PRODUCT($AK$5:AK1018)</f>
        <v>8.962823818226312E-2</v>
      </c>
      <c r="AM1018" s="109">
        <f>1 - [K-M P Value]</f>
        <v>0.91037176181773694</v>
      </c>
      <c r="AN1018" s="111" t="str">
        <f>IF(Audit[[#This Row],[K-M P Value]]&gt;1-'General Info'!$B$16,"Continue", "Stop")</f>
        <v>Stop</v>
      </c>
      <c r="AO1018" s="110" t="b">
        <f>IF(Audit[[#This Row],[Status - Continue or stop audit]] = "Continue", TRUE, IF(AN1017 = "Continue", TRUE, FALSE))</f>
        <v>0</v>
      </c>
      <c r="AP1018" s="110"/>
    </row>
    <row r="1019" spans="1:42" ht="15" hidden="1" customHeight="1">
      <c r="A1019" s="111" t="str">
        <f>'Sampling Data'!W1011</f>
        <v/>
      </c>
      <c r="B1019" s="112" t="str">
        <f>'Sampling Data'!A1011</f>
        <v>CLEVELAND HEIGHTS -05-E</v>
      </c>
      <c r="C1019" s="112">
        <f>'Sampling Data'!B1011</f>
        <v>10</v>
      </c>
      <c r="D1019" s="112">
        <f>'Sampling Data'!C1011</f>
        <v>15</v>
      </c>
      <c r="E1019" s="113">
        <f>'Sampling Data'!D1011</f>
        <v>2</v>
      </c>
      <c r="F1019" s="113">
        <f>'Sampling Data'!E1011</f>
        <v>2</v>
      </c>
      <c r="G1019" s="113">
        <f>'Sampling Data'!F1011</f>
        <v>0</v>
      </c>
      <c r="H1019" s="113">
        <f>'Sampling Data'!G1011</f>
        <v>0</v>
      </c>
      <c r="I1019" s="112">
        <f>'Sampling Data'!H1011</f>
        <v>0</v>
      </c>
      <c r="J1019" s="112">
        <f>'Sampling Data'!I1011</f>
        <v>0</v>
      </c>
      <c r="K1019" s="112">
        <f>'Sampling Data'!J1011</f>
        <v>29</v>
      </c>
      <c r="L1019" s="111">
        <f>'Sampling Data'!X1011</f>
        <v>0</v>
      </c>
      <c r="M1019" s="114"/>
      <c r="N1019" s="114"/>
      <c r="O1019" s="115"/>
      <c r="P1019" s="115"/>
      <c r="Q1019" s="116"/>
      <c r="R1019" s="116"/>
      <c r="S1019" s="111">
        <f>Audit[[#This Row],[Audit Losing Candidate]]-Audit[[#This Row],[Losing Candidate]]</f>
        <v>-10</v>
      </c>
      <c r="T1019" s="111">
        <f>Audit[[#This Row],[Audit Winning Candidate]]-Audit[[#This Row],[Winning Candidate]]</f>
        <v>-15</v>
      </c>
      <c r="U1019" s="111">
        <f>Audit[[#This Row],[Audit Candidate 3]]-Audit[[#This Row],[Candidate 3]]</f>
        <v>-2</v>
      </c>
      <c r="V1019" s="111">
        <f>Audit[[#This Row],[Audit Candidate 4]]-Audit[[#This Row],[Candidate 4]]</f>
        <v>-2</v>
      </c>
      <c r="W1019" s="111">
        <f>Audit[[#This Row],[Audit Candidate 5]]-Audit[[#This Row],[Candidate 5]]</f>
        <v>0</v>
      </c>
      <c r="X1019" s="111">
        <f>Audit[[#This Row],[Audit Candidate 6]]-Audit[[#This Row],[Candidate 6]]</f>
        <v>0</v>
      </c>
      <c r="Y1019" s="111">
        <f>SUMIF(Audit[[#This Row],[Difference Loser]:[Difference Candidate 6]], "&gt;0")</f>
        <v>0</v>
      </c>
      <c r="Z1019" s="111">
        <f>SUM(Audit[[#This Row],[Difference Loser]:[Difference Candidate 6]])</f>
        <v>-29</v>
      </c>
      <c r="AA1019" s="111">
        <f>IF(Audit[[#This Row],[Times p Drawn - With Replacement]]&gt;0, IF(Audit[[#This Row],[Canceled Differences]]&lt;0, Audit[[#This Row],[Max Differences]]+ABS(Audit[[#This Row],[Canceled Differences]]), Audit[[#This Row],[Max Differences]]), 0)</f>
        <v>0</v>
      </c>
      <c r="AB1019" s="111">
        <f>'Sampling Data'!P1011</f>
        <v>2.0823125918667321E-3</v>
      </c>
      <c r="AC1019" s="111">
        <f>IF(
      SUM(Audit[[#This Row],[Audit Losing Candidate]:[Audit Candidate 6]])
      &lt;&gt;0,
      (Audit[[#This Row],[Winning Candidate]]-Audit[[#This Row],[Losing Candidate]]-(Audit[[#This Row],[Audit Winning Candidate]]-Audit[[#This Row],[Audit Losing Candidate]]))/(Audit[[#Totals],[Winning Candidate]]-Audit[[#Totals],[Losing Candidate]]),
      0
)</f>
        <v>0</v>
      </c>
      <c r="AD10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9" s="111">
        <f>IF(Audit[[#This Row],[Max Relative Error (ep)]] = 0, 0, Audit[[#This Row],[Max Relative Error (ep)]]/Audit[[#This Row],[Error Bound (up) - Max. possible relative overstatement]])</f>
        <v>0</v>
      </c>
      <c r="AJ10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19" s="111">
        <f t="shared" si="15"/>
        <v>1</v>
      </c>
      <c r="AL1019" s="111">
        <f>PRODUCT($AK$5:AK1019)</f>
        <v>8.962823818226312E-2</v>
      </c>
      <c r="AM1019" s="109">
        <f>1 - [K-M P Value]</f>
        <v>0.91037176181773694</v>
      </c>
      <c r="AN1019" s="111" t="str">
        <f>IF(Audit[[#This Row],[K-M P Value]]&gt;1-'General Info'!$B$16,"Continue", "Stop")</f>
        <v>Stop</v>
      </c>
      <c r="AO1019" s="110" t="b">
        <f>IF(Audit[[#This Row],[Status - Continue or stop audit]] = "Continue", TRUE, IF(AN1018 = "Continue", TRUE, FALSE))</f>
        <v>0</v>
      </c>
      <c r="AP1019" s="110"/>
    </row>
    <row r="1020" spans="1:42" ht="15" hidden="1" customHeight="1">
      <c r="A1020" s="111" t="str">
        <f>'Sampling Data'!W1012</f>
        <v/>
      </c>
      <c r="B1020" s="112" t="str">
        <f>'Sampling Data'!A1012</f>
        <v>CLEVELAND HEIGHTS -05-E - ABS</v>
      </c>
      <c r="C1020" s="112">
        <f>'Sampling Data'!B1012</f>
        <v>8</v>
      </c>
      <c r="D1020" s="112">
        <f>'Sampling Data'!C1012</f>
        <v>6</v>
      </c>
      <c r="E1020" s="113">
        <f>'Sampling Data'!D1012</f>
        <v>2</v>
      </c>
      <c r="F1020" s="113">
        <f>'Sampling Data'!E1012</f>
        <v>1</v>
      </c>
      <c r="G1020" s="113">
        <f>'Sampling Data'!F1012</f>
        <v>0</v>
      </c>
      <c r="H1020" s="113">
        <f>'Sampling Data'!G1012</f>
        <v>0</v>
      </c>
      <c r="I1020" s="112">
        <f>'Sampling Data'!H1012</f>
        <v>0</v>
      </c>
      <c r="J1020" s="112">
        <f>'Sampling Data'!I1012</f>
        <v>1</v>
      </c>
      <c r="K1020" s="112">
        <f>'Sampling Data'!J1012</f>
        <v>18</v>
      </c>
      <c r="L1020" s="111">
        <f>'Sampling Data'!X1012</f>
        <v>0</v>
      </c>
      <c r="M1020" s="114"/>
      <c r="N1020" s="114"/>
      <c r="O1020" s="115"/>
      <c r="P1020" s="115"/>
      <c r="Q1020" s="116"/>
      <c r="R1020" s="116"/>
      <c r="S1020" s="111">
        <f>Audit[[#This Row],[Audit Losing Candidate]]-Audit[[#This Row],[Losing Candidate]]</f>
        <v>-8</v>
      </c>
      <c r="T1020" s="111">
        <f>Audit[[#This Row],[Audit Winning Candidate]]-Audit[[#This Row],[Winning Candidate]]</f>
        <v>-6</v>
      </c>
      <c r="U1020" s="111">
        <f>Audit[[#This Row],[Audit Candidate 3]]-Audit[[#This Row],[Candidate 3]]</f>
        <v>-2</v>
      </c>
      <c r="V1020" s="111">
        <f>Audit[[#This Row],[Audit Candidate 4]]-Audit[[#This Row],[Candidate 4]]</f>
        <v>-1</v>
      </c>
      <c r="W1020" s="111">
        <f>Audit[[#This Row],[Audit Candidate 5]]-Audit[[#This Row],[Candidate 5]]</f>
        <v>0</v>
      </c>
      <c r="X1020" s="111">
        <f>Audit[[#This Row],[Audit Candidate 6]]-Audit[[#This Row],[Candidate 6]]</f>
        <v>0</v>
      </c>
      <c r="Y1020" s="111">
        <f>SUMIF(Audit[[#This Row],[Difference Loser]:[Difference Candidate 6]], "&gt;0")</f>
        <v>0</v>
      </c>
      <c r="Z1020" s="111">
        <f>SUM(Audit[[#This Row],[Difference Loser]:[Difference Candidate 6]])</f>
        <v>-17</v>
      </c>
      <c r="AA1020" s="111">
        <f>IF(Audit[[#This Row],[Times p Drawn - With Replacement]]&gt;0, IF(Audit[[#This Row],[Canceled Differences]]&lt;0, Audit[[#This Row],[Max Differences]]+ABS(Audit[[#This Row],[Canceled Differences]]), Audit[[#This Row],[Max Differences]]), 0)</f>
        <v>0</v>
      </c>
      <c r="AB1020" s="111">
        <f>'Sampling Data'!P1012</f>
        <v>9.7991180793728563E-4</v>
      </c>
      <c r="AC1020" s="111">
        <f>IF(
      SUM(Audit[[#This Row],[Audit Losing Candidate]:[Audit Candidate 6]])
      &lt;&gt;0,
      (Audit[[#This Row],[Winning Candidate]]-Audit[[#This Row],[Losing Candidate]]-(Audit[[#This Row],[Audit Winning Candidate]]-Audit[[#This Row],[Audit Losing Candidate]]))/(Audit[[#Totals],[Winning Candidate]]-Audit[[#Totals],[Losing Candidate]]),
      0
)</f>
        <v>0</v>
      </c>
      <c r="AD10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0" s="111">
        <f>IF(Audit[[#This Row],[Max Relative Error (ep)]] = 0, 0, Audit[[#This Row],[Max Relative Error (ep)]]/Audit[[#This Row],[Error Bound (up) - Max. possible relative overstatement]])</f>
        <v>0</v>
      </c>
      <c r="AJ10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20" s="111">
        <f t="shared" si="15"/>
        <v>1</v>
      </c>
      <c r="AL1020" s="111">
        <f>PRODUCT($AK$5:AK1020)</f>
        <v>8.962823818226312E-2</v>
      </c>
      <c r="AM1020" s="109">
        <f>1 - [K-M P Value]</f>
        <v>0.91037176181773694</v>
      </c>
      <c r="AN1020" s="111" t="str">
        <f>IF(Audit[[#This Row],[K-M P Value]]&gt;1-'General Info'!$B$16,"Continue", "Stop")</f>
        <v>Stop</v>
      </c>
      <c r="AO1020" s="110" t="b">
        <f>IF(Audit[[#This Row],[Status - Continue or stop audit]] = "Continue", TRUE, IF(AN1019 = "Continue", TRUE, FALSE))</f>
        <v>0</v>
      </c>
      <c r="AP1020" s="110"/>
    </row>
    <row r="1021" spans="1:42" ht="15" hidden="1" customHeight="1">
      <c r="A1021" s="111" t="str">
        <f>'Sampling Data'!W1013</f>
        <v/>
      </c>
      <c r="B1021" s="112" t="str">
        <f>'Sampling Data'!A1013</f>
        <v>CLEVELAND HEIGHTS -05-F</v>
      </c>
      <c r="C1021" s="112">
        <f>'Sampling Data'!B1013</f>
        <v>2</v>
      </c>
      <c r="D1021" s="112">
        <f>'Sampling Data'!C1013</f>
        <v>3</v>
      </c>
      <c r="E1021" s="113">
        <f>'Sampling Data'!D1013</f>
        <v>1</v>
      </c>
      <c r="F1021" s="113">
        <f>'Sampling Data'!E1013</f>
        <v>0</v>
      </c>
      <c r="G1021" s="113">
        <f>'Sampling Data'!F1013</f>
        <v>0</v>
      </c>
      <c r="H1021" s="113">
        <f>'Sampling Data'!G1013</f>
        <v>0</v>
      </c>
      <c r="I1021" s="112">
        <f>'Sampling Data'!H1013</f>
        <v>0</v>
      </c>
      <c r="J1021" s="112">
        <f>'Sampling Data'!I1013</f>
        <v>0</v>
      </c>
      <c r="K1021" s="112">
        <f>'Sampling Data'!J1013</f>
        <v>6</v>
      </c>
      <c r="L1021" s="111">
        <f>'Sampling Data'!X1013</f>
        <v>0</v>
      </c>
      <c r="M1021" s="114"/>
      <c r="N1021" s="114"/>
      <c r="O1021" s="115"/>
      <c r="P1021" s="115"/>
      <c r="Q1021" s="116"/>
      <c r="R1021" s="116"/>
      <c r="S1021" s="111">
        <f>Audit[[#This Row],[Audit Losing Candidate]]-Audit[[#This Row],[Losing Candidate]]</f>
        <v>-2</v>
      </c>
      <c r="T1021" s="111">
        <f>Audit[[#This Row],[Audit Winning Candidate]]-Audit[[#This Row],[Winning Candidate]]</f>
        <v>-3</v>
      </c>
      <c r="U1021" s="111">
        <f>Audit[[#This Row],[Audit Candidate 3]]-Audit[[#This Row],[Candidate 3]]</f>
        <v>-1</v>
      </c>
      <c r="V1021" s="111">
        <f>Audit[[#This Row],[Audit Candidate 4]]-Audit[[#This Row],[Candidate 4]]</f>
        <v>0</v>
      </c>
      <c r="W1021" s="111">
        <f>Audit[[#This Row],[Audit Candidate 5]]-Audit[[#This Row],[Candidate 5]]</f>
        <v>0</v>
      </c>
      <c r="X1021" s="111">
        <f>Audit[[#This Row],[Audit Candidate 6]]-Audit[[#This Row],[Candidate 6]]</f>
        <v>0</v>
      </c>
      <c r="Y1021" s="111">
        <f>SUMIF(Audit[[#This Row],[Difference Loser]:[Difference Candidate 6]], "&gt;0")</f>
        <v>0</v>
      </c>
      <c r="Z1021" s="111">
        <f>SUM(Audit[[#This Row],[Difference Loser]:[Difference Candidate 6]])</f>
        <v>-6</v>
      </c>
      <c r="AA1021" s="111">
        <f>IF(Audit[[#This Row],[Times p Drawn - With Replacement]]&gt;0, IF(Audit[[#This Row],[Canceled Differences]]&lt;0, Audit[[#This Row],[Max Differences]]+ABS(Audit[[#This Row],[Canceled Differences]]), Audit[[#This Row],[Max Differences]]), 0)</f>
        <v>0</v>
      </c>
      <c r="AB1021" s="111">
        <f>'Sampling Data'!P1013</f>
        <v>4.2871141597256246E-4</v>
      </c>
      <c r="AC1021" s="111">
        <f>IF(
      SUM(Audit[[#This Row],[Audit Losing Candidate]:[Audit Candidate 6]])
      &lt;&gt;0,
      (Audit[[#This Row],[Winning Candidate]]-Audit[[#This Row],[Losing Candidate]]-(Audit[[#This Row],[Audit Winning Candidate]]-Audit[[#This Row],[Audit Losing Candidate]]))/(Audit[[#Totals],[Winning Candidate]]-Audit[[#Totals],[Losing Candidate]]),
      0
)</f>
        <v>0</v>
      </c>
      <c r="AD10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1" s="111">
        <f>IF(Audit[[#This Row],[Max Relative Error (ep)]] = 0, 0, Audit[[#This Row],[Max Relative Error (ep)]]/Audit[[#This Row],[Error Bound (up) - Max. possible relative overstatement]])</f>
        <v>0</v>
      </c>
      <c r="AJ10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21" s="111">
        <f t="shared" si="15"/>
        <v>1</v>
      </c>
      <c r="AL1021" s="111">
        <f>PRODUCT($AK$5:AK1021)</f>
        <v>8.962823818226312E-2</v>
      </c>
      <c r="AM1021" s="109">
        <f>1 - [K-M P Value]</f>
        <v>0.91037176181773694</v>
      </c>
      <c r="AN1021" s="111" t="str">
        <f>IF(Audit[[#This Row],[K-M P Value]]&gt;1-'General Info'!$B$16,"Continue", "Stop")</f>
        <v>Stop</v>
      </c>
      <c r="AO1021" s="110" t="b">
        <f>IF(Audit[[#This Row],[Status - Continue or stop audit]] = "Continue", TRUE, IF(AN1020 = "Continue", TRUE, FALSE))</f>
        <v>0</v>
      </c>
      <c r="AP1021" s="110"/>
    </row>
    <row r="1022" spans="1:42" ht="15" hidden="1" customHeight="1">
      <c r="A1022" s="111" t="str">
        <f>'Sampling Data'!W1014</f>
        <v/>
      </c>
      <c r="B1022" s="112" t="str">
        <f>'Sampling Data'!A1014</f>
        <v>CLEVELAND HEIGHTS -05-F - ABS</v>
      </c>
      <c r="C1022" s="112">
        <f>'Sampling Data'!B1014</f>
        <v>6</v>
      </c>
      <c r="D1022" s="112">
        <f>'Sampling Data'!C1014</f>
        <v>0</v>
      </c>
      <c r="E1022" s="113">
        <f>'Sampling Data'!D1014</f>
        <v>3</v>
      </c>
      <c r="F1022" s="113">
        <f>'Sampling Data'!E1014</f>
        <v>0</v>
      </c>
      <c r="G1022" s="113">
        <f>'Sampling Data'!F1014</f>
        <v>0</v>
      </c>
      <c r="H1022" s="113">
        <f>'Sampling Data'!G1014</f>
        <v>0</v>
      </c>
      <c r="I1022" s="112">
        <f>'Sampling Data'!H1014</f>
        <v>0</v>
      </c>
      <c r="J1022" s="112">
        <f>'Sampling Data'!I1014</f>
        <v>0</v>
      </c>
      <c r="K1022" s="112">
        <f>'Sampling Data'!J1014</f>
        <v>9</v>
      </c>
      <c r="L1022" s="111">
        <f>'Sampling Data'!X1014</f>
        <v>0</v>
      </c>
      <c r="M1022" s="114"/>
      <c r="N1022" s="114"/>
      <c r="O1022" s="115"/>
      <c r="P1022" s="115"/>
      <c r="Q1022" s="116"/>
      <c r="R1022" s="116"/>
      <c r="S1022" s="111">
        <f>Audit[[#This Row],[Audit Losing Candidate]]-Audit[[#This Row],[Losing Candidate]]</f>
        <v>-6</v>
      </c>
      <c r="T1022" s="111">
        <f>Audit[[#This Row],[Audit Winning Candidate]]-Audit[[#This Row],[Winning Candidate]]</f>
        <v>0</v>
      </c>
      <c r="U1022" s="111">
        <f>Audit[[#This Row],[Audit Candidate 3]]-Audit[[#This Row],[Candidate 3]]</f>
        <v>-3</v>
      </c>
      <c r="V1022" s="111">
        <f>Audit[[#This Row],[Audit Candidate 4]]-Audit[[#This Row],[Candidate 4]]</f>
        <v>0</v>
      </c>
      <c r="W1022" s="111">
        <f>Audit[[#This Row],[Audit Candidate 5]]-Audit[[#This Row],[Candidate 5]]</f>
        <v>0</v>
      </c>
      <c r="X1022" s="111">
        <f>Audit[[#This Row],[Audit Candidate 6]]-Audit[[#This Row],[Candidate 6]]</f>
        <v>0</v>
      </c>
      <c r="Y1022" s="111">
        <f>SUMIF(Audit[[#This Row],[Difference Loser]:[Difference Candidate 6]], "&gt;0")</f>
        <v>0</v>
      </c>
      <c r="Z1022" s="111">
        <f>SUM(Audit[[#This Row],[Difference Loser]:[Difference Candidate 6]])</f>
        <v>-9</v>
      </c>
      <c r="AA1022" s="111">
        <f>IF(Audit[[#This Row],[Times p Drawn - With Replacement]]&gt;0, IF(Audit[[#This Row],[Canceled Differences]]&lt;0, Audit[[#This Row],[Max Differences]]+ABS(Audit[[#This Row],[Canceled Differences]]), Audit[[#This Row],[Max Differences]]), 0)</f>
        <v>0</v>
      </c>
      <c r="AB1022" s="111">
        <f>'Sampling Data'!P1014</f>
        <v>2.6308866087871614E-4</v>
      </c>
      <c r="AC1022" s="111">
        <f>IF(
      SUM(Audit[[#This Row],[Audit Losing Candidate]:[Audit Candidate 6]])
      &lt;&gt;0,
      (Audit[[#This Row],[Winning Candidate]]-Audit[[#This Row],[Losing Candidate]]-(Audit[[#This Row],[Audit Winning Candidate]]-Audit[[#This Row],[Audit Losing Candidate]]))/(Audit[[#Totals],[Winning Candidate]]-Audit[[#Totals],[Losing Candidate]]),
      0
)</f>
        <v>0</v>
      </c>
      <c r="AD10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2" s="111">
        <f>IF(Audit[[#This Row],[Max Relative Error (ep)]] = 0, 0, Audit[[#This Row],[Max Relative Error (ep)]]/Audit[[#This Row],[Error Bound (up) - Max. possible relative overstatement]])</f>
        <v>0</v>
      </c>
      <c r="AJ10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22" s="111">
        <f t="shared" si="15"/>
        <v>1</v>
      </c>
      <c r="AL1022" s="111">
        <f>PRODUCT($AK$5:AK1022)</f>
        <v>8.962823818226312E-2</v>
      </c>
      <c r="AM1022" s="109">
        <f>1 - [K-M P Value]</f>
        <v>0.91037176181773694</v>
      </c>
      <c r="AN1022" s="111" t="str">
        <f>IF(Audit[[#This Row],[K-M P Value]]&gt;1-'General Info'!$B$16,"Continue", "Stop")</f>
        <v>Stop</v>
      </c>
      <c r="AO1022" s="110" t="b">
        <f>IF(Audit[[#This Row],[Status - Continue or stop audit]] = "Continue", TRUE, IF(AN1021 = "Continue", TRUE, FALSE))</f>
        <v>0</v>
      </c>
      <c r="AP1022" s="110"/>
    </row>
    <row r="1023" spans="1:42" ht="15" hidden="1" customHeight="1">
      <c r="A1023" s="111" t="str">
        <f>'Sampling Data'!W1015</f>
        <v/>
      </c>
      <c r="B1023" s="112" t="str">
        <f>'Sampling Data'!A1015</f>
        <v>CLEVELAND HEIGHTS -05-G</v>
      </c>
      <c r="C1023" s="112">
        <f>'Sampling Data'!B1015</f>
        <v>6</v>
      </c>
      <c r="D1023" s="112">
        <f>'Sampling Data'!C1015</f>
        <v>13</v>
      </c>
      <c r="E1023" s="113">
        <f>'Sampling Data'!D1015</f>
        <v>0</v>
      </c>
      <c r="F1023" s="113">
        <f>'Sampling Data'!E1015</f>
        <v>2</v>
      </c>
      <c r="G1023" s="113">
        <f>'Sampling Data'!F1015</f>
        <v>0</v>
      </c>
      <c r="H1023" s="113">
        <f>'Sampling Data'!G1015</f>
        <v>0</v>
      </c>
      <c r="I1023" s="112">
        <f>'Sampling Data'!H1015</f>
        <v>0</v>
      </c>
      <c r="J1023" s="112">
        <f>'Sampling Data'!I1015</f>
        <v>0</v>
      </c>
      <c r="K1023" s="112">
        <f>'Sampling Data'!J1015</f>
        <v>21</v>
      </c>
      <c r="L1023" s="111">
        <f>'Sampling Data'!X1015</f>
        <v>0</v>
      </c>
      <c r="M1023" s="114"/>
      <c r="N1023" s="114"/>
      <c r="O1023" s="115"/>
      <c r="P1023" s="115"/>
      <c r="Q1023" s="116"/>
      <c r="R1023" s="116"/>
      <c r="S1023" s="111">
        <f>Audit[[#This Row],[Audit Losing Candidate]]-Audit[[#This Row],[Losing Candidate]]</f>
        <v>-6</v>
      </c>
      <c r="T1023" s="111">
        <f>Audit[[#This Row],[Audit Winning Candidate]]-Audit[[#This Row],[Winning Candidate]]</f>
        <v>-13</v>
      </c>
      <c r="U1023" s="111">
        <f>Audit[[#This Row],[Audit Candidate 3]]-Audit[[#This Row],[Candidate 3]]</f>
        <v>0</v>
      </c>
      <c r="V1023" s="111">
        <f>Audit[[#This Row],[Audit Candidate 4]]-Audit[[#This Row],[Candidate 4]]</f>
        <v>-2</v>
      </c>
      <c r="W1023" s="111">
        <f>Audit[[#This Row],[Audit Candidate 5]]-Audit[[#This Row],[Candidate 5]]</f>
        <v>0</v>
      </c>
      <c r="X1023" s="111">
        <f>Audit[[#This Row],[Audit Candidate 6]]-Audit[[#This Row],[Candidate 6]]</f>
        <v>0</v>
      </c>
      <c r="Y1023" s="111">
        <f>SUMIF(Audit[[#This Row],[Difference Loser]:[Difference Candidate 6]], "&gt;0")</f>
        <v>0</v>
      </c>
      <c r="Z1023" s="111">
        <f>SUM(Audit[[#This Row],[Difference Loser]:[Difference Candidate 6]])</f>
        <v>-21</v>
      </c>
      <c r="AA1023" s="111">
        <f>IF(Audit[[#This Row],[Times p Drawn - With Replacement]]&gt;0, IF(Audit[[#This Row],[Canceled Differences]]&lt;0, Audit[[#This Row],[Max Differences]]+ABS(Audit[[#This Row],[Canceled Differences]]), Audit[[#This Row],[Max Differences]]), 0)</f>
        <v>0</v>
      </c>
      <c r="AB1023" s="111">
        <f>'Sampling Data'!P1015</f>
        <v>1.7148456638902498E-3</v>
      </c>
      <c r="AC1023" s="111">
        <f>IF(
      SUM(Audit[[#This Row],[Audit Losing Candidate]:[Audit Candidate 6]])
      &lt;&gt;0,
      (Audit[[#This Row],[Winning Candidate]]-Audit[[#This Row],[Losing Candidate]]-(Audit[[#This Row],[Audit Winning Candidate]]-Audit[[#This Row],[Audit Losing Candidate]]))/(Audit[[#Totals],[Winning Candidate]]-Audit[[#Totals],[Losing Candidate]]),
      0
)</f>
        <v>0</v>
      </c>
      <c r="AD10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3" s="111">
        <f>IF(Audit[[#This Row],[Max Relative Error (ep)]] = 0, 0, Audit[[#This Row],[Max Relative Error (ep)]]/Audit[[#This Row],[Error Bound (up) - Max. possible relative overstatement]])</f>
        <v>0</v>
      </c>
      <c r="AJ10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23" s="111">
        <f t="shared" si="15"/>
        <v>1</v>
      </c>
      <c r="AL1023" s="111">
        <f>PRODUCT($AK$5:AK1023)</f>
        <v>8.962823818226312E-2</v>
      </c>
      <c r="AM1023" s="109">
        <f>1 - [K-M P Value]</f>
        <v>0.91037176181773694</v>
      </c>
      <c r="AN1023" s="111" t="str">
        <f>IF(Audit[[#This Row],[K-M P Value]]&gt;1-'General Info'!$B$16,"Continue", "Stop")</f>
        <v>Stop</v>
      </c>
      <c r="AO1023" s="110" t="b">
        <f>IF(Audit[[#This Row],[Status - Continue or stop audit]] = "Continue", TRUE, IF(AN1022 = "Continue", TRUE, FALSE))</f>
        <v>0</v>
      </c>
      <c r="AP1023" s="110"/>
    </row>
    <row r="1024" spans="1:42" ht="15" hidden="1" customHeight="1">
      <c r="A1024" s="111" t="str">
        <f>'Sampling Data'!W1016</f>
        <v/>
      </c>
      <c r="B1024" s="112" t="str">
        <f>'Sampling Data'!A1016</f>
        <v>CLEVELAND HEIGHTS -05-G - ABS</v>
      </c>
      <c r="C1024" s="112">
        <f>'Sampling Data'!B1016</f>
        <v>0</v>
      </c>
      <c r="D1024" s="112">
        <f>'Sampling Data'!C1016</f>
        <v>6</v>
      </c>
      <c r="E1024" s="113">
        <f>'Sampling Data'!D1016</f>
        <v>3</v>
      </c>
      <c r="F1024" s="113">
        <f>'Sampling Data'!E1016</f>
        <v>2</v>
      </c>
      <c r="G1024" s="113">
        <f>'Sampling Data'!F1016</f>
        <v>0</v>
      </c>
      <c r="H1024" s="113">
        <f>'Sampling Data'!G1016</f>
        <v>0</v>
      </c>
      <c r="I1024" s="112">
        <f>'Sampling Data'!H1016</f>
        <v>0</v>
      </c>
      <c r="J1024" s="112">
        <f>'Sampling Data'!I1016</f>
        <v>0</v>
      </c>
      <c r="K1024" s="112">
        <f>'Sampling Data'!J1016</f>
        <v>11</v>
      </c>
      <c r="L1024" s="111">
        <f>'Sampling Data'!X1016</f>
        <v>0</v>
      </c>
      <c r="M1024" s="114"/>
      <c r="N1024" s="114"/>
      <c r="O1024" s="115"/>
      <c r="P1024" s="115"/>
      <c r="Q1024" s="116"/>
      <c r="R1024" s="116"/>
      <c r="S1024" s="111">
        <f>Audit[[#This Row],[Audit Losing Candidate]]-Audit[[#This Row],[Losing Candidate]]</f>
        <v>0</v>
      </c>
      <c r="T1024" s="111">
        <f>Audit[[#This Row],[Audit Winning Candidate]]-Audit[[#This Row],[Winning Candidate]]</f>
        <v>-6</v>
      </c>
      <c r="U1024" s="111">
        <f>Audit[[#This Row],[Audit Candidate 3]]-Audit[[#This Row],[Candidate 3]]</f>
        <v>-3</v>
      </c>
      <c r="V1024" s="111">
        <f>Audit[[#This Row],[Audit Candidate 4]]-Audit[[#This Row],[Candidate 4]]</f>
        <v>-2</v>
      </c>
      <c r="W1024" s="111">
        <f>Audit[[#This Row],[Audit Candidate 5]]-Audit[[#This Row],[Candidate 5]]</f>
        <v>0</v>
      </c>
      <c r="X1024" s="111">
        <f>Audit[[#This Row],[Audit Candidate 6]]-Audit[[#This Row],[Candidate 6]]</f>
        <v>0</v>
      </c>
      <c r="Y1024" s="111">
        <f>SUMIF(Audit[[#This Row],[Difference Loser]:[Difference Candidate 6]], "&gt;0")</f>
        <v>0</v>
      </c>
      <c r="Z1024" s="111">
        <f>SUM(Audit[[#This Row],[Difference Loser]:[Difference Candidate 6]])</f>
        <v>-11</v>
      </c>
      <c r="AA1024" s="111">
        <f>IF(Audit[[#This Row],[Times p Drawn - With Replacement]]&gt;0, IF(Audit[[#This Row],[Canceled Differences]]&lt;0, Audit[[#This Row],[Max Differences]]+ABS(Audit[[#This Row],[Canceled Differences]]), Audit[[#This Row],[Max Differences]]), 0)</f>
        <v>0</v>
      </c>
      <c r="AB1024" s="111">
        <f>'Sampling Data'!P1016</f>
        <v>1.041156295933366E-3</v>
      </c>
      <c r="AC1024" s="111">
        <f>IF(
      SUM(Audit[[#This Row],[Audit Losing Candidate]:[Audit Candidate 6]])
      &lt;&gt;0,
      (Audit[[#This Row],[Winning Candidate]]-Audit[[#This Row],[Losing Candidate]]-(Audit[[#This Row],[Audit Winning Candidate]]-Audit[[#This Row],[Audit Losing Candidate]]))/(Audit[[#Totals],[Winning Candidate]]-Audit[[#Totals],[Losing Candidate]]),
      0
)</f>
        <v>0</v>
      </c>
      <c r="AD10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4" s="111">
        <f>IF(Audit[[#This Row],[Max Relative Error (ep)]] = 0, 0, Audit[[#This Row],[Max Relative Error (ep)]]/Audit[[#This Row],[Error Bound (up) - Max. possible relative overstatement]])</f>
        <v>0</v>
      </c>
      <c r="AJ10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24" s="111">
        <f t="shared" si="15"/>
        <v>1</v>
      </c>
      <c r="AL1024" s="111">
        <f>PRODUCT($AK$5:AK1024)</f>
        <v>8.962823818226312E-2</v>
      </c>
      <c r="AM1024" s="109">
        <f>1 - [K-M P Value]</f>
        <v>0.91037176181773694</v>
      </c>
      <c r="AN1024" s="111" t="str">
        <f>IF(Audit[[#This Row],[K-M P Value]]&gt;1-'General Info'!$B$16,"Continue", "Stop")</f>
        <v>Stop</v>
      </c>
      <c r="AO1024" s="110" t="b">
        <f>IF(Audit[[#This Row],[Status - Continue or stop audit]] = "Continue", TRUE, IF(AN1023 = "Continue", TRUE, FALSE))</f>
        <v>0</v>
      </c>
      <c r="AP1024" s="110"/>
    </row>
    <row r="1025" spans="1:42" ht="15" hidden="1" customHeight="1">
      <c r="A1025" s="111" t="str">
        <f>'Sampling Data'!W1017</f>
        <v/>
      </c>
      <c r="B1025" s="112" t="str">
        <f>'Sampling Data'!A1017</f>
        <v>CLEVELAND HEIGHTS -05-H</v>
      </c>
      <c r="C1025" s="112">
        <f>'Sampling Data'!B1017</f>
        <v>3</v>
      </c>
      <c r="D1025" s="112">
        <f>'Sampling Data'!C1017</f>
        <v>1</v>
      </c>
      <c r="E1025" s="113">
        <f>'Sampling Data'!D1017</f>
        <v>1</v>
      </c>
      <c r="F1025" s="113">
        <f>'Sampling Data'!E1017</f>
        <v>0</v>
      </c>
      <c r="G1025" s="113">
        <f>'Sampling Data'!F1017</f>
        <v>0</v>
      </c>
      <c r="H1025" s="113">
        <f>'Sampling Data'!G1017</f>
        <v>0</v>
      </c>
      <c r="I1025" s="112">
        <f>'Sampling Data'!H1017</f>
        <v>0</v>
      </c>
      <c r="J1025" s="112">
        <f>'Sampling Data'!I1017</f>
        <v>0</v>
      </c>
      <c r="K1025" s="112">
        <f>'Sampling Data'!J1017</f>
        <v>5</v>
      </c>
      <c r="L1025" s="111">
        <f>'Sampling Data'!X1017</f>
        <v>0</v>
      </c>
      <c r="M1025" s="114"/>
      <c r="N1025" s="114"/>
      <c r="O1025" s="115"/>
      <c r="P1025" s="115"/>
      <c r="Q1025" s="116"/>
      <c r="R1025" s="116"/>
      <c r="S1025" s="111">
        <f>Audit[[#This Row],[Audit Losing Candidate]]-Audit[[#This Row],[Losing Candidate]]</f>
        <v>-3</v>
      </c>
      <c r="T1025" s="111">
        <f>Audit[[#This Row],[Audit Winning Candidate]]-Audit[[#This Row],[Winning Candidate]]</f>
        <v>-1</v>
      </c>
      <c r="U1025" s="111">
        <f>Audit[[#This Row],[Audit Candidate 3]]-Audit[[#This Row],[Candidate 3]]</f>
        <v>-1</v>
      </c>
      <c r="V1025" s="111">
        <f>Audit[[#This Row],[Audit Candidate 4]]-Audit[[#This Row],[Candidate 4]]</f>
        <v>0</v>
      </c>
      <c r="W1025" s="111">
        <f>Audit[[#This Row],[Audit Candidate 5]]-Audit[[#This Row],[Candidate 5]]</f>
        <v>0</v>
      </c>
      <c r="X1025" s="111">
        <f>Audit[[#This Row],[Audit Candidate 6]]-Audit[[#This Row],[Candidate 6]]</f>
        <v>0</v>
      </c>
      <c r="Y1025" s="111">
        <f>SUMIF(Audit[[#This Row],[Difference Loser]:[Difference Candidate 6]], "&gt;0")</f>
        <v>0</v>
      </c>
      <c r="Z1025" s="111">
        <f>SUM(Audit[[#This Row],[Difference Loser]:[Difference Candidate 6]])</f>
        <v>-5</v>
      </c>
      <c r="AA1025" s="111">
        <f>IF(Audit[[#This Row],[Times p Drawn - With Replacement]]&gt;0, IF(Audit[[#This Row],[Canceled Differences]]&lt;0, Audit[[#This Row],[Max Differences]]+ABS(Audit[[#This Row],[Canceled Differences]]), Audit[[#This Row],[Max Differences]]), 0)</f>
        <v>0</v>
      </c>
      <c r="AB1025" s="111">
        <f>'Sampling Data'!P1017</f>
        <v>1.8373346398824106E-4</v>
      </c>
      <c r="AC1025" s="111">
        <f>IF(
      SUM(Audit[[#This Row],[Audit Losing Candidate]:[Audit Candidate 6]])
      &lt;&gt;0,
      (Audit[[#This Row],[Winning Candidate]]-Audit[[#This Row],[Losing Candidate]]-(Audit[[#This Row],[Audit Winning Candidate]]-Audit[[#This Row],[Audit Losing Candidate]]))/(Audit[[#Totals],[Winning Candidate]]-Audit[[#Totals],[Losing Candidate]]),
      0
)</f>
        <v>0</v>
      </c>
      <c r="AD10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5" s="111">
        <f>IF(Audit[[#This Row],[Max Relative Error (ep)]] = 0, 0, Audit[[#This Row],[Max Relative Error (ep)]]/Audit[[#This Row],[Error Bound (up) - Max. possible relative overstatement]])</f>
        <v>0</v>
      </c>
      <c r="AJ10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25" s="111">
        <f t="shared" si="15"/>
        <v>1</v>
      </c>
      <c r="AL1025" s="111">
        <f>PRODUCT($AK$5:AK1025)</f>
        <v>8.962823818226312E-2</v>
      </c>
      <c r="AM1025" s="109">
        <f>1 - [K-M P Value]</f>
        <v>0.91037176181773694</v>
      </c>
      <c r="AN1025" s="111" t="str">
        <f>IF(Audit[[#This Row],[K-M P Value]]&gt;1-'General Info'!$B$16,"Continue", "Stop")</f>
        <v>Stop</v>
      </c>
      <c r="AO1025" s="110" t="b">
        <f>IF(Audit[[#This Row],[Status - Continue or stop audit]] = "Continue", TRUE, IF(AN1024 = "Continue", TRUE, FALSE))</f>
        <v>0</v>
      </c>
      <c r="AP1025" s="110"/>
    </row>
    <row r="1026" spans="1:42" ht="15" hidden="1" customHeight="1">
      <c r="A1026" s="111" t="str">
        <f>'Sampling Data'!W1018</f>
        <v/>
      </c>
      <c r="B1026" s="112" t="str">
        <f>'Sampling Data'!A1018</f>
        <v>CLEVELAND HEIGHTS -05-H - ABS</v>
      </c>
      <c r="C1026" s="112">
        <f>'Sampling Data'!B1018</f>
        <v>0</v>
      </c>
      <c r="D1026" s="112">
        <f>'Sampling Data'!C1018</f>
        <v>0</v>
      </c>
      <c r="E1026" s="113">
        <f>'Sampling Data'!D1018</f>
        <v>1</v>
      </c>
      <c r="F1026" s="113">
        <f>'Sampling Data'!E1018</f>
        <v>0</v>
      </c>
      <c r="G1026" s="113">
        <f>'Sampling Data'!F1018</f>
        <v>0</v>
      </c>
      <c r="H1026" s="113">
        <f>'Sampling Data'!G1018</f>
        <v>0</v>
      </c>
      <c r="I1026" s="112">
        <f>'Sampling Data'!H1018</f>
        <v>0</v>
      </c>
      <c r="J1026" s="112">
        <f>'Sampling Data'!I1018</f>
        <v>0</v>
      </c>
      <c r="K1026" s="112">
        <f>'Sampling Data'!J1018</f>
        <v>1</v>
      </c>
      <c r="L1026" s="111">
        <f>'Sampling Data'!X1018</f>
        <v>0</v>
      </c>
      <c r="M1026" s="114"/>
      <c r="N1026" s="114"/>
      <c r="O1026" s="115"/>
      <c r="P1026" s="115"/>
      <c r="Q1026" s="116"/>
      <c r="R1026" s="116"/>
      <c r="S1026" s="111">
        <f>Audit[[#This Row],[Audit Losing Candidate]]-Audit[[#This Row],[Losing Candidate]]</f>
        <v>0</v>
      </c>
      <c r="T1026" s="111">
        <f>Audit[[#This Row],[Audit Winning Candidate]]-Audit[[#This Row],[Winning Candidate]]</f>
        <v>0</v>
      </c>
      <c r="U1026" s="111">
        <f>Audit[[#This Row],[Audit Candidate 3]]-Audit[[#This Row],[Candidate 3]]</f>
        <v>-1</v>
      </c>
      <c r="V1026" s="111">
        <f>Audit[[#This Row],[Audit Candidate 4]]-Audit[[#This Row],[Candidate 4]]</f>
        <v>0</v>
      </c>
      <c r="W1026" s="111">
        <f>Audit[[#This Row],[Audit Candidate 5]]-Audit[[#This Row],[Candidate 5]]</f>
        <v>0</v>
      </c>
      <c r="X1026" s="111">
        <f>Audit[[#This Row],[Audit Candidate 6]]-Audit[[#This Row],[Candidate 6]]</f>
        <v>0</v>
      </c>
      <c r="Y1026" s="111">
        <f>SUMIF(Audit[[#This Row],[Difference Loser]:[Difference Candidate 6]], "&gt;0")</f>
        <v>0</v>
      </c>
      <c r="Z1026" s="111">
        <f>SUM(Audit[[#This Row],[Difference Loser]:[Difference Candidate 6]])</f>
        <v>-1</v>
      </c>
      <c r="AA1026" s="111">
        <f>IF(Audit[[#This Row],[Times p Drawn - With Replacement]]&gt;0, IF(Audit[[#This Row],[Canceled Differences]]&lt;0, Audit[[#This Row],[Max Differences]]+ABS(Audit[[#This Row],[Canceled Differences]]), Audit[[#This Row],[Max Differences]]), 0)</f>
        <v>0</v>
      </c>
      <c r="AB1026" s="111">
        <f>'Sampling Data'!P1018</f>
        <v>6.1244487996080352E-5</v>
      </c>
      <c r="AC1026" s="111">
        <f>IF(
      SUM(Audit[[#This Row],[Audit Losing Candidate]:[Audit Candidate 6]])
      &lt;&gt;0,
      (Audit[[#This Row],[Winning Candidate]]-Audit[[#This Row],[Losing Candidate]]-(Audit[[#This Row],[Audit Winning Candidate]]-Audit[[#This Row],[Audit Losing Candidate]]))/(Audit[[#Totals],[Winning Candidate]]-Audit[[#Totals],[Losing Candidate]]),
      0
)</f>
        <v>0</v>
      </c>
      <c r="AD10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6" s="111">
        <f>IF(Audit[[#This Row],[Max Relative Error (ep)]] = 0, 0, Audit[[#This Row],[Max Relative Error (ep)]]/Audit[[#This Row],[Error Bound (up) - Max. possible relative overstatement]])</f>
        <v>0</v>
      </c>
      <c r="AJ10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26" s="111">
        <f t="shared" si="15"/>
        <v>1</v>
      </c>
      <c r="AL1026" s="111">
        <f>PRODUCT($AK$5:AK1026)</f>
        <v>8.962823818226312E-2</v>
      </c>
      <c r="AM1026" s="109">
        <f>1 - [K-M P Value]</f>
        <v>0.91037176181773694</v>
      </c>
      <c r="AN1026" s="111" t="str">
        <f>IF(Audit[[#This Row],[K-M P Value]]&gt;1-'General Info'!$B$16,"Continue", "Stop")</f>
        <v>Stop</v>
      </c>
      <c r="AO1026" s="110" t="b">
        <f>IF(Audit[[#This Row],[Status - Continue or stop audit]] = "Continue", TRUE, IF(AN1025 = "Continue", TRUE, FALSE))</f>
        <v>0</v>
      </c>
      <c r="AP1026" s="110"/>
    </row>
    <row r="1027" spans="1:42" ht="15" hidden="1" customHeight="1">
      <c r="A1027" s="111" t="str">
        <f>'Sampling Data'!W1019</f>
        <v/>
      </c>
      <c r="B1027" s="112" t="str">
        <f>'Sampling Data'!A1019</f>
        <v>CUYAHOGA HEIGHTS -00-A</v>
      </c>
      <c r="C1027" s="112">
        <f>'Sampling Data'!B1019</f>
        <v>16</v>
      </c>
      <c r="D1027" s="112">
        <f>'Sampling Data'!C1019</f>
        <v>31</v>
      </c>
      <c r="E1027" s="113">
        <f>'Sampling Data'!D1019</f>
        <v>8</v>
      </c>
      <c r="F1027" s="113">
        <f>'Sampling Data'!E1019</f>
        <v>14</v>
      </c>
      <c r="G1027" s="113">
        <f>'Sampling Data'!F1019</f>
        <v>0</v>
      </c>
      <c r="H1027" s="113">
        <f>'Sampling Data'!G1019</f>
        <v>3</v>
      </c>
      <c r="I1027" s="112">
        <f>'Sampling Data'!H1019</f>
        <v>0</v>
      </c>
      <c r="J1027" s="112">
        <f>'Sampling Data'!I1019</f>
        <v>0</v>
      </c>
      <c r="K1027" s="112">
        <f>'Sampling Data'!J1019</f>
        <v>72</v>
      </c>
      <c r="L1027" s="111">
        <f>'Sampling Data'!X1019</f>
        <v>0</v>
      </c>
      <c r="M1027" s="114"/>
      <c r="N1027" s="114"/>
      <c r="O1027" s="115"/>
      <c r="P1027" s="115"/>
      <c r="Q1027" s="116"/>
      <c r="R1027" s="116"/>
      <c r="S1027" s="111">
        <f>Audit[[#This Row],[Audit Losing Candidate]]-Audit[[#This Row],[Losing Candidate]]</f>
        <v>-16</v>
      </c>
      <c r="T1027" s="111">
        <f>Audit[[#This Row],[Audit Winning Candidate]]-Audit[[#This Row],[Winning Candidate]]</f>
        <v>-31</v>
      </c>
      <c r="U1027" s="111">
        <f>Audit[[#This Row],[Audit Candidate 3]]-Audit[[#This Row],[Candidate 3]]</f>
        <v>-8</v>
      </c>
      <c r="V1027" s="111">
        <f>Audit[[#This Row],[Audit Candidate 4]]-Audit[[#This Row],[Candidate 4]]</f>
        <v>-14</v>
      </c>
      <c r="W1027" s="111">
        <f>Audit[[#This Row],[Audit Candidate 5]]-Audit[[#This Row],[Candidate 5]]</f>
        <v>0</v>
      </c>
      <c r="X1027" s="111">
        <f>Audit[[#This Row],[Audit Candidate 6]]-Audit[[#This Row],[Candidate 6]]</f>
        <v>-3</v>
      </c>
      <c r="Y1027" s="111">
        <f>SUMIF(Audit[[#This Row],[Difference Loser]:[Difference Candidate 6]], "&gt;0")</f>
        <v>0</v>
      </c>
      <c r="Z1027" s="111">
        <f>SUM(Audit[[#This Row],[Difference Loser]:[Difference Candidate 6]])</f>
        <v>-72</v>
      </c>
      <c r="AA1027" s="111">
        <f>IF(Audit[[#This Row],[Times p Drawn - With Replacement]]&gt;0, IF(Audit[[#This Row],[Canceled Differences]]&lt;0, Audit[[#This Row],[Max Differences]]+ABS(Audit[[#This Row],[Canceled Differences]]), Audit[[#This Row],[Max Differences]]), 0)</f>
        <v>0</v>
      </c>
      <c r="AB1027" s="111">
        <f>'Sampling Data'!P1019</f>
        <v>5.328270455658991E-3</v>
      </c>
      <c r="AC1027" s="111">
        <f>IF(
      SUM(Audit[[#This Row],[Audit Losing Candidate]:[Audit Candidate 6]])
      &lt;&gt;0,
      (Audit[[#This Row],[Winning Candidate]]-Audit[[#This Row],[Losing Candidate]]-(Audit[[#This Row],[Audit Winning Candidate]]-Audit[[#This Row],[Audit Losing Candidate]]))/(Audit[[#Totals],[Winning Candidate]]-Audit[[#Totals],[Losing Candidate]]),
      0
)</f>
        <v>0</v>
      </c>
      <c r="AD10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7" s="111">
        <f>IF(Audit[[#This Row],[Max Relative Error (ep)]] = 0, 0, Audit[[#This Row],[Max Relative Error (ep)]]/Audit[[#This Row],[Error Bound (up) - Max. possible relative overstatement]])</f>
        <v>0</v>
      </c>
      <c r="AJ10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27" s="111">
        <f t="shared" si="15"/>
        <v>1</v>
      </c>
      <c r="AL1027" s="111">
        <f>PRODUCT($AK$5:AK1027)</f>
        <v>8.962823818226312E-2</v>
      </c>
      <c r="AM1027" s="109">
        <f>1 - [K-M P Value]</f>
        <v>0.91037176181773694</v>
      </c>
      <c r="AN1027" s="111" t="str">
        <f>IF(Audit[[#This Row],[K-M P Value]]&gt;1-'General Info'!$B$16,"Continue", "Stop")</f>
        <v>Stop</v>
      </c>
      <c r="AO1027" s="110" t="b">
        <f>IF(Audit[[#This Row],[Status - Continue or stop audit]] = "Continue", TRUE, IF(AN1026 = "Continue", TRUE, FALSE))</f>
        <v>0</v>
      </c>
      <c r="AP1027" s="110"/>
    </row>
    <row r="1028" spans="1:42" ht="15" hidden="1" customHeight="1">
      <c r="A1028" s="111" t="str">
        <f>'Sampling Data'!W1020</f>
        <v/>
      </c>
      <c r="B1028" s="112" t="str">
        <f>'Sampling Data'!A1020</f>
        <v>CUYAHOGA HEIGHTS -00-A - ABS</v>
      </c>
      <c r="C1028" s="112">
        <f>'Sampling Data'!B1020</f>
        <v>6</v>
      </c>
      <c r="D1028" s="112">
        <f>'Sampling Data'!C1020</f>
        <v>10</v>
      </c>
      <c r="E1028" s="113">
        <f>'Sampling Data'!D1020</f>
        <v>10</v>
      </c>
      <c r="F1028" s="113">
        <f>'Sampling Data'!E1020</f>
        <v>1</v>
      </c>
      <c r="G1028" s="113">
        <f>'Sampling Data'!F1020</f>
        <v>0</v>
      </c>
      <c r="H1028" s="113">
        <f>'Sampling Data'!G1020</f>
        <v>0</v>
      </c>
      <c r="I1028" s="112">
        <f>'Sampling Data'!H1020</f>
        <v>0</v>
      </c>
      <c r="J1028" s="112">
        <f>'Sampling Data'!I1020</f>
        <v>0</v>
      </c>
      <c r="K1028" s="112">
        <f>'Sampling Data'!J1020</f>
        <v>27</v>
      </c>
      <c r="L1028" s="111">
        <f>'Sampling Data'!X1020</f>
        <v>0</v>
      </c>
      <c r="M1028" s="114"/>
      <c r="N1028" s="114"/>
      <c r="O1028" s="115"/>
      <c r="P1028" s="115"/>
      <c r="Q1028" s="116"/>
      <c r="R1028" s="116"/>
      <c r="S1028" s="111">
        <f>Audit[[#This Row],[Audit Losing Candidate]]-Audit[[#This Row],[Losing Candidate]]</f>
        <v>-6</v>
      </c>
      <c r="T1028" s="111">
        <f>Audit[[#This Row],[Audit Winning Candidate]]-Audit[[#This Row],[Winning Candidate]]</f>
        <v>-10</v>
      </c>
      <c r="U1028" s="111">
        <f>Audit[[#This Row],[Audit Candidate 3]]-Audit[[#This Row],[Candidate 3]]</f>
        <v>-10</v>
      </c>
      <c r="V1028" s="111">
        <f>Audit[[#This Row],[Audit Candidate 4]]-Audit[[#This Row],[Candidate 4]]</f>
        <v>-1</v>
      </c>
      <c r="W1028" s="111">
        <f>Audit[[#This Row],[Audit Candidate 5]]-Audit[[#This Row],[Candidate 5]]</f>
        <v>0</v>
      </c>
      <c r="X1028" s="111">
        <f>Audit[[#This Row],[Audit Candidate 6]]-Audit[[#This Row],[Candidate 6]]</f>
        <v>0</v>
      </c>
      <c r="Y1028" s="111">
        <f>SUMIF(Audit[[#This Row],[Difference Loser]:[Difference Candidate 6]], "&gt;0")</f>
        <v>0</v>
      </c>
      <c r="Z1028" s="111">
        <f>SUM(Audit[[#This Row],[Difference Loser]:[Difference Candidate 6]])</f>
        <v>-27</v>
      </c>
      <c r="AA1028" s="111">
        <f>IF(Audit[[#This Row],[Times p Drawn - With Replacement]]&gt;0, IF(Audit[[#This Row],[Canceled Differences]]&lt;0, Audit[[#This Row],[Max Differences]]+ABS(Audit[[#This Row],[Canceled Differences]]), Audit[[#This Row],[Max Differences]]), 0)</f>
        <v>0</v>
      </c>
      <c r="AB1028" s="111">
        <f>'Sampling Data'!P1020</f>
        <v>1.8985791278784908E-3</v>
      </c>
      <c r="AC1028" s="111">
        <f>IF(
      SUM(Audit[[#This Row],[Audit Losing Candidate]:[Audit Candidate 6]])
      &lt;&gt;0,
      (Audit[[#This Row],[Winning Candidate]]-Audit[[#This Row],[Losing Candidate]]-(Audit[[#This Row],[Audit Winning Candidate]]-Audit[[#This Row],[Audit Losing Candidate]]))/(Audit[[#Totals],[Winning Candidate]]-Audit[[#Totals],[Losing Candidate]]),
      0
)</f>
        <v>0</v>
      </c>
      <c r="AD10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8" s="111">
        <f>IF(Audit[[#This Row],[Max Relative Error (ep)]] = 0, 0, Audit[[#This Row],[Max Relative Error (ep)]]/Audit[[#This Row],[Error Bound (up) - Max. possible relative overstatement]])</f>
        <v>0</v>
      </c>
      <c r="AJ10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28" s="111">
        <f t="shared" si="15"/>
        <v>1</v>
      </c>
      <c r="AL1028" s="111">
        <f>PRODUCT($AK$5:AK1028)</f>
        <v>8.962823818226312E-2</v>
      </c>
      <c r="AM1028" s="109">
        <f>1 - [K-M P Value]</f>
        <v>0.91037176181773694</v>
      </c>
      <c r="AN1028" s="111" t="str">
        <f>IF(Audit[[#This Row],[K-M P Value]]&gt;1-'General Info'!$B$16,"Continue", "Stop")</f>
        <v>Stop</v>
      </c>
      <c r="AO1028" s="110" t="b">
        <f>IF(Audit[[#This Row],[Status - Continue or stop audit]] = "Continue", TRUE, IF(AN1027 = "Continue", TRUE, FALSE))</f>
        <v>0</v>
      </c>
      <c r="AP1028" s="110"/>
    </row>
    <row r="1029" spans="1:42" ht="15" hidden="1" customHeight="1">
      <c r="A1029" s="111" t="str">
        <f>'Sampling Data'!W1021</f>
        <v/>
      </c>
      <c r="B1029" s="112" t="str">
        <f>'Sampling Data'!A1021</f>
        <v>EAST CLEVELAND -02-A</v>
      </c>
      <c r="C1029" s="112">
        <f>'Sampling Data'!B1021</f>
        <v>3</v>
      </c>
      <c r="D1029" s="112">
        <f>'Sampling Data'!C1021</f>
        <v>0</v>
      </c>
      <c r="E1029" s="113">
        <f>'Sampling Data'!D1021</f>
        <v>0</v>
      </c>
      <c r="F1029" s="113">
        <f>'Sampling Data'!E1021</f>
        <v>0</v>
      </c>
      <c r="G1029" s="113">
        <f>'Sampling Data'!F1021</f>
        <v>0</v>
      </c>
      <c r="H1029" s="113">
        <f>'Sampling Data'!G1021</f>
        <v>0</v>
      </c>
      <c r="I1029" s="112">
        <f>'Sampling Data'!H1021</f>
        <v>0</v>
      </c>
      <c r="J1029" s="112">
        <f>'Sampling Data'!I1021</f>
        <v>1</v>
      </c>
      <c r="K1029" s="112">
        <f>'Sampling Data'!J1021</f>
        <v>4</v>
      </c>
      <c r="L1029" s="111">
        <f>'Sampling Data'!X1021</f>
        <v>0</v>
      </c>
      <c r="M1029" s="114"/>
      <c r="N1029" s="114"/>
      <c r="O1029" s="115"/>
      <c r="P1029" s="115"/>
      <c r="Q1029" s="116"/>
      <c r="R1029" s="116"/>
      <c r="S1029" s="111">
        <f>Audit[[#This Row],[Audit Losing Candidate]]-Audit[[#This Row],[Losing Candidate]]</f>
        <v>-3</v>
      </c>
      <c r="T1029" s="111">
        <f>Audit[[#This Row],[Audit Winning Candidate]]-Audit[[#This Row],[Winning Candidate]]</f>
        <v>0</v>
      </c>
      <c r="U1029" s="111">
        <f>Audit[[#This Row],[Audit Candidate 3]]-Audit[[#This Row],[Candidate 3]]</f>
        <v>0</v>
      </c>
      <c r="V1029" s="111">
        <f>Audit[[#This Row],[Audit Candidate 4]]-Audit[[#This Row],[Candidate 4]]</f>
        <v>0</v>
      </c>
      <c r="W1029" s="111">
        <f>Audit[[#This Row],[Audit Candidate 5]]-Audit[[#This Row],[Candidate 5]]</f>
        <v>0</v>
      </c>
      <c r="X1029" s="111">
        <f>Audit[[#This Row],[Audit Candidate 6]]-Audit[[#This Row],[Candidate 6]]</f>
        <v>0</v>
      </c>
      <c r="Y1029" s="111">
        <f>SUMIF(Audit[[#This Row],[Difference Loser]:[Difference Candidate 6]], "&gt;0")</f>
        <v>0</v>
      </c>
      <c r="Z1029" s="111">
        <f>SUM(Audit[[#This Row],[Difference Loser]:[Difference Candidate 6]])</f>
        <v>-3</v>
      </c>
      <c r="AA1029" s="111">
        <f>IF(Audit[[#This Row],[Times p Drawn - With Replacement]]&gt;0, IF(Audit[[#This Row],[Canceled Differences]]&lt;0, Audit[[#This Row],[Max Differences]]+ABS(Audit[[#This Row],[Canceled Differences]]), Audit[[#This Row],[Max Differences]]), 0)</f>
        <v>0</v>
      </c>
      <c r="AB1029" s="111">
        <f>'Sampling Data'!P1021</f>
        <v>1.2904474626576767E-4</v>
      </c>
      <c r="AC1029" s="111">
        <f>IF(
      SUM(Audit[[#This Row],[Audit Losing Candidate]:[Audit Candidate 6]])
      &lt;&gt;0,
      (Audit[[#This Row],[Winning Candidate]]-Audit[[#This Row],[Losing Candidate]]-(Audit[[#This Row],[Audit Winning Candidate]]-Audit[[#This Row],[Audit Losing Candidate]]))/(Audit[[#Totals],[Winning Candidate]]-Audit[[#Totals],[Losing Candidate]]),
      0
)</f>
        <v>0</v>
      </c>
      <c r="AD10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9" s="111">
        <f>IF(Audit[[#This Row],[Max Relative Error (ep)]] = 0, 0, Audit[[#This Row],[Max Relative Error (ep)]]/Audit[[#This Row],[Error Bound (up) - Max. possible relative overstatement]])</f>
        <v>0</v>
      </c>
      <c r="AJ10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29" s="111">
        <f t="shared" ref="AK1029:AK1092" si="16">IF(ISERR(POWER(AJ1029,L1029)), 0, POWER(AJ1029,L1029))</f>
        <v>1</v>
      </c>
      <c r="AL1029" s="111">
        <f>PRODUCT($AK$5:AK1029)</f>
        <v>8.962823818226312E-2</v>
      </c>
      <c r="AM1029" s="109">
        <f>1 - [K-M P Value]</f>
        <v>0.91037176181773694</v>
      </c>
      <c r="AN1029" s="111" t="str">
        <f>IF(Audit[[#This Row],[K-M P Value]]&gt;1-'General Info'!$B$16,"Continue", "Stop")</f>
        <v>Stop</v>
      </c>
      <c r="AO1029" s="110" t="b">
        <f>IF(Audit[[#This Row],[Status - Continue or stop audit]] = "Continue", TRUE, IF(AN1028 = "Continue", TRUE, FALSE))</f>
        <v>0</v>
      </c>
      <c r="AP1029" s="110"/>
    </row>
    <row r="1030" spans="1:42" ht="15" hidden="1" customHeight="1">
      <c r="A1030" s="111" t="str">
        <f>'Sampling Data'!W1022</f>
        <v/>
      </c>
      <c r="B1030" s="112" t="str">
        <f>'Sampling Data'!A1022</f>
        <v>EAST CLEVELAND -02-A - ABS</v>
      </c>
      <c r="C1030" s="112">
        <f>'Sampling Data'!B1022</f>
        <v>0</v>
      </c>
      <c r="D1030" s="112">
        <f>'Sampling Data'!C1022</f>
        <v>0</v>
      </c>
      <c r="E1030" s="113">
        <f>'Sampling Data'!D1022</f>
        <v>0</v>
      </c>
      <c r="F1030" s="113">
        <f>'Sampling Data'!E1022</f>
        <v>0</v>
      </c>
      <c r="G1030" s="113">
        <f>'Sampling Data'!F1022</f>
        <v>0</v>
      </c>
      <c r="H1030" s="113">
        <f>'Sampling Data'!G1022</f>
        <v>0</v>
      </c>
      <c r="I1030" s="112">
        <f>'Sampling Data'!H1022</f>
        <v>0</v>
      </c>
      <c r="J1030" s="112">
        <f>'Sampling Data'!I1022</f>
        <v>0</v>
      </c>
      <c r="K1030" s="112">
        <f>'Sampling Data'!J1022</f>
        <v>0</v>
      </c>
      <c r="L1030" s="111">
        <f>'Sampling Data'!X1022</f>
        <v>0</v>
      </c>
      <c r="M1030" s="114"/>
      <c r="N1030" s="114"/>
      <c r="O1030" s="115"/>
      <c r="P1030" s="115"/>
      <c r="Q1030" s="116"/>
      <c r="R1030" s="116"/>
      <c r="S1030" s="111">
        <f>Audit[[#This Row],[Audit Losing Candidate]]-Audit[[#This Row],[Losing Candidate]]</f>
        <v>0</v>
      </c>
      <c r="T1030" s="111">
        <f>Audit[[#This Row],[Audit Winning Candidate]]-Audit[[#This Row],[Winning Candidate]]</f>
        <v>0</v>
      </c>
      <c r="U1030" s="111">
        <f>Audit[[#This Row],[Audit Candidate 3]]-Audit[[#This Row],[Candidate 3]]</f>
        <v>0</v>
      </c>
      <c r="V1030" s="111">
        <f>Audit[[#This Row],[Audit Candidate 4]]-Audit[[#This Row],[Candidate 4]]</f>
        <v>0</v>
      </c>
      <c r="W1030" s="111">
        <f>Audit[[#This Row],[Audit Candidate 5]]-Audit[[#This Row],[Candidate 5]]</f>
        <v>0</v>
      </c>
      <c r="X1030" s="111">
        <f>Audit[[#This Row],[Audit Candidate 6]]-Audit[[#This Row],[Candidate 6]]</f>
        <v>0</v>
      </c>
      <c r="Y1030" s="111">
        <f>SUMIF(Audit[[#This Row],[Difference Loser]:[Difference Candidate 6]], "&gt;0")</f>
        <v>0</v>
      </c>
      <c r="Z1030" s="111">
        <f>SUM(Audit[[#This Row],[Difference Loser]:[Difference Candidate 6]])</f>
        <v>0</v>
      </c>
      <c r="AA1030" s="111">
        <f>IF(Audit[[#This Row],[Times p Drawn - With Replacement]]&gt;0, IF(Audit[[#This Row],[Canceled Differences]]&lt;0, Audit[[#This Row],[Max Differences]]+ABS(Audit[[#This Row],[Canceled Differences]]), Audit[[#This Row],[Max Differences]]), 0)</f>
        <v>0</v>
      </c>
      <c r="AB1030" s="111">
        <f>'Sampling Data'!P1022</f>
        <v>0</v>
      </c>
      <c r="AC1030" s="111">
        <f>IF(
      SUM(Audit[[#This Row],[Audit Losing Candidate]:[Audit Candidate 6]])
      &lt;&gt;0,
      (Audit[[#This Row],[Winning Candidate]]-Audit[[#This Row],[Losing Candidate]]-(Audit[[#This Row],[Audit Winning Candidate]]-Audit[[#This Row],[Audit Losing Candidate]]))/(Audit[[#Totals],[Winning Candidate]]-Audit[[#Totals],[Losing Candidate]]),
      0
)</f>
        <v>0</v>
      </c>
      <c r="AD10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0" s="111">
        <f>IF(Audit[[#This Row],[Max Relative Error (ep)]] = 0, 0, Audit[[#This Row],[Max Relative Error (ep)]]/Audit[[#This Row],[Error Bound (up) - Max. possible relative overstatement]])</f>
        <v>0</v>
      </c>
      <c r="AJ10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30" s="111">
        <f t="shared" si="16"/>
        <v>1</v>
      </c>
      <c r="AL1030" s="111">
        <f>PRODUCT($AK$5:AK1030)</f>
        <v>8.962823818226312E-2</v>
      </c>
      <c r="AM1030" s="109">
        <f>1 - [K-M P Value]</f>
        <v>0.91037176181773694</v>
      </c>
      <c r="AN1030" s="111" t="str">
        <f>IF(Audit[[#This Row],[K-M P Value]]&gt;1-'General Info'!$B$16,"Continue", "Stop")</f>
        <v>Stop</v>
      </c>
      <c r="AO1030" s="110" t="b">
        <f>IF(Audit[[#This Row],[Status - Continue or stop audit]] = "Continue", TRUE, IF(AN1029 = "Continue", TRUE, FALSE))</f>
        <v>0</v>
      </c>
      <c r="AP1030" s="110"/>
    </row>
    <row r="1031" spans="1:42" ht="15" hidden="1" customHeight="1">
      <c r="A1031" s="111" t="str">
        <f>'Sampling Data'!W1023</f>
        <v/>
      </c>
      <c r="B1031" s="112" t="str">
        <f>'Sampling Data'!A1023</f>
        <v>EAST CLEVELAND -02-B</v>
      </c>
      <c r="C1031" s="112">
        <f>'Sampling Data'!B1023</f>
        <v>0</v>
      </c>
      <c r="D1031" s="112">
        <f>'Sampling Data'!C1023</f>
        <v>1</v>
      </c>
      <c r="E1031" s="113">
        <f>'Sampling Data'!D1023</f>
        <v>0</v>
      </c>
      <c r="F1031" s="113">
        <f>'Sampling Data'!E1023</f>
        <v>0</v>
      </c>
      <c r="G1031" s="113">
        <f>'Sampling Data'!F1023</f>
        <v>0</v>
      </c>
      <c r="H1031" s="113">
        <f>'Sampling Data'!G1023</f>
        <v>0</v>
      </c>
      <c r="I1031" s="112">
        <f>'Sampling Data'!H1023</f>
        <v>0</v>
      </c>
      <c r="J1031" s="112">
        <f>'Sampling Data'!I1023</f>
        <v>0</v>
      </c>
      <c r="K1031" s="112">
        <f>'Sampling Data'!J1023</f>
        <v>1</v>
      </c>
      <c r="L1031" s="111">
        <f>'Sampling Data'!X1023</f>
        <v>0</v>
      </c>
      <c r="M1031" s="114"/>
      <c r="N1031" s="114"/>
      <c r="O1031" s="115"/>
      <c r="P1031" s="115"/>
      <c r="Q1031" s="116"/>
      <c r="R1031" s="116"/>
      <c r="S1031" s="111">
        <f>Audit[[#This Row],[Audit Losing Candidate]]-Audit[[#This Row],[Losing Candidate]]</f>
        <v>0</v>
      </c>
      <c r="T1031" s="111">
        <f>Audit[[#This Row],[Audit Winning Candidate]]-Audit[[#This Row],[Winning Candidate]]</f>
        <v>-1</v>
      </c>
      <c r="U1031" s="111">
        <f>Audit[[#This Row],[Audit Candidate 3]]-Audit[[#This Row],[Candidate 3]]</f>
        <v>0</v>
      </c>
      <c r="V1031" s="111">
        <f>Audit[[#This Row],[Audit Candidate 4]]-Audit[[#This Row],[Candidate 4]]</f>
        <v>0</v>
      </c>
      <c r="W1031" s="111">
        <f>Audit[[#This Row],[Audit Candidate 5]]-Audit[[#This Row],[Candidate 5]]</f>
        <v>0</v>
      </c>
      <c r="X1031" s="111">
        <f>Audit[[#This Row],[Audit Candidate 6]]-Audit[[#This Row],[Candidate 6]]</f>
        <v>0</v>
      </c>
      <c r="Y1031" s="111">
        <f>SUMIF(Audit[[#This Row],[Difference Loser]:[Difference Candidate 6]], "&gt;0")</f>
        <v>0</v>
      </c>
      <c r="Z1031" s="111">
        <f>SUM(Audit[[#This Row],[Difference Loser]:[Difference Candidate 6]])</f>
        <v>-1</v>
      </c>
      <c r="AA1031" s="111">
        <f>IF(Audit[[#This Row],[Times p Drawn - With Replacement]]&gt;0, IF(Audit[[#This Row],[Canceled Differences]]&lt;0, Audit[[#This Row],[Max Differences]]+ABS(Audit[[#This Row],[Canceled Differences]]), Audit[[#This Row],[Max Differences]]), 0)</f>
        <v>0</v>
      </c>
      <c r="AB1031" s="111">
        <f>'Sampling Data'!P1023</f>
        <v>1.224889759921607E-4</v>
      </c>
      <c r="AC1031" s="111">
        <f>IF(
      SUM(Audit[[#This Row],[Audit Losing Candidate]:[Audit Candidate 6]])
      &lt;&gt;0,
      (Audit[[#This Row],[Winning Candidate]]-Audit[[#This Row],[Losing Candidate]]-(Audit[[#This Row],[Audit Winning Candidate]]-Audit[[#This Row],[Audit Losing Candidate]]))/(Audit[[#Totals],[Winning Candidate]]-Audit[[#Totals],[Losing Candidate]]),
      0
)</f>
        <v>0</v>
      </c>
      <c r="AD10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1" s="111">
        <f>IF(Audit[[#This Row],[Max Relative Error (ep)]] = 0, 0, Audit[[#This Row],[Max Relative Error (ep)]]/Audit[[#This Row],[Error Bound (up) - Max. possible relative overstatement]])</f>
        <v>0</v>
      </c>
      <c r="AJ10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31" s="111">
        <f t="shared" si="16"/>
        <v>1</v>
      </c>
      <c r="AL1031" s="111">
        <f>PRODUCT($AK$5:AK1031)</f>
        <v>8.962823818226312E-2</v>
      </c>
      <c r="AM1031" s="109">
        <f>1 - [K-M P Value]</f>
        <v>0.91037176181773694</v>
      </c>
      <c r="AN1031" s="111" t="str">
        <f>IF(Audit[[#This Row],[K-M P Value]]&gt;1-'General Info'!$B$16,"Continue", "Stop")</f>
        <v>Stop</v>
      </c>
      <c r="AO1031" s="110" t="b">
        <f>IF(Audit[[#This Row],[Status - Continue or stop audit]] = "Continue", TRUE, IF(AN1030 = "Continue", TRUE, FALSE))</f>
        <v>0</v>
      </c>
      <c r="AP1031" s="110"/>
    </row>
    <row r="1032" spans="1:42" ht="15" hidden="1" customHeight="1">
      <c r="A1032" s="111" t="str">
        <f>'Sampling Data'!W1024</f>
        <v/>
      </c>
      <c r="B1032" s="112" t="str">
        <f>'Sampling Data'!A1024</f>
        <v>EAST CLEVELAND -02-B - ABS</v>
      </c>
      <c r="C1032" s="112">
        <f>'Sampling Data'!B1024</f>
        <v>1</v>
      </c>
      <c r="D1032" s="112">
        <f>'Sampling Data'!C1024</f>
        <v>0</v>
      </c>
      <c r="E1032" s="113">
        <f>'Sampling Data'!D1024</f>
        <v>0</v>
      </c>
      <c r="F1032" s="113">
        <f>'Sampling Data'!E1024</f>
        <v>0</v>
      </c>
      <c r="G1032" s="113">
        <f>'Sampling Data'!F1024</f>
        <v>0</v>
      </c>
      <c r="H1032" s="113">
        <f>'Sampling Data'!G1024</f>
        <v>1</v>
      </c>
      <c r="I1032" s="112">
        <f>'Sampling Data'!H1024</f>
        <v>0</v>
      </c>
      <c r="J1032" s="112">
        <f>'Sampling Data'!I1024</f>
        <v>0</v>
      </c>
      <c r="K1032" s="112">
        <f>'Sampling Data'!J1024</f>
        <v>2</v>
      </c>
      <c r="L1032" s="111">
        <f>'Sampling Data'!X1024</f>
        <v>0</v>
      </c>
      <c r="M1032" s="114"/>
      <c r="N1032" s="114"/>
      <c r="O1032" s="115"/>
      <c r="P1032" s="115"/>
      <c r="Q1032" s="116"/>
      <c r="R1032" s="116"/>
      <c r="S1032" s="111">
        <f>Audit[[#This Row],[Audit Losing Candidate]]-Audit[[#This Row],[Losing Candidate]]</f>
        <v>-1</v>
      </c>
      <c r="T1032" s="111">
        <f>Audit[[#This Row],[Audit Winning Candidate]]-Audit[[#This Row],[Winning Candidate]]</f>
        <v>0</v>
      </c>
      <c r="U1032" s="111">
        <f>Audit[[#This Row],[Audit Candidate 3]]-Audit[[#This Row],[Candidate 3]]</f>
        <v>0</v>
      </c>
      <c r="V1032" s="111">
        <f>Audit[[#This Row],[Audit Candidate 4]]-Audit[[#This Row],[Candidate 4]]</f>
        <v>0</v>
      </c>
      <c r="W1032" s="111">
        <f>Audit[[#This Row],[Audit Candidate 5]]-Audit[[#This Row],[Candidate 5]]</f>
        <v>0</v>
      </c>
      <c r="X1032" s="111">
        <f>Audit[[#This Row],[Audit Candidate 6]]-Audit[[#This Row],[Candidate 6]]</f>
        <v>-1</v>
      </c>
      <c r="Y1032" s="111">
        <f>SUMIF(Audit[[#This Row],[Difference Loser]:[Difference Candidate 6]], "&gt;0")</f>
        <v>0</v>
      </c>
      <c r="Z1032" s="111">
        <f>SUM(Audit[[#This Row],[Difference Loser]:[Difference Candidate 6]])</f>
        <v>-2</v>
      </c>
      <c r="AA1032" s="111">
        <f>IF(Audit[[#This Row],[Times p Drawn - With Replacement]]&gt;0, IF(Audit[[#This Row],[Canceled Differences]]&lt;0, Audit[[#This Row],[Max Differences]]+ABS(Audit[[#This Row],[Canceled Differences]]), Audit[[#This Row],[Max Differences]]), 0)</f>
        <v>0</v>
      </c>
      <c r="AB1032" s="111">
        <f>'Sampling Data'!P1024</f>
        <v>6.4522373132883833E-5</v>
      </c>
      <c r="AC1032" s="111">
        <f>IF(
      SUM(Audit[[#This Row],[Audit Losing Candidate]:[Audit Candidate 6]])
      &lt;&gt;0,
      (Audit[[#This Row],[Winning Candidate]]-Audit[[#This Row],[Losing Candidate]]-(Audit[[#This Row],[Audit Winning Candidate]]-Audit[[#This Row],[Audit Losing Candidate]]))/(Audit[[#Totals],[Winning Candidate]]-Audit[[#Totals],[Losing Candidate]]),
      0
)</f>
        <v>0</v>
      </c>
      <c r="AD10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2" s="111">
        <f>IF(Audit[[#This Row],[Max Relative Error (ep)]] = 0, 0, Audit[[#This Row],[Max Relative Error (ep)]]/Audit[[#This Row],[Error Bound (up) - Max. possible relative overstatement]])</f>
        <v>0</v>
      </c>
      <c r="AJ10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32" s="111">
        <f t="shared" si="16"/>
        <v>1</v>
      </c>
      <c r="AL1032" s="111">
        <f>PRODUCT($AK$5:AK1032)</f>
        <v>8.962823818226312E-2</v>
      </c>
      <c r="AM1032" s="109">
        <f>1 - [K-M P Value]</f>
        <v>0.91037176181773694</v>
      </c>
      <c r="AN1032" s="111" t="str">
        <f>IF(Audit[[#This Row],[K-M P Value]]&gt;1-'General Info'!$B$16,"Continue", "Stop")</f>
        <v>Stop</v>
      </c>
      <c r="AO1032" s="110" t="b">
        <f>IF(Audit[[#This Row],[Status - Continue or stop audit]] = "Continue", TRUE, IF(AN1031 = "Continue", TRUE, FALSE))</f>
        <v>0</v>
      </c>
      <c r="AP1032" s="110"/>
    </row>
    <row r="1033" spans="1:42" ht="15" hidden="1" customHeight="1">
      <c r="A1033" s="111" t="str">
        <f>'Sampling Data'!W1025</f>
        <v/>
      </c>
      <c r="B1033" s="112" t="str">
        <f>'Sampling Data'!A1025</f>
        <v>EAST CLEVELAND -02-C</v>
      </c>
      <c r="C1033" s="112">
        <f>'Sampling Data'!B1025</f>
        <v>0</v>
      </c>
      <c r="D1033" s="112">
        <f>'Sampling Data'!C1025</f>
        <v>0</v>
      </c>
      <c r="E1033" s="113">
        <f>'Sampling Data'!D1025</f>
        <v>1</v>
      </c>
      <c r="F1033" s="113">
        <f>'Sampling Data'!E1025</f>
        <v>0</v>
      </c>
      <c r="G1033" s="113">
        <f>'Sampling Data'!F1025</f>
        <v>0</v>
      </c>
      <c r="H1033" s="113">
        <f>'Sampling Data'!G1025</f>
        <v>0</v>
      </c>
      <c r="I1033" s="112">
        <f>'Sampling Data'!H1025</f>
        <v>0</v>
      </c>
      <c r="J1033" s="112">
        <f>'Sampling Data'!I1025</f>
        <v>0</v>
      </c>
      <c r="K1033" s="112">
        <f>'Sampling Data'!J1025</f>
        <v>1</v>
      </c>
      <c r="L1033" s="111">
        <f>'Sampling Data'!X1025</f>
        <v>0</v>
      </c>
      <c r="M1033" s="114"/>
      <c r="N1033" s="114"/>
      <c r="O1033" s="115"/>
      <c r="P1033" s="115"/>
      <c r="Q1033" s="116"/>
      <c r="R1033" s="116"/>
      <c r="S1033" s="111">
        <f>Audit[[#This Row],[Audit Losing Candidate]]-Audit[[#This Row],[Losing Candidate]]</f>
        <v>0</v>
      </c>
      <c r="T1033" s="111">
        <f>Audit[[#This Row],[Audit Winning Candidate]]-Audit[[#This Row],[Winning Candidate]]</f>
        <v>0</v>
      </c>
      <c r="U1033" s="111">
        <f>Audit[[#This Row],[Audit Candidate 3]]-Audit[[#This Row],[Candidate 3]]</f>
        <v>-1</v>
      </c>
      <c r="V1033" s="111">
        <f>Audit[[#This Row],[Audit Candidate 4]]-Audit[[#This Row],[Candidate 4]]</f>
        <v>0</v>
      </c>
      <c r="W1033" s="111">
        <f>Audit[[#This Row],[Audit Candidate 5]]-Audit[[#This Row],[Candidate 5]]</f>
        <v>0</v>
      </c>
      <c r="X1033" s="111">
        <f>Audit[[#This Row],[Audit Candidate 6]]-Audit[[#This Row],[Candidate 6]]</f>
        <v>0</v>
      </c>
      <c r="Y1033" s="111">
        <f>SUMIF(Audit[[#This Row],[Difference Loser]:[Difference Candidate 6]], "&gt;0")</f>
        <v>0</v>
      </c>
      <c r="Z1033" s="111">
        <f>SUM(Audit[[#This Row],[Difference Loser]:[Difference Candidate 6]])</f>
        <v>-1</v>
      </c>
      <c r="AA1033" s="111">
        <f>IF(Audit[[#This Row],[Times p Drawn - With Replacement]]&gt;0, IF(Audit[[#This Row],[Canceled Differences]]&lt;0, Audit[[#This Row],[Max Differences]]+ABS(Audit[[#This Row],[Canceled Differences]]), Audit[[#This Row],[Max Differences]]), 0)</f>
        <v>0</v>
      </c>
      <c r="AB1033" s="111">
        <f>'Sampling Data'!P1025</f>
        <v>6.1244487996080352E-5</v>
      </c>
      <c r="AC1033" s="111">
        <f>IF(
      SUM(Audit[[#This Row],[Audit Losing Candidate]:[Audit Candidate 6]])
      &lt;&gt;0,
      (Audit[[#This Row],[Winning Candidate]]-Audit[[#This Row],[Losing Candidate]]-(Audit[[#This Row],[Audit Winning Candidate]]-Audit[[#This Row],[Audit Losing Candidate]]))/(Audit[[#Totals],[Winning Candidate]]-Audit[[#Totals],[Losing Candidate]]),
      0
)</f>
        <v>0</v>
      </c>
      <c r="AD10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3" s="111">
        <f>IF(Audit[[#This Row],[Max Relative Error (ep)]] = 0, 0, Audit[[#This Row],[Max Relative Error (ep)]]/Audit[[#This Row],[Error Bound (up) - Max. possible relative overstatement]])</f>
        <v>0</v>
      </c>
      <c r="AJ10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33" s="111">
        <f t="shared" si="16"/>
        <v>1</v>
      </c>
      <c r="AL1033" s="111">
        <f>PRODUCT($AK$5:AK1033)</f>
        <v>8.962823818226312E-2</v>
      </c>
      <c r="AM1033" s="109">
        <f>1 - [K-M P Value]</f>
        <v>0.91037176181773694</v>
      </c>
      <c r="AN1033" s="111" t="str">
        <f>IF(Audit[[#This Row],[K-M P Value]]&gt;1-'General Info'!$B$16,"Continue", "Stop")</f>
        <v>Stop</v>
      </c>
      <c r="AO1033" s="110" t="b">
        <f>IF(Audit[[#This Row],[Status - Continue or stop audit]] = "Continue", TRUE, IF(AN1032 = "Continue", TRUE, FALSE))</f>
        <v>0</v>
      </c>
      <c r="AP1033" s="110"/>
    </row>
    <row r="1034" spans="1:42" ht="15" hidden="1" customHeight="1">
      <c r="A1034" s="111" t="str">
        <f>'Sampling Data'!W1026</f>
        <v/>
      </c>
      <c r="B1034" s="112" t="str">
        <f>'Sampling Data'!A1026</f>
        <v>EAST CLEVELAND -02-C - ABS</v>
      </c>
      <c r="C1034" s="112">
        <f>'Sampling Data'!B1026</f>
        <v>0</v>
      </c>
      <c r="D1034" s="112">
        <f>'Sampling Data'!C1026</f>
        <v>0</v>
      </c>
      <c r="E1034" s="113">
        <f>'Sampling Data'!D1026</f>
        <v>0</v>
      </c>
      <c r="F1034" s="113">
        <f>'Sampling Data'!E1026</f>
        <v>0</v>
      </c>
      <c r="G1034" s="113">
        <f>'Sampling Data'!F1026</f>
        <v>0</v>
      </c>
      <c r="H1034" s="113">
        <f>'Sampling Data'!G1026</f>
        <v>0</v>
      </c>
      <c r="I1034" s="112">
        <f>'Sampling Data'!H1026</f>
        <v>0</v>
      </c>
      <c r="J1034" s="112">
        <f>'Sampling Data'!I1026</f>
        <v>0</v>
      </c>
      <c r="K1034" s="112">
        <f>'Sampling Data'!J1026</f>
        <v>0</v>
      </c>
      <c r="L1034" s="111">
        <f>'Sampling Data'!X1026</f>
        <v>0</v>
      </c>
      <c r="M1034" s="114"/>
      <c r="N1034" s="114"/>
      <c r="O1034" s="115"/>
      <c r="P1034" s="115"/>
      <c r="Q1034" s="116"/>
      <c r="R1034" s="116"/>
      <c r="S1034" s="111">
        <f>Audit[[#This Row],[Audit Losing Candidate]]-Audit[[#This Row],[Losing Candidate]]</f>
        <v>0</v>
      </c>
      <c r="T1034" s="111">
        <f>Audit[[#This Row],[Audit Winning Candidate]]-Audit[[#This Row],[Winning Candidate]]</f>
        <v>0</v>
      </c>
      <c r="U1034" s="111">
        <f>Audit[[#This Row],[Audit Candidate 3]]-Audit[[#This Row],[Candidate 3]]</f>
        <v>0</v>
      </c>
      <c r="V1034" s="111">
        <f>Audit[[#This Row],[Audit Candidate 4]]-Audit[[#This Row],[Candidate 4]]</f>
        <v>0</v>
      </c>
      <c r="W1034" s="111">
        <f>Audit[[#This Row],[Audit Candidate 5]]-Audit[[#This Row],[Candidate 5]]</f>
        <v>0</v>
      </c>
      <c r="X1034" s="111">
        <f>Audit[[#This Row],[Audit Candidate 6]]-Audit[[#This Row],[Candidate 6]]</f>
        <v>0</v>
      </c>
      <c r="Y1034" s="111">
        <f>SUMIF(Audit[[#This Row],[Difference Loser]:[Difference Candidate 6]], "&gt;0")</f>
        <v>0</v>
      </c>
      <c r="Z1034" s="111">
        <f>SUM(Audit[[#This Row],[Difference Loser]:[Difference Candidate 6]])</f>
        <v>0</v>
      </c>
      <c r="AA1034" s="111">
        <f>IF(Audit[[#This Row],[Times p Drawn - With Replacement]]&gt;0, IF(Audit[[#This Row],[Canceled Differences]]&lt;0, Audit[[#This Row],[Max Differences]]+ABS(Audit[[#This Row],[Canceled Differences]]), Audit[[#This Row],[Max Differences]]), 0)</f>
        <v>0</v>
      </c>
      <c r="AB1034" s="111">
        <f>'Sampling Data'!P1026</f>
        <v>0</v>
      </c>
      <c r="AC1034" s="111">
        <f>IF(
      SUM(Audit[[#This Row],[Audit Losing Candidate]:[Audit Candidate 6]])
      &lt;&gt;0,
      (Audit[[#This Row],[Winning Candidate]]-Audit[[#This Row],[Losing Candidate]]-(Audit[[#This Row],[Audit Winning Candidate]]-Audit[[#This Row],[Audit Losing Candidate]]))/(Audit[[#Totals],[Winning Candidate]]-Audit[[#Totals],[Losing Candidate]]),
      0
)</f>
        <v>0</v>
      </c>
      <c r="AD10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4" s="111">
        <f>IF(Audit[[#This Row],[Max Relative Error (ep)]] = 0, 0, Audit[[#This Row],[Max Relative Error (ep)]]/Audit[[#This Row],[Error Bound (up) - Max. possible relative overstatement]])</f>
        <v>0</v>
      </c>
      <c r="AJ10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34" s="111">
        <f t="shared" si="16"/>
        <v>1</v>
      </c>
      <c r="AL1034" s="111">
        <f>PRODUCT($AK$5:AK1034)</f>
        <v>8.962823818226312E-2</v>
      </c>
      <c r="AM1034" s="109">
        <f>1 - [K-M P Value]</f>
        <v>0.91037176181773694</v>
      </c>
      <c r="AN1034" s="111" t="str">
        <f>IF(Audit[[#This Row],[K-M P Value]]&gt;1-'General Info'!$B$16,"Continue", "Stop")</f>
        <v>Stop</v>
      </c>
      <c r="AO1034" s="110" t="b">
        <f>IF(Audit[[#This Row],[Status - Continue or stop audit]] = "Continue", TRUE, IF(AN1033 = "Continue", TRUE, FALSE))</f>
        <v>0</v>
      </c>
      <c r="AP1034" s="110"/>
    </row>
    <row r="1035" spans="1:42" ht="15" hidden="1" customHeight="1">
      <c r="A1035" s="111" t="str">
        <f>'Sampling Data'!W1027</f>
        <v/>
      </c>
      <c r="B1035" s="112" t="str">
        <f>'Sampling Data'!A1027</f>
        <v>EAST CLEVELAND -02-D</v>
      </c>
      <c r="C1035" s="112">
        <f>'Sampling Data'!B1027</f>
        <v>1</v>
      </c>
      <c r="D1035" s="112">
        <f>'Sampling Data'!C1027</f>
        <v>0</v>
      </c>
      <c r="E1035" s="113">
        <f>'Sampling Data'!D1027</f>
        <v>0</v>
      </c>
      <c r="F1035" s="113">
        <f>'Sampling Data'!E1027</f>
        <v>0</v>
      </c>
      <c r="G1035" s="113">
        <f>'Sampling Data'!F1027</f>
        <v>0</v>
      </c>
      <c r="H1035" s="113">
        <f>'Sampling Data'!G1027</f>
        <v>1</v>
      </c>
      <c r="I1035" s="112">
        <f>'Sampling Data'!H1027</f>
        <v>0</v>
      </c>
      <c r="J1035" s="112">
        <f>'Sampling Data'!I1027</f>
        <v>0</v>
      </c>
      <c r="K1035" s="112">
        <f>'Sampling Data'!J1027</f>
        <v>2</v>
      </c>
      <c r="L1035" s="111">
        <f>'Sampling Data'!X1027</f>
        <v>0</v>
      </c>
      <c r="M1035" s="114"/>
      <c r="N1035" s="114"/>
      <c r="O1035" s="115"/>
      <c r="P1035" s="115"/>
      <c r="Q1035" s="116"/>
      <c r="R1035" s="116"/>
      <c r="S1035" s="111">
        <f>Audit[[#This Row],[Audit Losing Candidate]]-Audit[[#This Row],[Losing Candidate]]</f>
        <v>-1</v>
      </c>
      <c r="T1035" s="111">
        <f>Audit[[#This Row],[Audit Winning Candidate]]-Audit[[#This Row],[Winning Candidate]]</f>
        <v>0</v>
      </c>
      <c r="U1035" s="111">
        <f>Audit[[#This Row],[Audit Candidate 3]]-Audit[[#This Row],[Candidate 3]]</f>
        <v>0</v>
      </c>
      <c r="V1035" s="111">
        <f>Audit[[#This Row],[Audit Candidate 4]]-Audit[[#This Row],[Candidate 4]]</f>
        <v>0</v>
      </c>
      <c r="W1035" s="111">
        <f>Audit[[#This Row],[Audit Candidate 5]]-Audit[[#This Row],[Candidate 5]]</f>
        <v>0</v>
      </c>
      <c r="X1035" s="111">
        <f>Audit[[#This Row],[Audit Candidate 6]]-Audit[[#This Row],[Candidate 6]]</f>
        <v>-1</v>
      </c>
      <c r="Y1035" s="111">
        <f>SUMIF(Audit[[#This Row],[Difference Loser]:[Difference Candidate 6]], "&gt;0")</f>
        <v>0</v>
      </c>
      <c r="Z1035" s="111">
        <f>SUM(Audit[[#This Row],[Difference Loser]:[Difference Candidate 6]])</f>
        <v>-2</v>
      </c>
      <c r="AA1035" s="111">
        <f>IF(Audit[[#This Row],[Times p Drawn - With Replacement]]&gt;0, IF(Audit[[#This Row],[Canceled Differences]]&lt;0, Audit[[#This Row],[Max Differences]]+ABS(Audit[[#This Row],[Canceled Differences]]), Audit[[#This Row],[Max Differences]]), 0)</f>
        <v>0</v>
      </c>
      <c r="AB1035" s="111">
        <f>'Sampling Data'!P1027</f>
        <v>6.4522373132883833E-5</v>
      </c>
      <c r="AC1035" s="111">
        <f>IF(
      SUM(Audit[[#This Row],[Audit Losing Candidate]:[Audit Candidate 6]])
      &lt;&gt;0,
      (Audit[[#This Row],[Winning Candidate]]-Audit[[#This Row],[Losing Candidate]]-(Audit[[#This Row],[Audit Winning Candidate]]-Audit[[#This Row],[Audit Losing Candidate]]))/(Audit[[#Totals],[Winning Candidate]]-Audit[[#Totals],[Losing Candidate]]),
      0
)</f>
        <v>0</v>
      </c>
      <c r="AD10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5" s="111">
        <f>IF(Audit[[#This Row],[Max Relative Error (ep)]] = 0, 0, Audit[[#This Row],[Max Relative Error (ep)]]/Audit[[#This Row],[Error Bound (up) - Max. possible relative overstatement]])</f>
        <v>0</v>
      </c>
      <c r="AJ10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35" s="111">
        <f t="shared" si="16"/>
        <v>1</v>
      </c>
      <c r="AL1035" s="111">
        <f>PRODUCT($AK$5:AK1035)</f>
        <v>8.962823818226312E-2</v>
      </c>
      <c r="AM1035" s="109">
        <f>1 - [K-M P Value]</f>
        <v>0.91037176181773694</v>
      </c>
      <c r="AN1035" s="111" t="str">
        <f>IF(Audit[[#This Row],[K-M P Value]]&gt;1-'General Info'!$B$16,"Continue", "Stop")</f>
        <v>Stop</v>
      </c>
      <c r="AO1035" s="110" t="b">
        <f>IF(Audit[[#This Row],[Status - Continue or stop audit]] = "Continue", TRUE, IF(AN1034 = "Continue", TRUE, FALSE))</f>
        <v>0</v>
      </c>
      <c r="AP1035" s="110"/>
    </row>
    <row r="1036" spans="1:42" ht="15" hidden="1" customHeight="1">
      <c r="A1036" s="111" t="str">
        <f>'Sampling Data'!W1028</f>
        <v/>
      </c>
      <c r="B1036" s="112" t="str">
        <f>'Sampling Data'!A1028</f>
        <v>EAST CLEVELAND -02-D - ABS</v>
      </c>
      <c r="C1036" s="112">
        <f>'Sampling Data'!B1028</f>
        <v>0</v>
      </c>
      <c r="D1036" s="112">
        <f>'Sampling Data'!C1028</f>
        <v>0</v>
      </c>
      <c r="E1036" s="113">
        <f>'Sampling Data'!D1028</f>
        <v>0</v>
      </c>
      <c r="F1036" s="113">
        <f>'Sampling Data'!E1028</f>
        <v>0</v>
      </c>
      <c r="G1036" s="113">
        <f>'Sampling Data'!F1028</f>
        <v>0</v>
      </c>
      <c r="H1036" s="113">
        <f>'Sampling Data'!G1028</f>
        <v>0</v>
      </c>
      <c r="I1036" s="112">
        <f>'Sampling Data'!H1028</f>
        <v>0</v>
      </c>
      <c r="J1036" s="112">
        <f>'Sampling Data'!I1028</f>
        <v>0</v>
      </c>
      <c r="K1036" s="112">
        <f>'Sampling Data'!J1028</f>
        <v>0</v>
      </c>
      <c r="L1036" s="111">
        <f>'Sampling Data'!X1028</f>
        <v>0</v>
      </c>
      <c r="M1036" s="114"/>
      <c r="N1036" s="114"/>
      <c r="O1036" s="115"/>
      <c r="P1036" s="115"/>
      <c r="Q1036" s="116"/>
      <c r="R1036" s="116"/>
      <c r="S1036" s="111">
        <f>Audit[[#This Row],[Audit Losing Candidate]]-Audit[[#This Row],[Losing Candidate]]</f>
        <v>0</v>
      </c>
      <c r="T1036" s="111">
        <f>Audit[[#This Row],[Audit Winning Candidate]]-Audit[[#This Row],[Winning Candidate]]</f>
        <v>0</v>
      </c>
      <c r="U1036" s="111">
        <f>Audit[[#This Row],[Audit Candidate 3]]-Audit[[#This Row],[Candidate 3]]</f>
        <v>0</v>
      </c>
      <c r="V1036" s="111">
        <f>Audit[[#This Row],[Audit Candidate 4]]-Audit[[#This Row],[Candidate 4]]</f>
        <v>0</v>
      </c>
      <c r="W1036" s="111">
        <f>Audit[[#This Row],[Audit Candidate 5]]-Audit[[#This Row],[Candidate 5]]</f>
        <v>0</v>
      </c>
      <c r="X1036" s="111">
        <f>Audit[[#This Row],[Audit Candidate 6]]-Audit[[#This Row],[Candidate 6]]</f>
        <v>0</v>
      </c>
      <c r="Y1036" s="111">
        <f>SUMIF(Audit[[#This Row],[Difference Loser]:[Difference Candidate 6]], "&gt;0")</f>
        <v>0</v>
      </c>
      <c r="Z1036" s="111">
        <f>SUM(Audit[[#This Row],[Difference Loser]:[Difference Candidate 6]])</f>
        <v>0</v>
      </c>
      <c r="AA1036" s="111">
        <f>IF(Audit[[#This Row],[Times p Drawn - With Replacement]]&gt;0, IF(Audit[[#This Row],[Canceled Differences]]&lt;0, Audit[[#This Row],[Max Differences]]+ABS(Audit[[#This Row],[Canceled Differences]]), Audit[[#This Row],[Max Differences]]), 0)</f>
        <v>0</v>
      </c>
      <c r="AB1036" s="111">
        <f>'Sampling Data'!P1028</f>
        <v>0</v>
      </c>
      <c r="AC1036" s="111">
        <f>IF(
      SUM(Audit[[#This Row],[Audit Losing Candidate]:[Audit Candidate 6]])
      &lt;&gt;0,
      (Audit[[#This Row],[Winning Candidate]]-Audit[[#This Row],[Losing Candidate]]-(Audit[[#This Row],[Audit Winning Candidate]]-Audit[[#This Row],[Audit Losing Candidate]]))/(Audit[[#Totals],[Winning Candidate]]-Audit[[#Totals],[Losing Candidate]]),
      0
)</f>
        <v>0</v>
      </c>
      <c r="AD10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6" s="111">
        <f>IF(Audit[[#This Row],[Max Relative Error (ep)]] = 0, 0, Audit[[#This Row],[Max Relative Error (ep)]]/Audit[[#This Row],[Error Bound (up) - Max. possible relative overstatement]])</f>
        <v>0</v>
      </c>
      <c r="AJ10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36" s="111">
        <f t="shared" si="16"/>
        <v>1</v>
      </c>
      <c r="AL1036" s="111">
        <f>PRODUCT($AK$5:AK1036)</f>
        <v>8.962823818226312E-2</v>
      </c>
      <c r="AM1036" s="109">
        <f>1 - [K-M P Value]</f>
        <v>0.91037176181773694</v>
      </c>
      <c r="AN1036" s="111" t="str">
        <f>IF(Audit[[#This Row],[K-M P Value]]&gt;1-'General Info'!$B$16,"Continue", "Stop")</f>
        <v>Stop</v>
      </c>
      <c r="AO1036" s="110" t="b">
        <f>IF(Audit[[#This Row],[Status - Continue or stop audit]] = "Continue", TRUE, IF(AN1035 = "Continue", TRUE, FALSE))</f>
        <v>0</v>
      </c>
      <c r="AP1036" s="110"/>
    </row>
    <row r="1037" spans="1:42" ht="15" hidden="1" customHeight="1">
      <c r="A1037" s="111" t="str">
        <f>'Sampling Data'!W1029</f>
        <v/>
      </c>
      <c r="B1037" s="112" t="str">
        <f>'Sampling Data'!A1029</f>
        <v>EAST CLEVELAND -02-E</v>
      </c>
      <c r="C1037" s="112">
        <f>'Sampling Data'!B1029</f>
        <v>0</v>
      </c>
      <c r="D1037" s="112">
        <f>'Sampling Data'!C1029</f>
        <v>0</v>
      </c>
      <c r="E1037" s="113">
        <f>'Sampling Data'!D1029</f>
        <v>0</v>
      </c>
      <c r="F1037" s="113">
        <f>'Sampling Data'!E1029</f>
        <v>0</v>
      </c>
      <c r="G1037" s="113">
        <f>'Sampling Data'!F1029</f>
        <v>0</v>
      </c>
      <c r="H1037" s="113">
        <f>'Sampling Data'!G1029</f>
        <v>0</v>
      </c>
      <c r="I1037" s="112">
        <f>'Sampling Data'!H1029</f>
        <v>0</v>
      </c>
      <c r="J1037" s="112">
        <f>'Sampling Data'!I1029</f>
        <v>0</v>
      </c>
      <c r="K1037" s="112">
        <f>'Sampling Data'!J1029</f>
        <v>0</v>
      </c>
      <c r="L1037" s="111">
        <f>'Sampling Data'!X1029</f>
        <v>0</v>
      </c>
      <c r="M1037" s="114"/>
      <c r="N1037" s="114"/>
      <c r="O1037" s="115"/>
      <c r="P1037" s="115"/>
      <c r="Q1037" s="116"/>
      <c r="R1037" s="116"/>
      <c r="S1037" s="111">
        <f>Audit[[#This Row],[Audit Losing Candidate]]-Audit[[#This Row],[Losing Candidate]]</f>
        <v>0</v>
      </c>
      <c r="T1037" s="111">
        <f>Audit[[#This Row],[Audit Winning Candidate]]-Audit[[#This Row],[Winning Candidate]]</f>
        <v>0</v>
      </c>
      <c r="U1037" s="111">
        <f>Audit[[#This Row],[Audit Candidate 3]]-Audit[[#This Row],[Candidate 3]]</f>
        <v>0</v>
      </c>
      <c r="V1037" s="111">
        <f>Audit[[#This Row],[Audit Candidate 4]]-Audit[[#This Row],[Candidate 4]]</f>
        <v>0</v>
      </c>
      <c r="W1037" s="111">
        <f>Audit[[#This Row],[Audit Candidate 5]]-Audit[[#This Row],[Candidate 5]]</f>
        <v>0</v>
      </c>
      <c r="X1037" s="111">
        <f>Audit[[#This Row],[Audit Candidate 6]]-Audit[[#This Row],[Candidate 6]]</f>
        <v>0</v>
      </c>
      <c r="Y1037" s="111">
        <f>SUMIF(Audit[[#This Row],[Difference Loser]:[Difference Candidate 6]], "&gt;0")</f>
        <v>0</v>
      </c>
      <c r="Z1037" s="111">
        <f>SUM(Audit[[#This Row],[Difference Loser]:[Difference Candidate 6]])</f>
        <v>0</v>
      </c>
      <c r="AA1037" s="111">
        <f>IF(Audit[[#This Row],[Times p Drawn - With Replacement]]&gt;0, IF(Audit[[#This Row],[Canceled Differences]]&lt;0, Audit[[#This Row],[Max Differences]]+ABS(Audit[[#This Row],[Canceled Differences]]), Audit[[#This Row],[Max Differences]]), 0)</f>
        <v>0</v>
      </c>
      <c r="AB1037" s="111">
        <f>'Sampling Data'!P1029</f>
        <v>0</v>
      </c>
      <c r="AC1037" s="111">
        <f>IF(
      SUM(Audit[[#This Row],[Audit Losing Candidate]:[Audit Candidate 6]])
      &lt;&gt;0,
      (Audit[[#This Row],[Winning Candidate]]-Audit[[#This Row],[Losing Candidate]]-(Audit[[#This Row],[Audit Winning Candidate]]-Audit[[#This Row],[Audit Losing Candidate]]))/(Audit[[#Totals],[Winning Candidate]]-Audit[[#Totals],[Losing Candidate]]),
      0
)</f>
        <v>0</v>
      </c>
      <c r="AD10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7" s="111">
        <f>IF(Audit[[#This Row],[Max Relative Error (ep)]] = 0, 0, Audit[[#This Row],[Max Relative Error (ep)]]/Audit[[#This Row],[Error Bound (up) - Max. possible relative overstatement]])</f>
        <v>0</v>
      </c>
      <c r="AJ10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37" s="111">
        <f t="shared" si="16"/>
        <v>1</v>
      </c>
      <c r="AL1037" s="111">
        <f>PRODUCT($AK$5:AK1037)</f>
        <v>8.962823818226312E-2</v>
      </c>
      <c r="AM1037" s="109">
        <f>1 - [K-M P Value]</f>
        <v>0.91037176181773694</v>
      </c>
      <c r="AN1037" s="111" t="str">
        <f>IF(Audit[[#This Row],[K-M P Value]]&gt;1-'General Info'!$B$16,"Continue", "Stop")</f>
        <v>Stop</v>
      </c>
      <c r="AO1037" s="110" t="b">
        <f>IF(Audit[[#This Row],[Status - Continue or stop audit]] = "Continue", TRUE, IF(AN1036 = "Continue", TRUE, FALSE))</f>
        <v>0</v>
      </c>
      <c r="AP1037" s="110"/>
    </row>
    <row r="1038" spans="1:42" ht="15" hidden="1" customHeight="1">
      <c r="A1038" s="111" t="str">
        <f>'Sampling Data'!W1030</f>
        <v/>
      </c>
      <c r="B1038" s="112" t="str">
        <f>'Sampling Data'!A1030</f>
        <v>EAST CLEVELAND -02-E - ABS</v>
      </c>
      <c r="C1038" s="112">
        <f>'Sampling Data'!B1030</f>
        <v>0</v>
      </c>
      <c r="D1038" s="112">
        <f>'Sampling Data'!C1030</f>
        <v>0</v>
      </c>
      <c r="E1038" s="113">
        <f>'Sampling Data'!D1030</f>
        <v>0</v>
      </c>
      <c r="F1038" s="113">
        <f>'Sampling Data'!E1030</f>
        <v>0</v>
      </c>
      <c r="G1038" s="113">
        <f>'Sampling Data'!F1030</f>
        <v>0</v>
      </c>
      <c r="H1038" s="113">
        <f>'Sampling Data'!G1030</f>
        <v>0</v>
      </c>
      <c r="I1038" s="112">
        <f>'Sampling Data'!H1030</f>
        <v>0</v>
      </c>
      <c r="J1038" s="112">
        <f>'Sampling Data'!I1030</f>
        <v>0</v>
      </c>
      <c r="K1038" s="112">
        <f>'Sampling Data'!J1030</f>
        <v>0</v>
      </c>
      <c r="L1038" s="111">
        <f>'Sampling Data'!X1030</f>
        <v>0</v>
      </c>
      <c r="M1038" s="114"/>
      <c r="N1038" s="114"/>
      <c r="O1038" s="115"/>
      <c r="P1038" s="115"/>
      <c r="Q1038" s="116"/>
      <c r="R1038" s="116"/>
      <c r="S1038" s="111">
        <f>Audit[[#This Row],[Audit Losing Candidate]]-Audit[[#This Row],[Losing Candidate]]</f>
        <v>0</v>
      </c>
      <c r="T1038" s="111">
        <f>Audit[[#This Row],[Audit Winning Candidate]]-Audit[[#This Row],[Winning Candidate]]</f>
        <v>0</v>
      </c>
      <c r="U1038" s="111">
        <f>Audit[[#This Row],[Audit Candidate 3]]-Audit[[#This Row],[Candidate 3]]</f>
        <v>0</v>
      </c>
      <c r="V1038" s="111">
        <f>Audit[[#This Row],[Audit Candidate 4]]-Audit[[#This Row],[Candidate 4]]</f>
        <v>0</v>
      </c>
      <c r="W1038" s="111">
        <f>Audit[[#This Row],[Audit Candidate 5]]-Audit[[#This Row],[Candidate 5]]</f>
        <v>0</v>
      </c>
      <c r="X1038" s="111">
        <f>Audit[[#This Row],[Audit Candidate 6]]-Audit[[#This Row],[Candidate 6]]</f>
        <v>0</v>
      </c>
      <c r="Y1038" s="111">
        <f>SUMIF(Audit[[#This Row],[Difference Loser]:[Difference Candidate 6]], "&gt;0")</f>
        <v>0</v>
      </c>
      <c r="Z1038" s="111">
        <f>SUM(Audit[[#This Row],[Difference Loser]:[Difference Candidate 6]])</f>
        <v>0</v>
      </c>
      <c r="AA1038" s="111">
        <f>IF(Audit[[#This Row],[Times p Drawn - With Replacement]]&gt;0, IF(Audit[[#This Row],[Canceled Differences]]&lt;0, Audit[[#This Row],[Max Differences]]+ABS(Audit[[#This Row],[Canceled Differences]]), Audit[[#This Row],[Max Differences]]), 0)</f>
        <v>0</v>
      </c>
      <c r="AB1038" s="111">
        <f>'Sampling Data'!P1030</f>
        <v>0</v>
      </c>
      <c r="AC1038" s="111">
        <f>IF(
      SUM(Audit[[#This Row],[Audit Losing Candidate]:[Audit Candidate 6]])
      &lt;&gt;0,
      (Audit[[#This Row],[Winning Candidate]]-Audit[[#This Row],[Losing Candidate]]-(Audit[[#This Row],[Audit Winning Candidate]]-Audit[[#This Row],[Audit Losing Candidate]]))/(Audit[[#Totals],[Winning Candidate]]-Audit[[#Totals],[Losing Candidate]]),
      0
)</f>
        <v>0</v>
      </c>
      <c r="AD10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8" s="111">
        <f>IF(Audit[[#This Row],[Max Relative Error (ep)]] = 0, 0, Audit[[#This Row],[Max Relative Error (ep)]]/Audit[[#This Row],[Error Bound (up) - Max. possible relative overstatement]])</f>
        <v>0</v>
      </c>
      <c r="AJ10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38" s="111">
        <f t="shared" si="16"/>
        <v>1</v>
      </c>
      <c r="AL1038" s="111">
        <f>PRODUCT($AK$5:AK1038)</f>
        <v>8.962823818226312E-2</v>
      </c>
      <c r="AM1038" s="109">
        <f>1 - [K-M P Value]</f>
        <v>0.91037176181773694</v>
      </c>
      <c r="AN1038" s="111" t="str">
        <f>IF(Audit[[#This Row],[K-M P Value]]&gt;1-'General Info'!$B$16,"Continue", "Stop")</f>
        <v>Stop</v>
      </c>
      <c r="AO1038" s="110" t="b">
        <f>IF(Audit[[#This Row],[Status - Continue or stop audit]] = "Continue", TRUE, IF(AN1037 = "Continue", TRUE, FALSE))</f>
        <v>0</v>
      </c>
      <c r="AP1038" s="110"/>
    </row>
    <row r="1039" spans="1:42" ht="15" hidden="1" customHeight="1">
      <c r="A1039" s="111" t="str">
        <f>'Sampling Data'!W1031</f>
        <v/>
      </c>
      <c r="B1039" s="112" t="str">
        <f>'Sampling Data'!A1031</f>
        <v>EAST CLEVELAND -02-F</v>
      </c>
      <c r="C1039" s="112">
        <f>'Sampling Data'!B1031</f>
        <v>0</v>
      </c>
      <c r="D1039" s="112">
        <f>'Sampling Data'!C1031</f>
        <v>0</v>
      </c>
      <c r="E1039" s="113">
        <f>'Sampling Data'!D1031</f>
        <v>0</v>
      </c>
      <c r="F1039" s="113">
        <f>'Sampling Data'!E1031</f>
        <v>0</v>
      </c>
      <c r="G1039" s="113">
        <f>'Sampling Data'!F1031</f>
        <v>0</v>
      </c>
      <c r="H1039" s="113">
        <f>'Sampling Data'!G1031</f>
        <v>0</v>
      </c>
      <c r="I1039" s="112">
        <f>'Sampling Data'!H1031</f>
        <v>0</v>
      </c>
      <c r="J1039" s="112">
        <f>'Sampling Data'!I1031</f>
        <v>0</v>
      </c>
      <c r="K1039" s="112">
        <f>'Sampling Data'!J1031</f>
        <v>0</v>
      </c>
      <c r="L1039" s="111">
        <f>'Sampling Data'!X1031</f>
        <v>0</v>
      </c>
      <c r="M1039" s="114"/>
      <c r="N1039" s="114"/>
      <c r="O1039" s="115"/>
      <c r="P1039" s="115"/>
      <c r="Q1039" s="116"/>
      <c r="R1039" s="116"/>
      <c r="S1039" s="111">
        <f>Audit[[#This Row],[Audit Losing Candidate]]-Audit[[#This Row],[Losing Candidate]]</f>
        <v>0</v>
      </c>
      <c r="T1039" s="111">
        <f>Audit[[#This Row],[Audit Winning Candidate]]-Audit[[#This Row],[Winning Candidate]]</f>
        <v>0</v>
      </c>
      <c r="U1039" s="111">
        <f>Audit[[#This Row],[Audit Candidate 3]]-Audit[[#This Row],[Candidate 3]]</f>
        <v>0</v>
      </c>
      <c r="V1039" s="111">
        <f>Audit[[#This Row],[Audit Candidate 4]]-Audit[[#This Row],[Candidate 4]]</f>
        <v>0</v>
      </c>
      <c r="W1039" s="111">
        <f>Audit[[#This Row],[Audit Candidate 5]]-Audit[[#This Row],[Candidate 5]]</f>
        <v>0</v>
      </c>
      <c r="X1039" s="111">
        <f>Audit[[#This Row],[Audit Candidate 6]]-Audit[[#This Row],[Candidate 6]]</f>
        <v>0</v>
      </c>
      <c r="Y1039" s="111">
        <f>SUMIF(Audit[[#This Row],[Difference Loser]:[Difference Candidate 6]], "&gt;0")</f>
        <v>0</v>
      </c>
      <c r="Z1039" s="111">
        <f>SUM(Audit[[#This Row],[Difference Loser]:[Difference Candidate 6]])</f>
        <v>0</v>
      </c>
      <c r="AA1039" s="111">
        <f>IF(Audit[[#This Row],[Times p Drawn - With Replacement]]&gt;0, IF(Audit[[#This Row],[Canceled Differences]]&lt;0, Audit[[#This Row],[Max Differences]]+ABS(Audit[[#This Row],[Canceled Differences]]), Audit[[#This Row],[Max Differences]]), 0)</f>
        <v>0</v>
      </c>
      <c r="AB1039" s="111">
        <f>'Sampling Data'!P1031</f>
        <v>0</v>
      </c>
      <c r="AC1039" s="111">
        <f>IF(
      SUM(Audit[[#This Row],[Audit Losing Candidate]:[Audit Candidate 6]])
      &lt;&gt;0,
      (Audit[[#This Row],[Winning Candidate]]-Audit[[#This Row],[Losing Candidate]]-(Audit[[#This Row],[Audit Winning Candidate]]-Audit[[#This Row],[Audit Losing Candidate]]))/(Audit[[#Totals],[Winning Candidate]]-Audit[[#Totals],[Losing Candidate]]),
      0
)</f>
        <v>0</v>
      </c>
      <c r="AD10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9" s="111">
        <f>IF(Audit[[#This Row],[Max Relative Error (ep)]] = 0, 0, Audit[[#This Row],[Max Relative Error (ep)]]/Audit[[#This Row],[Error Bound (up) - Max. possible relative overstatement]])</f>
        <v>0</v>
      </c>
      <c r="AJ10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39" s="111">
        <f t="shared" si="16"/>
        <v>1</v>
      </c>
      <c r="AL1039" s="111">
        <f>PRODUCT($AK$5:AK1039)</f>
        <v>8.962823818226312E-2</v>
      </c>
      <c r="AM1039" s="109">
        <f>1 - [K-M P Value]</f>
        <v>0.91037176181773694</v>
      </c>
      <c r="AN1039" s="111" t="str">
        <f>IF(Audit[[#This Row],[K-M P Value]]&gt;1-'General Info'!$B$16,"Continue", "Stop")</f>
        <v>Stop</v>
      </c>
      <c r="AO1039" s="110" t="b">
        <f>IF(Audit[[#This Row],[Status - Continue or stop audit]] = "Continue", TRUE, IF(AN1038 = "Continue", TRUE, FALSE))</f>
        <v>0</v>
      </c>
      <c r="AP1039" s="110"/>
    </row>
    <row r="1040" spans="1:42" ht="15" hidden="1" customHeight="1">
      <c r="A1040" s="111" t="str">
        <f>'Sampling Data'!W1032</f>
        <v/>
      </c>
      <c r="B1040" s="112" t="str">
        <f>'Sampling Data'!A1032</f>
        <v>EAST CLEVELAND -02-F - ABS</v>
      </c>
      <c r="C1040" s="112">
        <f>'Sampling Data'!B1032</f>
        <v>0</v>
      </c>
      <c r="D1040" s="112">
        <f>'Sampling Data'!C1032</f>
        <v>0</v>
      </c>
      <c r="E1040" s="113">
        <f>'Sampling Data'!D1032</f>
        <v>0</v>
      </c>
      <c r="F1040" s="113">
        <f>'Sampling Data'!E1032</f>
        <v>0</v>
      </c>
      <c r="G1040" s="113">
        <f>'Sampling Data'!F1032</f>
        <v>0</v>
      </c>
      <c r="H1040" s="113">
        <f>'Sampling Data'!G1032</f>
        <v>0</v>
      </c>
      <c r="I1040" s="112">
        <f>'Sampling Data'!H1032</f>
        <v>0</v>
      </c>
      <c r="J1040" s="112">
        <f>'Sampling Data'!I1032</f>
        <v>0</v>
      </c>
      <c r="K1040" s="112">
        <f>'Sampling Data'!J1032</f>
        <v>0</v>
      </c>
      <c r="L1040" s="111">
        <f>'Sampling Data'!X1032</f>
        <v>0</v>
      </c>
      <c r="M1040" s="114"/>
      <c r="N1040" s="114"/>
      <c r="O1040" s="115"/>
      <c r="P1040" s="115"/>
      <c r="Q1040" s="116"/>
      <c r="R1040" s="116"/>
      <c r="S1040" s="111">
        <f>Audit[[#This Row],[Audit Losing Candidate]]-Audit[[#This Row],[Losing Candidate]]</f>
        <v>0</v>
      </c>
      <c r="T1040" s="111">
        <f>Audit[[#This Row],[Audit Winning Candidate]]-Audit[[#This Row],[Winning Candidate]]</f>
        <v>0</v>
      </c>
      <c r="U1040" s="111">
        <f>Audit[[#This Row],[Audit Candidate 3]]-Audit[[#This Row],[Candidate 3]]</f>
        <v>0</v>
      </c>
      <c r="V1040" s="111">
        <f>Audit[[#This Row],[Audit Candidate 4]]-Audit[[#This Row],[Candidate 4]]</f>
        <v>0</v>
      </c>
      <c r="W1040" s="111">
        <f>Audit[[#This Row],[Audit Candidate 5]]-Audit[[#This Row],[Candidate 5]]</f>
        <v>0</v>
      </c>
      <c r="X1040" s="111">
        <f>Audit[[#This Row],[Audit Candidate 6]]-Audit[[#This Row],[Candidate 6]]</f>
        <v>0</v>
      </c>
      <c r="Y1040" s="111">
        <f>SUMIF(Audit[[#This Row],[Difference Loser]:[Difference Candidate 6]], "&gt;0")</f>
        <v>0</v>
      </c>
      <c r="Z1040" s="111">
        <f>SUM(Audit[[#This Row],[Difference Loser]:[Difference Candidate 6]])</f>
        <v>0</v>
      </c>
      <c r="AA1040" s="111">
        <f>IF(Audit[[#This Row],[Times p Drawn - With Replacement]]&gt;0, IF(Audit[[#This Row],[Canceled Differences]]&lt;0, Audit[[#This Row],[Max Differences]]+ABS(Audit[[#This Row],[Canceled Differences]]), Audit[[#This Row],[Max Differences]]), 0)</f>
        <v>0</v>
      </c>
      <c r="AB1040" s="111">
        <f>'Sampling Data'!P1032</f>
        <v>0</v>
      </c>
      <c r="AC1040" s="111">
        <f>IF(
      SUM(Audit[[#This Row],[Audit Losing Candidate]:[Audit Candidate 6]])
      &lt;&gt;0,
      (Audit[[#This Row],[Winning Candidate]]-Audit[[#This Row],[Losing Candidate]]-(Audit[[#This Row],[Audit Winning Candidate]]-Audit[[#This Row],[Audit Losing Candidate]]))/(Audit[[#Totals],[Winning Candidate]]-Audit[[#Totals],[Losing Candidate]]),
      0
)</f>
        <v>0</v>
      </c>
      <c r="AD10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0" s="111">
        <f>IF(Audit[[#This Row],[Max Relative Error (ep)]] = 0, 0, Audit[[#This Row],[Max Relative Error (ep)]]/Audit[[#This Row],[Error Bound (up) - Max. possible relative overstatement]])</f>
        <v>0</v>
      </c>
      <c r="AJ10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40" s="111">
        <f t="shared" si="16"/>
        <v>1</v>
      </c>
      <c r="AL1040" s="111">
        <f>PRODUCT($AK$5:AK1040)</f>
        <v>8.962823818226312E-2</v>
      </c>
      <c r="AM1040" s="109">
        <f>1 - [K-M P Value]</f>
        <v>0.91037176181773694</v>
      </c>
      <c r="AN1040" s="111" t="str">
        <f>IF(Audit[[#This Row],[K-M P Value]]&gt;1-'General Info'!$B$16,"Continue", "Stop")</f>
        <v>Stop</v>
      </c>
      <c r="AO1040" s="110" t="b">
        <f>IF(Audit[[#This Row],[Status - Continue or stop audit]] = "Continue", TRUE, IF(AN1039 = "Continue", TRUE, FALSE))</f>
        <v>0</v>
      </c>
      <c r="AP1040" s="110"/>
    </row>
    <row r="1041" spans="1:42" ht="15" hidden="1" customHeight="1">
      <c r="A1041" s="111" t="str">
        <f>'Sampling Data'!W1033</f>
        <v/>
      </c>
      <c r="B1041" s="112" t="str">
        <f>'Sampling Data'!A1033</f>
        <v>EAST CLEVELAND -03-A</v>
      </c>
      <c r="C1041" s="112">
        <f>'Sampling Data'!B1033</f>
        <v>0</v>
      </c>
      <c r="D1041" s="112">
        <f>'Sampling Data'!C1033</f>
        <v>1</v>
      </c>
      <c r="E1041" s="113">
        <f>'Sampling Data'!D1033</f>
        <v>0</v>
      </c>
      <c r="F1041" s="113">
        <f>'Sampling Data'!E1033</f>
        <v>0</v>
      </c>
      <c r="G1041" s="113">
        <f>'Sampling Data'!F1033</f>
        <v>0</v>
      </c>
      <c r="H1041" s="113">
        <f>'Sampling Data'!G1033</f>
        <v>0</v>
      </c>
      <c r="I1041" s="112">
        <f>'Sampling Data'!H1033</f>
        <v>0</v>
      </c>
      <c r="J1041" s="112">
        <f>'Sampling Data'!I1033</f>
        <v>0</v>
      </c>
      <c r="K1041" s="112">
        <f>'Sampling Data'!J1033</f>
        <v>1</v>
      </c>
      <c r="L1041" s="111">
        <f>'Sampling Data'!X1033</f>
        <v>0</v>
      </c>
      <c r="M1041" s="114"/>
      <c r="N1041" s="114"/>
      <c r="O1041" s="115"/>
      <c r="P1041" s="115"/>
      <c r="Q1041" s="116"/>
      <c r="R1041" s="116"/>
      <c r="S1041" s="111">
        <f>Audit[[#This Row],[Audit Losing Candidate]]-Audit[[#This Row],[Losing Candidate]]</f>
        <v>0</v>
      </c>
      <c r="T1041" s="111">
        <f>Audit[[#This Row],[Audit Winning Candidate]]-Audit[[#This Row],[Winning Candidate]]</f>
        <v>-1</v>
      </c>
      <c r="U1041" s="111">
        <f>Audit[[#This Row],[Audit Candidate 3]]-Audit[[#This Row],[Candidate 3]]</f>
        <v>0</v>
      </c>
      <c r="V1041" s="111">
        <f>Audit[[#This Row],[Audit Candidate 4]]-Audit[[#This Row],[Candidate 4]]</f>
        <v>0</v>
      </c>
      <c r="W1041" s="111">
        <f>Audit[[#This Row],[Audit Candidate 5]]-Audit[[#This Row],[Candidate 5]]</f>
        <v>0</v>
      </c>
      <c r="X1041" s="111">
        <f>Audit[[#This Row],[Audit Candidate 6]]-Audit[[#This Row],[Candidate 6]]</f>
        <v>0</v>
      </c>
      <c r="Y1041" s="111">
        <f>SUMIF(Audit[[#This Row],[Difference Loser]:[Difference Candidate 6]], "&gt;0")</f>
        <v>0</v>
      </c>
      <c r="Z1041" s="111">
        <f>SUM(Audit[[#This Row],[Difference Loser]:[Difference Candidate 6]])</f>
        <v>-1</v>
      </c>
      <c r="AA1041" s="111">
        <f>IF(Audit[[#This Row],[Times p Drawn - With Replacement]]&gt;0, IF(Audit[[#This Row],[Canceled Differences]]&lt;0, Audit[[#This Row],[Max Differences]]+ABS(Audit[[#This Row],[Canceled Differences]]), Audit[[#This Row],[Max Differences]]), 0)</f>
        <v>0</v>
      </c>
      <c r="AB1041" s="111">
        <f>'Sampling Data'!P1033</f>
        <v>1.224889759921607E-4</v>
      </c>
      <c r="AC1041" s="111">
        <f>IF(
      SUM(Audit[[#This Row],[Audit Losing Candidate]:[Audit Candidate 6]])
      &lt;&gt;0,
      (Audit[[#This Row],[Winning Candidate]]-Audit[[#This Row],[Losing Candidate]]-(Audit[[#This Row],[Audit Winning Candidate]]-Audit[[#This Row],[Audit Losing Candidate]]))/(Audit[[#Totals],[Winning Candidate]]-Audit[[#Totals],[Losing Candidate]]),
      0
)</f>
        <v>0</v>
      </c>
      <c r="AD10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1" s="111">
        <f>IF(Audit[[#This Row],[Max Relative Error (ep)]] = 0, 0, Audit[[#This Row],[Max Relative Error (ep)]]/Audit[[#This Row],[Error Bound (up) - Max. possible relative overstatement]])</f>
        <v>0</v>
      </c>
      <c r="AJ10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41" s="111">
        <f t="shared" si="16"/>
        <v>1</v>
      </c>
      <c r="AL1041" s="111">
        <f>PRODUCT($AK$5:AK1041)</f>
        <v>8.962823818226312E-2</v>
      </c>
      <c r="AM1041" s="109">
        <f>1 - [K-M P Value]</f>
        <v>0.91037176181773694</v>
      </c>
      <c r="AN1041" s="111" t="str">
        <f>IF(Audit[[#This Row],[K-M P Value]]&gt;1-'General Info'!$B$16,"Continue", "Stop")</f>
        <v>Stop</v>
      </c>
      <c r="AO1041" s="110" t="b">
        <f>IF(Audit[[#This Row],[Status - Continue or stop audit]] = "Continue", TRUE, IF(AN1040 = "Continue", TRUE, FALSE))</f>
        <v>0</v>
      </c>
      <c r="AP1041" s="110"/>
    </row>
    <row r="1042" spans="1:42" ht="15" hidden="1" customHeight="1">
      <c r="A1042" s="111" t="str">
        <f>'Sampling Data'!W1034</f>
        <v/>
      </c>
      <c r="B1042" s="112" t="str">
        <f>'Sampling Data'!A1034</f>
        <v>EAST CLEVELAND -03-A - ABS</v>
      </c>
      <c r="C1042" s="112">
        <f>'Sampling Data'!B1034</f>
        <v>0</v>
      </c>
      <c r="D1042" s="112">
        <f>'Sampling Data'!C1034</f>
        <v>0</v>
      </c>
      <c r="E1042" s="113">
        <f>'Sampling Data'!D1034</f>
        <v>0</v>
      </c>
      <c r="F1042" s="113">
        <f>'Sampling Data'!E1034</f>
        <v>0</v>
      </c>
      <c r="G1042" s="113">
        <f>'Sampling Data'!F1034</f>
        <v>0</v>
      </c>
      <c r="H1042" s="113">
        <f>'Sampling Data'!G1034</f>
        <v>0</v>
      </c>
      <c r="I1042" s="112">
        <f>'Sampling Data'!H1034</f>
        <v>0</v>
      </c>
      <c r="J1042" s="112">
        <f>'Sampling Data'!I1034</f>
        <v>1</v>
      </c>
      <c r="K1042" s="112">
        <f>'Sampling Data'!J1034</f>
        <v>1</v>
      </c>
      <c r="L1042" s="111">
        <f>'Sampling Data'!X1034</f>
        <v>0</v>
      </c>
      <c r="M1042" s="114"/>
      <c r="N1042" s="114"/>
      <c r="O1042" s="115"/>
      <c r="P1042" s="115"/>
      <c r="Q1042" s="116"/>
      <c r="R1042" s="116"/>
      <c r="S1042" s="111">
        <f>Audit[[#This Row],[Audit Losing Candidate]]-Audit[[#This Row],[Losing Candidate]]</f>
        <v>0</v>
      </c>
      <c r="T1042" s="111">
        <f>Audit[[#This Row],[Audit Winning Candidate]]-Audit[[#This Row],[Winning Candidate]]</f>
        <v>0</v>
      </c>
      <c r="U1042" s="111">
        <f>Audit[[#This Row],[Audit Candidate 3]]-Audit[[#This Row],[Candidate 3]]</f>
        <v>0</v>
      </c>
      <c r="V1042" s="111">
        <f>Audit[[#This Row],[Audit Candidate 4]]-Audit[[#This Row],[Candidate 4]]</f>
        <v>0</v>
      </c>
      <c r="W1042" s="111">
        <f>Audit[[#This Row],[Audit Candidate 5]]-Audit[[#This Row],[Candidate 5]]</f>
        <v>0</v>
      </c>
      <c r="X1042" s="111">
        <f>Audit[[#This Row],[Audit Candidate 6]]-Audit[[#This Row],[Candidate 6]]</f>
        <v>0</v>
      </c>
      <c r="Y1042" s="111">
        <f>SUMIF(Audit[[#This Row],[Difference Loser]:[Difference Candidate 6]], "&gt;0")</f>
        <v>0</v>
      </c>
      <c r="Z1042" s="111">
        <f>SUM(Audit[[#This Row],[Difference Loser]:[Difference Candidate 6]])</f>
        <v>0</v>
      </c>
      <c r="AA1042" s="111">
        <f>IF(Audit[[#This Row],[Times p Drawn - With Replacement]]&gt;0, IF(Audit[[#This Row],[Canceled Differences]]&lt;0, Audit[[#This Row],[Max Differences]]+ABS(Audit[[#This Row],[Canceled Differences]]), Audit[[#This Row],[Max Differences]]), 0)</f>
        <v>0</v>
      </c>
      <c r="AB1042" s="111">
        <f>'Sampling Data'!P1034</f>
        <v>6.1244487996080352E-5</v>
      </c>
      <c r="AC1042" s="111">
        <f>IF(
      SUM(Audit[[#This Row],[Audit Losing Candidate]:[Audit Candidate 6]])
      &lt;&gt;0,
      (Audit[[#This Row],[Winning Candidate]]-Audit[[#This Row],[Losing Candidate]]-(Audit[[#This Row],[Audit Winning Candidate]]-Audit[[#This Row],[Audit Losing Candidate]]))/(Audit[[#Totals],[Winning Candidate]]-Audit[[#Totals],[Losing Candidate]]),
      0
)</f>
        <v>0</v>
      </c>
      <c r="AD10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2" s="111">
        <f>IF(Audit[[#This Row],[Max Relative Error (ep)]] = 0, 0, Audit[[#This Row],[Max Relative Error (ep)]]/Audit[[#This Row],[Error Bound (up) - Max. possible relative overstatement]])</f>
        <v>0</v>
      </c>
      <c r="AJ10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42" s="111">
        <f t="shared" si="16"/>
        <v>1</v>
      </c>
      <c r="AL1042" s="111">
        <f>PRODUCT($AK$5:AK1042)</f>
        <v>8.962823818226312E-2</v>
      </c>
      <c r="AM1042" s="109">
        <f>1 - [K-M P Value]</f>
        <v>0.91037176181773694</v>
      </c>
      <c r="AN1042" s="111" t="str">
        <f>IF(Audit[[#This Row],[K-M P Value]]&gt;1-'General Info'!$B$16,"Continue", "Stop")</f>
        <v>Stop</v>
      </c>
      <c r="AO1042" s="110" t="b">
        <f>IF(Audit[[#This Row],[Status - Continue or stop audit]] = "Continue", TRUE, IF(AN1041 = "Continue", TRUE, FALSE))</f>
        <v>0</v>
      </c>
      <c r="AP1042" s="110"/>
    </row>
    <row r="1043" spans="1:42" ht="15" hidden="1" customHeight="1">
      <c r="A1043" s="111" t="str">
        <f>'Sampling Data'!W1035</f>
        <v/>
      </c>
      <c r="B1043" s="112" t="str">
        <f>'Sampling Data'!A1035</f>
        <v>EAST CLEVELAND -03-B</v>
      </c>
      <c r="C1043" s="112">
        <f>'Sampling Data'!B1035</f>
        <v>0</v>
      </c>
      <c r="D1043" s="112">
        <f>'Sampling Data'!C1035</f>
        <v>0</v>
      </c>
      <c r="E1043" s="113">
        <f>'Sampling Data'!D1035</f>
        <v>0</v>
      </c>
      <c r="F1043" s="113">
        <f>'Sampling Data'!E1035</f>
        <v>0</v>
      </c>
      <c r="G1043" s="113">
        <f>'Sampling Data'!F1035</f>
        <v>0</v>
      </c>
      <c r="H1043" s="113">
        <f>'Sampling Data'!G1035</f>
        <v>0</v>
      </c>
      <c r="I1043" s="112">
        <f>'Sampling Data'!H1035</f>
        <v>0</v>
      </c>
      <c r="J1043" s="112">
        <f>'Sampling Data'!I1035</f>
        <v>0</v>
      </c>
      <c r="K1043" s="112">
        <f>'Sampling Data'!J1035</f>
        <v>0</v>
      </c>
      <c r="L1043" s="111">
        <f>'Sampling Data'!X1035</f>
        <v>0</v>
      </c>
      <c r="M1043" s="114"/>
      <c r="N1043" s="114"/>
      <c r="O1043" s="115"/>
      <c r="P1043" s="115"/>
      <c r="Q1043" s="116"/>
      <c r="R1043" s="116"/>
      <c r="S1043" s="111">
        <f>Audit[[#This Row],[Audit Losing Candidate]]-Audit[[#This Row],[Losing Candidate]]</f>
        <v>0</v>
      </c>
      <c r="T1043" s="111">
        <f>Audit[[#This Row],[Audit Winning Candidate]]-Audit[[#This Row],[Winning Candidate]]</f>
        <v>0</v>
      </c>
      <c r="U1043" s="111">
        <f>Audit[[#This Row],[Audit Candidate 3]]-Audit[[#This Row],[Candidate 3]]</f>
        <v>0</v>
      </c>
      <c r="V1043" s="111">
        <f>Audit[[#This Row],[Audit Candidate 4]]-Audit[[#This Row],[Candidate 4]]</f>
        <v>0</v>
      </c>
      <c r="W1043" s="111">
        <f>Audit[[#This Row],[Audit Candidate 5]]-Audit[[#This Row],[Candidate 5]]</f>
        <v>0</v>
      </c>
      <c r="X1043" s="111">
        <f>Audit[[#This Row],[Audit Candidate 6]]-Audit[[#This Row],[Candidate 6]]</f>
        <v>0</v>
      </c>
      <c r="Y1043" s="111">
        <f>SUMIF(Audit[[#This Row],[Difference Loser]:[Difference Candidate 6]], "&gt;0")</f>
        <v>0</v>
      </c>
      <c r="Z1043" s="111">
        <f>SUM(Audit[[#This Row],[Difference Loser]:[Difference Candidate 6]])</f>
        <v>0</v>
      </c>
      <c r="AA1043" s="111">
        <f>IF(Audit[[#This Row],[Times p Drawn - With Replacement]]&gt;0, IF(Audit[[#This Row],[Canceled Differences]]&lt;0, Audit[[#This Row],[Max Differences]]+ABS(Audit[[#This Row],[Canceled Differences]]), Audit[[#This Row],[Max Differences]]), 0)</f>
        <v>0</v>
      </c>
      <c r="AB1043" s="111">
        <f>'Sampling Data'!P1035</f>
        <v>0</v>
      </c>
      <c r="AC1043" s="111">
        <f>IF(
      SUM(Audit[[#This Row],[Audit Losing Candidate]:[Audit Candidate 6]])
      &lt;&gt;0,
      (Audit[[#This Row],[Winning Candidate]]-Audit[[#This Row],[Losing Candidate]]-(Audit[[#This Row],[Audit Winning Candidate]]-Audit[[#This Row],[Audit Losing Candidate]]))/(Audit[[#Totals],[Winning Candidate]]-Audit[[#Totals],[Losing Candidate]]),
      0
)</f>
        <v>0</v>
      </c>
      <c r="AD10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3" s="111">
        <f>IF(Audit[[#This Row],[Max Relative Error (ep)]] = 0, 0, Audit[[#This Row],[Max Relative Error (ep)]]/Audit[[#This Row],[Error Bound (up) - Max. possible relative overstatement]])</f>
        <v>0</v>
      </c>
      <c r="AJ10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43" s="111">
        <f t="shared" si="16"/>
        <v>1</v>
      </c>
      <c r="AL1043" s="111">
        <f>PRODUCT($AK$5:AK1043)</f>
        <v>8.962823818226312E-2</v>
      </c>
      <c r="AM1043" s="109">
        <f>1 - [K-M P Value]</f>
        <v>0.91037176181773694</v>
      </c>
      <c r="AN1043" s="111" t="str">
        <f>IF(Audit[[#This Row],[K-M P Value]]&gt;1-'General Info'!$B$16,"Continue", "Stop")</f>
        <v>Stop</v>
      </c>
      <c r="AO1043" s="110" t="b">
        <f>IF(Audit[[#This Row],[Status - Continue or stop audit]] = "Continue", TRUE, IF(AN1042 = "Continue", TRUE, FALSE))</f>
        <v>0</v>
      </c>
      <c r="AP1043" s="110"/>
    </row>
    <row r="1044" spans="1:42" ht="15" hidden="1" customHeight="1">
      <c r="A1044" s="111" t="str">
        <f>'Sampling Data'!W1036</f>
        <v/>
      </c>
      <c r="B1044" s="112" t="str">
        <f>'Sampling Data'!A1036</f>
        <v>EAST CLEVELAND -03-B - ABS</v>
      </c>
      <c r="C1044" s="112">
        <f>'Sampling Data'!B1036</f>
        <v>0</v>
      </c>
      <c r="D1044" s="112">
        <f>'Sampling Data'!C1036</f>
        <v>0</v>
      </c>
      <c r="E1044" s="113">
        <f>'Sampling Data'!D1036</f>
        <v>0</v>
      </c>
      <c r="F1044" s="113">
        <f>'Sampling Data'!E1036</f>
        <v>0</v>
      </c>
      <c r="G1044" s="113">
        <f>'Sampling Data'!F1036</f>
        <v>0</v>
      </c>
      <c r="H1044" s="113">
        <f>'Sampling Data'!G1036</f>
        <v>0</v>
      </c>
      <c r="I1044" s="112">
        <f>'Sampling Data'!H1036</f>
        <v>0</v>
      </c>
      <c r="J1044" s="112">
        <f>'Sampling Data'!I1036</f>
        <v>0</v>
      </c>
      <c r="K1044" s="112">
        <f>'Sampling Data'!J1036</f>
        <v>0</v>
      </c>
      <c r="L1044" s="111">
        <f>'Sampling Data'!X1036</f>
        <v>0</v>
      </c>
      <c r="M1044" s="114"/>
      <c r="N1044" s="114"/>
      <c r="O1044" s="115"/>
      <c r="P1044" s="115"/>
      <c r="Q1044" s="116"/>
      <c r="R1044" s="116"/>
      <c r="S1044" s="111">
        <f>Audit[[#This Row],[Audit Losing Candidate]]-Audit[[#This Row],[Losing Candidate]]</f>
        <v>0</v>
      </c>
      <c r="T1044" s="111">
        <f>Audit[[#This Row],[Audit Winning Candidate]]-Audit[[#This Row],[Winning Candidate]]</f>
        <v>0</v>
      </c>
      <c r="U1044" s="111">
        <f>Audit[[#This Row],[Audit Candidate 3]]-Audit[[#This Row],[Candidate 3]]</f>
        <v>0</v>
      </c>
      <c r="V1044" s="111">
        <f>Audit[[#This Row],[Audit Candidate 4]]-Audit[[#This Row],[Candidate 4]]</f>
        <v>0</v>
      </c>
      <c r="W1044" s="111">
        <f>Audit[[#This Row],[Audit Candidate 5]]-Audit[[#This Row],[Candidate 5]]</f>
        <v>0</v>
      </c>
      <c r="X1044" s="111">
        <f>Audit[[#This Row],[Audit Candidate 6]]-Audit[[#This Row],[Candidate 6]]</f>
        <v>0</v>
      </c>
      <c r="Y1044" s="111">
        <f>SUMIF(Audit[[#This Row],[Difference Loser]:[Difference Candidate 6]], "&gt;0")</f>
        <v>0</v>
      </c>
      <c r="Z1044" s="111">
        <f>SUM(Audit[[#This Row],[Difference Loser]:[Difference Candidate 6]])</f>
        <v>0</v>
      </c>
      <c r="AA1044" s="111">
        <f>IF(Audit[[#This Row],[Times p Drawn - With Replacement]]&gt;0, IF(Audit[[#This Row],[Canceled Differences]]&lt;0, Audit[[#This Row],[Max Differences]]+ABS(Audit[[#This Row],[Canceled Differences]]), Audit[[#This Row],[Max Differences]]), 0)</f>
        <v>0</v>
      </c>
      <c r="AB1044" s="111">
        <f>'Sampling Data'!P1036</f>
        <v>0</v>
      </c>
      <c r="AC1044" s="111">
        <f>IF(
      SUM(Audit[[#This Row],[Audit Losing Candidate]:[Audit Candidate 6]])
      &lt;&gt;0,
      (Audit[[#This Row],[Winning Candidate]]-Audit[[#This Row],[Losing Candidate]]-(Audit[[#This Row],[Audit Winning Candidate]]-Audit[[#This Row],[Audit Losing Candidate]]))/(Audit[[#Totals],[Winning Candidate]]-Audit[[#Totals],[Losing Candidate]]),
      0
)</f>
        <v>0</v>
      </c>
      <c r="AD10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4" s="111">
        <f>IF(Audit[[#This Row],[Max Relative Error (ep)]] = 0, 0, Audit[[#This Row],[Max Relative Error (ep)]]/Audit[[#This Row],[Error Bound (up) - Max. possible relative overstatement]])</f>
        <v>0</v>
      </c>
      <c r="AJ10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44" s="111">
        <f t="shared" si="16"/>
        <v>1</v>
      </c>
      <c r="AL1044" s="111">
        <f>PRODUCT($AK$5:AK1044)</f>
        <v>8.962823818226312E-2</v>
      </c>
      <c r="AM1044" s="109">
        <f>1 - [K-M P Value]</f>
        <v>0.91037176181773694</v>
      </c>
      <c r="AN1044" s="111" t="str">
        <f>IF(Audit[[#This Row],[K-M P Value]]&gt;1-'General Info'!$B$16,"Continue", "Stop")</f>
        <v>Stop</v>
      </c>
      <c r="AO1044" s="110" t="b">
        <f>IF(Audit[[#This Row],[Status - Continue or stop audit]] = "Continue", TRUE, IF(AN1043 = "Continue", TRUE, FALSE))</f>
        <v>0</v>
      </c>
      <c r="AP1044" s="110"/>
    </row>
    <row r="1045" spans="1:42" ht="15" hidden="1" customHeight="1">
      <c r="A1045" s="111" t="str">
        <f>'Sampling Data'!W1037</f>
        <v/>
      </c>
      <c r="B1045" s="112" t="str">
        <f>'Sampling Data'!A1037</f>
        <v>EAST CLEVELAND -03-C</v>
      </c>
      <c r="C1045" s="112">
        <f>'Sampling Data'!B1037</f>
        <v>0</v>
      </c>
      <c r="D1045" s="112">
        <f>'Sampling Data'!C1037</f>
        <v>1</v>
      </c>
      <c r="E1045" s="113">
        <f>'Sampling Data'!D1037</f>
        <v>3</v>
      </c>
      <c r="F1045" s="113">
        <f>'Sampling Data'!E1037</f>
        <v>1</v>
      </c>
      <c r="G1045" s="113">
        <f>'Sampling Data'!F1037</f>
        <v>0</v>
      </c>
      <c r="H1045" s="113">
        <f>'Sampling Data'!G1037</f>
        <v>0</v>
      </c>
      <c r="I1045" s="112">
        <f>'Sampling Data'!H1037</f>
        <v>0</v>
      </c>
      <c r="J1045" s="112">
        <f>'Sampling Data'!I1037</f>
        <v>0</v>
      </c>
      <c r="K1045" s="112">
        <f>'Sampling Data'!J1037</f>
        <v>5</v>
      </c>
      <c r="L1045" s="111">
        <f>'Sampling Data'!X1037</f>
        <v>0</v>
      </c>
      <c r="M1045" s="114"/>
      <c r="N1045" s="114"/>
      <c r="O1045" s="115"/>
      <c r="P1045" s="115"/>
      <c r="Q1045" s="116"/>
      <c r="R1045" s="116"/>
      <c r="S1045" s="111">
        <f>Audit[[#This Row],[Audit Losing Candidate]]-Audit[[#This Row],[Losing Candidate]]</f>
        <v>0</v>
      </c>
      <c r="T1045" s="111">
        <f>Audit[[#This Row],[Audit Winning Candidate]]-Audit[[#This Row],[Winning Candidate]]</f>
        <v>-1</v>
      </c>
      <c r="U1045" s="111">
        <f>Audit[[#This Row],[Audit Candidate 3]]-Audit[[#This Row],[Candidate 3]]</f>
        <v>-3</v>
      </c>
      <c r="V1045" s="111">
        <f>Audit[[#This Row],[Audit Candidate 4]]-Audit[[#This Row],[Candidate 4]]</f>
        <v>-1</v>
      </c>
      <c r="W1045" s="111">
        <f>Audit[[#This Row],[Audit Candidate 5]]-Audit[[#This Row],[Candidate 5]]</f>
        <v>0</v>
      </c>
      <c r="X1045" s="111">
        <f>Audit[[#This Row],[Audit Candidate 6]]-Audit[[#This Row],[Candidate 6]]</f>
        <v>0</v>
      </c>
      <c r="Y1045" s="111">
        <f>SUMIF(Audit[[#This Row],[Difference Loser]:[Difference Candidate 6]], "&gt;0")</f>
        <v>0</v>
      </c>
      <c r="Z1045" s="111">
        <f>SUM(Audit[[#This Row],[Difference Loser]:[Difference Candidate 6]])</f>
        <v>-5</v>
      </c>
      <c r="AA1045" s="111">
        <f>IF(Audit[[#This Row],[Times p Drawn - With Replacement]]&gt;0, IF(Audit[[#This Row],[Canceled Differences]]&lt;0, Audit[[#This Row],[Max Differences]]+ABS(Audit[[#This Row],[Canceled Differences]]), Audit[[#This Row],[Max Differences]]), 0)</f>
        <v>0</v>
      </c>
      <c r="AB1045" s="111">
        <f>'Sampling Data'!P1037</f>
        <v>3.6746692797648211E-4</v>
      </c>
      <c r="AC1045" s="111">
        <f>IF(
      SUM(Audit[[#This Row],[Audit Losing Candidate]:[Audit Candidate 6]])
      &lt;&gt;0,
      (Audit[[#This Row],[Winning Candidate]]-Audit[[#This Row],[Losing Candidate]]-(Audit[[#This Row],[Audit Winning Candidate]]-Audit[[#This Row],[Audit Losing Candidate]]))/(Audit[[#Totals],[Winning Candidate]]-Audit[[#Totals],[Losing Candidate]]),
      0
)</f>
        <v>0</v>
      </c>
      <c r="AD10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5" s="111">
        <f>IF(Audit[[#This Row],[Max Relative Error (ep)]] = 0, 0, Audit[[#This Row],[Max Relative Error (ep)]]/Audit[[#This Row],[Error Bound (up) - Max. possible relative overstatement]])</f>
        <v>0</v>
      </c>
      <c r="AJ10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45" s="111">
        <f t="shared" si="16"/>
        <v>1</v>
      </c>
      <c r="AL1045" s="111">
        <f>PRODUCT($AK$5:AK1045)</f>
        <v>8.962823818226312E-2</v>
      </c>
      <c r="AM1045" s="109">
        <f>1 - [K-M P Value]</f>
        <v>0.91037176181773694</v>
      </c>
      <c r="AN1045" s="111" t="str">
        <f>IF(Audit[[#This Row],[K-M P Value]]&gt;1-'General Info'!$B$16,"Continue", "Stop")</f>
        <v>Stop</v>
      </c>
      <c r="AO1045" s="110" t="b">
        <f>IF(Audit[[#This Row],[Status - Continue or stop audit]] = "Continue", TRUE, IF(AN1044 = "Continue", TRUE, FALSE))</f>
        <v>0</v>
      </c>
      <c r="AP1045" s="110"/>
    </row>
    <row r="1046" spans="1:42" ht="15" hidden="1" customHeight="1">
      <c r="A1046" s="111" t="str">
        <f>'Sampling Data'!W1038</f>
        <v/>
      </c>
      <c r="B1046" s="112" t="str">
        <f>'Sampling Data'!A1038</f>
        <v>EAST CLEVELAND -03-C - ABS</v>
      </c>
      <c r="C1046" s="112">
        <f>'Sampling Data'!B1038</f>
        <v>1</v>
      </c>
      <c r="D1046" s="112">
        <f>'Sampling Data'!C1038</f>
        <v>3</v>
      </c>
      <c r="E1046" s="113">
        <f>'Sampling Data'!D1038</f>
        <v>0</v>
      </c>
      <c r="F1046" s="113">
        <f>'Sampling Data'!E1038</f>
        <v>0</v>
      </c>
      <c r="G1046" s="113">
        <f>'Sampling Data'!F1038</f>
        <v>0</v>
      </c>
      <c r="H1046" s="113">
        <f>'Sampling Data'!G1038</f>
        <v>0</v>
      </c>
      <c r="I1046" s="112">
        <f>'Sampling Data'!H1038</f>
        <v>0</v>
      </c>
      <c r="J1046" s="112">
        <f>'Sampling Data'!I1038</f>
        <v>0</v>
      </c>
      <c r="K1046" s="112">
        <f>'Sampling Data'!J1038</f>
        <v>4</v>
      </c>
      <c r="L1046" s="111">
        <f>'Sampling Data'!X1038</f>
        <v>0</v>
      </c>
      <c r="M1046" s="114"/>
      <c r="N1046" s="114"/>
      <c r="O1046" s="115"/>
      <c r="P1046" s="115"/>
      <c r="Q1046" s="116"/>
      <c r="R1046" s="116"/>
      <c r="S1046" s="111">
        <f>Audit[[#This Row],[Audit Losing Candidate]]-Audit[[#This Row],[Losing Candidate]]</f>
        <v>-1</v>
      </c>
      <c r="T1046" s="111">
        <f>Audit[[#This Row],[Audit Winning Candidate]]-Audit[[#This Row],[Winning Candidate]]</f>
        <v>-3</v>
      </c>
      <c r="U1046" s="111">
        <f>Audit[[#This Row],[Audit Candidate 3]]-Audit[[#This Row],[Candidate 3]]</f>
        <v>0</v>
      </c>
      <c r="V1046" s="111">
        <f>Audit[[#This Row],[Audit Candidate 4]]-Audit[[#This Row],[Candidate 4]]</f>
        <v>0</v>
      </c>
      <c r="W1046" s="111">
        <f>Audit[[#This Row],[Audit Candidate 5]]-Audit[[#This Row],[Candidate 5]]</f>
        <v>0</v>
      </c>
      <c r="X1046" s="111">
        <f>Audit[[#This Row],[Audit Candidate 6]]-Audit[[#This Row],[Candidate 6]]</f>
        <v>0</v>
      </c>
      <c r="Y1046" s="111">
        <f>SUMIF(Audit[[#This Row],[Difference Loser]:[Difference Candidate 6]], "&gt;0")</f>
        <v>0</v>
      </c>
      <c r="Z1046" s="111">
        <f>SUM(Audit[[#This Row],[Difference Loser]:[Difference Candidate 6]])</f>
        <v>-4</v>
      </c>
      <c r="AA1046" s="111">
        <f>IF(Audit[[#This Row],[Times p Drawn - With Replacement]]&gt;0, IF(Audit[[#This Row],[Canceled Differences]]&lt;0, Audit[[#This Row],[Max Differences]]+ABS(Audit[[#This Row],[Canceled Differences]]), Audit[[#This Row],[Max Differences]]), 0)</f>
        <v>0</v>
      </c>
      <c r="AB1046" s="111">
        <f>'Sampling Data'!P1038</f>
        <v>3.6746692797648211E-4</v>
      </c>
      <c r="AC1046" s="111">
        <f>IF(
      SUM(Audit[[#This Row],[Audit Losing Candidate]:[Audit Candidate 6]])
      &lt;&gt;0,
      (Audit[[#This Row],[Winning Candidate]]-Audit[[#This Row],[Losing Candidate]]-(Audit[[#This Row],[Audit Winning Candidate]]-Audit[[#This Row],[Audit Losing Candidate]]))/(Audit[[#Totals],[Winning Candidate]]-Audit[[#Totals],[Losing Candidate]]),
      0
)</f>
        <v>0</v>
      </c>
      <c r="AD10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6" s="111">
        <f>IF(Audit[[#This Row],[Max Relative Error (ep)]] = 0, 0, Audit[[#This Row],[Max Relative Error (ep)]]/Audit[[#This Row],[Error Bound (up) - Max. possible relative overstatement]])</f>
        <v>0</v>
      </c>
      <c r="AJ10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46" s="111">
        <f t="shared" si="16"/>
        <v>1</v>
      </c>
      <c r="AL1046" s="111">
        <f>PRODUCT($AK$5:AK1046)</f>
        <v>8.962823818226312E-2</v>
      </c>
      <c r="AM1046" s="109">
        <f>1 - [K-M P Value]</f>
        <v>0.91037176181773694</v>
      </c>
      <c r="AN1046" s="111" t="str">
        <f>IF(Audit[[#This Row],[K-M P Value]]&gt;1-'General Info'!$B$16,"Continue", "Stop")</f>
        <v>Stop</v>
      </c>
      <c r="AO1046" s="110" t="b">
        <f>IF(Audit[[#This Row],[Status - Continue or stop audit]] = "Continue", TRUE, IF(AN1045 = "Continue", TRUE, FALSE))</f>
        <v>0</v>
      </c>
      <c r="AP1046" s="110"/>
    </row>
    <row r="1047" spans="1:42" ht="15" hidden="1" customHeight="1">
      <c r="A1047" s="111" t="str">
        <f>'Sampling Data'!W1039</f>
        <v/>
      </c>
      <c r="B1047" s="112" t="str">
        <f>'Sampling Data'!A1039</f>
        <v>EAST CLEVELAND -03-D</v>
      </c>
      <c r="C1047" s="112">
        <f>'Sampling Data'!B1039</f>
        <v>1</v>
      </c>
      <c r="D1047" s="112">
        <f>'Sampling Data'!C1039</f>
        <v>0</v>
      </c>
      <c r="E1047" s="113">
        <f>'Sampling Data'!D1039</f>
        <v>0</v>
      </c>
      <c r="F1047" s="113">
        <f>'Sampling Data'!E1039</f>
        <v>0</v>
      </c>
      <c r="G1047" s="113">
        <f>'Sampling Data'!F1039</f>
        <v>0</v>
      </c>
      <c r="H1047" s="113">
        <f>'Sampling Data'!G1039</f>
        <v>0</v>
      </c>
      <c r="I1047" s="112">
        <f>'Sampling Data'!H1039</f>
        <v>0</v>
      </c>
      <c r="J1047" s="112">
        <f>'Sampling Data'!I1039</f>
        <v>0</v>
      </c>
      <c r="K1047" s="112">
        <f>'Sampling Data'!J1039</f>
        <v>1</v>
      </c>
      <c r="L1047" s="111">
        <f>'Sampling Data'!X1039</f>
        <v>0</v>
      </c>
      <c r="M1047" s="114"/>
      <c r="N1047" s="114"/>
      <c r="O1047" s="115"/>
      <c r="P1047" s="115"/>
      <c r="Q1047" s="116"/>
      <c r="R1047" s="116"/>
      <c r="S1047" s="111">
        <f>Audit[[#This Row],[Audit Losing Candidate]]-Audit[[#This Row],[Losing Candidate]]</f>
        <v>-1</v>
      </c>
      <c r="T1047" s="111">
        <f>Audit[[#This Row],[Audit Winning Candidate]]-Audit[[#This Row],[Winning Candidate]]</f>
        <v>0</v>
      </c>
      <c r="U1047" s="111">
        <f>Audit[[#This Row],[Audit Candidate 3]]-Audit[[#This Row],[Candidate 3]]</f>
        <v>0</v>
      </c>
      <c r="V1047" s="111">
        <f>Audit[[#This Row],[Audit Candidate 4]]-Audit[[#This Row],[Candidate 4]]</f>
        <v>0</v>
      </c>
      <c r="W1047" s="111">
        <f>Audit[[#This Row],[Audit Candidate 5]]-Audit[[#This Row],[Candidate 5]]</f>
        <v>0</v>
      </c>
      <c r="X1047" s="111">
        <f>Audit[[#This Row],[Audit Candidate 6]]-Audit[[#This Row],[Candidate 6]]</f>
        <v>0</v>
      </c>
      <c r="Y1047" s="111">
        <f>SUMIF(Audit[[#This Row],[Difference Loser]:[Difference Candidate 6]], "&gt;0")</f>
        <v>0</v>
      </c>
      <c r="Z1047" s="111">
        <f>SUM(Audit[[#This Row],[Difference Loser]:[Difference Candidate 6]])</f>
        <v>-1</v>
      </c>
      <c r="AA1047" s="111">
        <f>IF(Audit[[#This Row],[Times p Drawn - With Replacement]]&gt;0, IF(Audit[[#This Row],[Canceled Differences]]&lt;0, Audit[[#This Row],[Max Differences]]+ABS(Audit[[#This Row],[Canceled Differences]]), Audit[[#This Row],[Max Differences]]), 0)</f>
        <v>0</v>
      </c>
      <c r="AB1047" s="111">
        <f>'Sampling Data'!P1039</f>
        <v>3.2261186566441917E-5</v>
      </c>
      <c r="AC1047" s="111">
        <f>IF(
      SUM(Audit[[#This Row],[Audit Losing Candidate]:[Audit Candidate 6]])
      &lt;&gt;0,
      (Audit[[#This Row],[Winning Candidate]]-Audit[[#This Row],[Losing Candidate]]-(Audit[[#This Row],[Audit Winning Candidate]]-Audit[[#This Row],[Audit Losing Candidate]]))/(Audit[[#Totals],[Winning Candidate]]-Audit[[#Totals],[Losing Candidate]]),
      0
)</f>
        <v>0</v>
      </c>
      <c r="AD10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7" s="111">
        <f>IF(Audit[[#This Row],[Max Relative Error (ep)]] = 0, 0, Audit[[#This Row],[Max Relative Error (ep)]]/Audit[[#This Row],[Error Bound (up) - Max. possible relative overstatement]])</f>
        <v>0</v>
      </c>
      <c r="AJ10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47" s="111">
        <f t="shared" si="16"/>
        <v>1</v>
      </c>
      <c r="AL1047" s="111">
        <f>PRODUCT($AK$5:AK1047)</f>
        <v>8.962823818226312E-2</v>
      </c>
      <c r="AM1047" s="109">
        <f>1 - [K-M P Value]</f>
        <v>0.91037176181773694</v>
      </c>
      <c r="AN1047" s="111" t="str">
        <f>IF(Audit[[#This Row],[K-M P Value]]&gt;1-'General Info'!$B$16,"Continue", "Stop")</f>
        <v>Stop</v>
      </c>
      <c r="AO1047" s="110" t="b">
        <f>IF(Audit[[#This Row],[Status - Continue or stop audit]] = "Continue", TRUE, IF(AN1046 = "Continue", TRUE, FALSE))</f>
        <v>0</v>
      </c>
      <c r="AP1047" s="110"/>
    </row>
    <row r="1048" spans="1:42" ht="15" hidden="1" customHeight="1">
      <c r="A1048" s="111" t="str">
        <f>'Sampling Data'!W1040</f>
        <v/>
      </c>
      <c r="B1048" s="112" t="str">
        <f>'Sampling Data'!A1040</f>
        <v>EAST CLEVELAND -03-D - ABS</v>
      </c>
      <c r="C1048" s="112">
        <f>'Sampling Data'!B1040</f>
        <v>0</v>
      </c>
      <c r="D1048" s="112">
        <f>'Sampling Data'!C1040</f>
        <v>0</v>
      </c>
      <c r="E1048" s="113">
        <f>'Sampling Data'!D1040</f>
        <v>0</v>
      </c>
      <c r="F1048" s="113">
        <f>'Sampling Data'!E1040</f>
        <v>0</v>
      </c>
      <c r="G1048" s="113">
        <f>'Sampling Data'!F1040</f>
        <v>0</v>
      </c>
      <c r="H1048" s="113">
        <f>'Sampling Data'!G1040</f>
        <v>0</v>
      </c>
      <c r="I1048" s="112">
        <f>'Sampling Data'!H1040</f>
        <v>0</v>
      </c>
      <c r="J1048" s="112">
        <f>'Sampling Data'!I1040</f>
        <v>0</v>
      </c>
      <c r="K1048" s="112">
        <f>'Sampling Data'!J1040</f>
        <v>0</v>
      </c>
      <c r="L1048" s="111">
        <f>'Sampling Data'!X1040</f>
        <v>0</v>
      </c>
      <c r="M1048" s="114"/>
      <c r="N1048" s="114"/>
      <c r="O1048" s="115"/>
      <c r="P1048" s="115"/>
      <c r="Q1048" s="116"/>
      <c r="R1048" s="116"/>
      <c r="S1048" s="111">
        <f>Audit[[#This Row],[Audit Losing Candidate]]-Audit[[#This Row],[Losing Candidate]]</f>
        <v>0</v>
      </c>
      <c r="T1048" s="111">
        <f>Audit[[#This Row],[Audit Winning Candidate]]-Audit[[#This Row],[Winning Candidate]]</f>
        <v>0</v>
      </c>
      <c r="U1048" s="111">
        <f>Audit[[#This Row],[Audit Candidate 3]]-Audit[[#This Row],[Candidate 3]]</f>
        <v>0</v>
      </c>
      <c r="V1048" s="111">
        <f>Audit[[#This Row],[Audit Candidate 4]]-Audit[[#This Row],[Candidate 4]]</f>
        <v>0</v>
      </c>
      <c r="W1048" s="111">
        <f>Audit[[#This Row],[Audit Candidate 5]]-Audit[[#This Row],[Candidate 5]]</f>
        <v>0</v>
      </c>
      <c r="X1048" s="111">
        <f>Audit[[#This Row],[Audit Candidate 6]]-Audit[[#This Row],[Candidate 6]]</f>
        <v>0</v>
      </c>
      <c r="Y1048" s="111">
        <f>SUMIF(Audit[[#This Row],[Difference Loser]:[Difference Candidate 6]], "&gt;0")</f>
        <v>0</v>
      </c>
      <c r="Z1048" s="111">
        <f>SUM(Audit[[#This Row],[Difference Loser]:[Difference Candidate 6]])</f>
        <v>0</v>
      </c>
      <c r="AA1048" s="111">
        <f>IF(Audit[[#This Row],[Times p Drawn - With Replacement]]&gt;0, IF(Audit[[#This Row],[Canceled Differences]]&lt;0, Audit[[#This Row],[Max Differences]]+ABS(Audit[[#This Row],[Canceled Differences]]), Audit[[#This Row],[Max Differences]]), 0)</f>
        <v>0</v>
      </c>
      <c r="AB1048" s="111">
        <f>'Sampling Data'!P1040</f>
        <v>0</v>
      </c>
      <c r="AC1048" s="111">
        <f>IF(
      SUM(Audit[[#This Row],[Audit Losing Candidate]:[Audit Candidate 6]])
      &lt;&gt;0,
      (Audit[[#This Row],[Winning Candidate]]-Audit[[#This Row],[Losing Candidate]]-(Audit[[#This Row],[Audit Winning Candidate]]-Audit[[#This Row],[Audit Losing Candidate]]))/(Audit[[#Totals],[Winning Candidate]]-Audit[[#Totals],[Losing Candidate]]),
      0
)</f>
        <v>0</v>
      </c>
      <c r="AD10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8" s="111">
        <f>IF(Audit[[#This Row],[Max Relative Error (ep)]] = 0, 0, Audit[[#This Row],[Max Relative Error (ep)]]/Audit[[#This Row],[Error Bound (up) - Max. possible relative overstatement]])</f>
        <v>0</v>
      </c>
      <c r="AJ10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48" s="111">
        <f t="shared" si="16"/>
        <v>1</v>
      </c>
      <c r="AL1048" s="111">
        <f>PRODUCT($AK$5:AK1048)</f>
        <v>8.962823818226312E-2</v>
      </c>
      <c r="AM1048" s="109">
        <f>1 - [K-M P Value]</f>
        <v>0.91037176181773694</v>
      </c>
      <c r="AN1048" s="111" t="str">
        <f>IF(Audit[[#This Row],[K-M P Value]]&gt;1-'General Info'!$B$16,"Continue", "Stop")</f>
        <v>Stop</v>
      </c>
      <c r="AO1048" s="110" t="b">
        <f>IF(Audit[[#This Row],[Status - Continue or stop audit]] = "Continue", TRUE, IF(AN1047 = "Continue", TRUE, FALSE))</f>
        <v>0</v>
      </c>
      <c r="AP1048" s="110"/>
    </row>
    <row r="1049" spans="1:42" ht="15" hidden="1" customHeight="1">
      <c r="A1049" s="111" t="str">
        <f>'Sampling Data'!W1041</f>
        <v/>
      </c>
      <c r="B1049" s="112" t="str">
        <f>'Sampling Data'!A1041</f>
        <v>EAST CLEVELAND -03-E</v>
      </c>
      <c r="C1049" s="112">
        <f>'Sampling Data'!B1041</f>
        <v>0</v>
      </c>
      <c r="D1049" s="112">
        <f>'Sampling Data'!C1041</f>
        <v>0</v>
      </c>
      <c r="E1049" s="113">
        <f>'Sampling Data'!D1041</f>
        <v>0</v>
      </c>
      <c r="F1049" s="113">
        <f>'Sampling Data'!E1041</f>
        <v>0</v>
      </c>
      <c r="G1049" s="113">
        <f>'Sampling Data'!F1041</f>
        <v>0</v>
      </c>
      <c r="H1049" s="113">
        <f>'Sampling Data'!G1041</f>
        <v>0</v>
      </c>
      <c r="I1049" s="112">
        <f>'Sampling Data'!H1041</f>
        <v>1</v>
      </c>
      <c r="J1049" s="112">
        <f>'Sampling Data'!I1041</f>
        <v>0</v>
      </c>
      <c r="K1049" s="112">
        <f>'Sampling Data'!J1041</f>
        <v>1</v>
      </c>
      <c r="L1049" s="111">
        <f>'Sampling Data'!X1041</f>
        <v>0</v>
      </c>
      <c r="M1049" s="114"/>
      <c r="N1049" s="114"/>
      <c r="O1049" s="115"/>
      <c r="P1049" s="115"/>
      <c r="Q1049" s="116"/>
      <c r="R1049" s="116"/>
      <c r="S1049" s="111">
        <f>Audit[[#This Row],[Audit Losing Candidate]]-Audit[[#This Row],[Losing Candidate]]</f>
        <v>0</v>
      </c>
      <c r="T1049" s="111">
        <f>Audit[[#This Row],[Audit Winning Candidate]]-Audit[[#This Row],[Winning Candidate]]</f>
        <v>0</v>
      </c>
      <c r="U1049" s="111">
        <f>Audit[[#This Row],[Audit Candidate 3]]-Audit[[#This Row],[Candidate 3]]</f>
        <v>0</v>
      </c>
      <c r="V1049" s="111">
        <f>Audit[[#This Row],[Audit Candidate 4]]-Audit[[#This Row],[Candidate 4]]</f>
        <v>0</v>
      </c>
      <c r="W1049" s="111">
        <f>Audit[[#This Row],[Audit Candidate 5]]-Audit[[#This Row],[Candidate 5]]</f>
        <v>0</v>
      </c>
      <c r="X1049" s="111">
        <f>Audit[[#This Row],[Audit Candidate 6]]-Audit[[#This Row],[Candidate 6]]</f>
        <v>0</v>
      </c>
      <c r="Y1049" s="111">
        <f>SUMIF(Audit[[#This Row],[Difference Loser]:[Difference Candidate 6]], "&gt;0")</f>
        <v>0</v>
      </c>
      <c r="Z1049" s="111">
        <f>SUM(Audit[[#This Row],[Difference Loser]:[Difference Candidate 6]])</f>
        <v>0</v>
      </c>
      <c r="AA1049" s="111">
        <f>IF(Audit[[#This Row],[Times p Drawn - With Replacement]]&gt;0, IF(Audit[[#This Row],[Canceled Differences]]&lt;0, Audit[[#This Row],[Max Differences]]+ABS(Audit[[#This Row],[Canceled Differences]]), Audit[[#This Row],[Max Differences]]), 0)</f>
        <v>0</v>
      </c>
      <c r="AB1049" s="111">
        <f>'Sampling Data'!P1041</f>
        <v>6.1244487996080352E-5</v>
      </c>
      <c r="AC1049" s="111">
        <f>IF(
      SUM(Audit[[#This Row],[Audit Losing Candidate]:[Audit Candidate 6]])
      &lt;&gt;0,
      (Audit[[#This Row],[Winning Candidate]]-Audit[[#This Row],[Losing Candidate]]-(Audit[[#This Row],[Audit Winning Candidate]]-Audit[[#This Row],[Audit Losing Candidate]]))/(Audit[[#Totals],[Winning Candidate]]-Audit[[#Totals],[Losing Candidate]]),
      0
)</f>
        <v>0</v>
      </c>
      <c r="AD10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9" s="111">
        <f>IF(Audit[[#This Row],[Max Relative Error (ep)]] = 0, 0, Audit[[#This Row],[Max Relative Error (ep)]]/Audit[[#This Row],[Error Bound (up) - Max. possible relative overstatement]])</f>
        <v>0</v>
      </c>
      <c r="AJ10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49" s="111">
        <f t="shared" si="16"/>
        <v>1</v>
      </c>
      <c r="AL1049" s="111">
        <f>PRODUCT($AK$5:AK1049)</f>
        <v>8.962823818226312E-2</v>
      </c>
      <c r="AM1049" s="109">
        <f>1 - [K-M P Value]</f>
        <v>0.91037176181773694</v>
      </c>
      <c r="AN1049" s="111" t="str">
        <f>IF(Audit[[#This Row],[K-M P Value]]&gt;1-'General Info'!$B$16,"Continue", "Stop")</f>
        <v>Stop</v>
      </c>
      <c r="AO1049" s="110" t="b">
        <f>IF(Audit[[#This Row],[Status - Continue or stop audit]] = "Continue", TRUE, IF(AN1048 = "Continue", TRUE, FALSE))</f>
        <v>0</v>
      </c>
      <c r="AP1049" s="110"/>
    </row>
    <row r="1050" spans="1:42" ht="15" hidden="1" customHeight="1">
      <c r="A1050" s="111" t="str">
        <f>'Sampling Data'!W1042</f>
        <v/>
      </c>
      <c r="B1050" s="112" t="str">
        <f>'Sampling Data'!A1042</f>
        <v>EAST CLEVELAND -03-E - ABS</v>
      </c>
      <c r="C1050" s="112">
        <f>'Sampling Data'!B1042</f>
        <v>0</v>
      </c>
      <c r="D1050" s="112">
        <f>'Sampling Data'!C1042</f>
        <v>0</v>
      </c>
      <c r="E1050" s="113">
        <f>'Sampling Data'!D1042</f>
        <v>0</v>
      </c>
      <c r="F1050" s="113">
        <f>'Sampling Data'!E1042</f>
        <v>0</v>
      </c>
      <c r="G1050" s="113">
        <f>'Sampling Data'!F1042</f>
        <v>0</v>
      </c>
      <c r="H1050" s="113">
        <f>'Sampling Data'!G1042</f>
        <v>0</v>
      </c>
      <c r="I1050" s="112">
        <f>'Sampling Data'!H1042</f>
        <v>0</v>
      </c>
      <c r="J1050" s="112">
        <f>'Sampling Data'!I1042</f>
        <v>0</v>
      </c>
      <c r="K1050" s="112">
        <f>'Sampling Data'!J1042</f>
        <v>0</v>
      </c>
      <c r="L1050" s="111">
        <f>'Sampling Data'!X1042</f>
        <v>0</v>
      </c>
      <c r="M1050" s="114"/>
      <c r="N1050" s="114"/>
      <c r="O1050" s="115"/>
      <c r="P1050" s="115"/>
      <c r="Q1050" s="116"/>
      <c r="R1050" s="116"/>
      <c r="S1050" s="111">
        <f>Audit[[#This Row],[Audit Losing Candidate]]-Audit[[#This Row],[Losing Candidate]]</f>
        <v>0</v>
      </c>
      <c r="T1050" s="111">
        <f>Audit[[#This Row],[Audit Winning Candidate]]-Audit[[#This Row],[Winning Candidate]]</f>
        <v>0</v>
      </c>
      <c r="U1050" s="111">
        <f>Audit[[#This Row],[Audit Candidate 3]]-Audit[[#This Row],[Candidate 3]]</f>
        <v>0</v>
      </c>
      <c r="V1050" s="111">
        <f>Audit[[#This Row],[Audit Candidate 4]]-Audit[[#This Row],[Candidate 4]]</f>
        <v>0</v>
      </c>
      <c r="W1050" s="111">
        <f>Audit[[#This Row],[Audit Candidate 5]]-Audit[[#This Row],[Candidate 5]]</f>
        <v>0</v>
      </c>
      <c r="X1050" s="111">
        <f>Audit[[#This Row],[Audit Candidate 6]]-Audit[[#This Row],[Candidate 6]]</f>
        <v>0</v>
      </c>
      <c r="Y1050" s="111">
        <f>SUMIF(Audit[[#This Row],[Difference Loser]:[Difference Candidate 6]], "&gt;0")</f>
        <v>0</v>
      </c>
      <c r="Z1050" s="111">
        <f>SUM(Audit[[#This Row],[Difference Loser]:[Difference Candidate 6]])</f>
        <v>0</v>
      </c>
      <c r="AA1050" s="111">
        <f>IF(Audit[[#This Row],[Times p Drawn - With Replacement]]&gt;0, IF(Audit[[#This Row],[Canceled Differences]]&lt;0, Audit[[#This Row],[Max Differences]]+ABS(Audit[[#This Row],[Canceled Differences]]), Audit[[#This Row],[Max Differences]]), 0)</f>
        <v>0</v>
      </c>
      <c r="AB1050" s="111">
        <f>'Sampling Data'!P1042</f>
        <v>0</v>
      </c>
      <c r="AC1050" s="111">
        <f>IF(
      SUM(Audit[[#This Row],[Audit Losing Candidate]:[Audit Candidate 6]])
      &lt;&gt;0,
      (Audit[[#This Row],[Winning Candidate]]-Audit[[#This Row],[Losing Candidate]]-(Audit[[#This Row],[Audit Winning Candidate]]-Audit[[#This Row],[Audit Losing Candidate]]))/(Audit[[#Totals],[Winning Candidate]]-Audit[[#Totals],[Losing Candidate]]),
      0
)</f>
        <v>0</v>
      </c>
      <c r="AD10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0" s="111">
        <f>IF(Audit[[#This Row],[Max Relative Error (ep)]] = 0, 0, Audit[[#This Row],[Max Relative Error (ep)]]/Audit[[#This Row],[Error Bound (up) - Max. possible relative overstatement]])</f>
        <v>0</v>
      </c>
      <c r="AJ10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50" s="111">
        <f t="shared" si="16"/>
        <v>1</v>
      </c>
      <c r="AL1050" s="111">
        <f>PRODUCT($AK$5:AK1050)</f>
        <v>8.962823818226312E-2</v>
      </c>
      <c r="AM1050" s="109">
        <f>1 - [K-M P Value]</f>
        <v>0.91037176181773694</v>
      </c>
      <c r="AN1050" s="111" t="str">
        <f>IF(Audit[[#This Row],[K-M P Value]]&gt;1-'General Info'!$B$16,"Continue", "Stop")</f>
        <v>Stop</v>
      </c>
      <c r="AO1050" s="110" t="b">
        <f>IF(Audit[[#This Row],[Status - Continue or stop audit]] = "Continue", TRUE, IF(AN1049 = "Continue", TRUE, FALSE))</f>
        <v>0</v>
      </c>
      <c r="AP1050" s="110"/>
    </row>
    <row r="1051" spans="1:42" ht="15" hidden="1" customHeight="1">
      <c r="A1051" s="111" t="str">
        <f>'Sampling Data'!W1043</f>
        <v/>
      </c>
      <c r="B1051" s="112" t="str">
        <f>'Sampling Data'!A1043</f>
        <v>EAST CLEVELAND -03-F</v>
      </c>
      <c r="C1051" s="112">
        <f>'Sampling Data'!B1043</f>
        <v>0</v>
      </c>
      <c r="D1051" s="112">
        <f>'Sampling Data'!C1043</f>
        <v>0</v>
      </c>
      <c r="E1051" s="113">
        <f>'Sampling Data'!D1043</f>
        <v>0</v>
      </c>
      <c r="F1051" s="113">
        <f>'Sampling Data'!E1043</f>
        <v>0</v>
      </c>
      <c r="G1051" s="113">
        <f>'Sampling Data'!F1043</f>
        <v>0</v>
      </c>
      <c r="H1051" s="113">
        <f>'Sampling Data'!G1043</f>
        <v>0</v>
      </c>
      <c r="I1051" s="112">
        <f>'Sampling Data'!H1043</f>
        <v>0</v>
      </c>
      <c r="J1051" s="112">
        <f>'Sampling Data'!I1043</f>
        <v>0</v>
      </c>
      <c r="K1051" s="112">
        <f>'Sampling Data'!J1043</f>
        <v>0</v>
      </c>
      <c r="L1051" s="111">
        <f>'Sampling Data'!X1043</f>
        <v>0</v>
      </c>
      <c r="M1051" s="114"/>
      <c r="N1051" s="114"/>
      <c r="O1051" s="115"/>
      <c r="P1051" s="115"/>
      <c r="Q1051" s="116"/>
      <c r="R1051" s="116"/>
      <c r="S1051" s="111">
        <f>Audit[[#This Row],[Audit Losing Candidate]]-Audit[[#This Row],[Losing Candidate]]</f>
        <v>0</v>
      </c>
      <c r="T1051" s="111">
        <f>Audit[[#This Row],[Audit Winning Candidate]]-Audit[[#This Row],[Winning Candidate]]</f>
        <v>0</v>
      </c>
      <c r="U1051" s="111">
        <f>Audit[[#This Row],[Audit Candidate 3]]-Audit[[#This Row],[Candidate 3]]</f>
        <v>0</v>
      </c>
      <c r="V1051" s="111">
        <f>Audit[[#This Row],[Audit Candidate 4]]-Audit[[#This Row],[Candidate 4]]</f>
        <v>0</v>
      </c>
      <c r="W1051" s="111">
        <f>Audit[[#This Row],[Audit Candidate 5]]-Audit[[#This Row],[Candidate 5]]</f>
        <v>0</v>
      </c>
      <c r="X1051" s="111">
        <f>Audit[[#This Row],[Audit Candidate 6]]-Audit[[#This Row],[Candidate 6]]</f>
        <v>0</v>
      </c>
      <c r="Y1051" s="111">
        <f>SUMIF(Audit[[#This Row],[Difference Loser]:[Difference Candidate 6]], "&gt;0")</f>
        <v>0</v>
      </c>
      <c r="Z1051" s="111">
        <f>SUM(Audit[[#This Row],[Difference Loser]:[Difference Candidate 6]])</f>
        <v>0</v>
      </c>
      <c r="AA1051" s="111">
        <f>IF(Audit[[#This Row],[Times p Drawn - With Replacement]]&gt;0, IF(Audit[[#This Row],[Canceled Differences]]&lt;0, Audit[[#This Row],[Max Differences]]+ABS(Audit[[#This Row],[Canceled Differences]]), Audit[[#This Row],[Max Differences]]), 0)</f>
        <v>0</v>
      </c>
      <c r="AB1051" s="111">
        <f>'Sampling Data'!P1043</f>
        <v>0</v>
      </c>
      <c r="AC1051" s="111">
        <f>IF(
      SUM(Audit[[#This Row],[Audit Losing Candidate]:[Audit Candidate 6]])
      &lt;&gt;0,
      (Audit[[#This Row],[Winning Candidate]]-Audit[[#This Row],[Losing Candidate]]-(Audit[[#This Row],[Audit Winning Candidate]]-Audit[[#This Row],[Audit Losing Candidate]]))/(Audit[[#Totals],[Winning Candidate]]-Audit[[#Totals],[Losing Candidate]]),
      0
)</f>
        <v>0</v>
      </c>
      <c r="AD10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1" s="111">
        <f>IF(Audit[[#This Row],[Max Relative Error (ep)]] = 0, 0, Audit[[#This Row],[Max Relative Error (ep)]]/Audit[[#This Row],[Error Bound (up) - Max. possible relative overstatement]])</f>
        <v>0</v>
      </c>
      <c r="AJ10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51" s="111">
        <f t="shared" si="16"/>
        <v>1</v>
      </c>
      <c r="AL1051" s="111">
        <f>PRODUCT($AK$5:AK1051)</f>
        <v>8.962823818226312E-2</v>
      </c>
      <c r="AM1051" s="109">
        <f>1 - [K-M P Value]</f>
        <v>0.91037176181773694</v>
      </c>
      <c r="AN1051" s="111" t="str">
        <f>IF(Audit[[#This Row],[K-M P Value]]&gt;1-'General Info'!$B$16,"Continue", "Stop")</f>
        <v>Stop</v>
      </c>
      <c r="AO1051" s="110" t="b">
        <f>IF(Audit[[#This Row],[Status - Continue or stop audit]] = "Continue", TRUE, IF(AN1050 = "Continue", TRUE, FALSE))</f>
        <v>0</v>
      </c>
      <c r="AP1051" s="110"/>
    </row>
    <row r="1052" spans="1:42" ht="15" hidden="1" customHeight="1">
      <c r="A1052" s="111" t="str">
        <f>'Sampling Data'!W1044</f>
        <v/>
      </c>
      <c r="B1052" s="112" t="str">
        <f>'Sampling Data'!A1044</f>
        <v>EAST CLEVELAND -03-F - ABS</v>
      </c>
      <c r="C1052" s="112">
        <f>'Sampling Data'!B1044</f>
        <v>0</v>
      </c>
      <c r="D1052" s="112">
        <f>'Sampling Data'!C1044</f>
        <v>0</v>
      </c>
      <c r="E1052" s="113">
        <f>'Sampling Data'!D1044</f>
        <v>0</v>
      </c>
      <c r="F1052" s="113">
        <f>'Sampling Data'!E1044</f>
        <v>0</v>
      </c>
      <c r="G1052" s="113">
        <f>'Sampling Data'!F1044</f>
        <v>0</v>
      </c>
      <c r="H1052" s="113">
        <f>'Sampling Data'!G1044</f>
        <v>0</v>
      </c>
      <c r="I1052" s="112">
        <f>'Sampling Data'!H1044</f>
        <v>0</v>
      </c>
      <c r="J1052" s="112">
        <f>'Sampling Data'!I1044</f>
        <v>1</v>
      </c>
      <c r="K1052" s="112">
        <f>'Sampling Data'!J1044</f>
        <v>1</v>
      </c>
      <c r="L1052" s="111">
        <f>'Sampling Data'!X1044</f>
        <v>0</v>
      </c>
      <c r="M1052" s="114"/>
      <c r="N1052" s="114"/>
      <c r="O1052" s="115"/>
      <c r="P1052" s="115"/>
      <c r="Q1052" s="116"/>
      <c r="R1052" s="116"/>
      <c r="S1052" s="111">
        <f>Audit[[#This Row],[Audit Losing Candidate]]-Audit[[#This Row],[Losing Candidate]]</f>
        <v>0</v>
      </c>
      <c r="T1052" s="111">
        <f>Audit[[#This Row],[Audit Winning Candidate]]-Audit[[#This Row],[Winning Candidate]]</f>
        <v>0</v>
      </c>
      <c r="U1052" s="111">
        <f>Audit[[#This Row],[Audit Candidate 3]]-Audit[[#This Row],[Candidate 3]]</f>
        <v>0</v>
      </c>
      <c r="V1052" s="111">
        <f>Audit[[#This Row],[Audit Candidate 4]]-Audit[[#This Row],[Candidate 4]]</f>
        <v>0</v>
      </c>
      <c r="W1052" s="111">
        <f>Audit[[#This Row],[Audit Candidate 5]]-Audit[[#This Row],[Candidate 5]]</f>
        <v>0</v>
      </c>
      <c r="X1052" s="111">
        <f>Audit[[#This Row],[Audit Candidate 6]]-Audit[[#This Row],[Candidate 6]]</f>
        <v>0</v>
      </c>
      <c r="Y1052" s="111">
        <f>SUMIF(Audit[[#This Row],[Difference Loser]:[Difference Candidate 6]], "&gt;0")</f>
        <v>0</v>
      </c>
      <c r="Z1052" s="111">
        <f>SUM(Audit[[#This Row],[Difference Loser]:[Difference Candidate 6]])</f>
        <v>0</v>
      </c>
      <c r="AA1052" s="111">
        <f>IF(Audit[[#This Row],[Times p Drawn - With Replacement]]&gt;0, IF(Audit[[#This Row],[Canceled Differences]]&lt;0, Audit[[#This Row],[Max Differences]]+ABS(Audit[[#This Row],[Canceled Differences]]), Audit[[#This Row],[Max Differences]]), 0)</f>
        <v>0</v>
      </c>
      <c r="AB1052" s="111">
        <f>'Sampling Data'!P1044</f>
        <v>6.1244487996080352E-5</v>
      </c>
      <c r="AC1052" s="111">
        <f>IF(
      SUM(Audit[[#This Row],[Audit Losing Candidate]:[Audit Candidate 6]])
      &lt;&gt;0,
      (Audit[[#This Row],[Winning Candidate]]-Audit[[#This Row],[Losing Candidate]]-(Audit[[#This Row],[Audit Winning Candidate]]-Audit[[#This Row],[Audit Losing Candidate]]))/(Audit[[#Totals],[Winning Candidate]]-Audit[[#Totals],[Losing Candidate]]),
      0
)</f>
        <v>0</v>
      </c>
      <c r="AD10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2" s="111">
        <f>IF(Audit[[#This Row],[Max Relative Error (ep)]] = 0, 0, Audit[[#This Row],[Max Relative Error (ep)]]/Audit[[#This Row],[Error Bound (up) - Max. possible relative overstatement]])</f>
        <v>0</v>
      </c>
      <c r="AJ10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52" s="111">
        <f t="shared" si="16"/>
        <v>1</v>
      </c>
      <c r="AL1052" s="111">
        <f>PRODUCT($AK$5:AK1052)</f>
        <v>8.962823818226312E-2</v>
      </c>
      <c r="AM1052" s="109">
        <f>1 - [K-M P Value]</f>
        <v>0.91037176181773694</v>
      </c>
      <c r="AN1052" s="111" t="str">
        <f>IF(Audit[[#This Row],[K-M P Value]]&gt;1-'General Info'!$B$16,"Continue", "Stop")</f>
        <v>Stop</v>
      </c>
      <c r="AO1052" s="110" t="b">
        <f>IF(Audit[[#This Row],[Status - Continue or stop audit]] = "Continue", TRUE, IF(AN1051 = "Continue", TRUE, FALSE))</f>
        <v>0</v>
      </c>
      <c r="AP1052" s="110"/>
    </row>
    <row r="1053" spans="1:42" ht="15" hidden="1" customHeight="1">
      <c r="A1053" s="111" t="str">
        <f>'Sampling Data'!W1045</f>
        <v/>
      </c>
      <c r="B1053" s="112" t="str">
        <f>'Sampling Data'!A1045</f>
        <v>EAST CLEVELAND -04-A</v>
      </c>
      <c r="C1053" s="112">
        <f>'Sampling Data'!B1045</f>
        <v>0</v>
      </c>
      <c r="D1053" s="112">
        <f>'Sampling Data'!C1045</f>
        <v>1</v>
      </c>
      <c r="E1053" s="113">
        <f>'Sampling Data'!D1045</f>
        <v>0</v>
      </c>
      <c r="F1053" s="113">
        <f>'Sampling Data'!E1045</f>
        <v>0</v>
      </c>
      <c r="G1053" s="113">
        <f>'Sampling Data'!F1045</f>
        <v>0</v>
      </c>
      <c r="H1053" s="113">
        <f>'Sampling Data'!G1045</f>
        <v>1</v>
      </c>
      <c r="I1053" s="112">
        <f>'Sampling Data'!H1045</f>
        <v>0</v>
      </c>
      <c r="J1053" s="112">
        <f>'Sampling Data'!I1045</f>
        <v>0</v>
      </c>
      <c r="K1053" s="112">
        <f>'Sampling Data'!J1045</f>
        <v>2</v>
      </c>
      <c r="L1053" s="111">
        <f>'Sampling Data'!X1045</f>
        <v>0</v>
      </c>
      <c r="M1053" s="114"/>
      <c r="N1053" s="114"/>
      <c r="O1053" s="115"/>
      <c r="P1053" s="115"/>
      <c r="Q1053" s="116"/>
      <c r="R1053" s="116"/>
      <c r="S1053" s="111">
        <f>Audit[[#This Row],[Audit Losing Candidate]]-Audit[[#This Row],[Losing Candidate]]</f>
        <v>0</v>
      </c>
      <c r="T1053" s="111">
        <f>Audit[[#This Row],[Audit Winning Candidate]]-Audit[[#This Row],[Winning Candidate]]</f>
        <v>-1</v>
      </c>
      <c r="U1053" s="111">
        <f>Audit[[#This Row],[Audit Candidate 3]]-Audit[[#This Row],[Candidate 3]]</f>
        <v>0</v>
      </c>
      <c r="V1053" s="111">
        <f>Audit[[#This Row],[Audit Candidate 4]]-Audit[[#This Row],[Candidate 4]]</f>
        <v>0</v>
      </c>
      <c r="W1053" s="111">
        <f>Audit[[#This Row],[Audit Candidate 5]]-Audit[[#This Row],[Candidate 5]]</f>
        <v>0</v>
      </c>
      <c r="X1053" s="111">
        <f>Audit[[#This Row],[Audit Candidate 6]]-Audit[[#This Row],[Candidate 6]]</f>
        <v>-1</v>
      </c>
      <c r="Y1053" s="111">
        <f>SUMIF(Audit[[#This Row],[Difference Loser]:[Difference Candidate 6]], "&gt;0")</f>
        <v>0</v>
      </c>
      <c r="Z1053" s="111">
        <f>SUM(Audit[[#This Row],[Difference Loser]:[Difference Candidate 6]])</f>
        <v>-2</v>
      </c>
      <c r="AA1053" s="111">
        <f>IF(Audit[[#This Row],[Times p Drawn - With Replacement]]&gt;0, IF(Audit[[#This Row],[Canceled Differences]]&lt;0, Audit[[#This Row],[Max Differences]]+ABS(Audit[[#This Row],[Canceled Differences]]), Audit[[#This Row],[Max Differences]]), 0)</f>
        <v>0</v>
      </c>
      <c r="AB1053" s="111">
        <f>'Sampling Data'!P1045</f>
        <v>1.8373346398824106E-4</v>
      </c>
      <c r="AC1053" s="111">
        <f>IF(
      SUM(Audit[[#This Row],[Audit Losing Candidate]:[Audit Candidate 6]])
      &lt;&gt;0,
      (Audit[[#This Row],[Winning Candidate]]-Audit[[#This Row],[Losing Candidate]]-(Audit[[#This Row],[Audit Winning Candidate]]-Audit[[#This Row],[Audit Losing Candidate]]))/(Audit[[#Totals],[Winning Candidate]]-Audit[[#Totals],[Losing Candidate]]),
      0
)</f>
        <v>0</v>
      </c>
      <c r="AD10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3" s="111">
        <f>IF(Audit[[#This Row],[Max Relative Error (ep)]] = 0, 0, Audit[[#This Row],[Max Relative Error (ep)]]/Audit[[#This Row],[Error Bound (up) - Max. possible relative overstatement]])</f>
        <v>0</v>
      </c>
      <c r="AJ10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53" s="111">
        <f t="shared" si="16"/>
        <v>1</v>
      </c>
      <c r="AL1053" s="111">
        <f>PRODUCT($AK$5:AK1053)</f>
        <v>8.962823818226312E-2</v>
      </c>
      <c r="AM1053" s="109">
        <f>1 - [K-M P Value]</f>
        <v>0.91037176181773694</v>
      </c>
      <c r="AN1053" s="111" t="str">
        <f>IF(Audit[[#This Row],[K-M P Value]]&gt;1-'General Info'!$B$16,"Continue", "Stop")</f>
        <v>Stop</v>
      </c>
      <c r="AO1053" s="110" t="b">
        <f>IF(Audit[[#This Row],[Status - Continue or stop audit]] = "Continue", TRUE, IF(AN1052 = "Continue", TRUE, FALSE))</f>
        <v>0</v>
      </c>
      <c r="AP1053" s="110"/>
    </row>
    <row r="1054" spans="1:42" ht="15" hidden="1" customHeight="1">
      <c r="A1054" s="111" t="str">
        <f>'Sampling Data'!W1046</f>
        <v/>
      </c>
      <c r="B1054" s="112" t="str">
        <f>'Sampling Data'!A1046</f>
        <v>EAST CLEVELAND -04-A - ABS</v>
      </c>
      <c r="C1054" s="112">
        <f>'Sampling Data'!B1046</f>
        <v>0</v>
      </c>
      <c r="D1054" s="112">
        <f>'Sampling Data'!C1046</f>
        <v>0</v>
      </c>
      <c r="E1054" s="113">
        <f>'Sampling Data'!D1046</f>
        <v>0</v>
      </c>
      <c r="F1054" s="113">
        <f>'Sampling Data'!E1046</f>
        <v>0</v>
      </c>
      <c r="G1054" s="113">
        <f>'Sampling Data'!F1046</f>
        <v>0</v>
      </c>
      <c r="H1054" s="113">
        <f>'Sampling Data'!G1046</f>
        <v>1</v>
      </c>
      <c r="I1054" s="112">
        <f>'Sampling Data'!H1046</f>
        <v>0</v>
      </c>
      <c r="J1054" s="112">
        <f>'Sampling Data'!I1046</f>
        <v>0</v>
      </c>
      <c r="K1054" s="112">
        <f>'Sampling Data'!J1046</f>
        <v>1</v>
      </c>
      <c r="L1054" s="111">
        <f>'Sampling Data'!X1046</f>
        <v>0</v>
      </c>
      <c r="M1054" s="114"/>
      <c r="N1054" s="114"/>
      <c r="O1054" s="115"/>
      <c r="P1054" s="115"/>
      <c r="Q1054" s="116"/>
      <c r="R1054" s="116"/>
      <c r="S1054" s="111">
        <f>Audit[[#This Row],[Audit Losing Candidate]]-Audit[[#This Row],[Losing Candidate]]</f>
        <v>0</v>
      </c>
      <c r="T1054" s="111">
        <f>Audit[[#This Row],[Audit Winning Candidate]]-Audit[[#This Row],[Winning Candidate]]</f>
        <v>0</v>
      </c>
      <c r="U1054" s="111">
        <f>Audit[[#This Row],[Audit Candidate 3]]-Audit[[#This Row],[Candidate 3]]</f>
        <v>0</v>
      </c>
      <c r="V1054" s="111">
        <f>Audit[[#This Row],[Audit Candidate 4]]-Audit[[#This Row],[Candidate 4]]</f>
        <v>0</v>
      </c>
      <c r="W1054" s="111">
        <f>Audit[[#This Row],[Audit Candidate 5]]-Audit[[#This Row],[Candidate 5]]</f>
        <v>0</v>
      </c>
      <c r="X1054" s="111">
        <f>Audit[[#This Row],[Audit Candidate 6]]-Audit[[#This Row],[Candidate 6]]</f>
        <v>-1</v>
      </c>
      <c r="Y1054" s="111">
        <f>SUMIF(Audit[[#This Row],[Difference Loser]:[Difference Candidate 6]], "&gt;0")</f>
        <v>0</v>
      </c>
      <c r="Z1054" s="111">
        <f>SUM(Audit[[#This Row],[Difference Loser]:[Difference Candidate 6]])</f>
        <v>-1</v>
      </c>
      <c r="AA1054" s="111">
        <f>IF(Audit[[#This Row],[Times p Drawn - With Replacement]]&gt;0, IF(Audit[[#This Row],[Canceled Differences]]&lt;0, Audit[[#This Row],[Max Differences]]+ABS(Audit[[#This Row],[Canceled Differences]]), Audit[[#This Row],[Max Differences]]), 0)</f>
        <v>0</v>
      </c>
      <c r="AB1054" s="111">
        <f>'Sampling Data'!P1046</f>
        <v>6.1244487996080352E-5</v>
      </c>
      <c r="AC1054" s="111">
        <f>IF(
      SUM(Audit[[#This Row],[Audit Losing Candidate]:[Audit Candidate 6]])
      &lt;&gt;0,
      (Audit[[#This Row],[Winning Candidate]]-Audit[[#This Row],[Losing Candidate]]-(Audit[[#This Row],[Audit Winning Candidate]]-Audit[[#This Row],[Audit Losing Candidate]]))/(Audit[[#Totals],[Winning Candidate]]-Audit[[#Totals],[Losing Candidate]]),
      0
)</f>
        <v>0</v>
      </c>
      <c r="AD10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4" s="111">
        <f>IF(Audit[[#This Row],[Max Relative Error (ep)]] = 0, 0, Audit[[#This Row],[Max Relative Error (ep)]]/Audit[[#This Row],[Error Bound (up) - Max. possible relative overstatement]])</f>
        <v>0</v>
      </c>
      <c r="AJ10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54" s="111">
        <f t="shared" si="16"/>
        <v>1</v>
      </c>
      <c r="AL1054" s="111">
        <f>PRODUCT($AK$5:AK1054)</f>
        <v>8.962823818226312E-2</v>
      </c>
      <c r="AM1054" s="109">
        <f>1 - [K-M P Value]</f>
        <v>0.91037176181773694</v>
      </c>
      <c r="AN1054" s="111" t="str">
        <f>IF(Audit[[#This Row],[K-M P Value]]&gt;1-'General Info'!$B$16,"Continue", "Stop")</f>
        <v>Stop</v>
      </c>
      <c r="AO1054" s="110" t="b">
        <f>IF(Audit[[#This Row],[Status - Continue or stop audit]] = "Continue", TRUE, IF(AN1053 = "Continue", TRUE, FALSE))</f>
        <v>0</v>
      </c>
      <c r="AP1054" s="110"/>
    </row>
    <row r="1055" spans="1:42" ht="15" hidden="1" customHeight="1">
      <c r="A1055" s="111" t="str">
        <f>'Sampling Data'!W1047</f>
        <v/>
      </c>
      <c r="B1055" s="112" t="str">
        <f>'Sampling Data'!A1047</f>
        <v>EAST CLEVELAND -04-B</v>
      </c>
      <c r="C1055" s="112">
        <f>'Sampling Data'!B1047</f>
        <v>0</v>
      </c>
      <c r="D1055" s="112">
        <f>'Sampling Data'!C1047</f>
        <v>0</v>
      </c>
      <c r="E1055" s="113">
        <f>'Sampling Data'!D1047</f>
        <v>0</v>
      </c>
      <c r="F1055" s="113">
        <f>'Sampling Data'!E1047</f>
        <v>0</v>
      </c>
      <c r="G1055" s="113">
        <f>'Sampling Data'!F1047</f>
        <v>0</v>
      </c>
      <c r="H1055" s="113">
        <f>'Sampling Data'!G1047</f>
        <v>0</v>
      </c>
      <c r="I1055" s="112">
        <f>'Sampling Data'!H1047</f>
        <v>0</v>
      </c>
      <c r="J1055" s="112">
        <f>'Sampling Data'!I1047</f>
        <v>0</v>
      </c>
      <c r="K1055" s="112">
        <f>'Sampling Data'!J1047</f>
        <v>0</v>
      </c>
      <c r="L1055" s="111">
        <f>'Sampling Data'!X1047</f>
        <v>0</v>
      </c>
      <c r="M1055" s="114"/>
      <c r="N1055" s="114"/>
      <c r="O1055" s="115"/>
      <c r="P1055" s="115"/>
      <c r="Q1055" s="116"/>
      <c r="R1055" s="116"/>
      <c r="S1055" s="111">
        <f>Audit[[#This Row],[Audit Losing Candidate]]-Audit[[#This Row],[Losing Candidate]]</f>
        <v>0</v>
      </c>
      <c r="T1055" s="111">
        <f>Audit[[#This Row],[Audit Winning Candidate]]-Audit[[#This Row],[Winning Candidate]]</f>
        <v>0</v>
      </c>
      <c r="U1055" s="111">
        <f>Audit[[#This Row],[Audit Candidate 3]]-Audit[[#This Row],[Candidate 3]]</f>
        <v>0</v>
      </c>
      <c r="V1055" s="111">
        <f>Audit[[#This Row],[Audit Candidate 4]]-Audit[[#This Row],[Candidate 4]]</f>
        <v>0</v>
      </c>
      <c r="W1055" s="111">
        <f>Audit[[#This Row],[Audit Candidate 5]]-Audit[[#This Row],[Candidate 5]]</f>
        <v>0</v>
      </c>
      <c r="X1055" s="111">
        <f>Audit[[#This Row],[Audit Candidate 6]]-Audit[[#This Row],[Candidate 6]]</f>
        <v>0</v>
      </c>
      <c r="Y1055" s="111">
        <f>SUMIF(Audit[[#This Row],[Difference Loser]:[Difference Candidate 6]], "&gt;0")</f>
        <v>0</v>
      </c>
      <c r="Z1055" s="111">
        <f>SUM(Audit[[#This Row],[Difference Loser]:[Difference Candidate 6]])</f>
        <v>0</v>
      </c>
      <c r="AA1055" s="111">
        <f>IF(Audit[[#This Row],[Times p Drawn - With Replacement]]&gt;0, IF(Audit[[#This Row],[Canceled Differences]]&lt;0, Audit[[#This Row],[Max Differences]]+ABS(Audit[[#This Row],[Canceled Differences]]), Audit[[#This Row],[Max Differences]]), 0)</f>
        <v>0</v>
      </c>
      <c r="AB1055" s="111">
        <f>'Sampling Data'!P1047</f>
        <v>0</v>
      </c>
      <c r="AC1055" s="111">
        <f>IF(
      SUM(Audit[[#This Row],[Audit Losing Candidate]:[Audit Candidate 6]])
      &lt;&gt;0,
      (Audit[[#This Row],[Winning Candidate]]-Audit[[#This Row],[Losing Candidate]]-(Audit[[#This Row],[Audit Winning Candidate]]-Audit[[#This Row],[Audit Losing Candidate]]))/(Audit[[#Totals],[Winning Candidate]]-Audit[[#Totals],[Losing Candidate]]),
      0
)</f>
        <v>0</v>
      </c>
      <c r="AD10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5" s="111">
        <f>IF(Audit[[#This Row],[Max Relative Error (ep)]] = 0, 0, Audit[[#This Row],[Max Relative Error (ep)]]/Audit[[#This Row],[Error Bound (up) - Max. possible relative overstatement]])</f>
        <v>0</v>
      </c>
      <c r="AJ10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55" s="111">
        <f t="shared" si="16"/>
        <v>1</v>
      </c>
      <c r="AL1055" s="111">
        <f>PRODUCT($AK$5:AK1055)</f>
        <v>8.962823818226312E-2</v>
      </c>
      <c r="AM1055" s="109">
        <f>1 - [K-M P Value]</f>
        <v>0.91037176181773694</v>
      </c>
      <c r="AN1055" s="111" t="str">
        <f>IF(Audit[[#This Row],[K-M P Value]]&gt;1-'General Info'!$B$16,"Continue", "Stop")</f>
        <v>Stop</v>
      </c>
      <c r="AO1055" s="110" t="b">
        <f>IF(Audit[[#This Row],[Status - Continue or stop audit]] = "Continue", TRUE, IF(AN1054 = "Continue", TRUE, FALSE))</f>
        <v>0</v>
      </c>
      <c r="AP1055" s="110"/>
    </row>
    <row r="1056" spans="1:42" ht="15" hidden="1" customHeight="1">
      <c r="A1056" s="111" t="str">
        <f>'Sampling Data'!W1048</f>
        <v/>
      </c>
      <c r="B1056" s="112" t="str">
        <f>'Sampling Data'!A1048</f>
        <v>EAST CLEVELAND -04-B - ABS</v>
      </c>
      <c r="C1056" s="112">
        <f>'Sampling Data'!B1048</f>
        <v>0</v>
      </c>
      <c r="D1056" s="112">
        <f>'Sampling Data'!C1048</f>
        <v>1</v>
      </c>
      <c r="E1056" s="113">
        <f>'Sampling Data'!D1048</f>
        <v>0</v>
      </c>
      <c r="F1056" s="113">
        <f>'Sampling Data'!E1048</f>
        <v>0</v>
      </c>
      <c r="G1056" s="113">
        <f>'Sampling Data'!F1048</f>
        <v>0</v>
      </c>
      <c r="H1056" s="113">
        <f>'Sampling Data'!G1048</f>
        <v>0</v>
      </c>
      <c r="I1056" s="112">
        <f>'Sampling Data'!H1048</f>
        <v>0</v>
      </c>
      <c r="J1056" s="112">
        <f>'Sampling Data'!I1048</f>
        <v>0</v>
      </c>
      <c r="K1056" s="112">
        <f>'Sampling Data'!J1048</f>
        <v>1</v>
      </c>
      <c r="L1056" s="111">
        <f>'Sampling Data'!X1048</f>
        <v>0</v>
      </c>
      <c r="M1056" s="114"/>
      <c r="N1056" s="114"/>
      <c r="O1056" s="115"/>
      <c r="P1056" s="115"/>
      <c r="Q1056" s="116"/>
      <c r="R1056" s="116"/>
      <c r="S1056" s="111">
        <f>Audit[[#This Row],[Audit Losing Candidate]]-Audit[[#This Row],[Losing Candidate]]</f>
        <v>0</v>
      </c>
      <c r="T1056" s="111">
        <f>Audit[[#This Row],[Audit Winning Candidate]]-Audit[[#This Row],[Winning Candidate]]</f>
        <v>-1</v>
      </c>
      <c r="U1056" s="111">
        <f>Audit[[#This Row],[Audit Candidate 3]]-Audit[[#This Row],[Candidate 3]]</f>
        <v>0</v>
      </c>
      <c r="V1056" s="111">
        <f>Audit[[#This Row],[Audit Candidate 4]]-Audit[[#This Row],[Candidate 4]]</f>
        <v>0</v>
      </c>
      <c r="W1056" s="111">
        <f>Audit[[#This Row],[Audit Candidate 5]]-Audit[[#This Row],[Candidate 5]]</f>
        <v>0</v>
      </c>
      <c r="X1056" s="111">
        <f>Audit[[#This Row],[Audit Candidate 6]]-Audit[[#This Row],[Candidate 6]]</f>
        <v>0</v>
      </c>
      <c r="Y1056" s="111">
        <f>SUMIF(Audit[[#This Row],[Difference Loser]:[Difference Candidate 6]], "&gt;0")</f>
        <v>0</v>
      </c>
      <c r="Z1056" s="111">
        <f>SUM(Audit[[#This Row],[Difference Loser]:[Difference Candidate 6]])</f>
        <v>-1</v>
      </c>
      <c r="AA1056" s="111">
        <f>IF(Audit[[#This Row],[Times p Drawn - With Replacement]]&gt;0, IF(Audit[[#This Row],[Canceled Differences]]&lt;0, Audit[[#This Row],[Max Differences]]+ABS(Audit[[#This Row],[Canceled Differences]]), Audit[[#This Row],[Max Differences]]), 0)</f>
        <v>0</v>
      </c>
      <c r="AB1056" s="111">
        <f>'Sampling Data'!P1048</f>
        <v>1.224889759921607E-4</v>
      </c>
      <c r="AC1056" s="111">
        <f>IF(
      SUM(Audit[[#This Row],[Audit Losing Candidate]:[Audit Candidate 6]])
      &lt;&gt;0,
      (Audit[[#This Row],[Winning Candidate]]-Audit[[#This Row],[Losing Candidate]]-(Audit[[#This Row],[Audit Winning Candidate]]-Audit[[#This Row],[Audit Losing Candidate]]))/(Audit[[#Totals],[Winning Candidate]]-Audit[[#Totals],[Losing Candidate]]),
      0
)</f>
        <v>0</v>
      </c>
      <c r="AD10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6" s="111">
        <f>IF(Audit[[#This Row],[Max Relative Error (ep)]] = 0, 0, Audit[[#This Row],[Max Relative Error (ep)]]/Audit[[#This Row],[Error Bound (up) - Max. possible relative overstatement]])</f>
        <v>0</v>
      </c>
      <c r="AJ10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56" s="111">
        <f t="shared" si="16"/>
        <v>1</v>
      </c>
      <c r="AL1056" s="111">
        <f>PRODUCT($AK$5:AK1056)</f>
        <v>8.962823818226312E-2</v>
      </c>
      <c r="AM1056" s="109">
        <f>1 - [K-M P Value]</f>
        <v>0.91037176181773694</v>
      </c>
      <c r="AN1056" s="111" t="str">
        <f>IF(Audit[[#This Row],[K-M P Value]]&gt;1-'General Info'!$B$16,"Continue", "Stop")</f>
        <v>Stop</v>
      </c>
      <c r="AO1056" s="110" t="b">
        <f>IF(Audit[[#This Row],[Status - Continue or stop audit]] = "Continue", TRUE, IF(AN1055 = "Continue", TRUE, FALSE))</f>
        <v>0</v>
      </c>
      <c r="AP1056" s="110"/>
    </row>
    <row r="1057" spans="1:42" ht="15" hidden="1" customHeight="1">
      <c r="A1057" s="111" t="str">
        <f>'Sampling Data'!W1049</f>
        <v/>
      </c>
      <c r="B1057" s="112" t="str">
        <f>'Sampling Data'!A1049</f>
        <v>EAST CLEVELAND -04-C</v>
      </c>
      <c r="C1057" s="112">
        <f>'Sampling Data'!B1049</f>
        <v>0</v>
      </c>
      <c r="D1057" s="112">
        <f>'Sampling Data'!C1049</f>
        <v>0</v>
      </c>
      <c r="E1057" s="113">
        <f>'Sampling Data'!D1049</f>
        <v>0</v>
      </c>
      <c r="F1057" s="113">
        <f>'Sampling Data'!E1049</f>
        <v>0</v>
      </c>
      <c r="G1057" s="113">
        <f>'Sampling Data'!F1049</f>
        <v>0</v>
      </c>
      <c r="H1057" s="113">
        <f>'Sampling Data'!G1049</f>
        <v>0</v>
      </c>
      <c r="I1057" s="112">
        <f>'Sampling Data'!H1049</f>
        <v>0</v>
      </c>
      <c r="J1057" s="112">
        <f>'Sampling Data'!I1049</f>
        <v>0</v>
      </c>
      <c r="K1057" s="112">
        <f>'Sampling Data'!J1049</f>
        <v>0</v>
      </c>
      <c r="L1057" s="111">
        <f>'Sampling Data'!X1049</f>
        <v>0</v>
      </c>
      <c r="M1057" s="114"/>
      <c r="N1057" s="114"/>
      <c r="O1057" s="115"/>
      <c r="P1057" s="115"/>
      <c r="Q1057" s="116"/>
      <c r="R1057" s="116"/>
      <c r="S1057" s="111">
        <f>Audit[[#This Row],[Audit Losing Candidate]]-Audit[[#This Row],[Losing Candidate]]</f>
        <v>0</v>
      </c>
      <c r="T1057" s="111">
        <f>Audit[[#This Row],[Audit Winning Candidate]]-Audit[[#This Row],[Winning Candidate]]</f>
        <v>0</v>
      </c>
      <c r="U1057" s="111">
        <f>Audit[[#This Row],[Audit Candidate 3]]-Audit[[#This Row],[Candidate 3]]</f>
        <v>0</v>
      </c>
      <c r="V1057" s="111">
        <f>Audit[[#This Row],[Audit Candidate 4]]-Audit[[#This Row],[Candidate 4]]</f>
        <v>0</v>
      </c>
      <c r="W1057" s="111">
        <f>Audit[[#This Row],[Audit Candidate 5]]-Audit[[#This Row],[Candidate 5]]</f>
        <v>0</v>
      </c>
      <c r="X1057" s="111">
        <f>Audit[[#This Row],[Audit Candidate 6]]-Audit[[#This Row],[Candidate 6]]</f>
        <v>0</v>
      </c>
      <c r="Y1057" s="111">
        <f>SUMIF(Audit[[#This Row],[Difference Loser]:[Difference Candidate 6]], "&gt;0")</f>
        <v>0</v>
      </c>
      <c r="Z1057" s="111">
        <f>SUM(Audit[[#This Row],[Difference Loser]:[Difference Candidate 6]])</f>
        <v>0</v>
      </c>
      <c r="AA1057" s="111">
        <f>IF(Audit[[#This Row],[Times p Drawn - With Replacement]]&gt;0, IF(Audit[[#This Row],[Canceled Differences]]&lt;0, Audit[[#This Row],[Max Differences]]+ABS(Audit[[#This Row],[Canceled Differences]]), Audit[[#This Row],[Max Differences]]), 0)</f>
        <v>0</v>
      </c>
      <c r="AB1057" s="111">
        <f>'Sampling Data'!P1049</f>
        <v>0</v>
      </c>
      <c r="AC1057" s="111">
        <f>IF(
      SUM(Audit[[#This Row],[Audit Losing Candidate]:[Audit Candidate 6]])
      &lt;&gt;0,
      (Audit[[#This Row],[Winning Candidate]]-Audit[[#This Row],[Losing Candidate]]-(Audit[[#This Row],[Audit Winning Candidate]]-Audit[[#This Row],[Audit Losing Candidate]]))/(Audit[[#Totals],[Winning Candidate]]-Audit[[#Totals],[Losing Candidate]]),
      0
)</f>
        <v>0</v>
      </c>
      <c r="AD10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7" s="111">
        <f>IF(Audit[[#This Row],[Max Relative Error (ep)]] = 0, 0, Audit[[#This Row],[Max Relative Error (ep)]]/Audit[[#This Row],[Error Bound (up) - Max. possible relative overstatement]])</f>
        <v>0</v>
      </c>
      <c r="AJ10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57" s="111">
        <f t="shared" si="16"/>
        <v>1</v>
      </c>
      <c r="AL1057" s="111">
        <f>PRODUCT($AK$5:AK1057)</f>
        <v>8.962823818226312E-2</v>
      </c>
      <c r="AM1057" s="109">
        <f>1 - [K-M P Value]</f>
        <v>0.91037176181773694</v>
      </c>
      <c r="AN1057" s="111" t="str">
        <f>IF(Audit[[#This Row],[K-M P Value]]&gt;1-'General Info'!$B$16,"Continue", "Stop")</f>
        <v>Stop</v>
      </c>
      <c r="AO1057" s="110" t="b">
        <f>IF(Audit[[#This Row],[Status - Continue or stop audit]] = "Continue", TRUE, IF(AN1056 = "Continue", TRUE, FALSE))</f>
        <v>0</v>
      </c>
      <c r="AP1057" s="110"/>
    </row>
    <row r="1058" spans="1:42" ht="15" hidden="1" customHeight="1">
      <c r="A1058" s="111" t="str">
        <f>'Sampling Data'!W1050</f>
        <v/>
      </c>
      <c r="B1058" s="112" t="str">
        <f>'Sampling Data'!A1050</f>
        <v>EAST CLEVELAND -04-C - ABS</v>
      </c>
      <c r="C1058" s="112">
        <f>'Sampling Data'!B1050</f>
        <v>0</v>
      </c>
      <c r="D1058" s="112">
        <f>'Sampling Data'!C1050</f>
        <v>0</v>
      </c>
      <c r="E1058" s="113">
        <f>'Sampling Data'!D1050</f>
        <v>0</v>
      </c>
      <c r="F1058" s="113">
        <f>'Sampling Data'!E1050</f>
        <v>0</v>
      </c>
      <c r="G1058" s="113">
        <f>'Sampling Data'!F1050</f>
        <v>0</v>
      </c>
      <c r="H1058" s="113">
        <f>'Sampling Data'!G1050</f>
        <v>0</v>
      </c>
      <c r="I1058" s="112">
        <f>'Sampling Data'!H1050</f>
        <v>0</v>
      </c>
      <c r="J1058" s="112">
        <f>'Sampling Data'!I1050</f>
        <v>0</v>
      </c>
      <c r="K1058" s="112">
        <f>'Sampling Data'!J1050</f>
        <v>0</v>
      </c>
      <c r="L1058" s="111">
        <f>'Sampling Data'!X1050</f>
        <v>0</v>
      </c>
      <c r="M1058" s="114"/>
      <c r="N1058" s="114"/>
      <c r="O1058" s="115"/>
      <c r="P1058" s="115"/>
      <c r="Q1058" s="116"/>
      <c r="R1058" s="116"/>
      <c r="S1058" s="111">
        <f>Audit[[#This Row],[Audit Losing Candidate]]-Audit[[#This Row],[Losing Candidate]]</f>
        <v>0</v>
      </c>
      <c r="T1058" s="111">
        <f>Audit[[#This Row],[Audit Winning Candidate]]-Audit[[#This Row],[Winning Candidate]]</f>
        <v>0</v>
      </c>
      <c r="U1058" s="111">
        <f>Audit[[#This Row],[Audit Candidate 3]]-Audit[[#This Row],[Candidate 3]]</f>
        <v>0</v>
      </c>
      <c r="V1058" s="111">
        <f>Audit[[#This Row],[Audit Candidate 4]]-Audit[[#This Row],[Candidate 4]]</f>
        <v>0</v>
      </c>
      <c r="W1058" s="111">
        <f>Audit[[#This Row],[Audit Candidate 5]]-Audit[[#This Row],[Candidate 5]]</f>
        <v>0</v>
      </c>
      <c r="X1058" s="111">
        <f>Audit[[#This Row],[Audit Candidate 6]]-Audit[[#This Row],[Candidate 6]]</f>
        <v>0</v>
      </c>
      <c r="Y1058" s="111">
        <f>SUMIF(Audit[[#This Row],[Difference Loser]:[Difference Candidate 6]], "&gt;0")</f>
        <v>0</v>
      </c>
      <c r="Z1058" s="111">
        <f>SUM(Audit[[#This Row],[Difference Loser]:[Difference Candidate 6]])</f>
        <v>0</v>
      </c>
      <c r="AA1058" s="111">
        <f>IF(Audit[[#This Row],[Times p Drawn - With Replacement]]&gt;0, IF(Audit[[#This Row],[Canceled Differences]]&lt;0, Audit[[#This Row],[Max Differences]]+ABS(Audit[[#This Row],[Canceled Differences]]), Audit[[#This Row],[Max Differences]]), 0)</f>
        <v>0</v>
      </c>
      <c r="AB1058" s="111">
        <f>'Sampling Data'!P1050</f>
        <v>0</v>
      </c>
      <c r="AC1058" s="111">
        <f>IF(
      SUM(Audit[[#This Row],[Audit Losing Candidate]:[Audit Candidate 6]])
      &lt;&gt;0,
      (Audit[[#This Row],[Winning Candidate]]-Audit[[#This Row],[Losing Candidate]]-(Audit[[#This Row],[Audit Winning Candidate]]-Audit[[#This Row],[Audit Losing Candidate]]))/(Audit[[#Totals],[Winning Candidate]]-Audit[[#Totals],[Losing Candidate]]),
      0
)</f>
        <v>0</v>
      </c>
      <c r="AD10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8" s="111">
        <f>IF(Audit[[#This Row],[Max Relative Error (ep)]] = 0, 0, Audit[[#This Row],[Max Relative Error (ep)]]/Audit[[#This Row],[Error Bound (up) - Max. possible relative overstatement]])</f>
        <v>0</v>
      </c>
      <c r="AJ10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58" s="111">
        <f t="shared" si="16"/>
        <v>1</v>
      </c>
      <c r="AL1058" s="111">
        <f>PRODUCT($AK$5:AK1058)</f>
        <v>8.962823818226312E-2</v>
      </c>
      <c r="AM1058" s="109">
        <f>1 - [K-M P Value]</f>
        <v>0.91037176181773694</v>
      </c>
      <c r="AN1058" s="111" t="str">
        <f>IF(Audit[[#This Row],[K-M P Value]]&gt;1-'General Info'!$B$16,"Continue", "Stop")</f>
        <v>Stop</v>
      </c>
      <c r="AO1058" s="110" t="b">
        <f>IF(Audit[[#This Row],[Status - Continue or stop audit]] = "Continue", TRUE, IF(AN1057 = "Continue", TRUE, FALSE))</f>
        <v>0</v>
      </c>
      <c r="AP1058" s="110"/>
    </row>
    <row r="1059" spans="1:42" ht="15" hidden="1" customHeight="1">
      <c r="A1059" s="111" t="str">
        <f>'Sampling Data'!W1051</f>
        <v/>
      </c>
      <c r="B1059" s="112" t="str">
        <f>'Sampling Data'!A1051</f>
        <v>EAST CLEVELAND -04-D</v>
      </c>
      <c r="C1059" s="112">
        <f>'Sampling Data'!B1051</f>
        <v>2</v>
      </c>
      <c r="D1059" s="112">
        <f>'Sampling Data'!C1051</f>
        <v>2</v>
      </c>
      <c r="E1059" s="113">
        <f>'Sampling Data'!D1051</f>
        <v>0</v>
      </c>
      <c r="F1059" s="113">
        <f>'Sampling Data'!E1051</f>
        <v>2</v>
      </c>
      <c r="G1059" s="113">
        <f>'Sampling Data'!F1051</f>
        <v>0</v>
      </c>
      <c r="H1059" s="113">
        <f>'Sampling Data'!G1051</f>
        <v>0</v>
      </c>
      <c r="I1059" s="112">
        <f>'Sampling Data'!H1051</f>
        <v>0</v>
      </c>
      <c r="J1059" s="112">
        <f>'Sampling Data'!I1051</f>
        <v>0</v>
      </c>
      <c r="K1059" s="112">
        <f>'Sampling Data'!J1051</f>
        <v>6</v>
      </c>
      <c r="L1059" s="111">
        <f>'Sampling Data'!X1051</f>
        <v>0</v>
      </c>
      <c r="M1059" s="114"/>
      <c r="N1059" s="114"/>
      <c r="O1059" s="115"/>
      <c r="P1059" s="115"/>
      <c r="Q1059" s="116"/>
      <c r="R1059" s="116"/>
      <c r="S1059" s="111">
        <f>Audit[[#This Row],[Audit Losing Candidate]]-Audit[[#This Row],[Losing Candidate]]</f>
        <v>-2</v>
      </c>
      <c r="T1059" s="111">
        <f>Audit[[#This Row],[Audit Winning Candidate]]-Audit[[#This Row],[Winning Candidate]]</f>
        <v>-2</v>
      </c>
      <c r="U1059" s="111">
        <f>Audit[[#This Row],[Audit Candidate 3]]-Audit[[#This Row],[Candidate 3]]</f>
        <v>0</v>
      </c>
      <c r="V1059" s="111">
        <f>Audit[[#This Row],[Audit Candidate 4]]-Audit[[#This Row],[Candidate 4]]</f>
        <v>-2</v>
      </c>
      <c r="W1059" s="111">
        <f>Audit[[#This Row],[Audit Candidate 5]]-Audit[[#This Row],[Candidate 5]]</f>
        <v>0</v>
      </c>
      <c r="X1059" s="111">
        <f>Audit[[#This Row],[Audit Candidate 6]]-Audit[[#This Row],[Candidate 6]]</f>
        <v>0</v>
      </c>
      <c r="Y1059" s="111">
        <f>SUMIF(Audit[[#This Row],[Difference Loser]:[Difference Candidate 6]], "&gt;0")</f>
        <v>0</v>
      </c>
      <c r="Z1059" s="111">
        <f>SUM(Audit[[#This Row],[Difference Loser]:[Difference Candidate 6]])</f>
        <v>-6</v>
      </c>
      <c r="AA1059" s="111">
        <f>IF(Audit[[#This Row],[Times p Drawn - With Replacement]]&gt;0, IF(Audit[[#This Row],[Canceled Differences]]&lt;0, Audit[[#This Row],[Max Differences]]+ABS(Audit[[#This Row],[Canceled Differences]]), Audit[[#This Row],[Max Differences]]), 0)</f>
        <v>0</v>
      </c>
      <c r="AB1059" s="111">
        <f>'Sampling Data'!P1051</f>
        <v>3.6746692797648211E-4</v>
      </c>
      <c r="AC1059" s="111">
        <f>IF(
      SUM(Audit[[#This Row],[Audit Losing Candidate]:[Audit Candidate 6]])
      &lt;&gt;0,
      (Audit[[#This Row],[Winning Candidate]]-Audit[[#This Row],[Losing Candidate]]-(Audit[[#This Row],[Audit Winning Candidate]]-Audit[[#This Row],[Audit Losing Candidate]]))/(Audit[[#Totals],[Winning Candidate]]-Audit[[#Totals],[Losing Candidate]]),
      0
)</f>
        <v>0</v>
      </c>
      <c r="AD10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9" s="111">
        <f>IF(Audit[[#This Row],[Max Relative Error (ep)]] = 0, 0, Audit[[#This Row],[Max Relative Error (ep)]]/Audit[[#This Row],[Error Bound (up) - Max. possible relative overstatement]])</f>
        <v>0</v>
      </c>
      <c r="AJ10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59" s="111">
        <f t="shared" si="16"/>
        <v>1</v>
      </c>
      <c r="AL1059" s="111">
        <f>PRODUCT($AK$5:AK1059)</f>
        <v>8.962823818226312E-2</v>
      </c>
      <c r="AM1059" s="109">
        <f>1 - [K-M P Value]</f>
        <v>0.91037176181773694</v>
      </c>
      <c r="AN1059" s="111" t="str">
        <f>IF(Audit[[#This Row],[K-M P Value]]&gt;1-'General Info'!$B$16,"Continue", "Stop")</f>
        <v>Stop</v>
      </c>
      <c r="AO1059" s="110" t="b">
        <f>IF(Audit[[#This Row],[Status - Continue or stop audit]] = "Continue", TRUE, IF(AN1058 = "Continue", TRUE, FALSE))</f>
        <v>0</v>
      </c>
      <c r="AP1059" s="110"/>
    </row>
    <row r="1060" spans="1:42" ht="15" hidden="1" customHeight="1">
      <c r="A1060" s="111" t="str">
        <f>'Sampling Data'!W1052</f>
        <v/>
      </c>
      <c r="B1060" s="112" t="str">
        <f>'Sampling Data'!A1052</f>
        <v>EAST CLEVELAND -04-D - ABS</v>
      </c>
      <c r="C1060" s="112">
        <f>'Sampling Data'!B1052</f>
        <v>0</v>
      </c>
      <c r="D1060" s="112">
        <f>'Sampling Data'!C1052</f>
        <v>2</v>
      </c>
      <c r="E1060" s="113">
        <f>'Sampling Data'!D1052</f>
        <v>2</v>
      </c>
      <c r="F1060" s="113">
        <f>'Sampling Data'!E1052</f>
        <v>2</v>
      </c>
      <c r="G1060" s="113">
        <f>'Sampling Data'!F1052</f>
        <v>0</v>
      </c>
      <c r="H1060" s="113">
        <f>'Sampling Data'!G1052</f>
        <v>0</v>
      </c>
      <c r="I1060" s="112">
        <f>'Sampling Data'!H1052</f>
        <v>0</v>
      </c>
      <c r="J1060" s="112">
        <f>'Sampling Data'!I1052</f>
        <v>1</v>
      </c>
      <c r="K1060" s="112">
        <f>'Sampling Data'!J1052</f>
        <v>7</v>
      </c>
      <c r="L1060" s="111">
        <f>'Sampling Data'!X1052</f>
        <v>0</v>
      </c>
      <c r="M1060" s="114"/>
      <c r="N1060" s="114"/>
      <c r="O1060" s="115"/>
      <c r="P1060" s="115"/>
      <c r="Q1060" s="116"/>
      <c r="R1060" s="116"/>
      <c r="S1060" s="111">
        <f>Audit[[#This Row],[Audit Losing Candidate]]-Audit[[#This Row],[Losing Candidate]]</f>
        <v>0</v>
      </c>
      <c r="T1060" s="111">
        <f>Audit[[#This Row],[Audit Winning Candidate]]-Audit[[#This Row],[Winning Candidate]]</f>
        <v>-2</v>
      </c>
      <c r="U1060" s="111">
        <f>Audit[[#This Row],[Audit Candidate 3]]-Audit[[#This Row],[Candidate 3]]</f>
        <v>-2</v>
      </c>
      <c r="V1060" s="111">
        <f>Audit[[#This Row],[Audit Candidate 4]]-Audit[[#This Row],[Candidate 4]]</f>
        <v>-2</v>
      </c>
      <c r="W1060" s="111">
        <f>Audit[[#This Row],[Audit Candidate 5]]-Audit[[#This Row],[Candidate 5]]</f>
        <v>0</v>
      </c>
      <c r="X1060" s="111">
        <f>Audit[[#This Row],[Audit Candidate 6]]-Audit[[#This Row],[Candidate 6]]</f>
        <v>0</v>
      </c>
      <c r="Y1060" s="111">
        <f>SUMIF(Audit[[#This Row],[Difference Loser]:[Difference Candidate 6]], "&gt;0")</f>
        <v>0</v>
      </c>
      <c r="Z1060" s="111">
        <f>SUM(Audit[[#This Row],[Difference Loser]:[Difference Candidate 6]])</f>
        <v>-6</v>
      </c>
      <c r="AA1060" s="111">
        <f>IF(Audit[[#This Row],[Times p Drawn - With Replacement]]&gt;0, IF(Audit[[#This Row],[Canceled Differences]]&lt;0, Audit[[#This Row],[Max Differences]]+ABS(Audit[[#This Row],[Canceled Differences]]), Audit[[#This Row],[Max Differences]]), 0)</f>
        <v>0</v>
      </c>
      <c r="AB1060" s="111">
        <f>'Sampling Data'!P1052</f>
        <v>5.5120039196472322E-4</v>
      </c>
      <c r="AC1060" s="111">
        <f>IF(
      SUM(Audit[[#This Row],[Audit Losing Candidate]:[Audit Candidate 6]])
      &lt;&gt;0,
      (Audit[[#This Row],[Winning Candidate]]-Audit[[#This Row],[Losing Candidate]]-(Audit[[#This Row],[Audit Winning Candidate]]-Audit[[#This Row],[Audit Losing Candidate]]))/(Audit[[#Totals],[Winning Candidate]]-Audit[[#Totals],[Losing Candidate]]),
      0
)</f>
        <v>0</v>
      </c>
      <c r="AD10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0" s="111">
        <f>IF(Audit[[#This Row],[Max Relative Error (ep)]] = 0, 0, Audit[[#This Row],[Max Relative Error (ep)]]/Audit[[#This Row],[Error Bound (up) - Max. possible relative overstatement]])</f>
        <v>0</v>
      </c>
      <c r="AJ10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60" s="111">
        <f t="shared" si="16"/>
        <v>1</v>
      </c>
      <c r="AL1060" s="111">
        <f>PRODUCT($AK$5:AK1060)</f>
        <v>8.962823818226312E-2</v>
      </c>
      <c r="AM1060" s="109">
        <f>1 - [K-M P Value]</f>
        <v>0.91037176181773694</v>
      </c>
      <c r="AN1060" s="111" t="str">
        <f>IF(Audit[[#This Row],[K-M P Value]]&gt;1-'General Info'!$B$16,"Continue", "Stop")</f>
        <v>Stop</v>
      </c>
      <c r="AO1060" s="110" t="b">
        <f>IF(Audit[[#This Row],[Status - Continue or stop audit]] = "Continue", TRUE, IF(AN1059 = "Continue", TRUE, FALSE))</f>
        <v>0</v>
      </c>
      <c r="AP1060" s="110"/>
    </row>
    <row r="1061" spans="1:42" ht="15" hidden="1" customHeight="1">
      <c r="A1061" s="111" t="str">
        <f>'Sampling Data'!W1053</f>
        <v/>
      </c>
      <c r="B1061" s="112" t="str">
        <f>'Sampling Data'!A1053</f>
        <v>EAST CLEVELAND -04-E</v>
      </c>
      <c r="C1061" s="112">
        <f>'Sampling Data'!B1053</f>
        <v>0</v>
      </c>
      <c r="D1061" s="112">
        <f>'Sampling Data'!C1053</f>
        <v>1</v>
      </c>
      <c r="E1061" s="113">
        <f>'Sampling Data'!D1053</f>
        <v>0</v>
      </c>
      <c r="F1061" s="113">
        <f>'Sampling Data'!E1053</f>
        <v>0</v>
      </c>
      <c r="G1061" s="113">
        <f>'Sampling Data'!F1053</f>
        <v>0</v>
      </c>
      <c r="H1061" s="113">
        <f>'Sampling Data'!G1053</f>
        <v>0</v>
      </c>
      <c r="I1061" s="112">
        <f>'Sampling Data'!H1053</f>
        <v>0</v>
      </c>
      <c r="J1061" s="112">
        <f>'Sampling Data'!I1053</f>
        <v>0</v>
      </c>
      <c r="K1061" s="112">
        <f>'Sampling Data'!J1053</f>
        <v>1</v>
      </c>
      <c r="L1061" s="111">
        <f>'Sampling Data'!X1053</f>
        <v>0</v>
      </c>
      <c r="M1061" s="114"/>
      <c r="N1061" s="114"/>
      <c r="O1061" s="115"/>
      <c r="P1061" s="115"/>
      <c r="Q1061" s="116"/>
      <c r="R1061" s="116"/>
      <c r="S1061" s="111">
        <f>Audit[[#This Row],[Audit Losing Candidate]]-Audit[[#This Row],[Losing Candidate]]</f>
        <v>0</v>
      </c>
      <c r="T1061" s="111">
        <f>Audit[[#This Row],[Audit Winning Candidate]]-Audit[[#This Row],[Winning Candidate]]</f>
        <v>-1</v>
      </c>
      <c r="U1061" s="111">
        <f>Audit[[#This Row],[Audit Candidate 3]]-Audit[[#This Row],[Candidate 3]]</f>
        <v>0</v>
      </c>
      <c r="V1061" s="111">
        <f>Audit[[#This Row],[Audit Candidate 4]]-Audit[[#This Row],[Candidate 4]]</f>
        <v>0</v>
      </c>
      <c r="W1061" s="111">
        <f>Audit[[#This Row],[Audit Candidate 5]]-Audit[[#This Row],[Candidate 5]]</f>
        <v>0</v>
      </c>
      <c r="X1061" s="111">
        <f>Audit[[#This Row],[Audit Candidate 6]]-Audit[[#This Row],[Candidate 6]]</f>
        <v>0</v>
      </c>
      <c r="Y1061" s="111">
        <f>SUMIF(Audit[[#This Row],[Difference Loser]:[Difference Candidate 6]], "&gt;0")</f>
        <v>0</v>
      </c>
      <c r="Z1061" s="111">
        <f>SUM(Audit[[#This Row],[Difference Loser]:[Difference Candidate 6]])</f>
        <v>-1</v>
      </c>
      <c r="AA1061" s="111">
        <f>IF(Audit[[#This Row],[Times p Drawn - With Replacement]]&gt;0, IF(Audit[[#This Row],[Canceled Differences]]&lt;0, Audit[[#This Row],[Max Differences]]+ABS(Audit[[#This Row],[Canceled Differences]]), Audit[[#This Row],[Max Differences]]), 0)</f>
        <v>0</v>
      </c>
      <c r="AB1061" s="111">
        <f>'Sampling Data'!P1053</f>
        <v>1.224889759921607E-4</v>
      </c>
      <c r="AC1061" s="111">
        <f>IF(
      SUM(Audit[[#This Row],[Audit Losing Candidate]:[Audit Candidate 6]])
      &lt;&gt;0,
      (Audit[[#This Row],[Winning Candidate]]-Audit[[#This Row],[Losing Candidate]]-(Audit[[#This Row],[Audit Winning Candidate]]-Audit[[#This Row],[Audit Losing Candidate]]))/(Audit[[#Totals],[Winning Candidate]]-Audit[[#Totals],[Losing Candidate]]),
      0
)</f>
        <v>0</v>
      </c>
      <c r="AD10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1" s="111">
        <f>IF(Audit[[#This Row],[Max Relative Error (ep)]] = 0, 0, Audit[[#This Row],[Max Relative Error (ep)]]/Audit[[#This Row],[Error Bound (up) - Max. possible relative overstatement]])</f>
        <v>0</v>
      </c>
      <c r="AJ10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61" s="111">
        <f t="shared" si="16"/>
        <v>1</v>
      </c>
      <c r="AL1061" s="111">
        <f>PRODUCT($AK$5:AK1061)</f>
        <v>8.962823818226312E-2</v>
      </c>
      <c r="AM1061" s="109">
        <f>1 - [K-M P Value]</f>
        <v>0.91037176181773694</v>
      </c>
      <c r="AN1061" s="111" t="str">
        <f>IF(Audit[[#This Row],[K-M P Value]]&gt;1-'General Info'!$B$16,"Continue", "Stop")</f>
        <v>Stop</v>
      </c>
      <c r="AO1061" s="110" t="b">
        <f>IF(Audit[[#This Row],[Status - Continue or stop audit]] = "Continue", TRUE, IF(AN1060 = "Continue", TRUE, FALSE))</f>
        <v>0</v>
      </c>
      <c r="AP1061" s="110"/>
    </row>
    <row r="1062" spans="1:42" ht="15" hidden="1" customHeight="1">
      <c r="A1062" s="111" t="str">
        <f>'Sampling Data'!W1054</f>
        <v/>
      </c>
      <c r="B1062" s="112" t="str">
        <f>'Sampling Data'!A1054</f>
        <v>EAST CLEVELAND -04-E - ABS</v>
      </c>
      <c r="C1062" s="112">
        <f>'Sampling Data'!B1054</f>
        <v>0</v>
      </c>
      <c r="D1062" s="112">
        <f>'Sampling Data'!C1054</f>
        <v>0</v>
      </c>
      <c r="E1062" s="113">
        <f>'Sampling Data'!D1054</f>
        <v>0</v>
      </c>
      <c r="F1062" s="113">
        <f>'Sampling Data'!E1054</f>
        <v>0</v>
      </c>
      <c r="G1062" s="113">
        <f>'Sampling Data'!F1054</f>
        <v>0</v>
      </c>
      <c r="H1062" s="113">
        <f>'Sampling Data'!G1054</f>
        <v>0</v>
      </c>
      <c r="I1062" s="112">
        <f>'Sampling Data'!H1054</f>
        <v>0</v>
      </c>
      <c r="J1062" s="112">
        <f>'Sampling Data'!I1054</f>
        <v>0</v>
      </c>
      <c r="K1062" s="112">
        <f>'Sampling Data'!J1054</f>
        <v>0</v>
      </c>
      <c r="L1062" s="111">
        <f>'Sampling Data'!X1054</f>
        <v>0</v>
      </c>
      <c r="M1062" s="114"/>
      <c r="N1062" s="114"/>
      <c r="O1062" s="115"/>
      <c r="P1062" s="115"/>
      <c r="Q1062" s="116"/>
      <c r="R1062" s="116"/>
      <c r="S1062" s="111">
        <f>Audit[[#This Row],[Audit Losing Candidate]]-Audit[[#This Row],[Losing Candidate]]</f>
        <v>0</v>
      </c>
      <c r="T1062" s="111">
        <f>Audit[[#This Row],[Audit Winning Candidate]]-Audit[[#This Row],[Winning Candidate]]</f>
        <v>0</v>
      </c>
      <c r="U1062" s="111">
        <f>Audit[[#This Row],[Audit Candidate 3]]-Audit[[#This Row],[Candidate 3]]</f>
        <v>0</v>
      </c>
      <c r="V1062" s="111">
        <f>Audit[[#This Row],[Audit Candidate 4]]-Audit[[#This Row],[Candidate 4]]</f>
        <v>0</v>
      </c>
      <c r="W1062" s="111">
        <f>Audit[[#This Row],[Audit Candidate 5]]-Audit[[#This Row],[Candidate 5]]</f>
        <v>0</v>
      </c>
      <c r="X1062" s="111">
        <f>Audit[[#This Row],[Audit Candidate 6]]-Audit[[#This Row],[Candidate 6]]</f>
        <v>0</v>
      </c>
      <c r="Y1062" s="111">
        <f>SUMIF(Audit[[#This Row],[Difference Loser]:[Difference Candidate 6]], "&gt;0")</f>
        <v>0</v>
      </c>
      <c r="Z1062" s="111">
        <f>SUM(Audit[[#This Row],[Difference Loser]:[Difference Candidate 6]])</f>
        <v>0</v>
      </c>
      <c r="AA1062" s="111">
        <f>IF(Audit[[#This Row],[Times p Drawn - With Replacement]]&gt;0, IF(Audit[[#This Row],[Canceled Differences]]&lt;0, Audit[[#This Row],[Max Differences]]+ABS(Audit[[#This Row],[Canceled Differences]]), Audit[[#This Row],[Max Differences]]), 0)</f>
        <v>0</v>
      </c>
      <c r="AB1062" s="111">
        <f>'Sampling Data'!P1054</f>
        <v>0</v>
      </c>
      <c r="AC1062" s="111">
        <f>IF(
      SUM(Audit[[#This Row],[Audit Losing Candidate]:[Audit Candidate 6]])
      &lt;&gt;0,
      (Audit[[#This Row],[Winning Candidate]]-Audit[[#This Row],[Losing Candidate]]-(Audit[[#This Row],[Audit Winning Candidate]]-Audit[[#This Row],[Audit Losing Candidate]]))/(Audit[[#Totals],[Winning Candidate]]-Audit[[#Totals],[Losing Candidate]]),
      0
)</f>
        <v>0</v>
      </c>
      <c r="AD10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2" s="111">
        <f>IF(Audit[[#This Row],[Max Relative Error (ep)]] = 0, 0, Audit[[#This Row],[Max Relative Error (ep)]]/Audit[[#This Row],[Error Bound (up) - Max. possible relative overstatement]])</f>
        <v>0</v>
      </c>
      <c r="AJ10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62" s="111">
        <f t="shared" si="16"/>
        <v>1</v>
      </c>
      <c r="AL1062" s="111">
        <f>PRODUCT($AK$5:AK1062)</f>
        <v>8.962823818226312E-2</v>
      </c>
      <c r="AM1062" s="109">
        <f>1 - [K-M P Value]</f>
        <v>0.91037176181773694</v>
      </c>
      <c r="AN1062" s="111" t="str">
        <f>IF(Audit[[#This Row],[K-M P Value]]&gt;1-'General Info'!$B$16,"Continue", "Stop")</f>
        <v>Stop</v>
      </c>
      <c r="AO1062" s="110" t="b">
        <f>IF(Audit[[#This Row],[Status - Continue or stop audit]] = "Continue", TRUE, IF(AN1061 = "Continue", TRUE, FALSE))</f>
        <v>0</v>
      </c>
      <c r="AP1062" s="110"/>
    </row>
    <row r="1063" spans="1:42" ht="15" hidden="1" customHeight="1">
      <c r="A1063" s="111" t="str">
        <f>'Sampling Data'!W1055</f>
        <v/>
      </c>
      <c r="B1063" s="112" t="str">
        <f>'Sampling Data'!A1055</f>
        <v>EAST CLEVELAND -04-F</v>
      </c>
      <c r="C1063" s="112">
        <f>'Sampling Data'!B1055</f>
        <v>1</v>
      </c>
      <c r="D1063" s="112">
        <f>'Sampling Data'!C1055</f>
        <v>1</v>
      </c>
      <c r="E1063" s="113">
        <f>'Sampling Data'!D1055</f>
        <v>0</v>
      </c>
      <c r="F1063" s="113">
        <f>'Sampling Data'!E1055</f>
        <v>0</v>
      </c>
      <c r="G1063" s="113">
        <f>'Sampling Data'!F1055</f>
        <v>0</v>
      </c>
      <c r="H1063" s="113">
        <f>'Sampling Data'!G1055</f>
        <v>0</v>
      </c>
      <c r="I1063" s="112">
        <f>'Sampling Data'!H1055</f>
        <v>0</v>
      </c>
      <c r="J1063" s="112">
        <f>'Sampling Data'!I1055</f>
        <v>0</v>
      </c>
      <c r="K1063" s="112">
        <f>'Sampling Data'!J1055</f>
        <v>2</v>
      </c>
      <c r="L1063" s="111">
        <f>'Sampling Data'!X1055</f>
        <v>0</v>
      </c>
      <c r="M1063" s="114"/>
      <c r="N1063" s="114"/>
      <c r="O1063" s="115"/>
      <c r="P1063" s="115"/>
      <c r="Q1063" s="116"/>
      <c r="R1063" s="116"/>
      <c r="S1063" s="111">
        <f>Audit[[#This Row],[Audit Losing Candidate]]-Audit[[#This Row],[Losing Candidate]]</f>
        <v>-1</v>
      </c>
      <c r="T1063" s="111">
        <f>Audit[[#This Row],[Audit Winning Candidate]]-Audit[[#This Row],[Winning Candidate]]</f>
        <v>-1</v>
      </c>
      <c r="U1063" s="111">
        <f>Audit[[#This Row],[Audit Candidate 3]]-Audit[[#This Row],[Candidate 3]]</f>
        <v>0</v>
      </c>
      <c r="V1063" s="111">
        <f>Audit[[#This Row],[Audit Candidate 4]]-Audit[[#This Row],[Candidate 4]]</f>
        <v>0</v>
      </c>
      <c r="W1063" s="111">
        <f>Audit[[#This Row],[Audit Candidate 5]]-Audit[[#This Row],[Candidate 5]]</f>
        <v>0</v>
      </c>
      <c r="X1063" s="111">
        <f>Audit[[#This Row],[Audit Candidate 6]]-Audit[[#This Row],[Candidate 6]]</f>
        <v>0</v>
      </c>
      <c r="Y1063" s="111">
        <f>SUMIF(Audit[[#This Row],[Difference Loser]:[Difference Candidate 6]], "&gt;0")</f>
        <v>0</v>
      </c>
      <c r="Z1063" s="111">
        <f>SUM(Audit[[#This Row],[Difference Loser]:[Difference Candidate 6]])</f>
        <v>-2</v>
      </c>
      <c r="AA1063" s="111">
        <f>IF(Audit[[#This Row],[Times p Drawn - With Replacement]]&gt;0, IF(Audit[[#This Row],[Canceled Differences]]&lt;0, Audit[[#This Row],[Max Differences]]+ABS(Audit[[#This Row],[Canceled Differences]]), Audit[[#This Row],[Max Differences]]), 0)</f>
        <v>0</v>
      </c>
      <c r="AB1063" s="111">
        <f>'Sampling Data'!P1055</f>
        <v>1.224889759921607E-4</v>
      </c>
      <c r="AC1063" s="111">
        <f>IF(
      SUM(Audit[[#This Row],[Audit Losing Candidate]:[Audit Candidate 6]])
      &lt;&gt;0,
      (Audit[[#This Row],[Winning Candidate]]-Audit[[#This Row],[Losing Candidate]]-(Audit[[#This Row],[Audit Winning Candidate]]-Audit[[#This Row],[Audit Losing Candidate]]))/(Audit[[#Totals],[Winning Candidate]]-Audit[[#Totals],[Losing Candidate]]),
      0
)</f>
        <v>0</v>
      </c>
      <c r="AD10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3" s="111">
        <f>IF(Audit[[#This Row],[Max Relative Error (ep)]] = 0, 0, Audit[[#This Row],[Max Relative Error (ep)]]/Audit[[#This Row],[Error Bound (up) - Max. possible relative overstatement]])</f>
        <v>0</v>
      </c>
      <c r="AJ10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63" s="111">
        <f t="shared" si="16"/>
        <v>1</v>
      </c>
      <c r="AL1063" s="111">
        <f>PRODUCT($AK$5:AK1063)</f>
        <v>8.962823818226312E-2</v>
      </c>
      <c r="AM1063" s="109">
        <f>1 - [K-M P Value]</f>
        <v>0.91037176181773694</v>
      </c>
      <c r="AN1063" s="111" t="str">
        <f>IF(Audit[[#This Row],[K-M P Value]]&gt;1-'General Info'!$B$16,"Continue", "Stop")</f>
        <v>Stop</v>
      </c>
      <c r="AO1063" s="110" t="b">
        <f>IF(Audit[[#This Row],[Status - Continue or stop audit]] = "Continue", TRUE, IF(AN1062 = "Continue", TRUE, FALSE))</f>
        <v>0</v>
      </c>
      <c r="AP1063" s="110"/>
    </row>
    <row r="1064" spans="1:42" ht="15" hidden="1" customHeight="1">
      <c r="A1064" s="111" t="str">
        <f>'Sampling Data'!W1056</f>
        <v/>
      </c>
      <c r="B1064" s="112" t="str">
        <f>'Sampling Data'!A1056</f>
        <v>EAST CLEVELAND -04-F - ABS</v>
      </c>
      <c r="C1064" s="112">
        <f>'Sampling Data'!B1056</f>
        <v>0</v>
      </c>
      <c r="D1064" s="112">
        <f>'Sampling Data'!C1056</f>
        <v>0</v>
      </c>
      <c r="E1064" s="113">
        <f>'Sampling Data'!D1056</f>
        <v>0</v>
      </c>
      <c r="F1064" s="113">
        <f>'Sampling Data'!E1056</f>
        <v>0</v>
      </c>
      <c r="G1064" s="113">
        <f>'Sampling Data'!F1056</f>
        <v>0</v>
      </c>
      <c r="H1064" s="113">
        <f>'Sampling Data'!G1056</f>
        <v>0</v>
      </c>
      <c r="I1064" s="112">
        <f>'Sampling Data'!H1056</f>
        <v>0</v>
      </c>
      <c r="J1064" s="112">
        <f>'Sampling Data'!I1056</f>
        <v>0</v>
      </c>
      <c r="K1064" s="112">
        <f>'Sampling Data'!J1056</f>
        <v>0</v>
      </c>
      <c r="L1064" s="111">
        <f>'Sampling Data'!X1056</f>
        <v>0</v>
      </c>
      <c r="M1064" s="114"/>
      <c r="N1064" s="114"/>
      <c r="O1064" s="115"/>
      <c r="P1064" s="115"/>
      <c r="Q1064" s="116"/>
      <c r="R1064" s="116"/>
      <c r="S1064" s="111">
        <f>Audit[[#This Row],[Audit Losing Candidate]]-Audit[[#This Row],[Losing Candidate]]</f>
        <v>0</v>
      </c>
      <c r="T1064" s="111">
        <f>Audit[[#This Row],[Audit Winning Candidate]]-Audit[[#This Row],[Winning Candidate]]</f>
        <v>0</v>
      </c>
      <c r="U1064" s="111">
        <f>Audit[[#This Row],[Audit Candidate 3]]-Audit[[#This Row],[Candidate 3]]</f>
        <v>0</v>
      </c>
      <c r="V1064" s="111">
        <f>Audit[[#This Row],[Audit Candidate 4]]-Audit[[#This Row],[Candidate 4]]</f>
        <v>0</v>
      </c>
      <c r="W1064" s="111">
        <f>Audit[[#This Row],[Audit Candidate 5]]-Audit[[#This Row],[Candidate 5]]</f>
        <v>0</v>
      </c>
      <c r="X1064" s="111">
        <f>Audit[[#This Row],[Audit Candidate 6]]-Audit[[#This Row],[Candidate 6]]</f>
        <v>0</v>
      </c>
      <c r="Y1064" s="111">
        <f>SUMIF(Audit[[#This Row],[Difference Loser]:[Difference Candidate 6]], "&gt;0")</f>
        <v>0</v>
      </c>
      <c r="Z1064" s="111">
        <f>SUM(Audit[[#This Row],[Difference Loser]:[Difference Candidate 6]])</f>
        <v>0</v>
      </c>
      <c r="AA1064" s="111">
        <f>IF(Audit[[#This Row],[Times p Drawn - With Replacement]]&gt;0, IF(Audit[[#This Row],[Canceled Differences]]&lt;0, Audit[[#This Row],[Max Differences]]+ABS(Audit[[#This Row],[Canceled Differences]]), Audit[[#This Row],[Max Differences]]), 0)</f>
        <v>0</v>
      </c>
      <c r="AB1064" s="111">
        <f>'Sampling Data'!P1056</f>
        <v>0</v>
      </c>
      <c r="AC1064" s="111">
        <f>IF(
      SUM(Audit[[#This Row],[Audit Losing Candidate]:[Audit Candidate 6]])
      &lt;&gt;0,
      (Audit[[#This Row],[Winning Candidate]]-Audit[[#This Row],[Losing Candidate]]-(Audit[[#This Row],[Audit Winning Candidate]]-Audit[[#This Row],[Audit Losing Candidate]]))/(Audit[[#Totals],[Winning Candidate]]-Audit[[#Totals],[Losing Candidate]]),
      0
)</f>
        <v>0</v>
      </c>
      <c r="AD10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4" s="111">
        <f>IF(Audit[[#This Row],[Max Relative Error (ep)]] = 0, 0, Audit[[#This Row],[Max Relative Error (ep)]]/Audit[[#This Row],[Error Bound (up) - Max. possible relative overstatement]])</f>
        <v>0</v>
      </c>
      <c r="AJ10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64" s="111">
        <f t="shared" si="16"/>
        <v>1</v>
      </c>
      <c r="AL1064" s="111">
        <f>PRODUCT($AK$5:AK1064)</f>
        <v>8.962823818226312E-2</v>
      </c>
      <c r="AM1064" s="109">
        <f>1 - [K-M P Value]</f>
        <v>0.91037176181773694</v>
      </c>
      <c r="AN1064" s="111" t="str">
        <f>IF(Audit[[#This Row],[K-M P Value]]&gt;1-'General Info'!$B$16,"Continue", "Stop")</f>
        <v>Stop</v>
      </c>
      <c r="AO1064" s="110" t="b">
        <f>IF(Audit[[#This Row],[Status - Continue or stop audit]] = "Continue", TRUE, IF(AN1063 = "Continue", TRUE, FALSE))</f>
        <v>0</v>
      </c>
      <c r="AP1064" s="110"/>
    </row>
    <row r="1065" spans="1:42" ht="15" hidden="1" customHeight="1">
      <c r="A1065" s="111" t="str">
        <f>'Sampling Data'!W1057</f>
        <v/>
      </c>
      <c r="B1065" s="112" t="str">
        <f>'Sampling Data'!A1057</f>
        <v>EUCLID -01-A</v>
      </c>
      <c r="C1065" s="112">
        <f>'Sampling Data'!B1057</f>
        <v>11</v>
      </c>
      <c r="D1065" s="112">
        <f>'Sampling Data'!C1057</f>
        <v>8</v>
      </c>
      <c r="E1065" s="113">
        <f>'Sampling Data'!D1057</f>
        <v>7</v>
      </c>
      <c r="F1065" s="113">
        <f>'Sampling Data'!E1057</f>
        <v>1</v>
      </c>
      <c r="G1065" s="113">
        <f>'Sampling Data'!F1057</f>
        <v>0</v>
      </c>
      <c r="H1065" s="113">
        <f>'Sampling Data'!G1057</f>
        <v>1</v>
      </c>
      <c r="I1065" s="112">
        <f>'Sampling Data'!H1057</f>
        <v>0</v>
      </c>
      <c r="J1065" s="112">
        <f>'Sampling Data'!I1057</f>
        <v>1</v>
      </c>
      <c r="K1065" s="112">
        <f>'Sampling Data'!J1057</f>
        <v>29</v>
      </c>
      <c r="L1065" s="111">
        <f>'Sampling Data'!X1057</f>
        <v>0</v>
      </c>
      <c r="M1065" s="114"/>
      <c r="N1065" s="114"/>
      <c r="O1065" s="115"/>
      <c r="P1065" s="115"/>
      <c r="Q1065" s="116"/>
      <c r="R1065" s="116"/>
      <c r="S1065" s="111">
        <f>Audit[[#This Row],[Audit Losing Candidate]]-Audit[[#This Row],[Losing Candidate]]</f>
        <v>-11</v>
      </c>
      <c r="T1065" s="111">
        <f>Audit[[#This Row],[Audit Winning Candidate]]-Audit[[#This Row],[Winning Candidate]]</f>
        <v>-8</v>
      </c>
      <c r="U1065" s="111">
        <f>Audit[[#This Row],[Audit Candidate 3]]-Audit[[#This Row],[Candidate 3]]</f>
        <v>-7</v>
      </c>
      <c r="V1065" s="111">
        <f>Audit[[#This Row],[Audit Candidate 4]]-Audit[[#This Row],[Candidate 4]]</f>
        <v>-1</v>
      </c>
      <c r="W1065" s="111">
        <f>Audit[[#This Row],[Audit Candidate 5]]-Audit[[#This Row],[Candidate 5]]</f>
        <v>0</v>
      </c>
      <c r="X1065" s="111">
        <f>Audit[[#This Row],[Audit Candidate 6]]-Audit[[#This Row],[Candidate 6]]</f>
        <v>-1</v>
      </c>
      <c r="Y1065" s="111">
        <f>SUMIF(Audit[[#This Row],[Difference Loser]:[Difference Candidate 6]], "&gt;0")</f>
        <v>0</v>
      </c>
      <c r="Z1065" s="111">
        <f>SUM(Audit[[#This Row],[Difference Loser]:[Difference Candidate 6]])</f>
        <v>-28</v>
      </c>
      <c r="AA1065" s="111">
        <f>IF(Audit[[#This Row],[Times p Drawn - With Replacement]]&gt;0, IF(Audit[[#This Row],[Canceled Differences]]&lt;0, Audit[[#This Row],[Max Differences]]+ABS(Audit[[#This Row],[Canceled Differences]]), Audit[[#This Row],[Max Differences]]), 0)</f>
        <v>0</v>
      </c>
      <c r="AB1065" s="111">
        <f>'Sampling Data'!P1057</f>
        <v>1.5923566878980893E-3</v>
      </c>
      <c r="AC1065" s="111">
        <f>IF(
      SUM(Audit[[#This Row],[Audit Losing Candidate]:[Audit Candidate 6]])
      &lt;&gt;0,
      (Audit[[#This Row],[Winning Candidate]]-Audit[[#This Row],[Losing Candidate]]-(Audit[[#This Row],[Audit Winning Candidate]]-Audit[[#This Row],[Audit Losing Candidate]]))/(Audit[[#Totals],[Winning Candidate]]-Audit[[#Totals],[Losing Candidate]]),
      0
)</f>
        <v>0</v>
      </c>
      <c r="AD10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5" s="111">
        <f>IF(Audit[[#This Row],[Max Relative Error (ep)]] = 0, 0, Audit[[#This Row],[Max Relative Error (ep)]]/Audit[[#This Row],[Error Bound (up) - Max. possible relative overstatement]])</f>
        <v>0</v>
      </c>
      <c r="AJ10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65" s="111">
        <f t="shared" si="16"/>
        <v>1</v>
      </c>
      <c r="AL1065" s="111">
        <f>PRODUCT($AK$5:AK1065)</f>
        <v>8.962823818226312E-2</v>
      </c>
      <c r="AM1065" s="109">
        <f>1 - [K-M P Value]</f>
        <v>0.91037176181773694</v>
      </c>
      <c r="AN1065" s="111" t="str">
        <f>IF(Audit[[#This Row],[K-M P Value]]&gt;1-'General Info'!$B$16,"Continue", "Stop")</f>
        <v>Stop</v>
      </c>
      <c r="AO1065" s="110" t="b">
        <f>IF(Audit[[#This Row],[Status - Continue or stop audit]] = "Continue", TRUE, IF(AN1064 = "Continue", TRUE, FALSE))</f>
        <v>0</v>
      </c>
      <c r="AP1065" s="110"/>
    </row>
    <row r="1066" spans="1:42" ht="15" hidden="1" customHeight="1">
      <c r="A1066" s="111" t="str">
        <f>'Sampling Data'!W1058</f>
        <v/>
      </c>
      <c r="B1066" s="112" t="str">
        <f>'Sampling Data'!A1058</f>
        <v>EUCLID -01-A - ABS</v>
      </c>
      <c r="C1066" s="112">
        <f>'Sampling Data'!B1058</f>
        <v>3</v>
      </c>
      <c r="D1066" s="112">
        <f>'Sampling Data'!C1058</f>
        <v>8</v>
      </c>
      <c r="E1066" s="113">
        <f>'Sampling Data'!D1058</f>
        <v>1</v>
      </c>
      <c r="F1066" s="113">
        <f>'Sampling Data'!E1058</f>
        <v>1</v>
      </c>
      <c r="G1066" s="113">
        <f>'Sampling Data'!F1058</f>
        <v>0</v>
      </c>
      <c r="H1066" s="113">
        <f>'Sampling Data'!G1058</f>
        <v>0</v>
      </c>
      <c r="I1066" s="112">
        <f>'Sampling Data'!H1058</f>
        <v>0</v>
      </c>
      <c r="J1066" s="112">
        <f>'Sampling Data'!I1058</f>
        <v>0</v>
      </c>
      <c r="K1066" s="112">
        <f>'Sampling Data'!J1058</f>
        <v>13</v>
      </c>
      <c r="L1066" s="111">
        <f>'Sampling Data'!X1058</f>
        <v>0</v>
      </c>
      <c r="M1066" s="114"/>
      <c r="N1066" s="114"/>
      <c r="O1066" s="115"/>
      <c r="P1066" s="115"/>
      <c r="Q1066" s="116"/>
      <c r="R1066" s="116"/>
      <c r="S1066" s="111">
        <f>Audit[[#This Row],[Audit Losing Candidate]]-Audit[[#This Row],[Losing Candidate]]</f>
        <v>-3</v>
      </c>
      <c r="T1066" s="111">
        <f>Audit[[#This Row],[Audit Winning Candidate]]-Audit[[#This Row],[Winning Candidate]]</f>
        <v>-8</v>
      </c>
      <c r="U1066" s="111">
        <f>Audit[[#This Row],[Audit Candidate 3]]-Audit[[#This Row],[Candidate 3]]</f>
        <v>-1</v>
      </c>
      <c r="V1066" s="111">
        <f>Audit[[#This Row],[Audit Candidate 4]]-Audit[[#This Row],[Candidate 4]]</f>
        <v>-1</v>
      </c>
      <c r="W1066" s="111">
        <f>Audit[[#This Row],[Audit Candidate 5]]-Audit[[#This Row],[Candidate 5]]</f>
        <v>0</v>
      </c>
      <c r="X1066" s="111">
        <f>Audit[[#This Row],[Audit Candidate 6]]-Audit[[#This Row],[Candidate 6]]</f>
        <v>0</v>
      </c>
      <c r="Y1066" s="111">
        <f>SUMIF(Audit[[#This Row],[Difference Loser]:[Difference Candidate 6]], "&gt;0")</f>
        <v>0</v>
      </c>
      <c r="Z1066" s="111">
        <f>SUM(Audit[[#This Row],[Difference Loser]:[Difference Candidate 6]])</f>
        <v>-13</v>
      </c>
      <c r="AA1066" s="111">
        <f>IF(Audit[[#This Row],[Times p Drawn - With Replacement]]&gt;0, IF(Audit[[#This Row],[Canceled Differences]]&lt;0, Audit[[#This Row],[Max Differences]]+ABS(Audit[[#This Row],[Canceled Differences]]), Audit[[#This Row],[Max Differences]]), 0)</f>
        <v>0</v>
      </c>
      <c r="AB1066" s="111">
        <f>'Sampling Data'!P1058</f>
        <v>1.1024007839294464E-3</v>
      </c>
      <c r="AC1066" s="111">
        <f>IF(
      SUM(Audit[[#This Row],[Audit Losing Candidate]:[Audit Candidate 6]])
      &lt;&gt;0,
      (Audit[[#This Row],[Winning Candidate]]-Audit[[#This Row],[Losing Candidate]]-(Audit[[#This Row],[Audit Winning Candidate]]-Audit[[#This Row],[Audit Losing Candidate]]))/(Audit[[#Totals],[Winning Candidate]]-Audit[[#Totals],[Losing Candidate]]),
      0
)</f>
        <v>0</v>
      </c>
      <c r="AD10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6" s="111">
        <f>IF(Audit[[#This Row],[Max Relative Error (ep)]] = 0, 0, Audit[[#This Row],[Max Relative Error (ep)]]/Audit[[#This Row],[Error Bound (up) - Max. possible relative overstatement]])</f>
        <v>0</v>
      </c>
      <c r="AJ10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66" s="111">
        <f t="shared" si="16"/>
        <v>1</v>
      </c>
      <c r="AL1066" s="111">
        <f>PRODUCT($AK$5:AK1066)</f>
        <v>8.962823818226312E-2</v>
      </c>
      <c r="AM1066" s="109">
        <f>1 - [K-M P Value]</f>
        <v>0.91037176181773694</v>
      </c>
      <c r="AN1066" s="111" t="str">
        <f>IF(Audit[[#This Row],[K-M P Value]]&gt;1-'General Info'!$B$16,"Continue", "Stop")</f>
        <v>Stop</v>
      </c>
      <c r="AO1066" s="110" t="b">
        <f>IF(Audit[[#This Row],[Status - Continue or stop audit]] = "Continue", TRUE, IF(AN1065 = "Continue", TRUE, FALSE))</f>
        <v>0</v>
      </c>
      <c r="AP1066" s="110"/>
    </row>
    <row r="1067" spans="1:42" ht="15" hidden="1" customHeight="1">
      <c r="A1067" s="111" t="str">
        <f>'Sampling Data'!W1059</f>
        <v/>
      </c>
      <c r="B1067" s="112" t="str">
        <f>'Sampling Data'!A1059</f>
        <v>EUCLID -01-B</v>
      </c>
      <c r="C1067" s="112">
        <f>'Sampling Data'!B1059</f>
        <v>1</v>
      </c>
      <c r="D1067" s="112">
        <f>'Sampling Data'!C1059</f>
        <v>5</v>
      </c>
      <c r="E1067" s="113">
        <f>'Sampling Data'!D1059</f>
        <v>2</v>
      </c>
      <c r="F1067" s="113">
        <f>'Sampling Data'!E1059</f>
        <v>3</v>
      </c>
      <c r="G1067" s="113">
        <f>'Sampling Data'!F1059</f>
        <v>0</v>
      </c>
      <c r="H1067" s="113">
        <f>'Sampling Data'!G1059</f>
        <v>0</v>
      </c>
      <c r="I1067" s="112">
        <f>'Sampling Data'!H1059</f>
        <v>0</v>
      </c>
      <c r="J1067" s="112">
        <f>'Sampling Data'!I1059</f>
        <v>0</v>
      </c>
      <c r="K1067" s="112">
        <f>'Sampling Data'!J1059</f>
        <v>11</v>
      </c>
      <c r="L1067" s="111">
        <f>'Sampling Data'!X1059</f>
        <v>0</v>
      </c>
      <c r="M1067" s="114"/>
      <c r="N1067" s="114"/>
      <c r="O1067" s="115"/>
      <c r="P1067" s="115"/>
      <c r="Q1067" s="116"/>
      <c r="R1067" s="116"/>
      <c r="S1067" s="111">
        <f>Audit[[#This Row],[Audit Losing Candidate]]-Audit[[#This Row],[Losing Candidate]]</f>
        <v>-1</v>
      </c>
      <c r="T1067" s="111">
        <f>Audit[[#This Row],[Audit Winning Candidate]]-Audit[[#This Row],[Winning Candidate]]</f>
        <v>-5</v>
      </c>
      <c r="U1067" s="111">
        <f>Audit[[#This Row],[Audit Candidate 3]]-Audit[[#This Row],[Candidate 3]]</f>
        <v>-2</v>
      </c>
      <c r="V1067" s="111">
        <f>Audit[[#This Row],[Audit Candidate 4]]-Audit[[#This Row],[Candidate 4]]</f>
        <v>-3</v>
      </c>
      <c r="W1067" s="111">
        <f>Audit[[#This Row],[Audit Candidate 5]]-Audit[[#This Row],[Candidate 5]]</f>
        <v>0</v>
      </c>
      <c r="X1067" s="111">
        <f>Audit[[#This Row],[Audit Candidate 6]]-Audit[[#This Row],[Candidate 6]]</f>
        <v>0</v>
      </c>
      <c r="Y1067" s="111">
        <f>SUMIF(Audit[[#This Row],[Difference Loser]:[Difference Candidate 6]], "&gt;0")</f>
        <v>0</v>
      </c>
      <c r="Z1067" s="111">
        <f>SUM(Audit[[#This Row],[Difference Loser]:[Difference Candidate 6]])</f>
        <v>-11</v>
      </c>
      <c r="AA1067" s="111">
        <f>IF(Audit[[#This Row],[Times p Drawn - With Replacement]]&gt;0, IF(Audit[[#This Row],[Canceled Differences]]&lt;0, Audit[[#This Row],[Max Differences]]+ABS(Audit[[#This Row],[Canceled Differences]]), Audit[[#This Row],[Max Differences]]), 0)</f>
        <v>0</v>
      </c>
      <c r="AB1067" s="111">
        <f>'Sampling Data'!P1059</f>
        <v>9.1866731994120533E-4</v>
      </c>
      <c r="AC1067" s="111">
        <f>IF(
      SUM(Audit[[#This Row],[Audit Losing Candidate]:[Audit Candidate 6]])
      &lt;&gt;0,
      (Audit[[#This Row],[Winning Candidate]]-Audit[[#This Row],[Losing Candidate]]-(Audit[[#This Row],[Audit Winning Candidate]]-Audit[[#This Row],[Audit Losing Candidate]]))/(Audit[[#Totals],[Winning Candidate]]-Audit[[#Totals],[Losing Candidate]]),
      0
)</f>
        <v>0</v>
      </c>
      <c r="AD10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7" s="111">
        <f>IF(Audit[[#This Row],[Max Relative Error (ep)]] = 0, 0, Audit[[#This Row],[Max Relative Error (ep)]]/Audit[[#This Row],[Error Bound (up) - Max. possible relative overstatement]])</f>
        <v>0</v>
      </c>
      <c r="AJ10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67" s="111">
        <f t="shared" si="16"/>
        <v>1</v>
      </c>
      <c r="AL1067" s="111">
        <f>PRODUCT($AK$5:AK1067)</f>
        <v>8.962823818226312E-2</v>
      </c>
      <c r="AM1067" s="109">
        <f>1 - [K-M P Value]</f>
        <v>0.91037176181773694</v>
      </c>
      <c r="AN1067" s="111" t="str">
        <f>IF(Audit[[#This Row],[K-M P Value]]&gt;1-'General Info'!$B$16,"Continue", "Stop")</f>
        <v>Stop</v>
      </c>
      <c r="AO1067" s="110" t="b">
        <f>IF(Audit[[#This Row],[Status - Continue or stop audit]] = "Continue", TRUE, IF(AN1066 = "Continue", TRUE, FALSE))</f>
        <v>0</v>
      </c>
      <c r="AP1067" s="110"/>
    </row>
    <row r="1068" spans="1:42" ht="15" hidden="1" customHeight="1">
      <c r="A1068" s="111" t="str">
        <f>'Sampling Data'!W1060</f>
        <v/>
      </c>
      <c r="B1068" s="112" t="str">
        <f>'Sampling Data'!A1060</f>
        <v>EUCLID -01-B - ABS</v>
      </c>
      <c r="C1068" s="112">
        <f>'Sampling Data'!B1060</f>
        <v>3</v>
      </c>
      <c r="D1068" s="112">
        <f>'Sampling Data'!C1060</f>
        <v>2</v>
      </c>
      <c r="E1068" s="113">
        <f>'Sampling Data'!D1060</f>
        <v>1</v>
      </c>
      <c r="F1068" s="113">
        <f>'Sampling Data'!E1060</f>
        <v>1</v>
      </c>
      <c r="G1068" s="113">
        <f>'Sampling Data'!F1060</f>
        <v>0</v>
      </c>
      <c r="H1068" s="113">
        <f>'Sampling Data'!G1060</f>
        <v>0</v>
      </c>
      <c r="I1068" s="112">
        <f>'Sampling Data'!H1060</f>
        <v>0</v>
      </c>
      <c r="J1068" s="112">
        <f>'Sampling Data'!I1060</f>
        <v>0</v>
      </c>
      <c r="K1068" s="112">
        <f>'Sampling Data'!J1060</f>
        <v>7</v>
      </c>
      <c r="L1068" s="111">
        <f>'Sampling Data'!X1060</f>
        <v>0</v>
      </c>
      <c r="M1068" s="114"/>
      <c r="N1068" s="114"/>
      <c r="O1068" s="115"/>
      <c r="P1068" s="115"/>
      <c r="Q1068" s="116"/>
      <c r="R1068" s="116"/>
      <c r="S1068" s="111">
        <f>Audit[[#This Row],[Audit Losing Candidate]]-Audit[[#This Row],[Losing Candidate]]</f>
        <v>-3</v>
      </c>
      <c r="T1068" s="111">
        <f>Audit[[#This Row],[Audit Winning Candidate]]-Audit[[#This Row],[Winning Candidate]]</f>
        <v>-2</v>
      </c>
      <c r="U1068" s="111">
        <f>Audit[[#This Row],[Audit Candidate 3]]-Audit[[#This Row],[Candidate 3]]</f>
        <v>-1</v>
      </c>
      <c r="V1068" s="111">
        <f>Audit[[#This Row],[Audit Candidate 4]]-Audit[[#This Row],[Candidate 4]]</f>
        <v>-1</v>
      </c>
      <c r="W1068" s="111">
        <f>Audit[[#This Row],[Audit Candidate 5]]-Audit[[#This Row],[Candidate 5]]</f>
        <v>0</v>
      </c>
      <c r="X1068" s="111">
        <f>Audit[[#This Row],[Audit Candidate 6]]-Audit[[#This Row],[Candidate 6]]</f>
        <v>0</v>
      </c>
      <c r="Y1068" s="111">
        <f>SUMIF(Audit[[#This Row],[Difference Loser]:[Difference Candidate 6]], "&gt;0")</f>
        <v>0</v>
      </c>
      <c r="Z1068" s="111">
        <f>SUM(Audit[[#This Row],[Difference Loser]:[Difference Candidate 6]])</f>
        <v>-7</v>
      </c>
      <c r="AA1068" s="111">
        <f>IF(Audit[[#This Row],[Times p Drawn - With Replacement]]&gt;0, IF(Audit[[#This Row],[Canceled Differences]]&lt;0, Audit[[#This Row],[Max Differences]]+ABS(Audit[[#This Row],[Canceled Differences]]), Audit[[#This Row],[Max Differences]]), 0)</f>
        <v>0</v>
      </c>
      <c r="AB1068" s="111">
        <f>'Sampling Data'!P1060</f>
        <v>3.6746692797648211E-4</v>
      </c>
      <c r="AC1068" s="111">
        <f>IF(
      SUM(Audit[[#This Row],[Audit Losing Candidate]:[Audit Candidate 6]])
      &lt;&gt;0,
      (Audit[[#This Row],[Winning Candidate]]-Audit[[#This Row],[Losing Candidate]]-(Audit[[#This Row],[Audit Winning Candidate]]-Audit[[#This Row],[Audit Losing Candidate]]))/(Audit[[#Totals],[Winning Candidate]]-Audit[[#Totals],[Losing Candidate]]),
      0
)</f>
        <v>0</v>
      </c>
      <c r="AD10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8" s="111">
        <f>IF(Audit[[#This Row],[Max Relative Error (ep)]] = 0, 0, Audit[[#This Row],[Max Relative Error (ep)]]/Audit[[#This Row],[Error Bound (up) - Max. possible relative overstatement]])</f>
        <v>0</v>
      </c>
      <c r="AJ10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68" s="111">
        <f t="shared" si="16"/>
        <v>1</v>
      </c>
      <c r="AL1068" s="111">
        <f>PRODUCT($AK$5:AK1068)</f>
        <v>8.962823818226312E-2</v>
      </c>
      <c r="AM1068" s="109">
        <f>1 - [K-M P Value]</f>
        <v>0.91037176181773694</v>
      </c>
      <c r="AN1068" s="111" t="str">
        <f>IF(Audit[[#This Row],[K-M P Value]]&gt;1-'General Info'!$B$16,"Continue", "Stop")</f>
        <v>Stop</v>
      </c>
      <c r="AO1068" s="110" t="b">
        <f>IF(Audit[[#This Row],[Status - Continue or stop audit]] = "Continue", TRUE, IF(AN1067 = "Continue", TRUE, FALSE))</f>
        <v>0</v>
      </c>
      <c r="AP1068" s="110"/>
    </row>
    <row r="1069" spans="1:42" ht="15" hidden="1" customHeight="1">
      <c r="A1069" s="111" t="str">
        <f>'Sampling Data'!W1061</f>
        <v/>
      </c>
      <c r="B1069" s="112" t="str">
        <f>'Sampling Data'!A1061</f>
        <v>EUCLID -01-C</v>
      </c>
      <c r="C1069" s="112">
        <f>'Sampling Data'!B1061</f>
        <v>3</v>
      </c>
      <c r="D1069" s="112">
        <f>'Sampling Data'!C1061</f>
        <v>7</v>
      </c>
      <c r="E1069" s="113">
        <f>'Sampling Data'!D1061</f>
        <v>2</v>
      </c>
      <c r="F1069" s="113">
        <f>'Sampling Data'!E1061</f>
        <v>2</v>
      </c>
      <c r="G1069" s="113">
        <f>'Sampling Data'!F1061</f>
        <v>0</v>
      </c>
      <c r="H1069" s="113">
        <f>'Sampling Data'!G1061</f>
        <v>0</v>
      </c>
      <c r="I1069" s="112">
        <f>'Sampling Data'!H1061</f>
        <v>0</v>
      </c>
      <c r="J1069" s="112">
        <f>'Sampling Data'!I1061</f>
        <v>0</v>
      </c>
      <c r="K1069" s="112">
        <f>'Sampling Data'!J1061</f>
        <v>14</v>
      </c>
      <c r="L1069" s="111">
        <f>'Sampling Data'!X1061</f>
        <v>0</v>
      </c>
      <c r="M1069" s="114"/>
      <c r="N1069" s="114"/>
      <c r="O1069" s="115"/>
      <c r="P1069" s="115"/>
      <c r="Q1069" s="116"/>
      <c r="R1069" s="116"/>
      <c r="S1069" s="111">
        <f>Audit[[#This Row],[Audit Losing Candidate]]-Audit[[#This Row],[Losing Candidate]]</f>
        <v>-3</v>
      </c>
      <c r="T1069" s="111">
        <f>Audit[[#This Row],[Audit Winning Candidate]]-Audit[[#This Row],[Winning Candidate]]</f>
        <v>-7</v>
      </c>
      <c r="U1069" s="111">
        <f>Audit[[#This Row],[Audit Candidate 3]]-Audit[[#This Row],[Candidate 3]]</f>
        <v>-2</v>
      </c>
      <c r="V1069" s="111">
        <f>Audit[[#This Row],[Audit Candidate 4]]-Audit[[#This Row],[Candidate 4]]</f>
        <v>-2</v>
      </c>
      <c r="W1069" s="111">
        <f>Audit[[#This Row],[Audit Candidate 5]]-Audit[[#This Row],[Candidate 5]]</f>
        <v>0</v>
      </c>
      <c r="X1069" s="111">
        <f>Audit[[#This Row],[Audit Candidate 6]]-Audit[[#This Row],[Candidate 6]]</f>
        <v>0</v>
      </c>
      <c r="Y1069" s="111">
        <f>SUMIF(Audit[[#This Row],[Difference Loser]:[Difference Candidate 6]], "&gt;0")</f>
        <v>0</v>
      </c>
      <c r="Z1069" s="111">
        <f>SUM(Audit[[#This Row],[Difference Loser]:[Difference Candidate 6]])</f>
        <v>-14</v>
      </c>
      <c r="AA1069" s="111">
        <f>IF(Audit[[#This Row],[Times p Drawn - With Replacement]]&gt;0, IF(Audit[[#This Row],[Canceled Differences]]&lt;0, Audit[[#This Row],[Max Differences]]+ABS(Audit[[#This Row],[Canceled Differences]]), Audit[[#This Row],[Max Differences]]), 0)</f>
        <v>0</v>
      </c>
      <c r="AB1069" s="111">
        <f>'Sampling Data'!P1061</f>
        <v>1.1024007839294464E-3</v>
      </c>
      <c r="AC1069" s="111">
        <f>IF(
      SUM(Audit[[#This Row],[Audit Losing Candidate]:[Audit Candidate 6]])
      &lt;&gt;0,
      (Audit[[#This Row],[Winning Candidate]]-Audit[[#This Row],[Losing Candidate]]-(Audit[[#This Row],[Audit Winning Candidate]]-Audit[[#This Row],[Audit Losing Candidate]]))/(Audit[[#Totals],[Winning Candidate]]-Audit[[#Totals],[Losing Candidate]]),
      0
)</f>
        <v>0</v>
      </c>
      <c r="AD10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9" s="111">
        <f>IF(Audit[[#This Row],[Max Relative Error (ep)]] = 0, 0, Audit[[#This Row],[Max Relative Error (ep)]]/Audit[[#This Row],[Error Bound (up) - Max. possible relative overstatement]])</f>
        <v>0</v>
      </c>
      <c r="AJ10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69" s="111">
        <f t="shared" si="16"/>
        <v>1</v>
      </c>
      <c r="AL1069" s="111">
        <f>PRODUCT($AK$5:AK1069)</f>
        <v>8.962823818226312E-2</v>
      </c>
      <c r="AM1069" s="109">
        <f>1 - [K-M P Value]</f>
        <v>0.91037176181773694</v>
      </c>
      <c r="AN1069" s="111" t="str">
        <f>IF(Audit[[#This Row],[K-M P Value]]&gt;1-'General Info'!$B$16,"Continue", "Stop")</f>
        <v>Stop</v>
      </c>
      <c r="AO1069" s="110" t="b">
        <f>IF(Audit[[#This Row],[Status - Continue or stop audit]] = "Continue", TRUE, IF(AN1068 = "Continue", TRUE, FALSE))</f>
        <v>0</v>
      </c>
      <c r="AP1069" s="110"/>
    </row>
    <row r="1070" spans="1:42" ht="15" hidden="1" customHeight="1">
      <c r="A1070" s="111" t="str">
        <f>'Sampling Data'!W1062</f>
        <v/>
      </c>
      <c r="B1070" s="112" t="str">
        <f>'Sampling Data'!A1062</f>
        <v>EUCLID -01-C - ABS</v>
      </c>
      <c r="C1070" s="112">
        <f>'Sampling Data'!B1062</f>
        <v>2</v>
      </c>
      <c r="D1070" s="112">
        <f>'Sampling Data'!C1062</f>
        <v>4</v>
      </c>
      <c r="E1070" s="113">
        <f>'Sampling Data'!D1062</f>
        <v>2</v>
      </c>
      <c r="F1070" s="113">
        <f>'Sampling Data'!E1062</f>
        <v>0</v>
      </c>
      <c r="G1070" s="113">
        <f>'Sampling Data'!F1062</f>
        <v>0</v>
      </c>
      <c r="H1070" s="113">
        <f>'Sampling Data'!G1062</f>
        <v>1</v>
      </c>
      <c r="I1070" s="112">
        <f>'Sampling Data'!H1062</f>
        <v>0</v>
      </c>
      <c r="J1070" s="112">
        <f>'Sampling Data'!I1062</f>
        <v>0</v>
      </c>
      <c r="K1070" s="112">
        <f>'Sampling Data'!J1062</f>
        <v>9</v>
      </c>
      <c r="L1070" s="111">
        <f>'Sampling Data'!X1062</f>
        <v>0</v>
      </c>
      <c r="M1070" s="114"/>
      <c r="N1070" s="114"/>
      <c r="O1070" s="115"/>
      <c r="P1070" s="115"/>
      <c r="Q1070" s="116"/>
      <c r="R1070" s="116"/>
      <c r="S1070" s="111">
        <f>Audit[[#This Row],[Audit Losing Candidate]]-Audit[[#This Row],[Losing Candidate]]</f>
        <v>-2</v>
      </c>
      <c r="T1070" s="111">
        <f>Audit[[#This Row],[Audit Winning Candidate]]-Audit[[#This Row],[Winning Candidate]]</f>
        <v>-4</v>
      </c>
      <c r="U1070" s="111">
        <f>Audit[[#This Row],[Audit Candidate 3]]-Audit[[#This Row],[Candidate 3]]</f>
        <v>-2</v>
      </c>
      <c r="V1070" s="111">
        <f>Audit[[#This Row],[Audit Candidate 4]]-Audit[[#This Row],[Candidate 4]]</f>
        <v>0</v>
      </c>
      <c r="W1070" s="111">
        <f>Audit[[#This Row],[Audit Candidate 5]]-Audit[[#This Row],[Candidate 5]]</f>
        <v>0</v>
      </c>
      <c r="X1070" s="111">
        <f>Audit[[#This Row],[Audit Candidate 6]]-Audit[[#This Row],[Candidate 6]]</f>
        <v>-1</v>
      </c>
      <c r="Y1070" s="111">
        <f>SUMIF(Audit[[#This Row],[Difference Loser]:[Difference Candidate 6]], "&gt;0")</f>
        <v>0</v>
      </c>
      <c r="Z1070" s="111">
        <f>SUM(Audit[[#This Row],[Difference Loser]:[Difference Candidate 6]])</f>
        <v>-9</v>
      </c>
      <c r="AA1070" s="111">
        <f>IF(Audit[[#This Row],[Times p Drawn - With Replacement]]&gt;0, IF(Audit[[#This Row],[Canceled Differences]]&lt;0, Audit[[#This Row],[Max Differences]]+ABS(Audit[[#This Row],[Canceled Differences]]), Audit[[#This Row],[Max Differences]]), 0)</f>
        <v>0</v>
      </c>
      <c r="AB1070" s="111">
        <f>'Sampling Data'!P1062</f>
        <v>6.7368936795688392E-4</v>
      </c>
      <c r="AC1070" s="111">
        <f>IF(
      SUM(Audit[[#This Row],[Audit Losing Candidate]:[Audit Candidate 6]])
      &lt;&gt;0,
      (Audit[[#This Row],[Winning Candidate]]-Audit[[#This Row],[Losing Candidate]]-(Audit[[#This Row],[Audit Winning Candidate]]-Audit[[#This Row],[Audit Losing Candidate]]))/(Audit[[#Totals],[Winning Candidate]]-Audit[[#Totals],[Losing Candidate]]),
      0
)</f>
        <v>0</v>
      </c>
      <c r="AD10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0" s="111">
        <f>IF(Audit[[#This Row],[Max Relative Error (ep)]] = 0, 0, Audit[[#This Row],[Max Relative Error (ep)]]/Audit[[#This Row],[Error Bound (up) - Max. possible relative overstatement]])</f>
        <v>0</v>
      </c>
      <c r="AJ10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70" s="111">
        <f t="shared" si="16"/>
        <v>1</v>
      </c>
      <c r="AL1070" s="111">
        <f>PRODUCT($AK$5:AK1070)</f>
        <v>8.962823818226312E-2</v>
      </c>
      <c r="AM1070" s="109">
        <f>1 - [K-M P Value]</f>
        <v>0.91037176181773694</v>
      </c>
      <c r="AN1070" s="111" t="str">
        <f>IF(Audit[[#This Row],[K-M P Value]]&gt;1-'General Info'!$B$16,"Continue", "Stop")</f>
        <v>Stop</v>
      </c>
      <c r="AO1070" s="110" t="b">
        <f>IF(Audit[[#This Row],[Status - Continue or stop audit]] = "Continue", TRUE, IF(AN1069 = "Continue", TRUE, FALSE))</f>
        <v>0</v>
      </c>
      <c r="AP1070" s="110"/>
    </row>
    <row r="1071" spans="1:42" ht="15" hidden="1" customHeight="1">
      <c r="A1071" s="111" t="str">
        <f>'Sampling Data'!W1063</f>
        <v/>
      </c>
      <c r="B1071" s="112" t="str">
        <f>'Sampling Data'!A1063</f>
        <v>EUCLID -01-D</v>
      </c>
      <c r="C1071" s="112">
        <f>'Sampling Data'!B1063</f>
        <v>0</v>
      </c>
      <c r="D1071" s="112">
        <f>'Sampling Data'!C1063</f>
        <v>1</v>
      </c>
      <c r="E1071" s="113">
        <f>'Sampling Data'!D1063</f>
        <v>1</v>
      </c>
      <c r="F1071" s="113">
        <f>'Sampling Data'!E1063</f>
        <v>1</v>
      </c>
      <c r="G1071" s="113">
        <f>'Sampling Data'!F1063</f>
        <v>0</v>
      </c>
      <c r="H1071" s="113">
        <f>'Sampling Data'!G1063</f>
        <v>0</v>
      </c>
      <c r="I1071" s="112">
        <f>'Sampling Data'!H1063</f>
        <v>0</v>
      </c>
      <c r="J1071" s="112">
        <f>'Sampling Data'!I1063</f>
        <v>0</v>
      </c>
      <c r="K1071" s="112">
        <f>'Sampling Data'!J1063</f>
        <v>3</v>
      </c>
      <c r="L1071" s="111">
        <f>'Sampling Data'!X1063</f>
        <v>0</v>
      </c>
      <c r="M1071" s="114"/>
      <c r="N1071" s="114"/>
      <c r="O1071" s="115"/>
      <c r="P1071" s="115"/>
      <c r="Q1071" s="116"/>
      <c r="R1071" s="116"/>
      <c r="S1071" s="111">
        <f>Audit[[#This Row],[Audit Losing Candidate]]-Audit[[#This Row],[Losing Candidate]]</f>
        <v>0</v>
      </c>
      <c r="T1071" s="111">
        <f>Audit[[#This Row],[Audit Winning Candidate]]-Audit[[#This Row],[Winning Candidate]]</f>
        <v>-1</v>
      </c>
      <c r="U1071" s="111">
        <f>Audit[[#This Row],[Audit Candidate 3]]-Audit[[#This Row],[Candidate 3]]</f>
        <v>-1</v>
      </c>
      <c r="V1071" s="111">
        <f>Audit[[#This Row],[Audit Candidate 4]]-Audit[[#This Row],[Candidate 4]]</f>
        <v>-1</v>
      </c>
      <c r="W1071" s="111">
        <f>Audit[[#This Row],[Audit Candidate 5]]-Audit[[#This Row],[Candidate 5]]</f>
        <v>0</v>
      </c>
      <c r="X1071" s="111">
        <f>Audit[[#This Row],[Audit Candidate 6]]-Audit[[#This Row],[Candidate 6]]</f>
        <v>0</v>
      </c>
      <c r="Y1071" s="111">
        <f>SUMIF(Audit[[#This Row],[Difference Loser]:[Difference Candidate 6]], "&gt;0")</f>
        <v>0</v>
      </c>
      <c r="Z1071" s="111">
        <f>SUM(Audit[[#This Row],[Difference Loser]:[Difference Candidate 6]])</f>
        <v>-3</v>
      </c>
      <c r="AA1071" s="111">
        <f>IF(Audit[[#This Row],[Times p Drawn - With Replacement]]&gt;0, IF(Audit[[#This Row],[Canceled Differences]]&lt;0, Audit[[#This Row],[Max Differences]]+ABS(Audit[[#This Row],[Canceled Differences]]), Audit[[#This Row],[Max Differences]]), 0)</f>
        <v>0</v>
      </c>
      <c r="AB1071" s="111">
        <f>'Sampling Data'!P1063</f>
        <v>2.4497795198432141E-4</v>
      </c>
      <c r="AC1071" s="111">
        <f>IF(
      SUM(Audit[[#This Row],[Audit Losing Candidate]:[Audit Candidate 6]])
      &lt;&gt;0,
      (Audit[[#This Row],[Winning Candidate]]-Audit[[#This Row],[Losing Candidate]]-(Audit[[#This Row],[Audit Winning Candidate]]-Audit[[#This Row],[Audit Losing Candidate]]))/(Audit[[#Totals],[Winning Candidate]]-Audit[[#Totals],[Losing Candidate]]),
      0
)</f>
        <v>0</v>
      </c>
      <c r="AD10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1" s="111">
        <f>IF(Audit[[#This Row],[Max Relative Error (ep)]] = 0, 0, Audit[[#This Row],[Max Relative Error (ep)]]/Audit[[#This Row],[Error Bound (up) - Max. possible relative overstatement]])</f>
        <v>0</v>
      </c>
      <c r="AJ10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71" s="111">
        <f t="shared" si="16"/>
        <v>1</v>
      </c>
      <c r="AL1071" s="111">
        <f>PRODUCT($AK$5:AK1071)</f>
        <v>8.962823818226312E-2</v>
      </c>
      <c r="AM1071" s="109">
        <f>1 - [K-M P Value]</f>
        <v>0.91037176181773694</v>
      </c>
      <c r="AN1071" s="111" t="str">
        <f>IF(Audit[[#This Row],[K-M P Value]]&gt;1-'General Info'!$B$16,"Continue", "Stop")</f>
        <v>Stop</v>
      </c>
      <c r="AO1071" s="110" t="b">
        <f>IF(Audit[[#This Row],[Status - Continue or stop audit]] = "Continue", TRUE, IF(AN1070 = "Continue", TRUE, FALSE))</f>
        <v>0</v>
      </c>
      <c r="AP1071" s="110"/>
    </row>
    <row r="1072" spans="1:42" ht="15" hidden="1" customHeight="1">
      <c r="A1072" s="111" t="str">
        <f>'Sampling Data'!W1064</f>
        <v/>
      </c>
      <c r="B1072" s="112" t="str">
        <f>'Sampling Data'!A1064</f>
        <v>EUCLID -01-D - ABS</v>
      </c>
      <c r="C1072" s="112">
        <f>'Sampling Data'!B1064</f>
        <v>1</v>
      </c>
      <c r="D1072" s="112">
        <f>'Sampling Data'!C1064</f>
        <v>0</v>
      </c>
      <c r="E1072" s="113">
        <f>'Sampling Data'!D1064</f>
        <v>0</v>
      </c>
      <c r="F1072" s="113">
        <f>'Sampling Data'!E1064</f>
        <v>0</v>
      </c>
      <c r="G1072" s="113">
        <f>'Sampling Data'!F1064</f>
        <v>0</v>
      </c>
      <c r="H1072" s="113">
        <f>'Sampling Data'!G1064</f>
        <v>0</v>
      </c>
      <c r="I1072" s="112">
        <f>'Sampling Data'!H1064</f>
        <v>0</v>
      </c>
      <c r="J1072" s="112">
        <f>'Sampling Data'!I1064</f>
        <v>1</v>
      </c>
      <c r="K1072" s="112">
        <f>'Sampling Data'!J1064</f>
        <v>2</v>
      </c>
      <c r="L1072" s="111">
        <f>'Sampling Data'!X1064</f>
        <v>0</v>
      </c>
      <c r="M1072" s="114"/>
      <c r="N1072" s="114"/>
      <c r="O1072" s="115"/>
      <c r="P1072" s="115"/>
      <c r="Q1072" s="116"/>
      <c r="R1072" s="116"/>
      <c r="S1072" s="111">
        <f>Audit[[#This Row],[Audit Losing Candidate]]-Audit[[#This Row],[Losing Candidate]]</f>
        <v>-1</v>
      </c>
      <c r="T1072" s="111">
        <f>Audit[[#This Row],[Audit Winning Candidate]]-Audit[[#This Row],[Winning Candidate]]</f>
        <v>0</v>
      </c>
      <c r="U1072" s="111">
        <f>Audit[[#This Row],[Audit Candidate 3]]-Audit[[#This Row],[Candidate 3]]</f>
        <v>0</v>
      </c>
      <c r="V1072" s="111">
        <f>Audit[[#This Row],[Audit Candidate 4]]-Audit[[#This Row],[Candidate 4]]</f>
        <v>0</v>
      </c>
      <c r="W1072" s="111">
        <f>Audit[[#This Row],[Audit Candidate 5]]-Audit[[#This Row],[Candidate 5]]</f>
        <v>0</v>
      </c>
      <c r="X1072" s="111">
        <f>Audit[[#This Row],[Audit Candidate 6]]-Audit[[#This Row],[Candidate 6]]</f>
        <v>0</v>
      </c>
      <c r="Y1072" s="111">
        <f>SUMIF(Audit[[#This Row],[Difference Loser]:[Difference Candidate 6]], "&gt;0")</f>
        <v>0</v>
      </c>
      <c r="Z1072" s="111">
        <f>SUM(Audit[[#This Row],[Difference Loser]:[Difference Candidate 6]])</f>
        <v>-1</v>
      </c>
      <c r="AA1072" s="111">
        <f>IF(Audit[[#This Row],[Times p Drawn - With Replacement]]&gt;0, IF(Audit[[#This Row],[Canceled Differences]]&lt;0, Audit[[#This Row],[Max Differences]]+ABS(Audit[[#This Row],[Canceled Differences]]), Audit[[#This Row],[Max Differences]]), 0)</f>
        <v>0</v>
      </c>
      <c r="AB1072" s="111">
        <f>'Sampling Data'!P1064</f>
        <v>6.4522373132883833E-5</v>
      </c>
      <c r="AC1072" s="111">
        <f>IF(
      SUM(Audit[[#This Row],[Audit Losing Candidate]:[Audit Candidate 6]])
      &lt;&gt;0,
      (Audit[[#This Row],[Winning Candidate]]-Audit[[#This Row],[Losing Candidate]]-(Audit[[#This Row],[Audit Winning Candidate]]-Audit[[#This Row],[Audit Losing Candidate]]))/(Audit[[#Totals],[Winning Candidate]]-Audit[[#Totals],[Losing Candidate]]),
      0
)</f>
        <v>0</v>
      </c>
      <c r="AD10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2" s="111">
        <f>IF(Audit[[#This Row],[Max Relative Error (ep)]] = 0, 0, Audit[[#This Row],[Max Relative Error (ep)]]/Audit[[#This Row],[Error Bound (up) - Max. possible relative overstatement]])</f>
        <v>0</v>
      </c>
      <c r="AJ10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72" s="111">
        <f t="shared" si="16"/>
        <v>1</v>
      </c>
      <c r="AL1072" s="111">
        <f>PRODUCT($AK$5:AK1072)</f>
        <v>8.962823818226312E-2</v>
      </c>
      <c r="AM1072" s="109">
        <f>1 - [K-M P Value]</f>
        <v>0.91037176181773694</v>
      </c>
      <c r="AN1072" s="111" t="str">
        <f>IF(Audit[[#This Row],[K-M P Value]]&gt;1-'General Info'!$B$16,"Continue", "Stop")</f>
        <v>Stop</v>
      </c>
      <c r="AO1072" s="110" t="b">
        <f>IF(Audit[[#This Row],[Status - Continue or stop audit]] = "Continue", TRUE, IF(AN1071 = "Continue", TRUE, FALSE))</f>
        <v>0</v>
      </c>
      <c r="AP1072" s="110"/>
    </row>
    <row r="1073" spans="1:42" ht="15" hidden="1" customHeight="1">
      <c r="A1073" s="111" t="str">
        <f>'Sampling Data'!W1065</f>
        <v/>
      </c>
      <c r="B1073" s="112" t="str">
        <f>'Sampling Data'!A1065</f>
        <v>EUCLID -01-E</v>
      </c>
      <c r="C1073" s="112">
        <f>'Sampling Data'!B1065</f>
        <v>0</v>
      </c>
      <c r="D1073" s="112">
        <f>'Sampling Data'!C1065</f>
        <v>1</v>
      </c>
      <c r="E1073" s="113">
        <f>'Sampling Data'!D1065</f>
        <v>1</v>
      </c>
      <c r="F1073" s="113">
        <f>'Sampling Data'!E1065</f>
        <v>2</v>
      </c>
      <c r="G1073" s="113">
        <f>'Sampling Data'!F1065</f>
        <v>0</v>
      </c>
      <c r="H1073" s="113">
        <f>'Sampling Data'!G1065</f>
        <v>0</v>
      </c>
      <c r="I1073" s="112">
        <f>'Sampling Data'!H1065</f>
        <v>0</v>
      </c>
      <c r="J1073" s="112">
        <f>'Sampling Data'!I1065</f>
        <v>0</v>
      </c>
      <c r="K1073" s="112">
        <f>'Sampling Data'!J1065</f>
        <v>4</v>
      </c>
      <c r="L1073" s="111">
        <f>'Sampling Data'!X1065</f>
        <v>0</v>
      </c>
      <c r="M1073" s="114"/>
      <c r="N1073" s="114"/>
      <c r="O1073" s="115"/>
      <c r="P1073" s="115"/>
      <c r="Q1073" s="116"/>
      <c r="R1073" s="116"/>
      <c r="S1073" s="111">
        <f>Audit[[#This Row],[Audit Losing Candidate]]-Audit[[#This Row],[Losing Candidate]]</f>
        <v>0</v>
      </c>
      <c r="T1073" s="111">
        <f>Audit[[#This Row],[Audit Winning Candidate]]-Audit[[#This Row],[Winning Candidate]]</f>
        <v>-1</v>
      </c>
      <c r="U1073" s="111">
        <f>Audit[[#This Row],[Audit Candidate 3]]-Audit[[#This Row],[Candidate 3]]</f>
        <v>-1</v>
      </c>
      <c r="V1073" s="111">
        <f>Audit[[#This Row],[Audit Candidate 4]]-Audit[[#This Row],[Candidate 4]]</f>
        <v>-2</v>
      </c>
      <c r="W1073" s="111">
        <f>Audit[[#This Row],[Audit Candidate 5]]-Audit[[#This Row],[Candidate 5]]</f>
        <v>0</v>
      </c>
      <c r="X1073" s="111">
        <f>Audit[[#This Row],[Audit Candidate 6]]-Audit[[#This Row],[Candidate 6]]</f>
        <v>0</v>
      </c>
      <c r="Y1073" s="111">
        <f>SUMIF(Audit[[#This Row],[Difference Loser]:[Difference Candidate 6]], "&gt;0")</f>
        <v>0</v>
      </c>
      <c r="Z1073" s="111">
        <f>SUM(Audit[[#This Row],[Difference Loser]:[Difference Candidate 6]])</f>
        <v>-4</v>
      </c>
      <c r="AA1073" s="111">
        <f>IF(Audit[[#This Row],[Times p Drawn - With Replacement]]&gt;0, IF(Audit[[#This Row],[Canceled Differences]]&lt;0, Audit[[#This Row],[Max Differences]]+ABS(Audit[[#This Row],[Canceled Differences]]), Audit[[#This Row],[Max Differences]]), 0)</f>
        <v>0</v>
      </c>
      <c r="AB1073" s="111">
        <f>'Sampling Data'!P1065</f>
        <v>3.0622243998040176E-4</v>
      </c>
      <c r="AC1073" s="111">
        <f>IF(
      SUM(Audit[[#This Row],[Audit Losing Candidate]:[Audit Candidate 6]])
      &lt;&gt;0,
      (Audit[[#This Row],[Winning Candidate]]-Audit[[#This Row],[Losing Candidate]]-(Audit[[#This Row],[Audit Winning Candidate]]-Audit[[#This Row],[Audit Losing Candidate]]))/(Audit[[#Totals],[Winning Candidate]]-Audit[[#Totals],[Losing Candidate]]),
      0
)</f>
        <v>0</v>
      </c>
      <c r="AD10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3" s="111">
        <f>IF(Audit[[#This Row],[Max Relative Error (ep)]] = 0, 0, Audit[[#This Row],[Max Relative Error (ep)]]/Audit[[#This Row],[Error Bound (up) - Max. possible relative overstatement]])</f>
        <v>0</v>
      </c>
      <c r="AJ10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73" s="111">
        <f t="shared" si="16"/>
        <v>1</v>
      </c>
      <c r="AL1073" s="111">
        <f>PRODUCT($AK$5:AK1073)</f>
        <v>8.962823818226312E-2</v>
      </c>
      <c r="AM1073" s="109">
        <f>1 - [K-M P Value]</f>
        <v>0.91037176181773694</v>
      </c>
      <c r="AN1073" s="111" t="str">
        <f>IF(Audit[[#This Row],[K-M P Value]]&gt;1-'General Info'!$B$16,"Continue", "Stop")</f>
        <v>Stop</v>
      </c>
      <c r="AO1073" s="110" t="b">
        <f>IF(Audit[[#This Row],[Status - Continue or stop audit]] = "Continue", TRUE, IF(AN1072 = "Continue", TRUE, FALSE))</f>
        <v>0</v>
      </c>
      <c r="AP1073" s="110"/>
    </row>
    <row r="1074" spans="1:42" ht="15" hidden="1" customHeight="1">
      <c r="A1074" s="111" t="str">
        <f>'Sampling Data'!W1066</f>
        <v/>
      </c>
      <c r="B1074" s="112" t="str">
        <f>'Sampling Data'!A1066</f>
        <v>EUCLID -01-E - ABS</v>
      </c>
      <c r="C1074" s="112">
        <f>'Sampling Data'!B1066</f>
        <v>2</v>
      </c>
      <c r="D1074" s="112">
        <f>'Sampling Data'!C1066</f>
        <v>1</v>
      </c>
      <c r="E1074" s="113">
        <f>'Sampling Data'!D1066</f>
        <v>1</v>
      </c>
      <c r="F1074" s="113">
        <f>'Sampling Data'!E1066</f>
        <v>1</v>
      </c>
      <c r="G1074" s="113">
        <f>'Sampling Data'!F1066</f>
        <v>0</v>
      </c>
      <c r="H1074" s="113">
        <f>'Sampling Data'!G1066</f>
        <v>0</v>
      </c>
      <c r="I1074" s="112">
        <f>'Sampling Data'!H1066</f>
        <v>0</v>
      </c>
      <c r="J1074" s="112">
        <f>'Sampling Data'!I1066</f>
        <v>1</v>
      </c>
      <c r="K1074" s="112">
        <f>'Sampling Data'!J1066</f>
        <v>6</v>
      </c>
      <c r="L1074" s="111">
        <f>'Sampling Data'!X1066</f>
        <v>0</v>
      </c>
      <c r="M1074" s="114"/>
      <c r="N1074" s="114"/>
      <c r="O1074" s="115"/>
      <c r="P1074" s="115"/>
      <c r="Q1074" s="116"/>
      <c r="R1074" s="116"/>
      <c r="S1074" s="111">
        <f>Audit[[#This Row],[Audit Losing Candidate]]-Audit[[#This Row],[Losing Candidate]]</f>
        <v>-2</v>
      </c>
      <c r="T1074" s="111">
        <f>Audit[[#This Row],[Audit Winning Candidate]]-Audit[[#This Row],[Winning Candidate]]</f>
        <v>-1</v>
      </c>
      <c r="U1074" s="111">
        <f>Audit[[#This Row],[Audit Candidate 3]]-Audit[[#This Row],[Candidate 3]]</f>
        <v>-1</v>
      </c>
      <c r="V1074" s="111">
        <f>Audit[[#This Row],[Audit Candidate 4]]-Audit[[#This Row],[Candidate 4]]</f>
        <v>-1</v>
      </c>
      <c r="W1074" s="111">
        <f>Audit[[#This Row],[Audit Candidate 5]]-Audit[[#This Row],[Candidate 5]]</f>
        <v>0</v>
      </c>
      <c r="X1074" s="111">
        <f>Audit[[#This Row],[Audit Candidate 6]]-Audit[[#This Row],[Candidate 6]]</f>
        <v>0</v>
      </c>
      <c r="Y1074" s="111">
        <f>SUMIF(Audit[[#This Row],[Difference Loser]:[Difference Candidate 6]], "&gt;0")</f>
        <v>0</v>
      </c>
      <c r="Z1074" s="111">
        <f>SUM(Audit[[#This Row],[Difference Loser]:[Difference Candidate 6]])</f>
        <v>-5</v>
      </c>
      <c r="AA1074" s="111">
        <f>IF(Audit[[#This Row],[Times p Drawn - With Replacement]]&gt;0, IF(Audit[[#This Row],[Canceled Differences]]&lt;0, Audit[[#This Row],[Max Differences]]+ABS(Audit[[#This Row],[Canceled Differences]]), Audit[[#This Row],[Max Differences]]), 0)</f>
        <v>0</v>
      </c>
      <c r="AB1074" s="111">
        <f>'Sampling Data'!P1066</f>
        <v>3.0622243998040176E-4</v>
      </c>
      <c r="AC1074" s="111">
        <f>IF(
      SUM(Audit[[#This Row],[Audit Losing Candidate]:[Audit Candidate 6]])
      &lt;&gt;0,
      (Audit[[#This Row],[Winning Candidate]]-Audit[[#This Row],[Losing Candidate]]-(Audit[[#This Row],[Audit Winning Candidate]]-Audit[[#This Row],[Audit Losing Candidate]]))/(Audit[[#Totals],[Winning Candidate]]-Audit[[#Totals],[Losing Candidate]]),
      0
)</f>
        <v>0</v>
      </c>
      <c r="AD10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4" s="111">
        <f>IF(Audit[[#This Row],[Max Relative Error (ep)]] = 0, 0, Audit[[#This Row],[Max Relative Error (ep)]]/Audit[[#This Row],[Error Bound (up) - Max. possible relative overstatement]])</f>
        <v>0</v>
      </c>
      <c r="AJ10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74" s="111">
        <f t="shared" si="16"/>
        <v>1</v>
      </c>
      <c r="AL1074" s="111">
        <f>PRODUCT($AK$5:AK1074)</f>
        <v>8.962823818226312E-2</v>
      </c>
      <c r="AM1074" s="109">
        <f>1 - [K-M P Value]</f>
        <v>0.91037176181773694</v>
      </c>
      <c r="AN1074" s="111" t="str">
        <f>IF(Audit[[#This Row],[K-M P Value]]&gt;1-'General Info'!$B$16,"Continue", "Stop")</f>
        <v>Stop</v>
      </c>
      <c r="AO1074" s="110" t="b">
        <f>IF(Audit[[#This Row],[Status - Continue or stop audit]] = "Continue", TRUE, IF(AN1073 = "Continue", TRUE, FALSE))</f>
        <v>0</v>
      </c>
      <c r="AP1074" s="110"/>
    </row>
    <row r="1075" spans="1:42" ht="15" hidden="1" customHeight="1">
      <c r="A1075" s="111" t="str">
        <f>'Sampling Data'!W1067</f>
        <v/>
      </c>
      <c r="B1075" s="112" t="str">
        <f>'Sampling Data'!A1067</f>
        <v>EUCLID -01-F</v>
      </c>
      <c r="C1075" s="112">
        <f>'Sampling Data'!B1067</f>
        <v>3</v>
      </c>
      <c r="D1075" s="112">
        <f>'Sampling Data'!C1067</f>
        <v>9</v>
      </c>
      <c r="E1075" s="113">
        <f>'Sampling Data'!D1067</f>
        <v>4</v>
      </c>
      <c r="F1075" s="113">
        <f>'Sampling Data'!E1067</f>
        <v>1</v>
      </c>
      <c r="G1075" s="113">
        <f>'Sampling Data'!F1067</f>
        <v>0</v>
      </c>
      <c r="H1075" s="113">
        <f>'Sampling Data'!G1067</f>
        <v>0</v>
      </c>
      <c r="I1075" s="112">
        <f>'Sampling Data'!H1067</f>
        <v>0</v>
      </c>
      <c r="J1075" s="112">
        <f>'Sampling Data'!I1067</f>
        <v>1</v>
      </c>
      <c r="K1075" s="112">
        <f>'Sampling Data'!J1067</f>
        <v>18</v>
      </c>
      <c r="L1075" s="111">
        <f>'Sampling Data'!X1067</f>
        <v>0</v>
      </c>
      <c r="M1075" s="114"/>
      <c r="N1075" s="114"/>
      <c r="O1075" s="115"/>
      <c r="P1075" s="115"/>
      <c r="Q1075" s="116"/>
      <c r="R1075" s="116"/>
      <c r="S1075" s="111">
        <f>Audit[[#This Row],[Audit Losing Candidate]]-Audit[[#This Row],[Losing Candidate]]</f>
        <v>-3</v>
      </c>
      <c r="T1075" s="111">
        <f>Audit[[#This Row],[Audit Winning Candidate]]-Audit[[#This Row],[Winning Candidate]]</f>
        <v>-9</v>
      </c>
      <c r="U1075" s="111">
        <f>Audit[[#This Row],[Audit Candidate 3]]-Audit[[#This Row],[Candidate 3]]</f>
        <v>-4</v>
      </c>
      <c r="V1075" s="111">
        <f>Audit[[#This Row],[Audit Candidate 4]]-Audit[[#This Row],[Candidate 4]]</f>
        <v>-1</v>
      </c>
      <c r="W1075" s="111">
        <f>Audit[[#This Row],[Audit Candidate 5]]-Audit[[#This Row],[Candidate 5]]</f>
        <v>0</v>
      </c>
      <c r="X1075" s="111">
        <f>Audit[[#This Row],[Audit Candidate 6]]-Audit[[#This Row],[Candidate 6]]</f>
        <v>0</v>
      </c>
      <c r="Y1075" s="111">
        <f>SUMIF(Audit[[#This Row],[Difference Loser]:[Difference Candidate 6]], "&gt;0")</f>
        <v>0</v>
      </c>
      <c r="Z1075" s="111">
        <f>SUM(Audit[[#This Row],[Difference Loser]:[Difference Candidate 6]])</f>
        <v>-17</v>
      </c>
      <c r="AA1075" s="111">
        <f>IF(Audit[[#This Row],[Times p Drawn - With Replacement]]&gt;0, IF(Audit[[#This Row],[Canceled Differences]]&lt;0, Audit[[#This Row],[Max Differences]]+ABS(Audit[[#This Row],[Canceled Differences]]), Audit[[#This Row],[Max Differences]]), 0)</f>
        <v>0</v>
      </c>
      <c r="AB1075" s="111">
        <f>'Sampling Data'!P1067</f>
        <v>1.4698677119059284E-3</v>
      </c>
      <c r="AC1075" s="111">
        <f>IF(
      SUM(Audit[[#This Row],[Audit Losing Candidate]:[Audit Candidate 6]])
      &lt;&gt;0,
      (Audit[[#This Row],[Winning Candidate]]-Audit[[#This Row],[Losing Candidate]]-(Audit[[#This Row],[Audit Winning Candidate]]-Audit[[#This Row],[Audit Losing Candidate]]))/(Audit[[#Totals],[Winning Candidate]]-Audit[[#Totals],[Losing Candidate]]),
      0
)</f>
        <v>0</v>
      </c>
      <c r="AD10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5" s="111">
        <f>IF(Audit[[#This Row],[Max Relative Error (ep)]] = 0, 0, Audit[[#This Row],[Max Relative Error (ep)]]/Audit[[#This Row],[Error Bound (up) - Max. possible relative overstatement]])</f>
        <v>0</v>
      </c>
      <c r="AJ10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75" s="111">
        <f t="shared" si="16"/>
        <v>1</v>
      </c>
      <c r="AL1075" s="111">
        <f>PRODUCT($AK$5:AK1075)</f>
        <v>8.962823818226312E-2</v>
      </c>
      <c r="AM1075" s="109">
        <f>1 - [K-M P Value]</f>
        <v>0.91037176181773694</v>
      </c>
      <c r="AN1075" s="111" t="str">
        <f>IF(Audit[[#This Row],[K-M P Value]]&gt;1-'General Info'!$B$16,"Continue", "Stop")</f>
        <v>Stop</v>
      </c>
      <c r="AO1075" s="110" t="b">
        <f>IF(Audit[[#This Row],[Status - Continue or stop audit]] = "Continue", TRUE, IF(AN1074 = "Continue", TRUE, FALSE))</f>
        <v>0</v>
      </c>
      <c r="AP1075" s="110"/>
    </row>
    <row r="1076" spans="1:42" ht="15" hidden="1" customHeight="1">
      <c r="A1076" s="111" t="str">
        <f>'Sampling Data'!W1068</f>
        <v/>
      </c>
      <c r="B1076" s="112" t="str">
        <f>'Sampling Data'!A1068</f>
        <v>EUCLID -01-F - ABS</v>
      </c>
      <c r="C1076" s="112">
        <f>'Sampling Data'!B1068</f>
        <v>2</v>
      </c>
      <c r="D1076" s="112">
        <f>'Sampling Data'!C1068</f>
        <v>6</v>
      </c>
      <c r="E1076" s="113">
        <f>'Sampling Data'!D1068</f>
        <v>0</v>
      </c>
      <c r="F1076" s="113">
        <f>'Sampling Data'!E1068</f>
        <v>0</v>
      </c>
      <c r="G1076" s="113">
        <f>'Sampling Data'!F1068</f>
        <v>0</v>
      </c>
      <c r="H1076" s="113">
        <f>'Sampling Data'!G1068</f>
        <v>0</v>
      </c>
      <c r="I1076" s="112">
        <f>'Sampling Data'!H1068</f>
        <v>0</v>
      </c>
      <c r="J1076" s="112">
        <f>'Sampling Data'!I1068</f>
        <v>0</v>
      </c>
      <c r="K1076" s="112">
        <f>'Sampling Data'!J1068</f>
        <v>8</v>
      </c>
      <c r="L1076" s="111">
        <f>'Sampling Data'!X1068</f>
        <v>0</v>
      </c>
      <c r="M1076" s="114"/>
      <c r="N1076" s="114"/>
      <c r="O1076" s="115"/>
      <c r="P1076" s="115"/>
      <c r="Q1076" s="116"/>
      <c r="R1076" s="116"/>
      <c r="S1076" s="111">
        <f>Audit[[#This Row],[Audit Losing Candidate]]-Audit[[#This Row],[Losing Candidate]]</f>
        <v>-2</v>
      </c>
      <c r="T1076" s="111">
        <f>Audit[[#This Row],[Audit Winning Candidate]]-Audit[[#This Row],[Winning Candidate]]</f>
        <v>-6</v>
      </c>
      <c r="U1076" s="111">
        <f>Audit[[#This Row],[Audit Candidate 3]]-Audit[[#This Row],[Candidate 3]]</f>
        <v>0</v>
      </c>
      <c r="V1076" s="111">
        <f>Audit[[#This Row],[Audit Candidate 4]]-Audit[[#This Row],[Candidate 4]]</f>
        <v>0</v>
      </c>
      <c r="W1076" s="111">
        <f>Audit[[#This Row],[Audit Candidate 5]]-Audit[[#This Row],[Candidate 5]]</f>
        <v>0</v>
      </c>
      <c r="X1076" s="111">
        <f>Audit[[#This Row],[Audit Candidate 6]]-Audit[[#This Row],[Candidate 6]]</f>
        <v>0</v>
      </c>
      <c r="Y1076" s="111">
        <f>SUMIF(Audit[[#This Row],[Difference Loser]:[Difference Candidate 6]], "&gt;0")</f>
        <v>0</v>
      </c>
      <c r="Z1076" s="111">
        <f>SUM(Audit[[#This Row],[Difference Loser]:[Difference Candidate 6]])</f>
        <v>-8</v>
      </c>
      <c r="AA1076" s="111">
        <f>IF(Audit[[#This Row],[Times p Drawn - With Replacement]]&gt;0, IF(Audit[[#This Row],[Canceled Differences]]&lt;0, Audit[[#This Row],[Max Differences]]+ABS(Audit[[#This Row],[Canceled Differences]]), Audit[[#This Row],[Max Differences]]), 0)</f>
        <v>0</v>
      </c>
      <c r="AB1076" s="111">
        <f>'Sampling Data'!P1068</f>
        <v>7.3493385595296422E-4</v>
      </c>
      <c r="AC1076" s="111">
        <f>IF(
      SUM(Audit[[#This Row],[Audit Losing Candidate]:[Audit Candidate 6]])
      &lt;&gt;0,
      (Audit[[#This Row],[Winning Candidate]]-Audit[[#This Row],[Losing Candidate]]-(Audit[[#This Row],[Audit Winning Candidate]]-Audit[[#This Row],[Audit Losing Candidate]]))/(Audit[[#Totals],[Winning Candidate]]-Audit[[#Totals],[Losing Candidate]]),
      0
)</f>
        <v>0</v>
      </c>
      <c r="AD10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6" s="111">
        <f>IF(Audit[[#This Row],[Max Relative Error (ep)]] = 0, 0, Audit[[#This Row],[Max Relative Error (ep)]]/Audit[[#This Row],[Error Bound (up) - Max. possible relative overstatement]])</f>
        <v>0</v>
      </c>
      <c r="AJ10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76" s="111">
        <f t="shared" si="16"/>
        <v>1</v>
      </c>
      <c r="AL1076" s="111">
        <f>PRODUCT($AK$5:AK1076)</f>
        <v>8.962823818226312E-2</v>
      </c>
      <c r="AM1076" s="109">
        <f>1 - [K-M P Value]</f>
        <v>0.91037176181773694</v>
      </c>
      <c r="AN1076" s="111" t="str">
        <f>IF(Audit[[#This Row],[K-M P Value]]&gt;1-'General Info'!$B$16,"Continue", "Stop")</f>
        <v>Stop</v>
      </c>
      <c r="AO1076" s="110" t="b">
        <f>IF(Audit[[#This Row],[Status - Continue or stop audit]] = "Continue", TRUE, IF(AN1075 = "Continue", TRUE, FALSE))</f>
        <v>0</v>
      </c>
      <c r="AP1076" s="110"/>
    </row>
    <row r="1077" spans="1:42" ht="15" hidden="1" customHeight="1">
      <c r="A1077" s="111" t="str">
        <f>'Sampling Data'!W1069</f>
        <v/>
      </c>
      <c r="B1077" s="112" t="str">
        <f>'Sampling Data'!A1069</f>
        <v>EUCLID -02-A</v>
      </c>
      <c r="C1077" s="112">
        <f>'Sampling Data'!B1069</f>
        <v>15</v>
      </c>
      <c r="D1077" s="112">
        <f>'Sampling Data'!C1069</f>
        <v>13</v>
      </c>
      <c r="E1077" s="113">
        <f>'Sampling Data'!D1069</f>
        <v>5</v>
      </c>
      <c r="F1077" s="113">
        <f>'Sampling Data'!E1069</f>
        <v>0</v>
      </c>
      <c r="G1077" s="113">
        <f>'Sampling Data'!F1069</f>
        <v>0</v>
      </c>
      <c r="H1077" s="113">
        <f>'Sampling Data'!G1069</f>
        <v>1</v>
      </c>
      <c r="I1077" s="112">
        <f>'Sampling Data'!H1069</f>
        <v>0</v>
      </c>
      <c r="J1077" s="112">
        <f>'Sampling Data'!I1069</f>
        <v>0</v>
      </c>
      <c r="K1077" s="112">
        <f>'Sampling Data'!J1069</f>
        <v>34</v>
      </c>
      <c r="L1077" s="111">
        <f>'Sampling Data'!X1069</f>
        <v>0</v>
      </c>
      <c r="M1077" s="114"/>
      <c r="N1077" s="114"/>
      <c r="O1077" s="115"/>
      <c r="P1077" s="115"/>
      <c r="Q1077" s="116"/>
      <c r="R1077" s="116"/>
      <c r="S1077" s="111">
        <f>Audit[[#This Row],[Audit Losing Candidate]]-Audit[[#This Row],[Losing Candidate]]</f>
        <v>-15</v>
      </c>
      <c r="T1077" s="111">
        <f>Audit[[#This Row],[Audit Winning Candidate]]-Audit[[#This Row],[Winning Candidate]]</f>
        <v>-13</v>
      </c>
      <c r="U1077" s="111">
        <f>Audit[[#This Row],[Audit Candidate 3]]-Audit[[#This Row],[Candidate 3]]</f>
        <v>-5</v>
      </c>
      <c r="V1077" s="111">
        <f>Audit[[#This Row],[Audit Candidate 4]]-Audit[[#This Row],[Candidate 4]]</f>
        <v>0</v>
      </c>
      <c r="W1077" s="111">
        <f>Audit[[#This Row],[Audit Candidate 5]]-Audit[[#This Row],[Candidate 5]]</f>
        <v>0</v>
      </c>
      <c r="X1077" s="111">
        <f>Audit[[#This Row],[Audit Candidate 6]]-Audit[[#This Row],[Candidate 6]]</f>
        <v>-1</v>
      </c>
      <c r="Y1077" s="111">
        <f>SUMIF(Audit[[#This Row],[Difference Loser]:[Difference Candidate 6]], "&gt;0")</f>
        <v>0</v>
      </c>
      <c r="Z1077" s="111">
        <f>SUM(Audit[[#This Row],[Difference Loser]:[Difference Candidate 6]])</f>
        <v>-34</v>
      </c>
      <c r="AA1077" s="111">
        <f>IF(Audit[[#This Row],[Times p Drawn - With Replacement]]&gt;0, IF(Audit[[#This Row],[Canceled Differences]]&lt;0, Audit[[#This Row],[Max Differences]]+ABS(Audit[[#This Row],[Canceled Differences]]), Audit[[#This Row],[Max Differences]]), 0)</f>
        <v>0</v>
      </c>
      <c r="AB1077" s="111">
        <f>'Sampling Data'!P1069</f>
        <v>1.9598236158745713E-3</v>
      </c>
      <c r="AC1077" s="111">
        <f>IF(
      SUM(Audit[[#This Row],[Audit Losing Candidate]:[Audit Candidate 6]])
      &lt;&gt;0,
      (Audit[[#This Row],[Winning Candidate]]-Audit[[#This Row],[Losing Candidate]]-(Audit[[#This Row],[Audit Winning Candidate]]-Audit[[#This Row],[Audit Losing Candidate]]))/(Audit[[#Totals],[Winning Candidate]]-Audit[[#Totals],[Losing Candidate]]),
      0
)</f>
        <v>0</v>
      </c>
      <c r="AD10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7" s="111">
        <f>IF(Audit[[#This Row],[Max Relative Error (ep)]] = 0, 0, Audit[[#This Row],[Max Relative Error (ep)]]/Audit[[#This Row],[Error Bound (up) - Max. possible relative overstatement]])</f>
        <v>0</v>
      </c>
      <c r="AJ10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77" s="111">
        <f t="shared" si="16"/>
        <v>1</v>
      </c>
      <c r="AL1077" s="111">
        <f>PRODUCT($AK$5:AK1077)</f>
        <v>8.962823818226312E-2</v>
      </c>
      <c r="AM1077" s="109">
        <f>1 - [K-M P Value]</f>
        <v>0.91037176181773694</v>
      </c>
      <c r="AN1077" s="111" t="str">
        <f>IF(Audit[[#This Row],[K-M P Value]]&gt;1-'General Info'!$B$16,"Continue", "Stop")</f>
        <v>Stop</v>
      </c>
      <c r="AO1077" s="110" t="b">
        <f>IF(Audit[[#This Row],[Status - Continue or stop audit]] = "Continue", TRUE, IF(AN1076 = "Continue", TRUE, FALSE))</f>
        <v>0</v>
      </c>
      <c r="AP1077" s="110"/>
    </row>
    <row r="1078" spans="1:42" ht="15" hidden="1" customHeight="1">
      <c r="A1078" s="111" t="str">
        <f>'Sampling Data'!W1070</f>
        <v/>
      </c>
      <c r="B1078" s="112" t="str">
        <f>'Sampling Data'!A1070</f>
        <v>EUCLID -02-A - ABS</v>
      </c>
      <c r="C1078" s="112">
        <f>'Sampling Data'!B1070</f>
        <v>2</v>
      </c>
      <c r="D1078" s="112">
        <f>'Sampling Data'!C1070</f>
        <v>8</v>
      </c>
      <c r="E1078" s="113">
        <f>'Sampling Data'!D1070</f>
        <v>3</v>
      </c>
      <c r="F1078" s="113">
        <f>'Sampling Data'!E1070</f>
        <v>0</v>
      </c>
      <c r="G1078" s="113">
        <f>'Sampling Data'!F1070</f>
        <v>0</v>
      </c>
      <c r="H1078" s="113">
        <f>'Sampling Data'!G1070</f>
        <v>0</v>
      </c>
      <c r="I1078" s="112">
        <f>'Sampling Data'!H1070</f>
        <v>0</v>
      </c>
      <c r="J1078" s="112">
        <f>'Sampling Data'!I1070</f>
        <v>0</v>
      </c>
      <c r="K1078" s="112">
        <f>'Sampling Data'!J1070</f>
        <v>13</v>
      </c>
      <c r="L1078" s="111">
        <f>'Sampling Data'!X1070</f>
        <v>0</v>
      </c>
      <c r="M1078" s="114"/>
      <c r="N1078" s="114"/>
      <c r="O1078" s="115"/>
      <c r="P1078" s="115"/>
      <c r="Q1078" s="116"/>
      <c r="R1078" s="116"/>
      <c r="S1078" s="111">
        <f>Audit[[#This Row],[Audit Losing Candidate]]-Audit[[#This Row],[Losing Candidate]]</f>
        <v>-2</v>
      </c>
      <c r="T1078" s="111">
        <f>Audit[[#This Row],[Audit Winning Candidate]]-Audit[[#This Row],[Winning Candidate]]</f>
        <v>-8</v>
      </c>
      <c r="U1078" s="111">
        <f>Audit[[#This Row],[Audit Candidate 3]]-Audit[[#This Row],[Candidate 3]]</f>
        <v>-3</v>
      </c>
      <c r="V1078" s="111">
        <f>Audit[[#This Row],[Audit Candidate 4]]-Audit[[#This Row],[Candidate 4]]</f>
        <v>0</v>
      </c>
      <c r="W1078" s="111">
        <f>Audit[[#This Row],[Audit Candidate 5]]-Audit[[#This Row],[Candidate 5]]</f>
        <v>0</v>
      </c>
      <c r="X1078" s="111">
        <f>Audit[[#This Row],[Audit Candidate 6]]-Audit[[#This Row],[Candidate 6]]</f>
        <v>0</v>
      </c>
      <c r="Y1078" s="111">
        <f>SUMIF(Audit[[#This Row],[Difference Loser]:[Difference Candidate 6]], "&gt;0")</f>
        <v>0</v>
      </c>
      <c r="Z1078" s="111">
        <f>SUM(Audit[[#This Row],[Difference Loser]:[Difference Candidate 6]])</f>
        <v>-13</v>
      </c>
      <c r="AA1078" s="111">
        <f>IF(Audit[[#This Row],[Times p Drawn - With Replacement]]&gt;0, IF(Audit[[#This Row],[Canceled Differences]]&lt;0, Audit[[#This Row],[Max Differences]]+ABS(Audit[[#This Row],[Canceled Differences]]), Audit[[#This Row],[Max Differences]]), 0)</f>
        <v>0</v>
      </c>
      <c r="AB1078" s="111">
        <f>'Sampling Data'!P1070</f>
        <v>1.1636452719255266E-3</v>
      </c>
      <c r="AC1078" s="111">
        <f>IF(
      SUM(Audit[[#This Row],[Audit Losing Candidate]:[Audit Candidate 6]])
      &lt;&gt;0,
      (Audit[[#This Row],[Winning Candidate]]-Audit[[#This Row],[Losing Candidate]]-(Audit[[#This Row],[Audit Winning Candidate]]-Audit[[#This Row],[Audit Losing Candidate]]))/(Audit[[#Totals],[Winning Candidate]]-Audit[[#Totals],[Losing Candidate]]),
      0
)</f>
        <v>0</v>
      </c>
      <c r="AD10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8" s="111">
        <f>IF(Audit[[#This Row],[Max Relative Error (ep)]] = 0, 0, Audit[[#This Row],[Max Relative Error (ep)]]/Audit[[#This Row],[Error Bound (up) - Max. possible relative overstatement]])</f>
        <v>0</v>
      </c>
      <c r="AJ10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78" s="111">
        <f t="shared" si="16"/>
        <v>1</v>
      </c>
      <c r="AL1078" s="111">
        <f>PRODUCT($AK$5:AK1078)</f>
        <v>8.962823818226312E-2</v>
      </c>
      <c r="AM1078" s="109">
        <f>1 - [K-M P Value]</f>
        <v>0.91037176181773694</v>
      </c>
      <c r="AN1078" s="111" t="str">
        <f>IF(Audit[[#This Row],[K-M P Value]]&gt;1-'General Info'!$B$16,"Continue", "Stop")</f>
        <v>Stop</v>
      </c>
      <c r="AO1078" s="110" t="b">
        <f>IF(Audit[[#This Row],[Status - Continue or stop audit]] = "Continue", TRUE, IF(AN1077 = "Continue", TRUE, FALSE))</f>
        <v>0</v>
      </c>
      <c r="AP1078" s="110"/>
    </row>
    <row r="1079" spans="1:42" ht="15" hidden="1" customHeight="1">
      <c r="A1079" s="111" t="str">
        <f>'Sampling Data'!W1071</f>
        <v/>
      </c>
      <c r="B1079" s="112" t="str">
        <f>'Sampling Data'!A1071</f>
        <v>EUCLID -02-B</v>
      </c>
      <c r="C1079" s="112">
        <f>'Sampling Data'!B1071</f>
        <v>12</v>
      </c>
      <c r="D1079" s="112">
        <f>'Sampling Data'!C1071</f>
        <v>16</v>
      </c>
      <c r="E1079" s="113">
        <f>'Sampling Data'!D1071</f>
        <v>4</v>
      </c>
      <c r="F1079" s="113">
        <f>'Sampling Data'!E1071</f>
        <v>1</v>
      </c>
      <c r="G1079" s="113">
        <f>'Sampling Data'!F1071</f>
        <v>0</v>
      </c>
      <c r="H1079" s="113">
        <f>'Sampling Data'!G1071</f>
        <v>0</v>
      </c>
      <c r="I1079" s="112">
        <f>'Sampling Data'!H1071</f>
        <v>0</v>
      </c>
      <c r="J1079" s="112">
        <f>'Sampling Data'!I1071</f>
        <v>0</v>
      </c>
      <c r="K1079" s="112">
        <f>'Sampling Data'!J1071</f>
        <v>33</v>
      </c>
      <c r="L1079" s="111">
        <f>'Sampling Data'!X1071</f>
        <v>0</v>
      </c>
      <c r="M1079" s="114"/>
      <c r="N1079" s="114"/>
      <c r="O1079" s="115"/>
      <c r="P1079" s="115"/>
      <c r="Q1079" s="116"/>
      <c r="R1079" s="116"/>
      <c r="S1079" s="111">
        <f>Audit[[#This Row],[Audit Losing Candidate]]-Audit[[#This Row],[Losing Candidate]]</f>
        <v>-12</v>
      </c>
      <c r="T1079" s="111">
        <f>Audit[[#This Row],[Audit Winning Candidate]]-Audit[[#This Row],[Winning Candidate]]</f>
        <v>-16</v>
      </c>
      <c r="U1079" s="111">
        <f>Audit[[#This Row],[Audit Candidate 3]]-Audit[[#This Row],[Candidate 3]]</f>
        <v>-4</v>
      </c>
      <c r="V1079" s="111">
        <f>Audit[[#This Row],[Audit Candidate 4]]-Audit[[#This Row],[Candidate 4]]</f>
        <v>-1</v>
      </c>
      <c r="W1079" s="111">
        <f>Audit[[#This Row],[Audit Candidate 5]]-Audit[[#This Row],[Candidate 5]]</f>
        <v>0</v>
      </c>
      <c r="X1079" s="111">
        <f>Audit[[#This Row],[Audit Candidate 6]]-Audit[[#This Row],[Candidate 6]]</f>
        <v>0</v>
      </c>
      <c r="Y1079" s="111">
        <f>SUMIF(Audit[[#This Row],[Difference Loser]:[Difference Candidate 6]], "&gt;0")</f>
        <v>0</v>
      </c>
      <c r="Z1079" s="111">
        <f>SUM(Audit[[#This Row],[Difference Loser]:[Difference Candidate 6]])</f>
        <v>-33</v>
      </c>
      <c r="AA1079" s="111">
        <f>IF(Audit[[#This Row],[Times p Drawn - With Replacement]]&gt;0, IF(Audit[[#This Row],[Canceled Differences]]&lt;0, Audit[[#This Row],[Max Differences]]+ABS(Audit[[#This Row],[Canceled Differences]]), Audit[[#This Row],[Max Differences]]), 0)</f>
        <v>0</v>
      </c>
      <c r="AB1079" s="111">
        <f>'Sampling Data'!P1071</f>
        <v>2.2660460558549728E-3</v>
      </c>
      <c r="AC1079" s="111">
        <f>IF(
      SUM(Audit[[#This Row],[Audit Losing Candidate]:[Audit Candidate 6]])
      &lt;&gt;0,
      (Audit[[#This Row],[Winning Candidate]]-Audit[[#This Row],[Losing Candidate]]-(Audit[[#This Row],[Audit Winning Candidate]]-Audit[[#This Row],[Audit Losing Candidate]]))/(Audit[[#Totals],[Winning Candidate]]-Audit[[#Totals],[Losing Candidate]]),
      0
)</f>
        <v>0</v>
      </c>
      <c r="AD10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9" s="111">
        <f>IF(Audit[[#This Row],[Max Relative Error (ep)]] = 0, 0, Audit[[#This Row],[Max Relative Error (ep)]]/Audit[[#This Row],[Error Bound (up) - Max. possible relative overstatement]])</f>
        <v>0</v>
      </c>
      <c r="AJ10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79" s="111">
        <f t="shared" si="16"/>
        <v>1</v>
      </c>
      <c r="AL1079" s="111">
        <f>PRODUCT($AK$5:AK1079)</f>
        <v>8.962823818226312E-2</v>
      </c>
      <c r="AM1079" s="109">
        <f>1 - [K-M P Value]</f>
        <v>0.91037176181773694</v>
      </c>
      <c r="AN1079" s="111" t="str">
        <f>IF(Audit[[#This Row],[K-M P Value]]&gt;1-'General Info'!$B$16,"Continue", "Stop")</f>
        <v>Stop</v>
      </c>
      <c r="AO1079" s="110" t="b">
        <f>IF(Audit[[#This Row],[Status - Continue or stop audit]] = "Continue", TRUE, IF(AN1078 = "Continue", TRUE, FALSE))</f>
        <v>0</v>
      </c>
      <c r="AP1079" s="110"/>
    </row>
    <row r="1080" spans="1:42" ht="15" hidden="1" customHeight="1">
      <c r="A1080" s="111" t="str">
        <f>'Sampling Data'!W1072</f>
        <v/>
      </c>
      <c r="B1080" s="112" t="str">
        <f>'Sampling Data'!A1072</f>
        <v>EUCLID -02-B - ABS</v>
      </c>
      <c r="C1080" s="112">
        <f>'Sampling Data'!B1072</f>
        <v>4</v>
      </c>
      <c r="D1080" s="112">
        <f>'Sampling Data'!C1072</f>
        <v>5</v>
      </c>
      <c r="E1080" s="113">
        <f>'Sampling Data'!D1072</f>
        <v>1</v>
      </c>
      <c r="F1080" s="113">
        <f>'Sampling Data'!E1072</f>
        <v>0</v>
      </c>
      <c r="G1080" s="113">
        <f>'Sampling Data'!F1072</f>
        <v>0</v>
      </c>
      <c r="H1080" s="113">
        <f>'Sampling Data'!G1072</f>
        <v>0</v>
      </c>
      <c r="I1080" s="112">
        <f>'Sampling Data'!H1072</f>
        <v>0</v>
      </c>
      <c r="J1080" s="112">
        <f>'Sampling Data'!I1072</f>
        <v>0</v>
      </c>
      <c r="K1080" s="112">
        <f>'Sampling Data'!J1072</f>
        <v>10</v>
      </c>
      <c r="L1080" s="111">
        <f>'Sampling Data'!X1072</f>
        <v>0</v>
      </c>
      <c r="M1080" s="114"/>
      <c r="N1080" s="114"/>
      <c r="O1080" s="115"/>
      <c r="P1080" s="115"/>
      <c r="Q1080" s="116"/>
      <c r="R1080" s="116"/>
      <c r="S1080" s="111">
        <f>Audit[[#This Row],[Audit Losing Candidate]]-Audit[[#This Row],[Losing Candidate]]</f>
        <v>-4</v>
      </c>
      <c r="T1080" s="111">
        <f>Audit[[#This Row],[Audit Winning Candidate]]-Audit[[#This Row],[Winning Candidate]]</f>
        <v>-5</v>
      </c>
      <c r="U1080" s="111">
        <f>Audit[[#This Row],[Audit Candidate 3]]-Audit[[#This Row],[Candidate 3]]</f>
        <v>-1</v>
      </c>
      <c r="V1080" s="111">
        <f>Audit[[#This Row],[Audit Candidate 4]]-Audit[[#This Row],[Candidate 4]]</f>
        <v>0</v>
      </c>
      <c r="W1080" s="111">
        <f>Audit[[#This Row],[Audit Candidate 5]]-Audit[[#This Row],[Candidate 5]]</f>
        <v>0</v>
      </c>
      <c r="X1080" s="111">
        <f>Audit[[#This Row],[Audit Candidate 6]]-Audit[[#This Row],[Candidate 6]]</f>
        <v>0</v>
      </c>
      <c r="Y1080" s="111">
        <f>SUMIF(Audit[[#This Row],[Difference Loser]:[Difference Candidate 6]], "&gt;0")</f>
        <v>0</v>
      </c>
      <c r="Z1080" s="111">
        <f>SUM(Audit[[#This Row],[Difference Loser]:[Difference Candidate 6]])</f>
        <v>-10</v>
      </c>
      <c r="AA1080" s="111">
        <f>IF(Audit[[#This Row],[Times p Drawn - With Replacement]]&gt;0, IF(Audit[[#This Row],[Canceled Differences]]&lt;0, Audit[[#This Row],[Max Differences]]+ABS(Audit[[#This Row],[Canceled Differences]]), Audit[[#This Row],[Max Differences]]), 0)</f>
        <v>0</v>
      </c>
      <c r="AB1080" s="111">
        <f>'Sampling Data'!P1072</f>
        <v>6.7368936795688392E-4</v>
      </c>
      <c r="AC1080" s="111">
        <f>IF(
      SUM(Audit[[#This Row],[Audit Losing Candidate]:[Audit Candidate 6]])
      &lt;&gt;0,
      (Audit[[#This Row],[Winning Candidate]]-Audit[[#This Row],[Losing Candidate]]-(Audit[[#This Row],[Audit Winning Candidate]]-Audit[[#This Row],[Audit Losing Candidate]]))/(Audit[[#Totals],[Winning Candidate]]-Audit[[#Totals],[Losing Candidate]]),
      0
)</f>
        <v>0</v>
      </c>
      <c r="AD10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0" s="111">
        <f>IF(Audit[[#This Row],[Max Relative Error (ep)]] = 0, 0, Audit[[#This Row],[Max Relative Error (ep)]]/Audit[[#This Row],[Error Bound (up) - Max. possible relative overstatement]])</f>
        <v>0</v>
      </c>
      <c r="AJ10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80" s="111">
        <f t="shared" si="16"/>
        <v>1</v>
      </c>
      <c r="AL1080" s="111">
        <f>PRODUCT($AK$5:AK1080)</f>
        <v>8.962823818226312E-2</v>
      </c>
      <c r="AM1080" s="109">
        <f>1 - [K-M P Value]</f>
        <v>0.91037176181773694</v>
      </c>
      <c r="AN1080" s="111" t="str">
        <f>IF(Audit[[#This Row],[K-M P Value]]&gt;1-'General Info'!$B$16,"Continue", "Stop")</f>
        <v>Stop</v>
      </c>
      <c r="AO1080" s="110" t="b">
        <f>IF(Audit[[#This Row],[Status - Continue or stop audit]] = "Continue", TRUE, IF(AN1079 = "Continue", TRUE, FALSE))</f>
        <v>0</v>
      </c>
      <c r="AP1080" s="110"/>
    </row>
    <row r="1081" spans="1:42" ht="15" hidden="1" customHeight="1">
      <c r="A1081" s="111" t="str">
        <f>'Sampling Data'!W1073</f>
        <v/>
      </c>
      <c r="B1081" s="112" t="str">
        <f>'Sampling Data'!A1073</f>
        <v>EUCLID -02-C</v>
      </c>
      <c r="C1081" s="112">
        <f>'Sampling Data'!B1073</f>
        <v>4</v>
      </c>
      <c r="D1081" s="112">
        <f>'Sampling Data'!C1073</f>
        <v>1</v>
      </c>
      <c r="E1081" s="113">
        <f>'Sampling Data'!D1073</f>
        <v>1</v>
      </c>
      <c r="F1081" s="113">
        <f>'Sampling Data'!E1073</f>
        <v>0</v>
      </c>
      <c r="G1081" s="113">
        <f>'Sampling Data'!F1073</f>
        <v>0</v>
      </c>
      <c r="H1081" s="113">
        <f>'Sampling Data'!G1073</f>
        <v>0</v>
      </c>
      <c r="I1081" s="112">
        <f>'Sampling Data'!H1073</f>
        <v>0</v>
      </c>
      <c r="J1081" s="112">
        <f>'Sampling Data'!I1073</f>
        <v>0</v>
      </c>
      <c r="K1081" s="112">
        <f>'Sampling Data'!J1073</f>
        <v>6</v>
      </c>
      <c r="L1081" s="111">
        <f>'Sampling Data'!X1073</f>
        <v>0</v>
      </c>
      <c r="M1081" s="114"/>
      <c r="N1081" s="114"/>
      <c r="O1081" s="115"/>
      <c r="P1081" s="115"/>
      <c r="Q1081" s="116"/>
      <c r="R1081" s="116"/>
      <c r="S1081" s="111">
        <f>Audit[[#This Row],[Audit Losing Candidate]]-Audit[[#This Row],[Losing Candidate]]</f>
        <v>-4</v>
      </c>
      <c r="T1081" s="111">
        <f>Audit[[#This Row],[Audit Winning Candidate]]-Audit[[#This Row],[Winning Candidate]]</f>
        <v>-1</v>
      </c>
      <c r="U1081" s="111">
        <f>Audit[[#This Row],[Audit Candidate 3]]-Audit[[#This Row],[Candidate 3]]</f>
        <v>-1</v>
      </c>
      <c r="V1081" s="111">
        <f>Audit[[#This Row],[Audit Candidate 4]]-Audit[[#This Row],[Candidate 4]]</f>
        <v>0</v>
      </c>
      <c r="W1081" s="111">
        <f>Audit[[#This Row],[Audit Candidate 5]]-Audit[[#This Row],[Candidate 5]]</f>
        <v>0</v>
      </c>
      <c r="X1081" s="111">
        <f>Audit[[#This Row],[Audit Candidate 6]]-Audit[[#This Row],[Candidate 6]]</f>
        <v>0</v>
      </c>
      <c r="Y1081" s="111">
        <f>SUMIF(Audit[[#This Row],[Difference Loser]:[Difference Candidate 6]], "&gt;0")</f>
        <v>0</v>
      </c>
      <c r="Z1081" s="111">
        <f>SUM(Audit[[#This Row],[Difference Loser]:[Difference Candidate 6]])</f>
        <v>-6</v>
      </c>
      <c r="AA1081" s="111">
        <f>IF(Audit[[#This Row],[Times p Drawn - With Replacement]]&gt;0, IF(Audit[[#This Row],[Canceled Differences]]&lt;0, Audit[[#This Row],[Max Differences]]+ABS(Audit[[#This Row],[Canceled Differences]]), Audit[[#This Row],[Max Differences]]), 0)</f>
        <v>0</v>
      </c>
      <c r="AB1081" s="111">
        <f>'Sampling Data'!P1073</f>
        <v>2.0462451401677921E-4</v>
      </c>
      <c r="AC1081" s="111">
        <f>IF(
      SUM(Audit[[#This Row],[Audit Losing Candidate]:[Audit Candidate 6]])
      &lt;&gt;0,
      (Audit[[#This Row],[Winning Candidate]]-Audit[[#This Row],[Losing Candidate]]-(Audit[[#This Row],[Audit Winning Candidate]]-Audit[[#This Row],[Audit Losing Candidate]]))/(Audit[[#Totals],[Winning Candidate]]-Audit[[#Totals],[Losing Candidate]]),
      0
)</f>
        <v>0</v>
      </c>
      <c r="AD10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1" s="111">
        <f>IF(Audit[[#This Row],[Max Relative Error (ep)]] = 0, 0, Audit[[#This Row],[Max Relative Error (ep)]]/Audit[[#This Row],[Error Bound (up) - Max. possible relative overstatement]])</f>
        <v>0</v>
      </c>
      <c r="AJ10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81" s="111">
        <f t="shared" si="16"/>
        <v>1</v>
      </c>
      <c r="AL1081" s="111">
        <f>PRODUCT($AK$5:AK1081)</f>
        <v>8.962823818226312E-2</v>
      </c>
      <c r="AM1081" s="109">
        <f>1 - [K-M P Value]</f>
        <v>0.91037176181773694</v>
      </c>
      <c r="AN1081" s="111" t="str">
        <f>IF(Audit[[#This Row],[K-M P Value]]&gt;1-'General Info'!$B$16,"Continue", "Stop")</f>
        <v>Stop</v>
      </c>
      <c r="AO1081" s="110" t="b">
        <f>IF(Audit[[#This Row],[Status - Continue or stop audit]] = "Continue", TRUE, IF(AN1080 = "Continue", TRUE, FALSE))</f>
        <v>0</v>
      </c>
      <c r="AP1081" s="110"/>
    </row>
    <row r="1082" spans="1:42" ht="15" hidden="1" customHeight="1">
      <c r="A1082" s="111" t="str">
        <f>'Sampling Data'!W1074</f>
        <v/>
      </c>
      <c r="B1082" s="112" t="str">
        <f>'Sampling Data'!A1074</f>
        <v>EUCLID -02-C - ABS</v>
      </c>
      <c r="C1082" s="112">
        <f>'Sampling Data'!B1074</f>
        <v>4</v>
      </c>
      <c r="D1082" s="112">
        <f>'Sampling Data'!C1074</f>
        <v>5</v>
      </c>
      <c r="E1082" s="113">
        <f>'Sampling Data'!D1074</f>
        <v>3</v>
      </c>
      <c r="F1082" s="113">
        <f>'Sampling Data'!E1074</f>
        <v>1</v>
      </c>
      <c r="G1082" s="113">
        <f>'Sampling Data'!F1074</f>
        <v>0</v>
      </c>
      <c r="H1082" s="113">
        <f>'Sampling Data'!G1074</f>
        <v>0</v>
      </c>
      <c r="I1082" s="112">
        <f>'Sampling Data'!H1074</f>
        <v>0</v>
      </c>
      <c r="J1082" s="112">
        <f>'Sampling Data'!I1074</f>
        <v>0</v>
      </c>
      <c r="K1082" s="112">
        <f>'Sampling Data'!J1074</f>
        <v>13</v>
      </c>
      <c r="L1082" s="111">
        <f>'Sampling Data'!X1074</f>
        <v>0</v>
      </c>
      <c r="M1082" s="114"/>
      <c r="N1082" s="114"/>
      <c r="O1082" s="115"/>
      <c r="P1082" s="115"/>
      <c r="Q1082" s="116"/>
      <c r="R1082" s="116"/>
      <c r="S1082" s="111">
        <f>Audit[[#This Row],[Audit Losing Candidate]]-Audit[[#This Row],[Losing Candidate]]</f>
        <v>-4</v>
      </c>
      <c r="T1082" s="111">
        <f>Audit[[#This Row],[Audit Winning Candidate]]-Audit[[#This Row],[Winning Candidate]]</f>
        <v>-5</v>
      </c>
      <c r="U1082" s="111">
        <f>Audit[[#This Row],[Audit Candidate 3]]-Audit[[#This Row],[Candidate 3]]</f>
        <v>-3</v>
      </c>
      <c r="V1082" s="111">
        <f>Audit[[#This Row],[Audit Candidate 4]]-Audit[[#This Row],[Candidate 4]]</f>
        <v>-1</v>
      </c>
      <c r="W1082" s="111">
        <f>Audit[[#This Row],[Audit Candidate 5]]-Audit[[#This Row],[Candidate 5]]</f>
        <v>0</v>
      </c>
      <c r="X1082" s="111">
        <f>Audit[[#This Row],[Audit Candidate 6]]-Audit[[#This Row],[Candidate 6]]</f>
        <v>0</v>
      </c>
      <c r="Y1082" s="111">
        <f>SUMIF(Audit[[#This Row],[Difference Loser]:[Difference Candidate 6]], "&gt;0")</f>
        <v>0</v>
      </c>
      <c r="Z1082" s="111">
        <f>SUM(Audit[[#This Row],[Difference Loser]:[Difference Candidate 6]])</f>
        <v>-13</v>
      </c>
      <c r="AA1082" s="111">
        <f>IF(Audit[[#This Row],[Times p Drawn - With Replacement]]&gt;0, IF(Audit[[#This Row],[Canceled Differences]]&lt;0, Audit[[#This Row],[Max Differences]]+ABS(Audit[[#This Row],[Canceled Differences]]), Audit[[#This Row],[Max Differences]]), 0)</f>
        <v>0</v>
      </c>
      <c r="AB1082" s="111">
        <f>'Sampling Data'!P1074</f>
        <v>8.5742283194512492E-4</v>
      </c>
      <c r="AC1082" s="111">
        <f>IF(
      SUM(Audit[[#This Row],[Audit Losing Candidate]:[Audit Candidate 6]])
      &lt;&gt;0,
      (Audit[[#This Row],[Winning Candidate]]-Audit[[#This Row],[Losing Candidate]]-(Audit[[#This Row],[Audit Winning Candidate]]-Audit[[#This Row],[Audit Losing Candidate]]))/(Audit[[#Totals],[Winning Candidate]]-Audit[[#Totals],[Losing Candidate]]),
      0
)</f>
        <v>0</v>
      </c>
      <c r="AD10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2" s="111">
        <f>IF(Audit[[#This Row],[Max Relative Error (ep)]] = 0, 0, Audit[[#This Row],[Max Relative Error (ep)]]/Audit[[#This Row],[Error Bound (up) - Max. possible relative overstatement]])</f>
        <v>0</v>
      </c>
      <c r="AJ10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82" s="111">
        <f t="shared" si="16"/>
        <v>1</v>
      </c>
      <c r="AL1082" s="111">
        <f>PRODUCT($AK$5:AK1082)</f>
        <v>8.962823818226312E-2</v>
      </c>
      <c r="AM1082" s="109">
        <f>1 - [K-M P Value]</f>
        <v>0.91037176181773694</v>
      </c>
      <c r="AN1082" s="111" t="str">
        <f>IF(Audit[[#This Row],[K-M P Value]]&gt;1-'General Info'!$B$16,"Continue", "Stop")</f>
        <v>Stop</v>
      </c>
      <c r="AO1082" s="110" t="b">
        <f>IF(Audit[[#This Row],[Status - Continue or stop audit]] = "Continue", TRUE, IF(AN1081 = "Continue", TRUE, FALSE))</f>
        <v>0</v>
      </c>
      <c r="AP1082" s="110"/>
    </row>
    <row r="1083" spans="1:42" ht="15" hidden="1" customHeight="1">
      <c r="A1083" s="111" t="str">
        <f>'Sampling Data'!W1075</f>
        <v/>
      </c>
      <c r="B1083" s="112" t="str">
        <f>'Sampling Data'!A1075</f>
        <v>EUCLID -02-D</v>
      </c>
      <c r="C1083" s="112">
        <f>'Sampling Data'!B1075</f>
        <v>31</v>
      </c>
      <c r="D1083" s="112">
        <f>'Sampling Data'!C1075</f>
        <v>20</v>
      </c>
      <c r="E1083" s="113">
        <f>'Sampling Data'!D1075</f>
        <v>5</v>
      </c>
      <c r="F1083" s="113">
        <f>'Sampling Data'!E1075</f>
        <v>4</v>
      </c>
      <c r="G1083" s="113">
        <f>'Sampling Data'!F1075</f>
        <v>0</v>
      </c>
      <c r="H1083" s="113">
        <f>'Sampling Data'!G1075</f>
        <v>0</v>
      </c>
      <c r="I1083" s="112">
        <f>'Sampling Data'!H1075</f>
        <v>0</v>
      </c>
      <c r="J1083" s="112">
        <f>'Sampling Data'!I1075</f>
        <v>1</v>
      </c>
      <c r="K1083" s="112">
        <f>'Sampling Data'!J1075</f>
        <v>61</v>
      </c>
      <c r="L1083" s="111">
        <f>'Sampling Data'!X1075</f>
        <v>0</v>
      </c>
      <c r="M1083" s="114"/>
      <c r="N1083" s="114"/>
      <c r="O1083" s="115"/>
      <c r="P1083" s="115"/>
      <c r="Q1083" s="116"/>
      <c r="R1083" s="116"/>
      <c r="S1083" s="111">
        <f>Audit[[#This Row],[Audit Losing Candidate]]-Audit[[#This Row],[Losing Candidate]]</f>
        <v>-31</v>
      </c>
      <c r="T1083" s="111">
        <f>Audit[[#This Row],[Audit Winning Candidate]]-Audit[[#This Row],[Winning Candidate]]</f>
        <v>-20</v>
      </c>
      <c r="U1083" s="111">
        <f>Audit[[#This Row],[Audit Candidate 3]]-Audit[[#This Row],[Candidate 3]]</f>
        <v>-5</v>
      </c>
      <c r="V1083" s="111">
        <f>Audit[[#This Row],[Audit Candidate 4]]-Audit[[#This Row],[Candidate 4]]</f>
        <v>-4</v>
      </c>
      <c r="W1083" s="111">
        <f>Audit[[#This Row],[Audit Candidate 5]]-Audit[[#This Row],[Candidate 5]]</f>
        <v>0</v>
      </c>
      <c r="X1083" s="111">
        <f>Audit[[#This Row],[Audit Candidate 6]]-Audit[[#This Row],[Candidate 6]]</f>
        <v>0</v>
      </c>
      <c r="Y1083" s="111">
        <f>SUMIF(Audit[[#This Row],[Difference Loser]:[Difference Candidate 6]], "&gt;0")</f>
        <v>0</v>
      </c>
      <c r="Z1083" s="111">
        <f>SUM(Audit[[#This Row],[Difference Loser]:[Difference Candidate 6]])</f>
        <v>-60</v>
      </c>
      <c r="AA1083" s="111">
        <f>IF(Audit[[#This Row],[Times p Drawn - With Replacement]]&gt;0, IF(Audit[[#This Row],[Canceled Differences]]&lt;0, Audit[[#This Row],[Max Differences]]+ABS(Audit[[#This Row],[Canceled Differences]]), Audit[[#This Row],[Max Differences]]), 0)</f>
        <v>0</v>
      </c>
      <c r="AB1083" s="111">
        <f>'Sampling Data'!P1075</f>
        <v>3.0622243998040177E-3</v>
      </c>
      <c r="AC1083" s="111">
        <f>IF(
      SUM(Audit[[#This Row],[Audit Losing Candidate]:[Audit Candidate 6]])
      &lt;&gt;0,
      (Audit[[#This Row],[Winning Candidate]]-Audit[[#This Row],[Losing Candidate]]-(Audit[[#This Row],[Audit Winning Candidate]]-Audit[[#This Row],[Audit Losing Candidate]]))/(Audit[[#Totals],[Winning Candidate]]-Audit[[#Totals],[Losing Candidate]]),
      0
)</f>
        <v>0</v>
      </c>
      <c r="AD10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3" s="111">
        <f>IF(Audit[[#This Row],[Max Relative Error (ep)]] = 0, 0, Audit[[#This Row],[Max Relative Error (ep)]]/Audit[[#This Row],[Error Bound (up) - Max. possible relative overstatement]])</f>
        <v>0</v>
      </c>
      <c r="AJ10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83" s="111">
        <f t="shared" si="16"/>
        <v>1</v>
      </c>
      <c r="AL1083" s="111">
        <f>PRODUCT($AK$5:AK1083)</f>
        <v>8.962823818226312E-2</v>
      </c>
      <c r="AM1083" s="109">
        <f>1 - [K-M P Value]</f>
        <v>0.91037176181773694</v>
      </c>
      <c r="AN1083" s="111" t="str">
        <f>IF(Audit[[#This Row],[K-M P Value]]&gt;1-'General Info'!$B$16,"Continue", "Stop")</f>
        <v>Stop</v>
      </c>
      <c r="AO1083" s="110" t="b">
        <f>IF(Audit[[#This Row],[Status - Continue or stop audit]] = "Continue", TRUE, IF(AN1082 = "Continue", TRUE, FALSE))</f>
        <v>0</v>
      </c>
      <c r="AP1083" s="110"/>
    </row>
    <row r="1084" spans="1:42" ht="15" hidden="1" customHeight="1">
      <c r="A1084" s="111" t="str">
        <f>'Sampling Data'!W1076</f>
        <v/>
      </c>
      <c r="B1084" s="112" t="str">
        <f>'Sampling Data'!A1076</f>
        <v>EUCLID -02-D - ABS</v>
      </c>
      <c r="C1084" s="112">
        <f>'Sampling Data'!B1076</f>
        <v>13</v>
      </c>
      <c r="D1084" s="112">
        <f>'Sampling Data'!C1076</f>
        <v>23</v>
      </c>
      <c r="E1084" s="113">
        <f>'Sampling Data'!D1076</f>
        <v>5</v>
      </c>
      <c r="F1084" s="113">
        <f>'Sampling Data'!E1076</f>
        <v>4</v>
      </c>
      <c r="G1084" s="113">
        <f>'Sampling Data'!F1076</f>
        <v>0</v>
      </c>
      <c r="H1084" s="113">
        <f>'Sampling Data'!G1076</f>
        <v>1</v>
      </c>
      <c r="I1084" s="112">
        <f>'Sampling Data'!H1076</f>
        <v>0</v>
      </c>
      <c r="J1084" s="112">
        <f>'Sampling Data'!I1076</f>
        <v>2</v>
      </c>
      <c r="K1084" s="112">
        <f>'Sampling Data'!J1076</f>
        <v>48</v>
      </c>
      <c r="L1084" s="111">
        <f>'Sampling Data'!X1076</f>
        <v>0</v>
      </c>
      <c r="M1084" s="114"/>
      <c r="N1084" s="114"/>
      <c r="O1084" s="115"/>
      <c r="P1084" s="115"/>
      <c r="Q1084" s="116"/>
      <c r="R1084" s="116"/>
      <c r="S1084" s="111">
        <f>Audit[[#This Row],[Audit Losing Candidate]]-Audit[[#This Row],[Losing Candidate]]</f>
        <v>-13</v>
      </c>
      <c r="T1084" s="111">
        <f>Audit[[#This Row],[Audit Winning Candidate]]-Audit[[#This Row],[Winning Candidate]]</f>
        <v>-23</v>
      </c>
      <c r="U1084" s="111">
        <f>Audit[[#This Row],[Audit Candidate 3]]-Audit[[#This Row],[Candidate 3]]</f>
        <v>-5</v>
      </c>
      <c r="V1084" s="111">
        <f>Audit[[#This Row],[Audit Candidate 4]]-Audit[[#This Row],[Candidate 4]]</f>
        <v>-4</v>
      </c>
      <c r="W1084" s="111">
        <f>Audit[[#This Row],[Audit Candidate 5]]-Audit[[#This Row],[Candidate 5]]</f>
        <v>0</v>
      </c>
      <c r="X1084" s="111">
        <f>Audit[[#This Row],[Audit Candidate 6]]-Audit[[#This Row],[Candidate 6]]</f>
        <v>-1</v>
      </c>
      <c r="Y1084" s="111">
        <f>SUMIF(Audit[[#This Row],[Difference Loser]:[Difference Candidate 6]], "&gt;0")</f>
        <v>0</v>
      </c>
      <c r="Z1084" s="111">
        <f>SUM(Audit[[#This Row],[Difference Loser]:[Difference Candidate 6]])</f>
        <v>-46</v>
      </c>
      <c r="AA1084" s="111">
        <f>IF(Audit[[#This Row],[Times p Drawn - With Replacement]]&gt;0, IF(Audit[[#This Row],[Canceled Differences]]&lt;0, Audit[[#This Row],[Max Differences]]+ABS(Audit[[#This Row],[Canceled Differences]]), Audit[[#This Row],[Max Differences]]), 0)</f>
        <v>0</v>
      </c>
      <c r="AB1084" s="111">
        <f>'Sampling Data'!P1076</f>
        <v>3.5521803037726605E-3</v>
      </c>
      <c r="AC1084" s="111">
        <f>IF(
      SUM(Audit[[#This Row],[Audit Losing Candidate]:[Audit Candidate 6]])
      &lt;&gt;0,
      (Audit[[#This Row],[Winning Candidate]]-Audit[[#This Row],[Losing Candidate]]-(Audit[[#This Row],[Audit Winning Candidate]]-Audit[[#This Row],[Audit Losing Candidate]]))/(Audit[[#Totals],[Winning Candidate]]-Audit[[#Totals],[Losing Candidate]]),
      0
)</f>
        <v>0</v>
      </c>
      <c r="AD10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4" s="111">
        <f>IF(Audit[[#This Row],[Max Relative Error (ep)]] = 0, 0, Audit[[#This Row],[Max Relative Error (ep)]]/Audit[[#This Row],[Error Bound (up) - Max. possible relative overstatement]])</f>
        <v>0</v>
      </c>
      <c r="AJ10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84" s="111">
        <f t="shared" si="16"/>
        <v>1</v>
      </c>
      <c r="AL1084" s="111">
        <f>PRODUCT($AK$5:AK1084)</f>
        <v>8.962823818226312E-2</v>
      </c>
      <c r="AM1084" s="109">
        <f>1 - [K-M P Value]</f>
        <v>0.91037176181773694</v>
      </c>
      <c r="AN1084" s="111" t="str">
        <f>IF(Audit[[#This Row],[K-M P Value]]&gt;1-'General Info'!$B$16,"Continue", "Stop")</f>
        <v>Stop</v>
      </c>
      <c r="AO1084" s="110" t="b">
        <f>IF(Audit[[#This Row],[Status - Continue or stop audit]] = "Continue", TRUE, IF(AN1083 = "Continue", TRUE, FALSE))</f>
        <v>0</v>
      </c>
      <c r="AP1084" s="110"/>
    </row>
    <row r="1085" spans="1:42" ht="15" hidden="1" customHeight="1">
      <c r="A1085" s="111" t="str">
        <f>'Sampling Data'!W1077</f>
        <v/>
      </c>
      <c r="B1085" s="112" t="str">
        <f>'Sampling Data'!A1077</f>
        <v>EUCLID -02-E</v>
      </c>
      <c r="C1085" s="112">
        <f>'Sampling Data'!B1077</f>
        <v>16</v>
      </c>
      <c r="D1085" s="112">
        <f>'Sampling Data'!C1077</f>
        <v>14</v>
      </c>
      <c r="E1085" s="113">
        <f>'Sampling Data'!D1077</f>
        <v>4</v>
      </c>
      <c r="F1085" s="113">
        <f>'Sampling Data'!E1077</f>
        <v>2</v>
      </c>
      <c r="G1085" s="113">
        <f>'Sampling Data'!F1077</f>
        <v>0</v>
      </c>
      <c r="H1085" s="113">
        <f>'Sampling Data'!G1077</f>
        <v>0</v>
      </c>
      <c r="I1085" s="112">
        <f>'Sampling Data'!H1077</f>
        <v>0</v>
      </c>
      <c r="J1085" s="112">
        <f>'Sampling Data'!I1077</f>
        <v>1</v>
      </c>
      <c r="K1085" s="112">
        <f>'Sampling Data'!J1077</f>
        <v>37</v>
      </c>
      <c r="L1085" s="111">
        <f>'Sampling Data'!X1077</f>
        <v>0</v>
      </c>
      <c r="M1085" s="114"/>
      <c r="N1085" s="114"/>
      <c r="O1085" s="115"/>
      <c r="P1085" s="115"/>
      <c r="Q1085" s="116"/>
      <c r="R1085" s="116"/>
      <c r="S1085" s="111">
        <f>Audit[[#This Row],[Audit Losing Candidate]]-Audit[[#This Row],[Losing Candidate]]</f>
        <v>-16</v>
      </c>
      <c r="T1085" s="111">
        <f>Audit[[#This Row],[Audit Winning Candidate]]-Audit[[#This Row],[Winning Candidate]]</f>
        <v>-14</v>
      </c>
      <c r="U1085" s="111">
        <f>Audit[[#This Row],[Audit Candidate 3]]-Audit[[#This Row],[Candidate 3]]</f>
        <v>-4</v>
      </c>
      <c r="V1085" s="111">
        <f>Audit[[#This Row],[Audit Candidate 4]]-Audit[[#This Row],[Candidate 4]]</f>
        <v>-2</v>
      </c>
      <c r="W1085" s="111">
        <f>Audit[[#This Row],[Audit Candidate 5]]-Audit[[#This Row],[Candidate 5]]</f>
        <v>0</v>
      </c>
      <c r="X1085" s="111">
        <f>Audit[[#This Row],[Audit Candidate 6]]-Audit[[#This Row],[Candidate 6]]</f>
        <v>0</v>
      </c>
      <c r="Y1085" s="111">
        <f>SUMIF(Audit[[#This Row],[Difference Loser]:[Difference Candidate 6]], "&gt;0")</f>
        <v>0</v>
      </c>
      <c r="Z1085" s="111">
        <f>SUM(Audit[[#This Row],[Difference Loser]:[Difference Candidate 6]])</f>
        <v>-36</v>
      </c>
      <c r="AA1085" s="111">
        <f>IF(Audit[[#This Row],[Times p Drawn - With Replacement]]&gt;0, IF(Audit[[#This Row],[Canceled Differences]]&lt;0, Audit[[#This Row],[Max Differences]]+ABS(Audit[[#This Row],[Canceled Differences]]), Audit[[#This Row],[Max Differences]]), 0)</f>
        <v>0</v>
      </c>
      <c r="AB1085" s="111">
        <f>'Sampling Data'!P1077</f>
        <v>2.1435570798628125E-3</v>
      </c>
      <c r="AC1085" s="111">
        <f>IF(
      SUM(Audit[[#This Row],[Audit Losing Candidate]:[Audit Candidate 6]])
      &lt;&gt;0,
      (Audit[[#This Row],[Winning Candidate]]-Audit[[#This Row],[Losing Candidate]]-(Audit[[#This Row],[Audit Winning Candidate]]-Audit[[#This Row],[Audit Losing Candidate]]))/(Audit[[#Totals],[Winning Candidate]]-Audit[[#Totals],[Losing Candidate]]),
      0
)</f>
        <v>0</v>
      </c>
      <c r="AD10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5" s="111">
        <f>IF(Audit[[#This Row],[Max Relative Error (ep)]] = 0, 0, Audit[[#This Row],[Max Relative Error (ep)]]/Audit[[#This Row],[Error Bound (up) - Max. possible relative overstatement]])</f>
        <v>0</v>
      </c>
      <c r="AJ10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85" s="111">
        <f t="shared" si="16"/>
        <v>1</v>
      </c>
      <c r="AL1085" s="111">
        <f>PRODUCT($AK$5:AK1085)</f>
        <v>8.962823818226312E-2</v>
      </c>
      <c r="AM1085" s="109">
        <f>1 - [K-M P Value]</f>
        <v>0.91037176181773694</v>
      </c>
      <c r="AN1085" s="111" t="str">
        <f>IF(Audit[[#This Row],[K-M P Value]]&gt;1-'General Info'!$B$16,"Continue", "Stop")</f>
        <v>Stop</v>
      </c>
      <c r="AO1085" s="110" t="b">
        <f>IF(Audit[[#This Row],[Status - Continue or stop audit]] = "Continue", TRUE, IF(AN1084 = "Continue", TRUE, FALSE))</f>
        <v>0</v>
      </c>
      <c r="AP1085" s="110"/>
    </row>
    <row r="1086" spans="1:42" ht="15" hidden="1" customHeight="1">
      <c r="A1086" s="111" t="str">
        <f>'Sampling Data'!W1078</f>
        <v/>
      </c>
      <c r="B1086" s="112" t="str">
        <f>'Sampling Data'!A1078</f>
        <v>EUCLID -02-E - ABS</v>
      </c>
      <c r="C1086" s="112">
        <f>'Sampling Data'!B1078</f>
        <v>4</v>
      </c>
      <c r="D1086" s="112">
        <f>'Sampling Data'!C1078</f>
        <v>6</v>
      </c>
      <c r="E1086" s="113">
        <f>'Sampling Data'!D1078</f>
        <v>1</v>
      </c>
      <c r="F1086" s="113">
        <f>'Sampling Data'!E1078</f>
        <v>0</v>
      </c>
      <c r="G1086" s="113">
        <f>'Sampling Data'!F1078</f>
        <v>0</v>
      </c>
      <c r="H1086" s="113">
        <f>'Sampling Data'!G1078</f>
        <v>0</v>
      </c>
      <c r="I1086" s="112">
        <f>'Sampling Data'!H1078</f>
        <v>0</v>
      </c>
      <c r="J1086" s="112">
        <f>'Sampling Data'!I1078</f>
        <v>0</v>
      </c>
      <c r="K1086" s="112">
        <f>'Sampling Data'!J1078</f>
        <v>11</v>
      </c>
      <c r="L1086" s="111">
        <f>'Sampling Data'!X1078</f>
        <v>0</v>
      </c>
      <c r="M1086" s="114"/>
      <c r="N1086" s="114"/>
      <c r="O1086" s="115"/>
      <c r="P1086" s="115"/>
      <c r="Q1086" s="116"/>
      <c r="R1086" s="116"/>
      <c r="S1086" s="111">
        <f>Audit[[#This Row],[Audit Losing Candidate]]-Audit[[#This Row],[Losing Candidate]]</f>
        <v>-4</v>
      </c>
      <c r="T1086" s="111">
        <f>Audit[[#This Row],[Audit Winning Candidate]]-Audit[[#This Row],[Winning Candidate]]</f>
        <v>-6</v>
      </c>
      <c r="U1086" s="111">
        <f>Audit[[#This Row],[Audit Candidate 3]]-Audit[[#This Row],[Candidate 3]]</f>
        <v>-1</v>
      </c>
      <c r="V1086" s="111">
        <f>Audit[[#This Row],[Audit Candidate 4]]-Audit[[#This Row],[Candidate 4]]</f>
        <v>0</v>
      </c>
      <c r="W1086" s="111">
        <f>Audit[[#This Row],[Audit Candidate 5]]-Audit[[#This Row],[Candidate 5]]</f>
        <v>0</v>
      </c>
      <c r="X1086" s="111">
        <f>Audit[[#This Row],[Audit Candidate 6]]-Audit[[#This Row],[Candidate 6]]</f>
        <v>0</v>
      </c>
      <c r="Y1086" s="111">
        <f>SUMIF(Audit[[#This Row],[Difference Loser]:[Difference Candidate 6]], "&gt;0")</f>
        <v>0</v>
      </c>
      <c r="Z1086" s="111">
        <f>SUM(Audit[[#This Row],[Difference Loser]:[Difference Candidate 6]])</f>
        <v>-11</v>
      </c>
      <c r="AA1086" s="111">
        <f>IF(Audit[[#This Row],[Times p Drawn - With Replacement]]&gt;0, IF(Audit[[#This Row],[Canceled Differences]]&lt;0, Audit[[#This Row],[Max Differences]]+ABS(Audit[[#This Row],[Canceled Differences]]), Audit[[#This Row],[Max Differences]]), 0)</f>
        <v>0</v>
      </c>
      <c r="AB1086" s="111">
        <f>'Sampling Data'!P1078</f>
        <v>7.9617834394904463E-4</v>
      </c>
      <c r="AC1086" s="111">
        <f>IF(
      SUM(Audit[[#This Row],[Audit Losing Candidate]:[Audit Candidate 6]])
      &lt;&gt;0,
      (Audit[[#This Row],[Winning Candidate]]-Audit[[#This Row],[Losing Candidate]]-(Audit[[#This Row],[Audit Winning Candidate]]-Audit[[#This Row],[Audit Losing Candidate]]))/(Audit[[#Totals],[Winning Candidate]]-Audit[[#Totals],[Losing Candidate]]),
      0
)</f>
        <v>0</v>
      </c>
      <c r="AD10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6" s="111">
        <f>IF(Audit[[#This Row],[Max Relative Error (ep)]] = 0, 0, Audit[[#This Row],[Max Relative Error (ep)]]/Audit[[#This Row],[Error Bound (up) - Max. possible relative overstatement]])</f>
        <v>0</v>
      </c>
      <c r="AJ10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86" s="111">
        <f t="shared" si="16"/>
        <v>1</v>
      </c>
      <c r="AL1086" s="111">
        <f>PRODUCT($AK$5:AK1086)</f>
        <v>8.962823818226312E-2</v>
      </c>
      <c r="AM1086" s="109">
        <f>1 - [K-M P Value]</f>
        <v>0.91037176181773694</v>
      </c>
      <c r="AN1086" s="111" t="str">
        <f>IF(Audit[[#This Row],[K-M P Value]]&gt;1-'General Info'!$B$16,"Continue", "Stop")</f>
        <v>Stop</v>
      </c>
      <c r="AO1086" s="110" t="b">
        <f>IF(Audit[[#This Row],[Status - Continue or stop audit]] = "Continue", TRUE, IF(AN1085 = "Continue", TRUE, FALSE))</f>
        <v>0</v>
      </c>
      <c r="AP1086" s="110"/>
    </row>
    <row r="1087" spans="1:42" ht="15" hidden="1" customHeight="1">
      <c r="A1087" s="111" t="str">
        <f>'Sampling Data'!W1079</f>
        <v/>
      </c>
      <c r="B1087" s="112" t="str">
        <f>'Sampling Data'!A1079</f>
        <v>EUCLID -02-F</v>
      </c>
      <c r="C1087" s="112">
        <f>'Sampling Data'!B1079</f>
        <v>10</v>
      </c>
      <c r="D1087" s="112">
        <f>'Sampling Data'!C1079</f>
        <v>8</v>
      </c>
      <c r="E1087" s="113">
        <f>'Sampling Data'!D1079</f>
        <v>4</v>
      </c>
      <c r="F1087" s="113">
        <f>'Sampling Data'!E1079</f>
        <v>2</v>
      </c>
      <c r="G1087" s="113">
        <f>'Sampling Data'!F1079</f>
        <v>0</v>
      </c>
      <c r="H1087" s="113">
        <f>'Sampling Data'!G1079</f>
        <v>0</v>
      </c>
      <c r="I1087" s="112">
        <f>'Sampling Data'!H1079</f>
        <v>0</v>
      </c>
      <c r="J1087" s="112">
        <f>'Sampling Data'!I1079</f>
        <v>0</v>
      </c>
      <c r="K1087" s="112">
        <f>'Sampling Data'!J1079</f>
        <v>24</v>
      </c>
      <c r="L1087" s="111">
        <f>'Sampling Data'!X1079</f>
        <v>0</v>
      </c>
      <c r="M1087" s="114"/>
      <c r="N1087" s="114"/>
      <c r="O1087" s="115"/>
      <c r="P1087" s="115"/>
      <c r="Q1087" s="116"/>
      <c r="R1087" s="116"/>
      <c r="S1087" s="111">
        <f>Audit[[#This Row],[Audit Losing Candidate]]-Audit[[#This Row],[Losing Candidate]]</f>
        <v>-10</v>
      </c>
      <c r="T1087" s="111">
        <f>Audit[[#This Row],[Audit Winning Candidate]]-Audit[[#This Row],[Winning Candidate]]</f>
        <v>-8</v>
      </c>
      <c r="U1087" s="111">
        <f>Audit[[#This Row],[Audit Candidate 3]]-Audit[[#This Row],[Candidate 3]]</f>
        <v>-4</v>
      </c>
      <c r="V1087" s="111">
        <f>Audit[[#This Row],[Audit Candidate 4]]-Audit[[#This Row],[Candidate 4]]</f>
        <v>-2</v>
      </c>
      <c r="W1087" s="111">
        <f>Audit[[#This Row],[Audit Candidate 5]]-Audit[[#This Row],[Candidate 5]]</f>
        <v>0</v>
      </c>
      <c r="X1087" s="111">
        <f>Audit[[#This Row],[Audit Candidate 6]]-Audit[[#This Row],[Candidate 6]]</f>
        <v>0</v>
      </c>
      <c r="Y1087" s="111">
        <f>SUMIF(Audit[[#This Row],[Difference Loser]:[Difference Candidate 6]], "&gt;0")</f>
        <v>0</v>
      </c>
      <c r="Z1087" s="111">
        <f>SUM(Audit[[#This Row],[Difference Loser]:[Difference Candidate 6]])</f>
        <v>-24</v>
      </c>
      <c r="AA1087" s="111">
        <f>IF(Audit[[#This Row],[Times p Drawn - With Replacement]]&gt;0, IF(Audit[[#This Row],[Canceled Differences]]&lt;0, Audit[[#This Row],[Max Differences]]+ABS(Audit[[#This Row],[Canceled Differences]]), Audit[[#This Row],[Max Differences]]), 0)</f>
        <v>0</v>
      </c>
      <c r="AB1087" s="111">
        <f>'Sampling Data'!P1079</f>
        <v>1.3473787359137678E-3</v>
      </c>
      <c r="AC1087" s="111">
        <f>IF(
      SUM(Audit[[#This Row],[Audit Losing Candidate]:[Audit Candidate 6]])
      &lt;&gt;0,
      (Audit[[#This Row],[Winning Candidate]]-Audit[[#This Row],[Losing Candidate]]-(Audit[[#This Row],[Audit Winning Candidate]]-Audit[[#This Row],[Audit Losing Candidate]]))/(Audit[[#Totals],[Winning Candidate]]-Audit[[#Totals],[Losing Candidate]]),
      0
)</f>
        <v>0</v>
      </c>
      <c r="AD10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7" s="111">
        <f>IF(Audit[[#This Row],[Max Relative Error (ep)]] = 0, 0, Audit[[#This Row],[Max Relative Error (ep)]]/Audit[[#This Row],[Error Bound (up) - Max. possible relative overstatement]])</f>
        <v>0</v>
      </c>
      <c r="AJ10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87" s="111">
        <f t="shared" si="16"/>
        <v>1</v>
      </c>
      <c r="AL1087" s="111">
        <f>PRODUCT($AK$5:AK1087)</f>
        <v>8.962823818226312E-2</v>
      </c>
      <c r="AM1087" s="109">
        <f>1 - [K-M P Value]</f>
        <v>0.91037176181773694</v>
      </c>
      <c r="AN1087" s="111" t="str">
        <f>IF(Audit[[#This Row],[K-M P Value]]&gt;1-'General Info'!$B$16,"Continue", "Stop")</f>
        <v>Stop</v>
      </c>
      <c r="AO1087" s="110" t="b">
        <f>IF(Audit[[#This Row],[Status - Continue or stop audit]] = "Continue", TRUE, IF(AN1086 = "Continue", TRUE, FALSE))</f>
        <v>0</v>
      </c>
      <c r="AP1087" s="110"/>
    </row>
    <row r="1088" spans="1:42" ht="15" hidden="1" customHeight="1">
      <c r="A1088" s="111" t="str">
        <f>'Sampling Data'!W1080</f>
        <v/>
      </c>
      <c r="B1088" s="112" t="str">
        <f>'Sampling Data'!A1080</f>
        <v>EUCLID -02-F - ABS</v>
      </c>
      <c r="C1088" s="112">
        <f>'Sampling Data'!B1080</f>
        <v>8</v>
      </c>
      <c r="D1088" s="112">
        <f>'Sampling Data'!C1080</f>
        <v>9</v>
      </c>
      <c r="E1088" s="113">
        <f>'Sampling Data'!D1080</f>
        <v>0</v>
      </c>
      <c r="F1088" s="113">
        <f>'Sampling Data'!E1080</f>
        <v>0</v>
      </c>
      <c r="G1088" s="113">
        <f>'Sampling Data'!F1080</f>
        <v>0</v>
      </c>
      <c r="H1088" s="113">
        <f>'Sampling Data'!G1080</f>
        <v>0</v>
      </c>
      <c r="I1088" s="112">
        <f>'Sampling Data'!H1080</f>
        <v>0</v>
      </c>
      <c r="J1088" s="112">
        <f>'Sampling Data'!I1080</f>
        <v>0</v>
      </c>
      <c r="K1088" s="112">
        <f>'Sampling Data'!J1080</f>
        <v>17</v>
      </c>
      <c r="L1088" s="111">
        <f>'Sampling Data'!X1080</f>
        <v>0</v>
      </c>
      <c r="M1088" s="114"/>
      <c r="N1088" s="114"/>
      <c r="O1088" s="115"/>
      <c r="P1088" s="115"/>
      <c r="Q1088" s="116"/>
      <c r="R1088" s="116"/>
      <c r="S1088" s="111">
        <f>Audit[[#This Row],[Audit Losing Candidate]]-Audit[[#This Row],[Losing Candidate]]</f>
        <v>-8</v>
      </c>
      <c r="T1088" s="111">
        <f>Audit[[#This Row],[Audit Winning Candidate]]-Audit[[#This Row],[Winning Candidate]]</f>
        <v>-9</v>
      </c>
      <c r="U1088" s="111">
        <f>Audit[[#This Row],[Audit Candidate 3]]-Audit[[#This Row],[Candidate 3]]</f>
        <v>0</v>
      </c>
      <c r="V1088" s="111">
        <f>Audit[[#This Row],[Audit Candidate 4]]-Audit[[#This Row],[Candidate 4]]</f>
        <v>0</v>
      </c>
      <c r="W1088" s="111">
        <f>Audit[[#This Row],[Audit Candidate 5]]-Audit[[#This Row],[Candidate 5]]</f>
        <v>0</v>
      </c>
      <c r="X1088" s="111">
        <f>Audit[[#This Row],[Audit Candidate 6]]-Audit[[#This Row],[Candidate 6]]</f>
        <v>0</v>
      </c>
      <c r="Y1088" s="111">
        <f>SUMIF(Audit[[#This Row],[Difference Loser]:[Difference Candidate 6]], "&gt;0")</f>
        <v>0</v>
      </c>
      <c r="Z1088" s="111">
        <f>SUM(Audit[[#This Row],[Difference Loser]:[Difference Candidate 6]])</f>
        <v>-17</v>
      </c>
      <c r="AA1088" s="111">
        <f>IF(Audit[[#This Row],[Times p Drawn - With Replacement]]&gt;0, IF(Audit[[#This Row],[Canceled Differences]]&lt;0, Audit[[#This Row],[Max Differences]]+ABS(Audit[[#This Row],[Canceled Differences]]), Audit[[#This Row],[Max Differences]]), 0)</f>
        <v>0</v>
      </c>
      <c r="AB1088" s="111">
        <f>'Sampling Data'!P1080</f>
        <v>1.1024007839294464E-3</v>
      </c>
      <c r="AC1088" s="111">
        <f>IF(
      SUM(Audit[[#This Row],[Audit Losing Candidate]:[Audit Candidate 6]])
      &lt;&gt;0,
      (Audit[[#This Row],[Winning Candidate]]-Audit[[#This Row],[Losing Candidate]]-(Audit[[#This Row],[Audit Winning Candidate]]-Audit[[#This Row],[Audit Losing Candidate]]))/(Audit[[#Totals],[Winning Candidate]]-Audit[[#Totals],[Losing Candidate]]),
      0
)</f>
        <v>0</v>
      </c>
      <c r="AD10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8" s="111">
        <f>IF(Audit[[#This Row],[Max Relative Error (ep)]] = 0, 0, Audit[[#This Row],[Max Relative Error (ep)]]/Audit[[#This Row],[Error Bound (up) - Max. possible relative overstatement]])</f>
        <v>0</v>
      </c>
      <c r="AJ10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88" s="111">
        <f t="shared" si="16"/>
        <v>1</v>
      </c>
      <c r="AL1088" s="111">
        <f>PRODUCT($AK$5:AK1088)</f>
        <v>8.962823818226312E-2</v>
      </c>
      <c r="AM1088" s="109">
        <f>1 - [K-M P Value]</f>
        <v>0.91037176181773694</v>
      </c>
      <c r="AN1088" s="111" t="str">
        <f>IF(Audit[[#This Row],[K-M P Value]]&gt;1-'General Info'!$B$16,"Continue", "Stop")</f>
        <v>Stop</v>
      </c>
      <c r="AO1088" s="110" t="b">
        <f>IF(Audit[[#This Row],[Status - Continue or stop audit]] = "Continue", TRUE, IF(AN1087 = "Continue", TRUE, FALSE))</f>
        <v>0</v>
      </c>
      <c r="AP1088" s="110"/>
    </row>
    <row r="1089" spans="1:42" ht="15" hidden="1" customHeight="1">
      <c r="A1089" s="111" t="str">
        <f>'Sampling Data'!W1081</f>
        <v/>
      </c>
      <c r="B1089" s="112" t="str">
        <f>'Sampling Data'!A1081</f>
        <v>EUCLID -03-A</v>
      </c>
      <c r="C1089" s="112">
        <f>'Sampling Data'!B1081</f>
        <v>9</v>
      </c>
      <c r="D1089" s="112">
        <f>'Sampling Data'!C1081</f>
        <v>17</v>
      </c>
      <c r="E1089" s="113">
        <f>'Sampling Data'!D1081</f>
        <v>3</v>
      </c>
      <c r="F1089" s="113">
        <f>'Sampling Data'!E1081</f>
        <v>2</v>
      </c>
      <c r="G1089" s="113">
        <f>'Sampling Data'!F1081</f>
        <v>0</v>
      </c>
      <c r="H1089" s="113">
        <f>'Sampling Data'!G1081</f>
        <v>1</v>
      </c>
      <c r="I1089" s="112">
        <f>'Sampling Data'!H1081</f>
        <v>0</v>
      </c>
      <c r="J1089" s="112">
        <f>'Sampling Data'!I1081</f>
        <v>0</v>
      </c>
      <c r="K1089" s="112">
        <f>'Sampling Data'!J1081</f>
        <v>32</v>
      </c>
      <c r="L1089" s="111">
        <f>'Sampling Data'!X1081</f>
        <v>0</v>
      </c>
      <c r="M1089" s="114"/>
      <c r="N1089" s="114"/>
      <c r="O1089" s="115"/>
      <c r="P1089" s="115"/>
      <c r="Q1089" s="116"/>
      <c r="R1089" s="116"/>
      <c r="S1089" s="111">
        <f>Audit[[#This Row],[Audit Losing Candidate]]-Audit[[#This Row],[Losing Candidate]]</f>
        <v>-9</v>
      </c>
      <c r="T1089" s="111">
        <f>Audit[[#This Row],[Audit Winning Candidate]]-Audit[[#This Row],[Winning Candidate]]</f>
        <v>-17</v>
      </c>
      <c r="U1089" s="111">
        <f>Audit[[#This Row],[Audit Candidate 3]]-Audit[[#This Row],[Candidate 3]]</f>
        <v>-3</v>
      </c>
      <c r="V1089" s="111">
        <f>Audit[[#This Row],[Audit Candidate 4]]-Audit[[#This Row],[Candidate 4]]</f>
        <v>-2</v>
      </c>
      <c r="W1089" s="111">
        <f>Audit[[#This Row],[Audit Candidate 5]]-Audit[[#This Row],[Candidate 5]]</f>
        <v>0</v>
      </c>
      <c r="X1089" s="111">
        <f>Audit[[#This Row],[Audit Candidate 6]]-Audit[[#This Row],[Candidate 6]]</f>
        <v>-1</v>
      </c>
      <c r="Y1089" s="111">
        <f>SUMIF(Audit[[#This Row],[Difference Loser]:[Difference Candidate 6]], "&gt;0")</f>
        <v>0</v>
      </c>
      <c r="Z1089" s="111">
        <f>SUM(Audit[[#This Row],[Difference Loser]:[Difference Candidate 6]])</f>
        <v>-32</v>
      </c>
      <c r="AA1089" s="111">
        <f>IF(Audit[[#This Row],[Times p Drawn - With Replacement]]&gt;0, IF(Audit[[#This Row],[Canceled Differences]]&lt;0, Audit[[#This Row],[Max Differences]]+ABS(Audit[[#This Row],[Canceled Differences]]), Audit[[#This Row],[Max Differences]]), 0)</f>
        <v>0</v>
      </c>
      <c r="AB1089" s="111">
        <f>'Sampling Data'!P1081</f>
        <v>2.4497795198432141E-3</v>
      </c>
      <c r="AC1089" s="111">
        <f>IF(
      SUM(Audit[[#This Row],[Audit Losing Candidate]:[Audit Candidate 6]])
      &lt;&gt;0,
      (Audit[[#This Row],[Winning Candidate]]-Audit[[#This Row],[Losing Candidate]]-(Audit[[#This Row],[Audit Winning Candidate]]-Audit[[#This Row],[Audit Losing Candidate]]))/(Audit[[#Totals],[Winning Candidate]]-Audit[[#Totals],[Losing Candidate]]),
      0
)</f>
        <v>0</v>
      </c>
      <c r="AD10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9" s="111">
        <f>IF(Audit[[#This Row],[Max Relative Error (ep)]] = 0, 0, Audit[[#This Row],[Max Relative Error (ep)]]/Audit[[#This Row],[Error Bound (up) - Max. possible relative overstatement]])</f>
        <v>0</v>
      </c>
      <c r="AJ10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89" s="111">
        <f t="shared" si="16"/>
        <v>1</v>
      </c>
      <c r="AL1089" s="111">
        <f>PRODUCT($AK$5:AK1089)</f>
        <v>8.962823818226312E-2</v>
      </c>
      <c r="AM1089" s="109">
        <f>1 - [K-M P Value]</f>
        <v>0.91037176181773694</v>
      </c>
      <c r="AN1089" s="111" t="str">
        <f>IF(Audit[[#This Row],[K-M P Value]]&gt;1-'General Info'!$B$16,"Continue", "Stop")</f>
        <v>Stop</v>
      </c>
      <c r="AO1089" s="110" t="b">
        <f>IF(Audit[[#This Row],[Status - Continue or stop audit]] = "Continue", TRUE, IF(AN1088 = "Continue", TRUE, FALSE))</f>
        <v>0</v>
      </c>
      <c r="AP1089" s="110"/>
    </row>
    <row r="1090" spans="1:42" ht="15" hidden="1" customHeight="1">
      <c r="A1090" s="111" t="str">
        <f>'Sampling Data'!W1082</f>
        <v/>
      </c>
      <c r="B1090" s="112" t="str">
        <f>'Sampling Data'!A1082</f>
        <v>EUCLID -03-A - ABS</v>
      </c>
      <c r="C1090" s="112">
        <f>'Sampling Data'!B1082</f>
        <v>15</v>
      </c>
      <c r="D1090" s="112">
        <f>'Sampling Data'!C1082</f>
        <v>12</v>
      </c>
      <c r="E1090" s="113">
        <f>'Sampling Data'!D1082</f>
        <v>4</v>
      </c>
      <c r="F1090" s="113">
        <f>'Sampling Data'!E1082</f>
        <v>0</v>
      </c>
      <c r="G1090" s="113">
        <f>'Sampling Data'!F1082</f>
        <v>0</v>
      </c>
      <c r="H1090" s="113">
        <f>'Sampling Data'!G1082</f>
        <v>0</v>
      </c>
      <c r="I1090" s="112">
        <f>'Sampling Data'!H1082</f>
        <v>0</v>
      </c>
      <c r="J1090" s="112">
        <f>'Sampling Data'!I1082</f>
        <v>1</v>
      </c>
      <c r="K1090" s="112">
        <f>'Sampling Data'!J1082</f>
        <v>32</v>
      </c>
      <c r="L1090" s="111">
        <f>'Sampling Data'!X1082</f>
        <v>0</v>
      </c>
      <c r="M1090" s="114"/>
      <c r="N1090" s="114"/>
      <c r="O1090" s="115"/>
      <c r="P1090" s="115"/>
      <c r="Q1090" s="116"/>
      <c r="R1090" s="116"/>
      <c r="S1090" s="111">
        <f>Audit[[#This Row],[Audit Losing Candidate]]-Audit[[#This Row],[Losing Candidate]]</f>
        <v>-15</v>
      </c>
      <c r="T1090" s="111">
        <f>Audit[[#This Row],[Audit Winning Candidate]]-Audit[[#This Row],[Winning Candidate]]</f>
        <v>-12</v>
      </c>
      <c r="U1090" s="111">
        <f>Audit[[#This Row],[Audit Candidate 3]]-Audit[[#This Row],[Candidate 3]]</f>
        <v>-4</v>
      </c>
      <c r="V1090" s="111">
        <f>Audit[[#This Row],[Audit Candidate 4]]-Audit[[#This Row],[Candidate 4]]</f>
        <v>0</v>
      </c>
      <c r="W1090" s="111">
        <f>Audit[[#This Row],[Audit Candidate 5]]-Audit[[#This Row],[Candidate 5]]</f>
        <v>0</v>
      </c>
      <c r="X1090" s="111">
        <f>Audit[[#This Row],[Audit Candidate 6]]-Audit[[#This Row],[Candidate 6]]</f>
        <v>0</v>
      </c>
      <c r="Y1090" s="111">
        <f>SUMIF(Audit[[#This Row],[Difference Loser]:[Difference Candidate 6]], "&gt;0")</f>
        <v>0</v>
      </c>
      <c r="Z1090" s="111">
        <f>SUM(Audit[[#This Row],[Difference Loser]:[Difference Candidate 6]])</f>
        <v>-31</v>
      </c>
      <c r="AA1090" s="111">
        <f>IF(Audit[[#This Row],[Times p Drawn - With Replacement]]&gt;0, IF(Audit[[#This Row],[Canceled Differences]]&lt;0, Audit[[#This Row],[Max Differences]]+ABS(Audit[[#This Row],[Canceled Differences]]), Audit[[#This Row],[Max Differences]]), 0)</f>
        <v>0</v>
      </c>
      <c r="AB1090" s="111">
        <f>'Sampling Data'!P1082</f>
        <v>1.7760901518863303E-3</v>
      </c>
      <c r="AC1090" s="111">
        <f>IF(
      SUM(Audit[[#This Row],[Audit Losing Candidate]:[Audit Candidate 6]])
      &lt;&gt;0,
      (Audit[[#This Row],[Winning Candidate]]-Audit[[#This Row],[Losing Candidate]]-(Audit[[#This Row],[Audit Winning Candidate]]-Audit[[#This Row],[Audit Losing Candidate]]))/(Audit[[#Totals],[Winning Candidate]]-Audit[[#Totals],[Losing Candidate]]),
      0
)</f>
        <v>0</v>
      </c>
      <c r="AD10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0" s="111">
        <f>IF(Audit[[#This Row],[Max Relative Error (ep)]] = 0, 0, Audit[[#This Row],[Max Relative Error (ep)]]/Audit[[#This Row],[Error Bound (up) - Max. possible relative overstatement]])</f>
        <v>0</v>
      </c>
      <c r="AJ10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90" s="111">
        <f t="shared" si="16"/>
        <v>1</v>
      </c>
      <c r="AL1090" s="111">
        <f>PRODUCT($AK$5:AK1090)</f>
        <v>8.962823818226312E-2</v>
      </c>
      <c r="AM1090" s="109">
        <f>1 - [K-M P Value]</f>
        <v>0.91037176181773694</v>
      </c>
      <c r="AN1090" s="111" t="str">
        <f>IF(Audit[[#This Row],[K-M P Value]]&gt;1-'General Info'!$B$16,"Continue", "Stop")</f>
        <v>Stop</v>
      </c>
      <c r="AO1090" s="110" t="b">
        <f>IF(Audit[[#This Row],[Status - Continue or stop audit]] = "Continue", TRUE, IF(AN1089 = "Continue", TRUE, FALSE))</f>
        <v>0</v>
      </c>
      <c r="AP1090" s="110"/>
    </row>
    <row r="1091" spans="1:42" ht="15" hidden="1" customHeight="1">
      <c r="A1091" s="111" t="str">
        <f>'Sampling Data'!W1083</f>
        <v/>
      </c>
      <c r="B1091" s="112" t="str">
        <f>'Sampling Data'!A1083</f>
        <v>EUCLID -03-B</v>
      </c>
      <c r="C1091" s="112">
        <f>'Sampling Data'!B1083</f>
        <v>2</v>
      </c>
      <c r="D1091" s="112">
        <f>'Sampling Data'!C1083</f>
        <v>2</v>
      </c>
      <c r="E1091" s="113">
        <f>'Sampling Data'!D1083</f>
        <v>3</v>
      </c>
      <c r="F1091" s="113">
        <f>'Sampling Data'!E1083</f>
        <v>0</v>
      </c>
      <c r="G1091" s="113">
        <f>'Sampling Data'!F1083</f>
        <v>0</v>
      </c>
      <c r="H1091" s="113">
        <f>'Sampling Data'!G1083</f>
        <v>1</v>
      </c>
      <c r="I1091" s="112">
        <f>'Sampling Data'!H1083</f>
        <v>0</v>
      </c>
      <c r="J1091" s="112">
        <f>'Sampling Data'!I1083</f>
        <v>0</v>
      </c>
      <c r="K1091" s="112">
        <f>'Sampling Data'!J1083</f>
        <v>8</v>
      </c>
      <c r="L1091" s="111">
        <f>'Sampling Data'!X1083</f>
        <v>0</v>
      </c>
      <c r="M1091" s="114"/>
      <c r="N1091" s="114"/>
      <c r="O1091" s="115"/>
      <c r="P1091" s="115"/>
      <c r="Q1091" s="116"/>
      <c r="R1091" s="116"/>
      <c r="S1091" s="111">
        <f>Audit[[#This Row],[Audit Losing Candidate]]-Audit[[#This Row],[Losing Candidate]]</f>
        <v>-2</v>
      </c>
      <c r="T1091" s="111">
        <f>Audit[[#This Row],[Audit Winning Candidate]]-Audit[[#This Row],[Winning Candidate]]</f>
        <v>-2</v>
      </c>
      <c r="U1091" s="111">
        <f>Audit[[#This Row],[Audit Candidate 3]]-Audit[[#This Row],[Candidate 3]]</f>
        <v>-3</v>
      </c>
      <c r="V1091" s="111">
        <f>Audit[[#This Row],[Audit Candidate 4]]-Audit[[#This Row],[Candidate 4]]</f>
        <v>0</v>
      </c>
      <c r="W1091" s="111">
        <f>Audit[[#This Row],[Audit Candidate 5]]-Audit[[#This Row],[Candidate 5]]</f>
        <v>0</v>
      </c>
      <c r="X1091" s="111">
        <f>Audit[[#This Row],[Audit Candidate 6]]-Audit[[#This Row],[Candidate 6]]</f>
        <v>-1</v>
      </c>
      <c r="Y1091" s="111">
        <f>SUMIF(Audit[[#This Row],[Difference Loser]:[Difference Candidate 6]], "&gt;0")</f>
        <v>0</v>
      </c>
      <c r="Z1091" s="111">
        <f>SUM(Audit[[#This Row],[Difference Loser]:[Difference Candidate 6]])</f>
        <v>-8</v>
      </c>
      <c r="AA1091" s="111">
        <f>IF(Audit[[#This Row],[Times p Drawn - With Replacement]]&gt;0, IF(Audit[[#This Row],[Canceled Differences]]&lt;0, Audit[[#This Row],[Max Differences]]+ABS(Audit[[#This Row],[Canceled Differences]]), Audit[[#This Row],[Max Differences]]), 0)</f>
        <v>0</v>
      </c>
      <c r="AB1091" s="111">
        <f>'Sampling Data'!P1083</f>
        <v>4.8995590396864281E-4</v>
      </c>
      <c r="AC1091" s="111">
        <f>IF(
      SUM(Audit[[#This Row],[Audit Losing Candidate]:[Audit Candidate 6]])
      &lt;&gt;0,
      (Audit[[#This Row],[Winning Candidate]]-Audit[[#This Row],[Losing Candidate]]-(Audit[[#This Row],[Audit Winning Candidate]]-Audit[[#This Row],[Audit Losing Candidate]]))/(Audit[[#Totals],[Winning Candidate]]-Audit[[#Totals],[Losing Candidate]]),
      0
)</f>
        <v>0</v>
      </c>
      <c r="AD10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1" s="111">
        <f>IF(Audit[[#This Row],[Max Relative Error (ep)]] = 0, 0, Audit[[#This Row],[Max Relative Error (ep)]]/Audit[[#This Row],[Error Bound (up) - Max. possible relative overstatement]])</f>
        <v>0</v>
      </c>
      <c r="AJ10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91" s="111">
        <f t="shared" si="16"/>
        <v>1</v>
      </c>
      <c r="AL1091" s="111">
        <f>PRODUCT($AK$5:AK1091)</f>
        <v>8.962823818226312E-2</v>
      </c>
      <c r="AM1091" s="109">
        <f>1 - [K-M P Value]</f>
        <v>0.91037176181773694</v>
      </c>
      <c r="AN1091" s="111" t="str">
        <f>IF(Audit[[#This Row],[K-M P Value]]&gt;1-'General Info'!$B$16,"Continue", "Stop")</f>
        <v>Stop</v>
      </c>
      <c r="AO1091" s="110" t="b">
        <f>IF(Audit[[#This Row],[Status - Continue or stop audit]] = "Continue", TRUE, IF(AN1090 = "Continue", TRUE, FALSE))</f>
        <v>0</v>
      </c>
      <c r="AP1091" s="110"/>
    </row>
    <row r="1092" spans="1:42" ht="15" hidden="1" customHeight="1">
      <c r="A1092" s="111" t="str">
        <f>'Sampling Data'!W1084</f>
        <v/>
      </c>
      <c r="B1092" s="112" t="str">
        <f>'Sampling Data'!A1084</f>
        <v>EUCLID -03-B - ABS</v>
      </c>
      <c r="C1092" s="112">
        <f>'Sampling Data'!B1084</f>
        <v>2</v>
      </c>
      <c r="D1092" s="112">
        <f>'Sampling Data'!C1084</f>
        <v>2</v>
      </c>
      <c r="E1092" s="113">
        <f>'Sampling Data'!D1084</f>
        <v>2</v>
      </c>
      <c r="F1092" s="113">
        <f>'Sampling Data'!E1084</f>
        <v>0</v>
      </c>
      <c r="G1092" s="113">
        <f>'Sampling Data'!F1084</f>
        <v>0</v>
      </c>
      <c r="H1092" s="113">
        <f>'Sampling Data'!G1084</f>
        <v>1</v>
      </c>
      <c r="I1092" s="112">
        <f>'Sampling Data'!H1084</f>
        <v>0</v>
      </c>
      <c r="J1092" s="112">
        <f>'Sampling Data'!I1084</f>
        <v>0</v>
      </c>
      <c r="K1092" s="112">
        <f>'Sampling Data'!J1084</f>
        <v>7</v>
      </c>
      <c r="L1092" s="111">
        <f>'Sampling Data'!X1084</f>
        <v>0</v>
      </c>
      <c r="M1092" s="114"/>
      <c r="N1092" s="114"/>
      <c r="O1092" s="115"/>
      <c r="P1092" s="115"/>
      <c r="Q1092" s="116"/>
      <c r="R1092" s="116"/>
      <c r="S1092" s="111">
        <f>Audit[[#This Row],[Audit Losing Candidate]]-Audit[[#This Row],[Losing Candidate]]</f>
        <v>-2</v>
      </c>
      <c r="T1092" s="111">
        <f>Audit[[#This Row],[Audit Winning Candidate]]-Audit[[#This Row],[Winning Candidate]]</f>
        <v>-2</v>
      </c>
      <c r="U1092" s="111">
        <f>Audit[[#This Row],[Audit Candidate 3]]-Audit[[#This Row],[Candidate 3]]</f>
        <v>-2</v>
      </c>
      <c r="V1092" s="111">
        <f>Audit[[#This Row],[Audit Candidate 4]]-Audit[[#This Row],[Candidate 4]]</f>
        <v>0</v>
      </c>
      <c r="W1092" s="111">
        <f>Audit[[#This Row],[Audit Candidate 5]]-Audit[[#This Row],[Candidate 5]]</f>
        <v>0</v>
      </c>
      <c r="X1092" s="111">
        <f>Audit[[#This Row],[Audit Candidate 6]]-Audit[[#This Row],[Candidate 6]]</f>
        <v>-1</v>
      </c>
      <c r="Y1092" s="111">
        <f>SUMIF(Audit[[#This Row],[Difference Loser]:[Difference Candidate 6]], "&gt;0")</f>
        <v>0</v>
      </c>
      <c r="Z1092" s="111">
        <f>SUM(Audit[[#This Row],[Difference Loser]:[Difference Candidate 6]])</f>
        <v>-7</v>
      </c>
      <c r="AA1092" s="111">
        <f>IF(Audit[[#This Row],[Times p Drawn - With Replacement]]&gt;0, IF(Audit[[#This Row],[Canceled Differences]]&lt;0, Audit[[#This Row],[Max Differences]]+ABS(Audit[[#This Row],[Canceled Differences]]), Audit[[#This Row],[Max Differences]]), 0)</f>
        <v>0</v>
      </c>
      <c r="AB1092" s="111">
        <f>'Sampling Data'!P1084</f>
        <v>4.2871141597256246E-4</v>
      </c>
      <c r="AC1092" s="111">
        <f>IF(
      SUM(Audit[[#This Row],[Audit Losing Candidate]:[Audit Candidate 6]])
      &lt;&gt;0,
      (Audit[[#This Row],[Winning Candidate]]-Audit[[#This Row],[Losing Candidate]]-(Audit[[#This Row],[Audit Winning Candidate]]-Audit[[#This Row],[Audit Losing Candidate]]))/(Audit[[#Totals],[Winning Candidate]]-Audit[[#Totals],[Losing Candidate]]),
      0
)</f>
        <v>0</v>
      </c>
      <c r="AD10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2" s="111">
        <f>IF(Audit[[#This Row],[Max Relative Error (ep)]] = 0, 0, Audit[[#This Row],[Max Relative Error (ep)]]/Audit[[#This Row],[Error Bound (up) - Max. possible relative overstatement]])</f>
        <v>0</v>
      </c>
      <c r="AJ10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92" s="111">
        <f t="shared" si="16"/>
        <v>1</v>
      </c>
      <c r="AL1092" s="111">
        <f>PRODUCT($AK$5:AK1092)</f>
        <v>8.962823818226312E-2</v>
      </c>
      <c r="AM1092" s="109">
        <f>1 - [K-M P Value]</f>
        <v>0.91037176181773694</v>
      </c>
      <c r="AN1092" s="111" t="str">
        <f>IF(Audit[[#This Row],[K-M P Value]]&gt;1-'General Info'!$B$16,"Continue", "Stop")</f>
        <v>Stop</v>
      </c>
      <c r="AO1092" s="110" t="b">
        <f>IF(Audit[[#This Row],[Status - Continue or stop audit]] = "Continue", TRUE, IF(AN1091 = "Continue", TRUE, FALSE))</f>
        <v>0</v>
      </c>
      <c r="AP1092" s="110"/>
    </row>
    <row r="1093" spans="1:42" ht="15" hidden="1" customHeight="1">
      <c r="A1093" s="111" t="str">
        <f>'Sampling Data'!W1085</f>
        <v/>
      </c>
      <c r="B1093" s="112" t="str">
        <f>'Sampling Data'!A1085</f>
        <v>EUCLID -03-C</v>
      </c>
      <c r="C1093" s="112">
        <f>'Sampling Data'!B1085</f>
        <v>2</v>
      </c>
      <c r="D1093" s="112">
        <f>'Sampling Data'!C1085</f>
        <v>3</v>
      </c>
      <c r="E1093" s="113">
        <f>'Sampling Data'!D1085</f>
        <v>0</v>
      </c>
      <c r="F1093" s="113">
        <f>'Sampling Data'!E1085</f>
        <v>0</v>
      </c>
      <c r="G1093" s="113">
        <f>'Sampling Data'!F1085</f>
        <v>0</v>
      </c>
      <c r="H1093" s="113">
        <f>'Sampling Data'!G1085</f>
        <v>0</v>
      </c>
      <c r="I1093" s="112">
        <f>'Sampling Data'!H1085</f>
        <v>0</v>
      </c>
      <c r="J1093" s="112">
        <f>'Sampling Data'!I1085</f>
        <v>0</v>
      </c>
      <c r="K1093" s="112">
        <f>'Sampling Data'!J1085</f>
        <v>5</v>
      </c>
      <c r="L1093" s="111">
        <f>'Sampling Data'!X1085</f>
        <v>0</v>
      </c>
      <c r="M1093" s="114"/>
      <c r="N1093" s="114"/>
      <c r="O1093" s="115"/>
      <c r="P1093" s="115"/>
      <c r="Q1093" s="116"/>
      <c r="R1093" s="116"/>
      <c r="S1093" s="111">
        <f>Audit[[#This Row],[Audit Losing Candidate]]-Audit[[#This Row],[Losing Candidate]]</f>
        <v>-2</v>
      </c>
      <c r="T1093" s="111">
        <f>Audit[[#This Row],[Audit Winning Candidate]]-Audit[[#This Row],[Winning Candidate]]</f>
        <v>-3</v>
      </c>
      <c r="U1093" s="111">
        <f>Audit[[#This Row],[Audit Candidate 3]]-Audit[[#This Row],[Candidate 3]]</f>
        <v>0</v>
      </c>
      <c r="V1093" s="111">
        <f>Audit[[#This Row],[Audit Candidate 4]]-Audit[[#This Row],[Candidate 4]]</f>
        <v>0</v>
      </c>
      <c r="W1093" s="111">
        <f>Audit[[#This Row],[Audit Candidate 5]]-Audit[[#This Row],[Candidate 5]]</f>
        <v>0</v>
      </c>
      <c r="X1093" s="111">
        <f>Audit[[#This Row],[Audit Candidate 6]]-Audit[[#This Row],[Candidate 6]]</f>
        <v>0</v>
      </c>
      <c r="Y1093" s="111">
        <f>SUMIF(Audit[[#This Row],[Difference Loser]:[Difference Candidate 6]], "&gt;0")</f>
        <v>0</v>
      </c>
      <c r="Z1093" s="111">
        <f>SUM(Audit[[#This Row],[Difference Loser]:[Difference Candidate 6]])</f>
        <v>-5</v>
      </c>
      <c r="AA1093" s="111">
        <f>IF(Audit[[#This Row],[Times p Drawn - With Replacement]]&gt;0, IF(Audit[[#This Row],[Canceled Differences]]&lt;0, Audit[[#This Row],[Max Differences]]+ABS(Audit[[#This Row],[Canceled Differences]]), Audit[[#This Row],[Max Differences]]), 0)</f>
        <v>0</v>
      </c>
      <c r="AB1093" s="111">
        <f>'Sampling Data'!P1085</f>
        <v>3.6746692797648211E-4</v>
      </c>
      <c r="AC1093" s="111">
        <f>IF(
      SUM(Audit[[#This Row],[Audit Losing Candidate]:[Audit Candidate 6]])
      &lt;&gt;0,
      (Audit[[#This Row],[Winning Candidate]]-Audit[[#This Row],[Losing Candidate]]-(Audit[[#This Row],[Audit Winning Candidate]]-Audit[[#This Row],[Audit Losing Candidate]]))/(Audit[[#Totals],[Winning Candidate]]-Audit[[#Totals],[Losing Candidate]]),
      0
)</f>
        <v>0</v>
      </c>
      <c r="AD10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3" s="111">
        <f>IF(Audit[[#This Row],[Max Relative Error (ep)]] = 0, 0, Audit[[#This Row],[Max Relative Error (ep)]]/Audit[[#This Row],[Error Bound (up) - Max. possible relative overstatement]])</f>
        <v>0</v>
      </c>
      <c r="AJ10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93" s="111">
        <f t="shared" ref="AK1093:AK1156" si="17">IF(ISERR(POWER(AJ1093,L1093)), 0, POWER(AJ1093,L1093))</f>
        <v>1</v>
      </c>
      <c r="AL1093" s="111">
        <f>PRODUCT($AK$5:AK1093)</f>
        <v>8.962823818226312E-2</v>
      </c>
      <c r="AM1093" s="109">
        <f>1 - [K-M P Value]</f>
        <v>0.91037176181773694</v>
      </c>
      <c r="AN1093" s="111" t="str">
        <f>IF(Audit[[#This Row],[K-M P Value]]&gt;1-'General Info'!$B$16,"Continue", "Stop")</f>
        <v>Stop</v>
      </c>
      <c r="AO1093" s="110" t="b">
        <f>IF(Audit[[#This Row],[Status - Continue or stop audit]] = "Continue", TRUE, IF(AN1092 = "Continue", TRUE, FALSE))</f>
        <v>0</v>
      </c>
      <c r="AP1093" s="110"/>
    </row>
    <row r="1094" spans="1:42" ht="15" hidden="1" customHeight="1">
      <c r="A1094" s="111" t="str">
        <f>'Sampling Data'!W1086</f>
        <v/>
      </c>
      <c r="B1094" s="112" t="str">
        <f>'Sampling Data'!A1086</f>
        <v>EUCLID -03-C - ABS</v>
      </c>
      <c r="C1094" s="112">
        <f>'Sampling Data'!B1086</f>
        <v>1</v>
      </c>
      <c r="D1094" s="112">
        <f>'Sampling Data'!C1086</f>
        <v>1</v>
      </c>
      <c r="E1094" s="113">
        <f>'Sampling Data'!D1086</f>
        <v>0</v>
      </c>
      <c r="F1094" s="113">
        <f>'Sampling Data'!E1086</f>
        <v>0</v>
      </c>
      <c r="G1094" s="113">
        <f>'Sampling Data'!F1086</f>
        <v>0</v>
      </c>
      <c r="H1094" s="113">
        <f>'Sampling Data'!G1086</f>
        <v>0</v>
      </c>
      <c r="I1094" s="112">
        <f>'Sampling Data'!H1086</f>
        <v>0</v>
      </c>
      <c r="J1094" s="112">
        <f>'Sampling Data'!I1086</f>
        <v>0</v>
      </c>
      <c r="K1094" s="112">
        <f>'Sampling Data'!J1086</f>
        <v>2</v>
      </c>
      <c r="L1094" s="111">
        <f>'Sampling Data'!X1086</f>
        <v>0</v>
      </c>
      <c r="M1094" s="114"/>
      <c r="N1094" s="114"/>
      <c r="O1094" s="115"/>
      <c r="P1094" s="115"/>
      <c r="Q1094" s="116"/>
      <c r="R1094" s="116"/>
      <c r="S1094" s="111">
        <f>Audit[[#This Row],[Audit Losing Candidate]]-Audit[[#This Row],[Losing Candidate]]</f>
        <v>-1</v>
      </c>
      <c r="T1094" s="111">
        <f>Audit[[#This Row],[Audit Winning Candidate]]-Audit[[#This Row],[Winning Candidate]]</f>
        <v>-1</v>
      </c>
      <c r="U1094" s="111">
        <f>Audit[[#This Row],[Audit Candidate 3]]-Audit[[#This Row],[Candidate 3]]</f>
        <v>0</v>
      </c>
      <c r="V1094" s="111">
        <f>Audit[[#This Row],[Audit Candidate 4]]-Audit[[#This Row],[Candidate 4]]</f>
        <v>0</v>
      </c>
      <c r="W1094" s="111">
        <f>Audit[[#This Row],[Audit Candidate 5]]-Audit[[#This Row],[Candidate 5]]</f>
        <v>0</v>
      </c>
      <c r="X1094" s="111">
        <f>Audit[[#This Row],[Audit Candidate 6]]-Audit[[#This Row],[Candidate 6]]</f>
        <v>0</v>
      </c>
      <c r="Y1094" s="111">
        <f>SUMIF(Audit[[#This Row],[Difference Loser]:[Difference Candidate 6]], "&gt;0")</f>
        <v>0</v>
      </c>
      <c r="Z1094" s="111">
        <f>SUM(Audit[[#This Row],[Difference Loser]:[Difference Candidate 6]])</f>
        <v>-2</v>
      </c>
      <c r="AA1094" s="111">
        <f>IF(Audit[[#This Row],[Times p Drawn - With Replacement]]&gt;0, IF(Audit[[#This Row],[Canceled Differences]]&lt;0, Audit[[#This Row],[Max Differences]]+ABS(Audit[[#This Row],[Canceled Differences]]), Audit[[#This Row],[Max Differences]]), 0)</f>
        <v>0</v>
      </c>
      <c r="AB1094" s="111">
        <f>'Sampling Data'!P1086</f>
        <v>1.224889759921607E-4</v>
      </c>
      <c r="AC1094" s="111">
        <f>IF(
      SUM(Audit[[#This Row],[Audit Losing Candidate]:[Audit Candidate 6]])
      &lt;&gt;0,
      (Audit[[#This Row],[Winning Candidate]]-Audit[[#This Row],[Losing Candidate]]-(Audit[[#This Row],[Audit Winning Candidate]]-Audit[[#This Row],[Audit Losing Candidate]]))/(Audit[[#Totals],[Winning Candidate]]-Audit[[#Totals],[Losing Candidate]]),
      0
)</f>
        <v>0</v>
      </c>
      <c r="AD10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4" s="111">
        <f>IF(Audit[[#This Row],[Max Relative Error (ep)]] = 0, 0, Audit[[#This Row],[Max Relative Error (ep)]]/Audit[[#This Row],[Error Bound (up) - Max. possible relative overstatement]])</f>
        <v>0</v>
      </c>
      <c r="AJ10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94" s="111">
        <f t="shared" si="17"/>
        <v>1</v>
      </c>
      <c r="AL1094" s="111">
        <f>PRODUCT($AK$5:AK1094)</f>
        <v>8.962823818226312E-2</v>
      </c>
      <c r="AM1094" s="109">
        <f>1 - [K-M P Value]</f>
        <v>0.91037176181773694</v>
      </c>
      <c r="AN1094" s="111" t="str">
        <f>IF(Audit[[#This Row],[K-M P Value]]&gt;1-'General Info'!$B$16,"Continue", "Stop")</f>
        <v>Stop</v>
      </c>
      <c r="AO1094" s="110" t="b">
        <f>IF(Audit[[#This Row],[Status - Continue or stop audit]] = "Continue", TRUE, IF(AN1093 = "Continue", TRUE, FALSE))</f>
        <v>0</v>
      </c>
      <c r="AP1094" s="110"/>
    </row>
    <row r="1095" spans="1:42" ht="15" hidden="1" customHeight="1">
      <c r="A1095" s="111" t="str">
        <f>'Sampling Data'!W1087</f>
        <v/>
      </c>
      <c r="B1095" s="112" t="str">
        <f>'Sampling Data'!A1087</f>
        <v>EUCLID -03-D</v>
      </c>
      <c r="C1095" s="112">
        <f>'Sampling Data'!B1087</f>
        <v>2</v>
      </c>
      <c r="D1095" s="112">
        <f>'Sampling Data'!C1087</f>
        <v>2</v>
      </c>
      <c r="E1095" s="113">
        <f>'Sampling Data'!D1087</f>
        <v>1</v>
      </c>
      <c r="F1095" s="113">
        <f>'Sampling Data'!E1087</f>
        <v>0</v>
      </c>
      <c r="G1095" s="113">
        <f>'Sampling Data'!F1087</f>
        <v>0</v>
      </c>
      <c r="H1095" s="113">
        <f>'Sampling Data'!G1087</f>
        <v>0</v>
      </c>
      <c r="I1095" s="112">
        <f>'Sampling Data'!H1087</f>
        <v>0</v>
      </c>
      <c r="J1095" s="112">
        <f>'Sampling Data'!I1087</f>
        <v>0</v>
      </c>
      <c r="K1095" s="112">
        <f>'Sampling Data'!J1087</f>
        <v>5</v>
      </c>
      <c r="L1095" s="111">
        <f>'Sampling Data'!X1087</f>
        <v>0</v>
      </c>
      <c r="M1095" s="114"/>
      <c r="N1095" s="114"/>
      <c r="O1095" s="115"/>
      <c r="P1095" s="115"/>
      <c r="Q1095" s="116"/>
      <c r="R1095" s="116"/>
      <c r="S1095" s="111">
        <f>Audit[[#This Row],[Audit Losing Candidate]]-Audit[[#This Row],[Losing Candidate]]</f>
        <v>-2</v>
      </c>
      <c r="T1095" s="111">
        <f>Audit[[#This Row],[Audit Winning Candidate]]-Audit[[#This Row],[Winning Candidate]]</f>
        <v>-2</v>
      </c>
      <c r="U1095" s="111">
        <f>Audit[[#This Row],[Audit Candidate 3]]-Audit[[#This Row],[Candidate 3]]</f>
        <v>-1</v>
      </c>
      <c r="V1095" s="111">
        <f>Audit[[#This Row],[Audit Candidate 4]]-Audit[[#This Row],[Candidate 4]]</f>
        <v>0</v>
      </c>
      <c r="W1095" s="111">
        <f>Audit[[#This Row],[Audit Candidate 5]]-Audit[[#This Row],[Candidate 5]]</f>
        <v>0</v>
      </c>
      <c r="X1095" s="111">
        <f>Audit[[#This Row],[Audit Candidate 6]]-Audit[[#This Row],[Candidate 6]]</f>
        <v>0</v>
      </c>
      <c r="Y1095" s="111">
        <f>SUMIF(Audit[[#This Row],[Difference Loser]:[Difference Candidate 6]], "&gt;0")</f>
        <v>0</v>
      </c>
      <c r="Z1095" s="111">
        <f>SUM(Audit[[#This Row],[Difference Loser]:[Difference Candidate 6]])</f>
        <v>-5</v>
      </c>
      <c r="AA1095" s="111">
        <f>IF(Audit[[#This Row],[Times p Drawn - With Replacement]]&gt;0, IF(Audit[[#This Row],[Canceled Differences]]&lt;0, Audit[[#This Row],[Max Differences]]+ABS(Audit[[#This Row],[Canceled Differences]]), Audit[[#This Row],[Max Differences]]), 0)</f>
        <v>0</v>
      </c>
      <c r="AB1095" s="111">
        <f>'Sampling Data'!P1087</f>
        <v>3.0622243998040176E-4</v>
      </c>
      <c r="AC1095" s="111">
        <f>IF(
      SUM(Audit[[#This Row],[Audit Losing Candidate]:[Audit Candidate 6]])
      &lt;&gt;0,
      (Audit[[#This Row],[Winning Candidate]]-Audit[[#This Row],[Losing Candidate]]-(Audit[[#This Row],[Audit Winning Candidate]]-Audit[[#This Row],[Audit Losing Candidate]]))/(Audit[[#Totals],[Winning Candidate]]-Audit[[#Totals],[Losing Candidate]]),
      0
)</f>
        <v>0</v>
      </c>
      <c r="AD10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5" s="111">
        <f>IF(Audit[[#This Row],[Max Relative Error (ep)]] = 0, 0, Audit[[#This Row],[Max Relative Error (ep)]]/Audit[[#This Row],[Error Bound (up) - Max. possible relative overstatement]])</f>
        <v>0</v>
      </c>
      <c r="AJ10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95" s="111">
        <f t="shared" si="17"/>
        <v>1</v>
      </c>
      <c r="AL1095" s="111">
        <f>PRODUCT($AK$5:AK1095)</f>
        <v>8.962823818226312E-2</v>
      </c>
      <c r="AM1095" s="109">
        <f>1 - [K-M P Value]</f>
        <v>0.91037176181773694</v>
      </c>
      <c r="AN1095" s="111" t="str">
        <f>IF(Audit[[#This Row],[K-M P Value]]&gt;1-'General Info'!$B$16,"Continue", "Stop")</f>
        <v>Stop</v>
      </c>
      <c r="AO1095" s="110" t="b">
        <f>IF(Audit[[#This Row],[Status - Continue or stop audit]] = "Continue", TRUE, IF(AN1094 = "Continue", TRUE, FALSE))</f>
        <v>0</v>
      </c>
      <c r="AP1095" s="110"/>
    </row>
    <row r="1096" spans="1:42" ht="15" hidden="1" customHeight="1">
      <c r="A1096" s="111" t="str">
        <f>'Sampling Data'!W1088</f>
        <v/>
      </c>
      <c r="B1096" s="112" t="str">
        <f>'Sampling Data'!A1088</f>
        <v>EUCLID -03-D - ABS</v>
      </c>
      <c r="C1096" s="112">
        <f>'Sampling Data'!B1088</f>
        <v>0</v>
      </c>
      <c r="D1096" s="112">
        <f>'Sampling Data'!C1088</f>
        <v>0</v>
      </c>
      <c r="E1096" s="113">
        <f>'Sampling Data'!D1088</f>
        <v>0</v>
      </c>
      <c r="F1096" s="113">
        <f>'Sampling Data'!E1088</f>
        <v>0</v>
      </c>
      <c r="G1096" s="113">
        <f>'Sampling Data'!F1088</f>
        <v>0</v>
      </c>
      <c r="H1096" s="113">
        <f>'Sampling Data'!G1088</f>
        <v>0</v>
      </c>
      <c r="I1096" s="112">
        <f>'Sampling Data'!H1088</f>
        <v>0</v>
      </c>
      <c r="J1096" s="112">
        <f>'Sampling Data'!I1088</f>
        <v>0</v>
      </c>
      <c r="K1096" s="112">
        <f>'Sampling Data'!J1088</f>
        <v>0</v>
      </c>
      <c r="L1096" s="111">
        <f>'Sampling Data'!X1088</f>
        <v>0</v>
      </c>
      <c r="M1096" s="114"/>
      <c r="N1096" s="114"/>
      <c r="O1096" s="115"/>
      <c r="P1096" s="115"/>
      <c r="Q1096" s="116"/>
      <c r="R1096" s="116"/>
      <c r="S1096" s="111">
        <f>Audit[[#This Row],[Audit Losing Candidate]]-Audit[[#This Row],[Losing Candidate]]</f>
        <v>0</v>
      </c>
      <c r="T1096" s="111">
        <f>Audit[[#This Row],[Audit Winning Candidate]]-Audit[[#This Row],[Winning Candidate]]</f>
        <v>0</v>
      </c>
      <c r="U1096" s="111">
        <f>Audit[[#This Row],[Audit Candidate 3]]-Audit[[#This Row],[Candidate 3]]</f>
        <v>0</v>
      </c>
      <c r="V1096" s="111">
        <f>Audit[[#This Row],[Audit Candidate 4]]-Audit[[#This Row],[Candidate 4]]</f>
        <v>0</v>
      </c>
      <c r="W1096" s="111">
        <f>Audit[[#This Row],[Audit Candidate 5]]-Audit[[#This Row],[Candidate 5]]</f>
        <v>0</v>
      </c>
      <c r="X1096" s="111">
        <f>Audit[[#This Row],[Audit Candidate 6]]-Audit[[#This Row],[Candidate 6]]</f>
        <v>0</v>
      </c>
      <c r="Y1096" s="111">
        <f>SUMIF(Audit[[#This Row],[Difference Loser]:[Difference Candidate 6]], "&gt;0")</f>
        <v>0</v>
      </c>
      <c r="Z1096" s="111">
        <f>SUM(Audit[[#This Row],[Difference Loser]:[Difference Candidate 6]])</f>
        <v>0</v>
      </c>
      <c r="AA1096" s="111">
        <f>IF(Audit[[#This Row],[Times p Drawn - With Replacement]]&gt;0, IF(Audit[[#This Row],[Canceled Differences]]&lt;0, Audit[[#This Row],[Max Differences]]+ABS(Audit[[#This Row],[Canceled Differences]]), Audit[[#This Row],[Max Differences]]), 0)</f>
        <v>0</v>
      </c>
      <c r="AB1096" s="111">
        <f>'Sampling Data'!P1088</f>
        <v>0</v>
      </c>
      <c r="AC1096" s="111">
        <f>IF(
      SUM(Audit[[#This Row],[Audit Losing Candidate]:[Audit Candidate 6]])
      &lt;&gt;0,
      (Audit[[#This Row],[Winning Candidate]]-Audit[[#This Row],[Losing Candidate]]-(Audit[[#This Row],[Audit Winning Candidate]]-Audit[[#This Row],[Audit Losing Candidate]]))/(Audit[[#Totals],[Winning Candidate]]-Audit[[#Totals],[Losing Candidate]]),
      0
)</f>
        <v>0</v>
      </c>
      <c r="AD10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6" s="111">
        <f>IF(Audit[[#This Row],[Max Relative Error (ep)]] = 0, 0, Audit[[#This Row],[Max Relative Error (ep)]]/Audit[[#This Row],[Error Bound (up) - Max. possible relative overstatement]])</f>
        <v>0</v>
      </c>
      <c r="AJ10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96" s="111">
        <f t="shared" si="17"/>
        <v>1</v>
      </c>
      <c r="AL1096" s="111">
        <f>PRODUCT($AK$5:AK1096)</f>
        <v>8.962823818226312E-2</v>
      </c>
      <c r="AM1096" s="109">
        <f>1 - [K-M P Value]</f>
        <v>0.91037176181773694</v>
      </c>
      <c r="AN1096" s="111" t="str">
        <f>IF(Audit[[#This Row],[K-M P Value]]&gt;1-'General Info'!$B$16,"Continue", "Stop")</f>
        <v>Stop</v>
      </c>
      <c r="AO1096" s="110" t="b">
        <f>IF(Audit[[#This Row],[Status - Continue or stop audit]] = "Continue", TRUE, IF(AN1095 = "Continue", TRUE, FALSE))</f>
        <v>0</v>
      </c>
      <c r="AP1096" s="110"/>
    </row>
    <row r="1097" spans="1:42" ht="15" hidden="1" customHeight="1">
      <c r="A1097" s="111" t="str">
        <f>'Sampling Data'!W1089</f>
        <v/>
      </c>
      <c r="B1097" s="112" t="str">
        <f>'Sampling Data'!A1089</f>
        <v>EUCLID -03-E</v>
      </c>
      <c r="C1097" s="112">
        <f>'Sampling Data'!B1089</f>
        <v>7</v>
      </c>
      <c r="D1097" s="112">
        <f>'Sampling Data'!C1089</f>
        <v>1</v>
      </c>
      <c r="E1097" s="113">
        <f>'Sampling Data'!D1089</f>
        <v>0</v>
      </c>
      <c r="F1097" s="113">
        <f>'Sampling Data'!E1089</f>
        <v>1</v>
      </c>
      <c r="G1097" s="113">
        <f>'Sampling Data'!F1089</f>
        <v>0</v>
      </c>
      <c r="H1097" s="113">
        <f>'Sampling Data'!G1089</f>
        <v>0</v>
      </c>
      <c r="I1097" s="112">
        <f>'Sampling Data'!H1089</f>
        <v>0</v>
      </c>
      <c r="J1097" s="112">
        <f>'Sampling Data'!I1089</f>
        <v>0</v>
      </c>
      <c r="K1097" s="112">
        <f>'Sampling Data'!J1089</f>
        <v>9</v>
      </c>
      <c r="L1097" s="111">
        <f>'Sampling Data'!X1089</f>
        <v>0</v>
      </c>
      <c r="M1097" s="114"/>
      <c r="N1097" s="114"/>
      <c r="O1097" s="115"/>
      <c r="P1097" s="115"/>
      <c r="Q1097" s="116"/>
      <c r="R1097" s="116"/>
      <c r="S1097" s="111">
        <f>Audit[[#This Row],[Audit Losing Candidate]]-Audit[[#This Row],[Losing Candidate]]</f>
        <v>-7</v>
      </c>
      <c r="T1097" s="111">
        <f>Audit[[#This Row],[Audit Winning Candidate]]-Audit[[#This Row],[Winning Candidate]]</f>
        <v>-1</v>
      </c>
      <c r="U1097" s="111">
        <f>Audit[[#This Row],[Audit Candidate 3]]-Audit[[#This Row],[Candidate 3]]</f>
        <v>0</v>
      </c>
      <c r="V1097" s="111">
        <f>Audit[[#This Row],[Audit Candidate 4]]-Audit[[#This Row],[Candidate 4]]</f>
        <v>-1</v>
      </c>
      <c r="W1097" s="111">
        <f>Audit[[#This Row],[Audit Candidate 5]]-Audit[[#This Row],[Candidate 5]]</f>
        <v>0</v>
      </c>
      <c r="X1097" s="111">
        <f>Audit[[#This Row],[Audit Candidate 6]]-Audit[[#This Row],[Candidate 6]]</f>
        <v>0</v>
      </c>
      <c r="Y1097" s="111">
        <f>SUMIF(Audit[[#This Row],[Difference Loser]:[Difference Candidate 6]], "&gt;0")</f>
        <v>0</v>
      </c>
      <c r="Z1097" s="111">
        <f>SUM(Audit[[#This Row],[Difference Loser]:[Difference Candidate 6]])</f>
        <v>-9</v>
      </c>
      <c r="AA1097" s="111">
        <f>IF(Audit[[#This Row],[Times p Drawn - With Replacement]]&gt;0, IF(Audit[[#This Row],[Canceled Differences]]&lt;0, Audit[[#This Row],[Max Differences]]+ABS(Audit[[#This Row],[Canceled Differences]]), Audit[[#This Row],[Max Differences]]), 0)</f>
        <v>0</v>
      </c>
      <c r="AB1097" s="111">
        <f>'Sampling Data'!P1089</f>
        <v>3.2261186566441915E-4</v>
      </c>
      <c r="AC1097" s="111">
        <f>IF(
      SUM(Audit[[#This Row],[Audit Losing Candidate]:[Audit Candidate 6]])
      &lt;&gt;0,
      (Audit[[#This Row],[Winning Candidate]]-Audit[[#This Row],[Losing Candidate]]-(Audit[[#This Row],[Audit Winning Candidate]]-Audit[[#This Row],[Audit Losing Candidate]]))/(Audit[[#Totals],[Winning Candidate]]-Audit[[#Totals],[Losing Candidate]]),
      0
)</f>
        <v>0</v>
      </c>
      <c r="AD10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7" s="111">
        <f>IF(Audit[[#This Row],[Max Relative Error (ep)]] = 0, 0, Audit[[#This Row],[Max Relative Error (ep)]]/Audit[[#This Row],[Error Bound (up) - Max. possible relative overstatement]])</f>
        <v>0</v>
      </c>
      <c r="AJ10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97" s="111">
        <f t="shared" si="17"/>
        <v>1</v>
      </c>
      <c r="AL1097" s="111">
        <f>PRODUCT($AK$5:AK1097)</f>
        <v>8.962823818226312E-2</v>
      </c>
      <c r="AM1097" s="109">
        <f>1 - [K-M P Value]</f>
        <v>0.91037176181773694</v>
      </c>
      <c r="AN1097" s="111" t="str">
        <f>IF(Audit[[#This Row],[K-M P Value]]&gt;1-'General Info'!$B$16,"Continue", "Stop")</f>
        <v>Stop</v>
      </c>
      <c r="AO1097" s="110" t="b">
        <f>IF(Audit[[#This Row],[Status - Continue or stop audit]] = "Continue", TRUE, IF(AN1096 = "Continue", TRUE, FALSE))</f>
        <v>0</v>
      </c>
      <c r="AP1097" s="110"/>
    </row>
    <row r="1098" spans="1:42" ht="15" hidden="1" customHeight="1">
      <c r="A1098" s="111" t="str">
        <f>'Sampling Data'!W1090</f>
        <v/>
      </c>
      <c r="B1098" s="112" t="str">
        <f>'Sampling Data'!A1090</f>
        <v>EUCLID -03-E - ABS</v>
      </c>
      <c r="C1098" s="112">
        <f>'Sampling Data'!B1090</f>
        <v>2</v>
      </c>
      <c r="D1098" s="112">
        <f>'Sampling Data'!C1090</f>
        <v>9</v>
      </c>
      <c r="E1098" s="113">
        <f>'Sampling Data'!D1090</f>
        <v>1</v>
      </c>
      <c r="F1098" s="113">
        <f>'Sampling Data'!E1090</f>
        <v>2</v>
      </c>
      <c r="G1098" s="113">
        <f>'Sampling Data'!F1090</f>
        <v>0</v>
      </c>
      <c r="H1098" s="113">
        <f>'Sampling Data'!G1090</f>
        <v>0</v>
      </c>
      <c r="I1098" s="112">
        <f>'Sampling Data'!H1090</f>
        <v>0</v>
      </c>
      <c r="J1098" s="112">
        <f>'Sampling Data'!I1090</f>
        <v>0</v>
      </c>
      <c r="K1098" s="112">
        <f>'Sampling Data'!J1090</f>
        <v>14</v>
      </c>
      <c r="L1098" s="111">
        <f>'Sampling Data'!X1090</f>
        <v>0</v>
      </c>
      <c r="M1098" s="114"/>
      <c r="N1098" s="114"/>
      <c r="O1098" s="115"/>
      <c r="P1098" s="115"/>
      <c r="Q1098" s="116"/>
      <c r="R1098" s="116"/>
      <c r="S1098" s="111">
        <f>Audit[[#This Row],[Audit Losing Candidate]]-Audit[[#This Row],[Losing Candidate]]</f>
        <v>-2</v>
      </c>
      <c r="T1098" s="111">
        <f>Audit[[#This Row],[Audit Winning Candidate]]-Audit[[#This Row],[Winning Candidate]]</f>
        <v>-9</v>
      </c>
      <c r="U1098" s="111">
        <f>Audit[[#This Row],[Audit Candidate 3]]-Audit[[#This Row],[Candidate 3]]</f>
        <v>-1</v>
      </c>
      <c r="V1098" s="111">
        <f>Audit[[#This Row],[Audit Candidate 4]]-Audit[[#This Row],[Candidate 4]]</f>
        <v>-2</v>
      </c>
      <c r="W1098" s="111">
        <f>Audit[[#This Row],[Audit Candidate 5]]-Audit[[#This Row],[Candidate 5]]</f>
        <v>0</v>
      </c>
      <c r="X1098" s="111">
        <f>Audit[[#This Row],[Audit Candidate 6]]-Audit[[#This Row],[Candidate 6]]</f>
        <v>0</v>
      </c>
      <c r="Y1098" s="111">
        <f>SUMIF(Audit[[#This Row],[Difference Loser]:[Difference Candidate 6]], "&gt;0")</f>
        <v>0</v>
      </c>
      <c r="Z1098" s="111">
        <f>SUM(Audit[[#This Row],[Difference Loser]:[Difference Candidate 6]])</f>
        <v>-14</v>
      </c>
      <c r="AA1098" s="111">
        <f>IF(Audit[[#This Row],[Times p Drawn - With Replacement]]&gt;0, IF(Audit[[#This Row],[Canceled Differences]]&lt;0, Audit[[#This Row],[Max Differences]]+ABS(Audit[[#This Row],[Canceled Differences]]), Audit[[#This Row],[Max Differences]]), 0)</f>
        <v>0</v>
      </c>
      <c r="AB1098" s="111">
        <f>'Sampling Data'!P1090</f>
        <v>1.2861342479176874E-3</v>
      </c>
      <c r="AC1098" s="111">
        <f>IF(
      SUM(Audit[[#This Row],[Audit Losing Candidate]:[Audit Candidate 6]])
      &lt;&gt;0,
      (Audit[[#This Row],[Winning Candidate]]-Audit[[#This Row],[Losing Candidate]]-(Audit[[#This Row],[Audit Winning Candidate]]-Audit[[#This Row],[Audit Losing Candidate]]))/(Audit[[#Totals],[Winning Candidate]]-Audit[[#Totals],[Losing Candidate]]),
      0
)</f>
        <v>0</v>
      </c>
      <c r="AD10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8" s="111">
        <f>IF(Audit[[#This Row],[Max Relative Error (ep)]] = 0, 0, Audit[[#This Row],[Max Relative Error (ep)]]/Audit[[#This Row],[Error Bound (up) - Max. possible relative overstatement]])</f>
        <v>0</v>
      </c>
      <c r="AJ10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98" s="111">
        <f t="shared" si="17"/>
        <v>1</v>
      </c>
      <c r="AL1098" s="111">
        <f>PRODUCT($AK$5:AK1098)</f>
        <v>8.962823818226312E-2</v>
      </c>
      <c r="AM1098" s="109">
        <f>1 - [K-M P Value]</f>
        <v>0.91037176181773694</v>
      </c>
      <c r="AN1098" s="111" t="str">
        <f>IF(Audit[[#This Row],[K-M P Value]]&gt;1-'General Info'!$B$16,"Continue", "Stop")</f>
        <v>Stop</v>
      </c>
      <c r="AO1098" s="110" t="b">
        <f>IF(Audit[[#This Row],[Status - Continue or stop audit]] = "Continue", TRUE, IF(AN1097 = "Continue", TRUE, FALSE))</f>
        <v>0</v>
      </c>
      <c r="AP1098" s="110"/>
    </row>
    <row r="1099" spans="1:42" ht="15" hidden="1" customHeight="1">
      <c r="A1099" s="111" t="str">
        <f>'Sampling Data'!W1091</f>
        <v/>
      </c>
      <c r="B1099" s="112" t="str">
        <f>'Sampling Data'!A1091</f>
        <v>EUCLID -03-F</v>
      </c>
      <c r="C1099" s="112">
        <f>'Sampling Data'!B1091</f>
        <v>0</v>
      </c>
      <c r="D1099" s="112">
        <f>'Sampling Data'!C1091</f>
        <v>0</v>
      </c>
      <c r="E1099" s="113">
        <f>'Sampling Data'!D1091</f>
        <v>1</v>
      </c>
      <c r="F1099" s="113">
        <f>'Sampling Data'!E1091</f>
        <v>0</v>
      </c>
      <c r="G1099" s="113">
        <f>'Sampling Data'!F1091</f>
        <v>0</v>
      </c>
      <c r="H1099" s="113">
        <f>'Sampling Data'!G1091</f>
        <v>0</v>
      </c>
      <c r="I1099" s="112">
        <f>'Sampling Data'!H1091</f>
        <v>0</v>
      </c>
      <c r="J1099" s="112">
        <f>'Sampling Data'!I1091</f>
        <v>0</v>
      </c>
      <c r="K1099" s="112">
        <f>'Sampling Data'!J1091</f>
        <v>1</v>
      </c>
      <c r="L1099" s="111">
        <f>'Sampling Data'!X1091</f>
        <v>0</v>
      </c>
      <c r="M1099" s="114"/>
      <c r="N1099" s="114"/>
      <c r="O1099" s="115"/>
      <c r="P1099" s="115"/>
      <c r="Q1099" s="116"/>
      <c r="R1099" s="116"/>
      <c r="S1099" s="111">
        <f>Audit[[#This Row],[Audit Losing Candidate]]-Audit[[#This Row],[Losing Candidate]]</f>
        <v>0</v>
      </c>
      <c r="T1099" s="111">
        <f>Audit[[#This Row],[Audit Winning Candidate]]-Audit[[#This Row],[Winning Candidate]]</f>
        <v>0</v>
      </c>
      <c r="U1099" s="111">
        <f>Audit[[#This Row],[Audit Candidate 3]]-Audit[[#This Row],[Candidate 3]]</f>
        <v>-1</v>
      </c>
      <c r="V1099" s="111">
        <f>Audit[[#This Row],[Audit Candidate 4]]-Audit[[#This Row],[Candidate 4]]</f>
        <v>0</v>
      </c>
      <c r="W1099" s="111">
        <f>Audit[[#This Row],[Audit Candidate 5]]-Audit[[#This Row],[Candidate 5]]</f>
        <v>0</v>
      </c>
      <c r="X1099" s="111">
        <f>Audit[[#This Row],[Audit Candidate 6]]-Audit[[#This Row],[Candidate 6]]</f>
        <v>0</v>
      </c>
      <c r="Y1099" s="111">
        <f>SUMIF(Audit[[#This Row],[Difference Loser]:[Difference Candidate 6]], "&gt;0")</f>
        <v>0</v>
      </c>
      <c r="Z1099" s="111">
        <f>SUM(Audit[[#This Row],[Difference Loser]:[Difference Candidate 6]])</f>
        <v>-1</v>
      </c>
      <c r="AA1099" s="111">
        <f>IF(Audit[[#This Row],[Times p Drawn - With Replacement]]&gt;0, IF(Audit[[#This Row],[Canceled Differences]]&lt;0, Audit[[#This Row],[Max Differences]]+ABS(Audit[[#This Row],[Canceled Differences]]), Audit[[#This Row],[Max Differences]]), 0)</f>
        <v>0</v>
      </c>
      <c r="AB1099" s="111">
        <f>'Sampling Data'!P1091</f>
        <v>6.1244487996080352E-5</v>
      </c>
      <c r="AC1099" s="111">
        <f>IF(
      SUM(Audit[[#This Row],[Audit Losing Candidate]:[Audit Candidate 6]])
      &lt;&gt;0,
      (Audit[[#This Row],[Winning Candidate]]-Audit[[#This Row],[Losing Candidate]]-(Audit[[#This Row],[Audit Winning Candidate]]-Audit[[#This Row],[Audit Losing Candidate]]))/(Audit[[#Totals],[Winning Candidate]]-Audit[[#Totals],[Losing Candidate]]),
      0
)</f>
        <v>0</v>
      </c>
      <c r="AD10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9" s="111">
        <f>IF(Audit[[#This Row],[Max Relative Error (ep)]] = 0, 0, Audit[[#This Row],[Max Relative Error (ep)]]/Audit[[#This Row],[Error Bound (up) - Max. possible relative overstatement]])</f>
        <v>0</v>
      </c>
      <c r="AJ10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099" s="111">
        <f t="shared" si="17"/>
        <v>1</v>
      </c>
      <c r="AL1099" s="111">
        <f>PRODUCT($AK$5:AK1099)</f>
        <v>8.962823818226312E-2</v>
      </c>
      <c r="AM1099" s="109">
        <f>1 - [K-M P Value]</f>
        <v>0.91037176181773694</v>
      </c>
      <c r="AN1099" s="111" t="str">
        <f>IF(Audit[[#This Row],[K-M P Value]]&gt;1-'General Info'!$B$16,"Continue", "Stop")</f>
        <v>Stop</v>
      </c>
      <c r="AO1099" s="110" t="b">
        <f>IF(Audit[[#This Row],[Status - Continue or stop audit]] = "Continue", TRUE, IF(AN1098 = "Continue", TRUE, FALSE))</f>
        <v>0</v>
      </c>
      <c r="AP1099" s="110"/>
    </row>
    <row r="1100" spans="1:42" ht="15" hidden="1" customHeight="1">
      <c r="A1100" s="111" t="str">
        <f>'Sampling Data'!W1092</f>
        <v/>
      </c>
      <c r="B1100" s="112" t="str">
        <f>'Sampling Data'!A1092</f>
        <v>EUCLID -03-F - ABS</v>
      </c>
      <c r="C1100" s="112">
        <f>'Sampling Data'!B1092</f>
        <v>0</v>
      </c>
      <c r="D1100" s="112">
        <f>'Sampling Data'!C1092</f>
        <v>0</v>
      </c>
      <c r="E1100" s="113">
        <f>'Sampling Data'!D1092</f>
        <v>1</v>
      </c>
      <c r="F1100" s="113">
        <f>'Sampling Data'!E1092</f>
        <v>0</v>
      </c>
      <c r="G1100" s="113">
        <f>'Sampling Data'!F1092</f>
        <v>0</v>
      </c>
      <c r="H1100" s="113">
        <f>'Sampling Data'!G1092</f>
        <v>0</v>
      </c>
      <c r="I1100" s="112">
        <f>'Sampling Data'!H1092</f>
        <v>0</v>
      </c>
      <c r="J1100" s="112">
        <f>'Sampling Data'!I1092</f>
        <v>0</v>
      </c>
      <c r="K1100" s="112">
        <f>'Sampling Data'!J1092</f>
        <v>1</v>
      </c>
      <c r="L1100" s="111">
        <f>'Sampling Data'!X1092</f>
        <v>0</v>
      </c>
      <c r="M1100" s="114"/>
      <c r="N1100" s="114"/>
      <c r="O1100" s="115"/>
      <c r="P1100" s="115"/>
      <c r="Q1100" s="116"/>
      <c r="R1100" s="116"/>
      <c r="S1100" s="111">
        <f>Audit[[#This Row],[Audit Losing Candidate]]-Audit[[#This Row],[Losing Candidate]]</f>
        <v>0</v>
      </c>
      <c r="T1100" s="111">
        <f>Audit[[#This Row],[Audit Winning Candidate]]-Audit[[#This Row],[Winning Candidate]]</f>
        <v>0</v>
      </c>
      <c r="U1100" s="111">
        <f>Audit[[#This Row],[Audit Candidate 3]]-Audit[[#This Row],[Candidate 3]]</f>
        <v>-1</v>
      </c>
      <c r="V1100" s="111">
        <f>Audit[[#This Row],[Audit Candidate 4]]-Audit[[#This Row],[Candidate 4]]</f>
        <v>0</v>
      </c>
      <c r="W1100" s="111">
        <f>Audit[[#This Row],[Audit Candidate 5]]-Audit[[#This Row],[Candidate 5]]</f>
        <v>0</v>
      </c>
      <c r="X1100" s="111">
        <f>Audit[[#This Row],[Audit Candidate 6]]-Audit[[#This Row],[Candidate 6]]</f>
        <v>0</v>
      </c>
      <c r="Y1100" s="111">
        <f>SUMIF(Audit[[#This Row],[Difference Loser]:[Difference Candidate 6]], "&gt;0")</f>
        <v>0</v>
      </c>
      <c r="Z1100" s="111">
        <f>SUM(Audit[[#This Row],[Difference Loser]:[Difference Candidate 6]])</f>
        <v>-1</v>
      </c>
      <c r="AA1100" s="111">
        <f>IF(Audit[[#This Row],[Times p Drawn - With Replacement]]&gt;0, IF(Audit[[#This Row],[Canceled Differences]]&lt;0, Audit[[#This Row],[Max Differences]]+ABS(Audit[[#This Row],[Canceled Differences]]), Audit[[#This Row],[Max Differences]]), 0)</f>
        <v>0</v>
      </c>
      <c r="AB1100" s="111">
        <f>'Sampling Data'!P1092</f>
        <v>6.1244487996080352E-5</v>
      </c>
      <c r="AC1100" s="111">
        <f>IF(
      SUM(Audit[[#This Row],[Audit Losing Candidate]:[Audit Candidate 6]])
      &lt;&gt;0,
      (Audit[[#This Row],[Winning Candidate]]-Audit[[#This Row],[Losing Candidate]]-(Audit[[#This Row],[Audit Winning Candidate]]-Audit[[#This Row],[Audit Losing Candidate]]))/(Audit[[#Totals],[Winning Candidate]]-Audit[[#Totals],[Losing Candidate]]),
      0
)</f>
        <v>0</v>
      </c>
      <c r="AD11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0" s="111">
        <f>IF(Audit[[#This Row],[Max Relative Error (ep)]] = 0, 0, Audit[[#This Row],[Max Relative Error (ep)]]/Audit[[#This Row],[Error Bound (up) - Max. possible relative overstatement]])</f>
        <v>0</v>
      </c>
      <c r="AJ11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00" s="111">
        <f t="shared" si="17"/>
        <v>1</v>
      </c>
      <c r="AL1100" s="111">
        <f>PRODUCT($AK$5:AK1100)</f>
        <v>8.962823818226312E-2</v>
      </c>
      <c r="AM1100" s="109">
        <f>1 - [K-M P Value]</f>
        <v>0.91037176181773694</v>
      </c>
      <c r="AN1100" s="111" t="str">
        <f>IF(Audit[[#This Row],[K-M P Value]]&gt;1-'General Info'!$B$16,"Continue", "Stop")</f>
        <v>Stop</v>
      </c>
      <c r="AO1100" s="110" t="b">
        <f>IF(Audit[[#This Row],[Status - Continue or stop audit]] = "Continue", TRUE, IF(AN1099 = "Continue", TRUE, FALSE))</f>
        <v>0</v>
      </c>
      <c r="AP1100" s="110"/>
    </row>
    <row r="1101" spans="1:42" ht="15" hidden="1" customHeight="1">
      <c r="A1101" s="111" t="str">
        <f>'Sampling Data'!W1093</f>
        <v/>
      </c>
      <c r="B1101" s="112" t="str">
        <f>'Sampling Data'!A1093</f>
        <v>EUCLID -04-A</v>
      </c>
      <c r="C1101" s="112">
        <f>'Sampling Data'!B1093</f>
        <v>16</v>
      </c>
      <c r="D1101" s="112">
        <f>'Sampling Data'!C1093</f>
        <v>44</v>
      </c>
      <c r="E1101" s="113">
        <f>'Sampling Data'!D1093</f>
        <v>5</v>
      </c>
      <c r="F1101" s="113">
        <f>'Sampling Data'!E1093</f>
        <v>10</v>
      </c>
      <c r="G1101" s="113">
        <f>'Sampling Data'!F1093</f>
        <v>0</v>
      </c>
      <c r="H1101" s="113">
        <f>'Sampling Data'!G1093</f>
        <v>0</v>
      </c>
      <c r="I1101" s="112">
        <f>'Sampling Data'!H1093</f>
        <v>0</v>
      </c>
      <c r="J1101" s="112">
        <f>'Sampling Data'!I1093</f>
        <v>0</v>
      </c>
      <c r="K1101" s="112">
        <f>'Sampling Data'!J1093</f>
        <v>75</v>
      </c>
      <c r="L1101" s="111">
        <f>'Sampling Data'!X1093</f>
        <v>0</v>
      </c>
      <c r="M1101" s="114"/>
      <c r="N1101" s="114"/>
      <c r="O1101" s="115"/>
      <c r="P1101" s="115"/>
      <c r="Q1101" s="116"/>
      <c r="R1101" s="116"/>
      <c r="S1101" s="111">
        <f>Audit[[#This Row],[Audit Losing Candidate]]-Audit[[#This Row],[Losing Candidate]]</f>
        <v>-16</v>
      </c>
      <c r="T1101" s="111">
        <f>Audit[[#This Row],[Audit Winning Candidate]]-Audit[[#This Row],[Winning Candidate]]</f>
        <v>-44</v>
      </c>
      <c r="U1101" s="111">
        <f>Audit[[#This Row],[Audit Candidate 3]]-Audit[[#This Row],[Candidate 3]]</f>
        <v>-5</v>
      </c>
      <c r="V1101" s="111">
        <f>Audit[[#This Row],[Audit Candidate 4]]-Audit[[#This Row],[Candidate 4]]</f>
        <v>-10</v>
      </c>
      <c r="W1101" s="111">
        <f>Audit[[#This Row],[Audit Candidate 5]]-Audit[[#This Row],[Candidate 5]]</f>
        <v>0</v>
      </c>
      <c r="X1101" s="111">
        <f>Audit[[#This Row],[Audit Candidate 6]]-Audit[[#This Row],[Candidate 6]]</f>
        <v>0</v>
      </c>
      <c r="Y1101" s="111">
        <f>SUMIF(Audit[[#This Row],[Difference Loser]:[Difference Candidate 6]], "&gt;0")</f>
        <v>0</v>
      </c>
      <c r="Z1101" s="111">
        <f>SUM(Audit[[#This Row],[Difference Loser]:[Difference Candidate 6]])</f>
        <v>-75</v>
      </c>
      <c r="AA1101" s="111">
        <f>IF(Audit[[#This Row],[Times p Drawn - With Replacement]]&gt;0, IF(Audit[[#This Row],[Canceled Differences]]&lt;0, Audit[[#This Row],[Max Differences]]+ABS(Audit[[#This Row],[Canceled Differences]]), Audit[[#This Row],[Max Differences]]), 0)</f>
        <v>0</v>
      </c>
      <c r="AB1101" s="111">
        <f>'Sampling Data'!P1093</f>
        <v>6.3081822635962766E-3</v>
      </c>
      <c r="AC1101" s="111">
        <f>IF(
      SUM(Audit[[#This Row],[Audit Losing Candidate]:[Audit Candidate 6]])
      &lt;&gt;0,
      (Audit[[#This Row],[Winning Candidate]]-Audit[[#This Row],[Losing Candidate]]-(Audit[[#This Row],[Audit Winning Candidate]]-Audit[[#This Row],[Audit Losing Candidate]]))/(Audit[[#Totals],[Winning Candidate]]-Audit[[#Totals],[Losing Candidate]]),
      0
)</f>
        <v>0</v>
      </c>
      <c r="AD11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1" s="111">
        <f>IF(Audit[[#This Row],[Max Relative Error (ep)]] = 0, 0, Audit[[#This Row],[Max Relative Error (ep)]]/Audit[[#This Row],[Error Bound (up) - Max. possible relative overstatement]])</f>
        <v>0</v>
      </c>
      <c r="AJ11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01" s="111">
        <f t="shared" si="17"/>
        <v>1</v>
      </c>
      <c r="AL1101" s="111">
        <f>PRODUCT($AK$5:AK1101)</f>
        <v>8.962823818226312E-2</v>
      </c>
      <c r="AM1101" s="109">
        <f>1 - [K-M P Value]</f>
        <v>0.91037176181773694</v>
      </c>
      <c r="AN1101" s="111" t="str">
        <f>IF(Audit[[#This Row],[K-M P Value]]&gt;1-'General Info'!$B$16,"Continue", "Stop")</f>
        <v>Stop</v>
      </c>
      <c r="AO1101" s="110" t="b">
        <f>IF(Audit[[#This Row],[Status - Continue or stop audit]] = "Continue", TRUE, IF(AN1100 = "Continue", TRUE, FALSE))</f>
        <v>0</v>
      </c>
      <c r="AP1101" s="110"/>
    </row>
    <row r="1102" spans="1:42" ht="15" hidden="1" customHeight="1">
      <c r="A1102" s="111" t="str">
        <f>'Sampling Data'!W1094</f>
        <v/>
      </c>
      <c r="B1102" s="112" t="str">
        <f>'Sampling Data'!A1094</f>
        <v>EUCLID -04-A - ABS</v>
      </c>
      <c r="C1102" s="112">
        <f>'Sampling Data'!B1094</f>
        <v>11</v>
      </c>
      <c r="D1102" s="112">
        <f>'Sampling Data'!C1094</f>
        <v>13</v>
      </c>
      <c r="E1102" s="113">
        <f>'Sampling Data'!D1094</f>
        <v>2</v>
      </c>
      <c r="F1102" s="113">
        <f>'Sampling Data'!E1094</f>
        <v>1</v>
      </c>
      <c r="G1102" s="113">
        <f>'Sampling Data'!F1094</f>
        <v>0</v>
      </c>
      <c r="H1102" s="113">
        <f>'Sampling Data'!G1094</f>
        <v>0</v>
      </c>
      <c r="I1102" s="112">
        <f>'Sampling Data'!H1094</f>
        <v>0</v>
      </c>
      <c r="J1102" s="112">
        <f>'Sampling Data'!I1094</f>
        <v>0</v>
      </c>
      <c r="K1102" s="112">
        <f>'Sampling Data'!J1094</f>
        <v>27</v>
      </c>
      <c r="L1102" s="111">
        <f>'Sampling Data'!X1094</f>
        <v>0</v>
      </c>
      <c r="M1102" s="114"/>
      <c r="N1102" s="114"/>
      <c r="O1102" s="115"/>
      <c r="P1102" s="115"/>
      <c r="Q1102" s="116"/>
      <c r="R1102" s="116"/>
      <c r="S1102" s="111">
        <f>Audit[[#This Row],[Audit Losing Candidate]]-Audit[[#This Row],[Losing Candidate]]</f>
        <v>-11</v>
      </c>
      <c r="T1102" s="111">
        <f>Audit[[#This Row],[Audit Winning Candidate]]-Audit[[#This Row],[Winning Candidate]]</f>
        <v>-13</v>
      </c>
      <c r="U1102" s="111">
        <f>Audit[[#This Row],[Audit Candidate 3]]-Audit[[#This Row],[Candidate 3]]</f>
        <v>-2</v>
      </c>
      <c r="V1102" s="111">
        <f>Audit[[#This Row],[Audit Candidate 4]]-Audit[[#This Row],[Candidate 4]]</f>
        <v>-1</v>
      </c>
      <c r="W1102" s="111">
        <f>Audit[[#This Row],[Audit Candidate 5]]-Audit[[#This Row],[Candidate 5]]</f>
        <v>0</v>
      </c>
      <c r="X1102" s="111">
        <f>Audit[[#This Row],[Audit Candidate 6]]-Audit[[#This Row],[Candidate 6]]</f>
        <v>0</v>
      </c>
      <c r="Y1102" s="111">
        <f>SUMIF(Audit[[#This Row],[Difference Loser]:[Difference Candidate 6]], "&gt;0")</f>
        <v>0</v>
      </c>
      <c r="Z1102" s="111">
        <f>SUM(Audit[[#This Row],[Difference Loser]:[Difference Candidate 6]])</f>
        <v>-27</v>
      </c>
      <c r="AA1102" s="111">
        <f>IF(Audit[[#This Row],[Times p Drawn - With Replacement]]&gt;0, IF(Audit[[#This Row],[Canceled Differences]]&lt;0, Audit[[#This Row],[Max Differences]]+ABS(Audit[[#This Row],[Canceled Differences]]), Audit[[#This Row],[Max Differences]]), 0)</f>
        <v>0</v>
      </c>
      <c r="AB1102" s="111">
        <f>'Sampling Data'!P1094</f>
        <v>1.7760901518863303E-3</v>
      </c>
      <c r="AC1102" s="111">
        <f>IF(
      SUM(Audit[[#This Row],[Audit Losing Candidate]:[Audit Candidate 6]])
      &lt;&gt;0,
      (Audit[[#This Row],[Winning Candidate]]-Audit[[#This Row],[Losing Candidate]]-(Audit[[#This Row],[Audit Winning Candidate]]-Audit[[#This Row],[Audit Losing Candidate]]))/(Audit[[#Totals],[Winning Candidate]]-Audit[[#Totals],[Losing Candidate]]),
      0
)</f>
        <v>0</v>
      </c>
      <c r="AD11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2" s="111">
        <f>IF(Audit[[#This Row],[Max Relative Error (ep)]] = 0, 0, Audit[[#This Row],[Max Relative Error (ep)]]/Audit[[#This Row],[Error Bound (up) - Max. possible relative overstatement]])</f>
        <v>0</v>
      </c>
      <c r="AJ11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02" s="111">
        <f t="shared" si="17"/>
        <v>1</v>
      </c>
      <c r="AL1102" s="111">
        <f>PRODUCT($AK$5:AK1102)</f>
        <v>8.962823818226312E-2</v>
      </c>
      <c r="AM1102" s="109">
        <f>1 - [K-M P Value]</f>
        <v>0.91037176181773694</v>
      </c>
      <c r="AN1102" s="111" t="str">
        <f>IF(Audit[[#This Row],[K-M P Value]]&gt;1-'General Info'!$B$16,"Continue", "Stop")</f>
        <v>Stop</v>
      </c>
      <c r="AO1102" s="110" t="b">
        <f>IF(Audit[[#This Row],[Status - Continue or stop audit]] = "Continue", TRUE, IF(AN1101 = "Continue", TRUE, FALSE))</f>
        <v>0</v>
      </c>
      <c r="AP1102" s="110"/>
    </row>
    <row r="1103" spans="1:42" ht="15" hidden="1" customHeight="1">
      <c r="A1103" s="111" t="str">
        <f>'Sampling Data'!W1095</f>
        <v/>
      </c>
      <c r="B1103" s="112" t="str">
        <f>'Sampling Data'!A1095</f>
        <v>EUCLID -04-B</v>
      </c>
      <c r="C1103" s="112">
        <f>'Sampling Data'!B1095</f>
        <v>6</v>
      </c>
      <c r="D1103" s="112">
        <f>'Sampling Data'!C1095</f>
        <v>16</v>
      </c>
      <c r="E1103" s="113">
        <f>'Sampling Data'!D1095</f>
        <v>2</v>
      </c>
      <c r="F1103" s="113">
        <f>'Sampling Data'!E1095</f>
        <v>4</v>
      </c>
      <c r="G1103" s="113">
        <f>'Sampling Data'!F1095</f>
        <v>0</v>
      </c>
      <c r="H1103" s="113">
        <f>'Sampling Data'!G1095</f>
        <v>1</v>
      </c>
      <c r="I1103" s="112">
        <f>'Sampling Data'!H1095</f>
        <v>0</v>
      </c>
      <c r="J1103" s="112">
        <f>'Sampling Data'!I1095</f>
        <v>0</v>
      </c>
      <c r="K1103" s="112">
        <f>'Sampling Data'!J1095</f>
        <v>29</v>
      </c>
      <c r="L1103" s="111">
        <f>'Sampling Data'!X1095</f>
        <v>0</v>
      </c>
      <c r="M1103" s="114"/>
      <c r="N1103" s="114"/>
      <c r="O1103" s="115"/>
      <c r="P1103" s="115"/>
      <c r="Q1103" s="116"/>
      <c r="R1103" s="116"/>
      <c r="S1103" s="111">
        <f>Audit[[#This Row],[Audit Losing Candidate]]-Audit[[#This Row],[Losing Candidate]]</f>
        <v>-6</v>
      </c>
      <c r="T1103" s="111">
        <f>Audit[[#This Row],[Audit Winning Candidate]]-Audit[[#This Row],[Winning Candidate]]</f>
        <v>-16</v>
      </c>
      <c r="U1103" s="111">
        <f>Audit[[#This Row],[Audit Candidate 3]]-Audit[[#This Row],[Candidate 3]]</f>
        <v>-2</v>
      </c>
      <c r="V1103" s="111">
        <f>Audit[[#This Row],[Audit Candidate 4]]-Audit[[#This Row],[Candidate 4]]</f>
        <v>-4</v>
      </c>
      <c r="W1103" s="111">
        <f>Audit[[#This Row],[Audit Candidate 5]]-Audit[[#This Row],[Candidate 5]]</f>
        <v>0</v>
      </c>
      <c r="X1103" s="111">
        <f>Audit[[#This Row],[Audit Candidate 6]]-Audit[[#This Row],[Candidate 6]]</f>
        <v>-1</v>
      </c>
      <c r="Y1103" s="111">
        <f>SUMIF(Audit[[#This Row],[Difference Loser]:[Difference Candidate 6]], "&gt;0")</f>
        <v>0</v>
      </c>
      <c r="Z1103" s="111">
        <f>SUM(Audit[[#This Row],[Difference Loser]:[Difference Candidate 6]])</f>
        <v>-29</v>
      </c>
      <c r="AA1103" s="111">
        <f>IF(Audit[[#This Row],[Times p Drawn - With Replacement]]&gt;0, IF(Audit[[#This Row],[Canceled Differences]]&lt;0, Audit[[#This Row],[Max Differences]]+ABS(Audit[[#This Row],[Canceled Differences]]), Audit[[#This Row],[Max Differences]]), 0)</f>
        <v>0</v>
      </c>
      <c r="AB1103" s="111">
        <f>'Sampling Data'!P1095</f>
        <v>2.3885350318471337E-3</v>
      </c>
      <c r="AC1103" s="111">
        <f>IF(
      SUM(Audit[[#This Row],[Audit Losing Candidate]:[Audit Candidate 6]])
      &lt;&gt;0,
      (Audit[[#This Row],[Winning Candidate]]-Audit[[#This Row],[Losing Candidate]]-(Audit[[#This Row],[Audit Winning Candidate]]-Audit[[#This Row],[Audit Losing Candidate]]))/(Audit[[#Totals],[Winning Candidate]]-Audit[[#Totals],[Losing Candidate]]),
      0
)</f>
        <v>0</v>
      </c>
      <c r="AD11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3" s="111">
        <f>IF(Audit[[#This Row],[Max Relative Error (ep)]] = 0, 0, Audit[[#This Row],[Max Relative Error (ep)]]/Audit[[#This Row],[Error Bound (up) - Max. possible relative overstatement]])</f>
        <v>0</v>
      </c>
      <c r="AJ11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03" s="111">
        <f t="shared" si="17"/>
        <v>1</v>
      </c>
      <c r="AL1103" s="111">
        <f>PRODUCT($AK$5:AK1103)</f>
        <v>8.962823818226312E-2</v>
      </c>
      <c r="AM1103" s="109">
        <f>1 - [K-M P Value]</f>
        <v>0.91037176181773694</v>
      </c>
      <c r="AN1103" s="111" t="str">
        <f>IF(Audit[[#This Row],[K-M P Value]]&gt;1-'General Info'!$B$16,"Continue", "Stop")</f>
        <v>Stop</v>
      </c>
      <c r="AO1103" s="110" t="b">
        <f>IF(Audit[[#This Row],[Status - Continue or stop audit]] = "Continue", TRUE, IF(AN1102 = "Continue", TRUE, FALSE))</f>
        <v>0</v>
      </c>
      <c r="AP1103" s="110"/>
    </row>
    <row r="1104" spans="1:42" ht="15" hidden="1" customHeight="1">
      <c r="A1104" s="111" t="str">
        <f>'Sampling Data'!W1096</f>
        <v/>
      </c>
      <c r="B1104" s="112" t="str">
        <f>'Sampling Data'!A1096</f>
        <v>EUCLID -04-B - ABS</v>
      </c>
      <c r="C1104" s="112">
        <f>'Sampling Data'!B1096</f>
        <v>3</v>
      </c>
      <c r="D1104" s="112">
        <f>'Sampling Data'!C1096</f>
        <v>3</v>
      </c>
      <c r="E1104" s="113">
        <f>'Sampling Data'!D1096</f>
        <v>0</v>
      </c>
      <c r="F1104" s="113">
        <f>'Sampling Data'!E1096</f>
        <v>2</v>
      </c>
      <c r="G1104" s="113">
        <f>'Sampling Data'!F1096</f>
        <v>0</v>
      </c>
      <c r="H1104" s="113">
        <f>'Sampling Data'!G1096</f>
        <v>0</v>
      </c>
      <c r="I1104" s="112">
        <f>'Sampling Data'!H1096</f>
        <v>0</v>
      </c>
      <c r="J1104" s="112">
        <f>'Sampling Data'!I1096</f>
        <v>0</v>
      </c>
      <c r="K1104" s="112">
        <f>'Sampling Data'!J1096</f>
        <v>8</v>
      </c>
      <c r="L1104" s="111">
        <f>'Sampling Data'!X1096</f>
        <v>0</v>
      </c>
      <c r="M1104" s="114"/>
      <c r="N1104" s="114"/>
      <c r="O1104" s="115"/>
      <c r="P1104" s="115"/>
      <c r="Q1104" s="116"/>
      <c r="R1104" s="116"/>
      <c r="S1104" s="111">
        <f>Audit[[#This Row],[Audit Losing Candidate]]-Audit[[#This Row],[Losing Candidate]]</f>
        <v>-3</v>
      </c>
      <c r="T1104" s="111">
        <f>Audit[[#This Row],[Audit Winning Candidate]]-Audit[[#This Row],[Winning Candidate]]</f>
        <v>-3</v>
      </c>
      <c r="U1104" s="111">
        <f>Audit[[#This Row],[Audit Candidate 3]]-Audit[[#This Row],[Candidate 3]]</f>
        <v>0</v>
      </c>
      <c r="V1104" s="111">
        <f>Audit[[#This Row],[Audit Candidate 4]]-Audit[[#This Row],[Candidate 4]]</f>
        <v>-2</v>
      </c>
      <c r="W1104" s="111">
        <f>Audit[[#This Row],[Audit Candidate 5]]-Audit[[#This Row],[Candidate 5]]</f>
        <v>0</v>
      </c>
      <c r="X1104" s="111">
        <f>Audit[[#This Row],[Audit Candidate 6]]-Audit[[#This Row],[Candidate 6]]</f>
        <v>0</v>
      </c>
      <c r="Y1104" s="111">
        <f>SUMIF(Audit[[#This Row],[Difference Loser]:[Difference Candidate 6]], "&gt;0")</f>
        <v>0</v>
      </c>
      <c r="Z1104" s="111">
        <f>SUM(Audit[[#This Row],[Difference Loser]:[Difference Candidate 6]])</f>
        <v>-8</v>
      </c>
      <c r="AA1104" s="111">
        <f>IF(Audit[[#This Row],[Times p Drawn - With Replacement]]&gt;0, IF(Audit[[#This Row],[Canceled Differences]]&lt;0, Audit[[#This Row],[Max Differences]]+ABS(Audit[[#This Row],[Canceled Differences]]), Audit[[#This Row],[Max Differences]]), 0)</f>
        <v>0</v>
      </c>
      <c r="AB1104" s="111">
        <f>'Sampling Data'!P1096</f>
        <v>4.8995590396864281E-4</v>
      </c>
      <c r="AC1104" s="111">
        <f>IF(
      SUM(Audit[[#This Row],[Audit Losing Candidate]:[Audit Candidate 6]])
      &lt;&gt;0,
      (Audit[[#This Row],[Winning Candidate]]-Audit[[#This Row],[Losing Candidate]]-(Audit[[#This Row],[Audit Winning Candidate]]-Audit[[#This Row],[Audit Losing Candidate]]))/(Audit[[#Totals],[Winning Candidate]]-Audit[[#Totals],[Losing Candidate]]),
      0
)</f>
        <v>0</v>
      </c>
      <c r="AD11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4" s="111">
        <f>IF(Audit[[#This Row],[Max Relative Error (ep)]] = 0, 0, Audit[[#This Row],[Max Relative Error (ep)]]/Audit[[#This Row],[Error Bound (up) - Max. possible relative overstatement]])</f>
        <v>0</v>
      </c>
      <c r="AJ11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04" s="111">
        <f t="shared" si="17"/>
        <v>1</v>
      </c>
      <c r="AL1104" s="111">
        <f>PRODUCT($AK$5:AK1104)</f>
        <v>8.962823818226312E-2</v>
      </c>
      <c r="AM1104" s="109">
        <f>1 - [K-M P Value]</f>
        <v>0.91037176181773694</v>
      </c>
      <c r="AN1104" s="111" t="str">
        <f>IF(Audit[[#This Row],[K-M P Value]]&gt;1-'General Info'!$B$16,"Continue", "Stop")</f>
        <v>Stop</v>
      </c>
      <c r="AO1104" s="110" t="b">
        <f>IF(Audit[[#This Row],[Status - Continue or stop audit]] = "Continue", TRUE, IF(AN1103 = "Continue", TRUE, FALSE))</f>
        <v>0</v>
      </c>
      <c r="AP1104" s="110"/>
    </row>
    <row r="1105" spans="1:42" ht="15" hidden="1" customHeight="1">
      <c r="A1105" s="111" t="str">
        <f>'Sampling Data'!W1097</f>
        <v/>
      </c>
      <c r="B1105" s="112" t="str">
        <f>'Sampling Data'!A1097</f>
        <v>EUCLID -04-C</v>
      </c>
      <c r="C1105" s="112">
        <f>'Sampling Data'!B1097</f>
        <v>3</v>
      </c>
      <c r="D1105" s="112">
        <f>'Sampling Data'!C1097</f>
        <v>10</v>
      </c>
      <c r="E1105" s="113">
        <f>'Sampling Data'!D1097</f>
        <v>4</v>
      </c>
      <c r="F1105" s="113">
        <f>'Sampling Data'!E1097</f>
        <v>7</v>
      </c>
      <c r="G1105" s="113">
        <f>'Sampling Data'!F1097</f>
        <v>0</v>
      </c>
      <c r="H1105" s="113">
        <f>'Sampling Data'!G1097</f>
        <v>0</v>
      </c>
      <c r="I1105" s="112">
        <f>'Sampling Data'!H1097</f>
        <v>0</v>
      </c>
      <c r="J1105" s="112">
        <f>'Sampling Data'!I1097</f>
        <v>1</v>
      </c>
      <c r="K1105" s="112">
        <f>'Sampling Data'!J1097</f>
        <v>25</v>
      </c>
      <c r="L1105" s="111">
        <f>'Sampling Data'!X1097</f>
        <v>0</v>
      </c>
      <c r="M1105" s="114"/>
      <c r="N1105" s="114"/>
      <c r="O1105" s="115"/>
      <c r="P1105" s="115"/>
      <c r="Q1105" s="116"/>
      <c r="R1105" s="116"/>
      <c r="S1105" s="111">
        <f>Audit[[#This Row],[Audit Losing Candidate]]-Audit[[#This Row],[Losing Candidate]]</f>
        <v>-3</v>
      </c>
      <c r="T1105" s="111">
        <f>Audit[[#This Row],[Audit Winning Candidate]]-Audit[[#This Row],[Winning Candidate]]</f>
        <v>-10</v>
      </c>
      <c r="U1105" s="111">
        <f>Audit[[#This Row],[Audit Candidate 3]]-Audit[[#This Row],[Candidate 3]]</f>
        <v>-4</v>
      </c>
      <c r="V1105" s="111">
        <f>Audit[[#This Row],[Audit Candidate 4]]-Audit[[#This Row],[Candidate 4]]</f>
        <v>-7</v>
      </c>
      <c r="W1105" s="111">
        <f>Audit[[#This Row],[Audit Candidate 5]]-Audit[[#This Row],[Candidate 5]]</f>
        <v>0</v>
      </c>
      <c r="X1105" s="111">
        <f>Audit[[#This Row],[Audit Candidate 6]]-Audit[[#This Row],[Candidate 6]]</f>
        <v>0</v>
      </c>
      <c r="Y1105" s="111">
        <f>SUMIF(Audit[[#This Row],[Difference Loser]:[Difference Candidate 6]], "&gt;0")</f>
        <v>0</v>
      </c>
      <c r="Z1105" s="111">
        <f>SUM(Audit[[#This Row],[Difference Loser]:[Difference Candidate 6]])</f>
        <v>-24</v>
      </c>
      <c r="AA1105" s="111">
        <f>IF(Audit[[#This Row],[Times p Drawn - With Replacement]]&gt;0, IF(Audit[[#This Row],[Canceled Differences]]&lt;0, Audit[[#This Row],[Max Differences]]+ABS(Audit[[#This Row],[Canceled Differences]]), Audit[[#This Row],[Max Differences]]), 0)</f>
        <v>0</v>
      </c>
      <c r="AB1105" s="111">
        <f>'Sampling Data'!P1097</f>
        <v>1.9598236158745713E-3</v>
      </c>
      <c r="AC1105" s="111">
        <f>IF(
      SUM(Audit[[#This Row],[Audit Losing Candidate]:[Audit Candidate 6]])
      &lt;&gt;0,
      (Audit[[#This Row],[Winning Candidate]]-Audit[[#This Row],[Losing Candidate]]-(Audit[[#This Row],[Audit Winning Candidate]]-Audit[[#This Row],[Audit Losing Candidate]]))/(Audit[[#Totals],[Winning Candidate]]-Audit[[#Totals],[Losing Candidate]]),
      0
)</f>
        <v>0</v>
      </c>
      <c r="AD11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5" s="111">
        <f>IF(Audit[[#This Row],[Max Relative Error (ep)]] = 0, 0, Audit[[#This Row],[Max Relative Error (ep)]]/Audit[[#This Row],[Error Bound (up) - Max. possible relative overstatement]])</f>
        <v>0</v>
      </c>
      <c r="AJ11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05" s="111">
        <f t="shared" si="17"/>
        <v>1</v>
      </c>
      <c r="AL1105" s="111">
        <f>PRODUCT($AK$5:AK1105)</f>
        <v>8.962823818226312E-2</v>
      </c>
      <c r="AM1105" s="109">
        <f>1 - [K-M P Value]</f>
        <v>0.91037176181773694</v>
      </c>
      <c r="AN1105" s="111" t="str">
        <f>IF(Audit[[#This Row],[K-M P Value]]&gt;1-'General Info'!$B$16,"Continue", "Stop")</f>
        <v>Stop</v>
      </c>
      <c r="AO1105" s="110" t="b">
        <f>IF(Audit[[#This Row],[Status - Continue or stop audit]] = "Continue", TRUE, IF(AN1104 = "Continue", TRUE, FALSE))</f>
        <v>0</v>
      </c>
      <c r="AP1105" s="110"/>
    </row>
    <row r="1106" spans="1:42" ht="15" hidden="1" customHeight="1">
      <c r="A1106" s="111" t="str">
        <f>'Sampling Data'!W1098</f>
        <v/>
      </c>
      <c r="B1106" s="112" t="str">
        <f>'Sampling Data'!A1098</f>
        <v>EUCLID -04-C - ABS</v>
      </c>
      <c r="C1106" s="112">
        <f>'Sampling Data'!B1098</f>
        <v>3</v>
      </c>
      <c r="D1106" s="112">
        <f>'Sampling Data'!C1098</f>
        <v>0</v>
      </c>
      <c r="E1106" s="113">
        <f>'Sampling Data'!D1098</f>
        <v>1</v>
      </c>
      <c r="F1106" s="113">
        <f>'Sampling Data'!E1098</f>
        <v>0</v>
      </c>
      <c r="G1106" s="113">
        <f>'Sampling Data'!F1098</f>
        <v>0</v>
      </c>
      <c r="H1106" s="113">
        <f>'Sampling Data'!G1098</f>
        <v>0</v>
      </c>
      <c r="I1106" s="112">
        <f>'Sampling Data'!H1098</f>
        <v>0</v>
      </c>
      <c r="J1106" s="112">
        <f>'Sampling Data'!I1098</f>
        <v>0</v>
      </c>
      <c r="K1106" s="112">
        <f>'Sampling Data'!J1098</f>
        <v>4</v>
      </c>
      <c r="L1106" s="111">
        <f>'Sampling Data'!X1098</f>
        <v>0</v>
      </c>
      <c r="M1106" s="114"/>
      <c r="N1106" s="114"/>
      <c r="O1106" s="115"/>
      <c r="P1106" s="115"/>
      <c r="Q1106" s="116"/>
      <c r="R1106" s="116"/>
      <c r="S1106" s="111">
        <f>Audit[[#This Row],[Audit Losing Candidate]]-Audit[[#This Row],[Losing Candidate]]</f>
        <v>-3</v>
      </c>
      <c r="T1106" s="111">
        <f>Audit[[#This Row],[Audit Winning Candidate]]-Audit[[#This Row],[Winning Candidate]]</f>
        <v>0</v>
      </c>
      <c r="U1106" s="111">
        <f>Audit[[#This Row],[Audit Candidate 3]]-Audit[[#This Row],[Candidate 3]]</f>
        <v>-1</v>
      </c>
      <c r="V1106" s="111">
        <f>Audit[[#This Row],[Audit Candidate 4]]-Audit[[#This Row],[Candidate 4]]</f>
        <v>0</v>
      </c>
      <c r="W1106" s="111">
        <f>Audit[[#This Row],[Audit Candidate 5]]-Audit[[#This Row],[Candidate 5]]</f>
        <v>0</v>
      </c>
      <c r="X1106" s="111">
        <f>Audit[[#This Row],[Audit Candidate 6]]-Audit[[#This Row],[Candidate 6]]</f>
        <v>0</v>
      </c>
      <c r="Y1106" s="111">
        <f>SUMIF(Audit[[#This Row],[Difference Loser]:[Difference Candidate 6]], "&gt;0")</f>
        <v>0</v>
      </c>
      <c r="Z1106" s="111">
        <f>SUM(Audit[[#This Row],[Difference Loser]:[Difference Candidate 6]])</f>
        <v>-4</v>
      </c>
      <c r="AA1106" s="111">
        <f>IF(Audit[[#This Row],[Times p Drawn - With Replacement]]&gt;0, IF(Audit[[#This Row],[Canceled Differences]]&lt;0, Audit[[#This Row],[Max Differences]]+ABS(Audit[[#This Row],[Canceled Differences]]), Audit[[#This Row],[Max Differences]]), 0)</f>
        <v>0</v>
      </c>
      <c r="AB1106" s="111">
        <f>'Sampling Data'!P1098</f>
        <v>1.1692829372387384E-4</v>
      </c>
      <c r="AC1106" s="111">
        <f>IF(
      SUM(Audit[[#This Row],[Audit Losing Candidate]:[Audit Candidate 6]])
      &lt;&gt;0,
      (Audit[[#This Row],[Winning Candidate]]-Audit[[#This Row],[Losing Candidate]]-(Audit[[#This Row],[Audit Winning Candidate]]-Audit[[#This Row],[Audit Losing Candidate]]))/(Audit[[#Totals],[Winning Candidate]]-Audit[[#Totals],[Losing Candidate]]),
      0
)</f>
        <v>0</v>
      </c>
      <c r="AD11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6" s="111">
        <f>IF(Audit[[#This Row],[Max Relative Error (ep)]] = 0, 0, Audit[[#This Row],[Max Relative Error (ep)]]/Audit[[#This Row],[Error Bound (up) - Max. possible relative overstatement]])</f>
        <v>0</v>
      </c>
      <c r="AJ11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06" s="111">
        <f t="shared" si="17"/>
        <v>1</v>
      </c>
      <c r="AL1106" s="111">
        <f>PRODUCT($AK$5:AK1106)</f>
        <v>8.962823818226312E-2</v>
      </c>
      <c r="AM1106" s="109">
        <f>1 - [K-M P Value]</f>
        <v>0.91037176181773694</v>
      </c>
      <c r="AN1106" s="111" t="str">
        <f>IF(Audit[[#This Row],[K-M P Value]]&gt;1-'General Info'!$B$16,"Continue", "Stop")</f>
        <v>Stop</v>
      </c>
      <c r="AO1106" s="110" t="b">
        <f>IF(Audit[[#This Row],[Status - Continue or stop audit]] = "Continue", TRUE, IF(AN1105 = "Continue", TRUE, FALSE))</f>
        <v>0</v>
      </c>
      <c r="AP1106" s="110"/>
    </row>
    <row r="1107" spans="1:42" ht="15" hidden="1" customHeight="1">
      <c r="A1107" s="111" t="str">
        <f>'Sampling Data'!W1099</f>
        <v/>
      </c>
      <c r="B1107" s="112" t="str">
        <f>'Sampling Data'!A1099</f>
        <v>EUCLID -04-D</v>
      </c>
      <c r="C1107" s="112">
        <f>'Sampling Data'!B1099</f>
        <v>8</v>
      </c>
      <c r="D1107" s="112">
        <f>'Sampling Data'!C1099</f>
        <v>7</v>
      </c>
      <c r="E1107" s="113">
        <f>'Sampling Data'!D1099</f>
        <v>1</v>
      </c>
      <c r="F1107" s="113">
        <f>'Sampling Data'!E1099</f>
        <v>3</v>
      </c>
      <c r="G1107" s="113">
        <f>'Sampling Data'!F1099</f>
        <v>0</v>
      </c>
      <c r="H1107" s="113">
        <f>'Sampling Data'!G1099</f>
        <v>0</v>
      </c>
      <c r="I1107" s="112">
        <f>'Sampling Data'!H1099</f>
        <v>0</v>
      </c>
      <c r="J1107" s="112">
        <f>'Sampling Data'!I1099</f>
        <v>0</v>
      </c>
      <c r="K1107" s="112">
        <f>'Sampling Data'!J1099</f>
        <v>19</v>
      </c>
      <c r="L1107" s="111">
        <f>'Sampling Data'!X1099</f>
        <v>0</v>
      </c>
      <c r="M1107" s="114"/>
      <c r="N1107" s="114"/>
      <c r="O1107" s="115"/>
      <c r="P1107" s="115"/>
      <c r="Q1107" s="116"/>
      <c r="R1107" s="116"/>
      <c r="S1107" s="111">
        <f>Audit[[#This Row],[Audit Losing Candidate]]-Audit[[#This Row],[Losing Candidate]]</f>
        <v>-8</v>
      </c>
      <c r="T1107" s="111">
        <f>Audit[[#This Row],[Audit Winning Candidate]]-Audit[[#This Row],[Winning Candidate]]</f>
        <v>-7</v>
      </c>
      <c r="U1107" s="111">
        <f>Audit[[#This Row],[Audit Candidate 3]]-Audit[[#This Row],[Candidate 3]]</f>
        <v>-1</v>
      </c>
      <c r="V1107" s="111">
        <f>Audit[[#This Row],[Audit Candidate 4]]-Audit[[#This Row],[Candidate 4]]</f>
        <v>-3</v>
      </c>
      <c r="W1107" s="111">
        <f>Audit[[#This Row],[Audit Candidate 5]]-Audit[[#This Row],[Candidate 5]]</f>
        <v>0</v>
      </c>
      <c r="X1107" s="111">
        <f>Audit[[#This Row],[Audit Candidate 6]]-Audit[[#This Row],[Candidate 6]]</f>
        <v>0</v>
      </c>
      <c r="Y1107" s="111">
        <f>SUMIF(Audit[[#This Row],[Difference Loser]:[Difference Candidate 6]], "&gt;0")</f>
        <v>0</v>
      </c>
      <c r="Z1107" s="111">
        <f>SUM(Audit[[#This Row],[Difference Loser]:[Difference Candidate 6]])</f>
        <v>-19</v>
      </c>
      <c r="AA1107" s="111">
        <f>IF(Audit[[#This Row],[Times p Drawn - With Replacement]]&gt;0, IF(Audit[[#This Row],[Canceled Differences]]&lt;0, Audit[[#This Row],[Max Differences]]+ABS(Audit[[#This Row],[Canceled Differences]]), Audit[[#This Row],[Max Differences]]), 0)</f>
        <v>0</v>
      </c>
      <c r="AB1107" s="111">
        <f>'Sampling Data'!P1099</f>
        <v>1.1024007839294464E-3</v>
      </c>
      <c r="AC1107" s="111">
        <f>IF(
      SUM(Audit[[#This Row],[Audit Losing Candidate]:[Audit Candidate 6]])
      &lt;&gt;0,
      (Audit[[#This Row],[Winning Candidate]]-Audit[[#This Row],[Losing Candidate]]-(Audit[[#This Row],[Audit Winning Candidate]]-Audit[[#This Row],[Audit Losing Candidate]]))/(Audit[[#Totals],[Winning Candidate]]-Audit[[#Totals],[Losing Candidate]]),
      0
)</f>
        <v>0</v>
      </c>
      <c r="AD11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7" s="111">
        <f>IF(Audit[[#This Row],[Max Relative Error (ep)]] = 0, 0, Audit[[#This Row],[Max Relative Error (ep)]]/Audit[[#This Row],[Error Bound (up) - Max. possible relative overstatement]])</f>
        <v>0</v>
      </c>
      <c r="AJ11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07" s="111">
        <f t="shared" si="17"/>
        <v>1</v>
      </c>
      <c r="AL1107" s="111">
        <f>PRODUCT($AK$5:AK1107)</f>
        <v>8.962823818226312E-2</v>
      </c>
      <c r="AM1107" s="109">
        <f>1 - [K-M P Value]</f>
        <v>0.91037176181773694</v>
      </c>
      <c r="AN1107" s="111" t="str">
        <f>IF(Audit[[#This Row],[K-M P Value]]&gt;1-'General Info'!$B$16,"Continue", "Stop")</f>
        <v>Stop</v>
      </c>
      <c r="AO1107" s="110" t="b">
        <f>IF(Audit[[#This Row],[Status - Continue or stop audit]] = "Continue", TRUE, IF(AN1106 = "Continue", TRUE, FALSE))</f>
        <v>0</v>
      </c>
      <c r="AP1107" s="110"/>
    </row>
    <row r="1108" spans="1:42" ht="15" hidden="1" customHeight="1">
      <c r="A1108" s="111" t="str">
        <f>'Sampling Data'!W1100</f>
        <v/>
      </c>
      <c r="B1108" s="112" t="str">
        <f>'Sampling Data'!A1100</f>
        <v>EUCLID -04-D - ABS</v>
      </c>
      <c r="C1108" s="112">
        <f>'Sampling Data'!B1100</f>
        <v>5</v>
      </c>
      <c r="D1108" s="112">
        <f>'Sampling Data'!C1100</f>
        <v>9</v>
      </c>
      <c r="E1108" s="113">
        <f>'Sampling Data'!D1100</f>
        <v>5</v>
      </c>
      <c r="F1108" s="113">
        <f>'Sampling Data'!E1100</f>
        <v>0</v>
      </c>
      <c r="G1108" s="113">
        <f>'Sampling Data'!F1100</f>
        <v>0</v>
      </c>
      <c r="H1108" s="113">
        <f>'Sampling Data'!G1100</f>
        <v>0</v>
      </c>
      <c r="I1108" s="112">
        <f>'Sampling Data'!H1100</f>
        <v>0</v>
      </c>
      <c r="J1108" s="112">
        <f>'Sampling Data'!I1100</f>
        <v>0</v>
      </c>
      <c r="K1108" s="112">
        <f>'Sampling Data'!J1100</f>
        <v>19</v>
      </c>
      <c r="L1108" s="111">
        <f>'Sampling Data'!X1100</f>
        <v>0</v>
      </c>
      <c r="M1108" s="114"/>
      <c r="N1108" s="114"/>
      <c r="O1108" s="115"/>
      <c r="P1108" s="115"/>
      <c r="Q1108" s="116"/>
      <c r="R1108" s="116"/>
      <c r="S1108" s="111">
        <f>Audit[[#This Row],[Audit Losing Candidate]]-Audit[[#This Row],[Losing Candidate]]</f>
        <v>-5</v>
      </c>
      <c r="T1108" s="111">
        <f>Audit[[#This Row],[Audit Winning Candidate]]-Audit[[#This Row],[Winning Candidate]]</f>
        <v>-9</v>
      </c>
      <c r="U1108" s="111">
        <f>Audit[[#This Row],[Audit Candidate 3]]-Audit[[#This Row],[Candidate 3]]</f>
        <v>-5</v>
      </c>
      <c r="V1108" s="111">
        <f>Audit[[#This Row],[Audit Candidate 4]]-Audit[[#This Row],[Candidate 4]]</f>
        <v>0</v>
      </c>
      <c r="W1108" s="111">
        <f>Audit[[#This Row],[Audit Candidate 5]]-Audit[[#This Row],[Candidate 5]]</f>
        <v>0</v>
      </c>
      <c r="X1108" s="111">
        <f>Audit[[#This Row],[Audit Candidate 6]]-Audit[[#This Row],[Candidate 6]]</f>
        <v>0</v>
      </c>
      <c r="Y1108" s="111">
        <f>SUMIF(Audit[[#This Row],[Difference Loser]:[Difference Candidate 6]], "&gt;0")</f>
        <v>0</v>
      </c>
      <c r="Z1108" s="111">
        <f>SUM(Audit[[#This Row],[Difference Loser]:[Difference Candidate 6]])</f>
        <v>-19</v>
      </c>
      <c r="AA1108" s="111">
        <f>IF(Audit[[#This Row],[Times p Drawn - With Replacement]]&gt;0, IF(Audit[[#This Row],[Canceled Differences]]&lt;0, Audit[[#This Row],[Max Differences]]+ABS(Audit[[#This Row],[Canceled Differences]]), Audit[[#This Row],[Max Differences]]), 0)</f>
        <v>0</v>
      </c>
      <c r="AB1108" s="111">
        <f>'Sampling Data'!P1100</f>
        <v>1.408623223909848E-3</v>
      </c>
      <c r="AC1108" s="111">
        <f>IF(
      SUM(Audit[[#This Row],[Audit Losing Candidate]:[Audit Candidate 6]])
      &lt;&gt;0,
      (Audit[[#This Row],[Winning Candidate]]-Audit[[#This Row],[Losing Candidate]]-(Audit[[#This Row],[Audit Winning Candidate]]-Audit[[#This Row],[Audit Losing Candidate]]))/(Audit[[#Totals],[Winning Candidate]]-Audit[[#Totals],[Losing Candidate]]),
      0
)</f>
        <v>0</v>
      </c>
      <c r="AD11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8" s="111">
        <f>IF(Audit[[#This Row],[Max Relative Error (ep)]] = 0, 0, Audit[[#This Row],[Max Relative Error (ep)]]/Audit[[#This Row],[Error Bound (up) - Max. possible relative overstatement]])</f>
        <v>0</v>
      </c>
      <c r="AJ11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08" s="111">
        <f t="shared" si="17"/>
        <v>1</v>
      </c>
      <c r="AL1108" s="111">
        <f>PRODUCT($AK$5:AK1108)</f>
        <v>8.962823818226312E-2</v>
      </c>
      <c r="AM1108" s="109">
        <f>1 - [K-M P Value]</f>
        <v>0.91037176181773694</v>
      </c>
      <c r="AN1108" s="111" t="str">
        <f>IF(Audit[[#This Row],[K-M P Value]]&gt;1-'General Info'!$B$16,"Continue", "Stop")</f>
        <v>Stop</v>
      </c>
      <c r="AO1108" s="110" t="b">
        <f>IF(Audit[[#This Row],[Status - Continue or stop audit]] = "Continue", TRUE, IF(AN1107 = "Continue", TRUE, FALSE))</f>
        <v>0</v>
      </c>
      <c r="AP1108" s="110"/>
    </row>
    <row r="1109" spans="1:42" ht="15" hidden="1" customHeight="1">
      <c r="A1109" s="111" t="str">
        <f>'Sampling Data'!W1101</f>
        <v/>
      </c>
      <c r="B1109" s="112" t="str">
        <f>'Sampling Data'!A1101</f>
        <v>EUCLID -04-E</v>
      </c>
      <c r="C1109" s="112">
        <f>'Sampling Data'!B1101</f>
        <v>7</v>
      </c>
      <c r="D1109" s="112">
        <f>'Sampling Data'!C1101</f>
        <v>16</v>
      </c>
      <c r="E1109" s="113">
        <f>'Sampling Data'!D1101</f>
        <v>6</v>
      </c>
      <c r="F1109" s="113">
        <f>'Sampling Data'!E1101</f>
        <v>3</v>
      </c>
      <c r="G1109" s="113">
        <f>'Sampling Data'!F1101</f>
        <v>0</v>
      </c>
      <c r="H1109" s="113">
        <f>'Sampling Data'!G1101</f>
        <v>0</v>
      </c>
      <c r="I1109" s="112">
        <f>'Sampling Data'!H1101</f>
        <v>0</v>
      </c>
      <c r="J1109" s="112">
        <f>'Sampling Data'!I1101</f>
        <v>0</v>
      </c>
      <c r="K1109" s="112">
        <f>'Sampling Data'!J1101</f>
        <v>32</v>
      </c>
      <c r="L1109" s="111">
        <f>'Sampling Data'!X1101</f>
        <v>0</v>
      </c>
      <c r="M1109" s="114"/>
      <c r="N1109" s="114"/>
      <c r="O1109" s="115"/>
      <c r="P1109" s="115"/>
      <c r="Q1109" s="116"/>
      <c r="R1109" s="116"/>
      <c r="S1109" s="111">
        <f>Audit[[#This Row],[Audit Losing Candidate]]-Audit[[#This Row],[Losing Candidate]]</f>
        <v>-7</v>
      </c>
      <c r="T1109" s="111">
        <f>Audit[[#This Row],[Audit Winning Candidate]]-Audit[[#This Row],[Winning Candidate]]</f>
        <v>-16</v>
      </c>
      <c r="U1109" s="111">
        <f>Audit[[#This Row],[Audit Candidate 3]]-Audit[[#This Row],[Candidate 3]]</f>
        <v>-6</v>
      </c>
      <c r="V1109" s="111">
        <f>Audit[[#This Row],[Audit Candidate 4]]-Audit[[#This Row],[Candidate 4]]</f>
        <v>-3</v>
      </c>
      <c r="W1109" s="111">
        <f>Audit[[#This Row],[Audit Candidate 5]]-Audit[[#This Row],[Candidate 5]]</f>
        <v>0</v>
      </c>
      <c r="X1109" s="111">
        <f>Audit[[#This Row],[Audit Candidate 6]]-Audit[[#This Row],[Candidate 6]]</f>
        <v>0</v>
      </c>
      <c r="Y1109" s="111">
        <f>SUMIF(Audit[[#This Row],[Difference Loser]:[Difference Candidate 6]], "&gt;0")</f>
        <v>0</v>
      </c>
      <c r="Z1109" s="111">
        <f>SUM(Audit[[#This Row],[Difference Loser]:[Difference Candidate 6]])</f>
        <v>-32</v>
      </c>
      <c r="AA1109" s="111">
        <f>IF(Audit[[#This Row],[Times p Drawn - With Replacement]]&gt;0, IF(Audit[[#This Row],[Canceled Differences]]&lt;0, Audit[[#This Row],[Max Differences]]+ABS(Audit[[#This Row],[Canceled Differences]]), Audit[[#This Row],[Max Differences]]), 0)</f>
        <v>0</v>
      </c>
      <c r="AB1109" s="111">
        <f>'Sampling Data'!P1101</f>
        <v>2.5110240078392945E-3</v>
      </c>
      <c r="AC1109" s="111">
        <f>IF(
      SUM(Audit[[#This Row],[Audit Losing Candidate]:[Audit Candidate 6]])
      &lt;&gt;0,
      (Audit[[#This Row],[Winning Candidate]]-Audit[[#This Row],[Losing Candidate]]-(Audit[[#This Row],[Audit Winning Candidate]]-Audit[[#This Row],[Audit Losing Candidate]]))/(Audit[[#Totals],[Winning Candidate]]-Audit[[#Totals],[Losing Candidate]]),
      0
)</f>
        <v>0</v>
      </c>
      <c r="AD11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9" s="111">
        <f>IF(Audit[[#This Row],[Max Relative Error (ep)]] = 0, 0, Audit[[#This Row],[Max Relative Error (ep)]]/Audit[[#This Row],[Error Bound (up) - Max. possible relative overstatement]])</f>
        <v>0</v>
      </c>
      <c r="AJ11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09" s="111">
        <f t="shared" si="17"/>
        <v>1</v>
      </c>
      <c r="AL1109" s="111">
        <f>PRODUCT($AK$5:AK1109)</f>
        <v>8.962823818226312E-2</v>
      </c>
      <c r="AM1109" s="109">
        <f>1 - [K-M P Value]</f>
        <v>0.91037176181773694</v>
      </c>
      <c r="AN1109" s="111" t="str">
        <f>IF(Audit[[#This Row],[K-M P Value]]&gt;1-'General Info'!$B$16,"Continue", "Stop")</f>
        <v>Stop</v>
      </c>
      <c r="AO1109" s="110" t="b">
        <f>IF(Audit[[#This Row],[Status - Continue or stop audit]] = "Continue", TRUE, IF(AN1108 = "Continue", TRUE, FALSE))</f>
        <v>0</v>
      </c>
      <c r="AP1109" s="110"/>
    </row>
    <row r="1110" spans="1:42" ht="15" hidden="1" customHeight="1">
      <c r="A1110" s="111" t="str">
        <f>'Sampling Data'!W1102</f>
        <v/>
      </c>
      <c r="B1110" s="112" t="str">
        <f>'Sampling Data'!A1102</f>
        <v>EUCLID -04-E - ABS</v>
      </c>
      <c r="C1110" s="112">
        <f>'Sampling Data'!B1102</f>
        <v>8</v>
      </c>
      <c r="D1110" s="112">
        <f>'Sampling Data'!C1102</f>
        <v>7</v>
      </c>
      <c r="E1110" s="113">
        <f>'Sampling Data'!D1102</f>
        <v>3</v>
      </c>
      <c r="F1110" s="113">
        <f>'Sampling Data'!E1102</f>
        <v>2</v>
      </c>
      <c r="G1110" s="113">
        <f>'Sampling Data'!F1102</f>
        <v>0</v>
      </c>
      <c r="H1110" s="113">
        <f>'Sampling Data'!G1102</f>
        <v>0</v>
      </c>
      <c r="I1110" s="112">
        <f>'Sampling Data'!H1102</f>
        <v>0</v>
      </c>
      <c r="J1110" s="112">
        <f>'Sampling Data'!I1102</f>
        <v>0</v>
      </c>
      <c r="K1110" s="112">
        <f>'Sampling Data'!J1102</f>
        <v>20</v>
      </c>
      <c r="L1110" s="111">
        <f>'Sampling Data'!X1102</f>
        <v>0</v>
      </c>
      <c r="M1110" s="114"/>
      <c r="N1110" s="114"/>
      <c r="O1110" s="115"/>
      <c r="P1110" s="115"/>
      <c r="Q1110" s="116"/>
      <c r="R1110" s="116"/>
      <c r="S1110" s="111">
        <f>Audit[[#This Row],[Audit Losing Candidate]]-Audit[[#This Row],[Losing Candidate]]</f>
        <v>-8</v>
      </c>
      <c r="T1110" s="111">
        <f>Audit[[#This Row],[Audit Winning Candidate]]-Audit[[#This Row],[Winning Candidate]]</f>
        <v>-7</v>
      </c>
      <c r="U1110" s="111">
        <f>Audit[[#This Row],[Audit Candidate 3]]-Audit[[#This Row],[Candidate 3]]</f>
        <v>-3</v>
      </c>
      <c r="V1110" s="111">
        <f>Audit[[#This Row],[Audit Candidate 4]]-Audit[[#This Row],[Candidate 4]]</f>
        <v>-2</v>
      </c>
      <c r="W1110" s="111">
        <f>Audit[[#This Row],[Audit Candidate 5]]-Audit[[#This Row],[Candidate 5]]</f>
        <v>0</v>
      </c>
      <c r="X1110" s="111">
        <f>Audit[[#This Row],[Audit Candidate 6]]-Audit[[#This Row],[Candidate 6]]</f>
        <v>0</v>
      </c>
      <c r="Y1110" s="111">
        <f>SUMIF(Audit[[#This Row],[Difference Loser]:[Difference Candidate 6]], "&gt;0")</f>
        <v>0</v>
      </c>
      <c r="Z1110" s="111">
        <f>SUM(Audit[[#This Row],[Difference Loser]:[Difference Candidate 6]])</f>
        <v>-20</v>
      </c>
      <c r="AA1110" s="111">
        <f>IF(Audit[[#This Row],[Times p Drawn - With Replacement]]&gt;0, IF(Audit[[#This Row],[Canceled Differences]]&lt;0, Audit[[#This Row],[Max Differences]]+ABS(Audit[[#This Row],[Canceled Differences]]), Audit[[#This Row],[Max Differences]]), 0)</f>
        <v>0</v>
      </c>
      <c r="AB1110" s="111">
        <f>'Sampling Data'!P1102</f>
        <v>1.1636452719255266E-3</v>
      </c>
      <c r="AC1110" s="111">
        <f>IF(
      SUM(Audit[[#This Row],[Audit Losing Candidate]:[Audit Candidate 6]])
      &lt;&gt;0,
      (Audit[[#This Row],[Winning Candidate]]-Audit[[#This Row],[Losing Candidate]]-(Audit[[#This Row],[Audit Winning Candidate]]-Audit[[#This Row],[Audit Losing Candidate]]))/(Audit[[#Totals],[Winning Candidate]]-Audit[[#Totals],[Losing Candidate]]),
      0
)</f>
        <v>0</v>
      </c>
      <c r="AD11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0" s="111">
        <f>IF(Audit[[#This Row],[Max Relative Error (ep)]] = 0, 0, Audit[[#This Row],[Max Relative Error (ep)]]/Audit[[#This Row],[Error Bound (up) - Max. possible relative overstatement]])</f>
        <v>0</v>
      </c>
      <c r="AJ11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10" s="111">
        <f t="shared" si="17"/>
        <v>1</v>
      </c>
      <c r="AL1110" s="111">
        <f>PRODUCT($AK$5:AK1110)</f>
        <v>8.962823818226312E-2</v>
      </c>
      <c r="AM1110" s="109">
        <f>1 - [K-M P Value]</f>
        <v>0.91037176181773694</v>
      </c>
      <c r="AN1110" s="111" t="str">
        <f>IF(Audit[[#This Row],[K-M P Value]]&gt;1-'General Info'!$B$16,"Continue", "Stop")</f>
        <v>Stop</v>
      </c>
      <c r="AO1110" s="110" t="b">
        <f>IF(Audit[[#This Row],[Status - Continue or stop audit]] = "Continue", TRUE, IF(AN1109 = "Continue", TRUE, FALSE))</f>
        <v>0</v>
      </c>
      <c r="AP1110" s="110"/>
    </row>
    <row r="1111" spans="1:42" ht="15" hidden="1" customHeight="1">
      <c r="A1111" s="111" t="str">
        <f>'Sampling Data'!W1103</f>
        <v/>
      </c>
      <c r="B1111" s="112" t="str">
        <f>'Sampling Data'!A1103</f>
        <v>EUCLID -04-F</v>
      </c>
      <c r="C1111" s="112">
        <f>'Sampling Data'!B1103</f>
        <v>8</v>
      </c>
      <c r="D1111" s="112">
        <f>'Sampling Data'!C1103</f>
        <v>5</v>
      </c>
      <c r="E1111" s="113">
        <f>'Sampling Data'!D1103</f>
        <v>4</v>
      </c>
      <c r="F1111" s="113">
        <f>'Sampling Data'!E1103</f>
        <v>1</v>
      </c>
      <c r="G1111" s="113">
        <f>'Sampling Data'!F1103</f>
        <v>0</v>
      </c>
      <c r="H1111" s="113">
        <f>'Sampling Data'!G1103</f>
        <v>1</v>
      </c>
      <c r="I1111" s="112">
        <f>'Sampling Data'!H1103</f>
        <v>0</v>
      </c>
      <c r="J1111" s="112">
        <f>'Sampling Data'!I1103</f>
        <v>0</v>
      </c>
      <c r="K1111" s="112">
        <f>'Sampling Data'!J1103</f>
        <v>19</v>
      </c>
      <c r="L1111" s="111">
        <f>'Sampling Data'!X1103</f>
        <v>0</v>
      </c>
      <c r="M1111" s="114"/>
      <c r="N1111" s="114"/>
      <c r="O1111" s="115"/>
      <c r="P1111" s="115"/>
      <c r="Q1111" s="116"/>
      <c r="R1111" s="116"/>
      <c r="S1111" s="111">
        <f>Audit[[#This Row],[Audit Losing Candidate]]-Audit[[#This Row],[Losing Candidate]]</f>
        <v>-8</v>
      </c>
      <c r="T1111" s="111">
        <f>Audit[[#This Row],[Audit Winning Candidate]]-Audit[[#This Row],[Winning Candidate]]</f>
        <v>-5</v>
      </c>
      <c r="U1111" s="111">
        <f>Audit[[#This Row],[Audit Candidate 3]]-Audit[[#This Row],[Candidate 3]]</f>
        <v>-4</v>
      </c>
      <c r="V1111" s="111">
        <f>Audit[[#This Row],[Audit Candidate 4]]-Audit[[#This Row],[Candidate 4]]</f>
        <v>-1</v>
      </c>
      <c r="W1111" s="111">
        <f>Audit[[#This Row],[Audit Candidate 5]]-Audit[[#This Row],[Candidate 5]]</f>
        <v>0</v>
      </c>
      <c r="X1111" s="111">
        <f>Audit[[#This Row],[Audit Candidate 6]]-Audit[[#This Row],[Candidate 6]]</f>
        <v>-1</v>
      </c>
      <c r="Y1111" s="111">
        <f>SUMIF(Audit[[#This Row],[Difference Loser]:[Difference Candidate 6]], "&gt;0")</f>
        <v>0</v>
      </c>
      <c r="Z1111" s="111">
        <f>SUM(Audit[[#This Row],[Difference Loser]:[Difference Candidate 6]])</f>
        <v>-19</v>
      </c>
      <c r="AA1111" s="111">
        <f>IF(Audit[[#This Row],[Times p Drawn - With Replacement]]&gt;0, IF(Audit[[#This Row],[Canceled Differences]]&lt;0, Audit[[#This Row],[Max Differences]]+ABS(Audit[[#This Row],[Canceled Differences]]), Audit[[#This Row],[Max Differences]]), 0)</f>
        <v>0</v>
      </c>
      <c r="AB1111" s="111">
        <f>'Sampling Data'!P1103</f>
        <v>9.7991180793728563E-4</v>
      </c>
      <c r="AC1111" s="111">
        <f>IF(
      SUM(Audit[[#This Row],[Audit Losing Candidate]:[Audit Candidate 6]])
      &lt;&gt;0,
      (Audit[[#This Row],[Winning Candidate]]-Audit[[#This Row],[Losing Candidate]]-(Audit[[#This Row],[Audit Winning Candidate]]-Audit[[#This Row],[Audit Losing Candidate]]))/(Audit[[#Totals],[Winning Candidate]]-Audit[[#Totals],[Losing Candidate]]),
      0
)</f>
        <v>0</v>
      </c>
      <c r="AD11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1" s="111">
        <f>IF(Audit[[#This Row],[Max Relative Error (ep)]] = 0, 0, Audit[[#This Row],[Max Relative Error (ep)]]/Audit[[#This Row],[Error Bound (up) - Max. possible relative overstatement]])</f>
        <v>0</v>
      </c>
      <c r="AJ11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11" s="111">
        <f t="shared" si="17"/>
        <v>1</v>
      </c>
      <c r="AL1111" s="111">
        <f>PRODUCT($AK$5:AK1111)</f>
        <v>8.962823818226312E-2</v>
      </c>
      <c r="AM1111" s="109">
        <f>1 - [K-M P Value]</f>
        <v>0.91037176181773694</v>
      </c>
      <c r="AN1111" s="111" t="str">
        <f>IF(Audit[[#This Row],[K-M P Value]]&gt;1-'General Info'!$B$16,"Continue", "Stop")</f>
        <v>Stop</v>
      </c>
      <c r="AO1111" s="110" t="b">
        <f>IF(Audit[[#This Row],[Status - Continue or stop audit]] = "Continue", TRUE, IF(AN1110 = "Continue", TRUE, FALSE))</f>
        <v>0</v>
      </c>
      <c r="AP1111" s="110"/>
    </row>
    <row r="1112" spans="1:42" ht="15" hidden="1" customHeight="1">
      <c r="A1112" s="111" t="str">
        <f>'Sampling Data'!W1104</f>
        <v/>
      </c>
      <c r="B1112" s="112" t="str">
        <f>'Sampling Data'!A1104</f>
        <v>EUCLID -04-F - ABS</v>
      </c>
      <c r="C1112" s="112">
        <f>'Sampling Data'!B1104</f>
        <v>2</v>
      </c>
      <c r="D1112" s="112">
        <f>'Sampling Data'!C1104</f>
        <v>5</v>
      </c>
      <c r="E1112" s="113">
        <f>'Sampling Data'!D1104</f>
        <v>1</v>
      </c>
      <c r="F1112" s="113">
        <f>'Sampling Data'!E1104</f>
        <v>0</v>
      </c>
      <c r="G1112" s="113">
        <f>'Sampling Data'!F1104</f>
        <v>0</v>
      </c>
      <c r="H1112" s="113">
        <f>'Sampling Data'!G1104</f>
        <v>0</v>
      </c>
      <c r="I1112" s="112">
        <f>'Sampling Data'!H1104</f>
        <v>0</v>
      </c>
      <c r="J1112" s="112">
        <f>'Sampling Data'!I1104</f>
        <v>0</v>
      </c>
      <c r="K1112" s="112">
        <f>'Sampling Data'!J1104</f>
        <v>8</v>
      </c>
      <c r="L1112" s="111">
        <f>'Sampling Data'!X1104</f>
        <v>0</v>
      </c>
      <c r="M1112" s="114"/>
      <c r="N1112" s="114"/>
      <c r="O1112" s="115"/>
      <c r="P1112" s="115"/>
      <c r="Q1112" s="116"/>
      <c r="R1112" s="116"/>
      <c r="S1112" s="111">
        <f>Audit[[#This Row],[Audit Losing Candidate]]-Audit[[#This Row],[Losing Candidate]]</f>
        <v>-2</v>
      </c>
      <c r="T1112" s="111">
        <f>Audit[[#This Row],[Audit Winning Candidate]]-Audit[[#This Row],[Winning Candidate]]</f>
        <v>-5</v>
      </c>
      <c r="U1112" s="111">
        <f>Audit[[#This Row],[Audit Candidate 3]]-Audit[[#This Row],[Candidate 3]]</f>
        <v>-1</v>
      </c>
      <c r="V1112" s="111">
        <f>Audit[[#This Row],[Audit Candidate 4]]-Audit[[#This Row],[Candidate 4]]</f>
        <v>0</v>
      </c>
      <c r="W1112" s="111">
        <f>Audit[[#This Row],[Audit Candidate 5]]-Audit[[#This Row],[Candidate 5]]</f>
        <v>0</v>
      </c>
      <c r="X1112" s="111">
        <f>Audit[[#This Row],[Audit Candidate 6]]-Audit[[#This Row],[Candidate 6]]</f>
        <v>0</v>
      </c>
      <c r="Y1112" s="111">
        <f>SUMIF(Audit[[#This Row],[Difference Loser]:[Difference Candidate 6]], "&gt;0")</f>
        <v>0</v>
      </c>
      <c r="Z1112" s="111">
        <f>SUM(Audit[[#This Row],[Difference Loser]:[Difference Candidate 6]])</f>
        <v>-8</v>
      </c>
      <c r="AA1112" s="111">
        <f>IF(Audit[[#This Row],[Times p Drawn - With Replacement]]&gt;0, IF(Audit[[#This Row],[Canceled Differences]]&lt;0, Audit[[#This Row],[Max Differences]]+ABS(Audit[[#This Row],[Canceled Differences]]), Audit[[#This Row],[Max Differences]]), 0)</f>
        <v>0</v>
      </c>
      <c r="AB1112" s="111">
        <f>'Sampling Data'!P1104</f>
        <v>6.7368936795688392E-4</v>
      </c>
      <c r="AC1112" s="111">
        <f>IF(
      SUM(Audit[[#This Row],[Audit Losing Candidate]:[Audit Candidate 6]])
      &lt;&gt;0,
      (Audit[[#This Row],[Winning Candidate]]-Audit[[#This Row],[Losing Candidate]]-(Audit[[#This Row],[Audit Winning Candidate]]-Audit[[#This Row],[Audit Losing Candidate]]))/(Audit[[#Totals],[Winning Candidate]]-Audit[[#Totals],[Losing Candidate]]),
      0
)</f>
        <v>0</v>
      </c>
      <c r="AD11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2" s="111">
        <f>IF(Audit[[#This Row],[Max Relative Error (ep)]] = 0, 0, Audit[[#This Row],[Max Relative Error (ep)]]/Audit[[#This Row],[Error Bound (up) - Max. possible relative overstatement]])</f>
        <v>0</v>
      </c>
      <c r="AJ11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12" s="111">
        <f t="shared" si="17"/>
        <v>1</v>
      </c>
      <c r="AL1112" s="111">
        <f>PRODUCT($AK$5:AK1112)</f>
        <v>8.962823818226312E-2</v>
      </c>
      <c r="AM1112" s="109">
        <f>1 - [K-M P Value]</f>
        <v>0.91037176181773694</v>
      </c>
      <c r="AN1112" s="111" t="str">
        <f>IF(Audit[[#This Row],[K-M P Value]]&gt;1-'General Info'!$B$16,"Continue", "Stop")</f>
        <v>Stop</v>
      </c>
      <c r="AO1112" s="110" t="b">
        <f>IF(Audit[[#This Row],[Status - Continue or stop audit]] = "Continue", TRUE, IF(AN1111 = "Continue", TRUE, FALSE))</f>
        <v>0</v>
      </c>
      <c r="AP1112" s="110"/>
    </row>
    <row r="1113" spans="1:42" ht="15" hidden="1" customHeight="1">
      <c r="A1113" s="111" t="str">
        <f>'Sampling Data'!W1105</f>
        <v/>
      </c>
      <c r="B1113" s="112" t="str">
        <f>'Sampling Data'!A1105</f>
        <v>EUCLID -05-A</v>
      </c>
      <c r="C1113" s="112">
        <f>'Sampling Data'!B1105</f>
        <v>12</v>
      </c>
      <c r="D1113" s="112">
        <f>'Sampling Data'!C1105</f>
        <v>20</v>
      </c>
      <c r="E1113" s="113">
        <f>'Sampling Data'!D1105</f>
        <v>7</v>
      </c>
      <c r="F1113" s="113">
        <f>'Sampling Data'!E1105</f>
        <v>4</v>
      </c>
      <c r="G1113" s="113">
        <f>'Sampling Data'!F1105</f>
        <v>0</v>
      </c>
      <c r="H1113" s="113">
        <f>'Sampling Data'!G1105</f>
        <v>1</v>
      </c>
      <c r="I1113" s="112">
        <f>'Sampling Data'!H1105</f>
        <v>0</v>
      </c>
      <c r="J1113" s="112">
        <f>'Sampling Data'!I1105</f>
        <v>0</v>
      </c>
      <c r="K1113" s="112">
        <f>'Sampling Data'!J1105</f>
        <v>44</v>
      </c>
      <c r="L1113" s="111">
        <f>'Sampling Data'!X1105</f>
        <v>0</v>
      </c>
      <c r="M1113" s="114"/>
      <c r="N1113" s="114"/>
      <c r="O1113" s="115"/>
      <c r="P1113" s="115"/>
      <c r="Q1113" s="116"/>
      <c r="R1113" s="116"/>
      <c r="S1113" s="111">
        <f>Audit[[#This Row],[Audit Losing Candidate]]-Audit[[#This Row],[Losing Candidate]]</f>
        <v>-12</v>
      </c>
      <c r="T1113" s="111">
        <f>Audit[[#This Row],[Audit Winning Candidate]]-Audit[[#This Row],[Winning Candidate]]</f>
        <v>-20</v>
      </c>
      <c r="U1113" s="111">
        <f>Audit[[#This Row],[Audit Candidate 3]]-Audit[[#This Row],[Candidate 3]]</f>
        <v>-7</v>
      </c>
      <c r="V1113" s="111">
        <f>Audit[[#This Row],[Audit Candidate 4]]-Audit[[#This Row],[Candidate 4]]</f>
        <v>-4</v>
      </c>
      <c r="W1113" s="111">
        <f>Audit[[#This Row],[Audit Candidate 5]]-Audit[[#This Row],[Candidate 5]]</f>
        <v>0</v>
      </c>
      <c r="X1113" s="111">
        <f>Audit[[#This Row],[Audit Candidate 6]]-Audit[[#This Row],[Candidate 6]]</f>
        <v>-1</v>
      </c>
      <c r="Y1113" s="111">
        <f>SUMIF(Audit[[#This Row],[Difference Loser]:[Difference Candidate 6]], "&gt;0")</f>
        <v>0</v>
      </c>
      <c r="Z1113" s="111">
        <f>SUM(Audit[[#This Row],[Difference Loser]:[Difference Candidate 6]])</f>
        <v>-44</v>
      </c>
      <c r="AA1113" s="111">
        <f>IF(Audit[[#This Row],[Times p Drawn - With Replacement]]&gt;0, IF(Audit[[#This Row],[Canceled Differences]]&lt;0, Audit[[#This Row],[Max Differences]]+ABS(Audit[[#This Row],[Canceled Differences]]), Audit[[#This Row],[Max Differences]]), 0)</f>
        <v>0</v>
      </c>
      <c r="AB1113" s="111">
        <f>'Sampling Data'!P1105</f>
        <v>3.1847133757961785E-3</v>
      </c>
      <c r="AC1113" s="111">
        <f>IF(
      SUM(Audit[[#This Row],[Audit Losing Candidate]:[Audit Candidate 6]])
      &lt;&gt;0,
      (Audit[[#This Row],[Winning Candidate]]-Audit[[#This Row],[Losing Candidate]]-(Audit[[#This Row],[Audit Winning Candidate]]-Audit[[#This Row],[Audit Losing Candidate]]))/(Audit[[#Totals],[Winning Candidate]]-Audit[[#Totals],[Losing Candidate]]),
      0
)</f>
        <v>0</v>
      </c>
      <c r="AD11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3" s="111">
        <f>IF(Audit[[#This Row],[Max Relative Error (ep)]] = 0, 0, Audit[[#This Row],[Max Relative Error (ep)]]/Audit[[#This Row],[Error Bound (up) - Max. possible relative overstatement]])</f>
        <v>0</v>
      </c>
      <c r="AJ11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13" s="111">
        <f t="shared" si="17"/>
        <v>1</v>
      </c>
      <c r="AL1113" s="111">
        <f>PRODUCT($AK$5:AK1113)</f>
        <v>8.962823818226312E-2</v>
      </c>
      <c r="AM1113" s="109">
        <f>1 - [K-M P Value]</f>
        <v>0.91037176181773694</v>
      </c>
      <c r="AN1113" s="111" t="str">
        <f>IF(Audit[[#This Row],[K-M P Value]]&gt;1-'General Info'!$B$16,"Continue", "Stop")</f>
        <v>Stop</v>
      </c>
      <c r="AO1113" s="110" t="b">
        <f>IF(Audit[[#This Row],[Status - Continue or stop audit]] = "Continue", TRUE, IF(AN1112 = "Continue", TRUE, FALSE))</f>
        <v>0</v>
      </c>
      <c r="AP1113" s="110"/>
    </row>
    <row r="1114" spans="1:42" ht="15" hidden="1" customHeight="1">
      <c r="A1114" s="111" t="str">
        <f>'Sampling Data'!W1106</f>
        <v/>
      </c>
      <c r="B1114" s="112" t="str">
        <f>'Sampling Data'!A1106</f>
        <v>EUCLID -05-A - ABS</v>
      </c>
      <c r="C1114" s="112">
        <f>'Sampling Data'!B1106</f>
        <v>3</v>
      </c>
      <c r="D1114" s="112">
        <f>'Sampling Data'!C1106</f>
        <v>11</v>
      </c>
      <c r="E1114" s="113">
        <f>'Sampling Data'!D1106</f>
        <v>3</v>
      </c>
      <c r="F1114" s="113">
        <f>'Sampling Data'!E1106</f>
        <v>0</v>
      </c>
      <c r="G1114" s="113">
        <f>'Sampling Data'!F1106</f>
        <v>0</v>
      </c>
      <c r="H1114" s="113">
        <f>'Sampling Data'!G1106</f>
        <v>0</v>
      </c>
      <c r="I1114" s="112">
        <f>'Sampling Data'!H1106</f>
        <v>0</v>
      </c>
      <c r="J1114" s="112">
        <f>'Sampling Data'!I1106</f>
        <v>1</v>
      </c>
      <c r="K1114" s="112">
        <f>'Sampling Data'!J1106</f>
        <v>18</v>
      </c>
      <c r="L1114" s="111">
        <f>'Sampling Data'!X1106</f>
        <v>0</v>
      </c>
      <c r="M1114" s="114"/>
      <c r="N1114" s="114"/>
      <c r="O1114" s="115"/>
      <c r="P1114" s="115"/>
      <c r="Q1114" s="116"/>
      <c r="R1114" s="116"/>
      <c r="S1114" s="111">
        <f>Audit[[#This Row],[Audit Losing Candidate]]-Audit[[#This Row],[Losing Candidate]]</f>
        <v>-3</v>
      </c>
      <c r="T1114" s="111">
        <f>Audit[[#This Row],[Audit Winning Candidate]]-Audit[[#This Row],[Winning Candidate]]</f>
        <v>-11</v>
      </c>
      <c r="U1114" s="111">
        <f>Audit[[#This Row],[Audit Candidate 3]]-Audit[[#This Row],[Candidate 3]]</f>
        <v>-3</v>
      </c>
      <c r="V1114" s="111">
        <f>Audit[[#This Row],[Audit Candidate 4]]-Audit[[#This Row],[Candidate 4]]</f>
        <v>0</v>
      </c>
      <c r="W1114" s="111">
        <f>Audit[[#This Row],[Audit Candidate 5]]-Audit[[#This Row],[Candidate 5]]</f>
        <v>0</v>
      </c>
      <c r="X1114" s="111">
        <f>Audit[[#This Row],[Audit Candidate 6]]-Audit[[#This Row],[Candidate 6]]</f>
        <v>0</v>
      </c>
      <c r="Y1114" s="111">
        <f>SUMIF(Audit[[#This Row],[Difference Loser]:[Difference Candidate 6]], "&gt;0")</f>
        <v>0</v>
      </c>
      <c r="Z1114" s="111">
        <f>SUM(Audit[[#This Row],[Difference Loser]:[Difference Candidate 6]])</f>
        <v>-17</v>
      </c>
      <c r="AA1114" s="111">
        <f>IF(Audit[[#This Row],[Times p Drawn - With Replacement]]&gt;0, IF(Audit[[#This Row],[Canceled Differences]]&lt;0, Audit[[#This Row],[Max Differences]]+ABS(Audit[[#This Row],[Canceled Differences]]), Audit[[#This Row],[Max Differences]]), 0)</f>
        <v>0</v>
      </c>
      <c r="AB1114" s="111">
        <f>'Sampling Data'!P1106</f>
        <v>1.5923566878980893E-3</v>
      </c>
      <c r="AC1114" s="111">
        <f>IF(
      SUM(Audit[[#This Row],[Audit Losing Candidate]:[Audit Candidate 6]])
      &lt;&gt;0,
      (Audit[[#This Row],[Winning Candidate]]-Audit[[#This Row],[Losing Candidate]]-(Audit[[#This Row],[Audit Winning Candidate]]-Audit[[#This Row],[Audit Losing Candidate]]))/(Audit[[#Totals],[Winning Candidate]]-Audit[[#Totals],[Losing Candidate]]),
      0
)</f>
        <v>0</v>
      </c>
      <c r="AD11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4" s="111">
        <f>IF(Audit[[#This Row],[Max Relative Error (ep)]] = 0, 0, Audit[[#This Row],[Max Relative Error (ep)]]/Audit[[#This Row],[Error Bound (up) - Max. possible relative overstatement]])</f>
        <v>0</v>
      </c>
      <c r="AJ11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14" s="111">
        <f t="shared" si="17"/>
        <v>1</v>
      </c>
      <c r="AL1114" s="111">
        <f>PRODUCT($AK$5:AK1114)</f>
        <v>8.962823818226312E-2</v>
      </c>
      <c r="AM1114" s="109">
        <f>1 - [K-M P Value]</f>
        <v>0.91037176181773694</v>
      </c>
      <c r="AN1114" s="111" t="str">
        <f>IF(Audit[[#This Row],[K-M P Value]]&gt;1-'General Info'!$B$16,"Continue", "Stop")</f>
        <v>Stop</v>
      </c>
      <c r="AO1114" s="110" t="b">
        <f>IF(Audit[[#This Row],[Status - Continue or stop audit]] = "Continue", TRUE, IF(AN1113 = "Continue", TRUE, FALSE))</f>
        <v>0</v>
      </c>
      <c r="AP1114" s="110"/>
    </row>
    <row r="1115" spans="1:42" ht="15" hidden="1" customHeight="1">
      <c r="A1115" s="111" t="str">
        <f>'Sampling Data'!W1107</f>
        <v/>
      </c>
      <c r="B1115" s="112" t="str">
        <f>'Sampling Data'!A1107</f>
        <v>EUCLID -05-B</v>
      </c>
      <c r="C1115" s="112">
        <f>'Sampling Data'!B1107</f>
        <v>9</v>
      </c>
      <c r="D1115" s="112">
        <f>'Sampling Data'!C1107</f>
        <v>13</v>
      </c>
      <c r="E1115" s="113">
        <f>'Sampling Data'!D1107</f>
        <v>3</v>
      </c>
      <c r="F1115" s="113">
        <f>'Sampling Data'!E1107</f>
        <v>4</v>
      </c>
      <c r="G1115" s="113">
        <f>'Sampling Data'!F1107</f>
        <v>1</v>
      </c>
      <c r="H1115" s="113">
        <f>'Sampling Data'!G1107</f>
        <v>0</v>
      </c>
      <c r="I1115" s="112">
        <f>'Sampling Data'!H1107</f>
        <v>0</v>
      </c>
      <c r="J1115" s="112">
        <f>'Sampling Data'!I1107</f>
        <v>0</v>
      </c>
      <c r="K1115" s="112">
        <f>'Sampling Data'!J1107</f>
        <v>30</v>
      </c>
      <c r="L1115" s="111">
        <f>'Sampling Data'!X1107</f>
        <v>0</v>
      </c>
      <c r="M1115" s="114"/>
      <c r="N1115" s="114"/>
      <c r="O1115" s="115"/>
      <c r="P1115" s="115"/>
      <c r="Q1115" s="116"/>
      <c r="R1115" s="116"/>
      <c r="S1115" s="111">
        <f>Audit[[#This Row],[Audit Losing Candidate]]-Audit[[#This Row],[Losing Candidate]]</f>
        <v>-9</v>
      </c>
      <c r="T1115" s="111">
        <f>Audit[[#This Row],[Audit Winning Candidate]]-Audit[[#This Row],[Winning Candidate]]</f>
        <v>-13</v>
      </c>
      <c r="U1115" s="111">
        <f>Audit[[#This Row],[Audit Candidate 3]]-Audit[[#This Row],[Candidate 3]]</f>
        <v>-3</v>
      </c>
      <c r="V1115" s="111">
        <f>Audit[[#This Row],[Audit Candidate 4]]-Audit[[#This Row],[Candidate 4]]</f>
        <v>-4</v>
      </c>
      <c r="W1115" s="111">
        <f>Audit[[#This Row],[Audit Candidate 5]]-Audit[[#This Row],[Candidate 5]]</f>
        <v>-1</v>
      </c>
      <c r="X1115" s="111">
        <f>Audit[[#This Row],[Audit Candidate 6]]-Audit[[#This Row],[Candidate 6]]</f>
        <v>0</v>
      </c>
      <c r="Y1115" s="111">
        <f>SUMIF(Audit[[#This Row],[Difference Loser]:[Difference Candidate 6]], "&gt;0")</f>
        <v>0</v>
      </c>
      <c r="Z1115" s="111">
        <f>SUM(Audit[[#This Row],[Difference Loser]:[Difference Candidate 6]])</f>
        <v>-30</v>
      </c>
      <c r="AA1115" s="111">
        <f>IF(Audit[[#This Row],[Times p Drawn - With Replacement]]&gt;0, IF(Audit[[#This Row],[Canceled Differences]]&lt;0, Audit[[#This Row],[Max Differences]]+ABS(Audit[[#This Row],[Canceled Differences]]), Audit[[#This Row],[Max Differences]]), 0)</f>
        <v>0</v>
      </c>
      <c r="AB1115" s="111">
        <f>'Sampling Data'!P1107</f>
        <v>2.0823125918667321E-3</v>
      </c>
      <c r="AC1115" s="111">
        <f>IF(
      SUM(Audit[[#This Row],[Audit Losing Candidate]:[Audit Candidate 6]])
      &lt;&gt;0,
      (Audit[[#This Row],[Winning Candidate]]-Audit[[#This Row],[Losing Candidate]]-(Audit[[#This Row],[Audit Winning Candidate]]-Audit[[#This Row],[Audit Losing Candidate]]))/(Audit[[#Totals],[Winning Candidate]]-Audit[[#Totals],[Losing Candidate]]),
      0
)</f>
        <v>0</v>
      </c>
      <c r="AD11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5" s="111">
        <f>IF(Audit[[#This Row],[Max Relative Error (ep)]] = 0, 0, Audit[[#This Row],[Max Relative Error (ep)]]/Audit[[#This Row],[Error Bound (up) - Max. possible relative overstatement]])</f>
        <v>0</v>
      </c>
      <c r="AJ11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15" s="111">
        <f t="shared" si="17"/>
        <v>1</v>
      </c>
      <c r="AL1115" s="111">
        <f>PRODUCT($AK$5:AK1115)</f>
        <v>8.962823818226312E-2</v>
      </c>
      <c r="AM1115" s="109">
        <f>1 - [K-M P Value]</f>
        <v>0.91037176181773694</v>
      </c>
      <c r="AN1115" s="111" t="str">
        <f>IF(Audit[[#This Row],[K-M P Value]]&gt;1-'General Info'!$B$16,"Continue", "Stop")</f>
        <v>Stop</v>
      </c>
      <c r="AO1115" s="110" t="b">
        <f>IF(Audit[[#This Row],[Status - Continue or stop audit]] = "Continue", TRUE, IF(AN1114 = "Continue", TRUE, FALSE))</f>
        <v>0</v>
      </c>
      <c r="AP1115" s="110"/>
    </row>
    <row r="1116" spans="1:42" ht="15" hidden="1" customHeight="1">
      <c r="A1116" s="111" t="str">
        <f>'Sampling Data'!W1108</f>
        <v/>
      </c>
      <c r="B1116" s="112" t="str">
        <f>'Sampling Data'!A1108</f>
        <v>EUCLID -05-B - ABS</v>
      </c>
      <c r="C1116" s="112">
        <f>'Sampling Data'!B1108</f>
        <v>1</v>
      </c>
      <c r="D1116" s="112">
        <f>'Sampling Data'!C1108</f>
        <v>9</v>
      </c>
      <c r="E1116" s="113">
        <f>'Sampling Data'!D1108</f>
        <v>3</v>
      </c>
      <c r="F1116" s="113">
        <f>'Sampling Data'!E1108</f>
        <v>0</v>
      </c>
      <c r="G1116" s="113">
        <f>'Sampling Data'!F1108</f>
        <v>0</v>
      </c>
      <c r="H1116" s="113">
        <f>'Sampling Data'!G1108</f>
        <v>0</v>
      </c>
      <c r="I1116" s="112">
        <f>'Sampling Data'!H1108</f>
        <v>0</v>
      </c>
      <c r="J1116" s="112">
        <f>'Sampling Data'!I1108</f>
        <v>0</v>
      </c>
      <c r="K1116" s="112">
        <f>'Sampling Data'!J1108</f>
        <v>13</v>
      </c>
      <c r="L1116" s="111">
        <f>'Sampling Data'!X1108</f>
        <v>0</v>
      </c>
      <c r="M1116" s="114"/>
      <c r="N1116" s="114"/>
      <c r="O1116" s="115"/>
      <c r="P1116" s="115"/>
      <c r="Q1116" s="116"/>
      <c r="R1116" s="116"/>
      <c r="S1116" s="111">
        <f>Audit[[#This Row],[Audit Losing Candidate]]-Audit[[#This Row],[Losing Candidate]]</f>
        <v>-1</v>
      </c>
      <c r="T1116" s="111">
        <f>Audit[[#This Row],[Audit Winning Candidate]]-Audit[[#This Row],[Winning Candidate]]</f>
        <v>-9</v>
      </c>
      <c r="U1116" s="111">
        <f>Audit[[#This Row],[Audit Candidate 3]]-Audit[[#This Row],[Candidate 3]]</f>
        <v>-3</v>
      </c>
      <c r="V1116" s="111">
        <f>Audit[[#This Row],[Audit Candidate 4]]-Audit[[#This Row],[Candidate 4]]</f>
        <v>0</v>
      </c>
      <c r="W1116" s="111">
        <f>Audit[[#This Row],[Audit Candidate 5]]-Audit[[#This Row],[Candidate 5]]</f>
        <v>0</v>
      </c>
      <c r="X1116" s="111">
        <f>Audit[[#This Row],[Audit Candidate 6]]-Audit[[#This Row],[Candidate 6]]</f>
        <v>0</v>
      </c>
      <c r="Y1116" s="111">
        <f>SUMIF(Audit[[#This Row],[Difference Loser]:[Difference Candidate 6]], "&gt;0")</f>
        <v>0</v>
      </c>
      <c r="Z1116" s="111">
        <f>SUM(Audit[[#This Row],[Difference Loser]:[Difference Candidate 6]])</f>
        <v>-13</v>
      </c>
      <c r="AA1116" s="111">
        <f>IF(Audit[[#This Row],[Times p Drawn - With Replacement]]&gt;0, IF(Audit[[#This Row],[Canceled Differences]]&lt;0, Audit[[#This Row],[Max Differences]]+ABS(Audit[[#This Row],[Canceled Differences]]), Audit[[#This Row],[Max Differences]]), 0)</f>
        <v>0</v>
      </c>
      <c r="AB1116" s="111">
        <f>'Sampling Data'!P1108</f>
        <v>1.2861342479176874E-3</v>
      </c>
      <c r="AC1116" s="111">
        <f>IF(
      SUM(Audit[[#This Row],[Audit Losing Candidate]:[Audit Candidate 6]])
      &lt;&gt;0,
      (Audit[[#This Row],[Winning Candidate]]-Audit[[#This Row],[Losing Candidate]]-(Audit[[#This Row],[Audit Winning Candidate]]-Audit[[#This Row],[Audit Losing Candidate]]))/(Audit[[#Totals],[Winning Candidate]]-Audit[[#Totals],[Losing Candidate]]),
      0
)</f>
        <v>0</v>
      </c>
      <c r="AD11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6" s="111">
        <f>IF(Audit[[#This Row],[Max Relative Error (ep)]] = 0, 0, Audit[[#This Row],[Max Relative Error (ep)]]/Audit[[#This Row],[Error Bound (up) - Max. possible relative overstatement]])</f>
        <v>0</v>
      </c>
      <c r="AJ11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16" s="111">
        <f t="shared" si="17"/>
        <v>1</v>
      </c>
      <c r="AL1116" s="111">
        <f>PRODUCT($AK$5:AK1116)</f>
        <v>8.962823818226312E-2</v>
      </c>
      <c r="AM1116" s="109">
        <f>1 - [K-M P Value]</f>
        <v>0.91037176181773694</v>
      </c>
      <c r="AN1116" s="111" t="str">
        <f>IF(Audit[[#This Row],[K-M P Value]]&gt;1-'General Info'!$B$16,"Continue", "Stop")</f>
        <v>Stop</v>
      </c>
      <c r="AO1116" s="110" t="b">
        <f>IF(Audit[[#This Row],[Status - Continue or stop audit]] = "Continue", TRUE, IF(AN1115 = "Continue", TRUE, FALSE))</f>
        <v>0</v>
      </c>
      <c r="AP1116" s="110"/>
    </row>
    <row r="1117" spans="1:42" ht="15" hidden="1" customHeight="1">
      <c r="A1117" s="111" t="str">
        <f>'Sampling Data'!W1109</f>
        <v/>
      </c>
      <c r="B1117" s="112" t="str">
        <f>'Sampling Data'!A1109</f>
        <v>EUCLID -05-C</v>
      </c>
      <c r="C1117" s="112">
        <f>'Sampling Data'!B1109</f>
        <v>5</v>
      </c>
      <c r="D1117" s="112">
        <f>'Sampling Data'!C1109</f>
        <v>7</v>
      </c>
      <c r="E1117" s="113">
        <f>'Sampling Data'!D1109</f>
        <v>2</v>
      </c>
      <c r="F1117" s="113">
        <f>'Sampling Data'!E1109</f>
        <v>3</v>
      </c>
      <c r="G1117" s="113">
        <f>'Sampling Data'!F1109</f>
        <v>0</v>
      </c>
      <c r="H1117" s="113">
        <f>'Sampling Data'!G1109</f>
        <v>0</v>
      </c>
      <c r="I1117" s="112">
        <f>'Sampling Data'!H1109</f>
        <v>0</v>
      </c>
      <c r="J1117" s="112">
        <f>'Sampling Data'!I1109</f>
        <v>0</v>
      </c>
      <c r="K1117" s="112">
        <f>'Sampling Data'!J1109</f>
        <v>17</v>
      </c>
      <c r="L1117" s="111">
        <f>'Sampling Data'!X1109</f>
        <v>0</v>
      </c>
      <c r="M1117" s="114"/>
      <c r="N1117" s="114"/>
      <c r="O1117" s="115"/>
      <c r="P1117" s="115"/>
      <c r="Q1117" s="116"/>
      <c r="R1117" s="116"/>
      <c r="S1117" s="111">
        <f>Audit[[#This Row],[Audit Losing Candidate]]-Audit[[#This Row],[Losing Candidate]]</f>
        <v>-5</v>
      </c>
      <c r="T1117" s="111">
        <f>Audit[[#This Row],[Audit Winning Candidate]]-Audit[[#This Row],[Winning Candidate]]</f>
        <v>-7</v>
      </c>
      <c r="U1117" s="111">
        <f>Audit[[#This Row],[Audit Candidate 3]]-Audit[[#This Row],[Candidate 3]]</f>
        <v>-2</v>
      </c>
      <c r="V1117" s="111">
        <f>Audit[[#This Row],[Audit Candidate 4]]-Audit[[#This Row],[Candidate 4]]</f>
        <v>-3</v>
      </c>
      <c r="W1117" s="111">
        <f>Audit[[#This Row],[Audit Candidate 5]]-Audit[[#This Row],[Candidate 5]]</f>
        <v>0</v>
      </c>
      <c r="X1117" s="111">
        <f>Audit[[#This Row],[Audit Candidate 6]]-Audit[[#This Row],[Candidate 6]]</f>
        <v>0</v>
      </c>
      <c r="Y1117" s="111">
        <f>SUMIF(Audit[[#This Row],[Difference Loser]:[Difference Candidate 6]], "&gt;0")</f>
        <v>0</v>
      </c>
      <c r="Z1117" s="111">
        <f>SUM(Audit[[#This Row],[Difference Loser]:[Difference Candidate 6]])</f>
        <v>-17</v>
      </c>
      <c r="AA1117" s="111">
        <f>IF(Audit[[#This Row],[Times p Drawn - With Replacement]]&gt;0, IF(Audit[[#This Row],[Canceled Differences]]&lt;0, Audit[[#This Row],[Max Differences]]+ABS(Audit[[#This Row],[Canceled Differences]]), Audit[[#This Row],[Max Differences]]), 0)</f>
        <v>0</v>
      </c>
      <c r="AB1117" s="111">
        <f>'Sampling Data'!P1109</f>
        <v>1.1636452719255266E-3</v>
      </c>
      <c r="AC1117" s="111">
        <f>IF(
      SUM(Audit[[#This Row],[Audit Losing Candidate]:[Audit Candidate 6]])
      &lt;&gt;0,
      (Audit[[#This Row],[Winning Candidate]]-Audit[[#This Row],[Losing Candidate]]-(Audit[[#This Row],[Audit Winning Candidate]]-Audit[[#This Row],[Audit Losing Candidate]]))/(Audit[[#Totals],[Winning Candidate]]-Audit[[#Totals],[Losing Candidate]]),
      0
)</f>
        <v>0</v>
      </c>
      <c r="AD11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7" s="111">
        <f>IF(Audit[[#This Row],[Max Relative Error (ep)]] = 0, 0, Audit[[#This Row],[Max Relative Error (ep)]]/Audit[[#This Row],[Error Bound (up) - Max. possible relative overstatement]])</f>
        <v>0</v>
      </c>
      <c r="AJ11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17" s="111">
        <f t="shared" si="17"/>
        <v>1</v>
      </c>
      <c r="AL1117" s="111">
        <f>PRODUCT($AK$5:AK1117)</f>
        <v>8.962823818226312E-2</v>
      </c>
      <c r="AM1117" s="109">
        <f>1 - [K-M P Value]</f>
        <v>0.91037176181773694</v>
      </c>
      <c r="AN1117" s="111" t="str">
        <f>IF(Audit[[#This Row],[K-M P Value]]&gt;1-'General Info'!$B$16,"Continue", "Stop")</f>
        <v>Stop</v>
      </c>
      <c r="AO1117" s="110" t="b">
        <f>IF(Audit[[#This Row],[Status - Continue or stop audit]] = "Continue", TRUE, IF(AN1116 = "Continue", TRUE, FALSE))</f>
        <v>0</v>
      </c>
      <c r="AP1117" s="110"/>
    </row>
    <row r="1118" spans="1:42" ht="15" hidden="1" customHeight="1">
      <c r="A1118" s="111" t="str">
        <f>'Sampling Data'!W1110</f>
        <v/>
      </c>
      <c r="B1118" s="112" t="str">
        <f>'Sampling Data'!A1110</f>
        <v>EUCLID -05-C - ABS</v>
      </c>
      <c r="C1118" s="112">
        <f>'Sampling Data'!B1110</f>
        <v>8</v>
      </c>
      <c r="D1118" s="112">
        <f>'Sampling Data'!C1110</f>
        <v>1</v>
      </c>
      <c r="E1118" s="113">
        <f>'Sampling Data'!D1110</f>
        <v>0</v>
      </c>
      <c r="F1118" s="113">
        <f>'Sampling Data'!E1110</f>
        <v>1</v>
      </c>
      <c r="G1118" s="113">
        <f>'Sampling Data'!F1110</f>
        <v>0</v>
      </c>
      <c r="H1118" s="113">
        <f>'Sampling Data'!G1110</f>
        <v>0</v>
      </c>
      <c r="I1118" s="112">
        <f>'Sampling Data'!H1110</f>
        <v>0</v>
      </c>
      <c r="J1118" s="112">
        <f>'Sampling Data'!I1110</f>
        <v>0</v>
      </c>
      <c r="K1118" s="112">
        <f>'Sampling Data'!J1110</f>
        <v>10</v>
      </c>
      <c r="L1118" s="111">
        <f>'Sampling Data'!X1110</f>
        <v>0</v>
      </c>
      <c r="M1118" s="114"/>
      <c r="N1118" s="114"/>
      <c r="O1118" s="115"/>
      <c r="P1118" s="115"/>
      <c r="Q1118" s="116"/>
      <c r="R1118" s="116"/>
      <c r="S1118" s="111">
        <f>Audit[[#This Row],[Audit Losing Candidate]]-Audit[[#This Row],[Losing Candidate]]</f>
        <v>-8</v>
      </c>
      <c r="T1118" s="111">
        <f>Audit[[#This Row],[Audit Winning Candidate]]-Audit[[#This Row],[Winning Candidate]]</f>
        <v>-1</v>
      </c>
      <c r="U1118" s="111">
        <f>Audit[[#This Row],[Audit Candidate 3]]-Audit[[#This Row],[Candidate 3]]</f>
        <v>0</v>
      </c>
      <c r="V1118" s="111">
        <f>Audit[[#This Row],[Audit Candidate 4]]-Audit[[#This Row],[Candidate 4]]</f>
        <v>-1</v>
      </c>
      <c r="W1118" s="111">
        <f>Audit[[#This Row],[Audit Candidate 5]]-Audit[[#This Row],[Candidate 5]]</f>
        <v>0</v>
      </c>
      <c r="X1118" s="111">
        <f>Audit[[#This Row],[Audit Candidate 6]]-Audit[[#This Row],[Candidate 6]]</f>
        <v>0</v>
      </c>
      <c r="Y1118" s="111">
        <f>SUMIF(Audit[[#This Row],[Difference Loser]:[Difference Candidate 6]], "&gt;0")</f>
        <v>0</v>
      </c>
      <c r="Z1118" s="111">
        <f>SUM(Audit[[#This Row],[Difference Loser]:[Difference Candidate 6]])</f>
        <v>-10</v>
      </c>
      <c r="AA1118" s="111">
        <f>IF(Audit[[#This Row],[Times p Drawn - With Replacement]]&gt;0, IF(Audit[[#This Row],[Canceled Differences]]&lt;0, Audit[[#This Row],[Max Differences]]+ABS(Audit[[#This Row],[Canceled Differences]]), Audit[[#This Row],[Max Differences]]), 0)</f>
        <v>0</v>
      </c>
      <c r="AB1118" s="111">
        <f>'Sampling Data'!P1110</f>
        <v>3.5487305223086104E-4</v>
      </c>
      <c r="AC1118" s="111">
        <f>IF(
      SUM(Audit[[#This Row],[Audit Losing Candidate]:[Audit Candidate 6]])
      &lt;&gt;0,
      (Audit[[#This Row],[Winning Candidate]]-Audit[[#This Row],[Losing Candidate]]-(Audit[[#This Row],[Audit Winning Candidate]]-Audit[[#This Row],[Audit Losing Candidate]]))/(Audit[[#Totals],[Winning Candidate]]-Audit[[#Totals],[Losing Candidate]]),
      0
)</f>
        <v>0</v>
      </c>
      <c r="AD11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8" s="111">
        <f>IF(Audit[[#This Row],[Max Relative Error (ep)]] = 0, 0, Audit[[#This Row],[Max Relative Error (ep)]]/Audit[[#This Row],[Error Bound (up) - Max. possible relative overstatement]])</f>
        <v>0</v>
      </c>
      <c r="AJ11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18" s="111">
        <f t="shared" si="17"/>
        <v>1</v>
      </c>
      <c r="AL1118" s="111">
        <f>PRODUCT($AK$5:AK1118)</f>
        <v>8.962823818226312E-2</v>
      </c>
      <c r="AM1118" s="109">
        <f>1 - [K-M P Value]</f>
        <v>0.91037176181773694</v>
      </c>
      <c r="AN1118" s="111" t="str">
        <f>IF(Audit[[#This Row],[K-M P Value]]&gt;1-'General Info'!$B$16,"Continue", "Stop")</f>
        <v>Stop</v>
      </c>
      <c r="AO1118" s="110" t="b">
        <f>IF(Audit[[#This Row],[Status - Continue or stop audit]] = "Continue", TRUE, IF(AN1117 = "Continue", TRUE, FALSE))</f>
        <v>0</v>
      </c>
      <c r="AP1118" s="110"/>
    </row>
    <row r="1119" spans="1:42" ht="15" hidden="1" customHeight="1">
      <c r="A1119" s="111" t="str">
        <f>'Sampling Data'!W1111</f>
        <v/>
      </c>
      <c r="B1119" s="112" t="str">
        <f>'Sampling Data'!A1111</f>
        <v>EUCLID -05-D</v>
      </c>
      <c r="C1119" s="112">
        <f>'Sampling Data'!B1111</f>
        <v>13</v>
      </c>
      <c r="D1119" s="112">
        <f>'Sampling Data'!C1111</f>
        <v>14</v>
      </c>
      <c r="E1119" s="113">
        <f>'Sampling Data'!D1111</f>
        <v>2</v>
      </c>
      <c r="F1119" s="113">
        <f>'Sampling Data'!E1111</f>
        <v>4</v>
      </c>
      <c r="G1119" s="113">
        <f>'Sampling Data'!F1111</f>
        <v>2</v>
      </c>
      <c r="H1119" s="113">
        <f>'Sampling Data'!G1111</f>
        <v>0</v>
      </c>
      <c r="I1119" s="112">
        <f>'Sampling Data'!H1111</f>
        <v>0</v>
      </c>
      <c r="J1119" s="112">
        <f>'Sampling Data'!I1111</f>
        <v>2</v>
      </c>
      <c r="K1119" s="112">
        <f>'Sampling Data'!J1111</f>
        <v>37</v>
      </c>
      <c r="L1119" s="111">
        <f>'Sampling Data'!X1111</f>
        <v>0</v>
      </c>
      <c r="M1119" s="114"/>
      <c r="N1119" s="114"/>
      <c r="O1119" s="115"/>
      <c r="P1119" s="115"/>
      <c r="Q1119" s="116"/>
      <c r="R1119" s="116"/>
      <c r="S1119" s="111">
        <f>Audit[[#This Row],[Audit Losing Candidate]]-Audit[[#This Row],[Losing Candidate]]</f>
        <v>-13</v>
      </c>
      <c r="T1119" s="111">
        <f>Audit[[#This Row],[Audit Winning Candidate]]-Audit[[#This Row],[Winning Candidate]]</f>
        <v>-14</v>
      </c>
      <c r="U1119" s="111">
        <f>Audit[[#This Row],[Audit Candidate 3]]-Audit[[#This Row],[Candidate 3]]</f>
        <v>-2</v>
      </c>
      <c r="V1119" s="111">
        <f>Audit[[#This Row],[Audit Candidate 4]]-Audit[[#This Row],[Candidate 4]]</f>
        <v>-4</v>
      </c>
      <c r="W1119" s="111">
        <f>Audit[[#This Row],[Audit Candidate 5]]-Audit[[#This Row],[Candidate 5]]</f>
        <v>-2</v>
      </c>
      <c r="X1119" s="111">
        <f>Audit[[#This Row],[Audit Candidate 6]]-Audit[[#This Row],[Candidate 6]]</f>
        <v>0</v>
      </c>
      <c r="Y1119" s="111">
        <f>SUMIF(Audit[[#This Row],[Difference Loser]:[Difference Candidate 6]], "&gt;0")</f>
        <v>0</v>
      </c>
      <c r="Z1119" s="111">
        <f>SUM(Audit[[#This Row],[Difference Loser]:[Difference Candidate 6]])</f>
        <v>-35</v>
      </c>
      <c r="AA1119" s="111">
        <f>IF(Audit[[#This Row],[Times p Drawn - With Replacement]]&gt;0, IF(Audit[[#This Row],[Canceled Differences]]&lt;0, Audit[[#This Row],[Max Differences]]+ABS(Audit[[#This Row],[Canceled Differences]]), Audit[[#This Row],[Max Differences]]), 0)</f>
        <v>0</v>
      </c>
      <c r="AB1119" s="111">
        <f>'Sampling Data'!P1111</f>
        <v>2.3272905438510533E-3</v>
      </c>
      <c r="AC1119" s="111">
        <f>IF(
      SUM(Audit[[#This Row],[Audit Losing Candidate]:[Audit Candidate 6]])
      &lt;&gt;0,
      (Audit[[#This Row],[Winning Candidate]]-Audit[[#This Row],[Losing Candidate]]-(Audit[[#This Row],[Audit Winning Candidate]]-Audit[[#This Row],[Audit Losing Candidate]]))/(Audit[[#Totals],[Winning Candidate]]-Audit[[#Totals],[Losing Candidate]]),
      0
)</f>
        <v>0</v>
      </c>
      <c r="AD11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9" s="111">
        <f>IF(Audit[[#This Row],[Max Relative Error (ep)]] = 0, 0, Audit[[#This Row],[Max Relative Error (ep)]]/Audit[[#This Row],[Error Bound (up) - Max. possible relative overstatement]])</f>
        <v>0</v>
      </c>
      <c r="AJ11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19" s="111">
        <f t="shared" si="17"/>
        <v>1</v>
      </c>
      <c r="AL1119" s="111">
        <f>PRODUCT($AK$5:AK1119)</f>
        <v>8.962823818226312E-2</v>
      </c>
      <c r="AM1119" s="109">
        <f>1 - [K-M P Value]</f>
        <v>0.91037176181773694</v>
      </c>
      <c r="AN1119" s="111" t="str">
        <f>IF(Audit[[#This Row],[K-M P Value]]&gt;1-'General Info'!$B$16,"Continue", "Stop")</f>
        <v>Stop</v>
      </c>
      <c r="AO1119" s="110" t="b">
        <f>IF(Audit[[#This Row],[Status - Continue or stop audit]] = "Continue", TRUE, IF(AN1118 = "Continue", TRUE, FALSE))</f>
        <v>0</v>
      </c>
      <c r="AP1119" s="110"/>
    </row>
    <row r="1120" spans="1:42" ht="15" hidden="1" customHeight="1">
      <c r="A1120" s="111" t="str">
        <f>'Sampling Data'!W1112</f>
        <v/>
      </c>
      <c r="B1120" s="112" t="str">
        <f>'Sampling Data'!A1112</f>
        <v>EUCLID -05-D - ABS</v>
      </c>
      <c r="C1120" s="112">
        <f>'Sampling Data'!B1112</f>
        <v>5</v>
      </c>
      <c r="D1120" s="112">
        <f>'Sampling Data'!C1112</f>
        <v>9</v>
      </c>
      <c r="E1120" s="113">
        <f>'Sampling Data'!D1112</f>
        <v>3</v>
      </c>
      <c r="F1120" s="113">
        <f>'Sampling Data'!E1112</f>
        <v>0</v>
      </c>
      <c r="G1120" s="113">
        <f>'Sampling Data'!F1112</f>
        <v>0</v>
      </c>
      <c r="H1120" s="113">
        <f>'Sampling Data'!G1112</f>
        <v>0</v>
      </c>
      <c r="I1120" s="112">
        <f>'Sampling Data'!H1112</f>
        <v>0</v>
      </c>
      <c r="J1120" s="112">
        <f>'Sampling Data'!I1112</f>
        <v>0</v>
      </c>
      <c r="K1120" s="112">
        <f>'Sampling Data'!J1112</f>
        <v>17</v>
      </c>
      <c r="L1120" s="111">
        <f>'Sampling Data'!X1112</f>
        <v>0</v>
      </c>
      <c r="M1120" s="114"/>
      <c r="N1120" s="114"/>
      <c r="O1120" s="115"/>
      <c r="P1120" s="115"/>
      <c r="Q1120" s="116"/>
      <c r="R1120" s="116"/>
      <c r="S1120" s="111">
        <f>Audit[[#This Row],[Audit Losing Candidate]]-Audit[[#This Row],[Losing Candidate]]</f>
        <v>-5</v>
      </c>
      <c r="T1120" s="111">
        <f>Audit[[#This Row],[Audit Winning Candidate]]-Audit[[#This Row],[Winning Candidate]]</f>
        <v>-9</v>
      </c>
      <c r="U1120" s="111">
        <f>Audit[[#This Row],[Audit Candidate 3]]-Audit[[#This Row],[Candidate 3]]</f>
        <v>-3</v>
      </c>
      <c r="V1120" s="111">
        <f>Audit[[#This Row],[Audit Candidate 4]]-Audit[[#This Row],[Candidate 4]]</f>
        <v>0</v>
      </c>
      <c r="W1120" s="111">
        <f>Audit[[#This Row],[Audit Candidate 5]]-Audit[[#This Row],[Candidate 5]]</f>
        <v>0</v>
      </c>
      <c r="X1120" s="111">
        <f>Audit[[#This Row],[Audit Candidate 6]]-Audit[[#This Row],[Candidate 6]]</f>
        <v>0</v>
      </c>
      <c r="Y1120" s="111">
        <f>SUMIF(Audit[[#This Row],[Difference Loser]:[Difference Candidate 6]], "&gt;0")</f>
        <v>0</v>
      </c>
      <c r="Z1120" s="111">
        <f>SUM(Audit[[#This Row],[Difference Loser]:[Difference Candidate 6]])</f>
        <v>-17</v>
      </c>
      <c r="AA1120" s="111">
        <f>IF(Audit[[#This Row],[Times p Drawn - With Replacement]]&gt;0, IF(Audit[[#This Row],[Canceled Differences]]&lt;0, Audit[[#This Row],[Max Differences]]+ABS(Audit[[#This Row],[Canceled Differences]]), Audit[[#This Row],[Max Differences]]), 0)</f>
        <v>0</v>
      </c>
      <c r="AB1120" s="111">
        <f>'Sampling Data'!P1112</f>
        <v>1.2861342479176874E-3</v>
      </c>
      <c r="AC1120" s="111">
        <f>IF(
      SUM(Audit[[#This Row],[Audit Losing Candidate]:[Audit Candidate 6]])
      &lt;&gt;0,
      (Audit[[#This Row],[Winning Candidate]]-Audit[[#This Row],[Losing Candidate]]-(Audit[[#This Row],[Audit Winning Candidate]]-Audit[[#This Row],[Audit Losing Candidate]]))/(Audit[[#Totals],[Winning Candidate]]-Audit[[#Totals],[Losing Candidate]]),
      0
)</f>
        <v>0</v>
      </c>
      <c r="AD11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0" s="111">
        <f>IF(Audit[[#This Row],[Max Relative Error (ep)]] = 0, 0, Audit[[#This Row],[Max Relative Error (ep)]]/Audit[[#This Row],[Error Bound (up) - Max. possible relative overstatement]])</f>
        <v>0</v>
      </c>
      <c r="AJ11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20" s="111">
        <f t="shared" si="17"/>
        <v>1</v>
      </c>
      <c r="AL1120" s="111">
        <f>PRODUCT($AK$5:AK1120)</f>
        <v>8.962823818226312E-2</v>
      </c>
      <c r="AM1120" s="109">
        <f>1 - [K-M P Value]</f>
        <v>0.91037176181773694</v>
      </c>
      <c r="AN1120" s="111" t="str">
        <f>IF(Audit[[#This Row],[K-M P Value]]&gt;1-'General Info'!$B$16,"Continue", "Stop")</f>
        <v>Stop</v>
      </c>
      <c r="AO1120" s="110" t="b">
        <f>IF(Audit[[#This Row],[Status - Continue or stop audit]] = "Continue", TRUE, IF(AN1119 = "Continue", TRUE, FALSE))</f>
        <v>0</v>
      </c>
      <c r="AP1120" s="110"/>
    </row>
    <row r="1121" spans="1:42" ht="15" hidden="1" customHeight="1">
      <c r="A1121" s="111" t="str">
        <f>'Sampling Data'!W1113</f>
        <v/>
      </c>
      <c r="B1121" s="112" t="str">
        <f>'Sampling Data'!A1113</f>
        <v>EUCLID -05-E</v>
      </c>
      <c r="C1121" s="112">
        <f>'Sampling Data'!B1113</f>
        <v>36</v>
      </c>
      <c r="D1121" s="112">
        <f>'Sampling Data'!C1113</f>
        <v>42</v>
      </c>
      <c r="E1121" s="113">
        <f>'Sampling Data'!D1113</f>
        <v>12</v>
      </c>
      <c r="F1121" s="113">
        <f>'Sampling Data'!E1113</f>
        <v>5</v>
      </c>
      <c r="G1121" s="113">
        <f>'Sampling Data'!F1113</f>
        <v>0</v>
      </c>
      <c r="H1121" s="113">
        <f>'Sampling Data'!G1113</f>
        <v>1</v>
      </c>
      <c r="I1121" s="112">
        <f>'Sampling Data'!H1113</f>
        <v>0</v>
      </c>
      <c r="J1121" s="112">
        <f>'Sampling Data'!I1113</f>
        <v>0</v>
      </c>
      <c r="K1121" s="112">
        <f>'Sampling Data'!J1113</f>
        <v>96</v>
      </c>
      <c r="L1121" s="111">
        <f>'Sampling Data'!X1113</f>
        <v>0</v>
      </c>
      <c r="M1121" s="114"/>
      <c r="N1121" s="114"/>
      <c r="O1121" s="115"/>
      <c r="P1121" s="115"/>
      <c r="Q1121" s="116"/>
      <c r="R1121" s="116"/>
      <c r="S1121" s="111">
        <f>Audit[[#This Row],[Audit Losing Candidate]]-Audit[[#This Row],[Losing Candidate]]</f>
        <v>-36</v>
      </c>
      <c r="T1121" s="111">
        <f>Audit[[#This Row],[Audit Winning Candidate]]-Audit[[#This Row],[Winning Candidate]]</f>
        <v>-42</v>
      </c>
      <c r="U1121" s="111">
        <f>Audit[[#This Row],[Audit Candidate 3]]-Audit[[#This Row],[Candidate 3]]</f>
        <v>-12</v>
      </c>
      <c r="V1121" s="111">
        <f>Audit[[#This Row],[Audit Candidate 4]]-Audit[[#This Row],[Candidate 4]]</f>
        <v>-5</v>
      </c>
      <c r="W1121" s="111">
        <f>Audit[[#This Row],[Audit Candidate 5]]-Audit[[#This Row],[Candidate 5]]</f>
        <v>0</v>
      </c>
      <c r="X1121" s="111">
        <f>Audit[[#This Row],[Audit Candidate 6]]-Audit[[#This Row],[Candidate 6]]</f>
        <v>-1</v>
      </c>
      <c r="Y1121" s="111">
        <f>SUMIF(Audit[[#This Row],[Difference Loser]:[Difference Candidate 6]], "&gt;0")</f>
        <v>0</v>
      </c>
      <c r="Z1121" s="111">
        <f>SUM(Audit[[#This Row],[Difference Loser]:[Difference Candidate 6]])</f>
        <v>-96</v>
      </c>
      <c r="AA1121" s="111">
        <f>IF(Audit[[#This Row],[Times p Drawn - With Replacement]]&gt;0, IF(Audit[[#This Row],[Canceled Differences]]&lt;0, Audit[[#This Row],[Max Differences]]+ABS(Audit[[#This Row],[Canceled Differences]]), Audit[[#This Row],[Max Differences]]), 0)</f>
        <v>0</v>
      </c>
      <c r="AB1121" s="111">
        <f>'Sampling Data'!P1113</f>
        <v>6.2469377756001962E-3</v>
      </c>
      <c r="AC1121" s="111">
        <f>IF(
      SUM(Audit[[#This Row],[Audit Losing Candidate]:[Audit Candidate 6]])
      &lt;&gt;0,
      (Audit[[#This Row],[Winning Candidate]]-Audit[[#This Row],[Losing Candidate]]-(Audit[[#This Row],[Audit Winning Candidate]]-Audit[[#This Row],[Audit Losing Candidate]]))/(Audit[[#Totals],[Winning Candidate]]-Audit[[#Totals],[Losing Candidate]]),
      0
)</f>
        <v>0</v>
      </c>
      <c r="AD11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1" s="111">
        <f>IF(Audit[[#This Row],[Max Relative Error (ep)]] = 0, 0, Audit[[#This Row],[Max Relative Error (ep)]]/Audit[[#This Row],[Error Bound (up) - Max. possible relative overstatement]])</f>
        <v>0</v>
      </c>
      <c r="AJ11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21" s="111">
        <f t="shared" si="17"/>
        <v>1</v>
      </c>
      <c r="AL1121" s="111">
        <f>PRODUCT($AK$5:AK1121)</f>
        <v>8.962823818226312E-2</v>
      </c>
      <c r="AM1121" s="109">
        <f>1 - [K-M P Value]</f>
        <v>0.91037176181773694</v>
      </c>
      <c r="AN1121" s="111" t="str">
        <f>IF(Audit[[#This Row],[K-M P Value]]&gt;1-'General Info'!$B$16,"Continue", "Stop")</f>
        <v>Stop</v>
      </c>
      <c r="AO1121" s="110" t="b">
        <f>IF(Audit[[#This Row],[Status - Continue or stop audit]] = "Continue", TRUE, IF(AN1120 = "Continue", TRUE, FALSE))</f>
        <v>0</v>
      </c>
      <c r="AP1121" s="110"/>
    </row>
    <row r="1122" spans="1:42" ht="15" hidden="1" customHeight="1">
      <c r="A1122" s="111" t="str">
        <f>'Sampling Data'!W1114</f>
        <v/>
      </c>
      <c r="B1122" s="112" t="str">
        <f>'Sampling Data'!A1114</f>
        <v>EUCLID -05-E - ABS</v>
      </c>
      <c r="C1122" s="112">
        <f>'Sampling Data'!B1114</f>
        <v>14</v>
      </c>
      <c r="D1122" s="112">
        <f>'Sampling Data'!C1114</f>
        <v>20</v>
      </c>
      <c r="E1122" s="113">
        <f>'Sampling Data'!D1114</f>
        <v>1</v>
      </c>
      <c r="F1122" s="113">
        <f>'Sampling Data'!E1114</f>
        <v>1</v>
      </c>
      <c r="G1122" s="113">
        <f>'Sampling Data'!F1114</f>
        <v>0</v>
      </c>
      <c r="H1122" s="113">
        <f>'Sampling Data'!G1114</f>
        <v>0</v>
      </c>
      <c r="I1122" s="112">
        <f>'Sampling Data'!H1114</f>
        <v>0</v>
      </c>
      <c r="J1122" s="112">
        <f>'Sampling Data'!I1114</f>
        <v>1</v>
      </c>
      <c r="K1122" s="112">
        <f>'Sampling Data'!J1114</f>
        <v>37</v>
      </c>
      <c r="L1122" s="111">
        <f>'Sampling Data'!X1114</f>
        <v>0</v>
      </c>
      <c r="M1122" s="114"/>
      <c r="N1122" s="114"/>
      <c r="O1122" s="115"/>
      <c r="P1122" s="115"/>
      <c r="Q1122" s="116"/>
      <c r="R1122" s="116"/>
      <c r="S1122" s="111">
        <f>Audit[[#This Row],[Audit Losing Candidate]]-Audit[[#This Row],[Losing Candidate]]</f>
        <v>-14</v>
      </c>
      <c r="T1122" s="111">
        <f>Audit[[#This Row],[Audit Winning Candidate]]-Audit[[#This Row],[Winning Candidate]]</f>
        <v>-20</v>
      </c>
      <c r="U1122" s="111">
        <f>Audit[[#This Row],[Audit Candidate 3]]-Audit[[#This Row],[Candidate 3]]</f>
        <v>-1</v>
      </c>
      <c r="V1122" s="111">
        <f>Audit[[#This Row],[Audit Candidate 4]]-Audit[[#This Row],[Candidate 4]]</f>
        <v>-1</v>
      </c>
      <c r="W1122" s="111">
        <f>Audit[[#This Row],[Audit Candidate 5]]-Audit[[#This Row],[Candidate 5]]</f>
        <v>0</v>
      </c>
      <c r="X1122" s="111">
        <f>Audit[[#This Row],[Audit Candidate 6]]-Audit[[#This Row],[Candidate 6]]</f>
        <v>0</v>
      </c>
      <c r="Y1122" s="111">
        <f>SUMIF(Audit[[#This Row],[Difference Loser]:[Difference Candidate 6]], "&gt;0")</f>
        <v>0</v>
      </c>
      <c r="Z1122" s="111">
        <f>SUM(Audit[[#This Row],[Difference Loser]:[Difference Candidate 6]])</f>
        <v>-36</v>
      </c>
      <c r="AA1122" s="111">
        <f>IF(Audit[[#This Row],[Times p Drawn - With Replacement]]&gt;0, IF(Audit[[#This Row],[Canceled Differences]]&lt;0, Audit[[#This Row],[Max Differences]]+ABS(Audit[[#This Row],[Canceled Differences]]), Audit[[#This Row],[Max Differences]]), 0)</f>
        <v>0</v>
      </c>
      <c r="AB1122" s="111">
        <f>'Sampling Data'!P1114</f>
        <v>2.6335129838314553E-3</v>
      </c>
      <c r="AC1122" s="111">
        <f>IF(
      SUM(Audit[[#This Row],[Audit Losing Candidate]:[Audit Candidate 6]])
      &lt;&gt;0,
      (Audit[[#This Row],[Winning Candidate]]-Audit[[#This Row],[Losing Candidate]]-(Audit[[#This Row],[Audit Winning Candidate]]-Audit[[#This Row],[Audit Losing Candidate]]))/(Audit[[#Totals],[Winning Candidate]]-Audit[[#Totals],[Losing Candidate]]),
      0
)</f>
        <v>0</v>
      </c>
      <c r="AD11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2" s="111">
        <f>IF(Audit[[#This Row],[Max Relative Error (ep)]] = 0, 0, Audit[[#This Row],[Max Relative Error (ep)]]/Audit[[#This Row],[Error Bound (up) - Max. possible relative overstatement]])</f>
        <v>0</v>
      </c>
      <c r="AJ11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22" s="111">
        <f t="shared" si="17"/>
        <v>1</v>
      </c>
      <c r="AL1122" s="111">
        <f>PRODUCT($AK$5:AK1122)</f>
        <v>8.962823818226312E-2</v>
      </c>
      <c r="AM1122" s="109">
        <f>1 - [K-M P Value]</f>
        <v>0.91037176181773694</v>
      </c>
      <c r="AN1122" s="111" t="str">
        <f>IF(Audit[[#This Row],[K-M P Value]]&gt;1-'General Info'!$B$16,"Continue", "Stop")</f>
        <v>Stop</v>
      </c>
      <c r="AO1122" s="110" t="b">
        <f>IF(Audit[[#This Row],[Status - Continue or stop audit]] = "Continue", TRUE, IF(AN1121 = "Continue", TRUE, FALSE))</f>
        <v>0</v>
      </c>
      <c r="AP1122" s="110"/>
    </row>
    <row r="1123" spans="1:42" ht="15" hidden="1" customHeight="1">
      <c r="A1123" s="111" t="str">
        <f>'Sampling Data'!W1115</f>
        <v/>
      </c>
      <c r="B1123" s="112" t="str">
        <f>'Sampling Data'!A1115</f>
        <v>EUCLID -05-F</v>
      </c>
      <c r="C1123" s="112">
        <f>'Sampling Data'!B1115</f>
        <v>14</v>
      </c>
      <c r="D1123" s="112">
        <f>'Sampling Data'!C1115</f>
        <v>26</v>
      </c>
      <c r="E1123" s="113">
        <f>'Sampling Data'!D1115</f>
        <v>4</v>
      </c>
      <c r="F1123" s="113">
        <f>'Sampling Data'!E1115</f>
        <v>9</v>
      </c>
      <c r="G1123" s="113">
        <f>'Sampling Data'!F1115</f>
        <v>0</v>
      </c>
      <c r="H1123" s="113">
        <f>'Sampling Data'!G1115</f>
        <v>0</v>
      </c>
      <c r="I1123" s="112">
        <f>'Sampling Data'!H1115</f>
        <v>0</v>
      </c>
      <c r="J1123" s="112">
        <f>'Sampling Data'!I1115</f>
        <v>1</v>
      </c>
      <c r="K1123" s="112">
        <f>'Sampling Data'!J1115</f>
        <v>54</v>
      </c>
      <c r="L1123" s="111">
        <f>'Sampling Data'!X1115</f>
        <v>0</v>
      </c>
      <c r="M1123" s="114"/>
      <c r="N1123" s="114"/>
      <c r="O1123" s="115"/>
      <c r="P1123" s="115"/>
      <c r="Q1123" s="116"/>
      <c r="R1123" s="116"/>
      <c r="S1123" s="111">
        <f>Audit[[#This Row],[Audit Losing Candidate]]-Audit[[#This Row],[Losing Candidate]]</f>
        <v>-14</v>
      </c>
      <c r="T1123" s="111">
        <f>Audit[[#This Row],[Audit Winning Candidate]]-Audit[[#This Row],[Winning Candidate]]</f>
        <v>-26</v>
      </c>
      <c r="U1123" s="111">
        <f>Audit[[#This Row],[Audit Candidate 3]]-Audit[[#This Row],[Candidate 3]]</f>
        <v>-4</v>
      </c>
      <c r="V1123" s="111">
        <f>Audit[[#This Row],[Audit Candidate 4]]-Audit[[#This Row],[Candidate 4]]</f>
        <v>-9</v>
      </c>
      <c r="W1123" s="111">
        <f>Audit[[#This Row],[Audit Candidate 5]]-Audit[[#This Row],[Candidate 5]]</f>
        <v>0</v>
      </c>
      <c r="X1123" s="111">
        <f>Audit[[#This Row],[Audit Candidate 6]]-Audit[[#This Row],[Candidate 6]]</f>
        <v>0</v>
      </c>
      <c r="Y1123" s="111">
        <f>SUMIF(Audit[[#This Row],[Difference Loser]:[Difference Candidate 6]], "&gt;0")</f>
        <v>0</v>
      </c>
      <c r="Z1123" s="111">
        <f>SUM(Audit[[#This Row],[Difference Loser]:[Difference Candidate 6]])</f>
        <v>-53</v>
      </c>
      <c r="AA1123" s="111">
        <f>IF(Audit[[#This Row],[Times p Drawn - With Replacement]]&gt;0, IF(Audit[[#This Row],[Canceled Differences]]&lt;0, Audit[[#This Row],[Max Differences]]+ABS(Audit[[#This Row],[Canceled Differences]]), Audit[[#This Row],[Max Differences]]), 0)</f>
        <v>0</v>
      </c>
      <c r="AB1123" s="111">
        <f>'Sampling Data'!P1115</f>
        <v>4.0421362077413033E-3</v>
      </c>
      <c r="AC1123" s="111">
        <f>IF(
      SUM(Audit[[#This Row],[Audit Losing Candidate]:[Audit Candidate 6]])
      &lt;&gt;0,
      (Audit[[#This Row],[Winning Candidate]]-Audit[[#This Row],[Losing Candidate]]-(Audit[[#This Row],[Audit Winning Candidate]]-Audit[[#This Row],[Audit Losing Candidate]]))/(Audit[[#Totals],[Winning Candidate]]-Audit[[#Totals],[Losing Candidate]]),
      0
)</f>
        <v>0</v>
      </c>
      <c r="AD11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3" s="111">
        <f>IF(Audit[[#This Row],[Max Relative Error (ep)]] = 0, 0, Audit[[#This Row],[Max Relative Error (ep)]]/Audit[[#This Row],[Error Bound (up) - Max. possible relative overstatement]])</f>
        <v>0</v>
      </c>
      <c r="AJ11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23" s="111">
        <f t="shared" si="17"/>
        <v>1</v>
      </c>
      <c r="AL1123" s="111">
        <f>PRODUCT($AK$5:AK1123)</f>
        <v>8.962823818226312E-2</v>
      </c>
      <c r="AM1123" s="109">
        <f>1 - [K-M P Value]</f>
        <v>0.91037176181773694</v>
      </c>
      <c r="AN1123" s="111" t="str">
        <f>IF(Audit[[#This Row],[K-M P Value]]&gt;1-'General Info'!$B$16,"Continue", "Stop")</f>
        <v>Stop</v>
      </c>
      <c r="AO1123" s="110" t="b">
        <f>IF(Audit[[#This Row],[Status - Continue or stop audit]] = "Continue", TRUE, IF(AN1122 = "Continue", TRUE, FALSE))</f>
        <v>0</v>
      </c>
      <c r="AP1123" s="110"/>
    </row>
    <row r="1124" spans="1:42" ht="15" hidden="1" customHeight="1">
      <c r="A1124" s="111" t="str">
        <f>'Sampling Data'!W1116</f>
        <v/>
      </c>
      <c r="B1124" s="112" t="str">
        <f>'Sampling Data'!A1116</f>
        <v>EUCLID -05-F - ABS</v>
      </c>
      <c r="C1124" s="112">
        <f>'Sampling Data'!B1116</f>
        <v>5</v>
      </c>
      <c r="D1124" s="112">
        <f>'Sampling Data'!C1116</f>
        <v>9</v>
      </c>
      <c r="E1124" s="113">
        <f>'Sampling Data'!D1116</f>
        <v>0</v>
      </c>
      <c r="F1124" s="113">
        <f>'Sampling Data'!E1116</f>
        <v>2</v>
      </c>
      <c r="G1124" s="113">
        <f>'Sampling Data'!F1116</f>
        <v>1</v>
      </c>
      <c r="H1124" s="113">
        <f>'Sampling Data'!G1116</f>
        <v>0</v>
      </c>
      <c r="I1124" s="112">
        <f>'Sampling Data'!H1116</f>
        <v>0</v>
      </c>
      <c r="J1124" s="112">
        <f>'Sampling Data'!I1116</f>
        <v>0</v>
      </c>
      <c r="K1124" s="112">
        <f>'Sampling Data'!J1116</f>
        <v>17</v>
      </c>
      <c r="L1124" s="111">
        <f>'Sampling Data'!X1116</f>
        <v>0</v>
      </c>
      <c r="M1124" s="114"/>
      <c r="N1124" s="114"/>
      <c r="O1124" s="115"/>
      <c r="P1124" s="115"/>
      <c r="Q1124" s="116"/>
      <c r="R1124" s="116"/>
      <c r="S1124" s="111">
        <f>Audit[[#This Row],[Audit Losing Candidate]]-Audit[[#This Row],[Losing Candidate]]</f>
        <v>-5</v>
      </c>
      <c r="T1124" s="111">
        <f>Audit[[#This Row],[Audit Winning Candidate]]-Audit[[#This Row],[Winning Candidate]]</f>
        <v>-9</v>
      </c>
      <c r="U1124" s="111">
        <f>Audit[[#This Row],[Audit Candidate 3]]-Audit[[#This Row],[Candidate 3]]</f>
        <v>0</v>
      </c>
      <c r="V1124" s="111">
        <f>Audit[[#This Row],[Audit Candidate 4]]-Audit[[#This Row],[Candidate 4]]</f>
        <v>-2</v>
      </c>
      <c r="W1124" s="111">
        <f>Audit[[#This Row],[Audit Candidate 5]]-Audit[[#This Row],[Candidate 5]]</f>
        <v>-1</v>
      </c>
      <c r="X1124" s="111">
        <f>Audit[[#This Row],[Audit Candidate 6]]-Audit[[#This Row],[Candidate 6]]</f>
        <v>0</v>
      </c>
      <c r="Y1124" s="111">
        <f>SUMIF(Audit[[#This Row],[Difference Loser]:[Difference Candidate 6]], "&gt;0")</f>
        <v>0</v>
      </c>
      <c r="Z1124" s="111">
        <f>SUM(Audit[[#This Row],[Difference Loser]:[Difference Candidate 6]])</f>
        <v>-17</v>
      </c>
      <c r="AA1124" s="111">
        <f>IF(Audit[[#This Row],[Times p Drawn - With Replacement]]&gt;0, IF(Audit[[#This Row],[Canceled Differences]]&lt;0, Audit[[#This Row],[Max Differences]]+ABS(Audit[[#This Row],[Canceled Differences]]), Audit[[#This Row],[Max Differences]]), 0)</f>
        <v>0</v>
      </c>
      <c r="AB1124" s="111">
        <f>'Sampling Data'!P1116</f>
        <v>1.2861342479176874E-3</v>
      </c>
      <c r="AC1124" s="111">
        <f>IF(
      SUM(Audit[[#This Row],[Audit Losing Candidate]:[Audit Candidate 6]])
      &lt;&gt;0,
      (Audit[[#This Row],[Winning Candidate]]-Audit[[#This Row],[Losing Candidate]]-(Audit[[#This Row],[Audit Winning Candidate]]-Audit[[#This Row],[Audit Losing Candidate]]))/(Audit[[#Totals],[Winning Candidate]]-Audit[[#Totals],[Losing Candidate]]),
      0
)</f>
        <v>0</v>
      </c>
      <c r="AD11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4" s="111">
        <f>IF(Audit[[#This Row],[Max Relative Error (ep)]] = 0, 0, Audit[[#This Row],[Max Relative Error (ep)]]/Audit[[#This Row],[Error Bound (up) - Max. possible relative overstatement]])</f>
        <v>0</v>
      </c>
      <c r="AJ11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24" s="111">
        <f t="shared" si="17"/>
        <v>1</v>
      </c>
      <c r="AL1124" s="111">
        <f>PRODUCT($AK$5:AK1124)</f>
        <v>8.962823818226312E-2</v>
      </c>
      <c r="AM1124" s="109">
        <f>1 - [K-M P Value]</f>
        <v>0.91037176181773694</v>
      </c>
      <c r="AN1124" s="111" t="str">
        <f>IF(Audit[[#This Row],[K-M P Value]]&gt;1-'General Info'!$B$16,"Continue", "Stop")</f>
        <v>Stop</v>
      </c>
      <c r="AO1124" s="110" t="b">
        <f>IF(Audit[[#This Row],[Status - Continue or stop audit]] = "Continue", TRUE, IF(AN1123 = "Continue", TRUE, FALSE))</f>
        <v>0</v>
      </c>
      <c r="AP1124" s="110"/>
    </row>
    <row r="1125" spans="1:42" ht="15" hidden="1" customHeight="1">
      <c r="A1125" s="111" t="str">
        <f>'Sampling Data'!W1117</f>
        <v/>
      </c>
      <c r="B1125" s="112" t="str">
        <f>'Sampling Data'!A1117</f>
        <v>EUCLID -06-A</v>
      </c>
      <c r="C1125" s="112">
        <f>'Sampling Data'!B1117</f>
        <v>22</v>
      </c>
      <c r="D1125" s="112">
        <f>'Sampling Data'!C1117</f>
        <v>28</v>
      </c>
      <c r="E1125" s="113">
        <f>'Sampling Data'!D1117</f>
        <v>12</v>
      </c>
      <c r="F1125" s="113">
        <f>'Sampling Data'!E1117</f>
        <v>5</v>
      </c>
      <c r="G1125" s="113">
        <f>'Sampling Data'!F1117</f>
        <v>0</v>
      </c>
      <c r="H1125" s="113">
        <f>'Sampling Data'!G1117</f>
        <v>0</v>
      </c>
      <c r="I1125" s="112">
        <f>'Sampling Data'!H1117</f>
        <v>0</v>
      </c>
      <c r="J1125" s="112">
        <f>'Sampling Data'!I1117</f>
        <v>0</v>
      </c>
      <c r="K1125" s="112">
        <f>'Sampling Data'!J1117</f>
        <v>67</v>
      </c>
      <c r="L1125" s="111">
        <f>'Sampling Data'!X1117</f>
        <v>0</v>
      </c>
      <c r="M1125" s="114"/>
      <c r="N1125" s="114"/>
      <c r="O1125" s="115"/>
      <c r="P1125" s="115"/>
      <c r="Q1125" s="116"/>
      <c r="R1125" s="116"/>
      <c r="S1125" s="111">
        <f>Audit[[#This Row],[Audit Losing Candidate]]-Audit[[#This Row],[Losing Candidate]]</f>
        <v>-22</v>
      </c>
      <c r="T1125" s="111">
        <f>Audit[[#This Row],[Audit Winning Candidate]]-Audit[[#This Row],[Winning Candidate]]</f>
        <v>-28</v>
      </c>
      <c r="U1125" s="111">
        <f>Audit[[#This Row],[Audit Candidate 3]]-Audit[[#This Row],[Candidate 3]]</f>
        <v>-12</v>
      </c>
      <c r="V1125" s="111">
        <f>Audit[[#This Row],[Audit Candidate 4]]-Audit[[#This Row],[Candidate 4]]</f>
        <v>-5</v>
      </c>
      <c r="W1125" s="111">
        <f>Audit[[#This Row],[Audit Candidate 5]]-Audit[[#This Row],[Candidate 5]]</f>
        <v>0</v>
      </c>
      <c r="X1125" s="111">
        <f>Audit[[#This Row],[Audit Candidate 6]]-Audit[[#This Row],[Candidate 6]]</f>
        <v>0</v>
      </c>
      <c r="Y1125" s="111">
        <f>SUMIF(Audit[[#This Row],[Difference Loser]:[Difference Candidate 6]], "&gt;0")</f>
        <v>0</v>
      </c>
      <c r="Z1125" s="111">
        <f>SUM(Audit[[#This Row],[Difference Loser]:[Difference Candidate 6]])</f>
        <v>-67</v>
      </c>
      <c r="AA1125" s="111">
        <f>IF(Audit[[#This Row],[Times p Drawn - With Replacement]]&gt;0, IF(Audit[[#This Row],[Canceled Differences]]&lt;0, Audit[[#This Row],[Max Differences]]+ABS(Audit[[#This Row],[Canceled Differences]]), Audit[[#This Row],[Max Differences]]), 0)</f>
        <v>0</v>
      </c>
      <c r="AB1125" s="111">
        <f>'Sampling Data'!P1117</f>
        <v>4.4708476237138662E-3</v>
      </c>
      <c r="AC1125" s="111">
        <f>IF(
      SUM(Audit[[#This Row],[Audit Losing Candidate]:[Audit Candidate 6]])
      &lt;&gt;0,
      (Audit[[#This Row],[Winning Candidate]]-Audit[[#This Row],[Losing Candidate]]-(Audit[[#This Row],[Audit Winning Candidate]]-Audit[[#This Row],[Audit Losing Candidate]]))/(Audit[[#Totals],[Winning Candidate]]-Audit[[#Totals],[Losing Candidate]]),
      0
)</f>
        <v>0</v>
      </c>
      <c r="AD11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5" s="111">
        <f>IF(Audit[[#This Row],[Max Relative Error (ep)]] = 0, 0, Audit[[#This Row],[Max Relative Error (ep)]]/Audit[[#This Row],[Error Bound (up) - Max. possible relative overstatement]])</f>
        <v>0</v>
      </c>
      <c r="AJ11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25" s="111">
        <f t="shared" si="17"/>
        <v>1</v>
      </c>
      <c r="AL1125" s="111">
        <f>PRODUCT($AK$5:AK1125)</f>
        <v>8.962823818226312E-2</v>
      </c>
      <c r="AM1125" s="109">
        <f>1 - [K-M P Value]</f>
        <v>0.91037176181773694</v>
      </c>
      <c r="AN1125" s="111" t="str">
        <f>IF(Audit[[#This Row],[K-M P Value]]&gt;1-'General Info'!$B$16,"Continue", "Stop")</f>
        <v>Stop</v>
      </c>
      <c r="AO1125" s="110" t="b">
        <f>IF(Audit[[#This Row],[Status - Continue or stop audit]] = "Continue", TRUE, IF(AN1124 = "Continue", TRUE, FALSE))</f>
        <v>0</v>
      </c>
      <c r="AP1125" s="110"/>
    </row>
    <row r="1126" spans="1:42" ht="15" hidden="1" customHeight="1">
      <c r="A1126" s="111" t="str">
        <f>'Sampling Data'!W1118</f>
        <v/>
      </c>
      <c r="B1126" s="112" t="str">
        <f>'Sampling Data'!A1118</f>
        <v>EUCLID -06-A - ABS</v>
      </c>
      <c r="C1126" s="112">
        <f>'Sampling Data'!B1118</f>
        <v>5</v>
      </c>
      <c r="D1126" s="112">
        <f>'Sampling Data'!C1118</f>
        <v>15</v>
      </c>
      <c r="E1126" s="113">
        <f>'Sampling Data'!D1118</f>
        <v>7</v>
      </c>
      <c r="F1126" s="113">
        <f>'Sampling Data'!E1118</f>
        <v>4</v>
      </c>
      <c r="G1126" s="113">
        <f>'Sampling Data'!F1118</f>
        <v>0</v>
      </c>
      <c r="H1126" s="113">
        <f>'Sampling Data'!G1118</f>
        <v>0</v>
      </c>
      <c r="I1126" s="112">
        <f>'Sampling Data'!H1118</f>
        <v>0</v>
      </c>
      <c r="J1126" s="112">
        <f>'Sampling Data'!I1118</f>
        <v>1</v>
      </c>
      <c r="K1126" s="112">
        <f>'Sampling Data'!J1118</f>
        <v>32</v>
      </c>
      <c r="L1126" s="111">
        <f>'Sampling Data'!X1118</f>
        <v>0</v>
      </c>
      <c r="M1126" s="114"/>
      <c r="N1126" s="114"/>
      <c r="O1126" s="115"/>
      <c r="P1126" s="115"/>
      <c r="Q1126" s="116"/>
      <c r="R1126" s="116"/>
      <c r="S1126" s="111">
        <f>Audit[[#This Row],[Audit Losing Candidate]]-Audit[[#This Row],[Losing Candidate]]</f>
        <v>-5</v>
      </c>
      <c r="T1126" s="111">
        <f>Audit[[#This Row],[Audit Winning Candidate]]-Audit[[#This Row],[Winning Candidate]]</f>
        <v>-15</v>
      </c>
      <c r="U1126" s="111">
        <f>Audit[[#This Row],[Audit Candidate 3]]-Audit[[#This Row],[Candidate 3]]</f>
        <v>-7</v>
      </c>
      <c r="V1126" s="111">
        <f>Audit[[#This Row],[Audit Candidate 4]]-Audit[[#This Row],[Candidate 4]]</f>
        <v>-4</v>
      </c>
      <c r="W1126" s="111">
        <f>Audit[[#This Row],[Audit Candidate 5]]-Audit[[#This Row],[Candidate 5]]</f>
        <v>0</v>
      </c>
      <c r="X1126" s="111">
        <f>Audit[[#This Row],[Audit Candidate 6]]-Audit[[#This Row],[Candidate 6]]</f>
        <v>0</v>
      </c>
      <c r="Y1126" s="111">
        <f>SUMIF(Audit[[#This Row],[Difference Loser]:[Difference Candidate 6]], "&gt;0")</f>
        <v>0</v>
      </c>
      <c r="Z1126" s="111">
        <f>SUM(Audit[[#This Row],[Difference Loser]:[Difference Candidate 6]])</f>
        <v>-31</v>
      </c>
      <c r="AA1126" s="111">
        <f>IF(Audit[[#This Row],[Times p Drawn - With Replacement]]&gt;0, IF(Audit[[#This Row],[Canceled Differences]]&lt;0, Audit[[#This Row],[Max Differences]]+ABS(Audit[[#This Row],[Canceled Differences]]), Audit[[#This Row],[Max Differences]]), 0)</f>
        <v>0</v>
      </c>
      <c r="AB1126" s="111">
        <f>'Sampling Data'!P1118</f>
        <v>2.5722684958353749E-3</v>
      </c>
      <c r="AC1126" s="111">
        <f>IF(
      SUM(Audit[[#This Row],[Audit Losing Candidate]:[Audit Candidate 6]])
      &lt;&gt;0,
      (Audit[[#This Row],[Winning Candidate]]-Audit[[#This Row],[Losing Candidate]]-(Audit[[#This Row],[Audit Winning Candidate]]-Audit[[#This Row],[Audit Losing Candidate]]))/(Audit[[#Totals],[Winning Candidate]]-Audit[[#Totals],[Losing Candidate]]),
      0
)</f>
        <v>0</v>
      </c>
      <c r="AD11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6" s="111">
        <f>IF(Audit[[#This Row],[Max Relative Error (ep)]] = 0, 0, Audit[[#This Row],[Max Relative Error (ep)]]/Audit[[#This Row],[Error Bound (up) - Max. possible relative overstatement]])</f>
        <v>0</v>
      </c>
      <c r="AJ11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26" s="111">
        <f t="shared" si="17"/>
        <v>1</v>
      </c>
      <c r="AL1126" s="111">
        <f>PRODUCT($AK$5:AK1126)</f>
        <v>8.962823818226312E-2</v>
      </c>
      <c r="AM1126" s="109">
        <f>1 - [K-M P Value]</f>
        <v>0.91037176181773694</v>
      </c>
      <c r="AN1126" s="111" t="str">
        <f>IF(Audit[[#This Row],[K-M P Value]]&gt;1-'General Info'!$B$16,"Continue", "Stop")</f>
        <v>Stop</v>
      </c>
      <c r="AO1126" s="110" t="b">
        <f>IF(Audit[[#This Row],[Status - Continue or stop audit]] = "Continue", TRUE, IF(AN1125 = "Continue", TRUE, FALSE))</f>
        <v>0</v>
      </c>
      <c r="AP1126" s="110"/>
    </row>
    <row r="1127" spans="1:42" ht="15" hidden="1" customHeight="1">
      <c r="A1127" s="111" t="str">
        <f>'Sampling Data'!W1119</f>
        <v/>
      </c>
      <c r="B1127" s="112" t="str">
        <f>'Sampling Data'!A1119</f>
        <v>EUCLID -06-B</v>
      </c>
      <c r="C1127" s="112">
        <f>'Sampling Data'!B1119</f>
        <v>19</v>
      </c>
      <c r="D1127" s="112">
        <f>'Sampling Data'!C1119</f>
        <v>27</v>
      </c>
      <c r="E1127" s="113">
        <f>'Sampling Data'!D1119</f>
        <v>10</v>
      </c>
      <c r="F1127" s="113">
        <f>'Sampling Data'!E1119</f>
        <v>12</v>
      </c>
      <c r="G1127" s="113">
        <f>'Sampling Data'!F1119</f>
        <v>0</v>
      </c>
      <c r="H1127" s="113">
        <f>'Sampling Data'!G1119</f>
        <v>0</v>
      </c>
      <c r="I1127" s="112">
        <f>'Sampling Data'!H1119</f>
        <v>0</v>
      </c>
      <c r="J1127" s="112">
        <f>'Sampling Data'!I1119</f>
        <v>0</v>
      </c>
      <c r="K1127" s="112">
        <f>'Sampling Data'!J1119</f>
        <v>68</v>
      </c>
      <c r="L1127" s="111">
        <f>'Sampling Data'!X1119</f>
        <v>0</v>
      </c>
      <c r="M1127" s="114"/>
      <c r="N1127" s="114"/>
      <c r="O1127" s="115"/>
      <c r="P1127" s="115"/>
      <c r="Q1127" s="116"/>
      <c r="R1127" s="116"/>
      <c r="S1127" s="111">
        <f>Audit[[#This Row],[Audit Losing Candidate]]-Audit[[#This Row],[Losing Candidate]]</f>
        <v>-19</v>
      </c>
      <c r="T1127" s="111">
        <f>Audit[[#This Row],[Audit Winning Candidate]]-Audit[[#This Row],[Winning Candidate]]</f>
        <v>-27</v>
      </c>
      <c r="U1127" s="111">
        <f>Audit[[#This Row],[Audit Candidate 3]]-Audit[[#This Row],[Candidate 3]]</f>
        <v>-10</v>
      </c>
      <c r="V1127" s="111">
        <f>Audit[[#This Row],[Audit Candidate 4]]-Audit[[#This Row],[Candidate 4]]</f>
        <v>-12</v>
      </c>
      <c r="W1127" s="111">
        <f>Audit[[#This Row],[Audit Candidate 5]]-Audit[[#This Row],[Candidate 5]]</f>
        <v>0</v>
      </c>
      <c r="X1127" s="111">
        <f>Audit[[#This Row],[Audit Candidate 6]]-Audit[[#This Row],[Candidate 6]]</f>
        <v>0</v>
      </c>
      <c r="Y1127" s="111">
        <f>SUMIF(Audit[[#This Row],[Difference Loser]:[Difference Candidate 6]], "&gt;0")</f>
        <v>0</v>
      </c>
      <c r="Z1127" s="111">
        <f>SUM(Audit[[#This Row],[Difference Loser]:[Difference Candidate 6]])</f>
        <v>-68</v>
      </c>
      <c r="AA1127" s="111">
        <f>IF(Audit[[#This Row],[Times p Drawn - With Replacement]]&gt;0, IF(Audit[[#This Row],[Canceled Differences]]&lt;0, Audit[[#This Row],[Max Differences]]+ABS(Audit[[#This Row],[Canceled Differences]]), Audit[[#This Row],[Max Differences]]), 0)</f>
        <v>0</v>
      </c>
      <c r="AB1127" s="111">
        <f>'Sampling Data'!P1119</f>
        <v>4.6545810877021065E-3</v>
      </c>
      <c r="AC1127" s="111">
        <f>IF(
      SUM(Audit[[#This Row],[Audit Losing Candidate]:[Audit Candidate 6]])
      &lt;&gt;0,
      (Audit[[#This Row],[Winning Candidate]]-Audit[[#This Row],[Losing Candidate]]-(Audit[[#This Row],[Audit Winning Candidate]]-Audit[[#This Row],[Audit Losing Candidate]]))/(Audit[[#Totals],[Winning Candidate]]-Audit[[#Totals],[Losing Candidate]]),
      0
)</f>
        <v>0</v>
      </c>
      <c r="AD11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7" s="111">
        <f>IF(Audit[[#This Row],[Max Relative Error (ep)]] = 0, 0, Audit[[#This Row],[Max Relative Error (ep)]]/Audit[[#This Row],[Error Bound (up) - Max. possible relative overstatement]])</f>
        <v>0</v>
      </c>
      <c r="AJ11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27" s="111">
        <f t="shared" si="17"/>
        <v>1</v>
      </c>
      <c r="AL1127" s="111">
        <f>PRODUCT($AK$5:AK1127)</f>
        <v>8.962823818226312E-2</v>
      </c>
      <c r="AM1127" s="109">
        <f>1 - [K-M P Value]</f>
        <v>0.91037176181773694</v>
      </c>
      <c r="AN1127" s="111" t="str">
        <f>IF(Audit[[#This Row],[K-M P Value]]&gt;1-'General Info'!$B$16,"Continue", "Stop")</f>
        <v>Stop</v>
      </c>
      <c r="AO1127" s="110" t="b">
        <f>IF(Audit[[#This Row],[Status - Continue or stop audit]] = "Continue", TRUE, IF(AN1126 = "Continue", TRUE, FALSE))</f>
        <v>0</v>
      </c>
      <c r="AP1127" s="110"/>
    </row>
    <row r="1128" spans="1:42" ht="15" hidden="1" customHeight="1">
      <c r="A1128" s="111" t="str">
        <f>'Sampling Data'!W1120</f>
        <v/>
      </c>
      <c r="B1128" s="112" t="str">
        <f>'Sampling Data'!A1120</f>
        <v>EUCLID -06-B - ABS</v>
      </c>
      <c r="C1128" s="112">
        <f>'Sampling Data'!B1120</f>
        <v>15</v>
      </c>
      <c r="D1128" s="112">
        <f>'Sampling Data'!C1120</f>
        <v>11</v>
      </c>
      <c r="E1128" s="113">
        <f>'Sampling Data'!D1120</f>
        <v>2</v>
      </c>
      <c r="F1128" s="113">
        <f>'Sampling Data'!E1120</f>
        <v>0</v>
      </c>
      <c r="G1128" s="113">
        <f>'Sampling Data'!F1120</f>
        <v>0</v>
      </c>
      <c r="H1128" s="113">
        <f>'Sampling Data'!G1120</f>
        <v>0</v>
      </c>
      <c r="I1128" s="112">
        <f>'Sampling Data'!H1120</f>
        <v>0</v>
      </c>
      <c r="J1128" s="112">
        <f>'Sampling Data'!I1120</f>
        <v>0</v>
      </c>
      <c r="K1128" s="112">
        <f>'Sampling Data'!J1120</f>
        <v>28</v>
      </c>
      <c r="L1128" s="111">
        <f>'Sampling Data'!X1120</f>
        <v>0</v>
      </c>
      <c r="M1128" s="114"/>
      <c r="N1128" s="114"/>
      <c r="O1128" s="115"/>
      <c r="P1128" s="115"/>
      <c r="Q1128" s="116"/>
      <c r="R1128" s="116"/>
      <c r="S1128" s="111">
        <f>Audit[[#This Row],[Audit Losing Candidate]]-Audit[[#This Row],[Losing Candidate]]</f>
        <v>-15</v>
      </c>
      <c r="T1128" s="111">
        <f>Audit[[#This Row],[Audit Winning Candidate]]-Audit[[#This Row],[Winning Candidate]]</f>
        <v>-11</v>
      </c>
      <c r="U1128" s="111">
        <f>Audit[[#This Row],[Audit Candidate 3]]-Audit[[#This Row],[Candidate 3]]</f>
        <v>-2</v>
      </c>
      <c r="V1128" s="111">
        <f>Audit[[#This Row],[Audit Candidate 4]]-Audit[[#This Row],[Candidate 4]]</f>
        <v>0</v>
      </c>
      <c r="W1128" s="111">
        <f>Audit[[#This Row],[Audit Candidate 5]]-Audit[[#This Row],[Candidate 5]]</f>
        <v>0</v>
      </c>
      <c r="X1128" s="111">
        <f>Audit[[#This Row],[Audit Candidate 6]]-Audit[[#This Row],[Candidate 6]]</f>
        <v>0</v>
      </c>
      <c r="Y1128" s="111">
        <f>SUMIF(Audit[[#This Row],[Difference Loser]:[Difference Candidate 6]], "&gt;0")</f>
        <v>0</v>
      </c>
      <c r="Z1128" s="111">
        <f>SUM(Audit[[#This Row],[Difference Loser]:[Difference Candidate 6]])</f>
        <v>-28</v>
      </c>
      <c r="AA1128" s="111">
        <f>IF(Audit[[#This Row],[Times p Drawn - With Replacement]]&gt;0, IF(Audit[[#This Row],[Canceled Differences]]&lt;0, Audit[[#This Row],[Max Differences]]+ABS(Audit[[#This Row],[Canceled Differences]]), Audit[[#This Row],[Max Differences]]), 0)</f>
        <v>0</v>
      </c>
      <c r="AB1128" s="111">
        <f>'Sampling Data'!P1120</f>
        <v>1.4698677119059284E-3</v>
      </c>
      <c r="AC1128" s="111">
        <f>IF(
      SUM(Audit[[#This Row],[Audit Losing Candidate]:[Audit Candidate 6]])
      &lt;&gt;0,
      (Audit[[#This Row],[Winning Candidate]]-Audit[[#This Row],[Losing Candidate]]-(Audit[[#This Row],[Audit Winning Candidate]]-Audit[[#This Row],[Audit Losing Candidate]]))/(Audit[[#Totals],[Winning Candidate]]-Audit[[#Totals],[Losing Candidate]]),
      0
)</f>
        <v>0</v>
      </c>
      <c r="AD11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8" s="111">
        <f>IF(Audit[[#This Row],[Max Relative Error (ep)]] = 0, 0, Audit[[#This Row],[Max Relative Error (ep)]]/Audit[[#This Row],[Error Bound (up) - Max. possible relative overstatement]])</f>
        <v>0</v>
      </c>
      <c r="AJ11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28" s="111">
        <f t="shared" si="17"/>
        <v>1</v>
      </c>
      <c r="AL1128" s="111">
        <f>PRODUCT($AK$5:AK1128)</f>
        <v>8.962823818226312E-2</v>
      </c>
      <c r="AM1128" s="109">
        <f>1 - [K-M P Value]</f>
        <v>0.91037176181773694</v>
      </c>
      <c r="AN1128" s="111" t="str">
        <f>IF(Audit[[#This Row],[K-M P Value]]&gt;1-'General Info'!$B$16,"Continue", "Stop")</f>
        <v>Stop</v>
      </c>
      <c r="AO1128" s="110" t="b">
        <f>IF(Audit[[#This Row],[Status - Continue or stop audit]] = "Continue", TRUE, IF(AN1127 = "Continue", TRUE, FALSE))</f>
        <v>0</v>
      </c>
      <c r="AP1128" s="110"/>
    </row>
    <row r="1129" spans="1:42" ht="15" hidden="1" customHeight="1">
      <c r="A1129" s="111" t="str">
        <f>'Sampling Data'!W1121</f>
        <v/>
      </c>
      <c r="B1129" s="112" t="str">
        <f>'Sampling Data'!A1121</f>
        <v>EUCLID -06-C</v>
      </c>
      <c r="C1129" s="112">
        <f>'Sampling Data'!B1121</f>
        <v>16</v>
      </c>
      <c r="D1129" s="112">
        <f>'Sampling Data'!C1121</f>
        <v>13</v>
      </c>
      <c r="E1129" s="113">
        <f>'Sampling Data'!D1121</f>
        <v>5</v>
      </c>
      <c r="F1129" s="113">
        <f>'Sampling Data'!E1121</f>
        <v>4</v>
      </c>
      <c r="G1129" s="113">
        <f>'Sampling Data'!F1121</f>
        <v>1</v>
      </c>
      <c r="H1129" s="113">
        <f>'Sampling Data'!G1121</f>
        <v>0</v>
      </c>
      <c r="I1129" s="112">
        <f>'Sampling Data'!H1121</f>
        <v>0</v>
      </c>
      <c r="J1129" s="112">
        <f>'Sampling Data'!I1121</f>
        <v>0</v>
      </c>
      <c r="K1129" s="112">
        <f>'Sampling Data'!J1121</f>
        <v>39</v>
      </c>
      <c r="L1129" s="111">
        <f>'Sampling Data'!X1121</f>
        <v>0</v>
      </c>
      <c r="M1129" s="114"/>
      <c r="N1129" s="114"/>
      <c r="O1129" s="115"/>
      <c r="P1129" s="115"/>
      <c r="Q1129" s="116"/>
      <c r="R1129" s="116"/>
      <c r="S1129" s="111">
        <f>Audit[[#This Row],[Audit Losing Candidate]]-Audit[[#This Row],[Losing Candidate]]</f>
        <v>-16</v>
      </c>
      <c r="T1129" s="111">
        <f>Audit[[#This Row],[Audit Winning Candidate]]-Audit[[#This Row],[Winning Candidate]]</f>
        <v>-13</v>
      </c>
      <c r="U1129" s="111">
        <f>Audit[[#This Row],[Audit Candidate 3]]-Audit[[#This Row],[Candidate 3]]</f>
        <v>-5</v>
      </c>
      <c r="V1129" s="111">
        <f>Audit[[#This Row],[Audit Candidate 4]]-Audit[[#This Row],[Candidate 4]]</f>
        <v>-4</v>
      </c>
      <c r="W1129" s="111">
        <f>Audit[[#This Row],[Audit Candidate 5]]-Audit[[#This Row],[Candidate 5]]</f>
        <v>-1</v>
      </c>
      <c r="X1129" s="111">
        <f>Audit[[#This Row],[Audit Candidate 6]]-Audit[[#This Row],[Candidate 6]]</f>
        <v>0</v>
      </c>
      <c r="Y1129" s="111">
        <f>SUMIF(Audit[[#This Row],[Difference Loser]:[Difference Candidate 6]], "&gt;0")</f>
        <v>0</v>
      </c>
      <c r="Z1129" s="111">
        <f>SUM(Audit[[#This Row],[Difference Loser]:[Difference Candidate 6]])</f>
        <v>-39</v>
      </c>
      <c r="AA1129" s="111">
        <f>IF(Audit[[#This Row],[Times p Drawn - With Replacement]]&gt;0, IF(Audit[[#This Row],[Canceled Differences]]&lt;0, Audit[[#This Row],[Max Differences]]+ABS(Audit[[#This Row],[Canceled Differences]]), Audit[[#This Row],[Max Differences]]), 0)</f>
        <v>0</v>
      </c>
      <c r="AB1129" s="111">
        <f>'Sampling Data'!P1121</f>
        <v>2.2048015678588929E-3</v>
      </c>
      <c r="AC1129" s="111">
        <f>IF(
      SUM(Audit[[#This Row],[Audit Losing Candidate]:[Audit Candidate 6]])
      &lt;&gt;0,
      (Audit[[#This Row],[Winning Candidate]]-Audit[[#This Row],[Losing Candidate]]-(Audit[[#This Row],[Audit Winning Candidate]]-Audit[[#This Row],[Audit Losing Candidate]]))/(Audit[[#Totals],[Winning Candidate]]-Audit[[#Totals],[Losing Candidate]]),
      0
)</f>
        <v>0</v>
      </c>
      <c r="AD11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9" s="111">
        <f>IF(Audit[[#This Row],[Max Relative Error (ep)]] = 0, 0, Audit[[#This Row],[Max Relative Error (ep)]]/Audit[[#This Row],[Error Bound (up) - Max. possible relative overstatement]])</f>
        <v>0</v>
      </c>
      <c r="AJ11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29" s="111">
        <f t="shared" si="17"/>
        <v>1</v>
      </c>
      <c r="AL1129" s="111">
        <f>PRODUCT($AK$5:AK1129)</f>
        <v>8.962823818226312E-2</v>
      </c>
      <c r="AM1129" s="109">
        <f>1 - [K-M P Value]</f>
        <v>0.91037176181773694</v>
      </c>
      <c r="AN1129" s="111" t="str">
        <f>IF(Audit[[#This Row],[K-M P Value]]&gt;1-'General Info'!$B$16,"Continue", "Stop")</f>
        <v>Stop</v>
      </c>
      <c r="AO1129" s="110" t="b">
        <f>IF(Audit[[#This Row],[Status - Continue or stop audit]] = "Continue", TRUE, IF(AN1128 = "Continue", TRUE, FALSE))</f>
        <v>0</v>
      </c>
      <c r="AP1129" s="110"/>
    </row>
    <row r="1130" spans="1:42" ht="15" hidden="1" customHeight="1">
      <c r="A1130" s="111" t="str">
        <f>'Sampling Data'!W1122</f>
        <v/>
      </c>
      <c r="B1130" s="112" t="str">
        <f>'Sampling Data'!A1122</f>
        <v>EUCLID -06-C - ABS</v>
      </c>
      <c r="C1130" s="112">
        <f>'Sampling Data'!B1122</f>
        <v>6</v>
      </c>
      <c r="D1130" s="112">
        <f>'Sampling Data'!C1122</f>
        <v>2</v>
      </c>
      <c r="E1130" s="113">
        <f>'Sampling Data'!D1122</f>
        <v>2</v>
      </c>
      <c r="F1130" s="113">
        <f>'Sampling Data'!E1122</f>
        <v>0</v>
      </c>
      <c r="G1130" s="113">
        <f>'Sampling Data'!F1122</f>
        <v>0</v>
      </c>
      <c r="H1130" s="113">
        <f>'Sampling Data'!G1122</f>
        <v>0</v>
      </c>
      <c r="I1130" s="112">
        <f>'Sampling Data'!H1122</f>
        <v>0</v>
      </c>
      <c r="J1130" s="112">
        <f>'Sampling Data'!I1122</f>
        <v>0</v>
      </c>
      <c r="K1130" s="112">
        <f>'Sampling Data'!J1122</f>
        <v>10</v>
      </c>
      <c r="L1130" s="111">
        <f>'Sampling Data'!X1122</f>
        <v>0</v>
      </c>
      <c r="M1130" s="114"/>
      <c r="N1130" s="114"/>
      <c r="O1130" s="115"/>
      <c r="P1130" s="115"/>
      <c r="Q1130" s="116"/>
      <c r="R1130" s="116"/>
      <c r="S1130" s="111">
        <f>Audit[[#This Row],[Audit Losing Candidate]]-Audit[[#This Row],[Losing Candidate]]</f>
        <v>-6</v>
      </c>
      <c r="T1130" s="111">
        <f>Audit[[#This Row],[Audit Winning Candidate]]-Audit[[#This Row],[Winning Candidate]]</f>
        <v>-2</v>
      </c>
      <c r="U1130" s="111">
        <f>Audit[[#This Row],[Audit Candidate 3]]-Audit[[#This Row],[Candidate 3]]</f>
        <v>-2</v>
      </c>
      <c r="V1130" s="111">
        <f>Audit[[#This Row],[Audit Candidate 4]]-Audit[[#This Row],[Candidate 4]]</f>
        <v>0</v>
      </c>
      <c r="W1130" s="111">
        <f>Audit[[#This Row],[Audit Candidate 5]]-Audit[[#This Row],[Candidate 5]]</f>
        <v>0</v>
      </c>
      <c r="X1130" s="111">
        <f>Audit[[#This Row],[Audit Candidate 6]]-Audit[[#This Row],[Candidate 6]]</f>
        <v>0</v>
      </c>
      <c r="Y1130" s="111">
        <f>SUMIF(Audit[[#This Row],[Difference Loser]:[Difference Candidate 6]], "&gt;0")</f>
        <v>0</v>
      </c>
      <c r="Z1130" s="111">
        <f>SUM(Audit[[#This Row],[Difference Loser]:[Difference Candidate 6]])</f>
        <v>-10</v>
      </c>
      <c r="AA1130" s="111">
        <f>IF(Audit[[#This Row],[Times p Drawn - With Replacement]]&gt;0, IF(Audit[[#This Row],[Canceled Differences]]&lt;0, Audit[[#This Row],[Max Differences]]+ABS(Audit[[#This Row],[Canceled Differences]]), Audit[[#This Row],[Max Differences]]), 0)</f>
        <v>0</v>
      </c>
      <c r="AB1130" s="111">
        <f>'Sampling Data'!P1122</f>
        <v>3.6746692797648211E-4</v>
      </c>
      <c r="AC1130" s="111">
        <f>IF(
      SUM(Audit[[#This Row],[Audit Losing Candidate]:[Audit Candidate 6]])
      &lt;&gt;0,
      (Audit[[#This Row],[Winning Candidate]]-Audit[[#This Row],[Losing Candidate]]-(Audit[[#This Row],[Audit Winning Candidate]]-Audit[[#This Row],[Audit Losing Candidate]]))/(Audit[[#Totals],[Winning Candidate]]-Audit[[#Totals],[Losing Candidate]]),
      0
)</f>
        <v>0</v>
      </c>
      <c r="AD11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0" s="111">
        <f>IF(Audit[[#This Row],[Max Relative Error (ep)]] = 0, 0, Audit[[#This Row],[Max Relative Error (ep)]]/Audit[[#This Row],[Error Bound (up) - Max. possible relative overstatement]])</f>
        <v>0</v>
      </c>
      <c r="AJ11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30" s="111">
        <f t="shared" si="17"/>
        <v>1</v>
      </c>
      <c r="AL1130" s="111">
        <f>PRODUCT($AK$5:AK1130)</f>
        <v>8.962823818226312E-2</v>
      </c>
      <c r="AM1130" s="109">
        <f>1 - [K-M P Value]</f>
        <v>0.91037176181773694</v>
      </c>
      <c r="AN1130" s="111" t="str">
        <f>IF(Audit[[#This Row],[K-M P Value]]&gt;1-'General Info'!$B$16,"Continue", "Stop")</f>
        <v>Stop</v>
      </c>
      <c r="AO1130" s="110" t="b">
        <f>IF(Audit[[#This Row],[Status - Continue or stop audit]] = "Continue", TRUE, IF(AN1129 = "Continue", TRUE, FALSE))</f>
        <v>0</v>
      </c>
      <c r="AP1130" s="110"/>
    </row>
    <row r="1131" spans="1:42" ht="15" hidden="1" customHeight="1">
      <c r="A1131" s="111" t="str">
        <f>'Sampling Data'!W1123</f>
        <v/>
      </c>
      <c r="B1131" s="112" t="str">
        <f>'Sampling Data'!A1123</f>
        <v>EUCLID -06-D</v>
      </c>
      <c r="C1131" s="112">
        <f>'Sampling Data'!B1123</f>
        <v>20</v>
      </c>
      <c r="D1131" s="112">
        <f>'Sampling Data'!C1123</f>
        <v>15</v>
      </c>
      <c r="E1131" s="113">
        <f>'Sampling Data'!D1123</f>
        <v>5</v>
      </c>
      <c r="F1131" s="113">
        <f>'Sampling Data'!E1123</f>
        <v>8</v>
      </c>
      <c r="G1131" s="113">
        <f>'Sampling Data'!F1123</f>
        <v>0</v>
      </c>
      <c r="H1131" s="113">
        <f>'Sampling Data'!G1123</f>
        <v>0</v>
      </c>
      <c r="I1131" s="112">
        <f>'Sampling Data'!H1123</f>
        <v>0</v>
      </c>
      <c r="J1131" s="112">
        <f>'Sampling Data'!I1123</f>
        <v>1</v>
      </c>
      <c r="K1131" s="112">
        <f>'Sampling Data'!J1123</f>
        <v>49</v>
      </c>
      <c r="L1131" s="111">
        <f>'Sampling Data'!X1123</f>
        <v>0</v>
      </c>
      <c r="M1131" s="114"/>
      <c r="N1131" s="114"/>
      <c r="O1131" s="115"/>
      <c r="P1131" s="115"/>
      <c r="Q1131" s="116"/>
      <c r="R1131" s="116"/>
      <c r="S1131" s="111">
        <f>Audit[[#This Row],[Audit Losing Candidate]]-Audit[[#This Row],[Losing Candidate]]</f>
        <v>-20</v>
      </c>
      <c r="T1131" s="111">
        <f>Audit[[#This Row],[Audit Winning Candidate]]-Audit[[#This Row],[Winning Candidate]]</f>
        <v>-15</v>
      </c>
      <c r="U1131" s="111">
        <f>Audit[[#This Row],[Audit Candidate 3]]-Audit[[#This Row],[Candidate 3]]</f>
        <v>-5</v>
      </c>
      <c r="V1131" s="111">
        <f>Audit[[#This Row],[Audit Candidate 4]]-Audit[[#This Row],[Candidate 4]]</f>
        <v>-8</v>
      </c>
      <c r="W1131" s="111">
        <f>Audit[[#This Row],[Audit Candidate 5]]-Audit[[#This Row],[Candidate 5]]</f>
        <v>0</v>
      </c>
      <c r="X1131" s="111">
        <f>Audit[[#This Row],[Audit Candidate 6]]-Audit[[#This Row],[Candidate 6]]</f>
        <v>0</v>
      </c>
      <c r="Y1131" s="111">
        <f>SUMIF(Audit[[#This Row],[Difference Loser]:[Difference Candidate 6]], "&gt;0")</f>
        <v>0</v>
      </c>
      <c r="Z1131" s="111">
        <f>SUM(Audit[[#This Row],[Difference Loser]:[Difference Candidate 6]])</f>
        <v>-48</v>
      </c>
      <c r="AA1131" s="111">
        <f>IF(Audit[[#This Row],[Times p Drawn - With Replacement]]&gt;0, IF(Audit[[#This Row],[Canceled Differences]]&lt;0, Audit[[#This Row],[Max Differences]]+ABS(Audit[[#This Row],[Canceled Differences]]), Audit[[#This Row],[Max Differences]]), 0)</f>
        <v>0</v>
      </c>
      <c r="AB1131" s="111">
        <f>'Sampling Data'!P1123</f>
        <v>2.6947574718275357E-3</v>
      </c>
      <c r="AC1131" s="111">
        <f>IF(
      SUM(Audit[[#This Row],[Audit Losing Candidate]:[Audit Candidate 6]])
      &lt;&gt;0,
      (Audit[[#This Row],[Winning Candidate]]-Audit[[#This Row],[Losing Candidate]]-(Audit[[#This Row],[Audit Winning Candidate]]-Audit[[#This Row],[Audit Losing Candidate]]))/(Audit[[#Totals],[Winning Candidate]]-Audit[[#Totals],[Losing Candidate]]),
      0
)</f>
        <v>0</v>
      </c>
      <c r="AD11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1" s="111">
        <f>IF(Audit[[#This Row],[Max Relative Error (ep)]] = 0, 0, Audit[[#This Row],[Max Relative Error (ep)]]/Audit[[#This Row],[Error Bound (up) - Max. possible relative overstatement]])</f>
        <v>0</v>
      </c>
      <c r="AJ11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31" s="111">
        <f t="shared" si="17"/>
        <v>1</v>
      </c>
      <c r="AL1131" s="111">
        <f>PRODUCT($AK$5:AK1131)</f>
        <v>8.962823818226312E-2</v>
      </c>
      <c r="AM1131" s="109">
        <f>1 - [K-M P Value]</f>
        <v>0.91037176181773694</v>
      </c>
      <c r="AN1131" s="111" t="str">
        <f>IF(Audit[[#This Row],[K-M P Value]]&gt;1-'General Info'!$B$16,"Continue", "Stop")</f>
        <v>Stop</v>
      </c>
      <c r="AO1131" s="110" t="b">
        <f>IF(Audit[[#This Row],[Status - Continue or stop audit]] = "Continue", TRUE, IF(AN1130 = "Continue", TRUE, FALSE))</f>
        <v>0</v>
      </c>
      <c r="AP1131" s="110"/>
    </row>
    <row r="1132" spans="1:42" ht="15" hidden="1" customHeight="1">
      <c r="A1132" s="111" t="str">
        <f>'Sampling Data'!W1124</f>
        <v/>
      </c>
      <c r="B1132" s="112" t="str">
        <f>'Sampling Data'!A1124</f>
        <v>EUCLID -06-D - ABS</v>
      </c>
      <c r="C1132" s="112">
        <f>'Sampling Data'!B1124</f>
        <v>14</v>
      </c>
      <c r="D1132" s="112">
        <f>'Sampling Data'!C1124</f>
        <v>11</v>
      </c>
      <c r="E1132" s="113">
        <f>'Sampling Data'!D1124</f>
        <v>2</v>
      </c>
      <c r="F1132" s="113">
        <f>'Sampling Data'!E1124</f>
        <v>4</v>
      </c>
      <c r="G1132" s="113">
        <f>'Sampling Data'!F1124</f>
        <v>0</v>
      </c>
      <c r="H1132" s="113">
        <f>'Sampling Data'!G1124</f>
        <v>0</v>
      </c>
      <c r="I1132" s="112">
        <f>'Sampling Data'!H1124</f>
        <v>0</v>
      </c>
      <c r="J1132" s="112">
        <f>'Sampling Data'!I1124</f>
        <v>0</v>
      </c>
      <c r="K1132" s="112">
        <f>'Sampling Data'!J1124</f>
        <v>31</v>
      </c>
      <c r="L1132" s="111">
        <f>'Sampling Data'!X1124</f>
        <v>0</v>
      </c>
      <c r="M1132" s="114"/>
      <c r="N1132" s="114"/>
      <c r="O1132" s="115"/>
      <c r="P1132" s="115"/>
      <c r="Q1132" s="116"/>
      <c r="R1132" s="116"/>
      <c r="S1132" s="111">
        <f>Audit[[#This Row],[Audit Losing Candidate]]-Audit[[#This Row],[Losing Candidate]]</f>
        <v>-14</v>
      </c>
      <c r="T1132" s="111">
        <f>Audit[[#This Row],[Audit Winning Candidate]]-Audit[[#This Row],[Winning Candidate]]</f>
        <v>-11</v>
      </c>
      <c r="U1132" s="111">
        <f>Audit[[#This Row],[Audit Candidate 3]]-Audit[[#This Row],[Candidate 3]]</f>
        <v>-2</v>
      </c>
      <c r="V1132" s="111">
        <f>Audit[[#This Row],[Audit Candidate 4]]-Audit[[#This Row],[Candidate 4]]</f>
        <v>-4</v>
      </c>
      <c r="W1132" s="111">
        <f>Audit[[#This Row],[Audit Candidate 5]]-Audit[[#This Row],[Candidate 5]]</f>
        <v>0</v>
      </c>
      <c r="X1132" s="111">
        <f>Audit[[#This Row],[Audit Candidate 6]]-Audit[[#This Row],[Candidate 6]]</f>
        <v>0</v>
      </c>
      <c r="Y1132" s="111">
        <f>SUMIF(Audit[[#This Row],[Difference Loser]:[Difference Candidate 6]], "&gt;0")</f>
        <v>0</v>
      </c>
      <c r="Z1132" s="111">
        <f>SUM(Audit[[#This Row],[Difference Loser]:[Difference Candidate 6]])</f>
        <v>-31</v>
      </c>
      <c r="AA1132" s="111">
        <f>IF(Audit[[#This Row],[Times p Drawn - With Replacement]]&gt;0, IF(Audit[[#This Row],[Canceled Differences]]&lt;0, Audit[[#This Row],[Max Differences]]+ABS(Audit[[#This Row],[Canceled Differences]]), Audit[[#This Row],[Max Differences]]), 0)</f>
        <v>0</v>
      </c>
      <c r="AB1132" s="111">
        <f>'Sampling Data'!P1124</f>
        <v>1.7148456638902498E-3</v>
      </c>
      <c r="AC1132" s="111">
        <f>IF(
      SUM(Audit[[#This Row],[Audit Losing Candidate]:[Audit Candidate 6]])
      &lt;&gt;0,
      (Audit[[#This Row],[Winning Candidate]]-Audit[[#This Row],[Losing Candidate]]-(Audit[[#This Row],[Audit Winning Candidate]]-Audit[[#This Row],[Audit Losing Candidate]]))/(Audit[[#Totals],[Winning Candidate]]-Audit[[#Totals],[Losing Candidate]]),
      0
)</f>
        <v>0</v>
      </c>
      <c r="AD11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2" s="111">
        <f>IF(Audit[[#This Row],[Max Relative Error (ep)]] = 0, 0, Audit[[#This Row],[Max Relative Error (ep)]]/Audit[[#This Row],[Error Bound (up) - Max. possible relative overstatement]])</f>
        <v>0</v>
      </c>
      <c r="AJ11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32" s="111">
        <f t="shared" si="17"/>
        <v>1</v>
      </c>
      <c r="AL1132" s="111">
        <f>PRODUCT($AK$5:AK1132)</f>
        <v>8.962823818226312E-2</v>
      </c>
      <c r="AM1132" s="109">
        <f>1 - [K-M P Value]</f>
        <v>0.91037176181773694</v>
      </c>
      <c r="AN1132" s="111" t="str">
        <f>IF(Audit[[#This Row],[K-M P Value]]&gt;1-'General Info'!$B$16,"Continue", "Stop")</f>
        <v>Stop</v>
      </c>
      <c r="AO1132" s="110" t="b">
        <f>IF(Audit[[#This Row],[Status - Continue or stop audit]] = "Continue", TRUE, IF(AN1131 = "Continue", TRUE, FALSE))</f>
        <v>0</v>
      </c>
      <c r="AP1132" s="110"/>
    </row>
    <row r="1133" spans="1:42" ht="15" hidden="1" customHeight="1">
      <c r="A1133" s="111" t="str">
        <f>'Sampling Data'!W1125</f>
        <v/>
      </c>
      <c r="B1133" s="112" t="str">
        <f>'Sampling Data'!A1125</f>
        <v>EUCLID -06-E</v>
      </c>
      <c r="C1133" s="112">
        <f>'Sampling Data'!B1125</f>
        <v>17</v>
      </c>
      <c r="D1133" s="112">
        <f>'Sampling Data'!C1125</f>
        <v>20</v>
      </c>
      <c r="E1133" s="113">
        <f>'Sampling Data'!D1125</f>
        <v>4</v>
      </c>
      <c r="F1133" s="113">
        <f>'Sampling Data'!E1125</f>
        <v>3</v>
      </c>
      <c r="G1133" s="113">
        <f>'Sampling Data'!F1125</f>
        <v>0</v>
      </c>
      <c r="H1133" s="113">
        <f>'Sampling Data'!G1125</f>
        <v>0</v>
      </c>
      <c r="I1133" s="112">
        <f>'Sampling Data'!H1125</f>
        <v>0</v>
      </c>
      <c r="J1133" s="112">
        <f>'Sampling Data'!I1125</f>
        <v>1</v>
      </c>
      <c r="K1133" s="112">
        <f>'Sampling Data'!J1125</f>
        <v>45</v>
      </c>
      <c r="L1133" s="111">
        <f>'Sampling Data'!X1125</f>
        <v>0</v>
      </c>
      <c r="M1133" s="114"/>
      <c r="N1133" s="114"/>
      <c r="O1133" s="115"/>
      <c r="P1133" s="115"/>
      <c r="Q1133" s="116"/>
      <c r="R1133" s="116"/>
      <c r="S1133" s="111">
        <f>Audit[[#This Row],[Audit Losing Candidate]]-Audit[[#This Row],[Losing Candidate]]</f>
        <v>-17</v>
      </c>
      <c r="T1133" s="111">
        <f>Audit[[#This Row],[Audit Winning Candidate]]-Audit[[#This Row],[Winning Candidate]]</f>
        <v>-20</v>
      </c>
      <c r="U1133" s="111">
        <f>Audit[[#This Row],[Audit Candidate 3]]-Audit[[#This Row],[Candidate 3]]</f>
        <v>-4</v>
      </c>
      <c r="V1133" s="111">
        <f>Audit[[#This Row],[Audit Candidate 4]]-Audit[[#This Row],[Candidate 4]]</f>
        <v>-3</v>
      </c>
      <c r="W1133" s="111">
        <f>Audit[[#This Row],[Audit Candidate 5]]-Audit[[#This Row],[Candidate 5]]</f>
        <v>0</v>
      </c>
      <c r="X1133" s="111">
        <f>Audit[[#This Row],[Audit Candidate 6]]-Audit[[#This Row],[Candidate 6]]</f>
        <v>0</v>
      </c>
      <c r="Y1133" s="111">
        <f>SUMIF(Audit[[#This Row],[Difference Loser]:[Difference Candidate 6]], "&gt;0")</f>
        <v>0</v>
      </c>
      <c r="Z1133" s="111">
        <f>SUM(Audit[[#This Row],[Difference Loser]:[Difference Candidate 6]])</f>
        <v>-44</v>
      </c>
      <c r="AA1133" s="111">
        <f>IF(Audit[[#This Row],[Times p Drawn - With Replacement]]&gt;0, IF(Audit[[#This Row],[Canceled Differences]]&lt;0, Audit[[#This Row],[Max Differences]]+ABS(Audit[[#This Row],[Canceled Differences]]), Audit[[#This Row],[Max Differences]]), 0)</f>
        <v>0</v>
      </c>
      <c r="AB1133" s="111">
        <f>'Sampling Data'!P1125</f>
        <v>2.9397354238118569E-3</v>
      </c>
      <c r="AC1133" s="111">
        <f>IF(
      SUM(Audit[[#This Row],[Audit Losing Candidate]:[Audit Candidate 6]])
      &lt;&gt;0,
      (Audit[[#This Row],[Winning Candidate]]-Audit[[#This Row],[Losing Candidate]]-(Audit[[#This Row],[Audit Winning Candidate]]-Audit[[#This Row],[Audit Losing Candidate]]))/(Audit[[#Totals],[Winning Candidate]]-Audit[[#Totals],[Losing Candidate]]),
      0
)</f>
        <v>0</v>
      </c>
      <c r="AD11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3" s="111">
        <f>IF(Audit[[#This Row],[Max Relative Error (ep)]] = 0, 0, Audit[[#This Row],[Max Relative Error (ep)]]/Audit[[#This Row],[Error Bound (up) - Max. possible relative overstatement]])</f>
        <v>0</v>
      </c>
      <c r="AJ11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33" s="111">
        <f t="shared" si="17"/>
        <v>1</v>
      </c>
      <c r="AL1133" s="111">
        <f>PRODUCT($AK$5:AK1133)</f>
        <v>8.962823818226312E-2</v>
      </c>
      <c r="AM1133" s="109">
        <f>1 - [K-M P Value]</f>
        <v>0.91037176181773694</v>
      </c>
      <c r="AN1133" s="111" t="str">
        <f>IF(Audit[[#This Row],[K-M P Value]]&gt;1-'General Info'!$B$16,"Continue", "Stop")</f>
        <v>Stop</v>
      </c>
      <c r="AO1133" s="110" t="b">
        <f>IF(Audit[[#This Row],[Status - Continue or stop audit]] = "Continue", TRUE, IF(AN1132 = "Continue", TRUE, FALSE))</f>
        <v>0</v>
      </c>
      <c r="AP1133" s="110"/>
    </row>
    <row r="1134" spans="1:42" ht="15" hidden="1" customHeight="1">
      <c r="A1134" s="111" t="str">
        <f>'Sampling Data'!W1126</f>
        <v/>
      </c>
      <c r="B1134" s="112" t="str">
        <f>'Sampling Data'!A1126</f>
        <v>EUCLID -06-E - ABS</v>
      </c>
      <c r="C1134" s="112">
        <f>'Sampling Data'!B1126</f>
        <v>8</v>
      </c>
      <c r="D1134" s="112">
        <f>'Sampling Data'!C1126</f>
        <v>11</v>
      </c>
      <c r="E1134" s="113">
        <f>'Sampling Data'!D1126</f>
        <v>2</v>
      </c>
      <c r="F1134" s="113">
        <f>'Sampling Data'!E1126</f>
        <v>3</v>
      </c>
      <c r="G1134" s="113">
        <f>'Sampling Data'!F1126</f>
        <v>0</v>
      </c>
      <c r="H1134" s="113">
        <f>'Sampling Data'!G1126</f>
        <v>0</v>
      </c>
      <c r="I1134" s="112">
        <f>'Sampling Data'!H1126</f>
        <v>0</v>
      </c>
      <c r="J1134" s="112">
        <f>'Sampling Data'!I1126</f>
        <v>0</v>
      </c>
      <c r="K1134" s="112">
        <f>'Sampling Data'!J1126</f>
        <v>24</v>
      </c>
      <c r="L1134" s="111">
        <f>'Sampling Data'!X1126</f>
        <v>0</v>
      </c>
      <c r="M1134" s="114"/>
      <c r="N1134" s="114"/>
      <c r="O1134" s="115"/>
      <c r="P1134" s="115"/>
      <c r="Q1134" s="116"/>
      <c r="R1134" s="116"/>
      <c r="S1134" s="111">
        <f>Audit[[#This Row],[Audit Losing Candidate]]-Audit[[#This Row],[Losing Candidate]]</f>
        <v>-8</v>
      </c>
      <c r="T1134" s="111">
        <f>Audit[[#This Row],[Audit Winning Candidate]]-Audit[[#This Row],[Winning Candidate]]</f>
        <v>-11</v>
      </c>
      <c r="U1134" s="111">
        <f>Audit[[#This Row],[Audit Candidate 3]]-Audit[[#This Row],[Candidate 3]]</f>
        <v>-2</v>
      </c>
      <c r="V1134" s="111">
        <f>Audit[[#This Row],[Audit Candidate 4]]-Audit[[#This Row],[Candidate 4]]</f>
        <v>-3</v>
      </c>
      <c r="W1134" s="111">
        <f>Audit[[#This Row],[Audit Candidate 5]]-Audit[[#This Row],[Candidate 5]]</f>
        <v>0</v>
      </c>
      <c r="X1134" s="111">
        <f>Audit[[#This Row],[Audit Candidate 6]]-Audit[[#This Row],[Candidate 6]]</f>
        <v>0</v>
      </c>
      <c r="Y1134" s="111">
        <f>SUMIF(Audit[[#This Row],[Difference Loser]:[Difference Candidate 6]], "&gt;0")</f>
        <v>0</v>
      </c>
      <c r="Z1134" s="111">
        <f>SUM(Audit[[#This Row],[Difference Loser]:[Difference Candidate 6]])</f>
        <v>-24</v>
      </c>
      <c r="AA1134" s="111">
        <f>IF(Audit[[#This Row],[Times p Drawn - With Replacement]]&gt;0, IF(Audit[[#This Row],[Canceled Differences]]&lt;0, Audit[[#This Row],[Max Differences]]+ABS(Audit[[#This Row],[Canceled Differences]]), Audit[[#This Row],[Max Differences]]), 0)</f>
        <v>0</v>
      </c>
      <c r="AB1134" s="111">
        <f>'Sampling Data'!P1126</f>
        <v>1.6536011758941694E-3</v>
      </c>
      <c r="AC1134" s="111">
        <f>IF(
      SUM(Audit[[#This Row],[Audit Losing Candidate]:[Audit Candidate 6]])
      &lt;&gt;0,
      (Audit[[#This Row],[Winning Candidate]]-Audit[[#This Row],[Losing Candidate]]-(Audit[[#This Row],[Audit Winning Candidate]]-Audit[[#This Row],[Audit Losing Candidate]]))/(Audit[[#Totals],[Winning Candidate]]-Audit[[#Totals],[Losing Candidate]]),
      0
)</f>
        <v>0</v>
      </c>
      <c r="AD11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4" s="111">
        <f>IF(Audit[[#This Row],[Max Relative Error (ep)]] = 0, 0, Audit[[#This Row],[Max Relative Error (ep)]]/Audit[[#This Row],[Error Bound (up) - Max. possible relative overstatement]])</f>
        <v>0</v>
      </c>
      <c r="AJ11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34" s="111">
        <f t="shared" si="17"/>
        <v>1</v>
      </c>
      <c r="AL1134" s="111">
        <f>PRODUCT($AK$5:AK1134)</f>
        <v>8.962823818226312E-2</v>
      </c>
      <c r="AM1134" s="109">
        <f>1 - [K-M P Value]</f>
        <v>0.91037176181773694</v>
      </c>
      <c r="AN1134" s="111" t="str">
        <f>IF(Audit[[#This Row],[K-M P Value]]&gt;1-'General Info'!$B$16,"Continue", "Stop")</f>
        <v>Stop</v>
      </c>
      <c r="AO1134" s="110" t="b">
        <f>IF(Audit[[#This Row],[Status - Continue or stop audit]] = "Continue", TRUE, IF(AN1133 = "Continue", TRUE, FALSE))</f>
        <v>0</v>
      </c>
      <c r="AP1134" s="110"/>
    </row>
    <row r="1135" spans="1:42" ht="15" hidden="1" customHeight="1">
      <c r="A1135" s="111" t="str">
        <f>'Sampling Data'!W1127</f>
        <v/>
      </c>
      <c r="B1135" s="112" t="str">
        <f>'Sampling Data'!A1127</f>
        <v>EUCLID -06-F</v>
      </c>
      <c r="C1135" s="112">
        <f>'Sampling Data'!B1127</f>
        <v>13</v>
      </c>
      <c r="D1135" s="112">
        <f>'Sampling Data'!C1127</f>
        <v>17</v>
      </c>
      <c r="E1135" s="113">
        <f>'Sampling Data'!D1127</f>
        <v>3</v>
      </c>
      <c r="F1135" s="113">
        <f>'Sampling Data'!E1127</f>
        <v>8</v>
      </c>
      <c r="G1135" s="113">
        <f>'Sampling Data'!F1127</f>
        <v>0</v>
      </c>
      <c r="H1135" s="113">
        <f>'Sampling Data'!G1127</f>
        <v>0</v>
      </c>
      <c r="I1135" s="112">
        <f>'Sampling Data'!H1127</f>
        <v>0</v>
      </c>
      <c r="J1135" s="112">
        <f>'Sampling Data'!I1127</f>
        <v>0</v>
      </c>
      <c r="K1135" s="112">
        <f>'Sampling Data'!J1127</f>
        <v>41</v>
      </c>
      <c r="L1135" s="111">
        <f>'Sampling Data'!X1127</f>
        <v>0</v>
      </c>
      <c r="M1135" s="114"/>
      <c r="N1135" s="114"/>
      <c r="O1135" s="115"/>
      <c r="P1135" s="115"/>
      <c r="Q1135" s="116"/>
      <c r="R1135" s="116"/>
      <c r="S1135" s="111">
        <f>Audit[[#This Row],[Audit Losing Candidate]]-Audit[[#This Row],[Losing Candidate]]</f>
        <v>-13</v>
      </c>
      <c r="T1135" s="111">
        <f>Audit[[#This Row],[Audit Winning Candidate]]-Audit[[#This Row],[Winning Candidate]]</f>
        <v>-17</v>
      </c>
      <c r="U1135" s="111">
        <f>Audit[[#This Row],[Audit Candidate 3]]-Audit[[#This Row],[Candidate 3]]</f>
        <v>-3</v>
      </c>
      <c r="V1135" s="111">
        <f>Audit[[#This Row],[Audit Candidate 4]]-Audit[[#This Row],[Candidate 4]]</f>
        <v>-8</v>
      </c>
      <c r="W1135" s="111">
        <f>Audit[[#This Row],[Audit Candidate 5]]-Audit[[#This Row],[Candidate 5]]</f>
        <v>0</v>
      </c>
      <c r="X1135" s="111">
        <f>Audit[[#This Row],[Audit Candidate 6]]-Audit[[#This Row],[Candidate 6]]</f>
        <v>0</v>
      </c>
      <c r="Y1135" s="111">
        <f>SUMIF(Audit[[#This Row],[Difference Loser]:[Difference Candidate 6]], "&gt;0")</f>
        <v>0</v>
      </c>
      <c r="Z1135" s="111">
        <f>SUM(Audit[[#This Row],[Difference Loser]:[Difference Candidate 6]])</f>
        <v>-41</v>
      </c>
      <c r="AA1135" s="111">
        <f>IF(Audit[[#This Row],[Times p Drawn - With Replacement]]&gt;0, IF(Audit[[#This Row],[Canceled Differences]]&lt;0, Audit[[#This Row],[Max Differences]]+ABS(Audit[[#This Row],[Canceled Differences]]), Audit[[#This Row],[Max Differences]]), 0)</f>
        <v>0</v>
      </c>
      <c r="AB1135" s="111">
        <f>'Sampling Data'!P1127</f>
        <v>2.7560019598236157E-3</v>
      </c>
      <c r="AC1135" s="111">
        <f>IF(
      SUM(Audit[[#This Row],[Audit Losing Candidate]:[Audit Candidate 6]])
      &lt;&gt;0,
      (Audit[[#This Row],[Winning Candidate]]-Audit[[#This Row],[Losing Candidate]]-(Audit[[#This Row],[Audit Winning Candidate]]-Audit[[#This Row],[Audit Losing Candidate]]))/(Audit[[#Totals],[Winning Candidate]]-Audit[[#Totals],[Losing Candidate]]),
      0
)</f>
        <v>0</v>
      </c>
      <c r="AD11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5" s="111">
        <f>IF(Audit[[#This Row],[Max Relative Error (ep)]] = 0, 0, Audit[[#This Row],[Max Relative Error (ep)]]/Audit[[#This Row],[Error Bound (up) - Max. possible relative overstatement]])</f>
        <v>0</v>
      </c>
      <c r="AJ11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35" s="111">
        <f t="shared" si="17"/>
        <v>1</v>
      </c>
      <c r="AL1135" s="111">
        <f>PRODUCT($AK$5:AK1135)</f>
        <v>8.962823818226312E-2</v>
      </c>
      <c r="AM1135" s="109">
        <f>1 - [K-M P Value]</f>
        <v>0.91037176181773694</v>
      </c>
      <c r="AN1135" s="111" t="str">
        <f>IF(Audit[[#This Row],[K-M P Value]]&gt;1-'General Info'!$B$16,"Continue", "Stop")</f>
        <v>Stop</v>
      </c>
      <c r="AO1135" s="110" t="b">
        <f>IF(Audit[[#This Row],[Status - Continue or stop audit]] = "Continue", TRUE, IF(AN1134 = "Continue", TRUE, FALSE))</f>
        <v>0</v>
      </c>
      <c r="AP1135" s="110"/>
    </row>
    <row r="1136" spans="1:42" ht="15" hidden="1" customHeight="1">
      <c r="A1136" s="111" t="str">
        <f>'Sampling Data'!W1128</f>
        <v/>
      </c>
      <c r="B1136" s="112" t="str">
        <f>'Sampling Data'!A1128</f>
        <v>EUCLID -06-F - ABS</v>
      </c>
      <c r="C1136" s="112">
        <f>'Sampling Data'!B1128</f>
        <v>8</v>
      </c>
      <c r="D1136" s="112">
        <f>'Sampling Data'!C1128</f>
        <v>9</v>
      </c>
      <c r="E1136" s="113">
        <f>'Sampling Data'!D1128</f>
        <v>3</v>
      </c>
      <c r="F1136" s="113">
        <f>'Sampling Data'!E1128</f>
        <v>2</v>
      </c>
      <c r="G1136" s="113">
        <f>'Sampling Data'!F1128</f>
        <v>0</v>
      </c>
      <c r="H1136" s="113">
        <f>'Sampling Data'!G1128</f>
        <v>0</v>
      </c>
      <c r="I1136" s="112">
        <f>'Sampling Data'!H1128</f>
        <v>0</v>
      </c>
      <c r="J1136" s="112">
        <f>'Sampling Data'!I1128</f>
        <v>0</v>
      </c>
      <c r="K1136" s="112">
        <f>'Sampling Data'!J1128</f>
        <v>22</v>
      </c>
      <c r="L1136" s="111">
        <f>'Sampling Data'!X1128</f>
        <v>0</v>
      </c>
      <c r="M1136" s="114"/>
      <c r="N1136" s="114"/>
      <c r="O1136" s="115"/>
      <c r="P1136" s="115"/>
      <c r="Q1136" s="116"/>
      <c r="R1136" s="116"/>
      <c r="S1136" s="111">
        <f>Audit[[#This Row],[Audit Losing Candidate]]-Audit[[#This Row],[Losing Candidate]]</f>
        <v>-8</v>
      </c>
      <c r="T1136" s="111">
        <f>Audit[[#This Row],[Audit Winning Candidate]]-Audit[[#This Row],[Winning Candidate]]</f>
        <v>-9</v>
      </c>
      <c r="U1136" s="111">
        <f>Audit[[#This Row],[Audit Candidate 3]]-Audit[[#This Row],[Candidate 3]]</f>
        <v>-3</v>
      </c>
      <c r="V1136" s="111">
        <f>Audit[[#This Row],[Audit Candidate 4]]-Audit[[#This Row],[Candidate 4]]</f>
        <v>-2</v>
      </c>
      <c r="W1136" s="111">
        <f>Audit[[#This Row],[Audit Candidate 5]]-Audit[[#This Row],[Candidate 5]]</f>
        <v>0</v>
      </c>
      <c r="X1136" s="111">
        <f>Audit[[#This Row],[Audit Candidate 6]]-Audit[[#This Row],[Candidate 6]]</f>
        <v>0</v>
      </c>
      <c r="Y1136" s="111">
        <f>SUMIF(Audit[[#This Row],[Difference Loser]:[Difference Candidate 6]], "&gt;0")</f>
        <v>0</v>
      </c>
      <c r="Z1136" s="111">
        <f>SUM(Audit[[#This Row],[Difference Loser]:[Difference Candidate 6]])</f>
        <v>-22</v>
      </c>
      <c r="AA1136" s="111">
        <f>IF(Audit[[#This Row],[Times p Drawn - With Replacement]]&gt;0, IF(Audit[[#This Row],[Canceled Differences]]&lt;0, Audit[[#This Row],[Max Differences]]+ABS(Audit[[#This Row],[Canceled Differences]]), Audit[[#This Row],[Max Differences]]), 0)</f>
        <v>0</v>
      </c>
      <c r="AB1136" s="111">
        <f>'Sampling Data'!P1128</f>
        <v>1.408623223909848E-3</v>
      </c>
      <c r="AC1136" s="111">
        <f>IF(
      SUM(Audit[[#This Row],[Audit Losing Candidate]:[Audit Candidate 6]])
      &lt;&gt;0,
      (Audit[[#This Row],[Winning Candidate]]-Audit[[#This Row],[Losing Candidate]]-(Audit[[#This Row],[Audit Winning Candidate]]-Audit[[#This Row],[Audit Losing Candidate]]))/(Audit[[#Totals],[Winning Candidate]]-Audit[[#Totals],[Losing Candidate]]),
      0
)</f>
        <v>0</v>
      </c>
      <c r="AD11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6" s="111">
        <f>IF(Audit[[#This Row],[Max Relative Error (ep)]] = 0, 0, Audit[[#This Row],[Max Relative Error (ep)]]/Audit[[#This Row],[Error Bound (up) - Max. possible relative overstatement]])</f>
        <v>0</v>
      </c>
      <c r="AJ11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36" s="111">
        <f t="shared" si="17"/>
        <v>1</v>
      </c>
      <c r="AL1136" s="111">
        <f>PRODUCT($AK$5:AK1136)</f>
        <v>8.962823818226312E-2</v>
      </c>
      <c r="AM1136" s="109">
        <f>1 - [K-M P Value]</f>
        <v>0.91037176181773694</v>
      </c>
      <c r="AN1136" s="111" t="str">
        <f>IF(Audit[[#This Row],[K-M P Value]]&gt;1-'General Info'!$B$16,"Continue", "Stop")</f>
        <v>Stop</v>
      </c>
      <c r="AO1136" s="110" t="b">
        <f>IF(Audit[[#This Row],[Status - Continue or stop audit]] = "Continue", TRUE, IF(AN1135 = "Continue", TRUE, FALSE))</f>
        <v>0</v>
      </c>
      <c r="AP1136" s="110"/>
    </row>
    <row r="1137" spans="1:42" ht="15" hidden="1" customHeight="1">
      <c r="A1137" s="111" t="str">
        <f>'Sampling Data'!W1129</f>
        <v/>
      </c>
      <c r="B1137" s="112" t="str">
        <f>'Sampling Data'!A1129</f>
        <v>EUCLID -07-A</v>
      </c>
      <c r="C1137" s="112">
        <f>'Sampling Data'!B1129</f>
        <v>15</v>
      </c>
      <c r="D1137" s="112">
        <f>'Sampling Data'!C1129</f>
        <v>16</v>
      </c>
      <c r="E1137" s="113">
        <f>'Sampling Data'!D1129</f>
        <v>6</v>
      </c>
      <c r="F1137" s="113">
        <f>'Sampling Data'!E1129</f>
        <v>4</v>
      </c>
      <c r="G1137" s="113">
        <f>'Sampling Data'!F1129</f>
        <v>0</v>
      </c>
      <c r="H1137" s="113">
        <f>'Sampling Data'!G1129</f>
        <v>0</v>
      </c>
      <c r="I1137" s="112">
        <f>'Sampling Data'!H1129</f>
        <v>0</v>
      </c>
      <c r="J1137" s="112">
        <f>'Sampling Data'!I1129</f>
        <v>1</v>
      </c>
      <c r="K1137" s="112">
        <f>'Sampling Data'!J1129</f>
        <v>42</v>
      </c>
      <c r="L1137" s="111">
        <f>'Sampling Data'!X1129</f>
        <v>0</v>
      </c>
      <c r="M1137" s="114"/>
      <c r="N1137" s="114"/>
      <c r="O1137" s="115"/>
      <c r="P1137" s="115"/>
      <c r="Q1137" s="116"/>
      <c r="R1137" s="116"/>
      <c r="S1137" s="111">
        <f>Audit[[#This Row],[Audit Losing Candidate]]-Audit[[#This Row],[Losing Candidate]]</f>
        <v>-15</v>
      </c>
      <c r="T1137" s="111">
        <f>Audit[[#This Row],[Audit Winning Candidate]]-Audit[[#This Row],[Winning Candidate]]</f>
        <v>-16</v>
      </c>
      <c r="U1137" s="111">
        <f>Audit[[#This Row],[Audit Candidate 3]]-Audit[[#This Row],[Candidate 3]]</f>
        <v>-6</v>
      </c>
      <c r="V1137" s="111">
        <f>Audit[[#This Row],[Audit Candidate 4]]-Audit[[#This Row],[Candidate 4]]</f>
        <v>-4</v>
      </c>
      <c r="W1137" s="111">
        <f>Audit[[#This Row],[Audit Candidate 5]]-Audit[[#This Row],[Candidate 5]]</f>
        <v>0</v>
      </c>
      <c r="X1137" s="111">
        <f>Audit[[#This Row],[Audit Candidate 6]]-Audit[[#This Row],[Candidate 6]]</f>
        <v>0</v>
      </c>
      <c r="Y1137" s="111">
        <f>SUMIF(Audit[[#This Row],[Difference Loser]:[Difference Candidate 6]], "&gt;0")</f>
        <v>0</v>
      </c>
      <c r="Z1137" s="111">
        <f>SUM(Audit[[#This Row],[Difference Loser]:[Difference Candidate 6]])</f>
        <v>-41</v>
      </c>
      <c r="AA1137" s="111">
        <f>IF(Audit[[#This Row],[Times p Drawn - With Replacement]]&gt;0, IF(Audit[[#This Row],[Canceled Differences]]&lt;0, Audit[[#This Row],[Max Differences]]+ABS(Audit[[#This Row],[Canceled Differences]]), Audit[[#This Row],[Max Differences]]), 0)</f>
        <v>0</v>
      </c>
      <c r="AB1137" s="111">
        <f>'Sampling Data'!P1129</f>
        <v>2.6335129838314553E-3</v>
      </c>
      <c r="AC1137" s="111">
        <f>IF(
      SUM(Audit[[#This Row],[Audit Losing Candidate]:[Audit Candidate 6]])
      &lt;&gt;0,
      (Audit[[#This Row],[Winning Candidate]]-Audit[[#This Row],[Losing Candidate]]-(Audit[[#This Row],[Audit Winning Candidate]]-Audit[[#This Row],[Audit Losing Candidate]]))/(Audit[[#Totals],[Winning Candidate]]-Audit[[#Totals],[Losing Candidate]]),
      0
)</f>
        <v>0</v>
      </c>
      <c r="AD11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7" s="111">
        <f>IF(Audit[[#This Row],[Max Relative Error (ep)]] = 0, 0, Audit[[#This Row],[Max Relative Error (ep)]]/Audit[[#This Row],[Error Bound (up) - Max. possible relative overstatement]])</f>
        <v>0</v>
      </c>
      <c r="AJ11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37" s="111">
        <f t="shared" si="17"/>
        <v>1</v>
      </c>
      <c r="AL1137" s="111">
        <f>PRODUCT($AK$5:AK1137)</f>
        <v>8.962823818226312E-2</v>
      </c>
      <c r="AM1137" s="109">
        <f>1 - [K-M P Value]</f>
        <v>0.91037176181773694</v>
      </c>
      <c r="AN1137" s="111" t="str">
        <f>IF(Audit[[#This Row],[K-M P Value]]&gt;1-'General Info'!$B$16,"Continue", "Stop")</f>
        <v>Stop</v>
      </c>
      <c r="AO1137" s="110" t="b">
        <f>IF(Audit[[#This Row],[Status - Continue or stop audit]] = "Continue", TRUE, IF(AN1136 = "Continue", TRUE, FALSE))</f>
        <v>0</v>
      </c>
      <c r="AP1137" s="110"/>
    </row>
    <row r="1138" spans="1:42" ht="15" hidden="1" customHeight="1">
      <c r="A1138" s="111" t="str">
        <f>'Sampling Data'!W1130</f>
        <v/>
      </c>
      <c r="B1138" s="112" t="str">
        <f>'Sampling Data'!A1130</f>
        <v>EUCLID -07-A - ABS</v>
      </c>
      <c r="C1138" s="112">
        <f>'Sampling Data'!B1130</f>
        <v>8</v>
      </c>
      <c r="D1138" s="112">
        <f>'Sampling Data'!C1130</f>
        <v>5</v>
      </c>
      <c r="E1138" s="113">
        <f>'Sampling Data'!D1130</f>
        <v>1</v>
      </c>
      <c r="F1138" s="113">
        <f>'Sampling Data'!E1130</f>
        <v>0</v>
      </c>
      <c r="G1138" s="113">
        <f>'Sampling Data'!F1130</f>
        <v>0</v>
      </c>
      <c r="H1138" s="113">
        <f>'Sampling Data'!G1130</f>
        <v>0</v>
      </c>
      <c r="I1138" s="112">
        <f>'Sampling Data'!H1130</f>
        <v>0</v>
      </c>
      <c r="J1138" s="112">
        <f>'Sampling Data'!I1130</f>
        <v>0</v>
      </c>
      <c r="K1138" s="112">
        <f>'Sampling Data'!J1130</f>
        <v>14</v>
      </c>
      <c r="L1138" s="111">
        <f>'Sampling Data'!X1130</f>
        <v>0</v>
      </c>
      <c r="M1138" s="114"/>
      <c r="N1138" s="114"/>
      <c r="O1138" s="115"/>
      <c r="P1138" s="115"/>
      <c r="Q1138" s="116"/>
      <c r="R1138" s="116"/>
      <c r="S1138" s="111">
        <f>Audit[[#This Row],[Audit Losing Candidate]]-Audit[[#This Row],[Losing Candidate]]</f>
        <v>-8</v>
      </c>
      <c r="T1138" s="111">
        <f>Audit[[#This Row],[Audit Winning Candidate]]-Audit[[#This Row],[Winning Candidate]]</f>
        <v>-5</v>
      </c>
      <c r="U1138" s="111">
        <f>Audit[[#This Row],[Audit Candidate 3]]-Audit[[#This Row],[Candidate 3]]</f>
        <v>-1</v>
      </c>
      <c r="V1138" s="111">
        <f>Audit[[#This Row],[Audit Candidate 4]]-Audit[[#This Row],[Candidate 4]]</f>
        <v>0</v>
      </c>
      <c r="W1138" s="111">
        <f>Audit[[#This Row],[Audit Candidate 5]]-Audit[[#This Row],[Candidate 5]]</f>
        <v>0</v>
      </c>
      <c r="X1138" s="111">
        <f>Audit[[#This Row],[Audit Candidate 6]]-Audit[[#This Row],[Candidate 6]]</f>
        <v>0</v>
      </c>
      <c r="Y1138" s="111">
        <f>SUMIF(Audit[[#This Row],[Difference Loser]:[Difference Candidate 6]], "&gt;0")</f>
        <v>0</v>
      </c>
      <c r="Z1138" s="111">
        <f>SUM(Audit[[#This Row],[Difference Loser]:[Difference Candidate 6]])</f>
        <v>-14</v>
      </c>
      <c r="AA1138" s="111">
        <f>IF(Audit[[#This Row],[Times p Drawn - With Replacement]]&gt;0, IF(Audit[[#This Row],[Canceled Differences]]&lt;0, Audit[[#This Row],[Max Differences]]+ABS(Audit[[#This Row],[Canceled Differences]]), Audit[[#This Row],[Max Differences]]), 0)</f>
        <v>0</v>
      </c>
      <c r="AB1138" s="111">
        <f>'Sampling Data'!P1130</f>
        <v>6.7368936795688392E-4</v>
      </c>
      <c r="AC1138" s="111">
        <f>IF(
      SUM(Audit[[#This Row],[Audit Losing Candidate]:[Audit Candidate 6]])
      &lt;&gt;0,
      (Audit[[#This Row],[Winning Candidate]]-Audit[[#This Row],[Losing Candidate]]-(Audit[[#This Row],[Audit Winning Candidate]]-Audit[[#This Row],[Audit Losing Candidate]]))/(Audit[[#Totals],[Winning Candidate]]-Audit[[#Totals],[Losing Candidate]]),
      0
)</f>
        <v>0</v>
      </c>
      <c r="AD11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8" s="111">
        <f>IF(Audit[[#This Row],[Max Relative Error (ep)]] = 0, 0, Audit[[#This Row],[Max Relative Error (ep)]]/Audit[[#This Row],[Error Bound (up) - Max. possible relative overstatement]])</f>
        <v>0</v>
      </c>
      <c r="AJ11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38" s="111">
        <f t="shared" si="17"/>
        <v>1</v>
      </c>
      <c r="AL1138" s="111">
        <f>PRODUCT($AK$5:AK1138)</f>
        <v>8.962823818226312E-2</v>
      </c>
      <c r="AM1138" s="109">
        <f>1 - [K-M P Value]</f>
        <v>0.91037176181773694</v>
      </c>
      <c r="AN1138" s="111" t="str">
        <f>IF(Audit[[#This Row],[K-M P Value]]&gt;1-'General Info'!$B$16,"Continue", "Stop")</f>
        <v>Stop</v>
      </c>
      <c r="AO1138" s="110" t="b">
        <f>IF(Audit[[#This Row],[Status - Continue or stop audit]] = "Continue", TRUE, IF(AN1137 = "Continue", TRUE, FALSE))</f>
        <v>0</v>
      </c>
      <c r="AP1138" s="110"/>
    </row>
    <row r="1139" spans="1:42" ht="15" hidden="1" customHeight="1">
      <c r="A1139" s="111" t="str">
        <f>'Sampling Data'!W1131</f>
        <v/>
      </c>
      <c r="B1139" s="112" t="str">
        <f>'Sampling Data'!A1131</f>
        <v>EUCLID -07-B</v>
      </c>
      <c r="C1139" s="112">
        <f>'Sampling Data'!B1131</f>
        <v>8</v>
      </c>
      <c r="D1139" s="112">
        <f>'Sampling Data'!C1131</f>
        <v>12</v>
      </c>
      <c r="E1139" s="113">
        <f>'Sampling Data'!D1131</f>
        <v>2</v>
      </c>
      <c r="F1139" s="113">
        <f>'Sampling Data'!E1131</f>
        <v>1</v>
      </c>
      <c r="G1139" s="113">
        <f>'Sampling Data'!F1131</f>
        <v>0</v>
      </c>
      <c r="H1139" s="113">
        <f>'Sampling Data'!G1131</f>
        <v>0</v>
      </c>
      <c r="I1139" s="112">
        <f>'Sampling Data'!H1131</f>
        <v>0</v>
      </c>
      <c r="J1139" s="112">
        <f>'Sampling Data'!I1131</f>
        <v>0</v>
      </c>
      <c r="K1139" s="112">
        <f>'Sampling Data'!J1131</f>
        <v>23</v>
      </c>
      <c r="L1139" s="111">
        <f>'Sampling Data'!X1131</f>
        <v>0</v>
      </c>
      <c r="M1139" s="114"/>
      <c r="N1139" s="114"/>
      <c r="O1139" s="115"/>
      <c r="P1139" s="115"/>
      <c r="Q1139" s="116"/>
      <c r="R1139" s="116"/>
      <c r="S1139" s="111">
        <f>Audit[[#This Row],[Audit Losing Candidate]]-Audit[[#This Row],[Losing Candidate]]</f>
        <v>-8</v>
      </c>
      <c r="T1139" s="111">
        <f>Audit[[#This Row],[Audit Winning Candidate]]-Audit[[#This Row],[Winning Candidate]]</f>
        <v>-12</v>
      </c>
      <c r="U1139" s="111">
        <f>Audit[[#This Row],[Audit Candidate 3]]-Audit[[#This Row],[Candidate 3]]</f>
        <v>-2</v>
      </c>
      <c r="V1139" s="111">
        <f>Audit[[#This Row],[Audit Candidate 4]]-Audit[[#This Row],[Candidate 4]]</f>
        <v>-1</v>
      </c>
      <c r="W1139" s="111">
        <f>Audit[[#This Row],[Audit Candidate 5]]-Audit[[#This Row],[Candidate 5]]</f>
        <v>0</v>
      </c>
      <c r="X1139" s="111">
        <f>Audit[[#This Row],[Audit Candidate 6]]-Audit[[#This Row],[Candidate 6]]</f>
        <v>0</v>
      </c>
      <c r="Y1139" s="111">
        <f>SUMIF(Audit[[#This Row],[Difference Loser]:[Difference Candidate 6]], "&gt;0")</f>
        <v>0</v>
      </c>
      <c r="Z1139" s="111">
        <f>SUM(Audit[[#This Row],[Difference Loser]:[Difference Candidate 6]])</f>
        <v>-23</v>
      </c>
      <c r="AA1139" s="111">
        <f>IF(Audit[[#This Row],[Times p Drawn - With Replacement]]&gt;0, IF(Audit[[#This Row],[Canceled Differences]]&lt;0, Audit[[#This Row],[Max Differences]]+ABS(Audit[[#This Row],[Canceled Differences]]), Audit[[#This Row],[Max Differences]]), 0)</f>
        <v>0</v>
      </c>
      <c r="AB1139" s="111">
        <f>'Sampling Data'!P1131</f>
        <v>1.6536011758941694E-3</v>
      </c>
      <c r="AC1139" s="111">
        <f>IF(
      SUM(Audit[[#This Row],[Audit Losing Candidate]:[Audit Candidate 6]])
      &lt;&gt;0,
      (Audit[[#This Row],[Winning Candidate]]-Audit[[#This Row],[Losing Candidate]]-(Audit[[#This Row],[Audit Winning Candidate]]-Audit[[#This Row],[Audit Losing Candidate]]))/(Audit[[#Totals],[Winning Candidate]]-Audit[[#Totals],[Losing Candidate]]),
      0
)</f>
        <v>0</v>
      </c>
      <c r="AD11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9" s="111">
        <f>IF(Audit[[#This Row],[Max Relative Error (ep)]] = 0, 0, Audit[[#This Row],[Max Relative Error (ep)]]/Audit[[#This Row],[Error Bound (up) - Max. possible relative overstatement]])</f>
        <v>0</v>
      </c>
      <c r="AJ11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39" s="111">
        <f t="shared" si="17"/>
        <v>1</v>
      </c>
      <c r="AL1139" s="111">
        <f>PRODUCT($AK$5:AK1139)</f>
        <v>8.962823818226312E-2</v>
      </c>
      <c r="AM1139" s="109">
        <f>1 - [K-M P Value]</f>
        <v>0.91037176181773694</v>
      </c>
      <c r="AN1139" s="111" t="str">
        <f>IF(Audit[[#This Row],[K-M P Value]]&gt;1-'General Info'!$B$16,"Continue", "Stop")</f>
        <v>Stop</v>
      </c>
      <c r="AO1139" s="110" t="b">
        <f>IF(Audit[[#This Row],[Status - Continue or stop audit]] = "Continue", TRUE, IF(AN1138 = "Continue", TRUE, FALSE))</f>
        <v>0</v>
      </c>
      <c r="AP1139" s="110"/>
    </row>
    <row r="1140" spans="1:42" ht="15" hidden="1" customHeight="1">
      <c r="A1140" s="111" t="str">
        <f>'Sampling Data'!W1132</f>
        <v/>
      </c>
      <c r="B1140" s="112" t="str">
        <f>'Sampling Data'!A1132</f>
        <v>EUCLID -07-B - ABS</v>
      </c>
      <c r="C1140" s="112">
        <f>'Sampling Data'!B1132</f>
        <v>7</v>
      </c>
      <c r="D1140" s="112">
        <f>'Sampling Data'!C1132</f>
        <v>1</v>
      </c>
      <c r="E1140" s="113">
        <f>'Sampling Data'!D1132</f>
        <v>1</v>
      </c>
      <c r="F1140" s="113">
        <f>'Sampling Data'!E1132</f>
        <v>0</v>
      </c>
      <c r="G1140" s="113">
        <f>'Sampling Data'!F1132</f>
        <v>0</v>
      </c>
      <c r="H1140" s="113">
        <f>'Sampling Data'!G1132</f>
        <v>0</v>
      </c>
      <c r="I1140" s="112">
        <f>'Sampling Data'!H1132</f>
        <v>0</v>
      </c>
      <c r="J1140" s="112">
        <f>'Sampling Data'!I1132</f>
        <v>0</v>
      </c>
      <c r="K1140" s="112">
        <f>'Sampling Data'!J1132</f>
        <v>9</v>
      </c>
      <c r="L1140" s="111">
        <f>'Sampling Data'!X1132</f>
        <v>0</v>
      </c>
      <c r="M1140" s="114"/>
      <c r="N1140" s="114"/>
      <c r="O1140" s="115"/>
      <c r="P1140" s="115"/>
      <c r="Q1140" s="116"/>
      <c r="R1140" s="116"/>
      <c r="S1140" s="111">
        <f>Audit[[#This Row],[Audit Losing Candidate]]-Audit[[#This Row],[Losing Candidate]]</f>
        <v>-7</v>
      </c>
      <c r="T1140" s="111">
        <f>Audit[[#This Row],[Audit Winning Candidate]]-Audit[[#This Row],[Winning Candidate]]</f>
        <v>-1</v>
      </c>
      <c r="U1140" s="111">
        <f>Audit[[#This Row],[Audit Candidate 3]]-Audit[[#This Row],[Candidate 3]]</f>
        <v>-1</v>
      </c>
      <c r="V1140" s="111">
        <f>Audit[[#This Row],[Audit Candidate 4]]-Audit[[#This Row],[Candidate 4]]</f>
        <v>0</v>
      </c>
      <c r="W1140" s="111">
        <f>Audit[[#This Row],[Audit Candidate 5]]-Audit[[#This Row],[Candidate 5]]</f>
        <v>0</v>
      </c>
      <c r="X1140" s="111">
        <f>Audit[[#This Row],[Audit Candidate 6]]-Audit[[#This Row],[Candidate 6]]</f>
        <v>0</v>
      </c>
      <c r="Y1140" s="111">
        <f>SUMIF(Audit[[#This Row],[Difference Loser]:[Difference Candidate 6]], "&gt;0")</f>
        <v>0</v>
      </c>
      <c r="Z1140" s="111">
        <f>SUM(Audit[[#This Row],[Difference Loser]:[Difference Candidate 6]])</f>
        <v>-9</v>
      </c>
      <c r="AA1140" s="111">
        <f>IF(Audit[[#This Row],[Times p Drawn - With Replacement]]&gt;0, IF(Audit[[#This Row],[Canceled Differences]]&lt;0, Audit[[#This Row],[Max Differences]]+ABS(Audit[[#This Row],[Canceled Differences]]), Audit[[#This Row],[Max Differences]]), 0)</f>
        <v>0</v>
      </c>
      <c r="AB1140" s="111">
        <f>'Sampling Data'!P1132</f>
        <v>2.9232073430968461E-4</v>
      </c>
      <c r="AC1140" s="111">
        <f>IF(
      SUM(Audit[[#This Row],[Audit Losing Candidate]:[Audit Candidate 6]])
      &lt;&gt;0,
      (Audit[[#This Row],[Winning Candidate]]-Audit[[#This Row],[Losing Candidate]]-(Audit[[#This Row],[Audit Winning Candidate]]-Audit[[#This Row],[Audit Losing Candidate]]))/(Audit[[#Totals],[Winning Candidate]]-Audit[[#Totals],[Losing Candidate]]),
      0
)</f>
        <v>0</v>
      </c>
      <c r="AD11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0" s="111">
        <f>IF(Audit[[#This Row],[Max Relative Error (ep)]] = 0, 0, Audit[[#This Row],[Max Relative Error (ep)]]/Audit[[#This Row],[Error Bound (up) - Max. possible relative overstatement]])</f>
        <v>0</v>
      </c>
      <c r="AJ11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40" s="111">
        <f t="shared" si="17"/>
        <v>1</v>
      </c>
      <c r="AL1140" s="111">
        <f>PRODUCT($AK$5:AK1140)</f>
        <v>8.962823818226312E-2</v>
      </c>
      <c r="AM1140" s="109">
        <f>1 - [K-M P Value]</f>
        <v>0.91037176181773694</v>
      </c>
      <c r="AN1140" s="111" t="str">
        <f>IF(Audit[[#This Row],[K-M P Value]]&gt;1-'General Info'!$B$16,"Continue", "Stop")</f>
        <v>Stop</v>
      </c>
      <c r="AO1140" s="110" t="b">
        <f>IF(Audit[[#This Row],[Status - Continue or stop audit]] = "Continue", TRUE, IF(AN1139 = "Continue", TRUE, FALSE))</f>
        <v>0</v>
      </c>
      <c r="AP1140" s="110"/>
    </row>
    <row r="1141" spans="1:42" ht="15" hidden="1" customHeight="1">
      <c r="A1141" s="111" t="str">
        <f>'Sampling Data'!W1133</f>
        <v/>
      </c>
      <c r="B1141" s="112" t="str">
        <f>'Sampling Data'!A1133</f>
        <v>EUCLID -07-C</v>
      </c>
      <c r="C1141" s="112">
        <f>'Sampling Data'!B1133</f>
        <v>3</v>
      </c>
      <c r="D1141" s="112">
        <f>'Sampling Data'!C1133</f>
        <v>2</v>
      </c>
      <c r="E1141" s="113">
        <f>'Sampling Data'!D1133</f>
        <v>1</v>
      </c>
      <c r="F1141" s="113">
        <f>'Sampling Data'!E1133</f>
        <v>0</v>
      </c>
      <c r="G1141" s="113">
        <f>'Sampling Data'!F1133</f>
        <v>0</v>
      </c>
      <c r="H1141" s="113">
        <f>'Sampling Data'!G1133</f>
        <v>0</v>
      </c>
      <c r="I1141" s="112">
        <f>'Sampling Data'!H1133</f>
        <v>0</v>
      </c>
      <c r="J1141" s="112">
        <f>'Sampling Data'!I1133</f>
        <v>0</v>
      </c>
      <c r="K1141" s="112">
        <f>'Sampling Data'!J1133</f>
        <v>6</v>
      </c>
      <c r="L1141" s="111">
        <f>'Sampling Data'!X1133</f>
        <v>0</v>
      </c>
      <c r="M1141" s="114"/>
      <c r="N1141" s="114"/>
      <c r="O1141" s="115"/>
      <c r="P1141" s="115"/>
      <c r="Q1141" s="116"/>
      <c r="R1141" s="116"/>
      <c r="S1141" s="111">
        <f>Audit[[#This Row],[Audit Losing Candidate]]-Audit[[#This Row],[Losing Candidate]]</f>
        <v>-3</v>
      </c>
      <c r="T1141" s="111">
        <f>Audit[[#This Row],[Audit Winning Candidate]]-Audit[[#This Row],[Winning Candidate]]</f>
        <v>-2</v>
      </c>
      <c r="U1141" s="111">
        <f>Audit[[#This Row],[Audit Candidate 3]]-Audit[[#This Row],[Candidate 3]]</f>
        <v>-1</v>
      </c>
      <c r="V1141" s="111">
        <f>Audit[[#This Row],[Audit Candidate 4]]-Audit[[#This Row],[Candidate 4]]</f>
        <v>0</v>
      </c>
      <c r="W1141" s="111">
        <f>Audit[[#This Row],[Audit Candidate 5]]-Audit[[#This Row],[Candidate 5]]</f>
        <v>0</v>
      </c>
      <c r="X1141" s="111">
        <f>Audit[[#This Row],[Audit Candidate 6]]-Audit[[#This Row],[Candidate 6]]</f>
        <v>0</v>
      </c>
      <c r="Y1141" s="111">
        <f>SUMIF(Audit[[#This Row],[Difference Loser]:[Difference Candidate 6]], "&gt;0")</f>
        <v>0</v>
      </c>
      <c r="Z1141" s="111">
        <f>SUM(Audit[[#This Row],[Difference Loser]:[Difference Candidate 6]])</f>
        <v>-6</v>
      </c>
      <c r="AA1141" s="111">
        <f>IF(Audit[[#This Row],[Times p Drawn - With Replacement]]&gt;0, IF(Audit[[#This Row],[Canceled Differences]]&lt;0, Audit[[#This Row],[Max Differences]]+ABS(Audit[[#This Row],[Canceled Differences]]), Audit[[#This Row],[Max Differences]]), 0)</f>
        <v>0</v>
      </c>
      <c r="AB1141" s="111">
        <f>'Sampling Data'!P1133</f>
        <v>3.0622243998040176E-4</v>
      </c>
      <c r="AC1141" s="111">
        <f>IF(
      SUM(Audit[[#This Row],[Audit Losing Candidate]:[Audit Candidate 6]])
      &lt;&gt;0,
      (Audit[[#This Row],[Winning Candidate]]-Audit[[#This Row],[Losing Candidate]]-(Audit[[#This Row],[Audit Winning Candidate]]-Audit[[#This Row],[Audit Losing Candidate]]))/(Audit[[#Totals],[Winning Candidate]]-Audit[[#Totals],[Losing Candidate]]),
      0
)</f>
        <v>0</v>
      </c>
      <c r="AD11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1" s="111">
        <f>IF(Audit[[#This Row],[Max Relative Error (ep)]] = 0, 0, Audit[[#This Row],[Max Relative Error (ep)]]/Audit[[#This Row],[Error Bound (up) - Max. possible relative overstatement]])</f>
        <v>0</v>
      </c>
      <c r="AJ11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41" s="111">
        <f t="shared" si="17"/>
        <v>1</v>
      </c>
      <c r="AL1141" s="111">
        <f>PRODUCT($AK$5:AK1141)</f>
        <v>8.962823818226312E-2</v>
      </c>
      <c r="AM1141" s="109">
        <f>1 - [K-M P Value]</f>
        <v>0.91037176181773694</v>
      </c>
      <c r="AN1141" s="111" t="str">
        <f>IF(Audit[[#This Row],[K-M P Value]]&gt;1-'General Info'!$B$16,"Continue", "Stop")</f>
        <v>Stop</v>
      </c>
      <c r="AO1141" s="110" t="b">
        <f>IF(Audit[[#This Row],[Status - Continue or stop audit]] = "Continue", TRUE, IF(AN1140 = "Continue", TRUE, FALSE))</f>
        <v>0</v>
      </c>
      <c r="AP1141" s="110"/>
    </row>
    <row r="1142" spans="1:42" ht="15" hidden="1" customHeight="1">
      <c r="A1142" s="111" t="str">
        <f>'Sampling Data'!W1134</f>
        <v/>
      </c>
      <c r="B1142" s="112" t="str">
        <f>'Sampling Data'!A1134</f>
        <v>EUCLID -07-C - ABS</v>
      </c>
      <c r="C1142" s="112">
        <f>'Sampling Data'!B1134</f>
        <v>0</v>
      </c>
      <c r="D1142" s="112">
        <f>'Sampling Data'!C1134</f>
        <v>0</v>
      </c>
      <c r="E1142" s="113">
        <f>'Sampling Data'!D1134</f>
        <v>0</v>
      </c>
      <c r="F1142" s="113">
        <f>'Sampling Data'!E1134</f>
        <v>2</v>
      </c>
      <c r="G1142" s="113">
        <f>'Sampling Data'!F1134</f>
        <v>0</v>
      </c>
      <c r="H1142" s="113">
        <f>'Sampling Data'!G1134</f>
        <v>0</v>
      </c>
      <c r="I1142" s="112">
        <f>'Sampling Data'!H1134</f>
        <v>0</v>
      </c>
      <c r="J1142" s="112">
        <f>'Sampling Data'!I1134</f>
        <v>0</v>
      </c>
      <c r="K1142" s="112">
        <f>'Sampling Data'!J1134</f>
        <v>2</v>
      </c>
      <c r="L1142" s="111">
        <f>'Sampling Data'!X1134</f>
        <v>0</v>
      </c>
      <c r="M1142" s="114"/>
      <c r="N1142" s="114"/>
      <c r="O1142" s="115"/>
      <c r="P1142" s="115"/>
      <c r="Q1142" s="116"/>
      <c r="R1142" s="116"/>
      <c r="S1142" s="111">
        <f>Audit[[#This Row],[Audit Losing Candidate]]-Audit[[#This Row],[Losing Candidate]]</f>
        <v>0</v>
      </c>
      <c r="T1142" s="111">
        <f>Audit[[#This Row],[Audit Winning Candidate]]-Audit[[#This Row],[Winning Candidate]]</f>
        <v>0</v>
      </c>
      <c r="U1142" s="111">
        <f>Audit[[#This Row],[Audit Candidate 3]]-Audit[[#This Row],[Candidate 3]]</f>
        <v>0</v>
      </c>
      <c r="V1142" s="111">
        <f>Audit[[#This Row],[Audit Candidate 4]]-Audit[[#This Row],[Candidate 4]]</f>
        <v>-2</v>
      </c>
      <c r="W1142" s="111">
        <f>Audit[[#This Row],[Audit Candidate 5]]-Audit[[#This Row],[Candidate 5]]</f>
        <v>0</v>
      </c>
      <c r="X1142" s="111">
        <f>Audit[[#This Row],[Audit Candidate 6]]-Audit[[#This Row],[Candidate 6]]</f>
        <v>0</v>
      </c>
      <c r="Y1142" s="111">
        <f>SUMIF(Audit[[#This Row],[Difference Loser]:[Difference Candidate 6]], "&gt;0")</f>
        <v>0</v>
      </c>
      <c r="Z1142" s="111">
        <f>SUM(Audit[[#This Row],[Difference Loser]:[Difference Candidate 6]])</f>
        <v>-2</v>
      </c>
      <c r="AA1142" s="111">
        <f>IF(Audit[[#This Row],[Times p Drawn - With Replacement]]&gt;0, IF(Audit[[#This Row],[Canceled Differences]]&lt;0, Audit[[#This Row],[Max Differences]]+ABS(Audit[[#This Row],[Canceled Differences]]), Audit[[#This Row],[Max Differences]]), 0)</f>
        <v>0</v>
      </c>
      <c r="AB1142" s="111">
        <f>'Sampling Data'!P1134</f>
        <v>1.224889759921607E-4</v>
      </c>
      <c r="AC1142" s="111">
        <f>IF(
      SUM(Audit[[#This Row],[Audit Losing Candidate]:[Audit Candidate 6]])
      &lt;&gt;0,
      (Audit[[#This Row],[Winning Candidate]]-Audit[[#This Row],[Losing Candidate]]-(Audit[[#This Row],[Audit Winning Candidate]]-Audit[[#This Row],[Audit Losing Candidate]]))/(Audit[[#Totals],[Winning Candidate]]-Audit[[#Totals],[Losing Candidate]]),
      0
)</f>
        <v>0</v>
      </c>
      <c r="AD11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2" s="111">
        <f>IF(Audit[[#This Row],[Max Relative Error (ep)]] = 0, 0, Audit[[#This Row],[Max Relative Error (ep)]]/Audit[[#This Row],[Error Bound (up) - Max. possible relative overstatement]])</f>
        <v>0</v>
      </c>
      <c r="AJ11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42" s="111">
        <f t="shared" si="17"/>
        <v>1</v>
      </c>
      <c r="AL1142" s="111">
        <f>PRODUCT($AK$5:AK1142)</f>
        <v>8.962823818226312E-2</v>
      </c>
      <c r="AM1142" s="109">
        <f>1 - [K-M P Value]</f>
        <v>0.91037176181773694</v>
      </c>
      <c r="AN1142" s="111" t="str">
        <f>IF(Audit[[#This Row],[K-M P Value]]&gt;1-'General Info'!$B$16,"Continue", "Stop")</f>
        <v>Stop</v>
      </c>
      <c r="AO1142" s="110" t="b">
        <f>IF(Audit[[#This Row],[Status - Continue or stop audit]] = "Continue", TRUE, IF(AN1141 = "Continue", TRUE, FALSE))</f>
        <v>0</v>
      </c>
      <c r="AP1142" s="110"/>
    </row>
    <row r="1143" spans="1:42" ht="15" hidden="1" customHeight="1">
      <c r="A1143" s="111" t="str">
        <f>'Sampling Data'!W1135</f>
        <v/>
      </c>
      <c r="B1143" s="112" t="str">
        <f>'Sampling Data'!A1135</f>
        <v>EUCLID -07-D</v>
      </c>
      <c r="C1143" s="112">
        <f>'Sampling Data'!B1135</f>
        <v>1</v>
      </c>
      <c r="D1143" s="112">
        <f>'Sampling Data'!C1135</f>
        <v>2</v>
      </c>
      <c r="E1143" s="113">
        <f>'Sampling Data'!D1135</f>
        <v>0</v>
      </c>
      <c r="F1143" s="113">
        <f>'Sampling Data'!E1135</f>
        <v>1</v>
      </c>
      <c r="G1143" s="113">
        <f>'Sampling Data'!F1135</f>
        <v>1</v>
      </c>
      <c r="H1143" s="113">
        <f>'Sampling Data'!G1135</f>
        <v>0</v>
      </c>
      <c r="I1143" s="112">
        <f>'Sampling Data'!H1135</f>
        <v>0</v>
      </c>
      <c r="J1143" s="112">
        <f>'Sampling Data'!I1135</f>
        <v>0</v>
      </c>
      <c r="K1143" s="112">
        <f>'Sampling Data'!J1135</f>
        <v>5</v>
      </c>
      <c r="L1143" s="111">
        <f>'Sampling Data'!X1135</f>
        <v>0</v>
      </c>
      <c r="M1143" s="114"/>
      <c r="N1143" s="114"/>
      <c r="O1143" s="115"/>
      <c r="P1143" s="115"/>
      <c r="Q1143" s="116"/>
      <c r="R1143" s="116"/>
      <c r="S1143" s="111">
        <f>Audit[[#This Row],[Audit Losing Candidate]]-Audit[[#This Row],[Losing Candidate]]</f>
        <v>-1</v>
      </c>
      <c r="T1143" s="111">
        <f>Audit[[#This Row],[Audit Winning Candidate]]-Audit[[#This Row],[Winning Candidate]]</f>
        <v>-2</v>
      </c>
      <c r="U1143" s="111">
        <f>Audit[[#This Row],[Audit Candidate 3]]-Audit[[#This Row],[Candidate 3]]</f>
        <v>0</v>
      </c>
      <c r="V1143" s="111">
        <f>Audit[[#This Row],[Audit Candidate 4]]-Audit[[#This Row],[Candidate 4]]</f>
        <v>-1</v>
      </c>
      <c r="W1143" s="111">
        <f>Audit[[#This Row],[Audit Candidate 5]]-Audit[[#This Row],[Candidate 5]]</f>
        <v>-1</v>
      </c>
      <c r="X1143" s="111">
        <f>Audit[[#This Row],[Audit Candidate 6]]-Audit[[#This Row],[Candidate 6]]</f>
        <v>0</v>
      </c>
      <c r="Y1143" s="111">
        <f>SUMIF(Audit[[#This Row],[Difference Loser]:[Difference Candidate 6]], "&gt;0")</f>
        <v>0</v>
      </c>
      <c r="Z1143" s="111">
        <f>SUM(Audit[[#This Row],[Difference Loser]:[Difference Candidate 6]])</f>
        <v>-5</v>
      </c>
      <c r="AA1143" s="111">
        <f>IF(Audit[[#This Row],[Times p Drawn - With Replacement]]&gt;0, IF(Audit[[#This Row],[Canceled Differences]]&lt;0, Audit[[#This Row],[Max Differences]]+ABS(Audit[[#This Row],[Canceled Differences]]), Audit[[#This Row],[Max Differences]]), 0)</f>
        <v>0</v>
      </c>
      <c r="AB1143" s="111">
        <f>'Sampling Data'!P1135</f>
        <v>3.6746692797648211E-4</v>
      </c>
      <c r="AC1143" s="111">
        <f>IF(
      SUM(Audit[[#This Row],[Audit Losing Candidate]:[Audit Candidate 6]])
      &lt;&gt;0,
      (Audit[[#This Row],[Winning Candidate]]-Audit[[#This Row],[Losing Candidate]]-(Audit[[#This Row],[Audit Winning Candidate]]-Audit[[#This Row],[Audit Losing Candidate]]))/(Audit[[#Totals],[Winning Candidate]]-Audit[[#Totals],[Losing Candidate]]),
      0
)</f>
        <v>0</v>
      </c>
      <c r="AD11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3" s="111">
        <f>IF(Audit[[#This Row],[Max Relative Error (ep)]] = 0, 0, Audit[[#This Row],[Max Relative Error (ep)]]/Audit[[#This Row],[Error Bound (up) - Max. possible relative overstatement]])</f>
        <v>0</v>
      </c>
      <c r="AJ11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43" s="111">
        <f t="shared" si="17"/>
        <v>1</v>
      </c>
      <c r="AL1143" s="111">
        <f>PRODUCT($AK$5:AK1143)</f>
        <v>8.962823818226312E-2</v>
      </c>
      <c r="AM1143" s="109">
        <f>1 - [K-M P Value]</f>
        <v>0.91037176181773694</v>
      </c>
      <c r="AN1143" s="111" t="str">
        <f>IF(Audit[[#This Row],[K-M P Value]]&gt;1-'General Info'!$B$16,"Continue", "Stop")</f>
        <v>Stop</v>
      </c>
      <c r="AO1143" s="110" t="b">
        <f>IF(Audit[[#This Row],[Status - Continue or stop audit]] = "Continue", TRUE, IF(AN1142 = "Continue", TRUE, FALSE))</f>
        <v>0</v>
      </c>
      <c r="AP1143" s="110"/>
    </row>
    <row r="1144" spans="1:42" ht="15" hidden="1" customHeight="1">
      <c r="A1144" s="111" t="str">
        <f>'Sampling Data'!W1136</f>
        <v/>
      </c>
      <c r="B1144" s="112" t="str">
        <f>'Sampling Data'!A1136</f>
        <v>EUCLID -07-D - ABS</v>
      </c>
      <c r="C1144" s="112">
        <f>'Sampling Data'!B1136</f>
        <v>1</v>
      </c>
      <c r="D1144" s="112">
        <f>'Sampling Data'!C1136</f>
        <v>1</v>
      </c>
      <c r="E1144" s="113">
        <f>'Sampling Data'!D1136</f>
        <v>1</v>
      </c>
      <c r="F1144" s="113">
        <f>'Sampling Data'!E1136</f>
        <v>0</v>
      </c>
      <c r="G1144" s="113">
        <f>'Sampling Data'!F1136</f>
        <v>0</v>
      </c>
      <c r="H1144" s="113">
        <f>'Sampling Data'!G1136</f>
        <v>0</v>
      </c>
      <c r="I1144" s="112">
        <f>'Sampling Data'!H1136</f>
        <v>0</v>
      </c>
      <c r="J1144" s="112">
        <f>'Sampling Data'!I1136</f>
        <v>1</v>
      </c>
      <c r="K1144" s="112">
        <f>'Sampling Data'!J1136</f>
        <v>4</v>
      </c>
      <c r="L1144" s="111">
        <f>'Sampling Data'!X1136</f>
        <v>0</v>
      </c>
      <c r="M1144" s="114"/>
      <c r="N1144" s="114"/>
      <c r="O1144" s="115"/>
      <c r="P1144" s="115"/>
      <c r="Q1144" s="116"/>
      <c r="R1144" s="116"/>
      <c r="S1144" s="111">
        <f>Audit[[#This Row],[Audit Losing Candidate]]-Audit[[#This Row],[Losing Candidate]]</f>
        <v>-1</v>
      </c>
      <c r="T1144" s="111">
        <f>Audit[[#This Row],[Audit Winning Candidate]]-Audit[[#This Row],[Winning Candidate]]</f>
        <v>-1</v>
      </c>
      <c r="U1144" s="111">
        <f>Audit[[#This Row],[Audit Candidate 3]]-Audit[[#This Row],[Candidate 3]]</f>
        <v>-1</v>
      </c>
      <c r="V1144" s="111">
        <f>Audit[[#This Row],[Audit Candidate 4]]-Audit[[#This Row],[Candidate 4]]</f>
        <v>0</v>
      </c>
      <c r="W1144" s="111">
        <f>Audit[[#This Row],[Audit Candidate 5]]-Audit[[#This Row],[Candidate 5]]</f>
        <v>0</v>
      </c>
      <c r="X1144" s="111">
        <f>Audit[[#This Row],[Audit Candidate 6]]-Audit[[#This Row],[Candidate 6]]</f>
        <v>0</v>
      </c>
      <c r="Y1144" s="111">
        <f>SUMIF(Audit[[#This Row],[Difference Loser]:[Difference Candidate 6]], "&gt;0")</f>
        <v>0</v>
      </c>
      <c r="Z1144" s="111">
        <f>SUM(Audit[[#This Row],[Difference Loser]:[Difference Candidate 6]])</f>
        <v>-3</v>
      </c>
      <c r="AA1144" s="111">
        <f>IF(Audit[[#This Row],[Times p Drawn - With Replacement]]&gt;0, IF(Audit[[#This Row],[Canceled Differences]]&lt;0, Audit[[#This Row],[Max Differences]]+ABS(Audit[[#This Row],[Canceled Differences]]), Audit[[#This Row],[Max Differences]]), 0)</f>
        <v>0</v>
      </c>
      <c r="AB1144" s="111">
        <f>'Sampling Data'!P1136</f>
        <v>2.4497795198432141E-4</v>
      </c>
      <c r="AC1144" s="111">
        <f>IF(
      SUM(Audit[[#This Row],[Audit Losing Candidate]:[Audit Candidate 6]])
      &lt;&gt;0,
      (Audit[[#This Row],[Winning Candidate]]-Audit[[#This Row],[Losing Candidate]]-(Audit[[#This Row],[Audit Winning Candidate]]-Audit[[#This Row],[Audit Losing Candidate]]))/(Audit[[#Totals],[Winning Candidate]]-Audit[[#Totals],[Losing Candidate]]),
      0
)</f>
        <v>0</v>
      </c>
      <c r="AD11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4" s="111">
        <f>IF(Audit[[#This Row],[Max Relative Error (ep)]] = 0, 0, Audit[[#This Row],[Max Relative Error (ep)]]/Audit[[#This Row],[Error Bound (up) - Max. possible relative overstatement]])</f>
        <v>0</v>
      </c>
      <c r="AJ11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44" s="111">
        <f t="shared" si="17"/>
        <v>1</v>
      </c>
      <c r="AL1144" s="111">
        <f>PRODUCT($AK$5:AK1144)</f>
        <v>8.962823818226312E-2</v>
      </c>
      <c r="AM1144" s="109">
        <f>1 - [K-M P Value]</f>
        <v>0.91037176181773694</v>
      </c>
      <c r="AN1144" s="111" t="str">
        <f>IF(Audit[[#This Row],[K-M P Value]]&gt;1-'General Info'!$B$16,"Continue", "Stop")</f>
        <v>Stop</v>
      </c>
      <c r="AO1144" s="110" t="b">
        <f>IF(Audit[[#This Row],[Status - Continue or stop audit]] = "Continue", TRUE, IF(AN1143 = "Continue", TRUE, FALSE))</f>
        <v>0</v>
      </c>
      <c r="AP1144" s="110"/>
    </row>
    <row r="1145" spans="1:42" ht="15" hidden="1" customHeight="1">
      <c r="A1145" s="111" t="str">
        <f>'Sampling Data'!W1137</f>
        <v/>
      </c>
      <c r="B1145" s="112" t="str">
        <f>'Sampling Data'!A1137</f>
        <v>EUCLID -07-E</v>
      </c>
      <c r="C1145" s="112">
        <f>'Sampling Data'!B1137</f>
        <v>1</v>
      </c>
      <c r="D1145" s="112">
        <f>'Sampling Data'!C1137</f>
        <v>3</v>
      </c>
      <c r="E1145" s="113">
        <f>'Sampling Data'!D1137</f>
        <v>3</v>
      </c>
      <c r="F1145" s="113">
        <f>'Sampling Data'!E1137</f>
        <v>1</v>
      </c>
      <c r="G1145" s="113">
        <f>'Sampling Data'!F1137</f>
        <v>0</v>
      </c>
      <c r="H1145" s="113">
        <f>'Sampling Data'!G1137</f>
        <v>0</v>
      </c>
      <c r="I1145" s="112">
        <f>'Sampling Data'!H1137</f>
        <v>0</v>
      </c>
      <c r="J1145" s="112">
        <f>'Sampling Data'!I1137</f>
        <v>0</v>
      </c>
      <c r="K1145" s="112">
        <f>'Sampling Data'!J1137</f>
        <v>8</v>
      </c>
      <c r="L1145" s="111">
        <f>'Sampling Data'!X1137</f>
        <v>0</v>
      </c>
      <c r="M1145" s="114"/>
      <c r="N1145" s="114"/>
      <c r="O1145" s="115"/>
      <c r="P1145" s="115"/>
      <c r="Q1145" s="116"/>
      <c r="R1145" s="116"/>
      <c r="S1145" s="111">
        <f>Audit[[#This Row],[Audit Losing Candidate]]-Audit[[#This Row],[Losing Candidate]]</f>
        <v>-1</v>
      </c>
      <c r="T1145" s="111">
        <f>Audit[[#This Row],[Audit Winning Candidate]]-Audit[[#This Row],[Winning Candidate]]</f>
        <v>-3</v>
      </c>
      <c r="U1145" s="111">
        <f>Audit[[#This Row],[Audit Candidate 3]]-Audit[[#This Row],[Candidate 3]]</f>
        <v>-3</v>
      </c>
      <c r="V1145" s="111">
        <f>Audit[[#This Row],[Audit Candidate 4]]-Audit[[#This Row],[Candidate 4]]</f>
        <v>-1</v>
      </c>
      <c r="W1145" s="111">
        <f>Audit[[#This Row],[Audit Candidate 5]]-Audit[[#This Row],[Candidate 5]]</f>
        <v>0</v>
      </c>
      <c r="X1145" s="111">
        <f>Audit[[#This Row],[Audit Candidate 6]]-Audit[[#This Row],[Candidate 6]]</f>
        <v>0</v>
      </c>
      <c r="Y1145" s="111">
        <f>SUMIF(Audit[[#This Row],[Difference Loser]:[Difference Candidate 6]], "&gt;0")</f>
        <v>0</v>
      </c>
      <c r="Z1145" s="111">
        <f>SUM(Audit[[#This Row],[Difference Loser]:[Difference Candidate 6]])</f>
        <v>-8</v>
      </c>
      <c r="AA1145" s="111">
        <f>IF(Audit[[#This Row],[Times p Drawn - With Replacement]]&gt;0, IF(Audit[[#This Row],[Canceled Differences]]&lt;0, Audit[[#This Row],[Max Differences]]+ABS(Audit[[#This Row],[Canceled Differences]]), Audit[[#This Row],[Max Differences]]), 0)</f>
        <v>0</v>
      </c>
      <c r="AB1145" s="111">
        <f>'Sampling Data'!P1137</f>
        <v>6.1244487996080352E-4</v>
      </c>
      <c r="AC1145" s="111">
        <f>IF(
      SUM(Audit[[#This Row],[Audit Losing Candidate]:[Audit Candidate 6]])
      &lt;&gt;0,
      (Audit[[#This Row],[Winning Candidate]]-Audit[[#This Row],[Losing Candidate]]-(Audit[[#This Row],[Audit Winning Candidate]]-Audit[[#This Row],[Audit Losing Candidate]]))/(Audit[[#Totals],[Winning Candidate]]-Audit[[#Totals],[Losing Candidate]]),
      0
)</f>
        <v>0</v>
      </c>
      <c r="AD11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5" s="111">
        <f>IF(Audit[[#This Row],[Max Relative Error (ep)]] = 0, 0, Audit[[#This Row],[Max Relative Error (ep)]]/Audit[[#This Row],[Error Bound (up) - Max. possible relative overstatement]])</f>
        <v>0</v>
      </c>
      <c r="AJ11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45" s="111">
        <f t="shared" si="17"/>
        <v>1</v>
      </c>
      <c r="AL1145" s="111">
        <f>PRODUCT($AK$5:AK1145)</f>
        <v>8.962823818226312E-2</v>
      </c>
      <c r="AM1145" s="109">
        <f>1 - [K-M P Value]</f>
        <v>0.91037176181773694</v>
      </c>
      <c r="AN1145" s="111" t="str">
        <f>IF(Audit[[#This Row],[K-M P Value]]&gt;1-'General Info'!$B$16,"Continue", "Stop")</f>
        <v>Stop</v>
      </c>
      <c r="AO1145" s="110" t="b">
        <f>IF(Audit[[#This Row],[Status - Continue or stop audit]] = "Continue", TRUE, IF(AN1144 = "Continue", TRUE, FALSE))</f>
        <v>0</v>
      </c>
      <c r="AP1145" s="110"/>
    </row>
    <row r="1146" spans="1:42" ht="15" hidden="1" customHeight="1">
      <c r="A1146" s="111" t="str">
        <f>'Sampling Data'!W1138</f>
        <v/>
      </c>
      <c r="B1146" s="112" t="str">
        <f>'Sampling Data'!A1138</f>
        <v>EUCLID -07-E - ABS</v>
      </c>
      <c r="C1146" s="112">
        <f>'Sampling Data'!B1138</f>
        <v>1</v>
      </c>
      <c r="D1146" s="112">
        <f>'Sampling Data'!C1138</f>
        <v>0</v>
      </c>
      <c r="E1146" s="113">
        <f>'Sampling Data'!D1138</f>
        <v>0</v>
      </c>
      <c r="F1146" s="113">
        <f>'Sampling Data'!E1138</f>
        <v>0</v>
      </c>
      <c r="G1146" s="113">
        <f>'Sampling Data'!F1138</f>
        <v>0</v>
      </c>
      <c r="H1146" s="113">
        <f>'Sampling Data'!G1138</f>
        <v>0</v>
      </c>
      <c r="I1146" s="112">
        <f>'Sampling Data'!H1138</f>
        <v>0</v>
      </c>
      <c r="J1146" s="112">
        <f>'Sampling Data'!I1138</f>
        <v>0</v>
      </c>
      <c r="K1146" s="112">
        <f>'Sampling Data'!J1138</f>
        <v>1</v>
      </c>
      <c r="L1146" s="111">
        <f>'Sampling Data'!X1138</f>
        <v>0</v>
      </c>
      <c r="M1146" s="114"/>
      <c r="N1146" s="114"/>
      <c r="O1146" s="115"/>
      <c r="P1146" s="115"/>
      <c r="Q1146" s="116"/>
      <c r="R1146" s="116"/>
      <c r="S1146" s="111">
        <f>Audit[[#This Row],[Audit Losing Candidate]]-Audit[[#This Row],[Losing Candidate]]</f>
        <v>-1</v>
      </c>
      <c r="T1146" s="111">
        <f>Audit[[#This Row],[Audit Winning Candidate]]-Audit[[#This Row],[Winning Candidate]]</f>
        <v>0</v>
      </c>
      <c r="U1146" s="111">
        <f>Audit[[#This Row],[Audit Candidate 3]]-Audit[[#This Row],[Candidate 3]]</f>
        <v>0</v>
      </c>
      <c r="V1146" s="111">
        <f>Audit[[#This Row],[Audit Candidate 4]]-Audit[[#This Row],[Candidate 4]]</f>
        <v>0</v>
      </c>
      <c r="W1146" s="111">
        <f>Audit[[#This Row],[Audit Candidate 5]]-Audit[[#This Row],[Candidate 5]]</f>
        <v>0</v>
      </c>
      <c r="X1146" s="111">
        <f>Audit[[#This Row],[Audit Candidate 6]]-Audit[[#This Row],[Candidate 6]]</f>
        <v>0</v>
      </c>
      <c r="Y1146" s="111">
        <f>SUMIF(Audit[[#This Row],[Difference Loser]:[Difference Candidate 6]], "&gt;0")</f>
        <v>0</v>
      </c>
      <c r="Z1146" s="111">
        <f>SUM(Audit[[#This Row],[Difference Loser]:[Difference Candidate 6]])</f>
        <v>-1</v>
      </c>
      <c r="AA1146" s="111">
        <f>IF(Audit[[#This Row],[Times p Drawn - With Replacement]]&gt;0, IF(Audit[[#This Row],[Canceled Differences]]&lt;0, Audit[[#This Row],[Max Differences]]+ABS(Audit[[#This Row],[Canceled Differences]]), Audit[[#This Row],[Max Differences]]), 0)</f>
        <v>0</v>
      </c>
      <c r="AB1146" s="111">
        <f>'Sampling Data'!P1138</f>
        <v>3.2261186566441917E-5</v>
      </c>
      <c r="AC1146" s="111">
        <f>IF(
      SUM(Audit[[#This Row],[Audit Losing Candidate]:[Audit Candidate 6]])
      &lt;&gt;0,
      (Audit[[#This Row],[Winning Candidate]]-Audit[[#This Row],[Losing Candidate]]-(Audit[[#This Row],[Audit Winning Candidate]]-Audit[[#This Row],[Audit Losing Candidate]]))/(Audit[[#Totals],[Winning Candidate]]-Audit[[#Totals],[Losing Candidate]]),
      0
)</f>
        <v>0</v>
      </c>
      <c r="AD11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6" s="111">
        <f>IF(Audit[[#This Row],[Max Relative Error (ep)]] = 0, 0, Audit[[#This Row],[Max Relative Error (ep)]]/Audit[[#This Row],[Error Bound (up) - Max. possible relative overstatement]])</f>
        <v>0</v>
      </c>
      <c r="AJ11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46" s="111">
        <f t="shared" si="17"/>
        <v>1</v>
      </c>
      <c r="AL1146" s="111">
        <f>PRODUCT($AK$5:AK1146)</f>
        <v>8.962823818226312E-2</v>
      </c>
      <c r="AM1146" s="109">
        <f>1 - [K-M P Value]</f>
        <v>0.91037176181773694</v>
      </c>
      <c r="AN1146" s="111" t="str">
        <f>IF(Audit[[#This Row],[K-M P Value]]&gt;1-'General Info'!$B$16,"Continue", "Stop")</f>
        <v>Stop</v>
      </c>
      <c r="AO1146" s="110" t="b">
        <f>IF(Audit[[#This Row],[Status - Continue or stop audit]] = "Continue", TRUE, IF(AN1145 = "Continue", TRUE, FALSE))</f>
        <v>0</v>
      </c>
      <c r="AP1146" s="110"/>
    </row>
    <row r="1147" spans="1:42" ht="15" hidden="1" customHeight="1">
      <c r="A1147" s="111" t="str">
        <f>'Sampling Data'!W1139</f>
        <v/>
      </c>
      <c r="B1147" s="112" t="str">
        <f>'Sampling Data'!A1139</f>
        <v>EUCLID -07-F</v>
      </c>
      <c r="C1147" s="112">
        <f>'Sampling Data'!B1139</f>
        <v>11</v>
      </c>
      <c r="D1147" s="112">
        <f>'Sampling Data'!C1139</f>
        <v>19</v>
      </c>
      <c r="E1147" s="113">
        <f>'Sampling Data'!D1139</f>
        <v>5</v>
      </c>
      <c r="F1147" s="113">
        <f>'Sampling Data'!E1139</f>
        <v>1</v>
      </c>
      <c r="G1147" s="113">
        <f>'Sampling Data'!F1139</f>
        <v>0</v>
      </c>
      <c r="H1147" s="113">
        <f>'Sampling Data'!G1139</f>
        <v>0</v>
      </c>
      <c r="I1147" s="112">
        <f>'Sampling Data'!H1139</f>
        <v>0</v>
      </c>
      <c r="J1147" s="112">
        <f>'Sampling Data'!I1139</f>
        <v>0</v>
      </c>
      <c r="K1147" s="112">
        <f>'Sampling Data'!J1139</f>
        <v>36</v>
      </c>
      <c r="L1147" s="111">
        <f>'Sampling Data'!X1139</f>
        <v>0</v>
      </c>
      <c r="M1147" s="114"/>
      <c r="N1147" s="114"/>
      <c r="O1147" s="115"/>
      <c r="P1147" s="115"/>
      <c r="Q1147" s="116"/>
      <c r="R1147" s="116"/>
      <c r="S1147" s="111">
        <f>Audit[[#This Row],[Audit Losing Candidate]]-Audit[[#This Row],[Losing Candidate]]</f>
        <v>-11</v>
      </c>
      <c r="T1147" s="111">
        <f>Audit[[#This Row],[Audit Winning Candidate]]-Audit[[#This Row],[Winning Candidate]]</f>
        <v>-19</v>
      </c>
      <c r="U1147" s="111">
        <f>Audit[[#This Row],[Audit Candidate 3]]-Audit[[#This Row],[Candidate 3]]</f>
        <v>-5</v>
      </c>
      <c r="V1147" s="111">
        <f>Audit[[#This Row],[Audit Candidate 4]]-Audit[[#This Row],[Candidate 4]]</f>
        <v>-1</v>
      </c>
      <c r="W1147" s="111">
        <f>Audit[[#This Row],[Audit Candidate 5]]-Audit[[#This Row],[Candidate 5]]</f>
        <v>0</v>
      </c>
      <c r="X1147" s="111">
        <f>Audit[[#This Row],[Audit Candidate 6]]-Audit[[#This Row],[Candidate 6]]</f>
        <v>0</v>
      </c>
      <c r="Y1147" s="111">
        <f>SUMIF(Audit[[#This Row],[Difference Loser]:[Difference Candidate 6]], "&gt;0")</f>
        <v>0</v>
      </c>
      <c r="Z1147" s="111">
        <f>SUM(Audit[[#This Row],[Difference Loser]:[Difference Candidate 6]])</f>
        <v>-36</v>
      </c>
      <c r="AA1147" s="111">
        <f>IF(Audit[[#This Row],[Times p Drawn - With Replacement]]&gt;0, IF(Audit[[#This Row],[Canceled Differences]]&lt;0, Audit[[#This Row],[Max Differences]]+ABS(Audit[[#This Row],[Canceled Differences]]), Audit[[#This Row],[Max Differences]]), 0)</f>
        <v>0</v>
      </c>
      <c r="AB1147" s="111">
        <f>'Sampling Data'!P1139</f>
        <v>2.6947574718275357E-3</v>
      </c>
      <c r="AC1147" s="111">
        <f>IF(
      SUM(Audit[[#This Row],[Audit Losing Candidate]:[Audit Candidate 6]])
      &lt;&gt;0,
      (Audit[[#This Row],[Winning Candidate]]-Audit[[#This Row],[Losing Candidate]]-(Audit[[#This Row],[Audit Winning Candidate]]-Audit[[#This Row],[Audit Losing Candidate]]))/(Audit[[#Totals],[Winning Candidate]]-Audit[[#Totals],[Losing Candidate]]),
      0
)</f>
        <v>0</v>
      </c>
      <c r="AD11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7" s="111">
        <f>IF(Audit[[#This Row],[Max Relative Error (ep)]] = 0, 0, Audit[[#This Row],[Max Relative Error (ep)]]/Audit[[#This Row],[Error Bound (up) - Max. possible relative overstatement]])</f>
        <v>0</v>
      </c>
      <c r="AJ11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47" s="111">
        <f t="shared" si="17"/>
        <v>1</v>
      </c>
      <c r="AL1147" s="111">
        <f>PRODUCT($AK$5:AK1147)</f>
        <v>8.962823818226312E-2</v>
      </c>
      <c r="AM1147" s="109">
        <f>1 - [K-M P Value]</f>
        <v>0.91037176181773694</v>
      </c>
      <c r="AN1147" s="111" t="str">
        <f>IF(Audit[[#This Row],[K-M P Value]]&gt;1-'General Info'!$B$16,"Continue", "Stop")</f>
        <v>Stop</v>
      </c>
      <c r="AO1147" s="110" t="b">
        <f>IF(Audit[[#This Row],[Status - Continue or stop audit]] = "Continue", TRUE, IF(AN1146 = "Continue", TRUE, FALSE))</f>
        <v>0</v>
      </c>
      <c r="AP1147" s="110"/>
    </row>
    <row r="1148" spans="1:42" ht="15" hidden="1" customHeight="1">
      <c r="A1148" s="111" t="str">
        <f>'Sampling Data'!W1140</f>
        <v/>
      </c>
      <c r="B1148" s="112" t="str">
        <f>'Sampling Data'!A1140</f>
        <v>EUCLID -07-F - ABS</v>
      </c>
      <c r="C1148" s="112">
        <f>'Sampling Data'!B1140</f>
        <v>10</v>
      </c>
      <c r="D1148" s="112">
        <f>'Sampling Data'!C1140</f>
        <v>6</v>
      </c>
      <c r="E1148" s="113">
        <f>'Sampling Data'!D1140</f>
        <v>1</v>
      </c>
      <c r="F1148" s="113">
        <f>'Sampling Data'!E1140</f>
        <v>0</v>
      </c>
      <c r="G1148" s="113">
        <f>'Sampling Data'!F1140</f>
        <v>0</v>
      </c>
      <c r="H1148" s="113">
        <f>'Sampling Data'!G1140</f>
        <v>0</v>
      </c>
      <c r="I1148" s="112">
        <f>'Sampling Data'!H1140</f>
        <v>1</v>
      </c>
      <c r="J1148" s="112">
        <f>'Sampling Data'!I1140</f>
        <v>0</v>
      </c>
      <c r="K1148" s="112">
        <f>'Sampling Data'!J1140</f>
        <v>18</v>
      </c>
      <c r="L1148" s="111">
        <f>'Sampling Data'!X1140</f>
        <v>0</v>
      </c>
      <c r="M1148" s="114"/>
      <c r="N1148" s="114"/>
      <c r="O1148" s="115"/>
      <c r="P1148" s="115"/>
      <c r="Q1148" s="116"/>
      <c r="R1148" s="116"/>
      <c r="S1148" s="111">
        <f>Audit[[#This Row],[Audit Losing Candidate]]-Audit[[#This Row],[Losing Candidate]]</f>
        <v>-10</v>
      </c>
      <c r="T1148" s="111">
        <f>Audit[[#This Row],[Audit Winning Candidate]]-Audit[[#This Row],[Winning Candidate]]</f>
        <v>-6</v>
      </c>
      <c r="U1148" s="111">
        <f>Audit[[#This Row],[Audit Candidate 3]]-Audit[[#This Row],[Candidate 3]]</f>
        <v>-1</v>
      </c>
      <c r="V1148" s="111">
        <f>Audit[[#This Row],[Audit Candidate 4]]-Audit[[#This Row],[Candidate 4]]</f>
        <v>0</v>
      </c>
      <c r="W1148" s="111">
        <f>Audit[[#This Row],[Audit Candidate 5]]-Audit[[#This Row],[Candidate 5]]</f>
        <v>0</v>
      </c>
      <c r="X1148" s="111">
        <f>Audit[[#This Row],[Audit Candidate 6]]-Audit[[#This Row],[Candidate 6]]</f>
        <v>0</v>
      </c>
      <c r="Y1148" s="111">
        <f>SUMIF(Audit[[#This Row],[Difference Loser]:[Difference Candidate 6]], "&gt;0")</f>
        <v>0</v>
      </c>
      <c r="Z1148" s="111">
        <f>SUM(Audit[[#This Row],[Difference Loser]:[Difference Candidate 6]])</f>
        <v>-17</v>
      </c>
      <c r="AA1148" s="111">
        <f>IF(Audit[[#This Row],[Times p Drawn - With Replacement]]&gt;0, IF(Audit[[#This Row],[Canceled Differences]]&lt;0, Audit[[#This Row],[Max Differences]]+ABS(Audit[[#This Row],[Canceled Differences]]), Audit[[#This Row],[Max Differences]]), 0)</f>
        <v>0</v>
      </c>
      <c r="AB1148" s="111">
        <f>'Sampling Data'!P1140</f>
        <v>8.5742283194512492E-4</v>
      </c>
      <c r="AC1148" s="111">
        <f>IF(
      SUM(Audit[[#This Row],[Audit Losing Candidate]:[Audit Candidate 6]])
      &lt;&gt;0,
      (Audit[[#This Row],[Winning Candidate]]-Audit[[#This Row],[Losing Candidate]]-(Audit[[#This Row],[Audit Winning Candidate]]-Audit[[#This Row],[Audit Losing Candidate]]))/(Audit[[#Totals],[Winning Candidate]]-Audit[[#Totals],[Losing Candidate]]),
      0
)</f>
        <v>0</v>
      </c>
      <c r="AD11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8" s="111">
        <f>IF(Audit[[#This Row],[Max Relative Error (ep)]] = 0, 0, Audit[[#This Row],[Max Relative Error (ep)]]/Audit[[#This Row],[Error Bound (up) - Max. possible relative overstatement]])</f>
        <v>0</v>
      </c>
      <c r="AJ11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48" s="111">
        <f t="shared" si="17"/>
        <v>1</v>
      </c>
      <c r="AL1148" s="111">
        <f>PRODUCT($AK$5:AK1148)</f>
        <v>8.962823818226312E-2</v>
      </c>
      <c r="AM1148" s="109">
        <f>1 - [K-M P Value]</f>
        <v>0.91037176181773694</v>
      </c>
      <c r="AN1148" s="111" t="str">
        <f>IF(Audit[[#This Row],[K-M P Value]]&gt;1-'General Info'!$B$16,"Continue", "Stop")</f>
        <v>Stop</v>
      </c>
      <c r="AO1148" s="110" t="b">
        <f>IF(Audit[[#This Row],[Status - Continue or stop audit]] = "Continue", TRUE, IF(AN1147 = "Continue", TRUE, FALSE))</f>
        <v>0</v>
      </c>
      <c r="AP1148" s="110"/>
    </row>
    <row r="1149" spans="1:42" ht="15" hidden="1" customHeight="1">
      <c r="A1149" s="111" t="str">
        <f>'Sampling Data'!W1141</f>
        <v/>
      </c>
      <c r="B1149" s="112" t="str">
        <f>'Sampling Data'!A1141</f>
        <v>EUCLID -08-A</v>
      </c>
      <c r="C1149" s="112">
        <f>'Sampling Data'!B1141</f>
        <v>8</v>
      </c>
      <c r="D1149" s="112">
        <f>'Sampling Data'!C1141</f>
        <v>11</v>
      </c>
      <c r="E1149" s="113">
        <f>'Sampling Data'!D1141</f>
        <v>4</v>
      </c>
      <c r="F1149" s="113">
        <f>'Sampling Data'!E1141</f>
        <v>3</v>
      </c>
      <c r="G1149" s="113">
        <f>'Sampling Data'!F1141</f>
        <v>0</v>
      </c>
      <c r="H1149" s="113">
        <f>'Sampling Data'!G1141</f>
        <v>1</v>
      </c>
      <c r="I1149" s="112">
        <f>'Sampling Data'!H1141</f>
        <v>0</v>
      </c>
      <c r="J1149" s="112">
        <f>'Sampling Data'!I1141</f>
        <v>1</v>
      </c>
      <c r="K1149" s="112">
        <f>'Sampling Data'!J1141</f>
        <v>28</v>
      </c>
      <c r="L1149" s="111">
        <f>'Sampling Data'!X1141</f>
        <v>0</v>
      </c>
      <c r="M1149" s="114"/>
      <c r="N1149" s="114"/>
      <c r="O1149" s="115"/>
      <c r="P1149" s="115"/>
      <c r="Q1149" s="116"/>
      <c r="R1149" s="116"/>
      <c r="S1149" s="111">
        <f>Audit[[#This Row],[Audit Losing Candidate]]-Audit[[#This Row],[Losing Candidate]]</f>
        <v>-8</v>
      </c>
      <c r="T1149" s="111">
        <f>Audit[[#This Row],[Audit Winning Candidate]]-Audit[[#This Row],[Winning Candidate]]</f>
        <v>-11</v>
      </c>
      <c r="U1149" s="111">
        <f>Audit[[#This Row],[Audit Candidate 3]]-Audit[[#This Row],[Candidate 3]]</f>
        <v>-4</v>
      </c>
      <c r="V1149" s="111">
        <f>Audit[[#This Row],[Audit Candidate 4]]-Audit[[#This Row],[Candidate 4]]</f>
        <v>-3</v>
      </c>
      <c r="W1149" s="111">
        <f>Audit[[#This Row],[Audit Candidate 5]]-Audit[[#This Row],[Candidate 5]]</f>
        <v>0</v>
      </c>
      <c r="X1149" s="111">
        <f>Audit[[#This Row],[Audit Candidate 6]]-Audit[[#This Row],[Candidate 6]]</f>
        <v>-1</v>
      </c>
      <c r="Y1149" s="111">
        <f>SUMIF(Audit[[#This Row],[Difference Loser]:[Difference Candidate 6]], "&gt;0")</f>
        <v>0</v>
      </c>
      <c r="Z1149" s="111">
        <f>SUM(Audit[[#This Row],[Difference Loser]:[Difference Candidate 6]])</f>
        <v>-27</v>
      </c>
      <c r="AA1149" s="111">
        <f>IF(Audit[[#This Row],[Times p Drawn - With Replacement]]&gt;0, IF(Audit[[#This Row],[Canceled Differences]]&lt;0, Audit[[#This Row],[Max Differences]]+ABS(Audit[[#This Row],[Canceled Differences]]), Audit[[#This Row],[Max Differences]]), 0)</f>
        <v>0</v>
      </c>
      <c r="AB1149" s="111">
        <f>'Sampling Data'!P1141</f>
        <v>1.8985791278784908E-3</v>
      </c>
      <c r="AC1149" s="111">
        <f>IF(
      SUM(Audit[[#This Row],[Audit Losing Candidate]:[Audit Candidate 6]])
      &lt;&gt;0,
      (Audit[[#This Row],[Winning Candidate]]-Audit[[#This Row],[Losing Candidate]]-(Audit[[#This Row],[Audit Winning Candidate]]-Audit[[#This Row],[Audit Losing Candidate]]))/(Audit[[#Totals],[Winning Candidate]]-Audit[[#Totals],[Losing Candidate]]),
      0
)</f>
        <v>0</v>
      </c>
      <c r="AD11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9" s="111">
        <f>IF(Audit[[#This Row],[Max Relative Error (ep)]] = 0, 0, Audit[[#This Row],[Max Relative Error (ep)]]/Audit[[#This Row],[Error Bound (up) - Max. possible relative overstatement]])</f>
        <v>0</v>
      </c>
      <c r="AJ11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49" s="111">
        <f t="shared" si="17"/>
        <v>1</v>
      </c>
      <c r="AL1149" s="111">
        <f>PRODUCT($AK$5:AK1149)</f>
        <v>8.962823818226312E-2</v>
      </c>
      <c r="AM1149" s="109">
        <f>1 - [K-M P Value]</f>
        <v>0.91037176181773694</v>
      </c>
      <c r="AN1149" s="111" t="str">
        <f>IF(Audit[[#This Row],[K-M P Value]]&gt;1-'General Info'!$B$16,"Continue", "Stop")</f>
        <v>Stop</v>
      </c>
      <c r="AO1149" s="110" t="b">
        <f>IF(Audit[[#This Row],[Status - Continue or stop audit]] = "Continue", TRUE, IF(AN1148 = "Continue", TRUE, FALSE))</f>
        <v>0</v>
      </c>
      <c r="AP1149" s="110"/>
    </row>
    <row r="1150" spans="1:42" ht="15" hidden="1" customHeight="1">
      <c r="A1150" s="111" t="str">
        <f>'Sampling Data'!W1142</f>
        <v/>
      </c>
      <c r="B1150" s="112" t="str">
        <f>'Sampling Data'!A1142</f>
        <v>EUCLID -08-A - ABS</v>
      </c>
      <c r="C1150" s="112">
        <f>'Sampling Data'!B1142</f>
        <v>6</v>
      </c>
      <c r="D1150" s="112">
        <f>'Sampling Data'!C1142</f>
        <v>7</v>
      </c>
      <c r="E1150" s="113">
        <f>'Sampling Data'!D1142</f>
        <v>1</v>
      </c>
      <c r="F1150" s="113">
        <f>'Sampling Data'!E1142</f>
        <v>1</v>
      </c>
      <c r="G1150" s="113">
        <f>'Sampling Data'!F1142</f>
        <v>0</v>
      </c>
      <c r="H1150" s="113">
        <f>'Sampling Data'!G1142</f>
        <v>0</v>
      </c>
      <c r="I1150" s="112">
        <f>'Sampling Data'!H1142</f>
        <v>0</v>
      </c>
      <c r="J1150" s="112">
        <f>'Sampling Data'!I1142</f>
        <v>0</v>
      </c>
      <c r="K1150" s="112">
        <f>'Sampling Data'!J1142</f>
        <v>15</v>
      </c>
      <c r="L1150" s="111">
        <f>'Sampling Data'!X1142</f>
        <v>0</v>
      </c>
      <c r="M1150" s="114"/>
      <c r="N1150" s="114"/>
      <c r="O1150" s="115"/>
      <c r="P1150" s="115"/>
      <c r="Q1150" s="116"/>
      <c r="R1150" s="116"/>
      <c r="S1150" s="111">
        <f>Audit[[#This Row],[Audit Losing Candidate]]-Audit[[#This Row],[Losing Candidate]]</f>
        <v>-6</v>
      </c>
      <c r="T1150" s="111">
        <f>Audit[[#This Row],[Audit Winning Candidate]]-Audit[[#This Row],[Winning Candidate]]</f>
        <v>-7</v>
      </c>
      <c r="U1150" s="111">
        <f>Audit[[#This Row],[Audit Candidate 3]]-Audit[[#This Row],[Candidate 3]]</f>
        <v>-1</v>
      </c>
      <c r="V1150" s="111">
        <f>Audit[[#This Row],[Audit Candidate 4]]-Audit[[#This Row],[Candidate 4]]</f>
        <v>-1</v>
      </c>
      <c r="W1150" s="111">
        <f>Audit[[#This Row],[Audit Candidate 5]]-Audit[[#This Row],[Candidate 5]]</f>
        <v>0</v>
      </c>
      <c r="X1150" s="111">
        <f>Audit[[#This Row],[Audit Candidate 6]]-Audit[[#This Row],[Candidate 6]]</f>
        <v>0</v>
      </c>
      <c r="Y1150" s="111">
        <f>SUMIF(Audit[[#This Row],[Difference Loser]:[Difference Candidate 6]], "&gt;0")</f>
        <v>0</v>
      </c>
      <c r="Z1150" s="111">
        <f>SUM(Audit[[#This Row],[Difference Loser]:[Difference Candidate 6]])</f>
        <v>-15</v>
      </c>
      <c r="AA1150" s="111">
        <f>IF(Audit[[#This Row],[Times p Drawn - With Replacement]]&gt;0, IF(Audit[[#This Row],[Canceled Differences]]&lt;0, Audit[[#This Row],[Max Differences]]+ABS(Audit[[#This Row],[Canceled Differences]]), Audit[[#This Row],[Max Differences]]), 0)</f>
        <v>0</v>
      </c>
      <c r="AB1150" s="111">
        <f>'Sampling Data'!P1142</f>
        <v>9.7991180793728563E-4</v>
      </c>
      <c r="AC1150" s="111">
        <f>IF(
      SUM(Audit[[#This Row],[Audit Losing Candidate]:[Audit Candidate 6]])
      &lt;&gt;0,
      (Audit[[#This Row],[Winning Candidate]]-Audit[[#This Row],[Losing Candidate]]-(Audit[[#This Row],[Audit Winning Candidate]]-Audit[[#This Row],[Audit Losing Candidate]]))/(Audit[[#Totals],[Winning Candidate]]-Audit[[#Totals],[Losing Candidate]]),
      0
)</f>
        <v>0</v>
      </c>
      <c r="AD11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0" s="111">
        <f>IF(Audit[[#This Row],[Max Relative Error (ep)]] = 0, 0, Audit[[#This Row],[Max Relative Error (ep)]]/Audit[[#This Row],[Error Bound (up) - Max. possible relative overstatement]])</f>
        <v>0</v>
      </c>
      <c r="AJ11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50" s="111">
        <f t="shared" si="17"/>
        <v>1</v>
      </c>
      <c r="AL1150" s="111">
        <f>PRODUCT($AK$5:AK1150)</f>
        <v>8.962823818226312E-2</v>
      </c>
      <c r="AM1150" s="109">
        <f>1 - [K-M P Value]</f>
        <v>0.91037176181773694</v>
      </c>
      <c r="AN1150" s="111" t="str">
        <f>IF(Audit[[#This Row],[K-M P Value]]&gt;1-'General Info'!$B$16,"Continue", "Stop")</f>
        <v>Stop</v>
      </c>
      <c r="AO1150" s="110" t="b">
        <f>IF(Audit[[#This Row],[Status - Continue or stop audit]] = "Continue", TRUE, IF(AN1149 = "Continue", TRUE, FALSE))</f>
        <v>0</v>
      </c>
      <c r="AP1150" s="110"/>
    </row>
    <row r="1151" spans="1:42" ht="15" hidden="1" customHeight="1">
      <c r="A1151" s="111" t="str">
        <f>'Sampling Data'!W1143</f>
        <v/>
      </c>
      <c r="B1151" s="112" t="str">
        <f>'Sampling Data'!A1143</f>
        <v>EUCLID -08-B</v>
      </c>
      <c r="C1151" s="112">
        <f>'Sampling Data'!B1143</f>
        <v>11</v>
      </c>
      <c r="D1151" s="112">
        <f>'Sampling Data'!C1143</f>
        <v>7</v>
      </c>
      <c r="E1151" s="113">
        <f>'Sampling Data'!D1143</f>
        <v>1</v>
      </c>
      <c r="F1151" s="113">
        <f>'Sampling Data'!E1143</f>
        <v>3</v>
      </c>
      <c r="G1151" s="113">
        <f>'Sampling Data'!F1143</f>
        <v>0</v>
      </c>
      <c r="H1151" s="113">
        <f>'Sampling Data'!G1143</f>
        <v>1</v>
      </c>
      <c r="I1151" s="112">
        <f>'Sampling Data'!H1143</f>
        <v>0</v>
      </c>
      <c r="J1151" s="112">
        <f>'Sampling Data'!I1143</f>
        <v>0</v>
      </c>
      <c r="K1151" s="112">
        <f>'Sampling Data'!J1143</f>
        <v>23</v>
      </c>
      <c r="L1151" s="111">
        <f>'Sampling Data'!X1143</f>
        <v>0</v>
      </c>
      <c r="M1151" s="114"/>
      <c r="N1151" s="114"/>
      <c r="O1151" s="115"/>
      <c r="P1151" s="115"/>
      <c r="Q1151" s="116"/>
      <c r="R1151" s="116"/>
      <c r="S1151" s="111">
        <f>Audit[[#This Row],[Audit Losing Candidate]]-Audit[[#This Row],[Losing Candidate]]</f>
        <v>-11</v>
      </c>
      <c r="T1151" s="111">
        <f>Audit[[#This Row],[Audit Winning Candidate]]-Audit[[#This Row],[Winning Candidate]]</f>
        <v>-7</v>
      </c>
      <c r="U1151" s="111">
        <f>Audit[[#This Row],[Audit Candidate 3]]-Audit[[#This Row],[Candidate 3]]</f>
        <v>-1</v>
      </c>
      <c r="V1151" s="111">
        <f>Audit[[#This Row],[Audit Candidate 4]]-Audit[[#This Row],[Candidate 4]]</f>
        <v>-3</v>
      </c>
      <c r="W1151" s="111">
        <f>Audit[[#This Row],[Audit Candidate 5]]-Audit[[#This Row],[Candidate 5]]</f>
        <v>0</v>
      </c>
      <c r="X1151" s="111">
        <f>Audit[[#This Row],[Audit Candidate 6]]-Audit[[#This Row],[Candidate 6]]</f>
        <v>-1</v>
      </c>
      <c r="Y1151" s="111">
        <f>SUMIF(Audit[[#This Row],[Difference Loser]:[Difference Candidate 6]], "&gt;0")</f>
        <v>0</v>
      </c>
      <c r="Z1151" s="111">
        <f>SUM(Audit[[#This Row],[Difference Loser]:[Difference Candidate 6]])</f>
        <v>-23</v>
      </c>
      <c r="AA1151" s="111">
        <f>IF(Audit[[#This Row],[Times p Drawn - With Replacement]]&gt;0, IF(Audit[[#This Row],[Canceled Differences]]&lt;0, Audit[[#This Row],[Max Differences]]+ABS(Audit[[#This Row],[Canceled Differences]]), Audit[[#This Row],[Max Differences]]), 0)</f>
        <v>0</v>
      </c>
      <c r="AB1151" s="111">
        <f>'Sampling Data'!P1143</f>
        <v>1.1636452719255266E-3</v>
      </c>
      <c r="AC1151" s="111">
        <f>IF(
      SUM(Audit[[#This Row],[Audit Losing Candidate]:[Audit Candidate 6]])
      &lt;&gt;0,
      (Audit[[#This Row],[Winning Candidate]]-Audit[[#This Row],[Losing Candidate]]-(Audit[[#This Row],[Audit Winning Candidate]]-Audit[[#This Row],[Audit Losing Candidate]]))/(Audit[[#Totals],[Winning Candidate]]-Audit[[#Totals],[Losing Candidate]]),
      0
)</f>
        <v>0</v>
      </c>
      <c r="AD11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1" s="111">
        <f>IF(Audit[[#This Row],[Max Relative Error (ep)]] = 0, 0, Audit[[#This Row],[Max Relative Error (ep)]]/Audit[[#This Row],[Error Bound (up) - Max. possible relative overstatement]])</f>
        <v>0</v>
      </c>
      <c r="AJ11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51" s="111">
        <f t="shared" si="17"/>
        <v>1</v>
      </c>
      <c r="AL1151" s="111">
        <f>PRODUCT($AK$5:AK1151)</f>
        <v>8.962823818226312E-2</v>
      </c>
      <c r="AM1151" s="109">
        <f>1 - [K-M P Value]</f>
        <v>0.91037176181773694</v>
      </c>
      <c r="AN1151" s="111" t="str">
        <f>IF(Audit[[#This Row],[K-M P Value]]&gt;1-'General Info'!$B$16,"Continue", "Stop")</f>
        <v>Stop</v>
      </c>
      <c r="AO1151" s="110" t="b">
        <f>IF(Audit[[#This Row],[Status - Continue or stop audit]] = "Continue", TRUE, IF(AN1150 = "Continue", TRUE, FALSE))</f>
        <v>0</v>
      </c>
      <c r="AP1151" s="110"/>
    </row>
    <row r="1152" spans="1:42" ht="15" hidden="1" customHeight="1">
      <c r="A1152" s="111" t="str">
        <f>'Sampling Data'!W1144</f>
        <v/>
      </c>
      <c r="B1152" s="112" t="str">
        <f>'Sampling Data'!A1144</f>
        <v>EUCLID -08-B - ABS</v>
      </c>
      <c r="C1152" s="112">
        <f>'Sampling Data'!B1144</f>
        <v>7</v>
      </c>
      <c r="D1152" s="112">
        <f>'Sampling Data'!C1144</f>
        <v>8</v>
      </c>
      <c r="E1152" s="113">
        <f>'Sampling Data'!D1144</f>
        <v>3</v>
      </c>
      <c r="F1152" s="113">
        <f>'Sampling Data'!E1144</f>
        <v>2</v>
      </c>
      <c r="G1152" s="113">
        <f>'Sampling Data'!F1144</f>
        <v>0</v>
      </c>
      <c r="H1152" s="113">
        <f>'Sampling Data'!G1144</f>
        <v>0</v>
      </c>
      <c r="I1152" s="112">
        <f>'Sampling Data'!H1144</f>
        <v>0</v>
      </c>
      <c r="J1152" s="112">
        <f>'Sampling Data'!I1144</f>
        <v>0</v>
      </c>
      <c r="K1152" s="112">
        <f>'Sampling Data'!J1144</f>
        <v>20</v>
      </c>
      <c r="L1152" s="111">
        <f>'Sampling Data'!X1144</f>
        <v>0</v>
      </c>
      <c r="M1152" s="114"/>
      <c r="N1152" s="114"/>
      <c r="O1152" s="115"/>
      <c r="P1152" s="115"/>
      <c r="Q1152" s="116"/>
      <c r="R1152" s="116"/>
      <c r="S1152" s="111">
        <f>Audit[[#This Row],[Audit Losing Candidate]]-Audit[[#This Row],[Losing Candidate]]</f>
        <v>-7</v>
      </c>
      <c r="T1152" s="111">
        <f>Audit[[#This Row],[Audit Winning Candidate]]-Audit[[#This Row],[Winning Candidate]]</f>
        <v>-8</v>
      </c>
      <c r="U1152" s="111">
        <f>Audit[[#This Row],[Audit Candidate 3]]-Audit[[#This Row],[Candidate 3]]</f>
        <v>-3</v>
      </c>
      <c r="V1152" s="111">
        <f>Audit[[#This Row],[Audit Candidate 4]]-Audit[[#This Row],[Candidate 4]]</f>
        <v>-2</v>
      </c>
      <c r="W1152" s="111">
        <f>Audit[[#This Row],[Audit Candidate 5]]-Audit[[#This Row],[Candidate 5]]</f>
        <v>0</v>
      </c>
      <c r="X1152" s="111">
        <f>Audit[[#This Row],[Audit Candidate 6]]-Audit[[#This Row],[Candidate 6]]</f>
        <v>0</v>
      </c>
      <c r="Y1152" s="111">
        <f>SUMIF(Audit[[#This Row],[Difference Loser]:[Difference Candidate 6]], "&gt;0")</f>
        <v>0</v>
      </c>
      <c r="Z1152" s="111">
        <f>SUM(Audit[[#This Row],[Difference Loser]:[Difference Candidate 6]])</f>
        <v>-20</v>
      </c>
      <c r="AA1152" s="111">
        <f>IF(Audit[[#This Row],[Times p Drawn - With Replacement]]&gt;0, IF(Audit[[#This Row],[Canceled Differences]]&lt;0, Audit[[#This Row],[Max Differences]]+ABS(Audit[[#This Row],[Canceled Differences]]), Audit[[#This Row],[Max Differences]]), 0)</f>
        <v>0</v>
      </c>
      <c r="AB1152" s="111">
        <f>'Sampling Data'!P1144</f>
        <v>1.2861342479176874E-3</v>
      </c>
      <c r="AC1152" s="111">
        <f>IF(
      SUM(Audit[[#This Row],[Audit Losing Candidate]:[Audit Candidate 6]])
      &lt;&gt;0,
      (Audit[[#This Row],[Winning Candidate]]-Audit[[#This Row],[Losing Candidate]]-(Audit[[#This Row],[Audit Winning Candidate]]-Audit[[#This Row],[Audit Losing Candidate]]))/(Audit[[#Totals],[Winning Candidate]]-Audit[[#Totals],[Losing Candidate]]),
      0
)</f>
        <v>0</v>
      </c>
      <c r="AD11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2" s="111">
        <f>IF(Audit[[#This Row],[Max Relative Error (ep)]] = 0, 0, Audit[[#This Row],[Max Relative Error (ep)]]/Audit[[#This Row],[Error Bound (up) - Max. possible relative overstatement]])</f>
        <v>0</v>
      </c>
      <c r="AJ11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52" s="111">
        <f t="shared" si="17"/>
        <v>1</v>
      </c>
      <c r="AL1152" s="111">
        <f>PRODUCT($AK$5:AK1152)</f>
        <v>8.962823818226312E-2</v>
      </c>
      <c r="AM1152" s="109">
        <f>1 - [K-M P Value]</f>
        <v>0.91037176181773694</v>
      </c>
      <c r="AN1152" s="111" t="str">
        <f>IF(Audit[[#This Row],[K-M P Value]]&gt;1-'General Info'!$B$16,"Continue", "Stop")</f>
        <v>Stop</v>
      </c>
      <c r="AO1152" s="110" t="b">
        <f>IF(Audit[[#This Row],[Status - Continue or stop audit]] = "Continue", TRUE, IF(AN1151 = "Continue", TRUE, FALSE))</f>
        <v>0</v>
      </c>
      <c r="AP1152" s="110"/>
    </row>
    <row r="1153" spans="1:42" ht="15" hidden="1" customHeight="1">
      <c r="A1153" s="111" t="str">
        <f>'Sampling Data'!W1145</f>
        <v/>
      </c>
      <c r="B1153" s="112" t="str">
        <f>'Sampling Data'!A1145</f>
        <v>EUCLID -08-C</v>
      </c>
      <c r="C1153" s="112">
        <f>'Sampling Data'!B1145</f>
        <v>6</v>
      </c>
      <c r="D1153" s="112">
        <f>'Sampling Data'!C1145</f>
        <v>5</v>
      </c>
      <c r="E1153" s="113">
        <f>'Sampling Data'!D1145</f>
        <v>4</v>
      </c>
      <c r="F1153" s="113">
        <f>'Sampling Data'!E1145</f>
        <v>0</v>
      </c>
      <c r="G1153" s="113">
        <f>'Sampling Data'!F1145</f>
        <v>0</v>
      </c>
      <c r="H1153" s="113">
        <f>'Sampling Data'!G1145</f>
        <v>0</v>
      </c>
      <c r="I1153" s="112">
        <f>'Sampling Data'!H1145</f>
        <v>0</v>
      </c>
      <c r="J1153" s="112">
        <f>'Sampling Data'!I1145</f>
        <v>0</v>
      </c>
      <c r="K1153" s="112">
        <f>'Sampling Data'!J1145</f>
        <v>15</v>
      </c>
      <c r="L1153" s="111">
        <f>'Sampling Data'!X1145</f>
        <v>0</v>
      </c>
      <c r="M1153" s="114"/>
      <c r="N1153" s="114"/>
      <c r="O1153" s="115"/>
      <c r="P1153" s="115"/>
      <c r="Q1153" s="116"/>
      <c r="R1153" s="116"/>
      <c r="S1153" s="111">
        <f>Audit[[#This Row],[Audit Losing Candidate]]-Audit[[#This Row],[Losing Candidate]]</f>
        <v>-6</v>
      </c>
      <c r="T1153" s="111">
        <f>Audit[[#This Row],[Audit Winning Candidate]]-Audit[[#This Row],[Winning Candidate]]</f>
        <v>-5</v>
      </c>
      <c r="U1153" s="111">
        <f>Audit[[#This Row],[Audit Candidate 3]]-Audit[[#This Row],[Candidate 3]]</f>
        <v>-4</v>
      </c>
      <c r="V1153" s="111">
        <f>Audit[[#This Row],[Audit Candidate 4]]-Audit[[#This Row],[Candidate 4]]</f>
        <v>0</v>
      </c>
      <c r="W1153" s="111">
        <f>Audit[[#This Row],[Audit Candidate 5]]-Audit[[#This Row],[Candidate 5]]</f>
        <v>0</v>
      </c>
      <c r="X1153" s="111">
        <f>Audit[[#This Row],[Audit Candidate 6]]-Audit[[#This Row],[Candidate 6]]</f>
        <v>0</v>
      </c>
      <c r="Y1153" s="111">
        <f>SUMIF(Audit[[#This Row],[Difference Loser]:[Difference Candidate 6]], "&gt;0")</f>
        <v>0</v>
      </c>
      <c r="Z1153" s="111">
        <f>SUM(Audit[[#This Row],[Difference Loser]:[Difference Candidate 6]])</f>
        <v>-15</v>
      </c>
      <c r="AA1153" s="111">
        <f>IF(Audit[[#This Row],[Times p Drawn - With Replacement]]&gt;0, IF(Audit[[#This Row],[Canceled Differences]]&lt;0, Audit[[#This Row],[Max Differences]]+ABS(Audit[[#This Row],[Canceled Differences]]), Audit[[#This Row],[Max Differences]]), 0)</f>
        <v>0</v>
      </c>
      <c r="AB1153" s="111">
        <f>'Sampling Data'!P1145</f>
        <v>8.5742283194512492E-4</v>
      </c>
      <c r="AC1153" s="111">
        <f>IF(
      SUM(Audit[[#This Row],[Audit Losing Candidate]:[Audit Candidate 6]])
      &lt;&gt;0,
      (Audit[[#This Row],[Winning Candidate]]-Audit[[#This Row],[Losing Candidate]]-(Audit[[#This Row],[Audit Winning Candidate]]-Audit[[#This Row],[Audit Losing Candidate]]))/(Audit[[#Totals],[Winning Candidate]]-Audit[[#Totals],[Losing Candidate]]),
      0
)</f>
        <v>0</v>
      </c>
      <c r="AD11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3" s="111">
        <f>IF(Audit[[#This Row],[Max Relative Error (ep)]] = 0, 0, Audit[[#This Row],[Max Relative Error (ep)]]/Audit[[#This Row],[Error Bound (up) - Max. possible relative overstatement]])</f>
        <v>0</v>
      </c>
      <c r="AJ11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53" s="111">
        <f t="shared" si="17"/>
        <v>1</v>
      </c>
      <c r="AL1153" s="111">
        <f>PRODUCT($AK$5:AK1153)</f>
        <v>8.962823818226312E-2</v>
      </c>
      <c r="AM1153" s="109">
        <f>1 - [K-M P Value]</f>
        <v>0.91037176181773694</v>
      </c>
      <c r="AN1153" s="111" t="str">
        <f>IF(Audit[[#This Row],[K-M P Value]]&gt;1-'General Info'!$B$16,"Continue", "Stop")</f>
        <v>Stop</v>
      </c>
      <c r="AO1153" s="110" t="b">
        <f>IF(Audit[[#This Row],[Status - Continue or stop audit]] = "Continue", TRUE, IF(AN1152 = "Continue", TRUE, FALSE))</f>
        <v>0</v>
      </c>
      <c r="AP1153" s="110"/>
    </row>
    <row r="1154" spans="1:42" ht="15" hidden="1" customHeight="1">
      <c r="A1154" s="111" t="str">
        <f>'Sampling Data'!W1146</f>
        <v/>
      </c>
      <c r="B1154" s="112" t="str">
        <f>'Sampling Data'!A1146</f>
        <v>EUCLID -08-C - ABS</v>
      </c>
      <c r="C1154" s="112">
        <f>'Sampling Data'!B1146</f>
        <v>3</v>
      </c>
      <c r="D1154" s="112">
        <f>'Sampling Data'!C1146</f>
        <v>1</v>
      </c>
      <c r="E1154" s="113">
        <f>'Sampling Data'!D1146</f>
        <v>2</v>
      </c>
      <c r="F1154" s="113">
        <f>'Sampling Data'!E1146</f>
        <v>0</v>
      </c>
      <c r="G1154" s="113">
        <f>'Sampling Data'!F1146</f>
        <v>0</v>
      </c>
      <c r="H1154" s="113">
        <f>'Sampling Data'!G1146</f>
        <v>0</v>
      </c>
      <c r="I1154" s="112">
        <f>'Sampling Data'!H1146</f>
        <v>0</v>
      </c>
      <c r="J1154" s="112">
        <f>'Sampling Data'!I1146</f>
        <v>2</v>
      </c>
      <c r="K1154" s="112">
        <f>'Sampling Data'!J1146</f>
        <v>8</v>
      </c>
      <c r="L1154" s="111">
        <f>'Sampling Data'!X1146</f>
        <v>0</v>
      </c>
      <c r="M1154" s="114"/>
      <c r="N1154" s="114"/>
      <c r="O1154" s="115"/>
      <c r="P1154" s="115"/>
      <c r="Q1154" s="116"/>
      <c r="R1154" s="116"/>
      <c r="S1154" s="111">
        <f>Audit[[#This Row],[Audit Losing Candidate]]-Audit[[#This Row],[Losing Candidate]]</f>
        <v>-3</v>
      </c>
      <c r="T1154" s="111">
        <f>Audit[[#This Row],[Audit Winning Candidate]]-Audit[[#This Row],[Winning Candidate]]</f>
        <v>-1</v>
      </c>
      <c r="U1154" s="111">
        <f>Audit[[#This Row],[Audit Candidate 3]]-Audit[[#This Row],[Candidate 3]]</f>
        <v>-2</v>
      </c>
      <c r="V1154" s="111">
        <f>Audit[[#This Row],[Audit Candidate 4]]-Audit[[#This Row],[Candidate 4]]</f>
        <v>0</v>
      </c>
      <c r="W1154" s="111">
        <f>Audit[[#This Row],[Audit Candidate 5]]-Audit[[#This Row],[Candidate 5]]</f>
        <v>0</v>
      </c>
      <c r="X1154" s="111">
        <f>Audit[[#This Row],[Audit Candidate 6]]-Audit[[#This Row],[Candidate 6]]</f>
        <v>0</v>
      </c>
      <c r="Y1154" s="111">
        <f>SUMIF(Audit[[#This Row],[Difference Loser]:[Difference Candidate 6]], "&gt;0")</f>
        <v>0</v>
      </c>
      <c r="Z1154" s="111">
        <f>SUM(Audit[[#This Row],[Difference Loser]:[Difference Candidate 6]])</f>
        <v>-6</v>
      </c>
      <c r="AA1154" s="111">
        <f>IF(Audit[[#This Row],[Times p Drawn - With Replacement]]&gt;0, IF(Audit[[#This Row],[Canceled Differences]]&lt;0, Audit[[#This Row],[Max Differences]]+ABS(Audit[[#This Row],[Canceled Differences]]), Audit[[#This Row],[Max Differences]]), 0)</f>
        <v>0</v>
      </c>
      <c r="AB1154" s="111">
        <f>'Sampling Data'!P1146</f>
        <v>3.6746692797648211E-4</v>
      </c>
      <c r="AC1154" s="111">
        <f>IF(
      SUM(Audit[[#This Row],[Audit Losing Candidate]:[Audit Candidate 6]])
      &lt;&gt;0,
      (Audit[[#This Row],[Winning Candidate]]-Audit[[#This Row],[Losing Candidate]]-(Audit[[#This Row],[Audit Winning Candidate]]-Audit[[#This Row],[Audit Losing Candidate]]))/(Audit[[#Totals],[Winning Candidate]]-Audit[[#Totals],[Losing Candidate]]),
      0
)</f>
        <v>0</v>
      </c>
      <c r="AD11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4" s="111">
        <f>IF(Audit[[#This Row],[Max Relative Error (ep)]] = 0, 0, Audit[[#This Row],[Max Relative Error (ep)]]/Audit[[#This Row],[Error Bound (up) - Max. possible relative overstatement]])</f>
        <v>0</v>
      </c>
      <c r="AJ11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54" s="111">
        <f t="shared" si="17"/>
        <v>1</v>
      </c>
      <c r="AL1154" s="111">
        <f>PRODUCT($AK$5:AK1154)</f>
        <v>8.962823818226312E-2</v>
      </c>
      <c r="AM1154" s="109">
        <f>1 - [K-M P Value]</f>
        <v>0.91037176181773694</v>
      </c>
      <c r="AN1154" s="111" t="str">
        <f>IF(Audit[[#This Row],[K-M P Value]]&gt;1-'General Info'!$B$16,"Continue", "Stop")</f>
        <v>Stop</v>
      </c>
      <c r="AO1154" s="110" t="b">
        <f>IF(Audit[[#This Row],[Status - Continue or stop audit]] = "Continue", TRUE, IF(AN1153 = "Continue", TRUE, FALSE))</f>
        <v>0</v>
      </c>
      <c r="AP1154" s="110"/>
    </row>
    <row r="1155" spans="1:42" ht="15" hidden="1" customHeight="1">
      <c r="A1155" s="111" t="str">
        <f>'Sampling Data'!W1147</f>
        <v/>
      </c>
      <c r="B1155" s="112" t="str">
        <f>'Sampling Data'!A1147</f>
        <v>EUCLID -08-D</v>
      </c>
      <c r="C1155" s="112">
        <f>'Sampling Data'!B1147</f>
        <v>13</v>
      </c>
      <c r="D1155" s="112">
        <f>'Sampling Data'!C1147</f>
        <v>14</v>
      </c>
      <c r="E1155" s="113">
        <f>'Sampling Data'!D1147</f>
        <v>3</v>
      </c>
      <c r="F1155" s="113">
        <f>'Sampling Data'!E1147</f>
        <v>2</v>
      </c>
      <c r="G1155" s="113">
        <f>'Sampling Data'!F1147</f>
        <v>1</v>
      </c>
      <c r="H1155" s="113">
        <f>'Sampling Data'!G1147</f>
        <v>0</v>
      </c>
      <c r="I1155" s="112">
        <f>'Sampling Data'!H1147</f>
        <v>0</v>
      </c>
      <c r="J1155" s="112">
        <f>'Sampling Data'!I1147</f>
        <v>0</v>
      </c>
      <c r="K1155" s="112">
        <f>'Sampling Data'!J1147</f>
        <v>33</v>
      </c>
      <c r="L1155" s="111">
        <f>'Sampling Data'!X1147</f>
        <v>0</v>
      </c>
      <c r="M1155" s="114"/>
      <c r="N1155" s="114"/>
      <c r="O1155" s="115"/>
      <c r="P1155" s="115"/>
      <c r="Q1155" s="116"/>
      <c r="R1155" s="116"/>
      <c r="S1155" s="111">
        <f>Audit[[#This Row],[Audit Losing Candidate]]-Audit[[#This Row],[Losing Candidate]]</f>
        <v>-13</v>
      </c>
      <c r="T1155" s="111">
        <f>Audit[[#This Row],[Audit Winning Candidate]]-Audit[[#This Row],[Winning Candidate]]</f>
        <v>-14</v>
      </c>
      <c r="U1155" s="111">
        <f>Audit[[#This Row],[Audit Candidate 3]]-Audit[[#This Row],[Candidate 3]]</f>
        <v>-3</v>
      </c>
      <c r="V1155" s="111">
        <f>Audit[[#This Row],[Audit Candidate 4]]-Audit[[#This Row],[Candidate 4]]</f>
        <v>-2</v>
      </c>
      <c r="W1155" s="111">
        <f>Audit[[#This Row],[Audit Candidate 5]]-Audit[[#This Row],[Candidate 5]]</f>
        <v>-1</v>
      </c>
      <c r="X1155" s="111">
        <f>Audit[[#This Row],[Audit Candidate 6]]-Audit[[#This Row],[Candidate 6]]</f>
        <v>0</v>
      </c>
      <c r="Y1155" s="111">
        <f>SUMIF(Audit[[#This Row],[Difference Loser]:[Difference Candidate 6]], "&gt;0")</f>
        <v>0</v>
      </c>
      <c r="Z1155" s="111">
        <f>SUM(Audit[[#This Row],[Difference Loser]:[Difference Candidate 6]])</f>
        <v>-33</v>
      </c>
      <c r="AA1155" s="111">
        <f>IF(Audit[[#This Row],[Times p Drawn - With Replacement]]&gt;0, IF(Audit[[#This Row],[Canceled Differences]]&lt;0, Audit[[#This Row],[Max Differences]]+ABS(Audit[[#This Row],[Canceled Differences]]), Audit[[#This Row],[Max Differences]]), 0)</f>
        <v>0</v>
      </c>
      <c r="AB1155" s="111">
        <f>'Sampling Data'!P1147</f>
        <v>2.0823125918667321E-3</v>
      </c>
      <c r="AC1155" s="111">
        <f>IF(
      SUM(Audit[[#This Row],[Audit Losing Candidate]:[Audit Candidate 6]])
      &lt;&gt;0,
      (Audit[[#This Row],[Winning Candidate]]-Audit[[#This Row],[Losing Candidate]]-(Audit[[#This Row],[Audit Winning Candidate]]-Audit[[#This Row],[Audit Losing Candidate]]))/(Audit[[#Totals],[Winning Candidate]]-Audit[[#Totals],[Losing Candidate]]),
      0
)</f>
        <v>0</v>
      </c>
      <c r="AD11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5" s="111">
        <f>IF(Audit[[#This Row],[Max Relative Error (ep)]] = 0, 0, Audit[[#This Row],[Max Relative Error (ep)]]/Audit[[#This Row],[Error Bound (up) - Max. possible relative overstatement]])</f>
        <v>0</v>
      </c>
      <c r="AJ11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55" s="111">
        <f t="shared" si="17"/>
        <v>1</v>
      </c>
      <c r="AL1155" s="111">
        <f>PRODUCT($AK$5:AK1155)</f>
        <v>8.962823818226312E-2</v>
      </c>
      <c r="AM1155" s="109">
        <f>1 - [K-M P Value]</f>
        <v>0.91037176181773694</v>
      </c>
      <c r="AN1155" s="111" t="str">
        <f>IF(Audit[[#This Row],[K-M P Value]]&gt;1-'General Info'!$B$16,"Continue", "Stop")</f>
        <v>Stop</v>
      </c>
      <c r="AO1155" s="110" t="b">
        <f>IF(Audit[[#This Row],[Status - Continue or stop audit]] = "Continue", TRUE, IF(AN1154 = "Continue", TRUE, FALSE))</f>
        <v>0</v>
      </c>
      <c r="AP1155" s="110"/>
    </row>
    <row r="1156" spans="1:42" ht="15" hidden="1" customHeight="1">
      <c r="A1156" s="111" t="str">
        <f>'Sampling Data'!W1148</f>
        <v/>
      </c>
      <c r="B1156" s="112" t="str">
        <f>'Sampling Data'!A1148</f>
        <v>EUCLID -08-D - ABS</v>
      </c>
      <c r="C1156" s="112">
        <f>'Sampling Data'!B1148</f>
        <v>5</v>
      </c>
      <c r="D1156" s="112">
        <f>'Sampling Data'!C1148</f>
        <v>9</v>
      </c>
      <c r="E1156" s="113">
        <f>'Sampling Data'!D1148</f>
        <v>6</v>
      </c>
      <c r="F1156" s="113">
        <f>'Sampling Data'!E1148</f>
        <v>2</v>
      </c>
      <c r="G1156" s="113">
        <f>'Sampling Data'!F1148</f>
        <v>0</v>
      </c>
      <c r="H1156" s="113">
        <f>'Sampling Data'!G1148</f>
        <v>0</v>
      </c>
      <c r="I1156" s="112">
        <f>'Sampling Data'!H1148</f>
        <v>0</v>
      </c>
      <c r="J1156" s="112">
        <f>'Sampling Data'!I1148</f>
        <v>1</v>
      </c>
      <c r="K1156" s="112">
        <f>'Sampling Data'!J1148</f>
        <v>23</v>
      </c>
      <c r="L1156" s="111">
        <f>'Sampling Data'!X1148</f>
        <v>0</v>
      </c>
      <c r="M1156" s="114"/>
      <c r="N1156" s="114"/>
      <c r="O1156" s="115"/>
      <c r="P1156" s="115"/>
      <c r="Q1156" s="116"/>
      <c r="R1156" s="116"/>
      <c r="S1156" s="111">
        <f>Audit[[#This Row],[Audit Losing Candidate]]-Audit[[#This Row],[Losing Candidate]]</f>
        <v>-5</v>
      </c>
      <c r="T1156" s="111">
        <f>Audit[[#This Row],[Audit Winning Candidate]]-Audit[[#This Row],[Winning Candidate]]</f>
        <v>-9</v>
      </c>
      <c r="U1156" s="111">
        <f>Audit[[#This Row],[Audit Candidate 3]]-Audit[[#This Row],[Candidate 3]]</f>
        <v>-6</v>
      </c>
      <c r="V1156" s="111">
        <f>Audit[[#This Row],[Audit Candidate 4]]-Audit[[#This Row],[Candidate 4]]</f>
        <v>-2</v>
      </c>
      <c r="W1156" s="111">
        <f>Audit[[#This Row],[Audit Candidate 5]]-Audit[[#This Row],[Candidate 5]]</f>
        <v>0</v>
      </c>
      <c r="X1156" s="111">
        <f>Audit[[#This Row],[Audit Candidate 6]]-Audit[[#This Row],[Candidate 6]]</f>
        <v>0</v>
      </c>
      <c r="Y1156" s="111">
        <f>SUMIF(Audit[[#This Row],[Difference Loser]:[Difference Candidate 6]], "&gt;0")</f>
        <v>0</v>
      </c>
      <c r="Z1156" s="111">
        <f>SUM(Audit[[#This Row],[Difference Loser]:[Difference Candidate 6]])</f>
        <v>-22</v>
      </c>
      <c r="AA1156" s="111">
        <f>IF(Audit[[#This Row],[Times p Drawn - With Replacement]]&gt;0, IF(Audit[[#This Row],[Canceled Differences]]&lt;0, Audit[[#This Row],[Max Differences]]+ABS(Audit[[#This Row],[Canceled Differences]]), Audit[[#This Row],[Max Differences]]), 0)</f>
        <v>0</v>
      </c>
      <c r="AB1156" s="111">
        <f>'Sampling Data'!P1148</f>
        <v>1.6536011758941694E-3</v>
      </c>
      <c r="AC1156" s="111">
        <f>IF(
      SUM(Audit[[#This Row],[Audit Losing Candidate]:[Audit Candidate 6]])
      &lt;&gt;0,
      (Audit[[#This Row],[Winning Candidate]]-Audit[[#This Row],[Losing Candidate]]-(Audit[[#This Row],[Audit Winning Candidate]]-Audit[[#This Row],[Audit Losing Candidate]]))/(Audit[[#Totals],[Winning Candidate]]-Audit[[#Totals],[Losing Candidate]]),
      0
)</f>
        <v>0</v>
      </c>
      <c r="AD11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6" s="111">
        <f>IF(Audit[[#This Row],[Max Relative Error (ep)]] = 0, 0, Audit[[#This Row],[Max Relative Error (ep)]]/Audit[[#This Row],[Error Bound (up) - Max. possible relative overstatement]])</f>
        <v>0</v>
      </c>
      <c r="AJ11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56" s="111">
        <f t="shared" si="17"/>
        <v>1</v>
      </c>
      <c r="AL1156" s="111">
        <f>PRODUCT($AK$5:AK1156)</f>
        <v>8.962823818226312E-2</v>
      </c>
      <c r="AM1156" s="109">
        <f>1 - [K-M P Value]</f>
        <v>0.91037176181773694</v>
      </c>
      <c r="AN1156" s="111" t="str">
        <f>IF(Audit[[#This Row],[K-M P Value]]&gt;1-'General Info'!$B$16,"Continue", "Stop")</f>
        <v>Stop</v>
      </c>
      <c r="AO1156" s="110" t="b">
        <f>IF(Audit[[#This Row],[Status - Continue or stop audit]] = "Continue", TRUE, IF(AN1155 = "Continue", TRUE, FALSE))</f>
        <v>0</v>
      </c>
      <c r="AP1156" s="110"/>
    </row>
    <row r="1157" spans="1:42" ht="15" hidden="1" customHeight="1">
      <c r="A1157" s="111" t="str">
        <f>'Sampling Data'!W1149</f>
        <v/>
      </c>
      <c r="B1157" s="112" t="str">
        <f>'Sampling Data'!A1149</f>
        <v>EUCLID -08-E</v>
      </c>
      <c r="C1157" s="112">
        <f>'Sampling Data'!B1149</f>
        <v>5</v>
      </c>
      <c r="D1157" s="112">
        <f>'Sampling Data'!C1149</f>
        <v>12</v>
      </c>
      <c r="E1157" s="113">
        <f>'Sampling Data'!D1149</f>
        <v>3</v>
      </c>
      <c r="F1157" s="113">
        <f>'Sampling Data'!E1149</f>
        <v>3</v>
      </c>
      <c r="G1157" s="113">
        <f>'Sampling Data'!F1149</f>
        <v>0</v>
      </c>
      <c r="H1157" s="113">
        <f>'Sampling Data'!G1149</f>
        <v>0</v>
      </c>
      <c r="I1157" s="112">
        <f>'Sampling Data'!H1149</f>
        <v>0</v>
      </c>
      <c r="J1157" s="112">
        <f>'Sampling Data'!I1149</f>
        <v>1</v>
      </c>
      <c r="K1157" s="112">
        <f>'Sampling Data'!J1149</f>
        <v>24</v>
      </c>
      <c r="L1157" s="111">
        <f>'Sampling Data'!X1149</f>
        <v>0</v>
      </c>
      <c r="M1157" s="114"/>
      <c r="N1157" s="114"/>
      <c r="O1157" s="115"/>
      <c r="P1157" s="115"/>
      <c r="Q1157" s="116"/>
      <c r="R1157" s="116"/>
      <c r="S1157" s="111">
        <f>Audit[[#This Row],[Audit Losing Candidate]]-Audit[[#This Row],[Losing Candidate]]</f>
        <v>-5</v>
      </c>
      <c r="T1157" s="111">
        <f>Audit[[#This Row],[Audit Winning Candidate]]-Audit[[#This Row],[Winning Candidate]]</f>
        <v>-12</v>
      </c>
      <c r="U1157" s="111">
        <f>Audit[[#This Row],[Audit Candidate 3]]-Audit[[#This Row],[Candidate 3]]</f>
        <v>-3</v>
      </c>
      <c r="V1157" s="111">
        <f>Audit[[#This Row],[Audit Candidate 4]]-Audit[[#This Row],[Candidate 4]]</f>
        <v>-3</v>
      </c>
      <c r="W1157" s="111">
        <f>Audit[[#This Row],[Audit Candidate 5]]-Audit[[#This Row],[Candidate 5]]</f>
        <v>0</v>
      </c>
      <c r="X1157" s="111">
        <f>Audit[[#This Row],[Audit Candidate 6]]-Audit[[#This Row],[Candidate 6]]</f>
        <v>0</v>
      </c>
      <c r="Y1157" s="111">
        <f>SUMIF(Audit[[#This Row],[Difference Loser]:[Difference Candidate 6]], "&gt;0")</f>
        <v>0</v>
      </c>
      <c r="Z1157" s="111">
        <f>SUM(Audit[[#This Row],[Difference Loser]:[Difference Candidate 6]])</f>
        <v>-23</v>
      </c>
      <c r="AA1157" s="111">
        <f>IF(Audit[[#This Row],[Times p Drawn - With Replacement]]&gt;0, IF(Audit[[#This Row],[Canceled Differences]]&lt;0, Audit[[#This Row],[Max Differences]]+ABS(Audit[[#This Row],[Canceled Differences]]), Audit[[#This Row],[Max Differences]]), 0)</f>
        <v>0</v>
      </c>
      <c r="AB1157" s="111">
        <f>'Sampling Data'!P1149</f>
        <v>1.8985791278784908E-3</v>
      </c>
      <c r="AC1157" s="111">
        <f>IF(
      SUM(Audit[[#This Row],[Audit Losing Candidate]:[Audit Candidate 6]])
      &lt;&gt;0,
      (Audit[[#This Row],[Winning Candidate]]-Audit[[#This Row],[Losing Candidate]]-(Audit[[#This Row],[Audit Winning Candidate]]-Audit[[#This Row],[Audit Losing Candidate]]))/(Audit[[#Totals],[Winning Candidate]]-Audit[[#Totals],[Losing Candidate]]),
      0
)</f>
        <v>0</v>
      </c>
      <c r="AD11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7" s="111">
        <f>IF(Audit[[#This Row],[Max Relative Error (ep)]] = 0, 0, Audit[[#This Row],[Max Relative Error (ep)]]/Audit[[#This Row],[Error Bound (up) - Max. possible relative overstatement]])</f>
        <v>0</v>
      </c>
      <c r="AJ11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57" s="111">
        <f t="shared" ref="AK1157:AK1220" si="18">IF(ISERR(POWER(AJ1157,L1157)), 0, POWER(AJ1157,L1157))</f>
        <v>1</v>
      </c>
      <c r="AL1157" s="111">
        <f>PRODUCT($AK$5:AK1157)</f>
        <v>8.962823818226312E-2</v>
      </c>
      <c r="AM1157" s="109">
        <f>1 - [K-M P Value]</f>
        <v>0.91037176181773694</v>
      </c>
      <c r="AN1157" s="111" t="str">
        <f>IF(Audit[[#This Row],[K-M P Value]]&gt;1-'General Info'!$B$16,"Continue", "Stop")</f>
        <v>Stop</v>
      </c>
      <c r="AO1157" s="110" t="b">
        <f>IF(Audit[[#This Row],[Status - Continue or stop audit]] = "Continue", TRUE, IF(AN1156 = "Continue", TRUE, FALSE))</f>
        <v>0</v>
      </c>
      <c r="AP1157" s="110"/>
    </row>
    <row r="1158" spans="1:42" ht="15" hidden="1" customHeight="1">
      <c r="A1158" s="111" t="str">
        <f>'Sampling Data'!W1150</f>
        <v/>
      </c>
      <c r="B1158" s="112" t="str">
        <f>'Sampling Data'!A1150</f>
        <v>EUCLID -08-E - ABS</v>
      </c>
      <c r="C1158" s="112">
        <f>'Sampling Data'!B1150</f>
        <v>4</v>
      </c>
      <c r="D1158" s="112">
        <f>'Sampling Data'!C1150</f>
        <v>4</v>
      </c>
      <c r="E1158" s="113">
        <f>'Sampling Data'!D1150</f>
        <v>1</v>
      </c>
      <c r="F1158" s="113">
        <f>'Sampling Data'!E1150</f>
        <v>0</v>
      </c>
      <c r="G1158" s="113">
        <f>'Sampling Data'!F1150</f>
        <v>0</v>
      </c>
      <c r="H1158" s="113">
        <f>'Sampling Data'!G1150</f>
        <v>0</v>
      </c>
      <c r="I1158" s="112">
        <f>'Sampling Data'!H1150</f>
        <v>0</v>
      </c>
      <c r="J1158" s="112">
        <f>'Sampling Data'!I1150</f>
        <v>0</v>
      </c>
      <c r="K1158" s="112">
        <f>'Sampling Data'!J1150</f>
        <v>9</v>
      </c>
      <c r="L1158" s="111">
        <f>'Sampling Data'!X1150</f>
        <v>0</v>
      </c>
      <c r="M1158" s="114"/>
      <c r="N1158" s="114"/>
      <c r="O1158" s="115"/>
      <c r="P1158" s="115"/>
      <c r="Q1158" s="116"/>
      <c r="R1158" s="116"/>
      <c r="S1158" s="111">
        <f>Audit[[#This Row],[Audit Losing Candidate]]-Audit[[#This Row],[Losing Candidate]]</f>
        <v>-4</v>
      </c>
      <c r="T1158" s="111">
        <f>Audit[[#This Row],[Audit Winning Candidate]]-Audit[[#This Row],[Winning Candidate]]</f>
        <v>-4</v>
      </c>
      <c r="U1158" s="111">
        <f>Audit[[#This Row],[Audit Candidate 3]]-Audit[[#This Row],[Candidate 3]]</f>
        <v>-1</v>
      </c>
      <c r="V1158" s="111">
        <f>Audit[[#This Row],[Audit Candidate 4]]-Audit[[#This Row],[Candidate 4]]</f>
        <v>0</v>
      </c>
      <c r="W1158" s="111">
        <f>Audit[[#This Row],[Audit Candidate 5]]-Audit[[#This Row],[Candidate 5]]</f>
        <v>0</v>
      </c>
      <c r="X1158" s="111">
        <f>Audit[[#This Row],[Audit Candidate 6]]-Audit[[#This Row],[Candidate 6]]</f>
        <v>0</v>
      </c>
      <c r="Y1158" s="111">
        <f>SUMIF(Audit[[#This Row],[Difference Loser]:[Difference Candidate 6]], "&gt;0")</f>
        <v>0</v>
      </c>
      <c r="Z1158" s="111">
        <f>SUM(Audit[[#This Row],[Difference Loser]:[Difference Candidate 6]])</f>
        <v>-9</v>
      </c>
      <c r="AA1158" s="111">
        <f>IF(Audit[[#This Row],[Times p Drawn - With Replacement]]&gt;0, IF(Audit[[#This Row],[Canceled Differences]]&lt;0, Audit[[#This Row],[Max Differences]]+ABS(Audit[[#This Row],[Canceled Differences]]), Audit[[#This Row],[Max Differences]]), 0)</f>
        <v>0</v>
      </c>
      <c r="AB1158" s="111">
        <f>'Sampling Data'!P1150</f>
        <v>5.5120039196472322E-4</v>
      </c>
      <c r="AC1158" s="111">
        <f>IF(
      SUM(Audit[[#This Row],[Audit Losing Candidate]:[Audit Candidate 6]])
      &lt;&gt;0,
      (Audit[[#This Row],[Winning Candidate]]-Audit[[#This Row],[Losing Candidate]]-(Audit[[#This Row],[Audit Winning Candidate]]-Audit[[#This Row],[Audit Losing Candidate]]))/(Audit[[#Totals],[Winning Candidate]]-Audit[[#Totals],[Losing Candidate]]),
      0
)</f>
        <v>0</v>
      </c>
      <c r="AD11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8" s="111">
        <f>IF(Audit[[#This Row],[Max Relative Error (ep)]] = 0, 0, Audit[[#This Row],[Max Relative Error (ep)]]/Audit[[#This Row],[Error Bound (up) - Max. possible relative overstatement]])</f>
        <v>0</v>
      </c>
      <c r="AJ11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58" s="111">
        <f t="shared" si="18"/>
        <v>1</v>
      </c>
      <c r="AL1158" s="111">
        <f>PRODUCT($AK$5:AK1158)</f>
        <v>8.962823818226312E-2</v>
      </c>
      <c r="AM1158" s="109">
        <f>1 - [K-M P Value]</f>
        <v>0.91037176181773694</v>
      </c>
      <c r="AN1158" s="111" t="str">
        <f>IF(Audit[[#This Row],[K-M P Value]]&gt;1-'General Info'!$B$16,"Continue", "Stop")</f>
        <v>Stop</v>
      </c>
      <c r="AO1158" s="110" t="b">
        <f>IF(Audit[[#This Row],[Status - Continue or stop audit]] = "Continue", TRUE, IF(AN1157 = "Continue", TRUE, FALSE))</f>
        <v>0</v>
      </c>
      <c r="AP1158" s="110"/>
    </row>
    <row r="1159" spans="1:42" ht="15" hidden="1" customHeight="1">
      <c r="A1159" s="111" t="str">
        <f>'Sampling Data'!W1151</f>
        <v/>
      </c>
      <c r="B1159" s="112" t="str">
        <f>'Sampling Data'!A1151</f>
        <v>EUCLID -08-F</v>
      </c>
      <c r="C1159" s="112">
        <f>'Sampling Data'!B1151</f>
        <v>7</v>
      </c>
      <c r="D1159" s="112">
        <f>'Sampling Data'!C1151</f>
        <v>7</v>
      </c>
      <c r="E1159" s="113">
        <f>'Sampling Data'!D1151</f>
        <v>4</v>
      </c>
      <c r="F1159" s="113">
        <f>'Sampling Data'!E1151</f>
        <v>1</v>
      </c>
      <c r="G1159" s="113">
        <f>'Sampling Data'!F1151</f>
        <v>0</v>
      </c>
      <c r="H1159" s="113">
        <f>'Sampling Data'!G1151</f>
        <v>0</v>
      </c>
      <c r="I1159" s="112">
        <f>'Sampling Data'!H1151</f>
        <v>0</v>
      </c>
      <c r="J1159" s="112">
        <f>'Sampling Data'!I1151</f>
        <v>0</v>
      </c>
      <c r="K1159" s="112">
        <f>'Sampling Data'!J1151</f>
        <v>19</v>
      </c>
      <c r="L1159" s="111">
        <f>'Sampling Data'!X1151</f>
        <v>0</v>
      </c>
      <c r="M1159" s="114"/>
      <c r="N1159" s="114"/>
      <c r="O1159" s="115"/>
      <c r="P1159" s="115"/>
      <c r="Q1159" s="116"/>
      <c r="R1159" s="116"/>
      <c r="S1159" s="111">
        <f>Audit[[#This Row],[Audit Losing Candidate]]-Audit[[#This Row],[Losing Candidate]]</f>
        <v>-7</v>
      </c>
      <c r="T1159" s="111">
        <f>Audit[[#This Row],[Audit Winning Candidate]]-Audit[[#This Row],[Winning Candidate]]</f>
        <v>-7</v>
      </c>
      <c r="U1159" s="111">
        <f>Audit[[#This Row],[Audit Candidate 3]]-Audit[[#This Row],[Candidate 3]]</f>
        <v>-4</v>
      </c>
      <c r="V1159" s="111">
        <f>Audit[[#This Row],[Audit Candidate 4]]-Audit[[#This Row],[Candidate 4]]</f>
        <v>-1</v>
      </c>
      <c r="W1159" s="111">
        <f>Audit[[#This Row],[Audit Candidate 5]]-Audit[[#This Row],[Candidate 5]]</f>
        <v>0</v>
      </c>
      <c r="X1159" s="111">
        <f>Audit[[#This Row],[Audit Candidate 6]]-Audit[[#This Row],[Candidate 6]]</f>
        <v>0</v>
      </c>
      <c r="Y1159" s="111">
        <f>SUMIF(Audit[[#This Row],[Difference Loser]:[Difference Candidate 6]], "&gt;0")</f>
        <v>0</v>
      </c>
      <c r="Z1159" s="111">
        <f>SUM(Audit[[#This Row],[Difference Loser]:[Difference Candidate 6]])</f>
        <v>-19</v>
      </c>
      <c r="AA1159" s="111">
        <f>IF(Audit[[#This Row],[Times p Drawn - With Replacement]]&gt;0, IF(Audit[[#This Row],[Canceled Differences]]&lt;0, Audit[[#This Row],[Max Differences]]+ABS(Audit[[#This Row],[Canceled Differences]]), Audit[[#This Row],[Max Differences]]), 0)</f>
        <v>0</v>
      </c>
      <c r="AB1159" s="111">
        <f>'Sampling Data'!P1151</f>
        <v>1.1636452719255266E-3</v>
      </c>
      <c r="AC1159" s="111">
        <f>IF(
      SUM(Audit[[#This Row],[Audit Losing Candidate]:[Audit Candidate 6]])
      &lt;&gt;0,
      (Audit[[#This Row],[Winning Candidate]]-Audit[[#This Row],[Losing Candidate]]-(Audit[[#This Row],[Audit Winning Candidate]]-Audit[[#This Row],[Audit Losing Candidate]]))/(Audit[[#Totals],[Winning Candidate]]-Audit[[#Totals],[Losing Candidate]]),
      0
)</f>
        <v>0</v>
      </c>
      <c r="AD11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9" s="111">
        <f>IF(Audit[[#This Row],[Max Relative Error (ep)]] = 0, 0, Audit[[#This Row],[Max Relative Error (ep)]]/Audit[[#This Row],[Error Bound (up) - Max. possible relative overstatement]])</f>
        <v>0</v>
      </c>
      <c r="AJ11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59" s="111">
        <f t="shared" si="18"/>
        <v>1</v>
      </c>
      <c r="AL1159" s="111">
        <f>PRODUCT($AK$5:AK1159)</f>
        <v>8.962823818226312E-2</v>
      </c>
      <c r="AM1159" s="109">
        <f>1 - [K-M P Value]</f>
        <v>0.91037176181773694</v>
      </c>
      <c r="AN1159" s="111" t="str">
        <f>IF(Audit[[#This Row],[K-M P Value]]&gt;1-'General Info'!$B$16,"Continue", "Stop")</f>
        <v>Stop</v>
      </c>
      <c r="AO1159" s="110" t="b">
        <f>IF(Audit[[#This Row],[Status - Continue or stop audit]] = "Continue", TRUE, IF(AN1158 = "Continue", TRUE, FALSE))</f>
        <v>0</v>
      </c>
      <c r="AP1159" s="110"/>
    </row>
    <row r="1160" spans="1:42" ht="15" hidden="1" customHeight="1">
      <c r="A1160" s="111" t="str">
        <f>'Sampling Data'!W1152</f>
        <v/>
      </c>
      <c r="B1160" s="112" t="str">
        <f>'Sampling Data'!A1152</f>
        <v>EUCLID -08-F - ABS</v>
      </c>
      <c r="C1160" s="112">
        <f>'Sampling Data'!B1152</f>
        <v>4</v>
      </c>
      <c r="D1160" s="112">
        <f>'Sampling Data'!C1152</f>
        <v>3</v>
      </c>
      <c r="E1160" s="113">
        <f>'Sampling Data'!D1152</f>
        <v>0</v>
      </c>
      <c r="F1160" s="113">
        <f>'Sampling Data'!E1152</f>
        <v>2</v>
      </c>
      <c r="G1160" s="113">
        <f>'Sampling Data'!F1152</f>
        <v>0</v>
      </c>
      <c r="H1160" s="113">
        <f>'Sampling Data'!G1152</f>
        <v>0</v>
      </c>
      <c r="I1160" s="112">
        <f>'Sampling Data'!H1152</f>
        <v>0</v>
      </c>
      <c r="J1160" s="112">
        <f>'Sampling Data'!I1152</f>
        <v>0</v>
      </c>
      <c r="K1160" s="112">
        <f>'Sampling Data'!J1152</f>
        <v>9</v>
      </c>
      <c r="L1160" s="111">
        <f>'Sampling Data'!X1152</f>
        <v>0</v>
      </c>
      <c r="M1160" s="114"/>
      <c r="N1160" s="114"/>
      <c r="O1160" s="115"/>
      <c r="P1160" s="115"/>
      <c r="Q1160" s="116"/>
      <c r="R1160" s="116"/>
      <c r="S1160" s="111">
        <f>Audit[[#This Row],[Audit Losing Candidate]]-Audit[[#This Row],[Losing Candidate]]</f>
        <v>-4</v>
      </c>
      <c r="T1160" s="111">
        <f>Audit[[#This Row],[Audit Winning Candidate]]-Audit[[#This Row],[Winning Candidate]]</f>
        <v>-3</v>
      </c>
      <c r="U1160" s="111">
        <f>Audit[[#This Row],[Audit Candidate 3]]-Audit[[#This Row],[Candidate 3]]</f>
        <v>0</v>
      </c>
      <c r="V1160" s="111">
        <f>Audit[[#This Row],[Audit Candidate 4]]-Audit[[#This Row],[Candidate 4]]</f>
        <v>-2</v>
      </c>
      <c r="W1160" s="111">
        <f>Audit[[#This Row],[Audit Candidate 5]]-Audit[[#This Row],[Candidate 5]]</f>
        <v>0</v>
      </c>
      <c r="X1160" s="111">
        <f>Audit[[#This Row],[Audit Candidate 6]]-Audit[[#This Row],[Candidate 6]]</f>
        <v>0</v>
      </c>
      <c r="Y1160" s="111">
        <f>SUMIF(Audit[[#This Row],[Difference Loser]:[Difference Candidate 6]], "&gt;0")</f>
        <v>0</v>
      </c>
      <c r="Z1160" s="111">
        <f>SUM(Audit[[#This Row],[Difference Loser]:[Difference Candidate 6]])</f>
        <v>-9</v>
      </c>
      <c r="AA1160" s="111">
        <f>IF(Audit[[#This Row],[Times p Drawn - With Replacement]]&gt;0, IF(Audit[[#This Row],[Canceled Differences]]&lt;0, Audit[[#This Row],[Max Differences]]+ABS(Audit[[#This Row],[Canceled Differences]]), Audit[[#This Row],[Max Differences]]), 0)</f>
        <v>0</v>
      </c>
      <c r="AB1160" s="111">
        <f>'Sampling Data'!P1152</f>
        <v>4.8995590396864281E-4</v>
      </c>
      <c r="AC1160" s="111">
        <f>IF(
      SUM(Audit[[#This Row],[Audit Losing Candidate]:[Audit Candidate 6]])
      &lt;&gt;0,
      (Audit[[#This Row],[Winning Candidate]]-Audit[[#This Row],[Losing Candidate]]-(Audit[[#This Row],[Audit Winning Candidate]]-Audit[[#This Row],[Audit Losing Candidate]]))/(Audit[[#Totals],[Winning Candidate]]-Audit[[#Totals],[Losing Candidate]]),
      0
)</f>
        <v>0</v>
      </c>
      <c r="AD11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0" s="111">
        <f>IF(Audit[[#This Row],[Max Relative Error (ep)]] = 0, 0, Audit[[#This Row],[Max Relative Error (ep)]]/Audit[[#This Row],[Error Bound (up) - Max. possible relative overstatement]])</f>
        <v>0</v>
      </c>
      <c r="AJ11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60" s="111">
        <f t="shared" si="18"/>
        <v>1</v>
      </c>
      <c r="AL1160" s="111">
        <f>PRODUCT($AK$5:AK1160)</f>
        <v>8.962823818226312E-2</v>
      </c>
      <c r="AM1160" s="109">
        <f>1 - [K-M P Value]</f>
        <v>0.91037176181773694</v>
      </c>
      <c r="AN1160" s="111" t="str">
        <f>IF(Audit[[#This Row],[K-M P Value]]&gt;1-'General Info'!$B$16,"Continue", "Stop")</f>
        <v>Stop</v>
      </c>
      <c r="AO1160" s="110" t="b">
        <f>IF(Audit[[#This Row],[Status - Continue or stop audit]] = "Continue", TRUE, IF(AN1159 = "Continue", TRUE, FALSE))</f>
        <v>0</v>
      </c>
      <c r="AP1160" s="110"/>
    </row>
    <row r="1161" spans="1:42" ht="15" hidden="1" customHeight="1">
      <c r="A1161" s="111" t="str">
        <f>'Sampling Data'!W1153</f>
        <v/>
      </c>
      <c r="B1161" s="112" t="str">
        <f>'Sampling Data'!A1153</f>
        <v>FAIRVIEW PARK -01-A</v>
      </c>
      <c r="C1161" s="112">
        <f>'Sampling Data'!B1153</f>
        <v>30</v>
      </c>
      <c r="D1161" s="112">
        <f>'Sampling Data'!C1153</f>
        <v>78</v>
      </c>
      <c r="E1161" s="113">
        <f>'Sampling Data'!D1153</f>
        <v>10</v>
      </c>
      <c r="F1161" s="113">
        <f>'Sampling Data'!E1153</f>
        <v>5</v>
      </c>
      <c r="G1161" s="113">
        <f>'Sampling Data'!F1153</f>
        <v>0</v>
      </c>
      <c r="H1161" s="113">
        <f>'Sampling Data'!G1153</f>
        <v>0</v>
      </c>
      <c r="I1161" s="112">
        <f>'Sampling Data'!H1153</f>
        <v>0</v>
      </c>
      <c r="J1161" s="112">
        <f>'Sampling Data'!I1153</f>
        <v>3</v>
      </c>
      <c r="K1161" s="112">
        <f>'Sampling Data'!J1153</f>
        <v>126</v>
      </c>
      <c r="L1161" s="111">
        <f>'Sampling Data'!X1153</f>
        <v>0</v>
      </c>
      <c r="M1161" s="114"/>
      <c r="N1161" s="114"/>
      <c r="O1161" s="115"/>
      <c r="P1161" s="115"/>
      <c r="Q1161" s="116"/>
      <c r="R1161" s="116"/>
      <c r="S1161" s="111">
        <f>Audit[[#This Row],[Audit Losing Candidate]]-Audit[[#This Row],[Losing Candidate]]</f>
        <v>-30</v>
      </c>
      <c r="T1161" s="111">
        <f>Audit[[#This Row],[Audit Winning Candidate]]-Audit[[#This Row],[Winning Candidate]]</f>
        <v>-78</v>
      </c>
      <c r="U1161" s="111">
        <f>Audit[[#This Row],[Audit Candidate 3]]-Audit[[#This Row],[Candidate 3]]</f>
        <v>-10</v>
      </c>
      <c r="V1161" s="111">
        <f>Audit[[#This Row],[Audit Candidate 4]]-Audit[[#This Row],[Candidate 4]]</f>
        <v>-5</v>
      </c>
      <c r="W1161" s="111">
        <f>Audit[[#This Row],[Audit Candidate 5]]-Audit[[#This Row],[Candidate 5]]</f>
        <v>0</v>
      </c>
      <c r="X1161" s="111">
        <f>Audit[[#This Row],[Audit Candidate 6]]-Audit[[#This Row],[Candidate 6]]</f>
        <v>0</v>
      </c>
      <c r="Y1161" s="111">
        <f>SUMIF(Audit[[#This Row],[Difference Loser]:[Difference Candidate 6]], "&gt;0")</f>
        <v>0</v>
      </c>
      <c r="Z1161" s="111">
        <f>SUM(Audit[[#This Row],[Difference Loser]:[Difference Candidate 6]])</f>
        <v>-123</v>
      </c>
      <c r="AA1161" s="111">
        <f>IF(Audit[[#This Row],[Times p Drawn - With Replacement]]&gt;0, IF(Audit[[#This Row],[Canceled Differences]]&lt;0, Audit[[#This Row],[Max Differences]]+ABS(Audit[[#This Row],[Canceled Differences]]), Audit[[#This Row],[Max Differences]]), 0)</f>
        <v>0</v>
      </c>
      <c r="AB1161" s="111">
        <f>'Sampling Data'!P1153</f>
        <v>1.0656540911317982E-2</v>
      </c>
      <c r="AC1161" s="111">
        <f>IF(
      SUM(Audit[[#This Row],[Audit Losing Candidate]:[Audit Candidate 6]])
      &lt;&gt;0,
      (Audit[[#This Row],[Winning Candidate]]-Audit[[#This Row],[Losing Candidate]]-(Audit[[#This Row],[Audit Winning Candidate]]-Audit[[#This Row],[Audit Losing Candidate]]))/(Audit[[#Totals],[Winning Candidate]]-Audit[[#Totals],[Losing Candidate]]),
      0
)</f>
        <v>0</v>
      </c>
      <c r="AD11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1" s="111">
        <f>IF(Audit[[#This Row],[Max Relative Error (ep)]] = 0, 0, Audit[[#This Row],[Max Relative Error (ep)]]/Audit[[#This Row],[Error Bound (up) - Max. possible relative overstatement]])</f>
        <v>0</v>
      </c>
      <c r="AJ11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61" s="111">
        <f t="shared" si="18"/>
        <v>1</v>
      </c>
      <c r="AL1161" s="111">
        <f>PRODUCT($AK$5:AK1161)</f>
        <v>8.962823818226312E-2</v>
      </c>
      <c r="AM1161" s="109">
        <f>1 - [K-M P Value]</f>
        <v>0.91037176181773694</v>
      </c>
      <c r="AN1161" s="111" t="str">
        <f>IF(Audit[[#This Row],[K-M P Value]]&gt;1-'General Info'!$B$16,"Continue", "Stop")</f>
        <v>Stop</v>
      </c>
      <c r="AO1161" s="110" t="b">
        <f>IF(Audit[[#This Row],[Status - Continue or stop audit]] = "Continue", TRUE, IF(AN1160 = "Continue", TRUE, FALSE))</f>
        <v>0</v>
      </c>
      <c r="AP1161" s="110"/>
    </row>
    <row r="1162" spans="1:42" ht="15" hidden="1" customHeight="1">
      <c r="A1162" s="111" t="str">
        <f>'Sampling Data'!W1154</f>
        <v/>
      </c>
      <c r="B1162" s="112" t="str">
        <f>'Sampling Data'!A1154</f>
        <v>FAIRVIEW PARK -01-A - ABS</v>
      </c>
      <c r="C1162" s="112">
        <f>'Sampling Data'!B1154</f>
        <v>20</v>
      </c>
      <c r="D1162" s="112">
        <f>'Sampling Data'!C1154</f>
        <v>34</v>
      </c>
      <c r="E1162" s="113">
        <f>'Sampling Data'!D1154</f>
        <v>10</v>
      </c>
      <c r="F1162" s="113">
        <f>'Sampling Data'!E1154</f>
        <v>4</v>
      </c>
      <c r="G1162" s="113">
        <f>'Sampling Data'!F1154</f>
        <v>1</v>
      </c>
      <c r="H1162" s="113">
        <f>'Sampling Data'!G1154</f>
        <v>0</v>
      </c>
      <c r="I1162" s="112">
        <f>'Sampling Data'!H1154</f>
        <v>0</v>
      </c>
      <c r="J1162" s="112">
        <f>'Sampling Data'!I1154</f>
        <v>2</v>
      </c>
      <c r="K1162" s="112">
        <f>'Sampling Data'!J1154</f>
        <v>71</v>
      </c>
      <c r="L1162" s="111">
        <f>'Sampling Data'!X1154</f>
        <v>0</v>
      </c>
      <c r="M1162" s="114"/>
      <c r="N1162" s="114"/>
      <c r="O1162" s="115"/>
      <c r="P1162" s="115"/>
      <c r="Q1162" s="116"/>
      <c r="R1162" s="116"/>
      <c r="S1162" s="111">
        <f>Audit[[#This Row],[Audit Losing Candidate]]-Audit[[#This Row],[Losing Candidate]]</f>
        <v>-20</v>
      </c>
      <c r="T1162" s="111">
        <f>Audit[[#This Row],[Audit Winning Candidate]]-Audit[[#This Row],[Winning Candidate]]</f>
        <v>-34</v>
      </c>
      <c r="U1162" s="111">
        <f>Audit[[#This Row],[Audit Candidate 3]]-Audit[[#This Row],[Candidate 3]]</f>
        <v>-10</v>
      </c>
      <c r="V1162" s="111">
        <f>Audit[[#This Row],[Audit Candidate 4]]-Audit[[#This Row],[Candidate 4]]</f>
        <v>-4</v>
      </c>
      <c r="W1162" s="111">
        <f>Audit[[#This Row],[Audit Candidate 5]]-Audit[[#This Row],[Candidate 5]]</f>
        <v>-1</v>
      </c>
      <c r="X1162" s="111">
        <f>Audit[[#This Row],[Audit Candidate 6]]-Audit[[#This Row],[Candidate 6]]</f>
        <v>0</v>
      </c>
      <c r="Y1162" s="111">
        <f>SUMIF(Audit[[#This Row],[Difference Loser]:[Difference Candidate 6]], "&gt;0")</f>
        <v>0</v>
      </c>
      <c r="Z1162" s="111">
        <f>SUM(Audit[[#This Row],[Difference Loser]:[Difference Candidate 6]])</f>
        <v>-69</v>
      </c>
      <c r="AA1162" s="111">
        <f>IF(Audit[[#This Row],[Times p Drawn - With Replacement]]&gt;0, IF(Audit[[#This Row],[Canceled Differences]]&lt;0, Audit[[#This Row],[Max Differences]]+ABS(Audit[[#This Row],[Canceled Differences]]), Audit[[#This Row],[Max Differences]]), 0)</f>
        <v>0</v>
      </c>
      <c r="AB1162" s="111">
        <f>'Sampling Data'!P1154</f>
        <v>5.2057814796668302E-3</v>
      </c>
      <c r="AC1162" s="111">
        <f>IF(
      SUM(Audit[[#This Row],[Audit Losing Candidate]:[Audit Candidate 6]])
      &lt;&gt;0,
      (Audit[[#This Row],[Winning Candidate]]-Audit[[#This Row],[Losing Candidate]]-(Audit[[#This Row],[Audit Winning Candidate]]-Audit[[#This Row],[Audit Losing Candidate]]))/(Audit[[#Totals],[Winning Candidate]]-Audit[[#Totals],[Losing Candidate]]),
      0
)</f>
        <v>0</v>
      </c>
      <c r="AD11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2" s="111">
        <f>IF(Audit[[#This Row],[Max Relative Error (ep)]] = 0, 0, Audit[[#This Row],[Max Relative Error (ep)]]/Audit[[#This Row],[Error Bound (up) - Max. possible relative overstatement]])</f>
        <v>0</v>
      </c>
      <c r="AJ11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62" s="111">
        <f t="shared" si="18"/>
        <v>1</v>
      </c>
      <c r="AL1162" s="111">
        <f>PRODUCT($AK$5:AK1162)</f>
        <v>8.962823818226312E-2</v>
      </c>
      <c r="AM1162" s="109">
        <f>1 - [K-M P Value]</f>
        <v>0.91037176181773694</v>
      </c>
      <c r="AN1162" s="111" t="str">
        <f>IF(Audit[[#This Row],[K-M P Value]]&gt;1-'General Info'!$B$16,"Continue", "Stop")</f>
        <v>Stop</v>
      </c>
      <c r="AO1162" s="110" t="b">
        <f>IF(Audit[[#This Row],[Status - Continue or stop audit]] = "Continue", TRUE, IF(AN1161 = "Continue", TRUE, FALSE))</f>
        <v>0</v>
      </c>
      <c r="AP1162" s="110"/>
    </row>
    <row r="1163" spans="1:42" ht="15" hidden="1" customHeight="1">
      <c r="A1163" s="111" t="str">
        <f>'Sampling Data'!W1155</f>
        <v/>
      </c>
      <c r="B1163" s="112" t="str">
        <f>'Sampling Data'!A1155</f>
        <v>FAIRVIEW PARK -01-B</v>
      </c>
      <c r="C1163" s="112">
        <f>'Sampling Data'!B1155</f>
        <v>30</v>
      </c>
      <c r="D1163" s="112">
        <f>'Sampling Data'!C1155</f>
        <v>63</v>
      </c>
      <c r="E1163" s="113">
        <f>'Sampling Data'!D1155</f>
        <v>11</v>
      </c>
      <c r="F1163" s="113">
        <f>'Sampling Data'!E1155</f>
        <v>8</v>
      </c>
      <c r="G1163" s="113">
        <f>'Sampling Data'!F1155</f>
        <v>0</v>
      </c>
      <c r="H1163" s="113">
        <f>'Sampling Data'!G1155</f>
        <v>0</v>
      </c>
      <c r="I1163" s="112">
        <f>'Sampling Data'!H1155</f>
        <v>0</v>
      </c>
      <c r="J1163" s="112">
        <f>'Sampling Data'!I1155</f>
        <v>0</v>
      </c>
      <c r="K1163" s="112">
        <f>'Sampling Data'!J1155</f>
        <v>112</v>
      </c>
      <c r="L1163" s="111">
        <f>'Sampling Data'!X1155</f>
        <v>0</v>
      </c>
      <c r="M1163" s="114"/>
      <c r="N1163" s="114"/>
      <c r="O1163" s="115"/>
      <c r="P1163" s="115"/>
      <c r="Q1163" s="116"/>
      <c r="R1163" s="116"/>
      <c r="S1163" s="111">
        <f>Audit[[#This Row],[Audit Losing Candidate]]-Audit[[#This Row],[Losing Candidate]]</f>
        <v>-30</v>
      </c>
      <c r="T1163" s="111">
        <f>Audit[[#This Row],[Audit Winning Candidate]]-Audit[[#This Row],[Winning Candidate]]</f>
        <v>-63</v>
      </c>
      <c r="U1163" s="111">
        <f>Audit[[#This Row],[Audit Candidate 3]]-Audit[[#This Row],[Candidate 3]]</f>
        <v>-11</v>
      </c>
      <c r="V1163" s="111">
        <f>Audit[[#This Row],[Audit Candidate 4]]-Audit[[#This Row],[Candidate 4]]</f>
        <v>-8</v>
      </c>
      <c r="W1163" s="111">
        <f>Audit[[#This Row],[Audit Candidate 5]]-Audit[[#This Row],[Candidate 5]]</f>
        <v>0</v>
      </c>
      <c r="X1163" s="111">
        <f>Audit[[#This Row],[Audit Candidate 6]]-Audit[[#This Row],[Candidate 6]]</f>
        <v>0</v>
      </c>
      <c r="Y1163" s="111">
        <f>SUMIF(Audit[[#This Row],[Difference Loser]:[Difference Candidate 6]], "&gt;0")</f>
        <v>0</v>
      </c>
      <c r="Z1163" s="111">
        <f>SUM(Audit[[#This Row],[Difference Loser]:[Difference Candidate 6]])</f>
        <v>-112</v>
      </c>
      <c r="AA1163" s="111">
        <f>IF(Audit[[#This Row],[Times p Drawn - With Replacement]]&gt;0, IF(Audit[[#This Row],[Canceled Differences]]&lt;0, Audit[[#This Row],[Max Differences]]+ABS(Audit[[#This Row],[Canceled Differences]]), Audit[[#This Row],[Max Differences]]), 0)</f>
        <v>0</v>
      </c>
      <c r="AB1163" s="111">
        <f>'Sampling Data'!P1155</f>
        <v>8.880450759431651E-3</v>
      </c>
      <c r="AC1163" s="111">
        <f>IF(
      SUM(Audit[[#This Row],[Audit Losing Candidate]:[Audit Candidate 6]])
      &lt;&gt;0,
      (Audit[[#This Row],[Winning Candidate]]-Audit[[#This Row],[Losing Candidate]]-(Audit[[#This Row],[Audit Winning Candidate]]-Audit[[#This Row],[Audit Losing Candidate]]))/(Audit[[#Totals],[Winning Candidate]]-Audit[[#Totals],[Losing Candidate]]),
      0
)</f>
        <v>0</v>
      </c>
      <c r="AD11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3" s="111">
        <f>IF(Audit[[#This Row],[Max Relative Error (ep)]] = 0, 0, Audit[[#This Row],[Max Relative Error (ep)]]/Audit[[#This Row],[Error Bound (up) - Max. possible relative overstatement]])</f>
        <v>0</v>
      </c>
      <c r="AJ11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63" s="111">
        <f t="shared" si="18"/>
        <v>1</v>
      </c>
      <c r="AL1163" s="111">
        <f>PRODUCT($AK$5:AK1163)</f>
        <v>8.962823818226312E-2</v>
      </c>
      <c r="AM1163" s="109">
        <f>1 - [K-M P Value]</f>
        <v>0.91037176181773694</v>
      </c>
      <c r="AN1163" s="111" t="str">
        <f>IF(Audit[[#This Row],[K-M P Value]]&gt;1-'General Info'!$B$16,"Continue", "Stop")</f>
        <v>Stop</v>
      </c>
      <c r="AO1163" s="110" t="b">
        <f>IF(Audit[[#This Row],[Status - Continue or stop audit]] = "Continue", TRUE, IF(AN1162 = "Continue", TRUE, FALSE))</f>
        <v>0</v>
      </c>
      <c r="AP1163" s="110"/>
    </row>
    <row r="1164" spans="1:42" ht="15" hidden="1" customHeight="1">
      <c r="A1164" s="111" t="str">
        <f>'Sampling Data'!W1156</f>
        <v/>
      </c>
      <c r="B1164" s="112" t="str">
        <f>'Sampling Data'!A1156</f>
        <v>FAIRVIEW PARK -01-B - ABS</v>
      </c>
      <c r="C1164" s="112">
        <f>'Sampling Data'!B1156</f>
        <v>13</v>
      </c>
      <c r="D1164" s="112">
        <f>'Sampling Data'!C1156</f>
        <v>18</v>
      </c>
      <c r="E1164" s="113">
        <f>'Sampling Data'!D1156</f>
        <v>3</v>
      </c>
      <c r="F1164" s="113">
        <f>'Sampling Data'!E1156</f>
        <v>2</v>
      </c>
      <c r="G1164" s="113">
        <f>'Sampling Data'!F1156</f>
        <v>0</v>
      </c>
      <c r="H1164" s="113">
        <f>'Sampling Data'!G1156</f>
        <v>0</v>
      </c>
      <c r="I1164" s="112">
        <f>'Sampling Data'!H1156</f>
        <v>0</v>
      </c>
      <c r="J1164" s="112">
        <f>'Sampling Data'!I1156</f>
        <v>1</v>
      </c>
      <c r="K1164" s="112">
        <f>'Sampling Data'!J1156</f>
        <v>37</v>
      </c>
      <c r="L1164" s="111">
        <f>'Sampling Data'!X1156</f>
        <v>0</v>
      </c>
      <c r="M1164" s="114"/>
      <c r="N1164" s="114"/>
      <c r="O1164" s="115"/>
      <c r="P1164" s="115"/>
      <c r="Q1164" s="116"/>
      <c r="R1164" s="116"/>
      <c r="S1164" s="111">
        <f>Audit[[#This Row],[Audit Losing Candidate]]-Audit[[#This Row],[Losing Candidate]]</f>
        <v>-13</v>
      </c>
      <c r="T1164" s="111">
        <f>Audit[[#This Row],[Audit Winning Candidate]]-Audit[[#This Row],[Winning Candidate]]</f>
        <v>-18</v>
      </c>
      <c r="U1164" s="111">
        <f>Audit[[#This Row],[Audit Candidate 3]]-Audit[[#This Row],[Candidate 3]]</f>
        <v>-3</v>
      </c>
      <c r="V1164" s="111">
        <f>Audit[[#This Row],[Audit Candidate 4]]-Audit[[#This Row],[Candidate 4]]</f>
        <v>-2</v>
      </c>
      <c r="W1164" s="111">
        <f>Audit[[#This Row],[Audit Candidate 5]]-Audit[[#This Row],[Candidate 5]]</f>
        <v>0</v>
      </c>
      <c r="X1164" s="111">
        <f>Audit[[#This Row],[Audit Candidate 6]]-Audit[[#This Row],[Candidate 6]]</f>
        <v>0</v>
      </c>
      <c r="Y1164" s="111">
        <f>SUMIF(Audit[[#This Row],[Difference Loser]:[Difference Candidate 6]], "&gt;0")</f>
        <v>0</v>
      </c>
      <c r="Z1164" s="111">
        <f>SUM(Audit[[#This Row],[Difference Loser]:[Difference Candidate 6]])</f>
        <v>-36</v>
      </c>
      <c r="AA1164" s="111">
        <f>IF(Audit[[#This Row],[Times p Drawn - With Replacement]]&gt;0, IF(Audit[[#This Row],[Canceled Differences]]&lt;0, Audit[[#This Row],[Max Differences]]+ABS(Audit[[#This Row],[Canceled Differences]]), Audit[[#This Row],[Max Differences]]), 0)</f>
        <v>0</v>
      </c>
      <c r="AB1164" s="111">
        <f>'Sampling Data'!P1156</f>
        <v>2.5722684958353749E-3</v>
      </c>
      <c r="AC1164" s="111">
        <f>IF(
      SUM(Audit[[#This Row],[Audit Losing Candidate]:[Audit Candidate 6]])
      &lt;&gt;0,
      (Audit[[#This Row],[Winning Candidate]]-Audit[[#This Row],[Losing Candidate]]-(Audit[[#This Row],[Audit Winning Candidate]]-Audit[[#This Row],[Audit Losing Candidate]]))/(Audit[[#Totals],[Winning Candidate]]-Audit[[#Totals],[Losing Candidate]]),
      0
)</f>
        <v>0</v>
      </c>
      <c r="AD11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4" s="111">
        <f>IF(Audit[[#This Row],[Max Relative Error (ep)]] = 0, 0, Audit[[#This Row],[Max Relative Error (ep)]]/Audit[[#This Row],[Error Bound (up) - Max. possible relative overstatement]])</f>
        <v>0</v>
      </c>
      <c r="AJ11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64" s="111">
        <f t="shared" si="18"/>
        <v>1</v>
      </c>
      <c r="AL1164" s="111">
        <f>PRODUCT($AK$5:AK1164)</f>
        <v>8.962823818226312E-2</v>
      </c>
      <c r="AM1164" s="109">
        <f>1 - [K-M P Value]</f>
        <v>0.91037176181773694</v>
      </c>
      <c r="AN1164" s="111" t="str">
        <f>IF(Audit[[#This Row],[K-M P Value]]&gt;1-'General Info'!$B$16,"Continue", "Stop")</f>
        <v>Stop</v>
      </c>
      <c r="AO1164" s="110" t="b">
        <f>IF(Audit[[#This Row],[Status - Continue or stop audit]] = "Continue", TRUE, IF(AN1163 = "Continue", TRUE, FALSE))</f>
        <v>0</v>
      </c>
      <c r="AP1164" s="110"/>
    </row>
    <row r="1165" spans="1:42" ht="15" hidden="1" customHeight="1">
      <c r="A1165" s="111" t="str">
        <f>'Sampling Data'!W1157</f>
        <v/>
      </c>
      <c r="B1165" s="112" t="str">
        <f>'Sampling Data'!A1157</f>
        <v>FAIRVIEW PARK -01-C</v>
      </c>
      <c r="C1165" s="112">
        <f>'Sampling Data'!B1157</f>
        <v>11</v>
      </c>
      <c r="D1165" s="112">
        <f>'Sampling Data'!C1157</f>
        <v>36</v>
      </c>
      <c r="E1165" s="113">
        <f>'Sampling Data'!D1157</f>
        <v>11</v>
      </c>
      <c r="F1165" s="113">
        <f>'Sampling Data'!E1157</f>
        <v>9</v>
      </c>
      <c r="G1165" s="113">
        <f>'Sampling Data'!F1157</f>
        <v>0</v>
      </c>
      <c r="H1165" s="113">
        <f>'Sampling Data'!G1157</f>
        <v>1</v>
      </c>
      <c r="I1165" s="112">
        <f>'Sampling Data'!H1157</f>
        <v>0</v>
      </c>
      <c r="J1165" s="112">
        <f>'Sampling Data'!I1157</f>
        <v>1</v>
      </c>
      <c r="K1165" s="112">
        <f>'Sampling Data'!J1157</f>
        <v>69</v>
      </c>
      <c r="L1165" s="111">
        <f>'Sampling Data'!X1157</f>
        <v>0</v>
      </c>
      <c r="M1165" s="114"/>
      <c r="N1165" s="114"/>
      <c r="O1165" s="115"/>
      <c r="P1165" s="115"/>
      <c r="Q1165" s="116"/>
      <c r="R1165" s="116"/>
      <c r="S1165" s="111">
        <f>Audit[[#This Row],[Audit Losing Candidate]]-Audit[[#This Row],[Losing Candidate]]</f>
        <v>-11</v>
      </c>
      <c r="T1165" s="111">
        <f>Audit[[#This Row],[Audit Winning Candidate]]-Audit[[#This Row],[Winning Candidate]]</f>
        <v>-36</v>
      </c>
      <c r="U1165" s="111">
        <f>Audit[[#This Row],[Audit Candidate 3]]-Audit[[#This Row],[Candidate 3]]</f>
        <v>-11</v>
      </c>
      <c r="V1165" s="111">
        <f>Audit[[#This Row],[Audit Candidate 4]]-Audit[[#This Row],[Candidate 4]]</f>
        <v>-9</v>
      </c>
      <c r="W1165" s="111">
        <f>Audit[[#This Row],[Audit Candidate 5]]-Audit[[#This Row],[Candidate 5]]</f>
        <v>0</v>
      </c>
      <c r="X1165" s="111">
        <f>Audit[[#This Row],[Audit Candidate 6]]-Audit[[#This Row],[Candidate 6]]</f>
        <v>-1</v>
      </c>
      <c r="Y1165" s="111">
        <f>SUMIF(Audit[[#This Row],[Difference Loser]:[Difference Candidate 6]], "&gt;0")</f>
        <v>0</v>
      </c>
      <c r="Z1165" s="111">
        <f>SUM(Audit[[#This Row],[Difference Loser]:[Difference Candidate 6]])</f>
        <v>-68</v>
      </c>
      <c r="AA1165" s="111">
        <f>IF(Audit[[#This Row],[Times p Drawn - With Replacement]]&gt;0, IF(Audit[[#This Row],[Canceled Differences]]&lt;0, Audit[[#This Row],[Max Differences]]+ABS(Audit[[#This Row],[Canceled Differences]]), Audit[[#This Row],[Max Differences]]), 0)</f>
        <v>0</v>
      </c>
      <c r="AB1165" s="111">
        <f>'Sampling Data'!P1157</f>
        <v>5.7569818716315529E-3</v>
      </c>
      <c r="AC1165" s="111">
        <f>IF(
      SUM(Audit[[#This Row],[Audit Losing Candidate]:[Audit Candidate 6]])
      &lt;&gt;0,
      (Audit[[#This Row],[Winning Candidate]]-Audit[[#This Row],[Losing Candidate]]-(Audit[[#This Row],[Audit Winning Candidate]]-Audit[[#This Row],[Audit Losing Candidate]]))/(Audit[[#Totals],[Winning Candidate]]-Audit[[#Totals],[Losing Candidate]]),
      0
)</f>
        <v>0</v>
      </c>
      <c r="AD11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5" s="111">
        <f>IF(Audit[[#This Row],[Max Relative Error (ep)]] = 0, 0, Audit[[#This Row],[Max Relative Error (ep)]]/Audit[[#This Row],[Error Bound (up) - Max. possible relative overstatement]])</f>
        <v>0</v>
      </c>
      <c r="AJ11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65" s="111">
        <f t="shared" si="18"/>
        <v>1</v>
      </c>
      <c r="AL1165" s="111">
        <f>PRODUCT($AK$5:AK1165)</f>
        <v>8.962823818226312E-2</v>
      </c>
      <c r="AM1165" s="109">
        <f>1 - [K-M P Value]</f>
        <v>0.91037176181773694</v>
      </c>
      <c r="AN1165" s="111" t="str">
        <f>IF(Audit[[#This Row],[K-M P Value]]&gt;1-'General Info'!$B$16,"Continue", "Stop")</f>
        <v>Stop</v>
      </c>
      <c r="AO1165" s="110" t="b">
        <f>IF(Audit[[#This Row],[Status - Continue or stop audit]] = "Continue", TRUE, IF(AN1164 = "Continue", TRUE, FALSE))</f>
        <v>0</v>
      </c>
      <c r="AP1165" s="110"/>
    </row>
    <row r="1166" spans="1:42" ht="15" hidden="1" customHeight="1">
      <c r="A1166" s="111" t="str">
        <f>'Sampling Data'!W1158</f>
        <v/>
      </c>
      <c r="B1166" s="112" t="str">
        <f>'Sampling Data'!A1158</f>
        <v>FAIRVIEW PARK -01-C - ABS</v>
      </c>
      <c r="C1166" s="112">
        <f>'Sampling Data'!B1158</f>
        <v>6</v>
      </c>
      <c r="D1166" s="112">
        <f>'Sampling Data'!C1158</f>
        <v>10</v>
      </c>
      <c r="E1166" s="113">
        <f>'Sampling Data'!D1158</f>
        <v>2</v>
      </c>
      <c r="F1166" s="113">
        <f>'Sampling Data'!E1158</f>
        <v>4</v>
      </c>
      <c r="G1166" s="113">
        <f>'Sampling Data'!F1158</f>
        <v>0</v>
      </c>
      <c r="H1166" s="113">
        <f>'Sampling Data'!G1158</f>
        <v>0</v>
      </c>
      <c r="I1166" s="112">
        <f>'Sampling Data'!H1158</f>
        <v>0</v>
      </c>
      <c r="J1166" s="112">
        <f>'Sampling Data'!I1158</f>
        <v>0</v>
      </c>
      <c r="K1166" s="112">
        <f>'Sampling Data'!J1158</f>
        <v>22</v>
      </c>
      <c r="L1166" s="111">
        <f>'Sampling Data'!X1158</f>
        <v>0</v>
      </c>
      <c r="M1166" s="114"/>
      <c r="N1166" s="114"/>
      <c r="O1166" s="115"/>
      <c r="P1166" s="115"/>
      <c r="Q1166" s="116"/>
      <c r="R1166" s="116"/>
      <c r="S1166" s="111">
        <f>Audit[[#This Row],[Audit Losing Candidate]]-Audit[[#This Row],[Losing Candidate]]</f>
        <v>-6</v>
      </c>
      <c r="T1166" s="111">
        <f>Audit[[#This Row],[Audit Winning Candidate]]-Audit[[#This Row],[Winning Candidate]]</f>
        <v>-10</v>
      </c>
      <c r="U1166" s="111">
        <f>Audit[[#This Row],[Audit Candidate 3]]-Audit[[#This Row],[Candidate 3]]</f>
        <v>-2</v>
      </c>
      <c r="V1166" s="111">
        <f>Audit[[#This Row],[Audit Candidate 4]]-Audit[[#This Row],[Candidate 4]]</f>
        <v>-4</v>
      </c>
      <c r="W1166" s="111">
        <f>Audit[[#This Row],[Audit Candidate 5]]-Audit[[#This Row],[Candidate 5]]</f>
        <v>0</v>
      </c>
      <c r="X1166" s="111">
        <f>Audit[[#This Row],[Audit Candidate 6]]-Audit[[#This Row],[Candidate 6]]</f>
        <v>0</v>
      </c>
      <c r="Y1166" s="111">
        <f>SUMIF(Audit[[#This Row],[Difference Loser]:[Difference Candidate 6]], "&gt;0")</f>
        <v>0</v>
      </c>
      <c r="Z1166" s="111">
        <f>SUM(Audit[[#This Row],[Difference Loser]:[Difference Candidate 6]])</f>
        <v>-22</v>
      </c>
      <c r="AA1166" s="111">
        <f>IF(Audit[[#This Row],[Times p Drawn - With Replacement]]&gt;0, IF(Audit[[#This Row],[Canceled Differences]]&lt;0, Audit[[#This Row],[Max Differences]]+ABS(Audit[[#This Row],[Canceled Differences]]), Audit[[#This Row],[Max Differences]]), 0)</f>
        <v>0</v>
      </c>
      <c r="AB1166" s="111">
        <f>'Sampling Data'!P1158</f>
        <v>1.5923566878980893E-3</v>
      </c>
      <c r="AC1166" s="111">
        <f>IF(
      SUM(Audit[[#This Row],[Audit Losing Candidate]:[Audit Candidate 6]])
      &lt;&gt;0,
      (Audit[[#This Row],[Winning Candidate]]-Audit[[#This Row],[Losing Candidate]]-(Audit[[#This Row],[Audit Winning Candidate]]-Audit[[#This Row],[Audit Losing Candidate]]))/(Audit[[#Totals],[Winning Candidate]]-Audit[[#Totals],[Losing Candidate]]),
      0
)</f>
        <v>0</v>
      </c>
      <c r="AD11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6" s="111">
        <f>IF(Audit[[#This Row],[Max Relative Error (ep)]] = 0, 0, Audit[[#This Row],[Max Relative Error (ep)]]/Audit[[#This Row],[Error Bound (up) - Max. possible relative overstatement]])</f>
        <v>0</v>
      </c>
      <c r="AJ11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66" s="111">
        <f t="shared" si="18"/>
        <v>1</v>
      </c>
      <c r="AL1166" s="111">
        <f>PRODUCT($AK$5:AK1166)</f>
        <v>8.962823818226312E-2</v>
      </c>
      <c r="AM1166" s="109">
        <f>1 - [K-M P Value]</f>
        <v>0.91037176181773694</v>
      </c>
      <c r="AN1166" s="111" t="str">
        <f>IF(Audit[[#This Row],[K-M P Value]]&gt;1-'General Info'!$B$16,"Continue", "Stop")</f>
        <v>Stop</v>
      </c>
      <c r="AO1166" s="110" t="b">
        <f>IF(Audit[[#This Row],[Status - Continue or stop audit]] = "Continue", TRUE, IF(AN1165 = "Continue", TRUE, FALSE))</f>
        <v>0</v>
      </c>
      <c r="AP1166" s="110"/>
    </row>
    <row r="1167" spans="1:42" ht="15" hidden="1" customHeight="1">
      <c r="A1167" s="111" t="str">
        <f>'Sampling Data'!W1159</f>
        <v/>
      </c>
      <c r="B1167" s="112" t="str">
        <f>'Sampling Data'!A1159</f>
        <v>FAIRVIEW PARK -02-A</v>
      </c>
      <c r="C1167" s="112">
        <f>'Sampling Data'!B1159</f>
        <v>3</v>
      </c>
      <c r="D1167" s="112">
        <f>'Sampling Data'!C1159</f>
        <v>13</v>
      </c>
      <c r="E1167" s="113">
        <f>'Sampling Data'!D1159</f>
        <v>3</v>
      </c>
      <c r="F1167" s="113">
        <f>'Sampling Data'!E1159</f>
        <v>4</v>
      </c>
      <c r="G1167" s="113">
        <f>'Sampling Data'!F1159</f>
        <v>0</v>
      </c>
      <c r="H1167" s="113">
        <f>'Sampling Data'!G1159</f>
        <v>0</v>
      </c>
      <c r="I1167" s="112">
        <f>'Sampling Data'!H1159</f>
        <v>0</v>
      </c>
      <c r="J1167" s="112">
        <f>'Sampling Data'!I1159</f>
        <v>0</v>
      </c>
      <c r="K1167" s="112">
        <f>'Sampling Data'!J1159</f>
        <v>23</v>
      </c>
      <c r="L1167" s="111">
        <f>'Sampling Data'!X1159</f>
        <v>0</v>
      </c>
      <c r="M1167" s="114"/>
      <c r="N1167" s="114"/>
      <c r="O1167" s="115"/>
      <c r="P1167" s="115"/>
      <c r="Q1167" s="116"/>
      <c r="R1167" s="116"/>
      <c r="S1167" s="111">
        <f>Audit[[#This Row],[Audit Losing Candidate]]-Audit[[#This Row],[Losing Candidate]]</f>
        <v>-3</v>
      </c>
      <c r="T1167" s="111">
        <f>Audit[[#This Row],[Audit Winning Candidate]]-Audit[[#This Row],[Winning Candidate]]</f>
        <v>-13</v>
      </c>
      <c r="U1167" s="111">
        <f>Audit[[#This Row],[Audit Candidate 3]]-Audit[[#This Row],[Candidate 3]]</f>
        <v>-3</v>
      </c>
      <c r="V1167" s="111">
        <f>Audit[[#This Row],[Audit Candidate 4]]-Audit[[#This Row],[Candidate 4]]</f>
        <v>-4</v>
      </c>
      <c r="W1167" s="111">
        <f>Audit[[#This Row],[Audit Candidate 5]]-Audit[[#This Row],[Candidate 5]]</f>
        <v>0</v>
      </c>
      <c r="X1167" s="111">
        <f>Audit[[#This Row],[Audit Candidate 6]]-Audit[[#This Row],[Candidate 6]]</f>
        <v>0</v>
      </c>
      <c r="Y1167" s="111">
        <f>SUMIF(Audit[[#This Row],[Difference Loser]:[Difference Candidate 6]], "&gt;0")</f>
        <v>0</v>
      </c>
      <c r="Z1167" s="111">
        <f>SUM(Audit[[#This Row],[Difference Loser]:[Difference Candidate 6]])</f>
        <v>-23</v>
      </c>
      <c r="AA1167" s="111">
        <f>IF(Audit[[#This Row],[Times p Drawn - With Replacement]]&gt;0, IF(Audit[[#This Row],[Canceled Differences]]&lt;0, Audit[[#This Row],[Max Differences]]+ABS(Audit[[#This Row],[Canceled Differences]]), Audit[[#This Row],[Max Differences]]), 0)</f>
        <v>0</v>
      </c>
      <c r="AB1167" s="111">
        <f>'Sampling Data'!P1159</f>
        <v>2.0210681038706517E-3</v>
      </c>
      <c r="AC1167" s="111">
        <f>IF(
      SUM(Audit[[#This Row],[Audit Losing Candidate]:[Audit Candidate 6]])
      &lt;&gt;0,
      (Audit[[#This Row],[Winning Candidate]]-Audit[[#This Row],[Losing Candidate]]-(Audit[[#This Row],[Audit Winning Candidate]]-Audit[[#This Row],[Audit Losing Candidate]]))/(Audit[[#Totals],[Winning Candidate]]-Audit[[#Totals],[Losing Candidate]]),
      0
)</f>
        <v>0</v>
      </c>
      <c r="AD11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7" s="111">
        <f>IF(Audit[[#This Row],[Max Relative Error (ep)]] = 0, 0, Audit[[#This Row],[Max Relative Error (ep)]]/Audit[[#This Row],[Error Bound (up) - Max. possible relative overstatement]])</f>
        <v>0</v>
      </c>
      <c r="AJ11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67" s="111">
        <f t="shared" si="18"/>
        <v>1</v>
      </c>
      <c r="AL1167" s="111">
        <f>PRODUCT($AK$5:AK1167)</f>
        <v>8.962823818226312E-2</v>
      </c>
      <c r="AM1167" s="109">
        <f>1 - [K-M P Value]</f>
        <v>0.91037176181773694</v>
      </c>
      <c r="AN1167" s="111" t="str">
        <f>IF(Audit[[#This Row],[K-M P Value]]&gt;1-'General Info'!$B$16,"Continue", "Stop")</f>
        <v>Stop</v>
      </c>
      <c r="AO1167" s="110" t="b">
        <f>IF(Audit[[#This Row],[Status - Continue or stop audit]] = "Continue", TRUE, IF(AN1166 = "Continue", TRUE, FALSE))</f>
        <v>0</v>
      </c>
      <c r="AP1167" s="110"/>
    </row>
    <row r="1168" spans="1:42" ht="15" hidden="1" customHeight="1">
      <c r="A1168" s="111" t="str">
        <f>'Sampling Data'!W1160</f>
        <v/>
      </c>
      <c r="B1168" s="112" t="str">
        <f>'Sampling Data'!A1160</f>
        <v>FAIRVIEW PARK -02-A - ABS</v>
      </c>
      <c r="C1168" s="112">
        <f>'Sampling Data'!B1160</f>
        <v>3</v>
      </c>
      <c r="D1168" s="112">
        <f>'Sampling Data'!C1160</f>
        <v>3</v>
      </c>
      <c r="E1168" s="113">
        <f>'Sampling Data'!D1160</f>
        <v>1</v>
      </c>
      <c r="F1168" s="113">
        <f>'Sampling Data'!E1160</f>
        <v>3</v>
      </c>
      <c r="G1168" s="113">
        <f>'Sampling Data'!F1160</f>
        <v>0</v>
      </c>
      <c r="H1168" s="113">
        <f>'Sampling Data'!G1160</f>
        <v>1</v>
      </c>
      <c r="I1168" s="112">
        <f>'Sampling Data'!H1160</f>
        <v>0</v>
      </c>
      <c r="J1168" s="112">
        <f>'Sampling Data'!I1160</f>
        <v>0</v>
      </c>
      <c r="K1168" s="112">
        <f>'Sampling Data'!J1160</f>
        <v>11</v>
      </c>
      <c r="L1168" s="111">
        <f>'Sampling Data'!X1160</f>
        <v>0</v>
      </c>
      <c r="M1168" s="114"/>
      <c r="N1168" s="114"/>
      <c r="O1168" s="115"/>
      <c r="P1168" s="115"/>
      <c r="Q1168" s="116"/>
      <c r="R1168" s="116"/>
      <c r="S1168" s="111">
        <f>Audit[[#This Row],[Audit Losing Candidate]]-Audit[[#This Row],[Losing Candidate]]</f>
        <v>-3</v>
      </c>
      <c r="T1168" s="111">
        <f>Audit[[#This Row],[Audit Winning Candidate]]-Audit[[#This Row],[Winning Candidate]]</f>
        <v>-3</v>
      </c>
      <c r="U1168" s="111">
        <f>Audit[[#This Row],[Audit Candidate 3]]-Audit[[#This Row],[Candidate 3]]</f>
        <v>-1</v>
      </c>
      <c r="V1168" s="111">
        <f>Audit[[#This Row],[Audit Candidate 4]]-Audit[[#This Row],[Candidate 4]]</f>
        <v>-3</v>
      </c>
      <c r="W1168" s="111">
        <f>Audit[[#This Row],[Audit Candidate 5]]-Audit[[#This Row],[Candidate 5]]</f>
        <v>0</v>
      </c>
      <c r="X1168" s="111">
        <f>Audit[[#This Row],[Audit Candidate 6]]-Audit[[#This Row],[Candidate 6]]</f>
        <v>-1</v>
      </c>
      <c r="Y1168" s="111">
        <f>SUMIF(Audit[[#This Row],[Difference Loser]:[Difference Candidate 6]], "&gt;0")</f>
        <v>0</v>
      </c>
      <c r="Z1168" s="111">
        <f>SUM(Audit[[#This Row],[Difference Loser]:[Difference Candidate 6]])</f>
        <v>-11</v>
      </c>
      <c r="AA1168" s="111">
        <f>IF(Audit[[#This Row],[Times p Drawn - With Replacement]]&gt;0, IF(Audit[[#This Row],[Canceled Differences]]&lt;0, Audit[[#This Row],[Max Differences]]+ABS(Audit[[#This Row],[Canceled Differences]]), Audit[[#This Row],[Max Differences]]), 0)</f>
        <v>0</v>
      </c>
      <c r="AB1168" s="111">
        <f>'Sampling Data'!P1160</f>
        <v>6.7368936795688392E-4</v>
      </c>
      <c r="AC1168" s="111">
        <f>IF(
      SUM(Audit[[#This Row],[Audit Losing Candidate]:[Audit Candidate 6]])
      &lt;&gt;0,
      (Audit[[#This Row],[Winning Candidate]]-Audit[[#This Row],[Losing Candidate]]-(Audit[[#This Row],[Audit Winning Candidate]]-Audit[[#This Row],[Audit Losing Candidate]]))/(Audit[[#Totals],[Winning Candidate]]-Audit[[#Totals],[Losing Candidate]]),
      0
)</f>
        <v>0</v>
      </c>
      <c r="AD11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8" s="111">
        <f>IF(Audit[[#This Row],[Max Relative Error (ep)]] = 0, 0, Audit[[#This Row],[Max Relative Error (ep)]]/Audit[[#This Row],[Error Bound (up) - Max. possible relative overstatement]])</f>
        <v>0</v>
      </c>
      <c r="AJ11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68" s="111">
        <f t="shared" si="18"/>
        <v>1</v>
      </c>
      <c r="AL1168" s="111">
        <f>PRODUCT($AK$5:AK1168)</f>
        <v>8.962823818226312E-2</v>
      </c>
      <c r="AM1168" s="109">
        <f>1 - [K-M P Value]</f>
        <v>0.91037176181773694</v>
      </c>
      <c r="AN1168" s="111" t="str">
        <f>IF(Audit[[#This Row],[K-M P Value]]&gt;1-'General Info'!$B$16,"Continue", "Stop")</f>
        <v>Stop</v>
      </c>
      <c r="AO1168" s="110" t="b">
        <f>IF(Audit[[#This Row],[Status - Continue or stop audit]] = "Continue", TRUE, IF(AN1167 = "Continue", TRUE, FALSE))</f>
        <v>0</v>
      </c>
      <c r="AP1168" s="110"/>
    </row>
    <row r="1169" spans="1:42" ht="15" hidden="1" customHeight="1">
      <c r="A1169" s="111" t="str">
        <f>'Sampling Data'!W1161</f>
        <v/>
      </c>
      <c r="B1169" s="112" t="str">
        <f>'Sampling Data'!A1161</f>
        <v>FAIRVIEW PARK -02-B</v>
      </c>
      <c r="C1169" s="112">
        <f>'Sampling Data'!B1161</f>
        <v>29</v>
      </c>
      <c r="D1169" s="112">
        <f>'Sampling Data'!C1161</f>
        <v>46</v>
      </c>
      <c r="E1169" s="113">
        <f>'Sampling Data'!D1161</f>
        <v>12</v>
      </c>
      <c r="F1169" s="113">
        <f>'Sampling Data'!E1161</f>
        <v>8</v>
      </c>
      <c r="G1169" s="113">
        <f>'Sampling Data'!F1161</f>
        <v>0</v>
      </c>
      <c r="H1169" s="113">
        <f>'Sampling Data'!G1161</f>
        <v>0</v>
      </c>
      <c r="I1169" s="112">
        <f>'Sampling Data'!H1161</f>
        <v>0</v>
      </c>
      <c r="J1169" s="112">
        <f>'Sampling Data'!I1161</f>
        <v>0</v>
      </c>
      <c r="K1169" s="112">
        <f>'Sampling Data'!J1161</f>
        <v>95</v>
      </c>
      <c r="L1169" s="111">
        <f>'Sampling Data'!X1161</f>
        <v>0</v>
      </c>
      <c r="M1169" s="114"/>
      <c r="N1169" s="114"/>
      <c r="O1169" s="115"/>
      <c r="P1169" s="115"/>
      <c r="Q1169" s="116"/>
      <c r="R1169" s="116"/>
      <c r="S1169" s="111">
        <f>Audit[[#This Row],[Audit Losing Candidate]]-Audit[[#This Row],[Losing Candidate]]</f>
        <v>-29</v>
      </c>
      <c r="T1169" s="111">
        <f>Audit[[#This Row],[Audit Winning Candidate]]-Audit[[#This Row],[Winning Candidate]]</f>
        <v>-46</v>
      </c>
      <c r="U1169" s="111">
        <f>Audit[[#This Row],[Audit Candidate 3]]-Audit[[#This Row],[Candidate 3]]</f>
        <v>-12</v>
      </c>
      <c r="V1169" s="111">
        <f>Audit[[#This Row],[Audit Candidate 4]]-Audit[[#This Row],[Candidate 4]]</f>
        <v>-8</v>
      </c>
      <c r="W1169" s="111">
        <f>Audit[[#This Row],[Audit Candidate 5]]-Audit[[#This Row],[Candidate 5]]</f>
        <v>0</v>
      </c>
      <c r="X1169" s="111">
        <f>Audit[[#This Row],[Audit Candidate 6]]-Audit[[#This Row],[Candidate 6]]</f>
        <v>0</v>
      </c>
      <c r="Y1169" s="111">
        <f>SUMIF(Audit[[#This Row],[Difference Loser]:[Difference Candidate 6]], "&gt;0")</f>
        <v>0</v>
      </c>
      <c r="Z1169" s="111">
        <f>SUM(Audit[[#This Row],[Difference Loser]:[Difference Candidate 6]])</f>
        <v>-95</v>
      </c>
      <c r="AA1169" s="111">
        <f>IF(Audit[[#This Row],[Times p Drawn - With Replacement]]&gt;0, IF(Audit[[#This Row],[Canceled Differences]]&lt;0, Audit[[#This Row],[Max Differences]]+ABS(Audit[[#This Row],[Canceled Differences]]), Audit[[#This Row],[Max Differences]]), 0)</f>
        <v>0</v>
      </c>
      <c r="AB1169" s="111">
        <f>'Sampling Data'!P1161</f>
        <v>6.8593826555609994E-3</v>
      </c>
      <c r="AC1169" s="111">
        <f>IF(
      SUM(Audit[[#This Row],[Audit Losing Candidate]:[Audit Candidate 6]])
      &lt;&gt;0,
      (Audit[[#This Row],[Winning Candidate]]-Audit[[#This Row],[Losing Candidate]]-(Audit[[#This Row],[Audit Winning Candidate]]-Audit[[#This Row],[Audit Losing Candidate]]))/(Audit[[#Totals],[Winning Candidate]]-Audit[[#Totals],[Losing Candidate]]),
      0
)</f>
        <v>0</v>
      </c>
      <c r="AD11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9" s="111">
        <f>IF(Audit[[#This Row],[Max Relative Error (ep)]] = 0, 0, Audit[[#This Row],[Max Relative Error (ep)]]/Audit[[#This Row],[Error Bound (up) - Max. possible relative overstatement]])</f>
        <v>0</v>
      </c>
      <c r="AJ11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69" s="111">
        <f t="shared" si="18"/>
        <v>1</v>
      </c>
      <c r="AL1169" s="111">
        <f>PRODUCT($AK$5:AK1169)</f>
        <v>8.962823818226312E-2</v>
      </c>
      <c r="AM1169" s="109">
        <f>1 - [K-M P Value]</f>
        <v>0.91037176181773694</v>
      </c>
      <c r="AN1169" s="111" t="str">
        <f>IF(Audit[[#This Row],[K-M P Value]]&gt;1-'General Info'!$B$16,"Continue", "Stop")</f>
        <v>Stop</v>
      </c>
      <c r="AO1169" s="110" t="b">
        <f>IF(Audit[[#This Row],[Status - Continue or stop audit]] = "Continue", TRUE, IF(AN1168 = "Continue", TRUE, FALSE))</f>
        <v>0</v>
      </c>
      <c r="AP1169" s="110"/>
    </row>
    <row r="1170" spans="1:42" ht="15" hidden="1" customHeight="1">
      <c r="A1170" s="111" t="str">
        <f>'Sampling Data'!W1162</f>
        <v/>
      </c>
      <c r="B1170" s="112" t="str">
        <f>'Sampling Data'!A1162</f>
        <v>FAIRVIEW PARK -02-B - ABS</v>
      </c>
      <c r="C1170" s="112">
        <f>'Sampling Data'!B1162</f>
        <v>6</v>
      </c>
      <c r="D1170" s="112">
        <f>'Sampling Data'!C1162</f>
        <v>7</v>
      </c>
      <c r="E1170" s="113">
        <f>'Sampling Data'!D1162</f>
        <v>4</v>
      </c>
      <c r="F1170" s="113">
        <f>'Sampling Data'!E1162</f>
        <v>3</v>
      </c>
      <c r="G1170" s="113">
        <f>'Sampling Data'!F1162</f>
        <v>0</v>
      </c>
      <c r="H1170" s="113">
        <f>'Sampling Data'!G1162</f>
        <v>1</v>
      </c>
      <c r="I1170" s="112">
        <f>'Sampling Data'!H1162</f>
        <v>0</v>
      </c>
      <c r="J1170" s="112">
        <f>'Sampling Data'!I1162</f>
        <v>0</v>
      </c>
      <c r="K1170" s="112">
        <f>'Sampling Data'!J1162</f>
        <v>21</v>
      </c>
      <c r="L1170" s="111">
        <f>'Sampling Data'!X1162</f>
        <v>0</v>
      </c>
      <c r="M1170" s="114"/>
      <c r="N1170" s="114"/>
      <c r="O1170" s="115"/>
      <c r="P1170" s="115"/>
      <c r="Q1170" s="116"/>
      <c r="R1170" s="116"/>
      <c r="S1170" s="111">
        <f>Audit[[#This Row],[Audit Losing Candidate]]-Audit[[#This Row],[Losing Candidate]]</f>
        <v>-6</v>
      </c>
      <c r="T1170" s="111">
        <f>Audit[[#This Row],[Audit Winning Candidate]]-Audit[[#This Row],[Winning Candidate]]</f>
        <v>-7</v>
      </c>
      <c r="U1170" s="111">
        <f>Audit[[#This Row],[Audit Candidate 3]]-Audit[[#This Row],[Candidate 3]]</f>
        <v>-4</v>
      </c>
      <c r="V1170" s="111">
        <f>Audit[[#This Row],[Audit Candidate 4]]-Audit[[#This Row],[Candidate 4]]</f>
        <v>-3</v>
      </c>
      <c r="W1170" s="111">
        <f>Audit[[#This Row],[Audit Candidate 5]]-Audit[[#This Row],[Candidate 5]]</f>
        <v>0</v>
      </c>
      <c r="X1170" s="111">
        <f>Audit[[#This Row],[Audit Candidate 6]]-Audit[[#This Row],[Candidate 6]]</f>
        <v>-1</v>
      </c>
      <c r="Y1170" s="111">
        <f>SUMIF(Audit[[#This Row],[Difference Loser]:[Difference Candidate 6]], "&gt;0")</f>
        <v>0</v>
      </c>
      <c r="Z1170" s="111">
        <f>SUM(Audit[[#This Row],[Difference Loser]:[Difference Candidate 6]])</f>
        <v>-21</v>
      </c>
      <c r="AA1170" s="111">
        <f>IF(Audit[[#This Row],[Times p Drawn - With Replacement]]&gt;0, IF(Audit[[#This Row],[Canceled Differences]]&lt;0, Audit[[#This Row],[Max Differences]]+ABS(Audit[[#This Row],[Canceled Differences]]), Audit[[#This Row],[Max Differences]]), 0)</f>
        <v>0</v>
      </c>
      <c r="AB1170" s="111">
        <f>'Sampling Data'!P1162</f>
        <v>1.3473787359137678E-3</v>
      </c>
      <c r="AC1170" s="111">
        <f>IF(
      SUM(Audit[[#This Row],[Audit Losing Candidate]:[Audit Candidate 6]])
      &lt;&gt;0,
      (Audit[[#This Row],[Winning Candidate]]-Audit[[#This Row],[Losing Candidate]]-(Audit[[#This Row],[Audit Winning Candidate]]-Audit[[#This Row],[Audit Losing Candidate]]))/(Audit[[#Totals],[Winning Candidate]]-Audit[[#Totals],[Losing Candidate]]),
      0
)</f>
        <v>0</v>
      </c>
      <c r="AD11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0" s="111">
        <f>IF(Audit[[#This Row],[Max Relative Error (ep)]] = 0, 0, Audit[[#This Row],[Max Relative Error (ep)]]/Audit[[#This Row],[Error Bound (up) - Max. possible relative overstatement]])</f>
        <v>0</v>
      </c>
      <c r="AJ11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70" s="111">
        <f t="shared" si="18"/>
        <v>1</v>
      </c>
      <c r="AL1170" s="111">
        <f>PRODUCT($AK$5:AK1170)</f>
        <v>8.962823818226312E-2</v>
      </c>
      <c r="AM1170" s="109">
        <f>1 - [K-M P Value]</f>
        <v>0.91037176181773694</v>
      </c>
      <c r="AN1170" s="111" t="str">
        <f>IF(Audit[[#This Row],[K-M P Value]]&gt;1-'General Info'!$B$16,"Continue", "Stop")</f>
        <v>Stop</v>
      </c>
      <c r="AO1170" s="110" t="b">
        <f>IF(Audit[[#This Row],[Status - Continue or stop audit]] = "Continue", TRUE, IF(AN1169 = "Continue", TRUE, FALSE))</f>
        <v>0</v>
      </c>
      <c r="AP1170" s="110"/>
    </row>
    <row r="1171" spans="1:42" ht="15" hidden="1" customHeight="1">
      <c r="A1171" s="111" t="str">
        <f>'Sampling Data'!W1163</f>
        <v/>
      </c>
      <c r="B1171" s="112" t="str">
        <f>'Sampling Data'!A1163</f>
        <v>FAIRVIEW PARK -02-C</v>
      </c>
      <c r="C1171" s="112">
        <f>'Sampling Data'!B1163</f>
        <v>26</v>
      </c>
      <c r="D1171" s="112">
        <f>'Sampling Data'!C1163</f>
        <v>39</v>
      </c>
      <c r="E1171" s="113">
        <f>'Sampling Data'!D1163</f>
        <v>15</v>
      </c>
      <c r="F1171" s="113">
        <f>'Sampling Data'!E1163</f>
        <v>9</v>
      </c>
      <c r="G1171" s="113">
        <f>'Sampling Data'!F1163</f>
        <v>0</v>
      </c>
      <c r="H1171" s="113">
        <f>'Sampling Data'!G1163</f>
        <v>2</v>
      </c>
      <c r="I1171" s="112">
        <f>'Sampling Data'!H1163</f>
        <v>0</v>
      </c>
      <c r="J1171" s="112">
        <f>'Sampling Data'!I1163</f>
        <v>1</v>
      </c>
      <c r="K1171" s="112">
        <f>'Sampling Data'!J1163</f>
        <v>92</v>
      </c>
      <c r="L1171" s="111">
        <f>'Sampling Data'!X1163</f>
        <v>0</v>
      </c>
      <c r="M1171" s="114"/>
      <c r="N1171" s="114"/>
      <c r="O1171" s="115"/>
      <c r="P1171" s="115"/>
      <c r="Q1171" s="116"/>
      <c r="R1171" s="116"/>
      <c r="S1171" s="111">
        <f>Audit[[#This Row],[Audit Losing Candidate]]-Audit[[#This Row],[Losing Candidate]]</f>
        <v>-26</v>
      </c>
      <c r="T1171" s="111">
        <f>Audit[[#This Row],[Audit Winning Candidate]]-Audit[[#This Row],[Winning Candidate]]</f>
        <v>-39</v>
      </c>
      <c r="U1171" s="111">
        <f>Audit[[#This Row],[Audit Candidate 3]]-Audit[[#This Row],[Candidate 3]]</f>
        <v>-15</v>
      </c>
      <c r="V1171" s="111">
        <f>Audit[[#This Row],[Audit Candidate 4]]-Audit[[#This Row],[Candidate 4]]</f>
        <v>-9</v>
      </c>
      <c r="W1171" s="111">
        <f>Audit[[#This Row],[Audit Candidate 5]]-Audit[[#This Row],[Candidate 5]]</f>
        <v>0</v>
      </c>
      <c r="X1171" s="111">
        <f>Audit[[#This Row],[Audit Candidate 6]]-Audit[[#This Row],[Candidate 6]]</f>
        <v>-2</v>
      </c>
      <c r="Y1171" s="111">
        <f>SUMIF(Audit[[#This Row],[Difference Loser]:[Difference Candidate 6]], "&gt;0")</f>
        <v>0</v>
      </c>
      <c r="Z1171" s="111">
        <f>SUM(Audit[[#This Row],[Difference Loser]:[Difference Candidate 6]])</f>
        <v>-91</v>
      </c>
      <c r="AA1171" s="111">
        <f>IF(Audit[[#This Row],[Times p Drawn - With Replacement]]&gt;0, IF(Audit[[#This Row],[Canceled Differences]]&lt;0, Audit[[#This Row],[Max Differences]]+ABS(Audit[[#This Row],[Canceled Differences]]), Audit[[#This Row],[Max Differences]]), 0)</f>
        <v>0</v>
      </c>
      <c r="AB1171" s="111">
        <f>'Sampling Data'!P1163</f>
        <v>6.4306712395884374E-3</v>
      </c>
      <c r="AC1171" s="111">
        <f>IF(
      SUM(Audit[[#This Row],[Audit Losing Candidate]:[Audit Candidate 6]])
      &lt;&gt;0,
      (Audit[[#This Row],[Winning Candidate]]-Audit[[#This Row],[Losing Candidate]]-(Audit[[#This Row],[Audit Winning Candidate]]-Audit[[#This Row],[Audit Losing Candidate]]))/(Audit[[#Totals],[Winning Candidate]]-Audit[[#Totals],[Losing Candidate]]),
      0
)</f>
        <v>0</v>
      </c>
      <c r="AD11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1" s="111">
        <f>IF(Audit[[#This Row],[Max Relative Error (ep)]] = 0, 0, Audit[[#This Row],[Max Relative Error (ep)]]/Audit[[#This Row],[Error Bound (up) - Max. possible relative overstatement]])</f>
        <v>0</v>
      </c>
      <c r="AJ11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71" s="111">
        <f t="shared" si="18"/>
        <v>1</v>
      </c>
      <c r="AL1171" s="111">
        <f>PRODUCT($AK$5:AK1171)</f>
        <v>8.962823818226312E-2</v>
      </c>
      <c r="AM1171" s="109">
        <f>1 - [K-M P Value]</f>
        <v>0.91037176181773694</v>
      </c>
      <c r="AN1171" s="111" t="str">
        <f>IF(Audit[[#This Row],[K-M P Value]]&gt;1-'General Info'!$B$16,"Continue", "Stop")</f>
        <v>Stop</v>
      </c>
      <c r="AO1171" s="110" t="b">
        <f>IF(Audit[[#This Row],[Status - Continue or stop audit]] = "Continue", TRUE, IF(AN1170 = "Continue", TRUE, FALSE))</f>
        <v>0</v>
      </c>
      <c r="AP1171" s="110"/>
    </row>
    <row r="1172" spans="1:42" ht="15" hidden="1" customHeight="1">
      <c r="A1172" s="111" t="str">
        <f>'Sampling Data'!W1164</f>
        <v/>
      </c>
      <c r="B1172" s="112" t="str">
        <f>'Sampling Data'!A1164</f>
        <v>FAIRVIEW PARK -02-C - ABS</v>
      </c>
      <c r="C1172" s="112">
        <f>'Sampling Data'!B1164</f>
        <v>25</v>
      </c>
      <c r="D1172" s="112">
        <f>'Sampling Data'!C1164</f>
        <v>16</v>
      </c>
      <c r="E1172" s="113">
        <f>'Sampling Data'!D1164</f>
        <v>5</v>
      </c>
      <c r="F1172" s="113">
        <f>'Sampling Data'!E1164</f>
        <v>6</v>
      </c>
      <c r="G1172" s="113">
        <f>'Sampling Data'!F1164</f>
        <v>0</v>
      </c>
      <c r="H1172" s="113">
        <f>'Sampling Data'!G1164</f>
        <v>1</v>
      </c>
      <c r="I1172" s="112">
        <f>'Sampling Data'!H1164</f>
        <v>0</v>
      </c>
      <c r="J1172" s="112">
        <f>'Sampling Data'!I1164</f>
        <v>0</v>
      </c>
      <c r="K1172" s="112">
        <f>'Sampling Data'!J1164</f>
        <v>53</v>
      </c>
      <c r="L1172" s="111">
        <f>'Sampling Data'!X1164</f>
        <v>0</v>
      </c>
      <c r="M1172" s="114"/>
      <c r="N1172" s="114"/>
      <c r="O1172" s="115"/>
      <c r="P1172" s="115"/>
      <c r="Q1172" s="116"/>
      <c r="R1172" s="116"/>
      <c r="S1172" s="111">
        <f>Audit[[#This Row],[Audit Losing Candidate]]-Audit[[#This Row],[Losing Candidate]]</f>
        <v>-25</v>
      </c>
      <c r="T1172" s="111">
        <f>Audit[[#This Row],[Audit Winning Candidate]]-Audit[[#This Row],[Winning Candidate]]</f>
        <v>-16</v>
      </c>
      <c r="U1172" s="111">
        <f>Audit[[#This Row],[Audit Candidate 3]]-Audit[[#This Row],[Candidate 3]]</f>
        <v>-5</v>
      </c>
      <c r="V1172" s="111">
        <f>Audit[[#This Row],[Audit Candidate 4]]-Audit[[#This Row],[Candidate 4]]</f>
        <v>-6</v>
      </c>
      <c r="W1172" s="111">
        <f>Audit[[#This Row],[Audit Candidate 5]]-Audit[[#This Row],[Candidate 5]]</f>
        <v>0</v>
      </c>
      <c r="X1172" s="111">
        <f>Audit[[#This Row],[Audit Candidate 6]]-Audit[[#This Row],[Candidate 6]]</f>
        <v>-1</v>
      </c>
      <c r="Y1172" s="111">
        <f>SUMIF(Audit[[#This Row],[Difference Loser]:[Difference Candidate 6]], "&gt;0")</f>
        <v>0</v>
      </c>
      <c r="Z1172" s="111">
        <f>SUM(Audit[[#This Row],[Difference Loser]:[Difference Candidate 6]])</f>
        <v>-53</v>
      </c>
      <c r="AA1172" s="111">
        <f>IF(Audit[[#This Row],[Times p Drawn - With Replacement]]&gt;0, IF(Audit[[#This Row],[Canceled Differences]]&lt;0, Audit[[#This Row],[Max Differences]]+ABS(Audit[[#This Row],[Canceled Differences]]), Audit[[#This Row],[Max Differences]]), 0)</f>
        <v>0</v>
      </c>
      <c r="AB1172" s="111">
        <f>'Sampling Data'!P1164</f>
        <v>2.6947574718275357E-3</v>
      </c>
      <c r="AC1172" s="111">
        <f>IF(
      SUM(Audit[[#This Row],[Audit Losing Candidate]:[Audit Candidate 6]])
      &lt;&gt;0,
      (Audit[[#This Row],[Winning Candidate]]-Audit[[#This Row],[Losing Candidate]]-(Audit[[#This Row],[Audit Winning Candidate]]-Audit[[#This Row],[Audit Losing Candidate]]))/(Audit[[#Totals],[Winning Candidate]]-Audit[[#Totals],[Losing Candidate]]),
      0
)</f>
        <v>0</v>
      </c>
      <c r="AD11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2" s="111">
        <f>IF(Audit[[#This Row],[Max Relative Error (ep)]] = 0, 0, Audit[[#This Row],[Max Relative Error (ep)]]/Audit[[#This Row],[Error Bound (up) - Max. possible relative overstatement]])</f>
        <v>0</v>
      </c>
      <c r="AJ11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72" s="111">
        <f t="shared" si="18"/>
        <v>1</v>
      </c>
      <c r="AL1172" s="111">
        <f>PRODUCT($AK$5:AK1172)</f>
        <v>8.962823818226312E-2</v>
      </c>
      <c r="AM1172" s="109">
        <f>1 - [K-M P Value]</f>
        <v>0.91037176181773694</v>
      </c>
      <c r="AN1172" s="111" t="str">
        <f>IF(Audit[[#This Row],[K-M P Value]]&gt;1-'General Info'!$B$16,"Continue", "Stop")</f>
        <v>Stop</v>
      </c>
      <c r="AO1172" s="110" t="b">
        <f>IF(Audit[[#This Row],[Status - Continue or stop audit]] = "Continue", TRUE, IF(AN1171 = "Continue", TRUE, FALSE))</f>
        <v>0</v>
      </c>
      <c r="AP1172" s="110"/>
    </row>
    <row r="1173" spans="1:42" ht="15" hidden="1" customHeight="1">
      <c r="A1173" s="111" t="str">
        <f>'Sampling Data'!W1165</f>
        <v/>
      </c>
      <c r="B1173" s="112" t="str">
        <f>'Sampling Data'!A1165</f>
        <v>FAIRVIEW PARK -03-A</v>
      </c>
      <c r="C1173" s="112">
        <f>'Sampling Data'!B1165</f>
        <v>32</v>
      </c>
      <c r="D1173" s="112">
        <f>'Sampling Data'!C1165</f>
        <v>31</v>
      </c>
      <c r="E1173" s="113">
        <f>'Sampling Data'!D1165</f>
        <v>14</v>
      </c>
      <c r="F1173" s="113">
        <f>'Sampling Data'!E1165</f>
        <v>6</v>
      </c>
      <c r="G1173" s="113">
        <f>'Sampling Data'!F1165</f>
        <v>0</v>
      </c>
      <c r="H1173" s="113">
        <f>'Sampling Data'!G1165</f>
        <v>1</v>
      </c>
      <c r="I1173" s="112">
        <f>'Sampling Data'!H1165</f>
        <v>0</v>
      </c>
      <c r="J1173" s="112">
        <f>'Sampling Data'!I1165</f>
        <v>0</v>
      </c>
      <c r="K1173" s="112">
        <f>'Sampling Data'!J1165</f>
        <v>84</v>
      </c>
      <c r="L1173" s="111">
        <f>'Sampling Data'!X1165</f>
        <v>0</v>
      </c>
      <c r="M1173" s="114"/>
      <c r="N1173" s="114"/>
      <c r="O1173" s="115"/>
      <c r="P1173" s="115"/>
      <c r="Q1173" s="116"/>
      <c r="R1173" s="116"/>
      <c r="S1173" s="111">
        <f>Audit[[#This Row],[Audit Losing Candidate]]-Audit[[#This Row],[Losing Candidate]]</f>
        <v>-32</v>
      </c>
      <c r="T1173" s="111">
        <f>Audit[[#This Row],[Audit Winning Candidate]]-Audit[[#This Row],[Winning Candidate]]</f>
        <v>-31</v>
      </c>
      <c r="U1173" s="111">
        <f>Audit[[#This Row],[Audit Candidate 3]]-Audit[[#This Row],[Candidate 3]]</f>
        <v>-14</v>
      </c>
      <c r="V1173" s="111">
        <f>Audit[[#This Row],[Audit Candidate 4]]-Audit[[#This Row],[Candidate 4]]</f>
        <v>-6</v>
      </c>
      <c r="W1173" s="111">
        <f>Audit[[#This Row],[Audit Candidate 5]]-Audit[[#This Row],[Candidate 5]]</f>
        <v>0</v>
      </c>
      <c r="X1173" s="111">
        <f>Audit[[#This Row],[Audit Candidate 6]]-Audit[[#This Row],[Candidate 6]]</f>
        <v>-1</v>
      </c>
      <c r="Y1173" s="111">
        <f>SUMIF(Audit[[#This Row],[Difference Loser]:[Difference Candidate 6]], "&gt;0")</f>
        <v>0</v>
      </c>
      <c r="Z1173" s="111">
        <f>SUM(Audit[[#This Row],[Difference Loser]:[Difference Candidate 6]])</f>
        <v>-84</v>
      </c>
      <c r="AA1173" s="111">
        <f>IF(Audit[[#This Row],[Times p Drawn - With Replacement]]&gt;0, IF(Audit[[#This Row],[Canceled Differences]]&lt;0, Audit[[#This Row],[Max Differences]]+ABS(Audit[[#This Row],[Canceled Differences]]), Audit[[#This Row],[Max Differences]]), 0)</f>
        <v>0</v>
      </c>
      <c r="AB1173" s="111">
        <f>'Sampling Data'!P1165</f>
        <v>5.0832925036746694E-3</v>
      </c>
      <c r="AC1173" s="111">
        <f>IF(
      SUM(Audit[[#This Row],[Audit Losing Candidate]:[Audit Candidate 6]])
      &lt;&gt;0,
      (Audit[[#This Row],[Winning Candidate]]-Audit[[#This Row],[Losing Candidate]]-(Audit[[#This Row],[Audit Winning Candidate]]-Audit[[#This Row],[Audit Losing Candidate]]))/(Audit[[#Totals],[Winning Candidate]]-Audit[[#Totals],[Losing Candidate]]),
      0
)</f>
        <v>0</v>
      </c>
      <c r="AD11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3" s="111">
        <f>IF(Audit[[#This Row],[Max Relative Error (ep)]] = 0, 0, Audit[[#This Row],[Max Relative Error (ep)]]/Audit[[#This Row],[Error Bound (up) - Max. possible relative overstatement]])</f>
        <v>0</v>
      </c>
      <c r="AJ11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73" s="111">
        <f t="shared" si="18"/>
        <v>1</v>
      </c>
      <c r="AL1173" s="111">
        <f>PRODUCT($AK$5:AK1173)</f>
        <v>8.962823818226312E-2</v>
      </c>
      <c r="AM1173" s="109">
        <f>1 - [K-M P Value]</f>
        <v>0.91037176181773694</v>
      </c>
      <c r="AN1173" s="111" t="str">
        <f>IF(Audit[[#This Row],[K-M P Value]]&gt;1-'General Info'!$B$16,"Continue", "Stop")</f>
        <v>Stop</v>
      </c>
      <c r="AO1173" s="110" t="b">
        <f>IF(Audit[[#This Row],[Status - Continue or stop audit]] = "Continue", TRUE, IF(AN1172 = "Continue", TRUE, FALSE))</f>
        <v>0</v>
      </c>
      <c r="AP1173" s="110"/>
    </row>
    <row r="1174" spans="1:42" ht="15" hidden="1" customHeight="1">
      <c r="A1174" s="111" t="str">
        <f>'Sampling Data'!W1166</f>
        <v/>
      </c>
      <c r="B1174" s="112" t="str">
        <f>'Sampling Data'!A1166</f>
        <v>FAIRVIEW PARK -03-A - ABS</v>
      </c>
      <c r="C1174" s="112">
        <f>'Sampling Data'!B1166</f>
        <v>7</v>
      </c>
      <c r="D1174" s="112">
        <f>'Sampling Data'!C1166</f>
        <v>24</v>
      </c>
      <c r="E1174" s="113">
        <f>'Sampling Data'!D1166</f>
        <v>8</v>
      </c>
      <c r="F1174" s="113">
        <f>'Sampling Data'!E1166</f>
        <v>2</v>
      </c>
      <c r="G1174" s="113">
        <f>'Sampling Data'!F1166</f>
        <v>0</v>
      </c>
      <c r="H1174" s="113">
        <f>'Sampling Data'!G1166</f>
        <v>0</v>
      </c>
      <c r="I1174" s="112">
        <f>'Sampling Data'!H1166</f>
        <v>0</v>
      </c>
      <c r="J1174" s="112">
        <f>'Sampling Data'!I1166</f>
        <v>1</v>
      </c>
      <c r="K1174" s="112">
        <f>'Sampling Data'!J1166</f>
        <v>42</v>
      </c>
      <c r="L1174" s="111">
        <f>'Sampling Data'!X1166</f>
        <v>0</v>
      </c>
      <c r="M1174" s="114"/>
      <c r="N1174" s="114"/>
      <c r="O1174" s="115"/>
      <c r="P1174" s="115"/>
      <c r="Q1174" s="116"/>
      <c r="R1174" s="116"/>
      <c r="S1174" s="111">
        <f>Audit[[#This Row],[Audit Losing Candidate]]-Audit[[#This Row],[Losing Candidate]]</f>
        <v>-7</v>
      </c>
      <c r="T1174" s="111">
        <f>Audit[[#This Row],[Audit Winning Candidate]]-Audit[[#This Row],[Winning Candidate]]</f>
        <v>-24</v>
      </c>
      <c r="U1174" s="111">
        <f>Audit[[#This Row],[Audit Candidate 3]]-Audit[[#This Row],[Candidate 3]]</f>
        <v>-8</v>
      </c>
      <c r="V1174" s="111">
        <f>Audit[[#This Row],[Audit Candidate 4]]-Audit[[#This Row],[Candidate 4]]</f>
        <v>-2</v>
      </c>
      <c r="W1174" s="111">
        <f>Audit[[#This Row],[Audit Candidate 5]]-Audit[[#This Row],[Candidate 5]]</f>
        <v>0</v>
      </c>
      <c r="X1174" s="111">
        <f>Audit[[#This Row],[Audit Candidate 6]]-Audit[[#This Row],[Candidate 6]]</f>
        <v>0</v>
      </c>
      <c r="Y1174" s="111">
        <f>SUMIF(Audit[[#This Row],[Difference Loser]:[Difference Candidate 6]], "&gt;0")</f>
        <v>0</v>
      </c>
      <c r="Z1174" s="111">
        <f>SUM(Audit[[#This Row],[Difference Loser]:[Difference Candidate 6]])</f>
        <v>-41</v>
      </c>
      <c r="AA1174" s="111">
        <f>IF(Audit[[#This Row],[Times p Drawn - With Replacement]]&gt;0, IF(Audit[[#This Row],[Canceled Differences]]&lt;0, Audit[[#This Row],[Max Differences]]+ABS(Audit[[#This Row],[Canceled Differences]]), Audit[[#This Row],[Max Differences]]), 0)</f>
        <v>0</v>
      </c>
      <c r="AB1174" s="111">
        <f>'Sampling Data'!P1166</f>
        <v>3.6134247917687409E-3</v>
      </c>
      <c r="AC1174" s="111">
        <f>IF(
      SUM(Audit[[#This Row],[Audit Losing Candidate]:[Audit Candidate 6]])
      &lt;&gt;0,
      (Audit[[#This Row],[Winning Candidate]]-Audit[[#This Row],[Losing Candidate]]-(Audit[[#This Row],[Audit Winning Candidate]]-Audit[[#This Row],[Audit Losing Candidate]]))/(Audit[[#Totals],[Winning Candidate]]-Audit[[#Totals],[Losing Candidate]]),
      0
)</f>
        <v>0</v>
      </c>
      <c r="AD11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4" s="111">
        <f>IF(Audit[[#This Row],[Max Relative Error (ep)]] = 0, 0, Audit[[#This Row],[Max Relative Error (ep)]]/Audit[[#This Row],[Error Bound (up) - Max. possible relative overstatement]])</f>
        <v>0</v>
      </c>
      <c r="AJ11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74" s="111">
        <f t="shared" si="18"/>
        <v>1</v>
      </c>
      <c r="AL1174" s="111">
        <f>PRODUCT($AK$5:AK1174)</f>
        <v>8.962823818226312E-2</v>
      </c>
      <c r="AM1174" s="109">
        <f>1 - [K-M P Value]</f>
        <v>0.91037176181773694</v>
      </c>
      <c r="AN1174" s="111" t="str">
        <f>IF(Audit[[#This Row],[K-M P Value]]&gt;1-'General Info'!$B$16,"Continue", "Stop")</f>
        <v>Stop</v>
      </c>
      <c r="AO1174" s="110" t="b">
        <f>IF(Audit[[#This Row],[Status - Continue or stop audit]] = "Continue", TRUE, IF(AN1173 = "Continue", TRUE, FALSE))</f>
        <v>0</v>
      </c>
      <c r="AP1174" s="110"/>
    </row>
    <row r="1175" spans="1:42" ht="15" hidden="1" customHeight="1">
      <c r="A1175" s="111" t="str">
        <f>'Sampling Data'!W1167</f>
        <v/>
      </c>
      <c r="B1175" s="112" t="str">
        <f>'Sampling Data'!A1167</f>
        <v>FAIRVIEW PARK -03-B</v>
      </c>
      <c r="C1175" s="112">
        <f>'Sampling Data'!B1167</f>
        <v>29</v>
      </c>
      <c r="D1175" s="112">
        <f>'Sampling Data'!C1167</f>
        <v>56</v>
      </c>
      <c r="E1175" s="113">
        <f>'Sampling Data'!D1167</f>
        <v>18</v>
      </c>
      <c r="F1175" s="113">
        <f>'Sampling Data'!E1167</f>
        <v>10</v>
      </c>
      <c r="G1175" s="113">
        <f>'Sampling Data'!F1167</f>
        <v>0</v>
      </c>
      <c r="H1175" s="113">
        <f>'Sampling Data'!G1167</f>
        <v>0</v>
      </c>
      <c r="I1175" s="112">
        <f>'Sampling Data'!H1167</f>
        <v>0</v>
      </c>
      <c r="J1175" s="112">
        <f>'Sampling Data'!I1167</f>
        <v>1</v>
      </c>
      <c r="K1175" s="112">
        <f>'Sampling Data'!J1167</f>
        <v>114</v>
      </c>
      <c r="L1175" s="111">
        <f>'Sampling Data'!X1167</f>
        <v>0</v>
      </c>
      <c r="M1175" s="114"/>
      <c r="N1175" s="114"/>
      <c r="O1175" s="115"/>
      <c r="P1175" s="115"/>
      <c r="Q1175" s="116"/>
      <c r="R1175" s="116"/>
      <c r="S1175" s="111">
        <f>Audit[[#This Row],[Audit Losing Candidate]]-Audit[[#This Row],[Losing Candidate]]</f>
        <v>-29</v>
      </c>
      <c r="T1175" s="111">
        <f>Audit[[#This Row],[Audit Winning Candidate]]-Audit[[#This Row],[Winning Candidate]]</f>
        <v>-56</v>
      </c>
      <c r="U1175" s="111">
        <f>Audit[[#This Row],[Audit Candidate 3]]-Audit[[#This Row],[Candidate 3]]</f>
        <v>-18</v>
      </c>
      <c r="V1175" s="111">
        <f>Audit[[#This Row],[Audit Candidate 4]]-Audit[[#This Row],[Candidate 4]]</f>
        <v>-10</v>
      </c>
      <c r="W1175" s="111">
        <f>Audit[[#This Row],[Audit Candidate 5]]-Audit[[#This Row],[Candidate 5]]</f>
        <v>0</v>
      </c>
      <c r="X1175" s="111">
        <f>Audit[[#This Row],[Audit Candidate 6]]-Audit[[#This Row],[Candidate 6]]</f>
        <v>0</v>
      </c>
      <c r="Y1175" s="111">
        <f>SUMIF(Audit[[#This Row],[Difference Loser]:[Difference Candidate 6]], "&gt;0")</f>
        <v>0</v>
      </c>
      <c r="Z1175" s="111">
        <f>SUM(Audit[[#This Row],[Difference Loser]:[Difference Candidate 6]])</f>
        <v>-113</v>
      </c>
      <c r="AA1175" s="111">
        <f>IF(Audit[[#This Row],[Times p Drawn - With Replacement]]&gt;0, IF(Audit[[#This Row],[Canceled Differences]]&lt;0, Audit[[#This Row],[Max Differences]]+ABS(Audit[[#This Row],[Canceled Differences]]), Audit[[#This Row],[Max Differences]]), 0)</f>
        <v>0</v>
      </c>
      <c r="AB1175" s="111">
        <f>'Sampling Data'!P1167</f>
        <v>8.6354728074473294E-3</v>
      </c>
      <c r="AC1175" s="111">
        <f>IF(
      SUM(Audit[[#This Row],[Audit Losing Candidate]:[Audit Candidate 6]])
      &lt;&gt;0,
      (Audit[[#This Row],[Winning Candidate]]-Audit[[#This Row],[Losing Candidate]]-(Audit[[#This Row],[Audit Winning Candidate]]-Audit[[#This Row],[Audit Losing Candidate]]))/(Audit[[#Totals],[Winning Candidate]]-Audit[[#Totals],[Losing Candidate]]),
      0
)</f>
        <v>0</v>
      </c>
      <c r="AD11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5" s="111">
        <f>IF(Audit[[#This Row],[Max Relative Error (ep)]] = 0, 0, Audit[[#This Row],[Max Relative Error (ep)]]/Audit[[#This Row],[Error Bound (up) - Max. possible relative overstatement]])</f>
        <v>0</v>
      </c>
      <c r="AJ11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75" s="111">
        <f t="shared" si="18"/>
        <v>1</v>
      </c>
      <c r="AL1175" s="111">
        <f>PRODUCT($AK$5:AK1175)</f>
        <v>8.962823818226312E-2</v>
      </c>
      <c r="AM1175" s="109">
        <f>1 - [K-M P Value]</f>
        <v>0.91037176181773694</v>
      </c>
      <c r="AN1175" s="111" t="str">
        <f>IF(Audit[[#This Row],[K-M P Value]]&gt;1-'General Info'!$B$16,"Continue", "Stop")</f>
        <v>Stop</v>
      </c>
      <c r="AO1175" s="110" t="b">
        <f>IF(Audit[[#This Row],[Status - Continue or stop audit]] = "Continue", TRUE, IF(AN1174 = "Continue", TRUE, FALSE))</f>
        <v>0</v>
      </c>
      <c r="AP1175" s="110"/>
    </row>
    <row r="1176" spans="1:42" ht="15" hidden="1" customHeight="1">
      <c r="A1176" s="111" t="str">
        <f>'Sampling Data'!W1168</f>
        <v/>
      </c>
      <c r="B1176" s="112" t="str">
        <f>'Sampling Data'!A1168</f>
        <v>FAIRVIEW PARK -03-B - ABS</v>
      </c>
      <c r="C1176" s="112">
        <f>'Sampling Data'!B1168</f>
        <v>14</v>
      </c>
      <c r="D1176" s="112">
        <f>'Sampling Data'!C1168</f>
        <v>29</v>
      </c>
      <c r="E1176" s="113">
        <f>'Sampling Data'!D1168</f>
        <v>8</v>
      </c>
      <c r="F1176" s="113">
        <f>'Sampling Data'!E1168</f>
        <v>7</v>
      </c>
      <c r="G1176" s="113">
        <f>'Sampling Data'!F1168</f>
        <v>0</v>
      </c>
      <c r="H1176" s="113">
        <f>'Sampling Data'!G1168</f>
        <v>0</v>
      </c>
      <c r="I1176" s="112">
        <f>'Sampling Data'!H1168</f>
        <v>0</v>
      </c>
      <c r="J1176" s="112">
        <f>'Sampling Data'!I1168</f>
        <v>0</v>
      </c>
      <c r="K1176" s="112">
        <f>'Sampling Data'!J1168</f>
        <v>58</v>
      </c>
      <c r="L1176" s="111">
        <f>'Sampling Data'!X1168</f>
        <v>0</v>
      </c>
      <c r="M1176" s="114"/>
      <c r="N1176" s="114"/>
      <c r="O1176" s="115"/>
      <c r="P1176" s="115"/>
      <c r="Q1176" s="116"/>
      <c r="R1176" s="116"/>
      <c r="S1176" s="111">
        <f>Audit[[#This Row],[Audit Losing Candidate]]-Audit[[#This Row],[Losing Candidate]]</f>
        <v>-14</v>
      </c>
      <c r="T1176" s="111">
        <f>Audit[[#This Row],[Audit Winning Candidate]]-Audit[[#This Row],[Winning Candidate]]</f>
        <v>-29</v>
      </c>
      <c r="U1176" s="111">
        <f>Audit[[#This Row],[Audit Candidate 3]]-Audit[[#This Row],[Candidate 3]]</f>
        <v>-8</v>
      </c>
      <c r="V1176" s="111">
        <f>Audit[[#This Row],[Audit Candidate 4]]-Audit[[#This Row],[Candidate 4]]</f>
        <v>-7</v>
      </c>
      <c r="W1176" s="111">
        <f>Audit[[#This Row],[Audit Candidate 5]]-Audit[[#This Row],[Candidate 5]]</f>
        <v>0</v>
      </c>
      <c r="X1176" s="111">
        <f>Audit[[#This Row],[Audit Candidate 6]]-Audit[[#This Row],[Candidate 6]]</f>
        <v>0</v>
      </c>
      <c r="Y1176" s="111">
        <f>SUMIF(Audit[[#This Row],[Difference Loser]:[Difference Candidate 6]], "&gt;0")</f>
        <v>0</v>
      </c>
      <c r="Z1176" s="111">
        <f>SUM(Audit[[#This Row],[Difference Loser]:[Difference Candidate 6]])</f>
        <v>-58</v>
      </c>
      <c r="AA1176" s="111">
        <f>IF(Audit[[#This Row],[Times p Drawn - With Replacement]]&gt;0, IF(Audit[[#This Row],[Canceled Differences]]&lt;0, Audit[[#This Row],[Max Differences]]+ABS(Audit[[#This Row],[Canceled Differences]]), Audit[[#This Row],[Max Differences]]), 0)</f>
        <v>0</v>
      </c>
      <c r="AB1176" s="111">
        <f>'Sampling Data'!P1168</f>
        <v>4.4708476237138662E-3</v>
      </c>
      <c r="AC1176" s="111">
        <f>IF(
      SUM(Audit[[#This Row],[Audit Losing Candidate]:[Audit Candidate 6]])
      &lt;&gt;0,
      (Audit[[#This Row],[Winning Candidate]]-Audit[[#This Row],[Losing Candidate]]-(Audit[[#This Row],[Audit Winning Candidate]]-Audit[[#This Row],[Audit Losing Candidate]]))/(Audit[[#Totals],[Winning Candidate]]-Audit[[#Totals],[Losing Candidate]]),
      0
)</f>
        <v>0</v>
      </c>
      <c r="AD11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6" s="111">
        <f>IF(Audit[[#This Row],[Max Relative Error (ep)]] = 0, 0, Audit[[#This Row],[Max Relative Error (ep)]]/Audit[[#This Row],[Error Bound (up) - Max. possible relative overstatement]])</f>
        <v>0</v>
      </c>
      <c r="AJ11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76" s="111">
        <f t="shared" si="18"/>
        <v>1</v>
      </c>
      <c r="AL1176" s="111">
        <f>PRODUCT($AK$5:AK1176)</f>
        <v>8.962823818226312E-2</v>
      </c>
      <c r="AM1176" s="109">
        <f>1 - [K-M P Value]</f>
        <v>0.91037176181773694</v>
      </c>
      <c r="AN1176" s="111" t="str">
        <f>IF(Audit[[#This Row],[K-M P Value]]&gt;1-'General Info'!$B$16,"Continue", "Stop")</f>
        <v>Stop</v>
      </c>
      <c r="AO1176" s="110" t="b">
        <f>IF(Audit[[#This Row],[Status - Continue or stop audit]] = "Continue", TRUE, IF(AN1175 = "Continue", TRUE, FALSE))</f>
        <v>0</v>
      </c>
      <c r="AP1176" s="110"/>
    </row>
    <row r="1177" spans="1:42" ht="15" hidden="1" customHeight="1">
      <c r="A1177" s="111" t="str">
        <f>'Sampling Data'!W1169</f>
        <v/>
      </c>
      <c r="B1177" s="112" t="str">
        <f>'Sampling Data'!A1169</f>
        <v>FAIRVIEW PARK -03-C</v>
      </c>
      <c r="C1177" s="112">
        <f>'Sampling Data'!B1169</f>
        <v>31</v>
      </c>
      <c r="D1177" s="112">
        <f>'Sampling Data'!C1169</f>
        <v>40</v>
      </c>
      <c r="E1177" s="113">
        <f>'Sampling Data'!D1169</f>
        <v>14</v>
      </c>
      <c r="F1177" s="113">
        <f>'Sampling Data'!E1169</f>
        <v>6</v>
      </c>
      <c r="G1177" s="113">
        <f>'Sampling Data'!F1169</f>
        <v>0</v>
      </c>
      <c r="H1177" s="113">
        <f>'Sampling Data'!G1169</f>
        <v>0</v>
      </c>
      <c r="I1177" s="112">
        <f>'Sampling Data'!H1169</f>
        <v>0</v>
      </c>
      <c r="J1177" s="112">
        <f>'Sampling Data'!I1169</f>
        <v>0</v>
      </c>
      <c r="K1177" s="112">
        <f>'Sampling Data'!J1169</f>
        <v>91</v>
      </c>
      <c r="L1177" s="111">
        <f>'Sampling Data'!X1169</f>
        <v>0</v>
      </c>
      <c r="M1177" s="114"/>
      <c r="N1177" s="114"/>
      <c r="O1177" s="115"/>
      <c r="P1177" s="115"/>
      <c r="Q1177" s="116"/>
      <c r="R1177" s="116"/>
      <c r="S1177" s="111">
        <f>Audit[[#This Row],[Audit Losing Candidate]]-Audit[[#This Row],[Losing Candidate]]</f>
        <v>-31</v>
      </c>
      <c r="T1177" s="111">
        <f>Audit[[#This Row],[Audit Winning Candidate]]-Audit[[#This Row],[Winning Candidate]]</f>
        <v>-40</v>
      </c>
      <c r="U1177" s="111">
        <f>Audit[[#This Row],[Audit Candidate 3]]-Audit[[#This Row],[Candidate 3]]</f>
        <v>-14</v>
      </c>
      <c r="V1177" s="111">
        <f>Audit[[#This Row],[Audit Candidate 4]]-Audit[[#This Row],[Candidate 4]]</f>
        <v>-6</v>
      </c>
      <c r="W1177" s="111">
        <f>Audit[[#This Row],[Audit Candidate 5]]-Audit[[#This Row],[Candidate 5]]</f>
        <v>0</v>
      </c>
      <c r="X1177" s="111">
        <f>Audit[[#This Row],[Audit Candidate 6]]-Audit[[#This Row],[Candidate 6]]</f>
        <v>0</v>
      </c>
      <c r="Y1177" s="111">
        <f>SUMIF(Audit[[#This Row],[Difference Loser]:[Difference Candidate 6]], "&gt;0")</f>
        <v>0</v>
      </c>
      <c r="Z1177" s="111">
        <f>SUM(Audit[[#This Row],[Difference Loser]:[Difference Candidate 6]])</f>
        <v>-91</v>
      </c>
      <c r="AA1177" s="111">
        <f>IF(Audit[[#This Row],[Times p Drawn - With Replacement]]&gt;0, IF(Audit[[#This Row],[Canceled Differences]]&lt;0, Audit[[#This Row],[Max Differences]]+ABS(Audit[[#This Row],[Canceled Differences]]), Audit[[#This Row],[Max Differences]]), 0)</f>
        <v>0</v>
      </c>
      <c r="AB1177" s="111">
        <f>'Sampling Data'!P1169</f>
        <v>6.1244487996080354E-3</v>
      </c>
      <c r="AC1177" s="111">
        <f>IF(
      SUM(Audit[[#This Row],[Audit Losing Candidate]:[Audit Candidate 6]])
      &lt;&gt;0,
      (Audit[[#This Row],[Winning Candidate]]-Audit[[#This Row],[Losing Candidate]]-(Audit[[#This Row],[Audit Winning Candidate]]-Audit[[#This Row],[Audit Losing Candidate]]))/(Audit[[#Totals],[Winning Candidate]]-Audit[[#Totals],[Losing Candidate]]),
      0
)</f>
        <v>0</v>
      </c>
      <c r="AD11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7" s="111">
        <f>IF(Audit[[#This Row],[Max Relative Error (ep)]] = 0, 0, Audit[[#This Row],[Max Relative Error (ep)]]/Audit[[#This Row],[Error Bound (up) - Max. possible relative overstatement]])</f>
        <v>0</v>
      </c>
      <c r="AJ11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77" s="111">
        <f t="shared" si="18"/>
        <v>1</v>
      </c>
      <c r="AL1177" s="111">
        <f>PRODUCT($AK$5:AK1177)</f>
        <v>8.962823818226312E-2</v>
      </c>
      <c r="AM1177" s="109">
        <f>1 - [K-M P Value]</f>
        <v>0.91037176181773694</v>
      </c>
      <c r="AN1177" s="111" t="str">
        <f>IF(Audit[[#This Row],[K-M P Value]]&gt;1-'General Info'!$B$16,"Continue", "Stop")</f>
        <v>Stop</v>
      </c>
      <c r="AO1177" s="110" t="b">
        <f>IF(Audit[[#This Row],[Status - Continue or stop audit]] = "Continue", TRUE, IF(AN1176 = "Continue", TRUE, FALSE))</f>
        <v>0</v>
      </c>
      <c r="AP1177" s="110"/>
    </row>
    <row r="1178" spans="1:42" ht="15" hidden="1" customHeight="1">
      <c r="A1178" s="111" t="str">
        <f>'Sampling Data'!W1170</f>
        <v/>
      </c>
      <c r="B1178" s="112" t="str">
        <f>'Sampling Data'!A1170</f>
        <v>FAIRVIEW PARK -03-C - ABS</v>
      </c>
      <c r="C1178" s="112">
        <f>'Sampling Data'!B1170</f>
        <v>20</v>
      </c>
      <c r="D1178" s="112">
        <f>'Sampling Data'!C1170</f>
        <v>11</v>
      </c>
      <c r="E1178" s="113">
        <f>'Sampling Data'!D1170</f>
        <v>4</v>
      </c>
      <c r="F1178" s="113">
        <f>'Sampling Data'!E1170</f>
        <v>3</v>
      </c>
      <c r="G1178" s="113">
        <f>'Sampling Data'!F1170</f>
        <v>0</v>
      </c>
      <c r="H1178" s="113">
        <f>'Sampling Data'!G1170</f>
        <v>0</v>
      </c>
      <c r="I1178" s="112">
        <f>'Sampling Data'!H1170</f>
        <v>0</v>
      </c>
      <c r="J1178" s="112">
        <f>'Sampling Data'!I1170</f>
        <v>1</v>
      </c>
      <c r="K1178" s="112">
        <f>'Sampling Data'!J1170</f>
        <v>39</v>
      </c>
      <c r="L1178" s="111">
        <f>'Sampling Data'!X1170</f>
        <v>0</v>
      </c>
      <c r="M1178" s="114"/>
      <c r="N1178" s="114"/>
      <c r="O1178" s="115"/>
      <c r="P1178" s="115"/>
      <c r="Q1178" s="116"/>
      <c r="R1178" s="116"/>
      <c r="S1178" s="111">
        <f>Audit[[#This Row],[Audit Losing Candidate]]-Audit[[#This Row],[Losing Candidate]]</f>
        <v>-20</v>
      </c>
      <c r="T1178" s="111">
        <f>Audit[[#This Row],[Audit Winning Candidate]]-Audit[[#This Row],[Winning Candidate]]</f>
        <v>-11</v>
      </c>
      <c r="U1178" s="111">
        <f>Audit[[#This Row],[Audit Candidate 3]]-Audit[[#This Row],[Candidate 3]]</f>
        <v>-4</v>
      </c>
      <c r="V1178" s="111">
        <f>Audit[[#This Row],[Audit Candidate 4]]-Audit[[#This Row],[Candidate 4]]</f>
        <v>-3</v>
      </c>
      <c r="W1178" s="111">
        <f>Audit[[#This Row],[Audit Candidate 5]]-Audit[[#This Row],[Candidate 5]]</f>
        <v>0</v>
      </c>
      <c r="X1178" s="111">
        <f>Audit[[#This Row],[Audit Candidate 6]]-Audit[[#This Row],[Candidate 6]]</f>
        <v>0</v>
      </c>
      <c r="Y1178" s="111">
        <f>SUMIF(Audit[[#This Row],[Difference Loser]:[Difference Candidate 6]], "&gt;0")</f>
        <v>0</v>
      </c>
      <c r="Z1178" s="111">
        <f>SUM(Audit[[#This Row],[Difference Loser]:[Difference Candidate 6]])</f>
        <v>-38</v>
      </c>
      <c r="AA1178" s="111">
        <f>IF(Audit[[#This Row],[Times p Drawn - With Replacement]]&gt;0, IF(Audit[[#This Row],[Canceled Differences]]&lt;0, Audit[[#This Row],[Max Differences]]+ABS(Audit[[#This Row],[Canceled Differences]]), Audit[[#This Row],[Max Differences]]), 0)</f>
        <v>0</v>
      </c>
      <c r="AB1178" s="111">
        <f>'Sampling Data'!P1170</f>
        <v>1.8373346398824107E-3</v>
      </c>
      <c r="AC1178" s="111">
        <f>IF(
      SUM(Audit[[#This Row],[Audit Losing Candidate]:[Audit Candidate 6]])
      &lt;&gt;0,
      (Audit[[#This Row],[Winning Candidate]]-Audit[[#This Row],[Losing Candidate]]-(Audit[[#This Row],[Audit Winning Candidate]]-Audit[[#This Row],[Audit Losing Candidate]]))/(Audit[[#Totals],[Winning Candidate]]-Audit[[#Totals],[Losing Candidate]]),
      0
)</f>
        <v>0</v>
      </c>
      <c r="AD11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8" s="111">
        <f>IF(Audit[[#This Row],[Max Relative Error (ep)]] = 0, 0, Audit[[#This Row],[Max Relative Error (ep)]]/Audit[[#This Row],[Error Bound (up) - Max. possible relative overstatement]])</f>
        <v>0</v>
      </c>
      <c r="AJ11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78" s="111">
        <f t="shared" si="18"/>
        <v>1</v>
      </c>
      <c r="AL1178" s="111">
        <f>PRODUCT($AK$5:AK1178)</f>
        <v>8.962823818226312E-2</v>
      </c>
      <c r="AM1178" s="109">
        <f>1 - [K-M P Value]</f>
        <v>0.91037176181773694</v>
      </c>
      <c r="AN1178" s="111" t="str">
        <f>IF(Audit[[#This Row],[K-M P Value]]&gt;1-'General Info'!$B$16,"Continue", "Stop")</f>
        <v>Stop</v>
      </c>
      <c r="AO1178" s="110" t="b">
        <f>IF(Audit[[#This Row],[Status - Continue or stop audit]] = "Continue", TRUE, IF(AN1177 = "Continue", TRUE, FALSE))</f>
        <v>0</v>
      </c>
      <c r="AP1178" s="110"/>
    </row>
    <row r="1179" spans="1:42" ht="15" hidden="1" customHeight="1">
      <c r="A1179" s="111" t="str">
        <f>'Sampling Data'!W1171</f>
        <v/>
      </c>
      <c r="B1179" s="112" t="str">
        <f>'Sampling Data'!A1171</f>
        <v>FAIRVIEW PARK -04-A</v>
      </c>
      <c r="C1179" s="112">
        <f>'Sampling Data'!B1171</f>
        <v>25</v>
      </c>
      <c r="D1179" s="112">
        <f>'Sampling Data'!C1171</f>
        <v>46</v>
      </c>
      <c r="E1179" s="113">
        <f>'Sampling Data'!D1171</f>
        <v>8</v>
      </c>
      <c r="F1179" s="113">
        <f>'Sampling Data'!E1171</f>
        <v>6</v>
      </c>
      <c r="G1179" s="113">
        <f>'Sampling Data'!F1171</f>
        <v>0</v>
      </c>
      <c r="H1179" s="113">
        <f>'Sampling Data'!G1171</f>
        <v>0</v>
      </c>
      <c r="I1179" s="112">
        <f>'Sampling Data'!H1171</f>
        <v>0</v>
      </c>
      <c r="J1179" s="112">
        <f>'Sampling Data'!I1171</f>
        <v>0</v>
      </c>
      <c r="K1179" s="112">
        <f>'Sampling Data'!J1171</f>
        <v>85</v>
      </c>
      <c r="L1179" s="111">
        <f>'Sampling Data'!X1171</f>
        <v>0</v>
      </c>
      <c r="M1179" s="114"/>
      <c r="N1179" s="114"/>
      <c r="O1179" s="115"/>
      <c r="P1179" s="115"/>
      <c r="Q1179" s="116"/>
      <c r="R1179" s="116"/>
      <c r="S1179" s="111">
        <f>Audit[[#This Row],[Audit Losing Candidate]]-Audit[[#This Row],[Losing Candidate]]</f>
        <v>-25</v>
      </c>
      <c r="T1179" s="111">
        <f>Audit[[#This Row],[Audit Winning Candidate]]-Audit[[#This Row],[Winning Candidate]]</f>
        <v>-46</v>
      </c>
      <c r="U1179" s="111">
        <f>Audit[[#This Row],[Audit Candidate 3]]-Audit[[#This Row],[Candidate 3]]</f>
        <v>-8</v>
      </c>
      <c r="V1179" s="111">
        <f>Audit[[#This Row],[Audit Candidate 4]]-Audit[[#This Row],[Candidate 4]]</f>
        <v>-6</v>
      </c>
      <c r="W1179" s="111">
        <f>Audit[[#This Row],[Audit Candidate 5]]-Audit[[#This Row],[Candidate 5]]</f>
        <v>0</v>
      </c>
      <c r="X1179" s="111">
        <f>Audit[[#This Row],[Audit Candidate 6]]-Audit[[#This Row],[Candidate 6]]</f>
        <v>0</v>
      </c>
      <c r="Y1179" s="111">
        <f>SUMIF(Audit[[#This Row],[Difference Loser]:[Difference Candidate 6]], "&gt;0")</f>
        <v>0</v>
      </c>
      <c r="Z1179" s="111">
        <f>SUM(Audit[[#This Row],[Difference Loser]:[Difference Candidate 6]])</f>
        <v>-85</v>
      </c>
      <c r="AA1179" s="111">
        <f>IF(Audit[[#This Row],[Times p Drawn - With Replacement]]&gt;0, IF(Audit[[#This Row],[Canceled Differences]]&lt;0, Audit[[#This Row],[Max Differences]]+ABS(Audit[[#This Row],[Canceled Differences]]), Audit[[#This Row],[Max Differences]]), 0)</f>
        <v>0</v>
      </c>
      <c r="AB1179" s="111">
        <f>'Sampling Data'!P1171</f>
        <v>6.4919157275845178E-3</v>
      </c>
      <c r="AC1179" s="111">
        <f>IF(
      SUM(Audit[[#This Row],[Audit Losing Candidate]:[Audit Candidate 6]])
      &lt;&gt;0,
      (Audit[[#This Row],[Winning Candidate]]-Audit[[#This Row],[Losing Candidate]]-(Audit[[#This Row],[Audit Winning Candidate]]-Audit[[#This Row],[Audit Losing Candidate]]))/(Audit[[#Totals],[Winning Candidate]]-Audit[[#Totals],[Losing Candidate]]),
      0
)</f>
        <v>0</v>
      </c>
      <c r="AD11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9" s="111">
        <f>IF(Audit[[#This Row],[Max Relative Error (ep)]] = 0, 0, Audit[[#This Row],[Max Relative Error (ep)]]/Audit[[#This Row],[Error Bound (up) - Max. possible relative overstatement]])</f>
        <v>0</v>
      </c>
      <c r="AJ11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79" s="111">
        <f t="shared" si="18"/>
        <v>1</v>
      </c>
      <c r="AL1179" s="111">
        <f>PRODUCT($AK$5:AK1179)</f>
        <v>8.962823818226312E-2</v>
      </c>
      <c r="AM1179" s="109">
        <f>1 - [K-M P Value]</f>
        <v>0.91037176181773694</v>
      </c>
      <c r="AN1179" s="111" t="str">
        <f>IF(Audit[[#This Row],[K-M P Value]]&gt;1-'General Info'!$B$16,"Continue", "Stop")</f>
        <v>Stop</v>
      </c>
      <c r="AO1179" s="110" t="b">
        <f>IF(Audit[[#This Row],[Status - Continue or stop audit]] = "Continue", TRUE, IF(AN1178 = "Continue", TRUE, FALSE))</f>
        <v>0</v>
      </c>
      <c r="AP1179" s="110"/>
    </row>
    <row r="1180" spans="1:42" ht="15" hidden="1" customHeight="1">
      <c r="A1180" s="111" t="str">
        <f>'Sampling Data'!W1172</f>
        <v/>
      </c>
      <c r="B1180" s="112" t="str">
        <f>'Sampling Data'!A1172</f>
        <v>FAIRVIEW PARK -04-A - ABS</v>
      </c>
      <c r="C1180" s="112">
        <f>'Sampling Data'!B1172</f>
        <v>8</v>
      </c>
      <c r="D1180" s="112">
        <f>'Sampling Data'!C1172</f>
        <v>16</v>
      </c>
      <c r="E1180" s="113">
        <f>'Sampling Data'!D1172</f>
        <v>4</v>
      </c>
      <c r="F1180" s="113">
        <f>'Sampling Data'!E1172</f>
        <v>1</v>
      </c>
      <c r="G1180" s="113">
        <f>'Sampling Data'!F1172</f>
        <v>0</v>
      </c>
      <c r="H1180" s="113">
        <f>'Sampling Data'!G1172</f>
        <v>1</v>
      </c>
      <c r="I1180" s="112">
        <f>'Sampling Data'!H1172</f>
        <v>0</v>
      </c>
      <c r="J1180" s="112">
        <f>'Sampling Data'!I1172</f>
        <v>0</v>
      </c>
      <c r="K1180" s="112">
        <f>'Sampling Data'!J1172</f>
        <v>30</v>
      </c>
      <c r="L1180" s="111">
        <f>'Sampling Data'!X1172</f>
        <v>0</v>
      </c>
      <c r="M1180" s="114"/>
      <c r="N1180" s="114"/>
      <c r="O1180" s="115"/>
      <c r="P1180" s="115"/>
      <c r="Q1180" s="116"/>
      <c r="R1180" s="116"/>
      <c r="S1180" s="111">
        <f>Audit[[#This Row],[Audit Losing Candidate]]-Audit[[#This Row],[Losing Candidate]]</f>
        <v>-8</v>
      </c>
      <c r="T1180" s="111">
        <f>Audit[[#This Row],[Audit Winning Candidate]]-Audit[[#This Row],[Winning Candidate]]</f>
        <v>-16</v>
      </c>
      <c r="U1180" s="111">
        <f>Audit[[#This Row],[Audit Candidate 3]]-Audit[[#This Row],[Candidate 3]]</f>
        <v>-4</v>
      </c>
      <c r="V1180" s="111">
        <f>Audit[[#This Row],[Audit Candidate 4]]-Audit[[#This Row],[Candidate 4]]</f>
        <v>-1</v>
      </c>
      <c r="W1180" s="111">
        <f>Audit[[#This Row],[Audit Candidate 5]]-Audit[[#This Row],[Candidate 5]]</f>
        <v>0</v>
      </c>
      <c r="X1180" s="111">
        <f>Audit[[#This Row],[Audit Candidate 6]]-Audit[[#This Row],[Candidate 6]]</f>
        <v>-1</v>
      </c>
      <c r="Y1180" s="111">
        <f>SUMIF(Audit[[#This Row],[Difference Loser]:[Difference Candidate 6]], "&gt;0")</f>
        <v>0</v>
      </c>
      <c r="Z1180" s="111">
        <f>SUM(Audit[[#This Row],[Difference Loser]:[Difference Candidate 6]])</f>
        <v>-30</v>
      </c>
      <c r="AA1180" s="111">
        <f>IF(Audit[[#This Row],[Times p Drawn - With Replacement]]&gt;0, IF(Audit[[#This Row],[Canceled Differences]]&lt;0, Audit[[#This Row],[Max Differences]]+ABS(Audit[[#This Row],[Canceled Differences]]), Audit[[#This Row],[Max Differences]]), 0)</f>
        <v>0</v>
      </c>
      <c r="AB1180" s="111">
        <f>'Sampling Data'!P1172</f>
        <v>2.3272905438510533E-3</v>
      </c>
      <c r="AC1180" s="111">
        <f>IF(
      SUM(Audit[[#This Row],[Audit Losing Candidate]:[Audit Candidate 6]])
      &lt;&gt;0,
      (Audit[[#This Row],[Winning Candidate]]-Audit[[#This Row],[Losing Candidate]]-(Audit[[#This Row],[Audit Winning Candidate]]-Audit[[#This Row],[Audit Losing Candidate]]))/(Audit[[#Totals],[Winning Candidate]]-Audit[[#Totals],[Losing Candidate]]),
      0
)</f>
        <v>0</v>
      </c>
      <c r="AD11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0" s="111">
        <f>IF(Audit[[#This Row],[Max Relative Error (ep)]] = 0, 0, Audit[[#This Row],[Max Relative Error (ep)]]/Audit[[#This Row],[Error Bound (up) - Max. possible relative overstatement]])</f>
        <v>0</v>
      </c>
      <c r="AJ11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80" s="111">
        <f t="shared" si="18"/>
        <v>1</v>
      </c>
      <c r="AL1180" s="111">
        <f>PRODUCT($AK$5:AK1180)</f>
        <v>8.962823818226312E-2</v>
      </c>
      <c r="AM1180" s="109">
        <f>1 - [K-M P Value]</f>
        <v>0.91037176181773694</v>
      </c>
      <c r="AN1180" s="111" t="str">
        <f>IF(Audit[[#This Row],[K-M P Value]]&gt;1-'General Info'!$B$16,"Continue", "Stop")</f>
        <v>Stop</v>
      </c>
      <c r="AO1180" s="110" t="b">
        <f>IF(Audit[[#This Row],[Status - Continue or stop audit]] = "Continue", TRUE, IF(AN1179 = "Continue", TRUE, FALSE))</f>
        <v>0</v>
      </c>
      <c r="AP1180" s="110"/>
    </row>
    <row r="1181" spans="1:42" ht="15" hidden="1" customHeight="1">
      <c r="A1181" s="111" t="str">
        <f>'Sampling Data'!W1173</f>
        <v/>
      </c>
      <c r="B1181" s="112" t="str">
        <f>'Sampling Data'!A1173</f>
        <v>FAIRVIEW PARK -04-B</v>
      </c>
      <c r="C1181" s="112">
        <f>'Sampling Data'!B1173</f>
        <v>28</v>
      </c>
      <c r="D1181" s="112">
        <f>'Sampling Data'!C1173</f>
        <v>31</v>
      </c>
      <c r="E1181" s="113">
        <f>'Sampling Data'!D1173</f>
        <v>9</v>
      </c>
      <c r="F1181" s="113">
        <f>'Sampling Data'!E1173</f>
        <v>13</v>
      </c>
      <c r="G1181" s="113">
        <f>'Sampling Data'!F1173</f>
        <v>0</v>
      </c>
      <c r="H1181" s="113">
        <f>'Sampling Data'!G1173</f>
        <v>0</v>
      </c>
      <c r="I1181" s="112">
        <f>'Sampling Data'!H1173</f>
        <v>0</v>
      </c>
      <c r="J1181" s="112">
        <f>'Sampling Data'!I1173</f>
        <v>0</v>
      </c>
      <c r="K1181" s="112">
        <f>'Sampling Data'!J1173</f>
        <v>81</v>
      </c>
      <c r="L1181" s="111">
        <f>'Sampling Data'!X1173</f>
        <v>0</v>
      </c>
      <c r="M1181" s="114"/>
      <c r="N1181" s="114"/>
      <c r="O1181" s="115"/>
      <c r="P1181" s="115"/>
      <c r="Q1181" s="116"/>
      <c r="R1181" s="116"/>
      <c r="S1181" s="111">
        <f>Audit[[#This Row],[Audit Losing Candidate]]-Audit[[#This Row],[Losing Candidate]]</f>
        <v>-28</v>
      </c>
      <c r="T1181" s="111">
        <f>Audit[[#This Row],[Audit Winning Candidate]]-Audit[[#This Row],[Winning Candidate]]</f>
        <v>-31</v>
      </c>
      <c r="U1181" s="111">
        <f>Audit[[#This Row],[Audit Candidate 3]]-Audit[[#This Row],[Candidate 3]]</f>
        <v>-9</v>
      </c>
      <c r="V1181" s="111">
        <f>Audit[[#This Row],[Audit Candidate 4]]-Audit[[#This Row],[Candidate 4]]</f>
        <v>-13</v>
      </c>
      <c r="W1181" s="111">
        <f>Audit[[#This Row],[Audit Candidate 5]]-Audit[[#This Row],[Candidate 5]]</f>
        <v>0</v>
      </c>
      <c r="X1181" s="111">
        <f>Audit[[#This Row],[Audit Candidate 6]]-Audit[[#This Row],[Candidate 6]]</f>
        <v>0</v>
      </c>
      <c r="Y1181" s="111">
        <f>SUMIF(Audit[[#This Row],[Difference Loser]:[Difference Candidate 6]], "&gt;0")</f>
        <v>0</v>
      </c>
      <c r="Z1181" s="111">
        <f>SUM(Audit[[#This Row],[Difference Loser]:[Difference Candidate 6]])</f>
        <v>-81</v>
      </c>
      <c r="AA1181" s="111">
        <f>IF(Audit[[#This Row],[Times p Drawn - With Replacement]]&gt;0, IF(Audit[[#This Row],[Canceled Differences]]&lt;0, Audit[[#This Row],[Max Differences]]+ABS(Audit[[#This Row],[Canceled Differences]]), Audit[[#This Row],[Max Differences]]), 0)</f>
        <v>0</v>
      </c>
      <c r="AB1181" s="111">
        <f>'Sampling Data'!P1173</f>
        <v>5.1445369916707498E-3</v>
      </c>
      <c r="AC1181" s="111">
        <f>IF(
      SUM(Audit[[#This Row],[Audit Losing Candidate]:[Audit Candidate 6]])
      &lt;&gt;0,
      (Audit[[#This Row],[Winning Candidate]]-Audit[[#This Row],[Losing Candidate]]-(Audit[[#This Row],[Audit Winning Candidate]]-Audit[[#This Row],[Audit Losing Candidate]]))/(Audit[[#Totals],[Winning Candidate]]-Audit[[#Totals],[Losing Candidate]]),
      0
)</f>
        <v>0</v>
      </c>
      <c r="AD11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1" s="111">
        <f>IF(Audit[[#This Row],[Max Relative Error (ep)]] = 0, 0, Audit[[#This Row],[Max Relative Error (ep)]]/Audit[[#This Row],[Error Bound (up) - Max. possible relative overstatement]])</f>
        <v>0</v>
      </c>
      <c r="AJ11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81" s="111">
        <f t="shared" si="18"/>
        <v>1</v>
      </c>
      <c r="AL1181" s="111">
        <f>PRODUCT($AK$5:AK1181)</f>
        <v>8.962823818226312E-2</v>
      </c>
      <c r="AM1181" s="109">
        <f>1 - [K-M P Value]</f>
        <v>0.91037176181773694</v>
      </c>
      <c r="AN1181" s="111" t="str">
        <f>IF(Audit[[#This Row],[K-M P Value]]&gt;1-'General Info'!$B$16,"Continue", "Stop")</f>
        <v>Stop</v>
      </c>
      <c r="AO1181" s="110" t="b">
        <f>IF(Audit[[#This Row],[Status - Continue or stop audit]] = "Continue", TRUE, IF(AN1180 = "Continue", TRUE, FALSE))</f>
        <v>0</v>
      </c>
      <c r="AP1181" s="110"/>
    </row>
    <row r="1182" spans="1:42" ht="15" hidden="1" customHeight="1">
      <c r="A1182" s="111" t="str">
        <f>'Sampling Data'!W1174</f>
        <v/>
      </c>
      <c r="B1182" s="112" t="str">
        <f>'Sampling Data'!A1174</f>
        <v>FAIRVIEW PARK -04-B - ABS</v>
      </c>
      <c r="C1182" s="112">
        <f>'Sampling Data'!B1174</f>
        <v>14</v>
      </c>
      <c r="D1182" s="112">
        <f>'Sampling Data'!C1174</f>
        <v>12</v>
      </c>
      <c r="E1182" s="113">
        <f>'Sampling Data'!D1174</f>
        <v>4</v>
      </c>
      <c r="F1182" s="113">
        <f>'Sampling Data'!E1174</f>
        <v>6</v>
      </c>
      <c r="G1182" s="113">
        <f>'Sampling Data'!F1174</f>
        <v>1</v>
      </c>
      <c r="H1182" s="113">
        <f>'Sampling Data'!G1174</f>
        <v>0</v>
      </c>
      <c r="I1182" s="112">
        <f>'Sampling Data'!H1174</f>
        <v>0</v>
      </c>
      <c r="J1182" s="112">
        <f>'Sampling Data'!I1174</f>
        <v>1</v>
      </c>
      <c r="K1182" s="112">
        <f>'Sampling Data'!J1174</f>
        <v>38</v>
      </c>
      <c r="L1182" s="111">
        <f>'Sampling Data'!X1174</f>
        <v>0</v>
      </c>
      <c r="M1182" s="114"/>
      <c r="N1182" s="114"/>
      <c r="O1182" s="115"/>
      <c r="P1182" s="115"/>
      <c r="Q1182" s="116"/>
      <c r="R1182" s="116"/>
      <c r="S1182" s="111">
        <f>Audit[[#This Row],[Audit Losing Candidate]]-Audit[[#This Row],[Losing Candidate]]</f>
        <v>-14</v>
      </c>
      <c r="T1182" s="111">
        <f>Audit[[#This Row],[Audit Winning Candidate]]-Audit[[#This Row],[Winning Candidate]]</f>
        <v>-12</v>
      </c>
      <c r="U1182" s="111">
        <f>Audit[[#This Row],[Audit Candidate 3]]-Audit[[#This Row],[Candidate 3]]</f>
        <v>-4</v>
      </c>
      <c r="V1182" s="111">
        <f>Audit[[#This Row],[Audit Candidate 4]]-Audit[[#This Row],[Candidate 4]]</f>
        <v>-6</v>
      </c>
      <c r="W1182" s="111">
        <f>Audit[[#This Row],[Audit Candidate 5]]-Audit[[#This Row],[Candidate 5]]</f>
        <v>-1</v>
      </c>
      <c r="X1182" s="111">
        <f>Audit[[#This Row],[Audit Candidate 6]]-Audit[[#This Row],[Candidate 6]]</f>
        <v>0</v>
      </c>
      <c r="Y1182" s="111">
        <f>SUMIF(Audit[[#This Row],[Difference Loser]:[Difference Candidate 6]], "&gt;0")</f>
        <v>0</v>
      </c>
      <c r="Z1182" s="111">
        <f>SUM(Audit[[#This Row],[Difference Loser]:[Difference Candidate 6]])</f>
        <v>-37</v>
      </c>
      <c r="AA1182" s="111">
        <f>IF(Audit[[#This Row],[Times p Drawn - With Replacement]]&gt;0, IF(Audit[[#This Row],[Canceled Differences]]&lt;0, Audit[[#This Row],[Max Differences]]+ABS(Audit[[#This Row],[Canceled Differences]]), Audit[[#This Row],[Max Differences]]), 0)</f>
        <v>0</v>
      </c>
      <c r="AB1182" s="111">
        <f>'Sampling Data'!P1174</f>
        <v>2.2048015678588929E-3</v>
      </c>
      <c r="AC1182" s="111">
        <f>IF(
      SUM(Audit[[#This Row],[Audit Losing Candidate]:[Audit Candidate 6]])
      &lt;&gt;0,
      (Audit[[#This Row],[Winning Candidate]]-Audit[[#This Row],[Losing Candidate]]-(Audit[[#This Row],[Audit Winning Candidate]]-Audit[[#This Row],[Audit Losing Candidate]]))/(Audit[[#Totals],[Winning Candidate]]-Audit[[#Totals],[Losing Candidate]]),
      0
)</f>
        <v>0</v>
      </c>
      <c r="AD11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2" s="111">
        <f>IF(Audit[[#This Row],[Max Relative Error (ep)]] = 0, 0, Audit[[#This Row],[Max Relative Error (ep)]]/Audit[[#This Row],[Error Bound (up) - Max. possible relative overstatement]])</f>
        <v>0</v>
      </c>
      <c r="AJ11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82" s="111">
        <f t="shared" si="18"/>
        <v>1</v>
      </c>
      <c r="AL1182" s="111">
        <f>PRODUCT($AK$5:AK1182)</f>
        <v>8.962823818226312E-2</v>
      </c>
      <c r="AM1182" s="109">
        <f>1 - [K-M P Value]</f>
        <v>0.91037176181773694</v>
      </c>
      <c r="AN1182" s="111" t="str">
        <f>IF(Audit[[#This Row],[K-M P Value]]&gt;1-'General Info'!$B$16,"Continue", "Stop")</f>
        <v>Stop</v>
      </c>
      <c r="AO1182" s="110" t="b">
        <f>IF(Audit[[#This Row],[Status - Continue or stop audit]] = "Continue", TRUE, IF(AN1181 = "Continue", TRUE, FALSE))</f>
        <v>0</v>
      </c>
      <c r="AP1182" s="110"/>
    </row>
    <row r="1183" spans="1:42" ht="15" hidden="1" customHeight="1">
      <c r="A1183" s="111" t="str">
        <f>'Sampling Data'!W1175</f>
        <v/>
      </c>
      <c r="B1183" s="112" t="str">
        <f>'Sampling Data'!A1175</f>
        <v>FAIRVIEW PARK -04-C</v>
      </c>
      <c r="C1183" s="112">
        <f>'Sampling Data'!B1175</f>
        <v>16</v>
      </c>
      <c r="D1183" s="112">
        <f>'Sampling Data'!C1175</f>
        <v>25</v>
      </c>
      <c r="E1183" s="113">
        <f>'Sampling Data'!D1175</f>
        <v>10</v>
      </c>
      <c r="F1183" s="113">
        <f>'Sampling Data'!E1175</f>
        <v>4</v>
      </c>
      <c r="G1183" s="113">
        <f>'Sampling Data'!F1175</f>
        <v>1</v>
      </c>
      <c r="H1183" s="113">
        <f>'Sampling Data'!G1175</f>
        <v>0</v>
      </c>
      <c r="I1183" s="112">
        <f>'Sampling Data'!H1175</f>
        <v>0</v>
      </c>
      <c r="J1183" s="112">
        <f>'Sampling Data'!I1175</f>
        <v>0</v>
      </c>
      <c r="K1183" s="112">
        <f>'Sampling Data'!J1175</f>
        <v>56</v>
      </c>
      <c r="L1183" s="111">
        <f>'Sampling Data'!X1175</f>
        <v>0</v>
      </c>
      <c r="M1183" s="114"/>
      <c r="N1183" s="114"/>
      <c r="O1183" s="115"/>
      <c r="P1183" s="115"/>
      <c r="Q1183" s="116"/>
      <c r="R1183" s="116"/>
      <c r="S1183" s="111">
        <f>Audit[[#This Row],[Audit Losing Candidate]]-Audit[[#This Row],[Losing Candidate]]</f>
        <v>-16</v>
      </c>
      <c r="T1183" s="111">
        <f>Audit[[#This Row],[Audit Winning Candidate]]-Audit[[#This Row],[Winning Candidate]]</f>
        <v>-25</v>
      </c>
      <c r="U1183" s="111">
        <f>Audit[[#This Row],[Audit Candidate 3]]-Audit[[#This Row],[Candidate 3]]</f>
        <v>-10</v>
      </c>
      <c r="V1183" s="111">
        <f>Audit[[#This Row],[Audit Candidate 4]]-Audit[[#This Row],[Candidate 4]]</f>
        <v>-4</v>
      </c>
      <c r="W1183" s="111">
        <f>Audit[[#This Row],[Audit Candidate 5]]-Audit[[#This Row],[Candidate 5]]</f>
        <v>-1</v>
      </c>
      <c r="X1183" s="111">
        <f>Audit[[#This Row],[Audit Candidate 6]]-Audit[[#This Row],[Candidate 6]]</f>
        <v>0</v>
      </c>
      <c r="Y1183" s="111">
        <f>SUMIF(Audit[[#This Row],[Difference Loser]:[Difference Candidate 6]], "&gt;0")</f>
        <v>0</v>
      </c>
      <c r="Z1183" s="111">
        <f>SUM(Audit[[#This Row],[Difference Loser]:[Difference Candidate 6]])</f>
        <v>-56</v>
      </c>
      <c r="AA1183" s="111">
        <f>IF(Audit[[#This Row],[Times p Drawn - With Replacement]]&gt;0, IF(Audit[[#This Row],[Canceled Differences]]&lt;0, Audit[[#This Row],[Max Differences]]+ABS(Audit[[#This Row],[Canceled Differences]]), Audit[[#This Row],[Max Differences]]), 0)</f>
        <v>0</v>
      </c>
      <c r="AB1183" s="111">
        <f>'Sampling Data'!P1175</f>
        <v>3.9808917197452229E-3</v>
      </c>
      <c r="AC1183" s="111">
        <f>IF(
      SUM(Audit[[#This Row],[Audit Losing Candidate]:[Audit Candidate 6]])
      &lt;&gt;0,
      (Audit[[#This Row],[Winning Candidate]]-Audit[[#This Row],[Losing Candidate]]-(Audit[[#This Row],[Audit Winning Candidate]]-Audit[[#This Row],[Audit Losing Candidate]]))/(Audit[[#Totals],[Winning Candidate]]-Audit[[#Totals],[Losing Candidate]]),
      0
)</f>
        <v>0</v>
      </c>
      <c r="AD11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3" s="111">
        <f>IF(Audit[[#This Row],[Max Relative Error (ep)]] = 0, 0, Audit[[#This Row],[Max Relative Error (ep)]]/Audit[[#This Row],[Error Bound (up) - Max. possible relative overstatement]])</f>
        <v>0</v>
      </c>
      <c r="AJ11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83" s="111">
        <f t="shared" si="18"/>
        <v>1</v>
      </c>
      <c r="AL1183" s="111">
        <f>PRODUCT($AK$5:AK1183)</f>
        <v>8.962823818226312E-2</v>
      </c>
      <c r="AM1183" s="109">
        <f>1 - [K-M P Value]</f>
        <v>0.91037176181773694</v>
      </c>
      <c r="AN1183" s="111" t="str">
        <f>IF(Audit[[#This Row],[K-M P Value]]&gt;1-'General Info'!$B$16,"Continue", "Stop")</f>
        <v>Stop</v>
      </c>
      <c r="AO1183" s="110" t="b">
        <f>IF(Audit[[#This Row],[Status - Continue or stop audit]] = "Continue", TRUE, IF(AN1182 = "Continue", TRUE, FALSE))</f>
        <v>0</v>
      </c>
      <c r="AP1183" s="110"/>
    </row>
    <row r="1184" spans="1:42" ht="15" hidden="1" customHeight="1">
      <c r="A1184" s="111" t="str">
        <f>'Sampling Data'!W1176</f>
        <v/>
      </c>
      <c r="B1184" s="112" t="str">
        <f>'Sampling Data'!A1176</f>
        <v>FAIRVIEW PARK -04-C - ABS</v>
      </c>
      <c r="C1184" s="112">
        <f>'Sampling Data'!B1176</f>
        <v>7</v>
      </c>
      <c r="D1184" s="112">
        <f>'Sampling Data'!C1176</f>
        <v>6</v>
      </c>
      <c r="E1184" s="113">
        <f>'Sampling Data'!D1176</f>
        <v>5</v>
      </c>
      <c r="F1184" s="113">
        <f>'Sampling Data'!E1176</f>
        <v>0</v>
      </c>
      <c r="G1184" s="113">
        <f>'Sampling Data'!F1176</f>
        <v>0</v>
      </c>
      <c r="H1184" s="113">
        <f>'Sampling Data'!G1176</f>
        <v>1</v>
      </c>
      <c r="I1184" s="112">
        <f>'Sampling Data'!H1176</f>
        <v>1</v>
      </c>
      <c r="J1184" s="112">
        <f>'Sampling Data'!I1176</f>
        <v>0</v>
      </c>
      <c r="K1184" s="112">
        <f>'Sampling Data'!J1176</f>
        <v>20</v>
      </c>
      <c r="L1184" s="111">
        <f>'Sampling Data'!X1176</f>
        <v>0</v>
      </c>
      <c r="M1184" s="114"/>
      <c r="N1184" s="114"/>
      <c r="O1184" s="115"/>
      <c r="P1184" s="115"/>
      <c r="Q1184" s="116"/>
      <c r="R1184" s="116"/>
      <c r="S1184" s="111">
        <f>Audit[[#This Row],[Audit Losing Candidate]]-Audit[[#This Row],[Losing Candidate]]</f>
        <v>-7</v>
      </c>
      <c r="T1184" s="111">
        <f>Audit[[#This Row],[Audit Winning Candidate]]-Audit[[#This Row],[Winning Candidate]]</f>
        <v>-6</v>
      </c>
      <c r="U1184" s="111">
        <f>Audit[[#This Row],[Audit Candidate 3]]-Audit[[#This Row],[Candidate 3]]</f>
        <v>-5</v>
      </c>
      <c r="V1184" s="111">
        <f>Audit[[#This Row],[Audit Candidate 4]]-Audit[[#This Row],[Candidate 4]]</f>
        <v>0</v>
      </c>
      <c r="W1184" s="111">
        <f>Audit[[#This Row],[Audit Candidate 5]]-Audit[[#This Row],[Candidate 5]]</f>
        <v>0</v>
      </c>
      <c r="X1184" s="111">
        <f>Audit[[#This Row],[Audit Candidate 6]]-Audit[[#This Row],[Candidate 6]]</f>
        <v>-1</v>
      </c>
      <c r="Y1184" s="111">
        <f>SUMIF(Audit[[#This Row],[Difference Loser]:[Difference Candidate 6]], "&gt;0")</f>
        <v>0</v>
      </c>
      <c r="Z1184" s="111">
        <f>SUM(Audit[[#This Row],[Difference Loser]:[Difference Candidate 6]])</f>
        <v>-19</v>
      </c>
      <c r="AA1184" s="111">
        <f>IF(Audit[[#This Row],[Times p Drawn - With Replacement]]&gt;0, IF(Audit[[#This Row],[Canceled Differences]]&lt;0, Audit[[#This Row],[Max Differences]]+ABS(Audit[[#This Row],[Canceled Differences]]), Audit[[#This Row],[Max Differences]]), 0)</f>
        <v>0</v>
      </c>
      <c r="AB1184" s="111">
        <f>'Sampling Data'!P1176</f>
        <v>1.1636452719255266E-3</v>
      </c>
      <c r="AC1184" s="111">
        <f>IF(
      SUM(Audit[[#This Row],[Audit Losing Candidate]:[Audit Candidate 6]])
      &lt;&gt;0,
      (Audit[[#This Row],[Winning Candidate]]-Audit[[#This Row],[Losing Candidate]]-(Audit[[#This Row],[Audit Winning Candidate]]-Audit[[#This Row],[Audit Losing Candidate]]))/(Audit[[#Totals],[Winning Candidate]]-Audit[[#Totals],[Losing Candidate]]),
      0
)</f>
        <v>0</v>
      </c>
      <c r="AD11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4" s="111">
        <f>IF(Audit[[#This Row],[Max Relative Error (ep)]] = 0, 0, Audit[[#This Row],[Max Relative Error (ep)]]/Audit[[#This Row],[Error Bound (up) - Max. possible relative overstatement]])</f>
        <v>0</v>
      </c>
      <c r="AJ11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84" s="111">
        <f t="shared" si="18"/>
        <v>1</v>
      </c>
      <c r="AL1184" s="111">
        <f>PRODUCT($AK$5:AK1184)</f>
        <v>8.962823818226312E-2</v>
      </c>
      <c r="AM1184" s="109">
        <f>1 - [K-M P Value]</f>
        <v>0.91037176181773694</v>
      </c>
      <c r="AN1184" s="111" t="str">
        <f>IF(Audit[[#This Row],[K-M P Value]]&gt;1-'General Info'!$B$16,"Continue", "Stop")</f>
        <v>Stop</v>
      </c>
      <c r="AO1184" s="110" t="b">
        <f>IF(Audit[[#This Row],[Status - Continue or stop audit]] = "Continue", TRUE, IF(AN1183 = "Continue", TRUE, FALSE))</f>
        <v>0</v>
      </c>
      <c r="AP1184" s="110"/>
    </row>
    <row r="1185" spans="1:42" ht="15" hidden="1" customHeight="1">
      <c r="A1185" s="111" t="str">
        <f>'Sampling Data'!W1177</f>
        <v/>
      </c>
      <c r="B1185" s="112" t="str">
        <f>'Sampling Data'!A1177</f>
        <v>FAIRVIEW PARK -05-A</v>
      </c>
      <c r="C1185" s="112">
        <f>'Sampling Data'!B1177</f>
        <v>21</v>
      </c>
      <c r="D1185" s="112">
        <f>'Sampling Data'!C1177</f>
        <v>60</v>
      </c>
      <c r="E1185" s="113">
        <f>'Sampling Data'!D1177</f>
        <v>10</v>
      </c>
      <c r="F1185" s="113">
        <f>'Sampling Data'!E1177</f>
        <v>5</v>
      </c>
      <c r="G1185" s="113">
        <f>'Sampling Data'!F1177</f>
        <v>1</v>
      </c>
      <c r="H1185" s="113">
        <f>'Sampling Data'!G1177</f>
        <v>0</v>
      </c>
      <c r="I1185" s="112">
        <f>'Sampling Data'!H1177</f>
        <v>0</v>
      </c>
      <c r="J1185" s="112">
        <f>'Sampling Data'!I1177</f>
        <v>1</v>
      </c>
      <c r="K1185" s="112">
        <f>'Sampling Data'!J1177</f>
        <v>98</v>
      </c>
      <c r="L1185" s="111">
        <f>'Sampling Data'!X1177</f>
        <v>0</v>
      </c>
      <c r="M1185" s="114"/>
      <c r="N1185" s="114"/>
      <c r="O1185" s="115"/>
      <c r="P1185" s="115"/>
      <c r="Q1185" s="116"/>
      <c r="R1185" s="116"/>
      <c r="S1185" s="111">
        <f>Audit[[#This Row],[Audit Losing Candidate]]-Audit[[#This Row],[Losing Candidate]]</f>
        <v>-21</v>
      </c>
      <c r="T1185" s="111">
        <f>Audit[[#This Row],[Audit Winning Candidate]]-Audit[[#This Row],[Winning Candidate]]</f>
        <v>-60</v>
      </c>
      <c r="U1185" s="111">
        <f>Audit[[#This Row],[Audit Candidate 3]]-Audit[[#This Row],[Candidate 3]]</f>
        <v>-10</v>
      </c>
      <c r="V1185" s="111">
        <f>Audit[[#This Row],[Audit Candidate 4]]-Audit[[#This Row],[Candidate 4]]</f>
        <v>-5</v>
      </c>
      <c r="W1185" s="111">
        <f>Audit[[#This Row],[Audit Candidate 5]]-Audit[[#This Row],[Candidate 5]]</f>
        <v>-1</v>
      </c>
      <c r="X1185" s="111">
        <f>Audit[[#This Row],[Audit Candidate 6]]-Audit[[#This Row],[Candidate 6]]</f>
        <v>0</v>
      </c>
      <c r="Y1185" s="111">
        <f>SUMIF(Audit[[#This Row],[Difference Loser]:[Difference Candidate 6]], "&gt;0")</f>
        <v>0</v>
      </c>
      <c r="Z1185" s="111">
        <f>SUM(Audit[[#This Row],[Difference Loser]:[Difference Candidate 6]])</f>
        <v>-97</v>
      </c>
      <c r="AA1185" s="111">
        <f>IF(Audit[[#This Row],[Times p Drawn - With Replacement]]&gt;0, IF(Audit[[#This Row],[Canceled Differences]]&lt;0, Audit[[#This Row],[Max Differences]]+ABS(Audit[[#This Row],[Canceled Differences]]), Audit[[#This Row],[Max Differences]]), 0)</f>
        <v>0</v>
      </c>
      <c r="AB1185" s="111">
        <f>'Sampling Data'!P1177</f>
        <v>8.3904948554630078E-3</v>
      </c>
      <c r="AC1185" s="111">
        <f>IF(
      SUM(Audit[[#This Row],[Audit Losing Candidate]:[Audit Candidate 6]])
      &lt;&gt;0,
      (Audit[[#This Row],[Winning Candidate]]-Audit[[#This Row],[Losing Candidate]]-(Audit[[#This Row],[Audit Winning Candidate]]-Audit[[#This Row],[Audit Losing Candidate]]))/(Audit[[#Totals],[Winning Candidate]]-Audit[[#Totals],[Losing Candidate]]),
      0
)</f>
        <v>0</v>
      </c>
      <c r="AD11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5" s="111">
        <f>IF(Audit[[#This Row],[Max Relative Error (ep)]] = 0, 0, Audit[[#This Row],[Max Relative Error (ep)]]/Audit[[#This Row],[Error Bound (up) - Max. possible relative overstatement]])</f>
        <v>0</v>
      </c>
      <c r="AJ11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85" s="111">
        <f t="shared" si="18"/>
        <v>1</v>
      </c>
      <c r="AL1185" s="111">
        <f>PRODUCT($AK$5:AK1185)</f>
        <v>8.962823818226312E-2</v>
      </c>
      <c r="AM1185" s="109">
        <f>1 - [K-M P Value]</f>
        <v>0.91037176181773694</v>
      </c>
      <c r="AN1185" s="111" t="str">
        <f>IF(Audit[[#This Row],[K-M P Value]]&gt;1-'General Info'!$B$16,"Continue", "Stop")</f>
        <v>Stop</v>
      </c>
      <c r="AO1185" s="110" t="b">
        <f>IF(Audit[[#This Row],[Status - Continue or stop audit]] = "Continue", TRUE, IF(AN1184 = "Continue", TRUE, FALSE))</f>
        <v>0</v>
      </c>
      <c r="AP1185" s="110"/>
    </row>
    <row r="1186" spans="1:42" ht="15" hidden="1" customHeight="1">
      <c r="A1186" s="111" t="str">
        <f>'Sampling Data'!W1178</f>
        <v/>
      </c>
      <c r="B1186" s="112" t="str">
        <f>'Sampling Data'!A1178</f>
        <v>FAIRVIEW PARK -05-A - ABS</v>
      </c>
      <c r="C1186" s="112">
        <f>'Sampling Data'!B1178</f>
        <v>18</v>
      </c>
      <c r="D1186" s="112">
        <f>'Sampling Data'!C1178</f>
        <v>12</v>
      </c>
      <c r="E1186" s="113">
        <f>'Sampling Data'!D1178</f>
        <v>3</v>
      </c>
      <c r="F1186" s="113">
        <f>'Sampling Data'!E1178</f>
        <v>4</v>
      </c>
      <c r="G1186" s="113">
        <f>'Sampling Data'!F1178</f>
        <v>0</v>
      </c>
      <c r="H1186" s="113">
        <f>'Sampling Data'!G1178</f>
        <v>0</v>
      </c>
      <c r="I1186" s="112">
        <f>'Sampling Data'!H1178</f>
        <v>0</v>
      </c>
      <c r="J1186" s="112">
        <f>'Sampling Data'!I1178</f>
        <v>1</v>
      </c>
      <c r="K1186" s="112">
        <f>'Sampling Data'!J1178</f>
        <v>38</v>
      </c>
      <c r="L1186" s="111">
        <f>'Sampling Data'!X1178</f>
        <v>0</v>
      </c>
      <c r="M1186" s="114"/>
      <c r="N1186" s="114"/>
      <c r="O1186" s="115"/>
      <c r="P1186" s="115"/>
      <c r="Q1186" s="116"/>
      <c r="R1186" s="116"/>
      <c r="S1186" s="111">
        <f>Audit[[#This Row],[Audit Losing Candidate]]-Audit[[#This Row],[Losing Candidate]]</f>
        <v>-18</v>
      </c>
      <c r="T1186" s="111">
        <f>Audit[[#This Row],[Audit Winning Candidate]]-Audit[[#This Row],[Winning Candidate]]</f>
        <v>-12</v>
      </c>
      <c r="U1186" s="111">
        <f>Audit[[#This Row],[Audit Candidate 3]]-Audit[[#This Row],[Candidate 3]]</f>
        <v>-3</v>
      </c>
      <c r="V1186" s="111">
        <f>Audit[[#This Row],[Audit Candidate 4]]-Audit[[#This Row],[Candidate 4]]</f>
        <v>-4</v>
      </c>
      <c r="W1186" s="111">
        <f>Audit[[#This Row],[Audit Candidate 5]]-Audit[[#This Row],[Candidate 5]]</f>
        <v>0</v>
      </c>
      <c r="X1186" s="111">
        <f>Audit[[#This Row],[Audit Candidate 6]]-Audit[[#This Row],[Candidate 6]]</f>
        <v>0</v>
      </c>
      <c r="Y1186" s="111">
        <f>SUMIF(Audit[[#This Row],[Difference Loser]:[Difference Candidate 6]], "&gt;0")</f>
        <v>0</v>
      </c>
      <c r="Z1186" s="111">
        <f>SUM(Audit[[#This Row],[Difference Loser]:[Difference Candidate 6]])</f>
        <v>-37</v>
      </c>
      <c r="AA1186" s="111">
        <f>IF(Audit[[#This Row],[Times p Drawn - With Replacement]]&gt;0, IF(Audit[[#This Row],[Canceled Differences]]&lt;0, Audit[[#This Row],[Max Differences]]+ABS(Audit[[#This Row],[Canceled Differences]]), Audit[[#This Row],[Max Differences]]), 0)</f>
        <v>0</v>
      </c>
      <c r="AB1186" s="111">
        <f>'Sampling Data'!P1178</f>
        <v>1.9598236158745713E-3</v>
      </c>
      <c r="AC1186" s="111">
        <f>IF(
      SUM(Audit[[#This Row],[Audit Losing Candidate]:[Audit Candidate 6]])
      &lt;&gt;0,
      (Audit[[#This Row],[Winning Candidate]]-Audit[[#This Row],[Losing Candidate]]-(Audit[[#This Row],[Audit Winning Candidate]]-Audit[[#This Row],[Audit Losing Candidate]]))/(Audit[[#Totals],[Winning Candidate]]-Audit[[#Totals],[Losing Candidate]]),
      0
)</f>
        <v>0</v>
      </c>
      <c r="AD11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6" s="111">
        <f>IF(Audit[[#This Row],[Max Relative Error (ep)]] = 0, 0, Audit[[#This Row],[Max Relative Error (ep)]]/Audit[[#This Row],[Error Bound (up) - Max. possible relative overstatement]])</f>
        <v>0</v>
      </c>
      <c r="AJ11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86" s="111">
        <f t="shared" si="18"/>
        <v>1</v>
      </c>
      <c r="AL1186" s="111">
        <f>PRODUCT($AK$5:AK1186)</f>
        <v>8.962823818226312E-2</v>
      </c>
      <c r="AM1186" s="109">
        <f>1 - [K-M P Value]</f>
        <v>0.91037176181773694</v>
      </c>
      <c r="AN1186" s="111" t="str">
        <f>IF(Audit[[#This Row],[K-M P Value]]&gt;1-'General Info'!$B$16,"Continue", "Stop")</f>
        <v>Stop</v>
      </c>
      <c r="AO1186" s="110" t="b">
        <f>IF(Audit[[#This Row],[Status - Continue or stop audit]] = "Continue", TRUE, IF(AN1185 = "Continue", TRUE, FALSE))</f>
        <v>0</v>
      </c>
      <c r="AP1186" s="110"/>
    </row>
    <row r="1187" spans="1:42" ht="15" hidden="1" customHeight="1">
      <c r="A1187" s="111" t="str">
        <f>'Sampling Data'!W1179</f>
        <v/>
      </c>
      <c r="B1187" s="112" t="str">
        <f>'Sampling Data'!A1179</f>
        <v>FAIRVIEW PARK -05-B</v>
      </c>
      <c r="C1187" s="112">
        <f>'Sampling Data'!B1179</f>
        <v>33</v>
      </c>
      <c r="D1187" s="112">
        <f>'Sampling Data'!C1179</f>
        <v>39</v>
      </c>
      <c r="E1187" s="113">
        <f>'Sampling Data'!D1179</f>
        <v>7</v>
      </c>
      <c r="F1187" s="113">
        <f>'Sampling Data'!E1179</f>
        <v>2</v>
      </c>
      <c r="G1187" s="113">
        <f>'Sampling Data'!F1179</f>
        <v>0</v>
      </c>
      <c r="H1187" s="113">
        <f>'Sampling Data'!G1179</f>
        <v>1</v>
      </c>
      <c r="I1187" s="112">
        <f>'Sampling Data'!H1179</f>
        <v>0</v>
      </c>
      <c r="J1187" s="112">
        <f>'Sampling Data'!I1179</f>
        <v>2</v>
      </c>
      <c r="K1187" s="112">
        <f>'Sampling Data'!J1179</f>
        <v>84</v>
      </c>
      <c r="L1187" s="111">
        <f>'Sampling Data'!X1179</f>
        <v>0</v>
      </c>
      <c r="M1187" s="114"/>
      <c r="N1187" s="114"/>
      <c r="O1187" s="115"/>
      <c r="P1187" s="115"/>
      <c r="Q1187" s="116"/>
      <c r="R1187" s="116"/>
      <c r="S1187" s="111">
        <f>Audit[[#This Row],[Audit Losing Candidate]]-Audit[[#This Row],[Losing Candidate]]</f>
        <v>-33</v>
      </c>
      <c r="T1187" s="111">
        <f>Audit[[#This Row],[Audit Winning Candidate]]-Audit[[#This Row],[Winning Candidate]]</f>
        <v>-39</v>
      </c>
      <c r="U1187" s="111">
        <f>Audit[[#This Row],[Audit Candidate 3]]-Audit[[#This Row],[Candidate 3]]</f>
        <v>-7</v>
      </c>
      <c r="V1187" s="111">
        <f>Audit[[#This Row],[Audit Candidate 4]]-Audit[[#This Row],[Candidate 4]]</f>
        <v>-2</v>
      </c>
      <c r="W1187" s="111">
        <f>Audit[[#This Row],[Audit Candidate 5]]-Audit[[#This Row],[Candidate 5]]</f>
        <v>0</v>
      </c>
      <c r="X1187" s="111">
        <f>Audit[[#This Row],[Audit Candidate 6]]-Audit[[#This Row],[Candidate 6]]</f>
        <v>-1</v>
      </c>
      <c r="Y1187" s="111">
        <f>SUMIF(Audit[[#This Row],[Difference Loser]:[Difference Candidate 6]], "&gt;0")</f>
        <v>0</v>
      </c>
      <c r="Z1187" s="111">
        <f>SUM(Audit[[#This Row],[Difference Loser]:[Difference Candidate 6]])</f>
        <v>-82</v>
      </c>
      <c r="AA1187" s="111">
        <f>IF(Audit[[#This Row],[Times p Drawn - With Replacement]]&gt;0, IF(Audit[[#This Row],[Canceled Differences]]&lt;0, Audit[[#This Row],[Max Differences]]+ABS(Audit[[#This Row],[Canceled Differences]]), Audit[[#This Row],[Max Differences]]), 0)</f>
        <v>0</v>
      </c>
      <c r="AB1187" s="111">
        <f>'Sampling Data'!P1179</f>
        <v>5.5120039196472313E-3</v>
      </c>
      <c r="AC1187" s="111">
        <f>IF(
      SUM(Audit[[#This Row],[Audit Losing Candidate]:[Audit Candidate 6]])
      &lt;&gt;0,
      (Audit[[#This Row],[Winning Candidate]]-Audit[[#This Row],[Losing Candidate]]-(Audit[[#This Row],[Audit Winning Candidate]]-Audit[[#This Row],[Audit Losing Candidate]]))/(Audit[[#Totals],[Winning Candidate]]-Audit[[#Totals],[Losing Candidate]]),
      0
)</f>
        <v>0</v>
      </c>
      <c r="AD11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7" s="111">
        <f>IF(Audit[[#This Row],[Max Relative Error (ep)]] = 0, 0, Audit[[#This Row],[Max Relative Error (ep)]]/Audit[[#This Row],[Error Bound (up) - Max. possible relative overstatement]])</f>
        <v>0</v>
      </c>
      <c r="AJ11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87" s="111">
        <f t="shared" si="18"/>
        <v>1</v>
      </c>
      <c r="AL1187" s="111">
        <f>PRODUCT($AK$5:AK1187)</f>
        <v>8.962823818226312E-2</v>
      </c>
      <c r="AM1187" s="109">
        <f>1 - [K-M P Value]</f>
        <v>0.91037176181773694</v>
      </c>
      <c r="AN1187" s="111" t="str">
        <f>IF(Audit[[#This Row],[K-M P Value]]&gt;1-'General Info'!$B$16,"Continue", "Stop")</f>
        <v>Stop</v>
      </c>
      <c r="AO1187" s="110" t="b">
        <f>IF(Audit[[#This Row],[Status - Continue or stop audit]] = "Continue", TRUE, IF(AN1186 = "Continue", TRUE, FALSE))</f>
        <v>0</v>
      </c>
      <c r="AP1187" s="110"/>
    </row>
    <row r="1188" spans="1:42" ht="15" hidden="1" customHeight="1">
      <c r="A1188" s="111" t="str">
        <f>'Sampling Data'!W1180</f>
        <v/>
      </c>
      <c r="B1188" s="112" t="str">
        <f>'Sampling Data'!A1180</f>
        <v>FAIRVIEW PARK -05-B - ABS</v>
      </c>
      <c r="C1188" s="112">
        <f>'Sampling Data'!B1180</f>
        <v>19</v>
      </c>
      <c r="D1188" s="112">
        <f>'Sampling Data'!C1180</f>
        <v>22</v>
      </c>
      <c r="E1188" s="113">
        <f>'Sampling Data'!D1180</f>
        <v>1</v>
      </c>
      <c r="F1188" s="113">
        <f>'Sampling Data'!E1180</f>
        <v>2</v>
      </c>
      <c r="G1188" s="113">
        <f>'Sampling Data'!F1180</f>
        <v>0</v>
      </c>
      <c r="H1188" s="113">
        <f>'Sampling Data'!G1180</f>
        <v>0</v>
      </c>
      <c r="I1188" s="112">
        <f>'Sampling Data'!H1180</f>
        <v>0</v>
      </c>
      <c r="J1188" s="112">
        <f>'Sampling Data'!I1180</f>
        <v>0</v>
      </c>
      <c r="K1188" s="112">
        <f>'Sampling Data'!J1180</f>
        <v>44</v>
      </c>
      <c r="L1188" s="111">
        <f>'Sampling Data'!X1180</f>
        <v>0</v>
      </c>
      <c r="M1188" s="114"/>
      <c r="N1188" s="114"/>
      <c r="O1188" s="115"/>
      <c r="P1188" s="115"/>
      <c r="Q1188" s="116"/>
      <c r="R1188" s="116"/>
      <c r="S1188" s="111">
        <f>Audit[[#This Row],[Audit Losing Candidate]]-Audit[[#This Row],[Losing Candidate]]</f>
        <v>-19</v>
      </c>
      <c r="T1188" s="111">
        <f>Audit[[#This Row],[Audit Winning Candidate]]-Audit[[#This Row],[Winning Candidate]]</f>
        <v>-22</v>
      </c>
      <c r="U1188" s="111">
        <f>Audit[[#This Row],[Audit Candidate 3]]-Audit[[#This Row],[Candidate 3]]</f>
        <v>-1</v>
      </c>
      <c r="V1188" s="111">
        <f>Audit[[#This Row],[Audit Candidate 4]]-Audit[[#This Row],[Candidate 4]]</f>
        <v>-2</v>
      </c>
      <c r="W1188" s="111">
        <f>Audit[[#This Row],[Audit Candidate 5]]-Audit[[#This Row],[Candidate 5]]</f>
        <v>0</v>
      </c>
      <c r="X1188" s="111">
        <f>Audit[[#This Row],[Audit Candidate 6]]-Audit[[#This Row],[Candidate 6]]</f>
        <v>0</v>
      </c>
      <c r="Y1188" s="111">
        <f>SUMIF(Audit[[#This Row],[Difference Loser]:[Difference Candidate 6]], "&gt;0")</f>
        <v>0</v>
      </c>
      <c r="Z1188" s="111">
        <f>SUM(Audit[[#This Row],[Difference Loser]:[Difference Candidate 6]])</f>
        <v>-44</v>
      </c>
      <c r="AA1188" s="111">
        <f>IF(Audit[[#This Row],[Times p Drawn - With Replacement]]&gt;0, IF(Audit[[#This Row],[Canceled Differences]]&lt;0, Audit[[#This Row],[Max Differences]]+ABS(Audit[[#This Row],[Canceled Differences]]), Audit[[#This Row],[Max Differences]]), 0)</f>
        <v>0</v>
      </c>
      <c r="AB1188" s="111">
        <f>'Sampling Data'!P1180</f>
        <v>2.8784909358157765E-3</v>
      </c>
      <c r="AC1188" s="111">
        <f>IF(
      SUM(Audit[[#This Row],[Audit Losing Candidate]:[Audit Candidate 6]])
      &lt;&gt;0,
      (Audit[[#This Row],[Winning Candidate]]-Audit[[#This Row],[Losing Candidate]]-(Audit[[#This Row],[Audit Winning Candidate]]-Audit[[#This Row],[Audit Losing Candidate]]))/(Audit[[#Totals],[Winning Candidate]]-Audit[[#Totals],[Losing Candidate]]),
      0
)</f>
        <v>0</v>
      </c>
      <c r="AD11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8" s="111">
        <f>IF(Audit[[#This Row],[Max Relative Error (ep)]] = 0, 0, Audit[[#This Row],[Max Relative Error (ep)]]/Audit[[#This Row],[Error Bound (up) - Max. possible relative overstatement]])</f>
        <v>0</v>
      </c>
      <c r="AJ11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88" s="111">
        <f t="shared" si="18"/>
        <v>1</v>
      </c>
      <c r="AL1188" s="111">
        <f>PRODUCT($AK$5:AK1188)</f>
        <v>8.962823818226312E-2</v>
      </c>
      <c r="AM1188" s="109">
        <f>1 - [K-M P Value]</f>
        <v>0.91037176181773694</v>
      </c>
      <c r="AN1188" s="111" t="str">
        <f>IF(Audit[[#This Row],[K-M P Value]]&gt;1-'General Info'!$B$16,"Continue", "Stop")</f>
        <v>Stop</v>
      </c>
      <c r="AO1188" s="110" t="b">
        <f>IF(Audit[[#This Row],[Status - Continue or stop audit]] = "Continue", TRUE, IF(AN1187 = "Continue", TRUE, FALSE))</f>
        <v>0</v>
      </c>
      <c r="AP1188" s="110"/>
    </row>
    <row r="1189" spans="1:42" ht="15" hidden="1" customHeight="1">
      <c r="A1189" s="111" t="str">
        <f>'Sampling Data'!W1181</f>
        <v/>
      </c>
      <c r="B1189" s="112" t="str">
        <f>'Sampling Data'!A1181</f>
        <v>FAIRVIEW PARK -05-C</v>
      </c>
      <c r="C1189" s="112">
        <f>'Sampling Data'!B1181</f>
        <v>33</v>
      </c>
      <c r="D1189" s="112">
        <f>'Sampling Data'!C1181</f>
        <v>38</v>
      </c>
      <c r="E1189" s="113">
        <f>'Sampling Data'!D1181</f>
        <v>16</v>
      </c>
      <c r="F1189" s="113">
        <f>'Sampling Data'!E1181</f>
        <v>10</v>
      </c>
      <c r="G1189" s="113">
        <f>'Sampling Data'!F1181</f>
        <v>1</v>
      </c>
      <c r="H1189" s="113">
        <f>'Sampling Data'!G1181</f>
        <v>1</v>
      </c>
      <c r="I1189" s="112">
        <f>'Sampling Data'!H1181</f>
        <v>0</v>
      </c>
      <c r="J1189" s="112">
        <f>'Sampling Data'!I1181</f>
        <v>1</v>
      </c>
      <c r="K1189" s="112">
        <f>'Sampling Data'!J1181</f>
        <v>100</v>
      </c>
      <c r="L1189" s="111">
        <f>'Sampling Data'!X1181</f>
        <v>0</v>
      </c>
      <c r="M1189" s="114"/>
      <c r="N1189" s="114"/>
      <c r="O1189" s="115"/>
      <c r="P1189" s="115"/>
      <c r="Q1189" s="116"/>
      <c r="R1189" s="116"/>
      <c r="S1189" s="111">
        <f>Audit[[#This Row],[Audit Losing Candidate]]-Audit[[#This Row],[Losing Candidate]]</f>
        <v>-33</v>
      </c>
      <c r="T1189" s="111">
        <f>Audit[[#This Row],[Audit Winning Candidate]]-Audit[[#This Row],[Winning Candidate]]</f>
        <v>-38</v>
      </c>
      <c r="U1189" s="111">
        <f>Audit[[#This Row],[Audit Candidate 3]]-Audit[[#This Row],[Candidate 3]]</f>
        <v>-16</v>
      </c>
      <c r="V1189" s="111">
        <f>Audit[[#This Row],[Audit Candidate 4]]-Audit[[#This Row],[Candidate 4]]</f>
        <v>-10</v>
      </c>
      <c r="W1189" s="111">
        <f>Audit[[#This Row],[Audit Candidate 5]]-Audit[[#This Row],[Candidate 5]]</f>
        <v>-1</v>
      </c>
      <c r="X1189" s="111">
        <f>Audit[[#This Row],[Audit Candidate 6]]-Audit[[#This Row],[Candidate 6]]</f>
        <v>-1</v>
      </c>
      <c r="Y1189" s="111">
        <f>SUMIF(Audit[[#This Row],[Difference Loser]:[Difference Candidate 6]], "&gt;0")</f>
        <v>0</v>
      </c>
      <c r="Z1189" s="111">
        <f>SUM(Audit[[#This Row],[Difference Loser]:[Difference Candidate 6]])</f>
        <v>-99</v>
      </c>
      <c r="AA1189" s="111">
        <f>IF(Audit[[#This Row],[Times p Drawn - With Replacement]]&gt;0, IF(Audit[[#This Row],[Canceled Differences]]&lt;0, Audit[[#This Row],[Max Differences]]+ABS(Audit[[#This Row],[Canceled Differences]]), Audit[[#This Row],[Max Differences]]), 0)</f>
        <v>0</v>
      </c>
      <c r="AB1189" s="111">
        <f>'Sampling Data'!P1181</f>
        <v>6.4306712395884374E-3</v>
      </c>
      <c r="AC1189" s="111">
        <f>IF(
      SUM(Audit[[#This Row],[Audit Losing Candidate]:[Audit Candidate 6]])
      &lt;&gt;0,
      (Audit[[#This Row],[Winning Candidate]]-Audit[[#This Row],[Losing Candidate]]-(Audit[[#This Row],[Audit Winning Candidate]]-Audit[[#This Row],[Audit Losing Candidate]]))/(Audit[[#Totals],[Winning Candidate]]-Audit[[#Totals],[Losing Candidate]]),
      0
)</f>
        <v>0</v>
      </c>
      <c r="AD11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9" s="111">
        <f>IF(Audit[[#This Row],[Max Relative Error (ep)]] = 0, 0, Audit[[#This Row],[Max Relative Error (ep)]]/Audit[[#This Row],[Error Bound (up) - Max. possible relative overstatement]])</f>
        <v>0</v>
      </c>
      <c r="AJ11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89" s="111">
        <f t="shared" si="18"/>
        <v>1</v>
      </c>
      <c r="AL1189" s="111">
        <f>PRODUCT($AK$5:AK1189)</f>
        <v>8.962823818226312E-2</v>
      </c>
      <c r="AM1189" s="109">
        <f>1 - [K-M P Value]</f>
        <v>0.91037176181773694</v>
      </c>
      <c r="AN1189" s="111" t="str">
        <f>IF(Audit[[#This Row],[K-M P Value]]&gt;1-'General Info'!$B$16,"Continue", "Stop")</f>
        <v>Stop</v>
      </c>
      <c r="AO1189" s="110" t="b">
        <f>IF(Audit[[#This Row],[Status - Continue or stop audit]] = "Continue", TRUE, IF(AN1188 = "Continue", TRUE, FALSE))</f>
        <v>0</v>
      </c>
      <c r="AP1189" s="110"/>
    </row>
    <row r="1190" spans="1:42" ht="15" hidden="1" customHeight="1">
      <c r="A1190" s="111" t="str">
        <f>'Sampling Data'!W1182</f>
        <v/>
      </c>
      <c r="B1190" s="112" t="str">
        <f>'Sampling Data'!A1182</f>
        <v>FAIRVIEW PARK -05-C - ABS</v>
      </c>
      <c r="C1190" s="112">
        <f>'Sampling Data'!B1182</f>
        <v>13</v>
      </c>
      <c r="D1190" s="112">
        <f>'Sampling Data'!C1182</f>
        <v>11</v>
      </c>
      <c r="E1190" s="113">
        <f>'Sampling Data'!D1182</f>
        <v>9</v>
      </c>
      <c r="F1190" s="113">
        <f>'Sampling Data'!E1182</f>
        <v>3</v>
      </c>
      <c r="G1190" s="113">
        <f>'Sampling Data'!F1182</f>
        <v>0</v>
      </c>
      <c r="H1190" s="113">
        <f>'Sampling Data'!G1182</f>
        <v>0</v>
      </c>
      <c r="I1190" s="112">
        <f>'Sampling Data'!H1182</f>
        <v>0</v>
      </c>
      <c r="J1190" s="112">
        <f>'Sampling Data'!I1182</f>
        <v>1</v>
      </c>
      <c r="K1190" s="112">
        <f>'Sampling Data'!J1182</f>
        <v>37</v>
      </c>
      <c r="L1190" s="111">
        <f>'Sampling Data'!X1182</f>
        <v>0</v>
      </c>
      <c r="M1190" s="114"/>
      <c r="N1190" s="114"/>
      <c r="O1190" s="115"/>
      <c r="P1190" s="115"/>
      <c r="Q1190" s="116"/>
      <c r="R1190" s="116"/>
      <c r="S1190" s="111">
        <f>Audit[[#This Row],[Audit Losing Candidate]]-Audit[[#This Row],[Losing Candidate]]</f>
        <v>-13</v>
      </c>
      <c r="T1190" s="111">
        <f>Audit[[#This Row],[Audit Winning Candidate]]-Audit[[#This Row],[Winning Candidate]]</f>
        <v>-11</v>
      </c>
      <c r="U1190" s="111">
        <f>Audit[[#This Row],[Audit Candidate 3]]-Audit[[#This Row],[Candidate 3]]</f>
        <v>-9</v>
      </c>
      <c r="V1190" s="111">
        <f>Audit[[#This Row],[Audit Candidate 4]]-Audit[[#This Row],[Candidate 4]]</f>
        <v>-3</v>
      </c>
      <c r="W1190" s="111">
        <f>Audit[[#This Row],[Audit Candidate 5]]-Audit[[#This Row],[Candidate 5]]</f>
        <v>0</v>
      </c>
      <c r="X1190" s="111">
        <f>Audit[[#This Row],[Audit Candidate 6]]-Audit[[#This Row],[Candidate 6]]</f>
        <v>0</v>
      </c>
      <c r="Y1190" s="111">
        <f>SUMIF(Audit[[#This Row],[Difference Loser]:[Difference Candidate 6]], "&gt;0")</f>
        <v>0</v>
      </c>
      <c r="Z1190" s="111">
        <f>SUM(Audit[[#This Row],[Difference Loser]:[Difference Candidate 6]])</f>
        <v>-36</v>
      </c>
      <c r="AA1190" s="111">
        <f>IF(Audit[[#This Row],[Times p Drawn - With Replacement]]&gt;0, IF(Audit[[#This Row],[Canceled Differences]]&lt;0, Audit[[#This Row],[Max Differences]]+ABS(Audit[[#This Row],[Canceled Differences]]), Audit[[#This Row],[Max Differences]]), 0)</f>
        <v>0</v>
      </c>
      <c r="AB1190" s="111">
        <f>'Sampling Data'!P1182</f>
        <v>2.1435570798628125E-3</v>
      </c>
      <c r="AC1190" s="111">
        <f>IF(
      SUM(Audit[[#This Row],[Audit Losing Candidate]:[Audit Candidate 6]])
      &lt;&gt;0,
      (Audit[[#This Row],[Winning Candidate]]-Audit[[#This Row],[Losing Candidate]]-(Audit[[#This Row],[Audit Winning Candidate]]-Audit[[#This Row],[Audit Losing Candidate]]))/(Audit[[#Totals],[Winning Candidate]]-Audit[[#Totals],[Losing Candidate]]),
      0
)</f>
        <v>0</v>
      </c>
      <c r="AD11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0" s="111">
        <f>IF(Audit[[#This Row],[Max Relative Error (ep)]] = 0, 0, Audit[[#This Row],[Max Relative Error (ep)]]/Audit[[#This Row],[Error Bound (up) - Max. possible relative overstatement]])</f>
        <v>0</v>
      </c>
      <c r="AJ11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90" s="111">
        <f t="shared" si="18"/>
        <v>1</v>
      </c>
      <c r="AL1190" s="111">
        <f>PRODUCT($AK$5:AK1190)</f>
        <v>8.962823818226312E-2</v>
      </c>
      <c r="AM1190" s="109">
        <f>1 - [K-M P Value]</f>
        <v>0.91037176181773694</v>
      </c>
      <c r="AN1190" s="111" t="str">
        <f>IF(Audit[[#This Row],[K-M P Value]]&gt;1-'General Info'!$B$16,"Continue", "Stop")</f>
        <v>Stop</v>
      </c>
      <c r="AO1190" s="110" t="b">
        <f>IF(Audit[[#This Row],[Status - Continue or stop audit]] = "Continue", TRUE, IF(AN1189 = "Continue", TRUE, FALSE))</f>
        <v>0</v>
      </c>
      <c r="AP1190" s="110"/>
    </row>
    <row r="1191" spans="1:42" ht="15" hidden="1" customHeight="1">
      <c r="A1191" s="111" t="str">
        <f>'Sampling Data'!W1183</f>
        <v/>
      </c>
      <c r="B1191" s="112" t="str">
        <f>'Sampling Data'!A1183</f>
        <v>GARFIELD HEIGHTS -01-A</v>
      </c>
      <c r="C1191" s="112">
        <f>'Sampling Data'!B1183</f>
        <v>4</v>
      </c>
      <c r="D1191" s="112">
        <f>'Sampling Data'!C1183</f>
        <v>1</v>
      </c>
      <c r="E1191" s="113">
        <f>'Sampling Data'!D1183</f>
        <v>2</v>
      </c>
      <c r="F1191" s="113">
        <f>'Sampling Data'!E1183</f>
        <v>2</v>
      </c>
      <c r="G1191" s="113">
        <f>'Sampling Data'!F1183</f>
        <v>0</v>
      </c>
      <c r="H1191" s="113">
        <f>'Sampling Data'!G1183</f>
        <v>1</v>
      </c>
      <c r="I1191" s="112">
        <f>'Sampling Data'!H1183</f>
        <v>0</v>
      </c>
      <c r="J1191" s="112">
        <f>'Sampling Data'!I1183</f>
        <v>2</v>
      </c>
      <c r="K1191" s="112">
        <f>'Sampling Data'!J1183</f>
        <v>12</v>
      </c>
      <c r="L1191" s="111">
        <f>'Sampling Data'!X1183</f>
        <v>0</v>
      </c>
      <c r="M1191" s="114"/>
      <c r="N1191" s="114"/>
      <c r="O1191" s="115"/>
      <c r="P1191" s="115"/>
      <c r="Q1191" s="116"/>
      <c r="R1191" s="116"/>
      <c r="S1191" s="111">
        <f>Audit[[#This Row],[Audit Losing Candidate]]-Audit[[#This Row],[Losing Candidate]]</f>
        <v>-4</v>
      </c>
      <c r="T1191" s="111">
        <f>Audit[[#This Row],[Audit Winning Candidate]]-Audit[[#This Row],[Winning Candidate]]</f>
        <v>-1</v>
      </c>
      <c r="U1191" s="111">
        <f>Audit[[#This Row],[Audit Candidate 3]]-Audit[[#This Row],[Candidate 3]]</f>
        <v>-2</v>
      </c>
      <c r="V1191" s="111">
        <f>Audit[[#This Row],[Audit Candidate 4]]-Audit[[#This Row],[Candidate 4]]</f>
        <v>-2</v>
      </c>
      <c r="W1191" s="111">
        <f>Audit[[#This Row],[Audit Candidate 5]]-Audit[[#This Row],[Candidate 5]]</f>
        <v>0</v>
      </c>
      <c r="X1191" s="111">
        <f>Audit[[#This Row],[Audit Candidate 6]]-Audit[[#This Row],[Candidate 6]]</f>
        <v>-1</v>
      </c>
      <c r="Y1191" s="111">
        <f>SUMIF(Audit[[#This Row],[Difference Loser]:[Difference Candidate 6]], "&gt;0")</f>
        <v>0</v>
      </c>
      <c r="Z1191" s="111">
        <f>SUM(Audit[[#This Row],[Difference Loser]:[Difference Candidate 6]])</f>
        <v>-10</v>
      </c>
      <c r="AA1191" s="111">
        <f>IF(Audit[[#This Row],[Times p Drawn - With Replacement]]&gt;0, IF(Audit[[#This Row],[Canceled Differences]]&lt;0, Audit[[#This Row],[Max Differences]]+ABS(Audit[[#This Row],[Canceled Differences]]), Audit[[#This Row],[Max Differences]]), 0)</f>
        <v>0</v>
      </c>
      <c r="AB1191" s="111">
        <f>'Sampling Data'!P1183</f>
        <v>5.5120039196472322E-4</v>
      </c>
      <c r="AC1191" s="111">
        <f>IF(
      SUM(Audit[[#This Row],[Audit Losing Candidate]:[Audit Candidate 6]])
      &lt;&gt;0,
      (Audit[[#This Row],[Winning Candidate]]-Audit[[#This Row],[Losing Candidate]]-(Audit[[#This Row],[Audit Winning Candidate]]-Audit[[#This Row],[Audit Losing Candidate]]))/(Audit[[#Totals],[Winning Candidate]]-Audit[[#Totals],[Losing Candidate]]),
      0
)</f>
        <v>0</v>
      </c>
      <c r="AD11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1" s="111">
        <f>IF(Audit[[#This Row],[Max Relative Error (ep)]] = 0, 0, Audit[[#This Row],[Max Relative Error (ep)]]/Audit[[#This Row],[Error Bound (up) - Max. possible relative overstatement]])</f>
        <v>0</v>
      </c>
      <c r="AJ11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91" s="111">
        <f t="shared" si="18"/>
        <v>1</v>
      </c>
      <c r="AL1191" s="111">
        <f>PRODUCT($AK$5:AK1191)</f>
        <v>8.962823818226312E-2</v>
      </c>
      <c r="AM1191" s="109">
        <f>1 - [K-M P Value]</f>
        <v>0.91037176181773694</v>
      </c>
      <c r="AN1191" s="111" t="str">
        <f>IF(Audit[[#This Row],[K-M P Value]]&gt;1-'General Info'!$B$16,"Continue", "Stop")</f>
        <v>Stop</v>
      </c>
      <c r="AO1191" s="110" t="b">
        <f>IF(Audit[[#This Row],[Status - Continue or stop audit]] = "Continue", TRUE, IF(AN1190 = "Continue", TRUE, FALSE))</f>
        <v>0</v>
      </c>
      <c r="AP1191" s="110"/>
    </row>
    <row r="1192" spans="1:42" ht="15" hidden="1" customHeight="1">
      <c r="A1192" s="111" t="str">
        <f>'Sampling Data'!W1184</f>
        <v/>
      </c>
      <c r="B1192" s="112" t="str">
        <f>'Sampling Data'!A1184</f>
        <v>GARFIELD HEIGHTS -01-A - ABS</v>
      </c>
      <c r="C1192" s="112">
        <f>'Sampling Data'!B1184</f>
        <v>1</v>
      </c>
      <c r="D1192" s="112">
        <f>'Sampling Data'!C1184</f>
        <v>0</v>
      </c>
      <c r="E1192" s="113">
        <f>'Sampling Data'!D1184</f>
        <v>0</v>
      </c>
      <c r="F1192" s="113">
        <f>'Sampling Data'!E1184</f>
        <v>1</v>
      </c>
      <c r="G1192" s="113">
        <f>'Sampling Data'!F1184</f>
        <v>0</v>
      </c>
      <c r="H1192" s="113">
        <f>'Sampling Data'!G1184</f>
        <v>0</v>
      </c>
      <c r="I1192" s="112">
        <f>'Sampling Data'!H1184</f>
        <v>0</v>
      </c>
      <c r="J1192" s="112">
        <f>'Sampling Data'!I1184</f>
        <v>0</v>
      </c>
      <c r="K1192" s="112">
        <f>'Sampling Data'!J1184</f>
        <v>2</v>
      </c>
      <c r="L1192" s="111">
        <f>'Sampling Data'!X1184</f>
        <v>0</v>
      </c>
      <c r="M1192" s="114"/>
      <c r="N1192" s="114"/>
      <c r="O1192" s="115"/>
      <c r="P1192" s="115"/>
      <c r="Q1192" s="116"/>
      <c r="R1192" s="116"/>
      <c r="S1192" s="111">
        <f>Audit[[#This Row],[Audit Losing Candidate]]-Audit[[#This Row],[Losing Candidate]]</f>
        <v>-1</v>
      </c>
      <c r="T1192" s="111">
        <f>Audit[[#This Row],[Audit Winning Candidate]]-Audit[[#This Row],[Winning Candidate]]</f>
        <v>0</v>
      </c>
      <c r="U1192" s="111">
        <f>Audit[[#This Row],[Audit Candidate 3]]-Audit[[#This Row],[Candidate 3]]</f>
        <v>0</v>
      </c>
      <c r="V1192" s="111">
        <f>Audit[[#This Row],[Audit Candidate 4]]-Audit[[#This Row],[Candidate 4]]</f>
        <v>-1</v>
      </c>
      <c r="W1192" s="111">
        <f>Audit[[#This Row],[Audit Candidate 5]]-Audit[[#This Row],[Candidate 5]]</f>
        <v>0</v>
      </c>
      <c r="X1192" s="111">
        <f>Audit[[#This Row],[Audit Candidate 6]]-Audit[[#This Row],[Candidate 6]]</f>
        <v>0</v>
      </c>
      <c r="Y1192" s="111">
        <f>SUMIF(Audit[[#This Row],[Difference Loser]:[Difference Candidate 6]], "&gt;0")</f>
        <v>0</v>
      </c>
      <c r="Z1192" s="111">
        <f>SUM(Audit[[#This Row],[Difference Loser]:[Difference Candidate 6]])</f>
        <v>-2</v>
      </c>
      <c r="AA1192" s="111">
        <f>IF(Audit[[#This Row],[Times p Drawn - With Replacement]]&gt;0, IF(Audit[[#This Row],[Canceled Differences]]&lt;0, Audit[[#This Row],[Max Differences]]+ABS(Audit[[#This Row],[Canceled Differences]]), Audit[[#This Row],[Max Differences]]), 0)</f>
        <v>0</v>
      </c>
      <c r="AB1192" s="111">
        <f>'Sampling Data'!P1184</f>
        <v>6.4522373132883833E-5</v>
      </c>
      <c r="AC1192" s="111">
        <f>IF(
      SUM(Audit[[#This Row],[Audit Losing Candidate]:[Audit Candidate 6]])
      &lt;&gt;0,
      (Audit[[#This Row],[Winning Candidate]]-Audit[[#This Row],[Losing Candidate]]-(Audit[[#This Row],[Audit Winning Candidate]]-Audit[[#This Row],[Audit Losing Candidate]]))/(Audit[[#Totals],[Winning Candidate]]-Audit[[#Totals],[Losing Candidate]]),
      0
)</f>
        <v>0</v>
      </c>
      <c r="AD11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2" s="111">
        <f>IF(Audit[[#This Row],[Max Relative Error (ep)]] = 0, 0, Audit[[#This Row],[Max Relative Error (ep)]]/Audit[[#This Row],[Error Bound (up) - Max. possible relative overstatement]])</f>
        <v>0</v>
      </c>
      <c r="AJ11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92" s="111">
        <f t="shared" si="18"/>
        <v>1</v>
      </c>
      <c r="AL1192" s="111">
        <f>PRODUCT($AK$5:AK1192)</f>
        <v>8.962823818226312E-2</v>
      </c>
      <c r="AM1192" s="109">
        <f>1 - [K-M P Value]</f>
        <v>0.91037176181773694</v>
      </c>
      <c r="AN1192" s="111" t="str">
        <f>IF(Audit[[#This Row],[K-M P Value]]&gt;1-'General Info'!$B$16,"Continue", "Stop")</f>
        <v>Stop</v>
      </c>
      <c r="AO1192" s="110" t="b">
        <f>IF(Audit[[#This Row],[Status - Continue or stop audit]] = "Continue", TRUE, IF(AN1191 = "Continue", TRUE, FALSE))</f>
        <v>0</v>
      </c>
      <c r="AP1192" s="110"/>
    </row>
    <row r="1193" spans="1:42" ht="15" hidden="1" customHeight="1">
      <c r="A1193" s="111" t="str">
        <f>'Sampling Data'!W1185</f>
        <v/>
      </c>
      <c r="B1193" s="112" t="str">
        <f>'Sampling Data'!A1185</f>
        <v>GARFIELD HEIGHTS -01-B</v>
      </c>
      <c r="C1193" s="112">
        <f>'Sampling Data'!B1185</f>
        <v>0</v>
      </c>
      <c r="D1193" s="112">
        <f>'Sampling Data'!C1185</f>
        <v>2</v>
      </c>
      <c r="E1193" s="113">
        <f>'Sampling Data'!D1185</f>
        <v>0</v>
      </c>
      <c r="F1193" s="113">
        <f>'Sampling Data'!E1185</f>
        <v>0</v>
      </c>
      <c r="G1193" s="113">
        <f>'Sampling Data'!F1185</f>
        <v>0</v>
      </c>
      <c r="H1193" s="113">
        <f>'Sampling Data'!G1185</f>
        <v>0</v>
      </c>
      <c r="I1193" s="112">
        <f>'Sampling Data'!H1185</f>
        <v>0</v>
      </c>
      <c r="J1193" s="112">
        <f>'Sampling Data'!I1185</f>
        <v>0</v>
      </c>
      <c r="K1193" s="112">
        <f>'Sampling Data'!J1185</f>
        <v>2</v>
      </c>
      <c r="L1193" s="111">
        <f>'Sampling Data'!X1185</f>
        <v>0</v>
      </c>
      <c r="M1193" s="114"/>
      <c r="N1193" s="114"/>
      <c r="O1193" s="115"/>
      <c r="P1193" s="115"/>
      <c r="Q1193" s="116"/>
      <c r="R1193" s="116"/>
      <c r="S1193" s="111">
        <f>Audit[[#This Row],[Audit Losing Candidate]]-Audit[[#This Row],[Losing Candidate]]</f>
        <v>0</v>
      </c>
      <c r="T1193" s="111">
        <f>Audit[[#This Row],[Audit Winning Candidate]]-Audit[[#This Row],[Winning Candidate]]</f>
        <v>-2</v>
      </c>
      <c r="U1193" s="111">
        <f>Audit[[#This Row],[Audit Candidate 3]]-Audit[[#This Row],[Candidate 3]]</f>
        <v>0</v>
      </c>
      <c r="V1193" s="111">
        <f>Audit[[#This Row],[Audit Candidate 4]]-Audit[[#This Row],[Candidate 4]]</f>
        <v>0</v>
      </c>
      <c r="W1193" s="111">
        <f>Audit[[#This Row],[Audit Candidate 5]]-Audit[[#This Row],[Candidate 5]]</f>
        <v>0</v>
      </c>
      <c r="X1193" s="111">
        <f>Audit[[#This Row],[Audit Candidate 6]]-Audit[[#This Row],[Candidate 6]]</f>
        <v>0</v>
      </c>
      <c r="Y1193" s="111">
        <f>SUMIF(Audit[[#This Row],[Difference Loser]:[Difference Candidate 6]], "&gt;0")</f>
        <v>0</v>
      </c>
      <c r="Z1193" s="111">
        <f>SUM(Audit[[#This Row],[Difference Loser]:[Difference Candidate 6]])</f>
        <v>-2</v>
      </c>
      <c r="AA1193" s="111">
        <f>IF(Audit[[#This Row],[Times p Drawn - With Replacement]]&gt;0, IF(Audit[[#This Row],[Canceled Differences]]&lt;0, Audit[[#This Row],[Max Differences]]+ABS(Audit[[#This Row],[Canceled Differences]]), Audit[[#This Row],[Max Differences]]), 0)</f>
        <v>0</v>
      </c>
      <c r="AB1193" s="111">
        <f>'Sampling Data'!P1185</f>
        <v>2.4497795198432141E-4</v>
      </c>
      <c r="AC1193" s="111">
        <f>IF(
      SUM(Audit[[#This Row],[Audit Losing Candidate]:[Audit Candidate 6]])
      &lt;&gt;0,
      (Audit[[#This Row],[Winning Candidate]]-Audit[[#This Row],[Losing Candidate]]-(Audit[[#This Row],[Audit Winning Candidate]]-Audit[[#This Row],[Audit Losing Candidate]]))/(Audit[[#Totals],[Winning Candidate]]-Audit[[#Totals],[Losing Candidate]]),
      0
)</f>
        <v>0</v>
      </c>
      <c r="AD11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3" s="111">
        <f>IF(Audit[[#This Row],[Max Relative Error (ep)]] = 0, 0, Audit[[#This Row],[Max Relative Error (ep)]]/Audit[[#This Row],[Error Bound (up) - Max. possible relative overstatement]])</f>
        <v>0</v>
      </c>
      <c r="AJ11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93" s="111">
        <f t="shared" si="18"/>
        <v>1</v>
      </c>
      <c r="AL1193" s="111">
        <f>PRODUCT($AK$5:AK1193)</f>
        <v>8.962823818226312E-2</v>
      </c>
      <c r="AM1193" s="109">
        <f>1 - [K-M P Value]</f>
        <v>0.91037176181773694</v>
      </c>
      <c r="AN1193" s="111" t="str">
        <f>IF(Audit[[#This Row],[K-M P Value]]&gt;1-'General Info'!$B$16,"Continue", "Stop")</f>
        <v>Stop</v>
      </c>
      <c r="AO1193" s="110" t="b">
        <f>IF(Audit[[#This Row],[Status - Continue or stop audit]] = "Continue", TRUE, IF(AN1192 = "Continue", TRUE, FALSE))</f>
        <v>0</v>
      </c>
      <c r="AP1193" s="110"/>
    </row>
    <row r="1194" spans="1:42" ht="15" hidden="1" customHeight="1">
      <c r="A1194" s="111" t="str">
        <f>'Sampling Data'!W1186</f>
        <v/>
      </c>
      <c r="B1194" s="112" t="str">
        <f>'Sampling Data'!A1186</f>
        <v>GARFIELD HEIGHTS -01-B - ABS</v>
      </c>
      <c r="C1194" s="112">
        <f>'Sampling Data'!B1186</f>
        <v>0</v>
      </c>
      <c r="D1194" s="112">
        <f>'Sampling Data'!C1186</f>
        <v>0</v>
      </c>
      <c r="E1194" s="113">
        <f>'Sampling Data'!D1186</f>
        <v>0</v>
      </c>
      <c r="F1194" s="113">
        <f>'Sampling Data'!E1186</f>
        <v>0</v>
      </c>
      <c r="G1194" s="113">
        <f>'Sampling Data'!F1186</f>
        <v>0</v>
      </c>
      <c r="H1194" s="113">
        <f>'Sampling Data'!G1186</f>
        <v>0</v>
      </c>
      <c r="I1194" s="112">
        <f>'Sampling Data'!H1186</f>
        <v>0</v>
      </c>
      <c r="J1194" s="112">
        <f>'Sampling Data'!I1186</f>
        <v>0</v>
      </c>
      <c r="K1194" s="112">
        <f>'Sampling Data'!J1186</f>
        <v>0</v>
      </c>
      <c r="L1194" s="111">
        <f>'Sampling Data'!X1186</f>
        <v>0</v>
      </c>
      <c r="M1194" s="114"/>
      <c r="N1194" s="114"/>
      <c r="O1194" s="115"/>
      <c r="P1194" s="115"/>
      <c r="Q1194" s="116"/>
      <c r="R1194" s="116"/>
      <c r="S1194" s="111">
        <f>Audit[[#This Row],[Audit Losing Candidate]]-Audit[[#This Row],[Losing Candidate]]</f>
        <v>0</v>
      </c>
      <c r="T1194" s="111">
        <f>Audit[[#This Row],[Audit Winning Candidate]]-Audit[[#This Row],[Winning Candidate]]</f>
        <v>0</v>
      </c>
      <c r="U1194" s="111">
        <f>Audit[[#This Row],[Audit Candidate 3]]-Audit[[#This Row],[Candidate 3]]</f>
        <v>0</v>
      </c>
      <c r="V1194" s="111">
        <f>Audit[[#This Row],[Audit Candidate 4]]-Audit[[#This Row],[Candidate 4]]</f>
        <v>0</v>
      </c>
      <c r="W1194" s="111">
        <f>Audit[[#This Row],[Audit Candidate 5]]-Audit[[#This Row],[Candidate 5]]</f>
        <v>0</v>
      </c>
      <c r="X1194" s="111">
        <f>Audit[[#This Row],[Audit Candidate 6]]-Audit[[#This Row],[Candidate 6]]</f>
        <v>0</v>
      </c>
      <c r="Y1194" s="111">
        <f>SUMIF(Audit[[#This Row],[Difference Loser]:[Difference Candidate 6]], "&gt;0")</f>
        <v>0</v>
      </c>
      <c r="Z1194" s="111">
        <f>SUM(Audit[[#This Row],[Difference Loser]:[Difference Candidate 6]])</f>
        <v>0</v>
      </c>
      <c r="AA1194" s="111">
        <f>IF(Audit[[#This Row],[Times p Drawn - With Replacement]]&gt;0, IF(Audit[[#This Row],[Canceled Differences]]&lt;0, Audit[[#This Row],[Max Differences]]+ABS(Audit[[#This Row],[Canceled Differences]]), Audit[[#This Row],[Max Differences]]), 0)</f>
        <v>0</v>
      </c>
      <c r="AB1194" s="111">
        <f>'Sampling Data'!P1186</f>
        <v>0</v>
      </c>
      <c r="AC1194" s="111">
        <f>IF(
      SUM(Audit[[#This Row],[Audit Losing Candidate]:[Audit Candidate 6]])
      &lt;&gt;0,
      (Audit[[#This Row],[Winning Candidate]]-Audit[[#This Row],[Losing Candidate]]-(Audit[[#This Row],[Audit Winning Candidate]]-Audit[[#This Row],[Audit Losing Candidate]]))/(Audit[[#Totals],[Winning Candidate]]-Audit[[#Totals],[Losing Candidate]]),
      0
)</f>
        <v>0</v>
      </c>
      <c r="AD11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4" s="111">
        <f>IF(Audit[[#This Row],[Max Relative Error (ep)]] = 0, 0, Audit[[#This Row],[Max Relative Error (ep)]]/Audit[[#This Row],[Error Bound (up) - Max. possible relative overstatement]])</f>
        <v>0</v>
      </c>
      <c r="AJ11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94" s="111">
        <f t="shared" si="18"/>
        <v>1</v>
      </c>
      <c r="AL1194" s="111">
        <f>PRODUCT($AK$5:AK1194)</f>
        <v>8.962823818226312E-2</v>
      </c>
      <c r="AM1194" s="109">
        <f>1 - [K-M P Value]</f>
        <v>0.91037176181773694</v>
      </c>
      <c r="AN1194" s="111" t="str">
        <f>IF(Audit[[#This Row],[K-M P Value]]&gt;1-'General Info'!$B$16,"Continue", "Stop")</f>
        <v>Stop</v>
      </c>
      <c r="AO1194" s="110" t="b">
        <f>IF(Audit[[#This Row],[Status - Continue or stop audit]] = "Continue", TRUE, IF(AN1193 = "Continue", TRUE, FALSE))</f>
        <v>0</v>
      </c>
      <c r="AP1194" s="110"/>
    </row>
    <row r="1195" spans="1:42" ht="15" hidden="1" customHeight="1">
      <c r="A1195" s="111" t="str">
        <f>'Sampling Data'!W1187</f>
        <v/>
      </c>
      <c r="B1195" s="112" t="str">
        <f>'Sampling Data'!A1187</f>
        <v>GARFIELD HEIGHTS -01-C</v>
      </c>
      <c r="C1195" s="112">
        <f>'Sampling Data'!B1187</f>
        <v>0</v>
      </c>
      <c r="D1195" s="112">
        <f>'Sampling Data'!C1187</f>
        <v>2</v>
      </c>
      <c r="E1195" s="113">
        <f>'Sampling Data'!D1187</f>
        <v>0</v>
      </c>
      <c r="F1195" s="113">
        <f>'Sampling Data'!E1187</f>
        <v>0</v>
      </c>
      <c r="G1195" s="113">
        <f>'Sampling Data'!F1187</f>
        <v>0</v>
      </c>
      <c r="H1195" s="113">
        <f>'Sampling Data'!G1187</f>
        <v>0</v>
      </c>
      <c r="I1195" s="112">
        <f>'Sampling Data'!H1187</f>
        <v>0</v>
      </c>
      <c r="J1195" s="112">
        <f>'Sampling Data'!I1187</f>
        <v>0</v>
      </c>
      <c r="K1195" s="112">
        <f>'Sampling Data'!J1187</f>
        <v>2</v>
      </c>
      <c r="L1195" s="111">
        <f>'Sampling Data'!X1187</f>
        <v>0</v>
      </c>
      <c r="M1195" s="114"/>
      <c r="N1195" s="114"/>
      <c r="O1195" s="115"/>
      <c r="P1195" s="115"/>
      <c r="Q1195" s="116"/>
      <c r="R1195" s="116"/>
      <c r="S1195" s="111">
        <f>Audit[[#This Row],[Audit Losing Candidate]]-Audit[[#This Row],[Losing Candidate]]</f>
        <v>0</v>
      </c>
      <c r="T1195" s="111">
        <f>Audit[[#This Row],[Audit Winning Candidate]]-Audit[[#This Row],[Winning Candidate]]</f>
        <v>-2</v>
      </c>
      <c r="U1195" s="111">
        <f>Audit[[#This Row],[Audit Candidate 3]]-Audit[[#This Row],[Candidate 3]]</f>
        <v>0</v>
      </c>
      <c r="V1195" s="111">
        <f>Audit[[#This Row],[Audit Candidate 4]]-Audit[[#This Row],[Candidate 4]]</f>
        <v>0</v>
      </c>
      <c r="W1195" s="111">
        <f>Audit[[#This Row],[Audit Candidate 5]]-Audit[[#This Row],[Candidate 5]]</f>
        <v>0</v>
      </c>
      <c r="X1195" s="111">
        <f>Audit[[#This Row],[Audit Candidate 6]]-Audit[[#This Row],[Candidate 6]]</f>
        <v>0</v>
      </c>
      <c r="Y1195" s="111">
        <f>SUMIF(Audit[[#This Row],[Difference Loser]:[Difference Candidate 6]], "&gt;0")</f>
        <v>0</v>
      </c>
      <c r="Z1195" s="111">
        <f>SUM(Audit[[#This Row],[Difference Loser]:[Difference Candidate 6]])</f>
        <v>-2</v>
      </c>
      <c r="AA1195" s="111">
        <f>IF(Audit[[#This Row],[Times p Drawn - With Replacement]]&gt;0, IF(Audit[[#This Row],[Canceled Differences]]&lt;0, Audit[[#This Row],[Max Differences]]+ABS(Audit[[#This Row],[Canceled Differences]]), Audit[[#This Row],[Max Differences]]), 0)</f>
        <v>0</v>
      </c>
      <c r="AB1195" s="111">
        <f>'Sampling Data'!P1187</f>
        <v>2.4497795198432141E-4</v>
      </c>
      <c r="AC1195" s="111">
        <f>IF(
      SUM(Audit[[#This Row],[Audit Losing Candidate]:[Audit Candidate 6]])
      &lt;&gt;0,
      (Audit[[#This Row],[Winning Candidate]]-Audit[[#This Row],[Losing Candidate]]-(Audit[[#This Row],[Audit Winning Candidate]]-Audit[[#This Row],[Audit Losing Candidate]]))/(Audit[[#Totals],[Winning Candidate]]-Audit[[#Totals],[Losing Candidate]]),
      0
)</f>
        <v>0</v>
      </c>
      <c r="AD11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5" s="111">
        <f>IF(Audit[[#This Row],[Max Relative Error (ep)]] = 0, 0, Audit[[#This Row],[Max Relative Error (ep)]]/Audit[[#This Row],[Error Bound (up) - Max. possible relative overstatement]])</f>
        <v>0</v>
      </c>
      <c r="AJ11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95" s="111">
        <f t="shared" si="18"/>
        <v>1</v>
      </c>
      <c r="AL1195" s="111">
        <f>PRODUCT($AK$5:AK1195)</f>
        <v>8.962823818226312E-2</v>
      </c>
      <c r="AM1195" s="109">
        <f>1 - [K-M P Value]</f>
        <v>0.91037176181773694</v>
      </c>
      <c r="AN1195" s="111" t="str">
        <f>IF(Audit[[#This Row],[K-M P Value]]&gt;1-'General Info'!$B$16,"Continue", "Stop")</f>
        <v>Stop</v>
      </c>
      <c r="AO1195" s="110" t="b">
        <f>IF(Audit[[#This Row],[Status - Continue or stop audit]] = "Continue", TRUE, IF(AN1194 = "Continue", TRUE, FALSE))</f>
        <v>0</v>
      </c>
      <c r="AP1195" s="110"/>
    </row>
    <row r="1196" spans="1:42" ht="15" hidden="1" customHeight="1">
      <c r="A1196" s="111" t="str">
        <f>'Sampling Data'!W1188</f>
        <v/>
      </c>
      <c r="B1196" s="112" t="str">
        <f>'Sampling Data'!A1188</f>
        <v>GARFIELD HEIGHTS -01-C - ABS</v>
      </c>
      <c r="C1196" s="112">
        <f>'Sampling Data'!B1188</f>
        <v>2</v>
      </c>
      <c r="D1196" s="112">
        <f>'Sampling Data'!C1188</f>
        <v>0</v>
      </c>
      <c r="E1196" s="113">
        <f>'Sampling Data'!D1188</f>
        <v>1</v>
      </c>
      <c r="F1196" s="113">
        <f>'Sampling Data'!E1188</f>
        <v>0</v>
      </c>
      <c r="G1196" s="113">
        <f>'Sampling Data'!F1188</f>
        <v>0</v>
      </c>
      <c r="H1196" s="113">
        <f>'Sampling Data'!G1188</f>
        <v>0</v>
      </c>
      <c r="I1196" s="112">
        <f>'Sampling Data'!H1188</f>
        <v>0</v>
      </c>
      <c r="J1196" s="112">
        <f>'Sampling Data'!I1188</f>
        <v>0</v>
      </c>
      <c r="K1196" s="112">
        <f>'Sampling Data'!J1188</f>
        <v>3</v>
      </c>
      <c r="L1196" s="111">
        <f>'Sampling Data'!X1188</f>
        <v>0</v>
      </c>
      <c r="M1196" s="114"/>
      <c r="N1196" s="114"/>
      <c r="O1196" s="115"/>
      <c r="P1196" s="115"/>
      <c r="Q1196" s="116"/>
      <c r="R1196" s="116"/>
      <c r="S1196" s="111">
        <f>Audit[[#This Row],[Audit Losing Candidate]]-Audit[[#This Row],[Losing Candidate]]</f>
        <v>-2</v>
      </c>
      <c r="T1196" s="111">
        <f>Audit[[#This Row],[Audit Winning Candidate]]-Audit[[#This Row],[Winning Candidate]]</f>
        <v>0</v>
      </c>
      <c r="U1196" s="111">
        <f>Audit[[#This Row],[Audit Candidate 3]]-Audit[[#This Row],[Candidate 3]]</f>
        <v>-1</v>
      </c>
      <c r="V1196" s="111">
        <f>Audit[[#This Row],[Audit Candidate 4]]-Audit[[#This Row],[Candidate 4]]</f>
        <v>0</v>
      </c>
      <c r="W1196" s="111">
        <f>Audit[[#This Row],[Audit Candidate 5]]-Audit[[#This Row],[Candidate 5]]</f>
        <v>0</v>
      </c>
      <c r="X1196" s="111">
        <f>Audit[[#This Row],[Audit Candidate 6]]-Audit[[#This Row],[Candidate 6]]</f>
        <v>0</v>
      </c>
      <c r="Y1196" s="111">
        <f>SUMIF(Audit[[#This Row],[Difference Loser]:[Difference Candidate 6]], "&gt;0")</f>
        <v>0</v>
      </c>
      <c r="Z1196" s="111">
        <f>SUM(Audit[[#This Row],[Difference Loser]:[Difference Candidate 6]])</f>
        <v>-3</v>
      </c>
      <c r="AA1196" s="111">
        <f>IF(Audit[[#This Row],[Times p Drawn - With Replacement]]&gt;0, IF(Audit[[#This Row],[Canceled Differences]]&lt;0, Audit[[#This Row],[Max Differences]]+ABS(Audit[[#This Row],[Canceled Differences]]), Audit[[#This Row],[Max Differences]]), 0)</f>
        <v>0</v>
      </c>
      <c r="AB1196" s="111">
        <f>'Sampling Data'!P1188</f>
        <v>8.7696220292905373E-5</v>
      </c>
      <c r="AC1196" s="111">
        <f>IF(
      SUM(Audit[[#This Row],[Audit Losing Candidate]:[Audit Candidate 6]])
      &lt;&gt;0,
      (Audit[[#This Row],[Winning Candidate]]-Audit[[#This Row],[Losing Candidate]]-(Audit[[#This Row],[Audit Winning Candidate]]-Audit[[#This Row],[Audit Losing Candidate]]))/(Audit[[#Totals],[Winning Candidate]]-Audit[[#Totals],[Losing Candidate]]),
      0
)</f>
        <v>0</v>
      </c>
      <c r="AD11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6" s="111">
        <f>IF(Audit[[#This Row],[Max Relative Error (ep)]] = 0, 0, Audit[[#This Row],[Max Relative Error (ep)]]/Audit[[#This Row],[Error Bound (up) - Max. possible relative overstatement]])</f>
        <v>0</v>
      </c>
      <c r="AJ11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96" s="111">
        <f t="shared" si="18"/>
        <v>1</v>
      </c>
      <c r="AL1196" s="111">
        <f>PRODUCT($AK$5:AK1196)</f>
        <v>8.962823818226312E-2</v>
      </c>
      <c r="AM1196" s="109">
        <f>1 - [K-M P Value]</f>
        <v>0.91037176181773694</v>
      </c>
      <c r="AN1196" s="111" t="str">
        <f>IF(Audit[[#This Row],[K-M P Value]]&gt;1-'General Info'!$B$16,"Continue", "Stop")</f>
        <v>Stop</v>
      </c>
      <c r="AO1196" s="110" t="b">
        <f>IF(Audit[[#This Row],[Status - Continue or stop audit]] = "Continue", TRUE, IF(AN1195 = "Continue", TRUE, FALSE))</f>
        <v>0</v>
      </c>
      <c r="AP1196" s="110"/>
    </row>
    <row r="1197" spans="1:42" ht="15" hidden="1" customHeight="1">
      <c r="A1197" s="111" t="str">
        <f>'Sampling Data'!W1189</f>
        <v/>
      </c>
      <c r="B1197" s="112" t="str">
        <f>'Sampling Data'!A1189</f>
        <v>GARFIELD HEIGHTS -01-D</v>
      </c>
      <c r="C1197" s="112">
        <f>'Sampling Data'!B1189</f>
        <v>0</v>
      </c>
      <c r="D1197" s="112">
        <f>'Sampling Data'!C1189</f>
        <v>0</v>
      </c>
      <c r="E1197" s="113">
        <f>'Sampling Data'!D1189</f>
        <v>0</v>
      </c>
      <c r="F1197" s="113">
        <f>'Sampling Data'!E1189</f>
        <v>1</v>
      </c>
      <c r="G1197" s="113">
        <f>'Sampling Data'!F1189</f>
        <v>0</v>
      </c>
      <c r="H1197" s="113">
        <f>'Sampling Data'!G1189</f>
        <v>0</v>
      </c>
      <c r="I1197" s="112">
        <f>'Sampling Data'!H1189</f>
        <v>0</v>
      </c>
      <c r="J1197" s="112">
        <f>'Sampling Data'!I1189</f>
        <v>0</v>
      </c>
      <c r="K1197" s="112">
        <f>'Sampling Data'!J1189</f>
        <v>1</v>
      </c>
      <c r="L1197" s="111">
        <f>'Sampling Data'!X1189</f>
        <v>0</v>
      </c>
      <c r="M1197" s="114"/>
      <c r="N1197" s="114"/>
      <c r="O1197" s="115"/>
      <c r="P1197" s="115"/>
      <c r="Q1197" s="116"/>
      <c r="R1197" s="116"/>
      <c r="S1197" s="111">
        <f>Audit[[#This Row],[Audit Losing Candidate]]-Audit[[#This Row],[Losing Candidate]]</f>
        <v>0</v>
      </c>
      <c r="T1197" s="111">
        <f>Audit[[#This Row],[Audit Winning Candidate]]-Audit[[#This Row],[Winning Candidate]]</f>
        <v>0</v>
      </c>
      <c r="U1197" s="111">
        <f>Audit[[#This Row],[Audit Candidate 3]]-Audit[[#This Row],[Candidate 3]]</f>
        <v>0</v>
      </c>
      <c r="V1197" s="111">
        <f>Audit[[#This Row],[Audit Candidate 4]]-Audit[[#This Row],[Candidate 4]]</f>
        <v>-1</v>
      </c>
      <c r="W1197" s="111">
        <f>Audit[[#This Row],[Audit Candidate 5]]-Audit[[#This Row],[Candidate 5]]</f>
        <v>0</v>
      </c>
      <c r="X1197" s="111">
        <f>Audit[[#This Row],[Audit Candidate 6]]-Audit[[#This Row],[Candidate 6]]</f>
        <v>0</v>
      </c>
      <c r="Y1197" s="111">
        <f>SUMIF(Audit[[#This Row],[Difference Loser]:[Difference Candidate 6]], "&gt;0")</f>
        <v>0</v>
      </c>
      <c r="Z1197" s="111">
        <f>SUM(Audit[[#This Row],[Difference Loser]:[Difference Candidate 6]])</f>
        <v>-1</v>
      </c>
      <c r="AA1197" s="111">
        <f>IF(Audit[[#This Row],[Times p Drawn - With Replacement]]&gt;0, IF(Audit[[#This Row],[Canceled Differences]]&lt;0, Audit[[#This Row],[Max Differences]]+ABS(Audit[[#This Row],[Canceled Differences]]), Audit[[#This Row],[Max Differences]]), 0)</f>
        <v>0</v>
      </c>
      <c r="AB1197" s="111">
        <f>'Sampling Data'!P1189</f>
        <v>6.1244487996080352E-5</v>
      </c>
      <c r="AC1197" s="111">
        <f>IF(
      SUM(Audit[[#This Row],[Audit Losing Candidate]:[Audit Candidate 6]])
      &lt;&gt;0,
      (Audit[[#This Row],[Winning Candidate]]-Audit[[#This Row],[Losing Candidate]]-(Audit[[#This Row],[Audit Winning Candidate]]-Audit[[#This Row],[Audit Losing Candidate]]))/(Audit[[#Totals],[Winning Candidate]]-Audit[[#Totals],[Losing Candidate]]),
      0
)</f>
        <v>0</v>
      </c>
      <c r="AD11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7" s="111">
        <f>IF(Audit[[#This Row],[Max Relative Error (ep)]] = 0, 0, Audit[[#This Row],[Max Relative Error (ep)]]/Audit[[#This Row],[Error Bound (up) - Max. possible relative overstatement]])</f>
        <v>0</v>
      </c>
      <c r="AJ11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97" s="111">
        <f t="shared" si="18"/>
        <v>1</v>
      </c>
      <c r="AL1197" s="111">
        <f>PRODUCT($AK$5:AK1197)</f>
        <v>8.962823818226312E-2</v>
      </c>
      <c r="AM1197" s="109">
        <f>1 - [K-M P Value]</f>
        <v>0.91037176181773694</v>
      </c>
      <c r="AN1197" s="111" t="str">
        <f>IF(Audit[[#This Row],[K-M P Value]]&gt;1-'General Info'!$B$16,"Continue", "Stop")</f>
        <v>Stop</v>
      </c>
      <c r="AO1197" s="110" t="b">
        <f>IF(Audit[[#This Row],[Status - Continue or stop audit]] = "Continue", TRUE, IF(AN1196 = "Continue", TRUE, FALSE))</f>
        <v>0</v>
      </c>
      <c r="AP1197" s="110"/>
    </row>
    <row r="1198" spans="1:42" ht="15" hidden="1" customHeight="1">
      <c r="A1198" s="111" t="str">
        <f>'Sampling Data'!W1190</f>
        <v/>
      </c>
      <c r="B1198" s="112" t="str">
        <f>'Sampling Data'!A1190</f>
        <v>GARFIELD HEIGHTS -01-D - ABS</v>
      </c>
      <c r="C1198" s="112">
        <f>'Sampling Data'!B1190</f>
        <v>1</v>
      </c>
      <c r="D1198" s="112">
        <f>'Sampling Data'!C1190</f>
        <v>2</v>
      </c>
      <c r="E1198" s="113">
        <f>'Sampling Data'!D1190</f>
        <v>0</v>
      </c>
      <c r="F1198" s="113">
        <f>'Sampling Data'!E1190</f>
        <v>0</v>
      </c>
      <c r="G1198" s="113">
        <f>'Sampling Data'!F1190</f>
        <v>0</v>
      </c>
      <c r="H1198" s="113">
        <f>'Sampling Data'!G1190</f>
        <v>0</v>
      </c>
      <c r="I1198" s="112">
        <f>'Sampling Data'!H1190</f>
        <v>0</v>
      </c>
      <c r="J1198" s="112">
        <f>'Sampling Data'!I1190</f>
        <v>0</v>
      </c>
      <c r="K1198" s="112">
        <f>'Sampling Data'!J1190</f>
        <v>3</v>
      </c>
      <c r="L1198" s="111">
        <f>'Sampling Data'!X1190</f>
        <v>0</v>
      </c>
      <c r="M1198" s="114"/>
      <c r="N1198" s="114"/>
      <c r="O1198" s="115"/>
      <c r="P1198" s="115"/>
      <c r="Q1198" s="116"/>
      <c r="R1198" s="116"/>
      <c r="S1198" s="111">
        <f>Audit[[#This Row],[Audit Losing Candidate]]-Audit[[#This Row],[Losing Candidate]]</f>
        <v>-1</v>
      </c>
      <c r="T1198" s="111">
        <f>Audit[[#This Row],[Audit Winning Candidate]]-Audit[[#This Row],[Winning Candidate]]</f>
        <v>-2</v>
      </c>
      <c r="U1198" s="111">
        <f>Audit[[#This Row],[Audit Candidate 3]]-Audit[[#This Row],[Candidate 3]]</f>
        <v>0</v>
      </c>
      <c r="V1198" s="111">
        <f>Audit[[#This Row],[Audit Candidate 4]]-Audit[[#This Row],[Candidate 4]]</f>
        <v>0</v>
      </c>
      <c r="W1198" s="111">
        <f>Audit[[#This Row],[Audit Candidate 5]]-Audit[[#This Row],[Candidate 5]]</f>
        <v>0</v>
      </c>
      <c r="X1198" s="111">
        <f>Audit[[#This Row],[Audit Candidate 6]]-Audit[[#This Row],[Candidate 6]]</f>
        <v>0</v>
      </c>
      <c r="Y1198" s="111">
        <f>SUMIF(Audit[[#This Row],[Difference Loser]:[Difference Candidate 6]], "&gt;0")</f>
        <v>0</v>
      </c>
      <c r="Z1198" s="111">
        <f>SUM(Audit[[#This Row],[Difference Loser]:[Difference Candidate 6]])</f>
        <v>-3</v>
      </c>
      <c r="AA1198" s="111">
        <f>IF(Audit[[#This Row],[Times p Drawn - With Replacement]]&gt;0, IF(Audit[[#This Row],[Canceled Differences]]&lt;0, Audit[[#This Row],[Max Differences]]+ABS(Audit[[#This Row],[Canceled Differences]]), Audit[[#This Row],[Max Differences]]), 0)</f>
        <v>0</v>
      </c>
      <c r="AB1198" s="111">
        <f>'Sampling Data'!P1190</f>
        <v>2.4497795198432141E-4</v>
      </c>
      <c r="AC1198" s="111">
        <f>IF(
      SUM(Audit[[#This Row],[Audit Losing Candidate]:[Audit Candidate 6]])
      &lt;&gt;0,
      (Audit[[#This Row],[Winning Candidate]]-Audit[[#This Row],[Losing Candidate]]-(Audit[[#This Row],[Audit Winning Candidate]]-Audit[[#This Row],[Audit Losing Candidate]]))/(Audit[[#Totals],[Winning Candidate]]-Audit[[#Totals],[Losing Candidate]]),
      0
)</f>
        <v>0</v>
      </c>
      <c r="AD11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8" s="111">
        <f>IF(Audit[[#This Row],[Max Relative Error (ep)]] = 0, 0, Audit[[#This Row],[Max Relative Error (ep)]]/Audit[[#This Row],[Error Bound (up) - Max. possible relative overstatement]])</f>
        <v>0</v>
      </c>
      <c r="AJ11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98" s="111">
        <f t="shared" si="18"/>
        <v>1</v>
      </c>
      <c r="AL1198" s="111">
        <f>PRODUCT($AK$5:AK1198)</f>
        <v>8.962823818226312E-2</v>
      </c>
      <c r="AM1198" s="109">
        <f>1 - [K-M P Value]</f>
        <v>0.91037176181773694</v>
      </c>
      <c r="AN1198" s="111" t="str">
        <f>IF(Audit[[#This Row],[K-M P Value]]&gt;1-'General Info'!$B$16,"Continue", "Stop")</f>
        <v>Stop</v>
      </c>
      <c r="AO1198" s="110" t="b">
        <f>IF(Audit[[#This Row],[Status - Continue or stop audit]] = "Continue", TRUE, IF(AN1197 = "Continue", TRUE, FALSE))</f>
        <v>0</v>
      </c>
      <c r="AP1198" s="110"/>
    </row>
    <row r="1199" spans="1:42" ht="15" hidden="1" customHeight="1">
      <c r="A1199" s="111" t="str">
        <f>'Sampling Data'!W1191</f>
        <v/>
      </c>
      <c r="B1199" s="112" t="str">
        <f>'Sampling Data'!A1191</f>
        <v>GARFIELD HEIGHTS -02-A</v>
      </c>
      <c r="C1199" s="112">
        <f>'Sampling Data'!B1191</f>
        <v>17</v>
      </c>
      <c r="D1199" s="112">
        <f>'Sampling Data'!C1191</f>
        <v>10</v>
      </c>
      <c r="E1199" s="113">
        <f>'Sampling Data'!D1191</f>
        <v>8</v>
      </c>
      <c r="F1199" s="113">
        <f>'Sampling Data'!E1191</f>
        <v>4</v>
      </c>
      <c r="G1199" s="113">
        <f>'Sampling Data'!F1191</f>
        <v>0</v>
      </c>
      <c r="H1199" s="113">
        <f>'Sampling Data'!G1191</f>
        <v>0</v>
      </c>
      <c r="I1199" s="112">
        <f>'Sampling Data'!H1191</f>
        <v>0</v>
      </c>
      <c r="J1199" s="112">
        <f>'Sampling Data'!I1191</f>
        <v>1</v>
      </c>
      <c r="K1199" s="112">
        <f>'Sampling Data'!J1191</f>
        <v>40</v>
      </c>
      <c r="L1199" s="111">
        <f>'Sampling Data'!X1191</f>
        <v>0</v>
      </c>
      <c r="M1199" s="114"/>
      <c r="N1199" s="114"/>
      <c r="O1199" s="115"/>
      <c r="P1199" s="115"/>
      <c r="Q1199" s="116"/>
      <c r="R1199" s="116"/>
      <c r="S1199" s="111">
        <f>Audit[[#This Row],[Audit Losing Candidate]]-Audit[[#This Row],[Losing Candidate]]</f>
        <v>-17</v>
      </c>
      <c r="T1199" s="111">
        <f>Audit[[#This Row],[Audit Winning Candidate]]-Audit[[#This Row],[Winning Candidate]]</f>
        <v>-10</v>
      </c>
      <c r="U1199" s="111">
        <f>Audit[[#This Row],[Audit Candidate 3]]-Audit[[#This Row],[Candidate 3]]</f>
        <v>-8</v>
      </c>
      <c r="V1199" s="111">
        <f>Audit[[#This Row],[Audit Candidate 4]]-Audit[[#This Row],[Candidate 4]]</f>
        <v>-4</v>
      </c>
      <c r="W1199" s="111">
        <f>Audit[[#This Row],[Audit Candidate 5]]-Audit[[#This Row],[Candidate 5]]</f>
        <v>0</v>
      </c>
      <c r="X1199" s="111">
        <f>Audit[[#This Row],[Audit Candidate 6]]-Audit[[#This Row],[Candidate 6]]</f>
        <v>0</v>
      </c>
      <c r="Y1199" s="111">
        <f>SUMIF(Audit[[#This Row],[Difference Loser]:[Difference Candidate 6]], "&gt;0")</f>
        <v>0</v>
      </c>
      <c r="Z1199" s="111">
        <f>SUM(Audit[[#This Row],[Difference Loser]:[Difference Candidate 6]])</f>
        <v>-39</v>
      </c>
      <c r="AA1199" s="111">
        <f>IF(Audit[[#This Row],[Times p Drawn - With Replacement]]&gt;0, IF(Audit[[#This Row],[Canceled Differences]]&lt;0, Audit[[#This Row],[Max Differences]]+ABS(Audit[[#This Row],[Canceled Differences]]), Audit[[#This Row],[Max Differences]]), 0)</f>
        <v>0</v>
      </c>
      <c r="AB1199" s="111">
        <f>'Sampling Data'!P1191</f>
        <v>2.0210681038706517E-3</v>
      </c>
      <c r="AC1199" s="111">
        <f>IF(
      SUM(Audit[[#This Row],[Audit Losing Candidate]:[Audit Candidate 6]])
      &lt;&gt;0,
      (Audit[[#This Row],[Winning Candidate]]-Audit[[#This Row],[Losing Candidate]]-(Audit[[#This Row],[Audit Winning Candidate]]-Audit[[#This Row],[Audit Losing Candidate]]))/(Audit[[#Totals],[Winning Candidate]]-Audit[[#Totals],[Losing Candidate]]),
      0
)</f>
        <v>0</v>
      </c>
      <c r="AD11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9" s="111">
        <f>IF(Audit[[#This Row],[Max Relative Error (ep)]] = 0, 0, Audit[[#This Row],[Max Relative Error (ep)]]/Audit[[#This Row],[Error Bound (up) - Max. possible relative overstatement]])</f>
        <v>0</v>
      </c>
      <c r="AJ11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199" s="111">
        <f t="shared" si="18"/>
        <v>1</v>
      </c>
      <c r="AL1199" s="111">
        <f>PRODUCT($AK$5:AK1199)</f>
        <v>8.962823818226312E-2</v>
      </c>
      <c r="AM1199" s="109">
        <f>1 - [K-M P Value]</f>
        <v>0.91037176181773694</v>
      </c>
      <c r="AN1199" s="111" t="str">
        <f>IF(Audit[[#This Row],[K-M P Value]]&gt;1-'General Info'!$B$16,"Continue", "Stop")</f>
        <v>Stop</v>
      </c>
      <c r="AO1199" s="110" t="b">
        <f>IF(Audit[[#This Row],[Status - Continue or stop audit]] = "Continue", TRUE, IF(AN1198 = "Continue", TRUE, FALSE))</f>
        <v>0</v>
      </c>
      <c r="AP1199" s="110"/>
    </row>
    <row r="1200" spans="1:42" ht="15" hidden="1" customHeight="1">
      <c r="A1200" s="111" t="str">
        <f>'Sampling Data'!W1192</f>
        <v/>
      </c>
      <c r="B1200" s="112" t="str">
        <f>'Sampling Data'!A1192</f>
        <v>GARFIELD HEIGHTS -02-A - ABS</v>
      </c>
      <c r="C1200" s="112">
        <f>'Sampling Data'!B1192</f>
        <v>5</v>
      </c>
      <c r="D1200" s="112">
        <f>'Sampling Data'!C1192</f>
        <v>3</v>
      </c>
      <c r="E1200" s="113">
        <f>'Sampling Data'!D1192</f>
        <v>1</v>
      </c>
      <c r="F1200" s="113">
        <f>'Sampling Data'!E1192</f>
        <v>0</v>
      </c>
      <c r="G1200" s="113">
        <f>'Sampling Data'!F1192</f>
        <v>0</v>
      </c>
      <c r="H1200" s="113">
        <f>'Sampling Data'!G1192</f>
        <v>0</v>
      </c>
      <c r="I1200" s="112">
        <f>'Sampling Data'!H1192</f>
        <v>0</v>
      </c>
      <c r="J1200" s="112">
        <f>'Sampling Data'!I1192</f>
        <v>0</v>
      </c>
      <c r="K1200" s="112">
        <f>'Sampling Data'!J1192</f>
        <v>9</v>
      </c>
      <c r="L1200" s="111">
        <f>'Sampling Data'!X1192</f>
        <v>0</v>
      </c>
      <c r="M1200" s="114"/>
      <c r="N1200" s="114"/>
      <c r="O1200" s="115"/>
      <c r="P1200" s="115"/>
      <c r="Q1200" s="116"/>
      <c r="R1200" s="116"/>
      <c r="S1200" s="111">
        <f>Audit[[#This Row],[Audit Losing Candidate]]-Audit[[#This Row],[Losing Candidate]]</f>
        <v>-5</v>
      </c>
      <c r="T1200" s="111">
        <f>Audit[[#This Row],[Audit Winning Candidate]]-Audit[[#This Row],[Winning Candidate]]</f>
        <v>-3</v>
      </c>
      <c r="U1200" s="111">
        <f>Audit[[#This Row],[Audit Candidate 3]]-Audit[[#This Row],[Candidate 3]]</f>
        <v>-1</v>
      </c>
      <c r="V1200" s="111">
        <f>Audit[[#This Row],[Audit Candidate 4]]-Audit[[#This Row],[Candidate 4]]</f>
        <v>0</v>
      </c>
      <c r="W1200" s="111">
        <f>Audit[[#This Row],[Audit Candidate 5]]-Audit[[#This Row],[Candidate 5]]</f>
        <v>0</v>
      </c>
      <c r="X1200" s="111">
        <f>Audit[[#This Row],[Audit Candidate 6]]-Audit[[#This Row],[Candidate 6]]</f>
        <v>0</v>
      </c>
      <c r="Y1200" s="111">
        <f>SUMIF(Audit[[#This Row],[Difference Loser]:[Difference Candidate 6]], "&gt;0")</f>
        <v>0</v>
      </c>
      <c r="Z1200" s="111">
        <f>SUM(Audit[[#This Row],[Difference Loser]:[Difference Candidate 6]])</f>
        <v>-9</v>
      </c>
      <c r="AA1200" s="111">
        <f>IF(Audit[[#This Row],[Times p Drawn - With Replacement]]&gt;0, IF(Audit[[#This Row],[Canceled Differences]]&lt;0, Audit[[#This Row],[Max Differences]]+ABS(Audit[[#This Row],[Canceled Differences]]), Audit[[#This Row],[Max Differences]]), 0)</f>
        <v>0</v>
      </c>
      <c r="AB1200" s="111">
        <f>'Sampling Data'!P1192</f>
        <v>4.2871141597256246E-4</v>
      </c>
      <c r="AC1200" s="111">
        <f>IF(
      SUM(Audit[[#This Row],[Audit Losing Candidate]:[Audit Candidate 6]])
      &lt;&gt;0,
      (Audit[[#This Row],[Winning Candidate]]-Audit[[#This Row],[Losing Candidate]]-(Audit[[#This Row],[Audit Winning Candidate]]-Audit[[#This Row],[Audit Losing Candidate]]))/(Audit[[#Totals],[Winning Candidate]]-Audit[[#Totals],[Losing Candidate]]),
      0
)</f>
        <v>0</v>
      </c>
      <c r="AD12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0" s="111">
        <f>IF(Audit[[#This Row],[Max Relative Error (ep)]] = 0, 0, Audit[[#This Row],[Max Relative Error (ep)]]/Audit[[#This Row],[Error Bound (up) - Max. possible relative overstatement]])</f>
        <v>0</v>
      </c>
      <c r="AJ12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00" s="111">
        <f t="shared" si="18"/>
        <v>1</v>
      </c>
      <c r="AL1200" s="111">
        <f>PRODUCT($AK$5:AK1200)</f>
        <v>8.962823818226312E-2</v>
      </c>
      <c r="AM1200" s="109">
        <f>1 - [K-M P Value]</f>
        <v>0.91037176181773694</v>
      </c>
      <c r="AN1200" s="111" t="str">
        <f>IF(Audit[[#This Row],[K-M P Value]]&gt;1-'General Info'!$B$16,"Continue", "Stop")</f>
        <v>Stop</v>
      </c>
      <c r="AO1200" s="110" t="b">
        <f>IF(Audit[[#This Row],[Status - Continue or stop audit]] = "Continue", TRUE, IF(AN1199 = "Continue", TRUE, FALSE))</f>
        <v>0</v>
      </c>
      <c r="AP1200" s="110"/>
    </row>
    <row r="1201" spans="1:42" ht="15" hidden="1" customHeight="1">
      <c r="A1201" s="111" t="str">
        <f>'Sampling Data'!W1193</f>
        <v/>
      </c>
      <c r="B1201" s="112" t="str">
        <f>'Sampling Data'!A1193</f>
        <v>GARFIELD HEIGHTS -02-B</v>
      </c>
      <c r="C1201" s="112">
        <f>'Sampling Data'!B1193</f>
        <v>13</v>
      </c>
      <c r="D1201" s="112">
        <f>'Sampling Data'!C1193</f>
        <v>15</v>
      </c>
      <c r="E1201" s="113">
        <f>'Sampling Data'!D1193</f>
        <v>11</v>
      </c>
      <c r="F1201" s="113">
        <f>'Sampling Data'!E1193</f>
        <v>4</v>
      </c>
      <c r="G1201" s="113">
        <f>'Sampling Data'!F1193</f>
        <v>0</v>
      </c>
      <c r="H1201" s="113">
        <f>'Sampling Data'!G1193</f>
        <v>0</v>
      </c>
      <c r="I1201" s="112">
        <f>'Sampling Data'!H1193</f>
        <v>0</v>
      </c>
      <c r="J1201" s="112">
        <f>'Sampling Data'!I1193</f>
        <v>1</v>
      </c>
      <c r="K1201" s="112">
        <f>'Sampling Data'!J1193</f>
        <v>44</v>
      </c>
      <c r="L1201" s="111">
        <f>'Sampling Data'!X1193</f>
        <v>0</v>
      </c>
      <c r="M1201" s="114"/>
      <c r="N1201" s="114"/>
      <c r="O1201" s="115"/>
      <c r="P1201" s="115"/>
      <c r="Q1201" s="116"/>
      <c r="R1201" s="116"/>
      <c r="S1201" s="111">
        <f>Audit[[#This Row],[Audit Losing Candidate]]-Audit[[#This Row],[Losing Candidate]]</f>
        <v>-13</v>
      </c>
      <c r="T1201" s="111">
        <f>Audit[[#This Row],[Audit Winning Candidate]]-Audit[[#This Row],[Winning Candidate]]</f>
        <v>-15</v>
      </c>
      <c r="U1201" s="111">
        <f>Audit[[#This Row],[Audit Candidate 3]]-Audit[[#This Row],[Candidate 3]]</f>
        <v>-11</v>
      </c>
      <c r="V1201" s="111">
        <f>Audit[[#This Row],[Audit Candidate 4]]-Audit[[#This Row],[Candidate 4]]</f>
        <v>-4</v>
      </c>
      <c r="W1201" s="111">
        <f>Audit[[#This Row],[Audit Candidate 5]]-Audit[[#This Row],[Candidate 5]]</f>
        <v>0</v>
      </c>
      <c r="X1201" s="111">
        <f>Audit[[#This Row],[Audit Candidate 6]]-Audit[[#This Row],[Candidate 6]]</f>
        <v>0</v>
      </c>
      <c r="Y1201" s="111">
        <f>SUMIF(Audit[[#This Row],[Difference Loser]:[Difference Candidate 6]], "&gt;0")</f>
        <v>0</v>
      </c>
      <c r="Z1201" s="111">
        <f>SUM(Audit[[#This Row],[Difference Loser]:[Difference Candidate 6]])</f>
        <v>-43</v>
      </c>
      <c r="AA1201" s="111">
        <f>IF(Audit[[#This Row],[Times p Drawn - With Replacement]]&gt;0, IF(Audit[[#This Row],[Canceled Differences]]&lt;0, Audit[[#This Row],[Max Differences]]+ABS(Audit[[#This Row],[Canceled Differences]]), Audit[[#This Row],[Max Differences]]), 0)</f>
        <v>0</v>
      </c>
      <c r="AB1201" s="111">
        <f>'Sampling Data'!P1193</f>
        <v>2.8172464478196961E-3</v>
      </c>
      <c r="AC1201" s="111">
        <f>IF(
      SUM(Audit[[#This Row],[Audit Losing Candidate]:[Audit Candidate 6]])
      &lt;&gt;0,
      (Audit[[#This Row],[Winning Candidate]]-Audit[[#This Row],[Losing Candidate]]-(Audit[[#This Row],[Audit Winning Candidate]]-Audit[[#This Row],[Audit Losing Candidate]]))/(Audit[[#Totals],[Winning Candidate]]-Audit[[#Totals],[Losing Candidate]]),
      0
)</f>
        <v>0</v>
      </c>
      <c r="AD12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1" s="111">
        <f>IF(Audit[[#This Row],[Max Relative Error (ep)]] = 0, 0, Audit[[#This Row],[Max Relative Error (ep)]]/Audit[[#This Row],[Error Bound (up) - Max. possible relative overstatement]])</f>
        <v>0</v>
      </c>
      <c r="AJ12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01" s="111">
        <f t="shared" si="18"/>
        <v>1</v>
      </c>
      <c r="AL1201" s="111">
        <f>PRODUCT($AK$5:AK1201)</f>
        <v>8.962823818226312E-2</v>
      </c>
      <c r="AM1201" s="109">
        <f>1 - [K-M P Value]</f>
        <v>0.91037176181773694</v>
      </c>
      <c r="AN1201" s="111" t="str">
        <f>IF(Audit[[#This Row],[K-M P Value]]&gt;1-'General Info'!$B$16,"Continue", "Stop")</f>
        <v>Stop</v>
      </c>
      <c r="AO1201" s="110" t="b">
        <f>IF(Audit[[#This Row],[Status - Continue or stop audit]] = "Continue", TRUE, IF(AN1200 = "Continue", TRUE, FALSE))</f>
        <v>0</v>
      </c>
      <c r="AP1201" s="110"/>
    </row>
    <row r="1202" spans="1:42" ht="15" hidden="1" customHeight="1">
      <c r="A1202" s="111" t="str">
        <f>'Sampling Data'!W1194</f>
        <v/>
      </c>
      <c r="B1202" s="112" t="str">
        <f>'Sampling Data'!A1194</f>
        <v>GARFIELD HEIGHTS -02-B - ABS</v>
      </c>
      <c r="C1202" s="112">
        <f>'Sampling Data'!B1194</f>
        <v>9</v>
      </c>
      <c r="D1202" s="112">
        <f>'Sampling Data'!C1194</f>
        <v>4</v>
      </c>
      <c r="E1202" s="113">
        <f>'Sampling Data'!D1194</f>
        <v>2</v>
      </c>
      <c r="F1202" s="113">
        <f>'Sampling Data'!E1194</f>
        <v>0</v>
      </c>
      <c r="G1202" s="113">
        <f>'Sampling Data'!F1194</f>
        <v>0</v>
      </c>
      <c r="H1202" s="113">
        <f>'Sampling Data'!G1194</f>
        <v>0</v>
      </c>
      <c r="I1202" s="112">
        <f>'Sampling Data'!H1194</f>
        <v>0</v>
      </c>
      <c r="J1202" s="112">
        <f>'Sampling Data'!I1194</f>
        <v>0</v>
      </c>
      <c r="K1202" s="112">
        <f>'Sampling Data'!J1194</f>
        <v>15</v>
      </c>
      <c r="L1202" s="111">
        <f>'Sampling Data'!X1194</f>
        <v>0</v>
      </c>
      <c r="M1202" s="114"/>
      <c r="N1202" s="114"/>
      <c r="O1202" s="115"/>
      <c r="P1202" s="115"/>
      <c r="Q1202" s="116"/>
      <c r="R1202" s="116"/>
      <c r="S1202" s="111">
        <f>Audit[[#This Row],[Audit Losing Candidate]]-Audit[[#This Row],[Losing Candidate]]</f>
        <v>-9</v>
      </c>
      <c r="T1202" s="111">
        <f>Audit[[#This Row],[Audit Winning Candidate]]-Audit[[#This Row],[Winning Candidate]]</f>
        <v>-4</v>
      </c>
      <c r="U1202" s="111">
        <f>Audit[[#This Row],[Audit Candidate 3]]-Audit[[#This Row],[Candidate 3]]</f>
        <v>-2</v>
      </c>
      <c r="V1202" s="111">
        <f>Audit[[#This Row],[Audit Candidate 4]]-Audit[[#This Row],[Candidate 4]]</f>
        <v>0</v>
      </c>
      <c r="W1202" s="111">
        <f>Audit[[#This Row],[Audit Candidate 5]]-Audit[[#This Row],[Candidate 5]]</f>
        <v>0</v>
      </c>
      <c r="X1202" s="111">
        <f>Audit[[#This Row],[Audit Candidate 6]]-Audit[[#This Row],[Candidate 6]]</f>
        <v>0</v>
      </c>
      <c r="Y1202" s="111">
        <f>SUMIF(Audit[[#This Row],[Difference Loser]:[Difference Candidate 6]], "&gt;0")</f>
        <v>0</v>
      </c>
      <c r="Z1202" s="111">
        <f>SUM(Audit[[#This Row],[Difference Loser]:[Difference Candidate 6]])</f>
        <v>-15</v>
      </c>
      <c r="AA1202" s="111">
        <f>IF(Audit[[#This Row],[Times p Drawn - With Replacement]]&gt;0, IF(Audit[[#This Row],[Canceled Differences]]&lt;0, Audit[[#This Row],[Max Differences]]+ABS(Audit[[#This Row],[Canceled Differences]]), Audit[[#This Row],[Max Differences]]), 0)</f>
        <v>0</v>
      </c>
      <c r="AB1202" s="111">
        <f>'Sampling Data'!P1194</f>
        <v>6.1244487996080352E-4</v>
      </c>
      <c r="AC1202" s="111">
        <f>IF(
      SUM(Audit[[#This Row],[Audit Losing Candidate]:[Audit Candidate 6]])
      &lt;&gt;0,
      (Audit[[#This Row],[Winning Candidate]]-Audit[[#This Row],[Losing Candidate]]-(Audit[[#This Row],[Audit Winning Candidate]]-Audit[[#This Row],[Audit Losing Candidate]]))/(Audit[[#Totals],[Winning Candidate]]-Audit[[#Totals],[Losing Candidate]]),
      0
)</f>
        <v>0</v>
      </c>
      <c r="AD12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2" s="111">
        <f>IF(Audit[[#This Row],[Max Relative Error (ep)]] = 0, 0, Audit[[#This Row],[Max Relative Error (ep)]]/Audit[[#This Row],[Error Bound (up) - Max. possible relative overstatement]])</f>
        <v>0</v>
      </c>
      <c r="AJ12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02" s="111">
        <f t="shared" si="18"/>
        <v>1</v>
      </c>
      <c r="AL1202" s="111">
        <f>PRODUCT($AK$5:AK1202)</f>
        <v>8.962823818226312E-2</v>
      </c>
      <c r="AM1202" s="109">
        <f>1 - [K-M P Value]</f>
        <v>0.91037176181773694</v>
      </c>
      <c r="AN1202" s="111" t="str">
        <f>IF(Audit[[#This Row],[K-M P Value]]&gt;1-'General Info'!$B$16,"Continue", "Stop")</f>
        <v>Stop</v>
      </c>
      <c r="AO1202" s="110" t="b">
        <f>IF(Audit[[#This Row],[Status - Continue or stop audit]] = "Continue", TRUE, IF(AN1201 = "Continue", TRUE, FALSE))</f>
        <v>0</v>
      </c>
      <c r="AP1202" s="110"/>
    </row>
    <row r="1203" spans="1:42" ht="15" hidden="1" customHeight="1">
      <c r="A1203" s="111" t="str">
        <f>'Sampling Data'!W1195</f>
        <v/>
      </c>
      <c r="B1203" s="112" t="str">
        <f>'Sampling Data'!A1195</f>
        <v>GARFIELD HEIGHTS -02-C</v>
      </c>
      <c r="C1203" s="112">
        <f>'Sampling Data'!B1195</f>
        <v>13</v>
      </c>
      <c r="D1203" s="112">
        <f>'Sampling Data'!C1195</f>
        <v>16</v>
      </c>
      <c r="E1203" s="113">
        <f>'Sampling Data'!D1195</f>
        <v>5</v>
      </c>
      <c r="F1203" s="113">
        <f>'Sampling Data'!E1195</f>
        <v>5</v>
      </c>
      <c r="G1203" s="113">
        <f>'Sampling Data'!F1195</f>
        <v>0</v>
      </c>
      <c r="H1203" s="113">
        <f>'Sampling Data'!G1195</f>
        <v>1</v>
      </c>
      <c r="I1203" s="112">
        <f>'Sampling Data'!H1195</f>
        <v>0</v>
      </c>
      <c r="J1203" s="112">
        <f>'Sampling Data'!I1195</f>
        <v>0</v>
      </c>
      <c r="K1203" s="112">
        <f>'Sampling Data'!J1195</f>
        <v>40</v>
      </c>
      <c r="L1203" s="111">
        <f>'Sampling Data'!X1195</f>
        <v>0</v>
      </c>
      <c r="M1203" s="114"/>
      <c r="N1203" s="114"/>
      <c r="O1203" s="115"/>
      <c r="P1203" s="115"/>
      <c r="Q1203" s="116"/>
      <c r="R1203" s="116"/>
      <c r="S1203" s="111">
        <f>Audit[[#This Row],[Audit Losing Candidate]]-Audit[[#This Row],[Losing Candidate]]</f>
        <v>-13</v>
      </c>
      <c r="T1203" s="111">
        <f>Audit[[#This Row],[Audit Winning Candidate]]-Audit[[#This Row],[Winning Candidate]]</f>
        <v>-16</v>
      </c>
      <c r="U1203" s="111">
        <f>Audit[[#This Row],[Audit Candidate 3]]-Audit[[#This Row],[Candidate 3]]</f>
        <v>-5</v>
      </c>
      <c r="V1203" s="111">
        <f>Audit[[#This Row],[Audit Candidate 4]]-Audit[[#This Row],[Candidate 4]]</f>
        <v>-5</v>
      </c>
      <c r="W1203" s="111">
        <f>Audit[[#This Row],[Audit Candidate 5]]-Audit[[#This Row],[Candidate 5]]</f>
        <v>0</v>
      </c>
      <c r="X1203" s="111">
        <f>Audit[[#This Row],[Audit Candidate 6]]-Audit[[#This Row],[Candidate 6]]</f>
        <v>-1</v>
      </c>
      <c r="Y1203" s="111">
        <f>SUMIF(Audit[[#This Row],[Difference Loser]:[Difference Candidate 6]], "&gt;0")</f>
        <v>0</v>
      </c>
      <c r="Z1203" s="111">
        <f>SUM(Audit[[#This Row],[Difference Loser]:[Difference Candidate 6]])</f>
        <v>-40</v>
      </c>
      <c r="AA1203" s="111">
        <f>IF(Audit[[#This Row],[Times p Drawn - With Replacement]]&gt;0, IF(Audit[[#This Row],[Canceled Differences]]&lt;0, Audit[[#This Row],[Max Differences]]+ABS(Audit[[#This Row],[Canceled Differences]]), Audit[[#This Row],[Max Differences]]), 0)</f>
        <v>0</v>
      </c>
      <c r="AB1203" s="111">
        <f>'Sampling Data'!P1195</f>
        <v>2.6335129838314553E-3</v>
      </c>
      <c r="AC1203" s="111">
        <f>IF(
      SUM(Audit[[#This Row],[Audit Losing Candidate]:[Audit Candidate 6]])
      &lt;&gt;0,
      (Audit[[#This Row],[Winning Candidate]]-Audit[[#This Row],[Losing Candidate]]-(Audit[[#This Row],[Audit Winning Candidate]]-Audit[[#This Row],[Audit Losing Candidate]]))/(Audit[[#Totals],[Winning Candidate]]-Audit[[#Totals],[Losing Candidate]]),
      0
)</f>
        <v>0</v>
      </c>
      <c r="AD12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3" s="111">
        <f>IF(Audit[[#This Row],[Max Relative Error (ep)]] = 0, 0, Audit[[#This Row],[Max Relative Error (ep)]]/Audit[[#This Row],[Error Bound (up) - Max. possible relative overstatement]])</f>
        <v>0</v>
      </c>
      <c r="AJ12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03" s="111">
        <f t="shared" si="18"/>
        <v>1</v>
      </c>
      <c r="AL1203" s="111">
        <f>PRODUCT($AK$5:AK1203)</f>
        <v>8.962823818226312E-2</v>
      </c>
      <c r="AM1203" s="109">
        <f>1 - [K-M P Value]</f>
        <v>0.91037176181773694</v>
      </c>
      <c r="AN1203" s="111" t="str">
        <f>IF(Audit[[#This Row],[K-M P Value]]&gt;1-'General Info'!$B$16,"Continue", "Stop")</f>
        <v>Stop</v>
      </c>
      <c r="AO1203" s="110" t="b">
        <f>IF(Audit[[#This Row],[Status - Continue or stop audit]] = "Continue", TRUE, IF(AN1202 = "Continue", TRUE, FALSE))</f>
        <v>0</v>
      </c>
      <c r="AP1203" s="110"/>
    </row>
    <row r="1204" spans="1:42" ht="15" hidden="1" customHeight="1">
      <c r="A1204" s="111" t="str">
        <f>'Sampling Data'!W1196</f>
        <v/>
      </c>
      <c r="B1204" s="112" t="str">
        <f>'Sampling Data'!A1196</f>
        <v>GARFIELD HEIGHTS -02-C - ABS</v>
      </c>
      <c r="C1204" s="112">
        <f>'Sampling Data'!B1196</f>
        <v>6</v>
      </c>
      <c r="D1204" s="112">
        <f>'Sampling Data'!C1196</f>
        <v>2</v>
      </c>
      <c r="E1204" s="113">
        <f>'Sampling Data'!D1196</f>
        <v>3</v>
      </c>
      <c r="F1204" s="113">
        <f>'Sampling Data'!E1196</f>
        <v>0</v>
      </c>
      <c r="G1204" s="113">
        <f>'Sampling Data'!F1196</f>
        <v>0</v>
      </c>
      <c r="H1204" s="113">
        <f>'Sampling Data'!G1196</f>
        <v>0</v>
      </c>
      <c r="I1204" s="112">
        <f>'Sampling Data'!H1196</f>
        <v>0</v>
      </c>
      <c r="J1204" s="112">
        <f>'Sampling Data'!I1196</f>
        <v>0</v>
      </c>
      <c r="K1204" s="112">
        <f>'Sampling Data'!J1196</f>
        <v>11</v>
      </c>
      <c r="L1204" s="111">
        <f>'Sampling Data'!X1196</f>
        <v>0</v>
      </c>
      <c r="M1204" s="114"/>
      <c r="N1204" s="114"/>
      <c r="O1204" s="115"/>
      <c r="P1204" s="115"/>
      <c r="Q1204" s="116"/>
      <c r="R1204" s="116"/>
      <c r="S1204" s="111">
        <f>Audit[[#This Row],[Audit Losing Candidate]]-Audit[[#This Row],[Losing Candidate]]</f>
        <v>-6</v>
      </c>
      <c r="T1204" s="111">
        <f>Audit[[#This Row],[Audit Winning Candidate]]-Audit[[#This Row],[Winning Candidate]]</f>
        <v>-2</v>
      </c>
      <c r="U1204" s="111">
        <f>Audit[[#This Row],[Audit Candidate 3]]-Audit[[#This Row],[Candidate 3]]</f>
        <v>-3</v>
      </c>
      <c r="V1204" s="111">
        <f>Audit[[#This Row],[Audit Candidate 4]]-Audit[[#This Row],[Candidate 4]]</f>
        <v>0</v>
      </c>
      <c r="W1204" s="111">
        <f>Audit[[#This Row],[Audit Candidate 5]]-Audit[[#This Row],[Candidate 5]]</f>
        <v>0</v>
      </c>
      <c r="X1204" s="111">
        <f>Audit[[#This Row],[Audit Candidate 6]]-Audit[[#This Row],[Candidate 6]]</f>
        <v>0</v>
      </c>
      <c r="Y1204" s="111">
        <f>SUMIF(Audit[[#This Row],[Difference Loser]:[Difference Candidate 6]], "&gt;0")</f>
        <v>0</v>
      </c>
      <c r="Z1204" s="111">
        <f>SUM(Audit[[#This Row],[Difference Loser]:[Difference Candidate 6]])</f>
        <v>-11</v>
      </c>
      <c r="AA1204" s="111">
        <f>IF(Audit[[#This Row],[Times p Drawn - With Replacement]]&gt;0, IF(Audit[[#This Row],[Canceled Differences]]&lt;0, Audit[[#This Row],[Max Differences]]+ABS(Audit[[#This Row],[Canceled Differences]]), Audit[[#This Row],[Max Differences]]), 0)</f>
        <v>0</v>
      </c>
      <c r="AB1204" s="111">
        <f>'Sampling Data'!P1196</f>
        <v>4.2871141597256246E-4</v>
      </c>
      <c r="AC1204" s="111">
        <f>IF(
      SUM(Audit[[#This Row],[Audit Losing Candidate]:[Audit Candidate 6]])
      &lt;&gt;0,
      (Audit[[#This Row],[Winning Candidate]]-Audit[[#This Row],[Losing Candidate]]-(Audit[[#This Row],[Audit Winning Candidate]]-Audit[[#This Row],[Audit Losing Candidate]]))/(Audit[[#Totals],[Winning Candidate]]-Audit[[#Totals],[Losing Candidate]]),
      0
)</f>
        <v>0</v>
      </c>
      <c r="AD12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4" s="111">
        <f>IF(Audit[[#This Row],[Max Relative Error (ep)]] = 0, 0, Audit[[#This Row],[Max Relative Error (ep)]]/Audit[[#This Row],[Error Bound (up) - Max. possible relative overstatement]])</f>
        <v>0</v>
      </c>
      <c r="AJ12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04" s="111">
        <f t="shared" si="18"/>
        <v>1</v>
      </c>
      <c r="AL1204" s="111">
        <f>PRODUCT($AK$5:AK1204)</f>
        <v>8.962823818226312E-2</v>
      </c>
      <c r="AM1204" s="109">
        <f>1 - [K-M P Value]</f>
        <v>0.91037176181773694</v>
      </c>
      <c r="AN1204" s="111" t="str">
        <f>IF(Audit[[#This Row],[K-M P Value]]&gt;1-'General Info'!$B$16,"Continue", "Stop")</f>
        <v>Stop</v>
      </c>
      <c r="AO1204" s="110" t="b">
        <f>IF(Audit[[#This Row],[Status - Continue or stop audit]] = "Continue", TRUE, IF(AN1203 = "Continue", TRUE, FALSE))</f>
        <v>0</v>
      </c>
      <c r="AP1204" s="110"/>
    </row>
    <row r="1205" spans="1:42" ht="15" hidden="1" customHeight="1">
      <c r="A1205" s="111" t="str">
        <f>'Sampling Data'!W1197</f>
        <v/>
      </c>
      <c r="B1205" s="112" t="str">
        <f>'Sampling Data'!A1197</f>
        <v>GARFIELD HEIGHTS -03-A</v>
      </c>
      <c r="C1205" s="112">
        <f>'Sampling Data'!B1197</f>
        <v>16</v>
      </c>
      <c r="D1205" s="112">
        <f>'Sampling Data'!C1197</f>
        <v>12</v>
      </c>
      <c r="E1205" s="113">
        <f>'Sampling Data'!D1197</f>
        <v>6</v>
      </c>
      <c r="F1205" s="113">
        <f>'Sampling Data'!E1197</f>
        <v>6</v>
      </c>
      <c r="G1205" s="113">
        <f>'Sampling Data'!F1197</f>
        <v>0</v>
      </c>
      <c r="H1205" s="113">
        <f>'Sampling Data'!G1197</f>
        <v>0</v>
      </c>
      <c r="I1205" s="112">
        <f>'Sampling Data'!H1197</f>
        <v>0</v>
      </c>
      <c r="J1205" s="112">
        <f>'Sampling Data'!I1197</f>
        <v>2</v>
      </c>
      <c r="K1205" s="112">
        <f>'Sampling Data'!J1197</f>
        <v>42</v>
      </c>
      <c r="L1205" s="111">
        <f>'Sampling Data'!X1197</f>
        <v>0</v>
      </c>
      <c r="M1205" s="114"/>
      <c r="N1205" s="114"/>
      <c r="O1205" s="115"/>
      <c r="P1205" s="115"/>
      <c r="Q1205" s="116"/>
      <c r="R1205" s="116"/>
      <c r="S1205" s="111">
        <f>Audit[[#This Row],[Audit Losing Candidate]]-Audit[[#This Row],[Losing Candidate]]</f>
        <v>-16</v>
      </c>
      <c r="T1205" s="111">
        <f>Audit[[#This Row],[Audit Winning Candidate]]-Audit[[#This Row],[Winning Candidate]]</f>
        <v>-12</v>
      </c>
      <c r="U1205" s="111">
        <f>Audit[[#This Row],[Audit Candidate 3]]-Audit[[#This Row],[Candidate 3]]</f>
        <v>-6</v>
      </c>
      <c r="V1205" s="111">
        <f>Audit[[#This Row],[Audit Candidate 4]]-Audit[[#This Row],[Candidate 4]]</f>
        <v>-6</v>
      </c>
      <c r="W1205" s="111">
        <f>Audit[[#This Row],[Audit Candidate 5]]-Audit[[#This Row],[Candidate 5]]</f>
        <v>0</v>
      </c>
      <c r="X1205" s="111">
        <f>Audit[[#This Row],[Audit Candidate 6]]-Audit[[#This Row],[Candidate 6]]</f>
        <v>0</v>
      </c>
      <c r="Y1205" s="111">
        <f>SUMIF(Audit[[#This Row],[Difference Loser]:[Difference Candidate 6]], "&gt;0")</f>
        <v>0</v>
      </c>
      <c r="Z1205" s="111">
        <f>SUM(Audit[[#This Row],[Difference Loser]:[Difference Candidate 6]])</f>
        <v>-40</v>
      </c>
      <c r="AA1205" s="111">
        <f>IF(Audit[[#This Row],[Times p Drawn - With Replacement]]&gt;0, IF(Audit[[#This Row],[Canceled Differences]]&lt;0, Audit[[#This Row],[Max Differences]]+ABS(Audit[[#This Row],[Canceled Differences]]), Audit[[#This Row],[Max Differences]]), 0)</f>
        <v>0</v>
      </c>
      <c r="AB1205" s="111">
        <f>'Sampling Data'!P1197</f>
        <v>2.3272905438510533E-3</v>
      </c>
      <c r="AC1205" s="111">
        <f>IF(
      SUM(Audit[[#This Row],[Audit Losing Candidate]:[Audit Candidate 6]])
      &lt;&gt;0,
      (Audit[[#This Row],[Winning Candidate]]-Audit[[#This Row],[Losing Candidate]]-(Audit[[#This Row],[Audit Winning Candidate]]-Audit[[#This Row],[Audit Losing Candidate]]))/(Audit[[#Totals],[Winning Candidate]]-Audit[[#Totals],[Losing Candidate]]),
      0
)</f>
        <v>0</v>
      </c>
      <c r="AD12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5" s="111">
        <f>IF(Audit[[#This Row],[Max Relative Error (ep)]] = 0, 0, Audit[[#This Row],[Max Relative Error (ep)]]/Audit[[#This Row],[Error Bound (up) - Max. possible relative overstatement]])</f>
        <v>0</v>
      </c>
      <c r="AJ12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05" s="111">
        <f t="shared" si="18"/>
        <v>1</v>
      </c>
      <c r="AL1205" s="111">
        <f>PRODUCT($AK$5:AK1205)</f>
        <v>8.962823818226312E-2</v>
      </c>
      <c r="AM1205" s="109">
        <f>1 - [K-M P Value]</f>
        <v>0.91037176181773694</v>
      </c>
      <c r="AN1205" s="111" t="str">
        <f>IF(Audit[[#This Row],[K-M P Value]]&gt;1-'General Info'!$B$16,"Continue", "Stop")</f>
        <v>Stop</v>
      </c>
      <c r="AO1205" s="110" t="b">
        <f>IF(Audit[[#This Row],[Status - Continue or stop audit]] = "Continue", TRUE, IF(AN1204 = "Continue", TRUE, FALSE))</f>
        <v>0</v>
      </c>
      <c r="AP1205" s="110"/>
    </row>
    <row r="1206" spans="1:42" ht="15" hidden="1" customHeight="1">
      <c r="A1206" s="111" t="str">
        <f>'Sampling Data'!W1198</f>
        <v/>
      </c>
      <c r="B1206" s="112" t="str">
        <f>'Sampling Data'!A1198</f>
        <v>GARFIELD HEIGHTS -03-A - ABS</v>
      </c>
      <c r="C1206" s="112">
        <f>'Sampling Data'!B1198</f>
        <v>4</v>
      </c>
      <c r="D1206" s="112">
        <f>'Sampling Data'!C1198</f>
        <v>3</v>
      </c>
      <c r="E1206" s="113">
        <f>'Sampling Data'!D1198</f>
        <v>2</v>
      </c>
      <c r="F1206" s="113">
        <f>'Sampling Data'!E1198</f>
        <v>1</v>
      </c>
      <c r="G1206" s="113">
        <f>'Sampling Data'!F1198</f>
        <v>0</v>
      </c>
      <c r="H1206" s="113">
        <f>'Sampling Data'!G1198</f>
        <v>0</v>
      </c>
      <c r="I1206" s="112">
        <f>'Sampling Data'!H1198</f>
        <v>0</v>
      </c>
      <c r="J1206" s="112">
        <f>'Sampling Data'!I1198</f>
        <v>0</v>
      </c>
      <c r="K1206" s="112">
        <f>'Sampling Data'!J1198</f>
        <v>10</v>
      </c>
      <c r="L1206" s="111">
        <f>'Sampling Data'!X1198</f>
        <v>0</v>
      </c>
      <c r="M1206" s="114"/>
      <c r="N1206" s="114"/>
      <c r="O1206" s="115"/>
      <c r="P1206" s="115"/>
      <c r="Q1206" s="116"/>
      <c r="R1206" s="116"/>
      <c r="S1206" s="111">
        <f>Audit[[#This Row],[Audit Losing Candidate]]-Audit[[#This Row],[Losing Candidate]]</f>
        <v>-4</v>
      </c>
      <c r="T1206" s="111">
        <f>Audit[[#This Row],[Audit Winning Candidate]]-Audit[[#This Row],[Winning Candidate]]</f>
        <v>-3</v>
      </c>
      <c r="U1206" s="111">
        <f>Audit[[#This Row],[Audit Candidate 3]]-Audit[[#This Row],[Candidate 3]]</f>
        <v>-2</v>
      </c>
      <c r="V1206" s="111">
        <f>Audit[[#This Row],[Audit Candidate 4]]-Audit[[#This Row],[Candidate 4]]</f>
        <v>-1</v>
      </c>
      <c r="W1206" s="111">
        <f>Audit[[#This Row],[Audit Candidate 5]]-Audit[[#This Row],[Candidate 5]]</f>
        <v>0</v>
      </c>
      <c r="X1206" s="111">
        <f>Audit[[#This Row],[Audit Candidate 6]]-Audit[[#This Row],[Candidate 6]]</f>
        <v>0</v>
      </c>
      <c r="Y1206" s="111">
        <f>SUMIF(Audit[[#This Row],[Difference Loser]:[Difference Candidate 6]], "&gt;0")</f>
        <v>0</v>
      </c>
      <c r="Z1206" s="111">
        <f>SUM(Audit[[#This Row],[Difference Loser]:[Difference Candidate 6]])</f>
        <v>-10</v>
      </c>
      <c r="AA1206" s="111">
        <f>IF(Audit[[#This Row],[Times p Drawn - With Replacement]]&gt;0, IF(Audit[[#This Row],[Canceled Differences]]&lt;0, Audit[[#This Row],[Max Differences]]+ABS(Audit[[#This Row],[Canceled Differences]]), Audit[[#This Row],[Max Differences]]), 0)</f>
        <v>0</v>
      </c>
      <c r="AB1206" s="111">
        <f>'Sampling Data'!P1198</f>
        <v>5.5120039196472322E-4</v>
      </c>
      <c r="AC1206" s="111">
        <f>IF(
      SUM(Audit[[#This Row],[Audit Losing Candidate]:[Audit Candidate 6]])
      &lt;&gt;0,
      (Audit[[#This Row],[Winning Candidate]]-Audit[[#This Row],[Losing Candidate]]-(Audit[[#This Row],[Audit Winning Candidate]]-Audit[[#This Row],[Audit Losing Candidate]]))/(Audit[[#Totals],[Winning Candidate]]-Audit[[#Totals],[Losing Candidate]]),
      0
)</f>
        <v>0</v>
      </c>
      <c r="AD12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6" s="111">
        <f>IF(Audit[[#This Row],[Max Relative Error (ep)]] = 0, 0, Audit[[#This Row],[Max Relative Error (ep)]]/Audit[[#This Row],[Error Bound (up) - Max. possible relative overstatement]])</f>
        <v>0</v>
      </c>
      <c r="AJ12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06" s="111">
        <f t="shared" si="18"/>
        <v>1</v>
      </c>
      <c r="AL1206" s="111">
        <f>PRODUCT($AK$5:AK1206)</f>
        <v>8.962823818226312E-2</v>
      </c>
      <c r="AM1206" s="109">
        <f>1 - [K-M P Value]</f>
        <v>0.91037176181773694</v>
      </c>
      <c r="AN1206" s="111" t="str">
        <f>IF(Audit[[#This Row],[K-M P Value]]&gt;1-'General Info'!$B$16,"Continue", "Stop")</f>
        <v>Stop</v>
      </c>
      <c r="AO1206" s="110" t="b">
        <f>IF(Audit[[#This Row],[Status - Continue or stop audit]] = "Continue", TRUE, IF(AN1205 = "Continue", TRUE, FALSE))</f>
        <v>0</v>
      </c>
      <c r="AP1206" s="110"/>
    </row>
    <row r="1207" spans="1:42" ht="15" hidden="1" customHeight="1">
      <c r="A1207" s="111" t="str">
        <f>'Sampling Data'!W1199</f>
        <v/>
      </c>
      <c r="B1207" s="112" t="str">
        <f>'Sampling Data'!A1199</f>
        <v>GARFIELD HEIGHTS -03-B</v>
      </c>
      <c r="C1207" s="112">
        <f>'Sampling Data'!B1199</f>
        <v>16</v>
      </c>
      <c r="D1207" s="112">
        <f>'Sampling Data'!C1199</f>
        <v>24</v>
      </c>
      <c r="E1207" s="113">
        <f>'Sampling Data'!D1199</f>
        <v>5</v>
      </c>
      <c r="F1207" s="113">
        <f>'Sampling Data'!E1199</f>
        <v>10</v>
      </c>
      <c r="G1207" s="113">
        <f>'Sampling Data'!F1199</f>
        <v>0</v>
      </c>
      <c r="H1207" s="113">
        <f>'Sampling Data'!G1199</f>
        <v>0</v>
      </c>
      <c r="I1207" s="112">
        <f>'Sampling Data'!H1199</f>
        <v>0</v>
      </c>
      <c r="J1207" s="112">
        <f>'Sampling Data'!I1199</f>
        <v>0</v>
      </c>
      <c r="K1207" s="112">
        <f>'Sampling Data'!J1199</f>
        <v>55</v>
      </c>
      <c r="L1207" s="111">
        <f>'Sampling Data'!X1199</f>
        <v>0</v>
      </c>
      <c r="M1207" s="114"/>
      <c r="N1207" s="114"/>
      <c r="O1207" s="115"/>
      <c r="P1207" s="115"/>
      <c r="Q1207" s="116"/>
      <c r="R1207" s="116"/>
      <c r="S1207" s="111">
        <f>Audit[[#This Row],[Audit Losing Candidate]]-Audit[[#This Row],[Losing Candidate]]</f>
        <v>-16</v>
      </c>
      <c r="T1207" s="111">
        <f>Audit[[#This Row],[Audit Winning Candidate]]-Audit[[#This Row],[Winning Candidate]]</f>
        <v>-24</v>
      </c>
      <c r="U1207" s="111">
        <f>Audit[[#This Row],[Audit Candidate 3]]-Audit[[#This Row],[Candidate 3]]</f>
        <v>-5</v>
      </c>
      <c r="V1207" s="111">
        <f>Audit[[#This Row],[Audit Candidate 4]]-Audit[[#This Row],[Candidate 4]]</f>
        <v>-10</v>
      </c>
      <c r="W1207" s="111">
        <f>Audit[[#This Row],[Audit Candidate 5]]-Audit[[#This Row],[Candidate 5]]</f>
        <v>0</v>
      </c>
      <c r="X1207" s="111">
        <f>Audit[[#This Row],[Audit Candidate 6]]-Audit[[#This Row],[Candidate 6]]</f>
        <v>0</v>
      </c>
      <c r="Y1207" s="111">
        <f>SUMIF(Audit[[#This Row],[Difference Loser]:[Difference Candidate 6]], "&gt;0")</f>
        <v>0</v>
      </c>
      <c r="Z1207" s="111">
        <f>SUM(Audit[[#This Row],[Difference Loser]:[Difference Candidate 6]])</f>
        <v>-55</v>
      </c>
      <c r="AA1207" s="111">
        <f>IF(Audit[[#This Row],[Times p Drawn - With Replacement]]&gt;0, IF(Audit[[#This Row],[Canceled Differences]]&lt;0, Audit[[#This Row],[Max Differences]]+ABS(Audit[[#This Row],[Canceled Differences]]), Audit[[#This Row],[Max Differences]]), 0)</f>
        <v>0</v>
      </c>
      <c r="AB1207" s="111">
        <f>'Sampling Data'!P1199</f>
        <v>3.8584027437530621E-3</v>
      </c>
      <c r="AC1207" s="111">
        <f>IF(
      SUM(Audit[[#This Row],[Audit Losing Candidate]:[Audit Candidate 6]])
      &lt;&gt;0,
      (Audit[[#This Row],[Winning Candidate]]-Audit[[#This Row],[Losing Candidate]]-(Audit[[#This Row],[Audit Winning Candidate]]-Audit[[#This Row],[Audit Losing Candidate]]))/(Audit[[#Totals],[Winning Candidate]]-Audit[[#Totals],[Losing Candidate]]),
      0
)</f>
        <v>0</v>
      </c>
      <c r="AD12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7" s="111">
        <f>IF(Audit[[#This Row],[Max Relative Error (ep)]] = 0, 0, Audit[[#This Row],[Max Relative Error (ep)]]/Audit[[#This Row],[Error Bound (up) - Max. possible relative overstatement]])</f>
        <v>0</v>
      </c>
      <c r="AJ12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07" s="111">
        <f t="shared" si="18"/>
        <v>1</v>
      </c>
      <c r="AL1207" s="111">
        <f>PRODUCT($AK$5:AK1207)</f>
        <v>8.962823818226312E-2</v>
      </c>
      <c r="AM1207" s="109">
        <f>1 - [K-M P Value]</f>
        <v>0.91037176181773694</v>
      </c>
      <c r="AN1207" s="111" t="str">
        <f>IF(Audit[[#This Row],[K-M P Value]]&gt;1-'General Info'!$B$16,"Continue", "Stop")</f>
        <v>Stop</v>
      </c>
      <c r="AO1207" s="110" t="b">
        <f>IF(Audit[[#This Row],[Status - Continue or stop audit]] = "Continue", TRUE, IF(AN1206 = "Continue", TRUE, FALSE))</f>
        <v>0</v>
      </c>
      <c r="AP1207" s="110"/>
    </row>
    <row r="1208" spans="1:42" ht="15" hidden="1" customHeight="1">
      <c r="A1208" s="111" t="str">
        <f>'Sampling Data'!W1200</f>
        <v/>
      </c>
      <c r="B1208" s="112" t="str">
        <f>'Sampling Data'!A1200</f>
        <v>GARFIELD HEIGHTS -03-B - ABS</v>
      </c>
      <c r="C1208" s="112">
        <f>'Sampling Data'!B1200</f>
        <v>8</v>
      </c>
      <c r="D1208" s="112">
        <f>'Sampling Data'!C1200</f>
        <v>5</v>
      </c>
      <c r="E1208" s="113">
        <f>'Sampling Data'!D1200</f>
        <v>0</v>
      </c>
      <c r="F1208" s="113">
        <f>'Sampling Data'!E1200</f>
        <v>0</v>
      </c>
      <c r="G1208" s="113">
        <f>'Sampling Data'!F1200</f>
        <v>0</v>
      </c>
      <c r="H1208" s="113">
        <f>'Sampling Data'!G1200</f>
        <v>1</v>
      </c>
      <c r="I1208" s="112">
        <f>'Sampling Data'!H1200</f>
        <v>0</v>
      </c>
      <c r="J1208" s="112">
        <f>'Sampling Data'!I1200</f>
        <v>0</v>
      </c>
      <c r="K1208" s="112">
        <f>'Sampling Data'!J1200</f>
        <v>14</v>
      </c>
      <c r="L1208" s="111">
        <f>'Sampling Data'!X1200</f>
        <v>0</v>
      </c>
      <c r="M1208" s="114"/>
      <c r="N1208" s="114"/>
      <c r="O1208" s="115"/>
      <c r="P1208" s="115"/>
      <c r="Q1208" s="116"/>
      <c r="R1208" s="116"/>
      <c r="S1208" s="111">
        <f>Audit[[#This Row],[Audit Losing Candidate]]-Audit[[#This Row],[Losing Candidate]]</f>
        <v>-8</v>
      </c>
      <c r="T1208" s="111">
        <f>Audit[[#This Row],[Audit Winning Candidate]]-Audit[[#This Row],[Winning Candidate]]</f>
        <v>-5</v>
      </c>
      <c r="U1208" s="111">
        <f>Audit[[#This Row],[Audit Candidate 3]]-Audit[[#This Row],[Candidate 3]]</f>
        <v>0</v>
      </c>
      <c r="V1208" s="111">
        <f>Audit[[#This Row],[Audit Candidate 4]]-Audit[[#This Row],[Candidate 4]]</f>
        <v>0</v>
      </c>
      <c r="W1208" s="111">
        <f>Audit[[#This Row],[Audit Candidate 5]]-Audit[[#This Row],[Candidate 5]]</f>
        <v>0</v>
      </c>
      <c r="X1208" s="111">
        <f>Audit[[#This Row],[Audit Candidate 6]]-Audit[[#This Row],[Candidate 6]]</f>
        <v>-1</v>
      </c>
      <c r="Y1208" s="111">
        <f>SUMIF(Audit[[#This Row],[Difference Loser]:[Difference Candidate 6]], "&gt;0")</f>
        <v>0</v>
      </c>
      <c r="Z1208" s="111">
        <f>SUM(Audit[[#This Row],[Difference Loser]:[Difference Candidate 6]])</f>
        <v>-14</v>
      </c>
      <c r="AA1208" s="111">
        <f>IF(Audit[[#This Row],[Times p Drawn - With Replacement]]&gt;0, IF(Audit[[#This Row],[Canceled Differences]]&lt;0, Audit[[#This Row],[Max Differences]]+ABS(Audit[[#This Row],[Canceled Differences]]), Audit[[#This Row],[Max Differences]]), 0)</f>
        <v>0</v>
      </c>
      <c r="AB1208" s="111">
        <f>'Sampling Data'!P1200</f>
        <v>6.7368936795688392E-4</v>
      </c>
      <c r="AC1208" s="111">
        <f>IF(
      SUM(Audit[[#This Row],[Audit Losing Candidate]:[Audit Candidate 6]])
      &lt;&gt;0,
      (Audit[[#This Row],[Winning Candidate]]-Audit[[#This Row],[Losing Candidate]]-(Audit[[#This Row],[Audit Winning Candidate]]-Audit[[#This Row],[Audit Losing Candidate]]))/(Audit[[#Totals],[Winning Candidate]]-Audit[[#Totals],[Losing Candidate]]),
      0
)</f>
        <v>0</v>
      </c>
      <c r="AD12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8" s="111">
        <f>IF(Audit[[#This Row],[Max Relative Error (ep)]] = 0, 0, Audit[[#This Row],[Max Relative Error (ep)]]/Audit[[#This Row],[Error Bound (up) - Max. possible relative overstatement]])</f>
        <v>0</v>
      </c>
      <c r="AJ12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08" s="111">
        <f t="shared" si="18"/>
        <v>1</v>
      </c>
      <c r="AL1208" s="111">
        <f>PRODUCT($AK$5:AK1208)</f>
        <v>8.962823818226312E-2</v>
      </c>
      <c r="AM1208" s="109">
        <f>1 - [K-M P Value]</f>
        <v>0.91037176181773694</v>
      </c>
      <c r="AN1208" s="111" t="str">
        <f>IF(Audit[[#This Row],[K-M P Value]]&gt;1-'General Info'!$B$16,"Continue", "Stop")</f>
        <v>Stop</v>
      </c>
      <c r="AO1208" s="110" t="b">
        <f>IF(Audit[[#This Row],[Status - Continue or stop audit]] = "Continue", TRUE, IF(AN1207 = "Continue", TRUE, FALSE))</f>
        <v>0</v>
      </c>
      <c r="AP1208" s="110"/>
    </row>
    <row r="1209" spans="1:42" ht="15" hidden="1" customHeight="1">
      <c r="A1209" s="111" t="str">
        <f>'Sampling Data'!W1201</f>
        <v/>
      </c>
      <c r="B1209" s="112" t="str">
        <f>'Sampling Data'!A1201</f>
        <v>GARFIELD HEIGHTS -03-C</v>
      </c>
      <c r="C1209" s="112">
        <f>'Sampling Data'!B1201</f>
        <v>15</v>
      </c>
      <c r="D1209" s="112">
        <f>'Sampling Data'!C1201</f>
        <v>15</v>
      </c>
      <c r="E1209" s="113">
        <f>'Sampling Data'!D1201</f>
        <v>4</v>
      </c>
      <c r="F1209" s="113">
        <f>'Sampling Data'!E1201</f>
        <v>6</v>
      </c>
      <c r="G1209" s="113">
        <f>'Sampling Data'!F1201</f>
        <v>0</v>
      </c>
      <c r="H1209" s="113">
        <f>'Sampling Data'!G1201</f>
        <v>0</v>
      </c>
      <c r="I1209" s="112">
        <f>'Sampling Data'!H1201</f>
        <v>0</v>
      </c>
      <c r="J1209" s="112">
        <f>'Sampling Data'!I1201</f>
        <v>0</v>
      </c>
      <c r="K1209" s="112">
        <f>'Sampling Data'!J1201</f>
        <v>40</v>
      </c>
      <c r="L1209" s="111">
        <f>'Sampling Data'!X1201</f>
        <v>0</v>
      </c>
      <c r="M1209" s="114"/>
      <c r="N1209" s="114"/>
      <c r="O1209" s="115"/>
      <c r="P1209" s="115"/>
      <c r="Q1209" s="116"/>
      <c r="R1209" s="116"/>
      <c r="S1209" s="111">
        <f>Audit[[#This Row],[Audit Losing Candidate]]-Audit[[#This Row],[Losing Candidate]]</f>
        <v>-15</v>
      </c>
      <c r="T1209" s="111">
        <f>Audit[[#This Row],[Audit Winning Candidate]]-Audit[[#This Row],[Winning Candidate]]</f>
        <v>-15</v>
      </c>
      <c r="U1209" s="111">
        <f>Audit[[#This Row],[Audit Candidate 3]]-Audit[[#This Row],[Candidate 3]]</f>
        <v>-4</v>
      </c>
      <c r="V1209" s="111">
        <f>Audit[[#This Row],[Audit Candidate 4]]-Audit[[#This Row],[Candidate 4]]</f>
        <v>-6</v>
      </c>
      <c r="W1209" s="111">
        <f>Audit[[#This Row],[Audit Candidate 5]]-Audit[[#This Row],[Candidate 5]]</f>
        <v>0</v>
      </c>
      <c r="X1209" s="111">
        <f>Audit[[#This Row],[Audit Candidate 6]]-Audit[[#This Row],[Candidate 6]]</f>
        <v>0</v>
      </c>
      <c r="Y1209" s="111">
        <f>SUMIF(Audit[[#This Row],[Difference Loser]:[Difference Candidate 6]], "&gt;0")</f>
        <v>0</v>
      </c>
      <c r="Z1209" s="111">
        <f>SUM(Audit[[#This Row],[Difference Loser]:[Difference Candidate 6]])</f>
        <v>-40</v>
      </c>
      <c r="AA1209" s="111">
        <f>IF(Audit[[#This Row],[Times p Drawn - With Replacement]]&gt;0, IF(Audit[[#This Row],[Canceled Differences]]&lt;0, Audit[[#This Row],[Max Differences]]+ABS(Audit[[#This Row],[Canceled Differences]]), Audit[[#This Row],[Max Differences]]), 0)</f>
        <v>0</v>
      </c>
      <c r="AB1209" s="111">
        <f>'Sampling Data'!P1201</f>
        <v>2.4497795198432141E-3</v>
      </c>
      <c r="AC1209" s="111">
        <f>IF(
      SUM(Audit[[#This Row],[Audit Losing Candidate]:[Audit Candidate 6]])
      &lt;&gt;0,
      (Audit[[#This Row],[Winning Candidate]]-Audit[[#This Row],[Losing Candidate]]-(Audit[[#This Row],[Audit Winning Candidate]]-Audit[[#This Row],[Audit Losing Candidate]]))/(Audit[[#Totals],[Winning Candidate]]-Audit[[#Totals],[Losing Candidate]]),
      0
)</f>
        <v>0</v>
      </c>
      <c r="AD12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9" s="111">
        <f>IF(Audit[[#This Row],[Max Relative Error (ep)]] = 0, 0, Audit[[#This Row],[Max Relative Error (ep)]]/Audit[[#This Row],[Error Bound (up) - Max. possible relative overstatement]])</f>
        <v>0</v>
      </c>
      <c r="AJ12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09" s="111">
        <f t="shared" si="18"/>
        <v>1</v>
      </c>
      <c r="AL1209" s="111">
        <f>PRODUCT($AK$5:AK1209)</f>
        <v>8.962823818226312E-2</v>
      </c>
      <c r="AM1209" s="109">
        <f>1 - [K-M P Value]</f>
        <v>0.91037176181773694</v>
      </c>
      <c r="AN1209" s="111" t="str">
        <f>IF(Audit[[#This Row],[K-M P Value]]&gt;1-'General Info'!$B$16,"Continue", "Stop")</f>
        <v>Stop</v>
      </c>
      <c r="AO1209" s="110" t="b">
        <f>IF(Audit[[#This Row],[Status - Continue or stop audit]] = "Continue", TRUE, IF(AN1208 = "Continue", TRUE, FALSE))</f>
        <v>0</v>
      </c>
      <c r="AP1209" s="110"/>
    </row>
    <row r="1210" spans="1:42" ht="15" hidden="1" customHeight="1">
      <c r="A1210" s="111" t="str">
        <f>'Sampling Data'!W1202</f>
        <v/>
      </c>
      <c r="B1210" s="112" t="str">
        <f>'Sampling Data'!A1202</f>
        <v>GARFIELD HEIGHTS -03-C - ABS</v>
      </c>
      <c r="C1210" s="112">
        <f>'Sampling Data'!B1202</f>
        <v>6</v>
      </c>
      <c r="D1210" s="112">
        <f>'Sampling Data'!C1202</f>
        <v>10</v>
      </c>
      <c r="E1210" s="113">
        <f>'Sampling Data'!D1202</f>
        <v>1</v>
      </c>
      <c r="F1210" s="113">
        <f>'Sampling Data'!E1202</f>
        <v>2</v>
      </c>
      <c r="G1210" s="113">
        <f>'Sampling Data'!F1202</f>
        <v>0</v>
      </c>
      <c r="H1210" s="113">
        <f>'Sampling Data'!G1202</f>
        <v>0</v>
      </c>
      <c r="I1210" s="112">
        <f>'Sampling Data'!H1202</f>
        <v>0</v>
      </c>
      <c r="J1210" s="112">
        <f>'Sampling Data'!I1202</f>
        <v>1</v>
      </c>
      <c r="K1210" s="112">
        <f>'Sampling Data'!J1202</f>
        <v>20</v>
      </c>
      <c r="L1210" s="111">
        <f>'Sampling Data'!X1202</f>
        <v>0</v>
      </c>
      <c r="M1210" s="114"/>
      <c r="N1210" s="114"/>
      <c r="O1210" s="115"/>
      <c r="P1210" s="115"/>
      <c r="Q1210" s="116"/>
      <c r="R1210" s="116"/>
      <c r="S1210" s="111">
        <f>Audit[[#This Row],[Audit Losing Candidate]]-Audit[[#This Row],[Losing Candidate]]</f>
        <v>-6</v>
      </c>
      <c r="T1210" s="111">
        <f>Audit[[#This Row],[Audit Winning Candidate]]-Audit[[#This Row],[Winning Candidate]]</f>
        <v>-10</v>
      </c>
      <c r="U1210" s="111">
        <f>Audit[[#This Row],[Audit Candidate 3]]-Audit[[#This Row],[Candidate 3]]</f>
        <v>-1</v>
      </c>
      <c r="V1210" s="111">
        <f>Audit[[#This Row],[Audit Candidate 4]]-Audit[[#This Row],[Candidate 4]]</f>
        <v>-2</v>
      </c>
      <c r="W1210" s="111">
        <f>Audit[[#This Row],[Audit Candidate 5]]-Audit[[#This Row],[Candidate 5]]</f>
        <v>0</v>
      </c>
      <c r="X1210" s="111">
        <f>Audit[[#This Row],[Audit Candidate 6]]-Audit[[#This Row],[Candidate 6]]</f>
        <v>0</v>
      </c>
      <c r="Y1210" s="111">
        <f>SUMIF(Audit[[#This Row],[Difference Loser]:[Difference Candidate 6]], "&gt;0")</f>
        <v>0</v>
      </c>
      <c r="Z1210" s="111">
        <f>SUM(Audit[[#This Row],[Difference Loser]:[Difference Candidate 6]])</f>
        <v>-19</v>
      </c>
      <c r="AA1210" s="111">
        <f>IF(Audit[[#This Row],[Times p Drawn - With Replacement]]&gt;0, IF(Audit[[#This Row],[Canceled Differences]]&lt;0, Audit[[#This Row],[Max Differences]]+ABS(Audit[[#This Row],[Canceled Differences]]), Audit[[#This Row],[Max Differences]]), 0)</f>
        <v>0</v>
      </c>
      <c r="AB1210" s="111">
        <f>'Sampling Data'!P1202</f>
        <v>1.4698677119059284E-3</v>
      </c>
      <c r="AC1210" s="111">
        <f>IF(
      SUM(Audit[[#This Row],[Audit Losing Candidate]:[Audit Candidate 6]])
      &lt;&gt;0,
      (Audit[[#This Row],[Winning Candidate]]-Audit[[#This Row],[Losing Candidate]]-(Audit[[#This Row],[Audit Winning Candidate]]-Audit[[#This Row],[Audit Losing Candidate]]))/(Audit[[#Totals],[Winning Candidate]]-Audit[[#Totals],[Losing Candidate]]),
      0
)</f>
        <v>0</v>
      </c>
      <c r="AD12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0" s="111">
        <f>IF(Audit[[#This Row],[Max Relative Error (ep)]] = 0, 0, Audit[[#This Row],[Max Relative Error (ep)]]/Audit[[#This Row],[Error Bound (up) - Max. possible relative overstatement]])</f>
        <v>0</v>
      </c>
      <c r="AJ12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10" s="111">
        <f t="shared" si="18"/>
        <v>1</v>
      </c>
      <c r="AL1210" s="111">
        <f>PRODUCT($AK$5:AK1210)</f>
        <v>8.962823818226312E-2</v>
      </c>
      <c r="AM1210" s="109">
        <f>1 - [K-M P Value]</f>
        <v>0.91037176181773694</v>
      </c>
      <c r="AN1210" s="111" t="str">
        <f>IF(Audit[[#This Row],[K-M P Value]]&gt;1-'General Info'!$B$16,"Continue", "Stop")</f>
        <v>Stop</v>
      </c>
      <c r="AO1210" s="110" t="b">
        <f>IF(Audit[[#This Row],[Status - Continue or stop audit]] = "Continue", TRUE, IF(AN1209 = "Continue", TRUE, FALSE))</f>
        <v>0</v>
      </c>
      <c r="AP1210" s="110"/>
    </row>
    <row r="1211" spans="1:42" ht="15" hidden="1" customHeight="1">
      <c r="A1211" s="111" t="str">
        <f>'Sampling Data'!W1203</f>
        <v/>
      </c>
      <c r="B1211" s="112" t="str">
        <f>'Sampling Data'!A1203</f>
        <v>GARFIELD HEIGHTS -04-A</v>
      </c>
      <c r="C1211" s="112">
        <f>'Sampling Data'!B1203</f>
        <v>15</v>
      </c>
      <c r="D1211" s="112">
        <f>'Sampling Data'!C1203</f>
        <v>13</v>
      </c>
      <c r="E1211" s="113">
        <f>'Sampling Data'!D1203</f>
        <v>7</v>
      </c>
      <c r="F1211" s="113">
        <f>'Sampling Data'!E1203</f>
        <v>7</v>
      </c>
      <c r="G1211" s="113">
        <f>'Sampling Data'!F1203</f>
        <v>0</v>
      </c>
      <c r="H1211" s="113">
        <f>'Sampling Data'!G1203</f>
        <v>0</v>
      </c>
      <c r="I1211" s="112">
        <f>'Sampling Data'!H1203</f>
        <v>0</v>
      </c>
      <c r="J1211" s="112">
        <f>'Sampling Data'!I1203</f>
        <v>2</v>
      </c>
      <c r="K1211" s="112">
        <f>'Sampling Data'!J1203</f>
        <v>44</v>
      </c>
      <c r="L1211" s="111">
        <f>'Sampling Data'!X1203</f>
        <v>0</v>
      </c>
      <c r="M1211" s="114"/>
      <c r="N1211" s="114"/>
      <c r="O1211" s="115"/>
      <c r="P1211" s="115"/>
      <c r="Q1211" s="116"/>
      <c r="R1211" s="116"/>
      <c r="S1211" s="111">
        <f>Audit[[#This Row],[Audit Losing Candidate]]-Audit[[#This Row],[Losing Candidate]]</f>
        <v>-15</v>
      </c>
      <c r="T1211" s="111">
        <f>Audit[[#This Row],[Audit Winning Candidate]]-Audit[[#This Row],[Winning Candidate]]</f>
        <v>-13</v>
      </c>
      <c r="U1211" s="111">
        <f>Audit[[#This Row],[Audit Candidate 3]]-Audit[[#This Row],[Candidate 3]]</f>
        <v>-7</v>
      </c>
      <c r="V1211" s="111">
        <f>Audit[[#This Row],[Audit Candidate 4]]-Audit[[#This Row],[Candidate 4]]</f>
        <v>-7</v>
      </c>
      <c r="W1211" s="111">
        <f>Audit[[#This Row],[Audit Candidate 5]]-Audit[[#This Row],[Candidate 5]]</f>
        <v>0</v>
      </c>
      <c r="X1211" s="111">
        <f>Audit[[#This Row],[Audit Candidate 6]]-Audit[[#This Row],[Candidate 6]]</f>
        <v>0</v>
      </c>
      <c r="Y1211" s="111">
        <f>SUMIF(Audit[[#This Row],[Difference Loser]:[Difference Candidate 6]], "&gt;0")</f>
        <v>0</v>
      </c>
      <c r="Z1211" s="111">
        <f>SUM(Audit[[#This Row],[Difference Loser]:[Difference Candidate 6]])</f>
        <v>-42</v>
      </c>
      <c r="AA1211" s="111">
        <f>IF(Audit[[#This Row],[Times p Drawn - With Replacement]]&gt;0, IF(Audit[[#This Row],[Canceled Differences]]&lt;0, Audit[[#This Row],[Max Differences]]+ABS(Audit[[#This Row],[Canceled Differences]]), Audit[[#This Row],[Max Differences]]), 0)</f>
        <v>0</v>
      </c>
      <c r="AB1211" s="111">
        <f>'Sampling Data'!P1203</f>
        <v>2.5722684958353749E-3</v>
      </c>
      <c r="AC1211" s="111">
        <f>IF(
      SUM(Audit[[#This Row],[Audit Losing Candidate]:[Audit Candidate 6]])
      &lt;&gt;0,
      (Audit[[#This Row],[Winning Candidate]]-Audit[[#This Row],[Losing Candidate]]-(Audit[[#This Row],[Audit Winning Candidate]]-Audit[[#This Row],[Audit Losing Candidate]]))/(Audit[[#Totals],[Winning Candidate]]-Audit[[#Totals],[Losing Candidate]]),
      0
)</f>
        <v>0</v>
      </c>
      <c r="AD12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1" s="111">
        <f>IF(Audit[[#This Row],[Max Relative Error (ep)]] = 0, 0, Audit[[#This Row],[Max Relative Error (ep)]]/Audit[[#This Row],[Error Bound (up) - Max. possible relative overstatement]])</f>
        <v>0</v>
      </c>
      <c r="AJ12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11" s="111">
        <f t="shared" si="18"/>
        <v>1</v>
      </c>
      <c r="AL1211" s="111">
        <f>PRODUCT($AK$5:AK1211)</f>
        <v>8.962823818226312E-2</v>
      </c>
      <c r="AM1211" s="109">
        <f>1 - [K-M P Value]</f>
        <v>0.91037176181773694</v>
      </c>
      <c r="AN1211" s="111" t="str">
        <f>IF(Audit[[#This Row],[K-M P Value]]&gt;1-'General Info'!$B$16,"Continue", "Stop")</f>
        <v>Stop</v>
      </c>
      <c r="AO1211" s="110" t="b">
        <f>IF(Audit[[#This Row],[Status - Continue or stop audit]] = "Continue", TRUE, IF(AN1210 = "Continue", TRUE, FALSE))</f>
        <v>0</v>
      </c>
      <c r="AP1211" s="110"/>
    </row>
    <row r="1212" spans="1:42" ht="15" hidden="1" customHeight="1">
      <c r="A1212" s="111" t="str">
        <f>'Sampling Data'!W1204</f>
        <v/>
      </c>
      <c r="B1212" s="112" t="str">
        <f>'Sampling Data'!A1204</f>
        <v>GARFIELD HEIGHTS -04-A - ABS</v>
      </c>
      <c r="C1212" s="112">
        <f>'Sampling Data'!B1204</f>
        <v>5</v>
      </c>
      <c r="D1212" s="112">
        <f>'Sampling Data'!C1204</f>
        <v>6</v>
      </c>
      <c r="E1212" s="113">
        <f>'Sampling Data'!D1204</f>
        <v>3</v>
      </c>
      <c r="F1212" s="113">
        <f>'Sampling Data'!E1204</f>
        <v>1</v>
      </c>
      <c r="G1212" s="113">
        <f>'Sampling Data'!F1204</f>
        <v>0</v>
      </c>
      <c r="H1212" s="113">
        <f>'Sampling Data'!G1204</f>
        <v>0</v>
      </c>
      <c r="I1212" s="112">
        <f>'Sampling Data'!H1204</f>
        <v>0</v>
      </c>
      <c r="J1212" s="112">
        <f>'Sampling Data'!I1204</f>
        <v>1</v>
      </c>
      <c r="K1212" s="112">
        <f>'Sampling Data'!J1204</f>
        <v>16</v>
      </c>
      <c r="L1212" s="111">
        <f>'Sampling Data'!X1204</f>
        <v>0</v>
      </c>
      <c r="M1212" s="114"/>
      <c r="N1212" s="114"/>
      <c r="O1212" s="115"/>
      <c r="P1212" s="115"/>
      <c r="Q1212" s="116"/>
      <c r="R1212" s="116"/>
      <c r="S1212" s="111">
        <f>Audit[[#This Row],[Audit Losing Candidate]]-Audit[[#This Row],[Losing Candidate]]</f>
        <v>-5</v>
      </c>
      <c r="T1212" s="111">
        <f>Audit[[#This Row],[Audit Winning Candidate]]-Audit[[#This Row],[Winning Candidate]]</f>
        <v>-6</v>
      </c>
      <c r="U1212" s="111">
        <f>Audit[[#This Row],[Audit Candidate 3]]-Audit[[#This Row],[Candidate 3]]</f>
        <v>-3</v>
      </c>
      <c r="V1212" s="111">
        <f>Audit[[#This Row],[Audit Candidate 4]]-Audit[[#This Row],[Candidate 4]]</f>
        <v>-1</v>
      </c>
      <c r="W1212" s="111">
        <f>Audit[[#This Row],[Audit Candidate 5]]-Audit[[#This Row],[Candidate 5]]</f>
        <v>0</v>
      </c>
      <c r="X1212" s="111">
        <f>Audit[[#This Row],[Audit Candidate 6]]-Audit[[#This Row],[Candidate 6]]</f>
        <v>0</v>
      </c>
      <c r="Y1212" s="111">
        <f>SUMIF(Audit[[#This Row],[Difference Loser]:[Difference Candidate 6]], "&gt;0")</f>
        <v>0</v>
      </c>
      <c r="Z1212" s="111">
        <f>SUM(Audit[[#This Row],[Difference Loser]:[Difference Candidate 6]])</f>
        <v>-15</v>
      </c>
      <c r="AA1212" s="111">
        <f>IF(Audit[[#This Row],[Times p Drawn - With Replacement]]&gt;0, IF(Audit[[#This Row],[Canceled Differences]]&lt;0, Audit[[#This Row],[Max Differences]]+ABS(Audit[[#This Row],[Canceled Differences]]), Audit[[#This Row],[Max Differences]]), 0)</f>
        <v>0</v>
      </c>
      <c r="AB1212" s="111">
        <f>'Sampling Data'!P1204</f>
        <v>1.041156295933366E-3</v>
      </c>
      <c r="AC1212" s="111">
        <f>IF(
      SUM(Audit[[#This Row],[Audit Losing Candidate]:[Audit Candidate 6]])
      &lt;&gt;0,
      (Audit[[#This Row],[Winning Candidate]]-Audit[[#This Row],[Losing Candidate]]-(Audit[[#This Row],[Audit Winning Candidate]]-Audit[[#This Row],[Audit Losing Candidate]]))/(Audit[[#Totals],[Winning Candidate]]-Audit[[#Totals],[Losing Candidate]]),
      0
)</f>
        <v>0</v>
      </c>
      <c r="AD12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2" s="111">
        <f>IF(Audit[[#This Row],[Max Relative Error (ep)]] = 0, 0, Audit[[#This Row],[Max Relative Error (ep)]]/Audit[[#This Row],[Error Bound (up) - Max. possible relative overstatement]])</f>
        <v>0</v>
      </c>
      <c r="AJ12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12" s="111">
        <f t="shared" si="18"/>
        <v>1</v>
      </c>
      <c r="AL1212" s="111">
        <f>PRODUCT($AK$5:AK1212)</f>
        <v>8.962823818226312E-2</v>
      </c>
      <c r="AM1212" s="109">
        <f>1 - [K-M P Value]</f>
        <v>0.91037176181773694</v>
      </c>
      <c r="AN1212" s="111" t="str">
        <f>IF(Audit[[#This Row],[K-M P Value]]&gt;1-'General Info'!$B$16,"Continue", "Stop")</f>
        <v>Stop</v>
      </c>
      <c r="AO1212" s="110" t="b">
        <f>IF(Audit[[#This Row],[Status - Continue or stop audit]] = "Continue", TRUE, IF(AN1211 = "Continue", TRUE, FALSE))</f>
        <v>0</v>
      </c>
      <c r="AP1212" s="110"/>
    </row>
    <row r="1213" spans="1:42" ht="15" hidden="1" customHeight="1">
      <c r="A1213" s="111" t="str">
        <f>'Sampling Data'!W1205</f>
        <v/>
      </c>
      <c r="B1213" s="112" t="str">
        <f>'Sampling Data'!A1205</f>
        <v>GARFIELD HEIGHTS -04-B</v>
      </c>
      <c r="C1213" s="112">
        <f>'Sampling Data'!B1205</f>
        <v>21</v>
      </c>
      <c r="D1213" s="112">
        <f>'Sampling Data'!C1205</f>
        <v>20</v>
      </c>
      <c r="E1213" s="113">
        <f>'Sampling Data'!D1205</f>
        <v>9</v>
      </c>
      <c r="F1213" s="113">
        <f>'Sampling Data'!E1205</f>
        <v>11</v>
      </c>
      <c r="G1213" s="113">
        <f>'Sampling Data'!F1205</f>
        <v>0</v>
      </c>
      <c r="H1213" s="113">
        <f>'Sampling Data'!G1205</f>
        <v>0</v>
      </c>
      <c r="I1213" s="112">
        <f>'Sampling Data'!H1205</f>
        <v>0</v>
      </c>
      <c r="J1213" s="112">
        <f>'Sampling Data'!I1205</f>
        <v>0</v>
      </c>
      <c r="K1213" s="112">
        <f>'Sampling Data'!J1205</f>
        <v>61</v>
      </c>
      <c r="L1213" s="111">
        <f>'Sampling Data'!X1205</f>
        <v>0</v>
      </c>
      <c r="M1213" s="114"/>
      <c r="N1213" s="114"/>
      <c r="O1213" s="115"/>
      <c r="P1213" s="115"/>
      <c r="Q1213" s="116"/>
      <c r="R1213" s="116"/>
      <c r="S1213" s="111">
        <f>Audit[[#This Row],[Audit Losing Candidate]]-Audit[[#This Row],[Losing Candidate]]</f>
        <v>-21</v>
      </c>
      <c r="T1213" s="111">
        <f>Audit[[#This Row],[Audit Winning Candidate]]-Audit[[#This Row],[Winning Candidate]]</f>
        <v>-20</v>
      </c>
      <c r="U1213" s="111">
        <f>Audit[[#This Row],[Audit Candidate 3]]-Audit[[#This Row],[Candidate 3]]</f>
        <v>-9</v>
      </c>
      <c r="V1213" s="111">
        <f>Audit[[#This Row],[Audit Candidate 4]]-Audit[[#This Row],[Candidate 4]]</f>
        <v>-11</v>
      </c>
      <c r="W1213" s="111">
        <f>Audit[[#This Row],[Audit Candidate 5]]-Audit[[#This Row],[Candidate 5]]</f>
        <v>0</v>
      </c>
      <c r="X1213" s="111">
        <f>Audit[[#This Row],[Audit Candidate 6]]-Audit[[#This Row],[Candidate 6]]</f>
        <v>0</v>
      </c>
      <c r="Y1213" s="111">
        <f>SUMIF(Audit[[#This Row],[Difference Loser]:[Difference Candidate 6]], "&gt;0")</f>
        <v>0</v>
      </c>
      <c r="Z1213" s="111">
        <f>SUM(Audit[[#This Row],[Difference Loser]:[Difference Candidate 6]])</f>
        <v>-61</v>
      </c>
      <c r="AA1213" s="111">
        <f>IF(Audit[[#This Row],[Times p Drawn - With Replacement]]&gt;0, IF(Audit[[#This Row],[Canceled Differences]]&lt;0, Audit[[#This Row],[Max Differences]]+ABS(Audit[[#This Row],[Canceled Differences]]), Audit[[#This Row],[Max Differences]]), 0)</f>
        <v>0</v>
      </c>
      <c r="AB1213" s="111">
        <f>'Sampling Data'!P1205</f>
        <v>3.6746692797648213E-3</v>
      </c>
      <c r="AC1213" s="111">
        <f>IF(
      SUM(Audit[[#This Row],[Audit Losing Candidate]:[Audit Candidate 6]])
      &lt;&gt;0,
      (Audit[[#This Row],[Winning Candidate]]-Audit[[#This Row],[Losing Candidate]]-(Audit[[#This Row],[Audit Winning Candidate]]-Audit[[#This Row],[Audit Losing Candidate]]))/(Audit[[#Totals],[Winning Candidate]]-Audit[[#Totals],[Losing Candidate]]),
      0
)</f>
        <v>0</v>
      </c>
      <c r="AD12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3" s="111">
        <f>IF(Audit[[#This Row],[Max Relative Error (ep)]] = 0, 0, Audit[[#This Row],[Max Relative Error (ep)]]/Audit[[#This Row],[Error Bound (up) - Max. possible relative overstatement]])</f>
        <v>0</v>
      </c>
      <c r="AJ12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13" s="111">
        <f t="shared" si="18"/>
        <v>1</v>
      </c>
      <c r="AL1213" s="111">
        <f>PRODUCT($AK$5:AK1213)</f>
        <v>8.962823818226312E-2</v>
      </c>
      <c r="AM1213" s="109">
        <f>1 - [K-M P Value]</f>
        <v>0.91037176181773694</v>
      </c>
      <c r="AN1213" s="111" t="str">
        <f>IF(Audit[[#This Row],[K-M P Value]]&gt;1-'General Info'!$B$16,"Continue", "Stop")</f>
        <v>Stop</v>
      </c>
      <c r="AO1213" s="110" t="b">
        <f>IF(Audit[[#This Row],[Status - Continue or stop audit]] = "Continue", TRUE, IF(AN1212 = "Continue", TRUE, FALSE))</f>
        <v>0</v>
      </c>
      <c r="AP1213" s="110"/>
    </row>
    <row r="1214" spans="1:42" ht="15" hidden="1" customHeight="1">
      <c r="A1214" s="111" t="str">
        <f>'Sampling Data'!W1206</f>
        <v/>
      </c>
      <c r="B1214" s="112" t="str">
        <f>'Sampling Data'!A1206</f>
        <v>GARFIELD HEIGHTS -04-B - ABS</v>
      </c>
      <c r="C1214" s="112">
        <f>'Sampling Data'!B1206</f>
        <v>17</v>
      </c>
      <c r="D1214" s="112">
        <f>'Sampling Data'!C1206</f>
        <v>3</v>
      </c>
      <c r="E1214" s="113">
        <f>'Sampling Data'!D1206</f>
        <v>2</v>
      </c>
      <c r="F1214" s="113">
        <f>'Sampling Data'!E1206</f>
        <v>3</v>
      </c>
      <c r="G1214" s="113">
        <f>'Sampling Data'!F1206</f>
        <v>0</v>
      </c>
      <c r="H1214" s="113">
        <f>'Sampling Data'!G1206</f>
        <v>0</v>
      </c>
      <c r="I1214" s="112">
        <f>'Sampling Data'!H1206</f>
        <v>0</v>
      </c>
      <c r="J1214" s="112">
        <f>'Sampling Data'!I1206</f>
        <v>2</v>
      </c>
      <c r="K1214" s="112">
        <f>'Sampling Data'!J1206</f>
        <v>27</v>
      </c>
      <c r="L1214" s="111">
        <f>'Sampling Data'!X1206</f>
        <v>0</v>
      </c>
      <c r="M1214" s="114"/>
      <c r="N1214" s="114"/>
      <c r="O1214" s="115"/>
      <c r="P1214" s="115"/>
      <c r="Q1214" s="116"/>
      <c r="R1214" s="116"/>
      <c r="S1214" s="111">
        <f>Audit[[#This Row],[Audit Losing Candidate]]-Audit[[#This Row],[Losing Candidate]]</f>
        <v>-17</v>
      </c>
      <c r="T1214" s="111">
        <f>Audit[[#This Row],[Audit Winning Candidate]]-Audit[[#This Row],[Winning Candidate]]</f>
        <v>-3</v>
      </c>
      <c r="U1214" s="111">
        <f>Audit[[#This Row],[Audit Candidate 3]]-Audit[[#This Row],[Candidate 3]]</f>
        <v>-2</v>
      </c>
      <c r="V1214" s="111">
        <f>Audit[[#This Row],[Audit Candidate 4]]-Audit[[#This Row],[Candidate 4]]</f>
        <v>-3</v>
      </c>
      <c r="W1214" s="111">
        <f>Audit[[#This Row],[Audit Candidate 5]]-Audit[[#This Row],[Candidate 5]]</f>
        <v>0</v>
      </c>
      <c r="X1214" s="111">
        <f>Audit[[#This Row],[Audit Candidate 6]]-Audit[[#This Row],[Candidate 6]]</f>
        <v>0</v>
      </c>
      <c r="Y1214" s="111">
        <f>SUMIF(Audit[[#This Row],[Difference Loser]:[Difference Candidate 6]], "&gt;0")</f>
        <v>0</v>
      </c>
      <c r="Z1214" s="111">
        <f>SUM(Audit[[#This Row],[Difference Loser]:[Difference Candidate 6]])</f>
        <v>-25</v>
      </c>
      <c r="AA1214" s="111">
        <f>IF(Audit[[#This Row],[Times p Drawn - With Replacement]]&gt;0, IF(Audit[[#This Row],[Canceled Differences]]&lt;0, Audit[[#This Row],[Max Differences]]+ABS(Audit[[#This Row],[Canceled Differences]]), Audit[[#This Row],[Max Differences]]), 0)</f>
        <v>0</v>
      </c>
      <c r="AB1214" s="111">
        <f>'Sampling Data'!P1206</f>
        <v>9.0331322386037359E-4</v>
      </c>
      <c r="AC1214" s="111">
        <f>IF(
      SUM(Audit[[#This Row],[Audit Losing Candidate]:[Audit Candidate 6]])
      &lt;&gt;0,
      (Audit[[#This Row],[Winning Candidate]]-Audit[[#This Row],[Losing Candidate]]-(Audit[[#This Row],[Audit Winning Candidate]]-Audit[[#This Row],[Audit Losing Candidate]]))/(Audit[[#Totals],[Winning Candidate]]-Audit[[#Totals],[Losing Candidate]]),
      0
)</f>
        <v>0</v>
      </c>
      <c r="AD12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4" s="111">
        <f>IF(Audit[[#This Row],[Max Relative Error (ep)]] = 0, 0, Audit[[#This Row],[Max Relative Error (ep)]]/Audit[[#This Row],[Error Bound (up) - Max. possible relative overstatement]])</f>
        <v>0</v>
      </c>
      <c r="AJ12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14" s="111">
        <f t="shared" si="18"/>
        <v>1</v>
      </c>
      <c r="AL1214" s="111">
        <f>PRODUCT($AK$5:AK1214)</f>
        <v>8.962823818226312E-2</v>
      </c>
      <c r="AM1214" s="109">
        <f>1 - [K-M P Value]</f>
        <v>0.91037176181773694</v>
      </c>
      <c r="AN1214" s="111" t="str">
        <f>IF(Audit[[#This Row],[K-M P Value]]&gt;1-'General Info'!$B$16,"Continue", "Stop")</f>
        <v>Stop</v>
      </c>
      <c r="AO1214" s="110" t="b">
        <f>IF(Audit[[#This Row],[Status - Continue or stop audit]] = "Continue", TRUE, IF(AN1213 = "Continue", TRUE, FALSE))</f>
        <v>0</v>
      </c>
      <c r="AP1214" s="110"/>
    </row>
    <row r="1215" spans="1:42" ht="15" hidden="1" customHeight="1">
      <c r="A1215" s="111" t="str">
        <f>'Sampling Data'!W1207</f>
        <v/>
      </c>
      <c r="B1215" s="112" t="str">
        <f>'Sampling Data'!A1207</f>
        <v>GARFIELD HEIGHTS -04-C</v>
      </c>
      <c r="C1215" s="112">
        <f>'Sampling Data'!B1207</f>
        <v>35</v>
      </c>
      <c r="D1215" s="112">
        <f>'Sampling Data'!C1207</f>
        <v>31</v>
      </c>
      <c r="E1215" s="113">
        <f>'Sampling Data'!D1207</f>
        <v>19</v>
      </c>
      <c r="F1215" s="113">
        <f>'Sampling Data'!E1207</f>
        <v>10</v>
      </c>
      <c r="G1215" s="113">
        <f>'Sampling Data'!F1207</f>
        <v>1</v>
      </c>
      <c r="H1215" s="113">
        <f>'Sampling Data'!G1207</f>
        <v>1</v>
      </c>
      <c r="I1215" s="112">
        <f>'Sampling Data'!H1207</f>
        <v>0</v>
      </c>
      <c r="J1215" s="112">
        <f>'Sampling Data'!I1207</f>
        <v>3</v>
      </c>
      <c r="K1215" s="112">
        <f>'Sampling Data'!J1207</f>
        <v>100</v>
      </c>
      <c r="L1215" s="111">
        <f>'Sampling Data'!X1207</f>
        <v>0</v>
      </c>
      <c r="M1215" s="114"/>
      <c r="N1215" s="114"/>
      <c r="O1215" s="115"/>
      <c r="P1215" s="115"/>
      <c r="Q1215" s="116"/>
      <c r="R1215" s="116"/>
      <c r="S1215" s="111">
        <f>Audit[[#This Row],[Audit Losing Candidate]]-Audit[[#This Row],[Losing Candidate]]</f>
        <v>-35</v>
      </c>
      <c r="T1215" s="111">
        <f>Audit[[#This Row],[Audit Winning Candidate]]-Audit[[#This Row],[Winning Candidate]]</f>
        <v>-31</v>
      </c>
      <c r="U1215" s="111">
        <f>Audit[[#This Row],[Audit Candidate 3]]-Audit[[#This Row],[Candidate 3]]</f>
        <v>-19</v>
      </c>
      <c r="V1215" s="111">
        <f>Audit[[#This Row],[Audit Candidate 4]]-Audit[[#This Row],[Candidate 4]]</f>
        <v>-10</v>
      </c>
      <c r="W1215" s="111">
        <f>Audit[[#This Row],[Audit Candidate 5]]-Audit[[#This Row],[Candidate 5]]</f>
        <v>-1</v>
      </c>
      <c r="X1215" s="111">
        <f>Audit[[#This Row],[Audit Candidate 6]]-Audit[[#This Row],[Candidate 6]]</f>
        <v>-1</v>
      </c>
      <c r="Y1215" s="111">
        <f>SUMIF(Audit[[#This Row],[Difference Loser]:[Difference Candidate 6]], "&gt;0")</f>
        <v>0</v>
      </c>
      <c r="Z1215" s="111">
        <f>SUM(Audit[[#This Row],[Difference Loser]:[Difference Candidate 6]])</f>
        <v>-97</v>
      </c>
      <c r="AA1215" s="111">
        <f>IF(Audit[[#This Row],[Times p Drawn - With Replacement]]&gt;0, IF(Audit[[#This Row],[Canceled Differences]]&lt;0, Audit[[#This Row],[Max Differences]]+ABS(Audit[[#This Row],[Canceled Differences]]), Audit[[#This Row],[Max Differences]]), 0)</f>
        <v>0</v>
      </c>
      <c r="AB1215" s="111">
        <f>'Sampling Data'!P1207</f>
        <v>5.8794708476237138E-3</v>
      </c>
      <c r="AC1215" s="111">
        <f>IF(
      SUM(Audit[[#This Row],[Audit Losing Candidate]:[Audit Candidate 6]])
      &lt;&gt;0,
      (Audit[[#This Row],[Winning Candidate]]-Audit[[#This Row],[Losing Candidate]]-(Audit[[#This Row],[Audit Winning Candidate]]-Audit[[#This Row],[Audit Losing Candidate]]))/(Audit[[#Totals],[Winning Candidate]]-Audit[[#Totals],[Losing Candidate]]),
      0
)</f>
        <v>0</v>
      </c>
      <c r="AD12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5" s="111">
        <f>IF(Audit[[#This Row],[Max Relative Error (ep)]] = 0, 0, Audit[[#This Row],[Max Relative Error (ep)]]/Audit[[#This Row],[Error Bound (up) - Max. possible relative overstatement]])</f>
        <v>0</v>
      </c>
      <c r="AJ12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15" s="111">
        <f t="shared" si="18"/>
        <v>1</v>
      </c>
      <c r="AL1215" s="111">
        <f>PRODUCT($AK$5:AK1215)</f>
        <v>8.962823818226312E-2</v>
      </c>
      <c r="AM1215" s="109">
        <f>1 - [K-M P Value]</f>
        <v>0.91037176181773694</v>
      </c>
      <c r="AN1215" s="111" t="str">
        <f>IF(Audit[[#This Row],[K-M P Value]]&gt;1-'General Info'!$B$16,"Continue", "Stop")</f>
        <v>Stop</v>
      </c>
      <c r="AO1215" s="110" t="b">
        <f>IF(Audit[[#This Row],[Status - Continue or stop audit]] = "Continue", TRUE, IF(AN1214 = "Continue", TRUE, FALSE))</f>
        <v>0</v>
      </c>
      <c r="AP1215" s="110"/>
    </row>
    <row r="1216" spans="1:42" ht="15" hidden="1" customHeight="1">
      <c r="A1216" s="111" t="str">
        <f>'Sampling Data'!W1208</f>
        <v/>
      </c>
      <c r="B1216" s="112" t="str">
        <f>'Sampling Data'!A1208</f>
        <v>GARFIELD HEIGHTS -04-C - ABS</v>
      </c>
      <c r="C1216" s="112">
        <f>'Sampling Data'!B1208</f>
        <v>8</v>
      </c>
      <c r="D1216" s="112">
        <f>'Sampling Data'!C1208</f>
        <v>10</v>
      </c>
      <c r="E1216" s="113">
        <f>'Sampling Data'!D1208</f>
        <v>6</v>
      </c>
      <c r="F1216" s="113">
        <f>'Sampling Data'!E1208</f>
        <v>1</v>
      </c>
      <c r="G1216" s="113">
        <f>'Sampling Data'!F1208</f>
        <v>1</v>
      </c>
      <c r="H1216" s="113">
        <f>'Sampling Data'!G1208</f>
        <v>0</v>
      </c>
      <c r="I1216" s="112">
        <f>'Sampling Data'!H1208</f>
        <v>0</v>
      </c>
      <c r="J1216" s="112">
        <f>'Sampling Data'!I1208</f>
        <v>0</v>
      </c>
      <c r="K1216" s="112">
        <f>'Sampling Data'!J1208</f>
        <v>26</v>
      </c>
      <c r="L1216" s="111">
        <f>'Sampling Data'!X1208</f>
        <v>0</v>
      </c>
      <c r="M1216" s="114"/>
      <c r="N1216" s="114"/>
      <c r="O1216" s="115"/>
      <c r="P1216" s="115"/>
      <c r="Q1216" s="116"/>
      <c r="R1216" s="116"/>
      <c r="S1216" s="111">
        <f>Audit[[#This Row],[Audit Losing Candidate]]-Audit[[#This Row],[Losing Candidate]]</f>
        <v>-8</v>
      </c>
      <c r="T1216" s="111">
        <f>Audit[[#This Row],[Audit Winning Candidate]]-Audit[[#This Row],[Winning Candidate]]</f>
        <v>-10</v>
      </c>
      <c r="U1216" s="111">
        <f>Audit[[#This Row],[Audit Candidate 3]]-Audit[[#This Row],[Candidate 3]]</f>
        <v>-6</v>
      </c>
      <c r="V1216" s="111">
        <f>Audit[[#This Row],[Audit Candidate 4]]-Audit[[#This Row],[Candidate 4]]</f>
        <v>-1</v>
      </c>
      <c r="W1216" s="111">
        <f>Audit[[#This Row],[Audit Candidate 5]]-Audit[[#This Row],[Candidate 5]]</f>
        <v>-1</v>
      </c>
      <c r="X1216" s="111">
        <f>Audit[[#This Row],[Audit Candidate 6]]-Audit[[#This Row],[Candidate 6]]</f>
        <v>0</v>
      </c>
      <c r="Y1216" s="111">
        <f>SUMIF(Audit[[#This Row],[Difference Loser]:[Difference Candidate 6]], "&gt;0")</f>
        <v>0</v>
      </c>
      <c r="Z1216" s="111">
        <f>SUM(Audit[[#This Row],[Difference Loser]:[Difference Candidate 6]])</f>
        <v>-26</v>
      </c>
      <c r="AA1216" s="111">
        <f>IF(Audit[[#This Row],[Times p Drawn - With Replacement]]&gt;0, IF(Audit[[#This Row],[Canceled Differences]]&lt;0, Audit[[#This Row],[Max Differences]]+ABS(Audit[[#This Row],[Canceled Differences]]), Audit[[#This Row],[Max Differences]]), 0)</f>
        <v>0</v>
      </c>
      <c r="AB1216" s="111">
        <f>'Sampling Data'!P1208</f>
        <v>1.7148456638902498E-3</v>
      </c>
      <c r="AC1216" s="111">
        <f>IF(
      SUM(Audit[[#This Row],[Audit Losing Candidate]:[Audit Candidate 6]])
      &lt;&gt;0,
      (Audit[[#This Row],[Winning Candidate]]-Audit[[#This Row],[Losing Candidate]]-(Audit[[#This Row],[Audit Winning Candidate]]-Audit[[#This Row],[Audit Losing Candidate]]))/(Audit[[#Totals],[Winning Candidate]]-Audit[[#Totals],[Losing Candidate]]),
      0
)</f>
        <v>0</v>
      </c>
      <c r="AD12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6" s="111">
        <f>IF(Audit[[#This Row],[Max Relative Error (ep)]] = 0, 0, Audit[[#This Row],[Max Relative Error (ep)]]/Audit[[#This Row],[Error Bound (up) - Max. possible relative overstatement]])</f>
        <v>0</v>
      </c>
      <c r="AJ12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16" s="111">
        <f t="shared" si="18"/>
        <v>1</v>
      </c>
      <c r="AL1216" s="111">
        <f>PRODUCT($AK$5:AK1216)</f>
        <v>8.962823818226312E-2</v>
      </c>
      <c r="AM1216" s="109">
        <f>1 - [K-M P Value]</f>
        <v>0.91037176181773694</v>
      </c>
      <c r="AN1216" s="111" t="str">
        <f>IF(Audit[[#This Row],[K-M P Value]]&gt;1-'General Info'!$B$16,"Continue", "Stop")</f>
        <v>Stop</v>
      </c>
      <c r="AO1216" s="110" t="b">
        <f>IF(Audit[[#This Row],[Status - Continue or stop audit]] = "Continue", TRUE, IF(AN1215 = "Continue", TRUE, FALSE))</f>
        <v>0</v>
      </c>
      <c r="AP1216" s="110"/>
    </row>
    <row r="1217" spans="1:42" ht="15" hidden="1" customHeight="1">
      <c r="A1217" s="111" t="str">
        <f>'Sampling Data'!W1209</f>
        <v/>
      </c>
      <c r="B1217" s="112" t="str">
        <f>'Sampling Data'!A1209</f>
        <v>GARFIELD HEIGHTS -05-A</v>
      </c>
      <c r="C1217" s="112">
        <f>'Sampling Data'!B1209</f>
        <v>23</v>
      </c>
      <c r="D1217" s="112">
        <f>'Sampling Data'!C1209</f>
        <v>27</v>
      </c>
      <c r="E1217" s="113">
        <f>'Sampling Data'!D1209</f>
        <v>12</v>
      </c>
      <c r="F1217" s="113">
        <f>'Sampling Data'!E1209</f>
        <v>15</v>
      </c>
      <c r="G1217" s="113">
        <f>'Sampling Data'!F1209</f>
        <v>1</v>
      </c>
      <c r="H1217" s="113">
        <f>'Sampling Data'!G1209</f>
        <v>0</v>
      </c>
      <c r="I1217" s="112">
        <f>'Sampling Data'!H1209</f>
        <v>0</v>
      </c>
      <c r="J1217" s="112">
        <f>'Sampling Data'!I1209</f>
        <v>4</v>
      </c>
      <c r="K1217" s="112">
        <f>'Sampling Data'!J1209</f>
        <v>82</v>
      </c>
      <c r="L1217" s="111">
        <f>'Sampling Data'!X1209</f>
        <v>0</v>
      </c>
      <c r="M1217" s="114"/>
      <c r="N1217" s="114"/>
      <c r="O1217" s="115"/>
      <c r="P1217" s="115"/>
      <c r="Q1217" s="116"/>
      <c r="R1217" s="116"/>
      <c r="S1217" s="111">
        <f>Audit[[#This Row],[Audit Losing Candidate]]-Audit[[#This Row],[Losing Candidate]]</f>
        <v>-23</v>
      </c>
      <c r="T1217" s="111">
        <f>Audit[[#This Row],[Audit Winning Candidate]]-Audit[[#This Row],[Winning Candidate]]</f>
        <v>-27</v>
      </c>
      <c r="U1217" s="111">
        <f>Audit[[#This Row],[Audit Candidate 3]]-Audit[[#This Row],[Candidate 3]]</f>
        <v>-12</v>
      </c>
      <c r="V1217" s="111">
        <f>Audit[[#This Row],[Audit Candidate 4]]-Audit[[#This Row],[Candidate 4]]</f>
        <v>-15</v>
      </c>
      <c r="W1217" s="111">
        <f>Audit[[#This Row],[Audit Candidate 5]]-Audit[[#This Row],[Candidate 5]]</f>
        <v>-1</v>
      </c>
      <c r="X1217" s="111">
        <f>Audit[[#This Row],[Audit Candidate 6]]-Audit[[#This Row],[Candidate 6]]</f>
        <v>0</v>
      </c>
      <c r="Y1217" s="111">
        <f>SUMIF(Audit[[#This Row],[Difference Loser]:[Difference Candidate 6]], "&gt;0")</f>
        <v>0</v>
      </c>
      <c r="Z1217" s="111">
        <f>SUM(Audit[[#This Row],[Difference Loser]:[Difference Candidate 6]])</f>
        <v>-78</v>
      </c>
      <c r="AA1217" s="111">
        <f>IF(Audit[[#This Row],[Times p Drawn - With Replacement]]&gt;0, IF(Audit[[#This Row],[Canceled Differences]]&lt;0, Audit[[#This Row],[Max Differences]]+ABS(Audit[[#This Row],[Canceled Differences]]), Audit[[#This Row],[Max Differences]]), 0)</f>
        <v>0</v>
      </c>
      <c r="AB1217" s="111">
        <f>'Sampling Data'!P1209</f>
        <v>5.2670259676629106E-3</v>
      </c>
      <c r="AC1217" s="111">
        <f>IF(
      SUM(Audit[[#This Row],[Audit Losing Candidate]:[Audit Candidate 6]])
      &lt;&gt;0,
      (Audit[[#This Row],[Winning Candidate]]-Audit[[#This Row],[Losing Candidate]]-(Audit[[#This Row],[Audit Winning Candidate]]-Audit[[#This Row],[Audit Losing Candidate]]))/(Audit[[#Totals],[Winning Candidate]]-Audit[[#Totals],[Losing Candidate]]),
      0
)</f>
        <v>0</v>
      </c>
      <c r="AD12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7" s="111">
        <f>IF(Audit[[#This Row],[Max Relative Error (ep)]] = 0, 0, Audit[[#This Row],[Max Relative Error (ep)]]/Audit[[#This Row],[Error Bound (up) - Max. possible relative overstatement]])</f>
        <v>0</v>
      </c>
      <c r="AJ12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17" s="111">
        <f t="shared" si="18"/>
        <v>1</v>
      </c>
      <c r="AL1217" s="111">
        <f>PRODUCT($AK$5:AK1217)</f>
        <v>8.962823818226312E-2</v>
      </c>
      <c r="AM1217" s="109">
        <f>1 - [K-M P Value]</f>
        <v>0.91037176181773694</v>
      </c>
      <c r="AN1217" s="111" t="str">
        <f>IF(Audit[[#This Row],[K-M P Value]]&gt;1-'General Info'!$B$16,"Continue", "Stop")</f>
        <v>Stop</v>
      </c>
      <c r="AO1217" s="110" t="b">
        <f>IF(Audit[[#This Row],[Status - Continue or stop audit]] = "Continue", TRUE, IF(AN1216 = "Continue", TRUE, FALSE))</f>
        <v>0</v>
      </c>
      <c r="AP1217" s="110"/>
    </row>
    <row r="1218" spans="1:42" ht="15" hidden="1" customHeight="1">
      <c r="A1218" s="111" t="str">
        <f>'Sampling Data'!W1210</f>
        <v/>
      </c>
      <c r="B1218" s="112" t="str">
        <f>'Sampling Data'!A1210</f>
        <v>GARFIELD HEIGHTS -05-A - ABS</v>
      </c>
      <c r="C1218" s="112">
        <f>'Sampling Data'!B1210</f>
        <v>12</v>
      </c>
      <c r="D1218" s="112">
        <f>'Sampling Data'!C1210</f>
        <v>5</v>
      </c>
      <c r="E1218" s="113">
        <f>'Sampling Data'!D1210</f>
        <v>3</v>
      </c>
      <c r="F1218" s="113">
        <f>'Sampling Data'!E1210</f>
        <v>2</v>
      </c>
      <c r="G1218" s="113">
        <f>'Sampling Data'!F1210</f>
        <v>0</v>
      </c>
      <c r="H1218" s="113">
        <f>'Sampling Data'!G1210</f>
        <v>0</v>
      </c>
      <c r="I1218" s="112">
        <f>'Sampling Data'!H1210</f>
        <v>0</v>
      </c>
      <c r="J1218" s="112">
        <f>'Sampling Data'!I1210</f>
        <v>0</v>
      </c>
      <c r="K1218" s="112">
        <f>'Sampling Data'!J1210</f>
        <v>22</v>
      </c>
      <c r="L1218" s="111">
        <f>'Sampling Data'!X1210</f>
        <v>0</v>
      </c>
      <c r="M1218" s="114"/>
      <c r="N1218" s="114"/>
      <c r="O1218" s="115"/>
      <c r="P1218" s="115"/>
      <c r="Q1218" s="116"/>
      <c r="R1218" s="116"/>
      <c r="S1218" s="111">
        <f>Audit[[#This Row],[Audit Losing Candidate]]-Audit[[#This Row],[Losing Candidate]]</f>
        <v>-12</v>
      </c>
      <c r="T1218" s="111">
        <f>Audit[[#This Row],[Audit Winning Candidate]]-Audit[[#This Row],[Winning Candidate]]</f>
        <v>-5</v>
      </c>
      <c r="U1218" s="111">
        <f>Audit[[#This Row],[Audit Candidate 3]]-Audit[[#This Row],[Candidate 3]]</f>
        <v>-3</v>
      </c>
      <c r="V1218" s="111">
        <f>Audit[[#This Row],[Audit Candidate 4]]-Audit[[#This Row],[Candidate 4]]</f>
        <v>-2</v>
      </c>
      <c r="W1218" s="111">
        <f>Audit[[#This Row],[Audit Candidate 5]]-Audit[[#This Row],[Candidate 5]]</f>
        <v>0</v>
      </c>
      <c r="X1218" s="111">
        <f>Audit[[#This Row],[Audit Candidate 6]]-Audit[[#This Row],[Candidate 6]]</f>
        <v>0</v>
      </c>
      <c r="Y1218" s="111">
        <f>SUMIF(Audit[[#This Row],[Difference Loser]:[Difference Candidate 6]], "&gt;0")</f>
        <v>0</v>
      </c>
      <c r="Z1218" s="111">
        <f>SUM(Audit[[#This Row],[Difference Loser]:[Difference Candidate 6]])</f>
        <v>-22</v>
      </c>
      <c r="AA1218" s="111">
        <f>IF(Audit[[#This Row],[Times p Drawn - With Replacement]]&gt;0, IF(Audit[[#This Row],[Canceled Differences]]&lt;0, Audit[[#This Row],[Max Differences]]+ABS(Audit[[#This Row],[Canceled Differences]]), Audit[[#This Row],[Max Differences]]), 0)</f>
        <v>0</v>
      </c>
      <c r="AB1218" s="111">
        <f>'Sampling Data'!P1210</f>
        <v>9.1866731994120533E-4</v>
      </c>
      <c r="AC1218" s="111">
        <f>IF(
      SUM(Audit[[#This Row],[Audit Losing Candidate]:[Audit Candidate 6]])
      &lt;&gt;0,
      (Audit[[#This Row],[Winning Candidate]]-Audit[[#This Row],[Losing Candidate]]-(Audit[[#This Row],[Audit Winning Candidate]]-Audit[[#This Row],[Audit Losing Candidate]]))/(Audit[[#Totals],[Winning Candidate]]-Audit[[#Totals],[Losing Candidate]]),
      0
)</f>
        <v>0</v>
      </c>
      <c r="AD12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8" s="111">
        <f>IF(Audit[[#This Row],[Max Relative Error (ep)]] = 0, 0, Audit[[#This Row],[Max Relative Error (ep)]]/Audit[[#This Row],[Error Bound (up) - Max. possible relative overstatement]])</f>
        <v>0</v>
      </c>
      <c r="AJ12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18" s="111">
        <f t="shared" si="18"/>
        <v>1</v>
      </c>
      <c r="AL1218" s="111">
        <f>PRODUCT($AK$5:AK1218)</f>
        <v>8.962823818226312E-2</v>
      </c>
      <c r="AM1218" s="109">
        <f>1 - [K-M P Value]</f>
        <v>0.91037176181773694</v>
      </c>
      <c r="AN1218" s="111" t="str">
        <f>IF(Audit[[#This Row],[K-M P Value]]&gt;1-'General Info'!$B$16,"Continue", "Stop")</f>
        <v>Stop</v>
      </c>
      <c r="AO1218" s="110" t="b">
        <f>IF(Audit[[#This Row],[Status - Continue or stop audit]] = "Continue", TRUE, IF(AN1217 = "Continue", TRUE, FALSE))</f>
        <v>0</v>
      </c>
      <c r="AP1218" s="110"/>
    </row>
    <row r="1219" spans="1:42" ht="15" hidden="1" customHeight="1">
      <c r="A1219" s="111" t="str">
        <f>'Sampling Data'!W1211</f>
        <v/>
      </c>
      <c r="B1219" s="112" t="str">
        <f>'Sampling Data'!A1211</f>
        <v>GARFIELD HEIGHTS -05-B</v>
      </c>
      <c r="C1219" s="112">
        <f>'Sampling Data'!B1211</f>
        <v>12</v>
      </c>
      <c r="D1219" s="112">
        <f>'Sampling Data'!C1211</f>
        <v>10</v>
      </c>
      <c r="E1219" s="113">
        <f>'Sampling Data'!D1211</f>
        <v>6</v>
      </c>
      <c r="F1219" s="113">
        <f>'Sampling Data'!E1211</f>
        <v>2</v>
      </c>
      <c r="G1219" s="113">
        <f>'Sampling Data'!F1211</f>
        <v>0</v>
      </c>
      <c r="H1219" s="113">
        <f>'Sampling Data'!G1211</f>
        <v>2</v>
      </c>
      <c r="I1219" s="112">
        <f>'Sampling Data'!H1211</f>
        <v>0</v>
      </c>
      <c r="J1219" s="112">
        <f>'Sampling Data'!I1211</f>
        <v>0</v>
      </c>
      <c r="K1219" s="112">
        <f>'Sampling Data'!J1211</f>
        <v>32</v>
      </c>
      <c r="L1219" s="111">
        <f>'Sampling Data'!X1211</f>
        <v>0</v>
      </c>
      <c r="M1219" s="114"/>
      <c r="N1219" s="114"/>
      <c r="O1219" s="115"/>
      <c r="P1219" s="115"/>
      <c r="Q1219" s="116"/>
      <c r="R1219" s="116"/>
      <c r="S1219" s="111">
        <f>Audit[[#This Row],[Audit Losing Candidate]]-Audit[[#This Row],[Losing Candidate]]</f>
        <v>-12</v>
      </c>
      <c r="T1219" s="111">
        <f>Audit[[#This Row],[Audit Winning Candidate]]-Audit[[#This Row],[Winning Candidate]]</f>
        <v>-10</v>
      </c>
      <c r="U1219" s="111">
        <f>Audit[[#This Row],[Audit Candidate 3]]-Audit[[#This Row],[Candidate 3]]</f>
        <v>-6</v>
      </c>
      <c r="V1219" s="111">
        <f>Audit[[#This Row],[Audit Candidate 4]]-Audit[[#This Row],[Candidate 4]]</f>
        <v>-2</v>
      </c>
      <c r="W1219" s="111">
        <f>Audit[[#This Row],[Audit Candidate 5]]-Audit[[#This Row],[Candidate 5]]</f>
        <v>0</v>
      </c>
      <c r="X1219" s="111">
        <f>Audit[[#This Row],[Audit Candidate 6]]-Audit[[#This Row],[Candidate 6]]</f>
        <v>-2</v>
      </c>
      <c r="Y1219" s="111">
        <f>SUMIF(Audit[[#This Row],[Difference Loser]:[Difference Candidate 6]], "&gt;0")</f>
        <v>0</v>
      </c>
      <c r="Z1219" s="111">
        <f>SUM(Audit[[#This Row],[Difference Loser]:[Difference Candidate 6]])</f>
        <v>-32</v>
      </c>
      <c r="AA1219" s="111">
        <f>IF(Audit[[#This Row],[Times p Drawn - With Replacement]]&gt;0, IF(Audit[[#This Row],[Canceled Differences]]&lt;0, Audit[[#This Row],[Max Differences]]+ABS(Audit[[#This Row],[Canceled Differences]]), Audit[[#This Row],[Max Differences]]), 0)</f>
        <v>0</v>
      </c>
      <c r="AB1219" s="111">
        <f>'Sampling Data'!P1211</f>
        <v>1.8373346398824107E-3</v>
      </c>
      <c r="AC1219" s="111">
        <f>IF(
      SUM(Audit[[#This Row],[Audit Losing Candidate]:[Audit Candidate 6]])
      &lt;&gt;0,
      (Audit[[#This Row],[Winning Candidate]]-Audit[[#This Row],[Losing Candidate]]-(Audit[[#This Row],[Audit Winning Candidate]]-Audit[[#This Row],[Audit Losing Candidate]]))/(Audit[[#Totals],[Winning Candidate]]-Audit[[#Totals],[Losing Candidate]]),
      0
)</f>
        <v>0</v>
      </c>
      <c r="AD12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9" s="111">
        <f>IF(Audit[[#This Row],[Max Relative Error (ep)]] = 0, 0, Audit[[#This Row],[Max Relative Error (ep)]]/Audit[[#This Row],[Error Bound (up) - Max. possible relative overstatement]])</f>
        <v>0</v>
      </c>
      <c r="AJ12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19" s="111">
        <f t="shared" si="18"/>
        <v>1</v>
      </c>
      <c r="AL1219" s="111">
        <f>PRODUCT($AK$5:AK1219)</f>
        <v>8.962823818226312E-2</v>
      </c>
      <c r="AM1219" s="109">
        <f>1 - [K-M P Value]</f>
        <v>0.91037176181773694</v>
      </c>
      <c r="AN1219" s="111" t="str">
        <f>IF(Audit[[#This Row],[K-M P Value]]&gt;1-'General Info'!$B$16,"Continue", "Stop")</f>
        <v>Stop</v>
      </c>
      <c r="AO1219" s="110" t="b">
        <f>IF(Audit[[#This Row],[Status - Continue or stop audit]] = "Continue", TRUE, IF(AN1218 = "Continue", TRUE, FALSE))</f>
        <v>0</v>
      </c>
      <c r="AP1219" s="110"/>
    </row>
    <row r="1220" spans="1:42" ht="15" hidden="1" customHeight="1">
      <c r="A1220" s="111" t="str">
        <f>'Sampling Data'!W1212</f>
        <v/>
      </c>
      <c r="B1220" s="112" t="str">
        <f>'Sampling Data'!A1212</f>
        <v>GARFIELD HEIGHTS -05-B - ABS</v>
      </c>
      <c r="C1220" s="112">
        <f>'Sampling Data'!B1212</f>
        <v>13</v>
      </c>
      <c r="D1220" s="112">
        <f>'Sampling Data'!C1212</f>
        <v>14</v>
      </c>
      <c r="E1220" s="113">
        <f>'Sampling Data'!D1212</f>
        <v>2</v>
      </c>
      <c r="F1220" s="113">
        <f>'Sampling Data'!E1212</f>
        <v>2</v>
      </c>
      <c r="G1220" s="113">
        <f>'Sampling Data'!F1212</f>
        <v>2</v>
      </c>
      <c r="H1220" s="113">
        <f>'Sampling Data'!G1212</f>
        <v>1</v>
      </c>
      <c r="I1220" s="112">
        <f>'Sampling Data'!H1212</f>
        <v>0</v>
      </c>
      <c r="J1220" s="112">
        <f>'Sampling Data'!I1212</f>
        <v>0</v>
      </c>
      <c r="K1220" s="112">
        <f>'Sampling Data'!J1212</f>
        <v>34</v>
      </c>
      <c r="L1220" s="111">
        <f>'Sampling Data'!X1212</f>
        <v>0</v>
      </c>
      <c r="M1220" s="114"/>
      <c r="N1220" s="114"/>
      <c r="O1220" s="115"/>
      <c r="P1220" s="115"/>
      <c r="Q1220" s="116"/>
      <c r="R1220" s="116"/>
      <c r="S1220" s="111">
        <f>Audit[[#This Row],[Audit Losing Candidate]]-Audit[[#This Row],[Losing Candidate]]</f>
        <v>-13</v>
      </c>
      <c r="T1220" s="111">
        <f>Audit[[#This Row],[Audit Winning Candidate]]-Audit[[#This Row],[Winning Candidate]]</f>
        <v>-14</v>
      </c>
      <c r="U1220" s="111">
        <f>Audit[[#This Row],[Audit Candidate 3]]-Audit[[#This Row],[Candidate 3]]</f>
        <v>-2</v>
      </c>
      <c r="V1220" s="111">
        <f>Audit[[#This Row],[Audit Candidate 4]]-Audit[[#This Row],[Candidate 4]]</f>
        <v>-2</v>
      </c>
      <c r="W1220" s="111">
        <f>Audit[[#This Row],[Audit Candidate 5]]-Audit[[#This Row],[Candidate 5]]</f>
        <v>-2</v>
      </c>
      <c r="X1220" s="111">
        <f>Audit[[#This Row],[Audit Candidate 6]]-Audit[[#This Row],[Candidate 6]]</f>
        <v>-1</v>
      </c>
      <c r="Y1220" s="111">
        <f>SUMIF(Audit[[#This Row],[Difference Loser]:[Difference Candidate 6]], "&gt;0")</f>
        <v>0</v>
      </c>
      <c r="Z1220" s="111">
        <f>SUM(Audit[[#This Row],[Difference Loser]:[Difference Candidate 6]])</f>
        <v>-34</v>
      </c>
      <c r="AA1220" s="111">
        <f>IF(Audit[[#This Row],[Times p Drawn - With Replacement]]&gt;0, IF(Audit[[#This Row],[Canceled Differences]]&lt;0, Audit[[#This Row],[Max Differences]]+ABS(Audit[[#This Row],[Canceled Differences]]), Audit[[#This Row],[Max Differences]]), 0)</f>
        <v>0</v>
      </c>
      <c r="AB1220" s="111">
        <f>'Sampling Data'!P1212</f>
        <v>2.1435570798628125E-3</v>
      </c>
      <c r="AC1220" s="111">
        <f>IF(
      SUM(Audit[[#This Row],[Audit Losing Candidate]:[Audit Candidate 6]])
      &lt;&gt;0,
      (Audit[[#This Row],[Winning Candidate]]-Audit[[#This Row],[Losing Candidate]]-(Audit[[#This Row],[Audit Winning Candidate]]-Audit[[#This Row],[Audit Losing Candidate]]))/(Audit[[#Totals],[Winning Candidate]]-Audit[[#Totals],[Losing Candidate]]),
      0
)</f>
        <v>0</v>
      </c>
      <c r="AD12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0" s="111">
        <f>IF(Audit[[#This Row],[Max Relative Error (ep)]] = 0, 0, Audit[[#This Row],[Max Relative Error (ep)]]/Audit[[#This Row],[Error Bound (up) - Max. possible relative overstatement]])</f>
        <v>0</v>
      </c>
      <c r="AJ12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20" s="111">
        <f t="shared" si="18"/>
        <v>1</v>
      </c>
      <c r="AL1220" s="111">
        <f>PRODUCT($AK$5:AK1220)</f>
        <v>8.962823818226312E-2</v>
      </c>
      <c r="AM1220" s="109">
        <f>1 - [K-M P Value]</f>
        <v>0.91037176181773694</v>
      </c>
      <c r="AN1220" s="111" t="str">
        <f>IF(Audit[[#This Row],[K-M P Value]]&gt;1-'General Info'!$B$16,"Continue", "Stop")</f>
        <v>Stop</v>
      </c>
      <c r="AO1220" s="110" t="b">
        <f>IF(Audit[[#This Row],[Status - Continue or stop audit]] = "Continue", TRUE, IF(AN1219 = "Continue", TRUE, FALSE))</f>
        <v>0</v>
      </c>
      <c r="AP1220" s="110"/>
    </row>
    <row r="1221" spans="1:42" ht="15" hidden="1" customHeight="1">
      <c r="A1221" s="111" t="str">
        <f>'Sampling Data'!W1213</f>
        <v/>
      </c>
      <c r="B1221" s="112" t="str">
        <f>'Sampling Data'!A1213</f>
        <v>GARFIELD HEIGHTS -05-C</v>
      </c>
      <c r="C1221" s="112">
        <f>'Sampling Data'!B1213</f>
        <v>16</v>
      </c>
      <c r="D1221" s="112">
        <f>'Sampling Data'!C1213</f>
        <v>23</v>
      </c>
      <c r="E1221" s="113">
        <f>'Sampling Data'!D1213</f>
        <v>7</v>
      </c>
      <c r="F1221" s="113">
        <f>'Sampling Data'!E1213</f>
        <v>8</v>
      </c>
      <c r="G1221" s="113">
        <f>'Sampling Data'!F1213</f>
        <v>0</v>
      </c>
      <c r="H1221" s="113">
        <f>'Sampling Data'!G1213</f>
        <v>0</v>
      </c>
      <c r="I1221" s="112">
        <f>'Sampling Data'!H1213</f>
        <v>0</v>
      </c>
      <c r="J1221" s="112">
        <f>'Sampling Data'!I1213</f>
        <v>0</v>
      </c>
      <c r="K1221" s="112">
        <f>'Sampling Data'!J1213</f>
        <v>54</v>
      </c>
      <c r="L1221" s="111">
        <f>'Sampling Data'!X1213</f>
        <v>0</v>
      </c>
      <c r="M1221" s="114"/>
      <c r="N1221" s="114"/>
      <c r="O1221" s="115"/>
      <c r="P1221" s="115"/>
      <c r="Q1221" s="116"/>
      <c r="R1221" s="116"/>
      <c r="S1221" s="111">
        <f>Audit[[#This Row],[Audit Losing Candidate]]-Audit[[#This Row],[Losing Candidate]]</f>
        <v>-16</v>
      </c>
      <c r="T1221" s="111">
        <f>Audit[[#This Row],[Audit Winning Candidate]]-Audit[[#This Row],[Winning Candidate]]</f>
        <v>-23</v>
      </c>
      <c r="U1221" s="111">
        <f>Audit[[#This Row],[Audit Candidate 3]]-Audit[[#This Row],[Candidate 3]]</f>
        <v>-7</v>
      </c>
      <c r="V1221" s="111">
        <f>Audit[[#This Row],[Audit Candidate 4]]-Audit[[#This Row],[Candidate 4]]</f>
        <v>-8</v>
      </c>
      <c r="W1221" s="111">
        <f>Audit[[#This Row],[Audit Candidate 5]]-Audit[[#This Row],[Candidate 5]]</f>
        <v>0</v>
      </c>
      <c r="X1221" s="111">
        <f>Audit[[#This Row],[Audit Candidate 6]]-Audit[[#This Row],[Candidate 6]]</f>
        <v>0</v>
      </c>
      <c r="Y1221" s="111">
        <f>SUMIF(Audit[[#This Row],[Difference Loser]:[Difference Candidate 6]], "&gt;0")</f>
        <v>0</v>
      </c>
      <c r="Z1221" s="111">
        <f>SUM(Audit[[#This Row],[Difference Loser]:[Difference Candidate 6]])</f>
        <v>-54</v>
      </c>
      <c r="AA1221" s="111">
        <f>IF(Audit[[#This Row],[Times p Drawn - With Replacement]]&gt;0, IF(Audit[[#This Row],[Canceled Differences]]&lt;0, Audit[[#This Row],[Max Differences]]+ABS(Audit[[#This Row],[Canceled Differences]]), Audit[[#This Row],[Max Differences]]), 0)</f>
        <v>0</v>
      </c>
      <c r="AB1221" s="111">
        <f>'Sampling Data'!P1213</f>
        <v>3.7359137677609017E-3</v>
      </c>
      <c r="AC1221" s="111">
        <f>IF(
      SUM(Audit[[#This Row],[Audit Losing Candidate]:[Audit Candidate 6]])
      &lt;&gt;0,
      (Audit[[#This Row],[Winning Candidate]]-Audit[[#This Row],[Losing Candidate]]-(Audit[[#This Row],[Audit Winning Candidate]]-Audit[[#This Row],[Audit Losing Candidate]]))/(Audit[[#Totals],[Winning Candidate]]-Audit[[#Totals],[Losing Candidate]]),
      0
)</f>
        <v>0</v>
      </c>
      <c r="AD12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1" s="111">
        <f>IF(Audit[[#This Row],[Max Relative Error (ep)]] = 0, 0, Audit[[#This Row],[Max Relative Error (ep)]]/Audit[[#This Row],[Error Bound (up) - Max. possible relative overstatement]])</f>
        <v>0</v>
      </c>
      <c r="AJ12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21" s="111">
        <f t="shared" ref="AK1221:AK1284" si="19">IF(ISERR(POWER(AJ1221,L1221)), 0, POWER(AJ1221,L1221))</f>
        <v>1</v>
      </c>
      <c r="AL1221" s="111">
        <f>PRODUCT($AK$5:AK1221)</f>
        <v>8.962823818226312E-2</v>
      </c>
      <c r="AM1221" s="109">
        <f>1 - [K-M P Value]</f>
        <v>0.91037176181773694</v>
      </c>
      <c r="AN1221" s="111" t="str">
        <f>IF(Audit[[#This Row],[K-M P Value]]&gt;1-'General Info'!$B$16,"Continue", "Stop")</f>
        <v>Stop</v>
      </c>
      <c r="AO1221" s="110" t="b">
        <f>IF(Audit[[#This Row],[Status - Continue or stop audit]] = "Continue", TRUE, IF(AN1220 = "Continue", TRUE, FALSE))</f>
        <v>0</v>
      </c>
      <c r="AP1221" s="110"/>
    </row>
    <row r="1222" spans="1:42" ht="15" hidden="1" customHeight="1">
      <c r="A1222" s="111" t="str">
        <f>'Sampling Data'!W1214</f>
        <v/>
      </c>
      <c r="B1222" s="112" t="str">
        <f>'Sampling Data'!A1214</f>
        <v>GARFIELD HEIGHTS -05-C - ABS</v>
      </c>
      <c r="C1222" s="112">
        <f>'Sampling Data'!B1214</f>
        <v>13</v>
      </c>
      <c r="D1222" s="112">
        <f>'Sampling Data'!C1214</f>
        <v>5</v>
      </c>
      <c r="E1222" s="113">
        <f>'Sampling Data'!D1214</f>
        <v>3</v>
      </c>
      <c r="F1222" s="113">
        <f>'Sampling Data'!E1214</f>
        <v>5</v>
      </c>
      <c r="G1222" s="113">
        <f>'Sampling Data'!F1214</f>
        <v>0</v>
      </c>
      <c r="H1222" s="113">
        <f>'Sampling Data'!G1214</f>
        <v>0</v>
      </c>
      <c r="I1222" s="112">
        <f>'Sampling Data'!H1214</f>
        <v>0</v>
      </c>
      <c r="J1222" s="112">
        <f>'Sampling Data'!I1214</f>
        <v>2</v>
      </c>
      <c r="K1222" s="112">
        <f>'Sampling Data'!J1214</f>
        <v>28</v>
      </c>
      <c r="L1222" s="111">
        <f>'Sampling Data'!X1214</f>
        <v>0</v>
      </c>
      <c r="M1222" s="114"/>
      <c r="N1222" s="114"/>
      <c r="O1222" s="115"/>
      <c r="P1222" s="115"/>
      <c r="Q1222" s="116"/>
      <c r="R1222" s="116"/>
      <c r="S1222" s="111">
        <f>Audit[[#This Row],[Audit Losing Candidate]]-Audit[[#This Row],[Losing Candidate]]</f>
        <v>-13</v>
      </c>
      <c r="T1222" s="111">
        <f>Audit[[#This Row],[Audit Winning Candidate]]-Audit[[#This Row],[Winning Candidate]]</f>
        <v>-5</v>
      </c>
      <c r="U1222" s="111">
        <f>Audit[[#This Row],[Audit Candidate 3]]-Audit[[#This Row],[Candidate 3]]</f>
        <v>-3</v>
      </c>
      <c r="V1222" s="111">
        <f>Audit[[#This Row],[Audit Candidate 4]]-Audit[[#This Row],[Candidate 4]]</f>
        <v>-5</v>
      </c>
      <c r="W1222" s="111">
        <f>Audit[[#This Row],[Audit Candidate 5]]-Audit[[#This Row],[Candidate 5]]</f>
        <v>0</v>
      </c>
      <c r="X1222" s="111">
        <f>Audit[[#This Row],[Audit Candidate 6]]-Audit[[#This Row],[Candidate 6]]</f>
        <v>0</v>
      </c>
      <c r="Y1222" s="111">
        <f>SUMIF(Audit[[#This Row],[Difference Loser]:[Difference Candidate 6]], "&gt;0")</f>
        <v>0</v>
      </c>
      <c r="Z1222" s="111">
        <f>SUM(Audit[[#This Row],[Difference Loser]:[Difference Candidate 6]])</f>
        <v>-26</v>
      </c>
      <c r="AA1222" s="111">
        <f>IF(Audit[[#This Row],[Times p Drawn - With Replacement]]&gt;0, IF(Audit[[#This Row],[Canceled Differences]]&lt;0, Audit[[#This Row],[Max Differences]]+ABS(Audit[[#This Row],[Canceled Differences]]), Audit[[#This Row],[Max Differences]]), 0)</f>
        <v>0</v>
      </c>
      <c r="AB1222" s="111">
        <f>'Sampling Data'!P1214</f>
        <v>1.224889759921607E-3</v>
      </c>
      <c r="AC1222" s="111">
        <f>IF(
      SUM(Audit[[#This Row],[Audit Losing Candidate]:[Audit Candidate 6]])
      &lt;&gt;0,
      (Audit[[#This Row],[Winning Candidate]]-Audit[[#This Row],[Losing Candidate]]-(Audit[[#This Row],[Audit Winning Candidate]]-Audit[[#This Row],[Audit Losing Candidate]]))/(Audit[[#Totals],[Winning Candidate]]-Audit[[#Totals],[Losing Candidate]]),
      0
)</f>
        <v>0</v>
      </c>
      <c r="AD12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2" s="111">
        <f>IF(Audit[[#This Row],[Max Relative Error (ep)]] = 0, 0, Audit[[#This Row],[Max Relative Error (ep)]]/Audit[[#This Row],[Error Bound (up) - Max. possible relative overstatement]])</f>
        <v>0</v>
      </c>
      <c r="AJ12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22" s="111">
        <f t="shared" si="19"/>
        <v>1</v>
      </c>
      <c r="AL1222" s="111">
        <f>PRODUCT($AK$5:AK1222)</f>
        <v>8.962823818226312E-2</v>
      </c>
      <c r="AM1222" s="109">
        <f>1 - [K-M P Value]</f>
        <v>0.91037176181773694</v>
      </c>
      <c r="AN1222" s="111" t="str">
        <f>IF(Audit[[#This Row],[K-M P Value]]&gt;1-'General Info'!$B$16,"Continue", "Stop")</f>
        <v>Stop</v>
      </c>
      <c r="AO1222" s="110" t="b">
        <f>IF(Audit[[#This Row],[Status - Continue or stop audit]] = "Continue", TRUE, IF(AN1221 = "Continue", TRUE, FALSE))</f>
        <v>0</v>
      </c>
      <c r="AP1222" s="110"/>
    </row>
    <row r="1223" spans="1:42" ht="15" hidden="1" customHeight="1">
      <c r="A1223" s="111" t="str">
        <f>'Sampling Data'!W1215</f>
        <v/>
      </c>
      <c r="B1223" s="112" t="str">
        <f>'Sampling Data'!A1215</f>
        <v>GARFIELD HEIGHTS -06-A</v>
      </c>
      <c r="C1223" s="112">
        <f>'Sampling Data'!B1215</f>
        <v>16</v>
      </c>
      <c r="D1223" s="112">
        <f>'Sampling Data'!C1215</f>
        <v>33</v>
      </c>
      <c r="E1223" s="113">
        <f>'Sampling Data'!D1215</f>
        <v>18</v>
      </c>
      <c r="F1223" s="113">
        <f>'Sampling Data'!E1215</f>
        <v>4</v>
      </c>
      <c r="G1223" s="113">
        <f>'Sampling Data'!F1215</f>
        <v>0</v>
      </c>
      <c r="H1223" s="113">
        <f>'Sampling Data'!G1215</f>
        <v>0</v>
      </c>
      <c r="I1223" s="112">
        <f>'Sampling Data'!H1215</f>
        <v>0</v>
      </c>
      <c r="J1223" s="112">
        <f>'Sampling Data'!I1215</f>
        <v>2</v>
      </c>
      <c r="K1223" s="112">
        <f>'Sampling Data'!J1215</f>
        <v>73</v>
      </c>
      <c r="L1223" s="111">
        <f>'Sampling Data'!X1215</f>
        <v>0</v>
      </c>
      <c r="M1223" s="114"/>
      <c r="N1223" s="114"/>
      <c r="O1223" s="115"/>
      <c r="P1223" s="115"/>
      <c r="Q1223" s="116"/>
      <c r="R1223" s="116"/>
      <c r="S1223" s="111">
        <f>Audit[[#This Row],[Audit Losing Candidate]]-Audit[[#This Row],[Losing Candidate]]</f>
        <v>-16</v>
      </c>
      <c r="T1223" s="111">
        <f>Audit[[#This Row],[Audit Winning Candidate]]-Audit[[#This Row],[Winning Candidate]]</f>
        <v>-33</v>
      </c>
      <c r="U1223" s="111">
        <f>Audit[[#This Row],[Audit Candidate 3]]-Audit[[#This Row],[Candidate 3]]</f>
        <v>-18</v>
      </c>
      <c r="V1223" s="111">
        <f>Audit[[#This Row],[Audit Candidate 4]]-Audit[[#This Row],[Candidate 4]]</f>
        <v>-4</v>
      </c>
      <c r="W1223" s="111">
        <f>Audit[[#This Row],[Audit Candidate 5]]-Audit[[#This Row],[Candidate 5]]</f>
        <v>0</v>
      </c>
      <c r="X1223" s="111">
        <f>Audit[[#This Row],[Audit Candidate 6]]-Audit[[#This Row],[Candidate 6]]</f>
        <v>0</v>
      </c>
      <c r="Y1223" s="111">
        <f>SUMIF(Audit[[#This Row],[Difference Loser]:[Difference Candidate 6]], "&gt;0")</f>
        <v>0</v>
      </c>
      <c r="Z1223" s="111">
        <f>SUM(Audit[[#This Row],[Difference Loser]:[Difference Candidate 6]])</f>
        <v>-71</v>
      </c>
      <c r="AA1223" s="111">
        <f>IF(Audit[[#This Row],[Times p Drawn - With Replacement]]&gt;0, IF(Audit[[#This Row],[Canceled Differences]]&lt;0, Audit[[#This Row],[Max Differences]]+ABS(Audit[[#This Row],[Canceled Differences]]), Audit[[#This Row],[Max Differences]]), 0)</f>
        <v>0</v>
      </c>
      <c r="AB1223" s="111">
        <f>'Sampling Data'!P1215</f>
        <v>5.5120039196472313E-3</v>
      </c>
      <c r="AC1223" s="111">
        <f>IF(
      SUM(Audit[[#This Row],[Audit Losing Candidate]:[Audit Candidate 6]])
      &lt;&gt;0,
      (Audit[[#This Row],[Winning Candidate]]-Audit[[#This Row],[Losing Candidate]]-(Audit[[#This Row],[Audit Winning Candidate]]-Audit[[#This Row],[Audit Losing Candidate]]))/(Audit[[#Totals],[Winning Candidate]]-Audit[[#Totals],[Losing Candidate]]),
      0
)</f>
        <v>0</v>
      </c>
      <c r="AD12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3" s="111">
        <f>IF(Audit[[#This Row],[Max Relative Error (ep)]] = 0, 0, Audit[[#This Row],[Max Relative Error (ep)]]/Audit[[#This Row],[Error Bound (up) - Max. possible relative overstatement]])</f>
        <v>0</v>
      </c>
      <c r="AJ12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23" s="111">
        <f t="shared" si="19"/>
        <v>1</v>
      </c>
      <c r="AL1223" s="111">
        <f>PRODUCT($AK$5:AK1223)</f>
        <v>8.962823818226312E-2</v>
      </c>
      <c r="AM1223" s="109">
        <f>1 - [K-M P Value]</f>
        <v>0.91037176181773694</v>
      </c>
      <c r="AN1223" s="111" t="str">
        <f>IF(Audit[[#This Row],[K-M P Value]]&gt;1-'General Info'!$B$16,"Continue", "Stop")</f>
        <v>Stop</v>
      </c>
      <c r="AO1223" s="110" t="b">
        <f>IF(Audit[[#This Row],[Status - Continue or stop audit]] = "Continue", TRUE, IF(AN1222 = "Continue", TRUE, FALSE))</f>
        <v>0</v>
      </c>
      <c r="AP1223" s="110"/>
    </row>
    <row r="1224" spans="1:42" ht="15" hidden="1" customHeight="1">
      <c r="A1224" s="111" t="str">
        <f>'Sampling Data'!W1216</f>
        <v/>
      </c>
      <c r="B1224" s="112" t="str">
        <f>'Sampling Data'!A1216</f>
        <v>GARFIELD HEIGHTS -06-A - ABS</v>
      </c>
      <c r="C1224" s="112">
        <f>'Sampling Data'!B1216</f>
        <v>12</v>
      </c>
      <c r="D1224" s="112">
        <f>'Sampling Data'!C1216</f>
        <v>17</v>
      </c>
      <c r="E1224" s="113">
        <f>'Sampling Data'!D1216</f>
        <v>4</v>
      </c>
      <c r="F1224" s="113">
        <f>'Sampling Data'!E1216</f>
        <v>3</v>
      </c>
      <c r="G1224" s="113">
        <f>'Sampling Data'!F1216</f>
        <v>0</v>
      </c>
      <c r="H1224" s="113">
        <f>'Sampling Data'!G1216</f>
        <v>0</v>
      </c>
      <c r="I1224" s="112">
        <f>'Sampling Data'!H1216</f>
        <v>0</v>
      </c>
      <c r="J1224" s="112">
        <f>'Sampling Data'!I1216</f>
        <v>1</v>
      </c>
      <c r="K1224" s="112">
        <f>'Sampling Data'!J1216</f>
        <v>37</v>
      </c>
      <c r="L1224" s="111">
        <f>'Sampling Data'!X1216</f>
        <v>0</v>
      </c>
      <c r="M1224" s="114"/>
      <c r="N1224" s="114"/>
      <c r="O1224" s="115"/>
      <c r="P1224" s="115"/>
      <c r="Q1224" s="116"/>
      <c r="R1224" s="116"/>
      <c r="S1224" s="111">
        <f>Audit[[#This Row],[Audit Losing Candidate]]-Audit[[#This Row],[Losing Candidate]]</f>
        <v>-12</v>
      </c>
      <c r="T1224" s="111">
        <f>Audit[[#This Row],[Audit Winning Candidate]]-Audit[[#This Row],[Winning Candidate]]</f>
        <v>-17</v>
      </c>
      <c r="U1224" s="111">
        <f>Audit[[#This Row],[Audit Candidate 3]]-Audit[[#This Row],[Candidate 3]]</f>
        <v>-4</v>
      </c>
      <c r="V1224" s="111">
        <f>Audit[[#This Row],[Audit Candidate 4]]-Audit[[#This Row],[Candidate 4]]</f>
        <v>-3</v>
      </c>
      <c r="W1224" s="111">
        <f>Audit[[#This Row],[Audit Candidate 5]]-Audit[[#This Row],[Candidate 5]]</f>
        <v>0</v>
      </c>
      <c r="X1224" s="111">
        <f>Audit[[#This Row],[Audit Candidate 6]]-Audit[[#This Row],[Candidate 6]]</f>
        <v>0</v>
      </c>
      <c r="Y1224" s="111">
        <f>SUMIF(Audit[[#This Row],[Difference Loser]:[Difference Candidate 6]], "&gt;0")</f>
        <v>0</v>
      </c>
      <c r="Z1224" s="111">
        <f>SUM(Audit[[#This Row],[Difference Loser]:[Difference Candidate 6]])</f>
        <v>-36</v>
      </c>
      <c r="AA1224" s="111">
        <f>IF(Audit[[#This Row],[Times p Drawn - With Replacement]]&gt;0, IF(Audit[[#This Row],[Canceled Differences]]&lt;0, Audit[[#This Row],[Max Differences]]+ABS(Audit[[#This Row],[Canceled Differences]]), Audit[[#This Row],[Max Differences]]), 0)</f>
        <v>0</v>
      </c>
      <c r="AB1224" s="111">
        <f>'Sampling Data'!P1216</f>
        <v>2.5722684958353749E-3</v>
      </c>
      <c r="AC1224" s="111">
        <f>IF(
      SUM(Audit[[#This Row],[Audit Losing Candidate]:[Audit Candidate 6]])
      &lt;&gt;0,
      (Audit[[#This Row],[Winning Candidate]]-Audit[[#This Row],[Losing Candidate]]-(Audit[[#This Row],[Audit Winning Candidate]]-Audit[[#This Row],[Audit Losing Candidate]]))/(Audit[[#Totals],[Winning Candidate]]-Audit[[#Totals],[Losing Candidate]]),
      0
)</f>
        <v>0</v>
      </c>
      <c r="AD12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4" s="111">
        <f>IF(Audit[[#This Row],[Max Relative Error (ep)]] = 0, 0, Audit[[#This Row],[Max Relative Error (ep)]]/Audit[[#This Row],[Error Bound (up) - Max. possible relative overstatement]])</f>
        <v>0</v>
      </c>
      <c r="AJ12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24" s="111">
        <f t="shared" si="19"/>
        <v>1</v>
      </c>
      <c r="AL1224" s="111">
        <f>PRODUCT($AK$5:AK1224)</f>
        <v>8.962823818226312E-2</v>
      </c>
      <c r="AM1224" s="109">
        <f>1 - [K-M P Value]</f>
        <v>0.91037176181773694</v>
      </c>
      <c r="AN1224" s="111" t="str">
        <f>IF(Audit[[#This Row],[K-M P Value]]&gt;1-'General Info'!$B$16,"Continue", "Stop")</f>
        <v>Stop</v>
      </c>
      <c r="AO1224" s="110" t="b">
        <f>IF(Audit[[#This Row],[Status - Continue or stop audit]] = "Continue", TRUE, IF(AN1223 = "Continue", TRUE, FALSE))</f>
        <v>0</v>
      </c>
      <c r="AP1224" s="110"/>
    </row>
    <row r="1225" spans="1:42" ht="15" hidden="1" customHeight="1">
      <c r="A1225" s="111" t="str">
        <f>'Sampling Data'!W1217</f>
        <v/>
      </c>
      <c r="B1225" s="112" t="str">
        <f>'Sampling Data'!A1217</f>
        <v>GARFIELD HEIGHTS -06-B</v>
      </c>
      <c r="C1225" s="112">
        <f>'Sampling Data'!B1217</f>
        <v>26</v>
      </c>
      <c r="D1225" s="112">
        <f>'Sampling Data'!C1217</f>
        <v>28</v>
      </c>
      <c r="E1225" s="113">
        <f>'Sampling Data'!D1217</f>
        <v>12</v>
      </c>
      <c r="F1225" s="113">
        <f>'Sampling Data'!E1217</f>
        <v>10</v>
      </c>
      <c r="G1225" s="113">
        <f>'Sampling Data'!F1217</f>
        <v>0</v>
      </c>
      <c r="H1225" s="113">
        <f>'Sampling Data'!G1217</f>
        <v>1</v>
      </c>
      <c r="I1225" s="112">
        <f>'Sampling Data'!H1217</f>
        <v>0</v>
      </c>
      <c r="J1225" s="112">
        <f>'Sampling Data'!I1217</f>
        <v>1</v>
      </c>
      <c r="K1225" s="112">
        <f>'Sampling Data'!J1217</f>
        <v>78</v>
      </c>
      <c r="L1225" s="111">
        <f>'Sampling Data'!X1217</f>
        <v>0</v>
      </c>
      <c r="M1225" s="114"/>
      <c r="N1225" s="114"/>
      <c r="O1225" s="115"/>
      <c r="P1225" s="115"/>
      <c r="Q1225" s="116"/>
      <c r="R1225" s="116"/>
      <c r="S1225" s="111">
        <f>Audit[[#This Row],[Audit Losing Candidate]]-Audit[[#This Row],[Losing Candidate]]</f>
        <v>-26</v>
      </c>
      <c r="T1225" s="111">
        <f>Audit[[#This Row],[Audit Winning Candidate]]-Audit[[#This Row],[Winning Candidate]]</f>
        <v>-28</v>
      </c>
      <c r="U1225" s="111">
        <f>Audit[[#This Row],[Audit Candidate 3]]-Audit[[#This Row],[Candidate 3]]</f>
        <v>-12</v>
      </c>
      <c r="V1225" s="111">
        <f>Audit[[#This Row],[Audit Candidate 4]]-Audit[[#This Row],[Candidate 4]]</f>
        <v>-10</v>
      </c>
      <c r="W1225" s="111">
        <f>Audit[[#This Row],[Audit Candidate 5]]-Audit[[#This Row],[Candidate 5]]</f>
        <v>0</v>
      </c>
      <c r="X1225" s="111">
        <f>Audit[[#This Row],[Audit Candidate 6]]-Audit[[#This Row],[Candidate 6]]</f>
        <v>-1</v>
      </c>
      <c r="Y1225" s="111">
        <f>SUMIF(Audit[[#This Row],[Difference Loser]:[Difference Candidate 6]], "&gt;0")</f>
        <v>0</v>
      </c>
      <c r="Z1225" s="111">
        <f>SUM(Audit[[#This Row],[Difference Loser]:[Difference Candidate 6]])</f>
        <v>-77</v>
      </c>
      <c r="AA1225" s="111">
        <f>IF(Audit[[#This Row],[Times p Drawn - With Replacement]]&gt;0, IF(Audit[[#This Row],[Canceled Differences]]&lt;0, Audit[[#This Row],[Max Differences]]+ABS(Audit[[#This Row],[Canceled Differences]]), Audit[[#This Row],[Max Differences]]), 0)</f>
        <v>0</v>
      </c>
      <c r="AB1225" s="111">
        <f>'Sampling Data'!P1217</f>
        <v>4.8995590396864281E-3</v>
      </c>
      <c r="AC1225" s="111">
        <f>IF(
      SUM(Audit[[#This Row],[Audit Losing Candidate]:[Audit Candidate 6]])
      &lt;&gt;0,
      (Audit[[#This Row],[Winning Candidate]]-Audit[[#This Row],[Losing Candidate]]-(Audit[[#This Row],[Audit Winning Candidate]]-Audit[[#This Row],[Audit Losing Candidate]]))/(Audit[[#Totals],[Winning Candidate]]-Audit[[#Totals],[Losing Candidate]]),
      0
)</f>
        <v>0</v>
      </c>
      <c r="AD12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5" s="111">
        <f>IF(Audit[[#This Row],[Max Relative Error (ep)]] = 0, 0, Audit[[#This Row],[Max Relative Error (ep)]]/Audit[[#This Row],[Error Bound (up) - Max. possible relative overstatement]])</f>
        <v>0</v>
      </c>
      <c r="AJ12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25" s="111">
        <f t="shared" si="19"/>
        <v>1</v>
      </c>
      <c r="AL1225" s="111">
        <f>PRODUCT($AK$5:AK1225)</f>
        <v>8.962823818226312E-2</v>
      </c>
      <c r="AM1225" s="109">
        <f>1 - [K-M P Value]</f>
        <v>0.91037176181773694</v>
      </c>
      <c r="AN1225" s="111" t="str">
        <f>IF(Audit[[#This Row],[K-M P Value]]&gt;1-'General Info'!$B$16,"Continue", "Stop")</f>
        <v>Stop</v>
      </c>
      <c r="AO1225" s="110" t="b">
        <f>IF(Audit[[#This Row],[Status - Continue or stop audit]] = "Continue", TRUE, IF(AN1224 = "Continue", TRUE, FALSE))</f>
        <v>0</v>
      </c>
      <c r="AP1225" s="110"/>
    </row>
    <row r="1226" spans="1:42" ht="15" hidden="1" customHeight="1">
      <c r="A1226" s="111" t="str">
        <f>'Sampling Data'!W1218</f>
        <v/>
      </c>
      <c r="B1226" s="112" t="str">
        <f>'Sampling Data'!A1218</f>
        <v>GARFIELD HEIGHTS -06-B - ABS</v>
      </c>
      <c r="C1226" s="112">
        <f>'Sampling Data'!B1218</f>
        <v>9</v>
      </c>
      <c r="D1226" s="112">
        <f>'Sampling Data'!C1218</f>
        <v>12</v>
      </c>
      <c r="E1226" s="113">
        <f>'Sampling Data'!D1218</f>
        <v>0</v>
      </c>
      <c r="F1226" s="113">
        <f>'Sampling Data'!E1218</f>
        <v>2</v>
      </c>
      <c r="G1226" s="113">
        <f>'Sampling Data'!F1218</f>
        <v>0</v>
      </c>
      <c r="H1226" s="113">
        <f>'Sampling Data'!G1218</f>
        <v>1</v>
      </c>
      <c r="I1226" s="112">
        <f>'Sampling Data'!H1218</f>
        <v>0</v>
      </c>
      <c r="J1226" s="112">
        <f>'Sampling Data'!I1218</f>
        <v>0</v>
      </c>
      <c r="K1226" s="112">
        <f>'Sampling Data'!J1218</f>
        <v>24</v>
      </c>
      <c r="L1226" s="111">
        <f>'Sampling Data'!X1218</f>
        <v>0</v>
      </c>
      <c r="M1226" s="114"/>
      <c r="N1226" s="114"/>
      <c r="O1226" s="115"/>
      <c r="P1226" s="115"/>
      <c r="Q1226" s="116"/>
      <c r="R1226" s="116"/>
      <c r="S1226" s="111">
        <f>Audit[[#This Row],[Audit Losing Candidate]]-Audit[[#This Row],[Losing Candidate]]</f>
        <v>-9</v>
      </c>
      <c r="T1226" s="111">
        <f>Audit[[#This Row],[Audit Winning Candidate]]-Audit[[#This Row],[Winning Candidate]]</f>
        <v>-12</v>
      </c>
      <c r="U1226" s="111">
        <f>Audit[[#This Row],[Audit Candidate 3]]-Audit[[#This Row],[Candidate 3]]</f>
        <v>0</v>
      </c>
      <c r="V1226" s="111">
        <f>Audit[[#This Row],[Audit Candidate 4]]-Audit[[#This Row],[Candidate 4]]</f>
        <v>-2</v>
      </c>
      <c r="W1226" s="111">
        <f>Audit[[#This Row],[Audit Candidate 5]]-Audit[[#This Row],[Candidate 5]]</f>
        <v>0</v>
      </c>
      <c r="X1226" s="111">
        <f>Audit[[#This Row],[Audit Candidate 6]]-Audit[[#This Row],[Candidate 6]]</f>
        <v>-1</v>
      </c>
      <c r="Y1226" s="111">
        <f>SUMIF(Audit[[#This Row],[Difference Loser]:[Difference Candidate 6]], "&gt;0")</f>
        <v>0</v>
      </c>
      <c r="Z1226" s="111">
        <f>SUM(Audit[[#This Row],[Difference Loser]:[Difference Candidate 6]])</f>
        <v>-24</v>
      </c>
      <c r="AA1226" s="111">
        <f>IF(Audit[[#This Row],[Times p Drawn - With Replacement]]&gt;0, IF(Audit[[#This Row],[Canceled Differences]]&lt;0, Audit[[#This Row],[Max Differences]]+ABS(Audit[[#This Row],[Canceled Differences]]), Audit[[#This Row],[Max Differences]]), 0)</f>
        <v>0</v>
      </c>
      <c r="AB1226" s="111">
        <f>'Sampling Data'!P1218</f>
        <v>1.6536011758941694E-3</v>
      </c>
      <c r="AC1226" s="111">
        <f>IF(
      SUM(Audit[[#This Row],[Audit Losing Candidate]:[Audit Candidate 6]])
      &lt;&gt;0,
      (Audit[[#This Row],[Winning Candidate]]-Audit[[#This Row],[Losing Candidate]]-(Audit[[#This Row],[Audit Winning Candidate]]-Audit[[#This Row],[Audit Losing Candidate]]))/(Audit[[#Totals],[Winning Candidate]]-Audit[[#Totals],[Losing Candidate]]),
      0
)</f>
        <v>0</v>
      </c>
      <c r="AD12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6" s="111">
        <f>IF(Audit[[#This Row],[Max Relative Error (ep)]] = 0, 0, Audit[[#This Row],[Max Relative Error (ep)]]/Audit[[#This Row],[Error Bound (up) - Max. possible relative overstatement]])</f>
        <v>0</v>
      </c>
      <c r="AJ12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26" s="111">
        <f t="shared" si="19"/>
        <v>1</v>
      </c>
      <c r="AL1226" s="111">
        <f>PRODUCT($AK$5:AK1226)</f>
        <v>8.962823818226312E-2</v>
      </c>
      <c r="AM1226" s="109">
        <f>1 - [K-M P Value]</f>
        <v>0.91037176181773694</v>
      </c>
      <c r="AN1226" s="111" t="str">
        <f>IF(Audit[[#This Row],[K-M P Value]]&gt;1-'General Info'!$B$16,"Continue", "Stop")</f>
        <v>Stop</v>
      </c>
      <c r="AO1226" s="110" t="b">
        <f>IF(Audit[[#This Row],[Status - Continue or stop audit]] = "Continue", TRUE, IF(AN1225 = "Continue", TRUE, FALSE))</f>
        <v>0</v>
      </c>
      <c r="AP1226" s="110"/>
    </row>
    <row r="1227" spans="1:42" ht="15" hidden="1" customHeight="1">
      <c r="A1227" s="111" t="str">
        <f>'Sampling Data'!W1219</f>
        <v/>
      </c>
      <c r="B1227" s="112" t="str">
        <f>'Sampling Data'!A1219</f>
        <v>GARFIELD HEIGHTS -06-C</v>
      </c>
      <c r="C1227" s="112">
        <f>'Sampling Data'!B1219</f>
        <v>17</v>
      </c>
      <c r="D1227" s="112">
        <f>'Sampling Data'!C1219</f>
        <v>32</v>
      </c>
      <c r="E1227" s="113">
        <f>'Sampling Data'!D1219</f>
        <v>5</v>
      </c>
      <c r="F1227" s="113">
        <f>'Sampling Data'!E1219</f>
        <v>6</v>
      </c>
      <c r="G1227" s="113">
        <f>'Sampling Data'!F1219</f>
        <v>0</v>
      </c>
      <c r="H1227" s="113">
        <f>'Sampling Data'!G1219</f>
        <v>0</v>
      </c>
      <c r="I1227" s="112">
        <f>'Sampling Data'!H1219</f>
        <v>0</v>
      </c>
      <c r="J1227" s="112">
        <f>'Sampling Data'!I1219</f>
        <v>1</v>
      </c>
      <c r="K1227" s="112">
        <f>'Sampling Data'!J1219</f>
        <v>61</v>
      </c>
      <c r="L1227" s="111">
        <f>'Sampling Data'!X1219</f>
        <v>0</v>
      </c>
      <c r="M1227" s="114"/>
      <c r="N1227" s="114"/>
      <c r="O1227" s="115"/>
      <c r="P1227" s="115"/>
      <c r="Q1227" s="116"/>
      <c r="R1227" s="116"/>
      <c r="S1227" s="111">
        <f>Audit[[#This Row],[Audit Losing Candidate]]-Audit[[#This Row],[Losing Candidate]]</f>
        <v>-17</v>
      </c>
      <c r="T1227" s="111">
        <f>Audit[[#This Row],[Audit Winning Candidate]]-Audit[[#This Row],[Winning Candidate]]</f>
        <v>-32</v>
      </c>
      <c r="U1227" s="111">
        <f>Audit[[#This Row],[Audit Candidate 3]]-Audit[[#This Row],[Candidate 3]]</f>
        <v>-5</v>
      </c>
      <c r="V1227" s="111">
        <f>Audit[[#This Row],[Audit Candidate 4]]-Audit[[#This Row],[Candidate 4]]</f>
        <v>-6</v>
      </c>
      <c r="W1227" s="111">
        <f>Audit[[#This Row],[Audit Candidate 5]]-Audit[[#This Row],[Candidate 5]]</f>
        <v>0</v>
      </c>
      <c r="X1227" s="111">
        <f>Audit[[#This Row],[Audit Candidate 6]]-Audit[[#This Row],[Candidate 6]]</f>
        <v>0</v>
      </c>
      <c r="Y1227" s="111">
        <f>SUMIF(Audit[[#This Row],[Difference Loser]:[Difference Candidate 6]], "&gt;0")</f>
        <v>0</v>
      </c>
      <c r="Z1227" s="111">
        <f>SUM(Audit[[#This Row],[Difference Loser]:[Difference Candidate 6]])</f>
        <v>-60</v>
      </c>
      <c r="AA1227" s="111">
        <f>IF(Audit[[#This Row],[Times p Drawn - With Replacement]]&gt;0, IF(Audit[[#This Row],[Canceled Differences]]&lt;0, Audit[[#This Row],[Max Differences]]+ABS(Audit[[#This Row],[Canceled Differences]]), Audit[[#This Row],[Max Differences]]), 0)</f>
        <v>0</v>
      </c>
      <c r="AB1227" s="111">
        <f>'Sampling Data'!P1219</f>
        <v>4.6545810877021065E-3</v>
      </c>
      <c r="AC1227" s="111">
        <f>IF(
      SUM(Audit[[#This Row],[Audit Losing Candidate]:[Audit Candidate 6]])
      &lt;&gt;0,
      (Audit[[#This Row],[Winning Candidate]]-Audit[[#This Row],[Losing Candidate]]-(Audit[[#This Row],[Audit Winning Candidate]]-Audit[[#This Row],[Audit Losing Candidate]]))/(Audit[[#Totals],[Winning Candidate]]-Audit[[#Totals],[Losing Candidate]]),
      0
)</f>
        <v>0</v>
      </c>
      <c r="AD12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7" s="111">
        <f>IF(Audit[[#This Row],[Max Relative Error (ep)]] = 0, 0, Audit[[#This Row],[Max Relative Error (ep)]]/Audit[[#This Row],[Error Bound (up) - Max. possible relative overstatement]])</f>
        <v>0</v>
      </c>
      <c r="AJ12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27" s="111">
        <f t="shared" si="19"/>
        <v>1</v>
      </c>
      <c r="AL1227" s="111">
        <f>PRODUCT($AK$5:AK1227)</f>
        <v>8.962823818226312E-2</v>
      </c>
      <c r="AM1227" s="109">
        <f>1 - [K-M P Value]</f>
        <v>0.91037176181773694</v>
      </c>
      <c r="AN1227" s="111" t="str">
        <f>IF(Audit[[#This Row],[K-M P Value]]&gt;1-'General Info'!$B$16,"Continue", "Stop")</f>
        <v>Stop</v>
      </c>
      <c r="AO1227" s="110" t="b">
        <f>IF(Audit[[#This Row],[Status - Continue or stop audit]] = "Continue", TRUE, IF(AN1226 = "Continue", TRUE, FALSE))</f>
        <v>0</v>
      </c>
      <c r="AP1227" s="110"/>
    </row>
    <row r="1228" spans="1:42" ht="15" hidden="1" customHeight="1">
      <c r="A1228" s="111" t="str">
        <f>'Sampling Data'!W1220</f>
        <v/>
      </c>
      <c r="B1228" s="112" t="str">
        <f>'Sampling Data'!A1220</f>
        <v>GARFIELD HEIGHTS -06-C - ABS</v>
      </c>
      <c r="C1228" s="112">
        <f>'Sampling Data'!B1220</f>
        <v>22</v>
      </c>
      <c r="D1228" s="112">
        <f>'Sampling Data'!C1220</f>
        <v>9</v>
      </c>
      <c r="E1228" s="113">
        <f>'Sampling Data'!D1220</f>
        <v>4</v>
      </c>
      <c r="F1228" s="113">
        <f>'Sampling Data'!E1220</f>
        <v>3</v>
      </c>
      <c r="G1228" s="113">
        <f>'Sampling Data'!F1220</f>
        <v>0</v>
      </c>
      <c r="H1228" s="113">
        <f>'Sampling Data'!G1220</f>
        <v>1</v>
      </c>
      <c r="I1228" s="112">
        <f>'Sampling Data'!H1220</f>
        <v>0</v>
      </c>
      <c r="J1228" s="112">
        <f>'Sampling Data'!I1220</f>
        <v>0</v>
      </c>
      <c r="K1228" s="112">
        <f>'Sampling Data'!J1220</f>
        <v>39</v>
      </c>
      <c r="L1228" s="111">
        <f>'Sampling Data'!X1220</f>
        <v>0</v>
      </c>
      <c r="M1228" s="114"/>
      <c r="N1228" s="114"/>
      <c r="O1228" s="115"/>
      <c r="P1228" s="115"/>
      <c r="Q1228" s="116"/>
      <c r="R1228" s="116"/>
      <c r="S1228" s="111">
        <f>Audit[[#This Row],[Audit Losing Candidate]]-Audit[[#This Row],[Losing Candidate]]</f>
        <v>-22</v>
      </c>
      <c r="T1228" s="111">
        <f>Audit[[#This Row],[Audit Winning Candidate]]-Audit[[#This Row],[Winning Candidate]]</f>
        <v>-9</v>
      </c>
      <c r="U1228" s="111">
        <f>Audit[[#This Row],[Audit Candidate 3]]-Audit[[#This Row],[Candidate 3]]</f>
        <v>-4</v>
      </c>
      <c r="V1228" s="111">
        <f>Audit[[#This Row],[Audit Candidate 4]]-Audit[[#This Row],[Candidate 4]]</f>
        <v>-3</v>
      </c>
      <c r="W1228" s="111">
        <f>Audit[[#This Row],[Audit Candidate 5]]-Audit[[#This Row],[Candidate 5]]</f>
        <v>0</v>
      </c>
      <c r="X1228" s="111">
        <f>Audit[[#This Row],[Audit Candidate 6]]-Audit[[#This Row],[Candidate 6]]</f>
        <v>-1</v>
      </c>
      <c r="Y1228" s="111">
        <f>SUMIF(Audit[[#This Row],[Difference Loser]:[Difference Candidate 6]], "&gt;0")</f>
        <v>0</v>
      </c>
      <c r="Z1228" s="111">
        <f>SUM(Audit[[#This Row],[Difference Loser]:[Difference Candidate 6]])</f>
        <v>-39</v>
      </c>
      <c r="AA1228" s="111">
        <f>IF(Audit[[#This Row],[Times p Drawn - With Replacement]]&gt;0, IF(Audit[[#This Row],[Canceled Differences]]&lt;0, Audit[[#This Row],[Max Differences]]+ABS(Audit[[#This Row],[Canceled Differences]]), Audit[[#This Row],[Max Differences]]), 0)</f>
        <v>0</v>
      </c>
      <c r="AB1228" s="111">
        <f>'Sampling Data'!P1220</f>
        <v>1.5923566878980893E-3</v>
      </c>
      <c r="AC1228" s="111">
        <f>IF(
      SUM(Audit[[#This Row],[Audit Losing Candidate]:[Audit Candidate 6]])
      &lt;&gt;0,
      (Audit[[#This Row],[Winning Candidate]]-Audit[[#This Row],[Losing Candidate]]-(Audit[[#This Row],[Audit Winning Candidate]]-Audit[[#This Row],[Audit Losing Candidate]]))/(Audit[[#Totals],[Winning Candidate]]-Audit[[#Totals],[Losing Candidate]]),
      0
)</f>
        <v>0</v>
      </c>
      <c r="AD12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8" s="111">
        <f>IF(Audit[[#This Row],[Max Relative Error (ep)]] = 0, 0, Audit[[#This Row],[Max Relative Error (ep)]]/Audit[[#This Row],[Error Bound (up) - Max. possible relative overstatement]])</f>
        <v>0</v>
      </c>
      <c r="AJ12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28" s="111">
        <f t="shared" si="19"/>
        <v>1</v>
      </c>
      <c r="AL1228" s="111">
        <f>PRODUCT($AK$5:AK1228)</f>
        <v>8.962823818226312E-2</v>
      </c>
      <c r="AM1228" s="109">
        <f>1 - [K-M P Value]</f>
        <v>0.91037176181773694</v>
      </c>
      <c r="AN1228" s="111" t="str">
        <f>IF(Audit[[#This Row],[K-M P Value]]&gt;1-'General Info'!$B$16,"Continue", "Stop")</f>
        <v>Stop</v>
      </c>
      <c r="AO1228" s="110" t="b">
        <f>IF(Audit[[#This Row],[Status - Continue or stop audit]] = "Continue", TRUE, IF(AN1227 = "Continue", TRUE, FALSE))</f>
        <v>0</v>
      </c>
      <c r="AP1228" s="110"/>
    </row>
    <row r="1229" spans="1:42" ht="15" hidden="1" customHeight="1">
      <c r="A1229" s="111" t="str">
        <f>'Sampling Data'!W1221</f>
        <v/>
      </c>
      <c r="B1229" s="112" t="str">
        <f>'Sampling Data'!A1221</f>
        <v>GARFIELD HEIGHTS -07-A</v>
      </c>
      <c r="C1229" s="112">
        <f>'Sampling Data'!B1221</f>
        <v>20</v>
      </c>
      <c r="D1229" s="112">
        <f>'Sampling Data'!C1221</f>
        <v>33</v>
      </c>
      <c r="E1229" s="113">
        <f>'Sampling Data'!D1221</f>
        <v>4</v>
      </c>
      <c r="F1229" s="113">
        <f>'Sampling Data'!E1221</f>
        <v>6</v>
      </c>
      <c r="G1229" s="113">
        <f>'Sampling Data'!F1221</f>
        <v>0</v>
      </c>
      <c r="H1229" s="113">
        <f>'Sampling Data'!G1221</f>
        <v>0</v>
      </c>
      <c r="I1229" s="112">
        <f>'Sampling Data'!H1221</f>
        <v>0</v>
      </c>
      <c r="J1229" s="112">
        <f>'Sampling Data'!I1221</f>
        <v>4</v>
      </c>
      <c r="K1229" s="112">
        <f>'Sampling Data'!J1221</f>
        <v>67</v>
      </c>
      <c r="L1229" s="111">
        <f>'Sampling Data'!X1221</f>
        <v>0</v>
      </c>
      <c r="M1229" s="114"/>
      <c r="N1229" s="114"/>
      <c r="O1229" s="115"/>
      <c r="P1229" s="115"/>
      <c r="Q1229" s="116"/>
      <c r="R1229" s="116"/>
      <c r="S1229" s="111">
        <f>Audit[[#This Row],[Audit Losing Candidate]]-Audit[[#This Row],[Losing Candidate]]</f>
        <v>-20</v>
      </c>
      <c r="T1229" s="111">
        <f>Audit[[#This Row],[Audit Winning Candidate]]-Audit[[#This Row],[Winning Candidate]]</f>
        <v>-33</v>
      </c>
      <c r="U1229" s="111">
        <f>Audit[[#This Row],[Audit Candidate 3]]-Audit[[#This Row],[Candidate 3]]</f>
        <v>-4</v>
      </c>
      <c r="V1229" s="111">
        <f>Audit[[#This Row],[Audit Candidate 4]]-Audit[[#This Row],[Candidate 4]]</f>
        <v>-6</v>
      </c>
      <c r="W1229" s="111">
        <f>Audit[[#This Row],[Audit Candidate 5]]-Audit[[#This Row],[Candidate 5]]</f>
        <v>0</v>
      </c>
      <c r="X1229" s="111">
        <f>Audit[[#This Row],[Audit Candidate 6]]-Audit[[#This Row],[Candidate 6]]</f>
        <v>0</v>
      </c>
      <c r="Y1229" s="111">
        <f>SUMIF(Audit[[#This Row],[Difference Loser]:[Difference Candidate 6]], "&gt;0")</f>
        <v>0</v>
      </c>
      <c r="Z1229" s="111">
        <f>SUM(Audit[[#This Row],[Difference Loser]:[Difference Candidate 6]])</f>
        <v>-63</v>
      </c>
      <c r="AA1229" s="111">
        <f>IF(Audit[[#This Row],[Times p Drawn - With Replacement]]&gt;0, IF(Audit[[#This Row],[Canceled Differences]]&lt;0, Audit[[#This Row],[Max Differences]]+ABS(Audit[[#This Row],[Canceled Differences]]), Audit[[#This Row],[Max Differences]]), 0)</f>
        <v>0</v>
      </c>
      <c r="AB1229" s="111">
        <f>'Sampling Data'!P1221</f>
        <v>4.8995590396864281E-3</v>
      </c>
      <c r="AC1229" s="111">
        <f>IF(
      SUM(Audit[[#This Row],[Audit Losing Candidate]:[Audit Candidate 6]])
      &lt;&gt;0,
      (Audit[[#This Row],[Winning Candidate]]-Audit[[#This Row],[Losing Candidate]]-(Audit[[#This Row],[Audit Winning Candidate]]-Audit[[#This Row],[Audit Losing Candidate]]))/(Audit[[#Totals],[Winning Candidate]]-Audit[[#Totals],[Losing Candidate]]),
      0
)</f>
        <v>0</v>
      </c>
      <c r="AD12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9" s="111">
        <f>IF(Audit[[#This Row],[Max Relative Error (ep)]] = 0, 0, Audit[[#This Row],[Max Relative Error (ep)]]/Audit[[#This Row],[Error Bound (up) - Max. possible relative overstatement]])</f>
        <v>0</v>
      </c>
      <c r="AJ12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29" s="111">
        <f t="shared" si="19"/>
        <v>1</v>
      </c>
      <c r="AL1229" s="111">
        <f>PRODUCT($AK$5:AK1229)</f>
        <v>8.962823818226312E-2</v>
      </c>
      <c r="AM1229" s="109">
        <f>1 - [K-M P Value]</f>
        <v>0.91037176181773694</v>
      </c>
      <c r="AN1229" s="111" t="str">
        <f>IF(Audit[[#This Row],[K-M P Value]]&gt;1-'General Info'!$B$16,"Continue", "Stop")</f>
        <v>Stop</v>
      </c>
      <c r="AO1229" s="110" t="b">
        <f>IF(Audit[[#This Row],[Status - Continue or stop audit]] = "Continue", TRUE, IF(AN1228 = "Continue", TRUE, FALSE))</f>
        <v>0</v>
      </c>
      <c r="AP1229" s="110"/>
    </row>
    <row r="1230" spans="1:42" ht="15" hidden="1" customHeight="1">
      <c r="A1230" s="111" t="str">
        <f>'Sampling Data'!W1222</f>
        <v/>
      </c>
      <c r="B1230" s="112" t="str">
        <f>'Sampling Data'!A1222</f>
        <v>GARFIELD HEIGHTS -07-A - ABS</v>
      </c>
      <c r="C1230" s="112">
        <f>'Sampling Data'!B1222</f>
        <v>11</v>
      </c>
      <c r="D1230" s="112">
        <f>'Sampling Data'!C1222</f>
        <v>22</v>
      </c>
      <c r="E1230" s="113">
        <f>'Sampling Data'!D1222</f>
        <v>9</v>
      </c>
      <c r="F1230" s="113">
        <f>'Sampling Data'!E1222</f>
        <v>0</v>
      </c>
      <c r="G1230" s="113">
        <f>'Sampling Data'!F1222</f>
        <v>0</v>
      </c>
      <c r="H1230" s="113">
        <f>'Sampling Data'!G1222</f>
        <v>0</v>
      </c>
      <c r="I1230" s="112">
        <f>'Sampling Data'!H1222</f>
        <v>0</v>
      </c>
      <c r="J1230" s="112">
        <f>'Sampling Data'!I1222</f>
        <v>2</v>
      </c>
      <c r="K1230" s="112">
        <f>'Sampling Data'!J1222</f>
        <v>44</v>
      </c>
      <c r="L1230" s="111">
        <f>'Sampling Data'!X1222</f>
        <v>0</v>
      </c>
      <c r="M1230" s="114"/>
      <c r="N1230" s="114"/>
      <c r="O1230" s="115"/>
      <c r="P1230" s="115"/>
      <c r="Q1230" s="116"/>
      <c r="R1230" s="116"/>
      <c r="S1230" s="111">
        <f>Audit[[#This Row],[Audit Losing Candidate]]-Audit[[#This Row],[Losing Candidate]]</f>
        <v>-11</v>
      </c>
      <c r="T1230" s="111">
        <f>Audit[[#This Row],[Audit Winning Candidate]]-Audit[[#This Row],[Winning Candidate]]</f>
        <v>-22</v>
      </c>
      <c r="U1230" s="111">
        <f>Audit[[#This Row],[Audit Candidate 3]]-Audit[[#This Row],[Candidate 3]]</f>
        <v>-9</v>
      </c>
      <c r="V1230" s="111">
        <f>Audit[[#This Row],[Audit Candidate 4]]-Audit[[#This Row],[Candidate 4]]</f>
        <v>0</v>
      </c>
      <c r="W1230" s="111">
        <f>Audit[[#This Row],[Audit Candidate 5]]-Audit[[#This Row],[Candidate 5]]</f>
        <v>0</v>
      </c>
      <c r="X1230" s="111">
        <f>Audit[[#This Row],[Audit Candidate 6]]-Audit[[#This Row],[Candidate 6]]</f>
        <v>0</v>
      </c>
      <c r="Y1230" s="111">
        <f>SUMIF(Audit[[#This Row],[Difference Loser]:[Difference Candidate 6]], "&gt;0")</f>
        <v>0</v>
      </c>
      <c r="Z1230" s="111">
        <f>SUM(Audit[[#This Row],[Difference Loser]:[Difference Candidate 6]])</f>
        <v>-42</v>
      </c>
      <c r="AA1230" s="111">
        <f>IF(Audit[[#This Row],[Times p Drawn - With Replacement]]&gt;0, IF(Audit[[#This Row],[Canceled Differences]]&lt;0, Audit[[#This Row],[Max Differences]]+ABS(Audit[[#This Row],[Canceled Differences]]), Audit[[#This Row],[Max Differences]]), 0)</f>
        <v>0</v>
      </c>
      <c r="AB1230" s="111">
        <f>'Sampling Data'!P1222</f>
        <v>3.3684468397844193E-3</v>
      </c>
      <c r="AC1230" s="111">
        <f>IF(
      SUM(Audit[[#This Row],[Audit Losing Candidate]:[Audit Candidate 6]])
      &lt;&gt;0,
      (Audit[[#This Row],[Winning Candidate]]-Audit[[#This Row],[Losing Candidate]]-(Audit[[#This Row],[Audit Winning Candidate]]-Audit[[#This Row],[Audit Losing Candidate]]))/(Audit[[#Totals],[Winning Candidate]]-Audit[[#Totals],[Losing Candidate]]),
      0
)</f>
        <v>0</v>
      </c>
      <c r="AD12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0" s="111">
        <f>IF(Audit[[#This Row],[Max Relative Error (ep)]] = 0, 0, Audit[[#This Row],[Max Relative Error (ep)]]/Audit[[#This Row],[Error Bound (up) - Max. possible relative overstatement]])</f>
        <v>0</v>
      </c>
      <c r="AJ12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30" s="111">
        <f t="shared" si="19"/>
        <v>1</v>
      </c>
      <c r="AL1230" s="111">
        <f>PRODUCT($AK$5:AK1230)</f>
        <v>8.962823818226312E-2</v>
      </c>
      <c r="AM1230" s="109">
        <f>1 - [K-M P Value]</f>
        <v>0.91037176181773694</v>
      </c>
      <c r="AN1230" s="111" t="str">
        <f>IF(Audit[[#This Row],[K-M P Value]]&gt;1-'General Info'!$B$16,"Continue", "Stop")</f>
        <v>Stop</v>
      </c>
      <c r="AO1230" s="110" t="b">
        <f>IF(Audit[[#This Row],[Status - Continue or stop audit]] = "Continue", TRUE, IF(AN1229 = "Continue", TRUE, FALSE))</f>
        <v>0</v>
      </c>
      <c r="AP1230" s="110"/>
    </row>
    <row r="1231" spans="1:42" ht="15" hidden="1" customHeight="1">
      <c r="A1231" s="111" t="str">
        <f>'Sampling Data'!W1223</f>
        <v/>
      </c>
      <c r="B1231" s="112" t="str">
        <f>'Sampling Data'!A1223</f>
        <v>GARFIELD HEIGHTS -07-B</v>
      </c>
      <c r="C1231" s="112">
        <f>'Sampling Data'!B1223</f>
        <v>18</v>
      </c>
      <c r="D1231" s="112">
        <f>'Sampling Data'!C1223</f>
        <v>17</v>
      </c>
      <c r="E1231" s="113">
        <f>'Sampling Data'!D1223</f>
        <v>12</v>
      </c>
      <c r="F1231" s="113">
        <f>'Sampling Data'!E1223</f>
        <v>7</v>
      </c>
      <c r="G1231" s="113">
        <f>'Sampling Data'!F1223</f>
        <v>0</v>
      </c>
      <c r="H1231" s="113">
        <f>'Sampling Data'!G1223</f>
        <v>0</v>
      </c>
      <c r="I1231" s="112">
        <f>'Sampling Data'!H1223</f>
        <v>0</v>
      </c>
      <c r="J1231" s="112">
        <f>'Sampling Data'!I1223</f>
        <v>3</v>
      </c>
      <c r="K1231" s="112">
        <f>'Sampling Data'!J1223</f>
        <v>57</v>
      </c>
      <c r="L1231" s="111">
        <f>'Sampling Data'!X1223</f>
        <v>0</v>
      </c>
      <c r="M1231" s="114"/>
      <c r="N1231" s="114"/>
      <c r="O1231" s="115"/>
      <c r="P1231" s="115"/>
      <c r="Q1231" s="116"/>
      <c r="R1231" s="116"/>
      <c r="S1231" s="111">
        <f>Audit[[#This Row],[Audit Losing Candidate]]-Audit[[#This Row],[Losing Candidate]]</f>
        <v>-18</v>
      </c>
      <c r="T1231" s="111">
        <f>Audit[[#This Row],[Audit Winning Candidate]]-Audit[[#This Row],[Winning Candidate]]</f>
        <v>-17</v>
      </c>
      <c r="U1231" s="111">
        <f>Audit[[#This Row],[Audit Candidate 3]]-Audit[[#This Row],[Candidate 3]]</f>
        <v>-12</v>
      </c>
      <c r="V1231" s="111">
        <f>Audit[[#This Row],[Audit Candidate 4]]-Audit[[#This Row],[Candidate 4]]</f>
        <v>-7</v>
      </c>
      <c r="W1231" s="111">
        <f>Audit[[#This Row],[Audit Candidate 5]]-Audit[[#This Row],[Candidate 5]]</f>
        <v>0</v>
      </c>
      <c r="X1231" s="111">
        <f>Audit[[#This Row],[Audit Candidate 6]]-Audit[[#This Row],[Candidate 6]]</f>
        <v>0</v>
      </c>
      <c r="Y1231" s="111">
        <f>SUMIF(Audit[[#This Row],[Difference Loser]:[Difference Candidate 6]], "&gt;0")</f>
        <v>0</v>
      </c>
      <c r="Z1231" s="111">
        <f>SUM(Audit[[#This Row],[Difference Loser]:[Difference Candidate 6]])</f>
        <v>-54</v>
      </c>
      <c r="AA1231" s="111">
        <f>IF(Audit[[#This Row],[Times p Drawn - With Replacement]]&gt;0, IF(Audit[[#This Row],[Canceled Differences]]&lt;0, Audit[[#This Row],[Max Differences]]+ABS(Audit[[#This Row],[Canceled Differences]]), Audit[[#This Row],[Max Differences]]), 0)</f>
        <v>0</v>
      </c>
      <c r="AB1231" s="111">
        <f>'Sampling Data'!P1223</f>
        <v>3.4296913277804997E-3</v>
      </c>
      <c r="AC1231" s="111">
        <f>IF(
      SUM(Audit[[#This Row],[Audit Losing Candidate]:[Audit Candidate 6]])
      &lt;&gt;0,
      (Audit[[#This Row],[Winning Candidate]]-Audit[[#This Row],[Losing Candidate]]-(Audit[[#This Row],[Audit Winning Candidate]]-Audit[[#This Row],[Audit Losing Candidate]]))/(Audit[[#Totals],[Winning Candidate]]-Audit[[#Totals],[Losing Candidate]]),
      0
)</f>
        <v>0</v>
      </c>
      <c r="AD12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1" s="111">
        <f>IF(Audit[[#This Row],[Max Relative Error (ep)]] = 0, 0, Audit[[#This Row],[Max Relative Error (ep)]]/Audit[[#This Row],[Error Bound (up) - Max. possible relative overstatement]])</f>
        <v>0</v>
      </c>
      <c r="AJ12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31" s="111">
        <f t="shared" si="19"/>
        <v>1</v>
      </c>
      <c r="AL1231" s="111">
        <f>PRODUCT($AK$5:AK1231)</f>
        <v>8.962823818226312E-2</v>
      </c>
      <c r="AM1231" s="109">
        <f>1 - [K-M P Value]</f>
        <v>0.91037176181773694</v>
      </c>
      <c r="AN1231" s="111" t="str">
        <f>IF(Audit[[#This Row],[K-M P Value]]&gt;1-'General Info'!$B$16,"Continue", "Stop")</f>
        <v>Stop</v>
      </c>
      <c r="AO1231" s="110" t="b">
        <f>IF(Audit[[#This Row],[Status - Continue or stop audit]] = "Continue", TRUE, IF(AN1230 = "Continue", TRUE, FALSE))</f>
        <v>0</v>
      </c>
      <c r="AP1231" s="110"/>
    </row>
    <row r="1232" spans="1:42" ht="15" hidden="1" customHeight="1">
      <c r="A1232" s="111" t="str">
        <f>'Sampling Data'!W1224</f>
        <v/>
      </c>
      <c r="B1232" s="112" t="str">
        <f>'Sampling Data'!A1224</f>
        <v>GARFIELD HEIGHTS -07-B - ABS</v>
      </c>
      <c r="C1232" s="112">
        <f>'Sampling Data'!B1224</f>
        <v>9</v>
      </c>
      <c r="D1232" s="112">
        <f>'Sampling Data'!C1224</f>
        <v>17</v>
      </c>
      <c r="E1232" s="113">
        <f>'Sampling Data'!D1224</f>
        <v>9</v>
      </c>
      <c r="F1232" s="113">
        <f>'Sampling Data'!E1224</f>
        <v>0</v>
      </c>
      <c r="G1232" s="113">
        <f>'Sampling Data'!F1224</f>
        <v>0</v>
      </c>
      <c r="H1232" s="113">
        <f>'Sampling Data'!G1224</f>
        <v>0</v>
      </c>
      <c r="I1232" s="112">
        <f>'Sampling Data'!H1224</f>
        <v>0</v>
      </c>
      <c r="J1232" s="112">
        <f>'Sampling Data'!I1224</f>
        <v>2</v>
      </c>
      <c r="K1232" s="112">
        <f>'Sampling Data'!J1224</f>
        <v>37</v>
      </c>
      <c r="L1232" s="111">
        <f>'Sampling Data'!X1224</f>
        <v>0</v>
      </c>
      <c r="M1232" s="114"/>
      <c r="N1232" s="114"/>
      <c r="O1232" s="115"/>
      <c r="P1232" s="115"/>
      <c r="Q1232" s="116"/>
      <c r="R1232" s="116"/>
      <c r="S1232" s="111">
        <f>Audit[[#This Row],[Audit Losing Candidate]]-Audit[[#This Row],[Losing Candidate]]</f>
        <v>-9</v>
      </c>
      <c r="T1232" s="111">
        <f>Audit[[#This Row],[Audit Winning Candidate]]-Audit[[#This Row],[Winning Candidate]]</f>
        <v>-17</v>
      </c>
      <c r="U1232" s="111">
        <f>Audit[[#This Row],[Audit Candidate 3]]-Audit[[#This Row],[Candidate 3]]</f>
        <v>-9</v>
      </c>
      <c r="V1232" s="111">
        <f>Audit[[#This Row],[Audit Candidate 4]]-Audit[[#This Row],[Candidate 4]]</f>
        <v>0</v>
      </c>
      <c r="W1232" s="111">
        <f>Audit[[#This Row],[Audit Candidate 5]]-Audit[[#This Row],[Candidate 5]]</f>
        <v>0</v>
      </c>
      <c r="X1232" s="111">
        <f>Audit[[#This Row],[Audit Candidate 6]]-Audit[[#This Row],[Candidate 6]]</f>
        <v>0</v>
      </c>
      <c r="Y1232" s="111">
        <f>SUMIF(Audit[[#This Row],[Difference Loser]:[Difference Candidate 6]], "&gt;0")</f>
        <v>0</v>
      </c>
      <c r="Z1232" s="111">
        <f>SUM(Audit[[#This Row],[Difference Loser]:[Difference Candidate 6]])</f>
        <v>-35</v>
      </c>
      <c r="AA1232" s="111">
        <f>IF(Audit[[#This Row],[Times p Drawn - With Replacement]]&gt;0, IF(Audit[[#This Row],[Canceled Differences]]&lt;0, Audit[[#This Row],[Max Differences]]+ABS(Audit[[#This Row],[Canceled Differences]]), Audit[[#This Row],[Max Differences]]), 0)</f>
        <v>0</v>
      </c>
      <c r="AB1232" s="111">
        <f>'Sampling Data'!P1224</f>
        <v>2.7560019598236157E-3</v>
      </c>
      <c r="AC1232" s="111">
        <f>IF(
      SUM(Audit[[#This Row],[Audit Losing Candidate]:[Audit Candidate 6]])
      &lt;&gt;0,
      (Audit[[#This Row],[Winning Candidate]]-Audit[[#This Row],[Losing Candidate]]-(Audit[[#This Row],[Audit Winning Candidate]]-Audit[[#This Row],[Audit Losing Candidate]]))/(Audit[[#Totals],[Winning Candidate]]-Audit[[#Totals],[Losing Candidate]]),
      0
)</f>
        <v>0</v>
      </c>
      <c r="AD12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2" s="111">
        <f>IF(Audit[[#This Row],[Max Relative Error (ep)]] = 0, 0, Audit[[#This Row],[Max Relative Error (ep)]]/Audit[[#This Row],[Error Bound (up) - Max. possible relative overstatement]])</f>
        <v>0</v>
      </c>
      <c r="AJ12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32" s="111">
        <f t="shared" si="19"/>
        <v>1</v>
      </c>
      <c r="AL1232" s="111">
        <f>PRODUCT($AK$5:AK1232)</f>
        <v>8.962823818226312E-2</v>
      </c>
      <c r="AM1232" s="109">
        <f>1 - [K-M P Value]</f>
        <v>0.91037176181773694</v>
      </c>
      <c r="AN1232" s="111" t="str">
        <f>IF(Audit[[#This Row],[K-M P Value]]&gt;1-'General Info'!$B$16,"Continue", "Stop")</f>
        <v>Stop</v>
      </c>
      <c r="AO1232" s="110" t="b">
        <f>IF(Audit[[#This Row],[Status - Continue or stop audit]] = "Continue", TRUE, IF(AN1231 = "Continue", TRUE, FALSE))</f>
        <v>0</v>
      </c>
      <c r="AP1232" s="110"/>
    </row>
    <row r="1233" spans="1:42" ht="15" hidden="1" customHeight="1">
      <c r="A1233" s="111" t="str">
        <f>'Sampling Data'!W1225</f>
        <v/>
      </c>
      <c r="B1233" s="112" t="str">
        <f>'Sampling Data'!A1225</f>
        <v>GARFIELD HEIGHTS -07-C</v>
      </c>
      <c r="C1233" s="112">
        <f>'Sampling Data'!B1225</f>
        <v>18</v>
      </c>
      <c r="D1233" s="112">
        <f>'Sampling Data'!C1225</f>
        <v>40</v>
      </c>
      <c r="E1233" s="113">
        <f>'Sampling Data'!D1225</f>
        <v>15</v>
      </c>
      <c r="F1233" s="113">
        <f>'Sampling Data'!E1225</f>
        <v>12</v>
      </c>
      <c r="G1233" s="113">
        <f>'Sampling Data'!F1225</f>
        <v>0</v>
      </c>
      <c r="H1233" s="113">
        <f>'Sampling Data'!G1225</f>
        <v>0</v>
      </c>
      <c r="I1233" s="112">
        <f>'Sampling Data'!H1225</f>
        <v>0</v>
      </c>
      <c r="J1233" s="112">
        <f>'Sampling Data'!I1225</f>
        <v>1</v>
      </c>
      <c r="K1233" s="112">
        <f>'Sampling Data'!J1225</f>
        <v>86</v>
      </c>
      <c r="L1233" s="111">
        <f>'Sampling Data'!X1225</f>
        <v>0</v>
      </c>
      <c r="M1233" s="114"/>
      <c r="N1233" s="114"/>
      <c r="O1233" s="115"/>
      <c r="P1233" s="115"/>
      <c r="Q1233" s="116"/>
      <c r="R1233" s="116"/>
      <c r="S1233" s="111">
        <f>Audit[[#This Row],[Audit Losing Candidate]]-Audit[[#This Row],[Losing Candidate]]</f>
        <v>-18</v>
      </c>
      <c r="T1233" s="111">
        <f>Audit[[#This Row],[Audit Winning Candidate]]-Audit[[#This Row],[Winning Candidate]]</f>
        <v>-40</v>
      </c>
      <c r="U1233" s="111">
        <f>Audit[[#This Row],[Audit Candidate 3]]-Audit[[#This Row],[Candidate 3]]</f>
        <v>-15</v>
      </c>
      <c r="V1233" s="111">
        <f>Audit[[#This Row],[Audit Candidate 4]]-Audit[[#This Row],[Candidate 4]]</f>
        <v>-12</v>
      </c>
      <c r="W1233" s="111">
        <f>Audit[[#This Row],[Audit Candidate 5]]-Audit[[#This Row],[Candidate 5]]</f>
        <v>0</v>
      </c>
      <c r="X1233" s="111">
        <f>Audit[[#This Row],[Audit Candidate 6]]-Audit[[#This Row],[Candidate 6]]</f>
        <v>0</v>
      </c>
      <c r="Y1233" s="111">
        <f>SUMIF(Audit[[#This Row],[Difference Loser]:[Difference Candidate 6]], "&gt;0")</f>
        <v>0</v>
      </c>
      <c r="Z1233" s="111">
        <f>SUM(Audit[[#This Row],[Difference Loser]:[Difference Candidate 6]])</f>
        <v>-85</v>
      </c>
      <c r="AA1233" s="111">
        <f>IF(Audit[[#This Row],[Times p Drawn - With Replacement]]&gt;0, IF(Audit[[#This Row],[Canceled Differences]]&lt;0, Audit[[#This Row],[Max Differences]]+ABS(Audit[[#This Row],[Canceled Differences]]), Audit[[#This Row],[Max Differences]]), 0)</f>
        <v>0</v>
      </c>
      <c r="AB1233" s="111">
        <f>'Sampling Data'!P1225</f>
        <v>6.6144047035766778E-3</v>
      </c>
      <c r="AC1233" s="111">
        <f>IF(
      SUM(Audit[[#This Row],[Audit Losing Candidate]:[Audit Candidate 6]])
      &lt;&gt;0,
      (Audit[[#This Row],[Winning Candidate]]-Audit[[#This Row],[Losing Candidate]]-(Audit[[#This Row],[Audit Winning Candidate]]-Audit[[#This Row],[Audit Losing Candidate]]))/(Audit[[#Totals],[Winning Candidate]]-Audit[[#Totals],[Losing Candidate]]),
      0
)</f>
        <v>0</v>
      </c>
      <c r="AD12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3" s="111">
        <f>IF(Audit[[#This Row],[Max Relative Error (ep)]] = 0, 0, Audit[[#This Row],[Max Relative Error (ep)]]/Audit[[#This Row],[Error Bound (up) - Max. possible relative overstatement]])</f>
        <v>0</v>
      </c>
      <c r="AJ12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33" s="111">
        <f t="shared" si="19"/>
        <v>1</v>
      </c>
      <c r="AL1233" s="111">
        <f>PRODUCT($AK$5:AK1233)</f>
        <v>8.962823818226312E-2</v>
      </c>
      <c r="AM1233" s="109">
        <f>1 - [K-M P Value]</f>
        <v>0.91037176181773694</v>
      </c>
      <c r="AN1233" s="111" t="str">
        <f>IF(Audit[[#This Row],[K-M P Value]]&gt;1-'General Info'!$B$16,"Continue", "Stop")</f>
        <v>Stop</v>
      </c>
      <c r="AO1233" s="110" t="b">
        <f>IF(Audit[[#This Row],[Status - Continue or stop audit]] = "Continue", TRUE, IF(AN1232 = "Continue", TRUE, FALSE))</f>
        <v>0</v>
      </c>
      <c r="AP1233" s="110"/>
    </row>
    <row r="1234" spans="1:42" ht="15" hidden="1" customHeight="1">
      <c r="A1234" s="111" t="str">
        <f>'Sampling Data'!W1226</f>
        <v/>
      </c>
      <c r="B1234" s="112" t="str">
        <f>'Sampling Data'!A1226</f>
        <v>GARFIELD HEIGHTS -07-C - ABS</v>
      </c>
      <c r="C1234" s="112">
        <f>'Sampling Data'!B1226</f>
        <v>20</v>
      </c>
      <c r="D1234" s="112">
        <f>'Sampling Data'!C1226</f>
        <v>18</v>
      </c>
      <c r="E1234" s="113">
        <f>'Sampling Data'!D1226</f>
        <v>3</v>
      </c>
      <c r="F1234" s="113">
        <f>'Sampling Data'!E1226</f>
        <v>5</v>
      </c>
      <c r="G1234" s="113">
        <f>'Sampling Data'!F1226</f>
        <v>1</v>
      </c>
      <c r="H1234" s="113">
        <f>'Sampling Data'!G1226</f>
        <v>1</v>
      </c>
      <c r="I1234" s="112">
        <f>'Sampling Data'!H1226</f>
        <v>0</v>
      </c>
      <c r="J1234" s="112">
        <f>'Sampling Data'!I1226</f>
        <v>3</v>
      </c>
      <c r="K1234" s="112">
        <f>'Sampling Data'!J1226</f>
        <v>51</v>
      </c>
      <c r="L1234" s="111">
        <f>'Sampling Data'!X1226</f>
        <v>0</v>
      </c>
      <c r="M1234" s="114"/>
      <c r="N1234" s="114"/>
      <c r="O1234" s="115"/>
      <c r="P1234" s="115"/>
      <c r="Q1234" s="116"/>
      <c r="R1234" s="116"/>
      <c r="S1234" s="111">
        <f>Audit[[#This Row],[Audit Losing Candidate]]-Audit[[#This Row],[Losing Candidate]]</f>
        <v>-20</v>
      </c>
      <c r="T1234" s="111">
        <f>Audit[[#This Row],[Audit Winning Candidate]]-Audit[[#This Row],[Winning Candidate]]</f>
        <v>-18</v>
      </c>
      <c r="U1234" s="111">
        <f>Audit[[#This Row],[Audit Candidate 3]]-Audit[[#This Row],[Candidate 3]]</f>
        <v>-3</v>
      </c>
      <c r="V1234" s="111">
        <f>Audit[[#This Row],[Audit Candidate 4]]-Audit[[#This Row],[Candidate 4]]</f>
        <v>-5</v>
      </c>
      <c r="W1234" s="111">
        <f>Audit[[#This Row],[Audit Candidate 5]]-Audit[[#This Row],[Candidate 5]]</f>
        <v>-1</v>
      </c>
      <c r="X1234" s="111">
        <f>Audit[[#This Row],[Audit Candidate 6]]-Audit[[#This Row],[Candidate 6]]</f>
        <v>-1</v>
      </c>
      <c r="Y1234" s="111">
        <f>SUMIF(Audit[[#This Row],[Difference Loser]:[Difference Candidate 6]], "&gt;0")</f>
        <v>0</v>
      </c>
      <c r="Z1234" s="111">
        <f>SUM(Audit[[#This Row],[Difference Loser]:[Difference Candidate 6]])</f>
        <v>-48</v>
      </c>
      <c r="AA1234" s="111">
        <f>IF(Audit[[#This Row],[Times p Drawn - With Replacement]]&gt;0, IF(Audit[[#This Row],[Canceled Differences]]&lt;0, Audit[[#This Row],[Max Differences]]+ABS(Audit[[#This Row],[Canceled Differences]]), Audit[[#This Row],[Max Differences]]), 0)</f>
        <v>0</v>
      </c>
      <c r="AB1234" s="111">
        <f>'Sampling Data'!P1226</f>
        <v>3.0009799118079373E-3</v>
      </c>
      <c r="AC1234" s="111">
        <f>IF(
      SUM(Audit[[#This Row],[Audit Losing Candidate]:[Audit Candidate 6]])
      &lt;&gt;0,
      (Audit[[#This Row],[Winning Candidate]]-Audit[[#This Row],[Losing Candidate]]-(Audit[[#This Row],[Audit Winning Candidate]]-Audit[[#This Row],[Audit Losing Candidate]]))/(Audit[[#Totals],[Winning Candidate]]-Audit[[#Totals],[Losing Candidate]]),
      0
)</f>
        <v>0</v>
      </c>
      <c r="AD12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4" s="111">
        <f>IF(Audit[[#This Row],[Max Relative Error (ep)]] = 0, 0, Audit[[#This Row],[Max Relative Error (ep)]]/Audit[[#This Row],[Error Bound (up) - Max. possible relative overstatement]])</f>
        <v>0</v>
      </c>
      <c r="AJ12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34" s="111">
        <f t="shared" si="19"/>
        <v>1</v>
      </c>
      <c r="AL1234" s="111">
        <f>PRODUCT($AK$5:AK1234)</f>
        <v>8.962823818226312E-2</v>
      </c>
      <c r="AM1234" s="109">
        <f>1 - [K-M P Value]</f>
        <v>0.91037176181773694</v>
      </c>
      <c r="AN1234" s="111" t="str">
        <f>IF(Audit[[#This Row],[K-M P Value]]&gt;1-'General Info'!$B$16,"Continue", "Stop")</f>
        <v>Stop</v>
      </c>
      <c r="AO1234" s="110" t="b">
        <f>IF(Audit[[#This Row],[Status - Continue or stop audit]] = "Continue", TRUE, IF(AN1233 = "Continue", TRUE, FALSE))</f>
        <v>0</v>
      </c>
      <c r="AP1234" s="110"/>
    </row>
    <row r="1235" spans="1:42" ht="15" hidden="1" customHeight="1">
      <c r="A1235" s="111" t="str">
        <f>'Sampling Data'!W1227</f>
        <v/>
      </c>
      <c r="B1235" s="112" t="str">
        <f>'Sampling Data'!A1227</f>
        <v>GATES MILLS -00-A</v>
      </c>
      <c r="C1235" s="112">
        <f>'Sampling Data'!B1227</f>
        <v>34</v>
      </c>
      <c r="D1235" s="112">
        <f>'Sampling Data'!C1227</f>
        <v>149</v>
      </c>
      <c r="E1235" s="113">
        <f>'Sampling Data'!D1227</f>
        <v>23</v>
      </c>
      <c r="F1235" s="113">
        <f>'Sampling Data'!E1227</f>
        <v>9</v>
      </c>
      <c r="G1235" s="113">
        <f>'Sampling Data'!F1227</f>
        <v>1</v>
      </c>
      <c r="H1235" s="113">
        <f>'Sampling Data'!G1227</f>
        <v>1</v>
      </c>
      <c r="I1235" s="112">
        <f>'Sampling Data'!H1227</f>
        <v>0</v>
      </c>
      <c r="J1235" s="112">
        <f>'Sampling Data'!I1227</f>
        <v>1</v>
      </c>
      <c r="K1235" s="112">
        <f>'Sampling Data'!J1227</f>
        <v>218</v>
      </c>
      <c r="L1235" s="111">
        <f>'Sampling Data'!X1227</f>
        <v>0</v>
      </c>
      <c r="M1235" s="114"/>
      <c r="N1235" s="114"/>
      <c r="O1235" s="115"/>
      <c r="P1235" s="115"/>
      <c r="Q1235" s="116"/>
      <c r="R1235" s="116"/>
      <c r="S1235" s="111">
        <f>Audit[[#This Row],[Audit Losing Candidate]]-Audit[[#This Row],[Losing Candidate]]</f>
        <v>-34</v>
      </c>
      <c r="T1235" s="111">
        <f>Audit[[#This Row],[Audit Winning Candidate]]-Audit[[#This Row],[Winning Candidate]]</f>
        <v>-149</v>
      </c>
      <c r="U1235" s="111">
        <f>Audit[[#This Row],[Audit Candidate 3]]-Audit[[#This Row],[Candidate 3]]</f>
        <v>-23</v>
      </c>
      <c r="V1235" s="111">
        <f>Audit[[#This Row],[Audit Candidate 4]]-Audit[[#This Row],[Candidate 4]]</f>
        <v>-9</v>
      </c>
      <c r="W1235" s="111">
        <f>Audit[[#This Row],[Audit Candidate 5]]-Audit[[#This Row],[Candidate 5]]</f>
        <v>-1</v>
      </c>
      <c r="X1235" s="111">
        <f>Audit[[#This Row],[Audit Candidate 6]]-Audit[[#This Row],[Candidate 6]]</f>
        <v>-1</v>
      </c>
      <c r="Y1235" s="111">
        <f>SUMIF(Audit[[#This Row],[Difference Loser]:[Difference Candidate 6]], "&gt;0")</f>
        <v>0</v>
      </c>
      <c r="Z1235" s="111">
        <f>SUM(Audit[[#This Row],[Difference Loser]:[Difference Candidate 6]])</f>
        <v>-217</v>
      </c>
      <c r="AA1235" s="111">
        <f>IF(Audit[[#This Row],[Times p Drawn - With Replacement]]&gt;0, IF(Audit[[#This Row],[Canceled Differences]]&lt;0, Audit[[#This Row],[Max Differences]]+ABS(Audit[[#This Row],[Canceled Differences]]), Audit[[#This Row],[Max Differences]]), 0)</f>
        <v>0</v>
      </c>
      <c r="AB1235" s="111">
        <f>'Sampling Data'!P1227</f>
        <v>2.0394414502694757E-2</v>
      </c>
      <c r="AC1235" s="111">
        <f>IF(
      SUM(Audit[[#This Row],[Audit Losing Candidate]:[Audit Candidate 6]])
      &lt;&gt;0,
      (Audit[[#This Row],[Winning Candidate]]-Audit[[#This Row],[Losing Candidate]]-(Audit[[#This Row],[Audit Winning Candidate]]-Audit[[#This Row],[Audit Losing Candidate]]))/(Audit[[#Totals],[Winning Candidate]]-Audit[[#Totals],[Losing Candidate]]),
      0
)</f>
        <v>0</v>
      </c>
      <c r="AD12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5" s="111">
        <f>IF(Audit[[#This Row],[Max Relative Error (ep)]] = 0, 0, Audit[[#This Row],[Max Relative Error (ep)]]/Audit[[#This Row],[Error Bound (up) - Max. possible relative overstatement]])</f>
        <v>0</v>
      </c>
      <c r="AJ12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35" s="111">
        <f t="shared" si="19"/>
        <v>1</v>
      </c>
      <c r="AL1235" s="111">
        <f>PRODUCT($AK$5:AK1235)</f>
        <v>8.962823818226312E-2</v>
      </c>
      <c r="AM1235" s="109">
        <f>1 - [K-M P Value]</f>
        <v>0.91037176181773694</v>
      </c>
      <c r="AN1235" s="111" t="str">
        <f>IF(Audit[[#This Row],[K-M P Value]]&gt;1-'General Info'!$B$16,"Continue", "Stop")</f>
        <v>Stop</v>
      </c>
      <c r="AO1235" s="110" t="b">
        <f>IF(Audit[[#This Row],[Status - Continue or stop audit]] = "Continue", TRUE, IF(AN1234 = "Continue", TRUE, FALSE))</f>
        <v>0</v>
      </c>
      <c r="AP1235" s="110"/>
    </row>
    <row r="1236" spans="1:42" ht="15" hidden="1" customHeight="1">
      <c r="A1236" s="111" t="str">
        <f>'Sampling Data'!W1228</f>
        <v/>
      </c>
      <c r="B1236" s="112" t="str">
        <f>'Sampling Data'!A1228</f>
        <v>GATES MILLS -00-A - ABS</v>
      </c>
      <c r="C1236" s="112">
        <f>'Sampling Data'!B1228</f>
        <v>20</v>
      </c>
      <c r="D1236" s="112">
        <f>'Sampling Data'!C1228</f>
        <v>34</v>
      </c>
      <c r="E1236" s="113">
        <f>'Sampling Data'!D1228</f>
        <v>12</v>
      </c>
      <c r="F1236" s="113">
        <f>'Sampling Data'!E1228</f>
        <v>3</v>
      </c>
      <c r="G1236" s="113">
        <f>'Sampling Data'!F1228</f>
        <v>0</v>
      </c>
      <c r="H1236" s="113">
        <f>'Sampling Data'!G1228</f>
        <v>0</v>
      </c>
      <c r="I1236" s="112">
        <f>'Sampling Data'!H1228</f>
        <v>0</v>
      </c>
      <c r="J1236" s="112">
        <f>'Sampling Data'!I1228</f>
        <v>0</v>
      </c>
      <c r="K1236" s="112">
        <f>'Sampling Data'!J1228</f>
        <v>69</v>
      </c>
      <c r="L1236" s="111">
        <f>'Sampling Data'!X1228</f>
        <v>0</v>
      </c>
      <c r="M1236" s="114"/>
      <c r="N1236" s="114"/>
      <c r="O1236" s="115"/>
      <c r="P1236" s="115"/>
      <c r="Q1236" s="116"/>
      <c r="R1236" s="116"/>
      <c r="S1236" s="111">
        <f>Audit[[#This Row],[Audit Losing Candidate]]-Audit[[#This Row],[Losing Candidate]]</f>
        <v>-20</v>
      </c>
      <c r="T1236" s="111">
        <f>Audit[[#This Row],[Audit Winning Candidate]]-Audit[[#This Row],[Winning Candidate]]</f>
        <v>-34</v>
      </c>
      <c r="U1236" s="111">
        <f>Audit[[#This Row],[Audit Candidate 3]]-Audit[[#This Row],[Candidate 3]]</f>
        <v>-12</v>
      </c>
      <c r="V1236" s="111">
        <f>Audit[[#This Row],[Audit Candidate 4]]-Audit[[#This Row],[Candidate 4]]</f>
        <v>-3</v>
      </c>
      <c r="W1236" s="111">
        <f>Audit[[#This Row],[Audit Candidate 5]]-Audit[[#This Row],[Candidate 5]]</f>
        <v>0</v>
      </c>
      <c r="X1236" s="111">
        <f>Audit[[#This Row],[Audit Candidate 6]]-Audit[[#This Row],[Candidate 6]]</f>
        <v>0</v>
      </c>
      <c r="Y1236" s="111">
        <f>SUMIF(Audit[[#This Row],[Difference Loser]:[Difference Candidate 6]], "&gt;0")</f>
        <v>0</v>
      </c>
      <c r="Z1236" s="111">
        <f>SUM(Audit[[#This Row],[Difference Loser]:[Difference Candidate 6]])</f>
        <v>-69</v>
      </c>
      <c r="AA1236" s="111">
        <f>IF(Audit[[#This Row],[Times p Drawn - With Replacement]]&gt;0, IF(Audit[[#This Row],[Canceled Differences]]&lt;0, Audit[[#This Row],[Max Differences]]+ABS(Audit[[#This Row],[Canceled Differences]]), Audit[[#This Row],[Max Differences]]), 0)</f>
        <v>0</v>
      </c>
      <c r="AB1236" s="111">
        <f>'Sampling Data'!P1228</f>
        <v>5.0832925036746694E-3</v>
      </c>
      <c r="AC1236" s="111">
        <f>IF(
      SUM(Audit[[#This Row],[Audit Losing Candidate]:[Audit Candidate 6]])
      &lt;&gt;0,
      (Audit[[#This Row],[Winning Candidate]]-Audit[[#This Row],[Losing Candidate]]-(Audit[[#This Row],[Audit Winning Candidate]]-Audit[[#This Row],[Audit Losing Candidate]]))/(Audit[[#Totals],[Winning Candidate]]-Audit[[#Totals],[Losing Candidate]]),
      0
)</f>
        <v>0</v>
      </c>
      <c r="AD12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6" s="111">
        <f>IF(Audit[[#This Row],[Max Relative Error (ep)]] = 0, 0, Audit[[#This Row],[Max Relative Error (ep)]]/Audit[[#This Row],[Error Bound (up) - Max. possible relative overstatement]])</f>
        <v>0</v>
      </c>
      <c r="AJ12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36" s="111">
        <f t="shared" si="19"/>
        <v>1</v>
      </c>
      <c r="AL1236" s="111">
        <f>PRODUCT($AK$5:AK1236)</f>
        <v>8.962823818226312E-2</v>
      </c>
      <c r="AM1236" s="109">
        <f>1 - [K-M P Value]</f>
        <v>0.91037176181773694</v>
      </c>
      <c r="AN1236" s="111" t="str">
        <f>IF(Audit[[#This Row],[K-M P Value]]&gt;1-'General Info'!$B$16,"Continue", "Stop")</f>
        <v>Stop</v>
      </c>
      <c r="AO1236" s="110" t="b">
        <f>IF(Audit[[#This Row],[Status - Continue or stop audit]] = "Continue", TRUE, IF(AN1235 = "Continue", TRUE, FALSE))</f>
        <v>0</v>
      </c>
      <c r="AP1236" s="110"/>
    </row>
    <row r="1237" spans="1:42" ht="15" hidden="1" customHeight="1">
      <c r="A1237" s="111" t="str">
        <f>'Sampling Data'!W1229</f>
        <v/>
      </c>
      <c r="B1237" s="112" t="str">
        <f>'Sampling Data'!A1229</f>
        <v>GATES MILLS -00-B</v>
      </c>
      <c r="C1237" s="112">
        <f>'Sampling Data'!B1229</f>
        <v>27</v>
      </c>
      <c r="D1237" s="112">
        <f>'Sampling Data'!C1229</f>
        <v>151</v>
      </c>
      <c r="E1237" s="113">
        <f>'Sampling Data'!D1229</f>
        <v>29</v>
      </c>
      <c r="F1237" s="113">
        <f>'Sampling Data'!E1229</f>
        <v>9</v>
      </c>
      <c r="G1237" s="113">
        <f>'Sampling Data'!F1229</f>
        <v>1</v>
      </c>
      <c r="H1237" s="113">
        <f>'Sampling Data'!G1229</f>
        <v>1</v>
      </c>
      <c r="I1237" s="112">
        <f>'Sampling Data'!H1229</f>
        <v>0</v>
      </c>
      <c r="J1237" s="112">
        <f>'Sampling Data'!I1229</f>
        <v>3</v>
      </c>
      <c r="K1237" s="112">
        <f>'Sampling Data'!J1229</f>
        <v>221</v>
      </c>
      <c r="L1237" s="111">
        <f>'Sampling Data'!X1229</f>
        <v>0</v>
      </c>
      <c r="M1237" s="114"/>
      <c r="N1237" s="114"/>
      <c r="O1237" s="115"/>
      <c r="P1237" s="115"/>
      <c r="Q1237" s="116"/>
      <c r="R1237" s="116"/>
      <c r="S1237" s="111">
        <f>Audit[[#This Row],[Audit Losing Candidate]]-Audit[[#This Row],[Losing Candidate]]</f>
        <v>-27</v>
      </c>
      <c r="T1237" s="111">
        <f>Audit[[#This Row],[Audit Winning Candidate]]-Audit[[#This Row],[Winning Candidate]]</f>
        <v>-151</v>
      </c>
      <c r="U1237" s="111">
        <f>Audit[[#This Row],[Audit Candidate 3]]-Audit[[#This Row],[Candidate 3]]</f>
        <v>-29</v>
      </c>
      <c r="V1237" s="111">
        <f>Audit[[#This Row],[Audit Candidate 4]]-Audit[[#This Row],[Candidate 4]]</f>
        <v>-9</v>
      </c>
      <c r="W1237" s="111">
        <f>Audit[[#This Row],[Audit Candidate 5]]-Audit[[#This Row],[Candidate 5]]</f>
        <v>-1</v>
      </c>
      <c r="X1237" s="111">
        <f>Audit[[#This Row],[Audit Candidate 6]]-Audit[[#This Row],[Candidate 6]]</f>
        <v>-1</v>
      </c>
      <c r="Y1237" s="111">
        <f>SUMIF(Audit[[#This Row],[Difference Loser]:[Difference Candidate 6]], "&gt;0")</f>
        <v>0</v>
      </c>
      <c r="Z1237" s="111">
        <f>SUM(Audit[[#This Row],[Difference Loser]:[Difference Candidate 6]])</f>
        <v>-218</v>
      </c>
      <c r="AA1237" s="111">
        <f>IF(Audit[[#This Row],[Times p Drawn - With Replacement]]&gt;0, IF(Audit[[#This Row],[Canceled Differences]]&lt;0, Audit[[#This Row],[Max Differences]]+ABS(Audit[[#This Row],[Canceled Differences]]), Audit[[#This Row],[Max Differences]]), 0)</f>
        <v>0</v>
      </c>
      <c r="AB1237" s="111">
        <f>'Sampling Data'!P1229</f>
        <v>2.1129348358647722E-2</v>
      </c>
      <c r="AC1237" s="111">
        <f>IF(
      SUM(Audit[[#This Row],[Audit Losing Candidate]:[Audit Candidate 6]])
      &lt;&gt;0,
      (Audit[[#This Row],[Winning Candidate]]-Audit[[#This Row],[Losing Candidate]]-(Audit[[#This Row],[Audit Winning Candidate]]-Audit[[#This Row],[Audit Losing Candidate]]))/(Audit[[#Totals],[Winning Candidate]]-Audit[[#Totals],[Losing Candidate]]),
      0
)</f>
        <v>0</v>
      </c>
      <c r="AD12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7" s="111">
        <f>IF(Audit[[#This Row],[Max Relative Error (ep)]] = 0, 0, Audit[[#This Row],[Max Relative Error (ep)]]/Audit[[#This Row],[Error Bound (up) - Max. possible relative overstatement]])</f>
        <v>0</v>
      </c>
      <c r="AJ12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37" s="111">
        <f t="shared" si="19"/>
        <v>1</v>
      </c>
      <c r="AL1237" s="111">
        <f>PRODUCT($AK$5:AK1237)</f>
        <v>8.962823818226312E-2</v>
      </c>
      <c r="AM1237" s="109">
        <f>1 - [K-M P Value]</f>
        <v>0.91037176181773694</v>
      </c>
      <c r="AN1237" s="111" t="str">
        <f>IF(Audit[[#This Row],[K-M P Value]]&gt;1-'General Info'!$B$16,"Continue", "Stop")</f>
        <v>Stop</v>
      </c>
      <c r="AO1237" s="110" t="b">
        <f>IF(Audit[[#This Row],[Status - Continue or stop audit]] = "Continue", TRUE, IF(AN1236 = "Continue", TRUE, FALSE))</f>
        <v>0</v>
      </c>
      <c r="AP1237" s="110"/>
    </row>
    <row r="1238" spans="1:42" ht="15" hidden="1" customHeight="1">
      <c r="A1238" s="111" t="str">
        <f>'Sampling Data'!W1230</f>
        <v/>
      </c>
      <c r="B1238" s="112" t="str">
        <f>'Sampling Data'!A1230</f>
        <v>GATES MILLS -00-B - ABS</v>
      </c>
      <c r="C1238" s="112">
        <f>'Sampling Data'!B1230</f>
        <v>18</v>
      </c>
      <c r="D1238" s="112">
        <f>'Sampling Data'!C1230</f>
        <v>58</v>
      </c>
      <c r="E1238" s="113">
        <f>'Sampling Data'!D1230</f>
        <v>15</v>
      </c>
      <c r="F1238" s="113">
        <f>'Sampling Data'!E1230</f>
        <v>3</v>
      </c>
      <c r="G1238" s="113">
        <f>'Sampling Data'!F1230</f>
        <v>0</v>
      </c>
      <c r="H1238" s="113">
        <f>'Sampling Data'!G1230</f>
        <v>0</v>
      </c>
      <c r="I1238" s="112">
        <f>'Sampling Data'!H1230</f>
        <v>0</v>
      </c>
      <c r="J1238" s="112">
        <f>'Sampling Data'!I1230</f>
        <v>2</v>
      </c>
      <c r="K1238" s="112">
        <f>'Sampling Data'!J1230</f>
        <v>96</v>
      </c>
      <c r="L1238" s="111">
        <f>'Sampling Data'!X1230</f>
        <v>0</v>
      </c>
      <c r="M1238" s="114"/>
      <c r="N1238" s="114"/>
      <c r="O1238" s="115"/>
      <c r="P1238" s="115"/>
      <c r="Q1238" s="116"/>
      <c r="R1238" s="116"/>
      <c r="S1238" s="111">
        <f>Audit[[#This Row],[Audit Losing Candidate]]-Audit[[#This Row],[Losing Candidate]]</f>
        <v>-18</v>
      </c>
      <c r="T1238" s="111">
        <f>Audit[[#This Row],[Audit Winning Candidate]]-Audit[[#This Row],[Winning Candidate]]</f>
        <v>-58</v>
      </c>
      <c r="U1238" s="111">
        <f>Audit[[#This Row],[Audit Candidate 3]]-Audit[[#This Row],[Candidate 3]]</f>
        <v>-15</v>
      </c>
      <c r="V1238" s="111">
        <f>Audit[[#This Row],[Audit Candidate 4]]-Audit[[#This Row],[Candidate 4]]</f>
        <v>-3</v>
      </c>
      <c r="W1238" s="111">
        <f>Audit[[#This Row],[Audit Candidate 5]]-Audit[[#This Row],[Candidate 5]]</f>
        <v>0</v>
      </c>
      <c r="X1238" s="111">
        <f>Audit[[#This Row],[Audit Candidate 6]]-Audit[[#This Row],[Candidate 6]]</f>
        <v>0</v>
      </c>
      <c r="Y1238" s="111">
        <f>SUMIF(Audit[[#This Row],[Difference Loser]:[Difference Candidate 6]], "&gt;0")</f>
        <v>0</v>
      </c>
      <c r="Z1238" s="111">
        <f>SUM(Audit[[#This Row],[Difference Loser]:[Difference Candidate 6]])</f>
        <v>-94</v>
      </c>
      <c r="AA1238" s="111">
        <f>IF(Audit[[#This Row],[Times p Drawn - With Replacement]]&gt;0, IF(Audit[[#This Row],[Canceled Differences]]&lt;0, Audit[[#This Row],[Max Differences]]+ABS(Audit[[#This Row],[Canceled Differences]]), Audit[[#This Row],[Max Differences]]), 0)</f>
        <v>0</v>
      </c>
      <c r="AB1238" s="111">
        <f>'Sampling Data'!P1230</f>
        <v>8.3292503674669283E-3</v>
      </c>
      <c r="AC1238" s="111">
        <f>IF(
      SUM(Audit[[#This Row],[Audit Losing Candidate]:[Audit Candidate 6]])
      &lt;&gt;0,
      (Audit[[#This Row],[Winning Candidate]]-Audit[[#This Row],[Losing Candidate]]-(Audit[[#This Row],[Audit Winning Candidate]]-Audit[[#This Row],[Audit Losing Candidate]]))/(Audit[[#Totals],[Winning Candidate]]-Audit[[#Totals],[Losing Candidate]]),
      0
)</f>
        <v>0</v>
      </c>
      <c r="AD12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8" s="111">
        <f>IF(Audit[[#This Row],[Max Relative Error (ep)]] = 0, 0, Audit[[#This Row],[Max Relative Error (ep)]]/Audit[[#This Row],[Error Bound (up) - Max. possible relative overstatement]])</f>
        <v>0</v>
      </c>
      <c r="AJ12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38" s="111">
        <f t="shared" si="19"/>
        <v>1</v>
      </c>
      <c r="AL1238" s="111">
        <f>PRODUCT($AK$5:AK1238)</f>
        <v>8.962823818226312E-2</v>
      </c>
      <c r="AM1238" s="109">
        <f>1 - [K-M P Value]</f>
        <v>0.91037176181773694</v>
      </c>
      <c r="AN1238" s="111" t="str">
        <f>IF(Audit[[#This Row],[K-M P Value]]&gt;1-'General Info'!$B$16,"Continue", "Stop")</f>
        <v>Stop</v>
      </c>
      <c r="AO1238" s="110" t="b">
        <f>IF(Audit[[#This Row],[Status - Continue or stop audit]] = "Continue", TRUE, IF(AN1237 = "Continue", TRUE, FALSE))</f>
        <v>0</v>
      </c>
      <c r="AP1238" s="110"/>
    </row>
    <row r="1239" spans="1:42" ht="15" hidden="1" customHeight="1">
      <c r="A1239" s="111" t="str">
        <f>'Sampling Data'!W1231</f>
        <v/>
      </c>
      <c r="B1239" s="112" t="str">
        <f>'Sampling Data'!A1231</f>
        <v>GLENWILLOW -01-A</v>
      </c>
      <c r="C1239" s="112">
        <f>'Sampling Data'!B1231</f>
        <v>3</v>
      </c>
      <c r="D1239" s="112">
        <f>'Sampling Data'!C1231</f>
        <v>5</v>
      </c>
      <c r="E1239" s="113">
        <f>'Sampling Data'!D1231</f>
        <v>2</v>
      </c>
      <c r="F1239" s="113">
        <f>'Sampling Data'!E1231</f>
        <v>6</v>
      </c>
      <c r="G1239" s="113">
        <f>'Sampling Data'!F1231</f>
        <v>0</v>
      </c>
      <c r="H1239" s="113">
        <f>'Sampling Data'!G1231</f>
        <v>0</v>
      </c>
      <c r="I1239" s="112">
        <f>'Sampling Data'!H1231</f>
        <v>0</v>
      </c>
      <c r="J1239" s="112">
        <f>'Sampling Data'!I1231</f>
        <v>0</v>
      </c>
      <c r="K1239" s="112">
        <f>'Sampling Data'!J1231</f>
        <v>16</v>
      </c>
      <c r="L1239" s="111">
        <f>'Sampling Data'!X1231</f>
        <v>0</v>
      </c>
      <c r="M1239" s="114"/>
      <c r="N1239" s="114"/>
      <c r="O1239" s="115"/>
      <c r="P1239" s="115"/>
      <c r="Q1239" s="116"/>
      <c r="R1239" s="116"/>
      <c r="S1239" s="111">
        <f>Audit[[#This Row],[Audit Losing Candidate]]-Audit[[#This Row],[Losing Candidate]]</f>
        <v>-3</v>
      </c>
      <c r="T1239" s="111">
        <f>Audit[[#This Row],[Audit Winning Candidate]]-Audit[[#This Row],[Winning Candidate]]</f>
        <v>-5</v>
      </c>
      <c r="U1239" s="111">
        <f>Audit[[#This Row],[Audit Candidate 3]]-Audit[[#This Row],[Candidate 3]]</f>
        <v>-2</v>
      </c>
      <c r="V1239" s="111">
        <f>Audit[[#This Row],[Audit Candidate 4]]-Audit[[#This Row],[Candidate 4]]</f>
        <v>-6</v>
      </c>
      <c r="W1239" s="111">
        <f>Audit[[#This Row],[Audit Candidate 5]]-Audit[[#This Row],[Candidate 5]]</f>
        <v>0</v>
      </c>
      <c r="X1239" s="111">
        <f>Audit[[#This Row],[Audit Candidate 6]]-Audit[[#This Row],[Candidate 6]]</f>
        <v>0</v>
      </c>
      <c r="Y1239" s="111">
        <f>SUMIF(Audit[[#This Row],[Difference Loser]:[Difference Candidate 6]], "&gt;0")</f>
        <v>0</v>
      </c>
      <c r="Z1239" s="111">
        <f>SUM(Audit[[#This Row],[Difference Loser]:[Difference Candidate 6]])</f>
        <v>-16</v>
      </c>
      <c r="AA1239" s="111">
        <f>IF(Audit[[#This Row],[Times p Drawn - With Replacement]]&gt;0, IF(Audit[[#This Row],[Canceled Differences]]&lt;0, Audit[[#This Row],[Max Differences]]+ABS(Audit[[#This Row],[Canceled Differences]]), Audit[[#This Row],[Max Differences]]), 0)</f>
        <v>0</v>
      </c>
      <c r="AB1239" s="111">
        <f>'Sampling Data'!P1231</f>
        <v>1.1024007839294464E-3</v>
      </c>
      <c r="AC1239" s="111">
        <f>IF(
      SUM(Audit[[#This Row],[Audit Losing Candidate]:[Audit Candidate 6]])
      &lt;&gt;0,
      (Audit[[#This Row],[Winning Candidate]]-Audit[[#This Row],[Losing Candidate]]-(Audit[[#This Row],[Audit Winning Candidate]]-Audit[[#This Row],[Audit Losing Candidate]]))/(Audit[[#Totals],[Winning Candidate]]-Audit[[#Totals],[Losing Candidate]]),
      0
)</f>
        <v>0</v>
      </c>
      <c r="AD12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9" s="111">
        <f>IF(Audit[[#This Row],[Max Relative Error (ep)]] = 0, 0, Audit[[#This Row],[Max Relative Error (ep)]]/Audit[[#This Row],[Error Bound (up) - Max. possible relative overstatement]])</f>
        <v>0</v>
      </c>
      <c r="AJ12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39" s="111">
        <f t="shared" si="19"/>
        <v>1</v>
      </c>
      <c r="AL1239" s="111">
        <f>PRODUCT($AK$5:AK1239)</f>
        <v>8.962823818226312E-2</v>
      </c>
      <c r="AM1239" s="109">
        <f>1 - [K-M P Value]</f>
        <v>0.91037176181773694</v>
      </c>
      <c r="AN1239" s="111" t="str">
        <f>IF(Audit[[#This Row],[K-M P Value]]&gt;1-'General Info'!$B$16,"Continue", "Stop")</f>
        <v>Stop</v>
      </c>
      <c r="AO1239" s="110" t="b">
        <f>IF(Audit[[#This Row],[Status - Continue or stop audit]] = "Continue", TRUE, IF(AN1238 = "Continue", TRUE, FALSE))</f>
        <v>0</v>
      </c>
      <c r="AP1239" s="110"/>
    </row>
    <row r="1240" spans="1:42" ht="15" hidden="1" customHeight="1">
      <c r="A1240" s="111" t="str">
        <f>'Sampling Data'!W1232</f>
        <v/>
      </c>
      <c r="B1240" s="112" t="str">
        <f>'Sampling Data'!A1232</f>
        <v>GLENWILLOW -01-A - ABS</v>
      </c>
      <c r="C1240" s="112">
        <f>'Sampling Data'!B1232</f>
        <v>2</v>
      </c>
      <c r="D1240" s="112">
        <f>'Sampling Data'!C1232</f>
        <v>2</v>
      </c>
      <c r="E1240" s="113">
        <f>'Sampling Data'!D1232</f>
        <v>1</v>
      </c>
      <c r="F1240" s="113">
        <f>'Sampling Data'!E1232</f>
        <v>0</v>
      </c>
      <c r="G1240" s="113">
        <f>'Sampling Data'!F1232</f>
        <v>0</v>
      </c>
      <c r="H1240" s="113">
        <f>'Sampling Data'!G1232</f>
        <v>0</v>
      </c>
      <c r="I1240" s="112">
        <f>'Sampling Data'!H1232</f>
        <v>0</v>
      </c>
      <c r="J1240" s="112">
        <f>'Sampling Data'!I1232</f>
        <v>0</v>
      </c>
      <c r="K1240" s="112">
        <f>'Sampling Data'!J1232</f>
        <v>5</v>
      </c>
      <c r="L1240" s="111">
        <f>'Sampling Data'!X1232</f>
        <v>0</v>
      </c>
      <c r="M1240" s="114"/>
      <c r="N1240" s="114"/>
      <c r="O1240" s="115"/>
      <c r="P1240" s="115"/>
      <c r="Q1240" s="116"/>
      <c r="R1240" s="116"/>
      <c r="S1240" s="111">
        <f>Audit[[#This Row],[Audit Losing Candidate]]-Audit[[#This Row],[Losing Candidate]]</f>
        <v>-2</v>
      </c>
      <c r="T1240" s="111">
        <f>Audit[[#This Row],[Audit Winning Candidate]]-Audit[[#This Row],[Winning Candidate]]</f>
        <v>-2</v>
      </c>
      <c r="U1240" s="111">
        <f>Audit[[#This Row],[Audit Candidate 3]]-Audit[[#This Row],[Candidate 3]]</f>
        <v>-1</v>
      </c>
      <c r="V1240" s="111">
        <f>Audit[[#This Row],[Audit Candidate 4]]-Audit[[#This Row],[Candidate 4]]</f>
        <v>0</v>
      </c>
      <c r="W1240" s="111">
        <f>Audit[[#This Row],[Audit Candidate 5]]-Audit[[#This Row],[Candidate 5]]</f>
        <v>0</v>
      </c>
      <c r="X1240" s="111">
        <f>Audit[[#This Row],[Audit Candidate 6]]-Audit[[#This Row],[Candidate 6]]</f>
        <v>0</v>
      </c>
      <c r="Y1240" s="111">
        <f>SUMIF(Audit[[#This Row],[Difference Loser]:[Difference Candidate 6]], "&gt;0")</f>
        <v>0</v>
      </c>
      <c r="Z1240" s="111">
        <f>SUM(Audit[[#This Row],[Difference Loser]:[Difference Candidate 6]])</f>
        <v>-5</v>
      </c>
      <c r="AA1240" s="111">
        <f>IF(Audit[[#This Row],[Times p Drawn - With Replacement]]&gt;0, IF(Audit[[#This Row],[Canceled Differences]]&lt;0, Audit[[#This Row],[Max Differences]]+ABS(Audit[[#This Row],[Canceled Differences]]), Audit[[#This Row],[Max Differences]]), 0)</f>
        <v>0</v>
      </c>
      <c r="AB1240" s="111">
        <f>'Sampling Data'!P1232</f>
        <v>3.0622243998040176E-4</v>
      </c>
      <c r="AC1240" s="111">
        <f>IF(
      SUM(Audit[[#This Row],[Audit Losing Candidate]:[Audit Candidate 6]])
      &lt;&gt;0,
      (Audit[[#This Row],[Winning Candidate]]-Audit[[#This Row],[Losing Candidate]]-(Audit[[#This Row],[Audit Winning Candidate]]-Audit[[#This Row],[Audit Losing Candidate]]))/(Audit[[#Totals],[Winning Candidate]]-Audit[[#Totals],[Losing Candidate]]),
      0
)</f>
        <v>0</v>
      </c>
      <c r="AD12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0" s="111">
        <f>IF(Audit[[#This Row],[Max Relative Error (ep)]] = 0, 0, Audit[[#This Row],[Max Relative Error (ep)]]/Audit[[#This Row],[Error Bound (up) - Max. possible relative overstatement]])</f>
        <v>0</v>
      </c>
      <c r="AJ12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40" s="111">
        <f t="shared" si="19"/>
        <v>1</v>
      </c>
      <c r="AL1240" s="111">
        <f>PRODUCT($AK$5:AK1240)</f>
        <v>8.962823818226312E-2</v>
      </c>
      <c r="AM1240" s="109">
        <f>1 - [K-M P Value]</f>
        <v>0.91037176181773694</v>
      </c>
      <c r="AN1240" s="111" t="str">
        <f>IF(Audit[[#This Row],[K-M P Value]]&gt;1-'General Info'!$B$16,"Continue", "Stop")</f>
        <v>Stop</v>
      </c>
      <c r="AO1240" s="110" t="b">
        <f>IF(Audit[[#This Row],[Status - Continue or stop audit]] = "Continue", TRUE, IF(AN1239 = "Continue", TRUE, FALSE))</f>
        <v>0</v>
      </c>
      <c r="AP1240" s="110"/>
    </row>
    <row r="1241" spans="1:42" ht="15" hidden="1" customHeight="1">
      <c r="A1241" s="111" t="str">
        <f>'Sampling Data'!W1233</f>
        <v/>
      </c>
      <c r="B1241" s="112" t="str">
        <f>'Sampling Data'!A1233</f>
        <v>GLENWILLOW -02-A</v>
      </c>
      <c r="C1241" s="112">
        <f>'Sampling Data'!B1233</f>
        <v>3</v>
      </c>
      <c r="D1241" s="112">
        <f>'Sampling Data'!C1233</f>
        <v>7</v>
      </c>
      <c r="E1241" s="113">
        <f>'Sampling Data'!D1233</f>
        <v>3</v>
      </c>
      <c r="F1241" s="113">
        <f>'Sampling Data'!E1233</f>
        <v>0</v>
      </c>
      <c r="G1241" s="113">
        <f>'Sampling Data'!F1233</f>
        <v>0</v>
      </c>
      <c r="H1241" s="113">
        <f>'Sampling Data'!G1233</f>
        <v>0</v>
      </c>
      <c r="I1241" s="112">
        <f>'Sampling Data'!H1233</f>
        <v>0</v>
      </c>
      <c r="J1241" s="112">
        <f>'Sampling Data'!I1233</f>
        <v>1</v>
      </c>
      <c r="K1241" s="112">
        <f>'Sampling Data'!J1233</f>
        <v>14</v>
      </c>
      <c r="L1241" s="111">
        <f>'Sampling Data'!X1233</f>
        <v>0</v>
      </c>
      <c r="M1241" s="114"/>
      <c r="N1241" s="114"/>
      <c r="O1241" s="115"/>
      <c r="P1241" s="115"/>
      <c r="Q1241" s="116"/>
      <c r="R1241" s="116"/>
      <c r="S1241" s="111">
        <f>Audit[[#This Row],[Audit Losing Candidate]]-Audit[[#This Row],[Losing Candidate]]</f>
        <v>-3</v>
      </c>
      <c r="T1241" s="111">
        <f>Audit[[#This Row],[Audit Winning Candidate]]-Audit[[#This Row],[Winning Candidate]]</f>
        <v>-7</v>
      </c>
      <c r="U1241" s="111">
        <f>Audit[[#This Row],[Audit Candidate 3]]-Audit[[#This Row],[Candidate 3]]</f>
        <v>-3</v>
      </c>
      <c r="V1241" s="111">
        <f>Audit[[#This Row],[Audit Candidate 4]]-Audit[[#This Row],[Candidate 4]]</f>
        <v>0</v>
      </c>
      <c r="W1241" s="111">
        <f>Audit[[#This Row],[Audit Candidate 5]]-Audit[[#This Row],[Candidate 5]]</f>
        <v>0</v>
      </c>
      <c r="X1241" s="111">
        <f>Audit[[#This Row],[Audit Candidate 6]]-Audit[[#This Row],[Candidate 6]]</f>
        <v>0</v>
      </c>
      <c r="Y1241" s="111">
        <f>SUMIF(Audit[[#This Row],[Difference Loser]:[Difference Candidate 6]], "&gt;0")</f>
        <v>0</v>
      </c>
      <c r="Z1241" s="111">
        <f>SUM(Audit[[#This Row],[Difference Loser]:[Difference Candidate 6]])</f>
        <v>-13</v>
      </c>
      <c r="AA1241" s="111">
        <f>IF(Audit[[#This Row],[Times p Drawn - With Replacement]]&gt;0, IF(Audit[[#This Row],[Canceled Differences]]&lt;0, Audit[[#This Row],[Max Differences]]+ABS(Audit[[#This Row],[Canceled Differences]]), Audit[[#This Row],[Max Differences]]), 0)</f>
        <v>0</v>
      </c>
      <c r="AB1241" s="111">
        <f>'Sampling Data'!P1233</f>
        <v>1.1024007839294464E-3</v>
      </c>
      <c r="AC1241" s="111">
        <f>IF(
      SUM(Audit[[#This Row],[Audit Losing Candidate]:[Audit Candidate 6]])
      &lt;&gt;0,
      (Audit[[#This Row],[Winning Candidate]]-Audit[[#This Row],[Losing Candidate]]-(Audit[[#This Row],[Audit Winning Candidate]]-Audit[[#This Row],[Audit Losing Candidate]]))/(Audit[[#Totals],[Winning Candidate]]-Audit[[#Totals],[Losing Candidate]]),
      0
)</f>
        <v>0</v>
      </c>
      <c r="AD12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1" s="111">
        <f>IF(Audit[[#This Row],[Max Relative Error (ep)]] = 0, 0, Audit[[#This Row],[Max Relative Error (ep)]]/Audit[[#This Row],[Error Bound (up) - Max. possible relative overstatement]])</f>
        <v>0</v>
      </c>
      <c r="AJ12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41" s="111">
        <f t="shared" si="19"/>
        <v>1</v>
      </c>
      <c r="AL1241" s="111">
        <f>PRODUCT($AK$5:AK1241)</f>
        <v>8.962823818226312E-2</v>
      </c>
      <c r="AM1241" s="109">
        <f>1 - [K-M P Value]</f>
        <v>0.91037176181773694</v>
      </c>
      <c r="AN1241" s="111" t="str">
        <f>IF(Audit[[#This Row],[K-M P Value]]&gt;1-'General Info'!$B$16,"Continue", "Stop")</f>
        <v>Stop</v>
      </c>
      <c r="AO1241" s="110" t="b">
        <f>IF(Audit[[#This Row],[Status - Continue or stop audit]] = "Continue", TRUE, IF(AN1240 = "Continue", TRUE, FALSE))</f>
        <v>0</v>
      </c>
      <c r="AP1241" s="110"/>
    </row>
    <row r="1242" spans="1:42" ht="15" hidden="1" customHeight="1">
      <c r="A1242" s="111" t="str">
        <f>'Sampling Data'!W1234</f>
        <v/>
      </c>
      <c r="B1242" s="112" t="str">
        <f>'Sampling Data'!A1234</f>
        <v>GLENWILLOW -02-A - ABS</v>
      </c>
      <c r="C1242" s="112">
        <f>'Sampling Data'!B1234</f>
        <v>3</v>
      </c>
      <c r="D1242" s="112">
        <f>'Sampling Data'!C1234</f>
        <v>2</v>
      </c>
      <c r="E1242" s="113">
        <f>'Sampling Data'!D1234</f>
        <v>0</v>
      </c>
      <c r="F1242" s="113">
        <f>'Sampling Data'!E1234</f>
        <v>1</v>
      </c>
      <c r="G1242" s="113">
        <f>'Sampling Data'!F1234</f>
        <v>0</v>
      </c>
      <c r="H1242" s="113">
        <f>'Sampling Data'!G1234</f>
        <v>0</v>
      </c>
      <c r="I1242" s="112">
        <f>'Sampling Data'!H1234</f>
        <v>0</v>
      </c>
      <c r="J1242" s="112">
        <f>'Sampling Data'!I1234</f>
        <v>1</v>
      </c>
      <c r="K1242" s="112">
        <f>'Sampling Data'!J1234</f>
        <v>7</v>
      </c>
      <c r="L1242" s="111">
        <f>'Sampling Data'!X1234</f>
        <v>0</v>
      </c>
      <c r="M1242" s="114"/>
      <c r="N1242" s="114"/>
      <c r="O1242" s="115"/>
      <c r="P1242" s="115"/>
      <c r="Q1242" s="116"/>
      <c r="R1242" s="116"/>
      <c r="S1242" s="111">
        <f>Audit[[#This Row],[Audit Losing Candidate]]-Audit[[#This Row],[Losing Candidate]]</f>
        <v>-3</v>
      </c>
      <c r="T1242" s="111">
        <f>Audit[[#This Row],[Audit Winning Candidate]]-Audit[[#This Row],[Winning Candidate]]</f>
        <v>-2</v>
      </c>
      <c r="U1242" s="111">
        <f>Audit[[#This Row],[Audit Candidate 3]]-Audit[[#This Row],[Candidate 3]]</f>
        <v>0</v>
      </c>
      <c r="V1242" s="111">
        <f>Audit[[#This Row],[Audit Candidate 4]]-Audit[[#This Row],[Candidate 4]]</f>
        <v>-1</v>
      </c>
      <c r="W1242" s="111">
        <f>Audit[[#This Row],[Audit Candidate 5]]-Audit[[#This Row],[Candidate 5]]</f>
        <v>0</v>
      </c>
      <c r="X1242" s="111">
        <f>Audit[[#This Row],[Audit Candidate 6]]-Audit[[#This Row],[Candidate 6]]</f>
        <v>0</v>
      </c>
      <c r="Y1242" s="111">
        <f>SUMIF(Audit[[#This Row],[Difference Loser]:[Difference Candidate 6]], "&gt;0")</f>
        <v>0</v>
      </c>
      <c r="Z1242" s="111">
        <f>SUM(Audit[[#This Row],[Difference Loser]:[Difference Candidate 6]])</f>
        <v>-6</v>
      </c>
      <c r="AA1242" s="111">
        <f>IF(Audit[[#This Row],[Times p Drawn - With Replacement]]&gt;0, IF(Audit[[#This Row],[Canceled Differences]]&lt;0, Audit[[#This Row],[Max Differences]]+ABS(Audit[[#This Row],[Canceled Differences]]), Audit[[#This Row],[Max Differences]]), 0)</f>
        <v>0</v>
      </c>
      <c r="AB1242" s="111">
        <f>'Sampling Data'!P1234</f>
        <v>3.6746692797648211E-4</v>
      </c>
      <c r="AC1242" s="111">
        <f>IF(
      SUM(Audit[[#This Row],[Audit Losing Candidate]:[Audit Candidate 6]])
      &lt;&gt;0,
      (Audit[[#This Row],[Winning Candidate]]-Audit[[#This Row],[Losing Candidate]]-(Audit[[#This Row],[Audit Winning Candidate]]-Audit[[#This Row],[Audit Losing Candidate]]))/(Audit[[#Totals],[Winning Candidate]]-Audit[[#Totals],[Losing Candidate]]),
      0
)</f>
        <v>0</v>
      </c>
      <c r="AD12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2" s="111">
        <f>IF(Audit[[#This Row],[Max Relative Error (ep)]] = 0, 0, Audit[[#This Row],[Max Relative Error (ep)]]/Audit[[#This Row],[Error Bound (up) - Max. possible relative overstatement]])</f>
        <v>0</v>
      </c>
      <c r="AJ12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42" s="111">
        <f t="shared" si="19"/>
        <v>1</v>
      </c>
      <c r="AL1242" s="111">
        <f>PRODUCT($AK$5:AK1242)</f>
        <v>8.962823818226312E-2</v>
      </c>
      <c r="AM1242" s="109">
        <f>1 - [K-M P Value]</f>
        <v>0.91037176181773694</v>
      </c>
      <c r="AN1242" s="111" t="str">
        <f>IF(Audit[[#This Row],[K-M P Value]]&gt;1-'General Info'!$B$16,"Continue", "Stop")</f>
        <v>Stop</v>
      </c>
      <c r="AO1242" s="110" t="b">
        <f>IF(Audit[[#This Row],[Status - Continue or stop audit]] = "Continue", TRUE, IF(AN1241 = "Continue", TRUE, FALSE))</f>
        <v>0</v>
      </c>
      <c r="AP1242" s="110"/>
    </row>
    <row r="1243" spans="1:42" ht="15" hidden="1" customHeight="1">
      <c r="A1243" s="111" t="str">
        <f>'Sampling Data'!W1235</f>
        <v/>
      </c>
      <c r="B1243" s="112" t="str">
        <f>'Sampling Data'!A1235</f>
        <v>GLENWILLOW -03-A</v>
      </c>
      <c r="C1243" s="112">
        <f>'Sampling Data'!B1235</f>
        <v>1</v>
      </c>
      <c r="D1243" s="112">
        <f>'Sampling Data'!C1235</f>
        <v>0</v>
      </c>
      <c r="E1243" s="113">
        <f>'Sampling Data'!D1235</f>
        <v>0</v>
      </c>
      <c r="F1243" s="113">
        <f>'Sampling Data'!E1235</f>
        <v>0</v>
      </c>
      <c r="G1243" s="113">
        <f>'Sampling Data'!F1235</f>
        <v>0</v>
      </c>
      <c r="H1243" s="113">
        <f>'Sampling Data'!G1235</f>
        <v>0</v>
      </c>
      <c r="I1243" s="112">
        <f>'Sampling Data'!H1235</f>
        <v>0</v>
      </c>
      <c r="J1243" s="112">
        <f>'Sampling Data'!I1235</f>
        <v>0</v>
      </c>
      <c r="K1243" s="112">
        <f>'Sampling Data'!J1235</f>
        <v>1</v>
      </c>
      <c r="L1243" s="111">
        <f>'Sampling Data'!X1235</f>
        <v>0</v>
      </c>
      <c r="M1243" s="114"/>
      <c r="N1243" s="114"/>
      <c r="O1243" s="115"/>
      <c r="P1243" s="115"/>
      <c r="Q1243" s="116"/>
      <c r="R1243" s="116"/>
      <c r="S1243" s="111">
        <f>Audit[[#This Row],[Audit Losing Candidate]]-Audit[[#This Row],[Losing Candidate]]</f>
        <v>-1</v>
      </c>
      <c r="T1243" s="111">
        <f>Audit[[#This Row],[Audit Winning Candidate]]-Audit[[#This Row],[Winning Candidate]]</f>
        <v>0</v>
      </c>
      <c r="U1243" s="111">
        <f>Audit[[#This Row],[Audit Candidate 3]]-Audit[[#This Row],[Candidate 3]]</f>
        <v>0</v>
      </c>
      <c r="V1243" s="111">
        <f>Audit[[#This Row],[Audit Candidate 4]]-Audit[[#This Row],[Candidate 4]]</f>
        <v>0</v>
      </c>
      <c r="W1243" s="111">
        <f>Audit[[#This Row],[Audit Candidate 5]]-Audit[[#This Row],[Candidate 5]]</f>
        <v>0</v>
      </c>
      <c r="X1243" s="111">
        <f>Audit[[#This Row],[Audit Candidate 6]]-Audit[[#This Row],[Candidate 6]]</f>
        <v>0</v>
      </c>
      <c r="Y1243" s="111">
        <f>SUMIF(Audit[[#This Row],[Difference Loser]:[Difference Candidate 6]], "&gt;0")</f>
        <v>0</v>
      </c>
      <c r="Z1243" s="111">
        <f>SUM(Audit[[#This Row],[Difference Loser]:[Difference Candidate 6]])</f>
        <v>-1</v>
      </c>
      <c r="AA1243" s="111">
        <f>IF(Audit[[#This Row],[Times p Drawn - With Replacement]]&gt;0, IF(Audit[[#This Row],[Canceled Differences]]&lt;0, Audit[[#This Row],[Max Differences]]+ABS(Audit[[#This Row],[Canceled Differences]]), Audit[[#This Row],[Max Differences]]), 0)</f>
        <v>0</v>
      </c>
      <c r="AB1243" s="111">
        <f>'Sampling Data'!P1235</f>
        <v>3.2261186566441917E-5</v>
      </c>
      <c r="AC1243" s="111">
        <f>IF(
      SUM(Audit[[#This Row],[Audit Losing Candidate]:[Audit Candidate 6]])
      &lt;&gt;0,
      (Audit[[#This Row],[Winning Candidate]]-Audit[[#This Row],[Losing Candidate]]-(Audit[[#This Row],[Audit Winning Candidate]]-Audit[[#This Row],[Audit Losing Candidate]]))/(Audit[[#Totals],[Winning Candidate]]-Audit[[#Totals],[Losing Candidate]]),
      0
)</f>
        <v>0</v>
      </c>
      <c r="AD12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3" s="111">
        <f>IF(Audit[[#This Row],[Max Relative Error (ep)]] = 0, 0, Audit[[#This Row],[Max Relative Error (ep)]]/Audit[[#This Row],[Error Bound (up) - Max. possible relative overstatement]])</f>
        <v>0</v>
      </c>
      <c r="AJ12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43" s="111">
        <f t="shared" si="19"/>
        <v>1</v>
      </c>
      <c r="AL1243" s="111">
        <f>PRODUCT($AK$5:AK1243)</f>
        <v>8.962823818226312E-2</v>
      </c>
      <c r="AM1243" s="109">
        <f>1 - [K-M P Value]</f>
        <v>0.91037176181773694</v>
      </c>
      <c r="AN1243" s="111" t="str">
        <f>IF(Audit[[#This Row],[K-M P Value]]&gt;1-'General Info'!$B$16,"Continue", "Stop")</f>
        <v>Stop</v>
      </c>
      <c r="AO1243" s="110" t="b">
        <f>IF(Audit[[#This Row],[Status - Continue or stop audit]] = "Continue", TRUE, IF(AN1242 = "Continue", TRUE, FALSE))</f>
        <v>0</v>
      </c>
      <c r="AP1243" s="110"/>
    </row>
    <row r="1244" spans="1:42" ht="15" hidden="1" customHeight="1">
      <c r="A1244" s="111" t="str">
        <f>'Sampling Data'!W1236</f>
        <v/>
      </c>
      <c r="B1244" s="112" t="str">
        <f>'Sampling Data'!A1236</f>
        <v>GLENWILLOW -03-A - ABS</v>
      </c>
      <c r="C1244" s="112">
        <f>'Sampling Data'!B1236</f>
        <v>0</v>
      </c>
      <c r="D1244" s="112">
        <f>'Sampling Data'!C1236</f>
        <v>0</v>
      </c>
      <c r="E1244" s="113">
        <f>'Sampling Data'!D1236</f>
        <v>0</v>
      </c>
      <c r="F1244" s="113">
        <f>'Sampling Data'!E1236</f>
        <v>2</v>
      </c>
      <c r="G1244" s="113">
        <f>'Sampling Data'!F1236</f>
        <v>0</v>
      </c>
      <c r="H1244" s="113">
        <f>'Sampling Data'!G1236</f>
        <v>0</v>
      </c>
      <c r="I1244" s="112">
        <f>'Sampling Data'!H1236</f>
        <v>0</v>
      </c>
      <c r="J1244" s="112">
        <f>'Sampling Data'!I1236</f>
        <v>0</v>
      </c>
      <c r="K1244" s="112">
        <f>'Sampling Data'!J1236</f>
        <v>2</v>
      </c>
      <c r="L1244" s="111">
        <f>'Sampling Data'!X1236</f>
        <v>0</v>
      </c>
      <c r="M1244" s="114"/>
      <c r="N1244" s="114"/>
      <c r="O1244" s="115"/>
      <c r="P1244" s="115"/>
      <c r="Q1244" s="116"/>
      <c r="R1244" s="116"/>
      <c r="S1244" s="111">
        <f>Audit[[#This Row],[Audit Losing Candidate]]-Audit[[#This Row],[Losing Candidate]]</f>
        <v>0</v>
      </c>
      <c r="T1244" s="111">
        <f>Audit[[#This Row],[Audit Winning Candidate]]-Audit[[#This Row],[Winning Candidate]]</f>
        <v>0</v>
      </c>
      <c r="U1244" s="111">
        <f>Audit[[#This Row],[Audit Candidate 3]]-Audit[[#This Row],[Candidate 3]]</f>
        <v>0</v>
      </c>
      <c r="V1244" s="111">
        <f>Audit[[#This Row],[Audit Candidate 4]]-Audit[[#This Row],[Candidate 4]]</f>
        <v>-2</v>
      </c>
      <c r="W1244" s="111">
        <f>Audit[[#This Row],[Audit Candidate 5]]-Audit[[#This Row],[Candidate 5]]</f>
        <v>0</v>
      </c>
      <c r="X1244" s="111">
        <f>Audit[[#This Row],[Audit Candidate 6]]-Audit[[#This Row],[Candidate 6]]</f>
        <v>0</v>
      </c>
      <c r="Y1244" s="111">
        <f>SUMIF(Audit[[#This Row],[Difference Loser]:[Difference Candidate 6]], "&gt;0")</f>
        <v>0</v>
      </c>
      <c r="Z1244" s="111">
        <f>SUM(Audit[[#This Row],[Difference Loser]:[Difference Candidate 6]])</f>
        <v>-2</v>
      </c>
      <c r="AA1244" s="111">
        <f>IF(Audit[[#This Row],[Times p Drawn - With Replacement]]&gt;0, IF(Audit[[#This Row],[Canceled Differences]]&lt;0, Audit[[#This Row],[Max Differences]]+ABS(Audit[[#This Row],[Canceled Differences]]), Audit[[#This Row],[Max Differences]]), 0)</f>
        <v>0</v>
      </c>
      <c r="AB1244" s="111">
        <f>'Sampling Data'!P1236</f>
        <v>1.224889759921607E-4</v>
      </c>
      <c r="AC1244" s="111">
        <f>IF(
      SUM(Audit[[#This Row],[Audit Losing Candidate]:[Audit Candidate 6]])
      &lt;&gt;0,
      (Audit[[#This Row],[Winning Candidate]]-Audit[[#This Row],[Losing Candidate]]-(Audit[[#This Row],[Audit Winning Candidate]]-Audit[[#This Row],[Audit Losing Candidate]]))/(Audit[[#Totals],[Winning Candidate]]-Audit[[#Totals],[Losing Candidate]]),
      0
)</f>
        <v>0</v>
      </c>
      <c r="AD12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4" s="111">
        <f>IF(Audit[[#This Row],[Max Relative Error (ep)]] = 0, 0, Audit[[#This Row],[Max Relative Error (ep)]]/Audit[[#This Row],[Error Bound (up) - Max. possible relative overstatement]])</f>
        <v>0</v>
      </c>
      <c r="AJ12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44" s="111">
        <f t="shared" si="19"/>
        <v>1</v>
      </c>
      <c r="AL1244" s="111">
        <f>PRODUCT($AK$5:AK1244)</f>
        <v>8.962823818226312E-2</v>
      </c>
      <c r="AM1244" s="109">
        <f>1 - [K-M P Value]</f>
        <v>0.91037176181773694</v>
      </c>
      <c r="AN1244" s="111" t="str">
        <f>IF(Audit[[#This Row],[K-M P Value]]&gt;1-'General Info'!$B$16,"Continue", "Stop")</f>
        <v>Stop</v>
      </c>
      <c r="AO1244" s="110" t="b">
        <f>IF(Audit[[#This Row],[Status - Continue or stop audit]] = "Continue", TRUE, IF(AN1243 = "Continue", TRUE, FALSE))</f>
        <v>0</v>
      </c>
      <c r="AP1244" s="110"/>
    </row>
    <row r="1245" spans="1:42" ht="15" hidden="1" customHeight="1">
      <c r="A1245" s="111" t="str">
        <f>'Sampling Data'!W1237</f>
        <v/>
      </c>
      <c r="B1245" s="112" t="str">
        <f>'Sampling Data'!A1237</f>
        <v>HIGHLAND HEIGHTS -01-A</v>
      </c>
      <c r="C1245" s="112">
        <f>'Sampling Data'!B1237</f>
        <v>24</v>
      </c>
      <c r="D1245" s="112">
        <f>'Sampling Data'!C1237</f>
        <v>84</v>
      </c>
      <c r="E1245" s="113">
        <f>'Sampling Data'!D1237</f>
        <v>14</v>
      </c>
      <c r="F1245" s="113">
        <f>'Sampling Data'!E1237</f>
        <v>10</v>
      </c>
      <c r="G1245" s="113">
        <f>'Sampling Data'!F1237</f>
        <v>0</v>
      </c>
      <c r="H1245" s="113">
        <f>'Sampling Data'!G1237</f>
        <v>0</v>
      </c>
      <c r="I1245" s="112">
        <f>'Sampling Data'!H1237</f>
        <v>0</v>
      </c>
      <c r="J1245" s="112">
        <f>'Sampling Data'!I1237</f>
        <v>3</v>
      </c>
      <c r="K1245" s="112">
        <f>'Sampling Data'!J1237</f>
        <v>135</v>
      </c>
      <c r="L1245" s="111">
        <f>'Sampling Data'!X1237</f>
        <v>0</v>
      </c>
      <c r="M1245" s="114"/>
      <c r="N1245" s="114"/>
      <c r="O1245" s="115"/>
      <c r="P1245" s="115"/>
      <c r="Q1245" s="116"/>
      <c r="R1245" s="116"/>
      <c r="S1245" s="111">
        <f>Audit[[#This Row],[Audit Losing Candidate]]-Audit[[#This Row],[Losing Candidate]]</f>
        <v>-24</v>
      </c>
      <c r="T1245" s="111">
        <f>Audit[[#This Row],[Audit Winning Candidate]]-Audit[[#This Row],[Winning Candidate]]</f>
        <v>-84</v>
      </c>
      <c r="U1245" s="111">
        <f>Audit[[#This Row],[Audit Candidate 3]]-Audit[[#This Row],[Candidate 3]]</f>
        <v>-14</v>
      </c>
      <c r="V1245" s="111">
        <f>Audit[[#This Row],[Audit Candidate 4]]-Audit[[#This Row],[Candidate 4]]</f>
        <v>-10</v>
      </c>
      <c r="W1245" s="111">
        <f>Audit[[#This Row],[Audit Candidate 5]]-Audit[[#This Row],[Candidate 5]]</f>
        <v>0</v>
      </c>
      <c r="X1245" s="111">
        <f>Audit[[#This Row],[Audit Candidate 6]]-Audit[[#This Row],[Candidate 6]]</f>
        <v>0</v>
      </c>
      <c r="Y1245" s="111">
        <f>SUMIF(Audit[[#This Row],[Difference Loser]:[Difference Candidate 6]], "&gt;0")</f>
        <v>0</v>
      </c>
      <c r="Z1245" s="111">
        <f>SUM(Audit[[#This Row],[Difference Loser]:[Difference Candidate 6]])</f>
        <v>-132</v>
      </c>
      <c r="AA1245" s="111">
        <f>IF(Audit[[#This Row],[Times p Drawn - With Replacement]]&gt;0, IF(Audit[[#This Row],[Canceled Differences]]&lt;0, Audit[[#This Row],[Max Differences]]+ABS(Audit[[#This Row],[Canceled Differences]]), Audit[[#This Row],[Max Differences]]), 0)</f>
        <v>0</v>
      </c>
      <c r="AB1245" s="111">
        <f>'Sampling Data'!P1237</f>
        <v>1.194267515923567E-2</v>
      </c>
      <c r="AC1245" s="111">
        <f>IF(
      SUM(Audit[[#This Row],[Audit Losing Candidate]:[Audit Candidate 6]])
      &lt;&gt;0,
      (Audit[[#This Row],[Winning Candidate]]-Audit[[#This Row],[Losing Candidate]]-(Audit[[#This Row],[Audit Winning Candidate]]-Audit[[#This Row],[Audit Losing Candidate]]))/(Audit[[#Totals],[Winning Candidate]]-Audit[[#Totals],[Losing Candidate]]),
      0
)</f>
        <v>0</v>
      </c>
      <c r="AD12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5" s="111">
        <f>IF(Audit[[#This Row],[Max Relative Error (ep)]] = 0, 0, Audit[[#This Row],[Max Relative Error (ep)]]/Audit[[#This Row],[Error Bound (up) - Max. possible relative overstatement]])</f>
        <v>0</v>
      </c>
      <c r="AJ12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45" s="111">
        <f t="shared" si="19"/>
        <v>1</v>
      </c>
      <c r="AL1245" s="111">
        <f>PRODUCT($AK$5:AK1245)</f>
        <v>8.962823818226312E-2</v>
      </c>
      <c r="AM1245" s="109">
        <f>1 - [K-M P Value]</f>
        <v>0.91037176181773694</v>
      </c>
      <c r="AN1245" s="111" t="str">
        <f>IF(Audit[[#This Row],[K-M P Value]]&gt;1-'General Info'!$B$16,"Continue", "Stop")</f>
        <v>Stop</v>
      </c>
      <c r="AO1245" s="110" t="b">
        <f>IF(Audit[[#This Row],[Status - Continue or stop audit]] = "Continue", TRUE, IF(AN1244 = "Continue", TRUE, FALSE))</f>
        <v>0</v>
      </c>
      <c r="AP1245" s="110"/>
    </row>
    <row r="1246" spans="1:42" ht="15" hidden="1" customHeight="1">
      <c r="A1246" s="111" t="str">
        <f>'Sampling Data'!W1238</f>
        <v/>
      </c>
      <c r="B1246" s="112" t="str">
        <f>'Sampling Data'!A1238</f>
        <v>HIGHLAND HEIGHTS -01-A - ABS</v>
      </c>
      <c r="C1246" s="112">
        <f>'Sampling Data'!B1238</f>
        <v>11</v>
      </c>
      <c r="D1246" s="112">
        <f>'Sampling Data'!C1238</f>
        <v>47</v>
      </c>
      <c r="E1246" s="113">
        <f>'Sampling Data'!D1238</f>
        <v>9</v>
      </c>
      <c r="F1246" s="113">
        <f>'Sampling Data'!E1238</f>
        <v>1</v>
      </c>
      <c r="G1246" s="113">
        <f>'Sampling Data'!F1238</f>
        <v>0</v>
      </c>
      <c r="H1246" s="113">
        <f>'Sampling Data'!G1238</f>
        <v>0</v>
      </c>
      <c r="I1246" s="112">
        <f>'Sampling Data'!H1238</f>
        <v>0</v>
      </c>
      <c r="J1246" s="112">
        <f>'Sampling Data'!I1238</f>
        <v>1</v>
      </c>
      <c r="K1246" s="112">
        <f>'Sampling Data'!J1238</f>
        <v>69</v>
      </c>
      <c r="L1246" s="111">
        <f>'Sampling Data'!X1238</f>
        <v>0</v>
      </c>
      <c r="M1246" s="114"/>
      <c r="N1246" s="114"/>
      <c r="O1246" s="115"/>
      <c r="P1246" s="115"/>
      <c r="Q1246" s="116"/>
      <c r="R1246" s="116"/>
      <c r="S1246" s="111">
        <f>Audit[[#This Row],[Audit Losing Candidate]]-Audit[[#This Row],[Losing Candidate]]</f>
        <v>-11</v>
      </c>
      <c r="T1246" s="111">
        <f>Audit[[#This Row],[Audit Winning Candidate]]-Audit[[#This Row],[Winning Candidate]]</f>
        <v>-47</v>
      </c>
      <c r="U1246" s="111">
        <f>Audit[[#This Row],[Audit Candidate 3]]-Audit[[#This Row],[Candidate 3]]</f>
        <v>-9</v>
      </c>
      <c r="V1246" s="111">
        <f>Audit[[#This Row],[Audit Candidate 4]]-Audit[[#This Row],[Candidate 4]]</f>
        <v>-1</v>
      </c>
      <c r="W1246" s="111">
        <f>Audit[[#This Row],[Audit Candidate 5]]-Audit[[#This Row],[Candidate 5]]</f>
        <v>0</v>
      </c>
      <c r="X1246" s="111">
        <f>Audit[[#This Row],[Audit Candidate 6]]-Audit[[#This Row],[Candidate 6]]</f>
        <v>0</v>
      </c>
      <c r="Y1246" s="111">
        <f>SUMIF(Audit[[#This Row],[Difference Loser]:[Difference Candidate 6]], "&gt;0")</f>
        <v>0</v>
      </c>
      <c r="Z1246" s="111">
        <f>SUM(Audit[[#This Row],[Difference Loser]:[Difference Candidate 6]])</f>
        <v>-68</v>
      </c>
      <c r="AA1246" s="111">
        <f>IF(Audit[[#This Row],[Times p Drawn - With Replacement]]&gt;0, IF(Audit[[#This Row],[Canceled Differences]]&lt;0, Audit[[#This Row],[Max Differences]]+ABS(Audit[[#This Row],[Canceled Differences]]), Audit[[#This Row],[Max Differences]]), 0)</f>
        <v>0</v>
      </c>
      <c r="AB1246" s="111">
        <f>'Sampling Data'!P1238</f>
        <v>6.4306712395884374E-3</v>
      </c>
      <c r="AC1246" s="111">
        <f>IF(
      SUM(Audit[[#This Row],[Audit Losing Candidate]:[Audit Candidate 6]])
      &lt;&gt;0,
      (Audit[[#This Row],[Winning Candidate]]-Audit[[#This Row],[Losing Candidate]]-(Audit[[#This Row],[Audit Winning Candidate]]-Audit[[#This Row],[Audit Losing Candidate]]))/(Audit[[#Totals],[Winning Candidate]]-Audit[[#Totals],[Losing Candidate]]),
      0
)</f>
        <v>0</v>
      </c>
      <c r="AD12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6" s="111">
        <f>IF(Audit[[#This Row],[Max Relative Error (ep)]] = 0, 0, Audit[[#This Row],[Max Relative Error (ep)]]/Audit[[#This Row],[Error Bound (up) - Max. possible relative overstatement]])</f>
        <v>0</v>
      </c>
      <c r="AJ12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46" s="111">
        <f t="shared" si="19"/>
        <v>1</v>
      </c>
      <c r="AL1246" s="111">
        <f>PRODUCT($AK$5:AK1246)</f>
        <v>8.962823818226312E-2</v>
      </c>
      <c r="AM1246" s="109">
        <f>1 - [K-M P Value]</f>
        <v>0.91037176181773694</v>
      </c>
      <c r="AN1246" s="111" t="str">
        <f>IF(Audit[[#This Row],[K-M P Value]]&gt;1-'General Info'!$B$16,"Continue", "Stop")</f>
        <v>Stop</v>
      </c>
      <c r="AO1246" s="110" t="b">
        <f>IF(Audit[[#This Row],[Status - Continue or stop audit]] = "Continue", TRUE, IF(AN1245 = "Continue", TRUE, FALSE))</f>
        <v>0</v>
      </c>
      <c r="AP1246" s="110"/>
    </row>
    <row r="1247" spans="1:42" ht="15" hidden="1" customHeight="1">
      <c r="A1247" s="111" t="str">
        <f>'Sampling Data'!W1239</f>
        <v/>
      </c>
      <c r="B1247" s="112" t="str">
        <f>'Sampling Data'!A1239</f>
        <v>HIGHLAND HEIGHTS -01-B</v>
      </c>
      <c r="C1247" s="112">
        <f>'Sampling Data'!B1239</f>
        <v>28</v>
      </c>
      <c r="D1247" s="112">
        <f>'Sampling Data'!C1239</f>
        <v>57</v>
      </c>
      <c r="E1247" s="113">
        <f>'Sampling Data'!D1239</f>
        <v>12</v>
      </c>
      <c r="F1247" s="113">
        <f>'Sampling Data'!E1239</f>
        <v>9</v>
      </c>
      <c r="G1247" s="113">
        <f>'Sampling Data'!F1239</f>
        <v>0</v>
      </c>
      <c r="H1247" s="113">
        <f>'Sampling Data'!G1239</f>
        <v>0</v>
      </c>
      <c r="I1247" s="112">
        <f>'Sampling Data'!H1239</f>
        <v>0</v>
      </c>
      <c r="J1247" s="112">
        <f>'Sampling Data'!I1239</f>
        <v>6</v>
      </c>
      <c r="K1247" s="112">
        <f>'Sampling Data'!J1239</f>
        <v>112</v>
      </c>
      <c r="L1247" s="111">
        <f>'Sampling Data'!X1239</f>
        <v>0</v>
      </c>
      <c r="M1247" s="114"/>
      <c r="N1247" s="114"/>
      <c r="O1247" s="115"/>
      <c r="P1247" s="115"/>
      <c r="Q1247" s="116"/>
      <c r="R1247" s="116"/>
      <c r="S1247" s="111">
        <f>Audit[[#This Row],[Audit Losing Candidate]]-Audit[[#This Row],[Losing Candidate]]</f>
        <v>-28</v>
      </c>
      <c r="T1247" s="111">
        <f>Audit[[#This Row],[Audit Winning Candidate]]-Audit[[#This Row],[Winning Candidate]]</f>
        <v>-57</v>
      </c>
      <c r="U1247" s="111">
        <f>Audit[[#This Row],[Audit Candidate 3]]-Audit[[#This Row],[Candidate 3]]</f>
        <v>-12</v>
      </c>
      <c r="V1247" s="111">
        <f>Audit[[#This Row],[Audit Candidate 4]]-Audit[[#This Row],[Candidate 4]]</f>
        <v>-9</v>
      </c>
      <c r="W1247" s="111">
        <f>Audit[[#This Row],[Audit Candidate 5]]-Audit[[#This Row],[Candidate 5]]</f>
        <v>0</v>
      </c>
      <c r="X1247" s="111">
        <f>Audit[[#This Row],[Audit Candidate 6]]-Audit[[#This Row],[Candidate 6]]</f>
        <v>0</v>
      </c>
      <c r="Y1247" s="111">
        <f>SUMIF(Audit[[#This Row],[Difference Loser]:[Difference Candidate 6]], "&gt;0")</f>
        <v>0</v>
      </c>
      <c r="Z1247" s="111">
        <f>SUM(Audit[[#This Row],[Difference Loser]:[Difference Candidate 6]])</f>
        <v>-106</v>
      </c>
      <c r="AA1247" s="111">
        <f>IF(Audit[[#This Row],[Times p Drawn - With Replacement]]&gt;0, IF(Audit[[#This Row],[Canceled Differences]]&lt;0, Audit[[#This Row],[Max Differences]]+ABS(Audit[[#This Row],[Canceled Differences]]), Audit[[#This Row],[Max Differences]]), 0)</f>
        <v>0</v>
      </c>
      <c r="AB1247" s="111">
        <f>'Sampling Data'!P1239</f>
        <v>8.6354728074473294E-3</v>
      </c>
      <c r="AC1247" s="111">
        <f>IF(
      SUM(Audit[[#This Row],[Audit Losing Candidate]:[Audit Candidate 6]])
      &lt;&gt;0,
      (Audit[[#This Row],[Winning Candidate]]-Audit[[#This Row],[Losing Candidate]]-(Audit[[#This Row],[Audit Winning Candidate]]-Audit[[#This Row],[Audit Losing Candidate]]))/(Audit[[#Totals],[Winning Candidate]]-Audit[[#Totals],[Losing Candidate]]),
      0
)</f>
        <v>0</v>
      </c>
      <c r="AD12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7" s="111">
        <f>IF(Audit[[#This Row],[Max Relative Error (ep)]] = 0, 0, Audit[[#This Row],[Max Relative Error (ep)]]/Audit[[#This Row],[Error Bound (up) - Max. possible relative overstatement]])</f>
        <v>0</v>
      </c>
      <c r="AJ12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47" s="111">
        <f t="shared" si="19"/>
        <v>1</v>
      </c>
      <c r="AL1247" s="111">
        <f>PRODUCT($AK$5:AK1247)</f>
        <v>8.962823818226312E-2</v>
      </c>
      <c r="AM1247" s="109">
        <f>1 - [K-M P Value]</f>
        <v>0.91037176181773694</v>
      </c>
      <c r="AN1247" s="111" t="str">
        <f>IF(Audit[[#This Row],[K-M P Value]]&gt;1-'General Info'!$B$16,"Continue", "Stop")</f>
        <v>Stop</v>
      </c>
      <c r="AO1247" s="110" t="b">
        <f>IF(Audit[[#This Row],[Status - Continue or stop audit]] = "Continue", TRUE, IF(AN1246 = "Continue", TRUE, FALSE))</f>
        <v>0</v>
      </c>
      <c r="AP1247" s="110"/>
    </row>
    <row r="1248" spans="1:42" ht="15" hidden="1" customHeight="1">
      <c r="A1248" s="111" t="str">
        <f>'Sampling Data'!W1240</f>
        <v/>
      </c>
      <c r="B1248" s="112" t="str">
        <f>'Sampling Data'!A1240</f>
        <v>HIGHLAND HEIGHTS -01-B - ABS</v>
      </c>
      <c r="C1248" s="112">
        <f>'Sampling Data'!B1240</f>
        <v>23</v>
      </c>
      <c r="D1248" s="112">
        <f>'Sampling Data'!C1240</f>
        <v>30</v>
      </c>
      <c r="E1248" s="113">
        <f>'Sampling Data'!D1240</f>
        <v>6</v>
      </c>
      <c r="F1248" s="113">
        <f>'Sampling Data'!E1240</f>
        <v>2</v>
      </c>
      <c r="G1248" s="113">
        <f>'Sampling Data'!F1240</f>
        <v>0</v>
      </c>
      <c r="H1248" s="113">
        <f>'Sampling Data'!G1240</f>
        <v>0</v>
      </c>
      <c r="I1248" s="112">
        <f>'Sampling Data'!H1240</f>
        <v>0</v>
      </c>
      <c r="J1248" s="112">
        <f>'Sampling Data'!I1240</f>
        <v>1</v>
      </c>
      <c r="K1248" s="112">
        <f>'Sampling Data'!J1240</f>
        <v>62</v>
      </c>
      <c r="L1248" s="111">
        <f>'Sampling Data'!X1240</f>
        <v>0</v>
      </c>
      <c r="M1248" s="114"/>
      <c r="N1248" s="114"/>
      <c r="O1248" s="115"/>
      <c r="P1248" s="115"/>
      <c r="Q1248" s="116"/>
      <c r="R1248" s="116"/>
      <c r="S1248" s="111">
        <f>Audit[[#This Row],[Audit Losing Candidate]]-Audit[[#This Row],[Losing Candidate]]</f>
        <v>-23</v>
      </c>
      <c r="T1248" s="111">
        <f>Audit[[#This Row],[Audit Winning Candidate]]-Audit[[#This Row],[Winning Candidate]]</f>
        <v>-30</v>
      </c>
      <c r="U1248" s="111">
        <f>Audit[[#This Row],[Audit Candidate 3]]-Audit[[#This Row],[Candidate 3]]</f>
        <v>-6</v>
      </c>
      <c r="V1248" s="111">
        <f>Audit[[#This Row],[Audit Candidate 4]]-Audit[[#This Row],[Candidate 4]]</f>
        <v>-2</v>
      </c>
      <c r="W1248" s="111">
        <f>Audit[[#This Row],[Audit Candidate 5]]-Audit[[#This Row],[Candidate 5]]</f>
        <v>0</v>
      </c>
      <c r="X1248" s="111">
        <f>Audit[[#This Row],[Audit Candidate 6]]-Audit[[#This Row],[Candidate 6]]</f>
        <v>0</v>
      </c>
      <c r="Y1248" s="111">
        <f>SUMIF(Audit[[#This Row],[Difference Loser]:[Difference Candidate 6]], "&gt;0")</f>
        <v>0</v>
      </c>
      <c r="Z1248" s="111">
        <f>SUM(Audit[[#This Row],[Difference Loser]:[Difference Candidate 6]])</f>
        <v>-61</v>
      </c>
      <c r="AA1248" s="111">
        <f>IF(Audit[[#This Row],[Times p Drawn - With Replacement]]&gt;0, IF(Audit[[#This Row],[Canceled Differences]]&lt;0, Audit[[#This Row],[Max Differences]]+ABS(Audit[[#This Row],[Canceled Differences]]), Audit[[#This Row],[Max Differences]]), 0)</f>
        <v>0</v>
      </c>
      <c r="AB1248" s="111">
        <f>'Sampling Data'!P1240</f>
        <v>4.2258696717295445E-3</v>
      </c>
      <c r="AC1248" s="111">
        <f>IF(
      SUM(Audit[[#This Row],[Audit Losing Candidate]:[Audit Candidate 6]])
      &lt;&gt;0,
      (Audit[[#This Row],[Winning Candidate]]-Audit[[#This Row],[Losing Candidate]]-(Audit[[#This Row],[Audit Winning Candidate]]-Audit[[#This Row],[Audit Losing Candidate]]))/(Audit[[#Totals],[Winning Candidate]]-Audit[[#Totals],[Losing Candidate]]),
      0
)</f>
        <v>0</v>
      </c>
      <c r="AD12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8" s="111">
        <f>IF(Audit[[#This Row],[Max Relative Error (ep)]] = 0, 0, Audit[[#This Row],[Max Relative Error (ep)]]/Audit[[#This Row],[Error Bound (up) - Max. possible relative overstatement]])</f>
        <v>0</v>
      </c>
      <c r="AJ12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48" s="111">
        <f t="shared" si="19"/>
        <v>1</v>
      </c>
      <c r="AL1248" s="111">
        <f>PRODUCT($AK$5:AK1248)</f>
        <v>8.962823818226312E-2</v>
      </c>
      <c r="AM1248" s="109">
        <f>1 - [K-M P Value]</f>
        <v>0.91037176181773694</v>
      </c>
      <c r="AN1248" s="111" t="str">
        <f>IF(Audit[[#This Row],[K-M P Value]]&gt;1-'General Info'!$B$16,"Continue", "Stop")</f>
        <v>Stop</v>
      </c>
      <c r="AO1248" s="110" t="b">
        <f>IF(Audit[[#This Row],[Status - Continue or stop audit]] = "Continue", TRUE, IF(AN1247 = "Continue", TRUE, FALSE))</f>
        <v>0</v>
      </c>
      <c r="AP1248" s="110"/>
    </row>
    <row r="1249" spans="1:42" ht="15" hidden="1" customHeight="1">
      <c r="A1249" s="111" t="str">
        <f>'Sampling Data'!W1241</f>
        <v/>
      </c>
      <c r="B1249" s="112" t="str">
        <f>'Sampling Data'!A1241</f>
        <v>HIGHLAND HEIGHTS -02-A</v>
      </c>
      <c r="C1249" s="112">
        <f>'Sampling Data'!B1241</f>
        <v>44</v>
      </c>
      <c r="D1249" s="112">
        <f>'Sampling Data'!C1241</f>
        <v>112</v>
      </c>
      <c r="E1249" s="113">
        <f>'Sampling Data'!D1241</f>
        <v>11</v>
      </c>
      <c r="F1249" s="113">
        <f>'Sampling Data'!E1241</f>
        <v>13</v>
      </c>
      <c r="G1249" s="113">
        <f>'Sampling Data'!F1241</f>
        <v>0</v>
      </c>
      <c r="H1249" s="113">
        <f>'Sampling Data'!G1241</f>
        <v>0</v>
      </c>
      <c r="I1249" s="112">
        <f>'Sampling Data'!H1241</f>
        <v>1</v>
      </c>
      <c r="J1249" s="112">
        <f>'Sampling Data'!I1241</f>
        <v>4</v>
      </c>
      <c r="K1249" s="112">
        <f>'Sampling Data'!J1241</f>
        <v>185</v>
      </c>
      <c r="L1249" s="111">
        <f>'Sampling Data'!X1241</f>
        <v>0</v>
      </c>
      <c r="M1249" s="114"/>
      <c r="N1249" s="114"/>
      <c r="O1249" s="115"/>
      <c r="P1249" s="115"/>
      <c r="Q1249" s="116"/>
      <c r="R1249" s="116"/>
      <c r="S1249" s="111">
        <f>Audit[[#This Row],[Audit Losing Candidate]]-Audit[[#This Row],[Losing Candidate]]</f>
        <v>-44</v>
      </c>
      <c r="T1249" s="111">
        <f>Audit[[#This Row],[Audit Winning Candidate]]-Audit[[#This Row],[Winning Candidate]]</f>
        <v>-112</v>
      </c>
      <c r="U1249" s="111">
        <f>Audit[[#This Row],[Audit Candidate 3]]-Audit[[#This Row],[Candidate 3]]</f>
        <v>-11</v>
      </c>
      <c r="V1249" s="111">
        <f>Audit[[#This Row],[Audit Candidate 4]]-Audit[[#This Row],[Candidate 4]]</f>
        <v>-13</v>
      </c>
      <c r="W1249" s="111">
        <f>Audit[[#This Row],[Audit Candidate 5]]-Audit[[#This Row],[Candidate 5]]</f>
        <v>0</v>
      </c>
      <c r="X1249" s="111">
        <f>Audit[[#This Row],[Audit Candidate 6]]-Audit[[#This Row],[Candidate 6]]</f>
        <v>0</v>
      </c>
      <c r="Y1249" s="111">
        <f>SUMIF(Audit[[#This Row],[Difference Loser]:[Difference Candidate 6]], "&gt;0")</f>
        <v>0</v>
      </c>
      <c r="Z1249" s="111">
        <f>SUM(Audit[[#This Row],[Difference Loser]:[Difference Candidate 6]])</f>
        <v>-180</v>
      </c>
      <c r="AA1249" s="111">
        <f>IF(Audit[[#This Row],[Times p Drawn - With Replacement]]&gt;0, IF(Audit[[#This Row],[Canceled Differences]]&lt;0, Audit[[#This Row],[Max Differences]]+ABS(Audit[[#This Row],[Canceled Differences]]), Audit[[#This Row],[Max Differences]]), 0)</f>
        <v>0</v>
      </c>
      <c r="AB1249" s="111">
        <f>'Sampling Data'!P1241</f>
        <v>1.549485546300833E-2</v>
      </c>
      <c r="AC1249" s="111">
        <f>IF(
      SUM(Audit[[#This Row],[Audit Losing Candidate]:[Audit Candidate 6]])
      &lt;&gt;0,
      (Audit[[#This Row],[Winning Candidate]]-Audit[[#This Row],[Losing Candidate]]-(Audit[[#This Row],[Audit Winning Candidate]]-Audit[[#This Row],[Audit Losing Candidate]]))/(Audit[[#Totals],[Winning Candidate]]-Audit[[#Totals],[Losing Candidate]]),
      0
)</f>
        <v>0</v>
      </c>
      <c r="AD12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9" s="111">
        <f>IF(Audit[[#This Row],[Max Relative Error (ep)]] = 0, 0, Audit[[#This Row],[Max Relative Error (ep)]]/Audit[[#This Row],[Error Bound (up) - Max. possible relative overstatement]])</f>
        <v>0</v>
      </c>
      <c r="AJ12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49" s="111">
        <f t="shared" si="19"/>
        <v>1</v>
      </c>
      <c r="AL1249" s="111">
        <f>PRODUCT($AK$5:AK1249)</f>
        <v>8.962823818226312E-2</v>
      </c>
      <c r="AM1249" s="109">
        <f>1 - [K-M P Value]</f>
        <v>0.91037176181773694</v>
      </c>
      <c r="AN1249" s="111" t="str">
        <f>IF(Audit[[#This Row],[K-M P Value]]&gt;1-'General Info'!$B$16,"Continue", "Stop")</f>
        <v>Stop</v>
      </c>
      <c r="AO1249" s="110" t="b">
        <f>IF(Audit[[#This Row],[Status - Continue or stop audit]] = "Continue", TRUE, IF(AN1248 = "Continue", TRUE, FALSE))</f>
        <v>0</v>
      </c>
      <c r="AP1249" s="110"/>
    </row>
    <row r="1250" spans="1:42" ht="15" hidden="1" customHeight="1">
      <c r="A1250" s="111" t="str">
        <f>'Sampling Data'!W1242</f>
        <v/>
      </c>
      <c r="B1250" s="112" t="str">
        <f>'Sampling Data'!A1242</f>
        <v>HIGHLAND HEIGHTS -02-A - ABS</v>
      </c>
      <c r="C1250" s="112">
        <f>'Sampling Data'!B1242</f>
        <v>15</v>
      </c>
      <c r="D1250" s="112">
        <f>'Sampling Data'!C1242</f>
        <v>35</v>
      </c>
      <c r="E1250" s="113">
        <f>'Sampling Data'!D1242</f>
        <v>6</v>
      </c>
      <c r="F1250" s="113">
        <f>'Sampling Data'!E1242</f>
        <v>1</v>
      </c>
      <c r="G1250" s="113">
        <f>'Sampling Data'!F1242</f>
        <v>0</v>
      </c>
      <c r="H1250" s="113">
        <f>'Sampling Data'!G1242</f>
        <v>0</v>
      </c>
      <c r="I1250" s="112">
        <f>'Sampling Data'!H1242</f>
        <v>0</v>
      </c>
      <c r="J1250" s="112">
        <f>'Sampling Data'!I1242</f>
        <v>6</v>
      </c>
      <c r="K1250" s="112">
        <f>'Sampling Data'!J1242</f>
        <v>63</v>
      </c>
      <c r="L1250" s="111">
        <f>'Sampling Data'!X1242</f>
        <v>0</v>
      </c>
      <c r="M1250" s="114"/>
      <c r="N1250" s="114"/>
      <c r="O1250" s="115"/>
      <c r="P1250" s="115"/>
      <c r="Q1250" s="116"/>
      <c r="R1250" s="116"/>
      <c r="S1250" s="111">
        <f>Audit[[#This Row],[Audit Losing Candidate]]-Audit[[#This Row],[Losing Candidate]]</f>
        <v>-15</v>
      </c>
      <c r="T1250" s="111">
        <f>Audit[[#This Row],[Audit Winning Candidate]]-Audit[[#This Row],[Winning Candidate]]</f>
        <v>-35</v>
      </c>
      <c r="U1250" s="111">
        <f>Audit[[#This Row],[Audit Candidate 3]]-Audit[[#This Row],[Candidate 3]]</f>
        <v>-6</v>
      </c>
      <c r="V1250" s="111">
        <f>Audit[[#This Row],[Audit Candidate 4]]-Audit[[#This Row],[Candidate 4]]</f>
        <v>-1</v>
      </c>
      <c r="W1250" s="111">
        <f>Audit[[#This Row],[Audit Candidate 5]]-Audit[[#This Row],[Candidate 5]]</f>
        <v>0</v>
      </c>
      <c r="X1250" s="111">
        <f>Audit[[#This Row],[Audit Candidate 6]]-Audit[[#This Row],[Candidate 6]]</f>
        <v>0</v>
      </c>
      <c r="Y1250" s="111">
        <f>SUMIF(Audit[[#This Row],[Difference Loser]:[Difference Candidate 6]], "&gt;0")</f>
        <v>0</v>
      </c>
      <c r="Z1250" s="111">
        <f>SUM(Audit[[#This Row],[Difference Loser]:[Difference Candidate 6]])</f>
        <v>-57</v>
      </c>
      <c r="AA1250" s="111">
        <f>IF(Audit[[#This Row],[Times p Drawn - With Replacement]]&gt;0, IF(Audit[[#This Row],[Canceled Differences]]&lt;0, Audit[[#This Row],[Max Differences]]+ABS(Audit[[#This Row],[Canceled Differences]]), Audit[[#This Row],[Max Differences]]), 0)</f>
        <v>0</v>
      </c>
      <c r="AB1250" s="111">
        <f>'Sampling Data'!P1242</f>
        <v>5.0832925036746694E-3</v>
      </c>
      <c r="AC1250" s="111">
        <f>IF(
      SUM(Audit[[#This Row],[Audit Losing Candidate]:[Audit Candidate 6]])
      &lt;&gt;0,
      (Audit[[#This Row],[Winning Candidate]]-Audit[[#This Row],[Losing Candidate]]-(Audit[[#This Row],[Audit Winning Candidate]]-Audit[[#This Row],[Audit Losing Candidate]]))/(Audit[[#Totals],[Winning Candidate]]-Audit[[#Totals],[Losing Candidate]]),
      0
)</f>
        <v>0</v>
      </c>
      <c r="AD12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0" s="111">
        <f>IF(Audit[[#This Row],[Max Relative Error (ep)]] = 0, 0, Audit[[#This Row],[Max Relative Error (ep)]]/Audit[[#This Row],[Error Bound (up) - Max. possible relative overstatement]])</f>
        <v>0</v>
      </c>
      <c r="AJ12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50" s="111">
        <f t="shared" si="19"/>
        <v>1</v>
      </c>
      <c r="AL1250" s="111">
        <f>PRODUCT($AK$5:AK1250)</f>
        <v>8.962823818226312E-2</v>
      </c>
      <c r="AM1250" s="109">
        <f>1 - [K-M P Value]</f>
        <v>0.91037176181773694</v>
      </c>
      <c r="AN1250" s="111" t="str">
        <f>IF(Audit[[#This Row],[K-M P Value]]&gt;1-'General Info'!$B$16,"Continue", "Stop")</f>
        <v>Stop</v>
      </c>
      <c r="AO1250" s="110" t="b">
        <f>IF(Audit[[#This Row],[Status - Continue or stop audit]] = "Continue", TRUE, IF(AN1249 = "Continue", TRUE, FALSE))</f>
        <v>0</v>
      </c>
      <c r="AP1250" s="110"/>
    </row>
    <row r="1251" spans="1:42" ht="15" hidden="1" customHeight="1">
      <c r="A1251" s="111" t="str">
        <f>'Sampling Data'!W1243</f>
        <v/>
      </c>
      <c r="B1251" s="112" t="str">
        <f>'Sampling Data'!A1243</f>
        <v>HIGHLAND HEIGHTS -02-B</v>
      </c>
      <c r="C1251" s="112">
        <f>'Sampling Data'!B1243</f>
        <v>16</v>
      </c>
      <c r="D1251" s="112">
        <f>'Sampling Data'!C1243</f>
        <v>64</v>
      </c>
      <c r="E1251" s="113">
        <f>'Sampling Data'!D1243</f>
        <v>7</v>
      </c>
      <c r="F1251" s="113">
        <f>'Sampling Data'!E1243</f>
        <v>0</v>
      </c>
      <c r="G1251" s="113">
        <f>'Sampling Data'!F1243</f>
        <v>0</v>
      </c>
      <c r="H1251" s="113">
        <f>'Sampling Data'!G1243</f>
        <v>0</v>
      </c>
      <c r="I1251" s="112">
        <f>'Sampling Data'!H1243</f>
        <v>0</v>
      </c>
      <c r="J1251" s="112">
        <f>'Sampling Data'!I1243</f>
        <v>0</v>
      </c>
      <c r="K1251" s="112">
        <f>'Sampling Data'!J1243</f>
        <v>87</v>
      </c>
      <c r="L1251" s="111">
        <f>'Sampling Data'!X1243</f>
        <v>0</v>
      </c>
      <c r="M1251" s="114"/>
      <c r="N1251" s="114"/>
      <c r="O1251" s="115"/>
      <c r="P1251" s="115"/>
      <c r="Q1251" s="116"/>
      <c r="R1251" s="116"/>
      <c r="S1251" s="111">
        <f>Audit[[#This Row],[Audit Losing Candidate]]-Audit[[#This Row],[Losing Candidate]]</f>
        <v>-16</v>
      </c>
      <c r="T1251" s="111">
        <f>Audit[[#This Row],[Audit Winning Candidate]]-Audit[[#This Row],[Winning Candidate]]</f>
        <v>-64</v>
      </c>
      <c r="U1251" s="111">
        <f>Audit[[#This Row],[Audit Candidate 3]]-Audit[[#This Row],[Candidate 3]]</f>
        <v>-7</v>
      </c>
      <c r="V1251" s="111">
        <f>Audit[[#This Row],[Audit Candidate 4]]-Audit[[#This Row],[Candidate 4]]</f>
        <v>0</v>
      </c>
      <c r="W1251" s="111">
        <f>Audit[[#This Row],[Audit Candidate 5]]-Audit[[#This Row],[Candidate 5]]</f>
        <v>0</v>
      </c>
      <c r="X1251" s="111">
        <f>Audit[[#This Row],[Audit Candidate 6]]-Audit[[#This Row],[Candidate 6]]</f>
        <v>0</v>
      </c>
      <c r="Y1251" s="111">
        <f>SUMIF(Audit[[#This Row],[Difference Loser]:[Difference Candidate 6]], "&gt;0")</f>
        <v>0</v>
      </c>
      <c r="Z1251" s="111">
        <f>SUM(Audit[[#This Row],[Difference Loser]:[Difference Candidate 6]])</f>
        <v>-87</v>
      </c>
      <c r="AA1251" s="111">
        <f>IF(Audit[[#This Row],[Times p Drawn - With Replacement]]&gt;0, IF(Audit[[#This Row],[Canceled Differences]]&lt;0, Audit[[#This Row],[Max Differences]]+ABS(Audit[[#This Row],[Canceled Differences]]), Audit[[#This Row],[Max Differences]]), 0)</f>
        <v>0</v>
      </c>
      <c r="AB1251" s="111">
        <f>'Sampling Data'!P1243</f>
        <v>8.268005879470847E-3</v>
      </c>
      <c r="AC1251" s="111">
        <f>IF(
      SUM(Audit[[#This Row],[Audit Losing Candidate]:[Audit Candidate 6]])
      &lt;&gt;0,
      (Audit[[#This Row],[Winning Candidate]]-Audit[[#This Row],[Losing Candidate]]-(Audit[[#This Row],[Audit Winning Candidate]]-Audit[[#This Row],[Audit Losing Candidate]]))/(Audit[[#Totals],[Winning Candidate]]-Audit[[#Totals],[Losing Candidate]]),
      0
)</f>
        <v>0</v>
      </c>
      <c r="AD12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1" s="111">
        <f>IF(Audit[[#This Row],[Max Relative Error (ep)]] = 0, 0, Audit[[#This Row],[Max Relative Error (ep)]]/Audit[[#This Row],[Error Bound (up) - Max. possible relative overstatement]])</f>
        <v>0</v>
      </c>
      <c r="AJ12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51" s="111">
        <f t="shared" si="19"/>
        <v>1</v>
      </c>
      <c r="AL1251" s="111">
        <f>PRODUCT($AK$5:AK1251)</f>
        <v>8.962823818226312E-2</v>
      </c>
      <c r="AM1251" s="109">
        <f>1 - [K-M P Value]</f>
        <v>0.91037176181773694</v>
      </c>
      <c r="AN1251" s="111" t="str">
        <f>IF(Audit[[#This Row],[K-M P Value]]&gt;1-'General Info'!$B$16,"Continue", "Stop")</f>
        <v>Stop</v>
      </c>
      <c r="AO1251" s="110" t="b">
        <f>IF(Audit[[#This Row],[Status - Continue or stop audit]] = "Continue", TRUE, IF(AN1250 = "Continue", TRUE, FALSE))</f>
        <v>0</v>
      </c>
      <c r="AP1251" s="110"/>
    </row>
    <row r="1252" spans="1:42" ht="15" hidden="1" customHeight="1">
      <c r="A1252" s="111" t="str">
        <f>'Sampling Data'!W1244</f>
        <v/>
      </c>
      <c r="B1252" s="112" t="str">
        <f>'Sampling Data'!A1244</f>
        <v>HIGHLAND HEIGHTS -02-B - ABS</v>
      </c>
      <c r="C1252" s="112">
        <f>'Sampling Data'!B1244</f>
        <v>9</v>
      </c>
      <c r="D1252" s="112">
        <f>'Sampling Data'!C1244</f>
        <v>30</v>
      </c>
      <c r="E1252" s="113">
        <f>'Sampling Data'!D1244</f>
        <v>8</v>
      </c>
      <c r="F1252" s="113">
        <f>'Sampling Data'!E1244</f>
        <v>0</v>
      </c>
      <c r="G1252" s="113">
        <f>'Sampling Data'!F1244</f>
        <v>0</v>
      </c>
      <c r="H1252" s="113">
        <f>'Sampling Data'!G1244</f>
        <v>0</v>
      </c>
      <c r="I1252" s="112">
        <f>'Sampling Data'!H1244</f>
        <v>0</v>
      </c>
      <c r="J1252" s="112">
        <f>'Sampling Data'!I1244</f>
        <v>1</v>
      </c>
      <c r="K1252" s="112">
        <f>'Sampling Data'!J1244</f>
        <v>48</v>
      </c>
      <c r="L1252" s="111">
        <f>'Sampling Data'!X1244</f>
        <v>0</v>
      </c>
      <c r="M1252" s="114"/>
      <c r="N1252" s="114"/>
      <c r="O1252" s="115"/>
      <c r="P1252" s="115"/>
      <c r="Q1252" s="116"/>
      <c r="R1252" s="116"/>
      <c r="S1252" s="111">
        <f>Audit[[#This Row],[Audit Losing Candidate]]-Audit[[#This Row],[Losing Candidate]]</f>
        <v>-9</v>
      </c>
      <c r="T1252" s="111">
        <f>Audit[[#This Row],[Audit Winning Candidate]]-Audit[[#This Row],[Winning Candidate]]</f>
        <v>-30</v>
      </c>
      <c r="U1252" s="111">
        <f>Audit[[#This Row],[Audit Candidate 3]]-Audit[[#This Row],[Candidate 3]]</f>
        <v>-8</v>
      </c>
      <c r="V1252" s="111">
        <f>Audit[[#This Row],[Audit Candidate 4]]-Audit[[#This Row],[Candidate 4]]</f>
        <v>0</v>
      </c>
      <c r="W1252" s="111">
        <f>Audit[[#This Row],[Audit Candidate 5]]-Audit[[#This Row],[Candidate 5]]</f>
        <v>0</v>
      </c>
      <c r="X1252" s="111">
        <f>Audit[[#This Row],[Audit Candidate 6]]-Audit[[#This Row],[Candidate 6]]</f>
        <v>0</v>
      </c>
      <c r="Y1252" s="111">
        <f>SUMIF(Audit[[#This Row],[Difference Loser]:[Difference Candidate 6]], "&gt;0")</f>
        <v>0</v>
      </c>
      <c r="Z1252" s="111">
        <f>SUM(Audit[[#This Row],[Difference Loser]:[Difference Candidate 6]])</f>
        <v>-47</v>
      </c>
      <c r="AA1252" s="111">
        <f>IF(Audit[[#This Row],[Times p Drawn - With Replacement]]&gt;0, IF(Audit[[#This Row],[Canceled Differences]]&lt;0, Audit[[#This Row],[Max Differences]]+ABS(Audit[[#This Row],[Canceled Differences]]), Audit[[#This Row],[Max Differences]]), 0)</f>
        <v>0</v>
      </c>
      <c r="AB1252" s="111">
        <f>'Sampling Data'!P1244</f>
        <v>4.2258696717295445E-3</v>
      </c>
      <c r="AC1252" s="111">
        <f>IF(
      SUM(Audit[[#This Row],[Audit Losing Candidate]:[Audit Candidate 6]])
      &lt;&gt;0,
      (Audit[[#This Row],[Winning Candidate]]-Audit[[#This Row],[Losing Candidate]]-(Audit[[#This Row],[Audit Winning Candidate]]-Audit[[#This Row],[Audit Losing Candidate]]))/(Audit[[#Totals],[Winning Candidate]]-Audit[[#Totals],[Losing Candidate]]),
      0
)</f>
        <v>0</v>
      </c>
      <c r="AD12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2" s="111">
        <f>IF(Audit[[#This Row],[Max Relative Error (ep)]] = 0, 0, Audit[[#This Row],[Max Relative Error (ep)]]/Audit[[#This Row],[Error Bound (up) - Max. possible relative overstatement]])</f>
        <v>0</v>
      </c>
      <c r="AJ12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52" s="111">
        <f t="shared" si="19"/>
        <v>1</v>
      </c>
      <c r="AL1252" s="111">
        <f>PRODUCT($AK$5:AK1252)</f>
        <v>8.962823818226312E-2</v>
      </c>
      <c r="AM1252" s="109">
        <f>1 - [K-M P Value]</f>
        <v>0.91037176181773694</v>
      </c>
      <c r="AN1252" s="111" t="str">
        <f>IF(Audit[[#This Row],[K-M P Value]]&gt;1-'General Info'!$B$16,"Continue", "Stop")</f>
        <v>Stop</v>
      </c>
      <c r="AO1252" s="110" t="b">
        <f>IF(Audit[[#This Row],[Status - Continue or stop audit]] = "Continue", TRUE, IF(AN1251 = "Continue", TRUE, FALSE))</f>
        <v>0</v>
      </c>
      <c r="AP1252" s="110"/>
    </row>
    <row r="1253" spans="1:42" ht="15" hidden="1" customHeight="1">
      <c r="A1253" s="111" t="str">
        <f>'Sampling Data'!W1245</f>
        <v/>
      </c>
      <c r="B1253" s="112" t="str">
        <f>'Sampling Data'!A1245</f>
        <v>HIGHLAND HEIGHTS -03-A</v>
      </c>
      <c r="C1253" s="112">
        <f>'Sampling Data'!B1245</f>
        <v>29</v>
      </c>
      <c r="D1253" s="112">
        <f>'Sampling Data'!C1245</f>
        <v>65</v>
      </c>
      <c r="E1253" s="113">
        <f>'Sampling Data'!D1245</f>
        <v>14</v>
      </c>
      <c r="F1253" s="113">
        <f>'Sampling Data'!E1245</f>
        <v>8</v>
      </c>
      <c r="G1253" s="113">
        <f>'Sampling Data'!F1245</f>
        <v>1</v>
      </c>
      <c r="H1253" s="113">
        <f>'Sampling Data'!G1245</f>
        <v>0</v>
      </c>
      <c r="I1253" s="112">
        <f>'Sampling Data'!H1245</f>
        <v>0</v>
      </c>
      <c r="J1253" s="112">
        <f>'Sampling Data'!I1245</f>
        <v>3</v>
      </c>
      <c r="K1253" s="112">
        <f>'Sampling Data'!J1245</f>
        <v>120</v>
      </c>
      <c r="L1253" s="111">
        <f>'Sampling Data'!X1245</f>
        <v>0</v>
      </c>
      <c r="M1253" s="114"/>
      <c r="N1253" s="114"/>
      <c r="O1253" s="115"/>
      <c r="P1253" s="115"/>
      <c r="Q1253" s="116"/>
      <c r="R1253" s="116"/>
      <c r="S1253" s="111">
        <f>Audit[[#This Row],[Audit Losing Candidate]]-Audit[[#This Row],[Losing Candidate]]</f>
        <v>-29</v>
      </c>
      <c r="T1253" s="111">
        <f>Audit[[#This Row],[Audit Winning Candidate]]-Audit[[#This Row],[Winning Candidate]]</f>
        <v>-65</v>
      </c>
      <c r="U1253" s="111">
        <f>Audit[[#This Row],[Audit Candidate 3]]-Audit[[#This Row],[Candidate 3]]</f>
        <v>-14</v>
      </c>
      <c r="V1253" s="111">
        <f>Audit[[#This Row],[Audit Candidate 4]]-Audit[[#This Row],[Candidate 4]]</f>
        <v>-8</v>
      </c>
      <c r="W1253" s="111">
        <f>Audit[[#This Row],[Audit Candidate 5]]-Audit[[#This Row],[Candidate 5]]</f>
        <v>-1</v>
      </c>
      <c r="X1253" s="111">
        <f>Audit[[#This Row],[Audit Candidate 6]]-Audit[[#This Row],[Candidate 6]]</f>
        <v>0</v>
      </c>
      <c r="Y1253" s="111">
        <f>SUMIF(Audit[[#This Row],[Difference Loser]:[Difference Candidate 6]], "&gt;0")</f>
        <v>0</v>
      </c>
      <c r="Z1253" s="111">
        <f>SUM(Audit[[#This Row],[Difference Loser]:[Difference Candidate 6]])</f>
        <v>-117</v>
      </c>
      <c r="AA1253" s="111">
        <f>IF(Audit[[#This Row],[Times p Drawn - With Replacement]]&gt;0, IF(Audit[[#This Row],[Canceled Differences]]&lt;0, Audit[[#This Row],[Max Differences]]+ABS(Audit[[#This Row],[Canceled Differences]]), Audit[[#This Row],[Max Differences]]), 0)</f>
        <v>0</v>
      </c>
      <c r="AB1253" s="111">
        <f>'Sampling Data'!P1245</f>
        <v>9.5541401273885346E-3</v>
      </c>
      <c r="AC1253" s="111">
        <f>IF(
      SUM(Audit[[#This Row],[Audit Losing Candidate]:[Audit Candidate 6]])
      &lt;&gt;0,
      (Audit[[#This Row],[Winning Candidate]]-Audit[[#This Row],[Losing Candidate]]-(Audit[[#This Row],[Audit Winning Candidate]]-Audit[[#This Row],[Audit Losing Candidate]]))/(Audit[[#Totals],[Winning Candidate]]-Audit[[#Totals],[Losing Candidate]]),
      0
)</f>
        <v>0</v>
      </c>
      <c r="AD12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3" s="111">
        <f>IF(Audit[[#This Row],[Max Relative Error (ep)]] = 0, 0, Audit[[#This Row],[Max Relative Error (ep)]]/Audit[[#This Row],[Error Bound (up) - Max. possible relative overstatement]])</f>
        <v>0</v>
      </c>
      <c r="AJ12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53" s="111">
        <f t="shared" si="19"/>
        <v>1</v>
      </c>
      <c r="AL1253" s="111">
        <f>PRODUCT($AK$5:AK1253)</f>
        <v>8.962823818226312E-2</v>
      </c>
      <c r="AM1253" s="109">
        <f>1 - [K-M P Value]</f>
        <v>0.91037176181773694</v>
      </c>
      <c r="AN1253" s="111" t="str">
        <f>IF(Audit[[#This Row],[K-M P Value]]&gt;1-'General Info'!$B$16,"Continue", "Stop")</f>
        <v>Stop</v>
      </c>
      <c r="AO1253" s="110" t="b">
        <f>IF(Audit[[#This Row],[Status - Continue or stop audit]] = "Continue", TRUE, IF(AN1252 = "Continue", TRUE, FALSE))</f>
        <v>0</v>
      </c>
      <c r="AP1253" s="110"/>
    </row>
    <row r="1254" spans="1:42" ht="15" hidden="1" customHeight="1">
      <c r="A1254" s="111" t="str">
        <f>'Sampling Data'!W1246</f>
        <v/>
      </c>
      <c r="B1254" s="112" t="str">
        <f>'Sampling Data'!A1246</f>
        <v>HIGHLAND HEIGHTS -03-A - ABS</v>
      </c>
      <c r="C1254" s="112">
        <f>'Sampling Data'!B1246</f>
        <v>20</v>
      </c>
      <c r="D1254" s="112">
        <f>'Sampling Data'!C1246</f>
        <v>47</v>
      </c>
      <c r="E1254" s="113">
        <f>'Sampling Data'!D1246</f>
        <v>5</v>
      </c>
      <c r="F1254" s="113">
        <f>'Sampling Data'!E1246</f>
        <v>4</v>
      </c>
      <c r="G1254" s="113">
        <f>'Sampling Data'!F1246</f>
        <v>1</v>
      </c>
      <c r="H1254" s="113">
        <f>'Sampling Data'!G1246</f>
        <v>0</v>
      </c>
      <c r="I1254" s="112">
        <f>'Sampling Data'!H1246</f>
        <v>0</v>
      </c>
      <c r="J1254" s="112">
        <f>'Sampling Data'!I1246</f>
        <v>4</v>
      </c>
      <c r="K1254" s="112">
        <f>'Sampling Data'!J1246</f>
        <v>81</v>
      </c>
      <c r="L1254" s="111">
        <f>'Sampling Data'!X1246</f>
        <v>0</v>
      </c>
      <c r="M1254" s="114"/>
      <c r="N1254" s="114"/>
      <c r="O1254" s="115"/>
      <c r="P1254" s="115"/>
      <c r="Q1254" s="116"/>
      <c r="R1254" s="116"/>
      <c r="S1254" s="111">
        <f>Audit[[#This Row],[Audit Losing Candidate]]-Audit[[#This Row],[Losing Candidate]]</f>
        <v>-20</v>
      </c>
      <c r="T1254" s="111">
        <f>Audit[[#This Row],[Audit Winning Candidate]]-Audit[[#This Row],[Winning Candidate]]</f>
        <v>-47</v>
      </c>
      <c r="U1254" s="111">
        <f>Audit[[#This Row],[Audit Candidate 3]]-Audit[[#This Row],[Candidate 3]]</f>
        <v>-5</v>
      </c>
      <c r="V1254" s="111">
        <f>Audit[[#This Row],[Audit Candidate 4]]-Audit[[#This Row],[Candidate 4]]</f>
        <v>-4</v>
      </c>
      <c r="W1254" s="111">
        <f>Audit[[#This Row],[Audit Candidate 5]]-Audit[[#This Row],[Candidate 5]]</f>
        <v>-1</v>
      </c>
      <c r="X1254" s="111">
        <f>Audit[[#This Row],[Audit Candidate 6]]-Audit[[#This Row],[Candidate 6]]</f>
        <v>0</v>
      </c>
      <c r="Y1254" s="111">
        <f>SUMIF(Audit[[#This Row],[Difference Loser]:[Difference Candidate 6]], "&gt;0")</f>
        <v>0</v>
      </c>
      <c r="Z1254" s="111">
        <f>SUM(Audit[[#This Row],[Difference Loser]:[Difference Candidate 6]])</f>
        <v>-77</v>
      </c>
      <c r="AA1254" s="111">
        <f>IF(Audit[[#This Row],[Times p Drawn - With Replacement]]&gt;0, IF(Audit[[#This Row],[Canceled Differences]]&lt;0, Audit[[#This Row],[Max Differences]]+ABS(Audit[[#This Row],[Canceled Differences]]), Audit[[#This Row],[Max Differences]]), 0)</f>
        <v>0</v>
      </c>
      <c r="AB1254" s="111">
        <f>'Sampling Data'!P1246</f>
        <v>6.6144047035766778E-3</v>
      </c>
      <c r="AC1254" s="111">
        <f>IF(
      SUM(Audit[[#This Row],[Audit Losing Candidate]:[Audit Candidate 6]])
      &lt;&gt;0,
      (Audit[[#This Row],[Winning Candidate]]-Audit[[#This Row],[Losing Candidate]]-(Audit[[#This Row],[Audit Winning Candidate]]-Audit[[#This Row],[Audit Losing Candidate]]))/(Audit[[#Totals],[Winning Candidate]]-Audit[[#Totals],[Losing Candidate]]),
      0
)</f>
        <v>0</v>
      </c>
      <c r="AD12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4" s="111">
        <f>IF(Audit[[#This Row],[Max Relative Error (ep)]] = 0, 0, Audit[[#This Row],[Max Relative Error (ep)]]/Audit[[#This Row],[Error Bound (up) - Max. possible relative overstatement]])</f>
        <v>0</v>
      </c>
      <c r="AJ12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54" s="111">
        <f t="shared" si="19"/>
        <v>1</v>
      </c>
      <c r="AL1254" s="111">
        <f>PRODUCT($AK$5:AK1254)</f>
        <v>8.962823818226312E-2</v>
      </c>
      <c r="AM1254" s="109">
        <f>1 - [K-M P Value]</f>
        <v>0.91037176181773694</v>
      </c>
      <c r="AN1254" s="111" t="str">
        <f>IF(Audit[[#This Row],[K-M P Value]]&gt;1-'General Info'!$B$16,"Continue", "Stop")</f>
        <v>Stop</v>
      </c>
      <c r="AO1254" s="110" t="b">
        <f>IF(Audit[[#This Row],[Status - Continue or stop audit]] = "Continue", TRUE, IF(AN1253 = "Continue", TRUE, FALSE))</f>
        <v>0</v>
      </c>
      <c r="AP1254" s="110"/>
    </row>
    <row r="1255" spans="1:42" ht="15" hidden="1" customHeight="1">
      <c r="A1255" s="111" t="str">
        <f>'Sampling Data'!W1247</f>
        <v/>
      </c>
      <c r="B1255" s="112" t="str">
        <f>'Sampling Data'!A1247</f>
        <v>HIGHLAND HEIGHTS -03-B</v>
      </c>
      <c r="C1255" s="112">
        <f>'Sampling Data'!B1247</f>
        <v>31</v>
      </c>
      <c r="D1255" s="112">
        <f>'Sampling Data'!C1247</f>
        <v>74</v>
      </c>
      <c r="E1255" s="113">
        <f>'Sampling Data'!D1247</f>
        <v>15</v>
      </c>
      <c r="F1255" s="113">
        <f>'Sampling Data'!E1247</f>
        <v>11</v>
      </c>
      <c r="G1255" s="113">
        <f>'Sampling Data'!F1247</f>
        <v>1</v>
      </c>
      <c r="H1255" s="113">
        <f>'Sampling Data'!G1247</f>
        <v>1</v>
      </c>
      <c r="I1255" s="112">
        <f>'Sampling Data'!H1247</f>
        <v>1</v>
      </c>
      <c r="J1255" s="112">
        <f>'Sampling Data'!I1247</f>
        <v>3</v>
      </c>
      <c r="K1255" s="112">
        <f>'Sampling Data'!J1247</f>
        <v>137</v>
      </c>
      <c r="L1255" s="111">
        <f>'Sampling Data'!X1247</f>
        <v>0</v>
      </c>
      <c r="M1255" s="114"/>
      <c r="N1255" s="114"/>
      <c r="O1255" s="115"/>
      <c r="P1255" s="115"/>
      <c r="Q1255" s="116"/>
      <c r="R1255" s="116"/>
      <c r="S1255" s="111">
        <f>Audit[[#This Row],[Audit Losing Candidate]]-Audit[[#This Row],[Losing Candidate]]</f>
        <v>-31</v>
      </c>
      <c r="T1255" s="111">
        <f>Audit[[#This Row],[Audit Winning Candidate]]-Audit[[#This Row],[Winning Candidate]]</f>
        <v>-74</v>
      </c>
      <c r="U1255" s="111">
        <f>Audit[[#This Row],[Audit Candidate 3]]-Audit[[#This Row],[Candidate 3]]</f>
        <v>-15</v>
      </c>
      <c r="V1255" s="111">
        <f>Audit[[#This Row],[Audit Candidate 4]]-Audit[[#This Row],[Candidate 4]]</f>
        <v>-11</v>
      </c>
      <c r="W1255" s="111">
        <f>Audit[[#This Row],[Audit Candidate 5]]-Audit[[#This Row],[Candidate 5]]</f>
        <v>-1</v>
      </c>
      <c r="X1255" s="111">
        <f>Audit[[#This Row],[Audit Candidate 6]]-Audit[[#This Row],[Candidate 6]]</f>
        <v>-1</v>
      </c>
      <c r="Y1255" s="111">
        <f>SUMIF(Audit[[#This Row],[Difference Loser]:[Difference Candidate 6]], "&gt;0")</f>
        <v>0</v>
      </c>
      <c r="Z1255" s="111">
        <f>SUM(Audit[[#This Row],[Difference Loser]:[Difference Candidate 6]])</f>
        <v>-133</v>
      </c>
      <c r="AA1255" s="111">
        <f>IF(Audit[[#This Row],[Times p Drawn - With Replacement]]&gt;0, IF(Audit[[#This Row],[Canceled Differences]]&lt;0, Audit[[#This Row],[Max Differences]]+ABS(Audit[[#This Row],[Canceled Differences]]), Audit[[#This Row],[Max Differences]]), 0)</f>
        <v>0</v>
      </c>
      <c r="AB1255" s="111">
        <f>'Sampling Data'!P1247</f>
        <v>1.1024007839294463E-2</v>
      </c>
      <c r="AC1255" s="111">
        <f>IF(
      SUM(Audit[[#This Row],[Audit Losing Candidate]:[Audit Candidate 6]])
      &lt;&gt;0,
      (Audit[[#This Row],[Winning Candidate]]-Audit[[#This Row],[Losing Candidate]]-(Audit[[#This Row],[Audit Winning Candidate]]-Audit[[#This Row],[Audit Losing Candidate]]))/(Audit[[#Totals],[Winning Candidate]]-Audit[[#Totals],[Losing Candidate]]),
      0
)</f>
        <v>0</v>
      </c>
      <c r="AD12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5" s="111">
        <f>IF(Audit[[#This Row],[Max Relative Error (ep)]] = 0, 0, Audit[[#This Row],[Max Relative Error (ep)]]/Audit[[#This Row],[Error Bound (up) - Max. possible relative overstatement]])</f>
        <v>0</v>
      </c>
      <c r="AJ12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55" s="111">
        <f t="shared" si="19"/>
        <v>1</v>
      </c>
      <c r="AL1255" s="111">
        <f>PRODUCT($AK$5:AK1255)</f>
        <v>8.962823818226312E-2</v>
      </c>
      <c r="AM1255" s="109">
        <f>1 - [K-M P Value]</f>
        <v>0.91037176181773694</v>
      </c>
      <c r="AN1255" s="111" t="str">
        <f>IF(Audit[[#This Row],[K-M P Value]]&gt;1-'General Info'!$B$16,"Continue", "Stop")</f>
        <v>Stop</v>
      </c>
      <c r="AO1255" s="110" t="b">
        <f>IF(Audit[[#This Row],[Status - Continue or stop audit]] = "Continue", TRUE, IF(AN1254 = "Continue", TRUE, FALSE))</f>
        <v>0</v>
      </c>
      <c r="AP1255" s="110"/>
    </row>
    <row r="1256" spans="1:42" ht="15" hidden="1" customHeight="1">
      <c r="A1256" s="111" t="str">
        <f>'Sampling Data'!W1248</f>
        <v/>
      </c>
      <c r="B1256" s="112" t="str">
        <f>'Sampling Data'!A1248</f>
        <v>HIGHLAND HEIGHTS -03-B - ABS</v>
      </c>
      <c r="C1256" s="112">
        <f>'Sampling Data'!B1248</f>
        <v>28</v>
      </c>
      <c r="D1256" s="112">
        <f>'Sampling Data'!C1248</f>
        <v>28</v>
      </c>
      <c r="E1256" s="113">
        <f>'Sampling Data'!D1248</f>
        <v>2</v>
      </c>
      <c r="F1256" s="113">
        <f>'Sampling Data'!E1248</f>
        <v>2</v>
      </c>
      <c r="G1256" s="113">
        <f>'Sampling Data'!F1248</f>
        <v>0</v>
      </c>
      <c r="H1256" s="113">
        <f>'Sampling Data'!G1248</f>
        <v>0</v>
      </c>
      <c r="I1256" s="112">
        <f>'Sampling Data'!H1248</f>
        <v>0</v>
      </c>
      <c r="J1256" s="112">
        <f>'Sampling Data'!I1248</f>
        <v>0</v>
      </c>
      <c r="K1256" s="112">
        <f>'Sampling Data'!J1248</f>
        <v>60</v>
      </c>
      <c r="L1256" s="111">
        <f>'Sampling Data'!X1248</f>
        <v>0</v>
      </c>
      <c r="M1256" s="114"/>
      <c r="N1256" s="114"/>
      <c r="O1256" s="115"/>
      <c r="P1256" s="115"/>
      <c r="Q1256" s="116"/>
      <c r="R1256" s="116"/>
      <c r="S1256" s="111">
        <f>Audit[[#This Row],[Audit Losing Candidate]]-Audit[[#This Row],[Losing Candidate]]</f>
        <v>-28</v>
      </c>
      <c r="T1256" s="111">
        <f>Audit[[#This Row],[Audit Winning Candidate]]-Audit[[#This Row],[Winning Candidate]]</f>
        <v>-28</v>
      </c>
      <c r="U1256" s="111">
        <f>Audit[[#This Row],[Audit Candidate 3]]-Audit[[#This Row],[Candidate 3]]</f>
        <v>-2</v>
      </c>
      <c r="V1256" s="111">
        <f>Audit[[#This Row],[Audit Candidate 4]]-Audit[[#This Row],[Candidate 4]]</f>
        <v>-2</v>
      </c>
      <c r="W1256" s="111">
        <f>Audit[[#This Row],[Audit Candidate 5]]-Audit[[#This Row],[Candidate 5]]</f>
        <v>0</v>
      </c>
      <c r="X1256" s="111">
        <f>Audit[[#This Row],[Audit Candidate 6]]-Audit[[#This Row],[Candidate 6]]</f>
        <v>0</v>
      </c>
      <c r="Y1256" s="111">
        <f>SUMIF(Audit[[#This Row],[Difference Loser]:[Difference Candidate 6]], "&gt;0")</f>
        <v>0</v>
      </c>
      <c r="Z1256" s="111">
        <f>SUM(Audit[[#This Row],[Difference Loser]:[Difference Candidate 6]])</f>
        <v>-60</v>
      </c>
      <c r="AA1256" s="111">
        <f>IF(Audit[[#This Row],[Times p Drawn - With Replacement]]&gt;0, IF(Audit[[#This Row],[Canceled Differences]]&lt;0, Audit[[#This Row],[Max Differences]]+ABS(Audit[[#This Row],[Canceled Differences]]), Audit[[#This Row],[Max Differences]]), 0)</f>
        <v>0</v>
      </c>
      <c r="AB1256" s="111">
        <f>'Sampling Data'!P1248</f>
        <v>3.6746692797648213E-3</v>
      </c>
      <c r="AC1256" s="111">
        <f>IF(
      SUM(Audit[[#This Row],[Audit Losing Candidate]:[Audit Candidate 6]])
      &lt;&gt;0,
      (Audit[[#This Row],[Winning Candidate]]-Audit[[#This Row],[Losing Candidate]]-(Audit[[#This Row],[Audit Winning Candidate]]-Audit[[#This Row],[Audit Losing Candidate]]))/(Audit[[#Totals],[Winning Candidate]]-Audit[[#Totals],[Losing Candidate]]),
      0
)</f>
        <v>0</v>
      </c>
      <c r="AD12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6" s="111">
        <f>IF(Audit[[#This Row],[Max Relative Error (ep)]] = 0, 0, Audit[[#This Row],[Max Relative Error (ep)]]/Audit[[#This Row],[Error Bound (up) - Max. possible relative overstatement]])</f>
        <v>0</v>
      </c>
      <c r="AJ12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56" s="111">
        <f t="shared" si="19"/>
        <v>1</v>
      </c>
      <c r="AL1256" s="111">
        <f>PRODUCT($AK$5:AK1256)</f>
        <v>8.962823818226312E-2</v>
      </c>
      <c r="AM1256" s="109">
        <f>1 - [K-M P Value]</f>
        <v>0.91037176181773694</v>
      </c>
      <c r="AN1256" s="111" t="str">
        <f>IF(Audit[[#This Row],[K-M P Value]]&gt;1-'General Info'!$B$16,"Continue", "Stop")</f>
        <v>Stop</v>
      </c>
      <c r="AO1256" s="110" t="b">
        <f>IF(Audit[[#This Row],[Status - Continue or stop audit]] = "Continue", TRUE, IF(AN1255 = "Continue", TRUE, FALSE))</f>
        <v>0</v>
      </c>
      <c r="AP1256" s="110"/>
    </row>
    <row r="1257" spans="1:42" ht="15" hidden="1" customHeight="1">
      <c r="A1257" s="111" t="str">
        <f>'Sampling Data'!W1249</f>
        <v/>
      </c>
      <c r="B1257" s="112" t="str">
        <f>'Sampling Data'!A1249</f>
        <v>HIGHLAND HEIGHTS -04-A</v>
      </c>
      <c r="C1257" s="112">
        <f>'Sampling Data'!B1249</f>
        <v>31</v>
      </c>
      <c r="D1257" s="112">
        <f>'Sampling Data'!C1249</f>
        <v>85</v>
      </c>
      <c r="E1257" s="113">
        <f>'Sampling Data'!D1249</f>
        <v>11</v>
      </c>
      <c r="F1257" s="113">
        <f>'Sampling Data'!E1249</f>
        <v>4</v>
      </c>
      <c r="G1257" s="113">
        <f>'Sampling Data'!F1249</f>
        <v>0</v>
      </c>
      <c r="H1257" s="113">
        <f>'Sampling Data'!G1249</f>
        <v>0</v>
      </c>
      <c r="I1257" s="112">
        <f>'Sampling Data'!H1249</f>
        <v>0</v>
      </c>
      <c r="J1257" s="112">
        <f>'Sampling Data'!I1249</f>
        <v>4</v>
      </c>
      <c r="K1257" s="112">
        <f>'Sampling Data'!J1249</f>
        <v>135</v>
      </c>
      <c r="L1257" s="111">
        <f>'Sampling Data'!X1249</f>
        <v>0</v>
      </c>
      <c r="M1257" s="114"/>
      <c r="N1257" s="114"/>
      <c r="O1257" s="115"/>
      <c r="P1257" s="115"/>
      <c r="Q1257" s="116"/>
      <c r="R1257" s="116"/>
      <c r="S1257" s="111">
        <f>Audit[[#This Row],[Audit Losing Candidate]]-Audit[[#This Row],[Losing Candidate]]</f>
        <v>-31</v>
      </c>
      <c r="T1257" s="111">
        <f>Audit[[#This Row],[Audit Winning Candidate]]-Audit[[#This Row],[Winning Candidate]]</f>
        <v>-85</v>
      </c>
      <c r="U1257" s="111">
        <f>Audit[[#This Row],[Audit Candidate 3]]-Audit[[#This Row],[Candidate 3]]</f>
        <v>-11</v>
      </c>
      <c r="V1257" s="111">
        <f>Audit[[#This Row],[Audit Candidate 4]]-Audit[[#This Row],[Candidate 4]]</f>
        <v>-4</v>
      </c>
      <c r="W1257" s="111">
        <f>Audit[[#This Row],[Audit Candidate 5]]-Audit[[#This Row],[Candidate 5]]</f>
        <v>0</v>
      </c>
      <c r="X1257" s="111">
        <f>Audit[[#This Row],[Audit Candidate 6]]-Audit[[#This Row],[Candidate 6]]</f>
        <v>0</v>
      </c>
      <c r="Y1257" s="111">
        <f>SUMIF(Audit[[#This Row],[Difference Loser]:[Difference Candidate 6]], "&gt;0")</f>
        <v>0</v>
      </c>
      <c r="Z1257" s="111">
        <f>SUM(Audit[[#This Row],[Difference Loser]:[Difference Candidate 6]])</f>
        <v>-131</v>
      </c>
      <c r="AA1257" s="111">
        <f>IF(Audit[[#This Row],[Times p Drawn - With Replacement]]&gt;0, IF(Audit[[#This Row],[Canceled Differences]]&lt;0, Audit[[#This Row],[Max Differences]]+ABS(Audit[[#This Row],[Canceled Differences]]), Audit[[#This Row],[Max Differences]]), 0)</f>
        <v>0</v>
      </c>
      <c r="AB1257" s="111">
        <f>'Sampling Data'!P1249</f>
        <v>1.1575208231259187E-2</v>
      </c>
      <c r="AC1257" s="111">
        <f>IF(
      SUM(Audit[[#This Row],[Audit Losing Candidate]:[Audit Candidate 6]])
      &lt;&gt;0,
      (Audit[[#This Row],[Winning Candidate]]-Audit[[#This Row],[Losing Candidate]]-(Audit[[#This Row],[Audit Winning Candidate]]-Audit[[#This Row],[Audit Losing Candidate]]))/(Audit[[#Totals],[Winning Candidate]]-Audit[[#Totals],[Losing Candidate]]),
      0
)</f>
        <v>0</v>
      </c>
      <c r="AD12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7" s="111">
        <f>IF(Audit[[#This Row],[Max Relative Error (ep)]] = 0, 0, Audit[[#This Row],[Max Relative Error (ep)]]/Audit[[#This Row],[Error Bound (up) - Max. possible relative overstatement]])</f>
        <v>0</v>
      </c>
      <c r="AJ12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57" s="111">
        <f t="shared" si="19"/>
        <v>1</v>
      </c>
      <c r="AL1257" s="111">
        <f>PRODUCT($AK$5:AK1257)</f>
        <v>8.962823818226312E-2</v>
      </c>
      <c r="AM1257" s="109">
        <f>1 - [K-M P Value]</f>
        <v>0.91037176181773694</v>
      </c>
      <c r="AN1257" s="111" t="str">
        <f>IF(Audit[[#This Row],[K-M P Value]]&gt;1-'General Info'!$B$16,"Continue", "Stop")</f>
        <v>Stop</v>
      </c>
      <c r="AO1257" s="110" t="b">
        <f>IF(Audit[[#This Row],[Status - Continue or stop audit]] = "Continue", TRUE, IF(AN1256 = "Continue", TRUE, FALSE))</f>
        <v>0</v>
      </c>
      <c r="AP1257" s="110"/>
    </row>
    <row r="1258" spans="1:42" ht="15" hidden="1" customHeight="1">
      <c r="A1258" s="111" t="str">
        <f>'Sampling Data'!W1250</f>
        <v/>
      </c>
      <c r="B1258" s="112" t="str">
        <f>'Sampling Data'!A1250</f>
        <v>HIGHLAND HEIGHTS -04-A - ABS</v>
      </c>
      <c r="C1258" s="112">
        <f>'Sampling Data'!B1250</f>
        <v>18</v>
      </c>
      <c r="D1258" s="112">
        <f>'Sampling Data'!C1250</f>
        <v>27</v>
      </c>
      <c r="E1258" s="113">
        <f>'Sampling Data'!D1250</f>
        <v>5</v>
      </c>
      <c r="F1258" s="113">
        <f>'Sampling Data'!E1250</f>
        <v>5</v>
      </c>
      <c r="G1258" s="113">
        <f>'Sampling Data'!F1250</f>
        <v>0</v>
      </c>
      <c r="H1258" s="113">
        <f>'Sampling Data'!G1250</f>
        <v>0</v>
      </c>
      <c r="I1258" s="112">
        <f>'Sampling Data'!H1250</f>
        <v>0</v>
      </c>
      <c r="J1258" s="112">
        <f>'Sampling Data'!I1250</f>
        <v>1</v>
      </c>
      <c r="K1258" s="112">
        <f>'Sampling Data'!J1250</f>
        <v>56</v>
      </c>
      <c r="L1258" s="111">
        <f>'Sampling Data'!X1250</f>
        <v>0</v>
      </c>
      <c r="M1258" s="114"/>
      <c r="N1258" s="114"/>
      <c r="O1258" s="115"/>
      <c r="P1258" s="115"/>
      <c r="Q1258" s="116"/>
      <c r="R1258" s="116"/>
      <c r="S1258" s="111">
        <f>Audit[[#This Row],[Audit Losing Candidate]]-Audit[[#This Row],[Losing Candidate]]</f>
        <v>-18</v>
      </c>
      <c r="T1258" s="111">
        <f>Audit[[#This Row],[Audit Winning Candidate]]-Audit[[#This Row],[Winning Candidate]]</f>
        <v>-27</v>
      </c>
      <c r="U1258" s="111">
        <f>Audit[[#This Row],[Audit Candidate 3]]-Audit[[#This Row],[Candidate 3]]</f>
        <v>-5</v>
      </c>
      <c r="V1258" s="111">
        <f>Audit[[#This Row],[Audit Candidate 4]]-Audit[[#This Row],[Candidate 4]]</f>
        <v>-5</v>
      </c>
      <c r="W1258" s="111">
        <f>Audit[[#This Row],[Audit Candidate 5]]-Audit[[#This Row],[Candidate 5]]</f>
        <v>0</v>
      </c>
      <c r="X1258" s="111">
        <f>Audit[[#This Row],[Audit Candidate 6]]-Audit[[#This Row],[Candidate 6]]</f>
        <v>0</v>
      </c>
      <c r="Y1258" s="111">
        <f>SUMIF(Audit[[#This Row],[Difference Loser]:[Difference Candidate 6]], "&gt;0")</f>
        <v>0</v>
      </c>
      <c r="Z1258" s="111">
        <f>SUM(Audit[[#This Row],[Difference Loser]:[Difference Candidate 6]])</f>
        <v>-55</v>
      </c>
      <c r="AA1258" s="111">
        <f>IF(Audit[[#This Row],[Times p Drawn - With Replacement]]&gt;0, IF(Audit[[#This Row],[Canceled Differences]]&lt;0, Audit[[#This Row],[Max Differences]]+ABS(Audit[[#This Row],[Canceled Differences]]), Audit[[#This Row],[Max Differences]]), 0)</f>
        <v>0</v>
      </c>
      <c r="AB1258" s="111">
        <f>'Sampling Data'!P1250</f>
        <v>3.9808917197452229E-3</v>
      </c>
      <c r="AC1258" s="111">
        <f>IF(
      SUM(Audit[[#This Row],[Audit Losing Candidate]:[Audit Candidate 6]])
      &lt;&gt;0,
      (Audit[[#This Row],[Winning Candidate]]-Audit[[#This Row],[Losing Candidate]]-(Audit[[#This Row],[Audit Winning Candidate]]-Audit[[#This Row],[Audit Losing Candidate]]))/(Audit[[#Totals],[Winning Candidate]]-Audit[[#Totals],[Losing Candidate]]),
      0
)</f>
        <v>0</v>
      </c>
      <c r="AD12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8" s="111">
        <f>IF(Audit[[#This Row],[Max Relative Error (ep)]] = 0, 0, Audit[[#This Row],[Max Relative Error (ep)]]/Audit[[#This Row],[Error Bound (up) - Max. possible relative overstatement]])</f>
        <v>0</v>
      </c>
      <c r="AJ12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58" s="111">
        <f t="shared" si="19"/>
        <v>1</v>
      </c>
      <c r="AL1258" s="111">
        <f>PRODUCT($AK$5:AK1258)</f>
        <v>8.962823818226312E-2</v>
      </c>
      <c r="AM1258" s="109">
        <f>1 - [K-M P Value]</f>
        <v>0.91037176181773694</v>
      </c>
      <c r="AN1258" s="111" t="str">
        <f>IF(Audit[[#This Row],[K-M P Value]]&gt;1-'General Info'!$B$16,"Continue", "Stop")</f>
        <v>Stop</v>
      </c>
      <c r="AO1258" s="110" t="b">
        <f>IF(Audit[[#This Row],[Status - Continue or stop audit]] = "Continue", TRUE, IF(AN1257 = "Continue", TRUE, FALSE))</f>
        <v>0</v>
      </c>
      <c r="AP1258" s="110"/>
    </row>
    <row r="1259" spans="1:42" ht="15" hidden="1" customHeight="1">
      <c r="A1259" s="111" t="str">
        <f>'Sampling Data'!W1251</f>
        <v/>
      </c>
      <c r="B1259" s="112" t="str">
        <f>'Sampling Data'!A1251</f>
        <v>HIGHLAND HEIGHTS -04-B</v>
      </c>
      <c r="C1259" s="112">
        <f>'Sampling Data'!B1251</f>
        <v>35</v>
      </c>
      <c r="D1259" s="112">
        <f>'Sampling Data'!C1251</f>
        <v>47</v>
      </c>
      <c r="E1259" s="113">
        <f>'Sampling Data'!D1251</f>
        <v>20</v>
      </c>
      <c r="F1259" s="113">
        <f>'Sampling Data'!E1251</f>
        <v>13</v>
      </c>
      <c r="G1259" s="113">
        <f>'Sampling Data'!F1251</f>
        <v>1</v>
      </c>
      <c r="H1259" s="113">
        <f>'Sampling Data'!G1251</f>
        <v>2</v>
      </c>
      <c r="I1259" s="112">
        <f>'Sampling Data'!H1251</f>
        <v>0</v>
      </c>
      <c r="J1259" s="112">
        <f>'Sampling Data'!I1251</f>
        <v>3</v>
      </c>
      <c r="K1259" s="112">
        <f>'Sampling Data'!J1251</f>
        <v>121</v>
      </c>
      <c r="L1259" s="111">
        <f>'Sampling Data'!X1251</f>
        <v>0</v>
      </c>
      <c r="M1259" s="114"/>
      <c r="N1259" s="114"/>
      <c r="O1259" s="115"/>
      <c r="P1259" s="115"/>
      <c r="Q1259" s="116"/>
      <c r="R1259" s="116"/>
      <c r="S1259" s="111">
        <f>Audit[[#This Row],[Audit Losing Candidate]]-Audit[[#This Row],[Losing Candidate]]</f>
        <v>-35</v>
      </c>
      <c r="T1259" s="111">
        <f>Audit[[#This Row],[Audit Winning Candidate]]-Audit[[#This Row],[Winning Candidate]]</f>
        <v>-47</v>
      </c>
      <c r="U1259" s="111">
        <f>Audit[[#This Row],[Audit Candidate 3]]-Audit[[#This Row],[Candidate 3]]</f>
        <v>-20</v>
      </c>
      <c r="V1259" s="111">
        <f>Audit[[#This Row],[Audit Candidate 4]]-Audit[[#This Row],[Candidate 4]]</f>
        <v>-13</v>
      </c>
      <c r="W1259" s="111">
        <f>Audit[[#This Row],[Audit Candidate 5]]-Audit[[#This Row],[Candidate 5]]</f>
        <v>-1</v>
      </c>
      <c r="X1259" s="111">
        <f>Audit[[#This Row],[Audit Candidate 6]]-Audit[[#This Row],[Candidate 6]]</f>
        <v>-2</v>
      </c>
      <c r="Y1259" s="111">
        <f>SUMIF(Audit[[#This Row],[Difference Loser]:[Difference Candidate 6]], "&gt;0")</f>
        <v>0</v>
      </c>
      <c r="Z1259" s="111">
        <f>SUM(Audit[[#This Row],[Difference Loser]:[Difference Candidate 6]])</f>
        <v>-118</v>
      </c>
      <c r="AA1259" s="111">
        <f>IF(Audit[[#This Row],[Times p Drawn - With Replacement]]&gt;0, IF(Audit[[#This Row],[Canceled Differences]]&lt;0, Audit[[#This Row],[Max Differences]]+ABS(Audit[[#This Row],[Canceled Differences]]), Audit[[#This Row],[Max Differences]]), 0)</f>
        <v>0</v>
      </c>
      <c r="AB1259" s="111">
        <f>'Sampling Data'!P1251</f>
        <v>8.1455169034786862E-3</v>
      </c>
      <c r="AC1259" s="111">
        <f>IF(
      SUM(Audit[[#This Row],[Audit Losing Candidate]:[Audit Candidate 6]])
      &lt;&gt;0,
      (Audit[[#This Row],[Winning Candidate]]-Audit[[#This Row],[Losing Candidate]]-(Audit[[#This Row],[Audit Winning Candidate]]-Audit[[#This Row],[Audit Losing Candidate]]))/(Audit[[#Totals],[Winning Candidate]]-Audit[[#Totals],[Losing Candidate]]),
      0
)</f>
        <v>0</v>
      </c>
      <c r="AD12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9" s="111">
        <f>IF(Audit[[#This Row],[Max Relative Error (ep)]] = 0, 0, Audit[[#This Row],[Max Relative Error (ep)]]/Audit[[#This Row],[Error Bound (up) - Max. possible relative overstatement]])</f>
        <v>0</v>
      </c>
      <c r="AJ12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59" s="111">
        <f t="shared" si="19"/>
        <v>1</v>
      </c>
      <c r="AL1259" s="111">
        <f>PRODUCT($AK$5:AK1259)</f>
        <v>8.962823818226312E-2</v>
      </c>
      <c r="AM1259" s="109">
        <f>1 - [K-M P Value]</f>
        <v>0.91037176181773694</v>
      </c>
      <c r="AN1259" s="111" t="str">
        <f>IF(Audit[[#This Row],[K-M P Value]]&gt;1-'General Info'!$B$16,"Continue", "Stop")</f>
        <v>Stop</v>
      </c>
      <c r="AO1259" s="110" t="b">
        <f>IF(Audit[[#This Row],[Status - Continue or stop audit]] = "Continue", TRUE, IF(AN1258 = "Continue", TRUE, FALSE))</f>
        <v>0</v>
      </c>
      <c r="AP1259" s="110"/>
    </row>
    <row r="1260" spans="1:42" ht="15" hidden="1" customHeight="1">
      <c r="A1260" s="111" t="str">
        <f>'Sampling Data'!W1252</f>
        <v/>
      </c>
      <c r="B1260" s="112" t="str">
        <f>'Sampling Data'!A1252</f>
        <v>HIGHLAND HEIGHTS -04-B - ABS</v>
      </c>
      <c r="C1260" s="112">
        <f>'Sampling Data'!B1252</f>
        <v>19</v>
      </c>
      <c r="D1260" s="112">
        <f>'Sampling Data'!C1252</f>
        <v>37</v>
      </c>
      <c r="E1260" s="113">
        <f>'Sampling Data'!D1252</f>
        <v>5</v>
      </c>
      <c r="F1260" s="113">
        <f>'Sampling Data'!E1252</f>
        <v>1</v>
      </c>
      <c r="G1260" s="113">
        <f>'Sampling Data'!F1252</f>
        <v>0</v>
      </c>
      <c r="H1260" s="113">
        <f>'Sampling Data'!G1252</f>
        <v>0</v>
      </c>
      <c r="I1260" s="112">
        <f>'Sampling Data'!H1252</f>
        <v>0</v>
      </c>
      <c r="J1260" s="112">
        <f>'Sampling Data'!I1252</f>
        <v>0</v>
      </c>
      <c r="K1260" s="112">
        <f>'Sampling Data'!J1252</f>
        <v>62</v>
      </c>
      <c r="L1260" s="111">
        <f>'Sampling Data'!X1252</f>
        <v>0</v>
      </c>
      <c r="M1260" s="114"/>
      <c r="N1260" s="114"/>
      <c r="O1260" s="115"/>
      <c r="P1260" s="115"/>
      <c r="Q1260" s="116"/>
      <c r="R1260" s="116"/>
      <c r="S1260" s="111">
        <f>Audit[[#This Row],[Audit Losing Candidate]]-Audit[[#This Row],[Losing Candidate]]</f>
        <v>-19</v>
      </c>
      <c r="T1260" s="111">
        <f>Audit[[#This Row],[Audit Winning Candidate]]-Audit[[#This Row],[Winning Candidate]]</f>
        <v>-37</v>
      </c>
      <c r="U1260" s="111">
        <f>Audit[[#This Row],[Audit Candidate 3]]-Audit[[#This Row],[Candidate 3]]</f>
        <v>-5</v>
      </c>
      <c r="V1260" s="111">
        <f>Audit[[#This Row],[Audit Candidate 4]]-Audit[[#This Row],[Candidate 4]]</f>
        <v>-1</v>
      </c>
      <c r="W1260" s="111">
        <f>Audit[[#This Row],[Audit Candidate 5]]-Audit[[#This Row],[Candidate 5]]</f>
        <v>0</v>
      </c>
      <c r="X1260" s="111">
        <f>Audit[[#This Row],[Audit Candidate 6]]-Audit[[#This Row],[Candidate 6]]</f>
        <v>0</v>
      </c>
      <c r="Y1260" s="111">
        <f>SUMIF(Audit[[#This Row],[Difference Loser]:[Difference Candidate 6]], "&gt;0")</f>
        <v>0</v>
      </c>
      <c r="Z1260" s="111">
        <f>SUM(Audit[[#This Row],[Difference Loser]:[Difference Candidate 6]])</f>
        <v>-62</v>
      </c>
      <c r="AA1260" s="111">
        <f>IF(Audit[[#This Row],[Times p Drawn - With Replacement]]&gt;0, IF(Audit[[#This Row],[Canceled Differences]]&lt;0, Audit[[#This Row],[Max Differences]]+ABS(Audit[[#This Row],[Canceled Differences]]), Audit[[#This Row],[Max Differences]]), 0)</f>
        <v>0</v>
      </c>
      <c r="AB1260" s="111">
        <f>'Sampling Data'!P1252</f>
        <v>4.8995590396864281E-3</v>
      </c>
      <c r="AC1260" s="111">
        <f>IF(
      SUM(Audit[[#This Row],[Audit Losing Candidate]:[Audit Candidate 6]])
      &lt;&gt;0,
      (Audit[[#This Row],[Winning Candidate]]-Audit[[#This Row],[Losing Candidate]]-(Audit[[#This Row],[Audit Winning Candidate]]-Audit[[#This Row],[Audit Losing Candidate]]))/(Audit[[#Totals],[Winning Candidate]]-Audit[[#Totals],[Losing Candidate]]),
      0
)</f>
        <v>0</v>
      </c>
      <c r="AD12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0" s="111">
        <f>IF(Audit[[#This Row],[Max Relative Error (ep)]] = 0, 0, Audit[[#This Row],[Max Relative Error (ep)]]/Audit[[#This Row],[Error Bound (up) - Max. possible relative overstatement]])</f>
        <v>0</v>
      </c>
      <c r="AJ12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60" s="111">
        <f t="shared" si="19"/>
        <v>1</v>
      </c>
      <c r="AL1260" s="111">
        <f>PRODUCT($AK$5:AK1260)</f>
        <v>8.962823818226312E-2</v>
      </c>
      <c r="AM1260" s="109">
        <f>1 - [K-M P Value]</f>
        <v>0.91037176181773694</v>
      </c>
      <c r="AN1260" s="111" t="str">
        <f>IF(Audit[[#This Row],[K-M P Value]]&gt;1-'General Info'!$B$16,"Continue", "Stop")</f>
        <v>Stop</v>
      </c>
      <c r="AO1260" s="110" t="b">
        <f>IF(Audit[[#This Row],[Status - Continue or stop audit]] = "Continue", TRUE, IF(AN1259 = "Continue", TRUE, FALSE))</f>
        <v>0</v>
      </c>
      <c r="AP1260" s="110"/>
    </row>
    <row r="1261" spans="1:42" ht="15" hidden="1" customHeight="1">
      <c r="A1261" s="111" t="str">
        <f>'Sampling Data'!W1253</f>
        <v/>
      </c>
      <c r="B1261" s="112" t="str">
        <f>'Sampling Data'!A1253</f>
        <v>HIGHLAND HILLS -00-A</v>
      </c>
      <c r="C1261" s="112">
        <f>'Sampling Data'!B1253</f>
        <v>2</v>
      </c>
      <c r="D1261" s="112">
        <f>'Sampling Data'!C1253</f>
        <v>0</v>
      </c>
      <c r="E1261" s="113">
        <f>'Sampling Data'!D1253</f>
        <v>0</v>
      </c>
      <c r="F1261" s="113">
        <f>'Sampling Data'!E1253</f>
        <v>0</v>
      </c>
      <c r="G1261" s="113">
        <f>'Sampling Data'!F1253</f>
        <v>0</v>
      </c>
      <c r="H1261" s="113">
        <f>'Sampling Data'!G1253</f>
        <v>0</v>
      </c>
      <c r="I1261" s="112">
        <f>'Sampling Data'!H1253</f>
        <v>0</v>
      </c>
      <c r="J1261" s="112">
        <f>'Sampling Data'!I1253</f>
        <v>0</v>
      </c>
      <c r="K1261" s="112">
        <f>'Sampling Data'!J1253</f>
        <v>2</v>
      </c>
      <c r="L1261" s="111">
        <f>'Sampling Data'!X1253</f>
        <v>0</v>
      </c>
      <c r="M1261" s="114"/>
      <c r="N1261" s="114"/>
      <c r="O1261" s="115"/>
      <c r="P1261" s="115"/>
      <c r="Q1261" s="116"/>
      <c r="R1261" s="116"/>
      <c r="S1261" s="111">
        <f>Audit[[#This Row],[Audit Losing Candidate]]-Audit[[#This Row],[Losing Candidate]]</f>
        <v>-2</v>
      </c>
      <c r="T1261" s="111">
        <f>Audit[[#This Row],[Audit Winning Candidate]]-Audit[[#This Row],[Winning Candidate]]</f>
        <v>0</v>
      </c>
      <c r="U1261" s="111">
        <f>Audit[[#This Row],[Audit Candidate 3]]-Audit[[#This Row],[Candidate 3]]</f>
        <v>0</v>
      </c>
      <c r="V1261" s="111">
        <f>Audit[[#This Row],[Audit Candidate 4]]-Audit[[#This Row],[Candidate 4]]</f>
        <v>0</v>
      </c>
      <c r="W1261" s="111">
        <f>Audit[[#This Row],[Audit Candidate 5]]-Audit[[#This Row],[Candidate 5]]</f>
        <v>0</v>
      </c>
      <c r="X1261" s="111">
        <f>Audit[[#This Row],[Audit Candidate 6]]-Audit[[#This Row],[Candidate 6]]</f>
        <v>0</v>
      </c>
      <c r="Y1261" s="111">
        <f>SUMIF(Audit[[#This Row],[Difference Loser]:[Difference Candidate 6]], "&gt;0")</f>
        <v>0</v>
      </c>
      <c r="Z1261" s="111">
        <f>SUM(Audit[[#This Row],[Difference Loser]:[Difference Candidate 6]])</f>
        <v>-2</v>
      </c>
      <c r="AA1261" s="111">
        <f>IF(Audit[[#This Row],[Times p Drawn - With Replacement]]&gt;0, IF(Audit[[#This Row],[Canceled Differences]]&lt;0, Audit[[#This Row],[Max Differences]]+ABS(Audit[[#This Row],[Canceled Differences]]), Audit[[#This Row],[Max Differences]]), 0)</f>
        <v>0</v>
      </c>
      <c r="AB1261" s="111">
        <f>'Sampling Data'!P1253</f>
        <v>6.4522373132883833E-5</v>
      </c>
      <c r="AC1261" s="111">
        <f>IF(
      SUM(Audit[[#This Row],[Audit Losing Candidate]:[Audit Candidate 6]])
      &lt;&gt;0,
      (Audit[[#This Row],[Winning Candidate]]-Audit[[#This Row],[Losing Candidate]]-(Audit[[#This Row],[Audit Winning Candidate]]-Audit[[#This Row],[Audit Losing Candidate]]))/(Audit[[#Totals],[Winning Candidate]]-Audit[[#Totals],[Losing Candidate]]),
      0
)</f>
        <v>0</v>
      </c>
      <c r="AD12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1" s="111">
        <f>IF(Audit[[#This Row],[Max Relative Error (ep)]] = 0, 0, Audit[[#This Row],[Max Relative Error (ep)]]/Audit[[#This Row],[Error Bound (up) - Max. possible relative overstatement]])</f>
        <v>0</v>
      </c>
      <c r="AJ12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61" s="111">
        <f t="shared" si="19"/>
        <v>1</v>
      </c>
      <c r="AL1261" s="111">
        <f>PRODUCT($AK$5:AK1261)</f>
        <v>8.962823818226312E-2</v>
      </c>
      <c r="AM1261" s="109">
        <f>1 - [K-M P Value]</f>
        <v>0.91037176181773694</v>
      </c>
      <c r="AN1261" s="111" t="str">
        <f>IF(Audit[[#This Row],[K-M P Value]]&gt;1-'General Info'!$B$16,"Continue", "Stop")</f>
        <v>Stop</v>
      </c>
      <c r="AO1261" s="110" t="b">
        <f>IF(Audit[[#This Row],[Status - Continue or stop audit]] = "Continue", TRUE, IF(AN1260 = "Continue", TRUE, FALSE))</f>
        <v>0</v>
      </c>
      <c r="AP1261" s="110"/>
    </row>
    <row r="1262" spans="1:42" ht="15" hidden="1" customHeight="1">
      <c r="A1262" s="111" t="str">
        <f>'Sampling Data'!W1254</f>
        <v/>
      </c>
      <c r="B1262" s="112" t="str">
        <f>'Sampling Data'!A1254</f>
        <v>HIGHLAND HILLS -00-A - ABS</v>
      </c>
      <c r="C1262" s="112">
        <f>'Sampling Data'!B1254</f>
        <v>0</v>
      </c>
      <c r="D1262" s="112">
        <f>'Sampling Data'!C1254</f>
        <v>0</v>
      </c>
      <c r="E1262" s="113">
        <f>'Sampling Data'!D1254</f>
        <v>0</v>
      </c>
      <c r="F1262" s="113">
        <f>'Sampling Data'!E1254</f>
        <v>0</v>
      </c>
      <c r="G1262" s="113">
        <f>'Sampling Data'!F1254</f>
        <v>0</v>
      </c>
      <c r="H1262" s="113">
        <f>'Sampling Data'!G1254</f>
        <v>0</v>
      </c>
      <c r="I1262" s="112">
        <f>'Sampling Data'!H1254</f>
        <v>0</v>
      </c>
      <c r="J1262" s="112">
        <f>'Sampling Data'!I1254</f>
        <v>0</v>
      </c>
      <c r="K1262" s="112">
        <f>'Sampling Data'!J1254</f>
        <v>0</v>
      </c>
      <c r="L1262" s="111">
        <f>'Sampling Data'!X1254</f>
        <v>0</v>
      </c>
      <c r="M1262" s="114"/>
      <c r="N1262" s="114"/>
      <c r="O1262" s="115"/>
      <c r="P1262" s="115"/>
      <c r="Q1262" s="116"/>
      <c r="R1262" s="116"/>
      <c r="S1262" s="111">
        <f>Audit[[#This Row],[Audit Losing Candidate]]-Audit[[#This Row],[Losing Candidate]]</f>
        <v>0</v>
      </c>
      <c r="T1262" s="111">
        <f>Audit[[#This Row],[Audit Winning Candidate]]-Audit[[#This Row],[Winning Candidate]]</f>
        <v>0</v>
      </c>
      <c r="U1262" s="111">
        <f>Audit[[#This Row],[Audit Candidate 3]]-Audit[[#This Row],[Candidate 3]]</f>
        <v>0</v>
      </c>
      <c r="V1262" s="111">
        <f>Audit[[#This Row],[Audit Candidate 4]]-Audit[[#This Row],[Candidate 4]]</f>
        <v>0</v>
      </c>
      <c r="W1262" s="111">
        <f>Audit[[#This Row],[Audit Candidate 5]]-Audit[[#This Row],[Candidate 5]]</f>
        <v>0</v>
      </c>
      <c r="X1262" s="111">
        <f>Audit[[#This Row],[Audit Candidate 6]]-Audit[[#This Row],[Candidate 6]]</f>
        <v>0</v>
      </c>
      <c r="Y1262" s="111">
        <f>SUMIF(Audit[[#This Row],[Difference Loser]:[Difference Candidate 6]], "&gt;0")</f>
        <v>0</v>
      </c>
      <c r="Z1262" s="111">
        <f>SUM(Audit[[#This Row],[Difference Loser]:[Difference Candidate 6]])</f>
        <v>0</v>
      </c>
      <c r="AA1262" s="111">
        <f>IF(Audit[[#This Row],[Times p Drawn - With Replacement]]&gt;0, IF(Audit[[#This Row],[Canceled Differences]]&lt;0, Audit[[#This Row],[Max Differences]]+ABS(Audit[[#This Row],[Canceled Differences]]), Audit[[#This Row],[Max Differences]]), 0)</f>
        <v>0</v>
      </c>
      <c r="AB1262" s="111">
        <f>'Sampling Data'!P1254</f>
        <v>0</v>
      </c>
      <c r="AC1262" s="111">
        <f>IF(
      SUM(Audit[[#This Row],[Audit Losing Candidate]:[Audit Candidate 6]])
      &lt;&gt;0,
      (Audit[[#This Row],[Winning Candidate]]-Audit[[#This Row],[Losing Candidate]]-(Audit[[#This Row],[Audit Winning Candidate]]-Audit[[#This Row],[Audit Losing Candidate]]))/(Audit[[#Totals],[Winning Candidate]]-Audit[[#Totals],[Losing Candidate]]),
      0
)</f>
        <v>0</v>
      </c>
      <c r="AD12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2" s="111">
        <f>IF(Audit[[#This Row],[Max Relative Error (ep)]] = 0, 0, Audit[[#This Row],[Max Relative Error (ep)]]/Audit[[#This Row],[Error Bound (up) - Max. possible relative overstatement]])</f>
        <v>0</v>
      </c>
      <c r="AJ12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62" s="111">
        <f t="shared" si="19"/>
        <v>1</v>
      </c>
      <c r="AL1262" s="111">
        <f>PRODUCT($AK$5:AK1262)</f>
        <v>8.962823818226312E-2</v>
      </c>
      <c r="AM1262" s="109">
        <f>1 - [K-M P Value]</f>
        <v>0.91037176181773694</v>
      </c>
      <c r="AN1262" s="111" t="str">
        <f>IF(Audit[[#This Row],[K-M P Value]]&gt;1-'General Info'!$B$16,"Continue", "Stop")</f>
        <v>Stop</v>
      </c>
      <c r="AO1262" s="110" t="b">
        <f>IF(Audit[[#This Row],[Status - Continue or stop audit]] = "Continue", TRUE, IF(AN1261 = "Continue", TRUE, FALSE))</f>
        <v>0</v>
      </c>
      <c r="AP1262" s="110"/>
    </row>
    <row r="1263" spans="1:42" ht="15" hidden="1" customHeight="1">
      <c r="A1263" s="111" t="str">
        <f>'Sampling Data'!W1255</f>
        <v/>
      </c>
      <c r="B1263" s="112" t="str">
        <f>'Sampling Data'!A1255</f>
        <v>HUNTING VALLEY -00-A</v>
      </c>
      <c r="C1263" s="112">
        <f>'Sampling Data'!B1255</f>
        <v>14</v>
      </c>
      <c r="D1263" s="112">
        <f>'Sampling Data'!C1255</f>
        <v>61</v>
      </c>
      <c r="E1263" s="113">
        <f>'Sampling Data'!D1255</f>
        <v>2</v>
      </c>
      <c r="F1263" s="113">
        <f>'Sampling Data'!E1255</f>
        <v>3</v>
      </c>
      <c r="G1263" s="113">
        <f>'Sampling Data'!F1255</f>
        <v>1</v>
      </c>
      <c r="H1263" s="113">
        <f>'Sampling Data'!G1255</f>
        <v>0</v>
      </c>
      <c r="I1263" s="112">
        <f>'Sampling Data'!H1255</f>
        <v>0</v>
      </c>
      <c r="J1263" s="112">
        <f>'Sampling Data'!I1255</f>
        <v>1</v>
      </c>
      <c r="K1263" s="112">
        <f>'Sampling Data'!J1255</f>
        <v>82</v>
      </c>
      <c r="L1263" s="111">
        <f>'Sampling Data'!X1255</f>
        <v>0</v>
      </c>
      <c r="M1263" s="114"/>
      <c r="N1263" s="114"/>
      <c r="O1263" s="115"/>
      <c r="P1263" s="115"/>
      <c r="Q1263" s="116"/>
      <c r="R1263" s="116"/>
      <c r="S1263" s="111">
        <f>Audit[[#This Row],[Audit Losing Candidate]]-Audit[[#This Row],[Losing Candidate]]</f>
        <v>-14</v>
      </c>
      <c r="T1263" s="111">
        <f>Audit[[#This Row],[Audit Winning Candidate]]-Audit[[#This Row],[Winning Candidate]]</f>
        <v>-61</v>
      </c>
      <c r="U1263" s="111">
        <f>Audit[[#This Row],[Audit Candidate 3]]-Audit[[#This Row],[Candidate 3]]</f>
        <v>-2</v>
      </c>
      <c r="V1263" s="111">
        <f>Audit[[#This Row],[Audit Candidate 4]]-Audit[[#This Row],[Candidate 4]]</f>
        <v>-3</v>
      </c>
      <c r="W1263" s="111">
        <f>Audit[[#This Row],[Audit Candidate 5]]-Audit[[#This Row],[Candidate 5]]</f>
        <v>-1</v>
      </c>
      <c r="X1263" s="111">
        <f>Audit[[#This Row],[Audit Candidate 6]]-Audit[[#This Row],[Candidate 6]]</f>
        <v>0</v>
      </c>
      <c r="Y1263" s="111">
        <f>SUMIF(Audit[[#This Row],[Difference Loser]:[Difference Candidate 6]], "&gt;0")</f>
        <v>0</v>
      </c>
      <c r="Z1263" s="111">
        <f>SUM(Audit[[#This Row],[Difference Loser]:[Difference Candidate 6]])</f>
        <v>-81</v>
      </c>
      <c r="AA1263" s="111">
        <f>IF(Audit[[#This Row],[Times p Drawn - With Replacement]]&gt;0, IF(Audit[[#This Row],[Canceled Differences]]&lt;0, Audit[[#This Row],[Max Differences]]+ABS(Audit[[#This Row],[Canceled Differences]]), Audit[[#This Row],[Max Differences]]), 0)</f>
        <v>0</v>
      </c>
      <c r="AB1263" s="111">
        <f>'Sampling Data'!P1255</f>
        <v>7.9005389514943663E-3</v>
      </c>
      <c r="AC1263" s="111">
        <f>IF(
      SUM(Audit[[#This Row],[Audit Losing Candidate]:[Audit Candidate 6]])
      &lt;&gt;0,
      (Audit[[#This Row],[Winning Candidate]]-Audit[[#This Row],[Losing Candidate]]-(Audit[[#This Row],[Audit Winning Candidate]]-Audit[[#This Row],[Audit Losing Candidate]]))/(Audit[[#Totals],[Winning Candidate]]-Audit[[#Totals],[Losing Candidate]]),
      0
)</f>
        <v>0</v>
      </c>
      <c r="AD12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3" s="111">
        <f>IF(Audit[[#This Row],[Max Relative Error (ep)]] = 0, 0, Audit[[#This Row],[Max Relative Error (ep)]]/Audit[[#This Row],[Error Bound (up) - Max. possible relative overstatement]])</f>
        <v>0</v>
      </c>
      <c r="AJ12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63" s="111">
        <f t="shared" si="19"/>
        <v>1</v>
      </c>
      <c r="AL1263" s="111">
        <f>PRODUCT($AK$5:AK1263)</f>
        <v>8.962823818226312E-2</v>
      </c>
      <c r="AM1263" s="109">
        <f>1 - [K-M P Value]</f>
        <v>0.91037176181773694</v>
      </c>
      <c r="AN1263" s="111" t="str">
        <f>IF(Audit[[#This Row],[K-M P Value]]&gt;1-'General Info'!$B$16,"Continue", "Stop")</f>
        <v>Stop</v>
      </c>
      <c r="AO1263" s="110" t="b">
        <f>IF(Audit[[#This Row],[Status - Continue or stop audit]] = "Continue", TRUE, IF(AN1262 = "Continue", TRUE, FALSE))</f>
        <v>0</v>
      </c>
      <c r="AP1263" s="110"/>
    </row>
    <row r="1264" spans="1:42" ht="15" hidden="1" customHeight="1">
      <c r="A1264" s="111" t="str">
        <f>'Sampling Data'!W1256</f>
        <v/>
      </c>
      <c r="B1264" s="112" t="str">
        <f>'Sampling Data'!A1256</f>
        <v>HUNTING VALLEY -00-A - ABS</v>
      </c>
      <c r="C1264" s="112">
        <f>'Sampling Data'!B1256</f>
        <v>4</v>
      </c>
      <c r="D1264" s="112">
        <f>'Sampling Data'!C1256</f>
        <v>50</v>
      </c>
      <c r="E1264" s="113">
        <f>'Sampling Data'!D1256</f>
        <v>4</v>
      </c>
      <c r="F1264" s="113">
        <f>'Sampling Data'!E1256</f>
        <v>0</v>
      </c>
      <c r="G1264" s="113">
        <f>'Sampling Data'!F1256</f>
        <v>2</v>
      </c>
      <c r="H1264" s="113">
        <f>'Sampling Data'!G1256</f>
        <v>1</v>
      </c>
      <c r="I1264" s="112">
        <f>'Sampling Data'!H1256</f>
        <v>1</v>
      </c>
      <c r="J1264" s="112">
        <f>'Sampling Data'!I1256</f>
        <v>0</v>
      </c>
      <c r="K1264" s="112">
        <f>'Sampling Data'!J1256</f>
        <v>62</v>
      </c>
      <c r="L1264" s="111">
        <f>'Sampling Data'!X1256</f>
        <v>0</v>
      </c>
      <c r="M1264" s="114"/>
      <c r="N1264" s="114"/>
      <c r="O1264" s="115"/>
      <c r="P1264" s="115"/>
      <c r="Q1264" s="116"/>
      <c r="R1264" s="116"/>
      <c r="S1264" s="111">
        <f>Audit[[#This Row],[Audit Losing Candidate]]-Audit[[#This Row],[Losing Candidate]]</f>
        <v>-4</v>
      </c>
      <c r="T1264" s="111">
        <f>Audit[[#This Row],[Audit Winning Candidate]]-Audit[[#This Row],[Winning Candidate]]</f>
        <v>-50</v>
      </c>
      <c r="U1264" s="111">
        <f>Audit[[#This Row],[Audit Candidate 3]]-Audit[[#This Row],[Candidate 3]]</f>
        <v>-4</v>
      </c>
      <c r="V1264" s="111">
        <f>Audit[[#This Row],[Audit Candidate 4]]-Audit[[#This Row],[Candidate 4]]</f>
        <v>0</v>
      </c>
      <c r="W1264" s="111">
        <f>Audit[[#This Row],[Audit Candidate 5]]-Audit[[#This Row],[Candidate 5]]</f>
        <v>-2</v>
      </c>
      <c r="X1264" s="111">
        <f>Audit[[#This Row],[Audit Candidate 6]]-Audit[[#This Row],[Candidate 6]]</f>
        <v>-1</v>
      </c>
      <c r="Y1264" s="111">
        <f>SUMIF(Audit[[#This Row],[Difference Loser]:[Difference Candidate 6]], "&gt;0")</f>
        <v>0</v>
      </c>
      <c r="Z1264" s="111">
        <f>SUM(Audit[[#This Row],[Difference Loser]:[Difference Candidate 6]])</f>
        <v>-61</v>
      </c>
      <c r="AA1264" s="111">
        <f>IF(Audit[[#This Row],[Times p Drawn - With Replacement]]&gt;0, IF(Audit[[#This Row],[Canceled Differences]]&lt;0, Audit[[#This Row],[Max Differences]]+ABS(Audit[[#This Row],[Canceled Differences]]), Audit[[#This Row],[Max Differences]]), 0)</f>
        <v>0</v>
      </c>
      <c r="AB1264" s="111">
        <f>'Sampling Data'!P1256</f>
        <v>6.6144047035766778E-3</v>
      </c>
      <c r="AC1264" s="111">
        <f>IF(
      SUM(Audit[[#This Row],[Audit Losing Candidate]:[Audit Candidate 6]])
      &lt;&gt;0,
      (Audit[[#This Row],[Winning Candidate]]-Audit[[#This Row],[Losing Candidate]]-(Audit[[#This Row],[Audit Winning Candidate]]-Audit[[#This Row],[Audit Losing Candidate]]))/(Audit[[#Totals],[Winning Candidate]]-Audit[[#Totals],[Losing Candidate]]),
      0
)</f>
        <v>0</v>
      </c>
      <c r="AD12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4" s="111">
        <f>IF(Audit[[#This Row],[Max Relative Error (ep)]] = 0, 0, Audit[[#This Row],[Max Relative Error (ep)]]/Audit[[#This Row],[Error Bound (up) - Max. possible relative overstatement]])</f>
        <v>0</v>
      </c>
      <c r="AJ12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64" s="111">
        <f t="shared" si="19"/>
        <v>1</v>
      </c>
      <c r="AL1264" s="111">
        <f>PRODUCT($AK$5:AK1264)</f>
        <v>8.962823818226312E-2</v>
      </c>
      <c r="AM1264" s="109">
        <f>1 - [K-M P Value]</f>
        <v>0.91037176181773694</v>
      </c>
      <c r="AN1264" s="111" t="str">
        <f>IF(Audit[[#This Row],[K-M P Value]]&gt;1-'General Info'!$B$16,"Continue", "Stop")</f>
        <v>Stop</v>
      </c>
      <c r="AO1264" s="110" t="b">
        <f>IF(Audit[[#This Row],[Status - Continue or stop audit]] = "Continue", TRUE, IF(AN1263 = "Continue", TRUE, FALSE))</f>
        <v>0</v>
      </c>
      <c r="AP1264" s="110"/>
    </row>
    <row r="1265" spans="1:42" ht="15" hidden="1" customHeight="1">
      <c r="A1265" s="111" t="str">
        <f>'Sampling Data'!W1257</f>
        <v/>
      </c>
      <c r="B1265" s="112" t="str">
        <f>'Sampling Data'!A1257</f>
        <v>INDEPENDENCE -00-A</v>
      </c>
      <c r="C1265" s="112">
        <f>'Sampling Data'!B1257</f>
        <v>55</v>
      </c>
      <c r="D1265" s="112">
        <f>'Sampling Data'!C1257</f>
        <v>63</v>
      </c>
      <c r="E1265" s="113">
        <f>'Sampling Data'!D1257</f>
        <v>22</v>
      </c>
      <c r="F1265" s="113">
        <f>'Sampling Data'!E1257</f>
        <v>6</v>
      </c>
      <c r="G1265" s="113">
        <f>'Sampling Data'!F1257</f>
        <v>0</v>
      </c>
      <c r="H1265" s="113">
        <f>'Sampling Data'!G1257</f>
        <v>0</v>
      </c>
      <c r="I1265" s="112">
        <f>'Sampling Data'!H1257</f>
        <v>0</v>
      </c>
      <c r="J1265" s="112">
        <f>'Sampling Data'!I1257</f>
        <v>1</v>
      </c>
      <c r="K1265" s="112">
        <f>'Sampling Data'!J1257</f>
        <v>147</v>
      </c>
      <c r="L1265" s="111">
        <f>'Sampling Data'!X1257</f>
        <v>0</v>
      </c>
      <c r="M1265" s="114"/>
      <c r="N1265" s="114"/>
      <c r="O1265" s="115"/>
      <c r="P1265" s="115"/>
      <c r="Q1265" s="116"/>
      <c r="R1265" s="116"/>
      <c r="S1265" s="111">
        <f>Audit[[#This Row],[Audit Losing Candidate]]-Audit[[#This Row],[Losing Candidate]]</f>
        <v>-55</v>
      </c>
      <c r="T1265" s="111">
        <f>Audit[[#This Row],[Audit Winning Candidate]]-Audit[[#This Row],[Winning Candidate]]</f>
        <v>-63</v>
      </c>
      <c r="U1265" s="111">
        <f>Audit[[#This Row],[Audit Candidate 3]]-Audit[[#This Row],[Candidate 3]]</f>
        <v>-22</v>
      </c>
      <c r="V1265" s="111">
        <f>Audit[[#This Row],[Audit Candidate 4]]-Audit[[#This Row],[Candidate 4]]</f>
        <v>-6</v>
      </c>
      <c r="W1265" s="111">
        <f>Audit[[#This Row],[Audit Candidate 5]]-Audit[[#This Row],[Candidate 5]]</f>
        <v>0</v>
      </c>
      <c r="X1265" s="111">
        <f>Audit[[#This Row],[Audit Candidate 6]]-Audit[[#This Row],[Candidate 6]]</f>
        <v>0</v>
      </c>
      <c r="Y1265" s="111">
        <f>SUMIF(Audit[[#This Row],[Difference Loser]:[Difference Candidate 6]], "&gt;0")</f>
        <v>0</v>
      </c>
      <c r="Z1265" s="111">
        <f>SUM(Audit[[#This Row],[Difference Loser]:[Difference Candidate 6]])</f>
        <v>-146</v>
      </c>
      <c r="AA1265" s="111">
        <f>IF(Audit[[#This Row],[Times p Drawn - With Replacement]]&gt;0, IF(Audit[[#This Row],[Canceled Differences]]&lt;0, Audit[[#This Row],[Max Differences]]+ABS(Audit[[#This Row],[Canceled Differences]]), Audit[[#This Row],[Max Differences]]), 0)</f>
        <v>0</v>
      </c>
      <c r="AB1265" s="111">
        <f>'Sampling Data'!P1257</f>
        <v>9.4928956393924551E-3</v>
      </c>
      <c r="AC1265" s="111">
        <f>IF(
      SUM(Audit[[#This Row],[Audit Losing Candidate]:[Audit Candidate 6]])
      &lt;&gt;0,
      (Audit[[#This Row],[Winning Candidate]]-Audit[[#This Row],[Losing Candidate]]-(Audit[[#This Row],[Audit Winning Candidate]]-Audit[[#This Row],[Audit Losing Candidate]]))/(Audit[[#Totals],[Winning Candidate]]-Audit[[#Totals],[Losing Candidate]]),
      0
)</f>
        <v>0</v>
      </c>
      <c r="AD12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5" s="111">
        <f>IF(Audit[[#This Row],[Max Relative Error (ep)]] = 0, 0, Audit[[#This Row],[Max Relative Error (ep)]]/Audit[[#This Row],[Error Bound (up) - Max. possible relative overstatement]])</f>
        <v>0</v>
      </c>
      <c r="AJ12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65" s="111">
        <f t="shared" si="19"/>
        <v>1</v>
      </c>
      <c r="AL1265" s="111">
        <f>PRODUCT($AK$5:AK1265)</f>
        <v>8.962823818226312E-2</v>
      </c>
      <c r="AM1265" s="109">
        <f>1 - [K-M P Value]</f>
        <v>0.91037176181773694</v>
      </c>
      <c r="AN1265" s="111" t="str">
        <f>IF(Audit[[#This Row],[K-M P Value]]&gt;1-'General Info'!$B$16,"Continue", "Stop")</f>
        <v>Stop</v>
      </c>
      <c r="AO1265" s="110" t="b">
        <f>IF(Audit[[#This Row],[Status - Continue or stop audit]] = "Continue", TRUE, IF(AN1264 = "Continue", TRUE, FALSE))</f>
        <v>0</v>
      </c>
      <c r="AP1265" s="110"/>
    </row>
    <row r="1266" spans="1:42" ht="15" hidden="1" customHeight="1">
      <c r="A1266" s="111" t="str">
        <f>'Sampling Data'!W1258</f>
        <v/>
      </c>
      <c r="B1266" s="112" t="str">
        <f>'Sampling Data'!A1258</f>
        <v>INDEPENDENCE -00-A - ABS</v>
      </c>
      <c r="C1266" s="112">
        <f>'Sampling Data'!B1258</f>
        <v>25</v>
      </c>
      <c r="D1266" s="112">
        <f>'Sampling Data'!C1258</f>
        <v>33</v>
      </c>
      <c r="E1266" s="113">
        <f>'Sampling Data'!D1258</f>
        <v>7</v>
      </c>
      <c r="F1266" s="113">
        <f>'Sampling Data'!E1258</f>
        <v>4</v>
      </c>
      <c r="G1266" s="113">
        <f>'Sampling Data'!F1258</f>
        <v>0</v>
      </c>
      <c r="H1266" s="113">
        <f>'Sampling Data'!G1258</f>
        <v>0</v>
      </c>
      <c r="I1266" s="112">
        <f>'Sampling Data'!H1258</f>
        <v>0</v>
      </c>
      <c r="J1266" s="112">
        <f>'Sampling Data'!I1258</f>
        <v>4</v>
      </c>
      <c r="K1266" s="112">
        <f>'Sampling Data'!J1258</f>
        <v>73</v>
      </c>
      <c r="L1266" s="111">
        <f>'Sampling Data'!X1258</f>
        <v>0</v>
      </c>
      <c r="M1266" s="114"/>
      <c r="N1266" s="114"/>
      <c r="O1266" s="115"/>
      <c r="P1266" s="115"/>
      <c r="Q1266" s="116"/>
      <c r="R1266" s="116"/>
      <c r="S1266" s="111">
        <f>Audit[[#This Row],[Audit Losing Candidate]]-Audit[[#This Row],[Losing Candidate]]</f>
        <v>-25</v>
      </c>
      <c r="T1266" s="111">
        <f>Audit[[#This Row],[Audit Winning Candidate]]-Audit[[#This Row],[Winning Candidate]]</f>
        <v>-33</v>
      </c>
      <c r="U1266" s="111">
        <f>Audit[[#This Row],[Audit Candidate 3]]-Audit[[#This Row],[Candidate 3]]</f>
        <v>-7</v>
      </c>
      <c r="V1266" s="111">
        <f>Audit[[#This Row],[Audit Candidate 4]]-Audit[[#This Row],[Candidate 4]]</f>
        <v>-4</v>
      </c>
      <c r="W1266" s="111">
        <f>Audit[[#This Row],[Audit Candidate 5]]-Audit[[#This Row],[Candidate 5]]</f>
        <v>0</v>
      </c>
      <c r="X1266" s="111">
        <f>Audit[[#This Row],[Audit Candidate 6]]-Audit[[#This Row],[Candidate 6]]</f>
        <v>0</v>
      </c>
      <c r="Y1266" s="111">
        <f>SUMIF(Audit[[#This Row],[Difference Loser]:[Difference Candidate 6]], "&gt;0")</f>
        <v>0</v>
      </c>
      <c r="Z1266" s="111">
        <f>SUM(Audit[[#This Row],[Difference Loser]:[Difference Candidate 6]])</f>
        <v>-69</v>
      </c>
      <c r="AA1266" s="111">
        <f>IF(Audit[[#This Row],[Times p Drawn - With Replacement]]&gt;0, IF(Audit[[#This Row],[Canceled Differences]]&lt;0, Audit[[#This Row],[Max Differences]]+ABS(Audit[[#This Row],[Canceled Differences]]), Audit[[#This Row],[Max Differences]]), 0)</f>
        <v>0</v>
      </c>
      <c r="AB1266" s="111">
        <f>'Sampling Data'!P1258</f>
        <v>4.9608035276825085E-3</v>
      </c>
      <c r="AC1266" s="111">
        <f>IF(
      SUM(Audit[[#This Row],[Audit Losing Candidate]:[Audit Candidate 6]])
      &lt;&gt;0,
      (Audit[[#This Row],[Winning Candidate]]-Audit[[#This Row],[Losing Candidate]]-(Audit[[#This Row],[Audit Winning Candidate]]-Audit[[#This Row],[Audit Losing Candidate]]))/(Audit[[#Totals],[Winning Candidate]]-Audit[[#Totals],[Losing Candidate]]),
      0
)</f>
        <v>0</v>
      </c>
      <c r="AD12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6" s="111">
        <f>IF(Audit[[#This Row],[Max Relative Error (ep)]] = 0, 0, Audit[[#This Row],[Max Relative Error (ep)]]/Audit[[#This Row],[Error Bound (up) - Max. possible relative overstatement]])</f>
        <v>0</v>
      </c>
      <c r="AJ12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66" s="111">
        <f t="shared" si="19"/>
        <v>1</v>
      </c>
      <c r="AL1266" s="111">
        <f>PRODUCT($AK$5:AK1266)</f>
        <v>8.962823818226312E-2</v>
      </c>
      <c r="AM1266" s="109">
        <f>1 - [K-M P Value]</f>
        <v>0.91037176181773694</v>
      </c>
      <c r="AN1266" s="111" t="str">
        <f>IF(Audit[[#This Row],[K-M P Value]]&gt;1-'General Info'!$B$16,"Continue", "Stop")</f>
        <v>Stop</v>
      </c>
      <c r="AO1266" s="110" t="b">
        <f>IF(Audit[[#This Row],[Status - Continue or stop audit]] = "Continue", TRUE, IF(AN1265 = "Continue", TRUE, FALSE))</f>
        <v>0</v>
      </c>
      <c r="AP1266" s="110"/>
    </row>
    <row r="1267" spans="1:42" ht="15" hidden="1" customHeight="1">
      <c r="A1267" s="111" t="str">
        <f>'Sampling Data'!W1259</f>
        <v/>
      </c>
      <c r="B1267" s="112" t="str">
        <f>'Sampling Data'!A1259</f>
        <v>INDEPENDENCE -00-B</v>
      </c>
      <c r="C1267" s="112">
        <f>'Sampling Data'!B1259</f>
        <v>35</v>
      </c>
      <c r="D1267" s="112">
        <f>'Sampling Data'!C1259</f>
        <v>68</v>
      </c>
      <c r="E1267" s="113">
        <f>'Sampling Data'!D1259</f>
        <v>20</v>
      </c>
      <c r="F1267" s="113">
        <f>'Sampling Data'!E1259</f>
        <v>7</v>
      </c>
      <c r="G1267" s="113">
        <f>'Sampling Data'!F1259</f>
        <v>2</v>
      </c>
      <c r="H1267" s="113">
        <f>'Sampling Data'!G1259</f>
        <v>1</v>
      </c>
      <c r="I1267" s="112">
        <f>'Sampling Data'!H1259</f>
        <v>0</v>
      </c>
      <c r="J1267" s="112">
        <f>'Sampling Data'!I1259</f>
        <v>1</v>
      </c>
      <c r="K1267" s="112">
        <f>'Sampling Data'!J1259</f>
        <v>134</v>
      </c>
      <c r="L1267" s="111">
        <f>'Sampling Data'!X1259</f>
        <v>0</v>
      </c>
      <c r="M1267" s="114"/>
      <c r="N1267" s="114"/>
      <c r="O1267" s="115"/>
      <c r="P1267" s="115"/>
      <c r="Q1267" s="116"/>
      <c r="R1267" s="116"/>
      <c r="S1267" s="111">
        <f>Audit[[#This Row],[Audit Losing Candidate]]-Audit[[#This Row],[Losing Candidate]]</f>
        <v>-35</v>
      </c>
      <c r="T1267" s="111">
        <f>Audit[[#This Row],[Audit Winning Candidate]]-Audit[[#This Row],[Winning Candidate]]</f>
        <v>-68</v>
      </c>
      <c r="U1267" s="111">
        <f>Audit[[#This Row],[Audit Candidate 3]]-Audit[[#This Row],[Candidate 3]]</f>
        <v>-20</v>
      </c>
      <c r="V1267" s="111">
        <f>Audit[[#This Row],[Audit Candidate 4]]-Audit[[#This Row],[Candidate 4]]</f>
        <v>-7</v>
      </c>
      <c r="W1267" s="111">
        <f>Audit[[#This Row],[Audit Candidate 5]]-Audit[[#This Row],[Candidate 5]]</f>
        <v>-2</v>
      </c>
      <c r="X1267" s="111">
        <f>Audit[[#This Row],[Audit Candidate 6]]-Audit[[#This Row],[Candidate 6]]</f>
        <v>-1</v>
      </c>
      <c r="Y1267" s="111">
        <f>SUMIF(Audit[[#This Row],[Difference Loser]:[Difference Candidate 6]], "&gt;0")</f>
        <v>0</v>
      </c>
      <c r="Z1267" s="111">
        <f>SUM(Audit[[#This Row],[Difference Loser]:[Difference Candidate 6]])</f>
        <v>-133</v>
      </c>
      <c r="AA1267" s="111">
        <f>IF(Audit[[#This Row],[Times p Drawn - With Replacement]]&gt;0, IF(Audit[[#This Row],[Canceled Differences]]&lt;0, Audit[[#This Row],[Max Differences]]+ABS(Audit[[#This Row],[Canceled Differences]]), Audit[[#This Row],[Max Differences]]), 0)</f>
        <v>0</v>
      </c>
      <c r="AB1267" s="111">
        <f>'Sampling Data'!P1259</f>
        <v>1.0227829495345418E-2</v>
      </c>
      <c r="AC1267" s="111">
        <f>IF(
      SUM(Audit[[#This Row],[Audit Losing Candidate]:[Audit Candidate 6]])
      &lt;&gt;0,
      (Audit[[#This Row],[Winning Candidate]]-Audit[[#This Row],[Losing Candidate]]-(Audit[[#This Row],[Audit Winning Candidate]]-Audit[[#This Row],[Audit Losing Candidate]]))/(Audit[[#Totals],[Winning Candidate]]-Audit[[#Totals],[Losing Candidate]]),
      0
)</f>
        <v>0</v>
      </c>
      <c r="AD12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7" s="111">
        <f>IF(Audit[[#This Row],[Max Relative Error (ep)]] = 0, 0, Audit[[#This Row],[Max Relative Error (ep)]]/Audit[[#This Row],[Error Bound (up) - Max. possible relative overstatement]])</f>
        <v>0</v>
      </c>
      <c r="AJ12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67" s="111">
        <f t="shared" si="19"/>
        <v>1</v>
      </c>
      <c r="AL1267" s="111">
        <f>PRODUCT($AK$5:AK1267)</f>
        <v>8.962823818226312E-2</v>
      </c>
      <c r="AM1267" s="109">
        <f>1 - [K-M P Value]</f>
        <v>0.91037176181773694</v>
      </c>
      <c r="AN1267" s="111" t="str">
        <f>IF(Audit[[#This Row],[K-M P Value]]&gt;1-'General Info'!$B$16,"Continue", "Stop")</f>
        <v>Stop</v>
      </c>
      <c r="AO1267" s="110" t="b">
        <f>IF(Audit[[#This Row],[Status - Continue or stop audit]] = "Continue", TRUE, IF(AN1266 = "Continue", TRUE, FALSE))</f>
        <v>0</v>
      </c>
      <c r="AP1267" s="110"/>
    </row>
    <row r="1268" spans="1:42" ht="15" hidden="1" customHeight="1">
      <c r="A1268" s="111" t="str">
        <f>'Sampling Data'!W1260</f>
        <v/>
      </c>
      <c r="B1268" s="112" t="str">
        <f>'Sampling Data'!A1260</f>
        <v>INDEPENDENCE -00-B - ABS</v>
      </c>
      <c r="C1268" s="112">
        <f>'Sampling Data'!B1260</f>
        <v>17</v>
      </c>
      <c r="D1268" s="112">
        <f>'Sampling Data'!C1260</f>
        <v>24</v>
      </c>
      <c r="E1268" s="113">
        <f>'Sampling Data'!D1260</f>
        <v>5</v>
      </c>
      <c r="F1268" s="113">
        <f>'Sampling Data'!E1260</f>
        <v>0</v>
      </c>
      <c r="G1268" s="113">
        <f>'Sampling Data'!F1260</f>
        <v>0</v>
      </c>
      <c r="H1268" s="113">
        <f>'Sampling Data'!G1260</f>
        <v>0</v>
      </c>
      <c r="I1268" s="112">
        <f>'Sampling Data'!H1260</f>
        <v>0</v>
      </c>
      <c r="J1268" s="112">
        <f>'Sampling Data'!I1260</f>
        <v>1</v>
      </c>
      <c r="K1268" s="112">
        <f>'Sampling Data'!J1260</f>
        <v>47</v>
      </c>
      <c r="L1268" s="111">
        <f>'Sampling Data'!X1260</f>
        <v>0</v>
      </c>
      <c r="M1268" s="114"/>
      <c r="N1268" s="114"/>
      <c r="O1268" s="115"/>
      <c r="P1268" s="115"/>
      <c r="Q1268" s="116"/>
      <c r="R1268" s="116"/>
      <c r="S1268" s="111">
        <f>Audit[[#This Row],[Audit Losing Candidate]]-Audit[[#This Row],[Losing Candidate]]</f>
        <v>-17</v>
      </c>
      <c r="T1268" s="111">
        <f>Audit[[#This Row],[Audit Winning Candidate]]-Audit[[#This Row],[Winning Candidate]]</f>
        <v>-24</v>
      </c>
      <c r="U1268" s="111">
        <f>Audit[[#This Row],[Audit Candidate 3]]-Audit[[#This Row],[Candidate 3]]</f>
        <v>-5</v>
      </c>
      <c r="V1268" s="111">
        <f>Audit[[#This Row],[Audit Candidate 4]]-Audit[[#This Row],[Candidate 4]]</f>
        <v>0</v>
      </c>
      <c r="W1268" s="111">
        <f>Audit[[#This Row],[Audit Candidate 5]]-Audit[[#This Row],[Candidate 5]]</f>
        <v>0</v>
      </c>
      <c r="X1268" s="111">
        <f>Audit[[#This Row],[Audit Candidate 6]]-Audit[[#This Row],[Candidate 6]]</f>
        <v>0</v>
      </c>
      <c r="Y1268" s="111">
        <f>SUMIF(Audit[[#This Row],[Difference Loser]:[Difference Candidate 6]], "&gt;0")</f>
        <v>0</v>
      </c>
      <c r="Z1268" s="111">
        <f>SUM(Audit[[#This Row],[Difference Loser]:[Difference Candidate 6]])</f>
        <v>-46</v>
      </c>
      <c r="AA1268" s="111">
        <f>IF(Audit[[#This Row],[Times p Drawn - With Replacement]]&gt;0, IF(Audit[[#This Row],[Canceled Differences]]&lt;0, Audit[[#This Row],[Max Differences]]+ABS(Audit[[#This Row],[Canceled Differences]]), Audit[[#This Row],[Max Differences]]), 0)</f>
        <v>0</v>
      </c>
      <c r="AB1268" s="111">
        <f>'Sampling Data'!P1260</f>
        <v>3.3072023517883389E-3</v>
      </c>
      <c r="AC1268" s="111">
        <f>IF(
      SUM(Audit[[#This Row],[Audit Losing Candidate]:[Audit Candidate 6]])
      &lt;&gt;0,
      (Audit[[#This Row],[Winning Candidate]]-Audit[[#This Row],[Losing Candidate]]-(Audit[[#This Row],[Audit Winning Candidate]]-Audit[[#This Row],[Audit Losing Candidate]]))/(Audit[[#Totals],[Winning Candidate]]-Audit[[#Totals],[Losing Candidate]]),
      0
)</f>
        <v>0</v>
      </c>
      <c r="AD12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8" s="111">
        <f>IF(Audit[[#This Row],[Max Relative Error (ep)]] = 0, 0, Audit[[#This Row],[Max Relative Error (ep)]]/Audit[[#This Row],[Error Bound (up) - Max. possible relative overstatement]])</f>
        <v>0</v>
      </c>
      <c r="AJ12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68" s="111">
        <f t="shared" si="19"/>
        <v>1</v>
      </c>
      <c r="AL1268" s="111">
        <f>PRODUCT($AK$5:AK1268)</f>
        <v>8.962823818226312E-2</v>
      </c>
      <c r="AM1268" s="109">
        <f>1 - [K-M P Value]</f>
        <v>0.91037176181773694</v>
      </c>
      <c r="AN1268" s="111" t="str">
        <f>IF(Audit[[#This Row],[K-M P Value]]&gt;1-'General Info'!$B$16,"Continue", "Stop")</f>
        <v>Stop</v>
      </c>
      <c r="AO1268" s="110" t="b">
        <f>IF(Audit[[#This Row],[Status - Continue or stop audit]] = "Continue", TRUE, IF(AN1267 = "Continue", TRUE, FALSE))</f>
        <v>0</v>
      </c>
      <c r="AP1268" s="110"/>
    </row>
    <row r="1269" spans="1:42" ht="15" hidden="1" customHeight="1">
      <c r="A1269" s="111" t="str">
        <f>'Sampling Data'!W1261</f>
        <v/>
      </c>
      <c r="B1269" s="112" t="str">
        <f>'Sampling Data'!A1261</f>
        <v>INDEPENDENCE -00-C</v>
      </c>
      <c r="C1269" s="112">
        <f>'Sampling Data'!B1261</f>
        <v>49</v>
      </c>
      <c r="D1269" s="112">
        <f>'Sampling Data'!C1261</f>
        <v>57</v>
      </c>
      <c r="E1269" s="113">
        <f>'Sampling Data'!D1261</f>
        <v>20</v>
      </c>
      <c r="F1269" s="113">
        <f>'Sampling Data'!E1261</f>
        <v>7</v>
      </c>
      <c r="G1269" s="113">
        <f>'Sampling Data'!F1261</f>
        <v>0</v>
      </c>
      <c r="H1269" s="113">
        <f>'Sampling Data'!G1261</f>
        <v>0</v>
      </c>
      <c r="I1269" s="112">
        <f>'Sampling Data'!H1261</f>
        <v>0</v>
      </c>
      <c r="J1269" s="112">
        <f>'Sampling Data'!I1261</f>
        <v>1</v>
      </c>
      <c r="K1269" s="112">
        <f>'Sampling Data'!J1261</f>
        <v>134</v>
      </c>
      <c r="L1269" s="111">
        <f>'Sampling Data'!X1261</f>
        <v>0</v>
      </c>
      <c r="M1269" s="114"/>
      <c r="N1269" s="114"/>
      <c r="O1269" s="115"/>
      <c r="P1269" s="115"/>
      <c r="Q1269" s="116"/>
      <c r="R1269" s="116"/>
      <c r="S1269" s="111">
        <f>Audit[[#This Row],[Audit Losing Candidate]]-Audit[[#This Row],[Losing Candidate]]</f>
        <v>-49</v>
      </c>
      <c r="T1269" s="111">
        <f>Audit[[#This Row],[Audit Winning Candidate]]-Audit[[#This Row],[Winning Candidate]]</f>
        <v>-57</v>
      </c>
      <c r="U1269" s="111">
        <f>Audit[[#This Row],[Audit Candidate 3]]-Audit[[#This Row],[Candidate 3]]</f>
        <v>-20</v>
      </c>
      <c r="V1269" s="111">
        <f>Audit[[#This Row],[Audit Candidate 4]]-Audit[[#This Row],[Candidate 4]]</f>
        <v>-7</v>
      </c>
      <c r="W1269" s="111">
        <f>Audit[[#This Row],[Audit Candidate 5]]-Audit[[#This Row],[Candidate 5]]</f>
        <v>0</v>
      </c>
      <c r="X1269" s="111">
        <f>Audit[[#This Row],[Audit Candidate 6]]-Audit[[#This Row],[Candidate 6]]</f>
        <v>0</v>
      </c>
      <c r="Y1269" s="111">
        <f>SUMIF(Audit[[#This Row],[Difference Loser]:[Difference Candidate 6]], "&gt;0")</f>
        <v>0</v>
      </c>
      <c r="Z1269" s="111">
        <f>SUM(Audit[[#This Row],[Difference Loser]:[Difference Candidate 6]])</f>
        <v>-133</v>
      </c>
      <c r="AA1269" s="111">
        <f>IF(Audit[[#This Row],[Times p Drawn - With Replacement]]&gt;0, IF(Audit[[#This Row],[Canceled Differences]]&lt;0, Audit[[#This Row],[Max Differences]]+ABS(Audit[[#This Row],[Canceled Differences]]), Audit[[#This Row],[Max Differences]]), 0)</f>
        <v>0</v>
      </c>
      <c r="AB1269" s="111">
        <f>'Sampling Data'!P1261</f>
        <v>8.6967172954434107E-3</v>
      </c>
      <c r="AC1269" s="111">
        <f>IF(
      SUM(Audit[[#This Row],[Audit Losing Candidate]:[Audit Candidate 6]])
      &lt;&gt;0,
      (Audit[[#This Row],[Winning Candidate]]-Audit[[#This Row],[Losing Candidate]]-(Audit[[#This Row],[Audit Winning Candidate]]-Audit[[#This Row],[Audit Losing Candidate]]))/(Audit[[#Totals],[Winning Candidate]]-Audit[[#Totals],[Losing Candidate]]),
      0
)</f>
        <v>0</v>
      </c>
      <c r="AD12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9" s="111">
        <f>IF(Audit[[#This Row],[Max Relative Error (ep)]] = 0, 0, Audit[[#This Row],[Max Relative Error (ep)]]/Audit[[#This Row],[Error Bound (up) - Max. possible relative overstatement]])</f>
        <v>0</v>
      </c>
      <c r="AJ12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69" s="111">
        <f t="shared" si="19"/>
        <v>1</v>
      </c>
      <c r="AL1269" s="111">
        <f>PRODUCT($AK$5:AK1269)</f>
        <v>8.962823818226312E-2</v>
      </c>
      <c r="AM1269" s="109">
        <f>1 - [K-M P Value]</f>
        <v>0.91037176181773694</v>
      </c>
      <c r="AN1269" s="111" t="str">
        <f>IF(Audit[[#This Row],[K-M P Value]]&gt;1-'General Info'!$B$16,"Continue", "Stop")</f>
        <v>Stop</v>
      </c>
      <c r="AO1269" s="110" t="b">
        <f>IF(Audit[[#This Row],[Status - Continue or stop audit]] = "Continue", TRUE, IF(AN1268 = "Continue", TRUE, FALSE))</f>
        <v>0</v>
      </c>
      <c r="AP1269" s="110"/>
    </row>
    <row r="1270" spans="1:42" ht="15" hidden="1" customHeight="1">
      <c r="A1270" s="111" t="str">
        <f>'Sampling Data'!W1262</f>
        <v/>
      </c>
      <c r="B1270" s="112" t="str">
        <f>'Sampling Data'!A1262</f>
        <v>INDEPENDENCE -00-C - ABS</v>
      </c>
      <c r="C1270" s="112">
        <f>'Sampling Data'!B1262</f>
        <v>36</v>
      </c>
      <c r="D1270" s="112">
        <f>'Sampling Data'!C1262</f>
        <v>42</v>
      </c>
      <c r="E1270" s="113">
        <f>'Sampling Data'!D1262</f>
        <v>15</v>
      </c>
      <c r="F1270" s="113">
        <f>'Sampling Data'!E1262</f>
        <v>7</v>
      </c>
      <c r="G1270" s="113">
        <f>'Sampling Data'!F1262</f>
        <v>0</v>
      </c>
      <c r="H1270" s="113">
        <f>'Sampling Data'!G1262</f>
        <v>0</v>
      </c>
      <c r="I1270" s="112">
        <f>'Sampling Data'!H1262</f>
        <v>0</v>
      </c>
      <c r="J1270" s="112">
        <f>'Sampling Data'!I1262</f>
        <v>2</v>
      </c>
      <c r="K1270" s="112">
        <f>'Sampling Data'!J1262</f>
        <v>102</v>
      </c>
      <c r="L1270" s="111">
        <f>'Sampling Data'!X1262</f>
        <v>0</v>
      </c>
      <c r="M1270" s="114"/>
      <c r="N1270" s="114"/>
      <c r="O1270" s="115"/>
      <c r="P1270" s="115"/>
      <c r="Q1270" s="116"/>
      <c r="R1270" s="116"/>
      <c r="S1270" s="111">
        <f>Audit[[#This Row],[Audit Losing Candidate]]-Audit[[#This Row],[Losing Candidate]]</f>
        <v>-36</v>
      </c>
      <c r="T1270" s="111">
        <f>Audit[[#This Row],[Audit Winning Candidate]]-Audit[[#This Row],[Winning Candidate]]</f>
        <v>-42</v>
      </c>
      <c r="U1270" s="111">
        <f>Audit[[#This Row],[Audit Candidate 3]]-Audit[[#This Row],[Candidate 3]]</f>
        <v>-15</v>
      </c>
      <c r="V1270" s="111">
        <f>Audit[[#This Row],[Audit Candidate 4]]-Audit[[#This Row],[Candidate 4]]</f>
        <v>-7</v>
      </c>
      <c r="W1270" s="111">
        <f>Audit[[#This Row],[Audit Candidate 5]]-Audit[[#This Row],[Candidate 5]]</f>
        <v>0</v>
      </c>
      <c r="X1270" s="111">
        <f>Audit[[#This Row],[Audit Candidate 6]]-Audit[[#This Row],[Candidate 6]]</f>
        <v>0</v>
      </c>
      <c r="Y1270" s="111">
        <f>SUMIF(Audit[[#This Row],[Difference Loser]:[Difference Candidate 6]], "&gt;0")</f>
        <v>0</v>
      </c>
      <c r="Z1270" s="111">
        <f>SUM(Audit[[#This Row],[Difference Loser]:[Difference Candidate 6]])</f>
        <v>-100</v>
      </c>
      <c r="AA1270" s="111">
        <f>IF(Audit[[#This Row],[Times p Drawn - With Replacement]]&gt;0, IF(Audit[[#This Row],[Canceled Differences]]&lt;0, Audit[[#This Row],[Max Differences]]+ABS(Audit[[#This Row],[Canceled Differences]]), Audit[[#This Row],[Max Differences]]), 0)</f>
        <v>0</v>
      </c>
      <c r="AB1270" s="111">
        <f>'Sampling Data'!P1262</f>
        <v>6.6144047035766778E-3</v>
      </c>
      <c r="AC1270" s="111">
        <f>IF(
      SUM(Audit[[#This Row],[Audit Losing Candidate]:[Audit Candidate 6]])
      &lt;&gt;0,
      (Audit[[#This Row],[Winning Candidate]]-Audit[[#This Row],[Losing Candidate]]-(Audit[[#This Row],[Audit Winning Candidate]]-Audit[[#This Row],[Audit Losing Candidate]]))/(Audit[[#Totals],[Winning Candidate]]-Audit[[#Totals],[Losing Candidate]]),
      0
)</f>
        <v>0</v>
      </c>
      <c r="AD12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0" s="111">
        <f>IF(Audit[[#This Row],[Max Relative Error (ep)]] = 0, 0, Audit[[#This Row],[Max Relative Error (ep)]]/Audit[[#This Row],[Error Bound (up) - Max. possible relative overstatement]])</f>
        <v>0</v>
      </c>
      <c r="AJ12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70" s="111">
        <f t="shared" si="19"/>
        <v>1</v>
      </c>
      <c r="AL1270" s="111">
        <f>PRODUCT($AK$5:AK1270)</f>
        <v>8.962823818226312E-2</v>
      </c>
      <c r="AM1270" s="109">
        <f>1 - [K-M P Value]</f>
        <v>0.91037176181773694</v>
      </c>
      <c r="AN1270" s="111" t="str">
        <f>IF(Audit[[#This Row],[K-M P Value]]&gt;1-'General Info'!$B$16,"Continue", "Stop")</f>
        <v>Stop</v>
      </c>
      <c r="AO1270" s="110" t="b">
        <f>IF(Audit[[#This Row],[Status - Continue or stop audit]] = "Continue", TRUE, IF(AN1269 = "Continue", TRUE, FALSE))</f>
        <v>0</v>
      </c>
      <c r="AP1270" s="110"/>
    </row>
    <row r="1271" spans="1:42" ht="15" hidden="1" customHeight="1">
      <c r="A1271" s="111" t="str">
        <f>'Sampling Data'!W1263</f>
        <v/>
      </c>
      <c r="B1271" s="112" t="str">
        <f>'Sampling Data'!A1263</f>
        <v>INDEPENDENCE -00-D</v>
      </c>
      <c r="C1271" s="112">
        <f>'Sampling Data'!B1263</f>
        <v>24</v>
      </c>
      <c r="D1271" s="112">
        <f>'Sampling Data'!C1263</f>
        <v>59</v>
      </c>
      <c r="E1271" s="113">
        <f>'Sampling Data'!D1263</f>
        <v>13</v>
      </c>
      <c r="F1271" s="113">
        <f>'Sampling Data'!E1263</f>
        <v>7</v>
      </c>
      <c r="G1271" s="113">
        <f>'Sampling Data'!F1263</f>
        <v>1</v>
      </c>
      <c r="H1271" s="113">
        <f>'Sampling Data'!G1263</f>
        <v>0</v>
      </c>
      <c r="I1271" s="112">
        <f>'Sampling Data'!H1263</f>
        <v>0</v>
      </c>
      <c r="J1271" s="112">
        <f>'Sampling Data'!I1263</f>
        <v>0</v>
      </c>
      <c r="K1271" s="112">
        <f>'Sampling Data'!J1263</f>
        <v>104</v>
      </c>
      <c r="L1271" s="111">
        <f>'Sampling Data'!X1263</f>
        <v>0</v>
      </c>
      <c r="M1271" s="114"/>
      <c r="N1271" s="114"/>
      <c r="O1271" s="115"/>
      <c r="P1271" s="115"/>
      <c r="Q1271" s="116"/>
      <c r="R1271" s="116"/>
      <c r="S1271" s="111">
        <f>Audit[[#This Row],[Audit Losing Candidate]]-Audit[[#This Row],[Losing Candidate]]</f>
        <v>-24</v>
      </c>
      <c r="T1271" s="111">
        <f>Audit[[#This Row],[Audit Winning Candidate]]-Audit[[#This Row],[Winning Candidate]]</f>
        <v>-59</v>
      </c>
      <c r="U1271" s="111">
        <f>Audit[[#This Row],[Audit Candidate 3]]-Audit[[#This Row],[Candidate 3]]</f>
        <v>-13</v>
      </c>
      <c r="V1271" s="111">
        <f>Audit[[#This Row],[Audit Candidate 4]]-Audit[[#This Row],[Candidate 4]]</f>
        <v>-7</v>
      </c>
      <c r="W1271" s="111">
        <f>Audit[[#This Row],[Audit Candidate 5]]-Audit[[#This Row],[Candidate 5]]</f>
        <v>-1</v>
      </c>
      <c r="X1271" s="111">
        <f>Audit[[#This Row],[Audit Candidate 6]]-Audit[[#This Row],[Candidate 6]]</f>
        <v>0</v>
      </c>
      <c r="Y1271" s="111">
        <f>SUMIF(Audit[[#This Row],[Difference Loser]:[Difference Candidate 6]], "&gt;0")</f>
        <v>0</v>
      </c>
      <c r="Z1271" s="111">
        <f>SUM(Audit[[#This Row],[Difference Loser]:[Difference Candidate 6]])</f>
        <v>-104</v>
      </c>
      <c r="AA1271" s="111">
        <f>IF(Audit[[#This Row],[Times p Drawn - With Replacement]]&gt;0, IF(Audit[[#This Row],[Canceled Differences]]&lt;0, Audit[[#This Row],[Max Differences]]+ABS(Audit[[#This Row],[Canceled Differences]]), Audit[[#This Row],[Max Differences]]), 0)</f>
        <v>0</v>
      </c>
      <c r="AB1271" s="111">
        <f>'Sampling Data'!P1263</f>
        <v>8.5129838314551686E-3</v>
      </c>
      <c r="AC1271" s="111">
        <f>IF(
      SUM(Audit[[#This Row],[Audit Losing Candidate]:[Audit Candidate 6]])
      &lt;&gt;0,
      (Audit[[#This Row],[Winning Candidate]]-Audit[[#This Row],[Losing Candidate]]-(Audit[[#This Row],[Audit Winning Candidate]]-Audit[[#This Row],[Audit Losing Candidate]]))/(Audit[[#Totals],[Winning Candidate]]-Audit[[#Totals],[Losing Candidate]]),
      0
)</f>
        <v>0</v>
      </c>
      <c r="AD12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1" s="111">
        <f>IF(Audit[[#This Row],[Max Relative Error (ep)]] = 0, 0, Audit[[#This Row],[Max Relative Error (ep)]]/Audit[[#This Row],[Error Bound (up) - Max. possible relative overstatement]])</f>
        <v>0</v>
      </c>
      <c r="AJ12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71" s="111">
        <f t="shared" si="19"/>
        <v>1</v>
      </c>
      <c r="AL1271" s="111">
        <f>PRODUCT($AK$5:AK1271)</f>
        <v>8.962823818226312E-2</v>
      </c>
      <c r="AM1271" s="109">
        <f>1 - [K-M P Value]</f>
        <v>0.91037176181773694</v>
      </c>
      <c r="AN1271" s="111" t="str">
        <f>IF(Audit[[#This Row],[K-M P Value]]&gt;1-'General Info'!$B$16,"Continue", "Stop")</f>
        <v>Stop</v>
      </c>
      <c r="AO1271" s="110" t="b">
        <f>IF(Audit[[#This Row],[Status - Continue or stop audit]] = "Continue", TRUE, IF(AN1270 = "Continue", TRUE, FALSE))</f>
        <v>0</v>
      </c>
      <c r="AP1271" s="110"/>
    </row>
    <row r="1272" spans="1:42" ht="15" hidden="1" customHeight="1">
      <c r="A1272" s="111" t="str">
        <f>'Sampling Data'!W1264</f>
        <v/>
      </c>
      <c r="B1272" s="112" t="str">
        <f>'Sampling Data'!A1264</f>
        <v>INDEPENDENCE -00-D - ABS</v>
      </c>
      <c r="C1272" s="112">
        <f>'Sampling Data'!B1264</f>
        <v>17</v>
      </c>
      <c r="D1272" s="112">
        <f>'Sampling Data'!C1264</f>
        <v>36</v>
      </c>
      <c r="E1272" s="113">
        <f>'Sampling Data'!D1264</f>
        <v>9</v>
      </c>
      <c r="F1272" s="113">
        <f>'Sampling Data'!E1264</f>
        <v>3</v>
      </c>
      <c r="G1272" s="113">
        <f>'Sampling Data'!F1264</f>
        <v>0</v>
      </c>
      <c r="H1272" s="113">
        <f>'Sampling Data'!G1264</f>
        <v>0</v>
      </c>
      <c r="I1272" s="112">
        <f>'Sampling Data'!H1264</f>
        <v>0</v>
      </c>
      <c r="J1272" s="112">
        <f>'Sampling Data'!I1264</f>
        <v>0</v>
      </c>
      <c r="K1272" s="112">
        <f>'Sampling Data'!J1264</f>
        <v>65</v>
      </c>
      <c r="L1272" s="111">
        <f>'Sampling Data'!X1264</f>
        <v>0</v>
      </c>
      <c r="M1272" s="114"/>
      <c r="N1272" s="114"/>
      <c r="O1272" s="115"/>
      <c r="P1272" s="115"/>
      <c r="Q1272" s="116"/>
      <c r="R1272" s="116"/>
      <c r="S1272" s="111">
        <f>Audit[[#This Row],[Audit Losing Candidate]]-Audit[[#This Row],[Losing Candidate]]</f>
        <v>-17</v>
      </c>
      <c r="T1272" s="111">
        <f>Audit[[#This Row],[Audit Winning Candidate]]-Audit[[#This Row],[Winning Candidate]]</f>
        <v>-36</v>
      </c>
      <c r="U1272" s="111">
        <f>Audit[[#This Row],[Audit Candidate 3]]-Audit[[#This Row],[Candidate 3]]</f>
        <v>-9</v>
      </c>
      <c r="V1272" s="111">
        <f>Audit[[#This Row],[Audit Candidate 4]]-Audit[[#This Row],[Candidate 4]]</f>
        <v>-3</v>
      </c>
      <c r="W1272" s="111">
        <f>Audit[[#This Row],[Audit Candidate 5]]-Audit[[#This Row],[Candidate 5]]</f>
        <v>0</v>
      </c>
      <c r="X1272" s="111">
        <f>Audit[[#This Row],[Audit Candidate 6]]-Audit[[#This Row],[Candidate 6]]</f>
        <v>0</v>
      </c>
      <c r="Y1272" s="111">
        <f>SUMIF(Audit[[#This Row],[Difference Loser]:[Difference Candidate 6]], "&gt;0")</f>
        <v>0</v>
      </c>
      <c r="Z1272" s="111">
        <f>SUM(Audit[[#This Row],[Difference Loser]:[Difference Candidate 6]])</f>
        <v>-65</v>
      </c>
      <c r="AA1272" s="111">
        <f>IF(Audit[[#This Row],[Times p Drawn - With Replacement]]&gt;0, IF(Audit[[#This Row],[Canceled Differences]]&lt;0, Audit[[#This Row],[Max Differences]]+ABS(Audit[[#This Row],[Canceled Differences]]), Audit[[#This Row],[Max Differences]]), 0)</f>
        <v>0</v>
      </c>
      <c r="AB1272" s="111">
        <f>'Sampling Data'!P1264</f>
        <v>5.1445369916707498E-3</v>
      </c>
      <c r="AC1272" s="111">
        <f>IF(
      SUM(Audit[[#This Row],[Audit Losing Candidate]:[Audit Candidate 6]])
      &lt;&gt;0,
      (Audit[[#This Row],[Winning Candidate]]-Audit[[#This Row],[Losing Candidate]]-(Audit[[#This Row],[Audit Winning Candidate]]-Audit[[#This Row],[Audit Losing Candidate]]))/(Audit[[#Totals],[Winning Candidate]]-Audit[[#Totals],[Losing Candidate]]),
      0
)</f>
        <v>0</v>
      </c>
      <c r="AD12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2" s="111">
        <f>IF(Audit[[#This Row],[Max Relative Error (ep)]] = 0, 0, Audit[[#This Row],[Max Relative Error (ep)]]/Audit[[#This Row],[Error Bound (up) - Max. possible relative overstatement]])</f>
        <v>0</v>
      </c>
      <c r="AJ12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72" s="111">
        <f t="shared" si="19"/>
        <v>1</v>
      </c>
      <c r="AL1272" s="111">
        <f>PRODUCT($AK$5:AK1272)</f>
        <v>8.962823818226312E-2</v>
      </c>
      <c r="AM1272" s="109">
        <f>1 - [K-M P Value]</f>
        <v>0.91037176181773694</v>
      </c>
      <c r="AN1272" s="111" t="str">
        <f>IF(Audit[[#This Row],[K-M P Value]]&gt;1-'General Info'!$B$16,"Continue", "Stop")</f>
        <v>Stop</v>
      </c>
      <c r="AO1272" s="110" t="b">
        <f>IF(Audit[[#This Row],[Status - Continue or stop audit]] = "Continue", TRUE, IF(AN1271 = "Continue", TRUE, FALSE))</f>
        <v>0</v>
      </c>
      <c r="AP1272" s="110"/>
    </row>
    <row r="1273" spans="1:42" ht="15" hidden="1" customHeight="1">
      <c r="A1273" s="111" t="str">
        <f>'Sampling Data'!W1266</f>
        <v/>
      </c>
      <c r="B1273" s="112" t="str">
        <f>'Sampling Data'!A1266</f>
        <v>INDEPENDENCE -00-E - ABS</v>
      </c>
      <c r="C1273" s="112">
        <f>'Sampling Data'!B1266</f>
        <v>29</v>
      </c>
      <c r="D1273" s="112">
        <f>'Sampling Data'!C1266</f>
        <v>40</v>
      </c>
      <c r="E1273" s="113">
        <f>'Sampling Data'!D1266</f>
        <v>16</v>
      </c>
      <c r="F1273" s="113">
        <f>'Sampling Data'!E1266</f>
        <v>5</v>
      </c>
      <c r="G1273" s="113">
        <f>'Sampling Data'!F1266</f>
        <v>0</v>
      </c>
      <c r="H1273" s="113">
        <f>'Sampling Data'!G1266</f>
        <v>0</v>
      </c>
      <c r="I1273" s="112">
        <f>'Sampling Data'!H1266</f>
        <v>0</v>
      </c>
      <c r="J1273" s="112">
        <f>'Sampling Data'!I1266</f>
        <v>0</v>
      </c>
      <c r="K1273" s="112">
        <f>'Sampling Data'!J1266</f>
        <v>90</v>
      </c>
      <c r="L1273" s="111">
        <f>'Sampling Data'!X1266</f>
        <v>0</v>
      </c>
      <c r="M1273" s="114"/>
      <c r="N1273" s="114"/>
      <c r="O1273" s="115"/>
      <c r="P1273" s="115"/>
      <c r="Q1273" s="116"/>
      <c r="R1273" s="116"/>
      <c r="S1273" s="111">
        <f>Audit[[#This Row],[Audit Losing Candidate]]-Audit[[#This Row],[Losing Candidate]]</f>
        <v>-29</v>
      </c>
      <c r="T1273" s="111">
        <f>Audit[[#This Row],[Audit Winning Candidate]]-Audit[[#This Row],[Winning Candidate]]</f>
        <v>-40</v>
      </c>
      <c r="U1273" s="111">
        <f>Audit[[#This Row],[Audit Candidate 3]]-Audit[[#This Row],[Candidate 3]]</f>
        <v>-16</v>
      </c>
      <c r="V1273" s="111">
        <f>Audit[[#This Row],[Audit Candidate 4]]-Audit[[#This Row],[Candidate 4]]</f>
        <v>-5</v>
      </c>
      <c r="W1273" s="111">
        <f>Audit[[#This Row],[Audit Candidate 5]]-Audit[[#This Row],[Candidate 5]]</f>
        <v>0</v>
      </c>
      <c r="X1273" s="111">
        <f>Audit[[#This Row],[Audit Candidate 6]]-Audit[[#This Row],[Candidate 6]]</f>
        <v>0</v>
      </c>
      <c r="Y1273" s="111">
        <f>SUMIF(Audit[[#This Row],[Difference Loser]:[Difference Candidate 6]], "&gt;0")</f>
        <v>0</v>
      </c>
      <c r="Z1273" s="111">
        <f>SUM(Audit[[#This Row],[Difference Loser]:[Difference Candidate 6]])</f>
        <v>-90</v>
      </c>
      <c r="AA1273" s="111">
        <f>IF(Audit[[#This Row],[Times p Drawn - With Replacement]]&gt;0, IF(Audit[[#This Row],[Canceled Differences]]&lt;0, Audit[[#This Row],[Max Differences]]+ABS(Audit[[#This Row],[Canceled Differences]]), Audit[[#This Row],[Max Differences]]), 0)</f>
        <v>0</v>
      </c>
      <c r="AB1273" s="111">
        <f>'Sampling Data'!P1266</f>
        <v>6.1856932876041158E-3</v>
      </c>
      <c r="AC1273" s="111">
        <f>IF(
      SUM(Audit[[#This Row],[Audit Losing Candidate]:[Audit Candidate 6]])
      &lt;&gt;0,
      (Audit[[#This Row],[Winning Candidate]]-Audit[[#This Row],[Losing Candidate]]-(Audit[[#This Row],[Audit Winning Candidate]]-Audit[[#This Row],[Audit Losing Candidate]]))/(Audit[[#Totals],[Winning Candidate]]-Audit[[#Totals],[Losing Candidate]]),
      0
)</f>
        <v>0</v>
      </c>
      <c r="AD12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3" s="111">
        <f>IF(Audit[[#This Row],[Max Relative Error (ep)]] = 0, 0, Audit[[#This Row],[Max Relative Error (ep)]]/Audit[[#This Row],[Error Bound (up) - Max. possible relative overstatement]])</f>
        <v>0</v>
      </c>
      <c r="AJ12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73" s="111">
        <f t="shared" si="19"/>
        <v>1</v>
      </c>
      <c r="AL1273" s="111">
        <f>PRODUCT($AK$5:AK1273)</f>
        <v>8.962823818226312E-2</v>
      </c>
      <c r="AM1273" s="109">
        <f>1 - [K-M P Value]</f>
        <v>0.91037176181773694</v>
      </c>
      <c r="AN1273" s="111" t="str">
        <f>IF(Audit[[#This Row],[K-M P Value]]&gt;1-'General Info'!$B$16,"Continue", "Stop")</f>
        <v>Stop</v>
      </c>
      <c r="AO1273" s="110" t="b">
        <f>IF(Audit[[#This Row],[Status - Continue or stop audit]] = "Continue", TRUE, IF(AN1272 = "Continue", TRUE, FALSE))</f>
        <v>0</v>
      </c>
      <c r="AP1273" s="110"/>
    </row>
    <row r="1274" spans="1:42" ht="15" hidden="1" customHeight="1">
      <c r="A1274" s="111" t="str">
        <f>'Sampling Data'!W1267</f>
        <v/>
      </c>
      <c r="B1274" s="112" t="str">
        <f>'Sampling Data'!A1267</f>
        <v>LAKEWOOD -01-A</v>
      </c>
      <c r="C1274" s="112">
        <f>'Sampling Data'!B1267</f>
        <v>11</v>
      </c>
      <c r="D1274" s="112">
        <f>'Sampling Data'!C1267</f>
        <v>39</v>
      </c>
      <c r="E1274" s="113">
        <f>'Sampling Data'!D1267</f>
        <v>7</v>
      </c>
      <c r="F1274" s="113">
        <f>'Sampling Data'!E1267</f>
        <v>6</v>
      </c>
      <c r="G1274" s="113">
        <f>'Sampling Data'!F1267</f>
        <v>0</v>
      </c>
      <c r="H1274" s="113">
        <f>'Sampling Data'!G1267</f>
        <v>0</v>
      </c>
      <c r="I1274" s="112">
        <f>'Sampling Data'!H1267</f>
        <v>0</v>
      </c>
      <c r="J1274" s="112">
        <f>'Sampling Data'!I1267</f>
        <v>0</v>
      </c>
      <c r="K1274" s="112">
        <f>'Sampling Data'!J1267</f>
        <v>63</v>
      </c>
      <c r="L1274" s="111">
        <f>'Sampling Data'!X1267</f>
        <v>0</v>
      </c>
      <c r="M1274" s="114"/>
      <c r="N1274" s="114"/>
      <c r="O1274" s="115"/>
      <c r="P1274" s="115"/>
      <c r="Q1274" s="116"/>
      <c r="R1274" s="116"/>
      <c r="S1274" s="111">
        <f>Audit[[#This Row],[Audit Losing Candidate]]-Audit[[#This Row],[Losing Candidate]]</f>
        <v>-11</v>
      </c>
      <c r="T1274" s="111">
        <f>Audit[[#This Row],[Audit Winning Candidate]]-Audit[[#This Row],[Winning Candidate]]</f>
        <v>-39</v>
      </c>
      <c r="U1274" s="111">
        <f>Audit[[#This Row],[Audit Candidate 3]]-Audit[[#This Row],[Candidate 3]]</f>
        <v>-7</v>
      </c>
      <c r="V1274" s="111">
        <f>Audit[[#This Row],[Audit Candidate 4]]-Audit[[#This Row],[Candidate 4]]</f>
        <v>-6</v>
      </c>
      <c r="W1274" s="111">
        <f>Audit[[#This Row],[Audit Candidate 5]]-Audit[[#This Row],[Candidate 5]]</f>
        <v>0</v>
      </c>
      <c r="X1274" s="111">
        <f>Audit[[#This Row],[Audit Candidate 6]]-Audit[[#This Row],[Candidate 6]]</f>
        <v>0</v>
      </c>
      <c r="Y1274" s="111">
        <f>SUMIF(Audit[[#This Row],[Difference Loser]:[Difference Candidate 6]], "&gt;0")</f>
        <v>0</v>
      </c>
      <c r="Z1274" s="111">
        <f>SUM(Audit[[#This Row],[Difference Loser]:[Difference Candidate 6]])</f>
        <v>-63</v>
      </c>
      <c r="AA1274" s="111">
        <f>IF(Audit[[#This Row],[Times p Drawn - With Replacement]]&gt;0, IF(Audit[[#This Row],[Canceled Differences]]&lt;0, Audit[[#This Row],[Max Differences]]+ABS(Audit[[#This Row],[Canceled Differences]]), Audit[[#This Row],[Max Differences]]), 0)</f>
        <v>0</v>
      </c>
      <c r="AB1274" s="111">
        <f>'Sampling Data'!P1267</f>
        <v>5.5732484076433117E-3</v>
      </c>
      <c r="AC1274" s="111">
        <f>IF(
      SUM(Audit[[#This Row],[Audit Losing Candidate]:[Audit Candidate 6]])
      &lt;&gt;0,
      (Audit[[#This Row],[Winning Candidate]]-Audit[[#This Row],[Losing Candidate]]-(Audit[[#This Row],[Audit Winning Candidate]]-Audit[[#This Row],[Audit Losing Candidate]]))/(Audit[[#Totals],[Winning Candidate]]-Audit[[#Totals],[Losing Candidate]]),
      0
)</f>
        <v>0</v>
      </c>
      <c r="AD12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4" s="111">
        <f>IF(Audit[[#This Row],[Max Relative Error (ep)]] = 0, 0, Audit[[#This Row],[Max Relative Error (ep)]]/Audit[[#This Row],[Error Bound (up) - Max. possible relative overstatement]])</f>
        <v>0</v>
      </c>
      <c r="AJ12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74" s="111">
        <f t="shared" si="19"/>
        <v>1</v>
      </c>
      <c r="AL1274" s="111">
        <f>PRODUCT($AK$5:AK1274)</f>
        <v>8.962823818226312E-2</v>
      </c>
      <c r="AM1274" s="109">
        <f>1 - [K-M P Value]</f>
        <v>0.91037176181773694</v>
      </c>
      <c r="AN1274" s="111" t="str">
        <f>IF(Audit[[#This Row],[K-M P Value]]&gt;1-'General Info'!$B$16,"Continue", "Stop")</f>
        <v>Stop</v>
      </c>
      <c r="AO1274" s="110" t="b">
        <f>IF(Audit[[#This Row],[Status - Continue or stop audit]] = "Continue", TRUE, IF(AN1273 = "Continue", TRUE, FALSE))</f>
        <v>0</v>
      </c>
      <c r="AP1274" s="110"/>
    </row>
    <row r="1275" spans="1:42" ht="15" hidden="1" customHeight="1">
      <c r="A1275" s="111" t="str">
        <f>'Sampling Data'!W1268</f>
        <v/>
      </c>
      <c r="B1275" s="112" t="str">
        <f>'Sampling Data'!A1268</f>
        <v>LAKEWOOD -01-A - ABS</v>
      </c>
      <c r="C1275" s="112">
        <f>'Sampling Data'!B1268</f>
        <v>9</v>
      </c>
      <c r="D1275" s="112">
        <f>'Sampling Data'!C1268</f>
        <v>13</v>
      </c>
      <c r="E1275" s="113">
        <f>'Sampling Data'!D1268</f>
        <v>3</v>
      </c>
      <c r="F1275" s="113">
        <f>'Sampling Data'!E1268</f>
        <v>3</v>
      </c>
      <c r="G1275" s="113">
        <f>'Sampling Data'!F1268</f>
        <v>0</v>
      </c>
      <c r="H1275" s="113">
        <f>'Sampling Data'!G1268</f>
        <v>0</v>
      </c>
      <c r="I1275" s="112">
        <f>'Sampling Data'!H1268</f>
        <v>1</v>
      </c>
      <c r="J1275" s="112">
        <f>'Sampling Data'!I1268</f>
        <v>3</v>
      </c>
      <c r="K1275" s="112">
        <f>'Sampling Data'!J1268</f>
        <v>32</v>
      </c>
      <c r="L1275" s="111">
        <f>'Sampling Data'!X1268</f>
        <v>0</v>
      </c>
      <c r="M1275" s="114"/>
      <c r="N1275" s="114"/>
      <c r="O1275" s="115"/>
      <c r="P1275" s="115"/>
      <c r="Q1275" s="116"/>
      <c r="R1275" s="116"/>
      <c r="S1275" s="111">
        <f>Audit[[#This Row],[Audit Losing Candidate]]-Audit[[#This Row],[Losing Candidate]]</f>
        <v>-9</v>
      </c>
      <c r="T1275" s="111">
        <f>Audit[[#This Row],[Audit Winning Candidate]]-Audit[[#This Row],[Winning Candidate]]</f>
        <v>-13</v>
      </c>
      <c r="U1275" s="111">
        <f>Audit[[#This Row],[Audit Candidate 3]]-Audit[[#This Row],[Candidate 3]]</f>
        <v>-3</v>
      </c>
      <c r="V1275" s="111">
        <f>Audit[[#This Row],[Audit Candidate 4]]-Audit[[#This Row],[Candidate 4]]</f>
        <v>-3</v>
      </c>
      <c r="W1275" s="111">
        <f>Audit[[#This Row],[Audit Candidate 5]]-Audit[[#This Row],[Candidate 5]]</f>
        <v>0</v>
      </c>
      <c r="X1275" s="111">
        <f>Audit[[#This Row],[Audit Candidate 6]]-Audit[[#This Row],[Candidate 6]]</f>
        <v>0</v>
      </c>
      <c r="Y1275" s="111">
        <f>SUMIF(Audit[[#This Row],[Difference Loser]:[Difference Candidate 6]], "&gt;0")</f>
        <v>0</v>
      </c>
      <c r="Z1275" s="111">
        <f>SUM(Audit[[#This Row],[Difference Loser]:[Difference Candidate 6]])</f>
        <v>-28</v>
      </c>
      <c r="AA1275" s="111">
        <f>IF(Audit[[#This Row],[Times p Drawn - With Replacement]]&gt;0, IF(Audit[[#This Row],[Canceled Differences]]&lt;0, Audit[[#This Row],[Max Differences]]+ABS(Audit[[#This Row],[Canceled Differences]]), Audit[[#This Row],[Max Differences]]), 0)</f>
        <v>0</v>
      </c>
      <c r="AB1275" s="111">
        <f>'Sampling Data'!P1268</f>
        <v>2.2048015678588929E-3</v>
      </c>
      <c r="AC1275" s="111">
        <f>IF(
      SUM(Audit[[#This Row],[Audit Losing Candidate]:[Audit Candidate 6]])
      &lt;&gt;0,
      (Audit[[#This Row],[Winning Candidate]]-Audit[[#This Row],[Losing Candidate]]-(Audit[[#This Row],[Audit Winning Candidate]]-Audit[[#This Row],[Audit Losing Candidate]]))/(Audit[[#Totals],[Winning Candidate]]-Audit[[#Totals],[Losing Candidate]]),
      0
)</f>
        <v>0</v>
      </c>
      <c r="AD12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5" s="111">
        <f>IF(Audit[[#This Row],[Max Relative Error (ep)]] = 0, 0, Audit[[#This Row],[Max Relative Error (ep)]]/Audit[[#This Row],[Error Bound (up) - Max. possible relative overstatement]])</f>
        <v>0</v>
      </c>
      <c r="AJ12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75" s="111">
        <f t="shared" si="19"/>
        <v>1</v>
      </c>
      <c r="AL1275" s="111">
        <f>PRODUCT($AK$5:AK1275)</f>
        <v>8.962823818226312E-2</v>
      </c>
      <c r="AM1275" s="109">
        <f>1 - [K-M P Value]</f>
        <v>0.91037176181773694</v>
      </c>
      <c r="AN1275" s="111" t="str">
        <f>IF(Audit[[#This Row],[K-M P Value]]&gt;1-'General Info'!$B$16,"Continue", "Stop")</f>
        <v>Stop</v>
      </c>
      <c r="AO1275" s="110" t="b">
        <f>IF(Audit[[#This Row],[Status - Continue or stop audit]] = "Continue", TRUE, IF(AN1274 = "Continue", TRUE, FALSE))</f>
        <v>0</v>
      </c>
      <c r="AP1275" s="110"/>
    </row>
    <row r="1276" spans="1:42" ht="15" hidden="1" customHeight="1">
      <c r="A1276" s="111" t="str">
        <f>'Sampling Data'!W1269</f>
        <v/>
      </c>
      <c r="B1276" s="112" t="str">
        <f>'Sampling Data'!A1269</f>
        <v>LAKEWOOD -01-B</v>
      </c>
      <c r="C1276" s="112">
        <f>'Sampling Data'!B1269</f>
        <v>20</v>
      </c>
      <c r="D1276" s="112">
        <f>'Sampling Data'!C1269</f>
        <v>47</v>
      </c>
      <c r="E1276" s="113">
        <f>'Sampling Data'!D1269</f>
        <v>10</v>
      </c>
      <c r="F1276" s="113">
        <f>'Sampling Data'!E1269</f>
        <v>12</v>
      </c>
      <c r="G1276" s="113">
        <f>'Sampling Data'!F1269</f>
        <v>0</v>
      </c>
      <c r="H1276" s="113">
        <f>'Sampling Data'!G1269</f>
        <v>0</v>
      </c>
      <c r="I1276" s="112">
        <f>'Sampling Data'!H1269</f>
        <v>0</v>
      </c>
      <c r="J1276" s="112">
        <f>'Sampling Data'!I1269</f>
        <v>0</v>
      </c>
      <c r="K1276" s="112">
        <f>'Sampling Data'!J1269</f>
        <v>89</v>
      </c>
      <c r="L1276" s="111">
        <f>'Sampling Data'!X1269</f>
        <v>0</v>
      </c>
      <c r="M1276" s="114"/>
      <c r="N1276" s="114"/>
      <c r="O1276" s="115"/>
      <c r="P1276" s="115"/>
      <c r="Q1276" s="116"/>
      <c r="R1276" s="116"/>
      <c r="S1276" s="111">
        <f>Audit[[#This Row],[Audit Losing Candidate]]-Audit[[#This Row],[Losing Candidate]]</f>
        <v>-20</v>
      </c>
      <c r="T1276" s="111">
        <f>Audit[[#This Row],[Audit Winning Candidate]]-Audit[[#This Row],[Winning Candidate]]</f>
        <v>-47</v>
      </c>
      <c r="U1276" s="111">
        <f>Audit[[#This Row],[Audit Candidate 3]]-Audit[[#This Row],[Candidate 3]]</f>
        <v>-10</v>
      </c>
      <c r="V1276" s="111">
        <f>Audit[[#This Row],[Audit Candidate 4]]-Audit[[#This Row],[Candidate 4]]</f>
        <v>-12</v>
      </c>
      <c r="W1276" s="111">
        <f>Audit[[#This Row],[Audit Candidate 5]]-Audit[[#This Row],[Candidate 5]]</f>
        <v>0</v>
      </c>
      <c r="X1276" s="111">
        <f>Audit[[#This Row],[Audit Candidate 6]]-Audit[[#This Row],[Candidate 6]]</f>
        <v>0</v>
      </c>
      <c r="Y1276" s="111">
        <f>SUMIF(Audit[[#This Row],[Difference Loser]:[Difference Candidate 6]], "&gt;0")</f>
        <v>0</v>
      </c>
      <c r="Z1276" s="111">
        <f>SUM(Audit[[#This Row],[Difference Loser]:[Difference Candidate 6]])</f>
        <v>-89</v>
      </c>
      <c r="AA1276" s="111">
        <f>IF(Audit[[#This Row],[Times p Drawn - With Replacement]]&gt;0, IF(Audit[[#This Row],[Canceled Differences]]&lt;0, Audit[[#This Row],[Max Differences]]+ABS(Audit[[#This Row],[Canceled Differences]]), Audit[[#This Row],[Max Differences]]), 0)</f>
        <v>0</v>
      </c>
      <c r="AB1276" s="111">
        <f>'Sampling Data'!P1269</f>
        <v>7.104360607545321E-3</v>
      </c>
      <c r="AC1276" s="111">
        <f>IF(
      SUM(Audit[[#This Row],[Audit Losing Candidate]:[Audit Candidate 6]])
      &lt;&gt;0,
      (Audit[[#This Row],[Winning Candidate]]-Audit[[#This Row],[Losing Candidate]]-(Audit[[#This Row],[Audit Winning Candidate]]-Audit[[#This Row],[Audit Losing Candidate]]))/(Audit[[#Totals],[Winning Candidate]]-Audit[[#Totals],[Losing Candidate]]),
      0
)</f>
        <v>0</v>
      </c>
      <c r="AD12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6" s="111">
        <f>IF(Audit[[#This Row],[Max Relative Error (ep)]] = 0, 0, Audit[[#This Row],[Max Relative Error (ep)]]/Audit[[#This Row],[Error Bound (up) - Max. possible relative overstatement]])</f>
        <v>0</v>
      </c>
      <c r="AJ12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76" s="111">
        <f t="shared" si="19"/>
        <v>1</v>
      </c>
      <c r="AL1276" s="111">
        <f>PRODUCT($AK$5:AK1276)</f>
        <v>8.962823818226312E-2</v>
      </c>
      <c r="AM1276" s="109">
        <f>1 - [K-M P Value]</f>
        <v>0.91037176181773694</v>
      </c>
      <c r="AN1276" s="111" t="str">
        <f>IF(Audit[[#This Row],[K-M P Value]]&gt;1-'General Info'!$B$16,"Continue", "Stop")</f>
        <v>Stop</v>
      </c>
      <c r="AO1276" s="110" t="b">
        <f>IF(Audit[[#This Row],[Status - Continue or stop audit]] = "Continue", TRUE, IF(AN1275 = "Continue", TRUE, FALSE))</f>
        <v>0</v>
      </c>
      <c r="AP1276" s="110"/>
    </row>
    <row r="1277" spans="1:42" ht="15" hidden="1" customHeight="1">
      <c r="A1277" s="111" t="str">
        <f>'Sampling Data'!W1270</f>
        <v/>
      </c>
      <c r="B1277" s="112" t="str">
        <f>'Sampling Data'!A1270</f>
        <v>LAKEWOOD -01-B - ABS</v>
      </c>
      <c r="C1277" s="112">
        <f>'Sampling Data'!B1270</f>
        <v>5</v>
      </c>
      <c r="D1277" s="112">
        <f>'Sampling Data'!C1270</f>
        <v>8</v>
      </c>
      <c r="E1277" s="113">
        <f>'Sampling Data'!D1270</f>
        <v>5</v>
      </c>
      <c r="F1277" s="113">
        <f>'Sampling Data'!E1270</f>
        <v>2</v>
      </c>
      <c r="G1277" s="113">
        <f>'Sampling Data'!F1270</f>
        <v>0</v>
      </c>
      <c r="H1277" s="113">
        <f>'Sampling Data'!G1270</f>
        <v>0</v>
      </c>
      <c r="I1277" s="112">
        <f>'Sampling Data'!H1270</f>
        <v>0</v>
      </c>
      <c r="J1277" s="112">
        <f>'Sampling Data'!I1270</f>
        <v>1</v>
      </c>
      <c r="K1277" s="112">
        <f>'Sampling Data'!J1270</f>
        <v>21</v>
      </c>
      <c r="L1277" s="111">
        <f>'Sampling Data'!X1270</f>
        <v>0</v>
      </c>
      <c r="M1277" s="114"/>
      <c r="N1277" s="114"/>
      <c r="O1277" s="115"/>
      <c r="P1277" s="115"/>
      <c r="Q1277" s="116"/>
      <c r="R1277" s="116"/>
      <c r="S1277" s="111">
        <f>Audit[[#This Row],[Audit Losing Candidate]]-Audit[[#This Row],[Losing Candidate]]</f>
        <v>-5</v>
      </c>
      <c r="T1277" s="111">
        <f>Audit[[#This Row],[Audit Winning Candidate]]-Audit[[#This Row],[Winning Candidate]]</f>
        <v>-8</v>
      </c>
      <c r="U1277" s="111">
        <f>Audit[[#This Row],[Audit Candidate 3]]-Audit[[#This Row],[Candidate 3]]</f>
        <v>-5</v>
      </c>
      <c r="V1277" s="111">
        <f>Audit[[#This Row],[Audit Candidate 4]]-Audit[[#This Row],[Candidate 4]]</f>
        <v>-2</v>
      </c>
      <c r="W1277" s="111">
        <f>Audit[[#This Row],[Audit Candidate 5]]-Audit[[#This Row],[Candidate 5]]</f>
        <v>0</v>
      </c>
      <c r="X1277" s="111">
        <f>Audit[[#This Row],[Audit Candidate 6]]-Audit[[#This Row],[Candidate 6]]</f>
        <v>0</v>
      </c>
      <c r="Y1277" s="111">
        <f>SUMIF(Audit[[#This Row],[Difference Loser]:[Difference Candidate 6]], "&gt;0")</f>
        <v>0</v>
      </c>
      <c r="Z1277" s="111">
        <f>SUM(Audit[[#This Row],[Difference Loser]:[Difference Candidate 6]])</f>
        <v>-20</v>
      </c>
      <c r="AA1277" s="111">
        <f>IF(Audit[[#This Row],[Times p Drawn - With Replacement]]&gt;0, IF(Audit[[#This Row],[Canceled Differences]]&lt;0, Audit[[#This Row],[Max Differences]]+ABS(Audit[[#This Row],[Canceled Differences]]), Audit[[#This Row],[Max Differences]]), 0)</f>
        <v>0</v>
      </c>
      <c r="AB1277" s="111">
        <f>'Sampling Data'!P1270</f>
        <v>1.4698677119059284E-3</v>
      </c>
      <c r="AC1277" s="111">
        <f>IF(
      SUM(Audit[[#This Row],[Audit Losing Candidate]:[Audit Candidate 6]])
      &lt;&gt;0,
      (Audit[[#This Row],[Winning Candidate]]-Audit[[#This Row],[Losing Candidate]]-(Audit[[#This Row],[Audit Winning Candidate]]-Audit[[#This Row],[Audit Losing Candidate]]))/(Audit[[#Totals],[Winning Candidate]]-Audit[[#Totals],[Losing Candidate]]),
      0
)</f>
        <v>0</v>
      </c>
      <c r="AD12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7" s="111">
        <f>IF(Audit[[#This Row],[Max Relative Error (ep)]] = 0, 0, Audit[[#This Row],[Max Relative Error (ep)]]/Audit[[#This Row],[Error Bound (up) - Max. possible relative overstatement]])</f>
        <v>0</v>
      </c>
      <c r="AJ12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77" s="111">
        <f t="shared" si="19"/>
        <v>1</v>
      </c>
      <c r="AL1277" s="111">
        <f>PRODUCT($AK$5:AK1277)</f>
        <v>8.962823818226312E-2</v>
      </c>
      <c r="AM1277" s="109">
        <f>1 - [K-M P Value]</f>
        <v>0.91037176181773694</v>
      </c>
      <c r="AN1277" s="111" t="str">
        <f>IF(Audit[[#This Row],[K-M P Value]]&gt;1-'General Info'!$B$16,"Continue", "Stop")</f>
        <v>Stop</v>
      </c>
      <c r="AO1277" s="110" t="b">
        <f>IF(Audit[[#This Row],[Status - Continue or stop audit]] = "Continue", TRUE, IF(AN1276 = "Continue", TRUE, FALSE))</f>
        <v>0</v>
      </c>
      <c r="AP1277" s="110"/>
    </row>
    <row r="1278" spans="1:42" ht="15" hidden="1" customHeight="1">
      <c r="A1278" s="111" t="str">
        <f>'Sampling Data'!W1271</f>
        <v/>
      </c>
      <c r="B1278" s="112" t="str">
        <f>'Sampling Data'!A1271</f>
        <v>LAKEWOOD -01-C</v>
      </c>
      <c r="C1278" s="112">
        <f>'Sampling Data'!B1271</f>
        <v>13</v>
      </c>
      <c r="D1278" s="112">
        <f>'Sampling Data'!C1271</f>
        <v>29</v>
      </c>
      <c r="E1278" s="113">
        <f>'Sampling Data'!D1271</f>
        <v>4</v>
      </c>
      <c r="F1278" s="113">
        <f>'Sampling Data'!E1271</f>
        <v>18</v>
      </c>
      <c r="G1278" s="113">
        <f>'Sampling Data'!F1271</f>
        <v>0</v>
      </c>
      <c r="H1278" s="113">
        <f>'Sampling Data'!G1271</f>
        <v>0</v>
      </c>
      <c r="I1278" s="112">
        <f>'Sampling Data'!H1271</f>
        <v>0</v>
      </c>
      <c r="J1278" s="112">
        <f>'Sampling Data'!I1271</f>
        <v>1</v>
      </c>
      <c r="K1278" s="112">
        <f>'Sampling Data'!J1271</f>
        <v>65</v>
      </c>
      <c r="L1278" s="111">
        <f>'Sampling Data'!X1271</f>
        <v>0</v>
      </c>
      <c r="M1278" s="114"/>
      <c r="N1278" s="114"/>
      <c r="O1278" s="115"/>
      <c r="P1278" s="115"/>
      <c r="Q1278" s="116"/>
      <c r="R1278" s="116"/>
      <c r="S1278" s="111">
        <f>Audit[[#This Row],[Audit Losing Candidate]]-Audit[[#This Row],[Losing Candidate]]</f>
        <v>-13</v>
      </c>
      <c r="T1278" s="111">
        <f>Audit[[#This Row],[Audit Winning Candidate]]-Audit[[#This Row],[Winning Candidate]]</f>
        <v>-29</v>
      </c>
      <c r="U1278" s="111">
        <f>Audit[[#This Row],[Audit Candidate 3]]-Audit[[#This Row],[Candidate 3]]</f>
        <v>-4</v>
      </c>
      <c r="V1278" s="111">
        <f>Audit[[#This Row],[Audit Candidate 4]]-Audit[[#This Row],[Candidate 4]]</f>
        <v>-18</v>
      </c>
      <c r="W1278" s="111">
        <f>Audit[[#This Row],[Audit Candidate 5]]-Audit[[#This Row],[Candidate 5]]</f>
        <v>0</v>
      </c>
      <c r="X1278" s="111">
        <f>Audit[[#This Row],[Audit Candidate 6]]-Audit[[#This Row],[Candidate 6]]</f>
        <v>0</v>
      </c>
      <c r="Y1278" s="111">
        <f>SUMIF(Audit[[#This Row],[Difference Loser]:[Difference Candidate 6]], "&gt;0")</f>
        <v>0</v>
      </c>
      <c r="Z1278" s="111">
        <f>SUM(Audit[[#This Row],[Difference Loser]:[Difference Candidate 6]])</f>
        <v>-64</v>
      </c>
      <c r="AA1278" s="111">
        <f>IF(Audit[[#This Row],[Times p Drawn - With Replacement]]&gt;0, IF(Audit[[#This Row],[Canceled Differences]]&lt;0, Audit[[#This Row],[Max Differences]]+ABS(Audit[[#This Row],[Canceled Differences]]), Audit[[#This Row],[Max Differences]]), 0)</f>
        <v>0</v>
      </c>
      <c r="AB1278" s="111">
        <f>'Sampling Data'!P1271</f>
        <v>4.9608035276825085E-3</v>
      </c>
      <c r="AC1278" s="111">
        <f>IF(
      SUM(Audit[[#This Row],[Audit Losing Candidate]:[Audit Candidate 6]])
      &lt;&gt;0,
      (Audit[[#This Row],[Winning Candidate]]-Audit[[#This Row],[Losing Candidate]]-(Audit[[#This Row],[Audit Winning Candidate]]-Audit[[#This Row],[Audit Losing Candidate]]))/(Audit[[#Totals],[Winning Candidate]]-Audit[[#Totals],[Losing Candidate]]),
      0
)</f>
        <v>0</v>
      </c>
      <c r="AD12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8" s="111">
        <f>IF(Audit[[#This Row],[Max Relative Error (ep)]] = 0, 0, Audit[[#This Row],[Max Relative Error (ep)]]/Audit[[#This Row],[Error Bound (up) - Max. possible relative overstatement]])</f>
        <v>0</v>
      </c>
      <c r="AJ12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78" s="111">
        <f t="shared" si="19"/>
        <v>1</v>
      </c>
      <c r="AL1278" s="111">
        <f>PRODUCT($AK$5:AK1278)</f>
        <v>8.962823818226312E-2</v>
      </c>
      <c r="AM1278" s="109">
        <f>1 - [K-M P Value]</f>
        <v>0.91037176181773694</v>
      </c>
      <c r="AN1278" s="111" t="str">
        <f>IF(Audit[[#This Row],[K-M P Value]]&gt;1-'General Info'!$B$16,"Continue", "Stop")</f>
        <v>Stop</v>
      </c>
      <c r="AO1278" s="110" t="b">
        <f>IF(Audit[[#This Row],[Status - Continue or stop audit]] = "Continue", TRUE, IF(AN1277 = "Continue", TRUE, FALSE))</f>
        <v>0</v>
      </c>
      <c r="AP1278" s="110"/>
    </row>
    <row r="1279" spans="1:42" ht="15" hidden="1" customHeight="1">
      <c r="A1279" s="111" t="str">
        <f>'Sampling Data'!W1272</f>
        <v/>
      </c>
      <c r="B1279" s="112" t="str">
        <f>'Sampling Data'!A1272</f>
        <v>LAKEWOOD -01-C - ABS</v>
      </c>
      <c r="C1279" s="112">
        <f>'Sampling Data'!B1272</f>
        <v>7</v>
      </c>
      <c r="D1279" s="112">
        <f>'Sampling Data'!C1272</f>
        <v>5</v>
      </c>
      <c r="E1279" s="113">
        <f>'Sampling Data'!D1272</f>
        <v>0</v>
      </c>
      <c r="F1279" s="113">
        <f>'Sampling Data'!E1272</f>
        <v>0</v>
      </c>
      <c r="G1279" s="113">
        <f>'Sampling Data'!F1272</f>
        <v>1</v>
      </c>
      <c r="H1279" s="113">
        <f>'Sampling Data'!G1272</f>
        <v>0</v>
      </c>
      <c r="I1279" s="112">
        <f>'Sampling Data'!H1272</f>
        <v>0</v>
      </c>
      <c r="J1279" s="112">
        <f>'Sampling Data'!I1272</f>
        <v>0</v>
      </c>
      <c r="K1279" s="112">
        <f>'Sampling Data'!J1272</f>
        <v>13</v>
      </c>
      <c r="L1279" s="111">
        <f>'Sampling Data'!X1272</f>
        <v>0</v>
      </c>
      <c r="M1279" s="114"/>
      <c r="N1279" s="114"/>
      <c r="O1279" s="115"/>
      <c r="P1279" s="115"/>
      <c r="Q1279" s="116"/>
      <c r="R1279" s="116"/>
      <c r="S1279" s="111">
        <f>Audit[[#This Row],[Audit Losing Candidate]]-Audit[[#This Row],[Losing Candidate]]</f>
        <v>-7</v>
      </c>
      <c r="T1279" s="111">
        <f>Audit[[#This Row],[Audit Winning Candidate]]-Audit[[#This Row],[Winning Candidate]]</f>
        <v>-5</v>
      </c>
      <c r="U1279" s="111">
        <f>Audit[[#This Row],[Audit Candidate 3]]-Audit[[#This Row],[Candidate 3]]</f>
        <v>0</v>
      </c>
      <c r="V1279" s="111">
        <f>Audit[[#This Row],[Audit Candidate 4]]-Audit[[#This Row],[Candidate 4]]</f>
        <v>0</v>
      </c>
      <c r="W1279" s="111">
        <f>Audit[[#This Row],[Audit Candidate 5]]-Audit[[#This Row],[Candidate 5]]</f>
        <v>-1</v>
      </c>
      <c r="X1279" s="111">
        <f>Audit[[#This Row],[Audit Candidate 6]]-Audit[[#This Row],[Candidate 6]]</f>
        <v>0</v>
      </c>
      <c r="Y1279" s="111">
        <f>SUMIF(Audit[[#This Row],[Difference Loser]:[Difference Candidate 6]], "&gt;0")</f>
        <v>0</v>
      </c>
      <c r="Z1279" s="111">
        <f>SUM(Audit[[#This Row],[Difference Loser]:[Difference Candidate 6]])</f>
        <v>-13</v>
      </c>
      <c r="AA1279" s="111">
        <f>IF(Audit[[#This Row],[Times p Drawn - With Replacement]]&gt;0, IF(Audit[[#This Row],[Canceled Differences]]&lt;0, Audit[[#This Row],[Max Differences]]+ABS(Audit[[#This Row],[Canceled Differences]]), Audit[[#This Row],[Max Differences]]), 0)</f>
        <v>0</v>
      </c>
      <c r="AB1279" s="111">
        <f>'Sampling Data'!P1272</f>
        <v>6.7368936795688392E-4</v>
      </c>
      <c r="AC1279" s="111">
        <f>IF(
      SUM(Audit[[#This Row],[Audit Losing Candidate]:[Audit Candidate 6]])
      &lt;&gt;0,
      (Audit[[#This Row],[Winning Candidate]]-Audit[[#This Row],[Losing Candidate]]-(Audit[[#This Row],[Audit Winning Candidate]]-Audit[[#This Row],[Audit Losing Candidate]]))/(Audit[[#Totals],[Winning Candidate]]-Audit[[#Totals],[Losing Candidate]]),
      0
)</f>
        <v>0</v>
      </c>
      <c r="AD12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9" s="111">
        <f>IF(Audit[[#This Row],[Max Relative Error (ep)]] = 0, 0, Audit[[#This Row],[Max Relative Error (ep)]]/Audit[[#This Row],[Error Bound (up) - Max. possible relative overstatement]])</f>
        <v>0</v>
      </c>
      <c r="AJ12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79" s="111">
        <f t="shared" si="19"/>
        <v>1</v>
      </c>
      <c r="AL1279" s="111">
        <f>PRODUCT($AK$5:AK1279)</f>
        <v>8.962823818226312E-2</v>
      </c>
      <c r="AM1279" s="109">
        <f>1 - [K-M P Value]</f>
        <v>0.91037176181773694</v>
      </c>
      <c r="AN1279" s="111" t="str">
        <f>IF(Audit[[#This Row],[K-M P Value]]&gt;1-'General Info'!$B$16,"Continue", "Stop")</f>
        <v>Stop</v>
      </c>
      <c r="AO1279" s="110" t="b">
        <f>IF(Audit[[#This Row],[Status - Continue or stop audit]] = "Continue", TRUE, IF(AN1278 = "Continue", TRUE, FALSE))</f>
        <v>0</v>
      </c>
      <c r="AP1279" s="110"/>
    </row>
    <row r="1280" spans="1:42" ht="15" hidden="1" customHeight="1">
      <c r="A1280" s="111" t="str">
        <f>'Sampling Data'!W1273</f>
        <v/>
      </c>
      <c r="B1280" s="112" t="str">
        <f>'Sampling Data'!A1273</f>
        <v>LAKEWOOD -01-D</v>
      </c>
      <c r="C1280" s="112">
        <f>'Sampling Data'!B1273</f>
        <v>20</v>
      </c>
      <c r="D1280" s="112">
        <f>'Sampling Data'!C1273</f>
        <v>23</v>
      </c>
      <c r="E1280" s="113">
        <f>'Sampling Data'!D1273</f>
        <v>2</v>
      </c>
      <c r="F1280" s="113">
        <f>'Sampling Data'!E1273</f>
        <v>14</v>
      </c>
      <c r="G1280" s="113">
        <f>'Sampling Data'!F1273</f>
        <v>0</v>
      </c>
      <c r="H1280" s="113">
        <f>'Sampling Data'!G1273</f>
        <v>0</v>
      </c>
      <c r="I1280" s="112">
        <f>'Sampling Data'!H1273</f>
        <v>0</v>
      </c>
      <c r="J1280" s="112">
        <f>'Sampling Data'!I1273</f>
        <v>2</v>
      </c>
      <c r="K1280" s="112">
        <f>'Sampling Data'!J1273</f>
        <v>61</v>
      </c>
      <c r="L1280" s="111">
        <f>'Sampling Data'!X1273</f>
        <v>0</v>
      </c>
      <c r="M1280" s="114"/>
      <c r="N1280" s="114"/>
      <c r="O1280" s="115"/>
      <c r="P1280" s="115"/>
      <c r="Q1280" s="116"/>
      <c r="R1280" s="116"/>
      <c r="S1280" s="111">
        <f>Audit[[#This Row],[Audit Losing Candidate]]-Audit[[#This Row],[Losing Candidate]]</f>
        <v>-20</v>
      </c>
      <c r="T1280" s="111">
        <f>Audit[[#This Row],[Audit Winning Candidate]]-Audit[[#This Row],[Winning Candidate]]</f>
        <v>-23</v>
      </c>
      <c r="U1280" s="111">
        <f>Audit[[#This Row],[Audit Candidate 3]]-Audit[[#This Row],[Candidate 3]]</f>
        <v>-2</v>
      </c>
      <c r="V1280" s="111">
        <f>Audit[[#This Row],[Audit Candidate 4]]-Audit[[#This Row],[Candidate 4]]</f>
        <v>-14</v>
      </c>
      <c r="W1280" s="111">
        <f>Audit[[#This Row],[Audit Candidate 5]]-Audit[[#This Row],[Candidate 5]]</f>
        <v>0</v>
      </c>
      <c r="X1280" s="111">
        <f>Audit[[#This Row],[Audit Candidate 6]]-Audit[[#This Row],[Candidate 6]]</f>
        <v>0</v>
      </c>
      <c r="Y1280" s="111">
        <f>SUMIF(Audit[[#This Row],[Difference Loser]:[Difference Candidate 6]], "&gt;0")</f>
        <v>0</v>
      </c>
      <c r="Z1280" s="111">
        <f>SUM(Audit[[#This Row],[Difference Loser]:[Difference Candidate 6]])</f>
        <v>-59</v>
      </c>
      <c r="AA1280" s="111">
        <f>IF(Audit[[#This Row],[Times p Drawn - With Replacement]]&gt;0, IF(Audit[[#This Row],[Canceled Differences]]&lt;0, Audit[[#This Row],[Max Differences]]+ABS(Audit[[#This Row],[Canceled Differences]]), Audit[[#This Row],[Max Differences]]), 0)</f>
        <v>0</v>
      </c>
      <c r="AB1280" s="111">
        <f>'Sampling Data'!P1273</f>
        <v>3.9196472317491425E-3</v>
      </c>
      <c r="AC1280" s="111">
        <f>IF(
      SUM(Audit[[#This Row],[Audit Losing Candidate]:[Audit Candidate 6]])
      &lt;&gt;0,
      (Audit[[#This Row],[Winning Candidate]]-Audit[[#This Row],[Losing Candidate]]-(Audit[[#This Row],[Audit Winning Candidate]]-Audit[[#This Row],[Audit Losing Candidate]]))/(Audit[[#Totals],[Winning Candidate]]-Audit[[#Totals],[Losing Candidate]]),
      0
)</f>
        <v>0</v>
      </c>
      <c r="AD12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0" s="111">
        <f>IF(Audit[[#This Row],[Max Relative Error (ep)]] = 0, 0, Audit[[#This Row],[Max Relative Error (ep)]]/Audit[[#This Row],[Error Bound (up) - Max. possible relative overstatement]])</f>
        <v>0</v>
      </c>
      <c r="AJ12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80" s="111">
        <f t="shared" si="19"/>
        <v>1</v>
      </c>
      <c r="AL1280" s="111">
        <f>PRODUCT($AK$5:AK1280)</f>
        <v>8.962823818226312E-2</v>
      </c>
      <c r="AM1280" s="109">
        <f>1 - [K-M P Value]</f>
        <v>0.91037176181773694</v>
      </c>
      <c r="AN1280" s="111" t="str">
        <f>IF(Audit[[#This Row],[K-M P Value]]&gt;1-'General Info'!$B$16,"Continue", "Stop")</f>
        <v>Stop</v>
      </c>
      <c r="AO1280" s="110" t="b">
        <f>IF(Audit[[#This Row],[Status - Continue or stop audit]] = "Continue", TRUE, IF(AN1279 = "Continue", TRUE, FALSE))</f>
        <v>0</v>
      </c>
      <c r="AP1280" s="110"/>
    </row>
    <row r="1281" spans="1:42" ht="15" hidden="1" customHeight="1">
      <c r="A1281" s="111" t="str">
        <f>'Sampling Data'!W1274</f>
        <v/>
      </c>
      <c r="B1281" s="112" t="str">
        <f>'Sampling Data'!A1274</f>
        <v>LAKEWOOD -01-D - ABS</v>
      </c>
      <c r="C1281" s="112">
        <f>'Sampling Data'!B1274</f>
        <v>5</v>
      </c>
      <c r="D1281" s="112">
        <f>'Sampling Data'!C1274</f>
        <v>6</v>
      </c>
      <c r="E1281" s="113">
        <f>'Sampling Data'!D1274</f>
        <v>0</v>
      </c>
      <c r="F1281" s="113">
        <f>'Sampling Data'!E1274</f>
        <v>2</v>
      </c>
      <c r="G1281" s="113">
        <f>'Sampling Data'!F1274</f>
        <v>0</v>
      </c>
      <c r="H1281" s="113">
        <f>'Sampling Data'!G1274</f>
        <v>0</v>
      </c>
      <c r="I1281" s="112">
        <f>'Sampling Data'!H1274</f>
        <v>0</v>
      </c>
      <c r="J1281" s="112">
        <f>'Sampling Data'!I1274</f>
        <v>0</v>
      </c>
      <c r="K1281" s="112">
        <f>'Sampling Data'!J1274</f>
        <v>13</v>
      </c>
      <c r="L1281" s="111">
        <f>'Sampling Data'!X1274</f>
        <v>0</v>
      </c>
      <c r="M1281" s="114"/>
      <c r="N1281" s="114"/>
      <c r="O1281" s="115"/>
      <c r="P1281" s="115"/>
      <c r="Q1281" s="116"/>
      <c r="R1281" s="116"/>
      <c r="S1281" s="111">
        <f>Audit[[#This Row],[Audit Losing Candidate]]-Audit[[#This Row],[Losing Candidate]]</f>
        <v>-5</v>
      </c>
      <c r="T1281" s="111">
        <f>Audit[[#This Row],[Audit Winning Candidate]]-Audit[[#This Row],[Winning Candidate]]</f>
        <v>-6</v>
      </c>
      <c r="U1281" s="111">
        <f>Audit[[#This Row],[Audit Candidate 3]]-Audit[[#This Row],[Candidate 3]]</f>
        <v>0</v>
      </c>
      <c r="V1281" s="111">
        <f>Audit[[#This Row],[Audit Candidate 4]]-Audit[[#This Row],[Candidate 4]]</f>
        <v>-2</v>
      </c>
      <c r="W1281" s="111">
        <f>Audit[[#This Row],[Audit Candidate 5]]-Audit[[#This Row],[Candidate 5]]</f>
        <v>0</v>
      </c>
      <c r="X1281" s="111">
        <f>Audit[[#This Row],[Audit Candidate 6]]-Audit[[#This Row],[Candidate 6]]</f>
        <v>0</v>
      </c>
      <c r="Y1281" s="111">
        <f>SUMIF(Audit[[#This Row],[Difference Loser]:[Difference Candidate 6]], "&gt;0")</f>
        <v>0</v>
      </c>
      <c r="Z1281" s="111">
        <f>SUM(Audit[[#This Row],[Difference Loser]:[Difference Candidate 6]])</f>
        <v>-13</v>
      </c>
      <c r="AA1281" s="111">
        <f>IF(Audit[[#This Row],[Times p Drawn - With Replacement]]&gt;0, IF(Audit[[#This Row],[Canceled Differences]]&lt;0, Audit[[#This Row],[Max Differences]]+ABS(Audit[[#This Row],[Canceled Differences]]), Audit[[#This Row],[Max Differences]]), 0)</f>
        <v>0</v>
      </c>
      <c r="AB1281" s="111">
        <f>'Sampling Data'!P1274</f>
        <v>8.5742283194512492E-4</v>
      </c>
      <c r="AC1281" s="111">
        <f>IF(
      SUM(Audit[[#This Row],[Audit Losing Candidate]:[Audit Candidate 6]])
      &lt;&gt;0,
      (Audit[[#This Row],[Winning Candidate]]-Audit[[#This Row],[Losing Candidate]]-(Audit[[#This Row],[Audit Winning Candidate]]-Audit[[#This Row],[Audit Losing Candidate]]))/(Audit[[#Totals],[Winning Candidate]]-Audit[[#Totals],[Losing Candidate]]),
      0
)</f>
        <v>0</v>
      </c>
      <c r="AD12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1" s="111">
        <f>IF(Audit[[#This Row],[Max Relative Error (ep)]] = 0, 0, Audit[[#This Row],[Max Relative Error (ep)]]/Audit[[#This Row],[Error Bound (up) - Max. possible relative overstatement]])</f>
        <v>0</v>
      </c>
      <c r="AJ12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81" s="111">
        <f t="shared" si="19"/>
        <v>1</v>
      </c>
      <c r="AL1281" s="111">
        <f>PRODUCT($AK$5:AK1281)</f>
        <v>8.962823818226312E-2</v>
      </c>
      <c r="AM1281" s="109">
        <f>1 - [K-M P Value]</f>
        <v>0.91037176181773694</v>
      </c>
      <c r="AN1281" s="111" t="str">
        <f>IF(Audit[[#This Row],[K-M P Value]]&gt;1-'General Info'!$B$16,"Continue", "Stop")</f>
        <v>Stop</v>
      </c>
      <c r="AO1281" s="110" t="b">
        <f>IF(Audit[[#This Row],[Status - Continue or stop audit]] = "Continue", TRUE, IF(AN1280 = "Continue", TRUE, FALSE))</f>
        <v>0</v>
      </c>
      <c r="AP1281" s="110"/>
    </row>
    <row r="1282" spans="1:42" ht="15" hidden="1" customHeight="1">
      <c r="A1282" s="111" t="str">
        <f>'Sampling Data'!W1275</f>
        <v/>
      </c>
      <c r="B1282" s="112" t="str">
        <f>'Sampling Data'!A1275</f>
        <v>LAKEWOOD -01-E</v>
      </c>
      <c r="C1282" s="112">
        <f>'Sampling Data'!B1275</f>
        <v>10</v>
      </c>
      <c r="D1282" s="112">
        <f>'Sampling Data'!C1275</f>
        <v>24</v>
      </c>
      <c r="E1282" s="113">
        <f>'Sampling Data'!D1275</f>
        <v>11</v>
      </c>
      <c r="F1282" s="113">
        <f>'Sampling Data'!E1275</f>
        <v>4</v>
      </c>
      <c r="G1282" s="113">
        <f>'Sampling Data'!F1275</f>
        <v>0</v>
      </c>
      <c r="H1282" s="113">
        <f>'Sampling Data'!G1275</f>
        <v>1</v>
      </c>
      <c r="I1282" s="112">
        <f>'Sampling Data'!H1275</f>
        <v>0</v>
      </c>
      <c r="J1282" s="112">
        <f>'Sampling Data'!I1275</f>
        <v>0</v>
      </c>
      <c r="K1282" s="112">
        <f>'Sampling Data'!J1275</f>
        <v>50</v>
      </c>
      <c r="L1282" s="111">
        <f>'Sampling Data'!X1275</f>
        <v>0</v>
      </c>
      <c r="M1282" s="114"/>
      <c r="N1282" s="114"/>
      <c r="O1282" s="115"/>
      <c r="P1282" s="115"/>
      <c r="Q1282" s="116"/>
      <c r="R1282" s="116"/>
      <c r="S1282" s="111">
        <f>Audit[[#This Row],[Audit Losing Candidate]]-Audit[[#This Row],[Losing Candidate]]</f>
        <v>-10</v>
      </c>
      <c r="T1282" s="111">
        <f>Audit[[#This Row],[Audit Winning Candidate]]-Audit[[#This Row],[Winning Candidate]]</f>
        <v>-24</v>
      </c>
      <c r="U1282" s="111">
        <f>Audit[[#This Row],[Audit Candidate 3]]-Audit[[#This Row],[Candidate 3]]</f>
        <v>-11</v>
      </c>
      <c r="V1282" s="111">
        <f>Audit[[#This Row],[Audit Candidate 4]]-Audit[[#This Row],[Candidate 4]]</f>
        <v>-4</v>
      </c>
      <c r="W1282" s="111">
        <f>Audit[[#This Row],[Audit Candidate 5]]-Audit[[#This Row],[Candidate 5]]</f>
        <v>0</v>
      </c>
      <c r="X1282" s="111">
        <f>Audit[[#This Row],[Audit Candidate 6]]-Audit[[#This Row],[Candidate 6]]</f>
        <v>-1</v>
      </c>
      <c r="Y1282" s="111">
        <f>SUMIF(Audit[[#This Row],[Difference Loser]:[Difference Candidate 6]], "&gt;0")</f>
        <v>0</v>
      </c>
      <c r="Z1282" s="111">
        <f>SUM(Audit[[#This Row],[Difference Loser]:[Difference Candidate 6]])</f>
        <v>-50</v>
      </c>
      <c r="AA1282" s="111">
        <f>IF(Audit[[#This Row],[Times p Drawn - With Replacement]]&gt;0, IF(Audit[[#This Row],[Canceled Differences]]&lt;0, Audit[[#This Row],[Max Differences]]+ABS(Audit[[#This Row],[Canceled Differences]]), Audit[[#This Row],[Max Differences]]), 0)</f>
        <v>0</v>
      </c>
      <c r="AB1282" s="111">
        <f>'Sampling Data'!P1275</f>
        <v>3.9196472317491425E-3</v>
      </c>
      <c r="AC1282" s="111">
        <f>IF(
      SUM(Audit[[#This Row],[Audit Losing Candidate]:[Audit Candidate 6]])
      &lt;&gt;0,
      (Audit[[#This Row],[Winning Candidate]]-Audit[[#This Row],[Losing Candidate]]-(Audit[[#This Row],[Audit Winning Candidate]]-Audit[[#This Row],[Audit Losing Candidate]]))/(Audit[[#Totals],[Winning Candidate]]-Audit[[#Totals],[Losing Candidate]]),
      0
)</f>
        <v>0</v>
      </c>
      <c r="AD12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2" s="111">
        <f>IF(Audit[[#This Row],[Max Relative Error (ep)]] = 0, 0, Audit[[#This Row],[Max Relative Error (ep)]]/Audit[[#This Row],[Error Bound (up) - Max. possible relative overstatement]])</f>
        <v>0</v>
      </c>
      <c r="AJ12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82" s="111">
        <f t="shared" si="19"/>
        <v>1</v>
      </c>
      <c r="AL1282" s="111">
        <f>PRODUCT($AK$5:AK1282)</f>
        <v>8.962823818226312E-2</v>
      </c>
      <c r="AM1282" s="109">
        <f>1 - [K-M P Value]</f>
        <v>0.91037176181773694</v>
      </c>
      <c r="AN1282" s="111" t="str">
        <f>IF(Audit[[#This Row],[K-M P Value]]&gt;1-'General Info'!$B$16,"Continue", "Stop")</f>
        <v>Stop</v>
      </c>
      <c r="AO1282" s="110" t="b">
        <f>IF(Audit[[#This Row],[Status - Continue or stop audit]] = "Continue", TRUE, IF(AN1281 = "Continue", TRUE, FALSE))</f>
        <v>0</v>
      </c>
      <c r="AP1282" s="110"/>
    </row>
    <row r="1283" spans="1:42" ht="15" hidden="1" customHeight="1">
      <c r="A1283" s="111" t="str">
        <f>'Sampling Data'!W1276</f>
        <v/>
      </c>
      <c r="B1283" s="112" t="str">
        <f>'Sampling Data'!A1276</f>
        <v>LAKEWOOD -01-E - ABS</v>
      </c>
      <c r="C1283" s="112">
        <f>'Sampling Data'!B1276</f>
        <v>3</v>
      </c>
      <c r="D1283" s="112">
        <f>'Sampling Data'!C1276</f>
        <v>8</v>
      </c>
      <c r="E1283" s="113">
        <f>'Sampling Data'!D1276</f>
        <v>6</v>
      </c>
      <c r="F1283" s="113">
        <f>'Sampling Data'!E1276</f>
        <v>1</v>
      </c>
      <c r="G1283" s="113">
        <f>'Sampling Data'!F1276</f>
        <v>0</v>
      </c>
      <c r="H1283" s="113">
        <f>'Sampling Data'!G1276</f>
        <v>0</v>
      </c>
      <c r="I1283" s="112">
        <f>'Sampling Data'!H1276</f>
        <v>0</v>
      </c>
      <c r="J1283" s="112">
        <f>'Sampling Data'!I1276</f>
        <v>0</v>
      </c>
      <c r="K1283" s="112">
        <f>'Sampling Data'!J1276</f>
        <v>18</v>
      </c>
      <c r="L1283" s="111">
        <f>'Sampling Data'!X1276</f>
        <v>0</v>
      </c>
      <c r="M1283" s="114"/>
      <c r="N1283" s="114"/>
      <c r="O1283" s="115"/>
      <c r="P1283" s="115"/>
      <c r="Q1283" s="116"/>
      <c r="R1283" s="116"/>
      <c r="S1283" s="111">
        <f>Audit[[#This Row],[Audit Losing Candidate]]-Audit[[#This Row],[Losing Candidate]]</f>
        <v>-3</v>
      </c>
      <c r="T1283" s="111">
        <f>Audit[[#This Row],[Audit Winning Candidate]]-Audit[[#This Row],[Winning Candidate]]</f>
        <v>-8</v>
      </c>
      <c r="U1283" s="111">
        <f>Audit[[#This Row],[Audit Candidate 3]]-Audit[[#This Row],[Candidate 3]]</f>
        <v>-6</v>
      </c>
      <c r="V1283" s="111">
        <f>Audit[[#This Row],[Audit Candidate 4]]-Audit[[#This Row],[Candidate 4]]</f>
        <v>-1</v>
      </c>
      <c r="W1283" s="111">
        <f>Audit[[#This Row],[Audit Candidate 5]]-Audit[[#This Row],[Candidate 5]]</f>
        <v>0</v>
      </c>
      <c r="X1283" s="111">
        <f>Audit[[#This Row],[Audit Candidate 6]]-Audit[[#This Row],[Candidate 6]]</f>
        <v>0</v>
      </c>
      <c r="Y1283" s="111">
        <f>SUMIF(Audit[[#This Row],[Difference Loser]:[Difference Candidate 6]], "&gt;0")</f>
        <v>0</v>
      </c>
      <c r="Z1283" s="111">
        <f>SUM(Audit[[#This Row],[Difference Loser]:[Difference Candidate 6]])</f>
        <v>-18</v>
      </c>
      <c r="AA1283" s="111">
        <f>IF(Audit[[#This Row],[Times p Drawn - With Replacement]]&gt;0, IF(Audit[[#This Row],[Canceled Differences]]&lt;0, Audit[[#This Row],[Max Differences]]+ABS(Audit[[#This Row],[Canceled Differences]]), Audit[[#This Row],[Max Differences]]), 0)</f>
        <v>0</v>
      </c>
      <c r="AB1283" s="111">
        <f>'Sampling Data'!P1276</f>
        <v>1.408623223909848E-3</v>
      </c>
      <c r="AC1283" s="111">
        <f>IF(
      SUM(Audit[[#This Row],[Audit Losing Candidate]:[Audit Candidate 6]])
      &lt;&gt;0,
      (Audit[[#This Row],[Winning Candidate]]-Audit[[#This Row],[Losing Candidate]]-(Audit[[#This Row],[Audit Winning Candidate]]-Audit[[#This Row],[Audit Losing Candidate]]))/(Audit[[#Totals],[Winning Candidate]]-Audit[[#Totals],[Losing Candidate]]),
      0
)</f>
        <v>0</v>
      </c>
      <c r="AD12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3" s="111">
        <f>IF(Audit[[#This Row],[Max Relative Error (ep)]] = 0, 0, Audit[[#This Row],[Max Relative Error (ep)]]/Audit[[#This Row],[Error Bound (up) - Max. possible relative overstatement]])</f>
        <v>0</v>
      </c>
      <c r="AJ12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83" s="111">
        <f t="shared" si="19"/>
        <v>1</v>
      </c>
      <c r="AL1283" s="111">
        <f>PRODUCT($AK$5:AK1283)</f>
        <v>8.962823818226312E-2</v>
      </c>
      <c r="AM1283" s="109">
        <f>1 - [K-M P Value]</f>
        <v>0.91037176181773694</v>
      </c>
      <c r="AN1283" s="111" t="str">
        <f>IF(Audit[[#This Row],[K-M P Value]]&gt;1-'General Info'!$B$16,"Continue", "Stop")</f>
        <v>Stop</v>
      </c>
      <c r="AO1283" s="110" t="b">
        <f>IF(Audit[[#This Row],[Status - Continue or stop audit]] = "Continue", TRUE, IF(AN1282 = "Continue", TRUE, FALSE))</f>
        <v>0</v>
      </c>
      <c r="AP1283" s="110"/>
    </row>
    <row r="1284" spans="1:42" ht="15" hidden="1" customHeight="1">
      <c r="A1284" s="111" t="str">
        <f>'Sampling Data'!W1277</f>
        <v/>
      </c>
      <c r="B1284" s="112" t="str">
        <f>'Sampling Data'!A1277</f>
        <v>LAKEWOOD -01-F</v>
      </c>
      <c r="C1284" s="112">
        <f>'Sampling Data'!B1277</f>
        <v>7</v>
      </c>
      <c r="D1284" s="112">
        <f>'Sampling Data'!C1277</f>
        <v>12</v>
      </c>
      <c r="E1284" s="113">
        <f>'Sampling Data'!D1277</f>
        <v>4</v>
      </c>
      <c r="F1284" s="113">
        <f>'Sampling Data'!E1277</f>
        <v>11</v>
      </c>
      <c r="G1284" s="113">
        <f>'Sampling Data'!F1277</f>
        <v>1</v>
      </c>
      <c r="H1284" s="113">
        <f>'Sampling Data'!G1277</f>
        <v>0</v>
      </c>
      <c r="I1284" s="112">
        <f>'Sampling Data'!H1277</f>
        <v>0</v>
      </c>
      <c r="J1284" s="112">
        <f>'Sampling Data'!I1277</f>
        <v>0</v>
      </c>
      <c r="K1284" s="112">
        <f>'Sampling Data'!J1277</f>
        <v>35</v>
      </c>
      <c r="L1284" s="111">
        <f>'Sampling Data'!X1277</f>
        <v>0</v>
      </c>
      <c r="M1284" s="114"/>
      <c r="N1284" s="114"/>
      <c r="O1284" s="115"/>
      <c r="P1284" s="115"/>
      <c r="Q1284" s="116"/>
      <c r="R1284" s="116"/>
      <c r="S1284" s="111">
        <f>Audit[[#This Row],[Audit Losing Candidate]]-Audit[[#This Row],[Losing Candidate]]</f>
        <v>-7</v>
      </c>
      <c r="T1284" s="111">
        <f>Audit[[#This Row],[Audit Winning Candidate]]-Audit[[#This Row],[Winning Candidate]]</f>
        <v>-12</v>
      </c>
      <c r="U1284" s="111">
        <f>Audit[[#This Row],[Audit Candidate 3]]-Audit[[#This Row],[Candidate 3]]</f>
        <v>-4</v>
      </c>
      <c r="V1284" s="111">
        <f>Audit[[#This Row],[Audit Candidate 4]]-Audit[[#This Row],[Candidate 4]]</f>
        <v>-11</v>
      </c>
      <c r="W1284" s="111">
        <f>Audit[[#This Row],[Audit Candidate 5]]-Audit[[#This Row],[Candidate 5]]</f>
        <v>-1</v>
      </c>
      <c r="X1284" s="111">
        <f>Audit[[#This Row],[Audit Candidate 6]]-Audit[[#This Row],[Candidate 6]]</f>
        <v>0</v>
      </c>
      <c r="Y1284" s="111">
        <f>SUMIF(Audit[[#This Row],[Difference Loser]:[Difference Candidate 6]], "&gt;0")</f>
        <v>0</v>
      </c>
      <c r="Z1284" s="111">
        <f>SUM(Audit[[#This Row],[Difference Loser]:[Difference Candidate 6]])</f>
        <v>-35</v>
      </c>
      <c r="AA1284" s="111">
        <f>IF(Audit[[#This Row],[Times p Drawn - With Replacement]]&gt;0, IF(Audit[[#This Row],[Canceled Differences]]&lt;0, Audit[[#This Row],[Max Differences]]+ABS(Audit[[#This Row],[Canceled Differences]]), Audit[[#This Row],[Max Differences]]), 0)</f>
        <v>0</v>
      </c>
      <c r="AB1284" s="111">
        <f>'Sampling Data'!P1277</f>
        <v>2.4497795198432141E-3</v>
      </c>
      <c r="AC1284" s="111">
        <f>IF(
      SUM(Audit[[#This Row],[Audit Losing Candidate]:[Audit Candidate 6]])
      &lt;&gt;0,
      (Audit[[#This Row],[Winning Candidate]]-Audit[[#This Row],[Losing Candidate]]-(Audit[[#This Row],[Audit Winning Candidate]]-Audit[[#This Row],[Audit Losing Candidate]]))/(Audit[[#Totals],[Winning Candidate]]-Audit[[#Totals],[Losing Candidate]]),
      0
)</f>
        <v>0</v>
      </c>
      <c r="AD12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4" s="111">
        <f>IF(Audit[[#This Row],[Max Relative Error (ep)]] = 0, 0, Audit[[#This Row],[Max Relative Error (ep)]]/Audit[[#This Row],[Error Bound (up) - Max. possible relative overstatement]])</f>
        <v>0</v>
      </c>
      <c r="AJ12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84" s="111">
        <f t="shared" si="19"/>
        <v>1</v>
      </c>
      <c r="AL1284" s="111">
        <f>PRODUCT($AK$5:AK1284)</f>
        <v>8.962823818226312E-2</v>
      </c>
      <c r="AM1284" s="109">
        <f>1 - [K-M P Value]</f>
        <v>0.91037176181773694</v>
      </c>
      <c r="AN1284" s="111" t="str">
        <f>IF(Audit[[#This Row],[K-M P Value]]&gt;1-'General Info'!$B$16,"Continue", "Stop")</f>
        <v>Stop</v>
      </c>
      <c r="AO1284" s="110" t="b">
        <f>IF(Audit[[#This Row],[Status - Continue or stop audit]] = "Continue", TRUE, IF(AN1283 = "Continue", TRUE, FALSE))</f>
        <v>0</v>
      </c>
      <c r="AP1284" s="110"/>
    </row>
    <row r="1285" spans="1:42" ht="15" hidden="1" customHeight="1">
      <c r="A1285" s="111" t="str">
        <f>'Sampling Data'!W1278</f>
        <v/>
      </c>
      <c r="B1285" s="112" t="str">
        <f>'Sampling Data'!A1278</f>
        <v>LAKEWOOD -01-F - ABS</v>
      </c>
      <c r="C1285" s="112">
        <f>'Sampling Data'!B1278</f>
        <v>2</v>
      </c>
      <c r="D1285" s="112">
        <f>'Sampling Data'!C1278</f>
        <v>3</v>
      </c>
      <c r="E1285" s="113">
        <f>'Sampling Data'!D1278</f>
        <v>2</v>
      </c>
      <c r="F1285" s="113">
        <f>'Sampling Data'!E1278</f>
        <v>0</v>
      </c>
      <c r="G1285" s="113">
        <f>'Sampling Data'!F1278</f>
        <v>0</v>
      </c>
      <c r="H1285" s="113">
        <f>'Sampling Data'!G1278</f>
        <v>0</v>
      </c>
      <c r="I1285" s="112">
        <f>'Sampling Data'!H1278</f>
        <v>0</v>
      </c>
      <c r="J1285" s="112">
        <f>'Sampling Data'!I1278</f>
        <v>0</v>
      </c>
      <c r="K1285" s="112">
        <f>'Sampling Data'!J1278</f>
        <v>7</v>
      </c>
      <c r="L1285" s="111">
        <f>'Sampling Data'!X1278</f>
        <v>0</v>
      </c>
      <c r="M1285" s="114"/>
      <c r="N1285" s="114"/>
      <c r="O1285" s="115"/>
      <c r="P1285" s="115"/>
      <c r="Q1285" s="116"/>
      <c r="R1285" s="116"/>
      <c r="S1285" s="111">
        <f>Audit[[#This Row],[Audit Losing Candidate]]-Audit[[#This Row],[Losing Candidate]]</f>
        <v>-2</v>
      </c>
      <c r="T1285" s="111">
        <f>Audit[[#This Row],[Audit Winning Candidate]]-Audit[[#This Row],[Winning Candidate]]</f>
        <v>-3</v>
      </c>
      <c r="U1285" s="111">
        <f>Audit[[#This Row],[Audit Candidate 3]]-Audit[[#This Row],[Candidate 3]]</f>
        <v>-2</v>
      </c>
      <c r="V1285" s="111">
        <f>Audit[[#This Row],[Audit Candidate 4]]-Audit[[#This Row],[Candidate 4]]</f>
        <v>0</v>
      </c>
      <c r="W1285" s="111">
        <f>Audit[[#This Row],[Audit Candidate 5]]-Audit[[#This Row],[Candidate 5]]</f>
        <v>0</v>
      </c>
      <c r="X1285" s="111">
        <f>Audit[[#This Row],[Audit Candidate 6]]-Audit[[#This Row],[Candidate 6]]</f>
        <v>0</v>
      </c>
      <c r="Y1285" s="111">
        <f>SUMIF(Audit[[#This Row],[Difference Loser]:[Difference Candidate 6]], "&gt;0")</f>
        <v>0</v>
      </c>
      <c r="Z1285" s="111">
        <f>SUM(Audit[[#This Row],[Difference Loser]:[Difference Candidate 6]])</f>
        <v>-7</v>
      </c>
      <c r="AA1285" s="111">
        <f>IF(Audit[[#This Row],[Times p Drawn - With Replacement]]&gt;0, IF(Audit[[#This Row],[Canceled Differences]]&lt;0, Audit[[#This Row],[Max Differences]]+ABS(Audit[[#This Row],[Canceled Differences]]), Audit[[#This Row],[Max Differences]]), 0)</f>
        <v>0</v>
      </c>
      <c r="AB1285" s="111">
        <f>'Sampling Data'!P1278</f>
        <v>4.8995590396864281E-4</v>
      </c>
      <c r="AC1285" s="111">
        <f>IF(
      SUM(Audit[[#This Row],[Audit Losing Candidate]:[Audit Candidate 6]])
      &lt;&gt;0,
      (Audit[[#This Row],[Winning Candidate]]-Audit[[#This Row],[Losing Candidate]]-(Audit[[#This Row],[Audit Winning Candidate]]-Audit[[#This Row],[Audit Losing Candidate]]))/(Audit[[#Totals],[Winning Candidate]]-Audit[[#Totals],[Losing Candidate]]),
      0
)</f>
        <v>0</v>
      </c>
      <c r="AD12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5" s="111">
        <f>IF(Audit[[#This Row],[Max Relative Error (ep)]] = 0, 0, Audit[[#This Row],[Max Relative Error (ep)]]/Audit[[#This Row],[Error Bound (up) - Max. possible relative overstatement]])</f>
        <v>0</v>
      </c>
      <c r="AJ12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85" s="111">
        <f t="shared" ref="AK1285:AK1348" si="20">IF(ISERR(POWER(AJ1285,L1285)), 0, POWER(AJ1285,L1285))</f>
        <v>1</v>
      </c>
      <c r="AL1285" s="111">
        <f>PRODUCT($AK$5:AK1285)</f>
        <v>8.962823818226312E-2</v>
      </c>
      <c r="AM1285" s="109">
        <f>1 - [K-M P Value]</f>
        <v>0.91037176181773694</v>
      </c>
      <c r="AN1285" s="111" t="str">
        <f>IF(Audit[[#This Row],[K-M P Value]]&gt;1-'General Info'!$B$16,"Continue", "Stop")</f>
        <v>Stop</v>
      </c>
      <c r="AO1285" s="110" t="b">
        <f>IF(Audit[[#This Row],[Status - Continue or stop audit]] = "Continue", TRUE, IF(AN1284 = "Continue", TRUE, FALSE))</f>
        <v>0</v>
      </c>
      <c r="AP1285" s="110"/>
    </row>
    <row r="1286" spans="1:42" ht="15" hidden="1" customHeight="1">
      <c r="A1286" s="111" t="str">
        <f>'Sampling Data'!W1279</f>
        <v/>
      </c>
      <c r="B1286" s="112" t="str">
        <f>'Sampling Data'!A1279</f>
        <v>LAKEWOOD -01-G</v>
      </c>
      <c r="C1286" s="112">
        <f>'Sampling Data'!B1279</f>
        <v>11</v>
      </c>
      <c r="D1286" s="112">
        <f>'Sampling Data'!C1279</f>
        <v>24</v>
      </c>
      <c r="E1286" s="113">
        <f>'Sampling Data'!D1279</f>
        <v>7</v>
      </c>
      <c r="F1286" s="113">
        <f>'Sampling Data'!E1279</f>
        <v>8</v>
      </c>
      <c r="G1286" s="113">
        <f>'Sampling Data'!F1279</f>
        <v>0</v>
      </c>
      <c r="H1286" s="113">
        <f>'Sampling Data'!G1279</f>
        <v>2</v>
      </c>
      <c r="I1286" s="112">
        <f>'Sampling Data'!H1279</f>
        <v>1</v>
      </c>
      <c r="J1286" s="112">
        <f>'Sampling Data'!I1279</f>
        <v>1</v>
      </c>
      <c r="K1286" s="112">
        <f>'Sampling Data'!J1279</f>
        <v>54</v>
      </c>
      <c r="L1286" s="111">
        <f>'Sampling Data'!X1279</f>
        <v>0</v>
      </c>
      <c r="M1286" s="114"/>
      <c r="N1286" s="114"/>
      <c r="O1286" s="115"/>
      <c r="P1286" s="115"/>
      <c r="Q1286" s="116"/>
      <c r="R1286" s="116"/>
      <c r="S1286" s="111">
        <f>Audit[[#This Row],[Audit Losing Candidate]]-Audit[[#This Row],[Losing Candidate]]</f>
        <v>-11</v>
      </c>
      <c r="T1286" s="111">
        <f>Audit[[#This Row],[Audit Winning Candidate]]-Audit[[#This Row],[Winning Candidate]]</f>
        <v>-24</v>
      </c>
      <c r="U1286" s="111">
        <f>Audit[[#This Row],[Audit Candidate 3]]-Audit[[#This Row],[Candidate 3]]</f>
        <v>-7</v>
      </c>
      <c r="V1286" s="111">
        <f>Audit[[#This Row],[Audit Candidate 4]]-Audit[[#This Row],[Candidate 4]]</f>
        <v>-8</v>
      </c>
      <c r="W1286" s="111">
        <f>Audit[[#This Row],[Audit Candidate 5]]-Audit[[#This Row],[Candidate 5]]</f>
        <v>0</v>
      </c>
      <c r="X1286" s="111">
        <f>Audit[[#This Row],[Audit Candidate 6]]-Audit[[#This Row],[Candidate 6]]</f>
        <v>-2</v>
      </c>
      <c r="Y1286" s="111">
        <f>SUMIF(Audit[[#This Row],[Difference Loser]:[Difference Candidate 6]], "&gt;0")</f>
        <v>0</v>
      </c>
      <c r="Z1286" s="111">
        <f>SUM(Audit[[#This Row],[Difference Loser]:[Difference Candidate 6]])</f>
        <v>-52</v>
      </c>
      <c r="AA1286" s="111">
        <f>IF(Audit[[#This Row],[Times p Drawn - With Replacement]]&gt;0, IF(Audit[[#This Row],[Canceled Differences]]&lt;0, Audit[[#This Row],[Max Differences]]+ABS(Audit[[#This Row],[Canceled Differences]]), Audit[[#This Row],[Max Differences]]), 0)</f>
        <v>0</v>
      </c>
      <c r="AB1286" s="111">
        <f>'Sampling Data'!P1279</f>
        <v>4.1033806957373837E-3</v>
      </c>
      <c r="AC1286" s="111">
        <f>IF(
      SUM(Audit[[#This Row],[Audit Losing Candidate]:[Audit Candidate 6]])
      &lt;&gt;0,
      (Audit[[#This Row],[Winning Candidate]]-Audit[[#This Row],[Losing Candidate]]-(Audit[[#This Row],[Audit Winning Candidate]]-Audit[[#This Row],[Audit Losing Candidate]]))/(Audit[[#Totals],[Winning Candidate]]-Audit[[#Totals],[Losing Candidate]]),
      0
)</f>
        <v>0</v>
      </c>
      <c r="AD12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6" s="111">
        <f>IF(Audit[[#This Row],[Max Relative Error (ep)]] = 0, 0, Audit[[#This Row],[Max Relative Error (ep)]]/Audit[[#This Row],[Error Bound (up) - Max. possible relative overstatement]])</f>
        <v>0</v>
      </c>
      <c r="AJ12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86" s="111">
        <f t="shared" si="20"/>
        <v>1</v>
      </c>
      <c r="AL1286" s="111">
        <f>PRODUCT($AK$5:AK1286)</f>
        <v>8.962823818226312E-2</v>
      </c>
      <c r="AM1286" s="109">
        <f>1 - [K-M P Value]</f>
        <v>0.91037176181773694</v>
      </c>
      <c r="AN1286" s="111" t="str">
        <f>IF(Audit[[#This Row],[K-M P Value]]&gt;1-'General Info'!$B$16,"Continue", "Stop")</f>
        <v>Stop</v>
      </c>
      <c r="AO1286" s="110" t="b">
        <f>IF(Audit[[#This Row],[Status - Continue or stop audit]] = "Continue", TRUE, IF(AN1285 = "Continue", TRUE, FALSE))</f>
        <v>0</v>
      </c>
      <c r="AP1286" s="110"/>
    </row>
    <row r="1287" spans="1:42" ht="15" hidden="1" customHeight="1">
      <c r="A1287" s="111" t="str">
        <f>'Sampling Data'!W1280</f>
        <v/>
      </c>
      <c r="B1287" s="112" t="str">
        <f>'Sampling Data'!A1280</f>
        <v>LAKEWOOD -01-G - ABS</v>
      </c>
      <c r="C1287" s="112">
        <f>'Sampling Data'!B1280</f>
        <v>2</v>
      </c>
      <c r="D1287" s="112">
        <f>'Sampling Data'!C1280</f>
        <v>3</v>
      </c>
      <c r="E1287" s="113">
        <f>'Sampling Data'!D1280</f>
        <v>1</v>
      </c>
      <c r="F1287" s="113">
        <f>'Sampling Data'!E1280</f>
        <v>2</v>
      </c>
      <c r="G1287" s="113">
        <f>'Sampling Data'!F1280</f>
        <v>0</v>
      </c>
      <c r="H1287" s="113">
        <f>'Sampling Data'!G1280</f>
        <v>0</v>
      </c>
      <c r="I1287" s="112">
        <f>'Sampling Data'!H1280</f>
        <v>0</v>
      </c>
      <c r="J1287" s="112">
        <f>'Sampling Data'!I1280</f>
        <v>0</v>
      </c>
      <c r="K1287" s="112">
        <f>'Sampling Data'!J1280</f>
        <v>8</v>
      </c>
      <c r="L1287" s="111">
        <f>'Sampling Data'!X1280</f>
        <v>0</v>
      </c>
      <c r="M1287" s="114"/>
      <c r="N1287" s="114"/>
      <c r="O1287" s="115"/>
      <c r="P1287" s="115"/>
      <c r="Q1287" s="116"/>
      <c r="R1287" s="116"/>
      <c r="S1287" s="111">
        <f>Audit[[#This Row],[Audit Losing Candidate]]-Audit[[#This Row],[Losing Candidate]]</f>
        <v>-2</v>
      </c>
      <c r="T1287" s="111">
        <f>Audit[[#This Row],[Audit Winning Candidate]]-Audit[[#This Row],[Winning Candidate]]</f>
        <v>-3</v>
      </c>
      <c r="U1287" s="111">
        <f>Audit[[#This Row],[Audit Candidate 3]]-Audit[[#This Row],[Candidate 3]]</f>
        <v>-1</v>
      </c>
      <c r="V1287" s="111">
        <f>Audit[[#This Row],[Audit Candidate 4]]-Audit[[#This Row],[Candidate 4]]</f>
        <v>-2</v>
      </c>
      <c r="W1287" s="111">
        <f>Audit[[#This Row],[Audit Candidate 5]]-Audit[[#This Row],[Candidate 5]]</f>
        <v>0</v>
      </c>
      <c r="X1287" s="111">
        <f>Audit[[#This Row],[Audit Candidate 6]]-Audit[[#This Row],[Candidate 6]]</f>
        <v>0</v>
      </c>
      <c r="Y1287" s="111">
        <f>SUMIF(Audit[[#This Row],[Difference Loser]:[Difference Candidate 6]], "&gt;0")</f>
        <v>0</v>
      </c>
      <c r="Z1287" s="111">
        <f>SUM(Audit[[#This Row],[Difference Loser]:[Difference Candidate 6]])</f>
        <v>-8</v>
      </c>
      <c r="AA1287" s="111">
        <f>IF(Audit[[#This Row],[Times p Drawn - With Replacement]]&gt;0, IF(Audit[[#This Row],[Canceled Differences]]&lt;0, Audit[[#This Row],[Max Differences]]+ABS(Audit[[#This Row],[Canceled Differences]]), Audit[[#This Row],[Max Differences]]), 0)</f>
        <v>0</v>
      </c>
      <c r="AB1287" s="111">
        <f>'Sampling Data'!P1280</f>
        <v>5.5120039196472322E-4</v>
      </c>
      <c r="AC1287" s="111">
        <f>IF(
      SUM(Audit[[#This Row],[Audit Losing Candidate]:[Audit Candidate 6]])
      &lt;&gt;0,
      (Audit[[#This Row],[Winning Candidate]]-Audit[[#This Row],[Losing Candidate]]-(Audit[[#This Row],[Audit Winning Candidate]]-Audit[[#This Row],[Audit Losing Candidate]]))/(Audit[[#Totals],[Winning Candidate]]-Audit[[#Totals],[Losing Candidate]]),
      0
)</f>
        <v>0</v>
      </c>
      <c r="AD12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7" s="111">
        <f>IF(Audit[[#This Row],[Max Relative Error (ep)]] = 0, 0, Audit[[#This Row],[Max Relative Error (ep)]]/Audit[[#This Row],[Error Bound (up) - Max. possible relative overstatement]])</f>
        <v>0</v>
      </c>
      <c r="AJ12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87" s="111">
        <f t="shared" si="20"/>
        <v>1</v>
      </c>
      <c r="AL1287" s="111">
        <f>PRODUCT($AK$5:AK1287)</f>
        <v>8.962823818226312E-2</v>
      </c>
      <c r="AM1287" s="109">
        <f>1 - [K-M P Value]</f>
        <v>0.91037176181773694</v>
      </c>
      <c r="AN1287" s="111" t="str">
        <f>IF(Audit[[#This Row],[K-M P Value]]&gt;1-'General Info'!$B$16,"Continue", "Stop")</f>
        <v>Stop</v>
      </c>
      <c r="AO1287" s="110" t="b">
        <f>IF(Audit[[#This Row],[Status - Continue or stop audit]] = "Continue", TRUE, IF(AN1286 = "Continue", TRUE, FALSE))</f>
        <v>0</v>
      </c>
      <c r="AP1287" s="110"/>
    </row>
    <row r="1288" spans="1:42" ht="15" hidden="1" customHeight="1">
      <c r="A1288" s="111" t="str">
        <f>'Sampling Data'!W1281</f>
        <v/>
      </c>
      <c r="B1288" s="112" t="str">
        <f>'Sampling Data'!A1281</f>
        <v>LAKEWOOD -01-H</v>
      </c>
      <c r="C1288" s="112">
        <f>'Sampling Data'!B1281</f>
        <v>16</v>
      </c>
      <c r="D1288" s="112">
        <f>'Sampling Data'!C1281</f>
        <v>78</v>
      </c>
      <c r="E1288" s="113">
        <f>'Sampling Data'!D1281</f>
        <v>21</v>
      </c>
      <c r="F1288" s="113">
        <f>'Sampling Data'!E1281</f>
        <v>12</v>
      </c>
      <c r="G1288" s="113">
        <f>'Sampling Data'!F1281</f>
        <v>1</v>
      </c>
      <c r="H1288" s="113">
        <f>'Sampling Data'!G1281</f>
        <v>1</v>
      </c>
      <c r="I1288" s="112">
        <f>'Sampling Data'!H1281</f>
        <v>0</v>
      </c>
      <c r="J1288" s="112">
        <f>'Sampling Data'!I1281</f>
        <v>0</v>
      </c>
      <c r="K1288" s="112">
        <f>'Sampling Data'!J1281</f>
        <v>129</v>
      </c>
      <c r="L1288" s="111">
        <f>'Sampling Data'!X1281</f>
        <v>0</v>
      </c>
      <c r="M1288" s="114"/>
      <c r="N1288" s="114"/>
      <c r="O1288" s="115"/>
      <c r="P1288" s="115"/>
      <c r="Q1288" s="116"/>
      <c r="R1288" s="116"/>
      <c r="S1288" s="111">
        <f>Audit[[#This Row],[Audit Losing Candidate]]-Audit[[#This Row],[Losing Candidate]]</f>
        <v>-16</v>
      </c>
      <c r="T1288" s="111">
        <f>Audit[[#This Row],[Audit Winning Candidate]]-Audit[[#This Row],[Winning Candidate]]</f>
        <v>-78</v>
      </c>
      <c r="U1288" s="111">
        <f>Audit[[#This Row],[Audit Candidate 3]]-Audit[[#This Row],[Candidate 3]]</f>
        <v>-21</v>
      </c>
      <c r="V1288" s="111">
        <f>Audit[[#This Row],[Audit Candidate 4]]-Audit[[#This Row],[Candidate 4]]</f>
        <v>-12</v>
      </c>
      <c r="W1288" s="111">
        <f>Audit[[#This Row],[Audit Candidate 5]]-Audit[[#This Row],[Candidate 5]]</f>
        <v>-1</v>
      </c>
      <c r="X1288" s="111">
        <f>Audit[[#This Row],[Audit Candidate 6]]-Audit[[#This Row],[Candidate 6]]</f>
        <v>-1</v>
      </c>
      <c r="Y1288" s="111">
        <f>SUMIF(Audit[[#This Row],[Difference Loser]:[Difference Candidate 6]], "&gt;0")</f>
        <v>0</v>
      </c>
      <c r="Z1288" s="111">
        <f>SUM(Audit[[#This Row],[Difference Loser]:[Difference Candidate 6]])</f>
        <v>-129</v>
      </c>
      <c r="AA1288" s="111">
        <f>IF(Audit[[#This Row],[Times p Drawn - With Replacement]]&gt;0, IF(Audit[[#This Row],[Canceled Differences]]&lt;0, Audit[[#This Row],[Max Differences]]+ABS(Audit[[#This Row],[Canceled Differences]]), Audit[[#This Row],[Max Differences]]), 0)</f>
        <v>0</v>
      </c>
      <c r="AB1288" s="111">
        <f>'Sampling Data'!P1281</f>
        <v>1.1697697207251348E-2</v>
      </c>
      <c r="AC1288" s="111">
        <f>IF(
      SUM(Audit[[#This Row],[Audit Losing Candidate]:[Audit Candidate 6]])
      &lt;&gt;0,
      (Audit[[#This Row],[Winning Candidate]]-Audit[[#This Row],[Losing Candidate]]-(Audit[[#This Row],[Audit Winning Candidate]]-Audit[[#This Row],[Audit Losing Candidate]]))/(Audit[[#Totals],[Winning Candidate]]-Audit[[#Totals],[Losing Candidate]]),
      0
)</f>
        <v>0</v>
      </c>
      <c r="AD12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8" s="111">
        <f>IF(Audit[[#This Row],[Max Relative Error (ep)]] = 0, 0, Audit[[#This Row],[Max Relative Error (ep)]]/Audit[[#This Row],[Error Bound (up) - Max. possible relative overstatement]])</f>
        <v>0</v>
      </c>
      <c r="AJ12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88" s="111">
        <f t="shared" si="20"/>
        <v>1</v>
      </c>
      <c r="AL1288" s="111">
        <f>PRODUCT($AK$5:AK1288)</f>
        <v>8.962823818226312E-2</v>
      </c>
      <c r="AM1288" s="109">
        <f>1 - [K-M P Value]</f>
        <v>0.91037176181773694</v>
      </c>
      <c r="AN1288" s="111" t="str">
        <f>IF(Audit[[#This Row],[K-M P Value]]&gt;1-'General Info'!$B$16,"Continue", "Stop")</f>
        <v>Stop</v>
      </c>
      <c r="AO1288" s="110" t="b">
        <f>IF(Audit[[#This Row],[Status - Continue or stop audit]] = "Continue", TRUE, IF(AN1287 = "Continue", TRUE, FALSE))</f>
        <v>0</v>
      </c>
      <c r="AP1288" s="110"/>
    </row>
    <row r="1289" spans="1:42" ht="15" hidden="1" customHeight="1">
      <c r="A1289" s="111" t="str">
        <f>'Sampling Data'!W1282</f>
        <v/>
      </c>
      <c r="B1289" s="112" t="str">
        <f>'Sampling Data'!A1282</f>
        <v>LAKEWOOD -01-H - ABS</v>
      </c>
      <c r="C1289" s="112">
        <f>'Sampling Data'!B1282</f>
        <v>5</v>
      </c>
      <c r="D1289" s="112">
        <f>'Sampling Data'!C1282</f>
        <v>27</v>
      </c>
      <c r="E1289" s="113">
        <f>'Sampling Data'!D1282</f>
        <v>4</v>
      </c>
      <c r="F1289" s="113">
        <f>'Sampling Data'!E1282</f>
        <v>2</v>
      </c>
      <c r="G1289" s="113">
        <f>'Sampling Data'!F1282</f>
        <v>2</v>
      </c>
      <c r="H1289" s="113">
        <f>'Sampling Data'!G1282</f>
        <v>0</v>
      </c>
      <c r="I1289" s="112">
        <f>'Sampling Data'!H1282</f>
        <v>0</v>
      </c>
      <c r="J1289" s="112">
        <f>'Sampling Data'!I1282</f>
        <v>1</v>
      </c>
      <c r="K1289" s="112">
        <f>'Sampling Data'!J1282</f>
        <v>41</v>
      </c>
      <c r="L1289" s="111">
        <f>'Sampling Data'!X1282</f>
        <v>0</v>
      </c>
      <c r="M1289" s="114"/>
      <c r="N1289" s="114"/>
      <c r="O1289" s="115"/>
      <c r="P1289" s="115"/>
      <c r="Q1289" s="116"/>
      <c r="R1289" s="116"/>
      <c r="S1289" s="111">
        <f>Audit[[#This Row],[Audit Losing Candidate]]-Audit[[#This Row],[Losing Candidate]]</f>
        <v>-5</v>
      </c>
      <c r="T1289" s="111">
        <f>Audit[[#This Row],[Audit Winning Candidate]]-Audit[[#This Row],[Winning Candidate]]</f>
        <v>-27</v>
      </c>
      <c r="U1289" s="111">
        <f>Audit[[#This Row],[Audit Candidate 3]]-Audit[[#This Row],[Candidate 3]]</f>
        <v>-4</v>
      </c>
      <c r="V1289" s="111">
        <f>Audit[[#This Row],[Audit Candidate 4]]-Audit[[#This Row],[Candidate 4]]</f>
        <v>-2</v>
      </c>
      <c r="W1289" s="111">
        <f>Audit[[#This Row],[Audit Candidate 5]]-Audit[[#This Row],[Candidate 5]]</f>
        <v>-2</v>
      </c>
      <c r="X1289" s="111">
        <f>Audit[[#This Row],[Audit Candidate 6]]-Audit[[#This Row],[Candidate 6]]</f>
        <v>0</v>
      </c>
      <c r="Y1289" s="111">
        <f>SUMIF(Audit[[#This Row],[Difference Loser]:[Difference Candidate 6]], "&gt;0")</f>
        <v>0</v>
      </c>
      <c r="Z1289" s="111">
        <f>SUM(Audit[[#This Row],[Difference Loser]:[Difference Candidate 6]])</f>
        <v>-40</v>
      </c>
      <c r="AA1289" s="111">
        <f>IF(Audit[[#This Row],[Times p Drawn - With Replacement]]&gt;0, IF(Audit[[#This Row],[Canceled Differences]]&lt;0, Audit[[#This Row],[Max Differences]]+ABS(Audit[[#This Row],[Canceled Differences]]), Audit[[#This Row],[Max Differences]]), 0)</f>
        <v>0</v>
      </c>
      <c r="AB1289" s="111">
        <f>'Sampling Data'!P1282</f>
        <v>3.8584027437530621E-3</v>
      </c>
      <c r="AC1289" s="111">
        <f>IF(
      SUM(Audit[[#This Row],[Audit Losing Candidate]:[Audit Candidate 6]])
      &lt;&gt;0,
      (Audit[[#This Row],[Winning Candidate]]-Audit[[#This Row],[Losing Candidate]]-(Audit[[#This Row],[Audit Winning Candidate]]-Audit[[#This Row],[Audit Losing Candidate]]))/(Audit[[#Totals],[Winning Candidate]]-Audit[[#Totals],[Losing Candidate]]),
      0
)</f>
        <v>0</v>
      </c>
      <c r="AD12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9" s="111">
        <f>IF(Audit[[#This Row],[Max Relative Error (ep)]] = 0, 0, Audit[[#This Row],[Max Relative Error (ep)]]/Audit[[#This Row],[Error Bound (up) - Max. possible relative overstatement]])</f>
        <v>0</v>
      </c>
      <c r="AJ12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89" s="111">
        <f t="shared" si="20"/>
        <v>1</v>
      </c>
      <c r="AL1289" s="111">
        <f>PRODUCT($AK$5:AK1289)</f>
        <v>8.962823818226312E-2</v>
      </c>
      <c r="AM1289" s="109">
        <f>1 - [K-M P Value]</f>
        <v>0.91037176181773694</v>
      </c>
      <c r="AN1289" s="111" t="str">
        <f>IF(Audit[[#This Row],[K-M P Value]]&gt;1-'General Info'!$B$16,"Continue", "Stop")</f>
        <v>Stop</v>
      </c>
      <c r="AO1289" s="110" t="b">
        <f>IF(Audit[[#This Row],[Status - Continue or stop audit]] = "Continue", TRUE, IF(AN1288 = "Continue", TRUE, FALSE))</f>
        <v>0</v>
      </c>
      <c r="AP1289" s="110"/>
    </row>
    <row r="1290" spans="1:42" ht="15" hidden="1" customHeight="1">
      <c r="A1290" s="111" t="str">
        <f>'Sampling Data'!W1283</f>
        <v/>
      </c>
      <c r="B1290" s="112" t="str">
        <f>'Sampling Data'!A1283</f>
        <v>LAKEWOOD -01-I</v>
      </c>
      <c r="C1290" s="112">
        <f>'Sampling Data'!B1283</f>
        <v>13</v>
      </c>
      <c r="D1290" s="112">
        <f>'Sampling Data'!C1283</f>
        <v>25</v>
      </c>
      <c r="E1290" s="113">
        <f>'Sampling Data'!D1283</f>
        <v>14</v>
      </c>
      <c r="F1290" s="113">
        <f>'Sampling Data'!E1283</f>
        <v>13</v>
      </c>
      <c r="G1290" s="113">
        <f>'Sampling Data'!F1283</f>
        <v>0</v>
      </c>
      <c r="H1290" s="113">
        <f>'Sampling Data'!G1283</f>
        <v>1</v>
      </c>
      <c r="I1290" s="112">
        <f>'Sampling Data'!H1283</f>
        <v>0</v>
      </c>
      <c r="J1290" s="112">
        <f>'Sampling Data'!I1283</f>
        <v>1</v>
      </c>
      <c r="K1290" s="112">
        <f>'Sampling Data'!J1283</f>
        <v>67</v>
      </c>
      <c r="L1290" s="111">
        <f>'Sampling Data'!X1283</f>
        <v>0</v>
      </c>
      <c r="M1290" s="114"/>
      <c r="N1290" s="114"/>
      <c r="O1290" s="115"/>
      <c r="P1290" s="115"/>
      <c r="Q1290" s="116"/>
      <c r="R1290" s="116"/>
      <c r="S1290" s="111">
        <f>Audit[[#This Row],[Audit Losing Candidate]]-Audit[[#This Row],[Losing Candidate]]</f>
        <v>-13</v>
      </c>
      <c r="T1290" s="111">
        <f>Audit[[#This Row],[Audit Winning Candidate]]-Audit[[#This Row],[Winning Candidate]]</f>
        <v>-25</v>
      </c>
      <c r="U1290" s="111">
        <f>Audit[[#This Row],[Audit Candidate 3]]-Audit[[#This Row],[Candidate 3]]</f>
        <v>-14</v>
      </c>
      <c r="V1290" s="111">
        <f>Audit[[#This Row],[Audit Candidate 4]]-Audit[[#This Row],[Candidate 4]]</f>
        <v>-13</v>
      </c>
      <c r="W1290" s="111">
        <f>Audit[[#This Row],[Audit Candidate 5]]-Audit[[#This Row],[Candidate 5]]</f>
        <v>0</v>
      </c>
      <c r="X1290" s="111">
        <f>Audit[[#This Row],[Audit Candidate 6]]-Audit[[#This Row],[Candidate 6]]</f>
        <v>-1</v>
      </c>
      <c r="Y1290" s="111">
        <f>SUMIF(Audit[[#This Row],[Difference Loser]:[Difference Candidate 6]], "&gt;0")</f>
        <v>0</v>
      </c>
      <c r="Z1290" s="111">
        <f>SUM(Audit[[#This Row],[Difference Loser]:[Difference Candidate 6]])</f>
        <v>-66</v>
      </c>
      <c r="AA1290" s="111">
        <f>IF(Audit[[#This Row],[Times p Drawn - With Replacement]]&gt;0, IF(Audit[[#This Row],[Canceled Differences]]&lt;0, Audit[[#This Row],[Max Differences]]+ABS(Audit[[#This Row],[Canceled Differences]]), Audit[[#This Row],[Max Differences]]), 0)</f>
        <v>0</v>
      </c>
      <c r="AB1290" s="111">
        <f>'Sampling Data'!P1283</f>
        <v>4.8383145516903477E-3</v>
      </c>
      <c r="AC1290" s="111">
        <f>IF(
      SUM(Audit[[#This Row],[Audit Losing Candidate]:[Audit Candidate 6]])
      &lt;&gt;0,
      (Audit[[#This Row],[Winning Candidate]]-Audit[[#This Row],[Losing Candidate]]-(Audit[[#This Row],[Audit Winning Candidate]]-Audit[[#This Row],[Audit Losing Candidate]]))/(Audit[[#Totals],[Winning Candidate]]-Audit[[#Totals],[Losing Candidate]]),
      0
)</f>
        <v>0</v>
      </c>
      <c r="AD12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0" s="111">
        <f>IF(Audit[[#This Row],[Max Relative Error (ep)]] = 0, 0, Audit[[#This Row],[Max Relative Error (ep)]]/Audit[[#This Row],[Error Bound (up) - Max. possible relative overstatement]])</f>
        <v>0</v>
      </c>
      <c r="AJ12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90" s="111">
        <f t="shared" si="20"/>
        <v>1</v>
      </c>
      <c r="AL1290" s="111">
        <f>PRODUCT($AK$5:AK1290)</f>
        <v>8.962823818226312E-2</v>
      </c>
      <c r="AM1290" s="109">
        <f>1 - [K-M P Value]</f>
        <v>0.91037176181773694</v>
      </c>
      <c r="AN1290" s="111" t="str">
        <f>IF(Audit[[#This Row],[K-M P Value]]&gt;1-'General Info'!$B$16,"Continue", "Stop")</f>
        <v>Stop</v>
      </c>
      <c r="AO1290" s="110" t="b">
        <f>IF(Audit[[#This Row],[Status - Continue or stop audit]] = "Continue", TRUE, IF(AN1289 = "Continue", TRUE, FALSE))</f>
        <v>0</v>
      </c>
      <c r="AP1290" s="110"/>
    </row>
    <row r="1291" spans="1:42" ht="15" hidden="1" customHeight="1">
      <c r="A1291" s="111" t="str">
        <f>'Sampling Data'!W1284</f>
        <v/>
      </c>
      <c r="B1291" s="112" t="str">
        <f>'Sampling Data'!A1284</f>
        <v>LAKEWOOD -01-I - ABS</v>
      </c>
      <c r="C1291" s="112">
        <f>'Sampling Data'!B1284</f>
        <v>8</v>
      </c>
      <c r="D1291" s="112">
        <f>'Sampling Data'!C1284</f>
        <v>6</v>
      </c>
      <c r="E1291" s="113">
        <f>'Sampling Data'!D1284</f>
        <v>2</v>
      </c>
      <c r="F1291" s="113">
        <f>'Sampling Data'!E1284</f>
        <v>6</v>
      </c>
      <c r="G1291" s="113">
        <f>'Sampling Data'!F1284</f>
        <v>0</v>
      </c>
      <c r="H1291" s="113">
        <f>'Sampling Data'!G1284</f>
        <v>0</v>
      </c>
      <c r="I1291" s="112">
        <f>'Sampling Data'!H1284</f>
        <v>0</v>
      </c>
      <c r="J1291" s="112">
        <f>'Sampling Data'!I1284</f>
        <v>0</v>
      </c>
      <c r="K1291" s="112">
        <f>'Sampling Data'!J1284</f>
        <v>22</v>
      </c>
      <c r="L1291" s="111">
        <f>'Sampling Data'!X1284</f>
        <v>0</v>
      </c>
      <c r="M1291" s="114"/>
      <c r="N1291" s="114"/>
      <c r="O1291" s="115"/>
      <c r="P1291" s="115"/>
      <c r="Q1291" s="116"/>
      <c r="R1291" s="116"/>
      <c r="S1291" s="111">
        <f>Audit[[#This Row],[Audit Losing Candidate]]-Audit[[#This Row],[Losing Candidate]]</f>
        <v>-8</v>
      </c>
      <c r="T1291" s="111">
        <f>Audit[[#This Row],[Audit Winning Candidate]]-Audit[[#This Row],[Winning Candidate]]</f>
        <v>-6</v>
      </c>
      <c r="U1291" s="111">
        <f>Audit[[#This Row],[Audit Candidate 3]]-Audit[[#This Row],[Candidate 3]]</f>
        <v>-2</v>
      </c>
      <c r="V1291" s="111">
        <f>Audit[[#This Row],[Audit Candidate 4]]-Audit[[#This Row],[Candidate 4]]</f>
        <v>-6</v>
      </c>
      <c r="W1291" s="111">
        <f>Audit[[#This Row],[Audit Candidate 5]]-Audit[[#This Row],[Candidate 5]]</f>
        <v>0</v>
      </c>
      <c r="X1291" s="111">
        <f>Audit[[#This Row],[Audit Candidate 6]]-Audit[[#This Row],[Candidate 6]]</f>
        <v>0</v>
      </c>
      <c r="Y1291" s="111">
        <f>SUMIF(Audit[[#This Row],[Difference Loser]:[Difference Candidate 6]], "&gt;0")</f>
        <v>0</v>
      </c>
      <c r="Z1291" s="111">
        <f>SUM(Audit[[#This Row],[Difference Loser]:[Difference Candidate 6]])</f>
        <v>-22</v>
      </c>
      <c r="AA1291" s="111">
        <f>IF(Audit[[#This Row],[Times p Drawn - With Replacement]]&gt;0, IF(Audit[[#This Row],[Canceled Differences]]&lt;0, Audit[[#This Row],[Max Differences]]+ABS(Audit[[#This Row],[Canceled Differences]]), Audit[[#This Row],[Max Differences]]), 0)</f>
        <v>0</v>
      </c>
      <c r="AB1291" s="111">
        <f>'Sampling Data'!P1284</f>
        <v>1.224889759921607E-3</v>
      </c>
      <c r="AC1291" s="111">
        <f>IF(
      SUM(Audit[[#This Row],[Audit Losing Candidate]:[Audit Candidate 6]])
      &lt;&gt;0,
      (Audit[[#This Row],[Winning Candidate]]-Audit[[#This Row],[Losing Candidate]]-(Audit[[#This Row],[Audit Winning Candidate]]-Audit[[#This Row],[Audit Losing Candidate]]))/(Audit[[#Totals],[Winning Candidate]]-Audit[[#Totals],[Losing Candidate]]),
      0
)</f>
        <v>0</v>
      </c>
      <c r="AD12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1" s="111">
        <f>IF(Audit[[#This Row],[Max Relative Error (ep)]] = 0, 0, Audit[[#This Row],[Max Relative Error (ep)]]/Audit[[#This Row],[Error Bound (up) - Max. possible relative overstatement]])</f>
        <v>0</v>
      </c>
      <c r="AJ12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91" s="111">
        <f t="shared" si="20"/>
        <v>1</v>
      </c>
      <c r="AL1291" s="111">
        <f>PRODUCT($AK$5:AK1291)</f>
        <v>8.962823818226312E-2</v>
      </c>
      <c r="AM1291" s="109">
        <f>1 - [K-M P Value]</f>
        <v>0.91037176181773694</v>
      </c>
      <c r="AN1291" s="111" t="str">
        <f>IF(Audit[[#This Row],[K-M P Value]]&gt;1-'General Info'!$B$16,"Continue", "Stop")</f>
        <v>Stop</v>
      </c>
      <c r="AO1291" s="110" t="b">
        <f>IF(Audit[[#This Row],[Status - Continue or stop audit]] = "Continue", TRUE, IF(AN1290 = "Continue", TRUE, FALSE))</f>
        <v>0</v>
      </c>
      <c r="AP1291" s="110"/>
    </row>
    <row r="1292" spans="1:42" ht="15" hidden="1" customHeight="1">
      <c r="A1292" s="111" t="str">
        <f>'Sampling Data'!W1285</f>
        <v/>
      </c>
      <c r="B1292" s="112" t="str">
        <f>'Sampling Data'!A1285</f>
        <v>LAKEWOOD -01-J</v>
      </c>
      <c r="C1292" s="112">
        <f>'Sampling Data'!B1285</f>
        <v>11</v>
      </c>
      <c r="D1292" s="112">
        <f>'Sampling Data'!C1285</f>
        <v>46</v>
      </c>
      <c r="E1292" s="113">
        <f>'Sampling Data'!D1285</f>
        <v>5</v>
      </c>
      <c r="F1292" s="113">
        <f>'Sampling Data'!E1285</f>
        <v>12</v>
      </c>
      <c r="G1292" s="113">
        <f>'Sampling Data'!F1285</f>
        <v>1</v>
      </c>
      <c r="H1292" s="113">
        <f>'Sampling Data'!G1285</f>
        <v>0</v>
      </c>
      <c r="I1292" s="112">
        <f>'Sampling Data'!H1285</f>
        <v>0</v>
      </c>
      <c r="J1292" s="112">
        <f>'Sampling Data'!I1285</f>
        <v>1</v>
      </c>
      <c r="K1292" s="112">
        <f>'Sampling Data'!J1285</f>
        <v>76</v>
      </c>
      <c r="L1292" s="111">
        <f>'Sampling Data'!X1285</f>
        <v>0</v>
      </c>
      <c r="M1292" s="114"/>
      <c r="N1292" s="114"/>
      <c r="O1292" s="115"/>
      <c r="P1292" s="115"/>
      <c r="Q1292" s="116"/>
      <c r="R1292" s="116"/>
      <c r="S1292" s="111">
        <f>Audit[[#This Row],[Audit Losing Candidate]]-Audit[[#This Row],[Losing Candidate]]</f>
        <v>-11</v>
      </c>
      <c r="T1292" s="111">
        <f>Audit[[#This Row],[Audit Winning Candidate]]-Audit[[#This Row],[Winning Candidate]]</f>
        <v>-46</v>
      </c>
      <c r="U1292" s="111">
        <f>Audit[[#This Row],[Audit Candidate 3]]-Audit[[#This Row],[Candidate 3]]</f>
        <v>-5</v>
      </c>
      <c r="V1292" s="111">
        <f>Audit[[#This Row],[Audit Candidate 4]]-Audit[[#This Row],[Candidate 4]]</f>
        <v>-12</v>
      </c>
      <c r="W1292" s="111">
        <f>Audit[[#This Row],[Audit Candidate 5]]-Audit[[#This Row],[Candidate 5]]</f>
        <v>-1</v>
      </c>
      <c r="X1292" s="111">
        <f>Audit[[#This Row],[Audit Candidate 6]]-Audit[[#This Row],[Candidate 6]]</f>
        <v>0</v>
      </c>
      <c r="Y1292" s="111">
        <f>SUMIF(Audit[[#This Row],[Difference Loser]:[Difference Candidate 6]], "&gt;0")</f>
        <v>0</v>
      </c>
      <c r="Z1292" s="111">
        <f>SUM(Audit[[#This Row],[Difference Loser]:[Difference Candidate 6]])</f>
        <v>-75</v>
      </c>
      <c r="AA1292" s="111">
        <f>IF(Audit[[#This Row],[Times p Drawn - With Replacement]]&gt;0, IF(Audit[[#This Row],[Canceled Differences]]&lt;0, Audit[[#This Row],[Max Differences]]+ABS(Audit[[#This Row],[Canceled Differences]]), Audit[[#This Row],[Max Differences]]), 0)</f>
        <v>0</v>
      </c>
      <c r="AB1292" s="111">
        <f>'Sampling Data'!P1285</f>
        <v>6.798138167564919E-3</v>
      </c>
      <c r="AC1292" s="111">
        <f>IF(
      SUM(Audit[[#This Row],[Audit Losing Candidate]:[Audit Candidate 6]])
      &lt;&gt;0,
      (Audit[[#This Row],[Winning Candidate]]-Audit[[#This Row],[Losing Candidate]]-(Audit[[#This Row],[Audit Winning Candidate]]-Audit[[#This Row],[Audit Losing Candidate]]))/(Audit[[#Totals],[Winning Candidate]]-Audit[[#Totals],[Losing Candidate]]),
      0
)</f>
        <v>0</v>
      </c>
      <c r="AD12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2" s="111">
        <f>IF(Audit[[#This Row],[Max Relative Error (ep)]] = 0, 0, Audit[[#This Row],[Max Relative Error (ep)]]/Audit[[#This Row],[Error Bound (up) - Max. possible relative overstatement]])</f>
        <v>0</v>
      </c>
      <c r="AJ12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92" s="111">
        <f t="shared" si="20"/>
        <v>1</v>
      </c>
      <c r="AL1292" s="111">
        <f>PRODUCT($AK$5:AK1292)</f>
        <v>8.962823818226312E-2</v>
      </c>
      <c r="AM1292" s="109">
        <f>1 - [K-M P Value]</f>
        <v>0.91037176181773694</v>
      </c>
      <c r="AN1292" s="111" t="str">
        <f>IF(Audit[[#This Row],[K-M P Value]]&gt;1-'General Info'!$B$16,"Continue", "Stop")</f>
        <v>Stop</v>
      </c>
      <c r="AO1292" s="110" t="b">
        <f>IF(Audit[[#This Row],[Status - Continue or stop audit]] = "Continue", TRUE, IF(AN1291 = "Continue", TRUE, FALSE))</f>
        <v>0</v>
      </c>
      <c r="AP1292" s="110"/>
    </row>
    <row r="1293" spans="1:42" ht="15" hidden="1" customHeight="1">
      <c r="A1293" s="111" t="str">
        <f>'Sampling Data'!W1286</f>
        <v/>
      </c>
      <c r="B1293" s="112" t="str">
        <f>'Sampling Data'!A1286</f>
        <v>LAKEWOOD -01-J - ABS</v>
      </c>
      <c r="C1293" s="112">
        <f>'Sampling Data'!B1286</f>
        <v>12</v>
      </c>
      <c r="D1293" s="112">
        <f>'Sampling Data'!C1286</f>
        <v>12</v>
      </c>
      <c r="E1293" s="113">
        <f>'Sampling Data'!D1286</f>
        <v>2</v>
      </c>
      <c r="F1293" s="113">
        <f>'Sampling Data'!E1286</f>
        <v>0</v>
      </c>
      <c r="G1293" s="113">
        <f>'Sampling Data'!F1286</f>
        <v>0</v>
      </c>
      <c r="H1293" s="113">
        <f>'Sampling Data'!G1286</f>
        <v>0</v>
      </c>
      <c r="I1293" s="112">
        <f>'Sampling Data'!H1286</f>
        <v>0</v>
      </c>
      <c r="J1293" s="112">
        <f>'Sampling Data'!I1286</f>
        <v>0</v>
      </c>
      <c r="K1293" s="112">
        <f>'Sampling Data'!J1286</f>
        <v>26</v>
      </c>
      <c r="L1293" s="111">
        <f>'Sampling Data'!X1286</f>
        <v>0</v>
      </c>
      <c r="M1293" s="114"/>
      <c r="N1293" s="114"/>
      <c r="O1293" s="115"/>
      <c r="P1293" s="115"/>
      <c r="Q1293" s="116"/>
      <c r="R1293" s="116"/>
      <c r="S1293" s="111">
        <f>Audit[[#This Row],[Audit Losing Candidate]]-Audit[[#This Row],[Losing Candidate]]</f>
        <v>-12</v>
      </c>
      <c r="T1293" s="111">
        <f>Audit[[#This Row],[Audit Winning Candidate]]-Audit[[#This Row],[Winning Candidate]]</f>
        <v>-12</v>
      </c>
      <c r="U1293" s="111">
        <f>Audit[[#This Row],[Audit Candidate 3]]-Audit[[#This Row],[Candidate 3]]</f>
        <v>-2</v>
      </c>
      <c r="V1293" s="111">
        <f>Audit[[#This Row],[Audit Candidate 4]]-Audit[[#This Row],[Candidate 4]]</f>
        <v>0</v>
      </c>
      <c r="W1293" s="111">
        <f>Audit[[#This Row],[Audit Candidate 5]]-Audit[[#This Row],[Candidate 5]]</f>
        <v>0</v>
      </c>
      <c r="X1293" s="111">
        <f>Audit[[#This Row],[Audit Candidate 6]]-Audit[[#This Row],[Candidate 6]]</f>
        <v>0</v>
      </c>
      <c r="Y1293" s="111">
        <f>SUMIF(Audit[[#This Row],[Difference Loser]:[Difference Candidate 6]], "&gt;0")</f>
        <v>0</v>
      </c>
      <c r="Z1293" s="111">
        <f>SUM(Audit[[#This Row],[Difference Loser]:[Difference Candidate 6]])</f>
        <v>-26</v>
      </c>
      <c r="AA1293" s="111">
        <f>IF(Audit[[#This Row],[Times p Drawn - With Replacement]]&gt;0, IF(Audit[[#This Row],[Canceled Differences]]&lt;0, Audit[[#This Row],[Max Differences]]+ABS(Audit[[#This Row],[Canceled Differences]]), Audit[[#This Row],[Max Differences]]), 0)</f>
        <v>0</v>
      </c>
      <c r="AB1293" s="111">
        <f>'Sampling Data'!P1286</f>
        <v>1.5923566878980893E-3</v>
      </c>
      <c r="AC1293" s="111">
        <f>IF(
      SUM(Audit[[#This Row],[Audit Losing Candidate]:[Audit Candidate 6]])
      &lt;&gt;0,
      (Audit[[#This Row],[Winning Candidate]]-Audit[[#This Row],[Losing Candidate]]-(Audit[[#This Row],[Audit Winning Candidate]]-Audit[[#This Row],[Audit Losing Candidate]]))/(Audit[[#Totals],[Winning Candidate]]-Audit[[#Totals],[Losing Candidate]]),
      0
)</f>
        <v>0</v>
      </c>
      <c r="AD12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3" s="111">
        <f>IF(Audit[[#This Row],[Max Relative Error (ep)]] = 0, 0, Audit[[#This Row],[Max Relative Error (ep)]]/Audit[[#This Row],[Error Bound (up) - Max. possible relative overstatement]])</f>
        <v>0</v>
      </c>
      <c r="AJ12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93" s="111">
        <f t="shared" si="20"/>
        <v>1</v>
      </c>
      <c r="AL1293" s="111">
        <f>PRODUCT($AK$5:AK1293)</f>
        <v>8.962823818226312E-2</v>
      </c>
      <c r="AM1293" s="109">
        <f>1 - [K-M P Value]</f>
        <v>0.91037176181773694</v>
      </c>
      <c r="AN1293" s="111" t="str">
        <f>IF(Audit[[#This Row],[K-M P Value]]&gt;1-'General Info'!$B$16,"Continue", "Stop")</f>
        <v>Stop</v>
      </c>
      <c r="AO1293" s="110" t="b">
        <f>IF(Audit[[#This Row],[Status - Continue or stop audit]] = "Continue", TRUE, IF(AN1292 = "Continue", TRUE, FALSE))</f>
        <v>0</v>
      </c>
      <c r="AP1293" s="110"/>
    </row>
    <row r="1294" spans="1:42" ht="15" hidden="1" customHeight="1">
      <c r="A1294" s="111" t="str">
        <f>'Sampling Data'!W1287</f>
        <v/>
      </c>
      <c r="B1294" s="112" t="str">
        <f>'Sampling Data'!A1287</f>
        <v>LAKEWOOD -02-A</v>
      </c>
      <c r="C1294" s="112">
        <f>'Sampling Data'!B1287</f>
        <v>11</v>
      </c>
      <c r="D1294" s="112">
        <f>'Sampling Data'!C1287</f>
        <v>44</v>
      </c>
      <c r="E1294" s="113">
        <f>'Sampling Data'!D1287</f>
        <v>2</v>
      </c>
      <c r="F1294" s="113">
        <f>'Sampling Data'!E1287</f>
        <v>11</v>
      </c>
      <c r="G1294" s="113">
        <f>'Sampling Data'!F1287</f>
        <v>0</v>
      </c>
      <c r="H1294" s="113">
        <f>'Sampling Data'!G1287</f>
        <v>0</v>
      </c>
      <c r="I1294" s="112">
        <f>'Sampling Data'!H1287</f>
        <v>0</v>
      </c>
      <c r="J1294" s="112">
        <f>'Sampling Data'!I1287</f>
        <v>1</v>
      </c>
      <c r="K1294" s="112">
        <f>'Sampling Data'!J1287</f>
        <v>69</v>
      </c>
      <c r="L1294" s="111">
        <f>'Sampling Data'!X1287</f>
        <v>0</v>
      </c>
      <c r="M1294" s="114"/>
      <c r="N1294" s="114"/>
      <c r="O1294" s="115"/>
      <c r="P1294" s="115"/>
      <c r="Q1294" s="116"/>
      <c r="R1294" s="116"/>
      <c r="S1294" s="111">
        <f>Audit[[#This Row],[Audit Losing Candidate]]-Audit[[#This Row],[Losing Candidate]]</f>
        <v>-11</v>
      </c>
      <c r="T1294" s="111">
        <f>Audit[[#This Row],[Audit Winning Candidate]]-Audit[[#This Row],[Winning Candidate]]</f>
        <v>-44</v>
      </c>
      <c r="U1294" s="111">
        <f>Audit[[#This Row],[Audit Candidate 3]]-Audit[[#This Row],[Candidate 3]]</f>
        <v>-2</v>
      </c>
      <c r="V1294" s="111">
        <f>Audit[[#This Row],[Audit Candidate 4]]-Audit[[#This Row],[Candidate 4]]</f>
        <v>-11</v>
      </c>
      <c r="W1294" s="111">
        <f>Audit[[#This Row],[Audit Candidate 5]]-Audit[[#This Row],[Candidate 5]]</f>
        <v>0</v>
      </c>
      <c r="X1294" s="111">
        <f>Audit[[#This Row],[Audit Candidate 6]]-Audit[[#This Row],[Candidate 6]]</f>
        <v>0</v>
      </c>
      <c r="Y1294" s="111">
        <f>SUMIF(Audit[[#This Row],[Difference Loser]:[Difference Candidate 6]], "&gt;0")</f>
        <v>0</v>
      </c>
      <c r="Z1294" s="111">
        <f>SUM(Audit[[#This Row],[Difference Loser]:[Difference Candidate 6]])</f>
        <v>-68</v>
      </c>
      <c r="AA1294" s="111">
        <f>IF(Audit[[#This Row],[Times p Drawn - With Replacement]]&gt;0, IF(Audit[[#This Row],[Canceled Differences]]&lt;0, Audit[[#This Row],[Max Differences]]+ABS(Audit[[#This Row],[Canceled Differences]]), Audit[[#This Row],[Max Differences]]), 0)</f>
        <v>0</v>
      </c>
      <c r="AB1294" s="111">
        <f>'Sampling Data'!P1287</f>
        <v>6.2469377756001962E-3</v>
      </c>
      <c r="AC1294" s="111">
        <f>IF(
      SUM(Audit[[#This Row],[Audit Losing Candidate]:[Audit Candidate 6]])
      &lt;&gt;0,
      (Audit[[#This Row],[Winning Candidate]]-Audit[[#This Row],[Losing Candidate]]-(Audit[[#This Row],[Audit Winning Candidate]]-Audit[[#This Row],[Audit Losing Candidate]]))/(Audit[[#Totals],[Winning Candidate]]-Audit[[#Totals],[Losing Candidate]]),
      0
)</f>
        <v>0</v>
      </c>
      <c r="AD12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4" s="111">
        <f>IF(Audit[[#This Row],[Max Relative Error (ep)]] = 0, 0, Audit[[#This Row],[Max Relative Error (ep)]]/Audit[[#This Row],[Error Bound (up) - Max. possible relative overstatement]])</f>
        <v>0</v>
      </c>
      <c r="AJ12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94" s="111">
        <f t="shared" si="20"/>
        <v>1</v>
      </c>
      <c r="AL1294" s="111">
        <f>PRODUCT($AK$5:AK1294)</f>
        <v>8.962823818226312E-2</v>
      </c>
      <c r="AM1294" s="109">
        <f>1 - [K-M P Value]</f>
        <v>0.91037176181773694</v>
      </c>
      <c r="AN1294" s="111" t="str">
        <f>IF(Audit[[#This Row],[K-M P Value]]&gt;1-'General Info'!$B$16,"Continue", "Stop")</f>
        <v>Stop</v>
      </c>
      <c r="AO1294" s="110" t="b">
        <f>IF(Audit[[#This Row],[Status - Continue or stop audit]] = "Continue", TRUE, IF(AN1293 = "Continue", TRUE, FALSE))</f>
        <v>0</v>
      </c>
      <c r="AP1294" s="110"/>
    </row>
    <row r="1295" spans="1:42" ht="15" hidden="1" customHeight="1">
      <c r="A1295" s="111" t="str">
        <f>'Sampling Data'!W1288</f>
        <v/>
      </c>
      <c r="B1295" s="112" t="str">
        <f>'Sampling Data'!A1288</f>
        <v>LAKEWOOD -02-A - ABS</v>
      </c>
      <c r="C1295" s="112">
        <f>'Sampling Data'!B1288</f>
        <v>6</v>
      </c>
      <c r="D1295" s="112">
        <f>'Sampling Data'!C1288</f>
        <v>14</v>
      </c>
      <c r="E1295" s="113">
        <f>'Sampling Data'!D1288</f>
        <v>0</v>
      </c>
      <c r="F1295" s="113">
        <f>'Sampling Data'!E1288</f>
        <v>5</v>
      </c>
      <c r="G1295" s="113">
        <f>'Sampling Data'!F1288</f>
        <v>0</v>
      </c>
      <c r="H1295" s="113">
        <f>'Sampling Data'!G1288</f>
        <v>0</v>
      </c>
      <c r="I1295" s="112">
        <f>'Sampling Data'!H1288</f>
        <v>0</v>
      </c>
      <c r="J1295" s="112">
        <f>'Sampling Data'!I1288</f>
        <v>3</v>
      </c>
      <c r="K1295" s="112">
        <f>'Sampling Data'!J1288</f>
        <v>28</v>
      </c>
      <c r="L1295" s="111">
        <f>'Sampling Data'!X1288</f>
        <v>0</v>
      </c>
      <c r="M1295" s="114"/>
      <c r="N1295" s="114"/>
      <c r="O1295" s="115"/>
      <c r="P1295" s="115"/>
      <c r="Q1295" s="116"/>
      <c r="R1295" s="116"/>
      <c r="S1295" s="111">
        <f>Audit[[#This Row],[Audit Losing Candidate]]-Audit[[#This Row],[Losing Candidate]]</f>
        <v>-6</v>
      </c>
      <c r="T1295" s="111">
        <f>Audit[[#This Row],[Audit Winning Candidate]]-Audit[[#This Row],[Winning Candidate]]</f>
        <v>-14</v>
      </c>
      <c r="U1295" s="111">
        <f>Audit[[#This Row],[Audit Candidate 3]]-Audit[[#This Row],[Candidate 3]]</f>
        <v>0</v>
      </c>
      <c r="V1295" s="111">
        <f>Audit[[#This Row],[Audit Candidate 4]]-Audit[[#This Row],[Candidate 4]]</f>
        <v>-5</v>
      </c>
      <c r="W1295" s="111">
        <f>Audit[[#This Row],[Audit Candidate 5]]-Audit[[#This Row],[Candidate 5]]</f>
        <v>0</v>
      </c>
      <c r="X1295" s="111">
        <f>Audit[[#This Row],[Audit Candidate 6]]-Audit[[#This Row],[Candidate 6]]</f>
        <v>0</v>
      </c>
      <c r="Y1295" s="111">
        <f>SUMIF(Audit[[#This Row],[Difference Loser]:[Difference Candidate 6]], "&gt;0")</f>
        <v>0</v>
      </c>
      <c r="Z1295" s="111">
        <f>SUM(Audit[[#This Row],[Difference Loser]:[Difference Candidate 6]])</f>
        <v>-25</v>
      </c>
      <c r="AA1295" s="111">
        <f>IF(Audit[[#This Row],[Times p Drawn - With Replacement]]&gt;0, IF(Audit[[#This Row],[Canceled Differences]]&lt;0, Audit[[#This Row],[Max Differences]]+ABS(Audit[[#This Row],[Canceled Differences]]), Audit[[#This Row],[Max Differences]]), 0)</f>
        <v>0</v>
      </c>
      <c r="AB1295" s="111">
        <f>'Sampling Data'!P1288</f>
        <v>2.2048015678588929E-3</v>
      </c>
      <c r="AC1295" s="111">
        <f>IF(
      SUM(Audit[[#This Row],[Audit Losing Candidate]:[Audit Candidate 6]])
      &lt;&gt;0,
      (Audit[[#This Row],[Winning Candidate]]-Audit[[#This Row],[Losing Candidate]]-(Audit[[#This Row],[Audit Winning Candidate]]-Audit[[#This Row],[Audit Losing Candidate]]))/(Audit[[#Totals],[Winning Candidate]]-Audit[[#Totals],[Losing Candidate]]),
      0
)</f>
        <v>0</v>
      </c>
      <c r="AD12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5" s="111">
        <f>IF(Audit[[#This Row],[Max Relative Error (ep)]] = 0, 0, Audit[[#This Row],[Max Relative Error (ep)]]/Audit[[#This Row],[Error Bound (up) - Max. possible relative overstatement]])</f>
        <v>0</v>
      </c>
      <c r="AJ12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95" s="111">
        <f t="shared" si="20"/>
        <v>1</v>
      </c>
      <c r="AL1295" s="111">
        <f>PRODUCT($AK$5:AK1295)</f>
        <v>8.962823818226312E-2</v>
      </c>
      <c r="AM1295" s="109">
        <f>1 - [K-M P Value]</f>
        <v>0.91037176181773694</v>
      </c>
      <c r="AN1295" s="111" t="str">
        <f>IF(Audit[[#This Row],[K-M P Value]]&gt;1-'General Info'!$B$16,"Continue", "Stop")</f>
        <v>Stop</v>
      </c>
      <c r="AO1295" s="110" t="b">
        <f>IF(Audit[[#This Row],[Status - Continue or stop audit]] = "Continue", TRUE, IF(AN1294 = "Continue", TRUE, FALSE))</f>
        <v>0</v>
      </c>
      <c r="AP1295" s="110"/>
    </row>
    <row r="1296" spans="1:42" ht="15" hidden="1" customHeight="1">
      <c r="A1296" s="111" t="str">
        <f>'Sampling Data'!W1289</f>
        <v/>
      </c>
      <c r="B1296" s="112" t="str">
        <f>'Sampling Data'!A1289</f>
        <v>LAKEWOOD -02-B</v>
      </c>
      <c r="C1296" s="112">
        <f>'Sampling Data'!B1289</f>
        <v>14</v>
      </c>
      <c r="D1296" s="112">
        <f>'Sampling Data'!C1289</f>
        <v>16</v>
      </c>
      <c r="E1296" s="113">
        <f>'Sampling Data'!D1289</f>
        <v>7</v>
      </c>
      <c r="F1296" s="113">
        <f>'Sampling Data'!E1289</f>
        <v>15</v>
      </c>
      <c r="G1296" s="113">
        <f>'Sampling Data'!F1289</f>
        <v>0</v>
      </c>
      <c r="H1296" s="113">
        <f>'Sampling Data'!G1289</f>
        <v>1</v>
      </c>
      <c r="I1296" s="112">
        <f>'Sampling Data'!H1289</f>
        <v>0</v>
      </c>
      <c r="J1296" s="112">
        <f>'Sampling Data'!I1289</f>
        <v>0</v>
      </c>
      <c r="K1296" s="112">
        <f>'Sampling Data'!J1289</f>
        <v>53</v>
      </c>
      <c r="L1296" s="111">
        <f>'Sampling Data'!X1289</f>
        <v>0</v>
      </c>
      <c r="M1296" s="114"/>
      <c r="N1296" s="114"/>
      <c r="O1296" s="115"/>
      <c r="P1296" s="115"/>
      <c r="Q1296" s="116"/>
      <c r="R1296" s="116"/>
      <c r="S1296" s="111">
        <f>Audit[[#This Row],[Audit Losing Candidate]]-Audit[[#This Row],[Losing Candidate]]</f>
        <v>-14</v>
      </c>
      <c r="T1296" s="111">
        <f>Audit[[#This Row],[Audit Winning Candidate]]-Audit[[#This Row],[Winning Candidate]]</f>
        <v>-16</v>
      </c>
      <c r="U1296" s="111">
        <f>Audit[[#This Row],[Audit Candidate 3]]-Audit[[#This Row],[Candidate 3]]</f>
        <v>-7</v>
      </c>
      <c r="V1296" s="111">
        <f>Audit[[#This Row],[Audit Candidate 4]]-Audit[[#This Row],[Candidate 4]]</f>
        <v>-15</v>
      </c>
      <c r="W1296" s="111">
        <f>Audit[[#This Row],[Audit Candidate 5]]-Audit[[#This Row],[Candidate 5]]</f>
        <v>0</v>
      </c>
      <c r="X1296" s="111">
        <f>Audit[[#This Row],[Audit Candidate 6]]-Audit[[#This Row],[Candidate 6]]</f>
        <v>-1</v>
      </c>
      <c r="Y1296" s="111">
        <f>SUMIF(Audit[[#This Row],[Difference Loser]:[Difference Candidate 6]], "&gt;0")</f>
        <v>0</v>
      </c>
      <c r="Z1296" s="111">
        <f>SUM(Audit[[#This Row],[Difference Loser]:[Difference Candidate 6]])</f>
        <v>-53</v>
      </c>
      <c r="AA1296" s="111">
        <f>IF(Audit[[#This Row],[Times p Drawn - With Replacement]]&gt;0, IF(Audit[[#This Row],[Canceled Differences]]&lt;0, Audit[[#This Row],[Max Differences]]+ABS(Audit[[#This Row],[Canceled Differences]]), Audit[[#This Row],[Max Differences]]), 0)</f>
        <v>0</v>
      </c>
      <c r="AB1296" s="111">
        <f>'Sampling Data'!P1289</f>
        <v>3.3684468397844193E-3</v>
      </c>
      <c r="AC1296" s="111">
        <f>IF(
      SUM(Audit[[#This Row],[Audit Losing Candidate]:[Audit Candidate 6]])
      &lt;&gt;0,
      (Audit[[#This Row],[Winning Candidate]]-Audit[[#This Row],[Losing Candidate]]-(Audit[[#This Row],[Audit Winning Candidate]]-Audit[[#This Row],[Audit Losing Candidate]]))/(Audit[[#Totals],[Winning Candidate]]-Audit[[#Totals],[Losing Candidate]]),
      0
)</f>
        <v>0</v>
      </c>
      <c r="AD12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6" s="111">
        <f>IF(Audit[[#This Row],[Max Relative Error (ep)]] = 0, 0, Audit[[#This Row],[Max Relative Error (ep)]]/Audit[[#This Row],[Error Bound (up) - Max. possible relative overstatement]])</f>
        <v>0</v>
      </c>
      <c r="AJ12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96" s="111">
        <f t="shared" si="20"/>
        <v>1</v>
      </c>
      <c r="AL1296" s="111">
        <f>PRODUCT($AK$5:AK1296)</f>
        <v>8.962823818226312E-2</v>
      </c>
      <c r="AM1296" s="109">
        <f>1 - [K-M P Value]</f>
        <v>0.91037176181773694</v>
      </c>
      <c r="AN1296" s="111" t="str">
        <f>IF(Audit[[#This Row],[K-M P Value]]&gt;1-'General Info'!$B$16,"Continue", "Stop")</f>
        <v>Stop</v>
      </c>
      <c r="AO1296" s="110" t="b">
        <f>IF(Audit[[#This Row],[Status - Continue or stop audit]] = "Continue", TRUE, IF(AN1295 = "Continue", TRUE, FALSE))</f>
        <v>0</v>
      </c>
      <c r="AP1296" s="110"/>
    </row>
    <row r="1297" spans="1:42" ht="15" hidden="1" customHeight="1">
      <c r="A1297" s="111" t="str">
        <f>'Sampling Data'!W1290</f>
        <v/>
      </c>
      <c r="B1297" s="112" t="str">
        <f>'Sampling Data'!A1290</f>
        <v>LAKEWOOD -02-B - ABS</v>
      </c>
      <c r="C1297" s="112">
        <f>'Sampling Data'!B1290</f>
        <v>1</v>
      </c>
      <c r="D1297" s="112">
        <f>'Sampling Data'!C1290</f>
        <v>4</v>
      </c>
      <c r="E1297" s="113">
        <f>'Sampling Data'!D1290</f>
        <v>2</v>
      </c>
      <c r="F1297" s="113">
        <f>'Sampling Data'!E1290</f>
        <v>0</v>
      </c>
      <c r="G1297" s="113">
        <f>'Sampling Data'!F1290</f>
        <v>0</v>
      </c>
      <c r="H1297" s="113">
        <f>'Sampling Data'!G1290</f>
        <v>0</v>
      </c>
      <c r="I1297" s="112">
        <f>'Sampling Data'!H1290</f>
        <v>0</v>
      </c>
      <c r="J1297" s="112">
        <f>'Sampling Data'!I1290</f>
        <v>0</v>
      </c>
      <c r="K1297" s="112">
        <f>'Sampling Data'!J1290</f>
        <v>7</v>
      </c>
      <c r="L1297" s="111">
        <f>'Sampling Data'!X1290</f>
        <v>0</v>
      </c>
      <c r="M1297" s="114"/>
      <c r="N1297" s="114"/>
      <c r="O1297" s="115"/>
      <c r="P1297" s="115"/>
      <c r="Q1297" s="116"/>
      <c r="R1297" s="116"/>
      <c r="S1297" s="111">
        <f>Audit[[#This Row],[Audit Losing Candidate]]-Audit[[#This Row],[Losing Candidate]]</f>
        <v>-1</v>
      </c>
      <c r="T1297" s="111">
        <f>Audit[[#This Row],[Audit Winning Candidate]]-Audit[[#This Row],[Winning Candidate]]</f>
        <v>-4</v>
      </c>
      <c r="U1297" s="111">
        <f>Audit[[#This Row],[Audit Candidate 3]]-Audit[[#This Row],[Candidate 3]]</f>
        <v>-2</v>
      </c>
      <c r="V1297" s="111">
        <f>Audit[[#This Row],[Audit Candidate 4]]-Audit[[#This Row],[Candidate 4]]</f>
        <v>0</v>
      </c>
      <c r="W1297" s="111">
        <f>Audit[[#This Row],[Audit Candidate 5]]-Audit[[#This Row],[Candidate 5]]</f>
        <v>0</v>
      </c>
      <c r="X1297" s="111">
        <f>Audit[[#This Row],[Audit Candidate 6]]-Audit[[#This Row],[Candidate 6]]</f>
        <v>0</v>
      </c>
      <c r="Y1297" s="111">
        <f>SUMIF(Audit[[#This Row],[Difference Loser]:[Difference Candidate 6]], "&gt;0")</f>
        <v>0</v>
      </c>
      <c r="Z1297" s="111">
        <f>SUM(Audit[[#This Row],[Difference Loser]:[Difference Candidate 6]])</f>
        <v>-7</v>
      </c>
      <c r="AA1297" s="111">
        <f>IF(Audit[[#This Row],[Times p Drawn - With Replacement]]&gt;0, IF(Audit[[#This Row],[Canceled Differences]]&lt;0, Audit[[#This Row],[Max Differences]]+ABS(Audit[[#This Row],[Canceled Differences]]), Audit[[#This Row],[Max Differences]]), 0)</f>
        <v>0</v>
      </c>
      <c r="AB1297" s="111">
        <f>'Sampling Data'!P1290</f>
        <v>6.1244487996080352E-4</v>
      </c>
      <c r="AC1297" s="111">
        <f>IF(
      SUM(Audit[[#This Row],[Audit Losing Candidate]:[Audit Candidate 6]])
      &lt;&gt;0,
      (Audit[[#This Row],[Winning Candidate]]-Audit[[#This Row],[Losing Candidate]]-(Audit[[#This Row],[Audit Winning Candidate]]-Audit[[#This Row],[Audit Losing Candidate]]))/(Audit[[#Totals],[Winning Candidate]]-Audit[[#Totals],[Losing Candidate]]),
      0
)</f>
        <v>0</v>
      </c>
      <c r="AD12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7" s="111">
        <f>IF(Audit[[#This Row],[Max Relative Error (ep)]] = 0, 0, Audit[[#This Row],[Max Relative Error (ep)]]/Audit[[#This Row],[Error Bound (up) - Max. possible relative overstatement]])</f>
        <v>0</v>
      </c>
      <c r="AJ12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97" s="111">
        <f t="shared" si="20"/>
        <v>1</v>
      </c>
      <c r="AL1297" s="111">
        <f>PRODUCT($AK$5:AK1297)</f>
        <v>8.962823818226312E-2</v>
      </c>
      <c r="AM1297" s="109">
        <f>1 - [K-M P Value]</f>
        <v>0.91037176181773694</v>
      </c>
      <c r="AN1297" s="111" t="str">
        <f>IF(Audit[[#This Row],[K-M P Value]]&gt;1-'General Info'!$B$16,"Continue", "Stop")</f>
        <v>Stop</v>
      </c>
      <c r="AO1297" s="110" t="b">
        <f>IF(Audit[[#This Row],[Status - Continue or stop audit]] = "Continue", TRUE, IF(AN1296 = "Continue", TRUE, FALSE))</f>
        <v>0</v>
      </c>
      <c r="AP1297" s="110"/>
    </row>
    <row r="1298" spans="1:42" ht="15" hidden="1" customHeight="1">
      <c r="A1298" s="111" t="str">
        <f>'Sampling Data'!W1291</f>
        <v/>
      </c>
      <c r="B1298" s="112" t="str">
        <f>'Sampling Data'!A1291</f>
        <v>LAKEWOOD -02-C</v>
      </c>
      <c r="C1298" s="112">
        <f>'Sampling Data'!B1291</f>
        <v>17</v>
      </c>
      <c r="D1298" s="112">
        <f>'Sampling Data'!C1291</f>
        <v>34</v>
      </c>
      <c r="E1298" s="113">
        <f>'Sampling Data'!D1291</f>
        <v>11</v>
      </c>
      <c r="F1298" s="113">
        <f>'Sampling Data'!E1291</f>
        <v>18</v>
      </c>
      <c r="G1298" s="113">
        <f>'Sampling Data'!F1291</f>
        <v>0</v>
      </c>
      <c r="H1298" s="113">
        <f>'Sampling Data'!G1291</f>
        <v>0</v>
      </c>
      <c r="I1298" s="112">
        <f>'Sampling Data'!H1291</f>
        <v>0</v>
      </c>
      <c r="J1298" s="112">
        <f>'Sampling Data'!I1291</f>
        <v>0</v>
      </c>
      <c r="K1298" s="112">
        <f>'Sampling Data'!J1291</f>
        <v>80</v>
      </c>
      <c r="L1298" s="111">
        <f>'Sampling Data'!X1291</f>
        <v>0</v>
      </c>
      <c r="M1298" s="114"/>
      <c r="N1298" s="114"/>
      <c r="O1298" s="115"/>
      <c r="P1298" s="115"/>
      <c r="Q1298" s="116"/>
      <c r="R1298" s="116"/>
      <c r="S1298" s="111">
        <f>Audit[[#This Row],[Audit Losing Candidate]]-Audit[[#This Row],[Losing Candidate]]</f>
        <v>-17</v>
      </c>
      <c r="T1298" s="111">
        <f>Audit[[#This Row],[Audit Winning Candidate]]-Audit[[#This Row],[Winning Candidate]]</f>
        <v>-34</v>
      </c>
      <c r="U1298" s="111">
        <f>Audit[[#This Row],[Audit Candidate 3]]-Audit[[#This Row],[Candidate 3]]</f>
        <v>-11</v>
      </c>
      <c r="V1298" s="111">
        <f>Audit[[#This Row],[Audit Candidate 4]]-Audit[[#This Row],[Candidate 4]]</f>
        <v>-18</v>
      </c>
      <c r="W1298" s="111">
        <f>Audit[[#This Row],[Audit Candidate 5]]-Audit[[#This Row],[Candidate 5]]</f>
        <v>0</v>
      </c>
      <c r="X1298" s="111">
        <f>Audit[[#This Row],[Audit Candidate 6]]-Audit[[#This Row],[Candidate 6]]</f>
        <v>0</v>
      </c>
      <c r="Y1298" s="111">
        <f>SUMIF(Audit[[#This Row],[Difference Loser]:[Difference Candidate 6]], "&gt;0")</f>
        <v>0</v>
      </c>
      <c r="Z1298" s="111">
        <f>SUM(Audit[[#This Row],[Difference Loser]:[Difference Candidate 6]])</f>
        <v>-80</v>
      </c>
      <c r="AA1298" s="111">
        <f>IF(Audit[[#This Row],[Times p Drawn - With Replacement]]&gt;0, IF(Audit[[#This Row],[Canceled Differences]]&lt;0, Audit[[#This Row],[Max Differences]]+ABS(Audit[[#This Row],[Canceled Differences]]), Audit[[#This Row],[Max Differences]]), 0)</f>
        <v>0</v>
      </c>
      <c r="AB1298" s="111">
        <f>'Sampling Data'!P1291</f>
        <v>5.9407153356197942E-3</v>
      </c>
      <c r="AC1298" s="111">
        <f>IF(
      SUM(Audit[[#This Row],[Audit Losing Candidate]:[Audit Candidate 6]])
      &lt;&gt;0,
      (Audit[[#This Row],[Winning Candidate]]-Audit[[#This Row],[Losing Candidate]]-(Audit[[#This Row],[Audit Winning Candidate]]-Audit[[#This Row],[Audit Losing Candidate]]))/(Audit[[#Totals],[Winning Candidate]]-Audit[[#Totals],[Losing Candidate]]),
      0
)</f>
        <v>0</v>
      </c>
      <c r="AD12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8" s="111">
        <f>IF(Audit[[#This Row],[Max Relative Error (ep)]] = 0, 0, Audit[[#This Row],[Max Relative Error (ep)]]/Audit[[#This Row],[Error Bound (up) - Max. possible relative overstatement]])</f>
        <v>0</v>
      </c>
      <c r="AJ12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98" s="111">
        <f t="shared" si="20"/>
        <v>1</v>
      </c>
      <c r="AL1298" s="111">
        <f>PRODUCT($AK$5:AK1298)</f>
        <v>8.962823818226312E-2</v>
      </c>
      <c r="AM1298" s="109">
        <f>1 - [K-M P Value]</f>
        <v>0.91037176181773694</v>
      </c>
      <c r="AN1298" s="111" t="str">
        <f>IF(Audit[[#This Row],[K-M P Value]]&gt;1-'General Info'!$B$16,"Continue", "Stop")</f>
        <v>Stop</v>
      </c>
      <c r="AO1298" s="110" t="b">
        <f>IF(Audit[[#This Row],[Status - Continue or stop audit]] = "Continue", TRUE, IF(AN1297 = "Continue", TRUE, FALSE))</f>
        <v>0</v>
      </c>
      <c r="AP1298" s="110"/>
    </row>
    <row r="1299" spans="1:42" ht="15" hidden="1" customHeight="1">
      <c r="A1299" s="111" t="str">
        <f>'Sampling Data'!W1292</f>
        <v/>
      </c>
      <c r="B1299" s="112" t="str">
        <f>'Sampling Data'!A1292</f>
        <v>LAKEWOOD -02-C - ABS</v>
      </c>
      <c r="C1299" s="112">
        <f>'Sampling Data'!B1292</f>
        <v>7</v>
      </c>
      <c r="D1299" s="112">
        <f>'Sampling Data'!C1292</f>
        <v>7</v>
      </c>
      <c r="E1299" s="113">
        <f>'Sampling Data'!D1292</f>
        <v>1</v>
      </c>
      <c r="F1299" s="113">
        <f>'Sampling Data'!E1292</f>
        <v>0</v>
      </c>
      <c r="G1299" s="113">
        <f>'Sampling Data'!F1292</f>
        <v>1</v>
      </c>
      <c r="H1299" s="113">
        <f>'Sampling Data'!G1292</f>
        <v>0</v>
      </c>
      <c r="I1299" s="112">
        <f>'Sampling Data'!H1292</f>
        <v>0</v>
      </c>
      <c r="J1299" s="112">
        <f>'Sampling Data'!I1292</f>
        <v>1</v>
      </c>
      <c r="K1299" s="112">
        <f>'Sampling Data'!J1292</f>
        <v>17</v>
      </c>
      <c r="L1299" s="111">
        <f>'Sampling Data'!X1292</f>
        <v>0</v>
      </c>
      <c r="M1299" s="114"/>
      <c r="N1299" s="114"/>
      <c r="O1299" s="115"/>
      <c r="P1299" s="115"/>
      <c r="Q1299" s="116"/>
      <c r="R1299" s="116"/>
      <c r="S1299" s="111">
        <f>Audit[[#This Row],[Audit Losing Candidate]]-Audit[[#This Row],[Losing Candidate]]</f>
        <v>-7</v>
      </c>
      <c r="T1299" s="111">
        <f>Audit[[#This Row],[Audit Winning Candidate]]-Audit[[#This Row],[Winning Candidate]]</f>
        <v>-7</v>
      </c>
      <c r="U1299" s="111">
        <f>Audit[[#This Row],[Audit Candidate 3]]-Audit[[#This Row],[Candidate 3]]</f>
        <v>-1</v>
      </c>
      <c r="V1299" s="111">
        <f>Audit[[#This Row],[Audit Candidate 4]]-Audit[[#This Row],[Candidate 4]]</f>
        <v>0</v>
      </c>
      <c r="W1299" s="111">
        <f>Audit[[#This Row],[Audit Candidate 5]]-Audit[[#This Row],[Candidate 5]]</f>
        <v>-1</v>
      </c>
      <c r="X1299" s="111">
        <f>Audit[[#This Row],[Audit Candidate 6]]-Audit[[#This Row],[Candidate 6]]</f>
        <v>0</v>
      </c>
      <c r="Y1299" s="111">
        <f>SUMIF(Audit[[#This Row],[Difference Loser]:[Difference Candidate 6]], "&gt;0")</f>
        <v>0</v>
      </c>
      <c r="Z1299" s="111">
        <f>SUM(Audit[[#This Row],[Difference Loser]:[Difference Candidate 6]])</f>
        <v>-16</v>
      </c>
      <c r="AA1299" s="111">
        <f>IF(Audit[[#This Row],[Times p Drawn - With Replacement]]&gt;0, IF(Audit[[#This Row],[Canceled Differences]]&lt;0, Audit[[#This Row],[Max Differences]]+ABS(Audit[[#This Row],[Canceled Differences]]), Audit[[#This Row],[Max Differences]]), 0)</f>
        <v>0</v>
      </c>
      <c r="AB1299" s="111">
        <f>'Sampling Data'!P1292</f>
        <v>1.041156295933366E-3</v>
      </c>
      <c r="AC1299" s="111">
        <f>IF(
      SUM(Audit[[#This Row],[Audit Losing Candidate]:[Audit Candidate 6]])
      &lt;&gt;0,
      (Audit[[#This Row],[Winning Candidate]]-Audit[[#This Row],[Losing Candidate]]-(Audit[[#This Row],[Audit Winning Candidate]]-Audit[[#This Row],[Audit Losing Candidate]]))/(Audit[[#Totals],[Winning Candidate]]-Audit[[#Totals],[Losing Candidate]]),
      0
)</f>
        <v>0</v>
      </c>
      <c r="AD12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9" s="111">
        <f>IF(Audit[[#This Row],[Max Relative Error (ep)]] = 0, 0, Audit[[#This Row],[Max Relative Error (ep)]]/Audit[[#This Row],[Error Bound (up) - Max. possible relative overstatement]])</f>
        <v>0</v>
      </c>
      <c r="AJ12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299" s="111">
        <f t="shared" si="20"/>
        <v>1</v>
      </c>
      <c r="AL1299" s="111">
        <f>PRODUCT($AK$5:AK1299)</f>
        <v>8.962823818226312E-2</v>
      </c>
      <c r="AM1299" s="109">
        <f>1 - [K-M P Value]</f>
        <v>0.91037176181773694</v>
      </c>
      <c r="AN1299" s="111" t="str">
        <f>IF(Audit[[#This Row],[K-M P Value]]&gt;1-'General Info'!$B$16,"Continue", "Stop")</f>
        <v>Stop</v>
      </c>
      <c r="AO1299" s="110" t="b">
        <f>IF(Audit[[#This Row],[Status - Continue or stop audit]] = "Continue", TRUE, IF(AN1298 = "Continue", TRUE, FALSE))</f>
        <v>0</v>
      </c>
      <c r="AP1299" s="110"/>
    </row>
    <row r="1300" spans="1:42" ht="15" hidden="1" customHeight="1">
      <c r="A1300" s="111" t="str">
        <f>'Sampling Data'!W1293</f>
        <v/>
      </c>
      <c r="B1300" s="112" t="str">
        <f>'Sampling Data'!A1293</f>
        <v>LAKEWOOD -02-D</v>
      </c>
      <c r="C1300" s="112">
        <f>'Sampling Data'!B1293</f>
        <v>14</v>
      </c>
      <c r="D1300" s="112">
        <f>'Sampling Data'!C1293</f>
        <v>15</v>
      </c>
      <c r="E1300" s="113">
        <f>'Sampling Data'!D1293</f>
        <v>3</v>
      </c>
      <c r="F1300" s="113">
        <f>'Sampling Data'!E1293</f>
        <v>6</v>
      </c>
      <c r="G1300" s="113">
        <f>'Sampling Data'!F1293</f>
        <v>0</v>
      </c>
      <c r="H1300" s="113">
        <f>'Sampling Data'!G1293</f>
        <v>1</v>
      </c>
      <c r="I1300" s="112">
        <f>'Sampling Data'!H1293</f>
        <v>0</v>
      </c>
      <c r="J1300" s="112">
        <f>'Sampling Data'!I1293</f>
        <v>0</v>
      </c>
      <c r="K1300" s="112">
        <f>'Sampling Data'!J1293</f>
        <v>39</v>
      </c>
      <c r="L1300" s="111">
        <f>'Sampling Data'!X1293</f>
        <v>0</v>
      </c>
      <c r="M1300" s="114"/>
      <c r="N1300" s="114"/>
      <c r="O1300" s="115"/>
      <c r="P1300" s="115"/>
      <c r="Q1300" s="116"/>
      <c r="R1300" s="116"/>
      <c r="S1300" s="111">
        <f>Audit[[#This Row],[Audit Losing Candidate]]-Audit[[#This Row],[Losing Candidate]]</f>
        <v>-14</v>
      </c>
      <c r="T1300" s="111">
        <f>Audit[[#This Row],[Audit Winning Candidate]]-Audit[[#This Row],[Winning Candidate]]</f>
        <v>-15</v>
      </c>
      <c r="U1300" s="111">
        <f>Audit[[#This Row],[Audit Candidate 3]]-Audit[[#This Row],[Candidate 3]]</f>
        <v>-3</v>
      </c>
      <c r="V1300" s="111">
        <f>Audit[[#This Row],[Audit Candidate 4]]-Audit[[#This Row],[Candidate 4]]</f>
        <v>-6</v>
      </c>
      <c r="W1300" s="111">
        <f>Audit[[#This Row],[Audit Candidate 5]]-Audit[[#This Row],[Candidate 5]]</f>
        <v>0</v>
      </c>
      <c r="X1300" s="111">
        <f>Audit[[#This Row],[Audit Candidate 6]]-Audit[[#This Row],[Candidate 6]]</f>
        <v>-1</v>
      </c>
      <c r="Y1300" s="111">
        <f>SUMIF(Audit[[#This Row],[Difference Loser]:[Difference Candidate 6]], "&gt;0")</f>
        <v>0</v>
      </c>
      <c r="Z1300" s="111">
        <f>SUM(Audit[[#This Row],[Difference Loser]:[Difference Candidate 6]])</f>
        <v>-39</v>
      </c>
      <c r="AA1300" s="111">
        <f>IF(Audit[[#This Row],[Times p Drawn - With Replacement]]&gt;0, IF(Audit[[#This Row],[Canceled Differences]]&lt;0, Audit[[#This Row],[Max Differences]]+ABS(Audit[[#This Row],[Canceled Differences]]), Audit[[#This Row],[Max Differences]]), 0)</f>
        <v>0</v>
      </c>
      <c r="AB1300" s="111">
        <f>'Sampling Data'!P1293</f>
        <v>2.4497795198432141E-3</v>
      </c>
      <c r="AC1300" s="111">
        <f>IF(
      SUM(Audit[[#This Row],[Audit Losing Candidate]:[Audit Candidate 6]])
      &lt;&gt;0,
      (Audit[[#This Row],[Winning Candidate]]-Audit[[#This Row],[Losing Candidate]]-(Audit[[#This Row],[Audit Winning Candidate]]-Audit[[#This Row],[Audit Losing Candidate]]))/(Audit[[#Totals],[Winning Candidate]]-Audit[[#Totals],[Losing Candidate]]),
      0
)</f>
        <v>0</v>
      </c>
      <c r="AD13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0" s="111">
        <f>IF(Audit[[#This Row],[Max Relative Error (ep)]] = 0, 0, Audit[[#This Row],[Max Relative Error (ep)]]/Audit[[#This Row],[Error Bound (up) - Max. possible relative overstatement]])</f>
        <v>0</v>
      </c>
      <c r="AJ13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00" s="111">
        <f t="shared" si="20"/>
        <v>1</v>
      </c>
      <c r="AL1300" s="111">
        <f>PRODUCT($AK$5:AK1300)</f>
        <v>8.962823818226312E-2</v>
      </c>
      <c r="AM1300" s="109">
        <f>1 - [K-M P Value]</f>
        <v>0.91037176181773694</v>
      </c>
      <c r="AN1300" s="111" t="str">
        <f>IF(Audit[[#This Row],[K-M P Value]]&gt;1-'General Info'!$B$16,"Continue", "Stop")</f>
        <v>Stop</v>
      </c>
      <c r="AO1300" s="110" t="b">
        <f>IF(Audit[[#This Row],[Status - Continue or stop audit]] = "Continue", TRUE, IF(AN1299 = "Continue", TRUE, FALSE))</f>
        <v>0</v>
      </c>
      <c r="AP1300" s="110"/>
    </row>
    <row r="1301" spans="1:42" ht="15" hidden="1" customHeight="1">
      <c r="A1301" s="111" t="str">
        <f>'Sampling Data'!W1294</f>
        <v/>
      </c>
      <c r="B1301" s="112" t="str">
        <f>'Sampling Data'!A1294</f>
        <v>LAKEWOOD -02-D - ABS</v>
      </c>
      <c r="C1301" s="112">
        <f>'Sampling Data'!B1294</f>
        <v>5</v>
      </c>
      <c r="D1301" s="112">
        <f>'Sampling Data'!C1294</f>
        <v>8</v>
      </c>
      <c r="E1301" s="113">
        <f>'Sampling Data'!D1294</f>
        <v>2</v>
      </c>
      <c r="F1301" s="113">
        <f>'Sampling Data'!E1294</f>
        <v>0</v>
      </c>
      <c r="G1301" s="113">
        <f>'Sampling Data'!F1294</f>
        <v>1</v>
      </c>
      <c r="H1301" s="113">
        <f>'Sampling Data'!G1294</f>
        <v>0</v>
      </c>
      <c r="I1301" s="112">
        <f>'Sampling Data'!H1294</f>
        <v>0</v>
      </c>
      <c r="J1301" s="112">
        <f>'Sampling Data'!I1294</f>
        <v>1</v>
      </c>
      <c r="K1301" s="112">
        <f>'Sampling Data'!J1294</f>
        <v>17</v>
      </c>
      <c r="L1301" s="111">
        <f>'Sampling Data'!X1294</f>
        <v>0</v>
      </c>
      <c r="M1301" s="114"/>
      <c r="N1301" s="114"/>
      <c r="O1301" s="115"/>
      <c r="P1301" s="115"/>
      <c r="Q1301" s="116"/>
      <c r="R1301" s="116"/>
      <c r="S1301" s="111">
        <f>Audit[[#This Row],[Audit Losing Candidate]]-Audit[[#This Row],[Losing Candidate]]</f>
        <v>-5</v>
      </c>
      <c r="T1301" s="111">
        <f>Audit[[#This Row],[Audit Winning Candidate]]-Audit[[#This Row],[Winning Candidate]]</f>
        <v>-8</v>
      </c>
      <c r="U1301" s="111">
        <f>Audit[[#This Row],[Audit Candidate 3]]-Audit[[#This Row],[Candidate 3]]</f>
        <v>-2</v>
      </c>
      <c r="V1301" s="111">
        <f>Audit[[#This Row],[Audit Candidate 4]]-Audit[[#This Row],[Candidate 4]]</f>
        <v>0</v>
      </c>
      <c r="W1301" s="111">
        <f>Audit[[#This Row],[Audit Candidate 5]]-Audit[[#This Row],[Candidate 5]]</f>
        <v>-1</v>
      </c>
      <c r="X1301" s="111">
        <f>Audit[[#This Row],[Audit Candidate 6]]-Audit[[#This Row],[Candidate 6]]</f>
        <v>0</v>
      </c>
      <c r="Y1301" s="111">
        <f>SUMIF(Audit[[#This Row],[Difference Loser]:[Difference Candidate 6]], "&gt;0")</f>
        <v>0</v>
      </c>
      <c r="Z1301" s="111">
        <f>SUM(Audit[[#This Row],[Difference Loser]:[Difference Candidate 6]])</f>
        <v>-16</v>
      </c>
      <c r="AA1301" s="111">
        <f>IF(Audit[[#This Row],[Times p Drawn - With Replacement]]&gt;0, IF(Audit[[#This Row],[Canceled Differences]]&lt;0, Audit[[#This Row],[Max Differences]]+ABS(Audit[[#This Row],[Canceled Differences]]), Audit[[#This Row],[Max Differences]]), 0)</f>
        <v>0</v>
      </c>
      <c r="AB1301" s="111">
        <f>'Sampling Data'!P1294</f>
        <v>1.224889759921607E-3</v>
      </c>
      <c r="AC1301" s="111">
        <f>IF(
      SUM(Audit[[#This Row],[Audit Losing Candidate]:[Audit Candidate 6]])
      &lt;&gt;0,
      (Audit[[#This Row],[Winning Candidate]]-Audit[[#This Row],[Losing Candidate]]-(Audit[[#This Row],[Audit Winning Candidate]]-Audit[[#This Row],[Audit Losing Candidate]]))/(Audit[[#Totals],[Winning Candidate]]-Audit[[#Totals],[Losing Candidate]]),
      0
)</f>
        <v>0</v>
      </c>
      <c r="AD13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1" s="111">
        <f>IF(Audit[[#This Row],[Max Relative Error (ep)]] = 0, 0, Audit[[#This Row],[Max Relative Error (ep)]]/Audit[[#This Row],[Error Bound (up) - Max. possible relative overstatement]])</f>
        <v>0</v>
      </c>
      <c r="AJ13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01" s="111">
        <f t="shared" si="20"/>
        <v>1</v>
      </c>
      <c r="AL1301" s="111">
        <f>PRODUCT($AK$5:AK1301)</f>
        <v>8.962823818226312E-2</v>
      </c>
      <c r="AM1301" s="109">
        <f>1 - [K-M P Value]</f>
        <v>0.91037176181773694</v>
      </c>
      <c r="AN1301" s="111" t="str">
        <f>IF(Audit[[#This Row],[K-M P Value]]&gt;1-'General Info'!$B$16,"Continue", "Stop")</f>
        <v>Stop</v>
      </c>
      <c r="AO1301" s="110" t="b">
        <f>IF(Audit[[#This Row],[Status - Continue or stop audit]] = "Continue", TRUE, IF(AN1300 = "Continue", TRUE, FALSE))</f>
        <v>0</v>
      </c>
      <c r="AP1301" s="110"/>
    </row>
    <row r="1302" spans="1:42" ht="15" hidden="1" customHeight="1">
      <c r="A1302" s="111" t="str">
        <f>'Sampling Data'!W1295</f>
        <v/>
      </c>
      <c r="B1302" s="112" t="str">
        <f>'Sampling Data'!A1295</f>
        <v>LAKEWOOD -02-E</v>
      </c>
      <c r="C1302" s="112">
        <f>'Sampling Data'!B1295</f>
        <v>22</v>
      </c>
      <c r="D1302" s="112">
        <f>'Sampling Data'!C1295</f>
        <v>20</v>
      </c>
      <c r="E1302" s="113">
        <f>'Sampling Data'!D1295</f>
        <v>12</v>
      </c>
      <c r="F1302" s="113">
        <f>'Sampling Data'!E1295</f>
        <v>10</v>
      </c>
      <c r="G1302" s="113">
        <f>'Sampling Data'!F1295</f>
        <v>0</v>
      </c>
      <c r="H1302" s="113">
        <f>'Sampling Data'!G1295</f>
        <v>0</v>
      </c>
      <c r="I1302" s="112">
        <f>'Sampling Data'!H1295</f>
        <v>0</v>
      </c>
      <c r="J1302" s="112">
        <f>'Sampling Data'!I1295</f>
        <v>1</v>
      </c>
      <c r="K1302" s="112">
        <f>'Sampling Data'!J1295</f>
        <v>65</v>
      </c>
      <c r="L1302" s="111">
        <f>'Sampling Data'!X1295</f>
        <v>0</v>
      </c>
      <c r="M1302" s="114"/>
      <c r="N1302" s="114"/>
      <c r="O1302" s="115"/>
      <c r="P1302" s="115"/>
      <c r="Q1302" s="116"/>
      <c r="R1302" s="116"/>
      <c r="S1302" s="111">
        <f>Audit[[#This Row],[Audit Losing Candidate]]-Audit[[#This Row],[Losing Candidate]]</f>
        <v>-22</v>
      </c>
      <c r="T1302" s="111">
        <f>Audit[[#This Row],[Audit Winning Candidate]]-Audit[[#This Row],[Winning Candidate]]</f>
        <v>-20</v>
      </c>
      <c r="U1302" s="111">
        <f>Audit[[#This Row],[Audit Candidate 3]]-Audit[[#This Row],[Candidate 3]]</f>
        <v>-12</v>
      </c>
      <c r="V1302" s="111">
        <f>Audit[[#This Row],[Audit Candidate 4]]-Audit[[#This Row],[Candidate 4]]</f>
        <v>-10</v>
      </c>
      <c r="W1302" s="111">
        <f>Audit[[#This Row],[Audit Candidate 5]]-Audit[[#This Row],[Candidate 5]]</f>
        <v>0</v>
      </c>
      <c r="X1302" s="111">
        <f>Audit[[#This Row],[Audit Candidate 6]]-Audit[[#This Row],[Candidate 6]]</f>
        <v>0</v>
      </c>
      <c r="Y1302" s="111">
        <f>SUMIF(Audit[[#This Row],[Difference Loser]:[Difference Candidate 6]], "&gt;0")</f>
        <v>0</v>
      </c>
      <c r="Z1302" s="111">
        <f>SUM(Audit[[#This Row],[Difference Loser]:[Difference Candidate 6]])</f>
        <v>-64</v>
      </c>
      <c r="AA1302" s="111">
        <f>IF(Audit[[#This Row],[Times p Drawn - With Replacement]]&gt;0, IF(Audit[[#This Row],[Canceled Differences]]&lt;0, Audit[[#This Row],[Max Differences]]+ABS(Audit[[#This Row],[Canceled Differences]]), Audit[[#This Row],[Max Differences]]), 0)</f>
        <v>0</v>
      </c>
      <c r="AB1302" s="111">
        <f>'Sampling Data'!P1295</f>
        <v>3.8584027437530621E-3</v>
      </c>
      <c r="AC1302" s="111">
        <f>IF(
      SUM(Audit[[#This Row],[Audit Losing Candidate]:[Audit Candidate 6]])
      &lt;&gt;0,
      (Audit[[#This Row],[Winning Candidate]]-Audit[[#This Row],[Losing Candidate]]-(Audit[[#This Row],[Audit Winning Candidate]]-Audit[[#This Row],[Audit Losing Candidate]]))/(Audit[[#Totals],[Winning Candidate]]-Audit[[#Totals],[Losing Candidate]]),
      0
)</f>
        <v>0</v>
      </c>
      <c r="AD13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2" s="111">
        <f>IF(Audit[[#This Row],[Max Relative Error (ep)]] = 0, 0, Audit[[#This Row],[Max Relative Error (ep)]]/Audit[[#This Row],[Error Bound (up) - Max. possible relative overstatement]])</f>
        <v>0</v>
      </c>
      <c r="AJ13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02" s="111">
        <f t="shared" si="20"/>
        <v>1</v>
      </c>
      <c r="AL1302" s="111">
        <f>PRODUCT($AK$5:AK1302)</f>
        <v>8.962823818226312E-2</v>
      </c>
      <c r="AM1302" s="109">
        <f>1 - [K-M P Value]</f>
        <v>0.91037176181773694</v>
      </c>
      <c r="AN1302" s="111" t="str">
        <f>IF(Audit[[#This Row],[K-M P Value]]&gt;1-'General Info'!$B$16,"Continue", "Stop")</f>
        <v>Stop</v>
      </c>
      <c r="AO1302" s="110" t="b">
        <f>IF(Audit[[#This Row],[Status - Continue or stop audit]] = "Continue", TRUE, IF(AN1301 = "Continue", TRUE, FALSE))</f>
        <v>0</v>
      </c>
      <c r="AP1302" s="110"/>
    </row>
    <row r="1303" spans="1:42" ht="15" hidden="1" customHeight="1">
      <c r="A1303" s="111" t="str">
        <f>'Sampling Data'!W1296</f>
        <v/>
      </c>
      <c r="B1303" s="112" t="str">
        <f>'Sampling Data'!A1296</f>
        <v>LAKEWOOD -02-E - ABS</v>
      </c>
      <c r="C1303" s="112">
        <f>'Sampling Data'!B1296</f>
        <v>5</v>
      </c>
      <c r="D1303" s="112">
        <f>'Sampling Data'!C1296</f>
        <v>8</v>
      </c>
      <c r="E1303" s="113">
        <f>'Sampling Data'!D1296</f>
        <v>1</v>
      </c>
      <c r="F1303" s="113">
        <f>'Sampling Data'!E1296</f>
        <v>2</v>
      </c>
      <c r="G1303" s="113">
        <f>'Sampling Data'!F1296</f>
        <v>0</v>
      </c>
      <c r="H1303" s="113">
        <f>'Sampling Data'!G1296</f>
        <v>0</v>
      </c>
      <c r="I1303" s="112">
        <f>'Sampling Data'!H1296</f>
        <v>0</v>
      </c>
      <c r="J1303" s="112">
        <f>'Sampling Data'!I1296</f>
        <v>0</v>
      </c>
      <c r="K1303" s="112">
        <f>'Sampling Data'!J1296</f>
        <v>16</v>
      </c>
      <c r="L1303" s="111">
        <f>'Sampling Data'!X1296</f>
        <v>0</v>
      </c>
      <c r="M1303" s="114"/>
      <c r="N1303" s="114"/>
      <c r="O1303" s="115"/>
      <c r="P1303" s="115"/>
      <c r="Q1303" s="116"/>
      <c r="R1303" s="116"/>
      <c r="S1303" s="111">
        <f>Audit[[#This Row],[Audit Losing Candidate]]-Audit[[#This Row],[Losing Candidate]]</f>
        <v>-5</v>
      </c>
      <c r="T1303" s="111">
        <f>Audit[[#This Row],[Audit Winning Candidate]]-Audit[[#This Row],[Winning Candidate]]</f>
        <v>-8</v>
      </c>
      <c r="U1303" s="111">
        <f>Audit[[#This Row],[Audit Candidate 3]]-Audit[[#This Row],[Candidate 3]]</f>
        <v>-1</v>
      </c>
      <c r="V1303" s="111">
        <f>Audit[[#This Row],[Audit Candidate 4]]-Audit[[#This Row],[Candidate 4]]</f>
        <v>-2</v>
      </c>
      <c r="W1303" s="111">
        <f>Audit[[#This Row],[Audit Candidate 5]]-Audit[[#This Row],[Candidate 5]]</f>
        <v>0</v>
      </c>
      <c r="X1303" s="111">
        <f>Audit[[#This Row],[Audit Candidate 6]]-Audit[[#This Row],[Candidate 6]]</f>
        <v>0</v>
      </c>
      <c r="Y1303" s="111">
        <f>SUMIF(Audit[[#This Row],[Difference Loser]:[Difference Candidate 6]], "&gt;0")</f>
        <v>0</v>
      </c>
      <c r="Z1303" s="111">
        <f>SUM(Audit[[#This Row],[Difference Loser]:[Difference Candidate 6]])</f>
        <v>-16</v>
      </c>
      <c r="AA1303" s="111">
        <f>IF(Audit[[#This Row],[Times p Drawn - With Replacement]]&gt;0, IF(Audit[[#This Row],[Canceled Differences]]&lt;0, Audit[[#This Row],[Max Differences]]+ABS(Audit[[#This Row],[Canceled Differences]]), Audit[[#This Row],[Max Differences]]), 0)</f>
        <v>0</v>
      </c>
      <c r="AB1303" s="111">
        <f>'Sampling Data'!P1296</f>
        <v>1.1636452719255266E-3</v>
      </c>
      <c r="AC1303" s="111">
        <f>IF(
      SUM(Audit[[#This Row],[Audit Losing Candidate]:[Audit Candidate 6]])
      &lt;&gt;0,
      (Audit[[#This Row],[Winning Candidate]]-Audit[[#This Row],[Losing Candidate]]-(Audit[[#This Row],[Audit Winning Candidate]]-Audit[[#This Row],[Audit Losing Candidate]]))/(Audit[[#Totals],[Winning Candidate]]-Audit[[#Totals],[Losing Candidate]]),
      0
)</f>
        <v>0</v>
      </c>
      <c r="AD13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3" s="111">
        <f>IF(Audit[[#This Row],[Max Relative Error (ep)]] = 0, 0, Audit[[#This Row],[Max Relative Error (ep)]]/Audit[[#This Row],[Error Bound (up) - Max. possible relative overstatement]])</f>
        <v>0</v>
      </c>
      <c r="AJ13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03" s="111">
        <f t="shared" si="20"/>
        <v>1</v>
      </c>
      <c r="AL1303" s="111">
        <f>PRODUCT($AK$5:AK1303)</f>
        <v>8.962823818226312E-2</v>
      </c>
      <c r="AM1303" s="109">
        <f>1 - [K-M P Value]</f>
        <v>0.91037176181773694</v>
      </c>
      <c r="AN1303" s="111" t="str">
        <f>IF(Audit[[#This Row],[K-M P Value]]&gt;1-'General Info'!$B$16,"Continue", "Stop")</f>
        <v>Stop</v>
      </c>
      <c r="AO1303" s="110" t="b">
        <f>IF(Audit[[#This Row],[Status - Continue or stop audit]] = "Continue", TRUE, IF(AN1302 = "Continue", TRUE, FALSE))</f>
        <v>0</v>
      </c>
      <c r="AP1303" s="110"/>
    </row>
    <row r="1304" spans="1:42" ht="15" hidden="1" customHeight="1">
      <c r="A1304" s="111" t="str">
        <f>'Sampling Data'!W1297</f>
        <v/>
      </c>
      <c r="B1304" s="112" t="str">
        <f>'Sampling Data'!A1297</f>
        <v>LAKEWOOD -02-F</v>
      </c>
      <c r="C1304" s="112">
        <f>'Sampling Data'!B1297</f>
        <v>20</v>
      </c>
      <c r="D1304" s="112">
        <f>'Sampling Data'!C1297</f>
        <v>21</v>
      </c>
      <c r="E1304" s="113">
        <f>'Sampling Data'!D1297</f>
        <v>3</v>
      </c>
      <c r="F1304" s="113">
        <f>'Sampling Data'!E1297</f>
        <v>7</v>
      </c>
      <c r="G1304" s="113">
        <f>'Sampling Data'!F1297</f>
        <v>0</v>
      </c>
      <c r="H1304" s="113">
        <f>'Sampling Data'!G1297</f>
        <v>0</v>
      </c>
      <c r="I1304" s="112">
        <f>'Sampling Data'!H1297</f>
        <v>0</v>
      </c>
      <c r="J1304" s="112">
        <f>'Sampling Data'!I1297</f>
        <v>0</v>
      </c>
      <c r="K1304" s="112">
        <f>'Sampling Data'!J1297</f>
        <v>51</v>
      </c>
      <c r="L1304" s="111">
        <f>'Sampling Data'!X1297</f>
        <v>0</v>
      </c>
      <c r="M1304" s="114"/>
      <c r="N1304" s="114"/>
      <c r="O1304" s="115"/>
      <c r="P1304" s="115"/>
      <c r="Q1304" s="116"/>
      <c r="R1304" s="116"/>
      <c r="S1304" s="111">
        <f>Audit[[#This Row],[Audit Losing Candidate]]-Audit[[#This Row],[Losing Candidate]]</f>
        <v>-20</v>
      </c>
      <c r="T1304" s="111">
        <f>Audit[[#This Row],[Audit Winning Candidate]]-Audit[[#This Row],[Winning Candidate]]</f>
        <v>-21</v>
      </c>
      <c r="U1304" s="111">
        <f>Audit[[#This Row],[Audit Candidate 3]]-Audit[[#This Row],[Candidate 3]]</f>
        <v>-3</v>
      </c>
      <c r="V1304" s="111">
        <f>Audit[[#This Row],[Audit Candidate 4]]-Audit[[#This Row],[Candidate 4]]</f>
        <v>-7</v>
      </c>
      <c r="W1304" s="111">
        <f>Audit[[#This Row],[Audit Candidate 5]]-Audit[[#This Row],[Candidate 5]]</f>
        <v>0</v>
      </c>
      <c r="X1304" s="111">
        <f>Audit[[#This Row],[Audit Candidate 6]]-Audit[[#This Row],[Candidate 6]]</f>
        <v>0</v>
      </c>
      <c r="Y1304" s="111">
        <f>SUMIF(Audit[[#This Row],[Difference Loser]:[Difference Candidate 6]], "&gt;0")</f>
        <v>0</v>
      </c>
      <c r="Z1304" s="111">
        <f>SUM(Audit[[#This Row],[Difference Loser]:[Difference Candidate 6]])</f>
        <v>-51</v>
      </c>
      <c r="AA1304" s="111">
        <f>IF(Audit[[#This Row],[Times p Drawn - With Replacement]]&gt;0, IF(Audit[[#This Row],[Canceled Differences]]&lt;0, Audit[[#This Row],[Max Differences]]+ABS(Audit[[#This Row],[Canceled Differences]]), Audit[[#This Row],[Max Differences]]), 0)</f>
        <v>0</v>
      </c>
      <c r="AB1304" s="111">
        <f>'Sampling Data'!P1297</f>
        <v>3.1847133757961785E-3</v>
      </c>
      <c r="AC1304" s="111">
        <f>IF(
      SUM(Audit[[#This Row],[Audit Losing Candidate]:[Audit Candidate 6]])
      &lt;&gt;0,
      (Audit[[#This Row],[Winning Candidate]]-Audit[[#This Row],[Losing Candidate]]-(Audit[[#This Row],[Audit Winning Candidate]]-Audit[[#This Row],[Audit Losing Candidate]]))/(Audit[[#Totals],[Winning Candidate]]-Audit[[#Totals],[Losing Candidate]]),
      0
)</f>
        <v>0</v>
      </c>
      <c r="AD13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4" s="111">
        <f>IF(Audit[[#This Row],[Max Relative Error (ep)]] = 0, 0, Audit[[#This Row],[Max Relative Error (ep)]]/Audit[[#This Row],[Error Bound (up) - Max. possible relative overstatement]])</f>
        <v>0</v>
      </c>
      <c r="AJ13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04" s="111">
        <f t="shared" si="20"/>
        <v>1</v>
      </c>
      <c r="AL1304" s="111">
        <f>PRODUCT($AK$5:AK1304)</f>
        <v>8.962823818226312E-2</v>
      </c>
      <c r="AM1304" s="109">
        <f>1 - [K-M P Value]</f>
        <v>0.91037176181773694</v>
      </c>
      <c r="AN1304" s="111" t="str">
        <f>IF(Audit[[#This Row],[K-M P Value]]&gt;1-'General Info'!$B$16,"Continue", "Stop")</f>
        <v>Stop</v>
      </c>
      <c r="AO1304" s="110" t="b">
        <f>IF(Audit[[#This Row],[Status - Continue or stop audit]] = "Continue", TRUE, IF(AN1303 = "Continue", TRUE, FALSE))</f>
        <v>0</v>
      </c>
      <c r="AP1304" s="110"/>
    </row>
    <row r="1305" spans="1:42" ht="15" hidden="1" customHeight="1">
      <c r="A1305" s="111" t="str">
        <f>'Sampling Data'!W1298</f>
        <v/>
      </c>
      <c r="B1305" s="112" t="str">
        <f>'Sampling Data'!A1298</f>
        <v>LAKEWOOD -02-F - ABS</v>
      </c>
      <c r="C1305" s="112">
        <f>'Sampling Data'!B1298</f>
        <v>8</v>
      </c>
      <c r="D1305" s="112">
        <f>'Sampling Data'!C1298</f>
        <v>1</v>
      </c>
      <c r="E1305" s="113">
        <f>'Sampling Data'!D1298</f>
        <v>2</v>
      </c>
      <c r="F1305" s="113">
        <f>'Sampling Data'!E1298</f>
        <v>2</v>
      </c>
      <c r="G1305" s="113">
        <f>'Sampling Data'!F1298</f>
        <v>0</v>
      </c>
      <c r="H1305" s="113">
        <f>'Sampling Data'!G1298</f>
        <v>0</v>
      </c>
      <c r="I1305" s="112">
        <f>'Sampling Data'!H1298</f>
        <v>0</v>
      </c>
      <c r="J1305" s="112">
        <f>'Sampling Data'!I1298</f>
        <v>0</v>
      </c>
      <c r="K1305" s="112">
        <f>'Sampling Data'!J1298</f>
        <v>13</v>
      </c>
      <c r="L1305" s="111">
        <f>'Sampling Data'!X1298</f>
        <v>0</v>
      </c>
      <c r="M1305" s="114"/>
      <c r="N1305" s="114"/>
      <c r="O1305" s="115"/>
      <c r="P1305" s="115"/>
      <c r="Q1305" s="116"/>
      <c r="R1305" s="116"/>
      <c r="S1305" s="111">
        <f>Audit[[#This Row],[Audit Losing Candidate]]-Audit[[#This Row],[Losing Candidate]]</f>
        <v>-8</v>
      </c>
      <c r="T1305" s="111">
        <f>Audit[[#This Row],[Audit Winning Candidate]]-Audit[[#This Row],[Winning Candidate]]</f>
        <v>-1</v>
      </c>
      <c r="U1305" s="111">
        <f>Audit[[#This Row],[Audit Candidate 3]]-Audit[[#This Row],[Candidate 3]]</f>
        <v>-2</v>
      </c>
      <c r="V1305" s="111">
        <f>Audit[[#This Row],[Audit Candidate 4]]-Audit[[#This Row],[Candidate 4]]</f>
        <v>-2</v>
      </c>
      <c r="W1305" s="111">
        <f>Audit[[#This Row],[Audit Candidate 5]]-Audit[[#This Row],[Candidate 5]]</f>
        <v>0</v>
      </c>
      <c r="X1305" s="111">
        <f>Audit[[#This Row],[Audit Candidate 6]]-Audit[[#This Row],[Candidate 6]]</f>
        <v>0</v>
      </c>
      <c r="Y1305" s="111">
        <f>SUMIF(Audit[[#This Row],[Difference Loser]:[Difference Candidate 6]], "&gt;0")</f>
        <v>0</v>
      </c>
      <c r="Z1305" s="111">
        <f>SUM(Audit[[#This Row],[Difference Loser]:[Difference Candidate 6]])</f>
        <v>-13</v>
      </c>
      <c r="AA1305" s="111">
        <f>IF(Audit[[#This Row],[Times p Drawn - With Replacement]]&gt;0, IF(Audit[[#This Row],[Canceled Differences]]&lt;0, Audit[[#This Row],[Max Differences]]+ABS(Audit[[#This Row],[Canceled Differences]]), Audit[[#This Row],[Max Differences]]), 0)</f>
        <v>0</v>
      </c>
      <c r="AB1305" s="111">
        <f>'Sampling Data'!P1298</f>
        <v>3.8713423879730297E-4</v>
      </c>
      <c r="AC1305" s="111">
        <f>IF(
      SUM(Audit[[#This Row],[Audit Losing Candidate]:[Audit Candidate 6]])
      &lt;&gt;0,
      (Audit[[#This Row],[Winning Candidate]]-Audit[[#This Row],[Losing Candidate]]-(Audit[[#This Row],[Audit Winning Candidate]]-Audit[[#This Row],[Audit Losing Candidate]]))/(Audit[[#Totals],[Winning Candidate]]-Audit[[#Totals],[Losing Candidate]]),
      0
)</f>
        <v>0</v>
      </c>
      <c r="AD13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5" s="111">
        <f>IF(Audit[[#This Row],[Max Relative Error (ep)]] = 0, 0, Audit[[#This Row],[Max Relative Error (ep)]]/Audit[[#This Row],[Error Bound (up) - Max. possible relative overstatement]])</f>
        <v>0</v>
      </c>
      <c r="AJ13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05" s="111">
        <f t="shared" si="20"/>
        <v>1</v>
      </c>
      <c r="AL1305" s="111">
        <f>PRODUCT($AK$5:AK1305)</f>
        <v>8.962823818226312E-2</v>
      </c>
      <c r="AM1305" s="109">
        <f>1 - [K-M P Value]</f>
        <v>0.91037176181773694</v>
      </c>
      <c r="AN1305" s="111" t="str">
        <f>IF(Audit[[#This Row],[K-M P Value]]&gt;1-'General Info'!$B$16,"Continue", "Stop")</f>
        <v>Stop</v>
      </c>
      <c r="AO1305" s="110" t="b">
        <f>IF(Audit[[#This Row],[Status - Continue or stop audit]] = "Continue", TRUE, IF(AN1304 = "Continue", TRUE, FALSE))</f>
        <v>0</v>
      </c>
      <c r="AP1305" s="110"/>
    </row>
    <row r="1306" spans="1:42" ht="15" hidden="1" customHeight="1">
      <c r="A1306" s="111" t="str">
        <f>'Sampling Data'!W1299</f>
        <v/>
      </c>
      <c r="B1306" s="112" t="str">
        <f>'Sampling Data'!A1299</f>
        <v>LAKEWOOD -02-G</v>
      </c>
      <c r="C1306" s="112">
        <f>'Sampling Data'!B1299</f>
        <v>13</v>
      </c>
      <c r="D1306" s="112">
        <f>'Sampling Data'!C1299</f>
        <v>24</v>
      </c>
      <c r="E1306" s="113">
        <f>'Sampling Data'!D1299</f>
        <v>3</v>
      </c>
      <c r="F1306" s="113">
        <f>'Sampling Data'!E1299</f>
        <v>9</v>
      </c>
      <c r="G1306" s="113">
        <f>'Sampling Data'!F1299</f>
        <v>0</v>
      </c>
      <c r="H1306" s="113">
        <f>'Sampling Data'!G1299</f>
        <v>0</v>
      </c>
      <c r="I1306" s="112">
        <f>'Sampling Data'!H1299</f>
        <v>0</v>
      </c>
      <c r="J1306" s="112">
        <f>'Sampling Data'!I1299</f>
        <v>1</v>
      </c>
      <c r="K1306" s="112">
        <f>'Sampling Data'!J1299</f>
        <v>50</v>
      </c>
      <c r="L1306" s="111">
        <f>'Sampling Data'!X1299</f>
        <v>0</v>
      </c>
      <c r="M1306" s="114"/>
      <c r="N1306" s="114"/>
      <c r="O1306" s="115"/>
      <c r="P1306" s="115"/>
      <c r="Q1306" s="116"/>
      <c r="R1306" s="116"/>
      <c r="S1306" s="111">
        <f>Audit[[#This Row],[Audit Losing Candidate]]-Audit[[#This Row],[Losing Candidate]]</f>
        <v>-13</v>
      </c>
      <c r="T1306" s="111">
        <f>Audit[[#This Row],[Audit Winning Candidate]]-Audit[[#This Row],[Winning Candidate]]</f>
        <v>-24</v>
      </c>
      <c r="U1306" s="111">
        <f>Audit[[#This Row],[Audit Candidate 3]]-Audit[[#This Row],[Candidate 3]]</f>
        <v>-3</v>
      </c>
      <c r="V1306" s="111">
        <f>Audit[[#This Row],[Audit Candidate 4]]-Audit[[#This Row],[Candidate 4]]</f>
        <v>-9</v>
      </c>
      <c r="W1306" s="111">
        <f>Audit[[#This Row],[Audit Candidate 5]]-Audit[[#This Row],[Candidate 5]]</f>
        <v>0</v>
      </c>
      <c r="X1306" s="111">
        <f>Audit[[#This Row],[Audit Candidate 6]]-Audit[[#This Row],[Candidate 6]]</f>
        <v>0</v>
      </c>
      <c r="Y1306" s="111">
        <f>SUMIF(Audit[[#This Row],[Difference Loser]:[Difference Candidate 6]], "&gt;0")</f>
        <v>0</v>
      </c>
      <c r="Z1306" s="111">
        <f>SUM(Audit[[#This Row],[Difference Loser]:[Difference Candidate 6]])</f>
        <v>-49</v>
      </c>
      <c r="AA1306" s="111">
        <f>IF(Audit[[#This Row],[Times p Drawn - With Replacement]]&gt;0, IF(Audit[[#This Row],[Canceled Differences]]&lt;0, Audit[[#This Row],[Max Differences]]+ABS(Audit[[#This Row],[Canceled Differences]]), Audit[[#This Row],[Max Differences]]), 0)</f>
        <v>0</v>
      </c>
      <c r="AB1306" s="111">
        <f>'Sampling Data'!P1299</f>
        <v>3.7359137677609017E-3</v>
      </c>
      <c r="AC1306" s="111">
        <f>IF(
      SUM(Audit[[#This Row],[Audit Losing Candidate]:[Audit Candidate 6]])
      &lt;&gt;0,
      (Audit[[#This Row],[Winning Candidate]]-Audit[[#This Row],[Losing Candidate]]-(Audit[[#This Row],[Audit Winning Candidate]]-Audit[[#This Row],[Audit Losing Candidate]]))/(Audit[[#Totals],[Winning Candidate]]-Audit[[#Totals],[Losing Candidate]]),
      0
)</f>
        <v>0</v>
      </c>
      <c r="AD13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6" s="111">
        <f>IF(Audit[[#This Row],[Max Relative Error (ep)]] = 0, 0, Audit[[#This Row],[Max Relative Error (ep)]]/Audit[[#This Row],[Error Bound (up) - Max. possible relative overstatement]])</f>
        <v>0</v>
      </c>
      <c r="AJ13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06" s="111">
        <f t="shared" si="20"/>
        <v>1</v>
      </c>
      <c r="AL1306" s="111">
        <f>PRODUCT($AK$5:AK1306)</f>
        <v>8.962823818226312E-2</v>
      </c>
      <c r="AM1306" s="109">
        <f>1 - [K-M P Value]</f>
        <v>0.91037176181773694</v>
      </c>
      <c r="AN1306" s="111" t="str">
        <f>IF(Audit[[#This Row],[K-M P Value]]&gt;1-'General Info'!$B$16,"Continue", "Stop")</f>
        <v>Stop</v>
      </c>
      <c r="AO1306" s="110" t="b">
        <f>IF(Audit[[#This Row],[Status - Continue or stop audit]] = "Continue", TRUE, IF(AN1305 = "Continue", TRUE, FALSE))</f>
        <v>0</v>
      </c>
      <c r="AP1306" s="110"/>
    </row>
    <row r="1307" spans="1:42" ht="15" hidden="1" customHeight="1">
      <c r="A1307" s="111" t="str">
        <f>'Sampling Data'!W1300</f>
        <v/>
      </c>
      <c r="B1307" s="112" t="str">
        <f>'Sampling Data'!A1300</f>
        <v>LAKEWOOD -02-G - ABS</v>
      </c>
      <c r="C1307" s="112">
        <f>'Sampling Data'!B1300</f>
        <v>9</v>
      </c>
      <c r="D1307" s="112">
        <f>'Sampling Data'!C1300</f>
        <v>10</v>
      </c>
      <c r="E1307" s="113">
        <f>'Sampling Data'!D1300</f>
        <v>5</v>
      </c>
      <c r="F1307" s="113">
        <f>'Sampling Data'!E1300</f>
        <v>1</v>
      </c>
      <c r="G1307" s="113">
        <f>'Sampling Data'!F1300</f>
        <v>1</v>
      </c>
      <c r="H1307" s="113">
        <f>'Sampling Data'!G1300</f>
        <v>2</v>
      </c>
      <c r="I1307" s="112">
        <f>'Sampling Data'!H1300</f>
        <v>0</v>
      </c>
      <c r="J1307" s="112">
        <f>'Sampling Data'!I1300</f>
        <v>0</v>
      </c>
      <c r="K1307" s="112">
        <f>'Sampling Data'!J1300</f>
        <v>28</v>
      </c>
      <c r="L1307" s="111">
        <f>'Sampling Data'!X1300</f>
        <v>0</v>
      </c>
      <c r="M1307" s="114"/>
      <c r="N1307" s="114"/>
      <c r="O1307" s="115"/>
      <c r="P1307" s="115"/>
      <c r="Q1307" s="116"/>
      <c r="R1307" s="116"/>
      <c r="S1307" s="111">
        <f>Audit[[#This Row],[Audit Losing Candidate]]-Audit[[#This Row],[Losing Candidate]]</f>
        <v>-9</v>
      </c>
      <c r="T1307" s="111">
        <f>Audit[[#This Row],[Audit Winning Candidate]]-Audit[[#This Row],[Winning Candidate]]</f>
        <v>-10</v>
      </c>
      <c r="U1307" s="111">
        <f>Audit[[#This Row],[Audit Candidate 3]]-Audit[[#This Row],[Candidate 3]]</f>
        <v>-5</v>
      </c>
      <c r="V1307" s="111">
        <f>Audit[[#This Row],[Audit Candidate 4]]-Audit[[#This Row],[Candidate 4]]</f>
        <v>-1</v>
      </c>
      <c r="W1307" s="111">
        <f>Audit[[#This Row],[Audit Candidate 5]]-Audit[[#This Row],[Candidate 5]]</f>
        <v>-1</v>
      </c>
      <c r="X1307" s="111">
        <f>Audit[[#This Row],[Audit Candidate 6]]-Audit[[#This Row],[Candidate 6]]</f>
        <v>-2</v>
      </c>
      <c r="Y1307" s="111">
        <f>SUMIF(Audit[[#This Row],[Difference Loser]:[Difference Candidate 6]], "&gt;0")</f>
        <v>0</v>
      </c>
      <c r="Z1307" s="111">
        <f>SUM(Audit[[#This Row],[Difference Loser]:[Difference Candidate 6]])</f>
        <v>-28</v>
      </c>
      <c r="AA1307" s="111">
        <f>IF(Audit[[#This Row],[Times p Drawn - With Replacement]]&gt;0, IF(Audit[[#This Row],[Canceled Differences]]&lt;0, Audit[[#This Row],[Max Differences]]+ABS(Audit[[#This Row],[Canceled Differences]]), Audit[[#This Row],[Max Differences]]), 0)</f>
        <v>0</v>
      </c>
      <c r="AB1307" s="111">
        <f>'Sampling Data'!P1300</f>
        <v>1.7760901518863303E-3</v>
      </c>
      <c r="AC1307" s="111">
        <f>IF(
      SUM(Audit[[#This Row],[Audit Losing Candidate]:[Audit Candidate 6]])
      &lt;&gt;0,
      (Audit[[#This Row],[Winning Candidate]]-Audit[[#This Row],[Losing Candidate]]-(Audit[[#This Row],[Audit Winning Candidate]]-Audit[[#This Row],[Audit Losing Candidate]]))/(Audit[[#Totals],[Winning Candidate]]-Audit[[#Totals],[Losing Candidate]]),
      0
)</f>
        <v>0</v>
      </c>
      <c r="AD13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7" s="111">
        <f>IF(Audit[[#This Row],[Max Relative Error (ep)]] = 0, 0, Audit[[#This Row],[Max Relative Error (ep)]]/Audit[[#This Row],[Error Bound (up) - Max. possible relative overstatement]])</f>
        <v>0</v>
      </c>
      <c r="AJ13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07" s="111">
        <f t="shared" si="20"/>
        <v>1</v>
      </c>
      <c r="AL1307" s="111">
        <f>PRODUCT($AK$5:AK1307)</f>
        <v>8.962823818226312E-2</v>
      </c>
      <c r="AM1307" s="109">
        <f>1 - [K-M P Value]</f>
        <v>0.91037176181773694</v>
      </c>
      <c r="AN1307" s="111" t="str">
        <f>IF(Audit[[#This Row],[K-M P Value]]&gt;1-'General Info'!$B$16,"Continue", "Stop")</f>
        <v>Stop</v>
      </c>
      <c r="AO1307" s="110" t="b">
        <f>IF(Audit[[#This Row],[Status - Continue or stop audit]] = "Continue", TRUE, IF(AN1306 = "Continue", TRUE, FALSE))</f>
        <v>0</v>
      </c>
      <c r="AP1307" s="110"/>
    </row>
    <row r="1308" spans="1:42" ht="15" hidden="1" customHeight="1">
      <c r="A1308" s="111" t="str">
        <f>'Sampling Data'!W1301</f>
        <v/>
      </c>
      <c r="B1308" s="112" t="str">
        <f>'Sampling Data'!A1301</f>
        <v>LAKEWOOD -02-H</v>
      </c>
      <c r="C1308" s="112">
        <f>'Sampling Data'!B1301</f>
        <v>5</v>
      </c>
      <c r="D1308" s="112">
        <f>'Sampling Data'!C1301</f>
        <v>24</v>
      </c>
      <c r="E1308" s="113">
        <f>'Sampling Data'!D1301</f>
        <v>5</v>
      </c>
      <c r="F1308" s="113">
        <f>'Sampling Data'!E1301</f>
        <v>7</v>
      </c>
      <c r="G1308" s="113">
        <f>'Sampling Data'!F1301</f>
        <v>0</v>
      </c>
      <c r="H1308" s="113">
        <f>'Sampling Data'!G1301</f>
        <v>0</v>
      </c>
      <c r="I1308" s="112">
        <f>'Sampling Data'!H1301</f>
        <v>0</v>
      </c>
      <c r="J1308" s="112">
        <f>'Sampling Data'!I1301</f>
        <v>0</v>
      </c>
      <c r="K1308" s="112">
        <f>'Sampling Data'!J1301</f>
        <v>41</v>
      </c>
      <c r="L1308" s="111">
        <f>'Sampling Data'!X1301</f>
        <v>0</v>
      </c>
      <c r="M1308" s="114"/>
      <c r="N1308" s="114"/>
      <c r="O1308" s="115"/>
      <c r="P1308" s="115"/>
      <c r="Q1308" s="116"/>
      <c r="R1308" s="116"/>
      <c r="S1308" s="111">
        <f>Audit[[#This Row],[Audit Losing Candidate]]-Audit[[#This Row],[Losing Candidate]]</f>
        <v>-5</v>
      </c>
      <c r="T1308" s="111">
        <f>Audit[[#This Row],[Audit Winning Candidate]]-Audit[[#This Row],[Winning Candidate]]</f>
        <v>-24</v>
      </c>
      <c r="U1308" s="111">
        <f>Audit[[#This Row],[Audit Candidate 3]]-Audit[[#This Row],[Candidate 3]]</f>
        <v>-5</v>
      </c>
      <c r="V1308" s="111">
        <f>Audit[[#This Row],[Audit Candidate 4]]-Audit[[#This Row],[Candidate 4]]</f>
        <v>-7</v>
      </c>
      <c r="W1308" s="111">
        <f>Audit[[#This Row],[Audit Candidate 5]]-Audit[[#This Row],[Candidate 5]]</f>
        <v>0</v>
      </c>
      <c r="X1308" s="111">
        <f>Audit[[#This Row],[Audit Candidate 6]]-Audit[[#This Row],[Candidate 6]]</f>
        <v>0</v>
      </c>
      <c r="Y1308" s="111">
        <f>SUMIF(Audit[[#This Row],[Difference Loser]:[Difference Candidate 6]], "&gt;0")</f>
        <v>0</v>
      </c>
      <c r="Z1308" s="111">
        <f>SUM(Audit[[#This Row],[Difference Loser]:[Difference Candidate 6]])</f>
        <v>-41</v>
      </c>
      <c r="AA1308" s="111">
        <f>IF(Audit[[#This Row],[Times p Drawn - With Replacement]]&gt;0, IF(Audit[[#This Row],[Canceled Differences]]&lt;0, Audit[[#This Row],[Max Differences]]+ABS(Audit[[#This Row],[Canceled Differences]]), Audit[[#This Row],[Max Differences]]), 0)</f>
        <v>0</v>
      </c>
      <c r="AB1308" s="111">
        <f>'Sampling Data'!P1301</f>
        <v>3.6746692797648213E-3</v>
      </c>
      <c r="AC1308" s="111">
        <f>IF(
      SUM(Audit[[#This Row],[Audit Losing Candidate]:[Audit Candidate 6]])
      &lt;&gt;0,
      (Audit[[#This Row],[Winning Candidate]]-Audit[[#This Row],[Losing Candidate]]-(Audit[[#This Row],[Audit Winning Candidate]]-Audit[[#This Row],[Audit Losing Candidate]]))/(Audit[[#Totals],[Winning Candidate]]-Audit[[#Totals],[Losing Candidate]]),
      0
)</f>
        <v>0</v>
      </c>
      <c r="AD13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8" s="111">
        <f>IF(Audit[[#This Row],[Max Relative Error (ep)]] = 0, 0, Audit[[#This Row],[Max Relative Error (ep)]]/Audit[[#This Row],[Error Bound (up) - Max. possible relative overstatement]])</f>
        <v>0</v>
      </c>
      <c r="AJ13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08" s="111">
        <f t="shared" si="20"/>
        <v>1</v>
      </c>
      <c r="AL1308" s="111">
        <f>PRODUCT($AK$5:AK1308)</f>
        <v>8.962823818226312E-2</v>
      </c>
      <c r="AM1308" s="109">
        <f>1 - [K-M P Value]</f>
        <v>0.91037176181773694</v>
      </c>
      <c r="AN1308" s="111" t="str">
        <f>IF(Audit[[#This Row],[K-M P Value]]&gt;1-'General Info'!$B$16,"Continue", "Stop")</f>
        <v>Stop</v>
      </c>
      <c r="AO1308" s="110" t="b">
        <f>IF(Audit[[#This Row],[Status - Continue or stop audit]] = "Continue", TRUE, IF(AN1307 = "Continue", TRUE, FALSE))</f>
        <v>0</v>
      </c>
      <c r="AP1308" s="110"/>
    </row>
    <row r="1309" spans="1:42" ht="15" hidden="1" customHeight="1">
      <c r="A1309" s="111" t="str">
        <f>'Sampling Data'!W1302</f>
        <v/>
      </c>
      <c r="B1309" s="112" t="str">
        <f>'Sampling Data'!A1302</f>
        <v>LAKEWOOD -02-H - ABS</v>
      </c>
      <c r="C1309" s="112">
        <f>'Sampling Data'!B1302</f>
        <v>10</v>
      </c>
      <c r="D1309" s="112">
        <f>'Sampling Data'!C1302</f>
        <v>5</v>
      </c>
      <c r="E1309" s="113">
        <f>'Sampling Data'!D1302</f>
        <v>4</v>
      </c>
      <c r="F1309" s="113">
        <f>'Sampling Data'!E1302</f>
        <v>1</v>
      </c>
      <c r="G1309" s="113">
        <f>'Sampling Data'!F1302</f>
        <v>0</v>
      </c>
      <c r="H1309" s="113">
        <f>'Sampling Data'!G1302</f>
        <v>0</v>
      </c>
      <c r="I1309" s="112">
        <f>'Sampling Data'!H1302</f>
        <v>0</v>
      </c>
      <c r="J1309" s="112">
        <f>'Sampling Data'!I1302</f>
        <v>1</v>
      </c>
      <c r="K1309" s="112">
        <f>'Sampling Data'!J1302</f>
        <v>21</v>
      </c>
      <c r="L1309" s="111">
        <f>'Sampling Data'!X1302</f>
        <v>0</v>
      </c>
      <c r="M1309" s="114"/>
      <c r="N1309" s="114"/>
      <c r="O1309" s="115"/>
      <c r="P1309" s="115"/>
      <c r="Q1309" s="116"/>
      <c r="R1309" s="116"/>
      <c r="S1309" s="111">
        <f>Audit[[#This Row],[Audit Losing Candidate]]-Audit[[#This Row],[Losing Candidate]]</f>
        <v>-10</v>
      </c>
      <c r="T1309" s="111">
        <f>Audit[[#This Row],[Audit Winning Candidate]]-Audit[[#This Row],[Winning Candidate]]</f>
        <v>-5</v>
      </c>
      <c r="U1309" s="111">
        <f>Audit[[#This Row],[Audit Candidate 3]]-Audit[[#This Row],[Candidate 3]]</f>
        <v>-4</v>
      </c>
      <c r="V1309" s="111">
        <f>Audit[[#This Row],[Audit Candidate 4]]-Audit[[#This Row],[Candidate 4]]</f>
        <v>-1</v>
      </c>
      <c r="W1309" s="111">
        <f>Audit[[#This Row],[Audit Candidate 5]]-Audit[[#This Row],[Candidate 5]]</f>
        <v>0</v>
      </c>
      <c r="X1309" s="111">
        <f>Audit[[#This Row],[Audit Candidate 6]]-Audit[[#This Row],[Candidate 6]]</f>
        <v>0</v>
      </c>
      <c r="Y1309" s="111">
        <f>SUMIF(Audit[[#This Row],[Difference Loser]:[Difference Candidate 6]], "&gt;0")</f>
        <v>0</v>
      </c>
      <c r="Z1309" s="111">
        <f>SUM(Audit[[#This Row],[Difference Loser]:[Difference Candidate 6]])</f>
        <v>-20</v>
      </c>
      <c r="AA1309" s="111">
        <f>IF(Audit[[#This Row],[Times p Drawn - With Replacement]]&gt;0, IF(Audit[[#This Row],[Canceled Differences]]&lt;0, Audit[[#This Row],[Max Differences]]+ABS(Audit[[#This Row],[Canceled Differences]]), Audit[[#This Row],[Max Differences]]), 0)</f>
        <v>0</v>
      </c>
      <c r="AB1309" s="111">
        <f>'Sampling Data'!P1302</f>
        <v>9.7991180793728563E-4</v>
      </c>
      <c r="AC1309" s="111">
        <f>IF(
      SUM(Audit[[#This Row],[Audit Losing Candidate]:[Audit Candidate 6]])
      &lt;&gt;0,
      (Audit[[#This Row],[Winning Candidate]]-Audit[[#This Row],[Losing Candidate]]-(Audit[[#This Row],[Audit Winning Candidate]]-Audit[[#This Row],[Audit Losing Candidate]]))/(Audit[[#Totals],[Winning Candidate]]-Audit[[#Totals],[Losing Candidate]]),
      0
)</f>
        <v>0</v>
      </c>
      <c r="AD13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9" s="111">
        <f>IF(Audit[[#This Row],[Max Relative Error (ep)]] = 0, 0, Audit[[#This Row],[Max Relative Error (ep)]]/Audit[[#This Row],[Error Bound (up) - Max. possible relative overstatement]])</f>
        <v>0</v>
      </c>
      <c r="AJ13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09" s="111">
        <f t="shared" si="20"/>
        <v>1</v>
      </c>
      <c r="AL1309" s="111">
        <f>PRODUCT($AK$5:AK1309)</f>
        <v>8.962823818226312E-2</v>
      </c>
      <c r="AM1309" s="109">
        <f>1 - [K-M P Value]</f>
        <v>0.91037176181773694</v>
      </c>
      <c r="AN1309" s="111" t="str">
        <f>IF(Audit[[#This Row],[K-M P Value]]&gt;1-'General Info'!$B$16,"Continue", "Stop")</f>
        <v>Stop</v>
      </c>
      <c r="AO1309" s="110" t="b">
        <f>IF(Audit[[#This Row],[Status - Continue or stop audit]] = "Continue", TRUE, IF(AN1308 = "Continue", TRUE, FALSE))</f>
        <v>0</v>
      </c>
      <c r="AP1309" s="110"/>
    </row>
    <row r="1310" spans="1:42" ht="15" hidden="1" customHeight="1">
      <c r="A1310" s="111" t="str">
        <f>'Sampling Data'!W1303</f>
        <v/>
      </c>
      <c r="B1310" s="112" t="str">
        <f>'Sampling Data'!A1303</f>
        <v>LAKEWOOD -02-I</v>
      </c>
      <c r="C1310" s="112">
        <f>'Sampling Data'!B1303</f>
        <v>16</v>
      </c>
      <c r="D1310" s="112">
        <f>'Sampling Data'!C1303</f>
        <v>22</v>
      </c>
      <c r="E1310" s="113">
        <f>'Sampling Data'!D1303</f>
        <v>4</v>
      </c>
      <c r="F1310" s="113">
        <f>'Sampling Data'!E1303</f>
        <v>13</v>
      </c>
      <c r="G1310" s="113">
        <f>'Sampling Data'!F1303</f>
        <v>0</v>
      </c>
      <c r="H1310" s="113">
        <f>'Sampling Data'!G1303</f>
        <v>0</v>
      </c>
      <c r="I1310" s="112">
        <f>'Sampling Data'!H1303</f>
        <v>0</v>
      </c>
      <c r="J1310" s="112">
        <f>'Sampling Data'!I1303</f>
        <v>0</v>
      </c>
      <c r="K1310" s="112">
        <f>'Sampling Data'!J1303</f>
        <v>55</v>
      </c>
      <c r="L1310" s="111">
        <f>'Sampling Data'!X1303</f>
        <v>0</v>
      </c>
      <c r="M1310" s="114"/>
      <c r="N1310" s="114"/>
      <c r="O1310" s="115"/>
      <c r="P1310" s="115"/>
      <c r="Q1310" s="116"/>
      <c r="R1310" s="116"/>
      <c r="S1310" s="111">
        <f>Audit[[#This Row],[Audit Losing Candidate]]-Audit[[#This Row],[Losing Candidate]]</f>
        <v>-16</v>
      </c>
      <c r="T1310" s="111">
        <f>Audit[[#This Row],[Audit Winning Candidate]]-Audit[[#This Row],[Winning Candidate]]</f>
        <v>-22</v>
      </c>
      <c r="U1310" s="111">
        <f>Audit[[#This Row],[Audit Candidate 3]]-Audit[[#This Row],[Candidate 3]]</f>
        <v>-4</v>
      </c>
      <c r="V1310" s="111">
        <f>Audit[[#This Row],[Audit Candidate 4]]-Audit[[#This Row],[Candidate 4]]</f>
        <v>-13</v>
      </c>
      <c r="W1310" s="111">
        <f>Audit[[#This Row],[Audit Candidate 5]]-Audit[[#This Row],[Candidate 5]]</f>
        <v>0</v>
      </c>
      <c r="X1310" s="111">
        <f>Audit[[#This Row],[Audit Candidate 6]]-Audit[[#This Row],[Candidate 6]]</f>
        <v>0</v>
      </c>
      <c r="Y1310" s="111">
        <f>SUMIF(Audit[[#This Row],[Difference Loser]:[Difference Candidate 6]], "&gt;0")</f>
        <v>0</v>
      </c>
      <c r="Z1310" s="111">
        <f>SUM(Audit[[#This Row],[Difference Loser]:[Difference Candidate 6]])</f>
        <v>-55</v>
      </c>
      <c r="AA1310" s="111">
        <f>IF(Audit[[#This Row],[Times p Drawn - With Replacement]]&gt;0, IF(Audit[[#This Row],[Canceled Differences]]&lt;0, Audit[[#This Row],[Max Differences]]+ABS(Audit[[#This Row],[Canceled Differences]]), Audit[[#This Row],[Max Differences]]), 0)</f>
        <v>0</v>
      </c>
      <c r="AB1310" s="111">
        <f>'Sampling Data'!P1303</f>
        <v>3.7359137677609017E-3</v>
      </c>
      <c r="AC1310" s="111">
        <f>IF(
      SUM(Audit[[#This Row],[Audit Losing Candidate]:[Audit Candidate 6]])
      &lt;&gt;0,
      (Audit[[#This Row],[Winning Candidate]]-Audit[[#This Row],[Losing Candidate]]-(Audit[[#This Row],[Audit Winning Candidate]]-Audit[[#This Row],[Audit Losing Candidate]]))/(Audit[[#Totals],[Winning Candidate]]-Audit[[#Totals],[Losing Candidate]]),
      0
)</f>
        <v>0</v>
      </c>
      <c r="AD13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0" s="111">
        <f>IF(Audit[[#This Row],[Max Relative Error (ep)]] = 0, 0, Audit[[#This Row],[Max Relative Error (ep)]]/Audit[[#This Row],[Error Bound (up) - Max. possible relative overstatement]])</f>
        <v>0</v>
      </c>
      <c r="AJ13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10" s="111">
        <f t="shared" si="20"/>
        <v>1</v>
      </c>
      <c r="AL1310" s="111">
        <f>PRODUCT($AK$5:AK1310)</f>
        <v>8.962823818226312E-2</v>
      </c>
      <c r="AM1310" s="109">
        <f>1 - [K-M P Value]</f>
        <v>0.91037176181773694</v>
      </c>
      <c r="AN1310" s="111" t="str">
        <f>IF(Audit[[#This Row],[K-M P Value]]&gt;1-'General Info'!$B$16,"Continue", "Stop")</f>
        <v>Stop</v>
      </c>
      <c r="AO1310" s="110" t="b">
        <f>IF(Audit[[#This Row],[Status - Continue or stop audit]] = "Continue", TRUE, IF(AN1309 = "Continue", TRUE, FALSE))</f>
        <v>0</v>
      </c>
      <c r="AP1310" s="110"/>
    </row>
    <row r="1311" spans="1:42" ht="15" hidden="1" customHeight="1">
      <c r="A1311" s="111" t="str">
        <f>'Sampling Data'!W1304</f>
        <v/>
      </c>
      <c r="B1311" s="112" t="str">
        <f>'Sampling Data'!A1304</f>
        <v>LAKEWOOD -02-I - ABS</v>
      </c>
      <c r="C1311" s="112">
        <f>'Sampling Data'!B1304</f>
        <v>7</v>
      </c>
      <c r="D1311" s="112">
        <f>'Sampling Data'!C1304</f>
        <v>1</v>
      </c>
      <c r="E1311" s="113">
        <f>'Sampling Data'!D1304</f>
        <v>1</v>
      </c>
      <c r="F1311" s="113">
        <f>'Sampling Data'!E1304</f>
        <v>3</v>
      </c>
      <c r="G1311" s="113">
        <f>'Sampling Data'!F1304</f>
        <v>0</v>
      </c>
      <c r="H1311" s="113">
        <f>'Sampling Data'!G1304</f>
        <v>0</v>
      </c>
      <c r="I1311" s="112">
        <f>'Sampling Data'!H1304</f>
        <v>0</v>
      </c>
      <c r="J1311" s="112">
        <f>'Sampling Data'!I1304</f>
        <v>0</v>
      </c>
      <c r="K1311" s="112">
        <f>'Sampling Data'!J1304</f>
        <v>12</v>
      </c>
      <c r="L1311" s="111">
        <f>'Sampling Data'!X1304</f>
        <v>0</v>
      </c>
      <c r="M1311" s="114"/>
      <c r="N1311" s="114"/>
      <c r="O1311" s="115"/>
      <c r="P1311" s="115"/>
      <c r="Q1311" s="116"/>
      <c r="R1311" s="116"/>
      <c r="S1311" s="111">
        <f>Audit[[#This Row],[Audit Losing Candidate]]-Audit[[#This Row],[Losing Candidate]]</f>
        <v>-7</v>
      </c>
      <c r="T1311" s="111">
        <f>Audit[[#This Row],[Audit Winning Candidate]]-Audit[[#This Row],[Winning Candidate]]</f>
        <v>-1</v>
      </c>
      <c r="U1311" s="111">
        <f>Audit[[#This Row],[Audit Candidate 3]]-Audit[[#This Row],[Candidate 3]]</f>
        <v>-1</v>
      </c>
      <c r="V1311" s="111">
        <f>Audit[[#This Row],[Audit Candidate 4]]-Audit[[#This Row],[Candidate 4]]</f>
        <v>-3</v>
      </c>
      <c r="W1311" s="111">
        <f>Audit[[#This Row],[Audit Candidate 5]]-Audit[[#This Row],[Candidate 5]]</f>
        <v>0</v>
      </c>
      <c r="X1311" s="111">
        <f>Audit[[#This Row],[Audit Candidate 6]]-Audit[[#This Row],[Candidate 6]]</f>
        <v>0</v>
      </c>
      <c r="Y1311" s="111">
        <f>SUMIF(Audit[[#This Row],[Difference Loser]:[Difference Candidate 6]], "&gt;0")</f>
        <v>0</v>
      </c>
      <c r="Z1311" s="111">
        <f>SUM(Audit[[#This Row],[Difference Loser]:[Difference Candidate 6]])</f>
        <v>-12</v>
      </c>
      <c r="AA1311" s="111">
        <f>IF(Audit[[#This Row],[Times p Drawn - With Replacement]]&gt;0, IF(Audit[[#This Row],[Canceled Differences]]&lt;0, Audit[[#This Row],[Max Differences]]+ABS(Audit[[#This Row],[Canceled Differences]]), Audit[[#This Row],[Max Differences]]), 0)</f>
        <v>0</v>
      </c>
      <c r="AB1311" s="111">
        <f>'Sampling Data'!P1304</f>
        <v>3.8713423879730297E-4</v>
      </c>
      <c r="AC1311" s="111">
        <f>IF(
      SUM(Audit[[#This Row],[Audit Losing Candidate]:[Audit Candidate 6]])
      &lt;&gt;0,
      (Audit[[#This Row],[Winning Candidate]]-Audit[[#This Row],[Losing Candidate]]-(Audit[[#This Row],[Audit Winning Candidate]]-Audit[[#This Row],[Audit Losing Candidate]]))/(Audit[[#Totals],[Winning Candidate]]-Audit[[#Totals],[Losing Candidate]]),
      0
)</f>
        <v>0</v>
      </c>
      <c r="AD13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1" s="111">
        <f>IF(Audit[[#This Row],[Max Relative Error (ep)]] = 0, 0, Audit[[#This Row],[Max Relative Error (ep)]]/Audit[[#This Row],[Error Bound (up) - Max. possible relative overstatement]])</f>
        <v>0</v>
      </c>
      <c r="AJ13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11" s="111">
        <f t="shared" si="20"/>
        <v>1</v>
      </c>
      <c r="AL1311" s="111">
        <f>PRODUCT($AK$5:AK1311)</f>
        <v>8.962823818226312E-2</v>
      </c>
      <c r="AM1311" s="109">
        <f>1 - [K-M P Value]</f>
        <v>0.91037176181773694</v>
      </c>
      <c r="AN1311" s="111" t="str">
        <f>IF(Audit[[#This Row],[K-M P Value]]&gt;1-'General Info'!$B$16,"Continue", "Stop")</f>
        <v>Stop</v>
      </c>
      <c r="AO1311" s="110" t="b">
        <f>IF(Audit[[#This Row],[Status - Continue or stop audit]] = "Continue", TRUE, IF(AN1310 = "Continue", TRUE, FALSE))</f>
        <v>0</v>
      </c>
      <c r="AP1311" s="110"/>
    </row>
    <row r="1312" spans="1:42" ht="15" hidden="1" customHeight="1">
      <c r="A1312" s="111" t="str">
        <f>'Sampling Data'!W1305</f>
        <v/>
      </c>
      <c r="B1312" s="112" t="str">
        <f>'Sampling Data'!A1305</f>
        <v>LAKEWOOD -02-J</v>
      </c>
      <c r="C1312" s="112">
        <f>'Sampling Data'!B1305</f>
        <v>27</v>
      </c>
      <c r="D1312" s="112">
        <f>'Sampling Data'!C1305</f>
        <v>34</v>
      </c>
      <c r="E1312" s="113">
        <f>'Sampling Data'!D1305</f>
        <v>9</v>
      </c>
      <c r="F1312" s="113">
        <f>'Sampling Data'!E1305</f>
        <v>9</v>
      </c>
      <c r="G1312" s="113">
        <f>'Sampling Data'!F1305</f>
        <v>2</v>
      </c>
      <c r="H1312" s="113">
        <f>'Sampling Data'!G1305</f>
        <v>0</v>
      </c>
      <c r="I1312" s="112">
        <f>'Sampling Data'!H1305</f>
        <v>0</v>
      </c>
      <c r="J1312" s="112">
        <f>'Sampling Data'!I1305</f>
        <v>1</v>
      </c>
      <c r="K1312" s="112">
        <f>'Sampling Data'!J1305</f>
        <v>82</v>
      </c>
      <c r="L1312" s="111">
        <f>'Sampling Data'!X1305</f>
        <v>0</v>
      </c>
      <c r="M1312" s="114"/>
      <c r="N1312" s="114"/>
      <c r="O1312" s="115"/>
      <c r="P1312" s="115"/>
      <c r="Q1312" s="116"/>
      <c r="R1312" s="116"/>
      <c r="S1312" s="111">
        <f>Audit[[#This Row],[Audit Losing Candidate]]-Audit[[#This Row],[Losing Candidate]]</f>
        <v>-27</v>
      </c>
      <c r="T1312" s="111">
        <f>Audit[[#This Row],[Audit Winning Candidate]]-Audit[[#This Row],[Winning Candidate]]</f>
        <v>-34</v>
      </c>
      <c r="U1312" s="111">
        <f>Audit[[#This Row],[Audit Candidate 3]]-Audit[[#This Row],[Candidate 3]]</f>
        <v>-9</v>
      </c>
      <c r="V1312" s="111">
        <f>Audit[[#This Row],[Audit Candidate 4]]-Audit[[#This Row],[Candidate 4]]</f>
        <v>-9</v>
      </c>
      <c r="W1312" s="111">
        <f>Audit[[#This Row],[Audit Candidate 5]]-Audit[[#This Row],[Candidate 5]]</f>
        <v>-2</v>
      </c>
      <c r="X1312" s="111">
        <f>Audit[[#This Row],[Audit Candidate 6]]-Audit[[#This Row],[Candidate 6]]</f>
        <v>0</v>
      </c>
      <c r="Y1312" s="111">
        <f>SUMIF(Audit[[#This Row],[Difference Loser]:[Difference Candidate 6]], "&gt;0")</f>
        <v>0</v>
      </c>
      <c r="Z1312" s="111">
        <f>SUM(Audit[[#This Row],[Difference Loser]:[Difference Candidate 6]])</f>
        <v>-81</v>
      </c>
      <c r="AA1312" s="111">
        <f>IF(Audit[[#This Row],[Times p Drawn - With Replacement]]&gt;0, IF(Audit[[#This Row],[Canceled Differences]]&lt;0, Audit[[#This Row],[Max Differences]]+ABS(Audit[[#This Row],[Canceled Differences]]), Audit[[#This Row],[Max Differences]]), 0)</f>
        <v>0</v>
      </c>
      <c r="AB1312" s="111">
        <f>'Sampling Data'!P1305</f>
        <v>5.4507594316511518E-3</v>
      </c>
      <c r="AC1312" s="111">
        <f>IF(
      SUM(Audit[[#This Row],[Audit Losing Candidate]:[Audit Candidate 6]])
      &lt;&gt;0,
      (Audit[[#This Row],[Winning Candidate]]-Audit[[#This Row],[Losing Candidate]]-(Audit[[#This Row],[Audit Winning Candidate]]-Audit[[#This Row],[Audit Losing Candidate]]))/(Audit[[#Totals],[Winning Candidate]]-Audit[[#Totals],[Losing Candidate]]),
      0
)</f>
        <v>0</v>
      </c>
      <c r="AD13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2" s="111">
        <f>IF(Audit[[#This Row],[Max Relative Error (ep)]] = 0, 0, Audit[[#This Row],[Max Relative Error (ep)]]/Audit[[#This Row],[Error Bound (up) - Max. possible relative overstatement]])</f>
        <v>0</v>
      </c>
      <c r="AJ13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12" s="111">
        <f t="shared" si="20"/>
        <v>1</v>
      </c>
      <c r="AL1312" s="111">
        <f>PRODUCT($AK$5:AK1312)</f>
        <v>8.962823818226312E-2</v>
      </c>
      <c r="AM1312" s="109">
        <f>1 - [K-M P Value]</f>
        <v>0.91037176181773694</v>
      </c>
      <c r="AN1312" s="111" t="str">
        <f>IF(Audit[[#This Row],[K-M P Value]]&gt;1-'General Info'!$B$16,"Continue", "Stop")</f>
        <v>Stop</v>
      </c>
      <c r="AO1312" s="110" t="b">
        <f>IF(Audit[[#This Row],[Status - Continue or stop audit]] = "Continue", TRUE, IF(AN1311 = "Continue", TRUE, FALSE))</f>
        <v>0</v>
      </c>
      <c r="AP1312" s="110"/>
    </row>
    <row r="1313" spans="1:42" ht="15" hidden="1" customHeight="1">
      <c r="A1313" s="111" t="str">
        <f>'Sampling Data'!W1306</f>
        <v/>
      </c>
      <c r="B1313" s="112" t="str">
        <f>'Sampling Data'!A1306</f>
        <v>LAKEWOOD -02-J - ABS</v>
      </c>
      <c r="C1313" s="112">
        <f>'Sampling Data'!B1306</f>
        <v>7</v>
      </c>
      <c r="D1313" s="112">
        <f>'Sampling Data'!C1306</f>
        <v>12</v>
      </c>
      <c r="E1313" s="113">
        <f>'Sampling Data'!D1306</f>
        <v>3</v>
      </c>
      <c r="F1313" s="113">
        <f>'Sampling Data'!E1306</f>
        <v>2</v>
      </c>
      <c r="G1313" s="113">
        <f>'Sampling Data'!F1306</f>
        <v>1</v>
      </c>
      <c r="H1313" s="113">
        <f>'Sampling Data'!G1306</f>
        <v>0</v>
      </c>
      <c r="I1313" s="112">
        <f>'Sampling Data'!H1306</f>
        <v>0</v>
      </c>
      <c r="J1313" s="112">
        <f>'Sampling Data'!I1306</f>
        <v>0</v>
      </c>
      <c r="K1313" s="112">
        <f>'Sampling Data'!J1306</f>
        <v>25</v>
      </c>
      <c r="L1313" s="111">
        <f>'Sampling Data'!X1306</f>
        <v>0</v>
      </c>
      <c r="M1313" s="114"/>
      <c r="N1313" s="114"/>
      <c r="O1313" s="115"/>
      <c r="P1313" s="115"/>
      <c r="Q1313" s="116"/>
      <c r="R1313" s="116"/>
      <c r="S1313" s="111">
        <f>Audit[[#This Row],[Audit Losing Candidate]]-Audit[[#This Row],[Losing Candidate]]</f>
        <v>-7</v>
      </c>
      <c r="T1313" s="111">
        <f>Audit[[#This Row],[Audit Winning Candidate]]-Audit[[#This Row],[Winning Candidate]]</f>
        <v>-12</v>
      </c>
      <c r="U1313" s="111">
        <f>Audit[[#This Row],[Audit Candidate 3]]-Audit[[#This Row],[Candidate 3]]</f>
        <v>-3</v>
      </c>
      <c r="V1313" s="111">
        <f>Audit[[#This Row],[Audit Candidate 4]]-Audit[[#This Row],[Candidate 4]]</f>
        <v>-2</v>
      </c>
      <c r="W1313" s="111">
        <f>Audit[[#This Row],[Audit Candidate 5]]-Audit[[#This Row],[Candidate 5]]</f>
        <v>-1</v>
      </c>
      <c r="X1313" s="111">
        <f>Audit[[#This Row],[Audit Candidate 6]]-Audit[[#This Row],[Candidate 6]]</f>
        <v>0</v>
      </c>
      <c r="Y1313" s="111">
        <f>SUMIF(Audit[[#This Row],[Difference Loser]:[Difference Candidate 6]], "&gt;0")</f>
        <v>0</v>
      </c>
      <c r="Z1313" s="111">
        <f>SUM(Audit[[#This Row],[Difference Loser]:[Difference Candidate 6]])</f>
        <v>-25</v>
      </c>
      <c r="AA1313" s="111">
        <f>IF(Audit[[#This Row],[Times p Drawn - With Replacement]]&gt;0, IF(Audit[[#This Row],[Canceled Differences]]&lt;0, Audit[[#This Row],[Max Differences]]+ABS(Audit[[#This Row],[Canceled Differences]]), Audit[[#This Row],[Max Differences]]), 0)</f>
        <v>0</v>
      </c>
      <c r="AB1313" s="111">
        <f>'Sampling Data'!P1306</f>
        <v>1.8373346398824107E-3</v>
      </c>
      <c r="AC1313" s="111">
        <f>IF(
      SUM(Audit[[#This Row],[Audit Losing Candidate]:[Audit Candidate 6]])
      &lt;&gt;0,
      (Audit[[#This Row],[Winning Candidate]]-Audit[[#This Row],[Losing Candidate]]-(Audit[[#This Row],[Audit Winning Candidate]]-Audit[[#This Row],[Audit Losing Candidate]]))/(Audit[[#Totals],[Winning Candidate]]-Audit[[#Totals],[Losing Candidate]]),
      0
)</f>
        <v>0</v>
      </c>
      <c r="AD13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3" s="111">
        <f>IF(Audit[[#This Row],[Max Relative Error (ep)]] = 0, 0, Audit[[#This Row],[Max Relative Error (ep)]]/Audit[[#This Row],[Error Bound (up) - Max. possible relative overstatement]])</f>
        <v>0</v>
      </c>
      <c r="AJ13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13" s="111">
        <f t="shared" si="20"/>
        <v>1</v>
      </c>
      <c r="AL1313" s="111">
        <f>PRODUCT($AK$5:AK1313)</f>
        <v>8.962823818226312E-2</v>
      </c>
      <c r="AM1313" s="109">
        <f>1 - [K-M P Value]</f>
        <v>0.91037176181773694</v>
      </c>
      <c r="AN1313" s="111" t="str">
        <f>IF(Audit[[#This Row],[K-M P Value]]&gt;1-'General Info'!$B$16,"Continue", "Stop")</f>
        <v>Stop</v>
      </c>
      <c r="AO1313" s="110" t="b">
        <f>IF(Audit[[#This Row],[Status - Continue or stop audit]] = "Continue", TRUE, IF(AN1312 = "Continue", TRUE, FALSE))</f>
        <v>0</v>
      </c>
      <c r="AP1313" s="110"/>
    </row>
    <row r="1314" spans="1:42" ht="15" hidden="1" customHeight="1">
      <c r="A1314" s="111" t="str">
        <f>'Sampling Data'!W1307</f>
        <v/>
      </c>
      <c r="B1314" s="112" t="str">
        <f>'Sampling Data'!A1307</f>
        <v>LAKEWOOD -03-A</v>
      </c>
      <c r="C1314" s="112">
        <f>'Sampling Data'!B1307</f>
        <v>17</v>
      </c>
      <c r="D1314" s="112">
        <f>'Sampling Data'!C1307</f>
        <v>61</v>
      </c>
      <c r="E1314" s="113">
        <f>'Sampling Data'!D1307</f>
        <v>9</v>
      </c>
      <c r="F1314" s="113">
        <f>'Sampling Data'!E1307</f>
        <v>10</v>
      </c>
      <c r="G1314" s="113">
        <f>'Sampling Data'!F1307</f>
        <v>1</v>
      </c>
      <c r="H1314" s="113">
        <f>'Sampling Data'!G1307</f>
        <v>0</v>
      </c>
      <c r="I1314" s="112">
        <f>'Sampling Data'!H1307</f>
        <v>0</v>
      </c>
      <c r="J1314" s="112">
        <f>'Sampling Data'!I1307</f>
        <v>2</v>
      </c>
      <c r="K1314" s="112">
        <f>'Sampling Data'!J1307</f>
        <v>100</v>
      </c>
      <c r="L1314" s="111">
        <f>'Sampling Data'!X1307</f>
        <v>0</v>
      </c>
      <c r="M1314" s="114"/>
      <c r="N1314" s="114"/>
      <c r="O1314" s="115"/>
      <c r="P1314" s="115"/>
      <c r="Q1314" s="116"/>
      <c r="R1314" s="116"/>
      <c r="S1314" s="111">
        <f>Audit[[#This Row],[Audit Losing Candidate]]-Audit[[#This Row],[Losing Candidate]]</f>
        <v>-17</v>
      </c>
      <c r="T1314" s="111">
        <f>Audit[[#This Row],[Audit Winning Candidate]]-Audit[[#This Row],[Winning Candidate]]</f>
        <v>-61</v>
      </c>
      <c r="U1314" s="111">
        <f>Audit[[#This Row],[Audit Candidate 3]]-Audit[[#This Row],[Candidate 3]]</f>
        <v>-9</v>
      </c>
      <c r="V1314" s="111">
        <f>Audit[[#This Row],[Audit Candidate 4]]-Audit[[#This Row],[Candidate 4]]</f>
        <v>-10</v>
      </c>
      <c r="W1314" s="111">
        <f>Audit[[#This Row],[Audit Candidate 5]]-Audit[[#This Row],[Candidate 5]]</f>
        <v>-1</v>
      </c>
      <c r="X1314" s="111">
        <f>Audit[[#This Row],[Audit Candidate 6]]-Audit[[#This Row],[Candidate 6]]</f>
        <v>0</v>
      </c>
      <c r="Y1314" s="111">
        <f>SUMIF(Audit[[#This Row],[Difference Loser]:[Difference Candidate 6]], "&gt;0")</f>
        <v>0</v>
      </c>
      <c r="Z1314" s="111">
        <f>SUM(Audit[[#This Row],[Difference Loser]:[Difference Candidate 6]])</f>
        <v>-98</v>
      </c>
      <c r="AA1314" s="111">
        <f>IF(Audit[[#This Row],[Times p Drawn - With Replacement]]&gt;0, IF(Audit[[#This Row],[Canceled Differences]]&lt;0, Audit[[#This Row],[Max Differences]]+ABS(Audit[[#This Row],[Canceled Differences]]), Audit[[#This Row],[Max Differences]]), 0)</f>
        <v>0</v>
      </c>
      <c r="AB1314" s="111">
        <f>'Sampling Data'!P1307</f>
        <v>8.8192062714355715E-3</v>
      </c>
      <c r="AC1314" s="111">
        <f>IF(
      SUM(Audit[[#This Row],[Audit Losing Candidate]:[Audit Candidate 6]])
      &lt;&gt;0,
      (Audit[[#This Row],[Winning Candidate]]-Audit[[#This Row],[Losing Candidate]]-(Audit[[#This Row],[Audit Winning Candidate]]-Audit[[#This Row],[Audit Losing Candidate]]))/(Audit[[#Totals],[Winning Candidate]]-Audit[[#Totals],[Losing Candidate]]),
      0
)</f>
        <v>0</v>
      </c>
      <c r="AD13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4" s="111">
        <f>IF(Audit[[#This Row],[Max Relative Error (ep)]] = 0, 0, Audit[[#This Row],[Max Relative Error (ep)]]/Audit[[#This Row],[Error Bound (up) - Max. possible relative overstatement]])</f>
        <v>0</v>
      </c>
      <c r="AJ13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14" s="111">
        <f t="shared" si="20"/>
        <v>1</v>
      </c>
      <c r="AL1314" s="111">
        <f>PRODUCT($AK$5:AK1314)</f>
        <v>8.962823818226312E-2</v>
      </c>
      <c r="AM1314" s="109">
        <f>1 - [K-M P Value]</f>
        <v>0.91037176181773694</v>
      </c>
      <c r="AN1314" s="111" t="str">
        <f>IF(Audit[[#This Row],[K-M P Value]]&gt;1-'General Info'!$B$16,"Continue", "Stop")</f>
        <v>Stop</v>
      </c>
      <c r="AO1314" s="110" t="b">
        <f>IF(Audit[[#This Row],[Status - Continue or stop audit]] = "Continue", TRUE, IF(AN1313 = "Continue", TRUE, FALSE))</f>
        <v>0</v>
      </c>
      <c r="AP1314" s="110"/>
    </row>
    <row r="1315" spans="1:42" ht="15" hidden="1" customHeight="1">
      <c r="A1315" s="111" t="str">
        <f>'Sampling Data'!W1308</f>
        <v/>
      </c>
      <c r="B1315" s="112" t="str">
        <f>'Sampling Data'!A1308</f>
        <v>LAKEWOOD -03-A - ABS</v>
      </c>
      <c r="C1315" s="112">
        <f>'Sampling Data'!B1308</f>
        <v>5</v>
      </c>
      <c r="D1315" s="112">
        <f>'Sampling Data'!C1308</f>
        <v>22</v>
      </c>
      <c r="E1315" s="113">
        <f>'Sampling Data'!D1308</f>
        <v>6</v>
      </c>
      <c r="F1315" s="113">
        <f>'Sampling Data'!E1308</f>
        <v>1</v>
      </c>
      <c r="G1315" s="113">
        <f>'Sampling Data'!F1308</f>
        <v>3</v>
      </c>
      <c r="H1315" s="113">
        <f>'Sampling Data'!G1308</f>
        <v>0</v>
      </c>
      <c r="I1315" s="112">
        <f>'Sampling Data'!H1308</f>
        <v>0</v>
      </c>
      <c r="J1315" s="112">
        <f>'Sampling Data'!I1308</f>
        <v>0</v>
      </c>
      <c r="K1315" s="112">
        <f>'Sampling Data'!J1308</f>
        <v>37</v>
      </c>
      <c r="L1315" s="111">
        <f>'Sampling Data'!X1308</f>
        <v>0</v>
      </c>
      <c r="M1315" s="114"/>
      <c r="N1315" s="114"/>
      <c r="O1315" s="115"/>
      <c r="P1315" s="115"/>
      <c r="Q1315" s="116"/>
      <c r="R1315" s="116"/>
      <c r="S1315" s="111">
        <f>Audit[[#This Row],[Audit Losing Candidate]]-Audit[[#This Row],[Losing Candidate]]</f>
        <v>-5</v>
      </c>
      <c r="T1315" s="111">
        <f>Audit[[#This Row],[Audit Winning Candidate]]-Audit[[#This Row],[Winning Candidate]]</f>
        <v>-22</v>
      </c>
      <c r="U1315" s="111">
        <f>Audit[[#This Row],[Audit Candidate 3]]-Audit[[#This Row],[Candidate 3]]</f>
        <v>-6</v>
      </c>
      <c r="V1315" s="111">
        <f>Audit[[#This Row],[Audit Candidate 4]]-Audit[[#This Row],[Candidate 4]]</f>
        <v>-1</v>
      </c>
      <c r="W1315" s="111">
        <f>Audit[[#This Row],[Audit Candidate 5]]-Audit[[#This Row],[Candidate 5]]</f>
        <v>-3</v>
      </c>
      <c r="X1315" s="111">
        <f>Audit[[#This Row],[Audit Candidate 6]]-Audit[[#This Row],[Candidate 6]]</f>
        <v>0</v>
      </c>
      <c r="Y1315" s="111">
        <f>SUMIF(Audit[[#This Row],[Difference Loser]:[Difference Candidate 6]], "&gt;0")</f>
        <v>0</v>
      </c>
      <c r="Z1315" s="111">
        <f>SUM(Audit[[#This Row],[Difference Loser]:[Difference Candidate 6]])</f>
        <v>-37</v>
      </c>
      <c r="AA1315" s="111">
        <f>IF(Audit[[#This Row],[Times p Drawn - With Replacement]]&gt;0, IF(Audit[[#This Row],[Canceled Differences]]&lt;0, Audit[[#This Row],[Max Differences]]+ABS(Audit[[#This Row],[Canceled Differences]]), Audit[[#This Row],[Max Differences]]), 0)</f>
        <v>0</v>
      </c>
      <c r="AB1315" s="111">
        <f>'Sampling Data'!P1308</f>
        <v>3.3072023517883389E-3</v>
      </c>
      <c r="AC1315" s="111">
        <f>IF(
      SUM(Audit[[#This Row],[Audit Losing Candidate]:[Audit Candidate 6]])
      &lt;&gt;0,
      (Audit[[#This Row],[Winning Candidate]]-Audit[[#This Row],[Losing Candidate]]-(Audit[[#This Row],[Audit Winning Candidate]]-Audit[[#This Row],[Audit Losing Candidate]]))/(Audit[[#Totals],[Winning Candidate]]-Audit[[#Totals],[Losing Candidate]]),
      0
)</f>
        <v>0</v>
      </c>
      <c r="AD13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5" s="111">
        <f>IF(Audit[[#This Row],[Max Relative Error (ep)]] = 0, 0, Audit[[#This Row],[Max Relative Error (ep)]]/Audit[[#This Row],[Error Bound (up) - Max. possible relative overstatement]])</f>
        <v>0</v>
      </c>
      <c r="AJ13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15" s="111">
        <f t="shared" si="20"/>
        <v>1</v>
      </c>
      <c r="AL1315" s="111">
        <f>PRODUCT($AK$5:AK1315)</f>
        <v>8.962823818226312E-2</v>
      </c>
      <c r="AM1315" s="109">
        <f>1 - [K-M P Value]</f>
        <v>0.91037176181773694</v>
      </c>
      <c r="AN1315" s="111" t="str">
        <f>IF(Audit[[#This Row],[K-M P Value]]&gt;1-'General Info'!$B$16,"Continue", "Stop")</f>
        <v>Stop</v>
      </c>
      <c r="AO1315" s="110" t="b">
        <f>IF(Audit[[#This Row],[Status - Continue or stop audit]] = "Continue", TRUE, IF(AN1314 = "Continue", TRUE, FALSE))</f>
        <v>0</v>
      </c>
      <c r="AP1315" s="110"/>
    </row>
    <row r="1316" spans="1:42" ht="15" hidden="1" customHeight="1">
      <c r="A1316" s="111" t="str">
        <f>'Sampling Data'!W1309</f>
        <v/>
      </c>
      <c r="B1316" s="112" t="str">
        <f>'Sampling Data'!A1309</f>
        <v>LAKEWOOD -03-B</v>
      </c>
      <c r="C1316" s="112">
        <f>'Sampling Data'!B1309</f>
        <v>25</v>
      </c>
      <c r="D1316" s="112">
        <f>'Sampling Data'!C1309</f>
        <v>39</v>
      </c>
      <c r="E1316" s="113">
        <f>'Sampling Data'!D1309</f>
        <v>6</v>
      </c>
      <c r="F1316" s="113">
        <f>'Sampling Data'!E1309</f>
        <v>11</v>
      </c>
      <c r="G1316" s="113">
        <f>'Sampling Data'!F1309</f>
        <v>1</v>
      </c>
      <c r="H1316" s="113">
        <f>'Sampling Data'!G1309</f>
        <v>1</v>
      </c>
      <c r="I1316" s="112">
        <f>'Sampling Data'!H1309</f>
        <v>0</v>
      </c>
      <c r="J1316" s="112">
        <f>'Sampling Data'!I1309</f>
        <v>0</v>
      </c>
      <c r="K1316" s="112">
        <f>'Sampling Data'!J1309</f>
        <v>83</v>
      </c>
      <c r="L1316" s="111">
        <f>'Sampling Data'!X1309</f>
        <v>0</v>
      </c>
      <c r="M1316" s="114"/>
      <c r="N1316" s="114"/>
      <c r="O1316" s="115"/>
      <c r="P1316" s="115"/>
      <c r="Q1316" s="116"/>
      <c r="R1316" s="116"/>
      <c r="S1316" s="111">
        <f>Audit[[#This Row],[Audit Losing Candidate]]-Audit[[#This Row],[Losing Candidate]]</f>
        <v>-25</v>
      </c>
      <c r="T1316" s="111">
        <f>Audit[[#This Row],[Audit Winning Candidate]]-Audit[[#This Row],[Winning Candidate]]</f>
        <v>-39</v>
      </c>
      <c r="U1316" s="111">
        <f>Audit[[#This Row],[Audit Candidate 3]]-Audit[[#This Row],[Candidate 3]]</f>
        <v>-6</v>
      </c>
      <c r="V1316" s="111">
        <f>Audit[[#This Row],[Audit Candidate 4]]-Audit[[#This Row],[Candidate 4]]</f>
        <v>-11</v>
      </c>
      <c r="W1316" s="111">
        <f>Audit[[#This Row],[Audit Candidate 5]]-Audit[[#This Row],[Candidate 5]]</f>
        <v>-1</v>
      </c>
      <c r="X1316" s="111">
        <f>Audit[[#This Row],[Audit Candidate 6]]-Audit[[#This Row],[Candidate 6]]</f>
        <v>-1</v>
      </c>
      <c r="Y1316" s="111">
        <f>SUMIF(Audit[[#This Row],[Difference Loser]:[Difference Candidate 6]], "&gt;0")</f>
        <v>0</v>
      </c>
      <c r="Z1316" s="111">
        <f>SUM(Audit[[#This Row],[Difference Loser]:[Difference Candidate 6]])</f>
        <v>-83</v>
      </c>
      <c r="AA1316" s="111">
        <f>IF(Audit[[#This Row],[Times p Drawn - With Replacement]]&gt;0, IF(Audit[[#This Row],[Canceled Differences]]&lt;0, Audit[[#This Row],[Max Differences]]+ABS(Audit[[#This Row],[Canceled Differences]]), Audit[[#This Row],[Max Differences]]), 0)</f>
        <v>0</v>
      </c>
      <c r="AB1316" s="111">
        <f>'Sampling Data'!P1309</f>
        <v>5.9407153356197942E-3</v>
      </c>
      <c r="AC1316" s="111">
        <f>IF(
      SUM(Audit[[#This Row],[Audit Losing Candidate]:[Audit Candidate 6]])
      &lt;&gt;0,
      (Audit[[#This Row],[Winning Candidate]]-Audit[[#This Row],[Losing Candidate]]-(Audit[[#This Row],[Audit Winning Candidate]]-Audit[[#This Row],[Audit Losing Candidate]]))/(Audit[[#Totals],[Winning Candidate]]-Audit[[#Totals],[Losing Candidate]]),
      0
)</f>
        <v>0</v>
      </c>
      <c r="AD13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6" s="111">
        <f>IF(Audit[[#This Row],[Max Relative Error (ep)]] = 0, 0, Audit[[#This Row],[Max Relative Error (ep)]]/Audit[[#This Row],[Error Bound (up) - Max. possible relative overstatement]])</f>
        <v>0</v>
      </c>
      <c r="AJ13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16" s="111">
        <f t="shared" si="20"/>
        <v>1</v>
      </c>
      <c r="AL1316" s="111">
        <f>PRODUCT($AK$5:AK1316)</f>
        <v>8.962823818226312E-2</v>
      </c>
      <c r="AM1316" s="109">
        <f>1 - [K-M P Value]</f>
        <v>0.91037176181773694</v>
      </c>
      <c r="AN1316" s="111" t="str">
        <f>IF(Audit[[#This Row],[K-M P Value]]&gt;1-'General Info'!$B$16,"Continue", "Stop")</f>
        <v>Stop</v>
      </c>
      <c r="AO1316" s="110" t="b">
        <f>IF(Audit[[#This Row],[Status - Continue or stop audit]] = "Continue", TRUE, IF(AN1315 = "Continue", TRUE, FALSE))</f>
        <v>0</v>
      </c>
      <c r="AP1316" s="110"/>
    </row>
    <row r="1317" spans="1:42" ht="15" hidden="1" customHeight="1">
      <c r="A1317" s="111" t="str">
        <f>'Sampling Data'!W1310</f>
        <v/>
      </c>
      <c r="B1317" s="112" t="str">
        <f>'Sampling Data'!A1310</f>
        <v>LAKEWOOD -03-B - ABS</v>
      </c>
      <c r="C1317" s="112">
        <f>'Sampling Data'!B1310</f>
        <v>4</v>
      </c>
      <c r="D1317" s="112">
        <f>'Sampling Data'!C1310</f>
        <v>10</v>
      </c>
      <c r="E1317" s="113">
        <f>'Sampling Data'!D1310</f>
        <v>0</v>
      </c>
      <c r="F1317" s="113">
        <f>'Sampling Data'!E1310</f>
        <v>1</v>
      </c>
      <c r="G1317" s="113">
        <f>'Sampling Data'!F1310</f>
        <v>0</v>
      </c>
      <c r="H1317" s="113">
        <f>'Sampling Data'!G1310</f>
        <v>0</v>
      </c>
      <c r="I1317" s="112">
        <f>'Sampling Data'!H1310</f>
        <v>0</v>
      </c>
      <c r="J1317" s="112">
        <f>'Sampling Data'!I1310</f>
        <v>1</v>
      </c>
      <c r="K1317" s="112">
        <f>'Sampling Data'!J1310</f>
        <v>16</v>
      </c>
      <c r="L1317" s="111">
        <f>'Sampling Data'!X1310</f>
        <v>0</v>
      </c>
      <c r="M1317" s="114"/>
      <c r="N1317" s="114"/>
      <c r="O1317" s="115"/>
      <c r="P1317" s="115"/>
      <c r="Q1317" s="116"/>
      <c r="R1317" s="116"/>
      <c r="S1317" s="111">
        <f>Audit[[#This Row],[Audit Losing Candidate]]-Audit[[#This Row],[Losing Candidate]]</f>
        <v>-4</v>
      </c>
      <c r="T1317" s="111">
        <f>Audit[[#This Row],[Audit Winning Candidate]]-Audit[[#This Row],[Winning Candidate]]</f>
        <v>-10</v>
      </c>
      <c r="U1317" s="111">
        <f>Audit[[#This Row],[Audit Candidate 3]]-Audit[[#This Row],[Candidate 3]]</f>
        <v>0</v>
      </c>
      <c r="V1317" s="111">
        <f>Audit[[#This Row],[Audit Candidate 4]]-Audit[[#This Row],[Candidate 4]]</f>
        <v>-1</v>
      </c>
      <c r="W1317" s="111">
        <f>Audit[[#This Row],[Audit Candidate 5]]-Audit[[#This Row],[Candidate 5]]</f>
        <v>0</v>
      </c>
      <c r="X1317" s="111">
        <f>Audit[[#This Row],[Audit Candidate 6]]-Audit[[#This Row],[Candidate 6]]</f>
        <v>0</v>
      </c>
      <c r="Y1317" s="111">
        <f>SUMIF(Audit[[#This Row],[Difference Loser]:[Difference Candidate 6]], "&gt;0")</f>
        <v>0</v>
      </c>
      <c r="Z1317" s="111">
        <f>SUM(Audit[[#This Row],[Difference Loser]:[Difference Candidate 6]])</f>
        <v>-15</v>
      </c>
      <c r="AA1317" s="111">
        <f>IF(Audit[[#This Row],[Times p Drawn - With Replacement]]&gt;0, IF(Audit[[#This Row],[Canceled Differences]]&lt;0, Audit[[#This Row],[Max Differences]]+ABS(Audit[[#This Row],[Canceled Differences]]), Audit[[#This Row],[Max Differences]]), 0)</f>
        <v>0</v>
      </c>
      <c r="AB1317" s="111">
        <f>'Sampling Data'!P1310</f>
        <v>1.3473787359137678E-3</v>
      </c>
      <c r="AC1317" s="111">
        <f>IF(
      SUM(Audit[[#This Row],[Audit Losing Candidate]:[Audit Candidate 6]])
      &lt;&gt;0,
      (Audit[[#This Row],[Winning Candidate]]-Audit[[#This Row],[Losing Candidate]]-(Audit[[#This Row],[Audit Winning Candidate]]-Audit[[#This Row],[Audit Losing Candidate]]))/(Audit[[#Totals],[Winning Candidate]]-Audit[[#Totals],[Losing Candidate]]),
      0
)</f>
        <v>0</v>
      </c>
      <c r="AD13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7" s="111">
        <f>IF(Audit[[#This Row],[Max Relative Error (ep)]] = 0, 0, Audit[[#This Row],[Max Relative Error (ep)]]/Audit[[#This Row],[Error Bound (up) - Max. possible relative overstatement]])</f>
        <v>0</v>
      </c>
      <c r="AJ13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17" s="111">
        <f t="shared" si="20"/>
        <v>1</v>
      </c>
      <c r="AL1317" s="111">
        <f>PRODUCT($AK$5:AK1317)</f>
        <v>8.962823818226312E-2</v>
      </c>
      <c r="AM1317" s="109">
        <f>1 - [K-M P Value]</f>
        <v>0.91037176181773694</v>
      </c>
      <c r="AN1317" s="111" t="str">
        <f>IF(Audit[[#This Row],[K-M P Value]]&gt;1-'General Info'!$B$16,"Continue", "Stop")</f>
        <v>Stop</v>
      </c>
      <c r="AO1317" s="110" t="b">
        <f>IF(Audit[[#This Row],[Status - Continue or stop audit]] = "Continue", TRUE, IF(AN1316 = "Continue", TRUE, FALSE))</f>
        <v>0</v>
      </c>
      <c r="AP1317" s="110"/>
    </row>
    <row r="1318" spans="1:42" ht="15" hidden="1" customHeight="1">
      <c r="A1318" s="111" t="str">
        <f>'Sampling Data'!W1311</f>
        <v/>
      </c>
      <c r="B1318" s="112" t="str">
        <f>'Sampling Data'!A1311</f>
        <v>LAKEWOOD -03-C</v>
      </c>
      <c r="C1318" s="112">
        <f>'Sampling Data'!B1311</f>
        <v>12</v>
      </c>
      <c r="D1318" s="112">
        <f>'Sampling Data'!C1311</f>
        <v>22</v>
      </c>
      <c r="E1318" s="113">
        <f>'Sampling Data'!D1311</f>
        <v>7</v>
      </c>
      <c r="F1318" s="113">
        <f>'Sampling Data'!E1311</f>
        <v>3</v>
      </c>
      <c r="G1318" s="113">
        <f>'Sampling Data'!F1311</f>
        <v>0</v>
      </c>
      <c r="H1318" s="113">
        <f>'Sampling Data'!G1311</f>
        <v>0</v>
      </c>
      <c r="I1318" s="112">
        <f>'Sampling Data'!H1311</f>
        <v>0</v>
      </c>
      <c r="J1318" s="112">
        <f>'Sampling Data'!I1311</f>
        <v>0</v>
      </c>
      <c r="K1318" s="112">
        <f>'Sampling Data'!J1311</f>
        <v>44</v>
      </c>
      <c r="L1318" s="111">
        <f>'Sampling Data'!X1311</f>
        <v>0</v>
      </c>
      <c r="M1318" s="114"/>
      <c r="N1318" s="114"/>
      <c r="O1318" s="115"/>
      <c r="P1318" s="115"/>
      <c r="Q1318" s="116"/>
      <c r="R1318" s="116"/>
      <c r="S1318" s="111">
        <f>Audit[[#This Row],[Audit Losing Candidate]]-Audit[[#This Row],[Losing Candidate]]</f>
        <v>-12</v>
      </c>
      <c r="T1318" s="111">
        <f>Audit[[#This Row],[Audit Winning Candidate]]-Audit[[#This Row],[Winning Candidate]]</f>
        <v>-22</v>
      </c>
      <c r="U1318" s="111">
        <f>Audit[[#This Row],[Audit Candidate 3]]-Audit[[#This Row],[Candidate 3]]</f>
        <v>-7</v>
      </c>
      <c r="V1318" s="111">
        <f>Audit[[#This Row],[Audit Candidate 4]]-Audit[[#This Row],[Candidate 4]]</f>
        <v>-3</v>
      </c>
      <c r="W1318" s="111">
        <f>Audit[[#This Row],[Audit Candidate 5]]-Audit[[#This Row],[Candidate 5]]</f>
        <v>0</v>
      </c>
      <c r="X1318" s="111">
        <f>Audit[[#This Row],[Audit Candidate 6]]-Audit[[#This Row],[Candidate 6]]</f>
        <v>0</v>
      </c>
      <c r="Y1318" s="111">
        <f>SUMIF(Audit[[#This Row],[Difference Loser]:[Difference Candidate 6]], "&gt;0")</f>
        <v>0</v>
      </c>
      <c r="Z1318" s="111">
        <f>SUM(Audit[[#This Row],[Difference Loser]:[Difference Candidate 6]])</f>
        <v>-44</v>
      </c>
      <c r="AA1318" s="111">
        <f>IF(Audit[[#This Row],[Times p Drawn - With Replacement]]&gt;0, IF(Audit[[#This Row],[Canceled Differences]]&lt;0, Audit[[#This Row],[Max Differences]]+ABS(Audit[[#This Row],[Canceled Differences]]), Audit[[#This Row],[Max Differences]]), 0)</f>
        <v>0</v>
      </c>
      <c r="AB1318" s="111">
        <f>'Sampling Data'!P1311</f>
        <v>3.3072023517883389E-3</v>
      </c>
      <c r="AC1318" s="111">
        <f>IF(
      SUM(Audit[[#This Row],[Audit Losing Candidate]:[Audit Candidate 6]])
      &lt;&gt;0,
      (Audit[[#This Row],[Winning Candidate]]-Audit[[#This Row],[Losing Candidate]]-(Audit[[#This Row],[Audit Winning Candidate]]-Audit[[#This Row],[Audit Losing Candidate]]))/(Audit[[#Totals],[Winning Candidate]]-Audit[[#Totals],[Losing Candidate]]),
      0
)</f>
        <v>0</v>
      </c>
      <c r="AD13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8" s="111">
        <f>IF(Audit[[#This Row],[Max Relative Error (ep)]] = 0, 0, Audit[[#This Row],[Max Relative Error (ep)]]/Audit[[#This Row],[Error Bound (up) - Max. possible relative overstatement]])</f>
        <v>0</v>
      </c>
      <c r="AJ13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18" s="111">
        <f t="shared" si="20"/>
        <v>1</v>
      </c>
      <c r="AL1318" s="111">
        <f>PRODUCT($AK$5:AK1318)</f>
        <v>8.962823818226312E-2</v>
      </c>
      <c r="AM1318" s="109">
        <f>1 - [K-M P Value]</f>
        <v>0.91037176181773694</v>
      </c>
      <c r="AN1318" s="111" t="str">
        <f>IF(Audit[[#This Row],[K-M P Value]]&gt;1-'General Info'!$B$16,"Continue", "Stop")</f>
        <v>Stop</v>
      </c>
      <c r="AO1318" s="110" t="b">
        <f>IF(Audit[[#This Row],[Status - Continue or stop audit]] = "Continue", TRUE, IF(AN1317 = "Continue", TRUE, FALSE))</f>
        <v>0</v>
      </c>
      <c r="AP1318" s="110"/>
    </row>
    <row r="1319" spans="1:42" ht="15" hidden="1" customHeight="1">
      <c r="A1319" s="111" t="str">
        <f>'Sampling Data'!W1312</f>
        <v/>
      </c>
      <c r="B1319" s="112" t="str">
        <f>'Sampling Data'!A1312</f>
        <v>LAKEWOOD -03-C - ABS</v>
      </c>
      <c r="C1319" s="112">
        <f>'Sampling Data'!B1312</f>
        <v>6</v>
      </c>
      <c r="D1319" s="112">
        <f>'Sampling Data'!C1312</f>
        <v>10</v>
      </c>
      <c r="E1319" s="113">
        <f>'Sampling Data'!D1312</f>
        <v>0</v>
      </c>
      <c r="F1319" s="113">
        <f>'Sampling Data'!E1312</f>
        <v>2</v>
      </c>
      <c r="G1319" s="113">
        <f>'Sampling Data'!F1312</f>
        <v>0</v>
      </c>
      <c r="H1319" s="113">
        <f>'Sampling Data'!G1312</f>
        <v>0</v>
      </c>
      <c r="I1319" s="112">
        <f>'Sampling Data'!H1312</f>
        <v>0</v>
      </c>
      <c r="J1319" s="112">
        <f>'Sampling Data'!I1312</f>
        <v>0</v>
      </c>
      <c r="K1319" s="112">
        <f>'Sampling Data'!J1312</f>
        <v>18</v>
      </c>
      <c r="L1319" s="111">
        <f>'Sampling Data'!X1312</f>
        <v>0</v>
      </c>
      <c r="M1319" s="114"/>
      <c r="N1319" s="114"/>
      <c r="O1319" s="115"/>
      <c r="P1319" s="115"/>
      <c r="Q1319" s="116"/>
      <c r="R1319" s="116"/>
      <c r="S1319" s="111">
        <f>Audit[[#This Row],[Audit Losing Candidate]]-Audit[[#This Row],[Losing Candidate]]</f>
        <v>-6</v>
      </c>
      <c r="T1319" s="111">
        <f>Audit[[#This Row],[Audit Winning Candidate]]-Audit[[#This Row],[Winning Candidate]]</f>
        <v>-10</v>
      </c>
      <c r="U1319" s="111">
        <f>Audit[[#This Row],[Audit Candidate 3]]-Audit[[#This Row],[Candidate 3]]</f>
        <v>0</v>
      </c>
      <c r="V1319" s="111">
        <f>Audit[[#This Row],[Audit Candidate 4]]-Audit[[#This Row],[Candidate 4]]</f>
        <v>-2</v>
      </c>
      <c r="W1319" s="111">
        <f>Audit[[#This Row],[Audit Candidate 5]]-Audit[[#This Row],[Candidate 5]]</f>
        <v>0</v>
      </c>
      <c r="X1319" s="111">
        <f>Audit[[#This Row],[Audit Candidate 6]]-Audit[[#This Row],[Candidate 6]]</f>
        <v>0</v>
      </c>
      <c r="Y1319" s="111">
        <f>SUMIF(Audit[[#This Row],[Difference Loser]:[Difference Candidate 6]], "&gt;0")</f>
        <v>0</v>
      </c>
      <c r="Z1319" s="111">
        <f>SUM(Audit[[#This Row],[Difference Loser]:[Difference Candidate 6]])</f>
        <v>-18</v>
      </c>
      <c r="AA1319" s="111">
        <f>IF(Audit[[#This Row],[Times p Drawn - With Replacement]]&gt;0, IF(Audit[[#This Row],[Canceled Differences]]&lt;0, Audit[[#This Row],[Max Differences]]+ABS(Audit[[#This Row],[Canceled Differences]]), Audit[[#This Row],[Max Differences]]), 0)</f>
        <v>0</v>
      </c>
      <c r="AB1319" s="111">
        <f>'Sampling Data'!P1312</f>
        <v>1.3473787359137678E-3</v>
      </c>
      <c r="AC1319" s="111">
        <f>IF(
      SUM(Audit[[#This Row],[Audit Losing Candidate]:[Audit Candidate 6]])
      &lt;&gt;0,
      (Audit[[#This Row],[Winning Candidate]]-Audit[[#This Row],[Losing Candidate]]-(Audit[[#This Row],[Audit Winning Candidate]]-Audit[[#This Row],[Audit Losing Candidate]]))/(Audit[[#Totals],[Winning Candidate]]-Audit[[#Totals],[Losing Candidate]]),
      0
)</f>
        <v>0</v>
      </c>
      <c r="AD13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9" s="111">
        <f>IF(Audit[[#This Row],[Max Relative Error (ep)]] = 0, 0, Audit[[#This Row],[Max Relative Error (ep)]]/Audit[[#This Row],[Error Bound (up) - Max. possible relative overstatement]])</f>
        <v>0</v>
      </c>
      <c r="AJ13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19" s="111">
        <f t="shared" si="20"/>
        <v>1</v>
      </c>
      <c r="AL1319" s="111">
        <f>PRODUCT($AK$5:AK1319)</f>
        <v>8.962823818226312E-2</v>
      </c>
      <c r="AM1319" s="109">
        <f>1 - [K-M P Value]</f>
        <v>0.91037176181773694</v>
      </c>
      <c r="AN1319" s="111" t="str">
        <f>IF(Audit[[#This Row],[K-M P Value]]&gt;1-'General Info'!$B$16,"Continue", "Stop")</f>
        <v>Stop</v>
      </c>
      <c r="AO1319" s="110" t="b">
        <f>IF(Audit[[#This Row],[Status - Continue or stop audit]] = "Continue", TRUE, IF(AN1318 = "Continue", TRUE, FALSE))</f>
        <v>0</v>
      </c>
      <c r="AP1319" s="110"/>
    </row>
    <row r="1320" spans="1:42" ht="15" hidden="1" customHeight="1">
      <c r="A1320" s="111" t="str">
        <f>'Sampling Data'!W1313</f>
        <v/>
      </c>
      <c r="B1320" s="112" t="str">
        <f>'Sampling Data'!A1313</f>
        <v>LAKEWOOD -03-D</v>
      </c>
      <c r="C1320" s="112">
        <f>'Sampling Data'!B1313</f>
        <v>29</v>
      </c>
      <c r="D1320" s="112">
        <f>'Sampling Data'!C1313</f>
        <v>33</v>
      </c>
      <c r="E1320" s="113">
        <f>'Sampling Data'!D1313</f>
        <v>7</v>
      </c>
      <c r="F1320" s="113">
        <f>'Sampling Data'!E1313</f>
        <v>8</v>
      </c>
      <c r="G1320" s="113">
        <f>'Sampling Data'!F1313</f>
        <v>1</v>
      </c>
      <c r="H1320" s="113">
        <f>'Sampling Data'!G1313</f>
        <v>0</v>
      </c>
      <c r="I1320" s="112">
        <f>'Sampling Data'!H1313</f>
        <v>0</v>
      </c>
      <c r="J1320" s="112">
        <f>'Sampling Data'!I1313</f>
        <v>0</v>
      </c>
      <c r="K1320" s="112">
        <f>'Sampling Data'!J1313</f>
        <v>78</v>
      </c>
      <c r="L1320" s="111">
        <f>'Sampling Data'!X1313</f>
        <v>0</v>
      </c>
      <c r="M1320" s="114"/>
      <c r="N1320" s="114"/>
      <c r="O1320" s="115"/>
      <c r="P1320" s="115"/>
      <c r="Q1320" s="116"/>
      <c r="R1320" s="116"/>
      <c r="S1320" s="111">
        <f>Audit[[#This Row],[Audit Losing Candidate]]-Audit[[#This Row],[Losing Candidate]]</f>
        <v>-29</v>
      </c>
      <c r="T1320" s="111">
        <f>Audit[[#This Row],[Audit Winning Candidate]]-Audit[[#This Row],[Winning Candidate]]</f>
        <v>-33</v>
      </c>
      <c r="U1320" s="111">
        <f>Audit[[#This Row],[Audit Candidate 3]]-Audit[[#This Row],[Candidate 3]]</f>
        <v>-7</v>
      </c>
      <c r="V1320" s="111">
        <f>Audit[[#This Row],[Audit Candidate 4]]-Audit[[#This Row],[Candidate 4]]</f>
        <v>-8</v>
      </c>
      <c r="W1320" s="111">
        <f>Audit[[#This Row],[Audit Candidate 5]]-Audit[[#This Row],[Candidate 5]]</f>
        <v>-1</v>
      </c>
      <c r="X1320" s="111">
        <f>Audit[[#This Row],[Audit Candidate 6]]-Audit[[#This Row],[Candidate 6]]</f>
        <v>0</v>
      </c>
      <c r="Y1320" s="111">
        <f>SUMIF(Audit[[#This Row],[Difference Loser]:[Difference Candidate 6]], "&gt;0")</f>
        <v>0</v>
      </c>
      <c r="Z1320" s="111">
        <f>SUM(Audit[[#This Row],[Difference Loser]:[Difference Candidate 6]])</f>
        <v>-78</v>
      </c>
      <c r="AA1320" s="111">
        <f>IF(Audit[[#This Row],[Times p Drawn - With Replacement]]&gt;0, IF(Audit[[#This Row],[Canceled Differences]]&lt;0, Audit[[#This Row],[Max Differences]]+ABS(Audit[[#This Row],[Canceled Differences]]), Audit[[#This Row],[Max Differences]]), 0)</f>
        <v>0</v>
      </c>
      <c r="AB1320" s="111">
        <f>'Sampling Data'!P1313</f>
        <v>5.0220480156785889E-3</v>
      </c>
      <c r="AC1320" s="111">
        <f>IF(
      SUM(Audit[[#This Row],[Audit Losing Candidate]:[Audit Candidate 6]])
      &lt;&gt;0,
      (Audit[[#This Row],[Winning Candidate]]-Audit[[#This Row],[Losing Candidate]]-(Audit[[#This Row],[Audit Winning Candidate]]-Audit[[#This Row],[Audit Losing Candidate]]))/(Audit[[#Totals],[Winning Candidate]]-Audit[[#Totals],[Losing Candidate]]),
      0
)</f>
        <v>0</v>
      </c>
      <c r="AD13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0" s="111">
        <f>IF(Audit[[#This Row],[Max Relative Error (ep)]] = 0, 0, Audit[[#This Row],[Max Relative Error (ep)]]/Audit[[#This Row],[Error Bound (up) - Max. possible relative overstatement]])</f>
        <v>0</v>
      </c>
      <c r="AJ13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20" s="111">
        <f t="shared" si="20"/>
        <v>1</v>
      </c>
      <c r="AL1320" s="111">
        <f>PRODUCT($AK$5:AK1320)</f>
        <v>8.962823818226312E-2</v>
      </c>
      <c r="AM1320" s="109">
        <f>1 - [K-M P Value]</f>
        <v>0.91037176181773694</v>
      </c>
      <c r="AN1320" s="111" t="str">
        <f>IF(Audit[[#This Row],[K-M P Value]]&gt;1-'General Info'!$B$16,"Continue", "Stop")</f>
        <v>Stop</v>
      </c>
      <c r="AO1320" s="110" t="b">
        <f>IF(Audit[[#This Row],[Status - Continue or stop audit]] = "Continue", TRUE, IF(AN1319 = "Continue", TRUE, FALSE))</f>
        <v>0</v>
      </c>
      <c r="AP1320" s="110"/>
    </row>
    <row r="1321" spans="1:42" ht="15" hidden="1" customHeight="1">
      <c r="A1321" s="111" t="str">
        <f>'Sampling Data'!W1314</f>
        <v/>
      </c>
      <c r="B1321" s="112" t="str">
        <f>'Sampling Data'!A1314</f>
        <v>LAKEWOOD -03-D - ABS</v>
      </c>
      <c r="C1321" s="112">
        <f>'Sampling Data'!B1314</f>
        <v>3</v>
      </c>
      <c r="D1321" s="112">
        <f>'Sampling Data'!C1314</f>
        <v>11</v>
      </c>
      <c r="E1321" s="113">
        <f>'Sampling Data'!D1314</f>
        <v>1</v>
      </c>
      <c r="F1321" s="113">
        <f>'Sampling Data'!E1314</f>
        <v>1</v>
      </c>
      <c r="G1321" s="113">
        <f>'Sampling Data'!F1314</f>
        <v>0</v>
      </c>
      <c r="H1321" s="113">
        <f>'Sampling Data'!G1314</f>
        <v>0</v>
      </c>
      <c r="I1321" s="112">
        <f>'Sampling Data'!H1314</f>
        <v>0</v>
      </c>
      <c r="J1321" s="112">
        <f>'Sampling Data'!I1314</f>
        <v>0</v>
      </c>
      <c r="K1321" s="112">
        <f>'Sampling Data'!J1314</f>
        <v>16</v>
      </c>
      <c r="L1321" s="111">
        <f>'Sampling Data'!X1314</f>
        <v>0</v>
      </c>
      <c r="M1321" s="114"/>
      <c r="N1321" s="114"/>
      <c r="O1321" s="115"/>
      <c r="P1321" s="115"/>
      <c r="Q1321" s="116"/>
      <c r="R1321" s="116"/>
      <c r="S1321" s="111">
        <f>Audit[[#This Row],[Audit Losing Candidate]]-Audit[[#This Row],[Losing Candidate]]</f>
        <v>-3</v>
      </c>
      <c r="T1321" s="111">
        <f>Audit[[#This Row],[Audit Winning Candidate]]-Audit[[#This Row],[Winning Candidate]]</f>
        <v>-11</v>
      </c>
      <c r="U1321" s="111">
        <f>Audit[[#This Row],[Audit Candidate 3]]-Audit[[#This Row],[Candidate 3]]</f>
        <v>-1</v>
      </c>
      <c r="V1321" s="111">
        <f>Audit[[#This Row],[Audit Candidate 4]]-Audit[[#This Row],[Candidate 4]]</f>
        <v>-1</v>
      </c>
      <c r="W1321" s="111">
        <f>Audit[[#This Row],[Audit Candidate 5]]-Audit[[#This Row],[Candidate 5]]</f>
        <v>0</v>
      </c>
      <c r="X1321" s="111">
        <f>Audit[[#This Row],[Audit Candidate 6]]-Audit[[#This Row],[Candidate 6]]</f>
        <v>0</v>
      </c>
      <c r="Y1321" s="111">
        <f>SUMIF(Audit[[#This Row],[Difference Loser]:[Difference Candidate 6]], "&gt;0")</f>
        <v>0</v>
      </c>
      <c r="Z1321" s="111">
        <f>SUM(Audit[[#This Row],[Difference Loser]:[Difference Candidate 6]])</f>
        <v>-16</v>
      </c>
      <c r="AA1321" s="111">
        <f>IF(Audit[[#This Row],[Times p Drawn - With Replacement]]&gt;0, IF(Audit[[#This Row],[Canceled Differences]]&lt;0, Audit[[#This Row],[Max Differences]]+ABS(Audit[[#This Row],[Canceled Differences]]), Audit[[#This Row],[Max Differences]]), 0)</f>
        <v>0</v>
      </c>
      <c r="AB1321" s="111">
        <f>'Sampling Data'!P1314</f>
        <v>1.4698677119059284E-3</v>
      </c>
      <c r="AC1321" s="111">
        <f>IF(
      SUM(Audit[[#This Row],[Audit Losing Candidate]:[Audit Candidate 6]])
      &lt;&gt;0,
      (Audit[[#This Row],[Winning Candidate]]-Audit[[#This Row],[Losing Candidate]]-(Audit[[#This Row],[Audit Winning Candidate]]-Audit[[#This Row],[Audit Losing Candidate]]))/(Audit[[#Totals],[Winning Candidate]]-Audit[[#Totals],[Losing Candidate]]),
      0
)</f>
        <v>0</v>
      </c>
      <c r="AD13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1" s="111">
        <f>IF(Audit[[#This Row],[Max Relative Error (ep)]] = 0, 0, Audit[[#This Row],[Max Relative Error (ep)]]/Audit[[#This Row],[Error Bound (up) - Max. possible relative overstatement]])</f>
        <v>0</v>
      </c>
      <c r="AJ13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21" s="111">
        <f t="shared" si="20"/>
        <v>1</v>
      </c>
      <c r="AL1321" s="111">
        <f>PRODUCT($AK$5:AK1321)</f>
        <v>8.962823818226312E-2</v>
      </c>
      <c r="AM1321" s="109">
        <f>1 - [K-M P Value]</f>
        <v>0.91037176181773694</v>
      </c>
      <c r="AN1321" s="111" t="str">
        <f>IF(Audit[[#This Row],[K-M P Value]]&gt;1-'General Info'!$B$16,"Continue", "Stop")</f>
        <v>Stop</v>
      </c>
      <c r="AO1321" s="110" t="b">
        <f>IF(Audit[[#This Row],[Status - Continue or stop audit]] = "Continue", TRUE, IF(AN1320 = "Continue", TRUE, FALSE))</f>
        <v>0</v>
      </c>
      <c r="AP1321" s="110"/>
    </row>
    <row r="1322" spans="1:42" ht="15" hidden="1" customHeight="1">
      <c r="A1322" s="111" t="str">
        <f>'Sampling Data'!W1315</f>
        <v/>
      </c>
      <c r="B1322" s="112" t="str">
        <f>'Sampling Data'!A1315</f>
        <v>LAKEWOOD -03-E</v>
      </c>
      <c r="C1322" s="112">
        <f>'Sampling Data'!B1315</f>
        <v>18</v>
      </c>
      <c r="D1322" s="112">
        <f>'Sampling Data'!C1315</f>
        <v>21</v>
      </c>
      <c r="E1322" s="113">
        <f>'Sampling Data'!D1315</f>
        <v>7</v>
      </c>
      <c r="F1322" s="113">
        <f>'Sampling Data'!E1315</f>
        <v>5</v>
      </c>
      <c r="G1322" s="113">
        <f>'Sampling Data'!F1315</f>
        <v>0</v>
      </c>
      <c r="H1322" s="113">
        <f>'Sampling Data'!G1315</f>
        <v>1</v>
      </c>
      <c r="I1322" s="112">
        <f>'Sampling Data'!H1315</f>
        <v>0</v>
      </c>
      <c r="J1322" s="112">
        <f>'Sampling Data'!I1315</f>
        <v>0</v>
      </c>
      <c r="K1322" s="112">
        <f>'Sampling Data'!J1315</f>
        <v>52</v>
      </c>
      <c r="L1322" s="111">
        <f>'Sampling Data'!X1315</f>
        <v>0</v>
      </c>
      <c r="M1322" s="114"/>
      <c r="N1322" s="114"/>
      <c r="O1322" s="115"/>
      <c r="P1322" s="115"/>
      <c r="Q1322" s="116"/>
      <c r="R1322" s="116"/>
      <c r="S1322" s="111">
        <f>Audit[[#This Row],[Audit Losing Candidate]]-Audit[[#This Row],[Losing Candidate]]</f>
        <v>-18</v>
      </c>
      <c r="T1322" s="111">
        <f>Audit[[#This Row],[Audit Winning Candidate]]-Audit[[#This Row],[Winning Candidate]]</f>
        <v>-21</v>
      </c>
      <c r="U1322" s="111">
        <f>Audit[[#This Row],[Audit Candidate 3]]-Audit[[#This Row],[Candidate 3]]</f>
        <v>-7</v>
      </c>
      <c r="V1322" s="111">
        <f>Audit[[#This Row],[Audit Candidate 4]]-Audit[[#This Row],[Candidate 4]]</f>
        <v>-5</v>
      </c>
      <c r="W1322" s="111">
        <f>Audit[[#This Row],[Audit Candidate 5]]-Audit[[#This Row],[Candidate 5]]</f>
        <v>0</v>
      </c>
      <c r="X1322" s="111">
        <f>Audit[[#This Row],[Audit Candidate 6]]-Audit[[#This Row],[Candidate 6]]</f>
        <v>-1</v>
      </c>
      <c r="Y1322" s="111">
        <f>SUMIF(Audit[[#This Row],[Difference Loser]:[Difference Candidate 6]], "&gt;0")</f>
        <v>0</v>
      </c>
      <c r="Z1322" s="111">
        <f>SUM(Audit[[#This Row],[Difference Loser]:[Difference Candidate 6]])</f>
        <v>-52</v>
      </c>
      <c r="AA1322" s="111">
        <f>IF(Audit[[#This Row],[Times p Drawn - With Replacement]]&gt;0, IF(Audit[[#This Row],[Canceled Differences]]&lt;0, Audit[[#This Row],[Max Differences]]+ABS(Audit[[#This Row],[Canceled Differences]]), Audit[[#This Row],[Max Differences]]), 0)</f>
        <v>0</v>
      </c>
      <c r="AB1322" s="111">
        <f>'Sampling Data'!P1315</f>
        <v>3.3684468397844193E-3</v>
      </c>
      <c r="AC1322" s="111">
        <f>IF(
      SUM(Audit[[#This Row],[Audit Losing Candidate]:[Audit Candidate 6]])
      &lt;&gt;0,
      (Audit[[#This Row],[Winning Candidate]]-Audit[[#This Row],[Losing Candidate]]-(Audit[[#This Row],[Audit Winning Candidate]]-Audit[[#This Row],[Audit Losing Candidate]]))/(Audit[[#Totals],[Winning Candidate]]-Audit[[#Totals],[Losing Candidate]]),
      0
)</f>
        <v>0</v>
      </c>
      <c r="AD13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2" s="111">
        <f>IF(Audit[[#This Row],[Max Relative Error (ep)]] = 0, 0, Audit[[#This Row],[Max Relative Error (ep)]]/Audit[[#This Row],[Error Bound (up) - Max. possible relative overstatement]])</f>
        <v>0</v>
      </c>
      <c r="AJ13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22" s="111">
        <f t="shared" si="20"/>
        <v>1</v>
      </c>
      <c r="AL1322" s="111">
        <f>PRODUCT($AK$5:AK1322)</f>
        <v>8.962823818226312E-2</v>
      </c>
      <c r="AM1322" s="109">
        <f>1 - [K-M P Value]</f>
        <v>0.91037176181773694</v>
      </c>
      <c r="AN1322" s="111" t="str">
        <f>IF(Audit[[#This Row],[K-M P Value]]&gt;1-'General Info'!$B$16,"Continue", "Stop")</f>
        <v>Stop</v>
      </c>
      <c r="AO1322" s="110" t="b">
        <f>IF(Audit[[#This Row],[Status - Continue or stop audit]] = "Continue", TRUE, IF(AN1321 = "Continue", TRUE, FALSE))</f>
        <v>0</v>
      </c>
      <c r="AP1322" s="110"/>
    </row>
    <row r="1323" spans="1:42" ht="15" hidden="1" customHeight="1">
      <c r="A1323" s="111" t="str">
        <f>'Sampling Data'!W1316</f>
        <v/>
      </c>
      <c r="B1323" s="112" t="str">
        <f>'Sampling Data'!A1316</f>
        <v>LAKEWOOD -03-E - ABS</v>
      </c>
      <c r="C1323" s="112">
        <f>'Sampling Data'!B1316</f>
        <v>6</v>
      </c>
      <c r="D1323" s="112">
        <f>'Sampling Data'!C1316</f>
        <v>10</v>
      </c>
      <c r="E1323" s="113">
        <f>'Sampling Data'!D1316</f>
        <v>5</v>
      </c>
      <c r="F1323" s="113">
        <f>'Sampling Data'!E1316</f>
        <v>2</v>
      </c>
      <c r="G1323" s="113">
        <f>'Sampling Data'!F1316</f>
        <v>1</v>
      </c>
      <c r="H1323" s="113">
        <f>'Sampling Data'!G1316</f>
        <v>0</v>
      </c>
      <c r="I1323" s="112">
        <f>'Sampling Data'!H1316</f>
        <v>0</v>
      </c>
      <c r="J1323" s="112">
        <f>'Sampling Data'!I1316</f>
        <v>0</v>
      </c>
      <c r="K1323" s="112">
        <f>'Sampling Data'!J1316</f>
        <v>24</v>
      </c>
      <c r="L1323" s="111">
        <f>'Sampling Data'!X1316</f>
        <v>0</v>
      </c>
      <c r="M1323" s="114"/>
      <c r="N1323" s="114"/>
      <c r="O1323" s="115"/>
      <c r="P1323" s="115"/>
      <c r="Q1323" s="116"/>
      <c r="R1323" s="116"/>
      <c r="S1323" s="111">
        <f>Audit[[#This Row],[Audit Losing Candidate]]-Audit[[#This Row],[Losing Candidate]]</f>
        <v>-6</v>
      </c>
      <c r="T1323" s="111">
        <f>Audit[[#This Row],[Audit Winning Candidate]]-Audit[[#This Row],[Winning Candidate]]</f>
        <v>-10</v>
      </c>
      <c r="U1323" s="111">
        <f>Audit[[#This Row],[Audit Candidate 3]]-Audit[[#This Row],[Candidate 3]]</f>
        <v>-5</v>
      </c>
      <c r="V1323" s="111">
        <f>Audit[[#This Row],[Audit Candidate 4]]-Audit[[#This Row],[Candidate 4]]</f>
        <v>-2</v>
      </c>
      <c r="W1323" s="111">
        <f>Audit[[#This Row],[Audit Candidate 5]]-Audit[[#This Row],[Candidate 5]]</f>
        <v>-1</v>
      </c>
      <c r="X1323" s="111">
        <f>Audit[[#This Row],[Audit Candidate 6]]-Audit[[#This Row],[Candidate 6]]</f>
        <v>0</v>
      </c>
      <c r="Y1323" s="111">
        <f>SUMIF(Audit[[#This Row],[Difference Loser]:[Difference Candidate 6]], "&gt;0")</f>
        <v>0</v>
      </c>
      <c r="Z1323" s="111">
        <f>SUM(Audit[[#This Row],[Difference Loser]:[Difference Candidate 6]])</f>
        <v>-24</v>
      </c>
      <c r="AA1323" s="111">
        <f>IF(Audit[[#This Row],[Times p Drawn - With Replacement]]&gt;0, IF(Audit[[#This Row],[Canceled Differences]]&lt;0, Audit[[#This Row],[Max Differences]]+ABS(Audit[[#This Row],[Canceled Differences]]), Audit[[#This Row],[Max Differences]]), 0)</f>
        <v>0</v>
      </c>
      <c r="AB1323" s="111">
        <f>'Sampling Data'!P1316</f>
        <v>1.7148456638902498E-3</v>
      </c>
      <c r="AC1323" s="111">
        <f>IF(
      SUM(Audit[[#This Row],[Audit Losing Candidate]:[Audit Candidate 6]])
      &lt;&gt;0,
      (Audit[[#This Row],[Winning Candidate]]-Audit[[#This Row],[Losing Candidate]]-(Audit[[#This Row],[Audit Winning Candidate]]-Audit[[#This Row],[Audit Losing Candidate]]))/(Audit[[#Totals],[Winning Candidate]]-Audit[[#Totals],[Losing Candidate]]),
      0
)</f>
        <v>0</v>
      </c>
      <c r="AD13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3" s="111">
        <f>IF(Audit[[#This Row],[Max Relative Error (ep)]] = 0, 0, Audit[[#This Row],[Max Relative Error (ep)]]/Audit[[#This Row],[Error Bound (up) - Max. possible relative overstatement]])</f>
        <v>0</v>
      </c>
      <c r="AJ13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23" s="111">
        <f t="shared" si="20"/>
        <v>1</v>
      </c>
      <c r="AL1323" s="111">
        <f>PRODUCT($AK$5:AK1323)</f>
        <v>8.962823818226312E-2</v>
      </c>
      <c r="AM1323" s="109">
        <f>1 - [K-M P Value]</f>
        <v>0.91037176181773694</v>
      </c>
      <c r="AN1323" s="111" t="str">
        <f>IF(Audit[[#This Row],[K-M P Value]]&gt;1-'General Info'!$B$16,"Continue", "Stop")</f>
        <v>Stop</v>
      </c>
      <c r="AO1323" s="110" t="b">
        <f>IF(Audit[[#This Row],[Status - Continue or stop audit]] = "Continue", TRUE, IF(AN1322 = "Continue", TRUE, FALSE))</f>
        <v>0</v>
      </c>
      <c r="AP1323" s="110"/>
    </row>
    <row r="1324" spans="1:42" ht="15" hidden="1" customHeight="1">
      <c r="A1324" s="111" t="str">
        <f>'Sampling Data'!W1317</f>
        <v/>
      </c>
      <c r="B1324" s="112" t="str">
        <f>'Sampling Data'!A1317</f>
        <v>LAKEWOOD -03-F</v>
      </c>
      <c r="C1324" s="112">
        <f>'Sampling Data'!B1317</f>
        <v>12</v>
      </c>
      <c r="D1324" s="112">
        <f>'Sampling Data'!C1317</f>
        <v>26</v>
      </c>
      <c r="E1324" s="113">
        <f>'Sampling Data'!D1317</f>
        <v>6</v>
      </c>
      <c r="F1324" s="113">
        <f>'Sampling Data'!E1317</f>
        <v>8</v>
      </c>
      <c r="G1324" s="113">
        <f>'Sampling Data'!F1317</f>
        <v>0</v>
      </c>
      <c r="H1324" s="113">
        <f>'Sampling Data'!G1317</f>
        <v>1</v>
      </c>
      <c r="I1324" s="112">
        <f>'Sampling Data'!H1317</f>
        <v>0</v>
      </c>
      <c r="J1324" s="112">
        <f>'Sampling Data'!I1317</f>
        <v>2</v>
      </c>
      <c r="K1324" s="112">
        <f>'Sampling Data'!J1317</f>
        <v>55</v>
      </c>
      <c r="L1324" s="111">
        <f>'Sampling Data'!X1317</f>
        <v>0</v>
      </c>
      <c r="M1324" s="114"/>
      <c r="N1324" s="114"/>
      <c r="O1324" s="115"/>
      <c r="P1324" s="115"/>
      <c r="Q1324" s="116"/>
      <c r="R1324" s="116"/>
      <c r="S1324" s="111">
        <f>Audit[[#This Row],[Audit Losing Candidate]]-Audit[[#This Row],[Losing Candidate]]</f>
        <v>-12</v>
      </c>
      <c r="T1324" s="111">
        <f>Audit[[#This Row],[Audit Winning Candidate]]-Audit[[#This Row],[Winning Candidate]]</f>
        <v>-26</v>
      </c>
      <c r="U1324" s="111">
        <f>Audit[[#This Row],[Audit Candidate 3]]-Audit[[#This Row],[Candidate 3]]</f>
        <v>-6</v>
      </c>
      <c r="V1324" s="111">
        <f>Audit[[#This Row],[Audit Candidate 4]]-Audit[[#This Row],[Candidate 4]]</f>
        <v>-8</v>
      </c>
      <c r="W1324" s="111">
        <f>Audit[[#This Row],[Audit Candidate 5]]-Audit[[#This Row],[Candidate 5]]</f>
        <v>0</v>
      </c>
      <c r="X1324" s="111">
        <f>Audit[[#This Row],[Audit Candidate 6]]-Audit[[#This Row],[Candidate 6]]</f>
        <v>-1</v>
      </c>
      <c r="Y1324" s="111">
        <f>SUMIF(Audit[[#This Row],[Difference Loser]:[Difference Candidate 6]], "&gt;0")</f>
        <v>0</v>
      </c>
      <c r="Z1324" s="111">
        <f>SUM(Audit[[#This Row],[Difference Loser]:[Difference Candidate 6]])</f>
        <v>-53</v>
      </c>
      <c r="AA1324" s="111">
        <f>IF(Audit[[#This Row],[Times p Drawn - With Replacement]]&gt;0, IF(Audit[[#This Row],[Canceled Differences]]&lt;0, Audit[[#This Row],[Max Differences]]+ABS(Audit[[#This Row],[Canceled Differences]]), Audit[[#This Row],[Max Differences]]), 0)</f>
        <v>0</v>
      </c>
      <c r="AB1324" s="111">
        <f>'Sampling Data'!P1317</f>
        <v>4.2258696717295445E-3</v>
      </c>
      <c r="AC1324" s="111">
        <f>IF(
      SUM(Audit[[#This Row],[Audit Losing Candidate]:[Audit Candidate 6]])
      &lt;&gt;0,
      (Audit[[#This Row],[Winning Candidate]]-Audit[[#This Row],[Losing Candidate]]-(Audit[[#This Row],[Audit Winning Candidate]]-Audit[[#This Row],[Audit Losing Candidate]]))/(Audit[[#Totals],[Winning Candidate]]-Audit[[#Totals],[Losing Candidate]]),
      0
)</f>
        <v>0</v>
      </c>
      <c r="AD13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4" s="111">
        <f>IF(Audit[[#This Row],[Max Relative Error (ep)]] = 0, 0, Audit[[#This Row],[Max Relative Error (ep)]]/Audit[[#This Row],[Error Bound (up) - Max. possible relative overstatement]])</f>
        <v>0</v>
      </c>
      <c r="AJ13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24" s="111">
        <f t="shared" si="20"/>
        <v>1</v>
      </c>
      <c r="AL1324" s="111">
        <f>PRODUCT($AK$5:AK1324)</f>
        <v>8.962823818226312E-2</v>
      </c>
      <c r="AM1324" s="109">
        <f>1 - [K-M P Value]</f>
        <v>0.91037176181773694</v>
      </c>
      <c r="AN1324" s="111" t="str">
        <f>IF(Audit[[#This Row],[K-M P Value]]&gt;1-'General Info'!$B$16,"Continue", "Stop")</f>
        <v>Stop</v>
      </c>
      <c r="AO1324" s="110" t="b">
        <f>IF(Audit[[#This Row],[Status - Continue or stop audit]] = "Continue", TRUE, IF(AN1323 = "Continue", TRUE, FALSE))</f>
        <v>0</v>
      </c>
      <c r="AP1324" s="110"/>
    </row>
    <row r="1325" spans="1:42" ht="15" hidden="1" customHeight="1">
      <c r="A1325" s="111" t="str">
        <f>'Sampling Data'!W1318</f>
        <v/>
      </c>
      <c r="B1325" s="112" t="str">
        <f>'Sampling Data'!A1318</f>
        <v>LAKEWOOD -03-F - ABS</v>
      </c>
      <c r="C1325" s="112">
        <f>'Sampling Data'!B1318</f>
        <v>7</v>
      </c>
      <c r="D1325" s="112">
        <f>'Sampling Data'!C1318</f>
        <v>12</v>
      </c>
      <c r="E1325" s="113">
        <f>'Sampling Data'!D1318</f>
        <v>1</v>
      </c>
      <c r="F1325" s="113">
        <f>'Sampling Data'!E1318</f>
        <v>2</v>
      </c>
      <c r="G1325" s="113">
        <f>'Sampling Data'!F1318</f>
        <v>1</v>
      </c>
      <c r="H1325" s="113">
        <f>'Sampling Data'!G1318</f>
        <v>2</v>
      </c>
      <c r="I1325" s="112">
        <f>'Sampling Data'!H1318</f>
        <v>0</v>
      </c>
      <c r="J1325" s="112">
        <f>'Sampling Data'!I1318</f>
        <v>1</v>
      </c>
      <c r="K1325" s="112">
        <f>'Sampling Data'!J1318</f>
        <v>26</v>
      </c>
      <c r="L1325" s="111">
        <f>'Sampling Data'!X1318</f>
        <v>0</v>
      </c>
      <c r="M1325" s="114"/>
      <c r="N1325" s="114"/>
      <c r="O1325" s="115"/>
      <c r="P1325" s="115"/>
      <c r="Q1325" s="116"/>
      <c r="R1325" s="116"/>
      <c r="S1325" s="111">
        <f>Audit[[#This Row],[Audit Losing Candidate]]-Audit[[#This Row],[Losing Candidate]]</f>
        <v>-7</v>
      </c>
      <c r="T1325" s="111">
        <f>Audit[[#This Row],[Audit Winning Candidate]]-Audit[[#This Row],[Winning Candidate]]</f>
        <v>-12</v>
      </c>
      <c r="U1325" s="111">
        <f>Audit[[#This Row],[Audit Candidate 3]]-Audit[[#This Row],[Candidate 3]]</f>
        <v>-1</v>
      </c>
      <c r="V1325" s="111">
        <f>Audit[[#This Row],[Audit Candidate 4]]-Audit[[#This Row],[Candidate 4]]</f>
        <v>-2</v>
      </c>
      <c r="W1325" s="111">
        <f>Audit[[#This Row],[Audit Candidate 5]]-Audit[[#This Row],[Candidate 5]]</f>
        <v>-1</v>
      </c>
      <c r="X1325" s="111">
        <f>Audit[[#This Row],[Audit Candidate 6]]-Audit[[#This Row],[Candidate 6]]</f>
        <v>-2</v>
      </c>
      <c r="Y1325" s="111">
        <f>SUMIF(Audit[[#This Row],[Difference Loser]:[Difference Candidate 6]], "&gt;0")</f>
        <v>0</v>
      </c>
      <c r="Z1325" s="111">
        <f>SUM(Audit[[#This Row],[Difference Loser]:[Difference Candidate 6]])</f>
        <v>-25</v>
      </c>
      <c r="AA1325" s="111">
        <f>IF(Audit[[#This Row],[Times p Drawn - With Replacement]]&gt;0, IF(Audit[[#This Row],[Canceled Differences]]&lt;0, Audit[[#This Row],[Max Differences]]+ABS(Audit[[#This Row],[Canceled Differences]]), Audit[[#This Row],[Max Differences]]), 0)</f>
        <v>0</v>
      </c>
      <c r="AB1325" s="111">
        <f>'Sampling Data'!P1318</f>
        <v>1.8985791278784908E-3</v>
      </c>
      <c r="AC1325" s="111">
        <f>IF(
      SUM(Audit[[#This Row],[Audit Losing Candidate]:[Audit Candidate 6]])
      &lt;&gt;0,
      (Audit[[#This Row],[Winning Candidate]]-Audit[[#This Row],[Losing Candidate]]-(Audit[[#This Row],[Audit Winning Candidate]]-Audit[[#This Row],[Audit Losing Candidate]]))/(Audit[[#Totals],[Winning Candidate]]-Audit[[#Totals],[Losing Candidate]]),
      0
)</f>
        <v>0</v>
      </c>
      <c r="AD13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5" s="111">
        <f>IF(Audit[[#This Row],[Max Relative Error (ep)]] = 0, 0, Audit[[#This Row],[Max Relative Error (ep)]]/Audit[[#This Row],[Error Bound (up) - Max. possible relative overstatement]])</f>
        <v>0</v>
      </c>
      <c r="AJ13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25" s="111">
        <f t="shared" si="20"/>
        <v>1</v>
      </c>
      <c r="AL1325" s="111">
        <f>PRODUCT($AK$5:AK1325)</f>
        <v>8.962823818226312E-2</v>
      </c>
      <c r="AM1325" s="109">
        <f>1 - [K-M P Value]</f>
        <v>0.91037176181773694</v>
      </c>
      <c r="AN1325" s="111" t="str">
        <f>IF(Audit[[#This Row],[K-M P Value]]&gt;1-'General Info'!$B$16,"Continue", "Stop")</f>
        <v>Stop</v>
      </c>
      <c r="AO1325" s="110" t="b">
        <f>IF(Audit[[#This Row],[Status - Continue or stop audit]] = "Continue", TRUE, IF(AN1324 = "Continue", TRUE, FALSE))</f>
        <v>0</v>
      </c>
      <c r="AP1325" s="110"/>
    </row>
    <row r="1326" spans="1:42" ht="15" hidden="1" customHeight="1">
      <c r="A1326" s="111" t="str">
        <f>'Sampling Data'!W1319</f>
        <v/>
      </c>
      <c r="B1326" s="112" t="str">
        <f>'Sampling Data'!A1319</f>
        <v>LAKEWOOD -03-G</v>
      </c>
      <c r="C1326" s="112">
        <f>'Sampling Data'!B1319</f>
        <v>17</v>
      </c>
      <c r="D1326" s="112">
        <f>'Sampling Data'!C1319</f>
        <v>30</v>
      </c>
      <c r="E1326" s="113">
        <f>'Sampling Data'!D1319</f>
        <v>7</v>
      </c>
      <c r="F1326" s="113">
        <f>'Sampling Data'!E1319</f>
        <v>4</v>
      </c>
      <c r="G1326" s="113">
        <f>'Sampling Data'!F1319</f>
        <v>0</v>
      </c>
      <c r="H1326" s="113">
        <f>'Sampling Data'!G1319</f>
        <v>1</v>
      </c>
      <c r="I1326" s="112">
        <f>'Sampling Data'!H1319</f>
        <v>0</v>
      </c>
      <c r="J1326" s="112">
        <f>'Sampling Data'!I1319</f>
        <v>1</v>
      </c>
      <c r="K1326" s="112">
        <f>'Sampling Data'!J1319</f>
        <v>60</v>
      </c>
      <c r="L1326" s="111">
        <f>'Sampling Data'!X1319</f>
        <v>0</v>
      </c>
      <c r="M1326" s="114"/>
      <c r="N1326" s="114"/>
      <c r="O1326" s="115"/>
      <c r="P1326" s="115"/>
      <c r="Q1326" s="116"/>
      <c r="R1326" s="116"/>
      <c r="S1326" s="111">
        <f>Audit[[#This Row],[Audit Losing Candidate]]-Audit[[#This Row],[Losing Candidate]]</f>
        <v>-17</v>
      </c>
      <c r="T1326" s="111">
        <f>Audit[[#This Row],[Audit Winning Candidate]]-Audit[[#This Row],[Winning Candidate]]</f>
        <v>-30</v>
      </c>
      <c r="U1326" s="111">
        <f>Audit[[#This Row],[Audit Candidate 3]]-Audit[[#This Row],[Candidate 3]]</f>
        <v>-7</v>
      </c>
      <c r="V1326" s="111">
        <f>Audit[[#This Row],[Audit Candidate 4]]-Audit[[#This Row],[Candidate 4]]</f>
        <v>-4</v>
      </c>
      <c r="W1326" s="111">
        <f>Audit[[#This Row],[Audit Candidate 5]]-Audit[[#This Row],[Candidate 5]]</f>
        <v>0</v>
      </c>
      <c r="X1326" s="111">
        <f>Audit[[#This Row],[Audit Candidate 6]]-Audit[[#This Row],[Candidate 6]]</f>
        <v>-1</v>
      </c>
      <c r="Y1326" s="111">
        <f>SUMIF(Audit[[#This Row],[Difference Loser]:[Difference Candidate 6]], "&gt;0")</f>
        <v>0</v>
      </c>
      <c r="Z1326" s="111">
        <f>SUM(Audit[[#This Row],[Difference Loser]:[Difference Candidate 6]])</f>
        <v>-59</v>
      </c>
      <c r="AA1326" s="111">
        <f>IF(Audit[[#This Row],[Times p Drawn - With Replacement]]&gt;0, IF(Audit[[#This Row],[Canceled Differences]]&lt;0, Audit[[#This Row],[Max Differences]]+ABS(Audit[[#This Row],[Canceled Differences]]), Audit[[#This Row],[Max Differences]]), 0)</f>
        <v>0</v>
      </c>
      <c r="AB1326" s="111">
        <f>'Sampling Data'!P1319</f>
        <v>4.4708476237138662E-3</v>
      </c>
      <c r="AC1326" s="111">
        <f>IF(
      SUM(Audit[[#This Row],[Audit Losing Candidate]:[Audit Candidate 6]])
      &lt;&gt;0,
      (Audit[[#This Row],[Winning Candidate]]-Audit[[#This Row],[Losing Candidate]]-(Audit[[#This Row],[Audit Winning Candidate]]-Audit[[#This Row],[Audit Losing Candidate]]))/(Audit[[#Totals],[Winning Candidate]]-Audit[[#Totals],[Losing Candidate]]),
      0
)</f>
        <v>0</v>
      </c>
      <c r="AD13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6" s="111">
        <f>IF(Audit[[#This Row],[Max Relative Error (ep)]] = 0, 0, Audit[[#This Row],[Max Relative Error (ep)]]/Audit[[#This Row],[Error Bound (up) - Max. possible relative overstatement]])</f>
        <v>0</v>
      </c>
      <c r="AJ13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26" s="111">
        <f t="shared" si="20"/>
        <v>1</v>
      </c>
      <c r="AL1326" s="111">
        <f>PRODUCT($AK$5:AK1326)</f>
        <v>8.962823818226312E-2</v>
      </c>
      <c r="AM1326" s="109">
        <f>1 - [K-M P Value]</f>
        <v>0.91037176181773694</v>
      </c>
      <c r="AN1326" s="111" t="str">
        <f>IF(Audit[[#This Row],[K-M P Value]]&gt;1-'General Info'!$B$16,"Continue", "Stop")</f>
        <v>Stop</v>
      </c>
      <c r="AO1326" s="110" t="b">
        <f>IF(Audit[[#This Row],[Status - Continue or stop audit]] = "Continue", TRUE, IF(AN1325 = "Continue", TRUE, FALSE))</f>
        <v>0</v>
      </c>
      <c r="AP1326" s="110"/>
    </row>
    <row r="1327" spans="1:42" ht="15" hidden="1" customHeight="1">
      <c r="A1327" s="111" t="str">
        <f>'Sampling Data'!W1320</f>
        <v/>
      </c>
      <c r="B1327" s="112" t="str">
        <f>'Sampling Data'!A1320</f>
        <v>LAKEWOOD -03-G - ABS</v>
      </c>
      <c r="C1327" s="112">
        <f>'Sampling Data'!B1320</f>
        <v>1</v>
      </c>
      <c r="D1327" s="112">
        <f>'Sampling Data'!C1320</f>
        <v>6</v>
      </c>
      <c r="E1327" s="113">
        <f>'Sampling Data'!D1320</f>
        <v>1</v>
      </c>
      <c r="F1327" s="113">
        <f>'Sampling Data'!E1320</f>
        <v>1</v>
      </c>
      <c r="G1327" s="113">
        <f>'Sampling Data'!F1320</f>
        <v>0</v>
      </c>
      <c r="H1327" s="113">
        <f>'Sampling Data'!G1320</f>
        <v>0</v>
      </c>
      <c r="I1327" s="112">
        <f>'Sampling Data'!H1320</f>
        <v>0</v>
      </c>
      <c r="J1327" s="112">
        <f>'Sampling Data'!I1320</f>
        <v>0</v>
      </c>
      <c r="K1327" s="112">
        <f>'Sampling Data'!J1320</f>
        <v>9</v>
      </c>
      <c r="L1327" s="111">
        <f>'Sampling Data'!X1320</f>
        <v>0</v>
      </c>
      <c r="M1327" s="114"/>
      <c r="N1327" s="114"/>
      <c r="O1327" s="115"/>
      <c r="P1327" s="115"/>
      <c r="Q1327" s="116"/>
      <c r="R1327" s="116"/>
      <c r="S1327" s="111">
        <f>Audit[[#This Row],[Audit Losing Candidate]]-Audit[[#This Row],[Losing Candidate]]</f>
        <v>-1</v>
      </c>
      <c r="T1327" s="111">
        <f>Audit[[#This Row],[Audit Winning Candidate]]-Audit[[#This Row],[Winning Candidate]]</f>
        <v>-6</v>
      </c>
      <c r="U1327" s="111">
        <f>Audit[[#This Row],[Audit Candidate 3]]-Audit[[#This Row],[Candidate 3]]</f>
        <v>-1</v>
      </c>
      <c r="V1327" s="111">
        <f>Audit[[#This Row],[Audit Candidate 4]]-Audit[[#This Row],[Candidate 4]]</f>
        <v>-1</v>
      </c>
      <c r="W1327" s="111">
        <f>Audit[[#This Row],[Audit Candidate 5]]-Audit[[#This Row],[Candidate 5]]</f>
        <v>0</v>
      </c>
      <c r="X1327" s="111">
        <f>Audit[[#This Row],[Audit Candidate 6]]-Audit[[#This Row],[Candidate 6]]</f>
        <v>0</v>
      </c>
      <c r="Y1327" s="111">
        <f>SUMIF(Audit[[#This Row],[Difference Loser]:[Difference Candidate 6]], "&gt;0")</f>
        <v>0</v>
      </c>
      <c r="Z1327" s="111">
        <f>SUM(Audit[[#This Row],[Difference Loser]:[Difference Candidate 6]])</f>
        <v>-9</v>
      </c>
      <c r="AA1327" s="111">
        <f>IF(Audit[[#This Row],[Times p Drawn - With Replacement]]&gt;0, IF(Audit[[#This Row],[Canceled Differences]]&lt;0, Audit[[#This Row],[Max Differences]]+ABS(Audit[[#This Row],[Canceled Differences]]), Audit[[#This Row],[Max Differences]]), 0)</f>
        <v>0</v>
      </c>
      <c r="AB1327" s="111">
        <f>'Sampling Data'!P1320</f>
        <v>8.5742283194512492E-4</v>
      </c>
      <c r="AC1327" s="111">
        <f>IF(
      SUM(Audit[[#This Row],[Audit Losing Candidate]:[Audit Candidate 6]])
      &lt;&gt;0,
      (Audit[[#This Row],[Winning Candidate]]-Audit[[#This Row],[Losing Candidate]]-(Audit[[#This Row],[Audit Winning Candidate]]-Audit[[#This Row],[Audit Losing Candidate]]))/(Audit[[#Totals],[Winning Candidate]]-Audit[[#Totals],[Losing Candidate]]),
      0
)</f>
        <v>0</v>
      </c>
      <c r="AD13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7" s="111">
        <f>IF(Audit[[#This Row],[Max Relative Error (ep)]] = 0, 0, Audit[[#This Row],[Max Relative Error (ep)]]/Audit[[#This Row],[Error Bound (up) - Max. possible relative overstatement]])</f>
        <v>0</v>
      </c>
      <c r="AJ13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27" s="111">
        <f t="shared" si="20"/>
        <v>1</v>
      </c>
      <c r="AL1327" s="111">
        <f>PRODUCT($AK$5:AK1327)</f>
        <v>8.962823818226312E-2</v>
      </c>
      <c r="AM1327" s="109">
        <f>1 - [K-M P Value]</f>
        <v>0.91037176181773694</v>
      </c>
      <c r="AN1327" s="111" t="str">
        <f>IF(Audit[[#This Row],[K-M P Value]]&gt;1-'General Info'!$B$16,"Continue", "Stop")</f>
        <v>Stop</v>
      </c>
      <c r="AO1327" s="110" t="b">
        <f>IF(Audit[[#This Row],[Status - Continue or stop audit]] = "Continue", TRUE, IF(AN1326 = "Continue", TRUE, FALSE))</f>
        <v>0</v>
      </c>
      <c r="AP1327" s="110"/>
    </row>
    <row r="1328" spans="1:42" ht="15" hidden="1" customHeight="1">
      <c r="A1328" s="111" t="str">
        <f>'Sampling Data'!W1321</f>
        <v/>
      </c>
      <c r="B1328" s="112" t="str">
        <f>'Sampling Data'!A1321</f>
        <v>LAKEWOOD -03-H</v>
      </c>
      <c r="C1328" s="112">
        <f>'Sampling Data'!B1321</f>
        <v>23</v>
      </c>
      <c r="D1328" s="112">
        <f>'Sampling Data'!C1321</f>
        <v>24</v>
      </c>
      <c r="E1328" s="113">
        <f>'Sampling Data'!D1321</f>
        <v>8</v>
      </c>
      <c r="F1328" s="113">
        <f>'Sampling Data'!E1321</f>
        <v>6</v>
      </c>
      <c r="G1328" s="113">
        <f>'Sampling Data'!F1321</f>
        <v>0</v>
      </c>
      <c r="H1328" s="113">
        <f>'Sampling Data'!G1321</f>
        <v>1</v>
      </c>
      <c r="I1328" s="112">
        <f>'Sampling Data'!H1321</f>
        <v>1</v>
      </c>
      <c r="J1328" s="112">
        <f>'Sampling Data'!I1321</f>
        <v>0</v>
      </c>
      <c r="K1328" s="112">
        <f>'Sampling Data'!J1321</f>
        <v>63</v>
      </c>
      <c r="L1328" s="111">
        <f>'Sampling Data'!X1321</f>
        <v>0</v>
      </c>
      <c r="M1328" s="114"/>
      <c r="N1328" s="114"/>
      <c r="O1328" s="115"/>
      <c r="P1328" s="115"/>
      <c r="Q1328" s="116"/>
      <c r="R1328" s="116"/>
      <c r="S1328" s="111">
        <f>Audit[[#This Row],[Audit Losing Candidate]]-Audit[[#This Row],[Losing Candidate]]</f>
        <v>-23</v>
      </c>
      <c r="T1328" s="111">
        <f>Audit[[#This Row],[Audit Winning Candidate]]-Audit[[#This Row],[Winning Candidate]]</f>
        <v>-24</v>
      </c>
      <c r="U1328" s="111">
        <f>Audit[[#This Row],[Audit Candidate 3]]-Audit[[#This Row],[Candidate 3]]</f>
        <v>-8</v>
      </c>
      <c r="V1328" s="111">
        <f>Audit[[#This Row],[Audit Candidate 4]]-Audit[[#This Row],[Candidate 4]]</f>
        <v>-6</v>
      </c>
      <c r="W1328" s="111">
        <f>Audit[[#This Row],[Audit Candidate 5]]-Audit[[#This Row],[Candidate 5]]</f>
        <v>0</v>
      </c>
      <c r="X1328" s="111">
        <f>Audit[[#This Row],[Audit Candidate 6]]-Audit[[#This Row],[Candidate 6]]</f>
        <v>-1</v>
      </c>
      <c r="Y1328" s="111">
        <f>SUMIF(Audit[[#This Row],[Difference Loser]:[Difference Candidate 6]], "&gt;0")</f>
        <v>0</v>
      </c>
      <c r="Z1328" s="111">
        <f>SUM(Audit[[#This Row],[Difference Loser]:[Difference Candidate 6]])</f>
        <v>-62</v>
      </c>
      <c r="AA1328" s="111">
        <f>IF(Audit[[#This Row],[Times p Drawn - With Replacement]]&gt;0, IF(Audit[[#This Row],[Canceled Differences]]&lt;0, Audit[[#This Row],[Max Differences]]+ABS(Audit[[#This Row],[Canceled Differences]]), Audit[[#This Row],[Max Differences]]), 0)</f>
        <v>0</v>
      </c>
      <c r="AB1328" s="111">
        <f>'Sampling Data'!P1321</f>
        <v>3.9196472317491425E-3</v>
      </c>
      <c r="AC1328" s="111">
        <f>IF(
      SUM(Audit[[#This Row],[Audit Losing Candidate]:[Audit Candidate 6]])
      &lt;&gt;0,
      (Audit[[#This Row],[Winning Candidate]]-Audit[[#This Row],[Losing Candidate]]-(Audit[[#This Row],[Audit Winning Candidate]]-Audit[[#This Row],[Audit Losing Candidate]]))/(Audit[[#Totals],[Winning Candidate]]-Audit[[#Totals],[Losing Candidate]]),
      0
)</f>
        <v>0</v>
      </c>
      <c r="AD13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8" s="111">
        <f>IF(Audit[[#This Row],[Max Relative Error (ep)]] = 0, 0, Audit[[#This Row],[Max Relative Error (ep)]]/Audit[[#This Row],[Error Bound (up) - Max. possible relative overstatement]])</f>
        <v>0</v>
      </c>
      <c r="AJ13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28" s="111">
        <f t="shared" si="20"/>
        <v>1</v>
      </c>
      <c r="AL1328" s="111">
        <f>PRODUCT($AK$5:AK1328)</f>
        <v>8.962823818226312E-2</v>
      </c>
      <c r="AM1328" s="109">
        <f>1 - [K-M P Value]</f>
        <v>0.91037176181773694</v>
      </c>
      <c r="AN1328" s="111" t="str">
        <f>IF(Audit[[#This Row],[K-M P Value]]&gt;1-'General Info'!$B$16,"Continue", "Stop")</f>
        <v>Stop</v>
      </c>
      <c r="AO1328" s="110" t="b">
        <f>IF(Audit[[#This Row],[Status - Continue or stop audit]] = "Continue", TRUE, IF(AN1327 = "Continue", TRUE, FALSE))</f>
        <v>0</v>
      </c>
      <c r="AP1328" s="110"/>
    </row>
    <row r="1329" spans="1:42" ht="15" hidden="1" customHeight="1">
      <c r="A1329" s="111" t="str">
        <f>'Sampling Data'!W1322</f>
        <v/>
      </c>
      <c r="B1329" s="112" t="str">
        <f>'Sampling Data'!A1322</f>
        <v>LAKEWOOD -03-H - ABS</v>
      </c>
      <c r="C1329" s="112">
        <f>'Sampling Data'!B1322</f>
        <v>4</v>
      </c>
      <c r="D1329" s="112">
        <f>'Sampling Data'!C1322</f>
        <v>2</v>
      </c>
      <c r="E1329" s="113">
        <f>'Sampling Data'!D1322</f>
        <v>0</v>
      </c>
      <c r="F1329" s="113">
        <f>'Sampling Data'!E1322</f>
        <v>2</v>
      </c>
      <c r="G1329" s="113">
        <f>'Sampling Data'!F1322</f>
        <v>0</v>
      </c>
      <c r="H1329" s="113">
        <f>'Sampling Data'!G1322</f>
        <v>0</v>
      </c>
      <c r="I1329" s="112">
        <f>'Sampling Data'!H1322</f>
        <v>0</v>
      </c>
      <c r="J1329" s="112">
        <f>'Sampling Data'!I1322</f>
        <v>1</v>
      </c>
      <c r="K1329" s="112">
        <f>'Sampling Data'!J1322</f>
        <v>9</v>
      </c>
      <c r="L1329" s="111">
        <f>'Sampling Data'!X1322</f>
        <v>0</v>
      </c>
      <c r="M1329" s="114"/>
      <c r="N1329" s="114"/>
      <c r="O1329" s="115"/>
      <c r="P1329" s="115"/>
      <c r="Q1329" s="116"/>
      <c r="R1329" s="116"/>
      <c r="S1329" s="111">
        <f>Audit[[#This Row],[Audit Losing Candidate]]-Audit[[#This Row],[Losing Candidate]]</f>
        <v>-4</v>
      </c>
      <c r="T1329" s="111">
        <f>Audit[[#This Row],[Audit Winning Candidate]]-Audit[[#This Row],[Winning Candidate]]</f>
        <v>-2</v>
      </c>
      <c r="U1329" s="111">
        <f>Audit[[#This Row],[Audit Candidate 3]]-Audit[[#This Row],[Candidate 3]]</f>
        <v>0</v>
      </c>
      <c r="V1329" s="111">
        <f>Audit[[#This Row],[Audit Candidate 4]]-Audit[[#This Row],[Candidate 4]]</f>
        <v>-2</v>
      </c>
      <c r="W1329" s="111">
        <f>Audit[[#This Row],[Audit Candidate 5]]-Audit[[#This Row],[Candidate 5]]</f>
        <v>0</v>
      </c>
      <c r="X1329" s="111">
        <f>Audit[[#This Row],[Audit Candidate 6]]-Audit[[#This Row],[Candidate 6]]</f>
        <v>0</v>
      </c>
      <c r="Y1329" s="111">
        <f>SUMIF(Audit[[#This Row],[Difference Loser]:[Difference Candidate 6]], "&gt;0")</f>
        <v>0</v>
      </c>
      <c r="Z1329" s="111">
        <f>SUM(Audit[[#This Row],[Difference Loser]:[Difference Candidate 6]])</f>
        <v>-8</v>
      </c>
      <c r="AA1329" s="111">
        <f>IF(Audit[[#This Row],[Times p Drawn - With Replacement]]&gt;0, IF(Audit[[#This Row],[Canceled Differences]]&lt;0, Audit[[#This Row],[Max Differences]]+ABS(Audit[[#This Row],[Canceled Differences]]), Audit[[#This Row],[Max Differences]]), 0)</f>
        <v>0</v>
      </c>
      <c r="AB1329" s="111">
        <f>'Sampling Data'!P1322</f>
        <v>4.2871141597256246E-4</v>
      </c>
      <c r="AC1329" s="111">
        <f>IF(
      SUM(Audit[[#This Row],[Audit Losing Candidate]:[Audit Candidate 6]])
      &lt;&gt;0,
      (Audit[[#This Row],[Winning Candidate]]-Audit[[#This Row],[Losing Candidate]]-(Audit[[#This Row],[Audit Winning Candidate]]-Audit[[#This Row],[Audit Losing Candidate]]))/(Audit[[#Totals],[Winning Candidate]]-Audit[[#Totals],[Losing Candidate]]),
      0
)</f>
        <v>0</v>
      </c>
      <c r="AD13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9" s="111">
        <f>IF(Audit[[#This Row],[Max Relative Error (ep)]] = 0, 0, Audit[[#This Row],[Max Relative Error (ep)]]/Audit[[#This Row],[Error Bound (up) - Max. possible relative overstatement]])</f>
        <v>0</v>
      </c>
      <c r="AJ13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29" s="111">
        <f t="shared" si="20"/>
        <v>1</v>
      </c>
      <c r="AL1329" s="111">
        <f>PRODUCT($AK$5:AK1329)</f>
        <v>8.962823818226312E-2</v>
      </c>
      <c r="AM1329" s="109">
        <f>1 - [K-M P Value]</f>
        <v>0.91037176181773694</v>
      </c>
      <c r="AN1329" s="111" t="str">
        <f>IF(Audit[[#This Row],[K-M P Value]]&gt;1-'General Info'!$B$16,"Continue", "Stop")</f>
        <v>Stop</v>
      </c>
      <c r="AO1329" s="110" t="b">
        <f>IF(Audit[[#This Row],[Status - Continue or stop audit]] = "Continue", TRUE, IF(AN1328 = "Continue", TRUE, FALSE))</f>
        <v>0</v>
      </c>
      <c r="AP1329" s="110"/>
    </row>
    <row r="1330" spans="1:42" ht="15" hidden="1" customHeight="1">
      <c r="A1330" s="111" t="str">
        <f>'Sampling Data'!W1323</f>
        <v/>
      </c>
      <c r="B1330" s="112" t="str">
        <f>'Sampling Data'!A1323</f>
        <v>LAKEWOOD -03-I</v>
      </c>
      <c r="C1330" s="112">
        <f>'Sampling Data'!B1323</f>
        <v>18</v>
      </c>
      <c r="D1330" s="112">
        <f>'Sampling Data'!C1323</f>
        <v>14</v>
      </c>
      <c r="E1330" s="113">
        <f>'Sampling Data'!D1323</f>
        <v>6</v>
      </c>
      <c r="F1330" s="113">
        <f>'Sampling Data'!E1323</f>
        <v>5</v>
      </c>
      <c r="G1330" s="113">
        <f>'Sampling Data'!F1323</f>
        <v>0</v>
      </c>
      <c r="H1330" s="113">
        <f>'Sampling Data'!G1323</f>
        <v>0</v>
      </c>
      <c r="I1330" s="112">
        <f>'Sampling Data'!H1323</f>
        <v>0</v>
      </c>
      <c r="J1330" s="112">
        <f>'Sampling Data'!I1323</f>
        <v>0</v>
      </c>
      <c r="K1330" s="112">
        <f>'Sampling Data'!J1323</f>
        <v>43</v>
      </c>
      <c r="L1330" s="111">
        <f>'Sampling Data'!X1323</f>
        <v>0</v>
      </c>
      <c r="M1330" s="114"/>
      <c r="N1330" s="114"/>
      <c r="O1330" s="115"/>
      <c r="P1330" s="115"/>
      <c r="Q1330" s="116"/>
      <c r="R1330" s="116"/>
      <c r="S1330" s="111">
        <f>Audit[[#This Row],[Audit Losing Candidate]]-Audit[[#This Row],[Losing Candidate]]</f>
        <v>-18</v>
      </c>
      <c r="T1330" s="111">
        <f>Audit[[#This Row],[Audit Winning Candidate]]-Audit[[#This Row],[Winning Candidate]]</f>
        <v>-14</v>
      </c>
      <c r="U1330" s="111">
        <f>Audit[[#This Row],[Audit Candidate 3]]-Audit[[#This Row],[Candidate 3]]</f>
        <v>-6</v>
      </c>
      <c r="V1330" s="111">
        <f>Audit[[#This Row],[Audit Candidate 4]]-Audit[[#This Row],[Candidate 4]]</f>
        <v>-5</v>
      </c>
      <c r="W1330" s="111">
        <f>Audit[[#This Row],[Audit Candidate 5]]-Audit[[#This Row],[Candidate 5]]</f>
        <v>0</v>
      </c>
      <c r="X1330" s="111">
        <f>Audit[[#This Row],[Audit Candidate 6]]-Audit[[#This Row],[Candidate 6]]</f>
        <v>0</v>
      </c>
      <c r="Y1330" s="111">
        <f>SUMIF(Audit[[#This Row],[Difference Loser]:[Difference Candidate 6]], "&gt;0")</f>
        <v>0</v>
      </c>
      <c r="Z1330" s="111">
        <f>SUM(Audit[[#This Row],[Difference Loser]:[Difference Candidate 6]])</f>
        <v>-43</v>
      </c>
      <c r="AA1330" s="111">
        <f>IF(Audit[[#This Row],[Times p Drawn - With Replacement]]&gt;0, IF(Audit[[#This Row],[Canceled Differences]]&lt;0, Audit[[#This Row],[Max Differences]]+ABS(Audit[[#This Row],[Canceled Differences]]), Audit[[#This Row],[Max Differences]]), 0)</f>
        <v>0</v>
      </c>
      <c r="AB1330" s="111">
        <f>'Sampling Data'!P1323</f>
        <v>2.3885350318471337E-3</v>
      </c>
      <c r="AC1330" s="111">
        <f>IF(
      SUM(Audit[[#This Row],[Audit Losing Candidate]:[Audit Candidate 6]])
      &lt;&gt;0,
      (Audit[[#This Row],[Winning Candidate]]-Audit[[#This Row],[Losing Candidate]]-(Audit[[#This Row],[Audit Winning Candidate]]-Audit[[#This Row],[Audit Losing Candidate]]))/(Audit[[#Totals],[Winning Candidate]]-Audit[[#Totals],[Losing Candidate]]),
      0
)</f>
        <v>0</v>
      </c>
      <c r="AD13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0" s="111">
        <f>IF(Audit[[#This Row],[Max Relative Error (ep)]] = 0, 0, Audit[[#This Row],[Max Relative Error (ep)]]/Audit[[#This Row],[Error Bound (up) - Max. possible relative overstatement]])</f>
        <v>0</v>
      </c>
      <c r="AJ13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30" s="111">
        <f t="shared" si="20"/>
        <v>1</v>
      </c>
      <c r="AL1330" s="111">
        <f>PRODUCT($AK$5:AK1330)</f>
        <v>8.962823818226312E-2</v>
      </c>
      <c r="AM1330" s="109">
        <f>1 - [K-M P Value]</f>
        <v>0.91037176181773694</v>
      </c>
      <c r="AN1330" s="111" t="str">
        <f>IF(Audit[[#This Row],[K-M P Value]]&gt;1-'General Info'!$B$16,"Continue", "Stop")</f>
        <v>Stop</v>
      </c>
      <c r="AO1330" s="110" t="b">
        <f>IF(Audit[[#This Row],[Status - Continue or stop audit]] = "Continue", TRUE, IF(AN1329 = "Continue", TRUE, FALSE))</f>
        <v>0</v>
      </c>
      <c r="AP1330" s="110"/>
    </row>
    <row r="1331" spans="1:42" ht="15" hidden="1" customHeight="1">
      <c r="A1331" s="111" t="str">
        <f>'Sampling Data'!W1324</f>
        <v/>
      </c>
      <c r="B1331" s="112" t="str">
        <f>'Sampling Data'!A1324</f>
        <v>LAKEWOOD -03-I - ABS</v>
      </c>
      <c r="C1331" s="112">
        <f>'Sampling Data'!B1324</f>
        <v>6</v>
      </c>
      <c r="D1331" s="112">
        <f>'Sampling Data'!C1324</f>
        <v>5</v>
      </c>
      <c r="E1331" s="113">
        <f>'Sampling Data'!D1324</f>
        <v>3</v>
      </c>
      <c r="F1331" s="113">
        <f>'Sampling Data'!E1324</f>
        <v>2</v>
      </c>
      <c r="G1331" s="113">
        <f>'Sampling Data'!F1324</f>
        <v>0</v>
      </c>
      <c r="H1331" s="113">
        <f>'Sampling Data'!G1324</f>
        <v>0</v>
      </c>
      <c r="I1331" s="112">
        <f>'Sampling Data'!H1324</f>
        <v>0</v>
      </c>
      <c r="J1331" s="112">
        <f>'Sampling Data'!I1324</f>
        <v>0</v>
      </c>
      <c r="K1331" s="112">
        <f>'Sampling Data'!J1324</f>
        <v>16</v>
      </c>
      <c r="L1331" s="111">
        <f>'Sampling Data'!X1324</f>
        <v>0</v>
      </c>
      <c r="M1331" s="114"/>
      <c r="N1331" s="114"/>
      <c r="O1331" s="115"/>
      <c r="P1331" s="115"/>
      <c r="Q1331" s="116"/>
      <c r="R1331" s="116"/>
      <c r="S1331" s="111">
        <f>Audit[[#This Row],[Audit Losing Candidate]]-Audit[[#This Row],[Losing Candidate]]</f>
        <v>-6</v>
      </c>
      <c r="T1331" s="111">
        <f>Audit[[#This Row],[Audit Winning Candidate]]-Audit[[#This Row],[Winning Candidate]]</f>
        <v>-5</v>
      </c>
      <c r="U1331" s="111">
        <f>Audit[[#This Row],[Audit Candidate 3]]-Audit[[#This Row],[Candidate 3]]</f>
        <v>-3</v>
      </c>
      <c r="V1331" s="111">
        <f>Audit[[#This Row],[Audit Candidate 4]]-Audit[[#This Row],[Candidate 4]]</f>
        <v>-2</v>
      </c>
      <c r="W1331" s="111">
        <f>Audit[[#This Row],[Audit Candidate 5]]-Audit[[#This Row],[Candidate 5]]</f>
        <v>0</v>
      </c>
      <c r="X1331" s="111">
        <f>Audit[[#This Row],[Audit Candidate 6]]-Audit[[#This Row],[Candidate 6]]</f>
        <v>0</v>
      </c>
      <c r="Y1331" s="111">
        <f>SUMIF(Audit[[#This Row],[Difference Loser]:[Difference Candidate 6]], "&gt;0")</f>
        <v>0</v>
      </c>
      <c r="Z1331" s="111">
        <f>SUM(Audit[[#This Row],[Difference Loser]:[Difference Candidate 6]])</f>
        <v>-16</v>
      </c>
      <c r="AA1331" s="111">
        <f>IF(Audit[[#This Row],[Times p Drawn - With Replacement]]&gt;0, IF(Audit[[#This Row],[Canceled Differences]]&lt;0, Audit[[#This Row],[Max Differences]]+ABS(Audit[[#This Row],[Canceled Differences]]), Audit[[#This Row],[Max Differences]]), 0)</f>
        <v>0</v>
      </c>
      <c r="AB1331" s="111">
        <f>'Sampling Data'!P1324</f>
        <v>9.1866731994120533E-4</v>
      </c>
      <c r="AC1331" s="111">
        <f>IF(
      SUM(Audit[[#This Row],[Audit Losing Candidate]:[Audit Candidate 6]])
      &lt;&gt;0,
      (Audit[[#This Row],[Winning Candidate]]-Audit[[#This Row],[Losing Candidate]]-(Audit[[#This Row],[Audit Winning Candidate]]-Audit[[#This Row],[Audit Losing Candidate]]))/(Audit[[#Totals],[Winning Candidate]]-Audit[[#Totals],[Losing Candidate]]),
      0
)</f>
        <v>0</v>
      </c>
      <c r="AD13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1" s="111">
        <f>IF(Audit[[#This Row],[Max Relative Error (ep)]] = 0, 0, Audit[[#This Row],[Max Relative Error (ep)]]/Audit[[#This Row],[Error Bound (up) - Max. possible relative overstatement]])</f>
        <v>0</v>
      </c>
      <c r="AJ13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31" s="111">
        <f t="shared" si="20"/>
        <v>1</v>
      </c>
      <c r="AL1331" s="111">
        <f>PRODUCT($AK$5:AK1331)</f>
        <v>8.962823818226312E-2</v>
      </c>
      <c r="AM1331" s="109">
        <f>1 - [K-M P Value]</f>
        <v>0.91037176181773694</v>
      </c>
      <c r="AN1331" s="111" t="str">
        <f>IF(Audit[[#This Row],[K-M P Value]]&gt;1-'General Info'!$B$16,"Continue", "Stop")</f>
        <v>Stop</v>
      </c>
      <c r="AO1331" s="110" t="b">
        <f>IF(Audit[[#This Row],[Status - Continue or stop audit]] = "Continue", TRUE, IF(AN1330 = "Continue", TRUE, FALSE))</f>
        <v>0</v>
      </c>
      <c r="AP1331" s="110"/>
    </row>
    <row r="1332" spans="1:42" ht="15" hidden="1" customHeight="1">
      <c r="A1332" s="111" t="str">
        <f>'Sampling Data'!W1325</f>
        <v/>
      </c>
      <c r="B1332" s="112" t="str">
        <f>'Sampling Data'!A1325</f>
        <v>LAKEWOOD -03-J</v>
      </c>
      <c r="C1332" s="112">
        <f>'Sampling Data'!B1325</f>
        <v>7</v>
      </c>
      <c r="D1332" s="112">
        <f>'Sampling Data'!C1325</f>
        <v>9</v>
      </c>
      <c r="E1332" s="113">
        <f>'Sampling Data'!D1325</f>
        <v>4</v>
      </c>
      <c r="F1332" s="113">
        <f>'Sampling Data'!E1325</f>
        <v>5</v>
      </c>
      <c r="G1332" s="113">
        <f>'Sampling Data'!F1325</f>
        <v>0</v>
      </c>
      <c r="H1332" s="113">
        <f>'Sampling Data'!G1325</f>
        <v>0</v>
      </c>
      <c r="I1332" s="112">
        <f>'Sampling Data'!H1325</f>
        <v>0</v>
      </c>
      <c r="J1332" s="112">
        <f>'Sampling Data'!I1325</f>
        <v>0</v>
      </c>
      <c r="K1332" s="112">
        <f>'Sampling Data'!J1325</f>
        <v>25</v>
      </c>
      <c r="L1332" s="111">
        <f>'Sampling Data'!X1325</f>
        <v>0</v>
      </c>
      <c r="M1332" s="114"/>
      <c r="N1332" s="114"/>
      <c r="O1332" s="115"/>
      <c r="P1332" s="115"/>
      <c r="Q1332" s="116"/>
      <c r="R1332" s="116"/>
      <c r="S1332" s="111">
        <f>Audit[[#This Row],[Audit Losing Candidate]]-Audit[[#This Row],[Losing Candidate]]</f>
        <v>-7</v>
      </c>
      <c r="T1332" s="111">
        <f>Audit[[#This Row],[Audit Winning Candidate]]-Audit[[#This Row],[Winning Candidate]]</f>
        <v>-9</v>
      </c>
      <c r="U1332" s="111">
        <f>Audit[[#This Row],[Audit Candidate 3]]-Audit[[#This Row],[Candidate 3]]</f>
        <v>-4</v>
      </c>
      <c r="V1332" s="111">
        <f>Audit[[#This Row],[Audit Candidate 4]]-Audit[[#This Row],[Candidate 4]]</f>
        <v>-5</v>
      </c>
      <c r="W1332" s="111">
        <f>Audit[[#This Row],[Audit Candidate 5]]-Audit[[#This Row],[Candidate 5]]</f>
        <v>0</v>
      </c>
      <c r="X1332" s="111">
        <f>Audit[[#This Row],[Audit Candidate 6]]-Audit[[#This Row],[Candidate 6]]</f>
        <v>0</v>
      </c>
      <c r="Y1332" s="111">
        <f>SUMIF(Audit[[#This Row],[Difference Loser]:[Difference Candidate 6]], "&gt;0")</f>
        <v>0</v>
      </c>
      <c r="Z1332" s="111">
        <f>SUM(Audit[[#This Row],[Difference Loser]:[Difference Candidate 6]])</f>
        <v>-25</v>
      </c>
      <c r="AA1332" s="111">
        <f>IF(Audit[[#This Row],[Times p Drawn - With Replacement]]&gt;0, IF(Audit[[#This Row],[Canceled Differences]]&lt;0, Audit[[#This Row],[Max Differences]]+ABS(Audit[[#This Row],[Canceled Differences]]), Audit[[#This Row],[Max Differences]]), 0)</f>
        <v>0</v>
      </c>
      <c r="AB1332" s="111">
        <f>'Sampling Data'!P1325</f>
        <v>1.6536011758941694E-3</v>
      </c>
      <c r="AC1332" s="111">
        <f>IF(
      SUM(Audit[[#This Row],[Audit Losing Candidate]:[Audit Candidate 6]])
      &lt;&gt;0,
      (Audit[[#This Row],[Winning Candidate]]-Audit[[#This Row],[Losing Candidate]]-(Audit[[#This Row],[Audit Winning Candidate]]-Audit[[#This Row],[Audit Losing Candidate]]))/(Audit[[#Totals],[Winning Candidate]]-Audit[[#Totals],[Losing Candidate]]),
      0
)</f>
        <v>0</v>
      </c>
      <c r="AD13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2" s="111">
        <f>IF(Audit[[#This Row],[Max Relative Error (ep)]] = 0, 0, Audit[[#This Row],[Max Relative Error (ep)]]/Audit[[#This Row],[Error Bound (up) - Max. possible relative overstatement]])</f>
        <v>0</v>
      </c>
      <c r="AJ13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32" s="111">
        <f t="shared" si="20"/>
        <v>1</v>
      </c>
      <c r="AL1332" s="111">
        <f>PRODUCT($AK$5:AK1332)</f>
        <v>8.962823818226312E-2</v>
      </c>
      <c r="AM1332" s="109">
        <f>1 - [K-M P Value]</f>
        <v>0.91037176181773694</v>
      </c>
      <c r="AN1332" s="111" t="str">
        <f>IF(Audit[[#This Row],[K-M P Value]]&gt;1-'General Info'!$B$16,"Continue", "Stop")</f>
        <v>Stop</v>
      </c>
      <c r="AO1332" s="110" t="b">
        <f>IF(Audit[[#This Row],[Status - Continue or stop audit]] = "Continue", TRUE, IF(AN1331 = "Continue", TRUE, FALSE))</f>
        <v>0</v>
      </c>
      <c r="AP1332" s="110"/>
    </row>
    <row r="1333" spans="1:42" ht="15" hidden="1" customHeight="1">
      <c r="A1333" s="111" t="str">
        <f>'Sampling Data'!W1326</f>
        <v/>
      </c>
      <c r="B1333" s="112" t="str">
        <f>'Sampling Data'!A1326</f>
        <v>LAKEWOOD -03-J - ABS</v>
      </c>
      <c r="C1333" s="112">
        <f>'Sampling Data'!B1326</f>
        <v>10</v>
      </c>
      <c r="D1333" s="112">
        <f>'Sampling Data'!C1326</f>
        <v>4</v>
      </c>
      <c r="E1333" s="113">
        <f>'Sampling Data'!D1326</f>
        <v>0</v>
      </c>
      <c r="F1333" s="113">
        <f>'Sampling Data'!E1326</f>
        <v>3</v>
      </c>
      <c r="G1333" s="113">
        <f>'Sampling Data'!F1326</f>
        <v>0</v>
      </c>
      <c r="H1333" s="113">
        <f>'Sampling Data'!G1326</f>
        <v>0</v>
      </c>
      <c r="I1333" s="112">
        <f>'Sampling Data'!H1326</f>
        <v>0</v>
      </c>
      <c r="J1333" s="112">
        <f>'Sampling Data'!I1326</f>
        <v>1</v>
      </c>
      <c r="K1333" s="112">
        <f>'Sampling Data'!J1326</f>
        <v>18</v>
      </c>
      <c r="L1333" s="111">
        <f>'Sampling Data'!X1326</f>
        <v>0</v>
      </c>
      <c r="M1333" s="114"/>
      <c r="N1333" s="114"/>
      <c r="O1333" s="115"/>
      <c r="P1333" s="115"/>
      <c r="Q1333" s="116"/>
      <c r="R1333" s="116"/>
      <c r="S1333" s="111">
        <f>Audit[[#This Row],[Audit Losing Candidate]]-Audit[[#This Row],[Losing Candidate]]</f>
        <v>-10</v>
      </c>
      <c r="T1333" s="111">
        <f>Audit[[#This Row],[Audit Winning Candidate]]-Audit[[#This Row],[Winning Candidate]]</f>
        <v>-4</v>
      </c>
      <c r="U1333" s="111">
        <f>Audit[[#This Row],[Audit Candidate 3]]-Audit[[#This Row],[Candidate 3]]</f>
        <v>0</v>
      </c>
      <c r="V1333" s="111">
        <f>Audit[[#This Row],[Audit Candidate 4]]-Audit[[#This Row],[Candidate 4]]</f>
        <v>-3</v>
      </c>
      <c r="W1333" s="111">
        <f>Audit[[#This Row],[Audit Candidate 5]]-Audit[[#This Row],[Candidate 5]]</f>
        <v>0</v>
      </c>
      <c r="X1333" s="111">
        <f>Audit[[#This Row],[Audit Candidate 6]]-Audit[[#This Row],[Candidate 6]]</f>
        <v>0</v>
      </c>
      <c r="Y1333" s="111">
        <f>SUMIF(Audit[[#This Row],[Difference Loser]:[Difference Candidate 6]], "&gt;0")</f>
        <v>0</v>
      </c>
      <c r="Z1333" s="111">
        <f>SUM(Audit[[#This Row],[Difference Loser]:[Difference Candidate 6]])</f>
        <v>-17</v>
      </c>
      <c r="AA1333" s="111">
        <f>IF(Audit[[#This Row],[Times p Drawn - With Replacement]]&gt;0, IF(Audit[[#This Row],[Canceled Differences]]&lt;0, Audit[[#This Row],[Max Differences]]+ABS(Audit[[#This Row],[Canceled Differences]]), Audit[[#This Row],[Max Differences]]), 0)</f>
        <v>0</v>
      </c>
      <c r="AB1333" s="111">
        <f>'Sampling Data'!P1326</f>
        <v>7.3493385595296422E-4</v>
      </c>
      <c r="AC1333" s="111">
        <f>IF(
      SUM(Audit[[#This Row],[Audit Losing Candidate]:[Audit Candidate 6]])
      &lt;&gt;0,
      (Audit[[#This Row],[Winning Candidate]]-Audit[[#This Row],[Losing Candidate]]-(Audit[[#This Row],[Audit Winning Candidate]]-Audit[[#This Row],[Audit Losing Candidate]]))/(Audit[[#Totals],[Winning Candidate]]-Audit[[#Totals],[Losing Candidate]]),
      0
)</f>
        <v>0</v>
      </c>
      <c r="AD13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3" s="111">
        <f>IF(Audit[[#This Row],[Max Relative Error (ep)]] = 0, 0, Audit[[#This Row],[Max Relative Error (ep)]]/Audit[[#This Row],[Error Bound (up) - Max. possible relative overstatement]])</f>
        <v>0</v>
      </c>
      <c r="AJ13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33" s="111">
        <f t="shared" si="20"/>
        <v>1</v>
      </c>
      <c r="AL1333" s="111">
        <f>PRODUCT($AK$5:AK1333)</f>
        <v>8.962823818226312E-2</v>
      </c>
      <c r="AM1333" s="109">
        <f>1 - [K-M P Value]</f>
        <v>0.91037176181773694</v>
      </c>
      <c r="AN1333" s="111" t="str">
        <f>IF(Audit[[#This Row],[K-M P Value]]&gt;1-'General Info'!$B$16,"Continue", "Stop")</f>
        <v>Stop</v>
      </c>
      <c r="AO1333" s="110" t="b">
        <f>IF(Audit[[#This Row],[Status - Continue or stop audit]] = "Continue", TRUE, IF(AN1332 = "Continue", TRUE, FALSE))</f>
        <v>0</v>
      </c>
      <c r="AP1333" s="110"/>
    </row>
    <row r="1334" spans="1:42" ht="15" hidden="1" customHeight="1">
      <c r="A1334" s="111" t="str">
        <f>'Sampling Data'!W1327</f>
        <v/>
      </c>
      <c r="B1334" s="112" t="str">
        <f>'Sampling Data'!A1327</f>
        <v>LAKEWOOD -04-A</v>
      </c>
      <c r="C1334" s="112">
        <f>'Sampling Data'!B1327</f>
        <v>14</v>
      </c>
      <c r="D1334" s="112">
        <f>'Sampling Data'!C1327</f>
        <v>38</v>
      </c>
      <c r="E1334" s="113">
        <f>'Sampling Data'!D1327</f>
        <v>20</v>
      </c>
      <c r="F1334" s="113">
        <f>'Sampling Data'!E1327</f>
        <v>2</v>
      </c>
      <c r="G1334" s="113">
        <f>'Sampling Data'!F1327</f>
        <v>1</v>
      </c>
      <c r="H1334" s="113">
        <f>'Sampling Data'!G1327</f>
        <v>0</v>
      </c>
      <c r="I1334" s="112">
        <f>'Sampling Data'!H1327</f>
        <v>0</v>
      </c>
      <c r="J1334" s="112">
        <f>'Sampling Data'!I1327</f>
        <v>1</v>
      </c>
      <c r="K1334" s="112">
        <f>'Sampling Data'!J1327</f>
        <v>76</v>
      </c>
      <c r="L1334" s="111">
        <f>'Sampling Data'!X1327</f>
        <v>0</v>
      </c>
      <c r="M1334" s="114"/>
      <c r="N1334" s="114"/>
      <c r="O1334" s="115"/>
      <c r="P1334" s="115"/>
      <c r="Q1334" s="116"/>
      <c r="R1334" s="116"/>
      <c r="S1334" s="111">
        <f>Audit[[#This Row],[Audit Losing Candidate]]-Audit[[#This Row],[Losing Candidate]]</f>
        <v>-14</v>
      </c>
      <c r="T1334" s="111">
        <f>Audit[[#This Row],[Audit Winning Candidate]]-Audit[[#This Row],[Winning Candidate]]</f>
        <v>-38</v>
      </c>
      <c r="U1334" s="111">
        <f>Audit[[#This Row],[Audit Candidate 3]]-Audit[[#This Row],[Candidate 3]]</f>
        <v>-20</v>
      </c>
      <c r="V1334" s="111">
        <f>Audit[[#This Row],[Audit Candidate 4]]-Audit[[#This Row],[Candidate 4]]</f>
        <v>-2</v>
      </c>
      <c r="W1334" s="111">
        <f>Audit[[#This Row],[Audit Candidate 5]]-Audit[[#This Row],[Candidate 5]]</f>
        <v>-1</v>
      </c>
      <c r="X1334" s="111">
        <f>Audit[[#This Row],[Audit Candidate 6]]-Audit[[#This Row],[Candidate 6]]</f>
        <v>0</v>
      </c>
      <c r="Y1334" s="111">
        <f>SUMIF(Audit[[#This Row],[Difference Loser]:[Difference Candidate 6]], "&gt;0")</f>
        <v>0</v>
      </c>
      <c r="Z1334" s="111">
        <f>SUM(Audit[[#This Row],[Difference Loser]:[Difference Candidate 6]])</f>
        <v>-75</v>
      </c>
      <c r="AA1334" s="111">
        <f>IF(Audit[[#This Row],[Times p Drawn - With Replacement]]&gt;0, IF(Audit[[#This Row],[Canceled Differences]]&lt;0, Audit[[#This Row],[Max Differences]]+ABS(Audit[[#This Row],[Canceled Differences]]), Audit[[#This Row],[Max Differences]]), 0)</f>
        <v>0</v>
      </c>
      <c r="AB1334" s="111">
        <f>'Sampling Data'!P1327</f>
        <v>6.1244487996080354E-3</v>
      </c>
      <c r="AC1334" s="111">
        <f>IF(
      SUM(Audit[[#This Row],[Audit Losing Candidate]:[Audit Candidate 6]])
      &lt;&gt;0,
      (Audit[[#This Row],[Winning Candidate]]-Audit[[#This Row],[Losing Candidate]]-(Audit[[#This Row],[Audit Winning Candidate]]-Audit[[#This Row],[Audit Losing Candidate]]))/(Audit[[#Totals],[Winning Candidate]]-Audit[[#Totals],[Losing Candidate]]),
      0
)</f>
        <v>0</v>
      </c>
      <c r="AD13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4" s="111">
        <f>IF(Audit[[#This Row],[Max Relative Error (ep)]] = 0, 0, Audit[[#This Row],[Max Relative Error (ep)]]/Audit[[#This Row],[Error Bound (up) - Max. possible relative overstatement]])</f>
        <v>0</v>
      </c>
      <c r="AJ13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34" s="111">
        <f t="shared" si="20"/>
        <v>1</v>
      </c>
      <c r="AL1334" s="111">
        <f>PRODUCT($AK$5:AK1334)</f>
        <v>8.962823818226312E-2</v>
      </c>
      <c r="AM1334" s="109">
        <f>1 - [K-M P Value]</f>
        <v>0.91037176181773694</v>
      </c>
      <c r="AN1334" s="111" t="str">
        <f>IF(Audit[[#This Row],[K-M P Value]]&gt;1-'General Info'!$B$16,"Continue", "Stop")</f>
        <v>Stop</v>
      </c>
      <c r="AO1334" s="110" t="b">
        <f>IF(Audit[[#This Row],[Status - Continue or stop audit]] = "Continue", TRUE, IF(AN1333 = "Continue", TRUE, FALSE))</f>
        <v>0</v>
      </c>
      <c r="AP1334" s="110"/>
    </row>
    <row r="1335" spans="1:42" ht="15" hidden="1" customHeight="1">
      <c r="A1335" s="111" t="str">
        <f>'Sampling Data'!W1328</f>
        <v/>
      </c>
      <c r="B1335" s="112" t="str">
        <f>'Sampling Data'!A1328</f>
        <v>LAKEWOOD -04-A - ABS</v>
      </c>
      <c r="C1335" s="112">
        <f>'Sampling Data'!B1328</f>
        <v>3</v>
      </c>
      <c r="D1335" s="112">
        <f>'Sampling Data'!C1328</f>
        <v>16</v>
      </c>
      <c r="E1335" s="113">
        <f>'Sampling Data'!D1328</f>
        <v>5</v>
      </c>
      <c r="F1335" s="113">
        <f>'Sampling Data'!E1328</f>
        <v>2</v>
      </c>
      <c r="G1335" s="113">
        <f>'Sampling Data'!F1328</f>
        <v>0</v>
      </c>
      <c r="H1335" s="113">
        <f>'Sampling Data'!G1328</f>
        <v>0</v>
      </c>
      <c r="I1335" s="112">
        <f>'Sampling Data'!H1328</f>
        <v>0</v>
      </c>
      <c r="J1335" s="112">
        <f>'Sampling Data'!I1328</f>
        <v>1</v>
      </c>
      <c r="K1335" s="112">
        <f>'Sampling Data'!J1328</f>
        <v>27</v>
      </c>
      <c r="L1335" s="111">
        <f>'Sampling Data'!X1328</f>
        <v>0</v>
      </c>
      <c r="M1335" s="114"/>
      <c r="N1335" s="114"/>
      <c r="O1335" s="115"/>
      <c r="P1335" s="115"/>
      <c r="Q1335" s="116"/>
      <c r="R1335" s="116"/>
      <c r="S1335" s="111">
        <f>Audit[[#This Row],[Audit Losing Candidate]]-Audit[[#This Row],[Losing Candidate]]</f>
        <v>-3</v>
      </c>
      <c r="T1335" s="111">
        <f>Audit[[#This Row],[Audit Winning Candidate]]-Audit[[#This Row],[Winning Candidate]]</f>
        <v>-16</v>
      </c>
      <c r="U1335" s="111">
        <f>Audit[[#This Row],[Audit Candidate 3]]-Audit[[#This Row],[Candidate 3]]</f>
        <v>-5</v>
      </c>
      <c r="V1335" s="111">
        <f>Audit[[#This Row],[Audit Candidate 4]]-Audit[[#This Row],[Candidate 4]]</f>
        <v>-2</v>
      </c>
      <c r="W1335" s="111">
        <f>Audit[[#This Row],[Audit Candidate 5]]-Audit[[#This Row],[Candidate 5]]</f>
        <v>0</v>
      </c>
      <c r="X1335" s="111">
        <f>Audit[[#This Row],[Audit Candidate 6]]-Audit[[#This Row],[Candidate 6]]</f>
        <v>0</v>
      </c>
      <c r="Y1335" s="111">
        <f>SUMIF(Audit[[#This Row],[Difference Loser]:[Difference Candidate 6]], "&gt;0")</f>
        <v>0</v>
      </c>
      <c r="Z1335" s="111">
        <f>SUM(Audit[[#This Row],[Difference Loser]:[Difference Candidate 6]])</f>
        <v>-26</v>
      </c>
      <c r="AA1335" s="111">
        <f>IF(Audit[[#This Row],[Times p Drawn - With Replacement]]&gt;0, IF(Audit[[#This Row],[Canceled Differences]]&lt;0, Audit[[#This Row],[Max Differences]]+ABS(Audit[[#This Row],[Canceled Differences]]), Audit[[#This Row],[Max Differences]]), 0)</f>
        <v>0</v>
      </c>
      <c r="AB1335" s="111">
        <f>'Sampling Data'!P1328</f>
        <v>2.4497795198432141E-3</v>
      </c>
      <c r="AC1335" s="111">
        <f>IF(
      SUM(Audit[[#This Row],[Audit Losing Candidate]:[Audit Candidate 6]])
      &lt;&gt;0,
      (Audit[[#This Row],[Winning Candidate]]-Audit[[#This Row],[Losing Candidate]]-(Audit[[#This Row],[Audit Winning Candidate]]-Audit[[#This Row],[Audit Losing Candidate]]))/(Audit[[#Totals],[Winning Candidate]]-Audit[[#Totals],[Losing Candidate]]),
      0
)</f>
        <v>0</v>
      </c>
      <c r="AD13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5" s="111">
        <f>IF(Audit[[#This Row],[Max Relative Error (ep)]] = 0, 0, Audit[[#This Row],[Max Relative Error (ep)]]/Audit[[#This Row],[Error Bound (up) - Max. possible relative overstatement]])</f>
        <v>0</v>
      </c>
      <c r="AJ13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35" s="111">
        <f t="shared" si="20"/>
        <v>1</v>
      </c>
      <c r="AL1335" s="111">
        <f>PRODUCT($AK$5:AK1335)</f>
        <v>8.962823818226312E-2</v>
      </c>
      <c r="AM1335" s="109">
        <f>1 - [K-M P Value]</f>
        <v>0.91037176181773694</v>
      </c>
      <c r="AN1335" s="111" t="str">
        <f>IF(Audit[[#This Row],[K-M P Value]]&gt;1-'General Info'!$B$16,"Continue", "Stop")</f>
        <v>Stop</v>
      </c>
      <c r="AO1335" s="110" t="b">
        <f>IF(Audit[[#This Row],[Status - Continue or stop audit]] = "Continue", TRUE, IF(AN1334 = "Continue", TRUE, FALSE))</f>
        <v>0</v>
      </c>
      <c r="AP1335" s="110"/>
    </row>
    <row r="1336" spans="1:42" ht="15" hidden="1" customHeight="1">
      <c r="A1336" s="111" t="str">
        <f>'Sampling Data'!W1329</f>
        <v/>
      </c>
      <c r="B1336" s="112" t="str">
        <f>'Sampling Data'!A1329</f>
        <v>LAKEWOOD -04-B</v>
      </c>
      <c r="C1336" s="112">
        <f>'Sampling Data'!B1329</f>
        <v>9</v>
      </c>
      <c r="D1336" s="112">
        <f>'Sampling Data'!C1329</f>
        <v>17</v>
      </c>
      <c r="E1336" s="113">
        <f>'Sampling Data'!D1329</f>
        <v>5</v>
      </c>
      <c r="F1336" s="113">
        <f>'Sampling Data'!E1329</f>
        <v>8</v>
      </c>
      <c r="G1336" s="113">
        <f>'Sampling Data'!F1329</f>
        <v>0</v>
      </c>
      <c r="H1336" s="113">
        <f>'Sampling Data'!G1329</f>
        <v>0</v>
      </c>
      <c r="I1336" s="112">
        <f>'Sampling Data'!H1329</f>
        <v>0</v>
      </c>
      <c r="J1336" s="112">
        <f>'Sampling Data'!I1329</f>
        <v>1</v>
      </c>
      <c r="K1336" s="112">
        <f>'Sampling Data'!J1329</f>
        <v>40</v>
      </c>
      <c r="L1336" s="111">
        <f>'Sampling Data'!X1329</f>
        <v>0</v>
      </c>
      <c r="M1336" s="114"/>
      <c r="N1336" s="114"/>
      <c r="O1336" s="115"/>
      <c r="P1336" s="115"/>
      <c r="Q1336" s="116"/>
      <c r="R1336" s="116"/>
      <c r="S1336" s="111">
        <f>Audit[[#This Row],[Audit Losing Candidate]]-Audit[[#This Row],[Losing Candidate]]</f>
        <v>-9</v>
      </c>
      <c r="T1336" s="111">
        <f>Audit[[#This Row],[Audit Winning Candidate]]-Audit[[#This Row],[Winning Candidate]]</f>
        <v>-17</v>
      </c>
      <c r="U1336" s="111">
        <f>Audit[[#This Row],[Audit Candidate 3]]-Audit[[#This Row],[Candidate 3]]</f>
        <v>-5</v>
      </c>
      <c r="V1336" s="111">
        <f>Audit[[#This Row],[Audit Candidate 4]]-Audit[[#This Row],[Candidate 4]]</f>
        <v>-8</v>
      </c>
      <c r="W1336" s="111">
        <f>Audit[[#This Row],[Audit Candidate 5]]-Audit[[#This Row],[Candidate 5]]</f>
        <v>0</v>
      </c>
      <c r="X1336" s="111">
        <f>Audit[[#This Row],[Audit Candidate 6]]-Audit[[#This Row],[Candidate 6]]</f>
        <v>0</v>
      </c>
      <c r="Y1336" s="111">
        <f>SUMIF(Audit[[#This Row],[Difference Loser]:[Difference Candidate 6]], "&gt;0")</f>
        <v>0</v>
      </c>
      <c r="Z1336" s="111">
        <f>SUM(Audit[[#This Row],[Difference Loser]:[Difference Candidate 6]])</f>
        <v>-39</v>
      </c>
      <c r="AA1336" s="111">
        <f>IF(Audit[[#This Row],[Times p Drawn - With Replacement]]&gt;0, IF(Audit[[#This Row],[Canceled Differences]]&lt;0, Audit[[#This Row],[Max Differences]]+ABS(Audit[[#This Row],[Canceled Differences]]), Audit[[#This Row],[Max Differences]]), 0)</f>
        <v>0</v>
      </c>
      <c r="AB1336" s="111">
        <f>'Sampling Data'!P1329</f>
        <v>2.9397354238118569E-3</v>
      </c>
      <c r="AC1336" s="111">
        <f>IF(
      SUM(Audit[[#This Row],[Audit Losing Candidate]:[Audit Candidate 6]])
      &lt;&gt;0,
      (Audit[[#This Row],[Winning Candidate]]-Audit[[#This Row],[Losing Candidate]]-(Audit[[#This Row],[Audit Winning Candidate]]-Audit[[#This Row],[Audit Losing Candidate]]))/(Audit[[#Totals],[Winning Candidate]]-Audit[[#Totals],[Losing Candidate]]),
      0
)</f>
        <v>0</v>
      </c>
      <c r="AD13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6" s="111">
        <f>IF(Audit[[#This Row],[Max Relative Error (ep)]] = 0, 0, Audit[[#This Row],[Max Relative Error (ep)]]/Audit[[#This Row],[Error Bound (up) - Max. possible relative overstatement]])</f>
        <v>0</v>
      </c>
      <c r="AJ13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36" s="111">
        <f t="shared" si="20"/>
        <v>1</v>
      </c>
      <c r="AL1336" s="111">
        <f>PRODUCT($AK$5:AK1336)</f>
        <v>8.962823818226312E-2</v>
      </c>
      <c r="AM1336" s="109">
        <f>1 - [K-M P Value]</f>
        <v>0.91037176181773694</v>
      </c>
      <c r="AN1336" s="111" t="str">
        <f>IF(Audit[[#This Row],[K-M P Value]]&gt;1-'General Info'!$B$16,"Continue", "Stop")</f>
        <v>Stop</v>
      </c>
      <c r="AO1336" s="110" t="b">
        <f>IF(Audit[[#This Row],[Status - Continue or stop audit]] = "Continue", TRUE, IF(AN1335 = "Continue", TRUE, FALSE))</f>
        <v>0</v>
      </c>
      <c r="AP1336" s="110"/>
    </row>
    <row r="1337" spans="1:42" ht="15" hidden="1" customHeight="1">
      <c r="A1337" s="111" t="str">
        <f>'Sampling Data'!W1330</f>
        <v/>
      </c>
      <c r="B1337" s="112" t="str">
        <f>'Sampling Data'!A1330</f>
        <v>LAKEWOOD -04-B - ABS</v>
      </c>
      <c r="C1337" s="112">
        <f>'Sampling Data'!B1330</f>
        <v>4</v>
      </c>
      <c r="D1337" s="112">
        <f>'Sampling Data'!C1330</f>
        <v>6</v>
      </c>
      <c r="E1337" s="113">
        <f>'Sampling Data'!D1330</f>
        <v>2</v>
      </c>
      <c r="F1337" s="113">
        <f>'Sampling Data'!E1330</f>
        <v>0</v>
      </c>
      <c r="G1337" s="113">
        <f>'Sampling Data'!F1330</f>
        <v>2</v>
      </c>
      <c r="H1337" s="113">
        <f>'Sampling Data'!G1330</f>
        <v>0</v>
      </c>
      <c r="I1337" s="112">
        <f>'Sampling Data'!H1330</f>
        <v>0</v>
      </c>
      <c r="J1337" s="112">
        <f>'Sampling Data'!I1330</f>
        <v>1</v>
      </c>
      <c r="K1337" s="112">
        <f>'Sampling Data'!J1330</f>
        <v>15</v>
      </c>
      <c r="L1337" s="111">
        <f>'Sampling Data'!X1330</f>
        <v>0</v>
      </c>
      <c r="M1337" s="114"/>
      <c r="N1337" s="114"/>
      <c r="O1337" s="115"/>
      <c r="P1337" s="115"/>
      <c r="Q1337" s="116"/>
      <c r="R1337" s="116"/>
      <c r="S1337" s="111">
        <f>Audit[[#This Row],[Audit Losing Candidate]]-Audit[[#This Row],[Losing Candidate]]</f>
        <v>-4</v>
      </c>
      <c r="T1337" s="111">
        <f>Audit[[#This Row],[Audit Winning Candidate]]-Audit[[#This Row],[Winning Candidate]]</f>
        <v>-6</v>
      </c>
      <c r="U1337" s="111">
        <f>Audit[[#This Row],[Audit Candidate 3]]-Audit[[#This Row],[Candidate 3]]</f>
        <v>-2</v>
      </c>
      <c r="V1337" s="111">
        <f>Audit[[#This Row],[Audit Candidate 4]]-Audit[[#This Row],[Candidate 4]]</f>
        <v>0</v>
      </c>
      <c r="W1337" s="111">
        <f>Audit[[#This Row],[Audit Candidate 5]]-Audit[[#This Row],[Candidate 5]]</f>
        <v>-2</v>
      </c>
      <c r="X1337" s="111">
        <f>Audit[[#This Row],[Audit Candidate 6]]-Audit[[#This Row],[Candidate 6]]</f>
        <v>0</v>
      </c>
      <c r="Y1337" s="111">
        <f>SUMIF(Audit[[#This Row],[Difference Loser]:[Difference Candidate 6]], "&gt;0")</f>
        <v>0</v>
      </c>
      <c r="Z1337" s="111">
        <f>SUM(Audit[[#This Row],[Difference Loser]:[Difference Candidate 6]])</f>
        <v>-14</v>
      </c>
      <c r="AA1337" s="111">
        <f>IF(Audit[[#This Row],[Times p Drawn - With Replacement]]&gt;0, IF(Audit[[#This Row],[Canceled Differences]]&lt;0, Audit[[#This Row],[Max Differences]]+ABS(Audit[[#This Row],[Canceled Differences]]), Audit[[#This Row],[Max Differences]]), 0)</f>
        <v>0</v>
      </c>
      <c r="AB1337" s="111">
        <f>'Sampling Data'!P1330</f>
        <v>1.041156295933366E-3</v>
      </c>
      <c r="AC1337" s="111">
        <f>IF(
      SUM(Audit[[#This Row],[Audit Losing Candidate]:[Audit Candidate 6]])
      &lt;&gt;0,
      (Audit[[#This Row],[Winning Candidate]]-Audit[[#This Row],[Losing Candidate]]-(Audit[[#This Row],[Audit Winning Candidate]]-Audit[[#This Row],[Audit Losing Candidate]]))/(Audit[[#Totals],[Winning Candidate]]-Audit[[#Totals],[Losing Candidate]]),
      0
)</f>
        <v>0</v>
      </c>
      <c r="AD13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7" s="111">
        <f>IF(Audit[[#This Row],[Max Relative Error (ep)]] = 0, 0, Audit[[#This Row],[Max Relative Error (ep)]]/Audit[[#This Row],[Error Bound (up) - Max. possible relative overstatement]])</f>
        <v>0</v>
      </c>
      <c r="AJ13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37" s="111">
        <f t="shared" si="20"/>
        <v>1</v>
      </c>
      <c r="AL1337" s="111">
        <f>PRODUCT($AK$5:AK1337)</f>
        <v>8.962823818226312E-2</v>
      </c>
      <c r="AM1337" s="109">
        <f>1 - [K-M P Value]</f>
        <v>0.91037176181773694</v>
      </c>
      <c r="AN1337" s="111" t="str">
        <f>IF(Audit[[#This Row],[K-M P Value]]&gt;1-'General Info'!$B$16,"Continue", "Stop")</f>
        <v>Stop</v>
      </c>
      <c r="AO1337" s="110" t="b">
        <f>IF(Audit[[#This Row],[Status - Continue or stop audit]] = "Continue", TRUE, IF(AN1336 = "Continue", TRUE, FALSE))</f>
        <v>0</v>
      </c>
      <c r="AP1337" s="110"/>
    </row>
    <row r="1338" spans="1:42" ht="15" hidden="1" customHeight="1">
      <c r="A1338" s="111" t="str">
        <f>'Sampling Data'!W1331</f>
        <v/>
      </c>
      <c r="B1338" s="112" t="str">
        <f>'Sampling Data'!A1331</f>
        <v>LAKEWOOD -04-C</v>
      </c>
      <c r="C1338" s="112">
        <f>'Sampling Data'!B1331</f>
        <v>9</v>
      </c>
      <c r="D1338" s="112">
        <f>'Sampling Data'!C1331</f>
        <v>16</v>
      </c>
      <c r="E1338" s="113">
        <f>'Sampling Data'!D1331</f>
        <v>3</v>
      </c>
      <c r="F1338" s="113">
        <f>'Sampling Data'!E1331</f>
        <v>4</v>
      </c>
      <c r="G1338" s="113">
        <f>'Sampling Data'!F1331</f>
        <v>1</v>
      </c>
      <c r="H1338" s="113">
        <f>'Sampling Data'!G1331</f>
        <v>0</v>
      </c>
      <c r="I1338" s="112">
        <f>'Sampling Data'!H1331</f>
        <v>0</v>
      </c>
      <c r="J1338" s="112">
        <f>'Sampling Data'!I1331</f>
        <v>0</v>
      </c>
      <c r="K1338" s="112">
        <f>'Sampling Data'!J1331</f>
        <v>33</v>
      </c>
      <c r="L1338" s="111">
        <f>'Sampling Data'!X1331</f>
        <v>0</v>
      </c>
      <c r="M1338" s="114"/>
      <c r="N1338" s="114"/>
      <c r="O1338" s="115"/>
      <c r="P1338" s="115"/>
      <c r="Q1338" s="116"/>
      <c r="R1338" s="116"/>
      <c r="S1338" s="111">
        <f>Audit[[#This Row],[Audit Losing Candidate]]-Audit[[#This Row],[Losing Candidate]]</f>
        <v>-9</v>
      </c>
      <c r="T1338" s="111">
        <f>Audit[[#This Row],[Audit Winning Candidate]]-Audit[[#This Row],[Winning Candidate]]</f>
        <v>-16</v>
      </c>
      <c r="U1338" s="111">
        <f>Audit[[#This Row],[Audit Candidate 3]]-Audit[[#This Row],[Candidate 3]]</f>
        <v>-3</v>
      </c>
      <c r="V1338" s="111">
        <f>Audit[[#This Row],[Audit Candidate 4]]-Audit[[#This Row],[Candidate 4]]</f>
        <v>-4</v>
      </c>
      <c r="W1338" s="111">
        <f>Audit[[#This Row],[Audit Candidate 5]]-Audit[[#This Row],[Candidate 5]]</f>
        <v>-1</v>
      </c>
      <c r="X1338" s="111">
        <f>Audit[[#This Row],[Audit Candidate 6]]-Audit[[#This Row],[Candidate 6]]</f>
        <v>0</v>
      </c>
      <c r="Y1338" s="111">
        <f>SUMIF(Audit[[#This Row],[Difference Loser]:[Difference Candidate 6]], "&gt;0")</f>
        <v>0</v>
      </c>
      <c r="Z1338" s="111">
        <f>SUM(Audit[[#This Row],[Difference Loser]:[Difference Candidate 6]])</f>
        <v>-33</v>
      </c>
      <c r="AA1338" s="111">
        <f>IF(Audit[[#This Row],[Times p Drawn - With Replacement]]&gt;0, IF(Audit[[#This Row],[Canceled Differences]]&lt;0, Audit[[#This Row],[Max Differences]]+ABS(Audit[[#This Row],[Canceled Differences]]), Audit[[#This Row],[Max Differences]]), 0)</f>
        <v>0</v>
      </c>
      <c r="AB1338" s="111">
        <f>'Sampling Data'!P1331</f>
        <v>2.4497795198432141E-3</v>
      </c>
      <c r="AC1338" s="111">
        <f>IF(
      SUM(Audit[[#This Row],[Audit Losing Candidate]:[Audit Candidate 6]])
      &lt;&gt;0,
      (Audit[[#This Row],[Winning Candidate]]-Audit[[#This Row],[Losing Candidate]]-(Audit[[#This Row],[Audit Winning Candidate]]-Audit[[#This Row],[Audit Losing Candidate]]))/(Audit[[#Totals],[Winning Candidate]]-Audit[[#Totals],[Losing Candidate]]),
      0
)</f>
        <v>0</v>
      </c>
      <c r="AD13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8" s="111">
        <f>IF(Audit[[#This Row],[Max Relative Error (ep)]] = 0, 0, Audit[[#This Row],[Max Relative Error (ep)]]/Audit[[#This Row],[Error Bound (up) - Max. possible relative overstatement]])</f>
        <v>0</v>
      </c>
      <c r="AJ13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38" s="111">
        <f t="shared" si="20"/>
        <v>1</v>
      </c>
      <c r="AL1338" s="111">
        <f>PRODUCT($AK$5:AK1338)</f>
        <v>8.962823818226312E-2</v>
      </c>
      <c r="AM1338" s="109">
        <f>1 - [K-M P Value]</f>
        <v>0.91037176181773694</v>
      </c>
      <c r="AN1338" s="111" t="str">
        <f>IF(Audit[[#This Row],[K-M P Value]]&gt;1-'General Info'!$B$16,"Continue", "Stop")</f>
        <v>Stop</v>
      </c>
      <c r="AO1338" s="110" t="b">
        <f>IF(Audit[[#This Row],[Status - Continue or stop audit]] = "Continue", TRUE, IF(AN1337 = "Continue", TRUE, FALSE))</f>
        <v>0</v>
      </c>
      <c r="AP1338" s="110"/>
    </row>
    <row r="1339" spans="1:42" ht="15" hidden="1" customHeight="1">
      <c r="A1339" s="111" t="str">
        <f>'Sampling Data'!W1332</f>
        <v/>
      </c>
      <c r="B1339" s="112" t="str">
        <f>'Sampling Data'!A1332</f>
        <v>LAKEWOOD -04-C - ABS</v>
      </c>
      <c r="C1339" s="112">
        <f>'Sampling Data'!B1332</f>
        <v>3</v>
      </c>
      <c r="D1339" s="112">
        <f>'Sampling Data'!C1332</f>
        <v>1</v>
      </c>
      <c r="E1339" s="113">
        <f>'Sampling Data'!D1332</f>
        <v>0</v>
      </c>
      <c r="F1339" s="113">
        <f>'Sampling Data'!E1332</f>
        <v>1</v>
      </c>
      <c r="G1339" s="113">
        <f>'Sampling Data'!F1332</f>
        <v>0</v>
      </c>
      <c r="H1339" s="113">
        <f>'Sampling Data'!G1332</f>
        <v>0</v>
      </c>
      <c r="I1339" s="112">
        <f>'Sampling Data'!H1332</f>
        <v>0</v>
      </c>
      <c r="J1339" s="112">
        <f>'Sampling Data'!I1332</f>
        <v>0</v>
      </c>
      <c r="K1339" s="112">
        <f>'Sampling Data'!J1332</f>
        <v>5</v>
      </c>
      <c r="L1339" s="111">
        <f>'Sampling Data'!X1332</f>
        <v>0</v>
      </c>
      <c r="M1339" s="114"/>
      <c r="N1339" s="114"/>
      <c r="O1339" s="115"/>
      <c r="P1339" s="115"/>
      <c r="Q1339" s="116"/>
      <c r="R1339" s="116"/>
      <c r="S1339" s="111">
        <f>Audit[[#This Row],[Audit Losing Candidate]]-Audit[[#This Row],[Losing Candidate]]</f>
        <v>-3</v>
      </c>
      <c r="T1339" s="111">
        <f>Audit[[#This Row],[Audit Winning Candidate]]-Audit[[#This Row],[Winning Candidate]]</f>
        <v>-1</v>
      </c>
      <c r="U1339" s="111">
        <f>Audit[[#This Row],[Audit Candidate 3]]-Audit[[#This Row],[Candidate 3]]</f>
        <v>0</v>
      </c>
      <c r="V1339" s="111">
        <f>Audit[[#This Row],[Audit Candidate 4]]-Audit[[#This Row],[Candidate 4]]</f>
        <v>-1</v>
      </c>
      <c r="W1339" s="111">
        <f>Audit[[#This Row],[Audit Candidate 5]]-Audit[[#This Row],[Candidate 5]]</f>
        <v>0</v>
      </c>
      <c r="X1339" s="111">
        <f>Audit[[#This Row],[Audit Candidate 6]]-Audit[[#This Row],[Candidate 6]]</f>
        <v>0</v>
      </c>
      <c r="Y1339" s="111">
        <f>SUMIF(Audit[[#This Row],[Difference Loser]:[Difference Candidate 6]], "&gt;0")</f>
        <v>0</v>
      </c>
      <c r="Z1339" s="111">
        <f>SUM(Audit[[#This Row],[Difference Loser]:[Difference Candidate 6]])</f>
        <v>-5</v>
      </c>
      <c r="AA1339" s="111">
        <f>IF(Audit[[#This Row],[Times p Drawn - With Replacement]]&gt;0, IF(Audit[[#This Row],[Canceled Differences]]&lt;0, Audit[[#This Row],[Max Differences]]+ABS(Audit[[#This Row],[Canceled Differences]]), Audit[[#This Row],[Max Differences]]), 0)</f>
        <v>0</v>
      </c>
      <c r="AB1339" s="111">
        <f>'Sampling Data'!P1332</f>
        <v>1.9356711939865149E-4</v>
      </c>
      <c r="AC1339" s="111">
        <f>IF(
      SUM(Audit[[#This Row],[Audit Losing Candidate]:[Audit Candidate 6]])
      &lt;&gt;0,
      (Audit[[#This Row],[Winning Candidate]]-Audit[[#This Row],[Losing Candidate]]-(Audit[[#This Row],[Audit Winning Candidate]]-Audit[[#This Row],[Audit Losing Candidate]]))/(Audit[[#Totals],[Winning Candidate]]-Audit[[#Totals],[Losing Candidate]]),
      0
)</f>
        <v>0</v>
      </c>
      <c r="AD13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9" s="111">
        <f>IF(Audit[[#This Row],[Max Relative Error (ep)]] = 0, 0, Audit[[#This Row],[Max Relative Error (ep)]]/Audit[[#This Row],[Error Bound (up) - Max. possible relative overstatement]])</f>
        <v>0</v>
      </c>
      <c r="AJ13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39" s="111">
        <f t="shared" si="20"/>
        <v>1</v>
      </c>
      <c r="AL1339" s="111">
        <f>PRODUCT($AK$5:AK1339)</f>
        <v>8.962823818226312E-2</v>
      </c>
      <c r="AM1339" s="109">
        <f>1 - [K-M P Value]</f>
        <v>0.91037176181773694</v>
      </c>
      <c r="AN1339" s="111" t="str">
        <f>IF(Audit[[#This Row],[K-M P Value]]&gt;1-'General Info'!$B$16,"Continue", "Stop")</f>
        <v>Stop</v>
      </c>
      <c r="AO1339" s="110" t="b">
        <f>IF(Audit[[#This Row],[Status - Continue or stop audit]] = "Continue", TRUE, IF(AN1338 = "Continue", TRUE, FALSE))</f>
        <v>0</v>
      </c>
      <c r="AP1339" s="110"/>
    </row>
    <row r="1340" spans="1:42" ht="15" hidden="1" customHeight="1">
      <c r="A1340" s="111" t="str">
        <f>'Sampling Data'!W1333</f>
        <v/>
      </c>
      <c r="B1340" s="112" t="str">
        <f>'Sampling Data'!A1333</f>
        <v>LAKEWOOD -04-D</v>
      </c>
      <c r="C1340" s="112">
        <f>'Sampling Data'!B1333</f>
        <v>11</v>
      </c>
      <c r="D1340" s="112">
        <f>'Sampling Data'!C1333</f>
        <v>35</v>
      </c>
      <c r="E1340" s="113">
        <f>'Sampling Data'!D1333</f>
        <v>8</v>
      </c>
      <c r="F1340" s="113">
        <f>'Sampling Data'!E1333</f>
        <v>4</v>
      </c>
      <c r="G1340" s="113">
        <f>'Sampling Data'!F1333</f>
        <v>0</v>
      </c>
      <c r="H1340" s="113">
        <f>'Sampling Data'!G1333</f>
        <v>0</v>
      </c>
      <c r="I1340" s="112">
        <f>'Sampling Data'!H1333</f>
        <v>0</v>
      </c>
      <c r="J1340" s="112">
        <f>'Sampling Data'!I1333</f>
        <v>0</v>
      </c>
      <c r="K1340" s="112">
        <f>'Sampling Data'!J1333</f>
        <v>58</v>
      </c>
      <c r="L1340" s="111">
        <f>'Sampling Data'!X1333</f>
        <v>0</v>
      </c>
      <c r="M1340" s="114"/>
      <c r="N1340" s="114"/>
      <c r="O1340" s="115"/>
      <c r="P1340" s="115"/>
      <c r="Q1340" s="116"/>
      <c r="R1340" s="116"/>
      <c r="S1340" s="111">
        <f>Audit[[#This Row],[Audit Losing Candidate]]-Audit[[#This Row],[Losing Candidate]]</f>
        <v>-11</v>
      </c>
      <c r="T1340" s="111">
        <f>Audit[[#This Row],[Audit Winning Candidate]]-Audit[[#This Row],[Winning Candidate]]</f>
        <v>-35</v>
      </c>
      <c r="U1340" s="111">
        <f>Audit[[#This Row],[Audit Candidate 3]]-Audit[[#This Row],[Candidate 3]]</f>
        <v>-8</v>
      </c>
      <c r="V1340" s="111">
        <f>Audit[[#This Row],[Audit Candidate 4]]-Audit[[#This Row],[Candidate 4]]</f>
        <v>-4</v>
      </c>
      <c r="W1340" s="111">
        <f>Audit[[#This Row],[Audit Candidate 5]]-Audit[[#This Row],[Candidate 5]]</f>
        <v>0</v>
      </c>
      <c r="X1340" s="111">
        <f>Audit[[#This Row],[Audit Candidate 6]]-Audit[[#This Row],[Candidate 6]]</f>
        <v>0</v>
      </c>
      <c r="Y1340" s="111">
        <f>SUMIF(Audit[[#This Row],[Difference Loser]:[Difference Candidate 6]], "&gt;0")</f>
        <v>0</v>
      </c>
      <c r="Z1340" s="111">
        <f>SUM(Audit[[#This Row],[Difference Loser]:[Difference Candidate 6]])</f>
        <v>-58</v>
      </c>
      <c r="AA1340" s="111">
        <f>IF(Audit[[#This Row],[Times p Drawn - With Replacement]]&gt;0, IF(Audit[[#This Row],[Canceled Differences]]&lt;0, Audit[[#This Row],[Max Differences]]+ABS(Audit[[#This Row],[Canceled Differences]]), Audit[[#This Row],[Max Differences]]), 0)</f>
        <v>0</v>
      </c>
      <c r="AB1340" s="111">
        <f>'Sampling Data'!P1333</f>
        <v>5.0220480156785889E-3</v>
      </c>
      <c r="AC1340" s="111">
        <f>IF(
      SUM(Audit[[#This Row],[Audit Losing Candidate]:[Audit Candidate 6]])
      &lt;&gt;0,
      (Audit[[#This Row],[Winning Candidate]]-Audit[[#This Row],[Losing Candidate]]-(Audit[[#This Row],[Audit Winning Candidate]]-Audit[[#This Row],[Audit Losing Candidate]]))/(Audit[[#Totals],[Winning Candidate]]-Audit[[#Totals],[Losing Candidate]]),
      0
)</f>
        <v>0</v>
      </c>
      <c r="AD13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0" s="111">
        <f>IF(Audit[[#This Row],[Max Relative Error (ep)]] = 0, 0, Audit[[#This Row],[Max Relative Error (ep)]]/Audit[[#This Row],[Error Bound (up) - Max. possible relative overstatement]])</f>
        <v>0</v>
      </c>
      <c r="AJ13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40" s="111">
        <f t="shared" si="20"/>
        <v>1</v>
      </c>
      <c r="AL1340" s="111">
        <f>PRODUCT($AK$5:AK1340)</f>
        <v>8.962823818226312E-2</v>
      </c>
      <c r="AM1340" s="109">
        <f>1 - [K-M P Value]</f>
        <v>0.91037176181773694</v>
      </c>
      <c r="AN1340" s="111" t="str">
        <f>IF(Audit[[#This Row],[K-M P Value]]&gt;1-'General Info'!$B$16,"Continue", "Stop")</f>
        <v>Stop</v>
      </c>
      <c r="AO1340" s="110" t="b">
        <f>IF(Audit[[#This Row],[Status - Continue or stop audit]] = "Continue", TRUE, IF(AN1339 = "Continue", TRUE, FALSE))</f>
        <v>0</v>
      </c>
      <c r="AP1340" s="110"/>
    </row>
    <row r="1341" spans="1:42" ht="15" hidden="1" customHeight="1">
      <c r="A1341" s="111" t="str">
        <f>'Sampling Data'!W1334</f>
        <v/>
      </c>
      <c r="B1341" s="112" t="str">
        <f>'Sampling Data'!A1334</f>
        <v>LAKEWOOD -04-D - ABS</v>
      </c>
      <c r="C1341" s="112">
        <f>'Sampling Data'!B1334</f>
        <v>5</v>
      </c>
      <c r="D1341" s="112">
        <f>'Sampling Data'!C1334</f>
        <v>9</v>
      </c>
      <c r="E1341" s="113">
        <f>'Sampling Data'!D1334</f>
        <v>0</v>
      </c>
      <c r="F1341" s="113">
        <f>'Sampling Data'!E1334</f>
        <v>2</v>
      </c>
      <c r="G1341" s="113">
        <f>'Sampling Data'!F1334</f>
        <v>0</v>
      </c>
      <c r="H1341" s="113">
        <f>'Sampling Data'!G1334</f>
        <v>0</v>
      </c>
      <c r="I1341" s="112">
        <f>'Sampling Data'!H1334</f>
        <v>0</v>
      </c>
      <c r="J1341" s="112">
        <f>'Sampling Data'!I1334</f>
        <v>0</v>
      </c>
      <c r="K1341" s="112">
        <f>'Sampling Data'!J1334</f>
        <v>16</v>
      </c>
      <c r="L1341" s="111">
        <f>'Sampling Data'!X1334</f>
        <v>0</v>
      </c>
      <c r="M1341" s="114"/>
      <c r="N1341" s="114"/>
      <c r="O1341" s="115"/>
      <c r="P1341" s="115"/>
      <c r="Q1341" s="116"/>
      <c r="R1341" s="116"/>
      <c r="S1341" s="111">
        <f>Audit[[#This Row],[Audit Losing Candidate]]-Audit[[#This Row],[Losing Candidate]]</f>
        <v>-5</v>
      </c>
      <c r="T1341" s="111">
        <f>Audit[[#This Row],[Audit Winning Candidate]]-Audit[[#This Row],[Winning Candidate]]</f>
        <v>-9</v>
      </c>
      <c r="U1341" s="111">
        <f>Audit[[#This Row],[Audit Candidate 3]]-Audit[[#This Row],[Candidate 3]]</f>
        <v>0</v>
      </c>
      <c r="V1341" s="111">
        <f>Audit[[#This Row],[Audit Candidate 4]]-Audit[[#This Row],[Candidate 4]]</f>
        <v>-2</v>
      </c>
      <c r="W1341" s="111">
        <f>Audit[[#This Row],[Audit Candidate 5]]-Audit[[#This Row],[Candidate 5]]</f>
        <v>0</v>
      </c>
      <c r="X1341" s="111">
        <f>Audit[[#This Row],[Audit Candidate 6]]-Audit[[#This Row],[Candidate 6]]</f>
        <v>0</v>
      </c>
      <c r="Y1341" s="111">
        <f>SUMIF(Audit[[#This Row],[Difference Loser]:[Difference Candidate 6]], "&gt;0")</f>
        <v>0</v>
      </c>
      <c r="Z1341" s="111">
        <f>SUM(Audit[[#This Row],[Difference Loser]:[Difference Candidate 6]])</f>
        <v>-16</v>
      </c>
      <c r="AA1341" s="111">
        <f>IF(Audit[[#This Row],[Times p Drawn - With Replacement]]&gt;0, IF(Audit[[#This Row],[Canceled Differences]]&lt;0, Audit[[#This Row],[Max Differences]]+ABS(Audit[[#This Row],[Canceled Differences]]), Audit[[#This Row],[Max Differences]]), 0)</f>
        <v>0</v>
      </c>
      <c r="AB1341" s="111">
        <f>'Sampling Data'!P1334</f>
        <v>1.224889759921607E-3</v>
      </c>
      <c r="AC1341" s="111">
        <f>IF(
      SUM(Audit[[#This Row],[Audit Losing Candidate]:[Audit Candidate 6]])
      &lt;&gt;0,
      (Audit[[#This Row],[Winning Candidate]]-Audit[[#This Row],[Losing Candidate]]-(Audit[[#This Row],[Audit Winning Candidate]]-Audit[[#This Row],[Audit Losing Candidate]]))/(Audit[[#Totals],[Winning Candidate]]-Audit[[#Totals],[Losing Candidate]]),
      0
)</f>
        <v>0</v>
      </c>
      <c r="AD13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1" s="111">
        <f>IF(Audit[[#This Row],[Max Relative Error (ep)]] = 0, 0, Audit[[#This Row],[Max Relative Error (ep)]]/Audit[[#This Row],[Error Bound (up) - Max. possible relative overstatement]])</f>
        <v>0</v>
      </c>
      <c r="AJ13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41" s="111">
        <f t="shared" si="20"/>
        <v>1</v>
      </c>
      <c r="AL1341" s="111">
        <f>PRODUCT($AK$5:AK1341)</f>
        <v>8.962823818226312E-2</v>
      </c>
      <c r="AM1341" s="109">
        <f>1 - [K-M P Value]</f>
        <v>0.91037176181773694</v>
      </c>
      <c r="AN1341" s="111" t="str">
        <f>IF(Audit[[#This Row],[K-M P Value]]&gt;1-'General Info'!$B$16,"Continue", "Stop")</f>
        <v>Stop</v>
      </c>
      <c r="AO1341" s="110" t="b">
        <f>IF(Audit[[#This Row],[Status - Continue or stop audit]] = "Continue", TRUE, IF(AN1340 = "Continue", TRUE, FALSE))</f>
        <v>0</v>
      </c>
      <c r="AP1341" s="110"/>
    </row>
    <row r="1342" spans="1:42" ht="15" hidden="1" customHeight="1">
      <c r="A1342" s="111" t="str">
        <f>'Sampling Data'!W1335</f>
        <v/>
      </c>
      <c r="B1342" s="112" t="str">
        <f>'Sampling Data'!A1335</f>
        <v>LAKEWOOD -04-E</v>
      </c>
      <c r="C1342" s="112">
        <f>'Sampling Data'!B1335</f>
        <v>6</v>
      </c>
      <c r="D1342" s="112">
        <f>'Sampling Data'!C1335</f>
        <v>5</v>
      </c>
      <c r="E1342" s="113">
        <f>'Sampling Data'!D1335</f>
        <v>4</v>
      </c>
      <c r="F1342" s="113">
        <f>'Sampling Data'!E1335</f>
        <v>4</v>
      </c>
      <c r="G1342" s="113">
        <f>'Sampling Data'!F1335</f>
        <v>0</v>
      </c>
      <c r="H1342" s="113">
        <f>'Sampling Data'!G1335</f>
        <v>1</v>
      </c>
      <c r="I1342" s="112">
        <f>'Sampling Data'!H1335</f>
        <v>0</v>
      </c>
      <c r="J1342" s="112">
        <f>'Sampling Data'!I1335</f>
        <v>0</v>
      </c>
      <c r="K1342" s="112">
        <f>'Sampling Data'!J1335</f>
        <v>20</v>
      </c>
      <c r="L1342" s="111">
        <f>'Sampling Data'!X1335</f>
        <v>0</v>
      </c>
      <c r="M1342" s="114"/>
      <c r="N1342" s="114"/>
      <c r="O1342" s="115"/>
      <c r="P1342" s="115"/>
      <c r="Q1342" s="116"/>
      <c r="R1342" s="116"/>
      <c r="S1342" s="111">
        <f>Audit[[#This Row],[Audit Losing Candidate]]-Audit[[#This Row],[Losing Candidate]]</f>
        <v>-6</v>
      </c>
      <c r="T1342" s="111">
        <f>Audit[[#This Row],[Audit Winning Candidate]]-Audit[[#This Row],[Winning Candidate]]</f>
        <v>-5</v>
      </c>
      <c r="U1342" s="111">
        <f>Audit[[#This Row],[Audit Candidate 3]]-Audit[[#This Row],[Candidate 3]]</f>
        <v>-4</v>
      </c>
      <c r="V1342" s="111">
        <f>Audit[[#This Row],[Audit Candidate 4]]-Audit[[#This Row],[Candidate 4]]</f>
        <v>-4</v>
      </c>
      <c r="W1342" s="111">
        <f>Audit[[#This Row],[Audit Candidate 5]]-Audit[[#This Row],[Candidate 5]]</f>
        <v>0</v>
      </c>
      <c r="X1342" s="111">
        <f>Audit[[#This Row],[Audit Candidate 6]]-Audit[[#This Row],[Candidate 6]]</f>
        <v>-1</v>
      </c>
      <c r="Y1342" s="111">
        <f>SUMIF(Audit[[#This Row],[Difference Loser]:[Difference Candidate 6]], "&gt;0")</f>
        <v>0</v>
      </c>
      <c r="Z1342" s="111">
        <f>SUM(Audit[[#This Row],[Difference Loser]:[Difference Candidate 6]])</f>
        <v>-20</v>
      </c>
      <c r="AA1342" s="111">
        <f>IF(Audit[[#This Row],[Times p Drawn - With Replacement]]&gt;0, IF(Audit[[#This Row],[Canceled Differences]]&lt;0, Audit[[#This Row],[Max Differences]]+ABS(Audit[[#This Row],[Canceled Differences]]), Audit[[#This Row],[Max Differences]]), 0)</f>
        <v>0</v>
      </c>
      <c r="AB1342" s="111">
        <f>'Sampling Data'!P1335</f>
        <v>1.1636452719255266E-3</v>
      </c>
      <c r="AC1342" s="111">
        <f>IF(
      SUM(Audit[[#This Row],[Audit Losing Candidate]:[Audit Candidate 6]])
      &lt;&gt;0,
      (Audit[[#This Row],[Winning Candidate]]-Audit[[#This Row],[Losing Candidate]]-(Audit[[#This Row],[Audit Winning Candidate]]-Audit[[#This Row],[Audit Losing Candidate]]))/(Audit[[#Totals],[Winning Candidate]]-Audit[[#Totals],[Losing Candidate]]),
      0
)</f>
        <v>0</v>
      </c>
      <c r="AD13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2" s="111">
        <f>IF(Audit[[#This Row],[Max Relative Error (ep)]] = 0, 0, Audit[[#This Row],[Max Relative Error (ep)]]/Audit[[#This Row],[Error Bound (up) - Max. possible relative overstatement]])</f>
        <v>0</v>
      </c>
      <c r="AJ13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42" s="111">
        <f t="shared" si="20"/>
        <v>1</v>
      </c>
      <c r="AL1342" s="111">
        <f>PRODUCT($AK$5:AK1342)</f>
        <v>8.962823818226312E-2</v>
      </c>
      <c r="AM1342" s="109">
        <f>1 - [K-M P Value]</f>
        <v>0.91037176181773694</v>
      </c>
      <c r="AN1342" s="111" t="str">
        <f>IF(Audit[[#This Row],[K-M P Value]]&gt;1-'General Info'!$B$16,"Continue", "Stop")</f>
        <v>Stop</v>
      </c>
      <c r="AO1342" s="110" t="b">
        <f>IF(Audit[[#This Row],[Status - Continue or stop audit]] = "Continue", TRUE, IF(AN1341 = "Continue", TRUE, FALSE))</f>
        <v>0</v>
      </c>
      <c r="AP1342" s="110"/>
    </row>
    <row r="1343" spans="1:42" ht="15" hidden="1" customHeight="1">
      <c r="A1343" s="111" t="str">
        <f>'Sampling Data'!W1336</f>
        <v/>
      </c>
      <c r="B1343" s="112" t="str">
        <f>'Sampling Data'!A1336</f>
        <v>LAKEWOOD -04-E - ABS</v>
      </c>
      <c r="C1343" s="112">
        <f>'Sampling Data'!B1336</f>
        <v>4</v>
      </c>
      <c r="D1343" s="112">
        <f>'Sampling Data'!C1336</f>
        <v>6</v>
      </c>
      <c r="E1343" s="113">
        <f>'Sampling Data'!D1336</f>
        <v>0</v>
      </c>
      <c r="F1343" s="113">
        <f>'Sampling Data'!E1336</f>
        <v>0</v>
      </c>
      <c r="G1343" s="113">
        <f>'Sampling Data'!F1336</f>
        <v>0</v>
      </c>
      <c r="H1343" s="113">
        <f>'Sampling Data'!G1336</f>
        <v>0</v>
      </c>
      <c r="I1343" s="112">
        <f>'Sampling Data'!H1336</f>
        <v>0</v>
      </c>
      <c r="J1343" s="112">
        <f>'Sampling Data'!I1336</f>
        <v>0</v>
      </c>
      <c r="K1343" s="112">
        <f>'Sampling Data'!J1336</f>
        <v>10</v>
      </c>
      <c r="L1343" s="111">
        <f>'Sampling Data'!X1336</f>
        <v>0</v>
      </c>
      <c r="M1343" s="114"/>
      <c r="N1343" s="114"/>
      <c r="O1343" s="115"/>
      <c r="P1343" s="115"/>
      <c r="Q1343" s="116"/>
      <c r="R1343" s="116"/>
      <c r="S1343" s="111">
        <f>Audit[[#This Row],[Audit Losing Candidate]]-Audit[[#This Row],[Losing Candidate]]</f>
        <v>-4</v>
      </c>
      <c r="T1343" s="111">
        <f>Audit[[#This Row],[Audit Winning Candidate]]-Audit[[#This Row],[Winning Candidate]]</f>
        <v>-6</v>
      </c>
      <c r="U1343" s="111">
        <f>Audit[[#This Row],[Audit Candidate 3]]-Audit[[#This Row],[Candidate 3]]</f>
        <v>0</v>
      </c>
      <c r="V1343" s="111">
        <f>Audit[[#This Row],[Audit Candidate 4]]-Audit[[#This Row],[Candidate 4]]</f>
        <v>0</v>
      </c>
      <c r="W1343" s="111">
        <f>Audit[[#This Row],[Audit Candidate 5]]-Audit[[#This Row],[Candidate 5]]</f>
        <v>0</v>
      </c>
      <c r="X1343" s="111">
        <f>Audit[[#This Row],[Audit Candidate 6]]-Audit[[#This Row],[Candidate 6]]</f>
        <v>0</v>
      </c>
      <c r="Y1343" s="111">
        <f>SUMIF(Audit[[#This Row],[Difference Loser]:[Difference Candidate 6]], "&gt;0")</f>
        <v>0</v>
      </c>
      <c r="Z1343" s="111">
        <f>SUM(Audit[[#This Row],[Difference Loser]:[Difference Candidate 6]])</f>
        <v>-10</v>
      </c>
      <c r="AA1343" s="111">
        <f>IF(Audit[[#This Row],[Times p Drawn - With Replacement]]&gt;0, IF(Audit[[#This Row],[Canceled Differences]]&lt;0, Audit[[#This Row],[Max Differences]]+ABS(Audit[[#This Row],[Canceled Differences]]), Audit[[#This Row],[Max Differences]]), 0)</f>
        <v>0</v>
      </c>
      <c r="AB1343" s="111">
        <f>'Sampling Data'!P1336</f>
        <v>7.3493385595296422E-4</v>
      </c>
      <c r="AC1343" s="111">
        <f>IF(
      SUM(Audit[[#This Row],[Audit Losing Candidate]:[Audit Candidate 6]])
      &lt;&gt;0,
      (Audit[[#This Row],[Winning Candidate]]-Audit[[#This Row],[Losing Candidate]]-(Audit[[#This Row],[Audit Winning Candidate]]-Audit[[#This Row],[Audit Losing Candidate]]))/(Audit[[#Totals],[Winning Candidate]]-Audit[[#Totals],[Losing Candidate]]),
      0
)</f>
        <v>0</v>
      </c>
      <c r="AD13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3" s="111">
        <f>IF(Audit[[#This Row],[Max Relative Error (ep)]] = 0, 0, Audit[[#This Row],[Max Relative Error (ep)]]/Audit[[#This Row],[Error Bound (up) - Max. possible relative overstatement]])</f>
        <v>0</v>
      </c>
      <c r="AJ13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43" s="111">
        <f t="shared" si="20"/>
        <v>1</v>
      </c>
      <c r="AL1343" s="111">
        <f>PRODUCT($AK$5:AK1343)</f>
        <v>8.962823818226312E-2</v>
      </c>
      <c r="AM1343" s="109">
        <f>1 - [K-M P Value]</f>
        <v>0.91037176181773694</v>
      </c>
      <c r="AN1343" s="111" t="str">
        <f>IF(Audit[[#This Row],[K-M P Value]]&gt;1-'General Info'!$B$16,"Continue", "Stop")</f>
        <v>Stop</v>
      </c>
      <c r="AO1343" s="110" t="b">
        <f>IF(Audit[[#This Row],[Status - Continue or stop audit]] = "Continue", TRUE, IF(AN1342 = "Continue", TRUE, FALSE))</f>
        <v>0</v>
      </c>
      <c r="AP1343" s="110"/>
    </row>
    <row r="1344" spans="1:42" ht="15" hidden="1" customHeight="1">
      <c r="A1344" s="111" t="str">
        <f>'Sampling Data'!W1337</f>
        <v/>
      </c>
      <c r="B1344" s="112" t="str">
        <f>'Sampling Data'!A1337</f>
        <v>LAKEWOOD -04-F</v>
      </c>
      <c r="C1344" s="112">
        <f>'Sampling Data'!B1337</f>
        <v>12</v>
      </c>
      <c r="D1344" s="112">
        <f>'Sampling Data'!C1337</f>
        <v>15</v>
      </c>
      <c r="E1344" s="113">
        <f>'Sampling Data'!D1337</f>
        <v>5</v>
      </c>
      <c r="F1344" s="113">
        <f>'Sampling Data'!E1337</f>
        <v>9</v>
      </c>
      <c r="G1344" s="113">
        <f>'Sampling Data'!F1337</f>
        <v>1</v>
      </c>
      <c r="H1344" s="113">
        <f>'Sampling Data'!G1337</f>
        <v>1</v>
      </c>
      <c r="I1344" s="112">
        <f>'Sampling Data'!H1337</f>
        <v>0</v>
      </c>
      <c r="J1344" s="112">
        <f>'Sampling Data'!I1337</f>
        <v>0</v>
      </c>
      <c r="K1344" s="112">
        <f>'Sampling Data'!J1337</f>
        <v>43</v>
      </c>
      <c r="L1344" s="111">
        <f>'Sampling Data'!X1337</f>
        <v>0</v>
      </c>
      <c r="M1344" s="114"/>
      <c r="N1344" s="114"/>
      <c r="O1344" s="115"/>
      <c r="P1344" s="115"/>
      <c r="Q1344" s="116"/>
      <c r="R1344" s="116"/>
      <c r="S1344" s="111">
        <f>Audit[[#This Row],[Audit Losing Candidate]]-Audit[[#This Row],[Losing Candidate]]</f>
        <v>-12</v>
      </c>
      <c r="T1344" s="111">
        <f>Audit[[#This Row],[Audit Winning Candidate]]-Audit[[#This Row],[Winning Candidate]]</f>
        <v>-15</v>
      </c>
      <c r="U1344" s="111">
        <f>Audit[[#This Row],[Audit Candidate 3]]-Audit[[#This Row],[Candidate 3]]</f>
        <v>-5</v>
      </c>
      <c r="V1344" s="111">
        <f>Audit[[#This Row],[Audit Candidate 4]]-Audit[[#This Row],[Candidate 4]]</f>
        <v>-9</v>
      </c>
      <c r="W1344" s="111">
        <f>Audit[[#This Row],[Audit Candidate 5]]-Audit[[#This Row],[Candidate 5]]</f>
        <v>-1</v>
      </c>
      <c r="X1344" s="111">
        <f>Audit[[#This Row],[Audit Candidate 6]]-Audit[[#This Row],[Candidate 6]]</f>
        <v>-1</v>
      </c>
      <c r="Y1344" s="111">
        <f>SUMIF(Audit[[#This Row],[Difference Loser]:[Difference Candidate 6]], "&gt;0")</f>
        <v>0</v>
      </c>
      <c r="Z1344" s="111">
        <f>SUM(Audit[[#This Row],[Difference Loser]:[Difference Candidate 6]])</f>
        <v>-43</v>
      </c>
      <c r="AA1344" s="111">
        <f>IF(Audit[[#This Row],[Times p Drawn - With Replacement]]&gt;0, IF(Audit[[#This Row],[Canceled Differences]]&lt;0, Audit[[#This Row],[Max Differences]]+ABS(Audit[[#This Row],[Canceled Differences]]), Audit[[#This Row],[Max Differences]]), 0)</f>
        <v>0</v>
      </c>
      <c r="AB1344" s="111">
        <f>'Sampling Data'!P1337</f>
        <v>2.8172464478196961E-3</v>
      </c>
      <c r="AC1344" s="111">
        <f>IF(
      SUM(Audit[[#This Row],[Audit Losing Candidate]:[Audit Candidate 6]])
      &lt;&gt;0,
      (Audit[[#This Row],[Winning Candidate]]-Audit[[#This Row],[Losing Candidate]]-(Audit[[#This Row],[Audit Winning Candidate]]-Audit[[#This Row],[Audit Losing Candidate]]))/(Audit[[#Totals],[Winning Candidate]]-Audit[[#Totals],[Losing Candidate]]),
      0
)</f>
        <v>0</v>
      </c>
      <c r="AD13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4" s="111">
        <f>IF(Audit[[#This Row],[Max Relative Error (ep)]] = 0, 0, Audit[[#This Row],[Max Relative Error (ep)]]/Audit[[#This Row],[Error Bound (up) - Max. possible relative overstatement]])</f>
        <v>0</v>
      </c>
      <c r="AJ13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44" s="111">
        <f t="shared" si="20"/>
        <v>1</v>
      </c>
      <c r="AL1344" s="111">
        <f>PRODUCT($AK$5:AK1344)</f>
        <v>8.962823818226312E-2</v>
      </c>
      <c r="AM1344" s="109">
        <f>1 - [K-M P Value]</f>
        <v>0.91037176181773694</v>
      </c>
      <c r="AN1344" s="111" t="str">
        <f>IF(Audit[[#This Row],[K-M P Value]]&gt;1-'General Info'!$B$16,"Continue", "Stop")</f>
        <v>Stop</v>
      </c>
      <c r="AO1344" s="110" t="b">
        <f>IF(Audit[[#This Row],[Status - Continue or stop audit]] = "Continue", TRUE, IF(AN1343 = "Continue", TRUE, FALSE))</f>
        <v>0</v>
      </c>
      <c r="AP1344" s="110"/>
    </row>
    <row r="1345" spans="1:42" ht="15" hidden="1" customHeight="1">
      <c r="A1345" s="111" t="str">
        <f>'Sampling Data'!W1338</f>
        <v/>
      </c>
      <c r="B1345" s="112" t="str">
        <f>'Sampling Data'!A1338</f>
        <v>LAKEWOOD -04-F - ABS</v>
      </c>
      <c r="C1345" s="112">
        <f>'Sampling Data'!B1338</f>
        <v>3</v>
      </c>
      <c r="D1345" s="112">
        <f>'Sampling Data'!C1338</f>
        <v>3</v>
      </c>
      <c r="E1345" s="113">
        <f>'Sampling Data'!D1338</f>
        <v>3</v>
      </c>
      <c r="F1345" s="113">
        <f>'Sampling Data'!E1338</f>
        <v>3</v>
      </c>
      <c r="G1345" s="113">
        <f>'Sampling Data'!F1338</f>
        <v>0</v>
      </c>
      <c r="H1345" s="113">
        <f>'Sampling Data'!G1338</f>
        <v>1</v>
      </c>
      <c r="I1345" s="112">
        <f>'Sampling Data'!H1338</f>
        <v>0</v>
      </c>
      <c r="J1345" s="112">
        <f>'Sampling Data'!I1338</f>
        <v>1</v>
      </c>
      <c r="K1345" s="112">
        <f>'Sampling Data'!J1338</f>
        <v>14</v>
      </c>
      <c r="L1345" s="111">
        <f>'Sampling Data'!X1338</f>
        <v>0</v>
      </c>
      <c r="M1345" s="114"/>
      <c r="N1345" s="114"/>
      <c r="O1345" s="115"/>
      <c r="P1345" s="115"/>
      <c r="Q1345" s="116"/>
      <c r="R1345" s="116"/>
      <c r="S1345" s="111">
        <f>Audit[[#This Row],[Audit Losing Candidate]]-Audit[[#This Row],[Losing Candidate]]</f>
        <v>-3</v>
      </c>
      <c r="T1345" s="111">
        <f>Audit[[#This Row],[Audit Winning Candidate]]-Audit[[#This Row],[Winning Candidate]]</f>
        <v>-3</v>
      </c>
      <c r="U1345" s="111">
        <f>Audit[[#This Row],[Audit Candidate 3]]-Audit[[#This Row],[Candidate 3]]</f>
        <v>-3</v>
      </c>
      <c r="V1345" s="111">
        <f>Audit[[#This Row],[Audit Candidate 4]]-Audit[[#This Row],[Candidate 4]]</f>
        <v>-3</v>
      </c>
      <c r="W1345" s="111">
        <f>Audit[[#This Row],[Audit Candidate 5]]-Audit[[#This Row],[Candidate 5]]</f>
        <v>0</v>
      </c>
      <c r="X1345" s="111">
        <f>Audit[[#This Row],[Audit Candidate 6]]-Audit[[#This Row],[Candidate 6]]</f>
        <v>-1</v>
      </c>
      <c r="Y1345" s="111">
        <f>SUMIF(Audit[[#This Row],[Difference Loser]:[Difference Candidate 6]], "&gt;0")</f>
        <v>0</v>
      </c>
      <c r="Z1345" s="111">
        <f>SUM(Audit[[#This Row],[Difference Loser]:[Difference Candidate 6]])</f>
        <v>-13</v>
      </c>
      <c r="AA1345" s="111">
        <f>IF(Audit[[#This Row],[Times p Drawn - With Replacement]]&gt;0, IF(Audit[[#This Row],[Canceled Differences]]&lt;0, Audit[[#This Row],[Max Differences]]+ABS(Audit[[#This Row],[Canceled Differences]]), Audit[[#This Row],[Max Differences]]), 0)</f>
        <v>0</v>
      </c>
      <c r="AB1345" s="111">
        <f>'Sampling Data'!P1338</f>
        <v>8.5742283194512492E-4</v>
      </c>
      <c r="AC1345" s="111">
        <f>IF(
      SUM(Audit[[#This Row],[Audit Losing Candidate]:[Audit Candidate 6]])
      &lt;&gt;0,
      (Audit[[#This Row],[Winning Candidate]]-Audit[[#This Row],[Losing Candidate]]-(Audit[[#This Row],[Audit Winning Candidate]]-Audit[[#This Row],[Audit Losing Candidate]]))/(Audit[[#Totals],[Winning Candidate]]-Audit[[#Totals],[Losing Candidate]]),
      0
)</f>
        <v>0</v>
      </c>
      <c r="AD13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5" s="111">
        <f>IF(Audit[[#This Row],[Max Relative Error (ep)]] = 0, 0, Audit[[#This Row],[Max Relative Error (ep)]]/Audit[[#This Row],[Error Bound (up) - Max. possible relative overstatement]])</f>
        <v>0</v>
      </c>
      <c r="AJ13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45" s="111">
        <f t="shared" si="20"/>
        <v>1</v>
      </c>
      <c r="AL1345" s="111">
        <f>PRODUCT($AK$5:AK1345)</f>
        <v>8.962823818226312E-2</v>
      </c>
      <c r="AM1345" s="109">
        <f>1 - [K-M P Value]</f>
        <v>0.91037176181773694</v>
      </c>
      <c r="AN1345" s="111" t="str">
        <f>IF(Audit[[#This Row],[K-M P Value]]&gt;1-'General Info'!$B$16,"Continue", "Stop")</f>
        <v>Stop</v>
      </c>
      <c r="AO1345" s="110" t="b">
        <f>IF(Audit[[#This Row],[Status - Continue or stop audit]] = "Continue", TRUE, IF(AN1344 = "Continue", TRUE, FALSE))</f>
        <v>0</v>
      </c>
      <c r="AP1345" s="110"/>
    </row>
    <row r="1346" spans="1:42" ht="15" hidden="1" customHeight="1">
      <c r="A1346" s="111" t="str">
        <f>'Sampling Data'!W1339</f>
        <v/>
      </c>
      <c r="B1346" s="112" t="str">
        <f>'Sampling Data'!A1339</f>
        <v>LAKEWOOD -04-G</v>
      </c>
      <c r="C1346" s="112">
        <f>'Sampling Data'!B1339</f>
        <v>8</v>
      </c>
      <c r="D1346" s="112">
        <f>'Sampling Data'!C1339</f>
        <v>10</v>
      </c>
      <c r="E1346" s="113">
        <f>'Sampling Data'!D1339</f>
        <v>3</v>
      </c>
      <c r="F1346" s="113">
        <f>'Sampling Data'!E1339</f>
        <v>4</v>
      </c>
      <c r="G1346" s="113">
        <f>'Sampling Data'!F1339</f>
        <v>0</v>
      </c>
      <c r="H1346" s="113">
        <f>'Sampling Data'!G1339</f>
        <v>0</v>
      </c>
      <c r="I1346" s="112">
        <f>'Sampling Data'!H1339</f>
        <v>0</v>
      </c>
      <c r="J1346" s="112">
        <f>'Sampling Data'!I1339</f>
        <v>1</v>
      </c>
      <c r="K1346" s="112">
        <f>'Sampling Data'!J1339</f>
        <v>26</v>
      </c>
      <c r="L1346" s="111">
        <f>'Sampling Data'!X1339</f>
        <v>0</v>
      </c>
      <c r="M1346" s="114"/>
      <c r="N1346" s="114"/>
      <c r="O1346" s="115"/>
      <c r="P1346" s="115"/>
      <c r="Q1346" s="116"/>
      <c r="R1346" s="116"/>
      <c r="S1346" s="111">
        <f>Audit[[#This Row],[Audit Losing Candidate]]-Audit[[#This Row],[Losing Candidate]]</f>
        <v>-8</v>
      </c>
      <c r="T1346" s="111">
        <f>Audit[[#This Row],[Audit Winning Candidate]]-Audit[[#This Row],[Winning Candidate]]</f>
        <v>-10</v>
      </c>
      <c r="U1346" s="111">
        <f>Audit[[#This Row],[Audit Candidate 3]]-Audit[[#This Row],[Candidate 3]]</f>
        <v>-3</v>
      </c>
      <c r="V1346" s="111">
        <f>Audit[[#This Row],[Audit Candidate 4]]-Audit[[#This Row],[Candidate 4]]</f>
        <v>-4</v>
      </c>
      <c r="W1346" s="111">
        <f>Audit[[#This Row],[Audit Candidate 5]]-Audit[[#This Row],[Candidate 5]]</f>
        <v>0</v>
      </c>
      <c r="X1346" s="111">
        <f>Audit[[#This Row],[Audit Candidate 6]]-Audit[[#This Row],[Candidate 6]]</f>
        <v>0</v>
      </c>
      <c r="Y1346" s="111">
        <f>SUMIF(Audit[[#This Row],[Difference Loser]:[Difference Candidate 6]], "&gt;0")</f>
        <v>0</v>
      </c>
      <c r="Z1346" s="111">
        <f>SUM(Audit[[#This Row],[Difference Loser]:[Difference Candidate 6]])</f>
        <v>-25</v>
      </c>
      <c r="AA1346" s="111">
        <f>IF(Audit[[#This Row],[Times p Drawn - With Replacement]]&gt;0, IF(Audit[[#This Row],[Canceled Differences]]&lt;0, Audit[[#This Row],[Max Differences]]+ABS(Audit[[#This Row],[Canceled Differences]]), Audit[[#This Row],[Max Differences]]), 0)</f>
        <v>0</v>
      </c>
      <c r="AB1346" s="111">
        <f>'Sampling Data'!P1339</f>
        <v>1.7148456638902498E-3</v>
      </c>
      <c r="AC1346" s="111">
        <f>IF(
      SUM(Audit[[#This Row],[Audit Losing Candidate]:[Audit Candidate 6]])
      &lt;&gt;0,
      (Audit[[#This Row],[Winning Candidate]]-Audit[[#This Row],[Losing Candidate]]-(Audit[[#This Row],[Audit Winning Candidate]]-Audit[[#This Row],[Audit Losing Candidate]]))/(Audit[[#Totals],[Winning Candidate]]-Audit[[#Totals],[Losing Candidate]]),
      0
)</f>
        <v>0</v>
      </c>
      <c r="AD13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6" s="111">
        <f>IF(Audit[[#This Row],[Max Relative Error (ep)]] = 0, 0, Audit[[#This Row],[Max Relative Error (ep)]]/Audit[[#This Row],[Error Bound (up) - Max. possible relative overstatement]])</f>
        <v>0</v>
      </c>
      <c r="AJ13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46" s="111">
        <f t="shared" si="20"/>
        <v>1</v>
      </c>
      <c r="AL1346" s="111">
        <f>PRODUCT($AK$5:AK1346)</f>
        <v>8.962823818226312E-2</v>
      </c>
      <c r="AM1346" s="109">
        <f>1 - [K-M P Value]</f>
        <v>0.91037176181773694</v>
      </c>
      <c r="AN1346" s="111" t="str">
        <f>IF(Audit[[#This Row],[K-M P Value]]&gt;1-'General Info'!$B$16,"Continue", "Stop")</f>
        <v>Stop</v>
      </c>
      <c r="AO1346" s="110" t="b">
        <f>IF(Audit[[#This Row],[Status - Continue or stop audit]] = "Continue", TRUE, IF(AN1345 = "Continue", TRUE, FALSE))</f>
        <v>0</v>
      </c>
      <c r="AP1346" s="110"/>
    </row>
    <row r="1347" spans="1:42" ht="15" hidden="1" customHeight="1">
      <c r="A1347" s="111" t="str">
        <f>'Sampling Data'!W1340</f>
        <v/>
      </c>
      <c r="B1347" s="112" t="str">
        <f>'Sampling Data'!A1340</f>
        <v>LAKEWOOD -04-G - ABS</v>
      </c>
      <c r="C1347" s="112">
        <f>'Sampling Data'!B1340</f>
        <v>0</v>
      </c>
      <c r="D1347" s="112">
        <f>'Sampling Data'!C1340</f>
        <v>1</v>
      </c>
      <c r="E1347" s="113">
        <f>'Sampling Data'!D1340</f>
        <v>1</v>
      </c>
      <c r="F1347" s="113">
        <f>'Sampling Data'!E1340</f>
        <v>0</v>
      </c>
      <c r="G1347" s="113">
        <f>'Sampling Data'!F1340</f>
        <v>0</v>
      </c>
      <c r="H1347" s="113">
        <f>'Sampling Data'!G1340</f>
        <v>0</v>
      </c>
      <c r="I1347" s="112">
        <f>'Sampling Data'!H1340</f>
        <v>0</v>
      </c>
      <c r="J1347" s="112">
        <f>'Sampling Data'!I1340</f>
        <v>0</v>
      </c>
      <c r="K1347" s="112">
        <f>'Sampling Data'!J1340</f>
        <v>2</v>
      </c>
      <c r="L1347" s="111">
        <f>'Sampling Data'!X1340</f>
        <v>0</v>
      </c>
      <c r="M1347" s="114"/>
      <c r="N1347" s="114"/>
      <c r="O1347" s="115"/>
      <c r="P1347" s="115"/>
      <c r="Q1347" s="116"/>
      <c r="R1347" s="116"/>
      <c r="S1347" s="111">
        <f>Audit[[#This Row],[Audit Losing Candidate]]-Audit[[#This Row],[Losing Candidate]]</f>
        <v>0</v>
      </c>
      <c r="T1347" s="111">
        <f>Audit[[#This Row],[Audit Winning Candidate]]-Audit[[#This Row],[Winning Candidate]]</f>
        <v>-1</v>
      </c>
      <c r="U1347" s="111">
        <f>Audit[[#This Row],[Audit Candidate 3]]-Audit[[#This Row],[Candidate 3]]</f>
        <v>-1</v>
      </c>
      <c r="V1347" s="111">
        <f>Audit[[#This Row],[Audit Candidate 4]]-Audit[[#This Row],[Candidate 4]]</f>
        <v>0</v>
      </c>
      <c r="W1347" s="111">
        <f>Audit[[#This Row],[Audit Candidate 5]]-Audit[[#This Row],[Candidate 5]]</f>
        <v>0</v>
      </c>
      <c r="X1347" s="111">
        <f>Audit[[#This Row],[Audit Candidate 6]]-Audit[[#This Row],[Candidate 6]]</f>
        <v>0</v>
      </c>
      <c r="Y1347" s="111">
        <f>SUMIF(Audit[[#This Row],[Difference Loser]:[Difference Candidate 6]], "&gt;0")</f>
        <v>0</v>
      </c>
      <c r="Z1347" s="111">
        <f>SUM(Audit[[#This Row],[Difference Loser]:[Difference Candidate 6]])</f>
        <v>-2</v>
      </c>
      <c r="AA1347" s="111">
        <f>IF(Audit[[#This Row],[Times p Drawn - With Replacement]]&gt;0, IF(Audit[[#This Row],[Canceled Differences]]&lt;0, Audit[[#This Row],[Max Differences]]+ABS(Audit[[#This Row],[Canceled Differences]]), Audit[[#This Row],[Max Differences]]), 0)</f>
        <v>0</v>
      </c>
      <c r="AB1347" s="111">
        <f>'Sampling Data'!P1340</f>
        <v>1.8373346398824106E-4</v>
      </c>
      <c r="AC1347" s="111">
        <f>IF(
      SUM(Audit[[#This Row],[Audit Losing Candidate]:[Audit Candidate 6]])
      &lt;&gt;0,
      (Audit[[#This Row],[Winning Candidate]]-Audit[[#This Row],[Losing Candidate]]-(Audit[[#This Row],[Audit Winning Candidate]]-Audit[[#This Row],[Audit Losing Candidate]]))/(Audit[[#Totals],[Winning Candidate]]-Audit[[#Totals],[Losing Candidate]]),
      0
)</f>
        <v>0</v>
      </c>
      <c r="AD13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7" s="111">
        <f>IF(Audit[[#This Row],[Max Relative Error (ep)]] = 0, 0, Audit[[#This Row],[Max Relative Error (ep)]]/Audit[[#This Row],[Error Bound (up) - Max. possible relative overstatement]])</f>
        <v>0</v>
      </c>
      <c r="AJ13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47" s="111">
        <f t="shared" si="20"/>
        <v>1</v>
      </c>
      <c r="AL1347" s="111">
        <f>PRODUCT($AK$5:AK1347)</f>
        <v>8.962823818226312E-2</v>
      </c>
      <c r="AM1347" s="109">
        <f>1 - [K-M P Value]</f>
        <v>0.91037176181773694</v>
      </c>
      <c r="AN1347" s="111" t="str">
        <f>IF(Audit[[#This Row],[K-M P Value]]&gt;1-'General Info'!$B$16,"Continue", "Stop")</f>
        <v>Stop</v>
      </c>
      <c r="AO1347" s="110" t="b">
        <f>IF(Audit[[#This Row],[Status - Continue or stop audit]] = "Continue", TRUE, IF(AN1346 = "Continue", TRUE, FALSE))</f>
        <v>0</v>
      </c>
      <c r="AP1347" s="110"/>
    </row>
    <row r="1348" spans="1:42" ht="15" hidden="1" customHeight="1">
      <c r="A1348" s="111" t="str">
        <f>'Sampling Data'!W1341</f>
        <v/>
      </c>
      <c r="B1348" s="112" t="str">
        <f>'Sampling Data'!A1341</f>
        <v>LAKEWOOD -04-H</v>
      </c>
      <c r="C1348" s="112">
        <f>'Sampling Data'!B1341</f>
        <v>8</v>
      </c>
      <c r="D1348" s="112">
        <f>'Sampling Data'!C1341</f>
        <v>19</v>
      </c>
      <c r="E1348" s="113">
        <f>'Sampling Data'!D1341</f>
        <v>7</v>
      </c>
      <c r="F1348" s="113">
        <f>'Sampling Data'!E1341</f>
        <v>8</v>
      </c>
      <c r="G1348" s="113">
        <f>'Sampling Data'!F1341</f>
        <v>1</v>
      </c>
      <c r="H1348" s="113">
        <f>'Sampling Data'!G1341</f>
        <v>1</v>
      </c>
      <c r="I1348" s="112">
        <f>'Sampling Data'!H1341</f>
        <v>0</v>
      </c>
      <c r="J1348" s="112">
        <f>'Sampling Data'!I1341</f>
        <v>1</v>
      </c>
      <c r="K1348" s="112">
        <f>'Sampling Data'!J1341</f>
        <v>45</v>
      </c>
      <c r="L1348" s="111">
        <f>'Sampling Data'!X1341</f>
        <v>0</v>
      </c>
      <c r="M1348" s="114"/>
      <c r="N1348" s="114"/>
      <c r="O1348" s="115"/>
      <c r="P1348" s="115"/>
      <c r="Q1348" s="116"/>
      <c r="R1348" s="116"/>
      <c r="S1348" s="111">
        <f>Audit[[#This Row],[Audit Losing Candidate]]-Audit[[#This Row],[Losing Candidate]]</f>
        <v>-8</v>
      </c>
      <c r="T1348" s="111">
        <f>Audit[[#This Row],[Audit Winning Candidate]]-Audit[[#This Row],[Winning Candidate]]</f>
        <v>-19</v>
      </c>
      <c r="U1348" s="111">
        <f>Audit[[#This Row],[Audit Candidate 3]]-Audit[[#This Row],[Candidate 3]]</f>
        <v>-7</v>
      </c>
      <c r="V1348" s="111">
        <f>Audit[[#This Row],[Audit Candidate 4]]-Audit[[#This Row],[Candidate 4]]</f>
        <v>-8</v>
      </c>
      <c r="W1348" s="111">
        <f>Audit[[#This Row],[Audit Candidate 5]]-Audit[[#This Row],[Candidate 5]]</f>
        <v>-1</v>
      </c>
      <c r="X1348" s="111">
        <f>Audit[[#This Row],[Audit Candidate 6]]-Audit[[#This Row],[Candidate 6]]</f>
        <v>-1</v>
      </c>
      <c r="Y1348" s="111">
        <f>SUMIF(Audit[[#This Row],[Difference Loser]:[Difference Candidate 6]], "&gt;0")</f>
        <v>0</v>
      </c>
      <c r="Z1348" s="111">
        <f>SUM(Audit[[#This Row],[Difference Loser]:[Difference Candidate 6]])</f>
        <v>-44</v>
      </c>
      <c r="AA1348" s="111">
        <f>IF(Audit[[#This Row],[Times p Drawn - With Replacement]]&gt;0, IF(Audit[[#This Row],[Canceled Differences]]&lt;0, Audit[[#This Row],[Max Differences]]+ABS(Audit[[#This Row],[Canceled Differences]]), Audit[[#This Row],[Max Differences]]), 0)</f>
        <v>0</v>
      </c>
      <c r="AB1348" s="111">
        <f>'Sampling Data'!P1341</f>
        <v>3.4296913277804997E-3</v>
      </c>
      <c r="AC1348" s="111">
        <f>IF(
      SUM(Audit[[#This Row],[Audit Losing Candidate]:[Audit Candidate 6]])
      &lt;&gt;0,
      (Audit[[#This Row],[Winning Candidate]]-Audit[[#This Row],[Losing Candidate]]-(Audit[[#This Row],[Audit Winning Candidate]]-Audit[[#This Row],[Audit Losing Candidate]]))/(Audit[[#Totals],[Winning Candidate]]-Audit[[#Totals],[Losing Candidate]]),
      0
)</f>
        <v>0</v>
      </c>
      <c r="AD13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8" s="111">
        <f>IF(Audit[[#This Row],[Max Relative Error (ep)]] = 0, 0, Audit[[#This Row],[Max Relative Error (ep)]]/Audit[[#This Row],[Error Bound (up) - Max. possible relative overstatement]])</f>
        <v>0</v>
      </c>
      <c r="AJ13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48" s="111">
        <f t="shared" si="20"/>
        <v>1</v>
      </c>
      <c r="AL1348" s="111">
        <f>PRODUCT($AK$5:AK1348)</f>
        <v>8.962823818226312E-2</v>
      </c>
      <c r="AM1348" s="109">
        <f>1 - [K-M P Value]</f>
        <v>0.91037176181773694</v>
      </c>
      <c r="AN1348" s="111" t="str">
        <f>IF(Audit[[#This Row],[K-M P Value]]&gt;1-'General Info'!$B$16,"Continue", "Stop")</f>
        <v>Stop</v>
      </c>
      <c r="AO1348" s="110" t="b">
        <f>IF(Audit[[#This Row],[Status - Continue or stop audit]] = "Continue", TRUE, IF(AN1347 = "Continue", TRUE, FALSE))</f>
        <v>0</v>
      </c>
      <c r="AP1348" s="110"/>
    </row>
    <row r="1349" spans="1:42" ht="15" hidden="1" customHeight="1">
      <c r="A1349" s="111" t="str">
        <f>'Sampling Data'!W1342</f>
        <v/>
      </c>
      <c r="B1349" s="112" t="str">
        <f>'Sampling Data'!A1342</f>
        <v>LAKEWOOD -04-H - ABS</v>
      </c>
      <c r="C1349" s="112">
        <f>'Sampling Data'!B1342</f>
        <v>5</v>
      </c>
      <c r="D1349" s="112">
        <f>'Sampling Data'!C1342</f>
        <v>3</v>
      </c>
      <c r="E1349" s="113">
        <f>'Sampling Data'!D1342</f>
        <v>1</v>
      </c>
      <c r="F1349" s="113">
        <f>'Sampling Data'!E1342</f>
        <v>1</v>
      </c>
      <c r="G1349" s="113">
        <f>'Sampling Data'!F1342</f>
        <v>1</v>
      </c>
      <c r="H1349" s="113">
        <f>'Sampling Data'!G1342</f>
        <v>0</v>
      </c>
      <c r="I1349" s="112">
        <f>'Sampling Data'!H1342</f>
        <v>0</v>
      </c>
      <c r="J1349" s="112">
        <f>'Sampling Data'!I1342</f>
        <v>0</v>
      </c>
      <c r="K1349" s="112">
        <f>'Sampling Data'!J1342</f>
        <v>11</v>
      </c>
      <c r="L1349" s="111">
        <f>'Sampling Data'!X1342</f>
        <v>0</v>
      </c>
      <c r="M1349" s="114"/>
      <c r="N1349" s="114"/>
      <c r="O1349" s="115"/>
      <c r="P1349" s="115"/>
      <c r="Q1349" s="116"/>
      <c r="R1349" s="116"/>
      <c r="S1349" s="111">
        <f>Audit[[#This Row],[Audit Losing Candidate]]-Audit[[#This Row],[Losing Candidate]]</f>
        <v>-5</v>
      </c>
      <c r="T1349" s="111">
        <f>Audit[[#This Row],[Audit Winning Candidate]]-Audit[[#This Row],[Winning Candidate]]</f>
        <v>-3</v>
      </c>
      <c r="U1349" s="111">
        <f>Audit[[#This Row],[Audit Candidate 3]]-Audit[[#This Row],[Candidate 3]]</f>
        <v>-1</v>
      </c>
      <c r="V1349" s="111">
        <f>Audit[[#This Row],[Audit Candidate 4]]-Audit[[#This Row],[Candidate 4]]</f>
        <v>-1</v>
      </c>
      <c r="W1349" s="111">
        <f>Audit[[#This Row],[Audit Candidate 5]]-Audit[[#This Row],[Candidate 5]]</f>
        <v>-1</v>
      </c>
      <c r="X1349" s="111">
        <f>Audit[[#This Row],[Audit Candidate 6]]-Audit[[#This Row],[Candidate 6]]</f>
        <v>0</v>
      </c>
      <c r="Y1349" s="111">
        <f>SUMIF(Audit[[#This Row],[Difference Loser]:[Difference Candidate 6]], "&gt;0")</f>
        <v>0</v>
      </c>
      <c r="Z1349" s="111">
        <f>SUM(Audit[[#This Row],[Difference Loser]:[Difference Candidate 6]])</f>
        <v>-11</v>
      </c>
      <c r="AA1349" s="111">
        <f>IF(Audit[[#This Row],[Times p Drawn - With Replacement]]&gt;0, IF(Audit[[#This Row],[Canceled Differences]]&lt;0, Audit[[#This Row],[Max Differences]]+ABS(Audit[[#This Row],[Canceled Differences]]), Audit[[#This Row],[Max Differences]]), 0)</f>
        <v>0</v>
      </c>
      <c r="AB1349" s="111">
        <f>'Sampling Data'!P1342</f>
        <v>5.5120039196472322E-4</v>
      </c>
      <c r="AC1349" s="111">
        <f>IF(
      SUM(Audit[[#This Row],[Audit Losing Candidate]:[Audit Candidate 6]])
      &lt;&gt;0,
      (Audit[[#This Row],[Winning Candidate]]-Audit[[#This Row],[Losing Candidate]]-(Audit[[#This Row],[Audit Winning Candidate]]-Audit[[#This Row],[Audit Losing Candidate]]))/(Audit[[#Totals],[Winning Candidate]]-Audit[[#Totals],[Losing Candidate]]),
      0
)</f>
        <v>0</v>
      </c>
      <c r="AD13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9" s="111">
        <f>IF(Audit[[#This Row],[Max Relative Error (ep)]] = 0, 0, Audit[[#This Row],[Max Relative Error (ep)]]/Audit[[#This Row],[Error Bound (up) - Max. possible relative overstatement]])</f>
        <v>0</v>
      </c>
      <c r="AJ13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49" s="111">
        <f t="shared" ref="AK1349:AK1412" si="21">IF(ISERR(POWER(AJ1349,L1349)), 0, POWER(AJ1349,L1349))</f>
        <v>1</v>
      </c>
      <c r="AL1349" s="111">
        <f>PRODUCT($AK$5:AK1349)</f>
        <v>8.962823818226312E-2</v>
      </c>
      <c r="AM1349" s="109">
        <f>1 - [K-M P Value]</f>
        <v>0.91037176181773694</v>
      </c>
      <c r="AN1349" s="111" t="str">
        <f>IF(Audit[[#This Row],[K-M P Value]]&gt;1-'General Info'!$B$16,"Continue", "Stop")</f>
        <v>Stop</v>
      </c>
      <c r="AO1349" s="110" t="b">
        <f>IF(Audit[[#This Row],[Status - Continue or stop audit]] = "Continue", TRUE, IF(AN1348 = "Continue", TRUE, FALSE))</f>
        <v>0</v>
      </c>
      <c r="AP1349" s="110"/>
    </row>
    <row r="1350" spans="1:42" ht="15" hidden="1" customHeight="1">
      <c r="A1350" s="111" t="str">
        <f>'Sampling Data'!W1343</f>
        <v/>
      </c>
      <c r="B1350" s="112" t="str">
        <f>'Sampling Data'!A1343</f>
        <v>LAKEWOOD -04-I</v>
      </c>
      <c r="C1350" s="112">
        <f>'Sampling Data'!B1343</f>
        <v>20</v>
      </c>
      <c r="D1350" s="112">
        <f>'Sampling Data'!C1343</f>
        <v>20</v>
      </c>
      <c r="E1350" s="113">
        <f>'Sampling Data'!D1343</f>
        <v>4</v>
      </c>
      <c r="F1350" s="113">
        <f>'Sampling Data'!E1343</f>
        <v>4</v>
      </c>
      <c r="G1350" s="113">
        <f>'Sampling Data'!F1343</f>
        <v>0</v>
      </c>
      <c r="H1350" s="113">
        <f>'Sampling Data'!G1343</f>
        <v>2</v>
      </c>
      <c r="I1350" s="112">
        <f>'Sampling Data'!H1343</f>
        <v>0</v>
      </c>
      <c r="J1350" s="112">
        <f>'Sampling Data'!I1343</f>
        <v>1</v>
      </c>
      <c r="K1350" s="112">
        <f>'Sampling Data'!J1343</f>
        <v>51</v>
      </c>
      <c r="L1350" s="111">
        <f>'Sampling Data'!X1343</f>
        <v>0</v>
      </c>
      <c r="M1350" s="114"/>
      <c r="N1350" s="114"/>
      <c r="O1350" s="115"/>
      <c r="P1350" s="115"/>
      <c r="Q1350" s="116"/>
      <c r="R1350" s="116"/>
      <c r="S1350" s="111">
        <f>Audit[[#This Row],[Audit Losing Candidate]]-Audit[[#This Row],[Losing Candidate]]</f>
        <v>-20</v>
      </c>
      <c r="T1350" s="111">
        <f>Audit[[#This Row],[Audit Winning Candidate]]-Audit[[#This Row],[Winning Candidate]]</f>
        <v>-20</v>
      </c>
      <c r="U1350" s="111">
        <f>Audit[[#This Row],[Audit Candidate 3]]-Audit[[#This Row],[Candidate 3]]</f>
        <v>-4</v>
      </c>
      <c r="V1350" s="111">
        <f>Audit[[#This Row],[Audit Candidate 4]]-Audit[[#This Row],[Candidate 4]]</f>
        <v>-4</v>
      </c>
      <c r="W1350" s="111">
        <f>Audit[[#This Row],[Audit Candidate 5]]-Audit[[#This Row],[Candidate 5]]</f>
        <v>0</v>
      </c>
      <c r="X1350" s="111">
        <f>Audit[[#This Row],[Audit Candidate 6]]-Audit[[#This Row],[Candidate 6]]</f>
        <v>-2</v>
      </c>
      <c r="Y1350" s="111">
        <f>SUMIF(Audit[[#This Row],[Difference Loser]:[Difference Candidate 6]], "&gt;0")</f>
        <v>0</v>
      </c>
      <c r="Z1350" s="111">
        <f>SUM(Audit[[#This Row],[Difference Loser]:[Difference Candidate 6]])</f>
        <v>-50</v>
      </c>
      <c r="AA1350" s="111">
        <f>IF(Audit[[#This Row],[Times p Drawn - With Replacement]]&gt;0, IF(Audit[[#This Row],[Canceled Differences]]&lt;0, Audit[[#This Row],[Max Differences]]+ABS(Audit[[#This Row],[Canceled Differences]]), Audit[[#This Row],[Max Differences]]), 0)</f>
        <v>0</v>
      </c>
      <c r="AB1350" s="111">
        <f>'Sampling Data'!P1343</f>
        <v>3.1234688878000981E-3</v>
      </c>
      <c r="AC1350" s="111">
        <f>IF(
      SUM(Audit[[#This Row],[Audit Losing Candidate]:[Audit Candidate 6]])
      &lt;&gt;0,
      (Audit[[#This Row],[Winning Candidate]]-Audit[[#This Row],[Losing Candidate]]-(Audit[[#This Row],[Audit Winning Candidate]]-Audit[[#This Row],[Audit Losing Candidate]]))/(Audit[[#Totals],[Winning Candidate]]-Audit[[#Totals],[Losing Candidate]]),
      0
)</f>
        <v>0</v>
      </c>
      <c r="AD13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0" s="111">
        <f>IF(Audit[[#This Row],[Max Relative Error (ep)]] = 0, 0, Audit[[#This Row],[Max Relative Error (ep)]]/Audit[[#This Row],[Error Bound (up) - Max. possible relative overstatement]])</f>
        <v>0</v>
      </c>
      <c r="AJ13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50" s="111">
        <f t="shared" si="21"/>
        <v>1</v>
      </c>
      <c r="AL1350" s="111">
        <f>PRODUCT($AK$5:AK1350)</f>
        <v>8.962823818226312E-2</v>
      </c>
      <c r="AM1350" s="109">
        <f>1 - [K-M P Value]</f>
        <v>0.91037176181773694</v>
      </c>
      <c r="AN1350" s="111" t="str">
        <f>IF(Audit[[#This Row],[K-M P Value]]&gt;1-'General Info'!$B$16,"Continue", "Stop")</f>
        <v>Stop</v>
      </c>
      <c r="AO1350" s="110" t="b">
        <f>IF(Audit[[#This Row],[Status - Continue or stop audit]] = "Continue", TRUE, IF(AN1349 = "Continue", TRUE, FALSE))</f>
        <v>0</v>
      </c>
      <c r="AP1350" s="110"/>
    </row>
    <row r="1351" spans="1:42" ht="15" hidden="1" customHeight="1">
      <c r="A1351" s="111" t="str">
        <f>'Sampling Data'!W1344</f>
        <v/>
      </c>
      <c r="B1351" s="112" t="str">
        <f>'Sampling Data'!A1344</f>
        <v>LAKEWOOD -04-I - ABS</v>
      </c>
      <c r="C1351" s="112">
        <f>'Sampling Data'!B1344</f>
        <v>5</v>
      </c>
      <c r="D1351" s="112">
        <f>'Sampling Data'!C1344</f>
        <v>7</v>
      </c>
      <c r="E1351" s="113">
        <f>'Sampling Data'!D1344</f>
        <v>3</v>
      </c>
      <c r="F1351" s="113">
        <f>'Sampling Data'!E1344</f>
        <v>1</v>
      </c>
      <c r="G1351" s="113">
        <f>'Sampling Data'!F1344</f>
        <v>0</v>
      </c>
      <c r="H1351" s="113">
        <f>'Sampling Data'!G1344</f>
        <v>1</v>
      </c>
      <c r="I1351" s="112">
        <f>'Sampling Data'!H1344</f>
        <v>0</v>
      </c>
      <c r="J1351" s="112">
        <f>'Sampling Data'!I1344</f>
        <v>0</v>
      </c>
      <c r="K1351" s="112">
        <f>'Sampling Data'!J1344</f>
        <v>17</v>
      </c>
      <c r="L1351" s="111">
        <f>'Sampling Data'!X1344</f>
        <v>0</v>
      </c>
      <c r="M1351" s="114"/>
      <c r="N1351" s="114"/>
      <c r="O1351" s="115"/>
      <c r="P1351" s="115"/>
      <c r="Q1351" s="116"/>
      <c r="R1351" s="116"/>
      <c r="S1351" s="111">
        <f>Audit[[#This Row],[Audit Losing Candidate]]-Audit[[#This Row],[Losing Candidate]]</f>
        <v>-5</v>
      </c>
      <c r="T1351" s="111">
        <f>Audit[[#This Row],[Audit Winning Candidate]]-Audit[[#This Row],[Winning Candidate]]</f>
        <v>-7</v>
      </c>
      <c r="U1351" s="111">
        <f>Audit[[#This Row],[Audit Candidate 3]]-Audit[[#This Row],[Candidate 3]]</f>
        <v>-3</v>
      </c>
      <c r="V1351" s="111">
        <f>Audit[[#This Row],[Audit Candidate 4]]-Audit[[#This Row],[Candidate 4]]</f>
        <v>-1</v>
      </c>
      <c r="W1351" s="111">
        <f>Audit[[#This Row],[Audit Candidate 5]]-Audit[[#This Row],[Candidate 5]]</f>
        <v>0</v>
      </c>
      <c r="X1351" s="111">
        <f>Audit[[#This Row],[Audit Candidate 6]]-Audit[[#This Row],[Candidate 6]]</f>
        <v>-1</v>
      </c>
      <c r="Y1351" s="111">
        <f>SUMIF(Audit[[#This Row],[Difference Loser]:[Difference Candidate 6]], "&gt;0")</f>
        <v>0</v>
      </c>
      <c r="Z1351" s="111">
        <f>SUM(Audit[[#This Row],[Difference Loser]:[Difference Candidate 6]])</f>
        <v>-17</v>
      </c>
      <c r="AA1351" s="111">
        <f>IF(Audit[[#This Row],[Times p Drawn - With Replacement]]&gt;0, IF(Audit[[#This Row],[Canceled Differences]]&lt;0, Audit[[#This Row],[Max Differences]]+ABS(Audit[[#This Row],[Canceled Differences]]), Audit[[#This Row],[Max Differences]]), 0)</f>
        <v>0</v>
      </c>
      <c r="AB1351" s="111">
        <f>'Sampling Data'!P1344</f>
        <v>1.1636452719255266E-3</v>
      </c>
      <c r="AC1351" s="111">
        <f>IF(
      SUM(Audit[[#This Row],[Audit Losing Candidate]:[Audit Candidate 6]])
      &lt;&gt;0,
      (Audit[[#This Row],[Winning Candidate]]-Audit[[#This Row],[Losing Candidate]]-(Audit[[#This Row],[Audit Winning Candidate]]-Audit[[#This Row],[Audit Losing Candidate]]))/(Audit[[#Totals],[Winning Candidate]]-Audit[[#Totals],[Losing Candidate]]),
      0
)</f>
        <v>0</v>
      </c>
      <c r="AD13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1" s="111">
        <f>IF(Audit[[#This Row],[Max Relative Error (ep)]] = 0, 0, Audit[[#This Row],[Max Relative Error (ep)]]/Audit[[#This Row],[Error Bound (up) - Max. possible relative overstatement]])</f>
        <v>0</v>
      </c>
      <c r="AJ13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51" s="111">
        <f t="shared" si="21"/>
        <v>1</v>
      </c>
      <c r="AL1351" s="111">
        <f>PRODUCT($AK$5:AK1351)</f>
        <v>8.962823818226312E-2</v>
      </c>
      <c r="AM1351" s="109">
        <f>1 - [K-M P Value]</f>
        <v>0.91037176181773694</v>
      </c>
      <c r="AN1351" s="111" t="str">
        <f>IF(Audit[[#This Row],[K-M P Value]]&gt;1-'General Info'!$B$16,"Continue", "Stop")</f>
        <v>Stop</v>
      </c>
      <c r="AO1351" s="110" t="b">
        <f>IF(Audit[[#This Row],[Status - Continue or stop audit]] = "Continue", TRUE, IF(AN1350 = "Continue", TRUE, FALSE))</f>
        <v>0</v>
      </c>
      <c r="AP1351" s="110"/>
    </row>
    <row r="1352" spans="1:42" ht="15" hidden="1" customHeight="1">
      <c r="A1352" s="111" t="str">
        <f>'Sampling Data'!W1345</f>
        <v/>
      </c>
      <c r="B1352" s="112" t="str">
        <f>'Sampling Data'!A1345</f>
        <v>LAKEWOOD -04-J</v>
      </c>
      <c r="C1352" s="112">
        <f>'Sampling Data'!B1345</f>
        <v>19</v>
      </c>
      <c r="D1352" s="112">
        <f>'Sampling Data'!C1345</f>
        <v>28</v>
      </c>
      <c r="E1352" s="113">
        <f>'Sampling Data'!D1345</f>
        <v>8</v>
      </c>
      <c r="F1352" s="113">
        <f>'Sampling Data'!E1345</f>
        <v>2</v>
      </c>
      <c r="G1352" s="113">
        <f>'Sampling Data'!F1345</f>
        <v>0</v>
      </c>
      <c r="H1352" s="113">
        <f>'Sampling Data'!G1345</f>
        <v>0</v>
      </c>
      <c r="I1352" s="112">
        <f>'Sampling Data'!H1345</f>
        <v>0</v>
      </c>
      <c r="J1352" s="112">
        <f>'Sampling Data'!I1345</f>
        <v>0</v>
      </c>
      <c r="K1352" s="112">
        <f>'Sampling Data'!J1345</f>
        <v>57</v>
      </c>
      <c r="L1352" s="111">
        <f>'Sampling Data'!X1345</f>
        <v>0</v>
      </c>
      <c r="M1352" s="114"/>
      <c r="N1352" s="114"/>
      <c r="O1352" s="115"/>
      <c r="P1352" s="115"/>
      <c r="Q1352" s="116"/>
      <c r="R1352" s="116"/>
      <c r="S1352" s="111">
        <f>Audit[[#This Row],[Audit Losing Candidate]]-Audit[[#This Row],[Losing Candidate]]</f>
        <v>-19</v>
      </c>
      <c r="T1352" s="111">
        <f>Audit[[#This Row],[Audit Winning Candidate]]-Audit[[#This Row],[Winning Candidate]]</f>
        <v>-28</v>
      </c>
      <c r="U1352" s="111">
        <f>Audit[[#This Row],[Audit Candidate 3]]-Audit[[#This Row],[Candidate 3]]</f>
        <v>-8</v>
      </c>
      <c r="V1352" s="111">
        <f>Audit[[#This Row],[Audit Candidate 4]]-Audit[[#This Row],[Candidate 4]]</f>
        <v>-2</v>
      </c>
      <c r="W1352" s="111">
        <f>Audit[[#This Row],[Audit Candidate 5]]-Audit[[#This Row],[Candidate 5]]</f>
        <v>0</v>
      </c>
      <c r="X1352" s="111">
        <f>Audit[[#This Row],[Audit Candidate 6]]-Audit[[#This Row],[Candidate 6]]</f>
        <v>0</v>
      </c>
      <c r="Y1352" s="111">
        <f>SUMIF(Audit[[#This Row],[Difference Loser]:[Difference Candidate 6]], "&gt;0")</f>
        <v>0</v>
      </c>
      <c r="Z1352" s="111">
        <f>SUM(Audit[[#This Row],[Difference Loser]:[Difference Candidate 6]])</f>
        <v>-57</v>
      </c>
      <c r="AA1352" s="111">
        <f>IF(Audit[[#This Row],[Times p Drawn - With Replacement]]&gt;0, IF(Audit[[#This Row],[Canceled Differences]]&lt;0, Audit[[#This Row],[Max Differences]]+ABS(Audit[[#This Row],[Canceled Differences]]), Audit[[#This Row],[Max Differences]]), 0)</f>
        <v>0</v>
      </c>
      <c r="AB1352" s="111">
        <f>'Sampling Data'!P1345</f>
        <v>4.0421362077413033E-3</v>
      </c>
      <c r="AC1352" s="111">
        <f>IF(
      SUM(Audit[[#This Row],[Audit Losing Candidate]:[Audit Candidate 6]])
      &lt;&gt;0,
      (Audit[[#This Row],[Winning Candidate]]-Audit[[#This Row],[Losing Candidate]]-(Audit[[#This Row],[Audit Winning Candidate]]-Audit[[#This Row],[Audit Losing Candidate]]))/(Audit[[#Totals],[Winning Candidate]]-Audit[[#Totals],[Losing Candidate]]),
      0
)</f>
        <v>0</v>
      </c>
      <c r="AD13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2" s="111">
        <f>IF(Audit[[#This Row],[Max Relative Error (ep)]] = 0, 0, Audit[[#This Row],[Max Relative Error (ep)]]/Audit[[#This Row],[Error Bound (up) - Max. possible relative overstatement]])</f>
        <v>0</v>
      </c>
      <c r="AJ13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52" s="111">
        <f t="shared" si="21"/>
        <v>1</v>
      </c>
      <c r="AL1352" s="111">
        <f>PRODUCT($AK$5:AK1352)</f>
        <v>8.962823818226312E-2</v>
      </c>
      <c r="AM1352" s="109">
        <f>1 - [K-M P Value]</f>
        <v>0.91037176181773694</v>
      </c>
      <c r="AN1352" s="111" t="str">
        <f>IF(Audit[[#This Row],[K-M P Value]]&gt;1-'General Info'!$B$16,"Continue", "Stop")</f>
        <v>Stop</v>
      </c>
      <c r="AO1352" s="110" t="b">
        <f>IF(Audit[[#This Row],[Status - Continue or stop audit]] = "Continue", TRUE, IF(AN1351 = "Continue", TRUE, FALSE))</f>
        <v>0</v>
      </c>
      <c r="AP1352" s="110"/>
    </row>
    <row r="1353" spans="1:42" ht="15" hidden="1" customHeight="1">
      <c r="A1353" s="111" t="str">
        <f>'Sampling Data'!W1346</f>
        <v/>
      </c>
      <c r="B1353" s="112" t="str">
        <f>'Sampling Data'!A1346</f>
        <v>LAKEWOOD -04-J - ABS</v>
      </c>
      <c r="C1353" s="112">
        <f>'Sampling Data'!B1346</f>
        <v>6</v>
      </c>
      <c r="D1353" s="112">
        <f>'Sampling Data'!C1346</f>
        <v>13</v>
      </c>
      <c r="E1353" s="113">
        <f>'Sampling Data'!D1346</f>
        <v>1</v>
      </c>
      <c r="F1353" s="113">
        <f>'Sampling Data'!E1346</f>
        <v>3</v>
      </c>
      <c r="G1353" s="113">
        <f>'Sampling Data'!F1346</f>
        <v>0</v>
      </c>
      <c r="H1353" s="113">
        <f>'Sampling Data'!G1346</f>
        <v>0</v>
      </c>
      <c r="I1353" s="112">
        <f>'Sampling Data'!H1346</f>
        <v>0</v>
      </c>
      <c r="J1353" s="112">
        <f>'Sampling Data'!I1346</f>
        <v>0</v>
      </c>
      <c r="K1353" s="112">
        <f>'Sampling Data'!J1346</f>
        <v>23</v>
      </c>
      <c r="L1353" s="111">
        <f>'Sampling Data'!X1346</f>
        <v>0</v>
      </c>
      <c r="M1353" s="114"/>
      <c r="N1353" s="114"/>
      <c r="O1353" s="115"/>
      <c r="P1353" s="115"/>
      <c r="Q1353" s="116"/>
      <c r="R1353" s="116"/>
      <c r="S1353" s="111">
        <f>Audit[[#This Row],[Audit Losing Candidate]]-Audit[[#This Row],[Losing Candidate]]</f>
        <v>-6</v>
      </c>
      <c r="T1353" s="111">
        <f>Audit[[#This Row],[Audit Winning Candidate]]-Audit[[#This Row],[Winning Candidate]]</f>
        <v>-13</v>
      </c>
      <c r="U1353" s="111">
        <f>Audit[[#This Row],[Audit Candidate 3]]-Audit[[#This Row],[Candidate 3]]</f>
        <v>-1</v>
      </c>
      <c r="V1353" s="111">
        <f>Audit[[#This Row],[Audit Candidate 4]]-Audit[[#This Row],[Candidate 4]]</f>
        <v>-3</v>
      </c>
      <c r="W1353" s="111">
        <f>Audit[[#This Row],[Audit Candidate 5]]-Audit[[#This Row],[Candidate 5]]</f>
        <v>0</v>
      </c>
      <c r="X1353" s="111">
        <f>Audit[[#This Row],[Audit Candidate 6]]-Audit[[#This Row],[Candidate 6]]</f>
        <v>0</v>
      </c>
      <c r="Y1353" s="111">
        <f>SUMIF(Audit[[#This Row],[Difference Loser]:[Difference Candidate 6]], "&gt;0")</f>
        <v>0</v>
      </c>
      <c r="Z1353" s="111">
        <f>SUM(Audit[[#This Row],[Difference Loser]:[Difference Candidate 6]])</f>
        <v>-23</v>
      </c>
      <c r="AA1353" s="111">
        <f>IF(Audit[[#This Row],[Times p Drawn - With Replacement]]&gt;0, IF(Audit[[#This Row],[Canceled Differences]]&lt;0, Audit[[#This Row],[Max Differences]]+ABS(Audit[[#This Row],[Canceled Differences]]), Audit[[#This Row],[Max Differences]]), 0)</f>
        <v>0</v>
      </c>
      <c r="AB1353" s="111">
        <f>'Sampling Data'!P1346</f>
        <v>1.8373346398824107E-3</v>
      </c>
      <c r="AC1353" s="111">
        <f>IF(
      SUM(Audit[[#This Row],[Audit Losing Candidate]:[Audit Candidate 6]])
      &lt;&gt;0,
      (Audit[[#This Row],[Winning Candidate]]-Audit[[#This Row],[Losing Candidate]]-(Audit[[#This Row],[Audit Winning Candidate]]-Audit[[#This Row],[Audit Losing Candidate]]))/(Audit[[#Totals],[Winning Candidate]]-Audit[[#Totals],[Losing Candidate]]),
      0
)</f>
        <v>0</v>
      </c>
      <c r="AD13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3" s="111">
        <f>IF(Audit[[#This Row],[Max Relative Error (ep)]] = 0, 0, Audit[[#This Row],[Max Relative Error (ep)]]/Audit[[#This Row],[Error Bound (up) - Max. possible relative overstatement]])</f>
        <v>0</v>
      </c>
      <c r="AJ13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53" s="111">
        <f t="shared" si="21"/>
        <v>1</v>
      </c>
      <c r="AL1353" s="111">
        <f>PRODUCT($AK$5:AK1353)</f>
        <v>8.962823818226312E-2</v>
      </c>
      <c r="AM1353" s="109">
        <f>1 - [K-M P Value]</f>
        <v>0.91037176181773694</v>
      </c>
      <c r="AN1353" s="111" t="str">
        <f>IF(Audit[[#This Row],[K-M P Value]]&gt;1-'General Info'!$B$16,"Continue", "Stop")</f>
        <v>Stop</v>
      </c>
      <c r="AO1353" s="110" t="b">
        <f>IF(Audit[[#This Row],[Status - Continue or stop audit]] = "Continue", TRUE, IF(AN1352 = "Continue", TRUE, FALSE))</f>
        <v>0</v>
      </c>
      <c r="AP1353" s="110"/>
    </row>
    <row r="1354" spans="1:42" ht="15" hidden="1" customHeight="1">
      <c r="A1354" s="111" t="str">
        <f>'Sampling Data'!W1347</f>
        <v/>
      </c>
      <c r="B1354" s="112" t="str">
        <f>'Sampling Data'!A1347</f>
        <v>LAKEWOOD -04-K</v>
      </c>
      <c r="C1354" s="112">
        <f>'Sampling Data'!B1347</f>
        <v>3</v>
      </c>
      <c r="D1354" s="112">
        <f>'Sampling Data'!C1347</f>
        <v>5</v>
      </c>
      <c r="E1354" s="113">
        <f>'Sampling Data'!D1347</f>
        <v>4</v>
      </c>
      <c r="F1354" s="113">
        <f>'Sampling Data'!E1347</f>
        <v>2</v>
      </c>
      <c r="G1354" s="113">
        <f>'Sampling Data'!F1347</f>
        <v>0</v>
      </c>
      <c r="H1354" s="113">
        <f>'Sampling Data'!G1347</f>
        <v>0</v>
      </c>
      <c r="I1354" s="112">
        <f>'Sampling Data'!H1347</f>
        <v>0</v>
      </c>
      <c r="J1354" s="112">
        <f>'Sampling Data'!I1347</f>
        <v>0</v>
      </c>
      <c r="K1354" s="112">
        <f>'Sampling Data'!J1347</f>
        <v>14</v>
      </c>
      <c r="L1354" s="111">
        <f>'Sampling Data'!X1347</f>
        <v>0</v>
      </c>
      <c r="M1354" s="114"/>
      <c r="N1354" s="114"/>
      <c r="O1354" s="115"/>
      <c r="P1354" s="115"/>
      <c r="Q1354" s="116"/>
      <c r="R1354" s="116"/>
      <c r="S1354" s="111">
        <f>Audit[[#This Row],[Audit Losing Candidate]]-Audit[[#This Row],[Losing Candidate]]</f>
        <v>-3</v>
      </c>
      <c r="T1354" s="111">
        <f>Audit[[#This Row],[Audit Winning Candidate]]-Audit[[#This Row],[Winning Candidate]]</f>
        <v>-5</v>
      </c>
      <c r="U1354" s="111">
        <f>Audit[[#This Row],[Audit Candidate 3]]-Audit[[#This Row],[Candidate 3]]</f>
        <v>-4</v>
      </c>
      <c r="V1354" s="111">
        <f>Audit[[#This Row],[Audit Candidate 4]]-Audit[[#This Row],[Candidate 4]]</f>
        <v>-2</v>
      </c>
      <c r="W1354" s="111">
        <f>Audit[[#This Row],[Audit Candidate 5]]-Audit[[#This Row],[Candidate 5]]</f>
        <v>0</v>
      </c>
      <c r="X1354" s="111">
        <f>Audit[[#This Row],[Audit Candidate 6]]-Audit[[#This Row],[Candidate 6]]</f>
        <v>0</v>
      </c>
      <c r="Y1354" s="111">
        <f>SUMIF(Audit[[#This Row],[Difference Loser]:[Difference Candidate 6]], "&gt;0")</f>
        <v>0</v>
      </c>
      <c r="Z1354" s="111">
        <f>SUM(Audit[[#This Row],[Difference Loser]:[Difference Candidate 6]])</f>
        <v>-14</v>
      </c>
      <c r="AA1354" s="111">
        <f>IF(Audit[[#This Row],[Times p Drawn - With Replacement]]&gt;0, IF(Audit[[#This Row],[Canceled Differences]]&lt;0, Audit[[#This Row],[Max Differences]]+ABS(Audit[[#This Row],[Canceled Differences]]), Audit[[#This Row],[Max Differences]]), 0)</f>
        <v>0</v>
      </c>
      <c r="AB1354" s="111">
        <f>'Sampling Data'!P1347</f>
        <v>9.7991180793728563E-4</v>
      </c>
      <c r="AC1354" s="111">
        <f>IF(
      SUM(Audit[[#This Row],[Audit Losing Candidate]:[Audit Candidate 6]])
      &lt;&gt;0,
      (Audit[[#This Row],[Winning Candidate]]-Audit[[#This Row],[Losing Candidate]]-(Audit[[#This Row],[Audit Winning Candidate]]-Audit[[#This Row],[Audit Losing Candidate]]))/(Audit[[#Totals],[Winning Candidate]]-Audit[[#Totals],[Losing Candidate]]),
      0
)</f>
        <v>0</v>
      </c>
      <c r="AD13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4" s="111">
        <f>IF(Audit[[#This Row],[Max Relative Error (ep)]] = 0, 0, Audit[[#This Row],[Max Relative Error (ep)]]/Audit[[#This Row],[Error Bound (up) - Max. possible relative overstatement]])</f>
        <v>0</v>
      </c>
      <c r="AJ13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54" s="111">
        <f t="shared" si="21"/>
        <v>1</v>
      </c>
      <c r="AL1354" s="111">
        <f>PRODUCT($AK$5:AK1354)</f>
        <v>8.962823818226312E-2</v>
      </c>
      <c r="AM1354" s="109">
        <f>1 - [K-M P Value]</f>
        <v>0.91037176181773694</v>
      </c>
      <c r="AN1354" s="111" t="str">
        <f>IF(Audit[[#This Row],[K-M P Value]]&gt;1-'General Info'!$B$16,"Continue", "Stop")</f>
        <v>Stop</v>
      </c>
      <c r="AO1354" s="110" t="b">
        <f>IF(Audit[[#This Row],[Status - Continue or stop audit]] = "Continue", TRUE, IF(AN1353 = "Continue", TRUE, FALSE))</f>
        <v>0</v>
      </c>
      <c r="AP1354" s="110"/>
    </row>
    <row r="1355" spans="1:42" ht="15" hidden="1" customHeight="1">
      <c r="A1355" s="111" t="str">
        <f>'Sampling Data'!W1348</f>
        <v/>
      </c>
      <c r="B1355" s="112" t="str">
        <f>'Sampling Data'!A1348</f>
        <v>LAKEWOOD -04-K - ABS</v>
      </c>
      <c r="C1355" s="112">
        <f>'Sampling Data'!B1348</f>
        <v>2</v>
      </c>
      <c r="D1355" s="112">
        <f>'Sampling Data'!C1348</f>
        <v>6</v>
      </c>
      <c r="E1355" s="113">
        <f>'Sampling Data'!D1348</f>
        <v>1</v>
      </c>
      <c r="F1355" s="113">
        <f>'Sampling Data'!E1348</f>
        <v>2</v>
      </c>
      <c r="G1355" s="113">
        <f>'Sampling Data'!F1348</f>
        <v>0</v>
      </c>
      <c r="H1355" s="113">
        <f>'Sampling Data'!G1348</f>
        <v>0</v>
      </c>
      <c r="I1355" s="112">
        <f>'Sampling Data'!H1348</f>
        <v>0</v>
      </c>
      <c r="J1355" s="112">
        <f>'Sampling Data'!I1348</f>
        <v>0</v>
      </c>
      <c r="K1355" s="112">
        <f>'Sampling Data'!J1348</f>
        <v>11</v>
      </c>
      <c r="L1355" s="111">
        <f>'Sampling Data'!X1348</f>
        <v>0</v>
      </c>
      <c r="M1355" s="114"/>
      <c r="N1355" s="114"/>
      <c r="O1355" s="115"/>
      <c r="P1355" s="115"/>
      <c r="Q1355" s="116"/>
      <c r="R1355" s="116"/>
      <c r="S1355" s="111">
        <f>Audit[[#This Row],[Audit Losing Candidate]]-Audit[[#This Row],[Losing Candidate]]</f>
        <v>-2</v>
      </c>
      <c r="T1355" s="111">
        <f>Audit[[#This Row],[Audit Winning Candidate]]-Audit[[#This Row],[Winning Candidate]]</f>
        <v>-6</v>
      </c>
      <c r="U1355" s="111">
        <f>Audit[[#This Row],[Audit Candidate 3]]-Audit[[#This Row],[Candidate 3]]</f>
        <v>-1</v>
      </c>
      <c r="V1355" s="111">
        <f>Audit[[#This Row],[Audit Candidate 4]]-Audit[[#This Row],[Candidate 4]]</f>
        <v>-2</v>
      </c>
      <c r="W1355" s="111">
        <f>Audit[[#This Row],[Audit Candidate 5]]-Audit[[#This Row],[Candidate 5]]</f>
        <v>0</v>
      </c>
      <c r="X1355" s="111">
        <f>Audit[[#This Row],[Audit Candidate 6]]-Audit[[#This Row],[Candidate 6]]</f>
        <v>0</v>
      </c>
      <c r="Y1355" s="111">
        <f>SUMIF(Audit[[#This Row],[Difference Loser]:[Difference Candidate 6]], "&gt;0")</f>
        <v>0</v>
      </c>
      <c r="Z1355" s="111">
        <f>SUM(Audit[[#This Row],[Difference Loser]:[Difference Candidate 6]])</f>
        <v>-11</v>
      </c>
      <c r="AA1355" s="111">
        <f>IF(Audit[[#This Row],[Times p Drawn - With Replacement]]&gt;0, IF(Audit[[#This Row],[Canceled Differences]]&lt;0, Audit[[#This Row],[Max Differences]]+ABS(Audit[[#This Row],[Canceled Differences]]), Audit[[#This Row],[Max Differences]]), 0)</f>
        <v>0</v>
      </c>
      <c r="AB1355" s="111">
        <f>'Sampling Data'!P1348</f>
        <v>9.1866731994120533E-4</v>
      </c>
      <c r="AC1355" s="111">
        <f>IF(
      SUM(Audit[[#This Row],[Audit Losing Candidate]:[Audit Candidate 6]])
      &lt;&gt;0,
      (Audit[[#This Row],[Winning Candidate]]-Audit[[#This Row],[Losing Candidate]]-(Audit[[#This Row],[Audit Winning Candidate]]-Audit[[#This Row],[Audit Losing Candidate]]))/(Audit[[#Totals],[Winning Candidate]]-Audit[[#Totals],[Losing Candidate]]),
      0
)</f>
        <v>0</v>
      </c>
      <c r="AD13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5" s="111">
        <f>IF(Audit[[#This Row],[Max Relative Error (ep)]] = 0, 0, Audit[[#This Row],[Max Relative Error (ep)]]/Audit[[#This Row],[Error Bound (up) - Max. possible relative overstatement]])</f>
        <v>0</v>
      </c>
      <c r="AJ13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55" s="111">
        <f t="shared" si="21"/>
        <v>1</v>
      </c>
      <c r="AL1355" s="111">
        <f>PRODUCT($AK$5:AK1355)</f>
        <v>8.962823818226312E-2</v>
      </c>
      <c r="AM1355" s="109">
        <f>1 - [K-M P Value]</f>
        <v>0.91037176181773694</v>
      </c>
      <c r="AN1355" s="111" t="str">
        <f>IF(Audit[[#This Row],[K-M P Value]]&gt;1-'General Info'!$B$16,"Continue", "Stop")</f>
        <v>Stop</v>
      </c>
      <c r="AO1355" s="110" t="b">
        <f>IF(Audit[[#This Row],[Status - Continue or stop audit]] = "Continue", TRUE, IF(AN1354 = "Continue", TRUE, FALSE))</f>
        <v>0</v>
      </c>
      <c r="AP1355" s="110"/>
    </row>
    <row r="1356" spans="1:42" ht="15" hidden="1" customHeight="1">
      <c r="A1356" s="111" t="str">
        <f>'Sampling Data'!W1349</f>
        <v/>
      </c>
      <c r="B1356" s="112" t="str">
        <f>'Sampling Data'!A1349</f>
        <v>LINNDALE -00-A</v>
      </c>
      <c r="C1356" s="112">
        <f>'Sampling Data'!B1349</f>
        <v>0</v>
      </c>
      <c r="D1356" s="112">
        <f>'Sampling Data'!C1349</f>
        <v>0</v>
      </c>
      <c r="E1356" s="113">
        <f>'Sampling Data'!D1349</f>
        <v>0</v>
      </c>
      <c r="F1356" s="113">
        <f>'Sampling Data'!E1349</f>
        <v>0</v>
      </c>
      <c r="G1356" s="113">
        <f>'Sampling Data'!F1349</f>
        <v>0</v>
      </c>
      <c r="H1356" s="113">
        <f>'Sampling Data'!G1349</f>
        <v>0</v>
      </c>
      <c r="I1356" s="112">
        <f>'Sampling Data'!H1349</f>
        <v>0</v>
      </c>
      <c r="J1356" s="112">
        <f>'Sampling Data'!I1349</f>
        <v>1</v>
      </c>
      <c r="K1356" s="112">
        <f>'Sampling Data'!J1349</f>
        <v>1</v>
      </c>
      <c r="L1356" s="111">
        <f>'Sampling Data'!X1349</f>
        <v>0</v>
      </c>
      <c r="M1356" s="114"/>
      <c r="N1356" s="114"/>
      <c r="O1356" s="115"/>
      <c r="P1356" s="115"/>
      <c r="Q1356" s="116"/>
      <c r="R1356" s="116"/>
      <c r="S1356" s="111">
        <f>Audit[[#This Row],[Audit Losing Candidate]]-Audit[[#This Row],[Losing Candidate]]</f>
        <v>0</v>
      </c>
      <c r="T1356" s="111">
        <f>Audit[[#This Row],[Audit Winning Candidate]]-Audit[[#This Row],[Winning Candidate]]</f>
        <v>0</v>
      </c>
      <c r="U1356" s="111">
        <f>Audit[[#This Row],[Audit Candidate 3]]-Audit[[#This Row],[Candidate 3]]</f>
        <v>0</v>
      </c>
      <c r="V1356" s="111">
        <f>Audit[[#This Row],[Audit Candidate 4]]-Audit[[#This Row],[Candidate 4]]</f>
        <v>0</v>
      </c>
      <c r="W1356" s="111">
        <f>Audit[[#This Row],[Audit Candidate 5]]-Audit[[#This Row],[Candidate 5]]</f>
        <v>0</v>
      </c>
      <c r="X1356" s="111">
        <f>Audit[[#This Row],[Audit Candidate 6]]-Audit[[#This Row],[Candidate 6]]</f>
        <v>0</v>
      </c>
      <c r="Y1356" s="111">
        <f>SUMIF(Audit[[#This Row],[Difference Loser]:[Difference Candidate 6]], "&gt;0")</f>
        <v>0</v>
      </c>
      <c r="Z1356" s="111">
        <f>SUM(Audit[[#This Row],[Difference Loser]:[Difference Candidate 6]])</f>
        <v>0</v>
      </c>
      <c r="AA1356" s="111">
        <f>IF(Audit[[#This Row],[Times p Drawn - With Replacement]]&gt;0, IF(Audit[[#This Row],[Canceled Differences]]&lt;0, Audit[[#This Row],[Max Differences]]+ABS(Audit[[#This Row],[Canceled Differences]]), Audit[[#This Row],[Max Differences]]), 0)</f>
        <v>0</v>
      </c>
      <c r="AB1356" s="111">
        <f>'Sampling Data'!P1349</f>
        <v>6.1244487996080352E-5</v>
      </c>
      <c r="AC1356" s="111">
        <f>IF(
      SUM(Audit[[#This Row],[Audit Losing Candidate]:[Audit Candidate 6]])
      &lt;&gt;0,
      (Audit[[#This Row],[Winning Candidate]]-Audit[[#This Row],[Losing Candidate]]-(Audit[[#This Row],[Audit Winning Candidate]]-Audit[[#This Row],[Audit Losing Candidate]]))/(Audit[[#Totals],[Winning Candidate]]-Audit[[#Totals],[Losing Candidate]]),
      0
)</f>
        <v>0</v>
      </c>
      <c r="AD13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6" s="111">
        <f>IF(Audit[[#This Row],[Max Relative Error (ep)]] = 0, 0, Audit[[#This Row],[Max Relative Error (ep)]]/Audit[[#This Row],[Error Bound (up) - Max. possible relative overstatement]])</f>
        <v>0</v>
      </c>
      <c r="AJ13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56" s="111">
        <f t="shared" si="21"/>
        <v>1</v>
      </c>
      <c r="AL1356" s="111">
        <f>PRODUCT($AK$5:AK1356)</f>
        <v>8.962823818226312E-2</v>
      </c>
      <c r="AM1356" s="109">
        <f>1 - [K-M P Value]</f>
        <v>0.91037176181773694</v>
      </c>
      <c r="AN1356" s="111" t="str">
        <f>IF(Audit[[#This Row],[K-M P Value]]&gt;1-'General Info'!$B$16,"Continue", "Stop")</f>
        <v>Stop</v>
      </c>
      <c r="AO1356" s="110" t="b">
        <f>IF(Audit[[#This Row],[Status - Continue or stop audit]] = "Continue", TRUE, IF(AN1355 = "Continue", TRUE, FALSE))</f>
        <v>0</v>
      </c>
      <c r="AP1356" s="110"/>
    </row>
    <row r="1357" spans="1:42" ht="15" hidden="1" customHeight="1">
      <c r="A1357" s="111" t="str">
        <f>'Sampling Data'!W1350</f>
        <v/>
      </c>
      <c r="B1357" s="112" t="str">
        <f>'Sampling Data'!A1350</f>
        <v>LINNDALE -00-A - ABS</v>
      </c>
      <c r="C1357" s="112">
        <f>'Sampling Data'!B1350</f>
        <v>0</v>
      </c>
      <c r="D1357" s="112">
        <f>'Sampling Data'!C1350</f>
        <v>0</v>
      </c>
      <c r="E1357" s="113">
        <f>'Sampling Data'!D1350</f>
        <v>0</v>
      </c>
      <c r="F1357" s="113">
        <f>'Sampling Data'!E1350</f>
        <v>0</v>
      </c>
      <c r="G1357" s="113">
        <f>'Sampling Data'!F1350</f>
        <v>0</v>
      </c>
      <c r="H1357" s="113">
        <f>'Sampling Data'!G1350</f>
        <v>0</v>
      </c>
      <c r="I1357" s="112">
        <f>'Sampling Data'!H1350</f>
        <v>0</v>
      </c>
      <c r="J1357" s="112">
        <f>'Sampling Data'!I1350</f>
        <v>0</v>
      </c>
      <c r="K1357" s="112">
        <f>'Sampling Data'!J1350</f>
        <v>0</v>
      </c>
      <c r="L1357" s="111">
        <f>'Sampling Data'!X1350</f>
        <v>0</v>
      </c>
      <c r="M1357" s="114"/>
      <c r="N1357" s="114"/>
      <c r="O1357" s="115"/>
      <c r="P1357" s="115"/>
      <c r="Q1357" s="116"/>
      <c r="R1357" s="116"/>
      <c r="S1357" s="111">
        <f>Audit[[#This Row],[Audit Losing Candidate]]-Audit[[#This Row],[Losing Candidate]]</f>
        <v>0</v>
      </c>
      <c r="T1357" s="111">
        <f>Audit[[#This Row],[Audit Winning Candidate]]-Audit[[#This Row],[Winning Candidate]]</f>
        <v>0</v>
      </c>
      <c r="U1357" s="111">
        <f>Audit[[#This Row],[Audit Candidate 3]]-Audit[[#This Row],[Candidate 3]]</f>
        <v>0</v>
      </c>
      <c r="V1357" s="111">
        <f>Audit[[#This Row],[Audit Candidate 4]]-Audit[[#This Row],[Candidate 4]]</f>
        <v>0</v>
      </c>
      <c r="W1357" s="111">
        <f>Audit[[#This Row],[Audit Candidate 5]]-Audit[[#This Row],[Candidate 5]]</f>
        <v>0</v>
      </c>
      <c r="X1357" s="111">
        <f>Audit[[#This Row],[Audit Candidate 6]]-Audit[[#This Row],[Candidate 6]]</f>
        <v>0</v>
      </c>
      <c r="Y1357" s="111">
        <f>SUMIF(Audit[[#This Row],[Difference Loser]:[Difference Candidate 6]], "&gt;0")</f>
        <v>0</v>
      </c>
      <c r="Z1357" s="111">
        <f>SUM(Audit[[#This Row],[Difference Loser]:[Difference Candidate 6]])</f>
        <v>0</v>
      </c>
      <c r="AA1357" s="111">
        <f>IF(Audit[[#This Row],[Times p Drawn - With Replacement]]&gt;0, IF(Audit[[#This Row],[Canceled Differences]]&lt;0, Audit[[#This Row],[Max Differences]]+ABS(Audit[[#This Row],[Canceled Differences]]), Audit[[#This Row],[Max Differences]]), 0)</f>
        <v>0</v>
      </c>
      <c r="AB1357" s="111">
        <f>'Sampling Data'!P1350</f>
        <v>0</v>
      </c>
      <c r="AC1357" s="111">
        <f>IF(
      SUM(Audit[[#This Row],[Audit Losing Candidate]:[Audit Candidate 6]])
      &lt;&gt;0,
      (Audit[[#This Row],[Winning Candidate]]-Audit[[#This Row],[Losing Candidate]]-(Audit[[#This Row],[Audit Winning Candidate]]-Audit[[#This Row],[Audit Losing Candidate]]))/(Audit[[#Totals],[Winning Candidate]]-Audit[[#Totals],[Losing Candidate]]),
      0
)</f>
        <v>0</v>
      </c>
      <c r="AD13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7" s="111">
        <f>IF(Audit[[#This Row],[Max Relative Error (ep)]] = 0, 0, Audit[[#This Row],[Max Relative Error (ep)]]/Audit[[#This Row],[Error Bound (up) - Max. possible relative overstatement]])</f>
        <v>0</v>
      </c>
      <c r="AJ13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57" s="111">
        <f t="shared" si="21"/>
        <v>1</v>
      </c>
      <c r="AL1357" s="111">
        <f>PRODUCT($AK$5:AK1357)</f>
        <v>8.962823818226312E-2</v>
      </c>
      <c r="AM1357" s="109">
        <f>1 - [K-M P Value]</f>
        <v>0.91037176181773694</v>
      </c>
      <c r="AN1357" s="111" t="str">
        <f>IF(Audit[[#This Row],[K-M P Value]]&gt;1-'General Info'!$B$16,"Continue", "Stop")</f>
        <v>Stop</v>
      </c>
      <c r="AO1357" s="110" t="b">
        <f>IF(Audit[[#This Row],[Status - Continue or stop audit]] = "Continue", TRUE, IF(AN1356 = "Continue", TRUE, FALSE))</f>
        <v>0</v>
      </c>
      <c r="AP1357" s="110"/>
    </row>
    <row r="1358" spans="1:42" ht="15" hidden="1" customHeight="1">
      <c r="A1358" s="111" t="str">
        <f>'Sampling Data'!W1351</f>
        <v/>
      </c>
      <c r="B1358" s="112" t="str">
        <f>'Sampling Data'!A1351</f>
        <v>LYNDHURST -01-A</v>
      </c>
      <c r="C1358" s="112">
        <f>'Sampling Data'!B1351</f>
        <v>29</v>
      </c>
      <c r="D1358" s="112">
        <f>'Sampling Data'!C1351</f>
        <v>27</v>
      </c>
      <c r="E1358" s="113">
        <f>'Sampling Data'!D1351</f>
        <v>6</v>
      </c>
      <c r="F1358" s="113">
        <f>'Sampling Data'!E1351</f>
        <v>5</v>
      </c>
      <c r="G1358" s="113">
        <f>'Sampling Data'!F1351</f>
        <v>2</v>
      </c>
      <c r="H1358" s="113">
        <f>'Sampling Data'!G1351</f>
        <v>1</v>
      </c>
      <c r="I1358" s="112">
        <f>'Sampling Data'!H1351</f>
        <v>0</v>
      </c>
      <c r="J1358" s="112">
        <f>'Sampling Data'!I1351</f>
        <v>1</v>
      </c>
      <c r="K1358" s="112">
        <f>'Sampling Data'!J1351</f>
        <v>71</v>
      </c>
      <c r="L1358" s="111">
        <f>'Sampling Data'!X1351</f>
        <v>0</v>
      </c>
      <c r="M1358" s="114"/>
      <c r="N1358" s="114"/>
      <c r="O1358" s="115"/>
      <c r="P1358" s="115"/>
      <c r="Q1358" s="116"/>
      <c r="R1358" s="116"/>
      <c r="S1358" s="111">
        <f>Audit[[#This Row],[Audit Losing Candidate]]-Audit[[#This Row],[Losing Candidate]]</f>
        <v>-29</v>
      </c>
      <c r="T1358" s="111">
        <f>Audit[[#This Row],[Audit Winning Candidate]]-Audit[[#This Row],[Winning Candidate]]</f>
        <v>-27</v>
      </c>
      <c r="U1358" s="111">
        <f>Audit[[#This Row],[Audit Candidate 3]]-Audit[[#This Row],[Candidate 3]]</f>
        <v>-6</v>
      </c>
      <c r="V1358" s="111">
        <f>Audit[[#This Row],[Audit Candidate 4]]-Audit[[#This Row],[Candidate 4]]</f>
        <v>-5</v>
      </c>
      <c r="W1358" s="111">
        <f>Audit[[#This Row],[Audit Candidate 5]]-Audit[[#This Row],[Candidate 5]]</f>
        <v>-2</v>
      </c>
      <c r="X1358" s="111">
        <f>Audit[[#This Row],[Audit Candidate 6]]-Audit[[#This Row],[Candidate 6]]</f>
        <v>-1</v>
      </c>
      <c r="Y1358" s="111">
        <f>SUMIF(Audit[[#This Row],[Difference Loser]:[Difference Candidate 6]], "&gt;0")</f>
        <v>0</v>
      </c>
      <c r="Z1358" s="111">
        <f>SUM(Audit[[#This Row],[Difference Loser]:[Difference Candidate 6]])</f>
        <v>-70</v>
      </c>
      <c r="AA1358" s="111">
        <f>IF(Audit[[#This Row],[Times p Drawn - With Replacement]]&gt;0, IF(Audit[[#This Row],[Canceled Differences]]&lt;0, Audit[[#This Row],[Max Differences]]+ABS(Audit[[#This Row],[Canceled Differences]]), Audit[[#This Row],[Max Differences]]), 0)</f>
        <v>0</v>
      </c>
      <c r="AB1358" s="111">
        <f>'Sampling Data'!P1351</f>
        <v>4.2258696717295445E-3</v>
      </c>
      <c r="AC1358" s="111">
        <f>IF(
      SUM(Audit[[#This Row],[Audit Losing Candidate]:[Audit Candidate 6]])
      &lt;&gt;0,
      (Audit[[#This Row],[Winning Candidate]]-Audit[[#This Row],[Losing Candidate]]-(Audit[[#This Row],[Audit Winning Candidate]]-Audit[[#This Row],[Audit Losing Candidate]]))/(Audit[[#Totals],[Winning Candidate]]-Audit[[#Totals],[Losing Candidate]]),
      0
)</f>
        <v>0</v>
      </c>
      <c r="AD13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8" s="111">
        <f>IF(Audit[[#This Row],[Max Relative Error (ep)]] = 0, 0, Audit[[#This Row],[Max Relative Error (ep)]]/Audit[[#This Row],[Error Bound (up) - Max. possible relative overstatement]])</f>
        <v>0</v>
      </c>
      <c r="AJ13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58" s="111">
        <f t="shared" si="21"/>
        <v>1</v>
      </c>
      <c r="AL1358" s="111">
        <f>PRODUCT($AK$5:AK1358)</f>
        <v>8.962823818226312E-2</v>
      </c>
      <c r="AM1358" s="109">
        <f>1 - [K-M P Value]</f>
        <v>0.91037176181773694</v>
      </c>
      <c r="AN1358" s="111" t="str">
        <f>IF(Audit[[#This Row],[K-M P Value]]&gt;1-'General Info'!$B$16,"Continue", "Stop")</f>
        <v>Stop</v>
      </c>
      <c r="AO1358" s="110" t="b">
        <f>IF(Audit[[#This Row],[Status - Continue or stop audit]] = "Continue", TRUE, IF(AN1357 = "Continue", TRUE, FALSE))</f>
        <v>0</v>
      </c>
      <c r="AP1358" s="110"/>
    </row>
    <row r="1359" spans="1:42" ht="15" hidden="1" customHeight="1">
      <c r="A1359" s="111" t="str">
        <f>'Sampling Data'!W1352</f>
        <v/>
      </c>
      <c r="B1359" s="112" t="str">
        <f>'Sampling Data'!A1352</f>
        <v>LYNDHURST -01-A - ABS</v>
      </c>
      <c r="C1359" s="112">
        <f>'Sampling Data'!B1352</f>
        <v>15</v>
      </c>
      <c r="D1359" s="112">
        <f>'Sampling Data'!C1352</f>
        <v>22</v>
      </c>
      <c r="E1359" s="113">
        <f>'Sampling Data'!D1352</f>
        <v>7</v>
      </c>
      <c r="F1359" s="113">
        <f>'Sampling Data'!E1352</f>
        <v>2</v>
      </c>
      <c r="G1359" s="113">
        <f>'Sampling Data'!F1352</f>
        <v>0</v>
      </c>
      <c r="H1359" s="113">
        <f>'Sampling Data'!G1352</f>
        <v>0</v>
      </c>
      <c r="I1359" s="112">
        <f>'Sampling Data'!H1352</f>
        <v>0</v>
      </c>
      <c r="J1359" s="112">
        <f>'Sampling Data'!I1352</f>
        <v>0</v>
      </c>
      <c r="K1359" s="112">
        <f>'Sampling Data'!J1352</f>
        <v>46</v>
      </c>
      <c r="L1359" s="111">
        <f>'Sampling Data'!X1352</f>
        <v>0</v>
      </c>
      <c r="M1359" s="114"/>
      <c r="N1359" s="114"/>
      <c r="O1359" s="115"/>
      <c r="P1359" s="115"/>
      <c r="Q1359" s="116"/>
      <c r="R1359" s="116"/>
      <c r="S1359" s="111">
        <f>Audit[[#This Row],[Audit Losing Candidate]]-Audit[[#This Row],[Losing Candidate]]</f>
        <v>-15</v>
      </c>
      <c r="T1359" s="111">
        <f>Audit[[#This Row],[Audit Winning Candidate]]-Audit[[#This Row],[Winning Candidate]]</f>
        <v>-22</v>
      </c>
      <c r="U1359" s="111">
        <f>Audit[[#This Row],[Audit Candidate 3]]-Audit[[#This Row],[Candidate 3]]</f>
        <v>-7</v>
      </c>
      <c r="V1359" s="111">
        <f>Audit[[#This Row],[Audit Candidate 4]]-Audit[[#This Row],[Candidate 4]]</f>
        <v>-2</v>
      </c>
      <c r="W1359" s="111">
        <f>Audit[[#This Row],[Audit Candidate 5]]-Audit[[#This Row],[Candidate 5]]</f>
        <v>0</v>
      </c>
      <c r="X1359" s="111">
        <f>Audit[[#This Row],[Audit Candidate 6]]-Audit[[#This Row],[Candidate 6]]</f>
        <v>0</v>
      </c>
      <c r="Y1359" s="111">
        <f>SUMIF(Audit[[#This Row],[Difference Loser]:[Difference Candidate 6]], "&gt;0")</f>
        <v>0</v>
      </c>
      <c r="Z1359" s="111">
        <f>SUM(Audit[[#This Row],[Difference Loser]:[Difference Candidate 6]])</f>
        <v>-46</v>
      </c>
      <c r="AA1359" s="111">
        <f>IF(Audit[[#This Row],[Times p Drawn - With Replacement]]&gt;0, IF(Audit[[#This Row],[Canceled Differences]]&lt;0, Audit[[#This Row],[Max Differences]]+ABS(Audit[[#This Row],[Canceled Differences]]), Audit[[#This Row],[Max Differences]]), 0)</f>
        <v>0</v>
      </c>
      <c r="AB1359" s="111">
        <f>'Sampling Data'!P1352</f>
        <v>3.2459578637922589E-3</v>
      </c>
      <c r="AC1359" s="111">
        <f>IF(
      SUM(Audit[[#This Row],[Audit Losing Candidate]:[Audit Candidate 6]])
      &lt;&gt;0,
      (Audit[[#This Row],[Winning Candidate]]-Audit[[#This Row],[Losing Candidate]]-(Audit[[#This Row],[Audit Winning Candidate]]-Audit[[#This Row],[Audit Losing Candidate]]))/(Audit[[#Totals],[Winning Candidate]]-Audit[[#Totals],[Losing Candidate]]),
      0
)</f>
        <v>0</v>
      </c>
      <c r="AD13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9" s="111">
        <f>IF(Audit[[#This Row],[Max Relative Error (ep)]] = 0, 0, Audit[[#This Row],[Max Relative Error (ep)]]/Audit[[#This Row],[Error Bound (up) - Max. possible relative overstatement]])</f>
        <v>0</v>
      </c>
      <c r="AJ13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59" s="111">
        <f t="shared" si="21"/>
        <v>1</v>
      </c>
      <c r="AL1359" s="111">
        <f>PRODUCT($AK$5:AK1359)</f>
        <v>8.962823818226312E-2</v>
      </c>
      <c r="AM1359" s="109">
        <f>1 - [K-M P Value]</f>
        <v>0.91037176181773694</v>
      </c>
      <c r="AN1359" s="111" t="str">
        <f>IF(Audit[[#This Row],[K-M P Value]]&gt;1-'General Info'!$B$16,"Continue", "Stop")</f>
        <v>Stop</v>
      </c>
      <c r="AO1359" s="110" t="b">
        <f>IF(Audit[[#This Row],[Status - Continue or stop audit]] = "Continue", TRUE, IF(AN1358 = "Continue", TRUE, FALSE))</f>
        <v>0</v>
      </c>
      <c r="AP1359" s="110"/>
    </row>
    <row r="1360" spans="1:42" ht="15" hidden="1" customHeight="1">
      <c r="A1360" s="111" t="str">
        <f>'Sampling Data'!W1353</f>
        <v/>
      </c>
      <c r="B1360" s="112" t="str">
        <f>'Sampling Data'!A1353</f>
        <v>LYNDHURST -01-B</v>
      </c>
      <c r="C1360" s="112">
        <f>'Sampling Data'!B1353</f>
        <v>24</v>
      </c>
      <c r="D1360" s="112">
        <f>'Sampling Data'!C1353</f>
        <v>32</v>
      </c>
      <c r="E1360" s="113">
        <f>'Sampling Data'!D1353</f>
        <v>8</v>
      </c>
      <c r="F1360" s="113">
        <f>'Sampling Data'!E1353</f>
        <v>12</v>
      </c>
      <c r="G1360" s="113">
        <f>'Sampling Data'!F1353</f>
        <v>0</v>
      </c>
      <c r="H1360" s="113">
        <f>'Sampling Data'!G1353</f>
        <v>0</v>
      </c>
      <c r="I1360" s="112">
        <f>'Sampling Data'!H1353</f>
        <v>0</v>
      </c>
      <c r="J1360" s="112">
        <f>'Sampling Data'!I1353</f>
        <v>0</v>
      </c>
      <c r="K1360" s="112">
        <f>'Sampling Data'!J1353</f>
        <v>76</v>
      </c>
      <c r="L1360" s="111">
        <f>'Sampling Data'!X1353</f>
        <v>0</v>
      </c>
      <c r="M1360" s="114"/>
      <c r="N1360" s="114"/>
      <c r="O1360" s="115"/>
      <c r="P1360" s="115"/>
      <c r="Q1360" s="116"/>
      <c r="R1360" s="116"/>
      <c r="S1360" s="111">
        <f>Audit[[#This Row],[Audit Losing Candidate]]-Audit[[#This Row],[Losing Candidate]]</f>
        <v>-24</v>
      </c>
      <c r="T1360" s="111">
        <f>Audit[[#This Row],[Audit Winning Candidate]]-Audit[[#This Row],[Winning Candidate]]</f>
        <v>-32</v>
      </c>
      <c r="U1360" s="111">
        <f>Audit[[#This Row],[Audit Candidate 3]]-Audit[[#This Row],[Candidate 3]]</f>
        <v>-8</v>
      </c>
      <c r="V1360" s="111">
        <f>Audit[[#This Row],[Audit Candidate 4]]-Audit[[#This Row],[Candidate 4]]</f>
        <v>-12</v>
      </c>
      <c r="W1360" s="111">
        <f>Audit[[#This Row],[Audit Candidate 5]]-Audit[[#This Row],[Candidate 5]]</f>
        <v>0</v>
      </c>
      <c r="X1360" s="111">
        <f>Audit[[#This Row],[Audit Candidate 6]]-Audit[[#This Row],[Candidate 6]]</f>
        <v>0</v>
      </c>
      <c r="Y1360" s="111">
        <f>SUMIF(Audit[[#This Row],[Difference Loser]:[Difference Candidate 6]], "&gt;0")</f>
        <v>0</v>
      </c>
      <c r="Z1360" s="111">
        <f>SUM(Audit[[#This Row],[Difference Loser]:[Difference Candidate 6]])</f>
        <v>-76</v>
      </c>
      <c r="AA1360" s="111">
        <f>IF(Audit[[#This Row],[Times p Drawn - With Replacement]]&gt;0, IF(Audit[[#This Row],[Canceled Differences]]&lt;0, Audit[[#This Row],[Max Differences]]+ABS(Audit[[#This Row],[Canceled Differences]]), Audit[[#This Row],[Max Differences]]), 0)</f>
        <v>0</v>
      </c>
      <c r="AB1360" s="111">
        <f>'Sampling Data'!P1353</f>
        <v>5.1445369916707498E-3</v>
      </c>
      <c r="AC1360" s="111">
        <f>IF(
      SUM(Audit[[#This Row],[Audit Losing Candidate]:[Audit Candidate 6]])
      &lt;&gt;0,
      (Audit[[#This Row],[Winning Candidate]]-Audit[[#This Row],[Losing Candidate]]-(Audit[[#This Row],[Audit Winning Candidate]]-Audit[[#This Row],[Audit Losing Candidate]]))/(Audit[[#Totals],[Winning Candidate]]-Audit[[#Totals],[Losing Candidate]]),
      0
)</f>
        <v>0</v>
      </c>
      <c r="AD13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0" s="111">
        <f>IF(Audit[[#This Row],[Max Relative Error (ep)]] = 0, 0, Audit[[#This Row],[Max Relative Error (ep)]]/Audit[[#This Row],[Error Bound (up) - Max. possible relative overstatement]])</f>
        <v>0</v>
      </c>
      <c r="AJ13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60" s="111">
        <f t="shared" si="21"/>
        <v>1</v>
      </c>
      <c r="AL1360" s="111">
        <f>PRODUCT($AK$5:AK1360)</f>
        <v>8.962823818226312E-2</v>
      </c>
      <c r="AM1360" s="109">
        <f>1 - [K-M P Value]</f>
        <v>0.91037176181773694</v>
      </c>
      <c r="AN1360" s="111" t="str">
        <f>IF(Audit[[#This Row],[K-M P Value]]&gt;1-'General Info'!$B$16,"Continue", "Stop")</f>
        <v>Stop</v>
      </c>
      <c r="AO1360" s="110" t="b">
        <f>IF(Audit[[#This Row],[Status - Continue or stop audit]] = "Continue", TRUE, IF(AN1359 = "Continue", TRUE, FALSE))</f>
        <v>0</v>
      </c>
      <c r="AP1360" s="110"/>
    </row>
    <row r="1361" spans="1:42" ht="15" hidden="1" customHeight="1">
      <c r="A1361" s="111" t="str">
        <f>'Sampling Data'!W1354</f>
        <v/>
      </c>
      <c r="B1361" s="112" t="str">
        <f>'Sampling Data'!A1354</f>
        <v>LYNDHURST -01-B - ABS</v>
      </c>
      <c r="C1361" s="112">
        <f>'Sampling Data'!B1354</f>
        <v>11</v>
      </c>
      <c r="D1361" s="112">
        <f>'Sampling Data'!C1354</f>
        <v>19</v>
      </c>
      <c r="E1361" s="113">
        <f>'Sampling Data'!D1354</f>
        <v>2</v>
      </c>
      <c r="F1361" s="113">
        <f>'Sampling Data'!E1354</f>
        <v>0</v>
      </c>
      <c r="G1361" s="113">
        <f>'Sampling Data'!F1354</f>
        <v>0</v>
      </c>
      <c r="H1361" s="113">
        <f>'Sampling Data'!G1354</f>
        <v>0</v>
      </c>
      <c r="I1361" s="112">
        <f>'Sampling Data'!H1354</f>
        <v>0</v>
      </c>
      <c r="J1361" s="112">
        <f>'Sampling Data'!I1354</f>
        <v>0</v>
      </c>
      <c r="K1361" s="112">
        <f>'Sampling Data'!J1354</f>
        <v>32</v>
      </c>
      <c r="L1361" s="111">
        <f>'Sampling Data'!X1354</f>
        <v>0</v>
      </c>
      <c r="M1361" s="114"/>
      <c r="N1361" s="114"/>
      <c r="O1361" s="115"/>
      <c r="P1361" s="115"/>
      <c r="Q1361" s="116"/>
      <c r="R1361" s="116"/>
      <c r="S1361" s="111">
        <f>Audit[[#This Row],[Audit Losing Candidate]]-Audit[[#This Row],[Losing Candidate]]</f>
        <v>-11</v>
      </c>
      <c r="T1361" s="111">
        <f>Audit[[#This Row],[Audit Winning Candidate]]-Audit[[#This Row],[Winning Candidate]]</f>
        <v>-19</v>
      </c>
      <c r="U1361" s="111">
        <f>Audit[[#This Row],[Audit Candidate 3]]-Audit[[#This Row],[Candidate 3]]</f>
        <v>-2</v>
      </c>
      <c r="V1361" s="111">
        <f>Audit[[#This Row],[Audit Candidate 4]]-Audit[[#This Row],[Candidate 4]]</f>
        <v>0</v>
      </c>
      <c r="W1361" s="111">
        <f>Audit[[#This Row],[Audit Candidate 5]]-Audit[[#This Row],[Candidate 5]]</f>
        <v>0</v>
      </c>
      <c r="X1361" s="111">
        <f>Audit[[#This Row],[Audit Candidate 6]]-Audit[[#This Row],[Candidate 6]]</f>
        <v>0</v>
      </c>
      <c r="Y1361" s="111">
        <f>SUMIF(Audit[[#This Row],[Difference Loser]:[Difference Candidate 6]], "&gt;0")</f>
        <v>0</v>
      </c>
      <c r="Z1361" s="111">
        <f>SUM(Audit[[#This Row],[Difference Loser]:[Difference Candidate 6]])</f>
        <v>-32</v>
      </c>
      <c r="AA1361" s="111">
        <f>IF(Audit[[#This Row],[Times p Drawn - With Replacement]]&gt;0, IF(Audit[[#This Row],[Canceled Differences]]&lt;0, Audit[[#This Row],[Max Differences]]+ABS(Audit[[#This Row],[Canceled Differences]]), Audit[[#This Row],[Max Differences]]), 0)</f>
        <v>0</v>
      </c>
      <c r="AB1361" s="111">
        <f>'Sampling Data'!P1354</f>
        <v>2.4497795198432141E-3</v>
      </c>
      <c r="AC1361" s="111">
        <f>IF(
      SUM(Audit[[#This Row],[Audit Losing Candidate]:[Audit Candidate 6]])
      &lt;&gt;0,
      (Audit[[#This Row],[Winning Candidate]]-Audit[[#This Row],[Losing Candidate]]-(Audit[[#This Row],[Audit Winning Candidate]]-Audit[[#This Row],[Audit Losing Candidate]]))/(Audit[[#Totals],[Winning Candidate]]-Audit[[#Totals],[Losing Candidate]]),
      0
)</f>
        <v>0</v>
      </c>
      <c r="AD13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1" s="111">
        <f>IF(Audit[[#This Row],[Max Relative Error (ep)]] = 0, 0, Audit[[#This Row],[Max Relative Error (ep)]]/Audit[[#This Row],[Error Bound (up) - Max. possible relative overstatement]])</f>
        <v>0</v>
      </c>
      <c r="AJ13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61" s="111">
        <f t="shared" si="21"/>
        <v>1</v>
      </c>
      <c r="AL1361" s="111">
        <f>PRODUCT($AK$5:AK1361)</f>
        <v>8.962823818226312E-2</v>
      </c>
      <c r="AM1361" s="109">
        <f>1 - [K-M P Value]</f>
        <v>0.91037176181773694</v>
      </c>
      <c r="AN1361" s="111" t="str">
        <f>IF(Audit[[#This Row],[K-M P Value]]&gt;1-'General Info'!$B$16,"Continue", "Stop")</f>
        <v>Stop</v>
      </c>
      <c r="AO1361" s="110" t="b">
        <f>IF(Audit[[#This Row],[Status - Continue or stop audit]] = "Continue", TRUE, IF(AN1360 = "Continue", TRUE, FALSE))</f>
        <v>0</v>
      </c>
      <c r="AP1361" s="110"/>
    </row>
    <row r="1362" spans="1:42" ht="15" hidden="1" customHeight="1">
      <c r="A1362" s="111" t="str">
        <f>'Sampling Data'!W1355</f>
        <v/>
      </c>
      <c r="B1362" s="112" t="str">
        <f>'Sampling Data'!A1355</f>
        <v>LYNDHURST -01-C</v>
      </c>
      <c r="C1362" s="112">
        <f>'Sampling Data'!B1355</f>
        <v>44</v>
      </c>
      <c r="D1362" s="112">
        <f>'Sampling Data'!C1355</f>
        <v>91</v>
      </c>
      <c r="E1362" s="113">
        <f>'Sampling Data'!D1355</f>
        <v>18</v>
      </c>
      <c r="F1362" s="113">
        <f>'Sampling Data'!E1355</f>
        <v>9</v>
      </c>
      <c r="G1362" s="113">
        <f>'Sampling Data'!F1355</f>
        <v>0</v>
      </c>
      <c r="H1362" s="113">
        <f>'Sampling Data'!G1355</f>
        <v>0</v>
      </c>
      <c r="I1362" s="112">
        <f>'Sampling Data'!H1355</f>
        <v>0</v>
      </c>
      <c r="J1362" s="112">
        <f>'Sampling Data'!I1355</f>
        <v>2</v>
      </c>
      <c r="K1362" s="112">
        <f>'Sampling Data'!J1355</f>
        <v>164</v>
      </c>
      <c r="L1362" s="111">
        <f>'Sampling Data'!X1355</f>
        <v>0</v>
      </c>
      <c r="M1362" s="114"/>
      <c r="N1362" s="114"/>
      <c r="O1362" s="115"/>
      <c r="P1362" s="115"/>
      <c r="Q1362" s="116"/>
      <c r="R1362" s="116"/>
      <c r="S1362" s="111">
        <f>Audit[[#This Row],[Audit Losing Candidate]]-Audit[[#This Row],[Losing Candidate]]</f>
        <v>-44</v>
      </c>
      <c r="T1362" s="111">
        <f>Audit[[#This Row],[Audit Winning Candidate]]-Audit[[#This Row],[Winning Candidate]]</f>
        <v>-91</v>
      </c>
      <c r="U1362" s="111">
        <f>Audit[[#This Row],[Audit Candidate 3]]-Audit[[#This Row],[Candidate 3]]</f>
        <v>-18</v>
      </c>
      <c r="V1362" s="111">
        <f>Audit[[#This Row],[Audit Candidate 4]]-Audit[[#This Row],[Candidate 4]]</f>
        <v>-9</v>
      </c>
      <c r="W1362" s="111">
        <f>Audit[[#This Row],[Audit Candidate 5]]-Audit[[#This Row],[Candidate 5]]</f>
        <v>0</v>
      </c>
      <c r="X1362" s="111">
        <f>Audit[[#This Row],[Audit Candidate 6]]-Audit[[#This Row],[Candidate 6]]</f>
        <v>0</v>
      </c>
      <c r="Y1362" s="111">
        <f>SUMIF(Audit[[#This Row],[Difference Loser]:[Difference Candidate 6]], "&gt;0")</f>
        <v>0</v>
      </c>
      <c r="Z1362" s="111">
        <f>SUM(Audit[[#This Row],[Difference Loser]:[Difference Candidate 6]])</f>
        <v>-162</v>
      </c>
      <c r="AA1362" s="111">
        <f>IF(Audit[[#This Row],[Times p Drawn - With Replacement]]&gt;0, IF(Audit[[#This Row],[Canceled Differences]]&lt;0, Audit[[#This Row],[Max Differences]]+ABS(Audit[[#This Row],[Canceled Differences]]), Audit[[#This Row],[Max Differences]]), 0)</f>
        <v>0</v>
      </c>
      <c r="AB1362" s="111">
        <f>'Sampling Data'!P1355</f>
        <v>1.2922586967172954E-2</v>
      </c>
      <c r="AC1362" s="111">
        <f>IF(
      SUM(Audit[[#This Row],[Audit Losing Candidate]:[Audit Candidate 6]])
      &lt;&gt;0,
      (Audit[[#This Row],[Winning Candidate]]-Audit[[#This Row],[Losing Candidate]]-(Audit[[#This Row],[Audit Winning Candidate]]-Audit[[#This Row],[Audit Losing Candidate]]))/(Audit[[#Totals],[Winning Candidate]]-Audit[[#Totals],[Losing Candidate]]),
      0
)</f>
        <v>0</v>
      </c>
      <c r="AD13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2" s="111">
        <f>IF(Audit[[#This Row],[Max Relative Error (ep)]] = 0, 0, Audit[[#This Row],[Max Relative Error (ep)]]/Audit[[#This Row],[Error Bound (up) - Max. possible relative overstatement]])</f>
        <v>0</v>
      </c>
      <c r="AJ13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62" s="111">
        <f t="shared" si="21"/>
        <v>1</v>
      </c>
      <c r="AL1362" s="111">
        <f>PRODUCT($AK$5:AK1362)</f>
        <v>8.962823818226312E-2</v>
      </c>
      <c r="AM1362" s="109">
        <f>1 - [K-M P Value]</f>
        <v>0.91037176181773694</v>
      </c>
      <c r="AN1362" s="111" t="str">
        <f>IF(Audit[[#This Row],[K-M P Value]]&gt;1-'General Info'!$B$16,"Continue", "Stop")</f>
        <v>Stop</v>
      </c>
      <c r="AO1362" s="110" t="b">
        <f>IF(Audit[[#This Row],[Status - Continue or stop audit]] = "Continue", TRUE, IF(AN1361 = "Continue", TRUE, FALSE))</f>
        <v>0</v>
      </c>
      <c r="AP1362" s="110"/>
    </row>
    <row r="1363" spans="1:42" ht="15" hidden="1" customHeight="1">
      <c r="A1363" s="111" t="str">
        <f>'Sampling Data'!W1356</f>
        <v/>
      </c>
      <c r="B1363" s="112" t="str">
        <f>'Sampling Data'!A1356</f>
        <v>LYNDHURST -01-C - ABS</v>
      </c>
      <c r="C1363" s="112">
        <f>'Sampling Data'!B1356</f>
        <v>9</v>
      </c>
      <c r="D1363" s="112">
        <f>'Sampling Data'!C1356</f>
        <v>18</v>
      </c>
      <c r="E1363" s="113">
        <f>'Sampling Data'!D1356</f>
        <v>3</v>
      </c>
      <c r="F1363" s="113">
        <f>'Sampling Data'!E1356</f>
        <v>3</v>
      </c>
      <c r="G1363" s="113">
        <f>'Sampling Data'!F1356</f>
        <v>0</v>
      </c>
      <c r="H1363" s="113">
        <f>'Sampling Data'!G1356</f>
        <v>0</v>
      </c>
      <c r="I1363" s="112">
        <f>'Sampling Data'!H1356</f>
        <v>0</v>
      </c>
      <c r="J1363" s="112">
        <f>'Sampling Data'!I1356</f>
        <v>0</v>
      </c>
      <c r="K1363" s="112">
        <f>'Sampling Data'!J1356</f>
        <v>33</v>
      </c>
      <c r="L1363" s="111">
        <f>'Sampling Data'!X1356</f>
        <v>0</v>
      </c>
      <c r="M1363" s="114"/>
      <c r="N1363" s="114"/>
      <c r="O1363" s="115"/>
      <c r="P1363" s="115"/>
      <c r="Q1363" s="116"/>
      <c r="R1363" s="116"/>
      <c r="S1363" s="111">
        <f>Audit[[#This Row],[Audit Losing Candidate]]-Audit[[#This Row],[Losing Candidate]]</f>
        <v>-9</v>
      </c>
      <c r="T1363" s="111">
        <f>Audit[[#This Row],[Audit Winning Candidate]]-Audit[[#This Row],[Winning Candidate]]</f>
        <v>-18</v>
      </c>
      <c r="U1363" s="111">
        <f>Audit[[#This Row],[Audit Candidate 3]]-Audit[[#This Row],[Candidate 3]]</f>
        <v>-3</v>
      </c>
      <c r="V1363" s="111">
        <f>Audit[[#This Row],[Audit Candidate 4]]-Audit[[#This Row],[Candidate 4]]</f>
        <v>-3</v>
      </c>
      <c r="W1363" s="111">
        <f>Audit[[#This Row],[Audit Candidate 5]]-Audit[[#This Row],[Candidate 5]]</f>
        <v>0</v>
      </c>
      <c r="X1363" s="111">
        <f>Audit[[#This Row],[Audit Candidate 6]]-Audit[[#This Row],[Candidate 6]]</f>
        <v>0</v>
      </c>
      <c r="Y1363" s="111">
        <f>SUMIF(Audit[[#This Row],[Difference Loser]:[Difference Candidate 6]], "&gt;0")</f>
        <v>0</v>
      </c>
      <c r="Z1363" s="111">
        <f>SUM(Audit[[#This Row],[Difference Loser]:[Difference Candidate 6]])</f>
        <v>-33</v>
      </c>
      <c r="AA1363" s="111">
        <f>IF(Audit[[#This Row],[Times p Drawn - With Replacement]]&gt;0, IF(Audit[[#This Row],[Canceled Differences]]&lt;0, Audit[[#This Row],[Max Differences]]+ABS(Audit[[#This Row],[Canceled Differences]]), Audit[[#This Row],[Max Differences]]), 0)</f>
        <v>0</v>
      </c>
      <c r="AB1363" s="111">
        <f>'Sampling Data'!P1356</f>
        <v>2.5722684958353749E-3</v>
      </c>
      <c r="AC1363" s="111">
        <f>IF(
      SUM(Audit[[#This Row],[Audit Losing Candidate]:[Audit Candidate 6]])
      &lt;&gt;0,
      (Audit[[#This Row],[Winning Candidate]]-Audit[[#This Row],[Losing Candidate]]-(Audit[[#This Row],[Audit Winning Candidate]]-Audit[[#This Row],[Audit Losing Candidate]]))/(Audit[[#Totals],[Winning Candidate]]-Audit[[#Totals],[Losing Candidate]]),
      0
)</f>
        <v>0</v>
      </c>
      <c r="AD13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3" s="111">
        <f>IF(Audit[[#This Row],[Max Relative Error (ep)]] = 0, 0, Audit[[#This Row],[Max Relative Error (ep)]]/Audit[[#This Row],[Error Bound (up) - Max. possible relative overstatement]])</f>
        <v>0</v>
      </c>
      <c r="AJ13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63" s="111">
        <f t="shared" si="21"/>
        <v>1</v>
      </c>
      <c r="AL1363" s="111">
        <f>PRODUCT($AK$5:AK1363)</f>
        <v>8.962823818226312E-2</v>
      </c>
      <c r="AM1363" s="109">
        <f>1 - [K-M P Value]</f>
        <v>0.91037176181773694</v>
      </c>
      <c r="AN1363" s="111" t="str">
        <f>IF(Audit[[#This Row],[K-M P Value]]&gt;1-'General Info'!$B$16,"Continue", "Stop")</f>
        <v>Stop</v>
      </c>
      <c r="AO1363" s="110" t="b">
        <f>IF(Audit[[#This Row],[Status - Continue or stop audit]] = "Continue", TRUE, IF(AN1362 = "Continue", TRUE, FALSE))</f>
        <v>0</v>
      </c>
      <c r="AP1363" s="110"/>
    </row>
    <row r="1364" spans="1:42" ht="15" hidden="1" customHeight="1">
      <c r="A1364" s="111" t="str">
        <f>'Sampling Data'!W1357</f>
        <v/>
      </c>
      <c r="B1364" s="112" t="str">
        <f>'Sampling Data'!A1357</f>
        <v>LYNDHURST -02-A</v>
      </c>
      <c r="C1364" s="112">
        <f>'Sampling Data'!B1357</f>
        <v>19</v>
      </c>
      <c r="D1364" s="112">
        <f>'Sampling Data'!C1357</f>
        <v>49</v>
      </c>
      <c r="E1364" s="113">
        <f>'Sampling Data'!D1357</f>
        <v>5</v>
      </c>
      <c r="F1364" s="113">
        <f>'Sampling Data'!E1357</f>
        <v>20</v>
      </c>
      <c r="G1364" s="113">
        <f>'Sampling Data'!F1357</f>
        <v>2</v>
      </c>
      <c r="H1364" s="113">
        <f>'Sampling Data'!G1357</f>
        <v>0</v>
      </c>
      <c r="I1364" s="112">
        <f>'Sampling Data'!H1357</f>
        <v>0</v>
      </c>
      <c r="J1364" s="112">
        <f>'Sampling Data'!I1357</f>
        <v>2</v>
      </c>
      <c r="K1364" s="112">
        <f>'Sampling Data'!J1357</f>
        <v>97</v>
      </c>
      <c r="L1364" s="111">
        <f>'Sampling Data'!X1357</f>
        <v>0</v>
      </c>
      <c r="M1364" s="114"/>
      <c r="N1364" s="114"/>
      <c r="O1364" s="115"/>
      <c r="P1364" s="115"/>
      <c r="Q1364" s="116"/>
      <c r="R1364" s="116"/>
      <c r="S1364" s="111">
        <f>Audit[[#This Row],[Audit Losing Candidate]]-Audit[[#This Row],[Losing Candidate]]</f>
        <v>-19</v>
      </c>
      <c r="T1364" s="111">
        <f>Audit[[#This Row],[Audit Winning Candidate]]-Audit[[#This Row],[Winning Candidate]]</f>
        <v>-49</v>
      </c>
      <c r="U1364" s="111">
        <f>Audit[[#This Row],[Audit Candidate 3]]-Audit[[#This Row],[Candidate 3]]</f>
        <v>-5</v>
      </c>
      <c r="V1364" s="111">
        <f>Audit[[#This Row],[Audit Candidate 4]]-Audit[[#This Row],[Candidate 4]]</f>
        <v>-20</v>
      </c>
      <c r="W1364" s="111">
        <f>Audit[[#This Row],[Audit Candidate 5]]-Audit[[#This Row],[Candidate 5]]</f>
        <v>-2</v>
      </c>
      <c r="X1364" s="111">
        <f>Audit[[#This Row],[Audit Candidate 6]]-Audit[[#This Row],[Candidate 6]]</f>
        <v>0</v>
      </c>
      <c r="Y1364" s="111">
        <f>SUMIF(Audit[[#This Row],[Difference Loser]:[Difference Candidate 6]], "&gt;0")</f>
        <v>0</v>
      </c>
      <c r="Z1364" s="111">
        <f>SUM(Audit[[#This Row],[Difference Loser]:[Difference Candidate 6]])</f>
        <v>-95</v>
      </c>
      <c r="AA1364" s="111">
        <f>IF(Audit[[#This Row],[Times p Drawn - With Replacement]]&gt;0, IF(Audit[[#This Row],[Canceled Differences]]&lt;0, Audit[[#This Row],[Max Differences]]+ABS(Audit[[#This Row],[Canceled Differences]]), Audit[[#This Row],[Max Differences]]), 0)</f>
        <v>0</v>
      </c>
      <c r="AB1364" s="111">
        <f>'Sampling Data'!P1357</f>
        <v>7.7780499755022046E-3</v>
      </c>
      <c r="AC1364" s="111">
        <f>IF(
      SUM(Audit[[#This Row],[Audit Losing Candidate]:[Audit Candidate 6]])
      &lt;&gt;0,
      (Audit[[#This Row],[Winning Candidate]]-Audit[[#This Row],[Losing Candidate]]-(Audit[[#This Row],[Audit Winning Candidate]]-Audit[[#This Row],[Audit Losing Candidate]]))/(Audit[[#Totals],[Winning Candidate]]-Audit[[#Totals],[Losing Candidate]]),
      0
)</f>
        <v>0</v>
      </c>
      <c r="AD13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4" s="111">
        <f>IF(Audit[[#This Row],[Max Relative Error (ep)]] = 0, 0, Audit[[#This Row],[Max Relative Error (ep)]]/Audit[[#This Row],[Error Bound (up) - Max. possible relative overstatement]])</f>
        <v>0</v>
      </c>
      <c r="AJ13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64" s="111">
        <f t="shared" si="21"/>
        <v>1</v>
      </c>
      <c r="AL1364" s="111">
        <f>PRODUCT($AK$5:AK1364)</f>
        <v>8.962823818226312E-2</v>
      </c>
      <c r="AM1364" s="109">
        <f>1 - [K-M P Value]</f>
        <v>0.91037176181773694</v>
      </c>
      <c r="AN1364" s="111" t="str">
        <f>IF(Audit[[#This Row],[K-M P Value]]&gt;1-'General Info'!$B$16,"Continue", "Stop")</f>
        <v>Stop</v>
      </c>
      <c r="AO1364" s="110" t="b">
        <f>IF(Audit[[#This Row],[Status - Continue or stop audit]] = "Continue", TRUE, IF(AN1363 = "Continue", TRUE, FALSE))</f>
        <v>0</v>
      </c>
      <c r="AP1364" s="110"/>
    </row>
    <row r="1365" spans="1:42" ht="15" hidden="1" customHeight="1">
      <c r="A1365" s="111" t="str">
        <f>'Sampling Data'!W1358</f>
        <v/>
      </c>
      <c r="B1365" s="112" t="str">
        <f>'Sampling Data'!A1358</f>
        <v>LYNDHURST -02-A - ABS</v>
      </c>
      <c r="C1365" s="112">
        <f>'Sampling Data'!B1358</f>
        <v>7</v>
      </c>
      <c r="D1365" s="112">
        <f>'Sampling Data'!C1358</f>
        <v>8</v>
      </c>
      <c r="E1365" s="113">
        <f>'Sampling Data'!D1358</f>
        <v>2</v>
      </c>
      <c r="F1365" s="113">
        <f>'Sampling Data'!E1358</f>
        <v>4</v>
      </c>
      <c r="G1365" s="113">
        <f>'Sampling Data'!F1358</f>
        <v>0</v>
      </c>
      <c r="H1365" s="113">
        <f>'Sampling Data'!G1358</f>
        <v>0</v>
      </c>
      <c r="I1365" s="112">
        <f>'Sampling Data'!H1358</f>
        <v>0</v>
      </c>
      <c r="J1365" s="112">
        <f>'Sampling Data'!I1358</f>
        <v>0</v>
      </c>
      <c r="K1365" s="112">
        <f>'Sampling Data'!J1358</f>
        <v>21</v>
      </c>
      <c r="L1365" s="111">
        <f>'Sampling Data'!X1358</f>
        <v>0</v>
      </c>
      <c r="M1365" s="114"/>
      <c r="N1365" s="114"/>
      <c r="O1365" s="115"/>
      <c r="P1365" s="115"/>
      <c r="Q1365" s="116"/>
      <c r="R1365" s="116"/>
      <c r="S1365" s="111">
        <f>Audit[[#This Row],[Audit Losing Candidate]]-Audit[[#This Row],[Losing Candidate]]</f>
        <v>-7</v>
      </c>
      <c r="T1365" s="111">
        <f>Audit[[#This Row],[Audit Winning Candidate]]-Audit[[#This Row],[Winning Candidate]]</f>
        <v>-8</v>
      </c>
      <c r="U1365" s="111">
        <f>Audit[[#This Row],[Audit Candidate 3]]-Audit[[#This Row],[Candidate 3]]</f>
        <v>-2</v>
      </c>
      <c r="V1365" s="111">
        <f>Audit[[#This Row],[Audit Candidate 4]]-Audit[[#This Row],[Candidate 4]]</f>
        <v>-4</v>
      </c>
      <c r="W1365" s="111">
        <f>Audit[[#This Row],[Audit Candidate 5]]-Audit[[#This Row],[Candidate 5]]</f>
        <v>0</v>
      </c>
      <c r="X1365" s="111">
        <f>Audit[[#This Row],[Audit Candidate 6]]-Audit[[#This Row],[Candidate 6]]</f>
        <v>0</v>
      </c>
      <c r="Y1365" s="111">
        <f>SUMIF(Audit[[#This Row],[Difference Loser]:[Difference Candidate 6]], "&gt;0")</f>
        <v>0</v>
      </c>
      <c r="Z1365" s="111">
        <f>SUM(Audit[[#This Row],[Difference Loser]:[Difference Candidate 6]])</f>
        <v>-21</v>
      </c>
      <c r="AA1365" s="111">
        <f>IF(Audit[[#This Row],[Times p Drawn - With Replacement]]&gt;0, IF(Audit[[#This Row],[Canceled Differences]]&lt;0, Audit[[#This Row],[Max Differences]]+ABS(Audit[[#This Row],[Canceled Differences]]), Audit[[#This Row],[Max Differences]]), 0)</f>
        <v>0</v>
      </c>
      <c r="AB1365" s="111">
        <f>'Sampling Data'!P1358</f>
        <v>1.3473787359137678E-3</v>
      </c>
      <c r="AC1365" s="111">
        <f>IF(
      SUM(Audit[[#This Row],[Audit Losing Candidate]:[Audit Candidate 6]])
      &lt;&gt;0,
      (Audit[[#This Row],[Winning Candidate]]-Audit[[#This Row],[Losing Candidate]]-(Audit[[#This Row],[Audit Winning Candidate]]-Audit[[#This Row],[Audit Losing Candidate]]))/(Audit[[#Totals],[Winning Candidate]]-Audit[[#Totals],[Losing Candidate]]),
      0
)</f>
        <v>0</v>
      </c>
      <c r="AD13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5" s="111">
        <f>IF(Audit[[#This Row],[Max Relative Error (ep)]] = 0, 0, Audit[[#This Row],[Max Relative Error (ep)]]/Audit[[#This Row],[Error Bound (up) - Max. possible relative overstatement]])</f>
        <v>0</v>
      </c>
      <c r="AJ13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65" s="111">
        <f t="shared" si="21"/>
        <v>1</v>
      </c>
      <c r="AL1365" s="111">
        <f>PRODUCT($AK$5:AK1365)</f>
        <v>8.962823818226312E-2</v>
      </c>
      <c r="AM1365" s="109">
        <f>1 - [K-M P Value]</f>
        <v>0.91037176181773694</v>
      </c>
      <c r="AN1365" s="111" t="str">
        <f>IF(Audit[[#This Row],[K-M P Value]]&gt;1-'General Info'!$B$16,"Continue", "Stop")</f>
        <v>Stop</v>
      </c>
      <c r="AO1365" s="110" t="b">
        <f>IF(Audit[[#This Row],[Status - Continue or stop audit]] = "Continue", TRUE, IF(AN1364 = "Continue", TRUE, FALSE))</f>
        <v>0</v>
      </c>
      <c r="AP1365" s="110"/>
    </row>
    <row r="1366" spans="1:42" ht="15" hidden="1" customHeight="1">
      <c r="A1366" s="111" t="str">
        <f>'Sampling Data'!W1359</f>
        <v/>
      </c>
      <c r="B1366" s="112" t="str">
        <f>'Sampling Data'!A1359</f>
        <v>LYNDHURST -02-B</v>
      </c>
      <c r="C1366" s="112">
        <f>'Sampling Data'!B1359</f>
        <v>31</v>
      </c>
      <c r="D1366" s="112">
        <f>'Sampling Data'!C1359</f>
        <v>43</v>
      </c>
      <c r="E1366" s="113">
        <f>'Sampling Data'!D1359</f>
        <v>15</v>
      </c>
      <c r="F1366" s="113">
        <f>'Sampling Data'!E1359</f>
        <v>11</v>
      </c>
      <c r="G1366" s="113">
        <f>'Sampling Data'!F1359</f>
        <v>0</v>
      </c>
      <c r="H1366" s="113">
        <f>'Sampling Data'!G1359</f>
        <v>0</v>
      </c>
      <c r="I1366" s="112">
        <f>'Sampling Data'!H1359</f>
        <v>0</v>
      </c>
      <c r="J1366" s="112">
        <f>'Sampling Data'!I1359</f>
        <v>1</v>
      </c>
      <c r="K1366" s="112">
        <f>'Sampling Data'!J1359</f>
        <v>101</v>
      </c>
      <c r="L1366" s="111">
        <f>'Sampling Data'!X1359</f>
        <v>0</v>
      </c>
      <c r="M1366" s="114"/>
      <c r="N1366" s="114"/>
      <c r="O1366" s="115"/>
      <c r="P1366" s="115"/>
      <c r="Q1366" s="116"/>
      <c r="R1366" s="116"/>
      <c r="S1366" s="111">
        <f>Audit[[#This Row],[Audit Losing Candidate]]-Audit[[#This Row],[Losing Candidate]]</f>
        <v>-31</v>
      </c>
      <c r="T1366" s="111">
        <f>Audit[[#This Row],[Audit Winning Candidate]]-Audit[[#This Row],[Winning Candidate]]</f>
        <v>-43</v>
      </c>
      <c r="U1366" s="111">
        <f>Audit[[#This Row],[Audit Candidate 3]]-Audit[[#This Row],[Candidate 3]]</f>
        <v>-15</v>
      </c>
      <c r="V1366" s="111">
        <f>Audit[[#This Row],[Audit Candidate 4]]-Audit[[#This Row],[Candidate 4]]</f>
        <v>-11</v>
      </c>
      <c r="W1366" s="111">
        <f>Audit[[#This Row],[Audit Candidate 5]]-Audit[[#This Row],[Candidate 5]]</f>
        <v>0</v>
      </c>
      <c r="X1366" s="111">
        <f>Audit[[#This Row],[Audit Candidate 6]]-Audit[[#This Row],[Candidate 6]]</f>
        <v>0</v>
      </c>
      <c r="Y1366" s="111">
        <f>SUMIF(Audit[[#This Row],[Difference Loser]:[Difference Candidate 6]], "&gt;0")</f>
        <v>0</v>
      </c>
      <c r="Z1366" s="111">
        <f>SUM(Audit[[#This Row],[Difference Loser]:[Difference Candidate 6]])</f>
        <v>-100</v>
      </c>
      <c r="AA1366" s="111">
        <f>IF(Audit[[#This Row],[Times p Drawn - With Replacement]]&gt;0, IF(Audit[[#This Row],[Canceled Differences]]&lt;0, Audit[[#This Row],[Max Differences]]+ABS(Audit[[#This Row],[Canceled Differences]]), Audit[[#This Row],[Max Differences]]), 0)</f>
        <v>0</v>
      </c>
      <c r="AB1366" s="111">
        <f>'Sampling Data'!P1359</f>
        <v>6.9206271435570798E-3</v>
      </c>
      <c r="AC1366" s="111">
        <f>IF(
      SUM(Audit[[#This Row],[Audit Losing Candidate]:[Audit Candidate 6]])
      &lt;&gt;0,
      (Audit[[#This Row],[Winning Candidate]]-Audit[[#This Row],[Losing Candidate]]-(Audit[[#This Row],[Audit Winning Candidate]]-Audit[[#This Row],[Audit Losing Candidate]]))/(Audit[[#Totals],[Winning Candidate]]-Audit[[#Totals],[Losing Candidate]]),
      0
)</f>
        <v>0</v>
      </c>
      <c r="AD13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6" s="111">
        <f>IF(Audit[[#This Row],[Max Relative Error (ep)]] = 0, 0, Audit[[#This Row],[Max Relative Error (ep)]]/Audit[[#This Row],[Error Bound (up) - Max. possible relative overstatement]])</f>
        <v>0</v>
      </c>
      <c r="AJ13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66" s="111">
        <f t="shared" si="21"/>
        <v>1</v>
      </c>
      <c r="AL1366" s="111">
        <f>PRODUCT($AK$5:AK1366)</f>
        <v>8.962823818226312E-2</v>
      </c>
      <c r="AM1366" s="109">
        <f>1 - [K-M P Value]</f>
        <v>0.91037176181773694</v>
      </c>
      <c r="AN1366" s="111" t="str">
        <f>IF(Audit[[#This Row],[K-M P Value]]&gt;1-'General Info'!$B$16,"Continue", "Stop")</f>
        <v>Stop</v>
      </c>
      <c r="AO1366" s="110" t="b">
        <f>IF(Audit[[#This Row],[Status - Continue or stop audit]] = "Continue", TRUE, IF(AN1365 = "Continue", TRUE, FALSE))</f>
        <v>0</v>
      </c>
      <c r="AP1366" s="110"/>
    </row>
    <row r="1367" spans="1:42" ht="15" hidden="1" customHeight="1">
      <c r="A1367" s="111" t="str">
        <f>'Sampling Data'!W1360</f>
        <v/>
      </c>
      <c r="B1367" s="112" t="str">
        <f>'Sampling Data'!A1360</f>
        <v>LYNDHURST -02-B - ABS</v>
      </c>
      <c r="C1367" s="112">
        <f>'Sampling Data'!B1360</f>
        <v>14</v>
      </c>
      <c r="D1367" s="112">
        <f>'Sampling Data'!C1360</f>
        <v>10</v>
      </c>
      <c r="E1367" s="113">
        <f>'Sampling Data'!D1360</f>
        <v>10</v>
      </c>
      <c r="F1367" s="113">
        <f>'Sampling Data'!E1360</f>
        <v>3</v>
      </c>
      <c r="G1367" s="113">
        <f>'Sampling Data'!F1360</f>
        <v>0</v>
      </c>
      <c r="H1367" s="113">
        <f>'Sampling Data'!G1360</f>
        <v>0</v>
      </c>
      <c r="I1367" s="112">
        <f>'Sampling Data'!H1360</f>
        <v>0</v>
      </c>
      <c r="J1367" s="112">
        <f>'Sampling Data'!I1360</f>
        <v>1</v>
      </c>
      <c r="K1367" s="112">
        <f>'Sampling Data'!J1360</f>
        <v>38</v>
      </c>
      <c r="L1367" s="111">
        <f>'Sampling Data'!X1360</f>
        <v>0</v>
      </c>
      <c r="M1367" s="114"/>
      <c r="N1367" s="114"/>
      <c r="O1367" s="115"/>
      <c r="P1367" s="115"/>
      <c r="Q1367" s="116"/>
      <c r="R1367" s="116"/>
      <c r="S1367" s="111">
        <f>Audit[[#This Row],[Audit Losing Candidate]]-Audit[[#This Row],[Losing Candidate]]</f>
        <v>-14</v>
      </c>
      <c r="T1367" s="111">
        <f>Audit[[#This Row],[Audit Winning Candidate]]-Audit[[#This Row],[Winning Candidate]]</f>
        <v>-10</v>
      </c>
      <c r="U1367" s="111">
        <f>Audit[[#This Row],[Audit Candidate 3]]-Audit[[#This Row],[Candidate 3]]</f>
        <v>-10</v>
      </c>
      <c r="V1367" s="111">
        <f>Audit[[#This Row],[Audit Candidate 4]]-Audit[[#This Row],[Candidate 4]]</f>
        <v>-3</v>
      </c>
      <c r="W1367" s="111">
        <f>Audit[[#This Row],[Audit Candidate 5]]-Audit[[#This Row],[Candidate 5]]</f>
        <v>0</v>
      </c>
      <c r="X1367" s="111">
        <f>Audit[[#This Row],[Audit Candidate 6]]-Audit[[#This Row],[Candidate 6]]</f>
        <v>0</v>
      </c>
      <c r="Y1367" s="111">
        <f>SUMIF(Audit[[#This Row],[Difference Loser]:[Difference Candidate 6]], "&gt;0")</f>
        <v>0</v>
      </c>
      <c r="Z1367" s="111">
        <f>SUM(Audit[[#This Row],[Difference Loser]:[Difference Candidate 6]])</f>
        <v>-37</v>
      </c>
      <c r="AA1367" s="111">
        <f>IF(Audit[[#This Row],[Times p Drawn - With Replacement]]&gt;0, IF(Audit[[#This Row],[Canceled Differences]]&lt;0, Audit[[#This Row],[Max Differences]]+ABS(Audit[[#This Row],[Canceled Differences]]), Audit[[#This Row],[Max Differences]]), 0)</f>
        <v>0</v>
      </c>
      <c r="AB1367" s="111">
        <f>'Sampling Data'!P1360</f>
        <v>2.0823125918667321E-3</v>
      </c>
      <c r="AC1367" s="111">
        <f>IF(
      SUM(Audit[[#This Row],[Audit Losing Candidate]:[Audit Candidate 6]])
      &lt;&gt;0,
      (Audit[[#This Row],[Winning Candidate]]-Audit[[#This Row],[Losing Candidate]]-(Audit[[#This Row],[Audit Winning Candidate]]-Audit[[#This Row],[Audit Losing Candidate]]))/(Audit[[#Totals],[Winning Candidate]]-Audit[[#Totals],[Losing Candidate]]),
      0
)</f>
        <v>0</v>
      </c>
      <c r="AD13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7" s="111">
        <f>IF(Audit[[#This Row],[Max Relative Error (ep)]] = 0, 0, Audit[[#This Row],[Max Relative Error (ep)]]/Audit[[#This Row],[Error Bound (up) - Max. possible relative overstatement]])</f>
        <v>0</v>
      </c>
      <c r="AJ13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67" s="111">
        <f t="shared" si="21"/>
        <v>1</v>
      </c>
      <c r="AL1367" s="111">
        <f>PRODUCT($AK$5:AK1367)</f>
        <v>8.962823818226312E-2</v>
      </c>
      <c r="AM1367" s="109">
        <f>1 - [K-M P Value]</f>
        <v>0.91037176181773694</v>
      </c>
      <c r="AN1367" s="111" t="str">
        <f>IF(Audit[[#This Row],[K-M P Value]]&gt;1-'General Info'!$B$16,"Continue", "Stop")</f>
        <v>Stop</v>
      </c>
      <c r="AO1367" s="110" t="b">
        <f>IF(Audit[[#This Row],[Status - Continue or stop audit]] = "Continue", TRUE, IF(AN1366 = "Continue", TRUE, FALSE))</f>
        <v>0</v>
      </c>
      <c r="AP1367" s="110"/>
    </row>
    <row r="1368" spans="1:42" ht="15" hidden="1" customHeight="1">
      <c r="A1368" s="111" t="str">
        <f>'Sampling Data'!W1361</f>
        <v/>
      </c>
      <c r="B1368" s="112" t="str">
        <f>'Sampling Data'!A1361</f>
        <v>LYNDHURST -02-C</v>
      </c>
      <c r="C1368" s="112">
        <f>'Sampling Data'!B1361</f>
        <v>30</v>
      </c>
      <c r="D1368" s="112">
        <f>'Sampling Data'!C1361</f>
        <v>47</v>
      </c>
      <c r="E1368" s="113">
        <f>'Sampling Data'!D1361</f>
        <v>7</v>
      </c>
      <c r="F1368" s="113">
        <f>'Sampling Data'!E1361</f>
        <v>7</v>
      </c>
      <c r="G1368" s="113">
        <f>'Sampling Data'!F1361</f>
        <v>0</v>
      </c>
      <c r="H1368" s="113">
        <f>'Sampling Data'!G1361</f>
        <v>0</v>
      </c>
      <c r="I1368" s="112">
        <f>'Sampling Data'!H1361</f>
        <v>0</v>
      </c>
      <c r="J1368" s="112">
        <f>'Sampling Data'!I1361</f>
        <v>0</v>
      </c>
      <c r="K1368" s="112">
        <f>'Sampling Data'!J1361</f>
        <v>91</v>
      </c>
      <c r="L1368" s="111">
        <f>'Sampling Data'!X1361</f>
        <v>0</v>
      </c>
      <c r="M1368" s="114"/>
      <c r="N1368" s="114"/>
      <c r="O1368" s="115"/>
      <c r="P1368" s="115"/>
      <c r="Q1368" s="116"/>
      <c r="R1368" s="116"/>
      <c r="S1368" s="111">
        <f>Audit[[#This Row],[Audit Losing Candidate]]-Audit[[#This Row],[Losing Candidate]]</f>
        <v>-30</v>
      </c>
      <c r="T1368" s="111">
        <f>Audit[[#This Row],[Audit Winning Candidate]]-Audit[[#This Row],[Winning Candidate]]</f>
        <v>-47</v>
      </c>
      <c r="U1368" s="111">
        <f>Audit[[#This Row],[Audit Candidate 3]]-Audit[[#This Row],[Candidate 3]]</f>
        <v>-7</v>
      </c>
      <c r="V1368" s="111">
        <f>Audit[[#This Row],[Audit Candidate 4]]-Audit[[#This Row],[Candidate 4]]</f>
        <v>-7</v>
      </c>
      <c r="W1368" s="111">
        <f>Audit[[#This Row],[Audit Candidate 5]]-Audit[[#This Row],[Candidate 5]]</f>
        <v>0</v>
      </c>
      <c r="X1368" s="111">
        <f>Audit[[#This Row],[Audit Candidate 6]]-Audit[[#This Row],[Candidate 6]]</f>
        <v>0</v>
      </c>
      <c r="Y1368" s="111">
        <f>SUMIF(Audit[[#This Row],[Difference Loser]:[Difference Candidate 6]], "&gt;0")</f>
        <v>0</v>
      </c>
      <c r="Z1368" s="111">
        <f>SUM(Audit[[#This Row],[Difference Loser]:[Difference Candidate 6]])</f>
        <v>-91</v>
      </c>
      <c r="AA1368" s="111">
        <f>IF(Audit[[#This Row],[Times p Drawn - With Replacement]]&gt;0, IF(Audit[[#This Row],[Canceled Differences]]&lt;0, Audit[[#This Row],[Max Differences]]+ABS(Audit[[#This Row],[Canceled Differences]]), Audit[[#This Row],[Max Differences]]), 0)</f>
        <v>0</v>
      </c>
      <c r="AB1368" s="111">
        <f>'Sampling Data'!P1361</f>
        <v>6.6144047035766778E-3</v>
      </c>
      <c r="AC1368" s="111">
        <f>IF(
      SUM(Audit[[#This Row],[Audit Losing Candidate]:[Audit Candidate 6]])
      &lt;&gt;0,
      (Audit[[#This Row],[Winning Candidate]]-Audit[[#This Row],[Losing Candidate]]-(Audit[[#This Row],[Audit Winning Candidate]]-Audit[[#This Row],[Audit Losing Candidate]]))/(Audit[[#Totals],[Winning Candidate]]-Audit[[#Totals],[Losing Candidate]]),
      0
)</f>
        <v>0</v>
      </c>
      <c r="AD13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8" s="111">
        <f>IF(Audit[[#This Row],[Max Relative Error (ep)]] = 0, 0, Audit[[#This Row],[Max Relative Error (ep)]]/Audit[[#This Row],[Error Bound (up) - Max. possible relative overstatement]])</f>
        <v>0</v>
      </c>
      <c r="AJ13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68" s="111">
        <f t="shared" si="21"/>
        <v>1</v>
      </c>
      <c r="AL1368" s="111">
        <f>PRODUCT($AK$5:AK1368)</f>
        <v>8.962823818226312E-2</v>
      </c>
      <c r="AM1368" s="109">
        <f>1 - [K-M P Value]</f>
        <v>0.91037176181773694</v>
      </c>
      <c r="AN1368" s="111" t="str">
        <f>IF(Audit[[#This Row],[K-M P Value]]&gt;1-'General Info'!$B$16,"Continue", "Stop")</f>
        <v>Stop</v>
      </c>
      <c r="AO1368" s="110" t="b">
        <f>IF(Audit[[#This Row],[Status - Continue or stop audit]] = "Continue", TRUE, IF(AN1367 = "Continue", TRUE, FALSE))</f>
        <v>0</v>
      </c>
      <c r="AP1368" s="110"/>
    </row>
    <row r="1369" spans="1:42" ht="15" hidden="1" customHeight="1">
      <c r="A1369" s="111" t="str">
        <f>'Sampling Data'!W1362</f>
        <v/>
      </c>
      <c r="B1369" s="112" t="str">
        <f>'Sampling Data'!A1362</f>
        <v>LYNDHURST -02-C - ABS</v>
      </c>
      <c r="C1369" s="112">
        <f>'Sampling Data'!B1362</f>
        <v>6</v>
      </c>
      <c r="D1369" s="112">
        <f>'Sampling Data'!C1362</f>
        <v>18</v>
      </c>
      <c r="E1369" s="113">
        <f>'Sampling Data'!D1362</f>
        <v>4</v>
      </c>
      <c r="F1369" s="113">
        <f>'Sampling Data'!E1362</f>
        <v>0</v>
      </c>
      <c r="G1369" s="113">
        <f>'Sampling Data'!F1362</f>
        <v>0</v>
      </c>
      <c r="H1369" s="113">
        <f>'Sampling Data'!G1362</f>
        <v>1</v>
      </c>
      <c r="I1369" s="112">
        <f>'Sampling Data'!H1362</f>
        <v>0</v>
      </c>
      <c r="J1369" s="112">
        <f>'Sampling Data'!I1362</f>
        <v>2</v>
      </c>
      <c r="K1369" s="112">
        <f>'Sampling Data'!J1362</f>
        <v>31</v>
      </c>
      <c r="L1369" s="111">
        <f>'Sampling Data'!X1362</f>
        <v>0</v>
      </c>
      <c r="M1369" s="114"/>
      <c r="N1369" s="114"/>
      <c r="O1369" s="115"/>
      <c r="P1369" s="115"/>
      <c r="Q1369" s="116"/>
      <c r="R1369" s="116"/>
      <c r="S1369" s="111">
        <f>Audit[[#This Row],[Audit Losing Candidate]]-Audit[[#This Row],[Losing Candidate]]</f>
        <v>-6</v>
      </c>
      <c r="T1369" s="111">
        <f>Audit[[#This Row],[Audit Winning Candidate]]-Audit[[#This Row],[Winning Candidate]]</f>
        <v>-18</v>
      </c>
      <c r="U1369" s="111">
        <f>Audit[[#This Row],[Audit Candidate 3]]-Audit[[#This Row],[Candidate 3]]</f>
        <v>-4</v>
      </c>
      <c r="V1369" s="111">
        <f>Audit[[#This Row],[Audit Candidate 4]]-Audit[[#This Row],[Candidate 4]]</f>
        <v>0</v>
      </c>
      <c r="W1369" s="111">
        <f>Audit[[#This Row],[Audit Candidate 5]]-Audit[[#This Row],[Candidate 5]]</f>
        <v>0</v>
      </c>
      <c r="X1369" s="111">
        <f>Audit[[#This Row],[Audit Candidate 6]]-Audit[[#This Row],[Candidate 6]]</f>
        <v>-1</v>
      </c>
      <c r="Y1369" s="111">
        <f>SUMIF(Audit[[#This Row],[Difference Loser]:[Difference Candidate 6]], "&gt;0")</f>
        <v>0</v>
      </c>
      <c r="Z1369" s="111">
        <f>SUM(Audit[[#This Row],[Difference Loser]:[Difference Candidate 6]])</f>
        <v>-29</v>
      </c>
      <c r="AA1369" s="111">
        <f>IF(Audit[[#This Row],[Times p Drawn - With Replacement]]&gt;0, IF(Audit[[#This Row],[Canceled Differences]]&lt;0, Audit[[#This Row],[Max Differences]]+ABS(Audit[[#This Row],[Canceled Differences]]), Audit[[#This Row],[Max Differences]]), 0)</f>
        <v>0</v>
      </c>
      <c r="AB1369" s="111">
        <f>'Sampling Data'!P1362</f>
        <v>2.6335129838314553E-3</v>
      </c>
      <c r="AC1369" s="111">
        <f>IF(
      SUM(Audit[[#This Row],[Audit Losing Candidate]:[Audit Candidate 6]])
      &lt;&gt;0,
      (Audit[[#This Row],[Winning Candidate]]-Audit[[#This Row],[Losing Candidate]]-(Audit[[#This Row],[Audit Winning Candidate]]-Audit[[#This Row],[Audit Losing Candidate]]))/(Audit[[#Totals],[Winning Candidate]]-Audit[[#Totals],[Losing Candidate]]),
      0
)</f>
        <v>0</v>
      </c>
      <c r="AD13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9" s="111">
        <f>IF(Audit[[#This Row],[Max Relative Error (ep)]] = 0, 0, Audit[[#This Row],[Max Relative Error (ep)]]/Audit[[#This Row],[Error Bound (up) - Max. possible relative overstatement]])</f>
        <v>0</v>
      </c>
      <c r="AJ13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69" s="111">
        <f t="shared" si="21"/>
        <v>1</v>
      </c>
      <c r="AL1369" s="111">
        <f>PRODUCT($AK$5:AK1369)</f>
        <v>8.962823818226312E-2</v>
      </c>
      <c r="AM1369" s="109">
        <f>1 - [K-M P Value]</f>
        <v>0.91037176181773694</v>
      </c>
      <c r="AN1369" s="111" t="str">
        <f>IF(Audit[[#This Row],[K-M P Value]]&gt;1-'General Info'!$B$16,"Continue", "Stop")</f>
        <v>Stop</v>
      </c>
      <c r="AO1369" s="110" t="b">
        <f>IF(Audit[[#This Row],[Status - Continue or stop audit]] = "Continue", TRUE, IF(AN1368 = "Continue", TRUE, FALSE))</f>
        <v>0</v>
      </c>
      <c r="AP1369" s="110"/>
    </row>
    <row r="1370" spans="1:42" ht="15" hidden="1" customHeight="1">
      <c r="A1370" s="111" t="str">
        <f>'Sampling Data'!W1363</f>
        <v/>
      </c>
      <c r="B1370" s="112" t="str">
        <f>'Sampling Data'!A1363</f>
        <v>LYNDHURST -03-A</v>
      </c>
      <c r="C1370" s="112">
        <f>'Sampling Data'!B1363</f>
        <v>17</v>
      </c>
      <c r="D1370" s="112">
        <f>'Sampling Data'!C1363</f>
        <v>38</v>
      </c>
      <c r="E1370" s="113">
        <f>'Sampling Data'!D1363</f>
        <v>11</v>
      </c>
      <c r="F1370" s="113">
        <f>'Sampling Data'!E1363</f>
        <v>4</v>
      </c>
      <c r="G1370" s="113">
        <f>'Sampling Data'!F1363</f>
        <v>0</v>
      </c>
      <c r="H1370" s="113">
        <f>'Sampling Data'!G1363</f>
        <v>0</v>
      </c>
      <c r="I1370" s="112">
        <f>'Sampling Data'!H1363</f>
        <v>0</v>
      </c>
      <c r="J1370" s="112">
        <f>'Sampling Data'!I1363</f>
        <v>1</v>
      </c>
      <c r="K1370" s="112">
        <f>'Sampling Data'!J1363</f>
        <v>71</v>
      </c>
      <c r="L1370" s="111">
        <f>'Sampling Data'!X1363</f>
        <v>0</v>
      </c>
      <c r="M1370" s="114"/>
      <c r="N1370" s="114"/>
      <c r="O1370" s="115"/>
      <c r="P1370" s="115"/>
      <c r="Q1370" s="116"/>
      <c r="R1370" s="116"/>
      <c r="S1370" s="111">
        <f>Audit[[#This Row],[Audit Losing Candidate]]-Audit[[#This Row],[Losing Candidate]]</f>
        <v>-17</v>
      </c>
      <c r="T1370" s="111">
        <f>Audit[[#This Row],[Audit Winning Candidate]]-Audit[[#This Row],[Winning Candidate]]</f>
        <v>-38</v>
      </c>
      <c r="U1370" s="111">
        <f>Audit[[#This Row],[Audit Candidate 3]]-Audit[[#This Row],[Candidate 3]]</f>
        <v>-11</v>
      </c>
      <c r="V1370" s="111">
        <f>Audit[[#This Row],[Audit Candidate 4]]-Audit[[#This Row],[Candidate 4]]</f>
        <v>-4</v>
      </c>
      <c r="W1370" s="111">
        <f>Audit[[#This Row],[Audit Candidate 5]]-Audit[[#This Row],[Candidate 5]]</f>
        <v>0</v>
      </c>
      <c r="X1370" s="111">
        <f>Audit[[#This Row],[Audit Candidate 6]]-Audit[[#This Row],[Candidate 6]]</f>
        <v>0</v>
      </c>
      <c r="Y1370" s="111">
        <f>SUMIF(Audit[[#This Row],[Difference Loser]:[Difference Candidate 6]], "&gt;0")</f>
        <v>0</v>
      </c>
      <c r="Z1370" s="111">
        <f>SUM(Audit[[#This Row],[Difference Loser]:[Difference Candidate 6]])</f>
        <v>-70</v>
      </c>
      <c r="AA1370" s="111">
        <f>IF(Audit[[#This Row],[Times p Drawn - With Replacement]]&gt;0, IF(Audit[[#This Row],[Canceled Differences]]&lt;0, Audit[[#This Row],[Max Differences]]+ABS(Audit[[#This Row],[Canceled Differences]]), Audit[[#This Row],[Max Differences]]), 0)</f>
        <v>0</v>
      </c>
      <c r="AB1370" s="111">
        <f>'Sampling Data'!P1363</f>
        <v>5.6344928956393921E-3</v>
      </c>
      <c r="AC1370" s="111">
        <f>IF(
      SUM(Audit[[#This Row],[Audit Losing Candidate]:[Audit Candidate 6]])
      &lt;&gt;0,
      (Audit[[#This Row],[Winning Candidate]]-Audit[[#This Row],[Losing Candidate]]-(Audit[[#This Row],[Audit Winning Candidate]]-Audit[[#This Row],[Audit Losing Candidate]]))/(Audit[[#Totals],[Winning Candidate]]-Audit[[#Totals],[Losing Candidate]]),
      0
)</f>
        <v>0</v>
      </c>
      <c r="AD13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0" s="111">
        <f>IF(Audit[[#This Row],[Max Relative Error (ep)]] = 0, 0, Audit[[#This Row],[Max Relative Error (ep)]]/Audit[[#This Row],[Error Bound (up) - Max. possible relative overstatement]])</f>
        <v>0</v>
      </c>
      <c r="AJ13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70" s="111">
        <f t="shared" si="21"/>
        <v>1</v>
      </c>
      <c r="AL1370" s="111">
        <f>PRODUCT($AK$5:AK1370)</f>
        <v>8.962823818226312E-2</v>
      </c>
      <c r="AM1370" s="109">
        <f>1 - [K-M P Value]</f>
        <v>0.91037176181773694</v>
      </c>
      <c r="AN1370" s="111" t="str">
        <f>IF(Audit[[#This Row],[K-M P Value]]&gt;1-'General Info'!$B$16,"Continue", "Stop")</f>
        <v>Stop</v>
      </c>
      <c r="AO1370" s="110" t="b">
        <f>IF(Audit[[#This Row],[Status - Continue or stop audit]] = "Continue", TRUE, IF(AN1369 = "Continue", TRUE, FALSE))</f>
        <v>0</v>
      </c>
      <c r="AP1370" s="110"/>
    </row>
    <row r="1371" spans="1:42" ht="15" hidden="1" customHeight="1">
      <c r="A1371" s="111" t="str">
        <f>'Sampling Data'!W1364</f>
        <v/>
      </c>
      <c r="B1371" s="112" t="str">
        <f>'Sampling Data'!A1364</f>
        <v>LYNDHURST -03-A - ABS</v>
      </c>
      <c r="C1371" s="112">
        <f>'Sampling Data'!B1364</f>
        <v>11</v>
      </c>
      <c r="D1371" s="112">
        <f>'Sampling Data'!C1364</f>
        <v>18</v>
      </c>
      <c r="E1371" s="113">
        <f>'Sampling Data'!D1364</f>
        <v>6</v>
      </c>
      <c r="F1371" s="113">
        <f>'Sampling Data'!E1364</f>
        <v>2</v>
      </c>
      <c r="G1371" s="113">
        <f>'Sampling Data'!F1364</f>
        <v>0</v>
      </c>
      <c r="H1371" s="113">
        <f>'Sampling Data'!G1364</f>
        <v>1</v>
      </c>
      <c r="I1371" s="112">
        <f>'Sampling Data'!H1364</f>
        <v>0</v>
      </c>
      <c r="J1371" s="112">
        <f>'Sampling Data'!I1364</f>
        <v>2</v>
      </c>
      <c r="K1371" s="112">
        <f>'Sampling Data'!J1364</f>
        <v>40</v>
      </c>
      <c r="L1371" s="111">
        <f>'Sampling Data'!X1364</f>
        <v>0</v>
      </c>
      <c r="M1371" s="114"/>
      <c r="N1371" s="114"/>
      <c r="O1371" s="115"/>
      <c r="P1371" s="115"/>
      <c r="Q1371" s="116"/>
      <c r="R1371" s="116"/>
      <c r="S1371" s="111">
        <f>Audit[[#This Row],[Audit Losing Candidate]]-Audit[[#This Row],[Losing Candidate]]</f>
        <v>-11</v>
      </c>
      <c r="T1371" s="111">
        <f>Audit[[#This Row],[Audit Winning Candidate]]-Audit[[#This Row],[Winning Candidate]]</f>
        <v>-18</v>
      </c>
      <c r="U1371" s="111">
        <f>Audit[[#This Row],[Audit Candidate 3]]-Audit[[#This Row],[Candidate 3]]</f>
        <v>-6</v>
      </c>
      <c r="V1371" s="111">
        <f>Audit[[#This Row],[Audit Candidate 4]]-Audit[[#This Row],[Candidate 4]]</f>
        <v>-2</v>
      </c>
      <c r="W1371" s="111">
        <f>Audit[[#This Row],[Audit Candidate 5]]-Audit[[#This Row],[Candidate 5]]</f>
        <v>0</v>
      </c>
      <c r="X1371" s="111">
        <f>Audit[[#This Row],[Audit Candidate 6]]-Audit[[#This Row],[Candidate 6]]</f>
        <v>-1</v>
      </c>
      <c r="Y1371" s="111">
        <f>SUMIF(Audit[[#This Row],[Difference Loser]:[Difference Candidate 6]], "&gt;0")</f>
        <v>0</v>
      </c>
      <c r="Z1371" s="111">
        <f>SUM(Audit[[#This Row],[Difference Loser]:[Difference Candidate 6]])</f>
        <v>-38</v>
      </c>
      <c r="AA1371" s="111">
        <f>IF(Audit[[#This Row],[Times p Drawn - With Replacement]]&gt;0, IF(Audit[[#This Row],[Canceled Differences]]&lt;0, Audit[[#This Row],[Max Differences]]+ABS(Audit[[#This Row],[Canceled Differences]]), Audit[[#This Row],[Max Differences]]), 0)</f>
        <v>0</v>
      </c>
      <c r="AB1371" s="111">
        <f>'Sampling Data'!P1364</f>
        <v>2.8784909358157765E-3</v>
      </c>
      <c r="AC1371" s="111">
        <f>IF(
      SUM(Audit[[#This Row],[Audit Losing Candidate]:[Audit Candidate 6]])
      &lt;&gt;0,
      (Audit[[#This Row],[Winning Candidate]]-Audit[[#This Row],[Losing Candidate]]-(Audit[[#This Row],[Audit Winning Candidate]]-Audit[[#This Row],[Audit Losing Candidate]]))/(Audit[[#Totals],[Winning Candidate]]-Audit[[#Totals],[Losing Candidate]]),
      0
)</f>
        <v>0</v>
      </c>
      <c r="AD13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1" s="111">
        <f>IF(Audit[[#This Row],[Max Relative Error (ep)]] = 0, 0, Audit[[#This Row],[Max Relative Error (ep)]]/Audit[[#This Row],[Error Bound (up) - Max. possible relative overstatement]])</f>
        <v>0</v>
      </c>
      <c r="AJ13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71" s="111">
        <f t="shared" si="21"/>
        <v>1</v>
      </c>
      <c r="AL1371" s="111">
        <f>PRODUCT($AK$5:AK1371)</f>
        <v>8.962823818226312E-2</v>
      </c>
      <c r="AM1371" s="109">
        <f>1 - [K-M P Value]</f>
        <v>0.91037176181773694</v>
      </c>
      <c r="AN1371" s="111" t="str">
        <f>IF(Audit[[#This Row],[K-M P Value]]&gt;1-'General Info'!$B$16,"Continue", "Stop")</f>
        <v>Stop</v>
      </c>
      <c r="AO1371" s="110" t="b">
        <f>IF(Audit[[#This Row],[Status - Continue or stop audit]] = "Continue", TRUE, IF(AN1370 = "Continue", TRUE, FALSE))</f>
        <v>0</v>
      </c>
      <c r="AP1371" s="110"/>
    </row>
    <row r="1372" spans="1:42" ht="15" hidden="1" customHeight="1">
      <c r="A1372" s="111" t="str">
        <f>'Sampling Data'!W1365</f>
        <v/>
      </c>
      <c r="B1372" s="112" t="str">
        <f>'Sampling Data'!A1365</f>
        <v>LYNDHURST -03-B</v>
      </c>
      <c r="C1372" s="112">
        <f>'Sampling Data'!B1365</f>
        <v>37</v>
      </c>
      <c r="D1372" s="112">
        <f>'Sampling Data'!C1365</f>
        <v>42</v>
      </c>
      <c r="E1372" s="113">
        <f>'Sampling Data'!D1365</f>
        <v>14</v>
      </c>
      <c r="F1372" s="113">
        <f>'Sampling Data'!E1365</f>
        <v>2</v>
      </c>
      <c r="G1372" s="113">
        <f>'Sampling Data'!F1365</f>
        <v>0</v>
      </c>
      <c r="H1372" s="113">
        <f>'Sampling Data'!G1365</f>
        <v>1</v>
      </c>
      <c r="I1372" s="112">
        <f>'Sampling Data'!H1365</f>
        <v>0</v>
      </c>
      <c r="J1372" s="112">
        <f>'Sampling Data'!I1365</f>
        <v>1</v>
      </c>
      <c r="K1372" s="112">
        <f>'Sampling Data'!J1365</f>
        <v>97</v>
      </c>
      <c r="L1372" s="111">
        <f>'Sampling Data'!X1365</f>
        <v>0</v>
      </c>
      <c r="M1372" s="114"/>
      <c r="N1372" s="114"/>
      <c r="O1372" s="115"/>
      <c r="P1372" s="115"/>
      <c r="Q1372" s="116"/>
      <c r="R1372" s="116"/>
      <c r="S1372" s="111">
        <f>Audit[[#This Row],[Audit Losing Candidate]]-Audit[[#This Row],[Losing Candidate]]</f>
        <v>-37</v>
      </c>
      <c r="T1372" s="111">
        <f>Audit[[#This Row],[Audit Winning Candidate]]-Audit[[#This Row],[Winning Candidate]]</f>
        <v>-42</v>
      </c>
      <c r="U1372" s="111">
        <f>Audit[[#This Row],[Audit Candidate 3]]-Audit[[#This Row],[Candidate 3]]</f>
        <v>-14</v>
      </c>
      <c r="V1372" s="111">
        <f>Audit[[#This Row],[Audit Candidate 4]]-Audit[[#This Row],[Candidate 4]]</f>
        <v>-2</v>
      </c>
      <c r="W1372" s="111">
        <f>Audit[[#This Row],[Audit Candidate 5]]-Audit[[#This Row],[Candidate 5]]</f>
        <v>0</v>
      </c>
      <c r="X1372" s="111">
        <f>Audit[[#This Row],[Audit Candidate 6]]-Audit[[#This Row],[Candidate 6]]</f>
        <v>-1</v>
      </c>
      <c r="Y1372" s="111">
        <f>SUMIF(Audit[[#This Row],[Difference Loser]:[Difference Candidate 6]], "&gt;0")</f>
        <v>0</v>
      </c>
      <c r="Z1372" s="111">
        <f>SUM(Audit[[#This Row],[Difference Loser]:[Difference Candidate 6]])</f>
        <v>-96</v>
      </c>
      <c r="AA1372" s="111">
        <f>IF(Audit[[#This Row],[Times p Drawn - With Replacement]]&gt;0, IF(Audit[[#This Row],[Canceled Differences]]&lt;0, Audit[[#This Row],[Max Differences]]+ABS(Audit[[#This Row],[Canceled Differences]]), Audit[[#This Row],[Max Differences]]), 0)</f>
        <v>0</v>
      </c>
      <c r="AB1372" s="111">
        <f>'Sampling Data'!P1365</f>
        <v>6.2469377756001962E-3</v>
      </c>
      <c r="AC1372" s="111">
        <f>IF(
      SUM(Audit[[#This Row],[Audit Losing Candidate]:[Audit Candidate 6]])
      &lt;&gt;0,
      (Audit[[#This Row],[Winning Candidate]]-Audit[[#This Row],[Losing Candidate]]-(Audit[[#This Row],[Audit Winning Candidate]]-Audit[[#This Row],[Audit Losing Candidate]]))/(Audit[[#Totals],[Winning Candidate]]-Audit[[#Totals],[Losing Candidate]]),
      0
)</f>
        <v>0</v>
      </c>
      <c r="AD13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2" s="111">
        <f>IF(Audit[[#This Row],[Max Relative Error (ep)]] = 0, 0, Audit[[#This Row],[Max Relative Error (ep)]]/Audit[[#This Row],[Error Bound (up) - Max. possible relative overstatement]])</f>
        <v>0</v>
      </c>
      <c r="AJ13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72" s="111">
        <f t="shared" si="21"/>
        <v>1</v>
      </c>
      <c r="AL1372" s="111">
        <f>PRODUCT($AK$5:AK1372)</f>
        <v>8.962823818226312E-2</v>
      </c>
      <c r="AM1372" s="109">
        <f>1 - [K-M P Value]</f>
        <v>0.91037176181773694</v>
      </c>
      <c r="AN1372" s="111" t="str">
        <f>IF(Audit[[#This Row],[K-M P Value]]&gt;1-'General Info'!$B$16,"Continue", "Stop")</f>
        <v>Stop</v>
      </c>
      <c r="AO1372" s="110" t="b">
        <f>IF(Audit[[#This Row],[Status - Continue or stop audit]] = "Continue", TRUE, IF(AN1371 = "Continue", TRUE, FALSE))</f>
        <v>0</v>
      </c>
      <c r="AP1372" s="110"/>
    </row>
    <row r="1373" spans="1:42" ht="15" hidden="1" customHeight="1">
      <c r="A1373" s="111" t="str">
        <f>'Sampling Data'!W1366</f>
        <v/>
      </c>
      <c r="B1373" s="112" t="str">
        <f>'Sampling Data'!A1366</f>
        <v>LYNDHURST -03-B - ABS</v>
      </c>
      <c r="C1373" s="112">
        <f>'Sampling Data'!B1366</f>
        <v>10</v>
      </c>
      <c r="D1373" s="112">
        <f>'Sampling Data'!C1366</f>
        <v>18</v>
      </c>
      <c r="E1373" s="113">
        <f>'Sampling Data'!D1366</f>
        <v>14</v>
      </c>
      <c r="F1373" s="113">
        <f>'Sampling Data'!E1366</f>
        <v>2</v>
      </c>
      <c r="G1373" s="113">
        <f>'Sampling Data'!F1366</f>
        <v>0</v>
      </c>
      <c r="H1373" s="113">
        <f>'Sampling Data'!G1366</f>
        <v>0</v>
      </c>
      <c r="I1373" s="112">
        <f>'Sampling Data'!H1366</f>
        <v>0</v>
      </c>
      <c r="J1373" s="112">
        <f>'Sampling Data'!I1366</f>
        <v>0</v>
      </c>
      <c r="K1373" s="112">
        <f>'Sampling Data'!J1366</f>
        <v>44</v>
      </c>
      <c r="L1373" s="111">
        <f>'Sampling Data'!X1366</f>
        <v>0</v>
      </c>
      <c r="M1373" s="114"/>
      <c r="N1373" s="114"/>
      <c r="O1373" s="115"/>
      <c r="P1373" s="115"/>
      <c r="Q1373" s="116"/>
      <c r="R1373" s="116"/>
      <c r="S1373" s="111">
        <f>Audit[[#This Row],[Audit Losing Candidate]]-Audit[[#This Row],[Losing Candidate]]</f>
        <v>-10</v>
      </c>
      <c r="T1373" s="111">
        <f>Audit[[#This Row],[Audit Winning Candidate]]-Audit[[#This Row],[Winning Candidate]]</f>
        <v>-18</v>
      </c>
      <c r="U1373" s="111">
        <f>Audit[[#This Row],[Audit Candidate 3]]-Audit[[#This Row],[Candidate 3]]</f>
        <v>-14</v>
      </c>
      <c r="V1373" s="111">
        <f>Audit[[#This Row],[Audit Candidate 4]]-Audit[[#This Row],[Candidate 4]]</f>
        <v>-2</v>
      </c>
      <c r="W1373" s="111">
        <f>Audit[[#This Row],[Audit Candidate 5]]-Audit[[#This Row],[Candidate 5]]</f>
        <v>0</v>
      </c>
      <c r="X1373" s="111">
        <f>Audit[[#This Row],[Audit Candidate 6]]-Audit[[#This Row],[Candidate 6]]</f>
        <v>0</v>
      </c>
      <c r="Y1373" s="111">
        <f>SUMIF(Audit[[#This Row],[Difference Loser]:[Difference Candidate 6]], "&gt;0")</f>
        <v>0</v>
      </c>
      <c r="Z1373" s="111">
        <f>SUM(Audit[[#This Row],[Difference Loser]:[Difference Candidate 6]])</f>
        <v>-44</v>
      </c>
      <c r="AA1373" s="111">
        <f>IF(Audit[[#This Row],[Times p Drawn - With Replacement]]&gt;0, IF(Audit[[#This Row],[Canceled Differences]]&lt;0, Audit[[#This Row],[Max Differences]]+ABS(Audit[[#This Row],[Canceled Differences]]), Audit[[#This Row],[Max Differences]]), 0)</f>
        <v>0</v>
      </c>
      <c r="AB1373" s="111">
        <f>'Sampling Data'!P1366</f>
        <v>3.1847133757961785E-3</v>
      </c>
      <c r="AC1373" s="111">
        <f>IF(
      SUM(Audit[[#This Row],[Audit Losing Candidate]:[Audit Candidate 6]])
      &lt;&gt;0,
      (Audit[[#This Row],[Winning Candidate]]-Audit[[#This Row],[Losing Candidate]]-(Audit[[#This Row],[Audit Winning Candidate]]-Audit[[#This Row],[Audit Losing Candidate]]))/(Audit[[#Totals],[Winning Candidate]]-Audit[[#Totals],[Losing Candidate]]),
      0
)</f>
        <v>0</v>
      </c>
      <c r="AD13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3" s="111">
        <f>IF(Audit[[#This Row],[Max Relative Error (ep)]] = 0, 0, Audit[[#This Row],[Max Relative Error (ep)]]/Audit[[#This Row],[Error Bound (up) - Max. possible relative overstatement]])</f>
        <v>0</v>
      </c>
      <c r="AJ13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73" s="111">
        <f t="shared" si="21"/>
        <v>1</v>
      </c>
      <c r="AL1373" s="111">
        <f>PRODUCT($AK$5:AK1373)</f>
        <v>8.962823818226312E-2</v>
      </c>
      <c r="AM1373" s="109">
        <f>1 - [K-M P Value]</f>
        <v>0.91037176181773694</v>
      </c>
      <c r="AN1373" s="111" t="str">
        <f>IF(Audit[[#This Row],[K-M P Value]]&gt;1-'General Info'!$B$16,"Continue", "Stop")</f>
        <v>Stop</v>
      </c>
      <c r="AO1373" s="110" t="b">
        <f>IF(Audit[[#This Row],[Status - Continue or stop audit]] = "Continue", TRUE, IF(AN1372 = "Continue", TRUE, FALSE))</f>
        <v>0</v>
      </c>
      <c r="AP1373" s="110"/>
    </row>
    <row r="1374" spans="1:42" ht="15" hidden="1" customHeight="1">
      <c r="A1374" s="111" t="str">
        <f>'Sampling Data'!W1367</f>
        <v/>
      </c>
      <c r="B1374" s="112" t="str">
        <f>'Sampling Data'!A1367</f>
        <v>LYNDHURST -03-C</v>
      </c>
      <c r="C1374" s="112">
        <f>'Sampling Data'!B1367</f>
        <v>28</v>
      </c>
      <c r="D1374" s="112">
        <f>'Sampling Data'!C1367</f>
        <v>40</v>
      </c>
      <c r="E1374" s="113">
        <f>'Sampling Data'!D1367</f>
        <v>15</v>
      </c>
      <c r="F1374" s="113">
        <f>'Sampling Data'!E1367</f>
        <v>8</v>
      </c>
      <c r="G1374" s="113">
        <f>'Sampling Data'!F1367</f>
        <v>0</v>
      </c>
      <c r="H1374" s="113">
        <f>'Sampling Data'!G1367</f>
        <v>1</v>
      </c>
      <c r="I1374" s="112">
        <f>'Sampling Data'!H1367</f>
        <v>0</v>
      </c>
      <c r="J1374" s="112">
        <f>'Sampling Data'!I1367</f>
        <v>0</v>
      </c>
      <c r="K1374" s="112">
        <f>'Sampling Data'!J1367</f>
        <v>92</v>
      </c>
      <c r="L1374" s="111">
        <f>'Sampling Data'!X1367</f>
        <v>0</v>
      </c>
      <c r="M1374" s="114"/>
      <c r="N1374" s="114"/>
      <c r="O1374" s="115"/>
      <c r="P1374" s="115"/>
      <c r="Q1374" s="116"/>
      <c r="R1374" s="116"/>
      <c r="S1374" s="111">
        <f>Audit[[#This Row],[Audit Losing Candidate]]-Audit[[#This Row],[Losing Candidate]]</f>
        <v>-28</v>
      </c>
      <c r="T1374" s="111">
        <f>Audit[[#This Row],[Audit Winning Candidate]]-Audit[[#This Row],[Winning Candidate]]</f>
        <v>-40</v>
      </c>
      <c r="U1374" s="111">
        <f>Audit[[#This Row],[Audit Candidate 3]]-Audit[[#This Row],[Candidate 3]]</f>
        <v>-15</v>
      </c>
      <c r="V1374" s="111">
        <f>Audit[[#This Row],[Audit Candidate 4]]-Audit[[#This Row],[Candidate 4]]</f>
        <v>-8</v>
      </c>
      <c r="W1374" s="111">
        <f>Audit[[#This Row],[Audit Candidate 5]]-Audit[[#This Row],[Candidate 5]]</f>
        <v>0</v>
      </c>
      <c r="X1374" s="111">
        <f>Audit[[#This Row],[Audit Candidate 6]]-Audit[[#This Row],[Candidate 6]]</f>
        <v>-1</v>
      </c>
      <c r="Y1374" s="111">
        <f>SUMIF(Audit[[#This Row],[Difference Loser]:[Difference Candidate 6]], "&gt;0")</f>
        <v>0</v>
      </c>
      <c r="Z1374" s="111">
        <f>SUM(Audit[[#This Row],[Difference Loser]:[Difference Candidate 6]])</f>
        <v>-92</v>
      </c>
      <c r="AA1374" s="111">
        <f>IF(Audit[[#This Row],[Times p Drawn - With Replacement]]&gt;0, IF(Audit[[#This Row],[Canceled Differences]]&lt;0, Audit[[#This Row],[Max Differences]]+ABS(Audit[[#This Row],[Canceled Differences]]), Audit[[#This Row],[Max Differences]]), 0)</f>
        <v>0</v>
      </c>
      <c r="AB1374" s="111">
        <f>'Sampling Data'!P1367</f>
        <v>6.369426751592357E-3</v>
      </c>
      <c r="AC1374" s="111">
        <f>IF(
      SUM(Audit[[#This Row],[Audit Losing Candidate]:[Audit Candidate 6]])
      &lt;&gt;0,
      (Audit[[#This Row],[Winning Candidate]]-Audit[[#This Row],[Losing Candidate]]-(Audit[[#This Row],[Audit Winning Candidate]]-Audit[[#This Row],[Audit Losing Candidate]]))/(Audit[[#Totals],[Winning Candidate]]-Audit[[#Totals],[Losing Candidate]]),
      0
)</f>
        <v>0</v>
      </c>
      <c r="AD13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4" s="111">
        <f>IF(Audit[[#This Row],[Max Relative Error (ep)]] = 0, 0, Audit[[#This Row],[Max Relative Error (ep)]]/Audit[[#This Row],[Error Bound (up) - Max. possible relative overstatement]])</f>
        <v>0</v>
      </c>
      <c r="AJ13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74" s="111">
        <f t="shared" si="21"/>
        <v>1</v>
      </c>
      <c r="AL1374" s="111">
        <f>PRODUCT($AK$5:AK1374)</f>
        <v>8.962823818226312E-2</v>
      </c>
      <c r="AM1374" s="109">
        <f>1 - [K-M P Value]</f>
        <v>0.91037176181773694</v>
      </c>
      <c r="AN1374" s="111" t="str">
        <f>IF(Audit[[#This Row],[K-M P Value]]&gt;1-'General Info'!$B$16,"Continue", "Stop")</f>
        <v>Stop</v>
      </c>
      <c r="AO1374" s="110" t="b">
        <f>IF(Audit[[#This Row],[Status - Continue or stop audit]] = "Continue", TRUE, IF(AN1373 = "Continue", TRUE, FALSE))</f>
        <v>0</v>
      </c>
      <c r="AP1374" s="110"/>
    </row>
    <row r="1375" spans="1:42" ht="15" hidden="1" customHeight="1">
      <c r="A1375" s="111" t="str">
        <f>'Sampling Data'!W1368</f>
        <v/>
      </c>
      <c r="B1375" s="112" t="str">
        <f>'Sampling Data'!A1368</f>
        <v>LYNDHURST -03-C - ABS</v>
      </c>
      <c r="C1375" s="112">
        <f>'Sampling Data'!B1368</f>
        <v>11</v>
      </c>
      <c r="D1375" s="112">
        <f>'Sampling Data'!C1368</f>
        <v>15</v>
      </c>
      <c r="E1375" s="113">
        <f>'Sampling Data'!D1368</f>
        <v>5</v>
      </c>
      <c r="F1375" s="113">
        <f>'Sampling Data'!E1368</f>
        <v>1</v>
      </c>
      <c r="G1375" s="113">
        <f>'Sampling Data'!F1368</f>
        <v>0</v>
      </c>
      <c r="H1375" s="113">
        <f>'Sampling Data'!G1368</f>
        <v>0</v>
      </c>
      <c r="I1375" s="112">
        <f>'Sampling Data'!H1368</f>
        <v>0</v>
      </c>
      <c r="J1375" s="112">
        <f>'Sampling Data'!I1368</f>
        <v>3</v>
      </c>
      <c r="K1375" s="112">
        <f>'Sampling Data'!J1368</f>
        <v>35</v>
      </c>
      <c r="L1375" s="111">
        <f>'Sampling Data'!X1368</f>
        <v>0</v>
      </c>
      <c r="M1375" s="114"/>
      <c r="N1375" s="114"/>
      <c r="O1375" s="115"/>
      <c r="P1375" s="115"/>
      <c r="Q1375" s="116"/>
      <c r="R1375" s="116"/>
      <c r="S1375" s="111">
        <f>Audit[[#This Row],[Audit Losing Candidate]]-Audit[[#This Row],[Losing Candidate]]</f>
        <v>-11</v>
      </c>
      <c r="T1375" s="111">
        <f>Audit[[#This Row],[Audit Winning Candidate]]-Audit[[#This Row],[Winning Candidate]]</f>
        <v>-15</v>
      </c>
      <c r="U1375" s="111">
        <f>Audit[[#This Row],[Audit Candidate 3]]-Audit[[#This Row],[Candidate 3]]</f>
        <v>-5</v>
      </c>
      <c r="V1375" s="111">
        <f>Audit[[#This Row],[Audit Candidate 4]]-Audit[[#This Row],[Candidate 4]]</f>
        <v>-1</v>
      </c>
      <c r="W1375" s="111">
        <f>Audit[[#This Row],[Audit Candidate 5]]-Audit[[#This Row],[Candidate 5]]</f>
        <v>0</v>
      </c>
      <c r="X1375" s="111">
        <f>Audit[[#This Row],[Audit Candidate 6]]-Audit[[#This Row],[Candidate 6]]</f>
        <v>0</v>
      </c>
      <c r="Y1375" s="111">
        <f>SUMIF(Audit[[#This Row],[Difference Loser]:[Difference Candidate 6]], "&gt;0")</f>
        <v>0</v>
      </c>
      <c r="Z1375" s="111">
        <f>SUM(Audit[[#This Row],[Difference Loser]:[Difference Candidate 6]])</f>
        <v>-32</v>
      </c>
      <c r="AA1375" s="111">
        <f>IF(Audit[[#This Row],[Times p Drawn - With Replacement]]&gt;0, IF(Audit[[#This Row],[Canceled Differences]]&lt;0, Audit[[#This Row],[Max Differences]]+ABS(Audit[[#This Row],[Canceled Differences]]), Audit[[#This Row],[Max Differences]]), 0)</f>
        <v>0</v>
      </c>
      <c r="AB1375" s="111">
        <f>'Sampling Data'!P1368</f>
        <v>2.3885350318471337E-3</v>
      </c>
      <c r="AC1375" s="111">
        <f>IF(
      SUM(Audit[[#This Row],[Audit Losing Candidate]:[Audit Candidate 6]])
      &lt;&gt;0,
      (Audit[[#This Row],[Winning Candidate]]-Audit[[#This Row],[Losing Candidate]]-(Audit[[#This Row],[Audit Winning Candidate]]-Audit[[#This Row],[Audit Losing Candidate]]))/(Audit[[#Totals],[Winning Candidate]]-Audit[[#Totals],[Losing Candidate]]),
      0
)</f>
        <v>0</v>
      </c>
      <c r="AD13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5" s="111">
        <f>IF(Audit[[#This Row],[Max Relative Error (ep)]] = 0, 0, Audit[[#This Row],[Max Relative Error (ep)]]/Audit[[#This Row],[Error Bound (up) - Max. possible relative overstatement]])</f>
        <v>0</v>
      </c>
      <c r="AJ13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75" s="111">
        <f t="shared" si="21"/>
        <v>1</v>
      </c>
      <c r="AL1375" s="111">
        <f>PRODUCT($AK$5:AK1375)</f>
        <v>8.962823818226312E-2</v>
      </c>
      <c r="AM1375" s="109">
        <f>1 - [K-M P Value]</f>
        <v>0.91037176181773694</v>
      </c>
      <c r="AN1375" s="111" t="str">
        <f>IF(Audit[[#This Row],[K-M P Value]]&gt;1-'General Info'!$B$16,"Continue", "Stop")</f>
        <v>Stop</v>
      </c>
      <c r="AO1375" s="110" t="b">
        <f>IF(Audit[[#This Row],[Status - Continue or stop audit]] = "Continue", TRUE, IF(AN1374 = "Continue", TRUE, FALSE))</f>
        <v>0</v>
      </c>
      <c r="AP1375" s="110"/>
    </row>
    <row r="1376" spans="1:42" ht="15" hidden="1" customHeight="1">
      <c r="A1376" s="111" t="str">
        <f>'Sampling Data'!W1369</f>
        <v/>
      </c>
      <c r="B1376" s="112" t="str">
        <f>'Sampling Data'!A1369</f>
        <v>LYNDHURST -04-A</v>
      </c>
      <c r="C1376" s="112">
        <f>'Sampling Data'!B1369</f>
        <v>16</v>
      </c>
      <c r="D1376" s="112">
        <f>'Sampling Data'!C1369</f>
        <v>46</v>
      </c>
      <c r="E1376" s="113">
        <f>'Sampling Data'!D1369</f>
        <v>12</v>
      </c>
      <c r="F1376" s="113">
        <f>'Sampling Data'!E1369</f>
        <v>8</v>
      </c>
      <c r="G1376" s="113">
        <f>'Sampling Data'!F1369</f>
        <v>2</v>
      </c>
      <c r="H1376" s="113">
        <f>'Sampling Data'!G1369</f>
        <v>0</v>
      </c>
      <c r="I1376" s="112">
        <f>'Sampling Data'!H1369</f>
        <v>0</v>
      </c>
      <c r="J1376" s="112">
        <f>'Sampling Data'!I1369</f>
        <v>0</v>
      </c>
      <c r="K1376" s="112">
        <f>'Sampling Data'!J1369</f>
        <v>84</v>
      </c>
      <c r="L1376" s="111">
        <f>'Sampling Data'!X1369</f>
        <v>0</v>
      </c>
      <c r="M1376" s="114"/>
      <c r="N1376" s="114"/>
      <c r="O1376" s="115"/>
      <c r="P1376" s="115"/>
      <c r="Q1376" s="116"/>
      <c r="R1376" s="116"/>
      <c r="S1376" s="111">
        <f>Audit[[#This Row],[Audit Losing Candidate]]-Audit[[#This Row],[Losing Candidate]]</f>
        <v>-16</v>
      </c>
      <c r="T1376" s="111">
        <f>Audit[[#This Row],[Audit Winning Candidate]]-Audit[[#This Row],[Winning Candidate]]</f>
        <v>-46</v>
      </c>
      <c r="U1376" s="111">
        <f>Audit[[#This Row],[Audit Candidate 3]]-Audit[[#This Row],[Candidate 3]]</f>
        <v>-12</v>
      </c>
      <c r="V1376" s="111">
        <f>Audit[[#This Row],[Audit Candidate 4]]-Audit[[#This Row],[Candidate 4]]</f>
        <v>-8</v>
      </c>
      <c r="W1376" s="111">
        <f>Audit[[#This Row],[Audit Candidate 5]]-Audit[[#This Row],[Candidate 5]]</f>
        <v>-2</v>
      </c>
      <c r="X1376" s="111">
        <f>Audit[[#This Row],[Audit Candidate 6]]-Audit[[#This Row],[Candidate 6]]</f>
        <v>0</v>
      </c>
      <c r="Y1376" s="111">
        <f>SUMIF(Audit[[#This Row],[Difference Loser]:[Difference Candidate 6]], "&gt;0")</f>
        <v>0</v>
      </c>
      <c r="Z1376" s="111">
        <f>SUM(Audit[[#This Row],[Difference Loser]:[Difference Candidate 6]])</f>
        <v>-84</v>
      </c>
      <c r="AA1376" s="111">
        <f>IF(Audit[[#This Row],[Times p Drawn - With Replacement]]&gt;0, IF(Audit[[#This Row],[Canceled Differences]]&lt;0, Audit[[#This Row],[Max Differences]]+ABS(Audit[[#This Row],[Canceled Differences]]), Audit[[#This Row],[Max Differences]]), 0)</f>
        <v>0</v>
      </c>
      <c r="AB1376" s="111">
        <f>'Sampling Data'!P1369</f>
        <v>6.9818716315531602E-3</v>
      </c>
      <c r="AC1376" s="111">
        <f>IF(
      SUM(Audit[[#This Row],[Audit Losing Candidate]:[Audit Candidate 6]])
      &lt;&gt;0,
      (Audit[[#This Row],[Winning Candidate]]-Audit[[#This Row],[Losing Candidate]]-(Audit[[#This Row],[Audit Winning Candidate]]-Audit[[#This Row],[Audit Losing Candidate]]))/(Audit[[#Totals],[Winning Candidate]]-Audit[[#Totals],[Losing Candidate]]),
      0
)</f>
        <v>0</v>
      </c>
      <c r="AD13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6" s="111">
        <f>IF(Audit[[#This Row],[Max Relative Error (ep)]] = 0, 0, Audit[[#This Row],[Max Relative Error (ep)]]/Audit[[#This Row],[Error Bound (up) - Max. possible relative overstatement]])</f>
        <v>0</v>
      </c>
      <c r="AJ13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76" s="111">
        <f t="shared" si="21"/>
        <v>1</v>
      </c>
      <c r="AL1376" s="111">
        <f>PRODUCT($AK$5:AK1376)</f>
        <v>8.962823818226312E-2</v>
      </c>
      <c r="AM1376" s="109">
        <f>1 - [K-M P Value]</f>
        <v>0.91037176181773694</v>
      </c>
      <c r="AN1376" s="111" t="str">
        <f>IF(Audit[[#This Row],[K-M P Value]]&gt;1-'General Info'!$B$16,"Continue", "Stop")</f>
        <v>Stop</v>
      </c>
      <c r="AO1376" s="110" t="b">
        <f>IF(Audit[[#This Row],[Status - Continue or stop audit]] = "Continue", TRUE, IF(AN1375 = "Continue", TRUE, FALSE))</f>
        <v>0</v>
      </c>
      <c r="AP1376" s="110"/>
    </row>
    <row r="1377" spans="1:42" ht="15" hidden="1" customHeight="1">
      <c r="A1377" s="111" t="str">
        <f>'Sampling Data'!W1370</f>
        <v/>
      </c>
      <c r="B1377" s="112" t="str">
        <f>'Sampling Data'!A1370</f>
        <v>LYNDHURST -04-A - ABS</v>
      </c>
      <c r="C1377" s="112">
        <f>'Sampling Data'!B1370</f>
        <v>15</v>
      </c>
      <c r="D1377" s="112">
        <f>'Sampling Data'!C1370</f>
        <v>30</v>
      </c>
      <c r="E1377" s="113">
        <f>'Sampling Data'!D1370</f>
        <v>5</v>
      </c>
      <c r="F1377" s="113">
        <f>'Sampling Data'!E1370</f>
        <v>1</v>
      </c>
      <c r="G1377" s="113">
        <f>'Sampling Data'!F1370</f>
        <v>0</v>
      </c>
      <c r="H1377" s="113">
        <f>'Sampling Data'!G1370</f>
        <v>0</v>
      </c>
      <c r="I1377" s="112">
        <f>'Sampling Data'!H1370</f>
        <v>0</v>
      </c>
      <c r="J1377" s="112">
        <f>'Sampling Data'!I1370</f>
        <v>2</v>
      </c>
      <c r="K1377" s="112">
        <f>'Sampling Data'!J1370</f>
        <v>53</v>
      </c>
      <c r="L1377" s="111">
        <f>'Sampling Data'!X1370</f>
        <v>0</v>
      </c>
      <c r="M1377" s="114"/>
      <c r="N1377" s="114"/>
      <c r="O1377" s="115"/>
      <c r="P1377" s="115"/>
      <c r="Q1377" s="116"/>
      <c r="R1377" s="116"/>
      <c r="S1377" s="111">
        <f>Audit[[#This Row],[Audit Losing Candidate]]-Audit[[#This Row],[Losing Candidate]]</f>
        <v>-15</v>
      </c>
      <c r="T1377" s="111">
        <f>Audit[[#This Row],[Audit Winning Candidate]]-Audit[[#This Row],[Winning Candidate]]</f>
        <v>-30</v>
      </c>
      <c r="U1377" s="111">
        <f>Audit[[#This Row],[Audit Candidate 3]]-Audit[[#This Row],[Candidate 3]]</f>
        <v>-5</v>
      </c>
      <c r="V1377" s="111">
        <f>Audit[[#This Row],[Audit Candidate 4]]-Audit[[#This Row],[Candidate 4]]</f>
        <v>-1</v>
      </c>
      <c r="W1377" s="111">
        <f>Audit[[#This Row],[Audit Candidate 5]]-Audit[[#This Row],[Candidate 5]]</f>
        <v>0</v>
      </c>
      <c r="X1377" s="111">
        <f>Audit[[#This Row],[Audit Candidate 6]]-Audit[[#This Row],[Candidate 6]]</f>
        <v>0</v>
      </c>
      <c r="Y1377" s="111">
        <f>SUMIF(Audit[[#This Row],[Difference Loser]:[Difference Candidate 6]], "&gt;0")</f>
        <v>0</v>
      </c>
      <c r="Z1377" s="111">
        <f>SUM(Audit[[#This Row],[Difference Loser]:[Difference Candidate 6]])</f>
        <v>-51</v>
      </c>
      <c r="AA1377" s="111">
        <f>IF(Audit[[#This Row],[Times p Drawn - With Replacement]]&gt;0, IF(Audit[[#This Row],[Canceled Differences]]&lt;0, Audit[[#This Row],[Max Differences]]+ABS(Audit[[#This Row],[Canceled Differences]]), Audit[[#This Row],[Max Differences]]), 0)</f>
        <v>0</v>
      </c>
      <c r="AB1377" s="111">
        <f>'Sampling Data'!P1370</f>
        <v>4.1646251837334641E-3</v>
      </c>
      <c r="AC1377" s="111">
        <f>IF(
      SUM(Audit[[#This Row],[Audit Losing Candidate]:[Audit Candidate 6]])
      &lt;&gt;0,
      (Audit[[#This Row],[Winning Candidate]]-Audit[[#This Row],[Losing Candidate]]-(Audit[[#This Row],[Audit Winning Candidate]]-Audit[[#This Row],[Audit Losing Candidate]]))/(Audit[[#Totals],[Winning Candidate]]-Audit[[#Totals],[Losing Candidate]]),
      0
)</f>
        <v>0</v>
      </c>
      <c r="AD13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7" s="111">
        <f>IF(Audit[[#This Row],[Max Relative Error (ep)]] = 0, 0, Audit[[#This Row],[Max Relative Error (ep)]]/Audit[[#This Row],[Error Bound (up) - Max. possible relative overstatement]])</f>
        <v>0</v>
      </c>
      <c r="AJ13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77" s="111">
        <f t="shared" si="21"/>
        <v>1</v>
      </c>
      <c r="AL1377" s="111">
        <f>PRODUCT($AK$5:AK1377)</f>
        <v>8.962823818226312E-2</v>
      </c>
      <c r="AM1377" s="109">
        <f>1 - [K-M P Value]</f>
        <v>0.91037176181773694</v>
      </c>
      <c r="AN1377" s="111" t="str">
        <f>IF(Audit[[#This Row],[K-M P Value]]&gt;1-'General Info'!$B$16,"Continue", "Stop")</f>
        <v>Stop</v>
      </c>
      <c r="AO1377" s="110" t="b">
        <f>IF(Audit[[#This Row],[Status - Continue or stop audit]] = "Continue", TRUE, IF(AN1376 = "Continue", TRUE, FALSE))</f>
        <v>0</v>
      </c>
      <c r="AP1377" s="110"/>
    </row>
    <row r="1378" spans="1:42" ht="15" hidden="1" customHeight="1">
      <c r="A1378" s="111" t="str">
        <f>'Sampling Data'!W1371</f>
        <v/>
      </c>
      <c r="B1378" s="112" t="str">
        <f>'Sampling Data'!A1371</f>
        <v>LYNDHURST -04-B</v>
      </c>
      <c r="C1378" s="112">
        <f>'Sampling Data'!B1371</f>
        <v>19</v>
      </c>
      <c r="D1378" s="112">
        <f>'Sampling Data'!C1371</f>
        <v>48</v>
      </c>
      <c r="E1378" s="113">
        <f>'Sampling Data'!D1371</f>
        <v>15</v>
      </c>
      <c r="F1378" s="113">
        <f>'Sampling Data'!E1371</f>
        <v>3</v>
      </c>
      <c r="G1378" s="113">
        <f>'Sampling Data'!F1371</f>
        <v>2</v>
      </c>
      <c r="H1378" s="113">
        <f>'Sampling Data'!G1371</f>
        <v>0</v>
      </c>
      <c r="I1378" s="112">
        <f>'Sampling Data'!H1371</f>
        <v>0</v>
      </c>
      <c r="J1378" s="112">
        <f>'Sampling Data'!I1371</f>
        <v>1</v>
      </c>
      <c r="K1378" s="112">
        <f>'Sampling Data'!J1371</f>
        <v>88</v>
      </c>
      <c r="L1378" s="111">
        <f>'Sampling Data'!X1371</f>
        <v>0</v>
      </c>
      <c r="M1378" s="114"/>
      <c r="N1378" s="114"/>
      <c r="O1378" s="115"/>
      <c r="P1378" s="115"/>
      <c r="Q1378" s="116"/>
      <c r="R1378" s="116"/>
      <c r="S1378" s="111">
        <f>Audit[[#This Row],[Audit Losing Candidate]]-Audit[[#This Row],[Losing Candidate]]</f>
        <v>-19</v>
      </c>
      <c r="T1378" s="111">
        <f>Audit[[#This Row],[Audit Winning Candidate]]-Audit[[#This Row],[Winning Candidate]]</f>
        <v>-48</v>
      </c>
      <c r="U1378" s="111">
        <f>Audit[[#This Row],[Audit Candidate 3]]-Audit[[#This Row],[Candidate 3]]</f>
        <v>-15</v>
      </c>
      <c r="V1378" s="111">
        <f>Audit[[#This Row],[Audit Candidate 4]]-Audit[[#This Row],[Candidate 4]]</f>
        <v>-3</v>
      </c>
      <c r="W1378" s="111">
        <f>Audit[[#This Row],[Audit Candidate 5]]-Audit[[#This Row],[Candidate 5]]</f>
        <v>-2</v>
      </c>
      <c r="X1378" s="111">
        <f>Audit[[#This Row],[Audit Candidate 6]]-Audit[[#This Row],[Candidate 6]]</f>
        <v>0</v>
      </c>
      <c r="Y1378" s="111">
        <f>SUMIF(Audit[[#This Row],[Difference Loser]:[Difference Candidate 6]], "&gt;0")</f>
        <v>0</v>
      </c>
      <c r="Z1378" s="111">
        <f>SUM(Audit[[#This Row],[Difference Loser]:[Difference Candidate 6]])</f>
        <v>-87</v>
      </c>
      <c r="AA1378" s="111">
        <f>IF(Audit[[#This Row],[Times p Drawn - With Replacement]]&gt;0, IF(Audit[[#This Row],[Canceled Differences]]&lt;0, Audit[[#This Row],[Max Differences]]+ABS(Audit[[#This Row],[Canceled Differences]]), Audit[[#This Row],[Max Differences]]), 0)</f>
        <v>0</v>
      </c>
      <c r="AB1378" s="111">
        <f>'Sampling Data'!P1371</f>
        <v>7.1656050955414014E-3</v>
      </c>
      <c r="AC1378" s="111">
        <f>IF(
      SUM(Audit[[#This Row],[Audit Losing Candidate]:[Audit Candidate 6]])
      &lt;&gt;0,
      (Audit[[#This Row],[Winning Candidate]]-Audit[[#This Row],[Losing Candidate]]-(Audit[[#This Row],[Audit Winning Candidate]]-Audit[[#This Row],[Audit Losing Candidate]]))/(Audit[[#Totals],[Winning Candidate]]-Audit[[#Totals],[Losing Candidate]]),
      0
)</f>
        <v>0</v>
      </c>
      <c r="AD13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8" s="111">
        <f>IF(Audit[[#This Row],[Max Relative Error (ep)]] = 0, 0, Audit[[#This Row],[Max Relative Error (ep)]]/Audit[[#This Row],[Error Bound (up) - Max. possible relative overstatement]])</f>
        <v>0</v>
      </c>
      <c r="AJ13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78" s="111">
        <f t="shared" si="21"/>
        <v>1</v>
      </c>
      <c r="AL1378" s="111">
        <f>PRODUCT($AK$5:AK1378)</f>
        <v>8.962823818226312E-2</v>
      </c>
      <c r="AM1378" s="109">
        <f>1 - [K-M P Value]</f>
        <v>0.91037176181773694</v>
      </c>
      <c r="AN1378" s="111" t="str">
        <f>IF(Audit[[#This Row],[K-M P Value]]&gt;1-'General Info'!$B$16,"Continue", "Stop")</f>
        <v>Stop</v>
      </c>
      <c r="AO1378" s="110" t="b">
        <f>IF(Audit[[#This Row],[Status - Continue or stop audit]] = "Continue", TRUE, IF(AN1377 = "Continue", TRUE, FALSE))</f>
        <v>0</v>
      </c>
      <c r="AP1378" s="110"/>
    </row>
    <row r="1379" spans="1:42" ht="15" hidden="1" customHeight="1">
      <c r="A1379" s="111" t="str">
        <f>'Sampling Data'!W1372</f>
        <v/>
      </c>
      <c r="B1379" s="112" t="str">
        <f>'Sampling Data'!A1372</f>
        <v>LYNDHURST -04-B - ABS</v>
      </c>
      <c r="C1379" s="112">
        <f>'Sampling Data'!B1372</f>
        <v>11</v>
      </c>
      <c r="D1379" s="112">
        <f>'Sampling Data'!C1372</f>
        <v>38</v>
      </c>
      <c r="E1379" s="113">
        <f>'Sampling Data'!D1372</f>
        <v>3</v>
      </c>
      <c r="F1379" s="113">
        <f>'Sampling Data'!E1372</f>
        <v>1</v>
      </c>
      <c r="G1379" s="113">
        <f>'Sampling Data'!F1372</f>
        <v>1</v>
      </c>
      <c r="H1379" s="113">
        <f>'Sampling Data'!G1372</f>
        <v>0</v>
      </c>
      <c r="I1379" s="112">
        <f>'Sampling Data'!H1372</f>
        <v>0</v>
      </c>
      <c r="J1379" s="112">
        <f>'Sampling Data'!I1372</f>
        <v>1</v>
      </c>
      <c r="K1379" s="112">
        <f>'Sampling Data'!J1372</f>
        <v>55</v>
      </c>
      <c r="L1379" s="111">
        <f>'Sampling Data'!X1372</f>
        <v>0</v>
      </c>
      <c r="M1379" s="114"/>
      <c r="N1379" s="114"/>
      <c r="O1379" s="115"/>
      <c r="P1379" s="115"/>
      <c r="Q1379" s="116"/>
      <c r="R1379" s="116"/>
      <c r="S1379" s="111">
        <f>Audit[[#This Row],[Audit Losing Candidate]]-Audit[[#This Row],[Losing Candidate]]</f>
        <v>-11</v>
      </c>
      <c r="T1379" s="111">
        <f>Audit[[#This Row],[Audit Winning Candidate]]-Audit[[#This Row],[Winning Candidate]]</f>
        <v>-38</v>
      </c>
      <c r="U1379" s="111">
        <f>Audit[[#This Row],[Audit Candidate 3]]-Audit[[#This Row],[Candidate 3]]</f>
        <v>-3</v>
      </c>
      <c r="V1379" s="111">
        <f>Audit[[#This Row],[Audit Candidate 4]]-Audit[[#This Row],[Candidate 4]]</f>
        <v>-1</v>
      </c>
      <c r="W1379" s="111">
        <f>Audit[[#This Row],[Audit Candidate 5]]-Audit[[#This Row],[Candidate 5]]</f>
        <v>-1</v>
      </c>
      <c r="X1379" s="111">
        <f>Audit[[#This Row],[Audit Candidate 6]]-Audit[[#This Row],[Candidate 6]]</f>
        <v>0</v>
      </c>
      <c r="Y1379" s="111">
        <f>SUMIF(Audit[[#This Row],[Difference Loser]:[Difference Candidate 6]], "&gt;0")</f>
        <v>0</v>
      </c>
      <c r="Z1379" s="111">
        <f>SUM(Audit[[#This Row],[Difference Loser]:[Difference Candidate 6]])</f>
        <v>-54</v>
      </c>
      <c r="AA1379" s="111">
        <f>IF(Audit[[#This Row],[Times p Drawn - With Replacement]]&gt;0, IF(Audit[[#This Row],[Canceled Differences]]&lt;0, Audit[[#This Row],[Max Differences]]+ABS(Audit[[#This Row],[Canceled Differences]]), Audit[[#This Row],[Max Differences]]), 0)</f>
        <v>0</v>
      </c>
      <c r="AB1379" s="111">
        <f>'Sampling Data'!P1372</f>
        <v>5.0220480156785889E-3</v>
      </c>
      <c r="AC1379" s="111">
        <f>IF(
      SUM(Audit[[#This Row],[Audit Losing Candidate]:[Audit Candidate 6]])
      &lt;&gt;0,
      (Audit[[#This Row],[Winning Candidate]]-Audit[[#This Row],[Losing Candidate]]-(Audit[[#This Row],[Audit Winning Candidate]]-Audit[[#This Row],[Audit Losing Candidate]]))/(Audit[[#Totals],[Winning Candidate]]-Audit[[#Totals],[Losing Candidate]]),
      0
)</f>
        <v>0</v>
      </c>
      <c r="AD13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9" s="111">
        <f>IF(Audit[[#This Row],[Max Relative Error (ep)]] = 0, 0, Audit[[#This Row],[Max Relative Error (ep)]]/Audit[[#This Row],[Error Bound (up) - Max. possible relative overstatement]])</f>
        <v>0</v>
      </c>
      <c r="AJ13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79" s="111">
        <f t="shared" si="21"/>
        <v>1</v>
      </c>
      <c r="AL1379" s="111">
        <f>PRODUCT($AK$5:AK1379)</f>
        <v>8.962823818226312E-2</v>
      </c>
      <c r="AM1379" s="109">
        <f>1 - [K-M P Value]</f>
        <v>0.91037176181773694</v>
      </c>
      <c r="AN1379" s="111" t="str">
        <f>IF(Audit[[#This Row],[K-M P Value]]&gt;1-'General Info'!$B$16,"Continue", "Stop")</f>
        <v>Stop</v>
      </c>
      <c r="AO1379" s="110" t="b">
        <f>IF(Audit[[#This Row],[Status - Continue or stop audit]] = "Continue", TRUE, IF(AN1378 = "Continue", TRUE, FALSE))</f>
        <v>0</v>
      </c>
      <c r="AP1379" s="110"/>
    </row>
    <row r="1380" spans="1:42" ht="15" hidden="1" customHeight="1">
      <c r="A1380" s="111" t="str">
        <f>'Sampling Data'!W1373</f>
        <v/>
      </c>
      <c r="B1380" s="112" t="str">
        <f>'Sampling Data'!A1373</f>
        <v>LYNDHURST -04-C</v>
      </c>
      <c r="C1380" s="112">
        <f>'Sampling Data'!B1373</f>
        <v>24</v>
      </c>
      <c r="D1380" s="112">
        <f>'Sampling Data'!C1373</f>
        <v>70</v>
      </c>
      <c r="E1380" s="113">
        <f>'Sampling Data'!D1373</f>
        <v>13</v>
      </c>
      <c r="F1380" s="113">
        <f>'Sampling Data'!E1373</f>
        <v>8</v>
      </c>
      <c r="G1380" s="113">
        <f>'Sampling Data'!F1373</f>
        <v>0</v>
      </c>
      <c r="H1380" s="113">
        <f>'Sampling Data'!G1373</f>
        <v>2</v>
      </c>
      <c r="I1380" s="112">
        <f>'Sampling Data'!H1373</f>
        <v>0</v>
      </c>
      <c r="J1380" s="112">
        <f>'Sampling Data'!I1373</f>
        <v>1</v>
      </c>
      <c r="K1380" s="112">
        <f>'Sampling Data'!J1373</f>
        <v>118</v>
      </c>
      <c r="L1380" s="111">
        <f>'Sampling Data'!X1373</f>
        <v>0</v>
      </c>
      <c r="M1380" s="114"/>
      <c r="N1380" s="114"/>
      <c r="O1380" s="115"/>
      <c r="P1380" s="115"/>
      <c r="Q1380" s="116"/>
      <c r="R1380" s="116"/>
      <c r="S1380" s="111">
        <f>Audit[[#This Row],[Audit Losing Candidate]]-Audit[[#This Row],[Losing Candidate]]</f>
        <v>-24</v>
      </c>
      <c r="T1380" s="111">
        <f>Audit[[#This Row],[Audit Winning Candidate]]-Audit[[#This Row],[Winning Candidate]]</f>
        <v>-70</v>
      </c>
      <c r="U1380" s="111">
        <f>Audit[[#This Row],[Audit Candidate 3]]-Audit[[#This Row],[Candidate 3]]</f>
        <v>-13</v>
      </c>
      <c r="V1380" s="111">
        <f>Audit[[#This Row],[Audit Candidate 4]]-Audit[[#This Row],[Candidate 4]]</f>
        <v>-8</v>
      </c>
      <c r="W1380" s="111">
        <f>Audit[[#This Row],[Audit Candidate 5]]-Audit[[#This Row],[Candidate 5]]</f>
        <v>0</v>
      </c>
      <c r="X1380" s="111">
        <f>Audit[[#This Row],[Audit Candidate 6]]-Audit[[#This Row],[Candidate 6]]</f>
        <v>-2</v>
      </c>
      <c r="Y1380" s="111">
        <f>SUMIF(Audit[[#This Row],[Difference Loser]:[Difference Candidate 6]], "&gt;0")</f>
        <v>0</v>
      </c>
      <c r="Z1380" s="111">
        <f>SUM(Audit[[#This Row],[Difference Loser]:[Difference Candidate 6]])</f>
        <v>-117</v>
      </c>
      <c r="AA1380" s="111">
        <f>IF(Audit[[#This Row],[Times p Drawn - With Replacement]]&gt;0, IF(Audit[[#This Row],[Canceled Differences]]&lt;0, Audit[[#This Row],[Max Differences]]+ABS(Audit[[#This Row],[Canceled Differences]]), Audit[[#This Row],[Max Differences]]), 0)</f>
        <v>0</v>
      </c>
      <c r="AB1380" s="111">
        <f>'Sampling Data'!P1373</f>
        <v>1.0044096031357178E-2</v>
      </c>
      <c r="AC1380" s="111">
        <f>IF(
      SUM(Audit[[#This Row],[Audit Losing Candidate]:[Audit Candidate 6]])
      &lt;&gt;0,
      (Audit[[#This Row],[Winning Candidate]]-Audit[[#This Row],[Losing Candidate]]-(Audit[[#This Row],[Audit Winning Candidate]]-Audit[[#This Row],[Audit Losing Candidate]]))/(Audit[[#Totals],[Winning Candidate]]-Audit[[#Totals],[Losing Candidate]]),
      0
)</f>
        <v>0</v>
      </c>
      <c r="AD13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0" s="111">
        <f>IF(Audit[[#This Row],[Max Relative Error (ep)]] = 0, 0, Audit[[#This Row],[Max Relative Error (ep)]]/Audit[[#This Row],[Error Bound (up) - Max. possible relative overstatement]])</f>
        <v>0</v>
      </c>
      <c r="AJ13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80" s="111">
        <f t="shared" si="21"/>
        <v>1</v>
      </c>
      <c r="AL1380" s="111">
        <f>PRODUCT($AK$5:AK1380)</f>
        <v>8.962823818226312E-2</v>
      </c>
      <c r="AM1380" s="109">
        <f>1 - [K-M P Value]</f>
        <v>0.91037176181773694</v>
      </c>
      <c r="AN1380" s="111" t="str">
        <f>IF(Audit[[#This Row],[K-M P Value]]&gt;1-'General Info'!$B$16,"Continue", "Stop")</f>
        <v>Stop</v>
      </c>
      <c r="AO1380" s="110" t="b">
        <f>IF(Audit[[#This Row],[Status - Continue or stop audit]] = "Continue", TRUE, IF(AN1379 = "Continue", TRUE, FALSE))</f>
        <v>0</v>
      </c>
      <c r="AP1380" s="110"/>
    </row>
    <row r="1381" spans="1:42" ht="15" hidden="1" customHeight="1">
      <c r="A1381" s="111" t="str">
        <f>'Sampling Data'!W1374</f>
        <v/>
      </c>
      <c r="B1381" s="112" t="str">
        <f>'Sampling Data'!A1374</f>
        <v>LYNDHURST -04-C - ABS</v>
      </c>
      <c r="C1381" s="112">
        <f>'Sampling Data'!B1374</f>
        <v>11</v>
      </c>
      <c r="D1381" s="112">
        <f>'Sampling Data'!C1374</f>
        <v>22</v>
      </c>
      <c r="E1381" s="113">
        <f>'Sampling Data'!D1374</f>
        <v>9</v>
      </c>
      <c r="F1381" s="113">
        <f>'Sampling Data'!E1374</f>
        <v>2</v>
      </c>
      <c r="G1381" s="113">
        <f>'Sampling Data'!F1374</f>
        <v>0</v>
      </c>
      <c r="H1381" s="113">
        <f>'Sampling Data'!G1374</f>
        <v>0</v>
      </c>
      <c r="I1381" s="112">
        <f>'Sampling Data'!H1374</f>
        <v>0</v>
      </c>
      <c r="J1381" s="112">
        <f>'Sampling Data'!I1374</f>
        <v>0</v>
      </c>
      <c r="K1381" s="112">
        <f>'Sampling Data'!J1374</f>
        <v>44</v>
      </c>
      <c r="L1381" s="111">
        <f>'Sampling Data'!X1374</f>
        <v>0</v>
      </c>
      <c r="M1381" s="114"/>
      <c r="N1381" s="114"/>
      <c r="O1381" s="115"/>
      <c r="P1381" s="115"/>
      <c r="Q1381" s="116"/>
      <c r="R1381" s="116"/>
      <c r="S1381" s="111">
        <f>Audit[[#This Row],[Audit Losing Candidate]]-Audit[[#This Row],[Losing Candidate]]</f>
        <v>-11</v>
      </c>
      <c r="T1381" s="111">
        <f>Audit[[#This Row],[Audit Winning Candidate]]-Audit[[#This Row],[Winning Candidate]]</f>
        <v>-22</v>
      </c>
      <c r="U1381" s="111">
        <f>Audit[[#This Row],[Audit Candidate 3]]-Audit[[#This Row],[Candidate 3]]</f>
        <v>-9</v>
      </c>
      <c r="V1381" s="111">
        <f>Audit[[#This Row],[Audit Candidate 4]]-Audit[[#This Row],[Candidate 4]]</f>
        <v>-2</v>
      </c>
      <c r="W1381" s="111">
        <f>Audit[[#This Row],[Audit Candidate 5]]-Audit[[#This Row],[Candidate 5]]</f>
        <v>0</v>
      </c>
      <c r="X1381" s="111">
        <f>Audit[[#This Row],[Audit Candidate 6]]-Audit[[#This Row],[Candidate 6]]</f>
        <v>0</v>
      </c>
      <c r="Y1381" s="111">
        <f>SUMIF(Audit[[#This Row],[Difference Loser]:[Difference Candidate 6]], "&gt;0")</f>
        <v>0</v>
      </c>
      <c r="Z1381" s="111">
        <f>SUM(Audit[[#This Row],[Difference Loser]:[Difference Candidate 6]])</f>
        <v>-44</v>
      </c>
      <c r="AA1381" s="111">
        <f>IF(Audit[[#This Row],[Times p Drawn - With Replacement]]&gt;0, IF(Audit[[#This Row],[Canceled Differences]]&lt;0, Audit[[#This Row],[Max Differences]]+ABS(Audit[[#This Row],[Canceled Differences]]), Audit[[#This Row],[Max Differences]]), 0)</f>
        <v>0</v>
      </c>
      <c r="AB1381" s="111">
        <f>'Sampling Data'!P1374</f>
        <v>3.3684468397844193E-3</v>
      </c>
      <c r="AC1381" s="111">
        <f>IF(
      SUM(Audit[[#This Row],[Audit Losing Candidate]:[Audit Candidate 6]])
      &lt;&gt;0,
      (Audit[[#This Row],[Winning Candidate]]-Audit[[#This Row],[Losing Candidate]]-(Audit[[#This Row],[Audit Winning Candidate]]-Audit[[#This Row],[Audit Losing Candidate]]))/(Audit[[#Totals],[Winning Candidate]]-Audit[[#Totals],[Losing Candidate]]),
      0
)</f>
        <v>0</v>
      </c>
      <c r="AD13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1" s="111">
        <f>IF(Audit[[#This Row],[Max Relative Error (ep)]] = 0, 0, Audit[[#This Row],[Max Relative Error (ep)]]/Audit[[#This Row],[Error Bound (up) - Max. possible relative overstatement]])</f>
        <v>0</v>
      </c>
      <c r="AJ13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81" s="111">
        <f t="shared" si="21"/>
        <v>1</v>
      </c>
      <c r="AL1381" s="111">
        <f>PRODUCT($AK$5:AK1381)</f>
        <v>8.962823818226312E-2</v>
      </c>
      <c r="AM1381" s="109">
        <f>1 - [K-M P Value]</f>
        <v>0.91037176181773694</v>
      </c>
      <c r="AN1381" s="111" t="str">
        <f>IF(Audit[[#This Row],[K-M P Value]]&gt;1-'General Info'!$B$16,"Continue", "Stop")</f>
        <v>Stop</v>
      </c>
      <c r="AO1381" s="110" t="b">
        <f>IF(Audit[[#This Row],[Status - Continue or stop audit]] = "Continue", TRUE, IF(AN1380 = "Continue", TRUE, FALSE))</f>
        <v>0</v>
      </c>
      <c r="AP1381" s="110"/>
    </row>
    <row r="1382" spans="1:42" ht="15" hidden="1" customHeight="1">
      <c r="A1382" s="111" t="str">
        <f>'Sampling Data'!W1375</f>
        <v/>
      </c>
      <c r="B1382" s="112" t="str">
        <f>'Sampling Data'!A1375</f>
        <v>MAPLE HEIGHTS -01-A</v>
      </c>
      <c r="C1382" s="112">
        <f>'Sampling Data'!B1375</f>
        <v>9</v>
      </c>
      <c r="D1382" s="112">
        <f>'Sampling Data'!C1375</f>
        <v>14</v>
      </c>
      <c r="E1382" s="113">
        <f>'Sampling Data'!D1375</f>
        <v>5</v>
      </c>
      <c r="F1382" s="113">
        <f>'Sampling Data'!E1375</f>
        <v>6</v>
      </c>
      <c r="G1382" s="113">
        <f>'Sampling Data'!F1375</f>
        <v>0</v>
      </c>
      <c r="H1382" s="113">
        <f>'Sampling Data'!G1375</f>
        <v>1</v>
      </c>
      <c r="I1382" s="112">
        <f>'Sampling Data'!H1375</f>
        <v>0</v>
      </c>
      <c r="J1382" s="112">
        <f>'Sampling Data'!I1375</f>
        <v>1</v>
      </c>
      <c r="K1382" s="112">
        <f>'Sampling Data'!J1375</f>
        <v>36</v>
      </c>
      <c r="L1382" s="111">
        <f>'Sampling Data'!X1375</f>
        <v>0</v>
      </c>
      <c r="M1382" s="114"/>
      <c r="N1382" s="114"/>
      <c r="O1382" s="115"/>
      <c r="P1382" s="115"/>
      <c r="Q1382" s="116"/>
      <c r="R1382" s="116"/>
      <c r="S1382" s="111">
        <f>Audit[[#This Row],[Audit Losing Candidate]]-Audit[[#This Row],[Losing Candidate]]</f>
        <v>-9</v>
      </c>
      <c r="T1382" s="111">
        <f>Audit[[#This Row],[Audit Winning Candidate]]-Audit[[#This Row],[Winning Candidate]]</f>
        <v>-14</v>
      </c>
      <c r="U1382" s="111">
        <f>Audit[[#This Row],[Audit Candidate 3]]-Audit[[#This Row],[Candidate 3]]</f>
        <v>-5</v>
      </c>
      <c r="V1382" s="111">
        <f>Audit[[#This Row],[Audit Candidate 4]]-Audit[[#This Row],[Candidate 4]]</f>
        <v>-6</v>
      </c>
      <c r="W1382" s="111">
        <f>Audit[[#This Row],[Audit Candidate 5]]-Audit[[#This Row],[Candidate 5]]</f>
        <v>0</v>
      </c>
      <c r="X1382" s="111">
        <f>Audit[[#This Row],[Audit Candidate 6]]-Audit[[#This Row],[Candidate 6]]</f>
        <v>-1</v>
      </c>
      <c r="Y1382" s="111">
        <f>SUMIF(Audit[[#This Row],[Difference Loser]:[Difference Candidate 6]], "&gt;0")</f>
        <v>0</v>
      </c>
      <c r="Z1382" s="111">
        <f>SUM(Audit[[#This Row],[Difference Loser]:[Difference Candidate 6]])</f>
        <v>-35</v>
      </c>
      <c r="AA1382" s="111">
        <f>IF(Audit[[#This Row],[Times p Drawn - With Replacement]]&gt;0, IF(Audit[[#This Row],[Canceled Differences]]&lt;0, Audit[[#This Row],[Max Differences]]+ABS(Audit[[#This Row],[Canceled Differences]]), Audit[[#This Row],[Max Differences]]), 0)</f>
        <v>0</v>
      </c>
      <c r="AB1382" s="111">
        <f>'Sampling Data'!P1375</f>
        <v>2.5110240078392945E-3</v>
      </c>
      <c r="AC1382" s="111">
        <f>IF(
      SUM(Audit[[#This Row],[Audit Losing Candidate]:[Audit Candidate 6]])
      &lt;&gt;0,
      (Audit[[#This Row],[Winning Candidate]]-Audit[[#This Row],[Losing Candidate]]-(Audit[[#This Row],[Audit Winning Candidate]]-Audit[[#This Row],[Audit Losing Candidate]]))/(Audit[[#Totals],[Winning Candidate]]-Audit[[#Totals],[Losing Candidate]]),
      0
)</f>
        <v>0</v>
      </c>
      <c r="AD13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2" s="111">
        <f>IF(Audit[[#This Row],[Max Relative Error (ep)]] = 0, 0, Audit[[#This Row],[Max Relative Error (ep)]]/Audit[[#This Row],[Error Bound (up) - Max. possible relative overstatement]])</f>
        <v>0</v>
      </c>
      <c r="AJ13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82" s="111">
        <f t="shared" si="21"/>
        <v>1</v>
      </c>
      <c r="AL1382" s="111">
        <f>PRODUCT($AK$5:AK1382)</f>
        <v>8.962823818226312E-2</v>
      </c>
      <c r="AM1382" s="109">
        <f>1 - [K-M P Value]</f>
        <v>0.91037176181773694</v>
      </c>
      <c r="AN1382" s="111" t="str">
        <f>IF(Audit[[#This Row],[K-M P Value]]&gt;1-'General Info'!$B$16,"Continue", "Stop")</f>
        <v>Stop</v>
      </c>
      <c r="AO1382" s="110" t="b">
        <f>IF(Audit[[#This Row],[Status - Continue or stop audit]] = "Continue", TRUE, IF(AN1381 = "Continue", TRUE, FALSE))</f>
        <v>0</v>
      </c>
      <c r="AP1382" s="110"/>
    </row>
    <row r="1383" spans="1:42" ht="15" hidden="1" customHeight="1">
      <c r="A1383" s="111" t="str">
        <f>'Sampling Data'!W1376</f>
        <v/>
      </c>
      <c r="B1383" s="112" t="str">
        <f>'Sampling Data'!A1376</f>
        <v>MAPLE HEIGHTS -01-A - ABS</v>
      </c>
      <c r="C1383" s="112">
        <f>'Sampling Data'!B1376</f>
        <v>6</v>
      </c>
      <c r="D1383" s="112">
        <f>'Sampling Data'!C1376</f>
        <v>4</v>
      </c>
      <c r="E1383" s="113">
        <f>'Sampling Data'!D1376</f>
        <v>2</v>
      </c>
      <c r="F1383" s="113">
        <f>'Sampling Data'!E1376</f>
        <v>0</v>
      </c>
      <c r="G1383" s="113">
        <f>'Sampling Data'!F1376</f>
        <v>0</v>
      </c>
      <c r="H1383" s="113">
        <f>'Sampling Data'!G1376</f>
        <v>0</v>
      </c>
      <c r="I1383" s="112">
        <f>'Sampling Data'!H1376</f>
        <v>0</v>
      </c>
      <c r="J1383" s="112">
        <f>'Sampling Data'!I1376</f>
        <v>0</v>
      </c>
      <c r="K1383" s="112">
        <f>'Sampling Data'!J1376</f>
        <v>12</v>
      </c>
      <c r="L1383" s="111">
        <f>'Sampling Data'!X1376</f>
        <v>0</v>
      </c>
      <c r="M1383" s="114"/>
      <c r="N1383" s="114"/>
      <c r="O1383" s="115"/>
      <c r="P1383" s="115"/>
      <c r="Q1383" s="116"/>
      <c r="R1383" s="116"/>
      <c r="S1383" s="111">
        <f>Audit[[#This Row],[Audit Losing Candidate]]-Audit[[#This Row],[Losing Candidate]]</f>
        <v>-6</v>
      </c>
      <c r="T1383" s="111">
        <f>Audit[[#This Row],[Audit Winning Candidate]]-Audit[[#This Row],[Winning Candidate]]</f>
        <v>-4</v>
      </c>
      <c r="U1383" s="111">
        <f>Audit[[#This Row],[Audit Candidate 3]]-Audit[[#This Row],[Candidate 3]]</f>
        <v>-2</v>
      </c>
      <c r="V1383" s="111">
        <f>Audit[[#This Row],[Audit Candidate 4]]-Audit[[#This Row],[Candidate 4]]</f>
        <v>0</v>
      </c>
      <c r="W1383" s="111">
        <f>Audit[[#This Row],[Audit Candidate 5]]-Audit[[#This Row],[Candidate 5]]</f>
        <v>0</v>
      </c>
      <c r="X1383" s="111">
        <f>Audit[[#This Row],[Audit Candidate 6]]-Audit[[#This Row],[Candidate 6]]</f>
        <v>0</v>
      </c>
      <c r="Y1383" s="111">
        <f>SUMIF(Audit[[#This Row],[Difference Loser]:[Difference Candidate 6]], "&gt;0")</f>
        <v>0</v>
      </c>
      <c r="Z1383" s="111">
        <f>SUM(Audit[[#This Row],[Difference Loser]:[Difference Candidate 6]])</f>
        <v>-12</v>
      </c>
      <c r="AA1383" s="111">
        <f>IF(Audit[[#This Row],[Times p Drawn - With Replacement]]&gt;0, IF(Audit[[#This Row],[Canceled Differences]]&lt;0, Audit[[#This Row],[Max Differences]]+ABS(Audit[[#This Row],[Canceled Differences]]), Audit[[#This Row],[Max Differences]]), 0)</f>
        <v>0</v>
      </c>
      <c r="AB1383" s="111">
        <f>'Sampling Data'!P1376</f>
        <v>6.1244487996080352E-4</v>
      </c>
      <c r="AC1383" s="111">
        <f>IF(
      SUM(Audit[[#This Row],[Audit Losing Candidate]:[Audit Candidate 6]])
      &lt;&gt;0,
      (Audit[[#This Row],[Winning Candidate]]-Audit[[#This Row],[Losing Candidate]]-(Audit[[#This Row],[Audit Winning Candidate]]-Audit[[#This Row],[Audit Losing Candidate]]))/(Audit[[#Totals],[Winning Candidate]]-Audit[[#Totals],[Losing Candidate]]),
      0
)</f>
        <v>0</v>
      </c>
      <c r="AD13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3" s="111">
        <f>IF(Audit[[#This Row],[Max Relative Error (ep)]] = 0, 0, Audit[[#This Row],[Max Relative Error (ep)]]/Audit[[#This Row],[Error Bound (up) - Max. possible relative overstatement]])</f>
        <v>0</v>
      </c>
      <c r="AJ13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83" s="111">
        <f t="shared" si="21"/>
        <v>1</v>
      </c>
      <c r="AL1383" s="111">
        <f>PRODUCT($AK$5:AK1383)</f>
        <v>8.962823818226312E-2</v>
      </c>
      <c r="AM1383" s="109">
        <f>1 - [K-M P Value]</f>
        <v>0.91037176181773694</v>
      </c>
      <c r="AN1383" s="111" t="str">
        <f>IF(Audit[[#This Row],[K-M P Value]]&gt;1-'General Info'!$B$16,"Continue", "Stop")</f>
        <v>Stop</v>
      </c>
      <c r="AO1383" s="110" t="b">
        <f>IF(Audit[[#This Row],[Status - Continue or stop audit]] = "Continue", TRUE, IF(AN1382 = "Continue", TRUE, FALSE))</f>
        <v>0</v>
      </c>
      <c r="AP1383" s="110"/>
    </row>
    <row r="1384" spans="1:42" ht="15" hidden="1" customHeight="1">
      <c r="A1384" s="111" t="str">
        <f>'Sampling Data'!W1377</f>
        <v/>
      </c>
      <c r="B1384" s="112" t="str">
        <f>'Sampling Data'!A1377</f>
        <v>MAPLE HEIGHTS -01-B</v>
      </c>
      <c r="C1384" s="112">
        <f>'Sampling Data'!B1377</f>
        <v>18</v>
      </c>
      <c r="D1384" s="112">
        <f>'Sampling Data'!C1377</f>
        <v>26</v>
      </c>
      <c r="E1384" s="113">
        <f>'Sampling Data'!D1377</f>
        <v>7</v>
      </c>
      <c r="F1384" s="113">
        <f>'Sampling Data'!E1377</f>
        <v>3</v>
      </c>
      <c r="G1384" s="113">
        <f>'Sampling Data'!F1377</f>
        <v>0</v>
      </c>
      <c r="H1384" s="113">
        <f>'Sampling Data'!G1377</f>
        <v>0</v>
      </c>
      <c r="I1384" s="112">
        <f>'Sampling Data'!H1377</f>
        <v>0</v>
      </c>
      <c r="J1384" s="112">
        <f>'Sampling Data'!I1377</f>
        <v>0</v>
      </c>
      <c r="K1384" s="112">
        <f>'Sampling Data'!J1377</f>
        <v>54</v>
      </c>
      <c r="L1384" s="111">
        <f>'Sampling Data'!X1377</f>
        <v>0</v>
      </c>
      <c r="M1384" s="114"/>
      <c r="N1384" s="114"/>
      <c r="O1384" s="115"/>
      <c r="P1384" s="115"/>
      <c r="Q1384" s="116"/>
      <c r="R1384" s="116"/>
      <c r="S1384" s="111">
        <f>Audit[[#This Row],[Audit Losing Candidate]]-Audit[[#This Row],[Losing Candidate]]</f>
        <v>-18</v>
      </c>
      <c r="T1384" s="111">
        <f>Audit[[#This Row],[Audit Winning Candidate]]-Audit[[#This Row],[Winning Candidate]]</f>
        <v>-26</v>
      </c>
      <c r="U1384" s="111">
        <f>Audit[[#This Row],[Audit Candidate 3]]-Audit[[#This Row],[Candidate 3]]</f>
        <v>-7</v>
      </c>
      <c r="V1384" s="111">
        <f>Audit[[#This Row],[Audit Candidate 4]]-Audit[[#This Row],[Candidate 4]]</f>
        <v>-3</v>
      </c>
      <c r="W1384" s="111">
        <f>Audit[[#This Row],[Audit Candidate 5]]-Audit[[#This Row],[Candidate 5]]</f>
        <v>0</v>
      </c>
      <c r="X1384" s="111">
        <f>Audit[[#This Row],[Audit Candidate 6]]-Audit[[#This Row],[Candidate 6]]</f>
        <v>0</v>
      </c>
      <c r="Y1384" s="111">
        <f>SUMIF(Audit[[#This Row],[Difference Loser]:[Difference Candidate 6]], "&gt;0")</f>
        <v>0</v>
      </c>
      <c r="Z1384" s="111">
        <f>SUM(Audit[[#This Row],[Difference Loser]:[Difference Candidate 6]])</f>
        <v>-54</v>
      </c>
      <c r="AA1384" s="111">
        <f>IF(Audit[[#This Row],[Times p Drawn - With Replacement]]&gt;0, IF(Audit[[#This Row],[Canceled Differences]]&lt;0, Audit[[#This Row],[Max Differences]]+ABS(Audit[[#This Row],[Canceled Differences]]), Audit[[#This Row],[Max Differences]]), 0)</f>
        <v>0</v>
      </c>
      <c r="AB1384" s="111">
        <f>'Sampling Data'!P1377</f>
        <v>3.7971582557569817E-3</v>
      </c>
      <c r="AC1384" s="111">
        <f>IF(
      SUM(Audit[[#This Row],[Audit Losing Candidate]:[Audit Candidate 6]])
      &lt;&gt;0,
      (Audit[[#This Row],[Winning Candidate]]-Audit[[#This Row],[Losing Candidate]]-(Audit[[#This Row],[Audit Winning Candidate]]-Audit[[#This Row],[Audit Losing Candidate]]))/(Audit[[#Totals],[Winning Candidate]]-Audit[[#Totals],[Losing Candidate]]),
      0
)</f>
        <v>0</v>
      </c>
      <c r="AD13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4" s="111">
        <f>IF(Audit[[#This Row],[Max Relative Error (ep)]] = 0, 0, Audit[[#This Row],[Max Relative Error (ep)]]/Audit[[#This Row],[Error Bound (up) - Max. possible relative overstatement]])</f>
        <v>0</v>
      </c>
      <c r="AJ13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84" s="111">
        <f t="shared" si="21"/>
        <v>1</v>
      </c>
      <c r="AL1384" s="111">
        <f>PRODUCT($AK$5:AK1384)</f>
        <v>8.962823818226312E-2</v>
      </c>
      <c r="AM1384" s="109">
        <f>1 - [K-M P Value]</f>
        <v>0.91037176181773694</v>
      </c>
      <c r="AN1384" s="111" t="str">
        <f>IF(Audit[[#This Row],[K-M P Value]]&gt;1-'General Info'!$B$16,"Continue", "Stop")</f>
        <v>Stop</v>
      </c>
      <c r="AO1384" s="110" t="b">
        <f>IF(Audit[[#This Row],[Status - Continue or stop audit]] = "Continue", TRUE, IF(AN1383 = "Continue", TRUE, FALSE))</f>
        <v>0</v>
      </c>
      <c r="AP1384" s="110"/>
    </row>
    <row r="1385" spans="1:42" ht="15" hidden="1" customHeight="1">
      <c r="A1385" s="111" t="str">
        <f>'Sampling Data'!W1378</f>
        <v/>
      </c>
      <c r="B1385" s="112" t="str">
        <f>'Sampling Data'!A1378</f>
        <v>MAPLE HEIGHTS -01-B - ABS</v>
      </c>
      <c r="C1385" s="112">
        <f>'Sampling Data'!B1378</f>
        <v>13</v>
      </c>
      <c r="D1385" s="112">
        <f>'Sampling Data'!C1378</f>
        <v>12</v>
      </c>
      <c r="E1385" s="113">
        <f>'Sampling Data'!D1378</f>
        <v>3</v>
      </c>
      <c r="F1385" s="113">
        <f>'Sampling Data'!E1378</f>
        <v>1</v>
      </c>
      <c r="G1385" s="113">
        <f>'Sampling Data'!F1378</f>
        <v>0</v>
      </c>
      <c r="H1385" s="113">
        <f>'Sampling Data'!G1378</f>
        <v>1</v>
      </c>
      <c r="I1385" s="112">
        <f>'Sampling Data'!H1378</f>
        <v>0</v>
      </c>
      <c r="J1385" s="112">
        <f>'Sampling Data'!I1378</f>
        <v>0</v>
      </c>
      <c r="K1385" s="112">
        <f>'Sampling Data'!J1378</f>
        <v>30</v>
      </c>
      <c r="L1385" s="111">
        <f>'Sampling Data'!X1378</f>
        <v>0</v>
      </c>
      <c r="M1385" s="114"/>
      <c r="N1385" s="114"/>
      <c r="O1385" s="115"/>
      <c r="P1385" s="115"/>
      <c r="Q1385" s="116"/>
      <c r="R1385" s="116"/>
      <c r="S1385" s="111">
        <f>Audit[[#This Row],[Audit Losing Candidate]]-Audit[[#This Row],[Losing Candidate]]</f>
        <v>-13</v>
      </c>
      <c r="T1385" s="111">
        <f>Audit[[#This Row],[Audit Winning Candidate]]-Audit[[#This Row],[Winning Candidate]]</f>
        <v>-12</v>
      </c>
      <c r="U1385" s="111">
        <f>Audit[[#This Row],[Audit Candidate 3]]-Audit[[#This Row],[Candidate 3]]</f>
        <v>-3</v>
      </c>
      <c r="V1385" s="111">
        <f>Audit[[#This Row],[Audit Candidate 4]]-Audit[[#This Row],[Candidate 4]]</f>
        <v>-1</v>
      </c>
      <c r="W1385" s="111">
        <f>Audit[[#This Row],[Audit Candidate 5]]-Audit[[#This Row],[Candidate 5]]</f>
        <v>0</v>
      </c>
      <c r="X1385" s="111">
        <f>Audit[[#This Row],[Audit Candidate 6]]-Audit[[#This Row],[Candidate 6]]</f>
        <v>-1</v>
      </c>
      <c r="Y1385" s="111">
        <f>SUMIF(Audit[[#This Row],[Difference Loser]:[Difference Candidate 6]], "&gt;0")</f>
        <v>0</v>
      </c>
      <c r="Z1385" s="111">
        <f>SUM(Audit[[#This Row],[Difference Loser]:[Difference Candidate 6]])</f>
        <v>-30</v>
      </c>
      <c r="AA1385" s="111">
        <f>IF(Audit[[#This Row],[Times p Drawn - With Replacement]]&gt;0, IF(Audit[[#This Row],[Canceled Differences]]&lt;0, Audit[[#This Row],[Max Differences]]+ABS(Audit[[#This Row],[Canceled Differences]]), Audit[[#This Row],[Max Differences]]), 0)</f>
        <v>0</v>
      </c>
      <c r="AB1385" s="111">
        <f>'Sampling Data'!P1378</f>
        <v>1.7760901518863303E-3</v>
      </c>
      <c r="AC1385" s="111">
        <f>IF(
      SUM(Audit[[#This Row],[Audit Losing Candidate]:[Audit Candidate 6]])
      &lt;&gt;0,
      (Audit[[#This Row],[Winning Candidate]]-Audit[[#This Row],[Losing Candidate]]-(Audit[[#This Row],[Audit Winning Candidate]]-Audit[[#This Row],[Audit Losing Candidate]]))/(Audit[[#Totals],[Winning Candidate]]-Audit[[#Totals],[Losing Candidate]]),
      0
)</f>
        <v>0</v>
      </c>
      <c r="AD13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5" s="111">
        <f>IF(Audit[[#This Row],[Max Relative Error (ep)]] = 0, 0, Audit[[#This Row],[Max Relative Error (ep)]]/Audit[[#This Row],[Error Bound (up) - Max. possible relative overstatement]])</f>
        <v>0</v>
      </c>
      <c r="AJ13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85" s="111">
        <f t="shared" si="21"/>
        <v>1</v>
      </c>
      <c r="AL1385" s="111">
        <f>PRODUCT($AK$5:AK1385)</f>
        <v>8.962823818226312E-2</v>
      </c>
      <c r="AM1385" s="109">
        <f>1 - [K-M P Value]</f>
        <v>0.91037176181773694</v>
      </c>
      <c r="AN1385" s="111" t="str">
        <f>IF(Audit[[#This Row],[K-M P Value]]&gt;1-'General Info'!$B$16,"Continue", "Stop")</f>
        <v>Stop</v>
      </c>
      <c r="AO1385" s="110" t="b">
        <f>IF(Audit[[#This Row],[Status - Continue or stop audit]] = "Continue", TRUE, IF(AN1384 = "Continue", TRUE, FALSE))</f>
        <v>0</v>
      </c>
      <c r="AP1385" s="110"/>
    </row>
    <row r="1386" spans="1:42" ht="15" hidden="1" customHeight="1">
      <c r="A1386" s="111" t="str">
        <f>'Sampling Data'!W1379</f>
        <v/>
      </c>
      <c r="B1386" s="112" t="str">
        <f>'Sampling Data'!A1379</f>
        <v>MAPLE HEIGHTS -02-A</v>
      </c>
      <c r="C1386" s="112">
        <f>'Sampling Data'!B1379</f>
        <v>8</v>
      </c>
      <c r="D1386" s="112">
        <f>'Sampling Data'!C1379</f>
        <v>7</v>
      </c>
      <c r="E1386" s="113">
        <f>'Sampling Data'!D1379</f>
        <v>3</v>
      </c>
      <c r="F1386" s="113">
        <f>'Sampling Data'!E1379</f>
        <v>2</v>
      </c>
      <c r="G1386" s="113">
        <f>'Sampling Data'!F1379</f>
        <v>0</v>
      </c>
      <c r="H1386" s="113">
        <f>'Sampling Data'!G1379</f>
        <v>0</v>
      </c>
      <c r="I1386" s="112">
        <f>'Sampling Data'!H1379</f>
        <v>0</v>
      </c>
      <c r="J1386" s="112">
        <f>'Sampling Data'!I1379</f>
        <v>1</v>
      </c>
      <c r="K1386" s="112">
        <f>'Sampling Data'!J1379</f>
        <v>21</v>
      </c>
      <c r="L1386" s="111">
        <f>'Sampling Data'!X1379</f>
        <v>0</v>
      </c>
      <c r="M1386" s="114"/>
      <c r="N1386" s="114"/>
      <c r="O1386" s="115"/>
      <c r="P1386" s="115"/>
      <c r="Q1386" s="116"/>
      <c r="R1386" s="116"/>
      <c r="S1386" s="111">
        <f>Audit[[#This Row],[Audit Losing Candidate]]-Audit[[#This Row],[Losing Candidate]]</f>
        <v>-8</v>
      </c>
      <c r="T1386" s="111">
        <f>Audit[[#This Row],[Audit Winning Candidate]]-Audit[[#This Row],[Winning Candidate]]</f>
        <v>-7</v>
      </c>
      <c r="U1386" s="111">
        <f>Audit[[#This Row],[Audit Candidate 3]]-Audit[[#This Row],[Candidate 3]]</f>
        <v>-3</v>
      </c>
      <c r="V1386" s="111">
        <f>Audit[[#This Row],[Audit Candidate 4]]-Audit[[#This Row],[Candidate 4]]</f>
        <v>-2</v>
      </c>
      <c r="W1386" s="111">
        <f>Audit[[#This Row],[Audit Candidate 5]]-Audit[[#This Row],[Candidate 5]]</f>
        <v>0</v>
      </c>
      <c r="X1386" s="111">
        <f>Audit[[#This Row],[Audit Candidate 6]]-Audit[[#This Row],[Candidate 6]]</f>
        <v>0</v>
      </c>
      <c r="Y1386" s="111">
        <f>SUMIF(Audit[[#This Row],[Difference Loser]:[Difference Candidate 6]], "&gt;0")</f>
        <v>0</v>
      </c>
      <c r="Z1386" s="111">
        <f>SUM(Audit[[#This Row],[Difference Loser]:[Difference Candidate 6]])</f>
        <v>-20</v>
      </c>
      <c r="AA1386" s="111">
        <f>IF(Audit[[#This Row],[Times p Drawn - With Replacement]]&gt;0, IF(Audit[[#This Row],[Canceled Differences]]&lt;0, Audit[[#This Row],[Max Differences]]+ABS(Audit[[#This Row],[Canceled Differences]]), Audit[[#This Row],[Max Differences]]), 0)</f>
        <v>0</v>
      </c>
      <c r="AB1386" s="111">
        <f>'Sampling Data'!P1379</f>
        <v>1.224889759921607E-3</v>
      </c>
      <c r="AC1386" s="111">
        <f>IF(
      SUM(Audit[[#This Row],[Audit Losing Candidate]:[Audit Candidate 6]])
      &lt;&gt;0,
      (Audit[[#This Row],[Winning Candidate]]-Audit[[#This Row],[Losing Candidate]]-(Audit[[#This Row],[Audit Winning Candidate]]-Audit[[#This Row],[Audit Losing Candidate]]))/(Audit[[#Totals],[Winning Candidate]]-Audit[[#Totals],[Losing Candidate]]),
      0
)</f>
        <v>0</v>
      </c>
      <c r="AD13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6" s="111">
        <f>IF(Audit[[#This Row],[Max Relative Error (ep)]] = 0, 0, Audit[[#This Row],[Max Relative Error (ep)]]/Audit[[#This Row],[Error Bound (up) - Max. possible relative overstatement]])</f>
        <v>0</v>
      </c>
      <c r="AJ13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86" s="111">
        <f t="shared" si="21"/>
        <v>1</v>
      </c>
      <c r="AL1386" s="111">
        <f>PRODUCT($AK$5:AK1386)</f>
        <v>8.962823818226312E-2</v>
      </c>
      <c r="AM1386" s="109">
        <f>1 - [K-M P Value]</f>
        <v>0.91037176181773694</v>
      </c>
      <c r="AN1386" s="111" t="str">
        <f>IF(Audit[[#This Row],[K-M P Value]]&gt;1-'General Info'!$B$16,"Continue", "Stop")</f>
        <v>Stop</v>
      </c>
      <c r="AO1386" s="110" t="b">
        <f>IF(Audit[[#This Row],[Status - Continue or stop audit]] = "Continue", TRUE, IF(AN1385 = "Continue", TRUE, FALSE))</f>
        <v>0</v>
      </c>
      <c r="AP1386" s="110"/>
    </row>
    <row r="1387" spans="1:42" ht="15" hidden="1" customHeight="1">
      <c r="A1387" s="111" t="str">
        <f>'Sampling Data'!W1380</f>
        <v/>
      </c>
      <c r="B1387" s="112" t="str">
        <f>'Sampling Data'!A1380</f>
        <v>MAPLE HEIGHTS -02-A - ABS</v>
      </c>
      <c r="C1387" s="112">
        <f>'Sampling Data'!B1380</f>
        <v>3</v>
      </c>
      <c r="D1387" s="112">
        <f>'Sampling Data'!C1380</f>
        <v>4</v>
      </c>
      <c r="E1387" s="113">
        <f>'Sampling Data'!D1380</f>
        <v>3</v>
      </c>
      <c r="F1387" s="113">
        <f>'Sampling Data'!E1380</f>
        <v>2</v>
      </c>
      <c r="G1387" s="113">
        <f>'Sampling Data'!F1380</f>
        <v>1</v>
      </c>
      <c r="H1387" s="113">
        <f>'Sampling Data'!G1380</f>
        <v>0</v>
      </c>
      <c r="I1387" s="112">
        <f>'Sampling Data'!H1380</f>
        <v>0</v>
      </c>
      <c r="J1387" s="112">
        <f>'Sampling Data'!I1380</f>
        <v>0</v>
      </c>
      <c r="K1387" s="112">
        <f>'Sampling Data'!J1380</f>
        <v>13</v>
      </c>
      <c r="L1387" s="111">
        <f>'Sampling Data'!X1380</f>
        <v>0</v>
      </c>
      <c r="M1387" s="114"/>
      <c r="N1387" s="114"/>
      <c r="O1387" s="115"/>
      <c r="P1387" s="115"/>
      <c r="Q1387" s="116"/>
      <c r="R1387" s="116"/>
      <c r="S1387" s="111">
        <f>Audit[[#This Row],[Audit Losing Candidate]]-Audit[[#This Row],[Losing Candidate]]</f>
        <v>-3</v>
      </c>
      <c r="T1387" s="111">
        <f>Audit[[#This Row],[Audit Winning Candidate]]-Audit[[#This Row],[Winning Candidate]]</f>
        <v>-4</v>
      </c>
      <c r="U1387" s="111">
        <f>Audit[[#This Row],[Audit Candidate 3]]-Audit[[#This Row],[Candidate 3]]</f>
        <v>-3</v>
      </c>
      <c r="V1387" s="111">
        <f>Audit[[#This Row],[Audit Candidate 4]]-Audit[[#This Row],[Candidate 4]]</f>
        <v>-2</v>
      </c>
      <c r="W1387" s="111">
        <f>Audit[[#This Row],[Audit Candidate 5]]-Audit[[#This Row],[Candidate 5]]</f>
        <v>-1</v>
      </c>
      <c r="X1387" s="111">
        <f>Audit[[#This Row],[Audit Candidate 6]]-Audit[[#This Row],[Candidate 6]]</f>
        <v>0</v>
      </c>
      <c r="Y1387" s="111">
        <f>SUMIF(Audit[[#This Row],[Difference Loser]:[Difference Candidate 6]], "&gt;0")</f>
        <v>0</v>
      </c>
      <c r="Z1387" s="111">
        <f>SUM(Audit[[#This Row],[Difference Loser]:[Difference Candidate 6]])</f>
        <v>-13</v>
      </c>
      <c r="AA1387" s="111">
        <f>IF(Audit[[#This Row],[Times p Drawn - With Replacement]]&gt;0, IF(Audit[[#This Row],[Canceled Differences]]&lt;0, Audit[[#This Row],[Max Differences]]+ABS(Audit[[#This Row],[Canceled Differences]]), Audit[[#This Row],[Max Differences]]), 0)</f>
        <v>0</v>
      </c>
      <c r="AB1387" s="111">
        <f>'Sampling Data'!P1380</f>
        <v>8.5742283194512492E-4</v>
      </c>
      <c r="AC1387" s="111">
        <f>IF(
      SUM(Audit[[#This Row],[Audit Losing Candidate]:[Audit Candidate 6]])
      &lt;&gt;0,
      (Audit[[#This Row],[Winning Candidate]]-Audit[[#This Row],[Losing Candidate]]-(Audit[[#This Row],[Audit Winning Candidate]]-Audit[[#This Row],[Audit Losing Candidate]]))/(Audit[[#Totals],[Winning Candidate]]-Audit[[#Totals],[Losing Candidate]]),
      0
)</f>
        <v>0</v>
      </c>
      <c r="AD13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7" s="111">
        <f>IF(Audit[[#This Row],[Max Relative Error (ep)]] = 0, 0, Audit[[#This Row],[Max Relative Error (ep)]]/Audit[[#This Row],[Error Bound (up) - Max. possible relative overstatement]])</f>
        <v>0</v>
      </c>
      <c r="AJ13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87" s="111">
        <f t="shared" si="21"/>
        <v>1</v>
      </c>
      <c r="AL1387" s="111">
        <f>PRODUCT($AK$5:AK1387)</f>
        <v>8.962823818226312E-2</v>
      </c>
      <c r="AM1387" s="109">
        <f>1 - [K-M P Value]</f>
        <v>0.91037176181773694</v>
      </c>
      <c r="AN1387" s="111" t="str">
        <f>IF(Audit[[#This Row],[K-M P Value]]&gt;1-'General Info'!$B$16,"Continue", "Stop")</f>
        <v>Stop</v>
      </c>
      <c r="AO1387" s="110" t="b">
        <f>IF(Audit[[#This Row],[Status - Continue or stop audit]] = "Continue", TRUE, IF(AN1386 = "Continue", TRUE, FALSE))</f>
        <v>0</v>
      </c>
      <c r="AP1387" s="110"/>
    </row>
    <row r="1388" spans="1:42" ht="15" hidden="1" customHeight="1">
      <c r="A1388" s="111" t="str">
        <f>'Sampling Data'!W1381</f>
        <v/>
      </c>
      <c r="B1388" s="112" t="str">
        <f>'Sampling Data'!A1381</f>
        <v>MAPLE HEIGHTS -02-B</v>
      </c>
      <c r="C1388" s="112">
        <f>'Sampling Data'!B1381</f>
        <v>6</v>
      </c>
      <c r="D1388" s="112">
        <f>'Sampling Data'!C1381</f>
        <v>5</v>
      </c>
      <c r="E1388" s="113">
        <f>'Sampling Data'!D1381</f>
        <v>2</v>
      </c>
      <c r="F1388" s="113">
        <f>'Sampling Data'!E1381</f>
        <v>1</v>
      </c>
      <c r="G1388" s="113">
        <f>'Sampling Data'!F1381</f>
        <v>0</v>
      </c>
      <c r="H1388" s="113">
        <f>'Sampling Data'!G1381</f>
        <v>0</v>
      </c>
      <c r="I1388" s="112">
        <f>'Sampling Data'!H1381</f>
        <v>0</v>
      </c>
      <c r="J1388" s="112">
        <f>'Sampling Data'!I1381</f>
        <v>0</v>
      </c>
      <c r="K1388" s="112">
        <f>'Sampling Data'!J1381</f>
        <v>14</v>
      </c>
      <c r="L1388" s="111">
        <f>'Sampling Data'!X1381</f>
        <v>0</v>
      </c>
      <c r="M1388" s="114"/>
      <c r="N1388" s="114"/>
      <c r="O1388" s="115"/>
      <c r="P1388" s="115"/>
      <c r="Q1388" s="116"/>
      <c r="R1388" s="116"/>
      <c r="S1388" s="111">
        <f>Audit[[#This Row],[Audit Losing Candidate]]-Audit[[#This Row],[Losing Candidate]]</f>
        <v>-6</v>
      </c>
      <c r="T1388" s="111">
        <f>Audit[[#This Row],[Audit Winning Candidate]]-Audit[[#This Row],[Winning Candidate]]</f>
        <v>-5</v>
      </c>
      <c r="U1388" s="111">
        <f>Audit[[#This Row],[Audit Candidate 3]]-Audit[[#This Row],[Candidate 3]]</f>
        <v>-2</v>
      </c>
      <c r="V1388" s="111">
        <f>Audit[[#This Row],[Audit Candidate 4]]-Audit[[#This Row],[Candidate 4]]</f>
        <v>-1</v>
      </c>
      <c r="W1388" s="111">
        <f>Audit[[#This Row],[Audit Candidate 5]]-Audit[[#This Row],[Candidate 5]]</f>
        <v>0</v>
      </c>
      <c r="X1388" s="111">
        <f>Audit[[#This Row],[Audit Candidate 6]]-Audit[[#This Row],[Candidate 6]]</f>
        <v>0</v>
      </c>
      <c r="Y1388" s="111">
        <f>SUMIF(Audit[[#This Row],[Difference Loser]:[Difference Candidate 6]], "&gt;0")</f>
        <v>0</v>
      </c>
      <c r="Z1388" s="111">
        <f>SUM(Audit[[#This Row],[Difference Loser]:[Difference Candidate 6]])</f>
        <v>-14</v>
      </c>
      <c r="AA1388" s="111">
        <f>IF(Audit[[#This Row],[Times p Drawn - With Replacement]]&gt;0, IF(Audit[[#This Row],[Canceled Differences]]&lt;0, Audit[[#This Row],[Max Differences]]+ABS(Audit[[#This Row],[Canceled Differences]]), Audit[[#This Row],[Max Differences]]), 0)</f>
        <v>0</v>
      </c>
      <c r="AB1388" s="111">
        <f>'Sampling Data'!P1381</f>
        <v>7.9617834394904463E-4</v>
      </c>
      <c r="AC1388" s="111">
        <f>IF(
      SUM(Audit[[#This Row],[Audit Losing Candidate]:[Audit Candidate 6]])
      &lt;&gt;0,
      (Audit[[#This Row],[Winning Candidate]]-Audit[[#This Row],[Losing Candidate]]-(Audit[[#This Row],[Audit Winning Candidate]]-Audit[[#This Row],[Audit Losing Candidate]]))/(Audit[[#Totals],[Winning Candidate]]-Audit[[#Totals],[Losing Candidate]]),
      0
)</f>
        <v>0</v>
      </c>
      <c r="AD13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8" s="111">
        <f>IF(Audit[[#This Row],[Max Relative Error (ep)]] = 0, 0, Audit[[#This Row],[Max Relative Error (ep)]]/Audit[[#This Row],[Error Bound (up) - Max. possible relative overstatement]])</f>
        <v>0</v>
      </c>
      <c r="AJ13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88" s="111">
        <f t="shared" si="21"/>
        <v>1</v>
      </c>
      <c r="AL1388" s="111">
        <f>PRODUCT($AK$5:AK1388)</f>
        <v>8.962823818226312E-2</v>
      </c>
      <c r="AM1388" s="109">
        <f>1 - [K-M P Value]</f>
        <v>0.91037176181773694</v>
      </c>
      <c r="AN1388" s="111" t="str">
        <f>IF(Audit[[#This Row],[K-M P Value]]&gt;1-'General Info'!$B$16,"Continue", "Stop")</f>
        <v>Stop</v>
      </c>
      <c r="AO1388" s="110" t="b">
        <f>IF(Audit[[#This Row],[Status - Continue or stop audit]] = "Continue", TRUE, IF(AN1387 = "Continue", TRUE, FALSE))</f>
        <v>0</v>
      </c>
      <c r="AP1388" s="110"/>
    </row>
    <row r="1389" spans="1:42" ht="15" hidden="1" customHeight="1">
      <c r="A1389" s="111" t="str">
        <f>'Sampling Data'!W1382</f>
        <v/>
      </c>
      <c r="B1389" s="112" t="str">
        <f>'Sampling Data'!A1382</f>
        <v>MAPLE HEIGHTS -02-B - ABS</v>
      </c>
      <c r="C1389" s="112">
        <f>'Sampling Data'!B1382</f>
        <v>4</v>
      </c>
      <c r="D1389" s="112">
        <f>'Sampling Data'!C1382</f>
        <v>1</v>
      </c>
      <c r="E1389" s="113">
        <f>'Sampling Data'!D1382</f>
        <v>3</v>
      </c>
      <c r="F1389" s="113">
        <f>'Sampling Data'!E1382</f>
        <v>0</v>
      </c>
      <c r="G1389" s="113">
        <f>'Sampling Data'!F1382</f>
        <v>0</v>
      </c>
      <c r="H1389" s="113">
        <f>'Sampling Data'!G1382</f>
        <v>0</v>
      </c>
      <c r="I1389" s="112">
        <f>'Sampling Data'!H1382</f>
        <v>0</v>
      </c>
      <c r="J1389" s="112">
        <f>'Sampling Data'!I1382</f>
        <v>0</v>
      </c>
      <c r="K1389" s="112">
        <f>'Sampling Data'!J1382</f>
        <v>8</v>
      </c>
      <c r="L1389" s="111">
        <f>'Sampling Data'!X1382</f>
        <v>0</v>
      </c>
      <c r="M1389" s="114"/>
      <c r="N1389" s="114"/>
      <c r="O1389" s="115"/>
      <c r="P1389" s="115"/>
      <c r="Q1389" s="116"/>
      <c r="R1389" s="116"/>
      <c r="S1389" s="111">
        <f>Audit[[#This Row],[Audit Losing Candidate]]-Audit[[#This Row],[Losing Candidate]]</f>
        <v>-4</v>
      </c>
      <c r="T1389" s="111">
        <f>Audit[[#This Row],[Audit Winning Candidate]]-Audit[[#This Row],[Winning Candidate]]</f>
        <v>-1</v>
      </c>
      <c r="U1389" s="111">
        <f>Audit[[#This Row],[Audit Candidate 3]]-Audit[[#This Row],[Candidate 3]]</f>
        <v>-3</v>
      </c>
      <c r="V1389" s="111">
        <f>Audit[[#This Row],[Audit Candidate 4]]-Audit[[#This Row],[Candidate 4]]</f>
        <v>0</v>
      </c>
      <c r="W1389" s="111">
        <f>Audit[[#This Row],[Audit Candidate 5]]-Audit[[#This Row],[Candidate 5]]</f>
        <v>0</v>
      </c>
      <c r="X1389" s="111">
        <f>Audit[[#This Row],[Audit Candidate 6]]-Audit[[#This Row],[Candidate 6]]</f>
        <v>0</v>
      </c>
      <c r="Y1389" s="111">
        <f>SUMIF(Audit[[#This Row],[Difference Loser]:[Difference Candidate 6]], "&gt;0")</f>
        <v>0</v>
      </c>
      <c r="Z1389" s="111">
        <f>SUM(Audit[[#This Row],[Difference Loser]:[Difference Candidate 6]])</f>
        <v>-8</v>
      </c>
      <c r="AA1389" s="111">
        <f>IF(Audit[[#This Row],[Times p Drawn - With Replacement]]&gt;0, IF(Audit[[#This Row],[Canceled Differences]]&lt;0, Audit[[#This Row],[Max Differences]]+ABS(Audit[[#This Row],[Canceled Differences]]), Audit[[#This Row],[Max Differences]]), 0)</f>
        <v>0</v>
      </c>
      <c r="AB1389" s="111">
        <f>'Sampling Data'!P1382</f>
        <v>3.0622243998040176E-4</v>
      </c>
      <c r="AC1389" s="111">
        <f>IF(
      SUM(Audit[[#This Row],[Audit Losing Candidate]:[Audit Candidate 6]])
      &lt;&gt;0,
      (Audit[[#This Row],[Winning Candidate]]-Audit[[#This Row],[Losing Candidate]]-(Audit[[#This Row],[Audit Winning Candidate]]-Audit[[#This Row],[Audit Losing Candidate]]))/(Audit[[#Totals],[Winning Candidate]]-Audit[[#Totals],[Losing Candidate]]),
      0
)</f>
        <v>0</v>
      </c>
      <c r="AD13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9" s="111">
        <f>IF(Audit[[#This Row],[Max Relative Error (ep)]] = 0, 0, Audit[[#This Row],[Max Relative Error (ep)]]/Audit[[#This Row],[Error Bound (up) - Max. possible relative overstatement]])</f>
        <v>0</v>
      </c>
      <c r="AJ13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89" s="111">
        <f t="shared" si="21"/>
        <v>1</v>
      </c>
      <c r="AL1389" s="111">
        <f>PRODUCT($AK$5:AK1389)</f>
        <v>8.962823818226312E-2</v>
      </c>
      <c r="AM1389" s="109">
        <f>1 - [K-M P Value]</f>
        <v>0.91037176181773694</v>
      </c>
      <c r="AN1389" s="111" t="str">
        <f>IF(Audit[[#This Row],[K-M P Value]]&gt;1-'General Info'!$B$16,"Continue", "Stop")</f>
        <v>Stop</v>
      </c>
      <c r="AO1389" s="110" t="b">
        <f>IF(Audit[[#This Row],[Status - Continue or stop audit]] = "Continue", TRUE, IF(AN1388 = "Continue", TRUE, FALSE))</f>
        <v>0</v>
      </c>
      <c r="AP1389" s="110"/>
    </row>
    <row r="1390" spans="1:42" ht="15" hidden="1" customHeight="1">
      <c r="A1390" s="111" t="str">
        <f>'Sampling Data'!W1383</f>
        <v/>
      </c>
      <c r="B1390" s="112" t="str">
        <f>'Sampling Data'!A1383</f>
        <v>MAPLE HEIGHTS -02-C</v>
      </c>
      <c r="C1390" s="112">
        <f>'Sampling Data'!B1383</f>
        <v>7</v>
      </c>
      <c r="D1390" s="112">
        <f>'Sampling Data'!C1383</f>
        <v>6</v>
      </c>
      <c r="E1390" s="113">
        <f>'Sampling Data'!D1383</f>
        <v>1</v>
      </c>
      <c r="F1390" s="113">
        <f>'Sampling Data'!E1383</f>
        <v>1</v>
      </c>
      <c r="G1390" s="113">
        <f>'Sampling Data'!F1383</f>
        <v>0</v>
      </c>
      <c r="H1390" s="113">
        <f>'Sampling Data'!G1383</f>
        <v>0</v>
      </c>
      <c r="I1390" s="112">
        <f>'Sampling Data'!H1383</f>
        <v>0</v>
      </c>
      <c r="J1390" s="112">
        <f>'Sampling Data'!I1383</f>
        <v>2</v>
      </c>
      <c r="K1390" s="112">
        <f>'Sampling Data'!J1383</f>
        <v>17</v>
      </c>
      <c r="L1390" s="111">
        <f>'Sampling Data'!X1383</f>
        <v>0</v>
      </c>
      <c r="M1390" s="114"/>
      <c r="N1390" s="114"/>
      <c r="O1390" s="115"/>
      <c r="P1390" s="115"/>
      <c r="Q1390" s="116"/>
      <c r="R1390" s="116"/>
      <c r="S1390" s="111">
        <f>Audit[[#This Row],[Audit Losing Candidate]]-Audit[[#This Row],[Losing Candidate]]</f>
        <v>-7</v>
      </c>
      <c r="T1390" s="111">
        <f>Audit[[#This Row],[Audit Winning Candidate]]-Audit[[#This Row],[Winning Candidate]]</f>
        <v>-6</v>
      </c>
      <c r="U1390" s="111">
        <f>Audit[[#This Row],[Audit Candidate 3]]-Audit[[#This Row],[Candidate 3]]</f>
        <v>-1</v>
      </c>
      <c r="V1390" s="111">
        <f>Audit[[#This Row],[Audit Candidate 4]]-Audit[[#This Row],[Candidate 4]]</f>
        <v>-1</v>
      </c>
      <c r="W1390" s="111">
        <f>Audit[[#This Row],[Audit Candidate 5]]-Audit[[#This Row],[Candidate 5]]</f>
        <v>0</v>
      </c>
      <c r="X1390" s="111">
        <f>Audit[[#This Row],[Audit Candidate 6]]-Audit[[#This Row],[Candidate 6]]</f>
        <v>0</v>
      </c>
      <c r="Y1390" s="111">
        <f>SUMIF(Audit[[#This Row],[Difference Loser]:[Difference Candidate 6]], "&gt;0")</f>
        <v>0</v>
      </c>
      <c r="Z1390" s="111">
        <f>SUM(Audit[[#This Row],[Difference Loser]:[Difference Candidate 6]])</f>
        <v>-15</v>
      </c>
      <c r="AA1390" s="111">
        <f>IF(Audit[[#This Row],[Times p Drawn - With Replacement]]&gt;0, IF(Audit[[#This Row],[Canceled Differences]]&lt;0, Audit[[#This Row],[Max Differences]]+ABS(Audit[[#This Row],[Canceled Differences]]), Audit[[#This Row],[Max Differences]]), 0)</f>
        <v>0</v>
      </c>
      <c r="AB1390" s="111">
        <f>'Sampling Data'!P1383</f>
        <v>9.7991180793728563E-4</v>
      </c>
      <c r="AC1390" s="111">
        <f>IF(
      SUM(Audit[[#This Row],[Audit Losing Candidate]:[Audit Candidate 6]])
      &lt;&gt;0,
      (Audit[[#This Row],[Winning Candidate]]-Audit[[#This Row],[Losing Candidate]]-(Audit[[#This Row],[Audit Winning Candidate]]-Audit[[#This Row],[Audit Losing Candidate]]))/(Audit[[#Totals],[Winning Candidate]]-Audit[[#Totals],[Losing Candidate]]),
      0
)</f>
        <v>0</v>
      </c>
      <c r="AD13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0" s="111">
        <f>IF(Audit[[#This Row],[Max Relative Error (ep)]] = 0, 0, Audit[[#This Row],[Max Relative Error (ep)]]/Audit[[#This Row],[Error Bound (up) - Max. possible relative overstatement]])</f>
        <v>0</v>
      </c>
      <c r="AJ13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90" s="111">
        <f t="shared" si="21"/>
        <v>1</v>
      </c>
      <c r="AL1390" s="111">
        <f>PRODUCT($AK$5:AK1390)</f>
        <v>8.962823818226312E-2</v>
      </c>
      <c r="AM1390" s="109">
        <f>1 - [K-M P Value]</f>
        <v>0.91037176181773694</v>
      </c>
      <c r="AN1390" s="111" t="str">
        <f>IF(Audit[[#This Row],[K-M P Value]]&gt;1-'General Info'!$B$16,"Continue", "Stop")</f>
        <v>Stop</v>
      </c>
      <c r="AO1390" s="110" t="b">
        <f>IF(Audit[[#This Row],[Status - Continue or stop audit]] = "Continue", TRUE, IF(AN1389 = "Continue", TRUE, FALSE))</f>
        <v>0</v>
      </c>
      <c r="AP1390" s="110"/>
    </row>
    <row r="1391" spans="1:42" ht="15" hidden="1" customHeight="1">
      <c r="A1391" s="111" t="str">
        <f>'Sampling Data'!W1384</f>
        <v/>
      </c>
      <c r="B1391" s="112" t="str">
        <f>'Sampling Data'!A1384</f>
        <v>MAPLE HEIGHTS -02-C - ABS</v>
      </c>
      <c r="C1391" s="112">
        <f>'Sampling Data'!B1384</f>
        <v>2</v>
      </c>
      <c r="D1391" s="112">
        <f>'Sampling Data'!C1384</f>
        <v>0</v>
      </c>
      <c r="E1391" s="113">
        <f>'Sampling Data'!D1384</f>
        <v>0</v>
      </c>
      <c r="F1391" s="113">
        <f>'Sampling Data'!E1384</f>
        <v>0</v>
      </c>
      <c r="G1391" s="113">
        <f>'Sampling Data'!F1384</f>
        <v>0</v>
      </c>
      <c r="H1391" s="113">
        <f>'Sampling Data'!G1384</f>
        <v>1</v>
      </c>
      <c r="I1391" s="112">
        <f>'Sampling Data'!H1384</f>
        <v>0</v>
      </c>
      <c r="J1391" s="112">
        <f>'Sampling Data'!I1384</f>
        <v>0</v>
      </c>
      <c r="K1391" s="112">
        <f>'Sampling Data'!J1384</f>
        <v>3</v>
      </c>
      <c r="L1391" s="111">
        <f>'Sampling Data'!X1384</f>
        <v>0</v>
      </c>
      <c r="M1391" s="114"/>
      <c r="N1391" s="114"/>
      <c r="O1391" s="115"/>
      <c r="P1391" s="115"/>
      <c r="Q1391" s="116"/>
      <c r="R1391" s="116"/>
      <c r="S1391" s="111">
        <f>Audit[[#This Row],[Audit Losing Candidate]]-Audit[[#This Row],[Losing Candidate]]</f>
        <v>-2</v>
      </c>
      <c r="T1391" s="111">
        <f>Audit[[#This Row],[Audit Winning Candidate]]-Audit[[#This Row],[Winning Candidate]]</f>
        <v>0</v>
      </c>
      <c r="U1391" s="111">
        <f>Audit[[#This Row],[Audit Candidate 3]]-Audit[[#This Row],[Candidate 3]]</f>
        <v>0</v>
      </c>
      <c r="V1391" s="111">
        <f>Audit[[#This Row],[Audit Candidate 4]]-Audit[[#This Row],[Candidate 4]]</f>
        <v>0</v>
      </c>
      <c r="W1391" s="111">
        <f>Audit[[#This Row],[Audit Candidate 5]]-Audit[[#This Row],[Candidate 5]]</f>
        <v>0</v>
      </c>
      <c r="X1391" s="111">
        <f>Audit[[#This Row],[Audit Candidate 6]]-Audit[[#This Row],[Candidate 6]]</f>
        <v>-1</v>
      </c>
      <c r="Y1391" s="111">
        <f>SUMIF(Audit[[#This Row],[Difference Loser]:[Difference Candidate 6]], "&gt;0")</f>
        <v>0</v>
      </c>
      <c r="Z1391" s="111">
        <f>SUM(Audit[[#This Row],[Difference Loser]:[Difference Candidate 6]])</f>
        <v>-3</v>
      </c>
      <c r="AA1391" s="111">
        <f>IF(Audit[[#This Row],[Times p Drawn - With Replacement]]&gt;0, IF(Audit[[#This Row],[Canceled Differences]]&lt;0, Audit[[#This Row],[Max Differences]]+ABS(Audit[[#This Row],[Canceled Differences]]), Audit[[#This Row],[Max Differences]]), 0)</f>
        <v>0</v>
      </c>
      <c r="AB1391" s="111">
        <f>'Sampling Data'!P1384</f>
        <v>9.6783559699325743E-5</v>
      </c>
      <c r="AC1391" s="111">
        <f>IF(
      SUM(Audit[[#This Row],[Audit Losing Candidate]:[Audit Candidate 6]])
      &lt;&gt;0,
      (Audit[[#This Row],[Winning Candidate]]-Audit[[#This Row],[Losing Candidate]]-(Audit[[#This Row],[Audit Winning Candidate]]-Audit[[#This Row],[Audit Losing Candidate]]))/(Audit[[#Totals],[Winning Candidate]]-Audit[[#Totals],[Losing Candidate]]),
      0
)</f>
        <v>0</v>
      </c>
      <c r="AD13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1" s="111">
        <f>IF(Audit[[#This Row],[Max Relative Error (ep)]] = 0, 0, Audit[[#This Row],[Max Relative Error (ep)]]/Audit[[#This Row],[Error Bound (up) - Max. possible relative overstatement]])</f>
        <v>0</v>
      </c>
      <c r="AJ13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91" s="111">
        <f t="shared" si="21"/>
        <v>1</v>
      </c>
      <c r="AL1391" s="111">
        <f>PRODUCT($AK$5:AK1391)</f>
        <v>8.962823818226312E-2</v>
      </c>
      <c r="AM1391" s="109">
        <f>1 - [K-M P Value]</f>
        <v>0.91037176181773694</v>
      </c>
      <c r="AN1391" s="111" t="str">
        <f>IF(Audit[[#This Row],[K-M P Value]]&gt;1-'General Info'!$B$16,"Continue", "Stop")</f>
        <v>Stop</v>
      </c>
      <c r="AO1391" s="110" t="b">
        <f>IF(Audit[[#This Row],[Status - Continue or stop audit]] = "Continue", TRUE, IF(AN1390 = "Continue", TRUE, FALSE))</f>
        <v>0</v>
      </c>
      <c r="AP1391" s="110"/>
    </row>
    <row r="1392" spans="1:42" ht="15" hidden="1" customHeight="1">
      <c r="A1392" s="111" t="str">
        <f>'Sampling Data'!W1385</f>
        <v/>
      </c>
      <c r="B1392" s="112" t="str">
        <f>'Sampling Data'!A1385</f>
        <v>MAPLE HEIGHTS -03-A</v>
      </c>
      <c r="C1392" s="112">
        <f>'Sampling Data'!B1385</f>
        <v>8</v>
      </c>
      <c r="D1392" s="112">
        <f>'Sampling Data'!C1385</f>
        <v>7</v>
      </c>
      <c r="E1392" s="113">
        <f>'Sampling Data'!D1385</f>
        <v>6</v>
      </c>
      <c r="F1392" s="113">
        <f>'Sampling Data'!E1385</f>
        <v>3</v>
      </c>
      <c r="G1392" s="113">
        <f>'Sampling Data'!F1385</f>
        <v>1</v>
      </c>
      <c r="H1392" s="113">
        <f>'Sampling Data'!G1385</f>
        <v>0</v>
      </c>
      <c r="I1392" s="112">
        <f>'Sampling Data'!H1385</f>
        <v>0</v>
      </c>
      <c r="J1392" s="112">
        <f>'Sampling Data'!I1385</f>
        <v>0</v>
      </c>
      <c r="K1392" s="112">
        <f>'Sampling Data'!J1385</f>
        <v>25</v>
      </c>
      <c r="L1392" s="111">
        <f>'Sampling Data'!X1385</f>
        <v>0</v>
      </c>
      <c r="M1392" s="114"/>
      <c r="N1392" s="114"/>
      <c r="O1392" s="115"/>
      <c r="P1392" s="115"/>
      <c r="Q1392" s="116"/>
      <c r="R1392" s="116"/>
      <c r="S1392" s="111">
        <f>Audit[[#This Row],[Audit Losing Candidate]]-Audit[[#This Row],[Losing Candidate]]</f>
        <v>-8</v>
      </c>
      <c r="T1392" s="111">
        <f>Audit[[#This Row],[Audit Winning Candidate]]-Audit[[#This Row],[Winning Candidate]]</f>
        <v>-7</v>
      </c>
      <c r="U1392" s="111">
        <f>Audit[[#This Row],[Audit Candidate 3]]-Audit[[#This Row],[Candidate 3]]</f>
        <v>-6</v>
      </c>
      <c r="V1392" s="111">
        <f>Audit[[#This Row],[Audit Candidate 4]]-Audit[[#This Row],[Candidate 4]]</f>
        <v>-3</v>
      </c>
      <c r="W1392" s="111">
        <f>Audit[[#This Row],[Audit Candidate 5]]-Audit[[#This Row],[Candidate 5]]</f>
        <v>-1</v>
      </c>
      <c r="X1392" s="111">
        <f>Audit[[#This Row],[Audit Candidate 6]]-Audit[[#This Row],[Candidate 6]]</f>
        <v>0</v>
      </c>
      <c r="Y1392" s="111">
        <f>SUMIF(Audit[[#This Row],[Difference Loser]:[Difference Candidate 6]], "&gt;0")</f>
        <v>0</v>
      </c>
      <c r="Z1392" s="111">
        <f>SUM(Audit[[#This Row],[Difference Loser]:[Difference Candidate 6]])</f>
        <v>-25</v>
      </c>
      <c r="AA1392" s="111">
        <f>IF(Audit[[#This Row],[Times p Drawn - With Replacement]]&gt;0, IF(Audit[[#This Row],[Canceled Differences]]&lt;0, Audit[[#This Row],[Max Differences]]+ABS(Audit[[#This Row],[Canceled Differences]]), Audit[[#This Row],[Max Differences]]), 0)</f>
        <v>0</v>
      </c>
      <c r="AB1392" s="111">
        <f>'Sampling Data'!P1385</f>
        <v>1.4698677119059284E-3</v>
      </c>
      <c r="AC1392" s="111">
        <f>IF(
      SUM(Audit[[#This Row],[Audit Losing Candidate]:[Audit Candidate 6]])
      &lt;&gt;0,
      (Audit[[#This Row],[Winning Candidate]]-Audit[[#This Row],[Losing Candidate]]-(Audit[[#This Row],[Audit Winning Candidate]]-Audit[[#This Row],[Audit Losing Candidate]]))/(Audit[[#Totals],[Winning Candidate]]-Audit[[#Totals],[Losing Candidate]]),
      0
)</f>
        <v>0</v>
      </c>
      <c r="AD13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2" s="111">
        <f>IF(Audit[[#This Row],[Max Relative Error (ep)]] = 0, 0, Audit[[#This Row],[Max Relative Error (ep)]]/Audit[[#This Row],[Error Bound (up) - Max. possible relative overstatement]])</f>
        <v>0</v>
      </c>
      <c r="AJ13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92" s="111">
        <f t="shared" si="21"/>
        <v>1</v>
      </c>
      <c r="AL1392" s="111">
        <f>PRODUCT($AK$5:AK1392)</f>
        <v>8.962823818226312E-2</v>
      </c>
      <c r="AM1392" s="109">
        <f>1 - [K-M P Value]</f>
        <v>0.91037176181773694</v>
      </c>
      <c r="AN1392" s="111" t="str">
        <f>IF(Audit[[#This Row],[K-M P Value]]&gt;1-'General Info'!$B$16,"Continue", "Stop")</f>
        <v>Stop</v>
      </c>
      <c r="AO1392" s="110" t="b">
        <f>IF(Audit[[#This Row],[Status - Continue or stop audit]] = "Continue", TRUE, IF(AN1391 = "Continue", TRUE, FALSE))</f>
        <v>0</v>
      </c>
      <c r="AP1392" s="110"/>
    </row>
    <row r="1393" spans="1:42" ht="15" hidden="1" customHeight="1">
      <c r="A1393" s="111" t="str">
        <f>'Sampling Data'!W1386</f>
        <v/>
      </c>
      <c r="B1393" s="112" t="str">
        <f>'Sampling Data'!A1386</f>
        <v>MAPLE HEIGHTS -03-A - ABS</v>
      </c>
      <c r="C1393" s="112">
        <f>'Sampling Data'!B1386</f>
        <v>19</v>
      </c>
      <c r="D1393" s="112">
        <f>'Sampling Data'!C1386</f>
        <v>7</v>
      </c>
      <c r="E1393" s="113">
        <f>'Sampling Data'!D1386</f>
        <v>4</v>
      </c>
      <c r="F1393" s="113">
        <f>'Sampling Data'!E1386</f>
        <v>1</v>
      </c>
      <c r="G1393" s="113">
        <f>'Sampling Data'!F1386</f>
        <v>0</v>
      </c>
      <c r="H1393" s="113">
        <f>'Sampling Data'!G1386</f>
        <v>0</v>
      </c>
      <c r="I1393" s="112">
        <f>'Sampling Data'!H1386</f>
        <v>0</v>
      </c>
      <c r="J1393" s="112">
        <f>'Sampling Data'!I1386</f>
        <v>0</v>
      </c>
      <c r="K1393" s="112">
        <f>'Sampling Data'!J1386</f>
        <v>31</v>
      </c>
      <c r="L1393" s="111">
        <f>'Sampling Data'!X1386</f>
        <v>0</v>
      </c>
      <c r="M1393" s="114"/>
      <c r="N1393" s="114"/>
      <c r="O1393" s="115"/>
      <c r="P1393" s="115"/>
      <c r="Q1393" s="116"/>
      <c r="R1393" s="116"/>
      <c r="S1393" s="111">
        <f>Audit[[#This Row],[Audit Losing Candidate]]-Audit[[#This Row],[Losing Candidate]]</f>
        <v>-19</v>
      </c>
      <c r="T1393" s="111">
        <f>Audit[[#This Row],[Audit Winning Candidate]]-Audit[[#This Row],[Winning Candidate]]</f>
        <v>-7</v>
      </c>
      <c r="U1393" s="111">
        <f>Audit[[#This Row],[Audit Candidate 3]]-Audit[[#This Row],[Candidate 3]]</f>
        <v>-4</v>
      </c>
      <c r="V1393" s="111">
        <f>Audit[[#This Row],[Audit Candidate 4]]-Audit[[#This Row],[Candidate 4]]</f>
        <v>-1</v>
      </c>
      <c r="W1393" s="111">
        <f>Audit[[#This Row],[Audit Candidate 5]]-Audit[[#This Row],[Candidate 5]]</f>
        <v>0</v>
      </c>
      <c r="X1393" s="111">
        <f>Audit[[#This Row],[Audit Candidate 6]]-Audit[[#This Row],[Candidate 6]]</f>
        <v>0</v>
      </c>
      <c r="Y1393" s="111">
        <f>SUMIF(Audit[[#This Row],[Difference Loser]:[Difference Candidate 6]], "&gt;0")</f>
        <v>0</v>
      </c>
      <c r="Z1393" s="111">
        <f>SUM(Audit[[#This Row],[Difference Loser]:[Difference Candidate 6]])</f>
        <v>-31</v>
      </c>
      <c r="AA1393" s="111">
        <f>IF(Audit[[#This Row],[Times p Drawn - With Replacement]]&gt;0, IF(Audit[[#This Row],[Canceled Differences]]&lt;0, Audit[[#This Row],[Max Differences]]+ABS(Audit[[#This Row],[Canceled Differences]]), Audit[[#This Row],[Max Differences]]), 0)</f>
        <v>0</v>
      </c>
      <c r="AB1393" s="111">
        <f>'Sampling Data'!P1386</f>
        <v>1.1636452719255266E-3</v>
      </c>
      <c r="AC1393" s="111">
        <f>IF(
      SUM(Audit[[#This Row],[Audit Losing Candidate]:[Audit Candidate 6]])
      &lt;&gt;0,
      (Audit[[#This Row],[Winning Candidate]]-Audit[[#This Row],[Losing Candidate]]-(Audit[[#This Row],[Audit Winning Candidate]]-Audit[[#This Row],[Audit Losing Candidate]]))/(Audit[[#Totals],[Winning Candidate]]-Audit[[#Totals],[Losing Candidate]]),
      0
)</f>
        <v>0</v>
      </c>
      <c r="AD13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3" s="111">
        <f>IF(Audit[[#This Row],[Max Relative Error (ep)]] = 0, 0, Audit[[#This Row],[Max Relative Error (ep)]]/Audit[[#This Row],[Error Bound (up) - Max. possible relative overstatement]])</f>
        <v>0</v>
      </c>
      <c r="AJ13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93" s="111">
        <f t="shared" si="21"/>
        <v>1</v>
      </c>
      <c r="AL1393" s="111">
        <f>PRODUCT($AK$5:AK1393)</f>
        <v>8.962823818226312E-2</v>
      </c>
      <c r="AM1393" s="109">
        <f>1 - [K-M P Value]</f>
        <v>0.91037176181773694</v>
      </c>
      <c r="AN1393" s="111" t="str">
        <f>IF(Audit[[#This Row],[K-M P Value]]&gt;1-'General Info'!$B$16,"Continue", "Stop")</f>
        <v>Stop</v>
      </c>
      <c r="AO1393" s="110" t="b">
        <f>IF(Audit[[#This Row],[Status - Continue or stop audit]] = "Continue", TRUE, IF(AN1392 = "Continue", TRUE, FALSE))</f>
        <v>0</v>
      </c>
      <c r="AP1393" s="110"/>
    </row>
    <row r="1394" spans="1:42" ht="15" hidden="1" customHeight="1">
      <c r="A1394" s="111" t="str">
        <f>'Sampling Data'!W1387</f>
        <v/>
      </c>
      <c r="B1394" s="112" t="str">
        <f>'Sampling Data'!A1387</f>
        <v>MAPLE HEIGHTS -03-B</v>
      </c>
      <c r="C1394" s="112">
        <f>'Sampling Data'!B1387</f>
        <v>9</v>
      </c>
      <c r="D1394" s="112">
        <f>'Sampling Data'!C1387</f>
        <v>7</v>
      </c>
      <c r="E1394" s="113">
        <f>'Sampling Data'!D1387</f>
        <v>6</v>
      </c>
      <c r="F1394" s="113">
        <f>'Sampling Data'!E1387</f>
        <v>2</v>
      </c>
      <c r="G1394" s="113">
        <f>'Sampling Data'!F1387</f>
        <v>0</v>
      </c>
      <c r="H1394" s="113">
        <f>'Sampling Data'!G1387</f>
        <v>0</v>
      </c>
      <c r="I1394" s="112">
        <f>'Sampling Data'!H1387</f>
        <v>0</v>
      </c>
      <c r="J1394" s="112">
        <f>'Sampling Data'!I1387</f>
        <v>0</v>
      </c>
      <c r="K1394" s="112">
        <f>'Sampling Data'!J1387</f>
        <v>24</v>
      </c>
      <c r="L1394" s="111">
        <f>'Sampling Data'!X1387</f>
        <v>0</v>
      </c>
      <c r="M1394" s="114"/>
      <c r="N1394" s="114"/>
      <c r="O1394" s="115"/>
      <c r="P1394" s="115"/>
      <c r="Q1394" s="116"/>
      <c r="R1394" s="116"/>
      <c r="S1394" s="111">
        <f>Audit[[#This Row],[Audit Losing Candidate]]-Audit[[#This Row],[Losing Candidate]]</f>
        <v>-9</v>
      </c>
      <c r="T1394" s="111">
        <f>Audit[[#This Row],[Audit Winning Candidate]]-Audit[[#This Row],[Winning Candidate]]</f>
        <v>-7</v>
      </c>
      <c r="U1394" s="111">
        <f>Audit[[#This Row],[Audit Candidate 3]]-Audit[[#This Row],[Candidate 3]]</f>
        <v>-6</v>
      </c>
      <c r="V1394" s="111">
        <f>Audit[[#This Row],[Audit Candidate 4]]-Audit[[#This Row],[Candidate 4]]</f>
        <v>-2</v>
      </c>
      <c r="W1394" s="111">
        <f>Audit[[#This Row],[Audit Candidate 5]]-Audit[[#This Row],[Candidate 5]]</f>
        <v>0</v>
      </c>
      <c r="X1394" s="111">
        <f>Audit[[#This Row],[Audit Candidate 6]]-Audit[[#This Row],[Candidate 6]]</f>
        <v>0</v>
      </c>
      <c r="Y1394" s="111">
        <f>SUMIF(Audit[[#This Row],[Difference Loser]:[Difference Candidate 6]], "&gt;0")</f>
        <v>0</v>
      </c>
      <c r="Z1394" s="111">
        <f>SUM(Audit[[#This Row],[Difference Loser]:[Difference Candidate 6]])</f>
        <v>-24</v>
      </c>
      <c r="AA1394" s="111">
        <f>IF(Audit[[#This Row],[Times p Drawn - With Replacement]]&gt;0, IF(Audit[[#This Row],[Canceled Differences]]&lt;0, Audit[[#This Row],[Max Differences]]+ABS(Audit[[#This Row],[Canceled Differences]]), Audit[[#This Row],[Max Differences]]), 0)</f>
        <v>0</v>
      </c>
      <c r="AB1394" s="111">
        <f>'Sampling Data'!P1387</f>
        <v>1.3473787359137678E-3</v>
      </c>
      <c r="AC1394" s="111">
        <f>IF(
      SUM(Audit[[#This Row],[Audit Losing Candidate]:[Audit Candidate 6]])
      &lt;&gt;0,
      (Audit[[#This Row],[Winning Candidate]]-Audit[[#This Row],[Losing Candidate]]-(Audit[[#This Row],[Audit Winning Candidate]]-Audit[[#This Row],[Audit Losing Candidate]]))/(Audit[[#Totals],[Winning Candidate]]-Audit[[#Totals],[Losing Candidate]]),
      0
)</f>
        <v>0</v>
      </c>
      <c r="AD13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4" s="111">
        <f>IF(Audit[[#This Row],[Max Relative Error (ep)]] = 0, 0, Audit[[#This Row],[Max Relative Error (ep)]]/Audit[[#This Row],[Error Bound (up) - Max. possible relative overstatement]])</f>
        <v>0</v>
      </c>
      <c r="AJ13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94" s="111">
        <f t="shared" si="21"/>
        <v>1</v>
      </c>
      <c r="AL1394" s="111">
        <f>PRODUCT($AK$5:AK1394)</f>
        <v>8.962823818226312E-2</v>
      </c>
      <c r="AM1394" s="109">
        <f>1 - [K-M P Value]</f>
        <v>0.91037176181773694</v>
      </c>
      <c r="AN1394" s="111" t="str">
        <f>IF(Audit[[#This Row],[K-M P Value]]&gt;1-'General Info'!$B$16,"Continue", "Stop")</f>
        <v>Stop</v>
      </c>
      <c r="AO1394" s="110" t="b">
        <f>IF(Audit[[#This Row],[Status - Continue or stop audit]] = "Continue", TRUE, IF(AN1393 = "Continue", TRUE, FALSE))</f>
        <v>0</v>
      </c>
      <c r="AP1394" s="110"/>
    </row>
    <row r="1395" spans="1:42" ht="15" hidden="1" customHeight="1">
      <c r="A1395" s="111" t="str">
        <f>'Sampling Data'!W1388</f>
        <v/>
      </c>
      <c r="B1395" s="112" t="str">
        <f>'Sampling Data'!A1388</f>
        <v>MAPLE HEIGHTS -03-B - ABS</v>
      </c>
      <c r="C1395" s="112">
        <f>'Sampling Data'!B1388</f>
        <v>3</v>
      </c>
      <c r="D1395" s="112">
        <f>'Sampling Data'!C1388</f>
        <v>3</v>
      </c>
      <c r="E1395" s="113">
        <f>'Sampling Data'!D1388</f>
        <v>0</v>
      </c>
      <c r="F1395" s="113">
        <f>'Sampling Data'!E1388</f>
        <v>0</v>
      </c>
      <c r="G1395" s="113">
        <f>'Sampling Data'!F1388</f>
        <v>0</v>
      </c>
      <c r="H1395" s="113">
        <f>'Sampling Data'!G1388</f>
        <v>0</v>
      </c>
      <c r="I1395" s="112">
        <f>'Sampling Data'!H1388</f>
        <v>0</v>
      </c>
      <c r="J1395" s="112">
        <f>'Sampling Data'!I1388</f>
        <v>1</v>
      </c>
      <c r="K1395" s="112">
        <f>'Sampling Data'!J1388</f>
        <v>7</v>
      </c>
      <c r="L1395" s="111">
        <f>'Sampling Data'!X1388</f>
        <v>0</v>
      </c>
      <c r="M1395" s="114"/>
      <c r="N1395" s="114"/>
      <c r="O1395" s="115"/>
      <c r="P1395" s="115"/>
      <c r="Q1395" s="116"/>
      <c r="R1395" s="116"/>
      <c r="S1395" s="111">
        <f>Audit[[#This Row],[Audit Losing Candidate]]-Audit[[#This Row],[Losing Candidate]]</f>
        <v>-3</v>
      </c>
      <c r="T1395" s="111">
        <f>Audit[[#This Row],[Audit Winning Candidate]]-Audit[[#This Row],[Winning Candidate]]</f>
        <v>-3</v>
      </c>
      <c r="U1395" s="111">
        <f>Audit[[#This Row],[Audit Candidate 3]]-Audit[[#This Row],[Candidate 3]]</f>
        <v>0</v>
      </c>
      <c r="V1395" s="111">
        <f>Audit[[#This Row],[Audit Candidate 4]]-Audit[[#This Row],[Candidate 4]]</f>
        <v>0</v>
      </c>
      <c r="W1395" s="111">
        <f>Audit[[#This Row],[Audit Candidate 5]]-Audit[[#This Row],[Candidate 5]]</f>
        <v>0</v>
      </c>
      <c r="X1395" s="111">
        <f>Audit[[#This Row],[Audit Candidate 6]]-Audit[[#This Row],[Candidate 6]]</f>
        <v>0</v>
      </c>
      <c r="Y1395" s="111">
        <f>SUMIF(Audit[[#This Row],[Difference Loser]:[Difference Candidate 6]], "&gt;0")</f>
        <v>0</v>
      </c>
      <c r="Z1395" s="111">
        <f>SUM(Audit[[#This Row],[Difference Loser]:[Difference Candidate 6]])</f>
        <v>-6</v>
      </c>
      <c r="AA1395" s="111">
        <f>IF(Audit[[#This Row],[Times p Drawn - With Replacement]]&gt;0, IF(Audit[[#This Row],[Canceled Differences]]&lt;0, Audit[[#This Row],[Max Differences]]+ABS(Audit[[#This Row],[Canceled Differences]]), Audit[[#This Row],[Max Differences]]), 0)</f>
        <v>0</v>
      </c>
      <c r="AB1395" s="111">
        <f>'Sampling Data'!P1388</f>
        <v>4.2871141597256246E-4</v>
      </c>
      <c r="AC1395" s="111">
        <f>IF(
      SUM(Audit[[#This Row],[Audit Losing Candidate]:[Audit Candidate 6]])
      &lt;&gt;0,
      (Audit[[#This Row],[Winning Candidate]]-Audit[[#This Row],[Losing Candidate]]-(Audit[[#This Row],[Audit Winning Candidate]]-Audit[[#This Row],[Audit Losing Candidate]]))/(Audit[[#Totals],[Winning Candidate]]-Audit[[#Totals],[Losing Candidate]]),
      0
)</f>
        <v>0</v>
      </c>
      <c r="AD13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5" s="111">
        <f>IF(Audit[[#This Row],[Max Relative Error (ep)]] = 0, 0, Audit[[#This Row],[Max Relative Error (ep)]]/Audit[[#This Row],[Error Bound (up) - Max. possible relative overstatement]])</f>
        <v>0</v>
      </c>
      <c r="AJ13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95" s="111">
        <f t="shared" si="21"/>
        <v>1</v>
      </c>
      <c r="AL1395" s="111">
        <f>PRODUCT($AK$5:AK1395)</f>
        <v>8.962823818226312E-2</v>
      </c>
      <c r="AM1395" s="109">
        <f>1 - [K-M P Value]</f>
        <v>0.91037176181773694</v>
      </c>
      <c r="AN1395" s="111" t="str">
        <f>IF(Audit[[#This Row],[K-M P Value]]&gt;1-'General Info'!$B$16,"Continue", "Stop")</f>
        <v>Stop</v>
      </c>
      <c r="AO1395" s="110" t="b">
        <f>IF(Audit[[#This Row],[Status - Continue or stop audit]] = "Continue", TRUE, IF(AN1394 = "Continue", TRUE, FALSE))</f>
        <v>0</v>
      </c>
      <c r="AP1395" s="110"/>
    </row>
    <row r="1396" spans="1:42" ht="15" hidden="1" customHeight="1">
      <c r="A1396" s="111" t="str">
        <f>'Sampling Data'!W1389</f>
        <v/>
      </c>
      <c r="B1396" s="112" t="str">
        <f>'Sampling Data'!A1389</f>
        <v>MAPLE HEIGHTS -04-A</v>
      </c>
      <c r="C1396" s="112">
        <f>'Sampling Data'!B1389</f>
        <v>10</v>
      </c>
      <c r="D1396" s="112">
        <f>'Sampling Data'!C1389</f>
        <v>7</v>
      </c>
      <c r="E1396" s="113">
        <f>'Sampling Data'!D1389</f>
        <v>1</v>
      </c>
      <c r="F1396" s="113">
        <f>'Sampling Data'!E1389</f>
        <v>4</v>
      </c>
      <c r="G1396" s="113">
        <f>'Sampling Data'!F1389</f>
        <v>0</v>
      </c>
      <c r="H1396" s="113">
        <f>'Sampling Data'!G1389</f>
        <v>0</v>
      </c>
      <c r="I1396" s="112">
        <f>'Sampling Data'!H1389</f>
        <v>0</v>
      </c>
      <c r="J1396" s="112">
        <f>'Sampling Data'!I1389</f>
        <v>0</v>
      </c>
      <c r="K1396" s="112">
        <f>'Sampling Data'!J1389</f>
        <v>22</v>
      </c>
      <c r="L1396" s="111">
        <f>'Sampling Data'!X1389</f>
        <v>0</v>
      </c>
      <c r="M1396" s="114"/>
      <c r="N1396" s="114"/>
      <c r="O1396" s="115"/>
      <c r="P1396" s="115"/>
      <c r="Q1396" s="116"/>
      <c r="R1396" s="116"/>
      <c r="S1396" s="111">
        <f>Audit[[#This Row],[Audit Losing Candidate]]-Audit[[#This Row],[Losing Candidate]]</f>
        <v>-10</v>
      </c>
      <c r="T1396" s="111">
        <f>Audit[[#This Row],[Audit Winning Candidate]]-Audit[[#This Row],[Winning Candidate]]</f>
        <v>-7</v>
      </c>
      <c r="U1396" s="111">
        <f>Audit[[#This Row],[Audit Candidate 3]]-Audit[[#This Row],[Candidate 3]]</f>
        <v>-1</v>
      </c>
      <c r="V1396" s="111">
        <f>Audit[[#This Row],[Audit Candidate 4]]-Audit[[#This Row],[Candidate 4]]</f>
        <v>-4</v>
      </c>
      <c r="W1396" s="111">
        <f>Audit[[#This Row],[Audit Candidate 5]]-Audit[[#This Row],[Candidate 5]]</f>
        <v>0</v>
      </c>
      <c r="X1396" s="111">
        <f>Audit[[#This Row],[Audit Candidate 6]]-Audit[[#This Row],[Candidate 6]]</f>
        <v>0</v>
      </c>
      <c r="Y1396" s="111">
        <f>SUMIF(Audit[[#This Row],[Difference Loser]:[Difference Candidate 6]], "&gt;0")</f>
        <v>0</v>
      </c>
      <c r="Z1396" s="111">
        <f>SUM(Audit[[#This Row],[Difference Loser]:[Difference Candidate 6]])</f>
        <v>-22</v>
      </c>
      <c r="AA1396" s="111">
        <f>IF(Audit[[#This Row],[Times p Drawn - With Replacement]]&gt;0, IF(Audit[[#This Row],[Canceled Differences]]&lt;0, Audit[[#This Row],[Max Differences]]+ABS(Audit[[#This Row],[Canceled Differences]]), Audit[[#This Row],[Max Differences]]), 0)</f>
        <v>0</v>
      </c>
      <c r="AB1396" s="111">
        <f>'Sampling Data'!P1389</f>
        <v>1.1636452719255266E-3</v>
      </c>
      <c r="AC1396" s="111">
        <f>IF(
      SUM(Audit[[#This Row],[Audit Losing Candidate]:[Audit Candidate 6]])
      &lt;&gt;0,
      (Audit[[#This Row],[Winning Candidate]]-Audit[[#This Row],[Losing Candidate]]-(Audit[[#This Row],[Audit Winning Candidate]]-Audit[[#This Row],[Audit Losing Candidate]]))/(Audit[[#Totals],[Winning Candidate]]-Audit[[#Totals],[Losing Candidate]]),
      0
)</f>
        <v>0</v>
      </c>
      <c r="AD13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6" s="111">
        <f>IF(Audit[[#This Row],[Max Relative Error (ep)]] = 0, 0, Audit[[#This Row],[Max Relative Error (ep)]]/Audit[[#This Row],[Error Bound (up) - Max. possible relative overstatement]])</f>
        <v>0</v>
      </c>
      <c r="AJ13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96" s="111">
        <f t="shared" si="21"/>
        <v>1</v>
      </c>
      <c r="AL1396" s="111">
        <f>PRODUCT($AK$5:AK1396)</f>
        <v>8.962823818226312E-2</v>
      </c>
      <c r="AM1396" s="109">
        <f>1 - [K-M P Value]</f>
        <v>0.91037176181773694</v>
      </c>
      <c r="AN1396" s="111" t="str">
        <f>IF(Audit[[#This Row],[K-M P Value]]&gt;1-'General Info'!$B$16,"Continue", "Stop")</f>
        <v>Stop</v>
      </c>
      <c r="AO1396" s="110" t="b">
        <f>IF(Audit[[#This Row],[Status - Continue or stop audit]] = "Continue", TRUE, IF(AN1395 = "Continue", TRUE, FALSE))</f>
        <v>0</v>
      </c>
      <c r="AP1396" s="110"/>
    </row>
    <row r="1397" spans="1:42" ht="15" hidden="1" customHeight="1">
      <c r="A1397" s="111" t="str">
        <f>'Sampling Data'!W1390</f>
        <v/>
      </c>
      <c r="B1397" s="112" t="str">
        <f>'Sampling Data'!A1390</f>
        <v>MAPLE HEIGHTS -04-A - ABS</v>
      </c>
      <c r="C1397" s="112">
        <f>'Sampling Data'!B1390</f>
        <v>5</v>
      </c>
      <c r="D1397" s="112">
        <f>'Sampling Data'!C1390</f>
        <v>1</v>
      </c>
      <c r="E1397" s="113">
        <f>'Sampling Data'!D1390</f>
        <v>0</v>
      </c>
      <c r="F1397" s="113">
        <f>'Sampling Data'!E1390</f>
        <v>1</v>
      </c>
      <c r="G1397" s="113">
        <f>'Sampling Data'!F1390</f>
        <v>0</v>
      </c>
      <c r="H1397" s="113">
        <f>'Sampling Data'!G1390</f>
        <v>0</v>
      </c>
      <c r="I1397" s="112">
        <f>'Sampling Data'!H1390</f>
        <v>0</v>
      </c>
      <c r="J1397" s="112">
        <f>'Sampling Data'!I1390</f>
        <v>0</v>
      </c>
      <c r="K1397" s="112">
        <f>'Sampling Data'!J1390</f>
        <v>7</v>
      </c>
      <c r="L1397" s="111">
        <f>'Sampling Data'!X1390</f>
        <v>0</v>
      </c>
      <c r="M1397" s="114"/>
      <c r="N1397" s="114"/>
      <c r="O1397" s="115"/>
      <c r="P1397" s="115"/>
      <c r="Q1397" s="116"/>
      <c r="R1397" s="116"/>
      <c r="S1397" s="111">
        <f>Audit[[#This Row],[Audit Losing Candidate]]-Audit[[#This Row],[Losing Candidate]]</f>
        <v>-5</v>
      </c>
      <c r="T1397" s="111">
        <f>Audit[[#This Row],[Audit Winning Candidate]]-Audit[[#This Row],[Winning Candidate]]</f>
        <v>-1</v>
      </c>
      <c r="U1397" s="111">
        <f>Audit[[#This Row],[Audit Candidate 3]]-Audit[[#This Row],[Candidate 3]]</f>
        <v>0</v>
      </c>
      <c r="V1397" s="111">
        <f>Audit[[#This Row],[Audit Candidate 4]]-Audit[[#This Row],[Candidate 4]]</f>
        <v>-1</v>
      </c>
      <c r="W1397" s="111">
        <f>Audit[[#This Row],[Audit Candidate 5]]-Audit[[#This Row],[Candidate 5]]</f>
        <v>0</v>
      </c>
      <c r="X1397" s="111">
        <f>Audit[[#This Row],[Audit Candidate 6]]-Audit[[#This Row],[Candidate 6]]</f>
        <v>0</v>
      </c>
      <c r="Y1397" s="111">
        <f>SUMIF(Audit[[#This Row],[Difference Loser]:[Difference Candidate 6]], "&gt;0")</f>
        <v>0</v>
      </c>
      <c r="Z1397" s="111">
        <f>SUM(Audit[[#This Row],[Difference Loser]:[Difference Candidate 6]])</f>
        <v>-7</v>
      </c>
      <c r="AA1397" s="111">
        <f>IF(Audit[[#This Row],[Times p Drawn - With Replacement]]&gt;0, IF(Audit[[#This Row],[Canceled Differences]]&lt;0, Audit[[#This Row],[Max Differences]]+ABS(Audit[[#This Row],[Canceled Differences]]), Audit[[#This Row],[Max Differences]]), 0)</f>
        <v>0</v>
      </c>
      <c r="AB1397" s="111">
        <f>'Sampling Data'!P1390</f>
        <v>2.5808949253153533E-4</v>
      </c>
      <c r="AC1397" s="111">
        <f>IF(
      SUM(Audit[[#This Row],[Audit Losing Candidate]:[Audit Candidate 6]])
      &lt;&gt;0,
      (Audit[[#This Row],[Winning Candidate]]-Audit[[#This Row],[Losing Candidate]]-(Audit[[#This Row],[Audit Winning Candidate]]-Audit[[#This Row],[Audit Losing Candidate]]))/(Audit[[#Totals],[Winning Candidate]]-Audit[[#Totals],[Losing Candidate]]),
      0
)</f>
        <v>0</v>
      </c>
      <c r="AD13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7" s="111">
        <f>IF(Audit[[#This Row],[Max Relative Error (ep)]] = 0, 0, Audit[[#This Row],[Max Relative Error (ep)]]/Audit[[#This Row],[Error Bound (up) - Max. possible relative overstatement]])</f>
        <v>0</v>
      </c>
      <c r="AJ13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97" s="111">
        <f t="shared" si="21"/>
        <v>1</v>
      </c>
      <c r="AL1397" s="111">
        <f>PRODUCT($AK$5:AK1397)</f>
        <v>8.962823818226312E-2</v>
      </c>
      <c r="AM1397" s="109">
        <f>1 - [K-M P Value]</f>
        <v>0.91037176181773694</v>
      </c>
      <c r="AN1397" s="111" t="str">
        <f>IF(Audit[[#This Row],[K-M P Value]]&gt;1-'General Info'!$B$16,"Continue", "Stop")</f>
        <v>Stop</v>
      </c>
      <c r="AO1397" s="110" t="b">
        <f>IF(Audit[[#This Row],[Status - Continue or stop audit]] = "Continue", TRUE, IF(AN1396 = "Continue", TRUE, FALSE))</f>
        <v>0</v>
      </c>
      <c r="AP1397" s="110"/>
    </row>
    <row r="1398" spans="1:42" ht="15" hidden="1" customHeight="1">
      <c r="A1398" s="111" t="str">
        <f>'Sampling Data'!W1391</f>
        <v/>
      </c>
      <c r="B1398" s="112" t="str">
        <f>'Sampling Data'!A1391</f>
        <v>MAPLE HEIGHTS -04-B</v>
      </c>
      <c r="C1398" s="112">
        <f>'Sampling Data'!B1391</f>
        <v>3</v>
      </c>
      <c r="D1398" s="112">
        <f>'Sampling Data'!C1391</f>
        <v>10</v>
      </c>
      <c r="E1398" s="113">
        <f>'Sampling Data'!D1391</f>
        <v>0</v>
      </c>
      <c r="F1398" s="113">
        <f>'Sampling Data'!E1391</f>
        <v>2</v>
      </c>
      <c r="G1398" s="113">
        <f>'Sampling Data'!F1391</f>
        <v>0</v>
      </c>
      <c r="H1398" s="113">
        <f>'Sampling Data'!G1391</f>
        <v>0</v>
      </c>
      <c r="I1398" s="112">
        <f>'Sampling Data'!H1391</f>
        <v>0</v>
      </c>
      <c r="J1398" s="112">
        <f>'Sampling Data'!I1391</f>
        <v>0</v>
      </c>
      <c r="K1398" s="112">
        <f>'Sampling Data'!J1391</f>
        <v>15</v>
      </c>
      <c r="L1398" s="111">
        <f>'Sampling Data'!X1391</f>
        <v>0</v>
      </c>
      <c r="M1398" s="114"/>
      <c r="N1398" s="114"/>
      <c r="O1398" s="115"/>
      <c r="P1398" s="115"/>
      <c r="Q1398" s="116"/>
      <c r="R1398" s="116"/>
      <c r="S1398" s="111">
        <f>Audit[[#This Row],[Audit Losing Candidate]]-Audit[[#This Row],[Losing Candidate]]</f>
        <v>-3</v>
      </c>
      <c r="T1398" s="111">
        <f>Audit[[#This Row],[Audit Winning Candidate]]-Audit[[#This Row],[Winning Candidate]]</f>
        <v>-10</v>
      </c>
      <c r="U1398" s="111">
        <f>Audit[[#This Row],[Audit Candidate 3]]-Audit[[#This Row],[Candidate 3]]</f>
        <v>0</v>
      </c>
      <c r="V1398" s="111">
        <f>Audit[[#This Row],[Audit Candidate 4]]-Audit[[#This Row],[Candidate 4]]</f>
        <v>-2</v>
      </c>
      <c r="W1398" s="111">
        <f>Audit[[#This Row],[Audit Candidate 5]]-Audit[[#This Row],[Candidate 5]]</f>
        <v>0</v>
      </c>
      <c r="X1398" s="111">
        <f>Audit[[#This Row],[Audit Candidate 6]]-Audit[[#This Row],[Candidate 6]]</f>
        <v>0</v>
      </c>
      <c r="Y1398" s="111">
        <f>SUMIF(Audit[[#This Row],[Difference Loser]:[Difference Candidate 6]], "&gt;0")</f>
        <v>0</v>
      </c>
      <c r="Z1398" s="111">
        <f>SUM(Audit[[#This Row],[Difference Loser]:[Difference Candidate 6]])</f>
        <v>-15</v>
      </c>
      <c r="AA1398" s="111">
        <f>IF(Audit[[#This Row],[Times p Drawn - With Replacement]]&gt;0, IF(Audit[[#This Row],[Canceled Differences]]&lt;0, Audit[[#This Row],[Max Differences]]+ABS(Audit[[#This Row],[Canceled Differences]]), Audit[[#This Row],[Max Differences]]), 0)</f>
        <v>0</v>
      </c>
      <c r="AB1398" s="111">
        <f>'Sampling Data'!P1391</f>
        <v>1.3473787359137678E-3</v>
      </c>
      <c r="AC1398" s="111">
        <f>IF(
      SUM(Audit[[#This Row],[Audit Losing Candidate]:[Audit Candidate 6]])
      &lt;&gt;0,
      (Audit[[#This Row],[Winning Candidate]]-Audit[[#This Row],[Losing Candidate]]-(Audit[[#This Row],[Audit Winning Candidate]]-Audit[[#This Row],[Audit Losing Candidate]]))/(Audit[[#Totals],[Winning Candidate]]-Audit[[#Totals],[Losing Candidate]]),
      0
)</f>
        <v>0</v>
      </c>
      <c r="AD13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8" s="111">
        <f>IF(Audit[[#This Row],[Max Relative Error (ep)]] = 0, 0, Audit[[#This Row],[Max Relative Error (ep)]]/Audit[[#This Row],[Error Bound (up) - Max. possible relative overstatement]])</f>
        <v>0</v>
      </c>
      <c r="AJ13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98" s="111">
        <f t="shared" si="21"/>
        <v>1</v>
      </c>
      <c r="AL1398" s="111">
        <f>PRODUCT($AK$5:AK1398)</f>
        <v>8.962823818226312E-2</v>
      </c>
      <c r="AM1398" s="109">
        <f>1 - [K-M P Value]</f>
        <v>0.91037176181773694</v>
      </c>
      <c r="AN1398" s="111" t="str">
        <f>IF(Audit[[#This Row],[K-M P Value]]&gt;1-'General Info'!$B$16,"Continue", "Stop")</f>
        <v>Stop</v>
      </c>
      <c r="AO1398" s="110" t="b">
        <f>IF(Audit[[#This Row],[Status - Continue or stop audit]] = "Continue", TRUE, IF(AN1397 = "Continue", TRUE, FALSE))</f>
        <v>0</v>
      </c>
      <c r="AP1398" s="110"/>
    </row>
    <row r="1399" spans="1:42" ht="15" hidden="1" customHeight="1">
      <c r="A1399" s="111" t="str">
        <f>'Sampling Data'!W1392</f>
        <v/>
      </c>
      <c r="B1399" s="112" t="str">
        <f>'Sampling Data'!A1392</f>
        <v>MAPLE HEIGHTS -04-B - ABS</v>
      </c>
      <c r="C1399" s="112">
        <f>'Sampling Data'!B1392</f>
        <v>2</v>
      </c>
      <c r="D1399" s="112">
        <f>'Sampling Data'!C1392</f>
        <v>0</v>
      </c>
      <c r="E1399" s="113">
        <f>'Sampling Data'!D1392</f>
        <v>1</v>
      </c>
      <c r="F1399" s="113">
        <f>'Sampling Data'!E1392</f>
        <v>5</v>
      </c>
      <c r="G1399" s="113">
        <f>'Sampling Data'!F1392</f>
        <v>0</v>
      </c>
      <c r="H1399" s="113">
        <f>'Sampling Data'!G1392</f>
        <v>1</v>
      </c>
      <c r="I1399" s="112">
        <f>'Sampling Data'!H1392</f>
        <v>0</v>
      </c>
      <c r="J1399" s="112">
        <f>'Sampling Data'!I1392</f>
        <v>0</v>
      </c>
      <c r="K1399" s="112">
        <f>'Sampling Data'!J1392</f>
        <v>9</v>
      </c>
      <c r="L1399" s="111">
        <f>'Sampling Data'!X1392</f>
        <v>0</v>
      </c>
      <c r="M1399" s="114"/>
      <c r="N1399" s="114"/>
      <c r="O1399" s="115"/>
      <c r="P1399" s="115"/>
      <c r="Q1399" s="116"/>
      <c r="R1399" s="116"/>
      <c r="S1399" s="111">
        <f>Audit[[#This Row],[Audit Losing Candidate]]-Audit[[#This Row],[Losing Candidate]]</f>
        <v>-2</v>
      </c>
      <c r="T1399" s="111">
        <f>Audit[[#This Row],[Audit Winning Candidate]]-Audit[[#This Row],[Winning Candidate]]</f>
        <v>0</v>
      </c>
      <c r="U1399" s="111">
        <f>Audit[[#This Row],[Audit Candidate 3]]-Audit[[#This Row],[Candidate 3]]</f>
        <v>-1</v>
      </c>
      <c r="V1399" s="111">
        <f>Audit[[#This Row],[Audit Candidate 4]]-Audit[[#This Row],[Candidate 4]]</f>
        <v>-5</v>
      </c>
      <c r="W1399" s="111">
        <f>Audit[[#This Row],[Audit Candidate 5]]-Audit[[#This Row],[Candidate 5]]</f>
        <v>0</v>
      </c>
      <c r="X1399" s="111">
        <f>Audit[[#This Row],[Audit Candidate 6]]-Audit[[#This Row],[Candidate 6]]</f>
        <v>-1</v>
      </c>
      <c r="Y1399" s="111">
        <f>SUMIF(Audit[[#This Row],[Difference Loser]:[Difference Candidate 6]], "&gt;0")</f>
        <v>0</v>
      </c>
      <c r="Z1399" s="111">
        <f>SUM(Audit[[#This Row],[Difference Loser]:[Difference Candidate 6]])</f>
        <v>-9</v>
      </c>
      <c r="AA1399" s="111">
        <f>IF(Audit[[#This Row],[Times p Drawn - With Replacement]]&gt;0, IF(Audit[[#This Row],[Canceled Differences]]&lt;0, Audit[[#This Row],[Max Differences]]+ABS(Audit[[#This Row],[Canceled Differences]]), Audit[[#This Row],[Max Differences]]), 0)</f>
        <v>0</v>
      </c>
      <c r="AB1399" s="111">
        <f>'Sampling Data'!P1392</f>
        <v>4.2871141597256246E-4</v>
      </c>
      <c r="AC1399" s="111">
        <f>IF(
      SUM(Audit[[#This Row],[Audit Losing Candidate]:[Audit Candidate 6]])
      &lt;&gt;0,
      (Audit[[#This Row],[Winning Candidate]]-Audit[[#This Row],[Losing Candidate]]-(Audit[[#This Row],[Audit Winning Candidate]]-Audit[[#This Row],[Audit Losing Candidate]]))/(Audit[[#Totals],[Winning Candidate]]-Audit[[#Totals],[Losing Candidate]]),
      0
)</f>
        <v>0</v>
      </c>
      <c r="AD13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9" s="111">
        <f>IF(Audit[[#This Row],[Max Relative Error (ep)]] = 0, 0, Audit[[#This Row],[Max Relative Error (ep)]]/Audit[[#This Row],[Error Bound (up) - Max. possible relative overstatement]])</f>
        <v>0</v>
      </c>
      <c r="AJ13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399" s="111">
        <f t="shared" si="21"/>
        <v>1</v>
      </c>
      <c r="AL1399" s="111">
        <f>PRODUCT($AK$5:AK1399)</f>
        <v>8.962823818226312E-2</v>
      </c>
      <c r="AM1399" s="109">
        <f>1 - [K-M P Value]</f>
        <v>0.91037176181773694</v>
      </c>
      <c r="AN1399" s="111" t="str">
        <f>IF(Audit[[#This Row],[K-M P Value]]&gt;1-'General Info'!$B$16,"Continue", "Stop")</f>
        <v>Stop</v>
      </c>
      <c r="AO1399" s="110" t="b">
        <f>IF(Audit[[#This Row],[Status - Continue or stop audit]] = "Continue", TRUE, IF(AN1398 = "Continue", TRUE, FALSE))</f>
        <v>0</v>
      </c>
      <c r="AP1399" s="110"/>
    </row>
    <row r="1400" spans="1:42" ht="15" hidden="1" customHeight="1">
      <c r="A1400" s="111" t="str">
        <f>'Sampling Data'!W1393</f>
        <v/>
      </c>
      <c r="B1400" s="112" t="str">
        <f>'Sampling Data'!A1393</f>
        <v>MAPLE HEIGHTS -04-C</v>
      </c>
      <c r="C1400" s="112">
        <f>'Sampling Data'!B1393</f>
        <v>7</v>
      </c>
      <c r="D1400" s="112">
        <f>'Sampling Data'!C1393</f>
        <v>4</v>
      </c>
      <c r="E1400" s="113">
        <f>'Sampling Data'!D1393</f>
        <v>0</v>
      </c>
      <c r="F1400" s="113">
        <f>'Sampling Data'!E1393</f>
        <v>0</v>
      </c>
      <c r="G1400" s="113">
        <f>'Sampling Data'!F1393</f>
        <v>0</v>
      </c>
      <c r="H1400" s="113">
        <f>'Sampling Data'!G1393</f>
        <v>0</v>
      </c>
      <c r="I1400" s="112">
        <f>'Sampling Data'!H1393</f>
        <v>0</v>
      </c>
      <c r="J1400" s="112">
        <f>'Sampling Data'!I1393</f>
        <v>0</v>
      </c>
      <c r="K1400" s="112">
        <f>'Sampling Data'!J1393</f>
        <v>11</v>
      </c>
      <c r="L1400" s="111">
        <f>'Sampling Data'!X1393</f>
        <v>0</v>
      </c>
      <c r="M1400" s="114"/>
      <c r="N1400" s="114"/>
      <c r="O1400" s="115"/>
      <c r="P1400" s="115"/>
      <c r="Q1400" s="116"/>
      <c r="R1400" s="116"/>
      <c r="S1400" s="111">
        <f>Audit[[#This Row],[Audit Losing Candidate]]-Audit[[#This Row],[Losing Candidate]]</f>
        <v>-7</v>
      </c>
      <c r="T1400" s="111">
        <f>Audit[[#This Row],[Audit Winning Candidate]]-Audit[[#This Row],[Winning Candidate]]</f>
        <v>-4</v>
      </c>
      <c r="U1400" s="111">
        <f>Audit[[#This Row],[Audit Candidate 3]]-Audit[[#This Row],[Candidate 3]]</f>
        <v>0</v>
      </c>
      <c r="V1400" s="111">
        <f>Audit[[#This Row],[Audit Candidate 4]]-Audit[[#This Row],[Candidate 4]]</f>
        <v>0</v>
      </c>
      <c r="W1400" s="111">
        <f>Audit[[#This Row],[Audit Candidate 5]]-Audit[[#This Row],[Candidate 5]]</f>
        <v>0</v>
      </c>
      <c r="X1400" s="111">
        <f>Audit[[#This Row],[Audit Candidate 6]]-Audit[[#This Row],[Candidate 6]]</f>
        <v>0</v>
      </c>
      <c r="Y1400" s="111">
        <f>SUMIF(Audit[[#This Row],[Difference Loser]:[Difference Candidate 6]], "&gt;0")</f>
        <v>0</v>
      </c>
      <c r="Z1400" s="111">
        <f>SUM(Audit[[#This Row],[Difference Loser]:[Difference Candidate 6]])</f>
        <v>-11</v>
      </c>
      <c r="AA1400" s="111">
        <f>IF(Audit[[#This Row],[Times p Drawn - With Replacement]]&gt;0, IF(Audit[[#This Row],[Canceled Differences]]&lt;0, Audit[[#This Row],[Max Differences]]+ABS(Audit[[#This Row],[Canceled Differences]]), Audit[[#This Row],[Max Differences]]), 0)</f>
        <v>0</v>
      </c>
      <c r="AB1400" s="111">
        <f>'Sampling Data'!P1393</f>
        <v>4.8995590396864281E-4</v>
      </c>
      <c r="AC1400" s="111">
        <f>IF(
      SUM(Audit[[#This Row],[Audit Losing Candidate]:[Audit Candidate 6]])
      &lt;&gt;0,
      (Audit[[#This Row],[Winning Candidate]]-Audit[[#This Row],[Losing Candidate]]-(Audit[[#This Row],[Audit Winning Candidate]]-Audit[[#This Row],[Audit Losing Candidate]]))/(Audit[[#Totals],[Winning Candidate]]-Audit[[#Totals],[Losing Candidate]]),
      0
)</f>
        <v>0</v>
      </c>
      <c r="AD14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0" s="111">
        <f>IF(Audit[[#This Row],[Max Relative Error (ep)]] = 0, 0, Audit[[#This Row],[Max Relative Error (ep)]]/Audit[[#This Row],[Error Bound (up) - Max. possible relative overstatement]])</f>
        <v>0</v>
      </c>
      <c r="AJ14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00" s="111">
        <f t="shared" si="21"/>
        <v>1</v>
      </c>
      <c r="AL1400" s="111">
        <f>PRODUCT($AK$5:AK1400)</f>
        <v>8.962823818226312E-2</v>
      </c>
      <c r="AM1400" s="109">
        <f>1 - [K-M P Value]</f>
        <v>0.91037176181773694</v>
      </c>
      <c r="AN1400" s="111" t="str">
        <f>IF(Audit[[#This Row],[K-M P Value]]&gt;1-'General Info'!$B$16,"Continue", "Stop")</f>
        <v>Stop</v>
      </c>
      <c r="AO1400" s="110" t="b">
        <f>IF(Audit[[#This Row],[Status - Continue or stop audit]] = "Continue", TRUE, IF(AN1399 = "Continue", TRUE, FALSE))</f>
        <v>0</v>
      </c>
      <c r="AP1400" s="110"/>
    </row>
    <row r="1401" spans="1:42" ht="15" hidden="1" customHeight="1">
      <c r="A1401" s="111" t="str">
        <f>'Sampling Data'!W1394</f>
        <v/>
      </c>
      <c r="B1401" s="112" t="str">
        <f>'Sampling Data'!A1394</f>
        <v>MAPLE HEIGHTS -04-C - ABS</v>
      </c>
      <c r="C1401" s="112">
        <f>'Sampling Data'!B1394</f>
        <v>1</v>
      </c>
      <c r="D1401" s="112">
        <f>'Sampling Data'!C1394</f>
        <v>2</v>
      </c>
      <c r="E1401" s="113">
        <f>'Sampling Data'!D1394</f>
        <v>0</v>
      </c>
      <c r="F1401" s="113">
        <f>'Sampling Data'!E1394</f>
        <v>1</v>
      </c>
      <c r="G1401" s="113">
        <f>'Sampling Data'!F1394</f>
        <v>0</v>
      </c>
      <c r="H1401" s="113">
        <f>'Sampling Data'!G1394</f>
        <v>0</v>
      </c>
      <c r="I1401" s="112">
        <f>'Sampling Data'!H1394</f>
        <v>0</v>
      </c>
      <c r="J1401" s="112">
        <f>'Sampling Data'!I1394</f>
        <v>0</v>
      </c>
      <c r="K1401" s="112">
        <f>'Sampling Data'!J1394</f>
        <v>4</v>
      </c>
      <c r="L1401" s="111">
        <f>'Sampling Data'!X1394</f>
        <v>0</v>
      </c>
      <c r="M1401" s="114"/>
      <c r="N1401" s="114"/>
      <c r="O1401" s="115"/>
      <c r="P1401" s="115"/>
      <c r="Q1401" s="116"/>
      <c r="R1401" s="116"/>
      <c r="S1401" s="111">
        <f>Audit[[#This Row],[Audit Losing Candidate]]-Audit[[#This Row],[Losing Candidate]]</f>
        <v>-1</v>
      </c>
      <c r="T1401" s="111">
        <f>Audit[[#This Row],[Audit Winning Candidate]]-Audit[[#This Row],[Winning Candidate]]</f>
        <v>-2</v>
      </c>
      <c r="U1401" s="111">
        <f>Audit[[#This Row],[Audit Candidate 3]]-Audit[[#This Row],[Candidate 3]]</f>
        <v>0</v>
      </c>
      <c r="V1401" s="111">
        <f>Audit[[#This Row],[Audit Candidate 4]]-Audit[[#This Row],[Candidate 4]]</f>
        <v>-1</v>
      </c>
      <c r="W1401" s="111">
        <f>Audit[[#This Row],[Audit Candidate 5]]-Audit[[#This Row],[Candidate 5]]</f>
        <v>0</v>
      </c>
      <c r="X1401" s="111">
        <f>Audit[[#This Row],[Audit Candidate 6]]-Audit[[#This Row],[Candidate 6]]</f>
        <v>0</v>
      </c>
      <c r="Y1401" s="111">
        <f>SUMIF(Audit[[#This Row],[Difference Loser]:[Difference Candidate 6]], "&gt;0")</f>
        <v>0</v>
      </c>
      <c r="Z1401" s="111">
        <f>SUM(Audit[[#This Row],[Difference Loser]:[Difference Candidate 6]])</f>
        <v>-4</v>
      </c>
      <c r="AA1401" s="111">
        <f>IF(Audit[[#This Row],[Times p Drawn - With Replacement]]&gt;0, IF(Audit[[#This Row],[Canceled Differences]]&lt;0, Audit[[#This Row],[Max Differences]]+ABS(Audit[[#This Row],[Canceled Differences]]), Audit[[#This Row],[Max Differences]]), 0)</f>
        <v>0</v>
      </c>
      <c r="AB1401" s="111">
        <f>'Sampling Data'!P1394</f>
        <v>3.0622243998040176E-4</v>
      </c>
      <c r="AC1401" s="111">
        <f>IF(
      SUM(Audit[[#This Row],[Audit Losing Candidate]:[Audit Candidate 6]])
      &lt;&gt;0,
      (Audit[[#This Row],[Winning Candidate]]-Audit[[#This Row],[Losing Candidate]]-(Audit[[#This Row],[Audit Winning Candidate]]-Audit[[#This Row],[Audit Losing Candidate]]))/(Audit[[#Totals],[Winning Candidate]]-Audit[[#Totals],[Losing Candidate]]),
      0
)</f>
        <v>0</v>
      </c>
      <c r="AD14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1" s="111">
        <f>IF(Audit[[#This Row],[Max Relative Error (ep)]] = 0, 0, Audit[[#This Row],[Max Relative Error (ep)]]/Audit[[#This Row],[Error Bound (up) - Max. possible relative overstatement]])</f>
        <v>0</v>
      </c>
      <c r="AJ14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01" s="111">
        <f t="shared" si="21"/>
        <v>1</v>
      </c>
      <c r="AL1401" s="111">
        <f>PRODUCT($AK$5:AK1401)</f>
        <v>8.962823818226312E-2</v>
      </c>
      <c r="AM1401" s="109">
        <f>1 - [K-M P Value]</f>
        <v>0.91037176181773694</v>
      </c>
      <c r="AN1401" s="111" t="str">
        <f>IF(Audit[[#This Row],[K-M P Value]]&gt;1-'General Info'!$B$16,"Continue", "Stop")</f>
        <v>Stop</v>
      </c>
      <c r="AO1401" s="110" t="b">
        <f>IF(Audit[[#This Row],[Status - Continue or stop audit]] = "Continue", TRUE, IF(AN1400 = "Continue", TRUE, FALSE))</f>
        <v>0</v>
      </c>
      <c r="AP1401" s="110"/>
    </row>
    <row r="1402" spans="1:42" ht="15" hidden="1" customHeight="1">
      <c r="A1402" s="111" t="str">
        <f>'Sampling Data'!W1395</f>
        <v/>
      </c>
      <c r="B1402" s="112" t="str">
        <f>'Sampling Data'!A1395</f>
        <v>MAPLE HEIGHTS -05-A</v>
      </c>
      <c r="C1402" s="112">
        <f>'Sampling Data'!B1395</f>
        <v>4</v>
      </c>
      <c r="D1402" s="112">
        <f>'Sampling Data'!C1395</f>
        <v>4</v>
      </c>
      <c r="E1402" s="113">
        <f>'Sampling Data'!D1395</f>
        <v>5</v>
      </c>
      <c r="F1402" s="113">
        <f>'Sampling Data'!E1395</f>
        <v>0</v>
      </c>
      <c r="G1402" s="113">
        <f>'Sampling Data'!F1395</f>
        <v>0</v>
      </c>
      <c r="H1402" s="113">
        <f>'Sampling Data'!G1395</f>
        <v>0</v>
      </c>
      <c r="I1402" s="112">
        <f>'Sampling Data'!H1395</f>
        <v>0</v>
      </c>
      <c r="J1402" s="112">
        <f>'Sampling Data'!I1395</f>
        <v>0</v>
      </c>
      <c r="K1402" s="112">
        <f>'Sampling Data'!J1395</f>
        <v>13</v>
      </c>
      <c r="L1402" s="111">
        <f>'Sampling Data'!X1395</f>
        <v>0</v>
      </c>
      <c r="M1402" s="114"/>
      <c r="N1402" s="114"/>
      <c r="O1402" s="115"/>
      <c r="P1402" s="115"/>
      <c r="Q1402" s="116"/>
      <c r="R1402" s="116"/>
      <c r="S1402" s="111">
        <f>Audit[[#This Row],[Audit Losing Candidate]]-Audit[[#This Row],[Losing Candidate]]</f>
        <v>-4</v>
      </c>
      <c r="T1402" s="111">
        <f>Audit[[#This Row],[Audit Winning Candidate]]-Audit[[#This Row],[Winning Candidate]]</f>
        <v>-4</v>
      </c>
      <c r="U1402" s="111">
        <f>Audit[[#This Row],[Audit Candidate 3]]-Audit[[#This Row],[Candidate 3]]</f>
        <v>-5</v>
      </c>
      <c r="V1402" s="111">
        <f>Audit[[#This Row],[Audit Candidate 4]]-Audit[[#This Row],[Candidate 4]]</f>
        <v>0</v>
      </c>
      <c r="W1402" s="111">
        <f>Audit[[#This Row],[Audit Candidate 5]]-Audit[[#This Row],[Candidate 5]]</f>
        <v>0</v>
      </c>
      <c r="X1402" s="111">
        <f>Audit[[#This Row],[Audit Candidate 6]]-Audit[[#This Row],[Candidate 6]]</f>
        <v>0</v>
      </c>
      <c r="Y1402" s="111">
        <f>SUMIF(Audit[[#This Row],[Difference Loser]:[Difference Candidate 6]], "&gt;0")</f>
        <v>0</v>
      </c>
      <c r="Z1402" s="111">
        <f>SUM(Audit[[#This Row],[Difference Loser]:[Difference Candidate 6]])</f>
        <v>-13</v>
      </c>
      <c r="AA1402" s="111">
        <f>IF(Audit[[#This Row],[Times p Drawn - With Replacement]]&gt;0, IF(Audit[[#This Row],[Canceled Differences]]&lt;0, Audit[[#This Row],[Max Differences]]+ABS(Audit[[#This Row],[Canceled Differences]]), Audit[[#This Row],[Max Differences]]), 0)</f>
        <v>0</v>
      </c>
      <c r="AB1402" s="111">
        <f>'Sampling Data'!P1395</f>
        <v>7.9617834394904463E-4</v>
      </c>
      <c r="AC1402" s="111">
        <f>IF(
      SUM(Audit[[#This Row],[Audit Losing Candidate]:[Audit Candidate 6]])
      &lt;&gt;0,
      (Audit[[#This Row],[Winning Candidate]]-Audit[[#This Row],[Losing Candidate]]-(Audit[[#This Row],[Audit Winning Candidate]]-Audit[[#This Row],[Audit Losing Candidate]]))/(Audit[[#Totals],[Winning Candidate]]-Audit[[#Totals],[Losing Candidate]]),
      0
)</f>
        <v>0</v>
      </c>
      <c r="AD14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2" s="111">
        <f>IF(Audit[[#This Row],[Max Relative Error (ep)]] = 0, 0, Audit[[#This Row],[Max Relative Error (ep)]]/Audit[[#This Row],[Error Bound (up) - Max. possible relative overstatement]])</f>
        <v>0</v>
      </c>
      <c r="AJ14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02" s="111">
        <f t="shared" si="21"/>
        <v>1</v>
      </c>
      <c r="AL1402" s="111">
        <f>PRODUCT($AK$5:AK1402)</f>
        <v>8.962823818226312E-2</v>
      </c>
      <c r="AM1402" s="109">
        <f>1 - [K-M P Value]</f>
        <v>0.91037176181773694</v>
      </c>
      <c r="AN1402" s="111" t="str">
        <f>IF(Audit[[#This Row],[K-M P Value]]&gt;1-'General Info'!$B$16,"Continue", "Stop")</f>
        <v>Stop</v>
      </c>
      <c r="AO1402" s="110" t="b">
        <f>IF(Audit[[#This Row],[Status - Continue or stop audit]] = "Continue", TRUE, IF(AN1401 = "Continue", TRUE, FALSE))</f>
        <v>0</v>
      </c>
      <c r="AP1402" s="110"/>
    </row>
    <row r="1403" spans="1:42" ht="15" hidden="1" customHeight="1">
      <c r="A1403" s="111" t="str">
        <f>'Sampling Data'!W1396</f>
        <v/>
      </c>
      <c r="B1403" s="112" t="str">
        <f>'Sampling Data'!A1396</f>
        <v>MAPLE HEIGHTS -05-A - ABS</v>
      </c>
      <c r="C1403" s="112">
        <f>'Sampling Data'!B1396</f>
        <v>2</v>
      </c>
      <c r="D1403" s="112">
        <f>'Sampling Data'!C1396</f>
        <v>3</v>
      </c>
      <c r="E1403" s="113">
        <f>'Sampling Data'!D1396</f>
        <v>0</v>
      </c>
      <c r="F1403" s="113">
        <f>'Sampling Data'!E1396</f>
        <v>0</v>
      </c>
      <c r="G1403" s="113">
        <f>'Sampling Data'!F1396</f>
        <v>0</v>
      </c>
      <c r="H1403" s="113">
        <f>'Sampling Data'!G1396</f>
        <v>0</v>
      </c>
      <c r="I1403" s="112">
        <f>'Sampling Data'!H1396</f>
        <v>0</v>
      </c>
      <c r="J1403" s="112">
        <f>'Sampling Data'!I1396</f>
        <v>0</v>
      </c>
      <c r="K1403" s="112">
        <f>'Sampling Data'!J1396</f>
        <v>5</v>
      </c>
      <c r="L1403" s="111">
        <f>'Sampling Data'!X1396</f>
        <v>0</v>
      </c>
      <c r="M1403" s="114"/>
      <c r="N1403" s="114"/>
      <c r="O1403" s="115"/>
      <c r="P1403" s="115"/>
      <c r="Q1403" s="116"/>
      <c r="R1403" s="116"/>
      <c r="S1403" s="111">
        <f>Audit[[#This Row],[Audit Losing Candidate]]-Audit[[#This Row],[Losing Candidate]]</f>
        <v>-2</v>
      </c>
      <c r="T1403" s="111">
        <f>Audit[[#This Row],[Audit Winning Candidate]]-Audit[[#This Row],[Winning Candidate]]</f>
        <v>-3</v>
      </c>
      <c r="U1403" s="111">
        <f>Audit[[#This Row],[Audit Candidate 3]]-Audit[[#This Row],[Candidate 3]]</f>
        <v>0</v>
      </c>
      <c r="V1403" s="111">
        <f>Audit[[#This Row],[Audit Candidate 4]]-Audit[[#This Row],[Candidate 4]]</f>
        <v>0</v>
      </c>
      <c r="W1403" s="111">
        <f>Audit[[#This Row],[Audit Candidate 5]]-Audit[[#This Row],[Candidate 5]]</f>
        <v>0</v>
      </c>
      <c r="X1403" s="111">
        <f>Audit[[#This Row],[Audit Candidate 6]]-Audit[[#This Row],[Candidate 6]]</f>
        <v>0</v>
      </c>
      <c r="Y1403" s="111">
        <f>SUMIF(Audit[[#This Row],[Difference Loser]:[Difference Candidate 6]], "&gt;0")</f>
        <v>0</v>
      </c>
      <c r="Z1403" s="111">
        <f>SUM(Audit[[#This Row],[Difference Loser]:[Difference Candidate 6]])</f>
        <v>-5</v>
      </c>
      <c r="AA1403" s="111">
        <f>IF(Audit[[#This Row],[Times p Drawn - With Replacement]]&gt;0, IF(Audit[[#This Row],[Canceled Differences]]&lt;0, Audit[[#This Row],[Max Differences]]+ABS(Audit[[#This Row],[Canceled Differences]]), Audit[[#This Row],[Max Differences]]), 0)</f>
        <v>0</v>
      </c>
      <c r="AB1403" s="111">
        <f>'Sampling Data'!P1396</f>
        <v>3.6746692797648211E-4</v>
      </c>
      <c r="AC1403" s="111">
        <f>IF(
      SUM(Audit[[#This Row],[Audit Losing Candidate]:[Audit Candidate 6]])
      &lt;&gt;0,
      (Audit[[#This Row],[Winning Candidate]]-Audit[[#This Row],[Losing Candidate]]-(Audit[[#This Row],[Audit Winning Candidate]]-Audit[[#This Row],[Audit Losing Candidate]]))/(Audit[[#Totals],[Winning Candidate]]-Audit[[#Totals],[Losing Candidate]]),
      0
)</f>
        <v>0</v>
      </c>
      <c r="AD14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3" s="111">
        <f>IF(Audit[[#This Row],[Max Relative Error (ep)]] = 0, 0, Audit[[#This Row],[Max Relative Error (ep)]]/Audit[[#This Row],[Error Bound (up) - Max. possible relative overstatement]])</f>
        <v>0</v>
      </c>
      <c r="AJ14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03" s="111">
        <f t="shared" si="21"/>
        <v>1</v>
      </c>
      <c r="AL1403" s="111">
        <f>PRODUCT($AK$5:AK1403)</f>
        <v>8.962823818226312E-2</v>
      </c>
      <c r="AM1403" s="109">
        <f>1 - [K-M P Value]</f>
        <v>0.91037176181773694</v>
      </c>
      <c r="AN1403" s="111" t="str">
        <f>IF(Audit[[#This Row],[K-M P Value]]&gt;1-'General Info'!$B$16,"Continue", "Stop")</f>
        <v>Stop</v>
      </c>
      <c r="AO1403" s="110" t="b">
        <f>IF(Audit[[#This Row],[Status - Continue or stop audit]] = "Continue", TRUE, IF(AN1402 = "Continue", TRUE, FALSE))</f>
        <v>0</v>
      </c>
      <c r="AP1403" s="110"/>
    </row>
    <row r="1404" spans="1:42" ht="15" hidden="1" customHeight="1">
      <c r="A1404" s="111" t="str">
        <f>'Sampling Data'!W1397</f>
        <v/>
      </c>
      <c r="B1404" s="112" t="str">
        <f>'Sampling Data'!A1397</f>
        <v>MAPLE HEIGHTS -05-B</v>
      </c>
      <c r="C1404" s="112">
        <f>'Sampling Data'!B1397</f>
        <v>6</v>
      </c>
      <c r="D1404" s="112">
        <f>'Sampling Data'!C1397</f>
        <v>3</v>
      </c>
      <c r="E1404" s="113">
        <f>'Sampling Data'!D1397</f>
        <v>0</v>
      </c>
      <c r="F1404" s="113">
        <f>'Sampling Data'!E1397</f>
        <v>0</v>
      </c>
      <c r="G1404" s="113">
        <f>'Sampling Data'!F1397</f>
        <v>0</v>
      </c>
      <c r="H1404" s="113">
        <f>'Sampling Data'!G1397</f>
        <v>0</v>
      </c>
      <c r="I1404" s="112">
        <f>'Sampling Data'!H1397</f>
        <v>0</v>
      </c>
      <c r="J1404" s="112">
        <f>'Sampling Data'!I1397</f>
        <v>0</v>
      </c>
      <c r="K1404" s="112">
        <f>'Sampling Data'!J1397</f>
        <v>9</v>
      </c>
      <c r="L1404" s="111">
        <f>'Sampling Data'!X1397</f>
        <v>0</v>
      </c>
      <c r="M1404" s="114"/>
      <c r="N1404" s="114"/>
      <c r="O1404" s="115"/>
      <c r="P1404" s="115"/>
      <c r="Q1404" s="116"/>
      <c r="R1404" s="116"/>
      <c r="S1404" s="111">
        <f>Audit[[#This Row],[Audit Losing Candidate]]-Audit[[#This Row],[Losing Candidate]]</f>
        <v>-6</v>
      </c>
      <c r="T1404" s="111">
        <f>Audit[[#This Row],[Audit Winning Candidate]]-Audit[[#This Row],[Winning Candidate]]</f>
        <v>-3</v>
      </c>
      <c r="U1404" s="111">
        <f>Audit[[#This Row],[Audit Candidate 3]]-Audit[[#This Row],[Candidate 3]]</f>
        <v>0</v>
      </c>
      <c r="V1404" s="111">
        <f>Audit[[#This Row],[Audit Candidate 4]]-Audit[[#This Row],[Candidate 4]]</f>
        <v>0</v>
      </c>
      <c r="W1404" s="111">
        <f>Audit[[#This Row],[Audit Candidate 5]]-Audit[[#This Row],[Candidate 5]]</f>
        <v>0</v>
      </c>
      <c r="X1404" s="111">
        <f>Audit[[#This Row],[Audit Candidate 6]]-Audit[[#This Row],[Candidate 6]]</f>
        <v>0</v>
      </c>
      <c r="Y1404" s="111">
        <f>SUMIF(Audit[[#This Row],[Difference Loser]:[Difference Candidate 6]], "&gt;0")</f>
        <v>0</v>
      </c>
      <c r="Z1404" s="111">
        <f>SUM(Audit[[#This Row],[Difference Loser]:[Difference Candidate 6]])</f>
        <v>-9</v>
      </c>
      <c r="AA1404" s="111">
        <f>IF(Audit[[#This Row],[Times p Drawn - With Replacement]]&gt;0, IF(Audit[[#This Row],[Canceled Differences]]&lt;0, Audit[[#This Row],[Max Differences]]+ABS(Audit[[#This Row],[Canceled Differences]]), Audit[[#This Row],[Max Differences]]), 0)</f>
        <v>0</v>
      </c>
      <c r="AB1404" s="111">
        <f>'Sampling Data'!P1397</f>
        <v>3.8713423879730297E-4</v>
      </c>
      <c r="AC1404" s="111">
        <f>IF(
      SUM(Audit[[#This Row],[Audit Losing Candidate]:[Audit Candidate 6]])
      &lt;&gt;0,
      (Audit[[#This Row],[Winning Candidate]]-Audit[[#This Row],[Losing Candidate]]-(Audit[[#This Row],[Audit Winning Candidate]]-Audit[[#This Row],[Audit Losing Candidate]]))/(Audit[[#Totals],[Winning Candidate]]-Audit[[#Totals],[Losing Candidate]]),
      0
)</f>
        <v>0</v>
      </c>
      <c r="AD14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4" s="111">
        <f>IF(Audit[[#This Row],[Max Relative Error (ep)]] = 0, 0, Audit[[#This Row],[Max Relative Error (ep)]]/Audit[[#This Row],[Error Bound (up) - Max. possible relative overstatement]])</f>
        <v>0</v>
      </c>
      <c r="AJ14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04" s="111">
        <f t="shared" si="21"/>
        <v>1</v>
      </c>
      <c r="AL1404" s="111">
        <f>PRODUCT($AK$5:AK1404)</f>
        <v>8.962823818226312E-2</v>
      </c>
      <c r="AM1404" s="109">
        <f>1 - [K-M P Value]</f>
        <v>0.91037176181773694</v>
      </c>
      <c r="AN1404" s="111" t="str">
        <f>IF(Audit[[#This Row],[K-M P Value]]&gt;1-'General Info'!$B$16,"Continue", "Stop")</f>
        <v>Stop</v>
      </c>
      <c r="AO1404" s="110" t="b">
        <f>IF(Audit[[#This Row],[Status - Continue or stop audit]] = "Continue", TRUE, IF(AN1403 = "Continue", TRUE, FALSE))</f>
        <v>0</v>
      </c>
      <c r="AP1404" s="110"/>
    </row>
    <row r="1405" spans="1:42" ht="15" hidden="1" customHeight="1">
      <c r="A1405" s="111" t="str">
        <f>'Sampling Data'!W1398</f>
        <v/>
      </c>
      <c r="B1405" s="112" t="str">
        <f>'Sampling Data'!A1398</f>
        <v>MAPLE HEIGHTS -05-B - ABS</v>
      </c>
      <c r="C1405" s="112">
        <f>'Sampling Data'!B1398</f>
        <v>1</v>
      </c>
      <c r="D1405" s="112">
        <f>'Sampling Data'!C1398</f>
        <v>7</v>
      </c>
      <c r="E1405" s="113">
        <f>'Sampling Data'!D1398</f>
        <v>1</v>
      </c>
      <c r="F1405" s="113">
        <f>'Sampling Data'!E1398</f>
        <v>0</v>
      </c>
      <c r="G1405" s="113">
        <f>'Sampling Data'!F1398</f>
        <v>0</v>
      </c>
      <c r="H1405" s="113">
        <f>'Sampling Data'!G1398</f>
        <v>0</v>
      </c>
      <c r="I1405" s="112">
        <f>'Sampling Data'!H1398</f>
        <v>0</v>
      </c>
      <c r="J1405" s="112">
        <f>'Sampling Data'!I1398</f>
        <v>0</v>
      </c>
      <c r="K1405" s="112">
        <f>'Sampling Data'!J1398</f>
        <v>9</v>
      </c>
      <c r="L1405" s="111">
        <f>'Sampling Data'!X1398</f>
        <v>0</v>
      </c>
      <c r="M1405" s="114"/>
      <c r="N1405" s="114"/>
      <c r="O1405" s="115"/>
      <c r="P1405" s="115"/>
      <c r="Q1405" s="116"/>
      <c r="R1405" s="116"/>
      <c r="S1405" s="111">
        <f>Audit[[#This Row],[Audit Losing Candidate]]-Audit[[#This Row],[Losing Candidate]]</f>
        <v>-1</v>
      </c>
      <c r="T1405" s="111">
        <f>Audit[[#This Row],[Audit Winning Candidate]]-Audit[[#This Row],[Winning Candidate]]</f>
        <v>-7</v>
      </c>
      <c r="U1405" s="111">
        <f>Audit[[#This Row],[Audit Candidate 3]]-Audit[[#This Row],[Candidate 3]]</f>
        <v>-1</v>
      </c>
      <c r="V1405" s="111">
        <f>Audit[[#This Row],[Audit Candidate 4]]-Audit[[#This Row],[Candidate 4]]</f>
        <v>0</v>
      </c>
      <c r="W1405" s="111">
        <f>Audit[[#This Row],[Audit Candidate 5]]-Audit[[#This Row],[Candidate 5]]</f>
        <v>0</v>
      </c>
      <c r="X1405" s="111">
        <f>Audit[[#This Row],[Audit Candidate 6]]-Audit[[#This Row],[Candidate 6]]</f>
        <v>0</v>
      </c>
      <c r="Y1405" s="111">
        <f>SUMIF(Audit[[#This Row],[Difference Loser]:[Difference Candidate 6]], "&gt;0")</f>
        <v>0</v>
      </c>
      <c r="Z1405" s="111">
        <f>SUM(Audit[[#This Row],[Difference Loser]:[Difference Candidate 6]])</f>
        <v>-9</v>
      </c>
      <c r="AA1405" s="111">
        <f>IF(Audit[[#This Row],[Times p Drawn - With Replacement]]&gt;0, IF(Audit[[#This Row],[Canceled Differences]]&lt;0, Audit[[#This Row],[Max Differences]]+ABS(Audit[[#This Row],[Canceled Differences]]), Audit[[#This Row],[Max Differences]]), 0)</f>
        <v>0</v>
      </c>
      <c r="AB1405" s="111">
        <f>'Sampling Data'!P1398</f>
        <v>9.1866731994120533E-4</v>
      </c>
      <c r="AC1405" s="111">
        <f>IF(
      SUM(Audit[[#This Row],[Audit Losing Candidate]:[Audit Candidate 6]])
      &lt;&gt;0,
      (Audit[[#This Row],[Winning Candidate]]-Audit[[#This Row],[Losing Candidate]]-(Audit[[#This Row],[Audit Winning Candidate]]-Audit[[#This Row],[Audit Losing Candidate]]))/(Audit[[#Totals],[Winning Candidate]]-Audit[[#Totals],[Losing Candidate]]),
      0
)</f>
        <v>0</v>
      </c>
      <c r="AD14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5" s="111">
        <f>IF(Audit[[#This Row],[Max Relative Error (ep)]] = 0, 0, Audit[[#This Row],[Max Relative Error (ep)]]/Audit[[#This Row],[Error Bound (up) - Max. possible relative overstatement]])</f>
        <v>0</v>
      </c>
      <c r="AJ14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05" s="111">
        <f t="shared" si="21"/>
        <v>1</v>
      </c>
      <c r="AL1405" s="111">
        <f>PRODUCT($AK$5:AK1405)</f>
        <v>8.962823818226312E-2</v>
      </c>
      <c r="AM1405" s="109">
        <f>1 - [K-M P Value]</f>
        <v>0.91037176181773694</v>
      </c>
      <c r="AN1405" s="111" t="str">
        <f>IF(Audit[[#This Row],[K-M P Value]]&gt;1-'General Info'!$B$16,"Continue", "Stop")</f>
        <v>Stop</v>
      </c>
      <c r="AO1405" s="110" t="b">
        <f>IF(Audit[[#This Row],[Status - Continue or stop audit]] = "Continue", TRUE, IF(AN1404 = "Continue", TRUE, FALSE))</f>
        <v>0</v>
      </c>
      <c r="AP1405" s="110"/>
    </row>
    <row r="1406" spans="1:42" ht="15" hidden="1" customHeight="1">
      <c r="A1406" s="111" t="str">
        <f>'Sampling Data'!W1399</f>
        <v/>
      </c>
      <c r="B1406" s="112" t="str">
        <f>'Sampling Data'!A1399</f>
        <v>MAPLE HEIGHTS -05-C</v>
      </c>
      <c r="C1406" s="112">
        <f>'Sampling Data'!B1399</f>
        <v>3</v>
      </c>
      <c r="D1406" s="112">
        <f>'Sampling Data'!C1399</f>
        <v>1</v>
      </c>
      <c r="E1406" s="113">
        <f>'Sampling Data'!D1399</f>
        <v>1</v>
      </c>
      <c r="F1406" s="113">
        <f>'Sampling Data'!E1399</f>
        <v>1</v>
      </c>
      <c r="G1406" s="113">
        <f>'Sampling Data'!F1399</f>
        <v>0</v>
      </c>
      <c r="H1406" s="113">
        <f>'Sampling Data'!G1399</f>
        <v>0</v>
      </c>
      <c r="I1406" s="112">
        <f>'Sampling Data'!H1399</f>
        <v>0</v>
      </c>
      <c r="J1406" s="112">
        <f>'Sampling Data'!I1399</f>
        <v>0</v>
      </c>
      <c r="K1406" s="112">
        <f>'Sampling Data'!J1399</f>
        <v>6</v>
      </c>
      <c r="L1406" s="111">
        <f>'Sampling Data'!X1399</f>
        <v>0</v>
      </c>
      <c r="M1406" s="114"/>
      <c r="N1406" s="114"/>
      <c r="O1406" s="115"/>
      <c r="P1406" s="115"/>
      <c r="Q1406" s="116"/>
      <c r="R1406" s="116"/>
      <c r="S1406" s="111">
        <f>Audit[[#This Row],[Audit Losing Candidate]]-Audit[[#This Row],[Losing Candidate]]</f>
        <v>-3</v>
      </c>
      <c r="T1406" s="111">
        <f>Audit[[#This Row],[Audit Winning Candidate]]-Audit[[#This Row],[Winning Candidate]]</f>
        <v>-1</v>
      </c>
      <c r="U1406" s="111">
        <f>Audit[[#This Row],[Audit Candidate 3]]-Audit[[#This Row],[Candidate 3]]</f>
        <v>-1</v>
      </c>
      <c r="V1406" s="111">
        <f>Audit[[#This Row],[Audit Candidate 4]]-Audit[[#This Row],[Candidate 4]]</f>
        <v>-1</v>
      </c>
      <c r="W1406" s="111">
        <f>Audit[[#This Row],[Audit Candidate 5]]-Audit[[#This Row],[Candidate 5]]</f>
        <v>0</v>
      </c>
      <c r="X1406" s="111">
        <f>Audit[[#This Row],[Audit Candidate 6]]-Audit[[#This Row],[Candidate 6]]</f>
        <v>0</v>
      </c>
      <c r="Y1406" s="111">
        <f>SUMIF(Audit[[#This Row],[Difference Loser]:[Difference Candidate 6]], "&gt;0")</f>
        <v>0</v>
      </c>
      <c r="Z1406" s="111">
        <f>SUM(Audit[[#This Row],[Difference Loser]:[Difference Candidate 6]])</f>
        <v>-6</v>
      </c>
      <c r="AA1406" s="111">
        <f>IF(Audit[[#This Row],[Times p Drawn - With Replacement]]&gt;0, IF(Audit[[#This Row],[Canceled Differences]]&lt;0, Audit[[#This Row],[Max Differences]]+ABS(Audit[[#This Row],[Canceled Differences]]), Audit[[#This Row],[Max Differences]]), 0)</f>
        <v>0</v>
      </c>
      <c r="AB1406" s="111">
        <f>'Sampling Data'!P1399</f>
        <v>2.4497795198432141E-4</v>
      </c>
      <c r="AC1406" s="111">
        <f>IF(
      SUM(Audit[[#This Row],[Audit Losing Candidate]:[Audit Candidate 6]])
      &lt;&gt;0,
      (Audit[[#This Row],[Winning Candidate]]-Audit[[#This Row],[Losing Candidate]]-(Audit[[#This Row],[Audit Winning Candidate]]-Audit[[#This Row],[Audit Losing Candidate]]))/(Audit[[#Totals],[Winning Candidate]]-Audit[[#Totals],[Losing Candidate]]),
      0
)</f>
        <v>0</v>
      </c>
      <c r="AD14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6" s="111">
        <f>IF(Audit[[#This Row],[Max Relative Error (ep)]] = 0, 0, Audit[[#This Row],[Max Relative Error (ep)]]/Audit[[#This Row],[Error Bound (up) - Max. possible relative overstatement]])</f>
        <v>0</v>
      </c>
      <c r="AJ14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06" s="111">
        <f t="shared" si="21"/>
        <v>1</v>
      </c>
      <c r="AL1406" s="111">
        <f>PRODUCT($AK$5:AK1406)</f>
        <v>8.962823818226312E-2</v>
      </c>
      <c r="AM1406" s="109">
        <f>1 - [K-M P Value]</f>
        <v>0.91037176181773694</v>
      </c>
      <c r="AN1406" s="111" t="str">
        <f>IF(Audit[[#This Row],[K-M P Value]]&gt;1-'General Info'!$B$16,"Continue", "Stop")</f>
        <v>Stop</v>
      </c>
      <c r="AO1406" s="110" t="b">
        <f>IF(Audit[[#This Row],[Status - Continue or stop audit]] = "Continue", TRUE, IF(AN1405 = "Continue", TRUE, FALSE))</f>
        <v>0</v>
      </c>
      <c r="AP1406" s="110"/>
    </row>
    <row r="1407" spans="1:42" ht="15" hidden="1" customHeight="1">
      <c r="A1407" s="111" t="str">
        <f>'Sampling Data'!W1400</f>
        <v/>
      </c>
      <c r="B1407" s="112" t="str">
        <f>'Sampling Data'!A1400</f>
        <v>MAPLE HEIGHTS -05-C - ABS</v>
      </c>
      <c r="C1407" s="112">
        <f>'Sampling Data'!B1400</f>
        <v>6</v>
      </c>
      <c r="D1407" s="112">
        <f>'Sampling Data'!C1400</f>
        <v>0</v>
      </c>
      <c r="E1407" s="113">
        <f>'Sampling Data'!D1400</f>
        <v>2</v>
      </c>
      <c r="F1407" s="113">
        <f>'Sampling Data'!E1400</f>
        <v>1</v>
      </c>
      <c r="G1407" s="113">
        <f>'Sampling Data'!F1400</f>
        <v>0</v>
      </c>
      <c r="H1407" s="113">
        <f>'Sampling Data'!G1400</f>
        <v>1</v>
      </c>
      <c r="I1407" s="112">
        <f>'Sampling Data'!H1400</f>
        <v>0</v>
      </c>
      <c r="J1407" s="112">
        <f>'Sampling Data'!I1400</f>
        <v>0</v>
      </c>
      <c r="K1407" s="112">
        <f>'Sampling Data'!J1400</f>
        <v>10</v>
      </c>
      <c r="L1407" s="111">
        <f>'Sampling Data'!X1400</f>
        <v>0</v>
      </c>
      <c r="M1407" s="114"/>
      <c r="N1407" s="114"/>
      <c r="O1407" s="115"/>
      <c r="P1407" s="115"/>
      <c r="Q1407" s="116"/>
      <c r="R1407" s="116"/>
      <c r="S1407" s="111">
        <f>Audit[[#This Row],[Audit Losing Candidate]]-Audit[[#This Row],[Losing Candidate]]</f>
        <v>-6</v>
      </c>
      <c r="T1407" s="111">
        <f>Audit[[#This Row],[Audit Winning Candidate]]-Audit[[#This Row],[Winning Candidate]]</f>
        <v>0</v>
      </c>
      <c r="U1407" s="111">
        <f>Audit[[#This Row],[Audit Candidate 3]]-Audit[[#This Row],[Candidate 3]]</f>
        <v>-2</v>
      </c>
      <c r="V1407" s="111">
        <f>Audit[[#This Row],[Audit Candidate 4]]-Audit[[#This Row],[Candidate 4]]</f>
        <v>-1</v>
      </c>
      <c r="W1407" s="111">
        <f>Audit[[#This Row],[Audit Candidate 5]]-Audit[[#This Row],[Candidate 5]]</f>
        <v>0</v>
      </c>
      <c r="X1407" s="111">
        <f>Audit[[#This Row],[Audit Candidate 6]]-Audit[[#This Row],[Candidate 6]]</f>
        <v>-1</v>
      </c>
      <c r="Y1407" s="111">
        <f>SUMIF(Audit[[#This Row],[Difference Loser]:[Difference Candidate 6]], "&gt;0")</f>
        <v>0</v>
      </c>
      <c r="Z1407" s="111">
        <f>SUM(Audit[[#This Row],[Difference Loser]:[Difference Candidate 6]])</f>
        <v>-10</v>
      </c>
      <c r="AA1407" s="111">
        <f>IF(Audit[[#This Row],[Times p Drawn - With Replacement]]&gt;0, IF(Audit[[#This Row],[Canceled Differences]]&lt;0, Audit[[#This Row],[Max Differences]]+ABS(Audit[[#This Row],[Canceled Differences]]), Audit[[#This Row],[Max Differences]]), 0)</f>
        <v>0</v>
      </c>
      <c r="AB1407" s="111">
        <f>'Sampling Data'!P1400</f>
        <v>2.6308866087871614E-4</v>
      </c>
      <c r="AC1407" s="111">
        <f>IF(
      SUM(Audit[[#This Row],[Audit Losing Candidate]:[Audit Candidate 6]])
      &lt;&gt;0,
      (Audit[[#This Row],[Winning Candidate]]-Audit[[#This Row],[Losing Candidate]]-(Audit[[#This Row],[Audit Winning Candidate]]-Audit[[#This Row],[Audit Losing Candidate]]))/(Audit[[#Totals],[Winning Candidate]]-Audit[[#Totals],[Losing Candidate]]),
      0
)</f>
        <v>0</v>
      </c>
      <c r="AD14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7" s="111">
        <f>IF(Audit[[#This Row],[Max Relative Error (ep)]] = 0, 0, Audit[[#This Row],[Max Relative Error (ep)]]/Audit[[#This Row],[Error Bound (up) - Max. possible relative overstatement]])</f>
        <v>0</v>
      </c>
      <c r="AJ14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07" s="111">
        <f t="shared" si="21"/>
        <v>1</v>
      </c>
      <c r="AL1407" s="111">
        <f>PRODUCT($AK$5:AK1407)</f>
        <v>8.962823818226312E-2</v>
      </c>
      <c r="AM1407" s="109">
        <f>1 - [K-M P Value]</f>
        <v>0.91037176181773694</v>
      </c>
      <c r="AN1407" s="111" t="str">
        <f>IF(Audit[[#This Row],[K-M P Value]]&gt;1-'General Info'!$B$16,"Continue", "Stop")</f>
        <v>Stop</v>
      </c>
      <c r="AO1407" s="110" t="b">
        <f>IF(Audit[[#This Row],[Status - Continue or stop audit]] = "Continue", TRUE, IF(AN1406 = "Continue", TRUE, FALSE))</f>
        <v>0</v>
      </c>
      <c r="AP1407" s="110"/>
    </row>
    <row r="1408" spans="1:42" ht="15" hidden="1" customHeight="1">
      <c r="A1408" s="111" t="str">
        <f>'Sampling Data'!W1401</f>
        <v/>
      </c>
      <c r="B1408" s="112" t="str">
        <f>'Sampling Data'!A1401</f>
        <v>MAPLE HEIGHTS -06-A</v>
      </c>
      <c r="C1408" s="112">
        <f>'Sampling Data'!B1401</f>
        <v>3</v>
      </c>
      <c r="D1408" s="112">
        <f>'Sampling Data'!C1401</f>
        <v>6</v>
      </c>
      <c r="E1408" s="113">
        <f>'Sampling Data'!D1401</f>
        <v>0</v>
      </c>
      <c r="F1408" s="113">
        <f>'Sampling Data'!E1401</f>
        <v>2</v>
      </c>
      <c r="G1408" s="113">
        <f>'Sampling Data'!F1401</f>
        <v>0</v>
      </c>
      <c r="H1408" s="113">
        <f>'Sampling Data'!G1401</f>
        <v>0</v>
      </c>
      <c r="I1408" s="112">
        <f>'Sampling Data'!H1401</f>
        <v>0</v>
      </c>
      <c r="J1408" s="112">
        <f>'Sampling Data'!I1401</f>
        <v>0</v>
      </c>
      <c r="K1408" s="112">
        <f>'Sampling Data'!J1401</f>
        <v>11</v>
      </c>
      <c r="L1408" s="111">
        <f>'Sampling Data'!X1401</f>
        <v>0</v>
      </c>
      <c r="M1408" s="114"/>
      <c r="N1408" s="114"/>
      <c r="O1408" s="115"/>
      <c r="P1408" s="115"/>
      <c r="Q1408" s="116"/>
      <c r="R1408" s="116"/>
      <c r="S1408" s="111">
        <f>Audit[[#This Row],[Audit Losing Candidate]]-Audit[[#This Row],[Losing Candidate]]</f>
        <v>-3</v>
      </c>
      <c r="T1408" s="111">
        <f>Audit[[#This Row],[Audit Winning Candidate]]-Audit[[#This Row],[Winning Candidate]]</f>
        <v>-6</v>
      </c>
      <c r="U1408" s="111">
        <f>Audit[[#This Row],[Audit Candidate 3]]-Audit[[#This Row],[Candidate 3]]</f>
        <v>0</v>
      </c>
      <c r="V1408" s="111">
        <f>Audit[[#This Row],[Audit Candidate 4]]-Audit[[#This Row],[Candidate 4]]</f>
        <v>-2</v>
      </c>
      <c r="W1408" s="111">
        <f>Audit[[#This Row],[Audit Candidate 5]]-Audit[[#This Row],[Candidate 5]]</f>
        <v>0</v>
      </c>
      <c r="X1408" s="111">
        <f>Audit[[#This Row],[Audit Candidate 6]]-Audit[[#This Row],[Candidate 6]]</f>
        <v>0</v>
      </c>
      <c r="Y1408" s="111">
        <f>SUMIF(Audit[[#This Row],[Difference Loser]:[Difference Candidate 6]], "&gt;0")</f>
        <v>0</v>
      </c>
      <c r="Z1408" s="111">
        <f>SUM(Audit[[#This Row],[Difference Loser]:[Difference Candidate 6]])</f>
        <v>-11</v>
      </c>
      <c r="AA1408" s="111">
        <f>IF(Audit[[#This Row],[Times p Drawn - With Replacement]]&gt;0, IF(Audit[[#This Row],[Canceled Differences]]&lt;0, Audit[[#This Row],[Max Differences]]+ABS(Audit[[#This Row],[Canceled Differences]]), Audit[[#This Row],[Max Differences]]), 0)</f>
        <v>0</v>
      </c>
      <c r="AB1408" s="111">
        <f>'Sampling Data'!P1401</f>
        <v>8.5742283194512492E-4</v>
      </c>
      <c r="AC1408" s="111">
        <f>IF(
      SUM(Audit[[#This Row],[Audit Losing Candidate]:[Audit Candidate 6]])
      &lt;&gt;0,
      (Audit[[#This Row],[Winning Candidate]]-Audit[[#This Row],[Losing Candidate]]-(Audit[[#This Row],[Audit Winning Candidate]]-Audit[[#This Row],[Audit Losing Candidate]]))/(Audit[[#Totals],[Winning Candidate]]-Audit[[#Totals],[Losing Candidate]]),
      0
)</f>
        <v>0</v>
      </c>
      <c r="AD14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8" s="111">
        <f>IF(Audit[[#This Row],[Max Relative Error (ep)]] = 0, 0, Audit[[#This Row],[Max Relative Error (ep)]]/Audit[[#This Row],[Error Bound (up) - Max. possible relative overstatement]])</f>
        <v>0</v>
      </c>
      <c r="AJ14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08" s="111">
        <f t="shared" si="21"/>
        <v>1</v>
      </c>
      <c r="AL1408" s="111">
        <f>PRODUCT($AK$5:AK1408)</f>
        <v>8.962823818226312E-2</v>
      </c>
      <c r="AM1408" s="109">
        <f>1 - [K-M P Value]</f>
        <v>0.91037176181773694</v>
      </c>
      <c r="AN1408" s="111" t="str">
        <f>IF(Audit[[#This Row],[K-M P Value]]&gt;1-'General Info'!$B$16,"Continue", "Stop")</f>
        <v>Stop</v>
      </c>
      <c r="AO1408" s="110" t="b">
        <f>IF(Audit[[#This Row],[Status - Continue or stop audit]] = "Continue", TRUE, IF(AN1407 = "Continue", TRUE, FALSE))</f>
        <v>0</v>
      </c>
      <c r="AP1408" s="110"/>
    </row>
    <row r="1409" spans="1:42" ht="15" hidden="1" customHeight="1">
      <c r="A1409" s="111" t="str">
        <f>'Sampling Data'!W1402</f>
        <v/>
      </c>
      <c r="B1409" s="112" t="str">
        <f>'Sampling Data'!A1402</f>
        <v>MAPLE HEIGHTS -06-A - ABS</v>
      </c>
      <c r="C1409" s="112">
        <f>'Sampling Data'!B1402</f>
        <v>2</v>
      </c>
      <c r="D1409" s="112">
        <f>'Sampling Data'!C1402</f>
        <v>3</v>
      </c>
      <c r="E1409" s="113">
        <f>'Sampling Data'!D1402</f>
        <v>0</v>
      </c>
      <c r="F1409" s="113">
        <f>'Sampling Data'!E1402</f>
        <v>0</v>
      </c>
      <c r="G1409" s="113">
        <f>'Sampling Data'!F1402</f>
        <v>1</v>
      </c>
      <c r="H1409" s="113">
        <f>'Sampling Data'!G1402</f>
        <v>0</v>
      </c>
      <c r="I1409" s="112">
        <f>'Sampling Data'!H1402</f>
        <v>0</v>
      </c>
      <c r="J1409" s="112">
        <f>'Sampling Data'!I1402</f>
        <v>0</v>
      </c>
      <c r="K1409" s="112">
        <f>'Sampling Data'!J1402</f>
        <v>6</v>
      </c>
      <c r="L1409" s="111">
        <f>'Sampling Data'!X1402</f>
        <v>0</v>
      </c>
      <c r="M1409" s="114"/>
      <c r="N1409" s="114"/>
      <c r="O1409" s="115"/>
      <c r="P1409" s="115"/>
      <c r="Q1409" s="116"/>
      <c r="R1409" s="116"/>
      <c r="S1409" s="111">
        <f>Audit[[#This Row],[Audit Losing Candidate]]-Audit[[#This Row],[Losing Candidate]]</f>
        <v>-2</v>
      </c>
      <c r="T1409" s="111">
        <f>Audit[[#This Row],[Audit Winning Candidate]]-Audit[[#This Row],[Winning Candidate]]</f>
        <v>-3</v>
      </c>
      <c r="U1409" s="111">
        <f>Audit[[#This Row],[Audit Candidate 3]]-Audit[[#This Row],[Candidate 3]]</f>
        <v>0</v>
      </c>
      <c r="V1409" s="111">
        <f>Audit[[#This Row],[Audit Candidate 4]]-Audit[[#This Row],[Candidate 4]]</f>
        <v>0</v>
      </c>
      <c r="W1409" s="111">
        <f>Audit[[#This Row],[Audit Candidate 5]]-Audit[[#This Row],[Candidate 5]]</f>
        <v>-1</v>
      </c>
      <c r="X1409" s="111">
        <f>Audit[[#This Row],[Audit Candidate 6]]-Audit[[#This Row],[Candidate 6]]</f>
        <v>0</v>
      </c>
      <c r="Y1409" s="111">
        <f>SUMIF(Audit[[#This Row],[Difference Loser]:[Difference Candidate 6]], "&gt;0")</f>
        <v>0</v>
      </c>
      <c r="Z1409" s="111">
        <f>SUM(Audit[[#This Row],[Difference Loser]:[Difference Candidate 6]])</f>
        <v>-6</v>
      </c>
      <c r="AA1409" s="111">
        <f>IF(Audit[[#This Row],[Times p Drawn - With Replacement]]&gt;0, IF(Audit[[#This Row],[Canceled Differences]]&lt;0, Audit[[#This Row],[Max Differences]]+ABS(Audit[[#This Row],[Canceled Differences]]), Audit[[#This Row],[Max Differences]]), 0)</f>
        <v>0</v>
      </c>
      <c r="AB1409" s="111">
        <f>'Sampling Data'!P1402</f>
        <v>4.2871141597256246E-4</v>
      </c>
      <c r="AC1409" s="111">
        <f>IF(
      SUM(Audit[[#This Row],[Audit Losing Candidate]:[Audit Candidate 6]])
      &lt;&gt;0,
      (Audit[[#This Row],[Winning Candidate]]-Audit[[#This Row],[Losing Candidate]]-(Audit[[#This Row],[Audit Winning Candidate]]-Audit[[#This Row],[Audit Losing Candidate]]))/(Audit[[#Totals],[Winning Candidate]]-Audit[[#Totals],[Losing Candidate]]),
      0
)</f>
        <v>0</v>
      </c>
      <c r="AD14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9" s="111">
        <f>IF(Audit[[#This Row],[Max Relative Error (ep)]] = 0, 0, Audit[[#This Row],[Max Relative Error (ep)]]/Audit[[#This Row],[Error Bound (up) - Max. possible relative overstatement]])</f>
        <v>0</v>
      </c>
      <c r="AJ14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09" s="111">
        <f t="shared" si="21"/>
        <v>1</v>
      </c>
      <c r="AL1409" s="111">
        <f>PRODUCT($AK$5:AK1409)</f>
        <v>8.962823818226312E-2</v>
      </c>
      <c r="AM1409" s="109">
        <f>1 - [K-M P Value]</f>
        <v>0.91037176181773694</v>
      </c>
      <c r="AN1409" s="111" t="str">
        <f>IF(Audit[[#This Row],[K-M P Value]]&gt;1-'General Info'!$B$16,"Continue", "Stop")</f>
        <v>Stop</v>
      </c>
      <c r="AO1409" s="110" t="b">
        <f>IF(Audit[[#This Row],[Status - Continue or stop audit]] = "Continue", TRUE, IF(AN1408 = "Continue", TRUE, FALSE))</f>
        <v>0</v>
      </c>
      <c r="AP1409" s="110"/>
    </row>
    <row r="1410" spans="1:42" ht="15" hidden="1" customHeight="1">
      <c r="A1410" s="111" t="str">
        <f>'Sampling Data'!W1403</f>
        <v/>
      </c>
      <c r="B1410" s="112" t="str">
        <f>'Sampling Data'!A1403</f>
        <v>MAPLE HEIGHTS -06-B</v>
      </c>
      <c r="C1410" s="112">
        <f>'Sampling Data'!B1403</f>
        <v>1</v>
      </c>
      <c r="D1410" s="112">
        <f>'Sampling Data'!C1403</f>
        <v>3</v>
      </c>
      <c r="E1410" s="113">
        <f>'Sampling Data'!D1403</f>
        <v>0</v>
      </c>
      <c r="F1410" s="113">
        <f>'Sampling Data'!E1403</f>
        <v>0</v>
      </c>
      <c r="G1410" s="113">
        <f>'Sampling Data'!F1403</f>
        <v>0</v>
      </c>
      <c r="H1410" s="113">
        <f>'Sampling Data'!G1403</f>
        <v>0</v>
      </c>
      <c r="I1410" s="112">
        <f>'Sampling Data'!H1403</f>
        <v>0</v>
      </c>
      <c r="J1410" s="112">
        <f>'Sampling Data'!I1403</f>
        <v>0</v>
      </c>
      <c r="K1410" s="112">
        <f>'Sampling Data'!J1403</f>
        <v>4</v>
      </c>
      <c r="L1410" s="111">
        <f>'Sampling Data'!X1403</f>
        <v>0</v>
      </c>
      <c r="M1410" s="114"/>
      <c r="N1410" s="114"/>
      <c r="O1410" s="115"/>
      <c r="P1410" s="115"/>
      <c r="Q1410" s="116"/>
      <c r="R1410" s="116"/>
      <c r="S1410" s="111">
        <f>Audit[[#This Row],[Audit Losing Candidate]]-Audit[[#This Row],[Losing Candidate]]</f>
        <v>-1</v>
      </c>
      <c r="T1410" s="111">
        <f>Audit[[#This Row],[Audit Winning Candidate]]-Audit[[#This Row],[Winning Candidate]]</f>
        <v>-3</v>
      </c>
      <c r="U1410" s="111">
        <f>Audit[[#This Row],[Audit Candidate 3]]-Audit[[#This Row],[Candidate 3]]</f>
        <v>0</v>
      </c>
      <c r="V1410" s="111">
        <f>Audit[[#This Row],[Audit Candidate 4]]-Audit[[#This Row],[Candidate 4]]</f>
        <v>0</v>
      </c>
      <c r="W1410" s="111">
        <f>Audit[[#This Row],[Audit Candidate 5]]-Audit[[#This Row],[Candidate 5]]</f>
        <v>0</v>
      </c>
      <c r="X1410" s="111">
        <f>Audit[[#This Row],[Audit Candidate 6]]-Audit[[#This Row],[Candidate 6]]</f>
        <v>0</v>
      </c>
      <c r="Y1410" s="111">
        <f>SUMIF(Audit[[#This Row],[Difference Loser]:[Difference Candidate 6]], "&gt;0")</f>
        <v>0</v>
      </c>
      <c r="Z1410" s="111">
        <f>SUM(Audit[[#This Row],[Difference Loser]:[Difference Candidate 6]])</f>
        <v>-4</v>
      </c>
      <c r="AA1410" s="111">
        <f>IF(Audit[[#This Row],[Times p Drawn - With Replacement]]&gt;0, IF(Audit[[#This Row],[Canceled Differences]]&lt;0, Audit[[#This Row],[Max Differences]]+ABS(Audit[[#This Row],[Canceled Differences]]), Audit[[#This Row],[Max Differences]]), 0)</f>
        <v>0</v>
      </c>
      <c r="AB1410" s="111">
        <f>'Sampling Data'!P1403</f>
        <v>3.6746692797648211E-4</v>
      </c>
      <c r="AC1410" s="111">
        <f>IF(
      SUM(Audit[[#This Row],[Audit Losing Candidate]:[Audit Candidate 6]])
      &lt;&gt;0,
      (Audit[[#This Row],[Winning Candidate]]-Audit[[#This Row],[Losing Candidate]]-(Audit[[#This Row],[Audit Winning Candidate]]-Audit[[#This Row],[Audit Losing Candidate]]))/(Audit[[#Totals],[Winning Candidate]]-Audit[[#Totals],[Losing Candidate]]),
      0
)</f>
        <v>0</v>
      </c>
      <c r="AD14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0" s="111">
        <f>IF(Audit[[#This Row],[Max Relative Error (ep)]] = 0, 0, Audit[[#This Row],[Max Relative Error (ep)]]/Audit[[#This Row],[Error Bound (up) - Max. possible relative overstatement]])</f>
        <v>0</v>
      </c>
      <c r="AJ14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10" s="111">
        <f t="shared" si="21"/>
        <v>1</v>
      </c>
      <c r="AL1410" s="111">
        <f>PRODUCT($AK$5:AK1410)</f>
        <v>8.962823818226312E-2</v>
      </c>
      <c r="AM1410" s="109">
        <f>1 - [K-M P Value]</f>
        <v>0.91037176181773694</v>
      </c>
      <c r="AN1410" s="111" t="str">
        <f>IF(Audit[[#This Row],[K-M P Value]]&gt;1-'General Info'!$B$16,"Continue", "Stop")</f>
        <v>Stop</v>
      </c>
      <c r="AO1410" s="110" t="b">
        <f>IF(Audit[[#This Row],[Status - Continue or stop audit]] = "Continue", TRUE, IF(AN1409 = "Continue", TRUE, FALSE))</f>
        <v>0</v>
      </c>
      <c r="AP1410" s="110"/>
    </row>
    <row r="1411" spans="1:42" ht="15" hidden="1" customHeight="1">
      <c r="A1411" s="111" t="str">
        <f>'Sampling Data'!W1404</f>
        <v/>
      </c>
      <c r="B1411" s="112" t="str">
        <f>'Sampling Data'!A1404</f>
        <v>MAPLE HEIGHTS -06-B - ABS</v>
      </c>
      <c r="C1411" s="112">
        <f>'Sampling Data'!B1404</f>
        <v>6</v>
      </c>
      <c r="D1411" s="112">
        <f>'Sampling Data'!C1404</f>
        <v>1</v>
      </c>
      <c r="E1411" s="113">
        <f>'Sampling Data'!D1404</f>
        <v>0</v>
      </c>
      <c r="F1411" s="113">
        <f>'Sampling Data'!E1404</f>
        <v>0</v>
      </c>
      <c r="G1411" s="113">
        <f>'Sampling Data'!F1404</f>
        <v>1</v>
      </c>
      <c r="H1411" s="113">
        <f>'Sampling Data'!G1404</f>
        <v>0</v>
      </c>
      <c r="I1411" s="112">
        <f>'Sampling Data'!H1404</f>
        <v>0</v>
      </c>
      <c r="J1411" s="112">
        <f>'Sampling Data'!I1404</f>
        <v>0</v>
      </c>
      <c r="K1411" s="112">
        <f>'Sampling Data'!J1404</f>
        <v>8</v>
      </c>
      <c r="L1411" s="111">
        <f>'Sampling Data'!X1404</f>
        <v>0</v>
      </c>
      <c r="M1411" s="114"/>
      <c r="N1411" s="114"/>
      <c r="O1411" s="115"/>
      <c r="P1411" s="115"/>
      <c r="Q1411" s="116"/>
      <c r="R1411" s="116"/>
      <c r="S1411" s="111">
        <f>Audit[[#This Row],[Audit Losing Candidate]]-Audit[[#This Row],[Losing Candidate]]</f>
        <v>-6</v>
      </c>
      <c r="T1411" s="111">
        <f>Audit[[#This Row],[Audit Winning Candidate]]-Audit[[#This Row],[Winning Candidate]]</f>
        <v>-1</v>
      </c>
      <c r="U1411" s="111">
        <f>Audit[[#This Row],[Audit Candidate 3]]-Audit[[#This Row],[Candidate 3]]</f>
        <v>0</v>
      </c>
      <c r="V1411" s="111">
        <f>Audit[[#This Row],[Audit Candidate 4]]-Audit[[#This Row],[Candidate 4]]</f>
        <v>0</v>
      </c>
      <c r="W1411" s="111">
        <f>Audit[[#This Row],[Audit Candidate 5]]-Audit[[#This Row],[Candidate 5]]</f>
        <v>-1</v>
      </c>
      <c r="X1411" s="111">
        <f>Audit[[#This Row],[Audit Candidate 6]]-Audit[[#This Row],[Candidate 6]]</f>
        <v>0</v>
      </c>
      <c r="Y1411" s="111">
        <f>SUMIF(Audit[[#This Row],[Difference Loser]:[Difference Candidate 6]], "&gt;0")</f>
        <v>0</v>
      </c>
      <c r="Z1411" s="111">
        <f>SUM(Audit[[#This Row],[Difference Loser]:[Difference Candidate 6]])</f>
        <v>-8</v>
      </c>
      <c r="AA1411" s="111">
        <f>IF(Audit[[#This Row],[Times p Drawn - With Replacement]]&gt;0, IF(Audit[[#This Row],[Canceled Differences]]&lt;0, Audit[[#This Row],[Max Differences]]+ABS(Audit[[#This Row],[Canceled Differences]]), Audit[[#This Row],[Max Differences]]), 0)</f>
        <v>0</v>
      </c>
      <c r="AB1411" s="111">
        <f>'Sampling Data'!P1404</f>
        <v>2.9035067909797722E-4</v>
      </c>
      <c r="AC1411" s="111">
        <f>IF(
      SUM(Audit[[#This Row],[Audit Losing Candidate]:[Audit Candidate 6]])
      &lt;&gt;0,
      (Audit[[#This Row],[Winning Candidate]]-Audit[[#This Row],[Losing Candidate]]-(Audit[[#This Row],[Audit Winning Candidate]]-Audit[[#This Row],[Audit Losing Candidate]]))/(Audit[[#Totals],[Winning Candidate]]-Audit[[#Totals],[Losing Candidate]]),
      0
)</f>
        <v>0</v>
      </c>
      <c r="AD14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1" s="111">
        <f>IF(Audit[[#This Row],[Max Relative Error (ep)]] = 0, 0, Audit[[#This Row],[Max Relative Error (ep)]]/Audit[[#This Row],[Error Bound (up) - Max. possible relative overstatement]])</f>
        <v>0</v>
      </c>
      <c r="AJ14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11" s="111">
        <f t="shared" si="21"/>
        <v>1</v>
      </c>
      <c r="AL1411" s="111">
        <f>PRODUCT($AK$5:AK1411)</f>
        <v>8.962823818226312E-2</v>
      </c>
      <c r="AM1411" s="109">
        <f>1 - [K-M P Value]</f>
        <v>0.91037176181773694</v>
      </c>
      <c r="AN1411" s="111" t="str">
        <f>IF(Audit[[#This Row],[K-M P Value]]&gt;1-'General Info'!$B$16,"Continue", "Stop")</f>
        <v>Stop</v>
      </c>
      <c r="AO1411" s="110" t="b">
        <f>IF(Audit[[#This Row],[Status - Continue or stop audit]] = "Continue", TRUE, IF(AN1410 = "Continue", TRUE, FALSE))</f>
        <v>0</v>
      </c>
      <c r="AP1411" s="110"/>
    </row>
    <row r="1412" spans="1:42" ht="15" hidden="1" customHeight="1">
      <c r="A1412" s="111" t="str">
        <f>'Sampling Data'!W1405</f>
        <v/>
      </c>
      <c r="B1412" s="112" t="str">
        <f>'Sampling Data'!A1405</f>
        <v>MAPLE HEIGHTS -06-C</v>
      </c>
      <c r="C1412" s="112">
        <f>'Sampling Data'!B1405</f>
        <v>1</v>
      </c>
      <c r="D1412" s="112">
        <f>'Sampling Data'!C1405</f>
        <v>4</v>
      </c>
      <c r="E1412" s="113">
        <f>'Sampling Data'!D1405</f>
        <v>2</v>
      </c>
      <c r="F1412" s="113">
        <f>'Sampling Data'!E1405</f>
        <v>1</v>
      </c>
      <c r="G1412" s="113">
        <f>'Sampling Data'!F1405</f>
        <v>0</v>
      </c>
      <c r="H1412" s="113">
        <f>'Sampling Data'!G1405</f>
        <v>0</v>
      </c>
      <c r="I1412" s="112">
        <f>'Sampling Data'!H1405</f>
        <v>0</v>
      </c>
      <c r="J1412" s="112">
        <f>'Sampling Data'!I1405</f>
        <v>0</v>
      </c>
      <c r="K1412" s="112">
        <f>'Sampling Data'!J1405</f>
        <v>8</v>
      </c>
      <c r="L1412" s="111">
        <f>'Sampling Data'!X1405</f>
        <v>0</v>
      </c>
      <c r="M1412" s="114"/>
      <c r="N1412" s="114"/>
      <c r="O1412" s="115"/>
      <c r="P1412" s="115"/>
      <c r="Q1412" s="116"/>
      <c r="R1412" s="116"/>
      <c r="S1412" s="111">
        <f>Audit[[#This Row],[Audit Losing Candidate]]-Audit[[#This Row],[Losing Candidate]]</f>
        <v>-1</v>
      </c>
      <c r="T1412" s="111">
        <f>Audit[[#This Row],[Audit Winning Candidate]]-Audit[[#This Row],[Winning Candidate]]</f>
        <v>-4</v>
      </c>
      <c r="U1412" s="111">
        <f>Audit[[#This Row],[Audit Candidate 3]]-Audit[[#This Row],[Candidate 3]]</f>
        <v>-2</v>
      </c>
      <c r="V1412" s="111">
        <f>Audit[[#This Row],[Audit Candidate 4]]-Audit[[#This Row],[Candidate 4]]</f>
        <v>-1</v>
      </c>
      <c r="W1412" s="111">
        <f>Audit[[#This Row],[Audit Candidate 5]]-Audit[[#This Row],[Candidate 5]]</f>
        <v>0</v>
      </c>
      <c r="X1412" s="111">
        <f>Audit[[#This Row],[Audit Candidate 6]]-Audit[[#This Row],[Candidate 6]]</f>
        <v>0</v>
      </c>
      <c r="Y1412" s="111">
        <f>SUMIF(Audit[[#This Row],[Difference Loser]:[Difference Candidate 6]], "&gt;0")</f>
        <v>0</v>
      </c>
      <c r="Z1412" s="111">
        <f>SUM(Audit[[#This Row],[Difference Loser]:[Difference Candidate 6]])</f>
        <v>-8</v>
      </c>
      <c r="AA1412" s="111">
        <f>IF(Audit[[#This Row],[Times p Drawn - With Replacement]]&gt;0, IF(Audit[[#This Row],[Canceled Differences]]&lt;0, Audit[[#This Row],[Max Differences]]+ABS(Audit[[#This Row],[Canceled Differences]]), Audit[[#This Row],[Max Differences]]), 0)</f>
        <v>0</v>
      </c>
      <c r="AB1412" s="111">
        <f>'Sampling Data'!P1405</f>
        <v>6.7368936795688392E-4</v>
      </c>
      <c r="AC1412" s="111">
        <f>IF(
      SUM(Audit[[#This Row],[Audit Losing Candidate]:[Audit Candidate 6]])
      &lt;&gt;0,
      (Audit[[#This Row],[Winning Candidate]]-Audit[[#This Row],[Losing Candidate]]-(Audit[[#This Row],[Audit Winning Candidate]]-Audit[[#This Row],[Audit Losing Candidate]]))/(Audit[[#Totals],[Winning Candidate]]-Audit[[#Totals],[Losing Candidate]]),
      0
)</f>
        <v>0</v>
      </c>
      <c r="AD14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2" s="111">
        <f>IF(Audit[[#This Row],[Max Relative Error (ep)]] = 0, 0, Audit[[#This Row],[Max Relative Error (ep)]]/Audit[[#This Row],[Error Bound (up) - Max. possible relative overstatement]])</f>
        <v>0</v>
      </c>
      <c r="AJ14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12" s="111">
        <f t="shared" si="21"/>
        <v>1</v>
      </c>
      <c r="AL1412" s="111">
        <f>PRODUCT($AK$5:AK1412)</f>
        <v>8.962823818226312E-2</v>
      </c>
      <c r="AM1412" s="109">
        <f>1 - [K-M P Value]</f>
        <v>0.91037176181773694</v>
      </c>
      <c r="AN1412" s="111" t="str">
        <f>IF(Audit[[#This Row],[K-M P Value]]&gt;1-'General Info'!$B$16,"Continue", "Stop")</f>
        <v>Stop</v>
      </c>
      <c r="AO1412" s="110" t="b">
        <f>IF(Audit[[#This Row],[Status - Continue or stop audit]] = "Continue", TRUE, IF(AN1411 = "Continue", TRUE, FALSE))</f>
        <v>0</v>
      </c>
      <c r="AP1412" s="110"/>
    </row>
    <row r="1413" spans="1:42" ht="15" hidden="1" customHeight="1">
      <c r="A1413" s="111" t="str">
        <f>'Sampling Data'!W1406</f>
        <v/>
      </c>
      <c r="B1413" s="112" t="str">
        <f>'Sampling Data'!A1406</f>
        <v>MAPLE HEIGHTS -06-C - ABS</v>
      </c>
      <c r="C1413" s="112">
        <f>'Sampling Data'!B1406</f>
        <v>0</v>
      </c>
      <c r="D1413" s="112">
        <f>'Sampling Data'!C1406</f>
        <v>0</v>
      </c>
      <c r="E1413" s="113">
        <f>'Sampling Data'!D1406</f>
        <v>0</v>
      </c>
      <c r="F1413" s="113">
        <f>'Sampling Data'!E1406</f>
        <v>0</v>
      </c>
      <c r="G1413" s="113">
        <f>'Sampling Data'!F1406</f>
        <v>0</v>
      </c>
      <c r="H1413" s="113">
        <f>'Sampling Data'!G1406</f>
        <v>0</v>
      </c>
      <c r="I1413" s="112">
        <f>'Sampling Data'!H1406</f>
        <v>0</v>
      </c>
      <c r="J1413" s="112">
        <f>'Sampling Data'!I1406</f>
        <v>0</v>
      </c>
      <c r="K1413" s="112">
        <f>'Sampling Data'!J1406</f>
        <v>0</v>
      </c>
      <c r="L1413" s="111">
        <f>'Sampling Data'!X1406</f>
        <v>0</v>
      </c>
      <c r="M1413" s="114"/>
      <c r="N1413" s="114"/>
      <c r="O1413" s="115"/>
      <c r="P1413" s="115"/>
      <c r="Q1413" s="116"/>
      <c r="R1413" s="116"/>
      <c r="S1413" s="111">
        <f>Audit[[#This Row],[Audit Losing Candidate]]-Audit[[#This Row],[Losing Candidate]]</f>
        <v>0</v>
      </c>
      <c r="T1413" s="111">
        <f>Audit[[#This Row],[Audit Winning Candidate]]-Audit[[#This Row],[Winning Candidate]]</f>
        <v>0</v>
      </c>
      <c r="U1413" s="111">
        <f>Audit[[#This Row],[Audit Candidate 3]]-Audit[[#This Row],[Candidate 3]]</f>
        <v>0</v>
      </c>
      <c r="V1413" s="111">
        <f>Audit[[#This Row],[Audit Candidate 4]]-Audit[[#This Row],[Candidate 4]]</f>
        <v>0</v>
      </c>
      <c r="W1413" s="111">
        <f>Audit[[#This Row],[Audit Candidate 5]]-Audit[[#This Row],[Candidate 5]]</f>
        <v>0</v>
      </c>
      <c r="X1413" s="111">
        <f>Audit[[#This Row],[Audit Candidate 6]]-Audit[[#This Row],[Candidate 6]]</f>
        <v>0</v>
      </c>
      <c r="Y1413" s="111">
        <f>SUMIF(Audit[[#This Row],[Difference Loser]:[Difference Candidate 6]], "&gt;0")</f>
        <v>0</v>
      </c>
      <c r="Z1413" s="111">
        <f>SUM(Audit[[#This Row],[Difference Loser]:[Difference Candidate 6]])</f>
        <v>0</v>
      </c>
      <c r="AA1413" s="111">
        <f>IF(Audit[[#This Row],[Times p Drawn - With Replacement]]&gt;0, IF(Audit[[#This Row],[Canceled Differences]]&lt;0, Audit[[#This Row],[Max Differences]]+ABS(Audit[[#This Row],[Canceled Differences]]), Audit[[#This Row],[Max Differences]]), 0)</f>
        <v>0</v>
      </c>
      <c r="AB1413" s="111">
        <f>'Sampling Data'!P1406</f>
        <v>0</v>
      </c>
      <c r="AC1413" s="111">
        <f>IF(
      SUM(Audit[[#This Row],[Audit Losing Candidate]:[Audit Candidate 6]])
      &lt;&gt;0,
      (Audit[[#This Row],[Winning Candidate]]-Audit[[#This Row],[Losing Candidate]]-(Audit[[#This Row],[Audit Winning Candidate]]-Audit[[#This Row],[Audit Losing Candidate]]))/(Audit[[#Totals],[Winning Candidate]]-Audit[[#Totals],[Losing Candidate]]),
      0
)</f>
        <v>0</v>
      </c>
      <c r="AD14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3" s="111">
        <f>IF(Audit[[#This Row],[Max Relative Error (ep)]] = 0, 0, Audit[[#This Row],[Max Relative Error (ep)]]/Audit[[#This Row],[Error Bound (up) - Max. possible relative overstatement]])</f>
        <v>0</v>
      </c>
      <c r="AJ14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13" s="111">
        <f t="shared" ref="AK1413:AK1476" si="22">IF(ISERR(POWER(AJ1413,L1413)), 0, POWER(AJ1413,L1413))</f>
        <v>1</v>
      </c>
      <c r="AL1413" s="111">
        <f>PRODUCT($AK$5:AK1413)</f>
        <v>8.962823818226312E-2</v>
      </c>
      <c r="AM1413" s="109">
        <f>1 - [K-M P Value]</f>
        <v>0.91037176181773694</v>
      </c>
      <c r="AN1413" s="111" t="str">
        <f>IF(Audit[[#This Row],[K-M P Value]]&gt;1-'General Info'!$B$16,"Continue", "Stop")</f>
        <v>Stop</v>
      </c>
      <c r="AO1413" s="110" t="b">
        <f>IF(Audit[[#This Row],[Status - Continue or stop audit]] = "Continue", TRUE, IF(AN1412 = "Continue", TRUE, FALSE))</f>
        <v>0</v>
      </c>
      <c r="AP1413" s="110"/>
    </row>
    <row r="1414" spans="1:42" ht="15" hidden="1" customHeight="1">
      <c r="A1414" s="111" t="str">
        <f>'Sampling Data'!W1407</f>
        <v/>
      </c>
      <c r="B1414" s="112" t="str">
        <f>'Sampling Data'!A1407</f>
        <v>MAPLE HEIGHTS -07-A</v>
      </c>
      <c r="C1414" s="112">
        <f>'Sampling Data'!B1407</f>
        <v>2</v>
      </c>
      <c r="D1414" s="112">
        <f>'Sampling Data'!C1407</f>
        <v>10</v>
      </c>
      <c r="E1414" s="113">
        <f>'Sampling Data'!D1407</f>
        <v>1</v>
      </c>
      <c r="F1414" s="113">
        <f>'Sampling Data'!E1407</f>
        <v>0</v>
      </c>
      <c r="G1414" s="113">
        <f>'Sampling Data'!F1407</f>
        <v>0</v>
      </c>
      <c r="H1414" s="113">
        <f>'Sampling Data'!G1407</f>
        <v>0</v>
      </c>
      <c r="I1414" s="112">
        <f>'Sampling Data'!H1407</f>
        <v>0</v>
      </c>
      <c r="J1414" s="112">
        <f>'Sampling Data'!I1407</f>
        <v>0</v>
      </c>
      <c r="K1414" s="112">
        <f>'Sampling Data'!J1407</f>
        <v>13</v>
      </c>
      <c r="L1414" s="111">
        <f>'Sampling Data'!X1407</f>
        <v>0</v>
      </c>
      <c r="M1414" s="114"/>
      <c r="N1414" s="114"/>
      <c r="O1414" s="115"/>
      <c r="P1414" s="115"/>
      <c r="Q1414" s="116"/>
      <c r="R1414" s="116"/>
      <c r="S1414" s="111">
        <f>Audit[[#This Row],[Audit Losing Candidate]]-Audit[[#This Row],[Losing Candidate]]</f>
        <v>-2</v>
      </c>
      <c r="T1414" s="111">
        <f>Audit[[#This Row],[Audit Winning Candidate]]-Audit[[#This Row],[Winning Candidate]]</f>
        <v>-10</v>
      </c>
      <c r="U1414" s="111">
        <f>Audit[[#This Row],[Audit Candidate 3]]-Audit[[#This Row],[Candidate 3]]</f>
        <v>-1</v>
      </c>
      <c r="V1414" s="111">
        <f>Audit[[#This Row],[Audit Candidate 4]]-Audit[[#This Row],[Candidate 4]]</f>
        <v>0</v>
      </c>
      <c r="W1414" s="111">
        <f>Audit[[#This Row],[Audit Candidate 5]]-Audit[[#This Row],[Candidate 5]]</f>
        <v>0</v>
      </c>
      <c r="X1414" s="111">
        <f>Audit[[#This Row],[Audit Candidate 6]]-Audit[[#This Row],[Candidate 6]]</f>
        <v>0</v>
      </c>
      <c r="Y1414" s="111">
        <f>SUMIF(Audit[[#This Row],[Difference Loser]:[Difference Candidate 6]], "&gt;0")</f>
        <v>0</v>
      </c>
      <c r="Z1414" s="111">
        <f>SUM(Audit[[#This Row],[Difference Loser]:[Difference Candidate 6]])</f>
        <v>-13</v>
      </c>
      <c r="AA1414" s="111">
        <f>IF(Audit[[#This Row],[Times p Drawn - With Replacement]]&gt;0, IF(Audit[[#This Row],[Canceled Differences]]&lt;0, Audit[[#This Row],[Max Differences]]+ABS(Audit[[#This Row],[Canceled Differences]]), Audit[[#This Row],[Max Differences]]), 0)</f>
        <v>0</v>
      </c>
      <c r="AB1414" s="111">
        <f>'Sampling Data'!P1407</f>
        <v>1.2861342479176874E-3</v>
      </c>
      <c r="AC1414" s="111">
        <f>IF(
      SUM(Audit[[#This Row],[Audit Losing Candidate]:[Audit Candidate 6]])
      &lt;&gt;0,
      (Audit[[#This Row],[Winning Candidate]]-Audit[[#This Row],[Losing Candidate]]-(Audit[[#This Row],[Audit Winning Candidate]]-Audit[[#This Row],[Audit Losing Candidate]]))/(Audit[[#Totals],[Winning Candidate]]-Audit[[#Totals],[Losing Candidate]]),
      0
)</f>
        <v>0</v>
      </c>
      <c r="AD14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4" s="111">
        <f>IF(Audit[[#This Row],[Max Relative Error (ep)]] = 0, 0, Audit[[#This Row],[Max Relative Error (ep)]]/Audit[[#This Row],[Error Bound (up) - Max. possible relative overstatement]])</f>
        <v>0</v>
      </c>
      <c r="AJ14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14" s="111">
        <f t="shared" si="22"/>
        <v>1</v>
      </c>
      <c r="AL1414" s="111">
        <f>PRODUCT($AK$5:AK1414)</f>
        <v>8.962823818226312E-2</v>
      </c>
      <c r="AM1414" s="109">
        <f>1 - [K-M P Value]</f>
        <v>0.91037176181773694</v>
      </c>
      <c r="AN1414" s="111" t="str">
        <f>IF(Audit[[#This Row],[K-M P Value]]&gt;1-'General Info'!$B$16,"Continue", "Stop")</f>
        <v>Stop</v>
      </c>
      <c r="AO1414" s="110" t="b">
        <f>IF(Audit[[#This Row],[Status - Continue or stop audit]] = "Continue", TRUE, IF(AN1413 = "Continue", TRUE, FALSE))</f>
        <v>0</v>
      </c>
      <c r="AP1414" s="110"/>
    </row>
    <row r="1415" spans="1:42" ht="15" hidden="1" customHeight="1">
      <c r="A1415" s="111" t="str">
        <f>'Sampling Data'!W1408</f>
        <v/>
      </c>
      <c r="B1415" s="112" t="str">
        <f>'Sampling Data'!A1408</f>
        <v>MAPLE HEIGHTS -07-A - ABS</v>
      </c>
      <c r="C1415" s="112">
        <f>'Sampling Data'!B1408</f>
        <v>1</v>
      </c>
      <c r="D1415" s="112">
        <f>'Sampling Data'!C1408</f>
        <v>5</v>
      </c>
      <c r="E1415" s="113">
        <f>'Sampling Data'!D1408</f>
        <v>0</v>
      </c>
      <c r="F1415" s="113">
        <f>'Sampling Data'!E1408</f>
        <v>2</v>
      </c>
      <c r="G1415" s="113">
        <f>'Sampling Data'!F1408</f>
        <v>0</v>
      </c>
      <c r="H1415" s="113">
        <f>'Sampling Data'!G1408</f>
        <v>0</v>
      </c>
      <c r="I1415" s="112">
        <f>'Sampling Data'!H1408</f>
        <v>0</v>
      </c>
      <c r="J1415" s="112">
        <f>'Sampling Data'!I1408</f>
        <v>0</v>
      </c>
      <c r="K1415" s="112">
        <f>'Sampling Data'!J1408</f>
        <v>8</v>
      </c>
      <c r="L1415" s="111">
        <f>'Sampling Data'!X1408</f>
        <v>0</v>
      </c>
      <c r="M1415" s="114"/>
      <c r="N1415" s="114"/>
      <c r="O1415" s="115"/>
      <c r="P1415" s="115"/>
      <c r="Q1415" s="116"/>
      <c r="R1415" s="116"/>
      <c r="S1415" s="111">
        <f>Audit[[#This Row],[Audit Losing Candidate]]-Audit[[#This Row],[Losing Candidate]]</f>
        <v>-1</v>
      </c>
      <c r="T1415" s="111">
        <f>Audit[[#This Row],[Audit Winning Candidate]]-Audit[[#This Row],[Winning Candidate]]</f>
        <v>-5</v>
      </c>
      <c r="U1415" s="111">
        <f>Audit[[#This Row],[Audit Candidate 3]]-Audit[[#This Row],[Candidate 3]]</f>
        <v>0</v>
      </c>
      <c r="V1415" s="111">
        <f>Audit[[#This Row],[Audit Candidate 4]]-Audit[[#This Row],[Candidate 4]]</f>
        <v>-2</v>
      </c>
      <c r="W1415" s="111">
        <f>Audit[[#This Row],[Audit Candidate 5]]-Audit[[#This Row],[Candidate 5]]</f>
        <v>0</v>
      </c>
      <c r="X1415" s="111">
        <f>Audit[[#This Row],[Audit Candidate 6]]-Audit[[#This Row],[Candidate 6]]</f>
        <v>0</v>
      </c>
      <c r="Y1415" s="111">
        <f>SUMIF(Audit[[#This Row],[Difference Loser]:[Difference Candidate 6]], "&gt;0")</f>
        <v>0</v>
      </c>
      <c r="Z1415" s="111">
        <f>SUM(Audit[[#This Row],[Difference Loser]:[Difference Candidate 6]])</f>
        <v>-8</v>
      </c>
      <c r="AA1415" s="111">
        <f>IF(Audit[[#This Row],[Times p Drawn - With Replacement]]&gt;0, IF(Audit[[#This Row],[Canceled Differences]]&lt;0, Audit[[#This Row],[Max Differences]]+ABS(Audit[[#This Row],[Canceled Differences]]), Audit[[#This Row],[Max Differences]]), 0)</f>
        <v>0</v>
      </c>
      <c r="AB1415" s="111">
        <f>'Sampling Data'!P1408</f>
        <v>7.3493385595296422E-4</v>
      </c>
      <c r="AC1415" s="111">
        <f>IF(
      SUM(Audit[[#This Row],[Audit Losing Candidate]:[Audit Candidate 6]])
      &lt;&gt;0,
      (Audit[[#This Row],[Winning Candidate]]-Audit[[#This Row],[Losing Candidate]]-(Audit[[#This Row],[Audit Winning Candidate]]-Audit[[#This Row],[Audit Losing Candidate]]))/(Audit[[#Totals],[Winning Candidate]]-Audit[[#Totals],[Losing Candidate]]),
      0
)</f>
        <v>0</v>
      </c>
      <c r="AD14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5" s="111">
        <f>IF(Audit[[#This Row],[Max Relative Error (ep)]] = 0, 0, Audit[[#This Row],[Max Relative Error (ep)]]/Audit[[#This Row],[Error Bound (up) - Max. possible relative overstatement]])</f>
        <v>0</v>
      </c>
      <c r="AJ14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15" s="111">
        <f t="shared" si="22"/>
        <v>1</v>
      </c>
      <c r="AL1415" s="111">
        <f>PRODUCT($AK$5:AK1415)</f>
        <v>8.962823818226312E-2</v>
      </c>
      <c r="AM1415" s="109">
        <f>1 - [K-M P Value]</f>
        <v>0.91037176181773694</v>
      </c>
      <c r="AN1415" s="111" t="str">
        <f>IF(Audit[[#This Row],[K-M P Value]]&gt;1-'General Info'!$B$16,"Continue", "Stop")</f>
        <v>Stop</v>
      </c>
      <c r="AO1415" s="110" t="b">
        <f>IF(Audit[[#This Row],[Status - Continue or stop audit]] = "Continue", TRUE, IF(AN1414 = "Continue", TRUE, FALSE))</f>
        <v>0</v>
      </c>
      <c r="AP1415" s="110"/>
    </row>
    <row r="1416" spans="1:42" ht="15" hidden="1" customHeight="1">
      <c r="A1416" s="111" t="str">
        <f>'Sampling Data'!W1409</f>
        <v/>
      </c>
      <c r="B1416" s="112" t="str">
        <f>'Sampling Data'!A1409</f>
        <v>MAPLE HEIGHTS -07-B</v>
      </c>
      <c r="C1416" s="112">
        <f>'Sampling Data'!B1409</f>
        <v>4</v>
      </c>
      <c r="D1416" s="112">
        <f>'Sampling Data'!C1409</f>
        <v>1</v>
      </c>
      <c r="E1416" s="113">
        <f>'Sampling Data'!D1409</f>
        <v>6</v>
      </c>
      <c r="F1416" s="113">
        <f>'Sampling Data'!E1409</f>
        <v>1</v>
      </c>
      <c r="G1416" s="113">
        <f>'Sampling Data'!F1409</f>
        <v>0</v>
      </c>
      <c r="H1416" s="113">
        <f>'Sampling Data'!G1409</f>
        <v>0</v>
      </c>
      <c r="I1416" s="112">
        <f>'Sampling Data'!H1409</f>
        <v>0</v>
      </c>
      <c r="J1416" s="112">
        <f>'Sampling Data'!I1409</f>
        <v>0</v>
      </c>
      <c r="K1416" s="112">
        <f>'Sampling Data'!J1409</f>
        <v>12</v>
      </c>
      <c r="L1416" s="111">
        <f>'Sampling Data'!X1409</f>
        <v>0</v>
      </c>
      <c r="M1416" s="114"/>
      <c r="N1416" s="114"/>
      <c r="O1416" s="115"/>
      <c r="P1416" s="115"/>
      <c r="Q1416" s="116"/>
      <c r="R1416" s="116"/>
      <c r="S1416" s="111">
        <f>Audit[[#This Row],[Audit Losing Candidate]]-Audit[[#This Row],[Losing Candidate]]</f>
        <v>-4</v>
      </c>
      <c r="T1416" s="111">
        <f>Audit[[#This Row],[Audit Winning Candidate]]-Audit[[#This Row],[Winning Candidate]]</f>
        <v>-1</v>
      </c>
      <c r="U1416" s="111">
        <f>Audit[[#This Row],[Audit Candidate 3]]-Audit[[#This Row],[Candidate 3]]</f>
        <v>-6</v>
      </c>
      <c r="V1416" s="111">
        <f>Audit[[#This Row],[Audit Candidate 4]]-Audit[[#This Row],[Candidate 4]]</f>
        <v>-1</v>
      </c>
      <c r="W1416" s="111">
        <f>Audit[[#This Row],[Audit Candidate 5]]-Audit[[#This Row],[Candidate 5]]</f>
        <v>0</v>
      </c>
      <c r="X1416" s="111">
        <f>Audit[[#This Row],[Audit Candidate 6]]-Audit[[#This Row],[Candidate 6]]</f>
        <v>0</v>
      </c>
      <c r="Y1416" s="111">
        <f>SUMIF(Audit[[#This Row],[Difference Loser]:[Difference Candidate 6]], "&gt;0")</f>
        <v>0</v>
      </c>
      <c r="Z1416" s="111">
        <f>SUM(Audit[[#This Row],[Difference Loser]:[Difference Candidate 6]])</f>
        <v>-12</v>
      </c>
      <c r="AA1416" s="111">
        <f>IF(Audit[[#This Row],[Times p Drawn - With Replacement]]&gt;0, IF(Audit[[#This Row],[Canceled Differences]]&lt;0, Audit[[#This Row],[Max Differences]]+ABS(Audit[[#This Row],[Canceled Differences]]), Audit[[#This Row],[Max Differences]]), 0)</f>
        <v>0</v>
      </c>
      <c r="AB1416" s="111">
        <f>'Sampling Data'!P1409</f>
        <v>5.5120039196472322E-4</v>
      </c>
      <c r="AC1416" s="111">
        <f>IF(
      SUM(Audit[[#This Row],[Audit Losing Candidate]:[Audit Candidate 6]])
      &lt;&gt;0,
      (Audit[[#This Row],[Winning Candidate]]-Audit[[#This Row],[Losing Candidate]]-(Audit[[#This Row],[Audit Winning Candidate]]-Audit[[#This Row],[Audit Losing Candidate]]))/(Audit[[#Totals],[Winning Candidate]]-Audit[[#Totals],[Losing Candidate]]),
      0
)</f>
        <v>0</v>
      </c>
      <c r="AD14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6" s="111">
        <f>IF(Audit[[#This Row],[Max Relative Error (ep)]] = 0, 0, Audit[[#This Row],[Max Relative Error (ep)]]/Audit[[#This Row],[Error Bound (up) - Max. possible relative overstatement]])</f>
        <v>0</v>
      </c>
      <c r="AJ14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16" s="111">
        <f t="shared" si="22"/>
        <v>1</v>
      </c>
      <c r="AL1416" s="111">
        <f>PRODUCT($AK$5:AK1416)</f>
        <v>8.962823818226312E-2</v>
      </c>
      <c r="AM1416" s="109">
        <f>1 - [K-M P Value]</f>
        <v>0.91037176181773694</v>
      </c>
      <c r="AN1416" s="111" t="str">
        <f>IF(Audit[[#This Row],[K-M P Value]]&gt;1-'General Info'!$B$16,"Continue", "Stop")</f>
        <v>Stop</v>
      </c>
      <c r="AO1416" s="110" t="b">
        <f>IF(Audit[[#This Row],[Status - Continue or stop audit]] = "Continue", TRUE, IF(AN1415 = "Continue", TRUE, FALSE))</f>
        <v>0</v>
      </c>
      <c r="AP1416" s="110"/>
    </row>
    <row r="1417" spans="1:42" ht="15" hidden="1" customHeight="1">
      <c r="A1417" s="111" t="str">
        <f>'Sampling Data'!W1410</f>
        <v/>
      </c>
      <c r="B1417" s="112" t="str">
        <f>'Sampling Data'!A1410</f>
        <v>MAPLE HEIGHTS -07-B - ABS</v>
      </c>
      <c r="C1417" s="112">
        <f>'Sampling Data'!B1410</f>
        <v>1</v>
      </c>
      <c r="D1417" s="112">
        <f>'Sampling Data'!C1410</f>
        <v>2</v>
      </c>
      <c r="E1417" s="113">
        <f>'Sampling Data'!D1410</f>
        <v>0</v>
      </c>
      <c r="F1417" s="113">
        <f>'Sampling Data'!E1410</f>
        <v>0</v>
      </c>
      <c r="G1417" s="113">
        <f>'Sampling Data'!F1410</f>
        <v>0</v>
      </c>
      <c r="H1417" s="113">
        <f>'Sampling Data'!G1410</f>
        <v>0</v>
      </c>
      <c r="I1417" s="112">
        <f>'Sampling Data'!H1410</f>
        <v>0</v>
      </c>
      <c r="J1417" s="112">
        <f>'Sampling Data'!I1410</f>
        <v>0</v>
      </c>
      <c r="K1417" s="112">
        <f>'Sampling Data'!J1410</f>
        <v>3</v>
      </c>
      <c r="L1417" s="111">
        <f>'Sampling Data'!X1410</f>
        <v>0</v>
      </c>
      <c r="M1417" s="114"/>
      <c r="N1417" s="114"/>
      <c r="O1417" s="115"/>
      <c r="P1417" s="115"/>
      <c r="Q1417" s="116"/>
      <c r="R1417" s="116"/>
      <c r="S1417" s="111">
        <f>Audit[[#This Row],[Audit Losing Candidate]]-Audit[[#This Row],[Losing Candidate]]</f>
        <v>-1</v>
      </c>
      <c r="T1417" s="111">
        <f>Audit[[#This Row],[Audit Winning Candidate]]-Audit[[#This Row],[Winning Candidate]]</f>
        <v>-2</v>
      </c>
      <c r="U1417" s="111">
        <f>Audit[[#This Row],[Audit Candidate 3]]-Audit[[#This Row],[Candidate 3]]</f>
        <v>0</v>
      </c>
      <c r="V1417" s="111">
        <f>Audit[[#This Row],[Audit Candidate 4]]-Audit[[#This Row],[Candidate 4]]</f>
        <v>0</v>
      </c>
      <c r="W1417" s="111">
        <f>Audit[[#This Row],[Audit Candidate 5]]-Audit[[#This Row],[Candidate 5]]</f>
        <v>0</v>
      </c>
      <c r="X1417" s="111">
        <f>Audit[[#This Row],[Audit Candidate 6]]-Audit[[#This Row],[Candidate 6]]</f>
        <v>0</v>
      </c>
      <c r="Y1417" s="111">
        <f>SUMIF(Audit[[#This Row],[Difference Loser]:[Difference Candidate 6]], "&gt;0")</f>
        <v>0</v>
      </c>
      <c r="Z1417" s="111">
        <f>SUM(Audit[[#This Row],[Difference Loser]:[Difference Candidate 6]])</f>
        <v>-3</v>
      </c>
      <c r="AA1417" s="111">
        <f>IF(Audit[[#This Row],[Times p Drawn - With Replacement]]&gt;0, IF(Audit[[#This Row],[Canceled Differences]]&lt;0, Audit[[#This Row],[Max Differences]]+ABS(Audit[[#This Row],[Canceled Differences]]), Audit[[#This Row],[Max Differences]]), 0)</f>
        <v>0</v>
      </c>
      <c r="AB1417" s="111">
        <f>'Sampling Data'!P1410</f>
        <v>2.4497795198432141E-4</v>
      </c>
      <c r="AC1417" s="111">
        <f>IF(
      SUM(Audit[[#This Row],[Audit Losing Candidate]:[Audit Candidate 6]])
      &lt;&gt;0,
      (Audit[[#This Row],[Winning Candidate]]-Audit[[#This Row],[Losing Candidate]]-(Audit[[#This Row],[Audit Winning Candidate]]-Audit[[#This Row],[Audit Losing Candidate]]))/(Audit[[#Totals],[Winning Candidate]]-Audit[[#Totals],[Losing Candidate]]),
      0
)</f>
        <v>0</v>
      </c>
      <c r="AD14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7" s="111">
        <f>IF(Audit[[#This Row],[Max Relative Error (ep)]] = 0, 0, Audit[[#This Row],[Max Relative Error (ep)]]/Audit[[#This Row],[Error Bound (up) - Max. possible relative overstatement]])</f>
        <v>0</v>
      </c>
      <c r="AJ14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17" s="111">
        <f t="shared" si="22"/>
        <v>1</v>
      </c>
      <c r="AL1417" s="111">
        <f>PRODUCT($AK$5:AK1417)</f>
        <v>8.962823818226312E-2</v>
      </c>
      <c r="AM1417" s="109">
        <f>1 - [K-M P Value]</f>
        <v>0.91037176181773694</v>
      </c>
      <c r="AN1417" s="111" t="str">
        <f>IF(Audit[[#This Row],[K-M P Value]]&gt;1-'General Info'!$B$16,"Continue", "Stop")</f>
        <v>Stop</v>
      </c>
      <c r="AO1417" s="110" t="b">
        <f>IF(Audit[[#This Row],[Status - Continue or stop audit]] = "Continue", TRUE, IF(AN1416 = "Continue", TRUE, FALSE))</f>
        <v>0</v>
      </c>
      <c r="AP1417" s="110"/>
    </row>
    <row r="1418" spans="1:42" ht="15" hidden="1" customHeight="1">
      <c r="A1418" s="111" t="str">
        <f>'Sampling Data'!W1411</f>
        <v/>
      </c>
      <c r="B1418" s="112" t="str">
        <f>'Sampling Data'!A1411</f>
        <v>MAPLE HEIGHTS -07-C</v>
      </c>
      <c r="C1418" s="112">
        <f>'Sampling Data'!B1411</f>
        <v>0</v>
      </c>
      <c r="D1418" s="112">
        <f>'Sampling Data'!C1411</f>
        <v>3</v>
      </c>
      <c r="E1418" s="113">
        <f>'Sampling Data'!D1411</f>
        <v>1</v>
      </c>
      <c r="F1418" s="113">
        <f>'Sampling Data'!E1411</f>
        <v>1</v>
      </c>
      <c r="G1418" s="113">
        <f>'Sampling Data'!F1411</f>
        <v>0</v>
      </c>
      <c r="H1418" s="113">
        <f>'Sampling Data'!G1411</f>
        <v>0</v>
      </c>
      <c r="I1418" s="112">
        <f>'Sampling Data'!H1411</f>
        <v>0</v>
      </c>
      <c r="J1418" s="112">
        <f>'Sampling Data'!I1411</f>
        <v>0</v>
      </c>
      <c r="K1418" s="112">
        <f>'Sampling Data'!J1411</f>
        <v>5</v>
      </c>
      <c r="L1418" s="111">
        <f>'Sampling Data'!X1411</f>
        <v>0</v>
      </c>
      <c r="M1418" s="114"/>
      <c r="N1418" s="114"/>
      <c r="O1418" s="115"/>
      <c r="P1418" s="115"/>
      <c r="Q1418" s="116"/>
      <c r="R1418" s="116"/>
      <c r="S1418" s="111">
        <f>Audit[[#This Row],[Audit Losing Candidate]]-Audit[[#This Row],[Losing Candidate]]</f>
        <v>0</v>
      </c>
      <c r="T1418" s="111">
        <f>Audit[[#This Row],[Audit Winning Candidate]]-Audit[[#This Row],[Winning Candidate]]</f>
        <v>-3</v>
      </c>
      <c r="U1418" s="111">
        <f>Audit[[#This Row],[Audit Candidate 3]]-Audit[[#This Row],[Candidate 3]]</f>
        <v>-1</v>
      </c>
      <c r="V1418" s="111">
        <f>Audit[[#This Row],[Audit Candidate 4]]-Audit[[#This Row],[Candidate 4]]</f>
        <v>-1</v>
      </c>
      <c r="W1418" s="111">
        <f>Audit[[#This Row],[Audit Candidate 5]]-Audit[[#This Row],[Candidate 5]]</f>
        <v>0</v>
      </c>
      <c r="X1418" s="111">
        <f>Audit[[#This Row],[Audit Candidate 6]]-Audit[[#This Row],[Candidate 6]]</f>
        <v>0</v>
      </c>
      <c r="Y1418" s="111">
        <f>SUMIF(Audit[[#This Row],[Difference Loser]:[Difference Candidate 6]], "&gt;0")</f>
        <v>0</v>
      </c>
      <c r="Z1418" s="111">
        <f>SUM(Audit[[#This Row],[Difference Loser]:[Difference Candidate 6]])</f>
        <v>-5</v>
      </c>
      <c r="AA1418" s="111">
        <f>IF(Audit[[#This Row],[Times p Drawn - With Replacement]]&gt;0, IF(Audit[[#This Row],[Canceled Differences]]&lt;0, Audit[[#This Row],[Max Differences]]+ABS(Audit[[#This Row],[Canceled Differences]]), Audit[[#This Row],[Max Differences]]), 0)</f>
        <v>0</v>
      </c>
      <c r="AB1418" s="111">
        <f>'Sampling Data'!P1411</f>
        <v>4.8995590396864281E-4</v>
      </c>
      <c r="AC1418" s="111">
        <f>IF(
      SUM(Audit[[#This Row],[Audit Losing Candidate]:[Audit Candidate 6]])
      &lt;&gt;0,
      (Audit[[#This Row],[Winning Candidate]]-Audit[[#This Row],[Losing Candidate]]-(Audit[[#This Row],[Audit Winning Candidate]]-Audit[[#This Row],[Audit Losing Candidate]]))/(Audit[[#Totals],[Winning Candidate]]-Audit[[#Totals],[Losing Candidate]]),
      0
)</f>
        <v>0</v>
      </c>
      <c r="AD14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8" s="111">
        <f>IF(Audit[[#This Row],[Max Relative Error (ep)]] = 0, 0, Audit[[#This Row],[Max Relative Error (ep)]]/Audit[[#This Row],[Error Bound (up) - Max. possible relative overstatement]])</f>
        <v>0</v>
      </c>
      <c r="AJ14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18" s="111">
        <f t="shared" si="22"/>
        <v>1</v>
      </c>
      <c r="AL1418" s="111">
        <f>PRODUCT($AK$5:AK1418)</f>
        <v>8.962823818226312E-2</v>
      </c>
      <c r="AM1418" s="109">
        <f>1 - [K-M P Value]</f>
        <v>0.91037176181773694</v>
      </c>
      <c r="AN1418" s="111" t="str">
        <f>IF(Audit[[#This Row],[K-M P Value]]&gt;1-'General Info'!$B$16,"Continue", "Stop")</f>
        <v>Stop</v>
      </c>
      <c r="AO1418" s="110" t="b">
        <f>IF(Audit[[#This Row],[Status - Continue or stop audit]] = "Continue", TRUE, IF(AN1417 = "Continue", TRUE, FALSE))</f>
        <v>0</v>
      </c>
      <c r="AP1418" s="110"/>
    </row>
    <row r="1419" spans="1:42" ht="15" hidden="1" customHeight="1">
      <c r="A1419" s="111" t="str">
        <f>'Sampling Data'!W1412</f>
        <v/>
      </c>
      <c r="B1419" s="112" t="str">
        <f>'Sampling Data'!A1412</f>
        <v>MAPLE HEIGHTS -07-C - ABS</v>
      </c>
      <c r="C1419" s="112">
        <f>'Sampling Data'!B1412</f>
        <v>0</v>
      </c>
      <c r="D1419" s="112">
        <f>'Sampling Data'!C1412</f>
        <v>0</v>
      </c>
      <c r="E1419" s="113">
        <f>'Sampling Data'!D1412</f>
        <v>3</v>
      </c>
      <c r="F1419" s="113">
        <f>'Sampling Data'!E1412</f>
        <v>1</v>
      </c>
      <c r="G1419" s="113">
        <f>'Sampling Data'!F1412</f>
        <v>0</v>
      </c>
      <c r="H1419" s="113">
        <f>'Sampling Data'!G1412</f>
        <v>0</v>
      </c>
      <c r="I1419" s="112">
        <f>'Sampling Data'!H1412</f>
        <v>0</v>
      </c>
      <c r="J1419" s="112">
        <f>'Sampling Data'!I1412</f>
        <v>0</v>
      </c>
      <c r="K1419" s="112">
        <f>'Sampling Data'!J1412</f>
        <v>4</v>
      </c>
      <c r="L1419" s="111">
        <f>'Sampling Data'!X1412</f>
        <v>0</v>
      </c>
      <c r="M1419" s="114"/>
      <c r="N1419" s="114"/>
      <c r="O1419" s="115"/>
      <c r="P1419" s="115"/>
      <c r="Q1419" s="116"/>
      <c r="R1419" s="116"/>
      <c r="S1419" s="111">
        <f>Audit[[#This Row],[Audit Losing Candidate]]-Audit[[#This Row],[Losing Candidate]]</f>
        <v>0</v>
      </c>
      <c r="T1419" s="111">
        <f>Audit[[#This Row],[Audit Winning Candidate]]-Audit[[#This Row],[Winning Candidate]]</f>
        <v>0</v>
      </c>
      <c r="U1419" s="111">
        <f>Audit[[#This Row],[Audit Candidate 3]]-Audit[[#This Row],[Candidate 3]]</f>
        <v>-3</v>
      </c>
      <c r="V1419" s="111">
        <f>Audit[[#This Row],[Audit Candidate 4]]-Audit[[#This Row],[Candidate 4]]</f>
        <v>-1</v>
      </c>
      <c r="W1419" s="111">
        <f>Audit[[#This Row],[Audit Candidate 5]]-Audit[[#This Row],[Candidate 5]]</f>
        <v>0</v>
      </c>
      <c r="X1419" s="111">
        <f>Audit[[#This Row],[Audit Candidate 6]]-Audit[[#This Row],[Candidate 6]]</f>
        <v>0</v>
      </c>
      <c r="Y1419" s="111">
        <f>SUMIF(Audit[[#This Row],[Difference Loser]:[Difference Candidate 6]], "&gt;0")</f>
        <v>0</v>
      </c>
      <c r="Z1419" s="111">
        <f>SUM(Audit[[#This Row],[Difference Loser]:[Difference Candidate 6]])</f>
        <v>-4</v>
      </c>
      <c r="AA1419" s="111">
        <f>IF(Audit[[#This Row],[Times p Drawn - With Replacement]]&gt;0, IF(Audit[[#This Row],[Canceled Differences]]&lt;0, Audit[[#This Row],[Max Differences]]+ABS(Audit[[#This Row],[Canceled Differences]]), Audit[[#This Row],[Max Differences]]), 0)</f>
        <v>0</v>
      </c>
      <c r="AB1419" s="111">
        <f>'Sampling Data'!P1412</f>
        <v>2.4497795198432141E-4</v>
      </c>
      <c r="AC1419" s="111">
        <f>IF(
      SUM(Audit[[#This Row],[Audit Losing Candidate]:[Audit Candidate 6]])
      &lt;&gt;0,
      (Audit[[#This Row],[Winning Candidate]]-Audit[[#This Row],[Losing Candidate]]-(Audit[[#This Row],[Audit Winning Candidate]]-Audit[[#This Row],[Audit Losing Candidate]]))/(Audit[[#Totals],[Winning Candidate]]-Audit[[#Totals],[Losing Candidate]]),
      0
)</f>
        <v>0</v>
      </c>
      <c r="AD14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9" s="111">
        <f>IF(Audit[[#This Row],[Max Relative Error (ep)]] = 0, 0, Audit[[#This Row],[Max Relative Error (ep)]]/Audit[[#This Row],[Error Bound (up) - Max. possible relative overstatement]])</f>
        <v>0</v>
      </c>
      <c r="AJ14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19" s="111">
        <f t="shared" si="22"/>
        <v>1</v>
      </c>
      <c r="AL1419" s="111">
        <f>PRODUCT($AK$5:AK1419)</f>
        <v>8.962823818226312E-2</v>
      </c>
      <c r="AM1419" s="109">
        <f>1 - [K-M P Value]</f>
        <v>0.91037176181773694</v>
      </c>
      <c r="AN1419" s="111" t="str">
        <f>IF(Audit[[#This Row],[K-M P Value]]&gt;1-'General Info'!$B$16,"Continue", "Stop")</f>
        <v>Stop</v>
      </c>
      <c r="AO1419" s="110" t="b">
        <f>IF(Audit[[#This Row],[Status - Continue or stop audit]] = "Continue", TRUE, IF(AN1418 = "Continue", TRUE, FALSE))</f>
        <v>0</v>
      </c>
      <c r="AP1419" s="110"/>
    </row>
    <row r="1420" spans="1:42" ht="15" hidden="1" customHeight="1">
      <c r="A1420" s="111" t="str">
        <f>'Sampling Data'!W1413</f>
        <v/>
      </c>
      <c r="B1420" s="112" t="str">
        <f>'Sampling Data'!A1413</f>
        <v>MAYFIELD HEIGHTS -00-A</v>
      </c>
      <c r="C1420" s="112">
        <f>'Sampling Data'!B1413</f>
        <v>26</v>
      </c>
      <c r="D1420" s="112">
        <f>'Sampling Data'!C1413</f>
        <v>47</v>
      </c>
      <c r="E1420" s="113">
        <f>'Sampling Data'!D1413</f>
        <v>4</v>
      </c>
      <c r="F1420" s="113">
        <f>'Sampling Data'!E1413</f>
        <v>13</v>
      </c>
      <c r="G1420" s="113">
        <f>'Sampling Data'!F1413</f>
        <v>0</v>
      </c>
      <c r="H1420" s="113">
        <f>'Sampling Data'!G1413</f>
        <v>0</v>
      </c>
      <c r="I1420" s="112">
        <f>'Sampling Data'!H1413</f>
        <v>2</v>
      </c>
      <c r="J1420" s="112">
        <f>'Sampling Data'!I1413</f>
        <v>0</v>
      </c>
      <c r="K1420" s="112">
        <f>'Sampling Data'!J1413</f>
        <v>92</v>
      </c>
      <c r="L1420" s="111">
        <f>'Sampling Data'!X1413</f>
        <v>0</v>
      </c>
      <c r="M1420" s="114"/>
      <c r="N1420" s="114"/>
      <c r="O1420" s="115"/>
      <c r="P1420" s="115"/>
      <c r="Q1420" s="116"/>
      <c r="R1420" s="116"/>
      <c r="S1420" s="111">
        <f>Audit[[#This Row],[Audit Losing Candidate]]-Audit[[#This Row],[Losing Candidate]]</f>
        <v>-26</v>
      </c>
      <c r="T1420" s="111">
        <f>Audit[[#This Row],[Audit Winning Candidate]]-Audit[[#This Row],[Winning Candidate]]</f>
        <v>-47</v>
      </c>
      <c r="U1420" s="111">
        <f>Audit[[#This Row],[Audit Candidate 3]]-Audit[[#This Row],[Candidate 3]]</f>
        <v>-4</v>
      </c>
      <c r="V1420" s="111">
        <f>Audit[[#This Row],[Audit Candidate 4]]-Audit[[#This Row],[Candidate 4]]</f>
        <v>-13</v>
      </c>
      <c r="W1420" s="111">
        <f>Audit[[#This Row],[Audit Candidate 5]]-Audit[[#This Row],[Candidate 5]]</f>
        <v>0</v>
      </c>
      <c r="X1420" s="111">
        <f>Audit[[#This Row],[Audit Candidate 6]]-Audit[[#This Row],[Candidate 6]]</f>
        <v>0</v>
      </c>
      <c r="Y1420" s="111">
        <f>SUMIF(Audit[[#This Row],[Difference Loser]:[Difference Candidate 6]], "&gt;0")</f>
        <v>0</v>
      </c>
      <c r="Z1420" s="111">
        <f>SUM(Audit[[#This Row],[Difference Loser]:[Difference Candidate 6]])</f>
        <v>-90</v>
      </c>
      <c r="AA1420" s="111">
        <f>IF(Audit[[#This Row],[Times p Drawn - With Replacement]]&gt;0, IF(Audit[[#This Row],[Canceled Differences]]&lt;0, Audit[[#This Row],[Max Differences]]+ABS(Audit[[#This Row],[Canceled Differences]]), Audit[[#This Row],[Max Differences]]), 0)</f>
        <v>0</v>
      </c>
      <c r="AB1420" s="111">
        <f>'Sampling Data'!P1413</f>
        <v>6.9206271435570798E-3</v>
      </c>
      <c r="AC1420" s="111">
        <f>IF(
      SUM(Audit[[#This Row],[Audit Losing Candidate]:[Audit Candidate 6]])
      &lt;&gt;0,
      (Audit[[#This Row],[Winning Candidate]]-Audit[[#This Row],[Losing Candidate]]-(Audit[[#This Row],[Audit Winning Candidate]]-Audit[[#This Row],[Audit Losing Candidate]]))/(Audit[[#Totals],[Winning Candidate]]-Audit[[#Totals],[Losing Candidate]]),
      0
)</f>
        <v>0</v>
      </c>
      <c r="AD14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0" s="111">
        <f>IF(Audit[[#This Row],[Max Relative Error (ep)]] = 0, 0, Audit[[#This Row],[Max Relative Error (ep)]]/Audit[[#This Row],[Error Bound (up) - Max. possible relative overstatement]])</f>
        <v>0</v>
      </c>
      <c r="AJ14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20" s="111">
        <f t="shared" si="22"/>
        <v>1</v>
      </c>
      <c r="AL1420" s="111">
        <f>PRODUCT($AK$5:AK1420)</f>
        <v>8.962823818226312E-2</v>
      </c>
      <c r="AM1420" s="109">
        <f>1 - [K-M P Value]</f>
        <v>0.91037176181773694</v>
      </c>
      <c r="AN1420" s="111" t="str">
        <f>IF(Audit[[#This Row],[K-M P Value]]&gt;1-'General Info'!$B$16,"Continue", "Stop")</f>
        <v>Stop</v>
      </c>
      <c r="AO1420" s="110" t="b">
        <f>IF(Audit[[#This Row],[Status - Continue or stop audit]] = "Continue", TRUE, IF(AN1419 = "Continue", TRUE, FALSE))</f>
        <v>0</v>
      </c>
      <c r="AP1420" s="110"/>
    </row>
    <row r="1421" spans="1:42" ht="15" hidden="1" customHeight="1">
      <c r="A1421" s="111" t="str">
        <f>'Sampling Data'!W1414</f>
        <v/>
      </c>
      <c r="B1421" s="112" t="str">
        <f>'Sampling Data'!A1414</f>
        <v>MAYFIELD HEIGHTS -00-A - ABS</v>
      </c>
      <c r="C1421" s="112">
        <f>'Sampling Data'!B1414</f>
        <v>10</v>
      </c>
      <c r="D1421" s="112">
        <f>'Sampling Data'!C1414</f>
        <v>8</v>
      </c>
      <c r="E1421" s="113">
        <f>'Sampling Data'!D1414</f>
        <v>1</v>
      </c>
      <c r="F1421" s="113">
        <f>'Sampling Data'!E1414</f>
        <v>2</v>
      </c>
      <c r="G1421" s="113">
        <f>'Sampling Data'!F1414</f>
        <v>0</v>
      </c>
      <c r="H1421" s="113">
        <f>'Sampling Data'!G1414</f>
        <v>0</v>
      </c>
      <c r="I1421" s="112">
        <f>'Sampling Data'!H1414</f>
        <v>0</v>
      </c>
      <c r="J1421" s="112">
        <f>'Sampling Data'!I1414</f>
        <v>1</v>
      </c>
      <c r="K1421" s="112">
        <f>'Sampling Data'!J1414</f>
        <v>22</v>
      </c>
      <c r="L1421" s="111">
        <f>'Sampling Data'!X1414</f>
        <v>0</v>
      </c>
      <c r="M1421" s="114"/>
      <c r="N1421" s="114"/>
      <c r="O1421" s="115"/>
      <c r="P1421" s="115"/>
      <c r="Q1421" s="116"/>
      <c r="R1421" s="116"/>
      <c r="S1421" s="111">
        <f>Audit[[#This Row],[Audit Losing Candidate]]-Audit[[#This Row],[Losing Candidate]]</f>
        <v>-10</v>
      </c>
      <c r="T1421" s="111">
        <f>Audit[[#This Row],[Audit Winning Candidate]]-Audit[[#This Row],[Winning Candidate]]</f>
        <v>-8</v>
      </c>
      <c r="U1421" s="111">
        <f>Audit[[#This Row],[Audit Candidate 3]]-Audit[[#This Row],[Candidate 3]]</f>
        <v>-1</v>
      </c>
      <c r="V1421" s="111">
        <f>Audit[[#This Row],[Audit Candidate 4]]-Audit[[#This Row],[Candidate 4]]</f>
        <v>-2</v>
      </c>
      <c r="W1421" s="111">
        <f>Audit[[#This Row],[Audit Candidate 5]]-Audit[[#This Row],[Candidate 5]]</f>
        <v>0</v>
      </c>
      <c r="X1421" s="111">
        <f>Audit[[#This Row],[Audit Candidate 6]]-Audit[[#This Row],[Candidate 6]]</f>
        <v>0</v>
      </c>
      <c r="Y1421" s="111">
        <f>SUMIF(Audit[[#This Row],[Difference Loser]:[Difference Candidate 6]], "&gt;0")</f>
        <v>0</v>
      </c>
      <c r="Z1421" s="111">
        <f>SUM(Audit[[#This Row],[Difference Loser]:[Difference Candidate 6]])</f>
        <v>-21</v>
      </c>
      <c r="AA1421" s="111">
        <f>IF(Audit[[#This Row],[Times p Drawn - With Replacement]]&gt;0, IF(Audit[[#This Row],[Canceled Differences]]&lt;0, Audit[[#This Row],[Max Differences]]+ABS(Audit[[#This Row],[Canceled Differences]]), Audit[[#This Row],[Max Differences]]), 0)</f>
        <v>0</v>
      </c>
      <c r="AB1421" s="111">
        <f>'Sampling Data'!P1414</f>
        <v>1.224889759921607E-3</v>
      </c>
      <c r="AC1421" s="111">
        <f>IF(
      SUM(Audit[[#This Row],[Audit Losing Candidate]:[Audit Candidate 6]])
      &lt;&gt;0,
      (Audit[[#This Row],[Winning Candidate]]-Audit[[#This Row],[Losing Candidate]]-(Audit[[#This Row],[Audit Winning Candidate]]-Audit[[#This Row],[Audit Losing Candidate]]))/(Audit[[#Totals],[Winning Candidate]]-Audit[[#Totals],[Losing Candidate]]),
      0
)</f>
        <v>0</v>
      </c>
      <c r="AD14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1" s="111">
        <f>IF(Audit[[#This Row],[Max Relative Error (ep)]] = 0, 0, Audit[[#This Row],[Max Relative Error (ep)]]/Audit[[#This Row],[Error Bound (up) - Max. possible relative overstatement]])</f>
        <v>0</v>
      </c>
      <c r="AJ14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21" s="111">
        <f t="shared" si="22"/>
        <v>1</v>
      </c>
      <c r="AL1421" s="111">
        <f>PRODUCT($AK$5:AK1421)</f>
        <v>8.962823818226312E-2</v>
      </c>
      <c r="AM1421" s="109">
        <f>1 - [K-M P Value]</f>
        <v>0.91037176181773694</v>
      </c>
      <c r="AN1421" s="111" t="str">
        <f>IF(Audit[[#This Row],[K-M P Value]]&gt;1-'General Info'!$B$16,"Continue", "Stop")</f>
        <v>Stop</v>
      </c>
      <c r="AO1421" s="110" t="b">
        <f>IF(Audit[[#This Row],[Status - Continue or stop audit]] = "Continue", TRUE, IF(AN1420 = "Continue", TRUE, FALSE))</f>
        <v>0</v>
      </c>
      <c r="AP1421" s="110"/>
    </row>
    <row r="1422" spans="1:42" ht="15" hidden="1" customHeight="1">
      <c r="A1422" s="111" t="str">
        <f>'Sampling Data'!W1415</f>
        <v/>
      </c>
      <c r="B1422" s="112" t="str">
        <f>'Sampling Data'!A1415</f>
        <v>MAYFIELD HEIGHTS -00-B</v>
      </c>
      <c r="C1422" s="112">
        <f>'Sampling Data'!B1415</f>
        <v>32</v>
      </c>
      <c r="D1422" s="112">
        <f>'Sampling Data'!C1415</f>
        <v>56</v>
      </c>
      <c r="E1422" s="113">
        <f>'Sampling Data'!D1415</f>
        <v>8</v>
      </c>
      <c r="F1422" s="113">
        <f>'Sampling Data'!E1415</f>
        <v>15</v>
      </c>
      <c r="G1422" s="113">
        <f>'Sampling Data'!F1415</f>
        <v>0</v>
      </c>
      <c r="H1422" s="113">
        <f>'Sampling Data'!G1415</f>
        <v>0</v>
      </c>
      <c r="I1422" s="112">
        <f>'Sampling Data'!H1415</f>
        <v>0</v>
      </c>
      <c r="J1422" s="112">
        <f>'Sampling Data'!I1415</f>
        <v>4</v>
      </c>
      <c r="K1422" s="112">
        <f>'Sampling Data'!J1415</f>
        <v>115</v>
      </c>
      <c r="L1422" s="111">
        <f>'Sampling Data'!X1415</f>
        <v>0</v>
      </c>
      <c r="M1422" s="114"/>
      <c r="N1422" s="114"/>
      <c r="O1422" s="115"/>
      <c r="P1422" s="115"/>
      <c r="Q1422" s="116"/>
      <c r="R1422" s="116"/>
      <c r="S1422" s="111">
        <f>Audit[[#This Row],[Audit Losing Candidate]]-Audit[[#This Row],[Losing Candidate]]</f>
        <v>-32</v>
      </c>
      <c r="T1422" s="111">
        <f>Audit[[#This Row],[Audit Winning Candidate]]-Audit[[#This Row],[Winning Candidate]]</f>
        <v>-56</v>
      </c>
      <c r="U1422" s="111">
        <f>Audit[[#This Row],[Audit Candidate 3]]-Audit[[#This Row],[Candidate 3]]</f>
        <v>-8</v>
      </c>
      <c r="V1422" s="111">
        <f>Audit[[#This Row],[Audit Candidate 4]]-Audit[[#This Row],[Candidate 4]]</f>
        <v>-15</v>
      </c>
      <c r="W1422" s="111">
        <f>Audit[[#This Row],[Audit Candidate 5]]-Audit[[#This Row],[Candidate 5]]</f>
        <v>0</v>
      </c>
      <c r="X1422" s="111">
        <f>Audit[[#This Row],[Audit Candidate 6]]-Audit[[#This Row],[Candidate 6]]</f>
        <v>0</v>
      </c>
      <c r="Y1422" s="111">
        <f>SUMIF(Audit[[#This Row],[Difference Loser]:[Difference Candidate 6]], "&gt;0")</f>
        <v>0</v>
      </c>
      <c r="Z1422" s="111">
        <f>SUM(Audit[[#This Row],[Difference Loser]:[Difference Candidate 6]])</f>
        <v>-111</v>
      </c>
      <c r="AA1422" s="111">
        <f>IF(Audit[[#This Row],[Times p Drawn - With Replacement]]&gt;0, IF(Audit[[#This Row],[Canceled Differences]]&lt;0, Audit[[#This Row],[Max Differences]]+ABS(Audit[[#This Row],[Canceled Differences]]), Audit[[#This Row],[Max Differences]]), 0)</f>
        <v>0</v>
      </c>
      <c r="AB1422" s="111">
        <f>'Sampling Data'!P1415</f>
        <v>8.5129838314551686E-3</v>
      </c>
      <c r="AC1422" s="111">
        <f>IF(
      SUM(Audit[[#This Row],[Audit Losing Candidate]:[Audit Candidate 6]])
      &lt;&gt;0,
      (Audit[[#This Row],[Winning Candidate]]-Audit[[#This Row],[Losing Candidate]]-(Audit[[#This Row],[Audit Winning Candidate]]-Audit[[#This Row],[Audit Losing Candidate]]))/(Audit[[#Totals],[Winning Candidate]]-Audit[[#Totals],[Losing Candidate]]),
      0
)</f>
        <v>0</v>
      </c>
      <c r="AD14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2" s="111">
        <f>IF(Audit[[#This Row],[Max Relative Error (ep)]] = 0, 0, Audit[[#This Row],[Max Relative Error (ep)]]/Audit[[#This Row],[Error Bound (up) - Max. possible relative overstatement]])</f>
        <v>0</v>
      </c>
      <c r="AJ14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22" s="111">
        <f t="shared" si="22"/>
        <v>1</v>
      </c>
      <c r="AL1422" s="111">
        <f>PRODUCT($AK$5:AK1422)</f>
        <v>8.962823818226312E-2</v>
      </c>
      <c r="AM1422" s="109">
        <f>1 - [K-M P Value]</f>
        <v>0.91037176181773694</v>
      </c>
      <c r="AN1422" s="111" t="str">
        <f>IF(Audit[[#This Row],[K-M P Value]]&gt;1-'General Info'!$B$16,"Continue", "Stop")</f>
        <v>Stop</v>
      </c>
      <c r="AO1422" s="110" t="b">
        <f>IF(Audit[[#This Row],[Status - Continue or stop audit]] = "Continue", TRUE, IF(AN1421 = "Continue", TRUE, FALSE))</f>
        <v>0</v>
      </c>
      <c r="AP1422" s="110"/>
    </row>
    <row r="1423" spans="1:42" ht="15" hidden="1" customHeight="1">
      <c r="A1423" s="111" t="str">
        <f>'Sampling Data'!W1416</f>
        <v/>
      </c>
      <c r="B1423" s="112" t="str">
        <f>'Sampling Data'!A1416</f>
        <v>MAYFIELD HEIGHTS -00-B - ABS</v>
      </c>
      <c r="C1423" s="112">
        <f>'Sampling Data'!B1416</f>
        <v>9</v>
      </c>
      <c r="D1423" s="112">
        <f>'Sampling Data'!C1416</f>
        <v>17</v>
      </c>
      <c r="E1423" s="113">
        <f>'Sampling Data'!D1416</f>
        <v>3</v>
      </c>
      <c r="F1423" s="113">
        <f>'Sampling Data'!E1416</f>
        <v>2</v>
      </c>
      <c r="G1423" s="113">
        <f>'Sampling Data'!F1416</f>
        <v>0</v>
      </c>
      <c r="H1423" s="113">
        <f>'Sampling Data'!G1416</f>
        <v>0</v>
      </c>
      <c r="I1423" s="112">
        <f>'Sampling Data'!H1416</f>
        <v>0</v>
      </c>
      <c r="J1423" s="112">
        <f>'Sampling Data'!I1416</f>
        <v>3</v>
      </c>
      <c r="K1423" s="112">
        <f>'Sampling Data'!J1416</f>
        <v>34</v>
      </c>
      <c r="L1423" s="111">
        <f>'Sampling Data'!X1416</f>
        <v>0</v>
      </c>
      <c r="M1423" s="114"/>
      <c r="N1423" s="114"/>
      <c r="O1423" s="115"/>
      <c r="P1423" s="115"/>
      <c r="Q1423" s="116"/>
      <c r="R1423" s="116"/>
      <c r="S1423" s="111">
        <f>Audit[[#This Row],[Audit Losing Candidate]]-Audit[[#This Row],[Losing Candidate]]</f>
        <v>-9</v>
      </c>
      <c r="T1423" s="111">
        <f>Audit[[#This Row],[Audit Winning Candidate]]-Audit[[#This Row],[Winning Candidate]]</f>
        <v>-17</v>
      </c>
      <c r="U1423" s="111">
        <f>Audit[[#This Row],[Audit Candidate 3]]-Audit[[#This Row],[Candidate 3]]</f>
        <v>-3</v>
      </c>
      <c r="V1423" s="111">
        <f>Audit[[#This Row],[Audit Candidate 4]]-Audit[[#This Row],[Candidate 4]]</f>
        <v>-2</v>
      </c>
      <c r="W1423" s="111">
        <f>Audit[[#This Row],[Audit Candidate 5]]-Audit[[#This Row],[Candidate 5]]</f>
        <v>0</v>
      </c>
      <c r="X1423" s="111">
        <f>Audit[[#This Row],[Audit Candidate 6]]-Audit[[#This Row],[Candidate 6]]</f>
        <v>0</v>
      </c>
      <c r="Y1423" s="111">
        <f>SUMIF(Audit[[#This Row],[Difference Loser]:[Difference Candidate 6]], "&gt;0")</f>
        <v>0</v>
      </c>
      <c r="Z1423" s="111">
        <f>SUM(Audit[[#This Row],[Difference Loser]:[Difference Candidate 6]])</f>
        <v>-31</v>
      </c>
      <c r="AA1423" s="111">
        <f>IF(Audit[[#This Row],[Times p Drawn - With Replacement]]&gt;0, IF(Audit[[#This Row],[Canceled Differences]]&lt;0, Audit[[#This Row],[Max Differences]]+ABS(Audit[[#This Row],[Canceled Differences]]), Audit[[#This Row],[Max Differences]]), 0)</f>
        <v>0</v>
      </c>
      <c r="AB1423" s="111">
        <f>'Sampling Data'!P1416</f>
        <v>2.5722684958353749E-3</v>
      </c>
      <c r="AC1423" s="111">
        <f>IF(
      SUM(Audit[[#This Row],[Audit Losing Candidate]:[Audit Candidate 6]])
      &lt;&gt;0,
      (Audit[[#This Row],[Winning Candidate]]-Audit[[#This Row],[Losing Candidate]]-(Audit[[#This Row],[Audit Winning Candidate]]-Audit[[#This Row],[Audit Losing Candidate]]))/(Audit[[#Totals],[Winning Candidate]]-Audit[[#Totals],[Losing Candidate]]),
      0
)</f>
        <v>0</v>
      </c>
      <c r="AD14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3" s="111">
        <f>IF(Audit[[#This Row],[Max Relative Error (ep)]] = 0, 0, Audit[[#This Row],[Max Relative Error (ep)]]/Audit[[#This Row],[Error Bound (up) - Max. possible relative overstatement]])</f>
        <v>0</v>
      </c>
      <c r="AJ14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23" s="111">
        <f t="shared" si="22"/>
        <v>1</v>
      </c>
      <c r="AL1423" s="111">
        <f>PRODUCT($AK$5:AK1423)</f>
        <v>8.962823818226312E-2</v>
      </c>
      <c r="AM1423" s="109">
        <f>1 - [K-M P Value]</f>
        <v>0.91037176181773694</v>
      </c>
      <c r="AN1423" s="111" t="str">
        <f>IF(Audit[[#This Row],[K-M P Value]]&gt;1-'General Info'!$B$16,"Continue", "Stop")</f>
        <v>Stop</v>
      </c>
      <c r="AO1423" s="110" t="b">
        <f>IF(Audit[[#This Row],[Status - Continue or stop audit]] = "Continue", TRUE, IF(AN1422 = "Continue", TRUE, FALSE))</f>
        <v>0</v>
      </c>
      <c r="AP1423" s="110"/>
    </row>
    <row r="1424" spans="1:42" ht="15" hidden="1" customHeight="1">
      <c r="A1424" s="111" t="str">
        <f>'Sampling Data'!W1417</f>
        <v/>
      </c>
      <c r="B1424" s="112" t="str">
        <f>'Sampling Data'!A1417</f>
        <v>MAYFIELD HEIGHTS -00-C</v>
      </c>
      <c r="C1424" s="112">
        <f>'Sampling Data'!B1417</f>
        <v>22</v>
      </c>
      <c r="D1424" s="112">
        <f>'Sampling Data'!C1417</f>
        <v>49</v>
      </c>
      <c r="E1424" s="113">
        <f>'Sampling Data'!D1417</f>
        <v>15</v>
      </c>
      <c r="F1424" s="113">
        <f>'Sampling Data'!E1417</f>
        <v>19</v>
      </c>
      <c r="G1424" s="113">
        <f>'Sampling Data'!F1417</f>
        <v>0</v>
      </c>
      <c r="H1424" s="113">
        <f>'Sampling Data'!G1417</f>
        <v>0</v>
      </c>
      <c r="I1424" s="112">
        <f>'Sampling Data'!H1417</f>
        <v>0</v>
      </c>
      <c r="J1424" s="112">
        <f>'Sampling Data'!I1417</f>
        <v>3</v>
      </c>
      <c r="K1424" s="112">
        <f>'Sampling Data'!J1417</f>
        <v>108</v>
      </c>
      <c r="L1424" s="111">
        <f>'Sampling Data'!X1417</f>
        <v>0</v>
      </c>
      <c r="M1424" s="114"/>
      <c r="N1424" s="114"/>
      <c r="O1424" s="115"/>
      <c r="P1424" s="115"/>
      <c r="Q1424" s="116"/>
      <c r="R1424" s="116"/>
      <c r="S1424" s="111">
        <f>Audit[[#This Row],[Audit Losing Candidate]]-Audit[[#This Row],[Losing Candidate]]</f>
        <v>-22</v>
      </c>
      <c r="T1424" s="111">
        <f>Audit[[#This Row],[Audit Winning Candidate]]-Audit[[#This Row],[Winning Candidate]]</f>
        <v>-49</v>
      </c>
      <c r="U1424" s="111">
        <f>Audit[[#This Row],[Audit Candidate 3]]-Audit[[#This Row],[Candidate 3]]</f>
        <v>-15</v>
      </c>
      <c r="V1424" s="111">
        <f>Audit[[#This Row],[Audit Candidate 4]]-Audit[[#This Row],[Candidate 4]]</f>
        <v>-19</v>
      </c>
      <c r="W1424" s="111">
        <f>Audit[[#This Row],[Audit Candidate 5]]-Audit[[#This Row],[Candidate 5]]</f>
        <v>0</v>
      </c>
      <c r="X1424" s="111">
        <f>Audit[[#This Row],[Audit Candidate 6]]-Audit[[#This Row],[Candidate 6]]</f>
        <v>0</v>
      </c>
      <c r="Y1424" s="111">
        <f>SUMIF(Audit[[#This Row],[Difference Loser]:[Difference Candidate 6]], "&gt;0")</f>
        <v>0</v>
      </c>
      <c r="Z1424" s="111">
        <f>SUM(Audit[[#This Row],[Difference Loser]:[Difference Candidate 6]])</f>
        <v>-105</v>
      </c>
      <c r="AA1424" s="111">
        <f>IF(Audit[[#This Row],[Times p Drawn - With Replacement]]&gt;0, IF(Audit[[#This Row],[Canceled Differences]]&lt;0, Audit[[#This Row],[Max Differences]]+ABS(Audit[[#This Row],[Canceled Differences]]), Audit[[#This Row],[Max Differences]]), 0)</f>
        <v>0</v>
      </c>
      <c r="AB1424" s="111">
        <f>'Sampling Data'!P1417</f>
        <v>8.268005879470847E-3</v>
      </c>
      <c r="AC1424" s="111">
        <f>IF(
      SUM(Audit[[#This Row],[Audit Losing Candidate]:[Audit Candidate 6]])
      &lt;&gt;0,
      (Audit[[#This Row],[Winning Candidate]]-Audit[[#This Row],[Losing Candidate]]-(Audit[[#This Row],[Audit Winning Candidate]]-Audit[[#This Row],[Audit Losing Candidate]]))/(Audit[[#Totals],[Winning Candidate]]-Audit[[#Totals],[Losing Candidate]]),
      0
)</f>
        <v>0</v>
      </c>
      <c r="AD14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4" s="111">
        <f>IF(Audit[[#This Row],[Max Relative Error (ep)]] = 0, 0, Audit[[#This Row],[Max Relative Error (ep)]]/Audit[[#This Row],[Error Bound (up) - Max. possible relative overstatement]])</f>
        <v>0</v>
      </c>
      <c r="AJ14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24" s="111">
        <f t="shared" si="22"/>
        <v>1</v>
      </c>
      <c r="AL1424" s="111">
        <f>PRODUCT($AK$5:AK1424)</f>
        <v>8.962823818226312E-2</v>
      </c>
      <c r="AM1424" s="109">
        <f>1 - [K-M P Value]</f>
        <v>0.91037176181773694</v>
      </c>
      <c r="AN1424" s="111" t="str">
        <f>IF(Audit[[#This Row],[K-M P Value]]&gt;1-'General Info'!$B$16,"Continue", "Stop")</f>
        <v>Stop</v>
      </c>
      <c r="AO1424" s="110" t="b">
        <f>IF(Audit[[#This Row],[Status - Continue or stop audit]] = "Continue", TRUE, IF(AN1423 = "Continue", TRUE, FALSE))</f>
        <v>0</v>
      </c>
      <c r="AP1424" s="110"/>
    </row>
    <row r="1425" spans="1:42" ht="15" hidden="1" customHeight="1">
      <c r="A1425" s="111" t="str">
        <f>'Sampling Data'!W1418</f>
        <v/>
      </c>
      <c r="B1425" s="112" t="str">
        <f>'Sampling Data'!A1418</f>
        <v>MAYFIELD HEIGHTS -00-C - ABS</v>
      </c>
      <c r="C1425" s="112">
        <f>'Sampling Data'!B1418</f>
        <v>12</v>
      </c>
      <c r="D1425" s="112">
        <f>'Sampling Data'!C1418</f>
        <v>6</v>
      </c>
      <c r="E1425" s="113">
        <f>'Sampling Data'!D1418</f>
        <v>1</v>
      </c>
      <c r="F1425" s="113">
        <f>'Sampling Data'!E1418</f>
        <v>3</v>
      </c>
      <c r="G1425" s="113">
        <f>'Sampling Data'!F1418</f>
        <v>0</v>
      </c>
      <c r="H1425" s="113">
        <f>'Sampling Data'!G1418</f>
        <v>0</v>
      </c>
      <c r="I1425" s="112">
        <f>'Sampling Data'!H1418</f>
        <v>0</v>
      </c>
      <c r="J1425" s="112">
        <f>'Sampling Data'!I1418</f>
        <v>0</v>
      </c>
      <c r="K1425" s="112">
        <f>'Sampling Data'!J1418</f>
        <v>22</v>
      </c>
      <c r="L1425" s="111">
        <f>'Sampling Data'!X1418</f>
        <v>0</v>
      </c>
      <c r="M1425" s="114"/>
      <c r="N1425" s="114"/>
      <c r="O1425" s="115"/>
      <c r="P1425" s="115"/>
      <c r="Q1425" s="116"/>
      <c r="R1425" s="116"/>
      <c r="S1425" s="111">
        <f>Audit[[#This Row],[Audit Losing Candidate]]-Audit[[#This Row],[Losing Candidate]]</f>
        <v>-12</v>
      </c>
      <c r="T1425" s="111">
        <f>Audit[[#This Row],[Audit Winning Candidate]]-Audit[[#This Row],[Winning Candidate]]</f>
        <v>-6</v>
      </c>
      <c r="U1425" s="111">
        <f>Audit[[#This Row],[Audit Candidate 3]]-Audit[[#This Row],[Candidate 3]]</f>
        <v>-1</v>
      </c>
      <c r="V1425" s="111">
        <f>Audit[[#This Row],[Audit Candidate 4]]-Audit[[#This Row],[Candidate 4]]</f>
        <v>-3</v>
      </c>
      <c r="W1425" s="111">
        <f>Audit[[#This Row],[Audit Candidate 5]]-Audit[[#This Row],[Candidate 5]]</f>
        <v>0</v>
      </c>
      <c r="X1425" s="111">
        <f>Audit[[#This Row],[Audit Candidate 6]]-Audit[[#This Row],[Candidate 6]]</f>
        <v>0</v>
      </c>
      <c r="Y1425" s="111">
        <f>SUMIF(Audit[[#This Row],[Difference Loser]:[Difference Candidate 6]], "&gt;0")</f>
        <v>0</v>
      </c>
      <c r="Z1425" s="111">
        <f>SUM(Audit[[#This Row],[Difference Loser]:[Difference Candidate 6]])</f>
        <v>-22</v>
      </c>
      <c r="AA1425" s="111">
        <f>IF(Audit[[#This Row],[Times p Drawn - With Replacement]]&gt;0, IF(Audit[[#This Row],[Canceled Differences]]&lt;0, Audit[[#This Row],[Max Differences]]+ABS(Audit[[#This Row],[Canceled Differences]]), Audit[[#This Row],[Max Differences]]), 0)</f>
        <v>0</v>
      </c>
      <c r="AB1425" s="111">
        <f>'Sampling Data'!P1418</f>
        <v>9.7991180793728563E-4</v>
      </c>
      <c r="AC1425" s="111">
        <f>IF(
      SUM(Audit[[#This Row],[Audit Losing Candidate]:[Audit Candidate 6]])
      &lt;&gt;0,
      (Audit[[#This Row],[Winning Candidate]]-Audit[[#This Row],[Losing Candidate]]-(Audit[[#This Row],[Audit Winning Candidate]]-Audit[[#This Row],[Audit Losing Candidate]]))/(Audit[[#Totals],[Winning Candidate]]-Audit[[#Totals],[Losing Candidate]]),
      0
)</f>
        <v>0</v>
      </c>
      <c r="AD14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5" s="111">
        <f>IF(Audit[[#This Row],[Max Relative Error (ep)]] = 0, 0, Audit[[#This Row],[Max Relative Error (ep)]]/Audit[[#This Row],[Error Bound (up) - Max. possible relative overstatement]])</f>
        <v>0</v>
      </c>
      <c r="AJ14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25" s="111">
        <f t="shared" si="22"/>
        <v>1</v>
      </c>
      <c r="AL1425" s="111">
        <f>PRODUCT($AK$5:AK1425)</f>
        <v>8.962823818226312E-2</v>
      </c>
      <c r="AM1425" s="109">
        <f>1 - [K-M P Value]</f>
        <v>0.91037176181773694</v>
      </c>
      <c r="AN1425" s="111" t="str">
        <f>IF(Audit[[#This Row],[K-M P Value]]&gt;1-'General Info'!$B$16,"Continue", "Stop")</f>
        <v>Stop</v>
      </c>
      <c r="AO1425" s="110" t="b">
        <f>IF(Audit[[#This Row],[Status - Continue or stop audit]] = "Continue", TRUE, IF(AN1424 = "Continue", TRUE, FALSE))</f>
        <v>0</v>
      </c>
      <c r="AP1425" s="110"/>
    </row>
    <row r="1426" spans="1:42" ht="15" hidden="1" customHeight="1">
      <c r="A1426" s="111" t="str">
        <f>'Sampling Data'!W1419</f>
        <v/>
      </c>
      <c r="B1426" s="112" t="str">
        <f>'Sampling Data'!A1419</f>
        <v>MAYFIELD HEIGHTS -00-D</v>
      </c>
      <c r="C1426" s="112">
        <f>'Sampling Data'!B1419</f>
        <v>25</v>
      </c>
      <c r="D1426" s="112">
        <f>'Sampling Data'!C1419</f>
        <v>30</v>
      </c>
      <c r="E1426" s="113">
        <f>'Sampling Data'!D1419</f>
        <v>11</v>
      </c>
      <c r="F1426" s="113">
        <f>'Sampling Data'!E1419</f>
        <v>10</v>
      </c>
      <c r="G1426" s="113">
        <f>'Sampling Data'!F1419</f>
        <v>0</v>
      </c>
      <c r="H1426" s="113">
        <f>'Sampling Data'!G1419</f>
        <v>0</v>
      </c>
      <c r="I1426" s="112">
        <f>'Sampling Data'!H1419</f>
        <v>1</v>
      </c>
      <c r="J1426" s="112">
        <f>'Sampling Data'!I1419</f>
        <v>1</v>
      </c>
      <c r="K1426" s="112">
        <f>'Sampling Data'!J1419</f>
        <v>78</v>
      </c>
      <c r="L1426" s="111">
        <f>'Sampling Data'!X1419</f>
        <v>0</v>
      </c>
      <c r="M1426" s="114"/>
      <c r="N1426" s="114"/>
      <c r="O1426" s="115"/>
      <c r="P1426" s="115"/>
      <c r="Q1426" s="116"/>
      <c r="R1426" s="116"/>
      <c r="S1426" s="111">
        <f>Audit[[#This Row],[Audit Losing Candidate]]-Audit[[#This Row],[Losing Candidate]]</f>
        <v>-25</v>
      </c>
      <c r="T1426" s="111">
        <f>Audit[[#This Row],[Audit Winning Candidate]]-Audit[[#This Row],[Winning Candidate]]</f>
        <v>-30</v>
      </c>
      <c r="U1426" s="111">
        <f>Audit[[#This Row],[Audit Candidate 3]]-Audit[[#This Row],[Candidate 3]]</f>
        <v>-11</v>
      </c>
      <c r="V1426" s="111">
        <f>Audit[[#This Row],[Audit Candidate 4]]-Audit[[#This Row],[Candidate 4]]</f>
        <v>-10</v>
      </c>
      <c r="W1426" s="111">
        <f>Audit[[#This Row],[Audit Candidate 5]]-Audit[[#This Row],[Candidate 5]]</f>
        <v>0</v>
      </c>
      <c r="X1426" s="111">
        <f>Audit[[#This Row],[Audit Candidate 6]]-Audit[[#This Row],[Candidate 6]]</f>
        <v>0</v>
      </c>
      <c r="Y1426" s="111">
        <f>SUMIF(Audit[[#This Row],[Difference Loser]:[Difference Candidate 6]], "&gt;0")</f>
        <v>0</v>
      </c>
      <c r="Z1426" s="111">
        <f>SUM(Audit[[#This Row],[Difference Loser]:[Difference Candidate 6]])</f>
        <v>-76</v>
      </c>
      <c r="AA1426" s="111">
        <f>IF(Audit[[#This Row],[Times p Drawn - With Replacement]]&gt;0, IF(Audit[[#This Row],[Canceled Differences]]&lt;0, Audit[[#This Row],[Max Differences]]+ABS(Audit[[#This Row],[Canceled Differences]]), Audit[[#This Row],[Max Differences]]), 0)</f>
        <v>0</v>
      </c>
      <c r="AB1426" s="111">
        <f>'Sampling Data'!P1419</f>
        <v>5.0832925036746694E-3</v>
      </c>
      <c r="AC1426" s="111">
        <f>IF(
      SUM(Audit[[#This Row],[Audit Losing Candidate]:[Audit Candidate 6]])
      &lt;&gt;0,
      (Audit[[#This Row],[Winning Candidate]]-Audit[[#This Row],[Losing Candidate]]-(Audit[[#This Row],[Audit Winning Candidate]]-Audit[[#This Row],[Audit Losing Candidate]]))/(Audit[[#Totals],[Winning Candidate]]-Audit[[#Totals],[Losing Candidate]]),
      0
)</f>
        <v>0</v>
      </c>
      <c r="AD14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6" s="111">
        <f>IF(Audit[[#This Row],[Max Relative Error (ep)]] = 0, 0, Audit[[#This Row],[Max Relative Error (ep)]]/Audit[[#This Row],[Error Bound (up) - Max. possible relative overstatement]])</f>
        <v>0</v>
      </c>
      <c r="AJ14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26" s="111">
        <f t="shared" si="22"/>
        <v>1</v>
      </c>
      <c r="AL1426" s="111">
        <f>PRODUCT($AK$5:AK1426)</f>
        <v>8.962823818226312E-2</v>
      </c>
      <c r="AM1426" s="109">
        <f>1 - [K-M P Value]</f>
        <v>0.91037176181773694</v>
      </c>
      <c r="AN1426" s="111" t="str">
        <f>IF(Audit[[#This Row],[K-M P Value]]&gt;1-'General Info'!$B$16,"Continue", "Stop")</f>
        <v>Stop</v>
      </c>
      <c r="AO1426" s="110" t="b">
        <f>IF(Audit[[#This Row],[Status - Continue or stop audit]] = "Continue", TRUE, IF(AN1425 = "Continue", TRUE, FALSE))</f>
        <v>0</v>
      </c>
      <c r="AP1426" s="110"/>
    </row>
    <row r="1427" spans="1:42" ht="15" hidden="1" customHeight="1">
      <c r="A1427" s="111" t="str">
        <f>'Sampling Data'!W1420</f>
        <v/>
      </c>
      <c r="B1427" s="112" t="str">
        <f>'Sampling Data'!A1420</f>
        <v>MAYFIELD HEIGHTS -00-D - ABS</v>
      </c>
      <c r="C1427" s="112">
        <f>'Sampling Data'!B1420</f>
        <v>3</v>
      </c>
      <c r="D1427" s="112">
        <f>'Sampling Data'!C1420</f>
        <v>13</v>
      </c>
      <c r="E1427" s="113">
        <f>'Sampling Data'!D1420</f>
        <v>2</v>
      </c>
      <c r="F1427" s="113">
        <f>'Sampling Data'!E1420</f>
        <v>3</v>
      </c>
      <c r="G1427" s="113">
        <f>'Sampling Data'!F1420</f>
        <v>0</v>
      </c>
      <c r="H1427" s="113">
        <f>'Sampling Data'!G1420</f>
        <v>0</v>
      </c>
      <c r="I1427" s="112">
        <f>'Sampling Data'!H1420</f>
        <v>0</v>
      </c>
      <c r="J1427" s="112">
        <f>'Sampling Data'!I1420</f>
        <v>0</v>
      </c>
      <c r="K1427" s="112">
        <f>'Sampling Data'!J1420</f>
        <v>21</v>
      </c>
      <c r="L1427" s="111">
        <f>'Sampling Data'!X1420</f>
        <v>0</v>
      </c>
      <c r="M1427" s="114"/>
      <c r="N1427" s="114"/>
      <c r="O1427" s="115"/>
      <c r="P1427" s="115"/>
      <c r="Q1427" s="116"/>
      <c r="R1427" s="116"/>
      <c r="S1427" s="111">
        <f>Audit[[#This Row],[Audit Losing Candidate]]-Audit[[#This Row],[Losing Candidate]]</f>
        <v>-3</v>
      </c>
      <c r="T1427" s="111">
        <f>Audit[[#This Row],[Audit Winning Candidate]]-Audit[[#This Row],[Winning Candidate]]</f>
        <v>-13</v>
      </c>
      <c r="U1427" s="111">
        <f>Audit[[#This Row],[Audit Candidate 3]]-Audit[[#This Row],[Candidate 3]]</f>
        <v>-2</v>
      </c>
      <c r="V1427" s="111">
        <f>Audit[[#This Row],[Audit Candidate 4]]-Audit[[#This Row],[Candidate 4]]</f>
        <v>-3</v>
      </c>
      <c r="W1427" s="111">
        <f>Audit[[#This Row],[Audit Candidate 5]]-Audit[[#This Row],[Candidate 5]]</f>
        <v>0</v>
      </c>
      <c r="X1427" s="111">
        <f>Audit[[#This Row],[Audit Candidate 6]]-Audit[[#This Row],[Candidate 6]]</f>
        <v>0</v>
      </c>
      <c r="Y1427" s="111">
        <f>SUMIF(Audit[[#This Row],[Difference Loser]:[Difference Candidate 6]], "&gt;0")</f>
        <v>0</v>
      </c>
      <c r="Z1427" s="111">
        <f>SUM(Audit[[#This Row],[Difference Loser]:[Difference Candidate 6]])</f>
        <v>-21</v>
      </c>
      <c r="AA1427" s="111">
        <f>IF(Audit[[#This Row],[Times p Drawn - With Replacement]]&gt;0, IF(Audit[[#This Row],[Canceled Differences]]&lt;0, Audit[[#This Row],[Max Differences]]+ABS(Audit[[#This Row],[Canceled Differences]]), Audit[[#This Row],[Max Differences]]), 0)</f>
        <v>0</v>
      </c>
      <c r="AB1427" s="111">
        <f>'Sampling Data'!P1420</f>
        <v>1.8985791278784908E-3</v>
      </c>
      <c r="AC1427" s="111">
        <f>IF(
      SUM(Audit[[#This Row],[Audit Losing Candidate]:[Audit Candidate 6]])
      &lt;&gt;0,
      (Audit[[#This Row],[Winning Candidate]]-Audit[[#This Row],[Losing Candidate]]-(Audit[[#This Row],[Audit Winning Candidate]]-Audit[[#This Row],[Audit Losing Candidate]]))/(Audit[[#Totals],[Winning Candidate]]-Audit[[#Totals],[Losing Candidate]]),
      0
)</f>
        <v>0</v>
      </c>
      <c r="AD14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7" s="111">
        <f>IF(Audit[[#This Row],[Max Relative Error (ep)]] = 0, 0, Audit[[#This Row],[Max Relative Error (ep)]]/Audit[[#This Row],[Error Bound (up) - Max. possible relative overstatement]])</f>
        <v>0</v>
      </c>
      <c r="AJ14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27" s="111">
        <f t="shared" si="22"/>
        <v>1</v>
      </c>
      <c r="AL1427" s="111">
        <f>PRODUCT($AK$5:AK1427)</f>
        <v>8.962823818226312E-2</v>
      </c>
      <c r="AM1427" s="109">
        <f>1 - [K-M P Value]</f>
        <v>0.91037176181773694</v>
      </c>
      <c r="AN1427" s="111" t="str">
        <f>IF(Audit[[#This Row],[K-M P Value]]&gt;1-'General Info'!$B$16,"Continue", "Stop")</f>
        <v>Stop</v>
      </c>
      <c r="AO1427" s="110" t="b">
        <f>IF(Audit[[#This Row],[Status - Continue or stop audit]] = "Continue", TRUE, IF(AN1426 = "Continue", TRUE, FALSE))</f>
        <v>0</v>
      </c>
      <c r="AP1427" s="110"/>
    </row>
    <row r="1428" spans="1:42" ht="15" hidden="1" customHeight="1">
      <c r="A1428" s="111" t="str">
        <f>'Sampling Data'!W1421</f>
        <v/>
      </c>
      <c r="B1428" s="112" t="str">
        <f>'Sampling Data'!A1421</f>
        <v>MAYFIELD HEIGHTS -00-E</v>
      </c>
      <c r="C1428" s="112">
        <f>'Sampling Data'!B1421</f>
        <v>20</v>
      </c>
      <c r="D1428" s="112">
        <f>'Sampling Data'!C1421</f>
        <v>65</v>
      </c>
      <c r="E1428" s="113">
        <f>'Sampling Data'!D1421</f>
        <v>17</v>
      </c>
      <c r="F1428" s="113">
        <f>'Sampling Data'!E1421</f>
        <v>8</v>
      </c>
      <c r="G1428" s="113">
        <f>'Sampling Data'!F1421</f>
        <v>0</v>
      </c>
      <c r="H1428" s="113">
        <f>'Sampling Data'!G1421</f>
        <v>1</v>
      </c>
      <c r="I1428" s="112">
        <f>'Sampling Data'!H1421</f>
        <v>0</v>
      </c>
      <c r="J1428" s="112">
        <f>'Sampling Data'!I1421</f>
        <v>0</v>
      </c>
      <c r="K1428" s="112">
        <f>'Sampling Data'!J1421</f>
        <v>111</v>
      </c>
      <c r="L1428" s="111">
        <f>'Sampling Data'!X1421</f>
        <v>0</v>
      </c>
      <c r="M1428" s="114"/>
      <c r="N1428" s="114"/>
      <c r="O1428" s="115"/>
      <c r="P1428" s="115"/>
      <c r="Q1428" s="116"/>
      <c r="R1428" s="116"/>
      <c r="S1428" s="111">
        <f>Audit[[#This Row],[Audit Losing Candidate]]-Audit[[#This Row],[Losing Candidate]]</f>
        <v>-20</v>
      </c>
      <c r="T1428" s="111">
        <f>Audit[[#This Row],[Audit Winning Candidate]]-Audit[[#This Row],[Winning Candidate]]</f>
        <v>-65</v>
      </c>
      <c r="U1428" s="111">
        <f>Audit[[#This Row],[Audit Candidate 3]]-Audit[[#This Row],[Candidate 3]]</f>
        <v>-17</v>
      </c>
      <c r="V1428" s="111">
        <f>Audit[[#This Row],[Audit Candidate 4]]-Audit[[#This Row],[Candidate 4]]</f>
        <v>-8</v>
      </c>
      <c r="W1428" s="111">
        <f>Audit[[#This Row],[Audit Candidate 5]]-Audit[[#This Row],[Candidate 5]]</f>
        <v>0</v>
      </c>
      <c r="X1428" s="111">
        <f>Audit[[#This Row],[Audit Candidate 6]]-Audit[[#This Row],[Candidate 6]]</f>
        <v>-1</v>
      </c>
      <c r="Y1428" s="111">
        <f>SUMIF(Audit[[#This Row],[Difference Loser]:[Difference Candidate 6]], "&gt;0")</f>
        <v>0</v>
      </c>
      <c r="Z1428" s="111">
        <f>SUM(Audit[[#This Row],[Difference Loser]:[Difference Candidate 6]])</f>
        <v>-111</v>
      </c>
      <c r="AA1428" s="111">
        <f>IF(Audit[[#This Row],[Times p Drawn - With Replacement]]&gt;0, IF(Audit[[#This Row],[Canceled Differences]]&lt;0, Audit[[#This Row],[Max Differences]]+ABS(Audit[[#This Row],[Canceled Differences]]), Audit[[#This Row],[Max Differences]]), 0)</f>
        <v>0</v>
      </c>
      <c r="AB1428" s="111">
        <f>'Sampling Data'!P1421</f>
        <v>9.5541401273885346E-3</v>
      </c>
      <c r="AC1428" s="111">
        <f>IF(
      SUM(Audit[[#This Row],[Audit Losing Candidate]:[Audit Candidate 6]])
      &lt;&gt;0,
      (Audit[[#This Row],[Winning Candidate]]-Audit[[#This Row],[Losing Candidate]]-(Audit[[#This Row],[Audit Winning Candidate]]-Audit[[#This Row],[Audit Losing Candidate]]))/(Audit[[#Totals],[Winning Candidate]]-Audit[[#Totals],[Losing Candidate]]),
      0
)</f>
        <v>0</v>
      </c>
      <c r="AD14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8" s="111">
        <f>IF(Audit[[#This Row],[Max Relative Error (ep)]] = 0, 0, Audit[[#This Row],[Max Relative Error (ep)]]/Audit[[#This Row],[Error Bound (up) - Max. possible relative overstatement]])</f>
        <v>0</v>
      </c>
      <c r="AJ14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28" s="111">
        <f t="shared" si="22"/>
        <v>1</v>
      </c>
      <c r="AL1428" s="111">
        <f>PRODUCT($AK$5:AK1428)</f>
        <v>8.962823818226312E-2</v>
      </c>
      <c r="AM1428" s="109">
        <f>1 - [K-M P Value]</f>
        <v>0.91037176181773694</v>
      </c>
      <c r="AN1428" s="111" t="str">
        <f>IF(Audit[[#This Row],[K-M P Value]]&gt;1-'General Info'!$B$16,"Continue", "Stop")</f>
        <v>Stop</v>
      </c>
      <c r="AO1428" s="110" t="b">
        <f>IF(Audit[[#This Row],[Status - Continue or stop audit]] = "Continue", TRUE, IF(AN1427 = "Continue", TRUE, FALSE))</f>
        <v>0</v>
      </c>
      <c r="AP1428" s="110"/>
    </row>
    <row r="1429" spans="1:42" ht="15" hidden="1" customHeight="1">
      <c r="A1429" s="111" t="str">
        <f>'Sampling Data'!W1422</f>
        <v/>
      </c>
      <c r="B1429" s="112" t="str">
        <f>'Sampling Data'!A1422</f>
        <v>MAYFIELD HEIGHTS -00-E - ABS</v>
      </c>
      <c r="C1429" s="112">
        <f>'Sampling Data'!B1422</f>
        <v>22</v>
      </c>
      <c r="D1429" s="112">
        <f>'Sampling Data'!C1422</f>
        <v>38</v>
      </c>
      <c r="E1429" s="113">
        <f>'Sampling Data'!D1422</f>
        <v>11</v>
      </c>
      <c r="F1429" s="113">
        <f>'Sampling Data'!E1422</f>
        <v>5</v>
      </c>
      <c r="G1429" s="113">
        <f>'Sampling Data'!F1422</f>
        <v>1</v>
      </c>
      <c r="H1429" s="113">
        <f>'Sampling Data'!G1422</f>
        <v>1</v>
      </c>
      <c r="I1429" s="112">
        <f>'Sampling Data'!H1422</f>
        <v>0</v>
      </c>
      <c r="J1429" s="112">
        <f>'Sampling Data'!I1422</f>
        <v>0</v>
      </c>
      <c r="K1429" s="112">
        <f>'Sampling Data'!J1422</f>
        <v>78</v>
      </c>
      <c r="L1429" s="111">
        <f>'Sampling Data'!X1422</f>
        <v>0</v>
      </c>
      <c r="M1429" s="114"/>
      <c r="N1429" s="114"/>
      <c r="O1429" s="115"/>
      <c r="P1429" s="115"/>
      <c r="Q1429" s="116"/>
      <c r="R1429" s="116"/>
      <c r="S1429" s="111">
        <f>Audit[[#This Row],[Audit Losing Candidate]]-Audit[[#This Row],[Losing Candidate]]</f>
        <v>-22</v>
      </c>
      <c r="T1429" s="111">
        <f>Audit[[#This Row],[Audit Winning Candidate]]-Audit[[#This Row],[Winning Candidate]]</f>
        <v>-38</v>
      </c>
      <c r="U1429" s="111">
        <f>Audit[[#This Row],[Audit Candidate 3]]-Audit[[#This Row],[Candidate 3]]</f>
        <v>-11</v>
      </c>
      <c r="V1429" s="111">
        <f>Audit[[#This Row],[Audit Candidate 4]]-Audit[[#This Row],[Candidate 4]]</f>
        <v>-5</v>
      </c>
      <c r="W1429" s="111">
        <f>Audit[[#This Row],[Audit Candidate 5]]-Audit[[#This Row],[Candidate 5]]</f>
        <v>-1</v>
      </c>
      <c r="X1429" s="111">
        <f>Audit[[#This Row],[Audit Candidate 6]]-Audit[[#This Row],[Candidate 6]]</f>
        <v>-1</v>
      </c>
      <c r="Y1429" s="111">
        <f>SUMIF(Audit[[#This Row],[Difference Loser]:[Difference Candidate 6]], "&gt;0")</f>
        <v>0</v>
      </c>
      <c r="Z1429" s="111">
        <f>SUM(Audit[[#This Row],[Difference Loser]:[Difference Candidate 6]])</f>
        <v>-78</v>
      </c>
      <c r="AA1429" s="111">
        <f>IF(Audit[[#This Row],[Times p Drawn - With Replacement]]&gt;0, IF(Audit[[#This Row],[Canceled Differences]]&lt;0, Audit[[#This Row],[Max Differences]]+ABS(Audit[[#This Row],[Canceled Differences]]), Audit[[#This Row],[Max Differences]]), 0)</f>
        <v>0</v>
      </c>
      <c r="AB1429" s="111">
        <f>'Sampling Data'!P1422</f>
        <v>5.7569818716315529E-3</v>
      </c>
      <c r="AC1429" s="111">
        <f>IF(
      SUM(Audit[[#This Row],[Audit Losing Candidate]:[Audit Candidate 6]])
      &lt;&gt;0,
      (Audit[[#This Row],[Winning Candidate]]-Audit[[#This Row],[Losing Candidate]]-(Audit[[#This Row],[Audit Winning Candidate]]-Audit[[#This Row],[Audit Losing Candidate]]))/(Audit[[#Totals],[Winning Candidate]]-Audit[[#Totals],[Losing Candidate]]),
      0
)</f>
        <v>0</v>
      </c>
      <c r="AD14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9" s="111">
        <f>IF(Audit[[#This Row],[Max Relative Error (ep)]] = 0, 0, Audit[[#This Row],[Max Relative Error (ep)]]/Audit[[#This Row],[Error Bound (up) - Max. possible relative overstatement]])</f>
        <v>0</v>
      </c>
      <c r="AJ14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29" s="111">
        <f t="shared" si="22"/>
        <v>1</v>
      </c>
      <c r="AL1429" s="111">
        <f>PRODUCT($AK$5:AK1429)</f>
        <v>8.962823818226312E-2</v>
      </c>
      <c r="AM1429" s="109">
        <f>1 - [K-M P Value]</f>
        <v>0.91037176181773694</v>
      </c>
      <c r="AN1429" s="111" t="str">
        <f>IF(Audit[[#This Row],[K-M P Value]]&gt;1-'General Info'!$B$16,"Continue", "Stop")</f>
        <v>Stop</v>
      </c>
      <c r="AO1429" s="110" t="b">
        <f>IF(Audit[[#This Row],[Status - Continue or stop audit]] = "Continue", TRUE, IF(AN1428 = "Continue", TRUE, FALSE))</f>
        <v>0</v>
      </c>
      <c r="AP1429" s="110"/>
    </row>
    <row r="1430" spans="1:42" ht="15" hidden="1" customHeight="1">
      <c r="A1430" s="111" t="str">
        <f>'Sampling Data'!W1423</f>
        <v/>
      </c>
      <c r="B1430" s="112" t="str">
        <f>'Sampling Data'!A1423</f>
        <v>MAYFIELD HEIGHTS -00-F</v>
      </c>
      <c r="C1430" s="112">
        <f>'Sampling Data'!B1423</f>
        <v>14</v>
      </c>
      <c r="D1430" s="112">
        <f>'Sampling Data'!C1423</f>
        <v>31</v>
      </c>
      <c r="E1430" s="113">
        <f>'Sampling Data'!D1423</f>
        <v>13</v>
      </c>
      <c r="F1430" s="113">
        <f>'Sampling Data'!E1423</f>
        <v>2</v>
      </c>
      <c r="G1430" s="113">
        <f>'Sampling Data'!F1423</f>
        <v>0</v>
      </c>
      <c r="H1430" s="113">
        <f>'Sampling Data'!G1423</f>
        <v>1</v>
      </c>
      <c r="I1430" s="112">
        <f>'Sampling Data'!H1423</f>
        <v>0</v>
      </c>
      <c r="J1430" s="112">
        <f>'Sampling Data'!I1423</f>
        <v>1</v>
      </c>
      <c r="K1430" s="112">
        <f>'Sampling Data'!J1423</f>
        <v>62</v>
      </c>
      <c r="L1430" s="111">
        <f>'Sampling Data'!X1423</f>
        <v>0</v>
      </c>
      <c r="M1430" s="114"/>
      <c r="N1430" s="114"/>
      <c r="O1430" s="115"/>
      <c r="P1430" s="115"/>
      <c r="Q1430" s="116"/>
      <c r="R1430" s="116"/>
      <c r="S1430" s="111">
        <f>Audit[[#This Row],[Audit Losing Candidate]]-Audit[[#This Row],[Losing Candidate]]</f>
        <v>-14</v>
      </c>
      <c r="T1430" s="111">
        <f>Audit[[#This Row],[Audit Winning Candidate]]-Audit[[#This Row],[Winning Candidate]]</f>
        <v>-31</v>
      </c>
      <c r="U1430" s="111">
        <f>Audit[[#This Row],[Audit Candidate 3]]-Audit[[#This Row],[Candidate 3]]</f>
        <v>-13</v>
      </c>
      <c r="V1430" s="111">
        <f>Audit[[#This Row],[Audit Candidate 4]]-Audit[[#This Row],[Candidate 4]]</f>
        <v>-2</v>
      </c>
      <c r="W1430" s="111">
        <f>Audit[[#This Row],[Audit Candidate 5]]-Audit[[#This Row],[Candidate 5]]</f>
        <v>0</v>
      </c>
      <c r="X1430" s="111">
        <f>Audit[[#This Row],[Audit Candidate 6]]-Audit[[#This Row],[Candidate 6]]</f>
        <v>-1</v>
      </c>
      <c r="Y1430" s="111">
        <f>SUMIF(Audit[[#This Row],[Difference Loser]:[Difference Candidate 6]], "&gt;0")</f>
        <v>0</v>
      </c>
      <c r="Z1430" s="111">
        <f>SUM(Audit[[#This Row],[Difference Loser]:[Difference Candidate 6]])</f>
        <v>-61</v>
      </c>
      <c r="AA1430" s="111">
        <f>IF(Audit[[#This Row],[Times p Drawn - With Replacement]]&gt;0, IF(Audit[[#This Row],[Canceled Differences]]&lt;0, Audit[[#This Row],[Max Differences]]+ABS(Audit[[#This Row],[Canceled Differences]]), Audit[[#This Row],[Max Differences]]), 0)</f>
        <v>0</v>
      </c>
      <c r="AB1430" s="111">
        <f>'Sampling Data'!P1423</f>
        <v>4.8383145516903477E-3</v>
      </c>
      <c r="AC1430" s="111">
        <f>IF(
      SUM(Audit[[#This Row],[Audit Losing Candidate]:[Audit Candidate 6]])
      &lt;&gt;0,
      (Audit[[#This Row],[Winning Candidate]]-Audit[[#This Row],[Losing Candidate]]-(Audit[[#This Row],[Audit Winning Candidate]]-Audit[[#This Row],[Audit Losing Candidate]]))/(Audit[[#Totals],[Winning Candidate]]-Audit[[#Totals],[Losing Candidate]]),
      0
)</f>
        <v>0</v>
      </c>
      <c r="AD14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0" s="111">
        <f>IF(Audit[[#This Row],[Max Relative Error (ep)]] = 0, 0, Audit[[#This Row],[Max Relative Error (ep)]]/Audit[[#This Row],[Error Bound (up) - Max. possible relative overstatement]])</f>
        <v>0</v>
      </c>
      <c r="AJ14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30" s="111">
        <f t="shared" si="22"/>
        <v>1</v>
      </c>
      <c r="AL1430" s="111">
        <f>PRODUCT($AK$5:AK1430)</f>
        <v>8.962823818226312E-2</v>
      </c>
      <c r="AM1430" s="109">
        <f>1 - [K-M P Value]</f>
        <v>0.91037176181773694</v>
      </c>
      <c r="AN1430" s="111" t="str">
        <f>IF(Audit[[#This Row],[K-M P Value]]&gt;1-'General Info'!$B$16,"Continue", "Stop")</f>
        <v>Stop</v>
      </c>
      <c r="AO1430" s="110" t="b">
        <f>IF(Audit[[#This Row],[Status - Continue or stop audit]] = "Continue", TRUE, IF(AN1429 = "Continue", TRUE, FALSE))</f>
        <v>0</v>
      </c>
      <c r="AP1430" s="110"/>
    </row>
    <row r="1431" spans="1:42" ht="15" hidden="1" customHeight="1">
      <c r="A1431" s="111" t="str">
        <f>'Sampling Data'!W1424</f>
        <v/>
      </c>
      <c r="B1431" s="112" t="str">
        <f>'Sampling Data'!A1424</f>
        <v>MAYFIELD HEIGHTS -00-F - ABS</v>
      </c>
      <c r="C1431" s="112">
        <f>'Sampling Data'!B1424</f>
        <v>0</v>
      </c>
      <c r="D1431" s="112">
        <f>'Sampling Data'!C1424</f>
        <v>23</v>
      </c>
      <c r="E1431" s="113">
        <f>'Sampling Data'!D1424</f>
        <v>5</v>
      </c>
      <c r="F1431" s="113">
        <f>'Sampling Data'!E1424</f>
        <v>0</v>
      </c>
      <c r="G1431" s="113">
        <f>'Sampling Data'!F1424</f>
        <v>1</v>
      </c>
      <c r="H1431" s="113">
        <f>'Sampling Data'!G1424</f>
        <v>0</v>
      </c>
      <c r="I1431" s="112">
        <f>'Sampling Data'!H1424</f>
        <v>0</v>
      </c>
      <c r="J1431" s="112">
        <f>'Sampling Data'!I1424</f>
        <v>0</v>
      </c>
      <c r="K1431" s="112">
        <f>'Sampling Data'!J1424</f>
        <v>29</v>
      </c>
      <c r="L1431" s="111">
        <f>'Sampling Data'!X1424</f>
        <v>0</v>
      </c>
      <c r="M1431" s="114"/>
      <c r="N1431" s="114"/>
      <c r="O1431" s="115"/>
      <c r="P1431" s="115"/>
      <c r="Q1431" s="116"/>
      <c r="R1431" s="116"/>
      <c r="S1431" s="111">
        <f>Audit[[#This Row],[Audit Losing Candidate]]-Audit[[#This Row],[Losing Candidate]]</f>
        <v>0</v>
      </c>
      <c r="T1431" s="111">
        <f>Audit[[#This Row],[Audit Winning Candidate]]-Audit[[#This Row],[Winning Candidate]]</f>
        <v>-23</v>
      </c>
      <c r="U1431" s="111">
        <f>Audit[[#This Row],[Audit Candidate 3]]-Audit[[#This Row],[Candidate 3]]</f>
        <v>-5</v>
      </c>
      <c r="V1431" s="111">
        <f>Audit[[#This Row],[Audit Candidate 4]]-Audit[[#This Row],[Candidate 4]]</f>
        <v>0</v>
      </c>
      <c r="W1431" s="111">
        <f>Audit[[#This Row],[Audit Candidate 5]]-Audit[[#This Row],[Candidate 5]]</f>
        <v>-1</v>
      </c>
      <c r="X1431" s="111">
        <f>Audit[[#This Row],[Audit Candidate 6]]-Audit[[#This Row],[Candidate 6]]</f>
        <v>0</v>
      </c>
      <c r="Y1431" s="111">
        <f>SUMIF(Audit[[#This Row],[Difference Loser]:[Difference Candidate 6]], "&gt;0")</f>
        <v>0</v>
      </c>
      <c r="Z1431" s="111">
        <f>SUM(Audit[[#This Row],[Difference Loser]:[Difference Candidate 6]])</f>
        <v>-29</v>
      </c>
      <c r="AA1431" s="111">
        <f>IF(Audit[[#This Row],[Times p Drawn - With Replacement]]&gt;0, IF(Audit[[#This Row],[Canceled Differences]]&lt;0, Audit[[#This Row],[Max Differences]]+ABS(Audit[[#This Row],[Canceled Differences]]), Audit[[#This Row],[Max Differences]]), 0)</f>
        <v>0</v>
      </c>
      <c r="AB1431" s="111">
        <f>'Sampling Data'!P1424</f>
        <v>3.1847133757961785E-3</v>
      </c>
      <c r="AC1431" s="111">
        <f>IF(
      SUM(Audit[[#This Row],[Audit Losing Candidate]:[Audit Candidate 6]])
      &lt;&gt;0,
      (Audit[[#This Row],[Winning Candidate]]-Audit[[#This Row],[Losing Candidate]]-(Audit[[#This Row],[Audit Winning Candidate]]-Audit[[#This Row],[Audit Losing Candidate]]))/(Audit[[#Totals],[Winning Candidate]]-Audit[[#Totals],[Losing Candidate]]),
      0
)</f>
        <v>0</v>
      </c>
      <c r="AD14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1" s="111">
        <f>IF(Audit[[#This Row],[Max Relative Error (ep)]] = 0, 0, Audit[[#This Row],[Max Relative Error (ep)]]/Audit[[#This Row],[Error Bound (up) - Max. possible relative overstatement]])</f>
        <v>0</v>
      </c>
      <c r="AJ14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31" s="111">
        <f t="shared" si="22"/>
        <v>1</v>
      </c>
      <c r="AL1431" s="111">
        <f>PRODUCT($AK$5:AK1431)</f>
        <v>8.962823818226312E-2</v>
      </c>
      <c r="AM1431" s="109">
        <f>1 - [K-M P Value]</f>
        <v>0.91037176181773694</v>
      </c>
      <c r="AN1431" s="111" t="str">
        <f>IF(Audit[[#This Row],[K-M P Value]]&gt;1-'General Info'!$B$16,"Continue", "Stop")</f>
        <v>Stop</v>
      </c>
      <c r="AO1431" s="110" t="b">
        <f>IF(Audit[[#This Row],[Status - Continue or stop audit]] = "Continue", TRUE, IF(AN1430 = "Continue", TRUE, FALSE))</f>
        <v>0</v>
      </c>
      <c r="AP1431" s="110"/>
    </row>
    <row r="1432" spans="1:42" ht="15" hidden="1" customHeight="1">
      <c r="A1432" s="111" t="str">
        <f>'Sampling Data'!W1425</f>
        <v/>
      </c>
      <c r="B1432" s="112" t="str">
        <f>'Sampling Data'!A1425</f>
        <v>MAYFIELD HEIGHTS -00-G</v>
      </c>
      <c r="C1432" s="112">
        <f>'Sampling Data'!B1425</f>
        <v>17</v>
      </c>
      <c r="D1432" s="112">
        <f>'Sampling Data'!C1425</f>
        <v>10</v>
      </c>
      <c r="E1432" s="113">
        <f>'Sampling Data'!D1425</f>
        <v>2</v>
      </c>
      <c r="F1432" s="113">
        <f>'Sampling Data'!E1425</f>
        <v>8</v>
      </c>
      <c r="G1432" s="113">
        <f>'Sampling Data'!F1425</f>
        <v>1</v>
      </c>
      <c r="H1432" s="113">
        <f>'Sampling Data'!G1425</f>
        <v>0</v>
      </c>
      <c r="I1432" s="112">
        <f>'Sampling Data'!H1425</f>
        <v>0</v>
      </c>
      <c r="J1432" s="112">
        <f>'Sampling Data'!I1425</f>
        <v>0</v>
      </c>
      <c r="K1432" s="112">
        <f>'Sampling Data'!J1425</f>
        <v>38</v>
      </c>
      <c r="L1432" s="111">
        <f>'Sampling Data'!X1425</f>
        <v>0</v>
      </c>
      <c r="M1432" s="114"/>
      <c r="N1432" s="114"/>
      <c r="O1432" s="115"/>
      <c r="P1432" s="115"/>
      <c r="Q1432" s="116"/>
      <c r="R1432" s="116"/>
      <c r="S1432" s="111">
        <f>Audit[[#This Row],[Audit Losing Candidate]]-Audit[[#This Row],[Losing Candidate]]</f>
        <v>-17</v>
      </c>
      <c r="T1432" s="111">
        <f>Audit[[#This Row],[Audit Winning Candidate]]-Audit[[#This Row],[Winning Candidate]]</f>
        <v>-10</v>
      </c>
      <c r="U1432" s="111">
        <f>Audit[[#This Row],[Audit Candidate 3]]-Audit[[#This Row],[Candidate 3]]</f>
        <v>-2</v>
      </c>
      <c r="V1432" s="111">
        <f>Audit[[#This Row],[Audit Candidate 4]]-Audit[[#This Row],[Candidate 4]]</f>
        <v>-8</v>
      </c>
      <c r="W1432" s="111">
        <f>Audit[[#This Row],[Audit Candidate 5]]-Audit[[#This Row],[Candidate 5]]</f>
        <v>-1</v>
      </c>
      <c r="X1432" s="111">
        <f>Audit[[#This Row],[Audit Candidate 6]]-Audit[[#This Row],[Candidate 6]]</f>
        <v>0</v>
      </c>
      <c r="Y1432" s="111">
        <f>SUMIF(Audit[[#This Row],[Difference Loser]:[Difference Candidate 6]], "&gt;0")</f>
        <v>0</v>
      </c>
      <c r="Z1432" s="111">
        <f>SUM(Audit[[#This Row],[Difference Loser]:[Difference Candidate 6]])</f>
        <v>-38</v>
      </c>
      <c r="AA1432" s="111">
        <f>IF(Audit[[#This Row],[Times p Drawn - With Replacement]]&gt;0, IF(Audit[[#This Row],[Canceled Differences]]&lt;0, Audit[[#This Row],[Max Differences]]+ABS(Audit[[#This Row],[Canceled Differences]]), Audit[[#This Row],[Max Differences]]), 0)</f>
        <v>0</v>
      </c>
      <c r="AB1432" s="111">
        <f>'Sampling Data'!P1425</f>
        <v>1.8985791278784908E-3</v>
      </c>
      <c r="AC1432" s="111">
        <f>IF(
      SUM(Audit[[#This Row],[Audit Losing Candidate]:[Audit Candidate 6]])
      &lt;&gt;0,
      (Audit[[#This Row],[Winning Candidate]]-Audit[[#This Row],[Losing Candidate]]-(Audit[[#This Row],[Audit Winning Candidate]]-Audit[[#This Row],[Audit Losing Candidate]]))/(Audit[[#Totals],[Winning Candidate]]-Audit[[#Totals],[Losing Candidate]]),
      0
)</f>
        <v>0</v>
      </c>
      <c r="AD14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2" s="111">
        <f>IF(Audit[[#This Row],[Max Relative Error (ep)]] = 0, 0, Audit[[#This Row],[Max Relative Error (ep)]]/Audit[[#This Row],[Error Bound (up) - Max. possible relative overstatement]])</f>
        <v>0</v>
      </c>
      <c r="AJ14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32" s="111">
        <f t="shared" si="22"/>
        <v>1</v>
      </c>
      <c r="AL1432" s="111">
        <f>PRODUCT($AK$5:AK1432)</f>
        <v>8.962823818226312E-2</v>
      </c>
      <c r="AM1432" s="109">
        <f>1 - [K-M P Value]</f>
        <v>0.91037176181773694</v>
      </c>
      <c r="AN1432" s="111" t="str">
        <f>IF(Audit[[#This Row],[K-M P Value]]&gt;1-'General Info'!$B$16,"Continue", "Stop")</f>
        <v>Stop</v>
      </c>
      <c r="AO1432" s="110" t="b">
        <f>IF(Audit[[#This Row],[Status - Continue or stop audit]] = "Continue", TRUE, IF(AN1431 = "Continue", TRUE, FALSE))</f>
        <v>0</v>
      </c>
      <c r="AP1432" s="110"/>
    </row>
    <row r="1433" spans="1:42" ht="15" hidden="1" customHeight="1">
      <c r="A1433" s="111" t="str">
        <f>'Sampling Data'!W1426</f>
        <v/>
      </c>
      <c r="B1433" s="112" t="str">
        <f>'Sampling Data'!A1426</f>
        <v>MAYFIELD HEIGHTS -00-G - ABS</v>
      </c>
      <c r="C1433" s="112">
        <f>'Sampling Data'!B1426</f>
        <v>3</v>
      </c>
      <c r="D1433" s="112">
        <f>'Sampling Data'!C1426</f>
        <v>8</v>
      </c>
      <c r="E1433" s="113">
        <f>'Sampling Data'!D1426</f>
        <v>1</v>
      </c>
      <c r="F1433" s="113">
        <f>'Sampling Data'!E1426</f>
        <v>1</v>
      </c>
      <c r="G1433" s="113">
        <f>'Sampling Data'!F1426</f>
        <v>0</v>
      </c>
      <c r="H1433" s="113">
        <f>'Sampling Data'!G1426</f>
        <v>0</v>
      </c>
      <c r="I1433" s="112">
        <f>'Sampling Data'!H1426</f>
        <v>0</v>
      </c>
      <c r="J1433" s="112">
        <f>'Sampling Data'!I1426</f>
        <v>0</v>
      </c>
      <c r="K1433" s="112">
        <f>'Sampling Data'!J1426</f>
        <v>13</v>
      </c>
      <c r="L1433" s="111">
        <f>'Sampling Data'!X1426</f>
        <v>0</v>
      </c>
      <c r="M1433" s="114"/>
      <c r="N1433" s="114"/>
      <c r="O1433" s="115"/>
      <c r="P1433" s="115"/>
      <c r="Q1433" s="116"/>
      <c r="R1433" s="116"/>
      <c r="S1433" s="111">
        <f>Audit[[#This Row],[Audit Losing Candidate]]-Audit[[#This Row],[Losing Candidate]]</f>
        <v>-3</v>
      </c>
      <c r="T1433" s="111">
        <f>Audit[[#This Row],[Audit Winning Candidate]]-Audit[[#This Row],[Winning Candidate]]</f>
        <v>-8</v>
      </c>
      <c r="U1433" s="111">
        <f>Audit[[#This Row],[Audit Candidate 3]]-Audit[[#This Row],[Candidate 3]]</f>
        <v>-1</v>
      </c>
      <c r="V1433" s="111">
        <f>Audit[[#This Row],[Audit Candidate 4]]-Audit[[#This Row],[Candidate 4]]</f>
        <v>-1</v>
      </c>
      <c r="W1433" s="111">
        <f>Audit[[#This Row],[Audit Candidate 5]]-Audit[[#This Row],[Candidate 5]]</f>
        <v>0</v>
      </c>
      <c r="X1433" s="111">
        <f>Audit[[#This Row],[Audit Candidate 6]]-Audit[[#This Row],[Candidate 6]]</f>
        <v>0</v>
      </c>
      <c r="Y1433" s="111">
        <f>SUMIF(Audit[[#This Row],[Difference Loser]:[Difference Candidate 6]], "&gt;0")</f>
        <v>0</v>
      </c>
      <c r="Z1433" s="111">
        <f>SUM(Audit[[#This Row],[Difference Loser]:[Difference Candidate 6]])</f>
        <v>-13</v>
      </c>
      <c r="AA1433" s="111">
        <f>IF(Audit[[#This Row],[Times p Drawn - With Replacement]]&gt;0, IF(Audit[[#This Row],[Canceled Differences]]&lt;0, Audit[[#This Row],[Max Differences]]+ABS(Audit[[#This Row],[Canceled Differences]]), Audit[[#This Row],[Max Differences]]), 0)</f>
        <v>0</v>
      </c>
      <c r="AB1433" s="111">
        <f>'Sampling Data'!P1426</f>
        <v>1.1024007839294464E-3</v>
      </c>
      <c r="AC1433" s="111">
        <f>IF(
      SUM(Audit[[#This Row],[Audit Losing Candidate]:[Audit Candidate 6]])
      &lt;&gt;0,
      (Audit[[#This Row],[Winning Candidate]]-Audit[[#This Row],[Losing Candidate]]-(Audit[[#This Row],[Audit Winning Candidate]]-Audit[[#This Row],[Audit Losing Candidate]]))/(Audit[[#Totals],[Winning Candidate]]-Audit[[#Totals],[Losing Candidate]]),
      0
)</f>
        <v>0</v>
      </c>
      <c r="AD14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3" s="111">
        <f>IF(Audit[[#This Row],[Max Relative Error (ep)]] = 0, 0, Audit[[#This Row],[Max Relative Error (ep)]]/Audit[[#This Row],[Error Bound (up) - Max. possible relative overstatement]])</f>
        <v>0</v>
      </c>
      <c r="AJ14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33" s="111">
        <f t="shared" si="22"/>
        <v>1</v>
      </c>
      <c r="AL1433" s="111">
        <f>PRODUCT($AK$5:AK1433)</f>
        <v>8.962823818226312E-2</v>
      </c>
      <c r="AM1433" s="109">
        <f>1 - [K-M P Value]</f>
        <v>0.91037176181773694</v>
      </c>
      <c r="AN1433" s="111" t="str">
        <f>IF(Audit[[#This Row],[K-M P Value]]&gt;1-'General Info'!$B$16,"Continue", "Stop")</f>
        <v>Stop</v>
      </c>
      <c r="AO1433" s="110" t="b">
        <f>IF(Audit[[#This Row],[Status - Continue or stop audit]] = "Continue", TRUE, IF(AN1432 = "Continue", TRUE, FALSE))</f>
        <v>0</v>
      </c>
      <c r="AP1433" s="110"/>
    </row>
    <row r="1434" spans="1:42" ht="15" hidden="1" customHeight="1">
      <c r="A1434" s="111" t="str">
        <f>'Sampling Data'!W1427</f>
        <v/>
      </c>
      <c r="B1434" s="112" t="str">
        <f>'Sampling Data'!A1427</f>
        <v>MAYFIELD HEIGHTS -00-H</v>
      </c>
      <c r="C1434" s="112">
        <f>'Sampling Data'!B1427</f>
        <v>17</v>
      </c>
      <c r="D1434" s="112">
        <f>'Sampling Data'!C1427</f>
        <v>55</v>
      </c>
      <c r="E1434" s="113">
        <f>'Sampling Data'!D1427</f>
        <v>21</v>
      </c>
      <c r="F1434" s="113">
        <f>'Sampling Data'!E1427</f>
        <v>5</v>
      </c>
      <c r="G1434" s="113">
        <f>'Sampling Data'!F1427</f>
        <v>1</v>
      </c>
      <c r="H1434" s="113">
        <f>'Sampling Data'!G1427</f>
        <v>1</v>
      </c>
      <c r="I1434" s="112">
        <f>'Sampling Data'!H1427</f>
        <v>1</v>
      </c>
      <c r="J1434" s="112">
        <f>'Sampling Data'!I1427</f>
        <v>1</v>
      </c>
      <c r="K1434" s="112">
        <f>'Sampling Data'!J1427</f>
        <v>102</v>
      </c>
      <c r="L1434" s="111">
        <f>'Sampling Data'!X1427</f>
        <v>0</v>
      </c>
      <c r="M1434" s="114"/>
      <c r="N1434" s="114"/>
      <c r="O1434" s="115"/>
      <c r="P1434" s="115"/>
      <c r="Q1434" s="116"/>
      <c r="R1434" s="116"/>
      <c r="S1434" s="111">
        <f>Audit[[#This Row],[Audit Losing Candidate]]-Audit[[#This Row],[Losing Candidate]]</f>
        <v>-17</v>
      </c>
      <c r="T1434" s="111">
        <f>Audit[[#This Row],[Audit Winning Candidate]]-Audit[[#This Row],[Winning Candidate]]</f>
        <v>-55</v>
      </c>
      <c r="U1434" s="111">
        <f>Audit[[#This Row],[Audit Candidate 3]]-Audit[[#This Row],[Candidate 3]]</f>
        <v>-21</v>
      </c>
      <c r="V1434" s="111">
        <f>Audit[[#This Row],[Audit Candidate 4]]-Audit[[#This Row],[Candidate 4]]</f>
        <v>-5</v>
      </c>
      <c r="W1434" s="111">
        <f>Audit[[#This Row],[Audit Candidate 5]]-Audit[[#This Row],[Candidate 5]]</f>
        <v>-1</v>
      </c>
      <c r="X1434" s="111">
        <f>Audit[[#This Row],[Audit Candidate 6]]-Audit[[#This Row],[Candidate 6]]</f>
        <v>-1</v>
      </c>
      <c r="Y1434" s="111">
        <f>SUMIF(Audit[[#This Row],[Difference Loser]:[Difference Candidate 6]], "&gt;0")</f>
        <v>0</v>
      </c>
      <c r="Z1434" s="111">
        <f>SUM(Audit[[#This Row],[Difference Loser]:[Difference Candidate 6]])</f>
        <v>-100</v>
      </c>
      <c r="AA1434" s="111">
        <f>IF(Audit[[#This Row],[Times p Drawn - With Replacement]]&gt;0, IF(Audit[[#This Row],[Canceled Differences]]&lt;0, Audit[[#This Row],[Max Differences]]+ABS(Audit[[#This Row],[Canceled Differences]]), Audit[[#This Row],[Max Differences]]), 0)</f>
        <v>0</v>
      </c>
      <c r="AB1434" s="111">
        <f>'Sampling Data'!P1427</f>
        <v>8.5742283194512499E-3</v>
      </c>
      <c r="AC1434" s="111">
        <f>IF(
      SUM(Audit[[#This Row],[Audit Losing Candidate]:[Audit Candidate 6]])
      &lt;&gt;0,
      (Audit[[#This Row],[Winning Candidate]]-Audit[[#This Row],[Losing Candidate]]-(Audit[[#This Row],[Audit Winning Candidate]]-Audit[[#This Row],[Audit Losing Candidate]]))/(Audit[[#Totals],[Winning Candidate]]-Audit[[#Totals],[Losing Candidate]]),
      0
)</f>
        <v>0</v>
      </c>
      <c r="AD14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4" s="111">
        <f>IF(Audit[[#This Row],[Max Relative Error (ep)]] = 0, 0, Audit[[#This Row],[Max Relative Error (ep)]]/Audit[[#This Row],[Error Bound (up) - Max. possible relative overstatement]])</f>
        <v>0</v>
      </c>
      <c r="AJ14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34" s="111">
        <f t="shared" si="22"/>
        <v>1</v>
      </c>
      <c r="AL1434" s="111">
        <f>PRODUCT($AK$5:AK1434)</f>
        <v>8.962823818226312E-2</v>
      </c>
      <c r="AM1434" s="109">
        <f>1 - [K-M P Value]</f>
        <v>0.91037176181773694</v>
      </c>
      <c r="AN1434" s="111" t="str">
        <f>IF(Audit[[#This Row],[K-M P Value]]&gt;1-'General Info'!$B$16,"Continue", "Stop")</f>
        <v>Stop</v>
      </c>
      <c r="AO1434" s="110" t="b">
        <f>IF(Audit[[#This Row],[Status - Continue or stop audit]] = "Continue", TRUE, IF(AN1433 = "Continue", TRUE, FALSE))</f>
        <v>0</v>
      </c>
      <c r="AP1434" s="110"/>
    </row>
    <row r="1435" spans="1:42" ht="15" hidden="1" customHeight="1">
      <c r="A1435" s="111" t="str">
        <f>'Sampling Data'!W1428</f>
        <v/>
      </c>
      <c r="B1435" s="112" t="str">
        <f>'Sampling Data'!A1428</f>
        <v>MAYFIELD HEIGHTS -00-H - ABS</v>
      </c>
      <c r="C1435" s="112">
        <f>'Sampling Data'!B1428</f>
        <v>11</v>
      </c>
      <c r="D1435" s="112">
        <f>'Sampling Data'!C1428</f>
        <v>16</v>
      </c>
      <c r="E1435" s="113">
        <f>'Sampling Data'!D1428</f>
        <v>8</v>
      </c>
      <c r="F1435" s="113">
        <f>'Sampling Data'!E1428</f>
        <v>4</v>
      </c>
      <c r="G1435" s="113">
        <f>'Sampling Data'!F1428</f>
        <v>0</v>
      </c>
      <c r="H1435" s="113">
        <f>'Sampling Data'!G1428</f>
        <v>1</v>
      </c>
      <c r="I1435" s="112">
        <f>'Sampling Data'!H1428</f>
        <v>0</v>
      </c>
      <c r="J1435" s="112">
        <f>'Sampling Data'!I1428</f>
        <v>1</v>
      </c>
      <c r="K1435" s="112">
        <f>'Sampling Data'!J1428</f>
        <v>41</v>
      </c>
      <c r="L1435" s="111">
        <f>'Sampling Data'!X1428</f>
        <v>0</v>
      </c>
      <c r="M1435" s="114"/>
      <c r="N1435" s="114"/>
      <c r="O1435" s="115"/>
      <c r="P1435" s="115"/>
      <c r="Q1435" s="116"/>
      <c r="R1435" s="116"/>
      <c r="S1435" s="111">
        <f>Audit[[#This Row],[Audit Losing Candidate]]-Audit[[#This Row],[Losing Candidate]]</f>
        <v>-11</v>
      </c>
      <c r="T1435" s="111">
        <f>Audit[[#This Row],[Audit Winning Candidate]]-Audit[[#This Row],[Winning Candidate]]</f>
        <v>-16</v>
      </c>
      <c r="U1435" s="111">
        <f>Audit[[#This Row],[Audit Candidate 3]]-Audit[[#This Row],[Candidate 3]]</f>
        <v>-8</v>
      </c>
      <c r="V1435" s="111">
        <f>Audit[[#This Row],[Audit Candidate 4]]-Audit[[#This Row],[Candidate 4]]</f>
        <v>-4</v>
      </c>
      <c r="W1435" s="111">
        <f>Audit[[#This Row],[Audit Candidate 5]]-Audit[[#This Row],[Candidate 5]]</f>
        <v>0</v>
      </c>
      <c r="X1435" s="111">
        <f>Audit[[#This Row],[Audit Candidate 6]]-Audit[[#This Row],[Candidate 6]]</f>
        <v>-1</v>
      </c>
      <c r="Y1435" s="111">
        <f>SUMIF(Audit[[#This Row],[Difference Loser]:[Difference Candidate 6]], "&gt;0")</f>
        <v>0</v>
      </c>
      <c r="Z1435" s="111">
        <f>SUM(Audit[[#This Row],[Difference Loser]:[Difference Candidate 6]])</f>
        <v>-40</v>
      </c>
      <c r="AA1435" s="111">
        <f>IF(Audit[[#This Row],[Times p Drawn - With Replacement]]&gt;0, IF(Audit[[#This Row],[Canceled Differences]]&lt;0, Audit[[#This Row],[Max Differences]]+ABS(Audit[[#This Row],[Canceled Differences]]), Audit[[#This Row],[Max Differences]]), 0)</f>
        <v>0</v>
      </c>
      <c r="AB1435" s="111">
        <f>'Sampling Data'!P1428</f>
        <v>2.8172464478196961E-3</v>
      </c>
      <c r="AC1435" s="111">
        <f>IF(
      SUM(Audit[[#This Row],[Audit Losing Candidate]:[Audit Candidate 6]])
      &lt;&gt;0,
      (Audit[[#This Row],[Winning Candidate]]-Audit[[#This Row],[Losing Candidate]]-(Audit[[#This Row],[Audit Winning Candidate]]-Audit[[#This Row],[Audit Losing Candidate]]))/(Audit[[#Totals],[Winning Candidate]]-Audit[[#Totals],[Losing Candidate]]),
      0
)</f>
        <v>0</v>
      </c>
      <c r="AD14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5" s="111">
        <f>IF(Audit[[#This Row],[Max Relative Error (ep)]] = 0, 0, Audit[[#This Row],[Max Relative Error (ep)]]/Audit[[#This Row],[Error Bound (up) - Max. possible relative overstatement]])</f>
        <v>0</v>
      </c>
      <c r="AJ14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35" s="111">
        <f t="shared" si="22"/>
        <v>1</v>
      </c>
      <c r="AL1435" s="111">
        <f>PRODUCT($AK$5:AK1435)</f>
        <v>8.962823818226312E-2</v>
      </c>
      <c r="AM1435" s="109">
        <f>1 - [K-M P Value]</f>
        <v>0.91037176181773694</v>
      </c>
      <c r="AN1435" s="111" t="str">
        <f>IF(Audit[[#This Row],[K-M P Value]]&gt;1-'General Info'!$B$16,"Continue", "Stop")</f>
        <v>Stop</v>
      </c>
      <c r="AO1435" s="110" t="b">
        <f>IF(Audit[[#This Row],[Status - Continue or stop audit]] = "Continue", TRUE, IF(AN1434 = "Continue", TRUE, FALSE))</f>
        <v>0</v>
      </c>
      <c r="AP1435" s="110"/>
    </row>
    <row r="1436" spans="1:42" ht="15" hidden="1" customHeight="1">
      <c r="A1436" s="111" t="str">
        <f>'Sampling Data'!W1429</f>
        <v/>
      </c>
      <c r="B1436" s="112" t="str">
        <f>'Sampling Data'!A1429</f>
        <v>MAYFIELD HEIGHTS -00-I</v>
      </c>
      <c r="C1436" s="112">
        <f>'Sampling Data'!B1429</f>
        <v>4</v>
      </c>
      <c r="D1436" s="112">
        <f>'Sampling Data'!C1429</f>
        <v>4</v>
      </c>
      <c r="E1436" s="113">
        <f>'Sampling Data'!D1429</f>
        <v>4</v>
      </c>
      <c r="F1436" s="113">
        <f>'Sampling Data'!E1429</f>
        <v>2</v>
      </c>
      <c r="G1436" s="113">
        <f>'Sampling Data'!F1429</f>
        <v>0</v>
      </c>
      <c r="H1436" s="113">
        <f>'Sampling Data'!G1429</f>
        <v>0</v>
      </c>
      <c r="I1436" s="112">
        <f>'Sampling Data'!H1429</f>
        <v>0</v>
      </c>
      <c r="J1436" s="112">
        <f>'Sampling Data'!I1429</f>
        <v>2</v>
      </c>
      <c r="K1436" s="112">
        <f>'Sampling Data'!J1429</f>
        <v>16</v>
      </c>
      <c r="L1436" s="111">
        <f>'Sampling Data'!X1429</f>
        <v>0</v>
      </c>
      <c r="M1436" s="114"/>
      <c r="N1436" s="114"/>
      <c r="O1436" s="115"/>
      <c r="P1436" s="115"/>
      <c r="Q1436" s="116"/>
      <c r="R1436" s="116"/>
      <c r="S1436" s="111">
        <f>Audit[[#This Row],[Audit Losing Candidate]]-Audit[[#This Row],[Losing Candidate]]</f>
        <v>-4</v>
      </c>
      <c r="T1436" s="111">
        <f>Audit[[#This Row],[Audit Winning Candidate]]-Audit[[#This Row],[Winning Candidate]]</f>
        <v>-4</v>
      </c>
      <c r="U1436" s="111">
        <f>Audit[[#This Row],[Audit Candidate 3]]-Audit[[#This Row],[Candidate 3]]</f>
        <v>-4</v>
      </c>
      <c r="V1436" s="111">
        <f>Audit[[#This Row],[Audit Candidate 4]]-Audit[[#This Row],[Candidate 4]]</f>
        <v>-2</v>
      </c>
      <c r="W1436" s="111">
        <f>Audit[[#This Row],[Audit Candidate 5]]-Audit[[#This Row],[Candidate 5]]</f>
        <v>0</v>
      </c>
      <c r="X1436" s="111">
        <f>Audit[[#This Row],[Audit Candidate 6]]-Audit[[#This Row],[Candidate 6]]</f>
        <v>0</v>
      </c>
      <c r="Y1436" s="111">
        <f>SUMIF(Audit[[#This Row],[Difference Loser]:[Difference Candidate 6]], "&gt;0")</f>
        <v>0</v>
      </c>
      <c r="Z1436" s="111">
        <f>SUM(Audit[[#This Row],[Difference Loser]:[Difference Candidate 6]])</f>
        <v>-14</v>
      </c>
      <c r="AA1436" s="111">
        <f>IF(Audit[[#This Row],[Times p Drawn - With Replacement]]&gt;0, IF(Audit[[#This Row],[Canceled Differences]]&lt;0, Audit[[#This Row],[Max Differences]]+ABS(Audit[[#This Row],[Canceled Differences]]), Audit[[#This Row],[Max Differences]]), 0)</f>
        <v>0</v>
      </c>
      <c r="AB1436" s="111">
        <f>'Sampling Data'!P1429</f>
        <v>9.7991180793728563E-4</v>
      </c>
      <c r="AC1436" s="111">
        <f>IF(
      SUM(Audit[[#This Row],[Audit Losing Candidate]:[Audit Candidate 6]])
      &lt;&gt;0,
      (Audit[[#This Row],[Winning Candidate]]-Audit[[#This Row],[Losing Candidate]]-(Audit[[#This Row],[Audit Winning Candidate]]-Audit[[#This Row],[Audit Losing Candidate]]))/(Audit[[#Totals],[Winning Candidate]]-Audit[[#Totals],[Losing Candidate]]),
      0
)</f>
        <v>0</v>
      </c>
      <c r="AD14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6" s="111">
        <f>IF(Audit[[#This Row],[Max Relative Error (ep)]] = 0, 0, Audit[[#This Row],[Max Relative Error (ep)]]/Audit[[#This Row],[Error Bound (up) - Max. possible relative overstatement]])</f>
        <v>0</v>
      </c>
      <c r="AJ14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36" s="111">
        <f t="shared" si="22"/>
        <v>1</v>
      </c>
      <c r="AL1436" s="111">
        <f>PRODUCT($AK$5:AK1436)</f>
        <v>8.962823818226312E-2</v>
      </c>
      <c r="AM1436" s="109">
        <f>1 - [K-M P Value]</f>
        <v>0.91037176181773694</v>
      </c>
      <c r="AN1436" s="111" t="str">
        <f>IF(Audit[[#This Row],[K-M P Value]]&gt;1-'General Info'!$B$16,"Continue", "Stop")</f>
        <v>Stop</v>
      </c>
      <c r="AO1436" s="110" t="b">
        <f>IF(Audit[[#This Row],[Status - Continue or stop audit]] = "Continue", TRUE, IF(AN1435 = "Continue", TRUE, FALSE))</f>
        <v>0</v>
      </c>
      <c r="AP1436" s="110"/>
    </row>
    <row r="1437" spans="1:42" ht="15" hidden="1" customHeight="1">
      <c r="A1437" s="111" t="str">
        <f>'Sampling Data'!W1430</f>
        <v/>
      </c>
      <c r="B1437" s="112" t="str">
        <f>'Sampling Data'!A1430</f>
        <v>MAYFIELD HEIGHTS -00-I - ABS</v>
      </c>
      <c r="C1437" s="112">
        <f>'Sampling Data'!B1430</f>
        <v>2</v>
      </c>
      <c r="D1437" s="112">
        <f>'Sampling Data'!C1430</f>
        <v>4</v>
      </c>
      <c r="E1437" s="113">
        <f>'Sampling Data'!D1430</f>
        <v>1</v>
      </c>
      <c r="F1437" s="113">
        <f>'Sampling Data'!E1430</f>
        <v>0</v>
      </c>
      <c r="G1437" s="113">
        <f>'Sampling Data'!F1430</f>
        <v>0</v>
      </c>
      <c r="H1437" s="113">
        <f>'Sampling Data'!G1430</f>
        <v>0</v>
      </c>
      <c r="I1437" s="112">
        <f>'Sampling Data'!H1430</f>
        <v>0</v>
      </c>
      <c r="J1437" s="112">
        <f>'Sampling Data'!I1430</f>
        <v>0</v>
      </c>
      <c r="K1437" s="112">
        <f>'Sampling Data'!J1430</f>
        <v>7</v>
      </c>
      <c r="L1437" s="111">
        <f>'Sampling Data'!X1430</f>
        <v>0</v>
      </c>
      <c r="M1437" s="114"/>
      <c r="N1437" s="114"/>
      <c r="O1437" s="115"/>
      <c r="P1437" s="115"/>
      <c r="Q1437" s="116"/>
      <c r="R1437" s="116"/>
      <c r="S1437" s="111">
        <f>Audit[[#This Row],[Audit Losing Candidate]]-Audit[[#This Row],[Losing Candidate]]</f>
        <v>-2</v>
      </c>
      <c r="T1437" s="111">
        <f>Audit[[#This Row],[Audit Winning Candidate]]-Audit[[#This Row],[Winning Candidate]]</f>
        <v>-4</v>
      </c>
      <c r="U1437" s="111">
        <f>Audit[[#This Row],[Audit Candidate 3]]-Audit[[#This Row],[Candidate 3]]</f>
        <v>-1</v>
      </c>
      <c r="V1437" s="111">
        <f>Audit[[#This Row],[Audit Candidate 4]]-Audit[[#This Row],[Candidate 4]]</f>
        <v>0</v>
      </c>
      <c r="W1437" s="111">
        <f>Audit[[#This Row],[Audit Candidate 5]]-Audit[[#This Row],[Candidate 5]]</f>
        <v>0</v>
      </c>
      <c r="X1437" s="111">
        <f>Audit[[#This Row],[Audit Candidate 6]]-Audit[[#This Row],[Candidate 6]]</f>
        <v>0</v>
      </c>
      <c r="Y1437" s="111">
        <f>SUMIF(Audit[[#This Row],[Difference Loser]:[Difference Candidate 6]], "&gt;0")</f>
        <v>0</v>
      </c>
      <c r="Z1437" s="111">
        <f>SUM(Audit[[#This Row],[Difference Loser]:[Difference Candidate 6]])</f>
        <v>-7</v>
      </c>
      <c r="AA1437" s="111">
        <f>IF(Audit[[#This Row],[Times p Drawn - With Replacement]]&gt;0, IF(Audit[[#This Row],[Canceled Differences]]&lt;0, Audit[[#This Row],[Max Differences]]+ABS(Audit[[#This Row],[Canceled Differences]]), Audit[[#This Row],[Max Differences]]), 0)</f>
        <v>0</v>
      </c>
      <c r="AB1437" s="111">
        <f>'Sampling Data'!P1430</f>
        <v>5.5120039196472322E-4</v>
      </c>
      <c r="AC1437" s="111">
        <f>IF(
      SUM(Audit[[#This Row],[Audit Losing Candidate]:[Audit Candidate 6]])
      &lt;&gt;0,
      (Audit[[#This Row],[Winning Candidate]]-Audit[[#This Row],[Losing Candidate]]-(Audit[[#This Row],[Audit Winning Candidate]]-Audit[[#This Row],[Audit Losing Candidate]]))/(Audit[[#Totals],[Winning Candidate]]-Audit[[#Totals],[Losing Candidate]]),
      0
)</f>
        <v>0</v>
      </c>
      <c r="AD14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7" s="111">
        <f>IF(Audit[[#This Row],[Max Relative Error (ep)]] = 0, 0, Audit[[#This Row],[Max Relative Error (ep)]]/Audit[[#This Row],[Error Bound (up) - Max. possible relative overstatement]])</f>
        <v>0</v>
      </c>
      <c r="AJ14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37" s="111">
        <f t="shared" si="22"/>
        <v>1</v>
      </c>
      <c r="AL1437" s="111">
        <f>PRODUCT($AK$5:AK1437)</f>
        <v>8.962823818226312E-2</v>
      </c>
      <c r="AM1437" s="109">
        <f>1 - [K-M P Value]</f>
        <v>0.91037176181773694</v>
      </c>
      <c r="AN1437" s="111" t="str">
        <f>IF(Audit[[#This Row],[K-M P Value]]&gt;1-'General Info'!$B$16,"Continue", "Stop")</f>
        <v>Stop</v>
      </c>
      <c r="AO1437" s="110" t="b">
        <f>IF(Audit[[#This Row],[Status - Continue or stop audit]] = "Continue", TRUE, IF(AN1436 = "Continue", TRUE, FALSE))</f>
        <v>0</v>
      </c>
      <c r="AP1437" s="110"/>
    </row>
    <row r="1438" spans="1:42" ht="15" hidden="1" customHeight="1">
      <c r="A1438" s="111" t="str">
        <f>'Sampling Data'!W1431</f>
        <v/>
      </c>
      <c r="B1438" s="112" t="str">
        <f>'Sampling Data'!A1431</f>
        <v>MAYFIELD HEIGHTS -00-J</v>
      </c>
      <c r="C1438" s="112">
        <f>'Sampling Data'!B1431</f>
        <v>6</v>
      </c>
      <c r="D1438" s="112">
        <f>'Sampling Data'!C1431</f>
        <v>15</v>
      </c>
      <c r="E1438" s="113">
        <f>'Sampling Data'!D1431</f>
        <v>5</v>
      </c>
      <c r="F1438" s="113">
        <f>'Sampling Data'!E1431</f>
        <v>7</v>
      </c>
      <c r="G1438" s="113">
        <f>'Sampling Data'!F1431</f>
        <v>0</v>
      </c>
      <c r="H1438" s="113">
        <f>'Sampling Data'!G1431</f>
        <v>0</v>
      </c>
      <c r="I1438" s="112">
        <f>'Sampling Data'!H1431</f>
        <v>0</v>
      </c>
      <c r="J1438" s="112">
        <f>'Sampling Data'!I1431</f>
        <v>0</v>
      </c>
      <c r="K1438" s="112">
        <f>'Sampling Data'!J1431</f>
        <v>33</v>
      </c>
      <c r="L1438" s="111">
        <f>'Sampling Data'!X1431</f>
        <v>0</v>
      </c>
      <c r="M1438" s="114"/>
      <c r="N1438" s="114"/>
      <c r="O1438" s="115"/>
      <c r="P1438" s="115"/>
      <c r="Q1438" s="116"/>
      <c r="R1438" s="116"/>
      <c r="S1438" s="111">
        <f>Audit[[#This Row],[Audit Losing Candidate]]-Audit[[#This Row],[Losing Candidate]]</f>
        <v>-6</v>
      </c>
      <c r="T1438" s="111">
        <f>Audit[[#This Row],[Audit Winning Candidate]]-Audit[[#This Row],[Winning Candidate]]</f>
        <v>-15</v>
      </c>
      <c r="U1438" s="111">
        <f>Audit[[#This Row],[Audit Candidate 3]]-Audit[[#This Row],[Candidate 3]]</f>
        <v>-5</v>
      </c>
      <c r="V1438" s="111">
        <f>Audit[[#This Row],[Audit Candidate 4]]-Audit[[#This Row],[Candidate 4]]</f>
        <v>-7</v>
      </c>
      <c r="W1438" s="111">
        <f>Audit[[#This Row],[Audit Candidate 5]]-Audit[[#This Row],[Candidate 5]]</f>
        <v>0</v>
      </c>
      <c r="X1438" s="111">
        <f>Audit[[#This Row],[Audit Candidate 6]]-Audit[[#This Row],[Candidate 6]]</f>
        <v>0</v>
      </c>
      <c r="Y1438" s="111">
        <f>SUMIF(Audit[[#This Row],[Difference Loser]:[Difference Candidate 6]], "&gt;0")</f>
        <v>0</v>
      </c>
      <c r="Z1438" s="111">
        <f>SUM(Audit[[#This Row],[Difference Loser]:[Difference Candidate 6]])</f>
        <v>-33</v>
      </c>
      <c r="AA1438" s="111">
        <f>IF(Audit[[#This Row],[Times p Drawn - With Replacement]]&gt;0, IF(Audit[[#This Row],[Canceled Differences]]&lt;0, Audit[[#This Row],[Max Differences]]+ABS(Audit[[#This Row],[Canceled Differences]]), Audit[[#This Row],[Max Differences]]), 0)</f>
        <v>0</v>
      </c>
      <c r="AB1438" s="111">
        <f>'Sampling Data'!P1431</f>
        <v>2.5722684958353749E-3</v>
      </c>
      <c r="AC1438" s="111">
        <f>IF(
      SUM(Audit[[#This Row],[Audit Losing Candidate]:[Audit Candidate 6]])
      &lt;&gt;0,
      (Audit[[#This Row],[Winning Candidate]]-Audit[[#This Row],[Losing Candidate]]-(Audit[[#This Row],[Audit Winning Candidate]]-Audit[[#This Row],[Audit Losing Candidate]]))/(Audit[[#Totals],[Winning Candidate]]-Audit[[#Totals],[Losing Candidate]]),
      0
)</f>
        <v>0</v>
      </c>
      <c r="AD14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8" s="111">
        <f>IF(Audit[[#This Row],[Max Relative Error (ep)]] = 0, 0, Audit[[#This Row],[Max Relative Error (ep)]]/Audit[[#This Row],[Error Bound (up) - Max. possible relative overstatement]])</f>
        <v>0</v>
      </c>
      <c r="AJ14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38" s="111">
        <f t="shared" si="22"/>
        <v>1</v>
      </c>
      <c r="AL1438" s="111">
        <f>PRODUCT($AK$5:AK1438)</f>
        <v>8.962823818226312E-2</v>
      </c>
      <c r="AM1438" s="109">
        <f>1 - [K-M P Value]</f>
        <v>0.91037176181773694</v>
      </c>
      <c r="AN1438" s="111" t="str">
        <f>IF(Audit[[#This Row],[K-M P Value]]&gt;1-'General Info'!$B$16,"Continue", "Stop")</f>
        <v>Stop</v>
      </c>
      <c r="AO1438" s="110" t="b">
        <f>IF(Audit[[#This Row],[Status - Continue or stop audit]] = "Continue", TRUE, IF(AN1437 = "Continue", TRUE, FALSE))</f>
        <v>0</v>
      </c>
      <c r="AP1438" s="110"/>
    </row>
    <row r="1439" spans="1:42" ht="15" hidden="1" customHeight="1">
      <c r="A1439" s="111" t="str">
        <f>'Sampling Data'!W1432</f>
        <v/>
      </c>
      <c r="B1439" s="112" t="str">
        <f>'Sampling Data'!A1432</f>
        <v>MAYFIELD HEIGHTS -00-J - ABS</v>
      </c>
      <c r="C1439" s="112">
        <f>'Sampling Data'!B1432</f>
        <v>1</v>
      </c>
      <c r="D1439" s="112">
        <f>'Sampling Data'!C1432</f>
        <v>3</v>
      </c>
      <c r="E1439" s="113">
        <f>'Sampling Data'!D1432</f>
        <v>0</v>
      </c>
      <c r="F1439" s="113">
        <f>'Sampling Data'!E1432</f>
        <v>0</v>
      </c>
      <c r="G1439" s="113">
        <f>'Sampling Data'!F1432</f>
        <v>0</v>
      </c>
      <c r="H1439" s="113">
        <f>'Sampling Data'!G1432</f>
        <v>0</v>
      </c>
      <c r="I1439" s="112">
        <f>'Sampling Data'!H1432</f>
        <v>0</v>
      </c>
      <c r="J1439" s="112">
        <f>'Sampling Data'!I1432</f>
        <v>0</v>
      </c>
      <c r="K1439" s="112">
        <f>'Sampling Data'!J1432</f>
        <v>4</v>
      </c>
      <c r="L1439" s="111">
        <f>'Sampling Data'!X1432</f>
        <v>0</v>
      </c>
      <c r="M1439" s="114"/>
      <c r="N1439" s="114"/>
      <c r="O1439" s="115"/>
      <c r="P1439" s="115"/>
      <c r="Q1439" s="116"/>
      <c r="R1439" s="116"/>
      <c r="S1439" s="111">
        <f>Audit[[#This Row],[Audit Losing Candidate]]-Audit[[#This Row],[Losing Candidate]]</f>
        <v>-1</v>
      </c>
      <c r="T1439" s="111">
        <f>Audit[[#This Row],[Audit Winning Candidate]]-Audit[[#This Row],[Winning Candidate]]</f>
        <v>-3</v>
      </c>
      <c r="U1439" s="111">
        <f>Audit[[#This Row],[Audit Candidate 3]]-Audit[[#This Row],[Candidate 3]]</f>
        <v>0</v>
      </c>
      <c r="V1439" s="111">
        <f>Audit[[#This Row],[Audit Candidate 4]]-Audit[[#This Row],[Candidate 4]]</f>
        <v>0</v>
      </c>
      <c r="W1439" s="111">
        <f>Audit[[#This Row],[Audit Candidate 5]]-Audit[[#This Row],[Candidate 5]]</f>
        <v>0</v>
      </c>
      <c r="X1439" s="111">
        <f>Audit[[#This Row],[Audit Candidate 6]]-Audit[[#This Row],[Candidate 6]]</f>
        <v>0</v>
      </c>
      <c r="Y1439" s="111">
        <f>SUMIF(Audit[[#This Row],[Difference Loser]:[Difference Candidate 6]], "&gt;0")</f>
        <v>0</v>
      </c>
      <c r="Z1439" s="111">
        <f>SUM(Audit[[#This Row],[Difference Loser]:[Difference Candidate 6]])</f>
        <v>-4</v>
      </c>
      <c r="AA1439" s="111">
        <f>IF(Audit[[#This Row],[Times p Drawn - With Replacement]]&gt;0, IF(Audit[[#This Row],[Canceled Differences]]&lt;0, Audit[[#This Row],[Max Differences]]+ABS(Audit[[#This Row],[Canceled Differences]]), Audit[[#This Row],[Max Differences]]), 0)</f>
        <v>0</v>
      </c>
      <c r="AB1439" s="111">
        <f>'Sampling Data'!P1432</f>
        <v>3.6746692797648211E-4</v>
      </c>
      <c r="AC1439" s="111">
        <f>IF(
      SUM(Audit[[#This Row],[Audit Losing Candidate]:[Audit Candidate 6]])
      &lt;&gt;0,
      (Audit[[#This Row],[Winning Candidate]]-Audit[[#This Row],[Losing Candidate]]-(Audit[[#This Row],[Audit Winning Candidate]]-Audit[[#This Row],[Audit Losing Candidate]]))/(Audit[[#Totals],[Winning Candidate]]-Audit[[#Totals],[Losing Candidate]]),
      0
)</f>
        <v>0</v>
      </c>
      <c r="AD14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9" s="111">
        <f>IF(Audit[[#This Row],[Max Relative Error (ep)]] = 0, 0, Audit[[#This Row],[Max Relative Error (ep)]]/Audit[[#This Row],[Error Bound (up) - Max. possible relative overstatement]])</f>
        <v>0</v>
      </c>
      <c r="AJ14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39" s="111">
        <f t="shared" si="22"/>
        <v>1</v>
      </c>
      <c r="AL1439" s="111">
        <f>PRODUCT($AK$5:AK1439)</f>
        <v>8.962823818226312E-2</v>
      </c>
      <c r="AM1439" s="109">
        <f>1 - [K-M P Value]</f>
        <v>0.91037176181773694</v>
      </c>
      <c r="AN1439" s="111" t="str">
        <f>IF(Audit[[#This Row],[K-M P Value]]&gt;1-'General Info'!$B$16,"Continue", "Stop")</f>
        <v>Stop</v>
      </c>
      <c r="AO1439" s="110" t="b">
        <f>IF(Audit[[#This Row],[Status - Continue or stop audit]] = "Continue", TRUE, IF(AN1438 = "Continue", TRUE, FALSE))</f>
        <v>0</v>
      </c>
      <c r="AP1439" s="110"/>
    </row>
    <row r="1440" spans="1:42" ht="15" hidden="1" customHeight="1">
      <c r="A1440" s="111" t="str">
        <f>'Sampling Data'!W1433</f>
        <v/>
      </c>
      <c r="B1440" s="112" t="str">
        <f>'Sampling Data'!A1433</f>
        <v>MAYFIELD HEIGHTS -00-K</v>
      </c>
      <c r="C1440" s="112">
        <f>'Sampling Data'!B1433</f>
        <v>27</v>
      </c>
      <c r="D1440" s="112">
        <f>'Sampling Data'!C1433</f>
        <v>35</v>
      </c>
      <c r="E1440" s="113">
        <f>'Sampling Data'!D1433</f>
        <v>8</v>
      </c>
      <c r="F1440" s="113">
        <f>'Sampling Data'!E1433</f>
        <v>9</v>
      </c>
      <c r="G1440" s="113">
        <f>'Sampling Data'!F1433</f>
        <v>0</v>
      </c>
      <c r="H1440" s="113">
        <f>'Sampling Data'!G1433</f>
        <v>0</v>
      </c>
      <c r="I1440" s="112">
        <f>'Sampling Data'!H1433</f>
        <v>0</v>
      </c>
      <c r="J1440" s="112">
        <f>'Sampling Data'!I1433</f>
        <v>1</v>
      </c>
      <c r="K1440" s="112">
        <f>'Sampling Data'!J1433</f>
        <v>80</v>
      </c>
      <c r="L1440" s="111">
        <f>'Sampling Data'!X1433</f>
        <v>0</v>
      </c>
      <c r="M1440" s="114"/>
      <c r="N1440" s="114"/>
      <c r="O1440" s="115"/>
      <c r="P1440" s="115"/>
      <c r="Q1440" s="116"/>
      <c r="R1440" s="116"/>
      <c r="S1440" s="111">
        <f>Audit[[#This Row],[Audit Losing Candidate]]-Audit[[#This Row],[Losing Candidate]]</f>
        <v>-27</v>
      </c>
      <c r="T1440" s="111">
        <f>Audit[[#This Row],[Audit Winning Candidate]]-Audit[[#This Row],[Winning Candidate]]</f>
        <v>-35</v>
      </c>
      <c r="U1440" s="111">
        <f>Audit[[#This Row],[Audit Candidate 3]]-Audit[[#This Row],[Candidate 3]]</f>
        <v>-8</v>
      </c>
      <c r="V1440" s="111">
        <f>Audit[[#This Row],[Audit Candidate 4]]-Audit[[#This Row],[Candidate 4]]</f>
        <v>-9</v>
      </c>
      <c r="W1440" s="111">
        <f>Audit[[#This Row],[Audit Candidate 5]]-Audit[[#This Row],[Candidate 5]]</f>
        <v>0</v>
      </c>
      <c r="X1440" s="111">
        <f>Audit[[#This Row],[Audit Candidate 6]]-Audit[[#This Row],[Candidate 6]]</f>
        <v>0</v>
      </c>
      <c r="Y1440" s="111">
        <f>SUMIF(Audit[[#This Row],[Difference Loser]:[Difference Candidate 6]], "&gt;0")</f>
        <v>0</v>
      </c>
      <c r="Z1440" s="111">
        <f>SUM(Audit[[#This Row],[Difference Loser]:[Difference Candidate 6]])</f>
        <v>-79</v>
      </c>
      <c r="AA1440" s="111">
        <f>IF(Audit[[#This Row],[Times p Drawn - With Replacement]]&gt;0, IF(Audit[[#This Row],[Canceled Differences]]&lt;0, Audit[[#This Row],[Max Differences]]+ABS(Audit[[#This Row],[Canceled Differences]]), Audit[[#This Row],[Max Differences]]), 0)</f>
        <v>0</v>
      </c>
      <c r="AB1440" s="111">
        <f>'Sampling Data'!P1433</f>
        <v>5.3895149436550714E-3</v>
      </c>
      <c r="AC1440" s="111">
        <f>IF(
      SUM(Audit[[#This Row],[Audit Losing Candidate]:[Audit Candidate 6]])
      &lt;&gt;0,
      (Audit[[#This Row],[Winning Candidate]]-Audit[[#This Row],[Losing Candidate]]-(Audit[[#This Row],[Audit Winning Candidate]]-Audit[[#This Row],[Audit Losing Candidate]]))/(Audit[[#Totals],[Winning Candidate]]-Audit[[#Totals],[Losing Candidate]]),
      0
)</f>
        <v>0</v>
      </c>
      <c r="AD14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0" s="111">
        <f>IF(Audit[[#This Row],[Max Relative Error (ep)]] = 0, 0, Audit[[#This Row],[Max Relative Error (ep)]]/Audit[[#This Row],[Error Bound (up) - Max. possible relative overstatement]])</f>
        <v>0</v>
      </c>
      <c r="AJ14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40" s="111">
        <f t="shared" si="22"/>
        <v>1</v>
      </c>
      <c r="AL1440" s="111">
        <f>PRODUCT($AK$5:AK1440)</f>
        <v>8.962823818226312E-2</v>
      </c>
      <c r="AM1440" s="109">
        <f>1 - [K-M P Value]</f>
        <v>0.91037176181773694</v>
      </c>
      <c r="AN1440" s="111" t="str">
        <f>IF(Audit[[#This Row],[K-M P Value]]&gt;1-'General Info'!$B$16,"Continue", "Stop")</f>
        <v>Stop</v>
      </c>
      <c r="AO1440" s="110" t="b">
        <f>IF(Audit[[#This Row],[Status - Continue or stop audit]] = "Continue", TRUE, IF(AN1439 = "Continue", TRUE, FALSE))</f>
        <v>0</v>
      </c>
      <c r="AP1440" s="110"/>
    </row>
    <row r="1441" spans="1:42" ht="15" hidden="1" customHeight="1">
      <c r="A1441" s="111" t="str">
        <f>'Sampling Data'!W1434</f>
        <v/>
      </c>
      <c r="B1441" s="112" t="str">
        <f>'Sampling Data'!A1434</f>
        <v>MAYFIELD HEIGHTS -00-K - ABS</v>
      </c>
      <c r="C1441" s="112">
        <f>'Sampling Data'!B1434</f>
        <v>10</v>
      </c>
      <c r="D1441" s="112">
        <f>'Sampling Data'!C1434</f>
        <v>12</v>
      </c>
      <c r="E1441" s="113">
        <f>'Sampling Data'!D1434</f>
        <v>5</v>
      </c>
      <c r="F1441" s="113">
        <f>'Sampling Data'!E1434</f>
        <v>2</v>
      </c>
      <c r="G1441" s="113">
        <f>'Sampling Data'!F1434</f>
        <v>0</v>
      </c>
      <c r="H1441" s="113">
        <f>'Sampling Data'!G1434</f>
        <v>0</v>
      </c>
      <c r="I1441" s="112">
        <f>'Sampling Data'!H1434</f>
        <v>1</v>
      </c>
      <c r="J1441" s="112">
        <f>'Sampling Data'!I1434</f>
        <v>0</v>
      </c>
      <c r="K1441" s="112">
        <f>'Sampling Data'!J1434</f>
        <v>30</v>
      </c>
      <c r="L1441" s="111">
        <f>'Sampling Data'!X1434</f>
        <v>0</v>
      </c>
      <c r="M1441" s="114"/>
      <c r="N1441" s="114"/>
      <c r="O1441" s="115"/>
      <c r="P1441" s="115"/>
      <c r="Q1441" s="116"/>
      <c r="R1441" s="116"/>
      <c r="S1441" s="111">
        <f>Audit[[#This Row],[Audit Losing Candidate]]-Audit[[#This Row],[Losing Candidate]]</f>
        <v>-10</v>
      </c>
      <c r="T1441" s="111">
        <f>Audit[[#This Row],[Audit Winning Candidate]]-Audit[[#This Row],[Winning Candidate]]</f>
        <v>-12</v>
      </c>
      <c r="U1441" s="111">
        <f>Audit[[#This Row],[Audit Candidate 3]]-Audit[[#This Row],[Candidate 3]]</f>
        <v>-5</v>
      </c>
      <c r="V1441" s="111">
        <f>Audit[[#This Row],[Audit Candidate 4]]-Audit[[#This Row],[Candidate 4]]</f>
        <v>-2</v>
      </c>
      <c r="W1441" s="111">
        <f>Audit[[#This Row],[Audit Candidate 5]]-Audit[[#This Row],[Candidate 5]]</f>
        <v>0</v>
      </c>
      <c r="X1441" s="111">
        <f>Audit[[#This Row],[Audit Candidate 6]]-Audit[[#This Row],[Candidate 6]]</f>
        <v>0</v>
      </c>
      <c r="Y1441" s="111">
        <f>SUMIF(Audit[[#This Row],[Difference Loser]:[Difference Candidate 6]], "&gt;0")</f>
        <v>0</v>
      </c>
      <c r="Z1441" s="111">
        <f>SUM(Audit[[#This Row],[Difference Loser]:[Difference Candidate 6]])</f>
        <v>-29</v>
      </c>
      <c r="AA1441" s="111">
        <f>IF(Audit[[#This Row],[Times p Drawn - With Replacement]]&gt;0, IF(Audit[[#This Row],[Canceled Differences]]&lt;0, Audit[[#This Row],[Max Differences]]+ABS(Audit[[#This Row],[Canceled Differences]]), Audit[[#This Row],[Max Differences]]), 0)</f>
        <v>0</v>
      </c>
      <c r="AB1441" s="111">
        <f>'Sampling Data'!P1434</f>
        <v>1.9598236158745713E-3</v>
      </c>
      <c r="AC1441" s="111">
        <f>IF(
      SUM(Audit[[#This Row],[Audit Losing Candidate]:[Audit Candidate 6]])
      &lt;&gt;0,
      (Audit[[#This Row],[Winning Candidate]]-Audit[[#This Row],[Losing Candidate]]-(Audit[[#This Row],[Audit Winning Candidate]]-Audit[[#This Row],[Audit Losing Candidate]]))/(Audit[[#Totals],[Winning Candidate]]-Audit[[#Totals],[Losing Candidate]]),
      0
)</f>
        <v>0</v>
      </c>
      <c r="AD14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1" s="111">
        <f>IF(Audit[[#This Row],[Max Relative Error (ep)]] = 0, 0, Audit[[#This Row],[Max Relative Error (ep)]]/Audit[[#This Row],[Error Bound (up) - Max. possible relative overstatement]])</f>
        <v>0</v>
      </c>
      <c r="AJ14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41" s="111">
        <f t="shared" si="22"/>
        <v>1</v>
      </c>
      <c r="AL1441" s="111">
        <f>PRODUCT($AK$5:AK1441)</f>
        <v>8.962823818226312E-2</v>
      </c>
      <c r="AM1441" s="109">
        <f>1 - [K-M P Value]</f>
        <v>0.91037176181773694</v>
      </c>
      <c r="AN1441" s="111" t="str">
        <f>IF(Audit[[#This Row],[K-M P Value]]&gt;1-'General Info'!$B$16,"Continue", "Stop")</f>
        <v>Stop</v>
      </c>
      <c r="AO1441" s="110" t="b">
        <f>IF(Audit[[#This Row],[Status - Continue or stop audit]] = "Continue", TRUE, IF(AN1440 = "Continue", TRUE, FALSE))</f>
        <v>0</v>
      </c>
      <c r="AP1441" s="110"/>
    </row>
    <row r="1442" spans="1:42" ht="15" hidden="1" customHeight="1">
      <c r="A1442" s="111" t="str">
        <f>'Sampling Data'!W1435</f>
        <v/>
      </c>
      <c r="B1442" s="112" t="str">
        <f>'Sampling Data'!A1435</f>
        <v>MAYFIELD HEIGHTS -00-L</v>
      </c>
      <c r="C1442" s="112">
        <f>'Sampling Data'!B1435</f>
        <v>20</v>
      </c>
      <c r="D1442" s="112">
        <f>'Sampling Data'!C1435</f>
        <v>39</v>
      </c>
      <c r="E1442" s="113">
        <f>'Sampling Data'!D1435</f>
        <v>10</v>
      </c>
      <c r="F1442" s="113">
        <f>'Sampling Data'!E1435</f>
        <v>12</v>
      </c>
      <c r="G1442" s="113">
        <f>'Sampling Data'!F1435</f>
        <v>0</v>
      </c>
      <c r="H1442" s="113">
        <f>'Sampling Data'!G1435</f>
        <v>1</v>
      </c>
      <c r="I1442" s="112">
        <f>'Sampling Data'!H1435</f>
        <v>0</v>
      </c>
      <c r="J1442" s="112">
        <f>'Sampling Data'!I1435</f>
        <v>1</v>
      </c>
      <c r="K1442" s="112">
        <f>'Sampling Data'!J1435</f>
        <v>83</v>
      </c>
      <c r="L1442" s="111">
        <f>'Sampling Data'!X1435</f>
        <v>0</v>
      </c>
      <c r="M1442" s="114"/>
      <c r="N1442" s="114"/>
      <c r="O1442" s="115"/>
      <c r="P1442" s="115"/>
      <c r="Q1442" s="116"/>
      <c r="R1442" s="116"/>
      <c r="S1442" s="111">
        <f>Audit[[#This Row],[Audit Losing Candidate]]-Audit[[#This Row],[Losing Candidate]]</f>
        <v>-20</v>
      </c>
      <c r="T1442" s="111">
        <f>Audit[[#This Row],[Audit Winning Candidate]]-Audit[[#This Row],[Winning Candidate]]</f>
        <v>-39</v>
      </c>
      <c r="U1442" s="111">
        <f>Audit[[#This Row],[Audit Candidate 3]]-Audit[[#This Row],[Candidate 3]]</f>
        <v>-10</v>
      </c>
      <c r="V1442" s="111">
        <f>Audit[[#This Row],[Audit Candidate 4]]-Audit[[#This Row],[Candidate 4]]</f>
        <v>-12</v>
      </c>
      <c r="W1442" s="111">
        <f>Audit[[#This Row],[Audit Candidate 5]]-Audit[[#This Row],[Candidate 5]]</f>
        <v>0</v>
      </c>
      <c r="X1442" s="111">
        <f>Audit[[#This Row],[Audit Candidate 6]]-Audit[[#This Row],[Candidate 6]]</f>
        <v>-1</v>
      </c>
      <c r="Y1442" s="111">
        <f>SUMIF(Audit[[#This Row],[Difference Loser]:[Difference Candidate 6]], "&gt;0")</f>
        <v>0</v>
      </c>
      <c r="Z1442" s="111">
        <f>SUM(Audit[[#This Row],[Difference Loser]:[Difference Candidate 6]])</f>
        <v>-82</v>
      </c>
      <c r="AA1442" s="111">
        <f>IF(Audit[[#This Row],[Times p Drawn - With Replacement]]&gt;0, IF(Audit[[#This Row],[Canceled Differences]]&lt;0, Audit[[#This Row],[Max Differences]]+ABS(Audit[[#This Row],[Canceled Differences]]), Audit[[#This Row],[Max Differences]]), 0)</f>
        <v>0</v>
      </c>
      <c r="AB1442" s="111">
        <f>'Sampling Data'!P1435</f>
        <v>6.2469377756001962E-3</v>
      </c>
      <c r="AC1442" s="111">
        <f>IF(
      SUM(Audit[[#This Row],[Audit Losing Candidate]:[Audit Candidate 6]])
      &lt;&gt;0,
      (Audit[[#This Row],[Winning Candidate]]-Audit[[#This Row],[Losing Candidate]]-(Audit[[#This Row],[Audit Winning Candidate]]-Audit[[#This Row],[Audit Losing Candidate]]))/(Audit[[#Totals],[Winning Candidate]]-Audit[[#Totals],[Losing Candidate]]),
      0
)</f>
        <v>0</v>
      </c>
      <c r="AD14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2" s="111">
        <f>IF(Audit[[#This Row],[Max Relative Error (ep)]] = 0, 0, Audit[[#This Row],[Max Relative Error (ep)]]/Audit[[#This Row],[Error Bound (up) - Max. possible relative overstatement]])</f>
        <v>0</v>
      </c>
      <c r="AJ14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42" s="111">
        <f t="shared" si="22"/>
        <v>1</v>
      </c>
      <c r="AL1442" s="111">
        <f>PRODUCT($AK$5:AK1442)</f>
        <v>8.962823818226312E-2</v>
      </c>
      <c r="AM1442" s="109">
        <f>1 - [K-M P Value]</f>
        <v>0.91037176181773694</v>
      </c>
      <c r="AN1442" s="111" t="str">
        <f>IF(Audit[[#This Row],[K-M P Value]]&gt;1-'General Info'!$B$16,"Continue", "Stop")</f>
        <v>Stop</v>
      </c>
      <c r="AO1442" s="110" t="b">
        <f>IF(Audit[[#This Row],[Status - Continue or stop audit]] = "Continue", TRUE, IF(AN1441 = "Continue", TRUE, FALSE))</f>
        <v>0</v>
      </c>
      <c r="AP1442" s="110"/>
    </row>
    <row r="1443" spans="1:42" ht="15" hidden="1" customHeight="1">
      <c r="A1443" s="111" t="str">
        <f>'Sampling Data'!W1436</f>
        <v/>
      </c>
      <c r="B1443" s="112" t="str">
        <f>'Sampling Data'!A1436</f>
        <v>MAYFIELD HEIGHTS -00-L - ABS</v>
      </c>
      <c r="C1443" s="112">
        <f>'Sampling Data'!B1436</f>
        <v>16</v>
      </c>
      <c r="D1443" s="112">
        <f>'Sampling Data'!C1436</f>
        <v>11</v>
      </c>
      <c r="E1443" s="113">
        <f>'Sampling Data'!D1436</f>
        <v>3</v>
      </c>
      <c r="F1443" s="113">
        <f>'Sampling Data'!E1436</f>
        <v>1</v>
      </c>
      <c r="G1443" s="113">
        <f>'Sampling Data'!F1436</f>
        <v>1</v>
      </c>
      <c r="H1443" s="113">
        <f>'Sampling Data'!G1436</f>
        <v>1</v>
      </c>
      <c r="I1443" s="112">
        <f>'Sampling Data'!H1436</f>
        <v>0</v>
      </c>
      <c r="J1443" s="112">
        <f>'Sampling Data'!I1436</f>
        <v>0</v>
      </c>
      <c r="K1443" s="112">
        <f>'Sampling Data'!J1436</f>
        <v>33</v>
      </c>
      <c r="L1443" s="111">
        <f>'Sampling Data'!X1436</f>
        <v>0</v>
      </c>
      <c r="M1443" s="114"/>
      <c r="N1443" s="114"/>
      <c r="O1443" s="115"/>
      <c r="P1443" s="115"/>
      <c r="Q1443" s="116"/>
      <c r="R1443" s="116"/>
      <c r="S1443" s="111">
        <f>Audit[[#This Row],[Audit Losing Candidate]]-Audit[[#This Row],[Losing Candidate]]</f>
        <v>-16</v>
      </c>
      <c r="T1443" s="111">
        <f>Audit[[#This Row],[Audit Winning Candidate]]-Audit[[#This Row],[Winning Candidate]]</f>
        <v>-11</v>
      </c>
      <c r="U1443" s="111">
        <f>Audit[[#This Row],[Audit Candidate 3]]-Audit[[#This Row],[Candidate 3]]</f>
        <v>-3</v>
      </c>
      <c r="V1443" s="111">
        <f>Audit[[#This Row],[Audit Candidate 4]]-Audit[[#This Row],[Candidate 4]]</f>
        <v>-1</v>
      </c>
      <c r="W1443" s="111">
        <f>Audit[[#This Row],[Audit Candidate 5]]-Audit[[#This Row],[Candidate 5]]</f>
        <v>-1</v>
      </c>
      <c r="X1443" s="111">
        <f>Audit[[#This Row],[Audit Candidate 6]]-Audit[[#This Row],[Candidate 6]]</f>
        <v>-1</v>
      </c>
      <c r="Y1443" s="111">
        <f>SUMIF(Audit[[#This Row],[Difference Loser]:[Difference Candidate 6]], "&gt;0")</f>
        <v>0</v>
      </c>
      <c r="Z1443" s="111">
        <f>SUM(Audit[[#This Row],[Difference Loser]:[Difference Candidate 6]])</f>
        <v>-33</v>
      </c>
      <c r="AA1443" s="111">
        <f>IF(Audit[[#This Row],[Times p Drawn - With Replacement]]&gt;0, IF(Audit[[#This Row],[Canceled Differences]]&lt;0, Audit[[#This Row],[Max Differences]]+ABS(Audit[[#This Row],[Canceled Differences]]), Audit[[#This Row],[Max Differences]]), 0)</f>
        <v>0</v>
      </c>
      <c r="AB1443" s="111">
        <f>'Sampling Data'!P1436</f>
        <v>1.7148456638902498E-3</v>
      </c>
      <c r="AC1443" s="111">
        <f>IF(
      SUM(Audit[[#This Row],[Audit Losing Candidate]:[Audit Candidate 6]])
      &lt;&gt;0,
      (Audit[[#This Row],[Winning Candidate]]-Audit[[#This Row],[Losing Candidate]]-(Audit[[#This Row],[Audit Winning Candidate]]-Audit[[#This Row],[Audit Losing Candidate]]))/(Audit[[#Totals],[Winning Candidate]]-Audit[[#Totals],[Losing Candidate]]),
      0
)</f>
        <v>0</v>
      </c>
      <c r="AD14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3" s="111">
        <f>IF(Audit[[#This Row],[Max Relative Error (ep)]] = 0, 0, Audit[[#This Row],[Max Relative Error (ep)]]/Audit[[#This Row],[Error Bound (up) - Max. possible relative overstatement]])</f>
        <v>0</v>
      </c>
      <c r="AJ14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43" s="111">
        <f t="shared" si="22"/>
        <v>1</v>
      </c>
      <c r="AL1443" s="111">
        <f>PRODUCT($AK$5:AK1443)</f>
        <v>8.962823818226312E-2</v>
      </c>
      <c r="AM1443" s="109">
        <f>1 - [K-M P Value]</f>
        <v>0.91037176181773694</v>
      </c>
      <c r="AN1443" s="111" t="str">
        <f>IF(Audit[[#This Row],[K-M P Value]]&gt;1-'General Info'!$B$16,"Continue", "Stop")</f>
        <v>Stop</v>
      </c>
      <c r="AO1443" s="110" t="b">
        <f>IF(Audit[[#This Row],[Status - Continue or stop audit]] = "Continue", TRUE, IF(AN1442 = "Continue", TRUE, FALSE))</f>
        <v>0</v>
      </c>
      <c r="AP1443" s="110"/>
    </row>
    <row r="1444" spans="1:42" ht="15" hidden="1" customHeight="1">
      <c r="A1444" s="111" t="str">
        <f>'Sampling Data'!W1437</f>
        <v/>
      </c>
      <c r="B1444" s="112" t="str">
        <f>'Sampling Data'!A1437</f>
        <v>MAYFIELD HEIGHTS -00-M</v>
      </c>
      <c r="C1444" s="112">
        <f>'Sampling Data'!B1437</f>
        <v>12</v>
      </c>
      <c r="D1444" s="112">
        <f>'Sampling Data'!C1437</f>
        <v>45</v>
      </c>
      <c r="E1444" s="113">
        <f>'Sampling Data'!D1437</f>
        <v>16</v>
      </c>
      <c r="F1444" s="113">
        <f>'Sampling Data'!E1437</f>
        <v>7</v>
      </c>
      <c r="G1444" s="113">
        <f>'Sampling Data'!F1437</f>
        <v>1</v>
      </c>
      <c r="H1444" s="113">
        <f>'Sampling Data'!G1437</f>
        <v>0</v>
      </c>
      <c r="I1444" s="112">
        <f>'Sampling Data'!H1437</f>
        <v>0</v>
      </c>
      <c r="J1444" s="112">
        <f>'Sampling Data'!I1437</f>
        <v>5</v>
      </c>
      <c r="K1444" s="112">
        <f>'Sampling Data'!J1437</f>
        <v>86</v>
      </c>
      <c r="L1444" s="111">
        <f>'Sampling Data'!X1437</f>
        <v>0</v>
      </c>
      <c r="M1444" s="114"/>
      <c r="N1444" s="114"/>
      <c r="O1444" s="115"/>
      <c r="P1444" s="115"/>
      <c r="Q1444" s="116"/>
      <c r="R1444" s="116"/>
      <c r="S1444" s="111">
        <f>Audit[[#This Row],[Audit Losing Candidate]]-Audit[[#This Row],[Losing Candidate]]</f>
        <v>-12</v>
      </c>
      <c r="T1444" s="111">
        <f>Audit[[#This Row],[Audit Winning Candidate]]-Audit[[#This Row],[Winning Candidate]]</f>
        <v>-45</v>
      </c>
      <c r="U1444" s="111">
        <f>Audit[[#This Row],[Audit Candidate 3]]-Audit[[#This Row],[Candidate 3]]</f>
        <v>-16</v>
      </c>
      <c r="V1444" s="111">
        <f>Audit[[#This Row],[Audit Candidate 4]]-Audit[[#This Row],[Candidate 4]]</f>
        <v>-7</v>
      </c>
      <c r="W1444" s="111">
        <f>Audit[[#This Row],[Audit Candidate 5]]-Audit[[#This Row],[Candidate 5]]</f>
        <v>-1</v>
      </c>
      <c r="X1444" s="111">
        <f>Audit[[#This Row],[Audit Candidate 6]]-Audit[[#This Row],[Candidate 6]]</f>
        <v>0</v>
      </c>
      <c r="Y1444" s="111">
        <f>SUMIF(Audit[[#This Row],[Difference Loser]:[Difference Candidate 6]], "&gt;0")</f>
        <v>0</v>
      </c>
      <c r="Z1444" s="111">
        <f>SUM(Audit[[#This Row],[Difference Loser]:[Difference Candidate 6]])</f>
        <v>-81</v>
      </c>
      <c r="AA1444" s="111">
        <f>IF(Audit[[#This Row],[Times p Drawn - With Replacement]]&gt;0, IF(Audit[[#This Row],[Canceled Differences]]&lt;0, Audit[[#This Row],[Max Differences]]+ABS(Audit[[#This Row],[Canceled Differences]]), Audit[[#This Row],[Max Differences]]), 0)</f>
        <v>0</v>
      </c>
      <c r="AB1444" s="111">
        <f>'Sampling Data'!P1437</f>
        <v>7.2880940715335622E-3</v>
      </c>
      <c r="AC1444" s="111">
        <f>IF(
      SUM(Audit[[#This Row],[Audit Losing Candidate]:[Audit Candidate 6]])
      &lt;&gt;0,
      (Audit[[#This Row],[Winning Candidate]]-Audit[[#This Row],[Losing Candidate]]-(Audit[[#This Row],[Audit Winning Candidate]]-Audit[[#This Row],[Audit Losing Candidate]]))/(Audit[[#Totals],[Winning Candidate]]-Audit[[#Totals],[Losing Candidate]]),
      0
)</f>
        <v>0</v>
      </c>
      <c r="AD14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4" s="111">
        <f>IF(Audit[[#This Row],[Max Relative Error (ep)]] = 0, 0, Audit[[#This Row],[Max Relative Error (ep)]]/Audit[[#This Row],[Error Bound (up) - Max. possible relative overstatement]])</f>
        <v>0</v>
      </c>
      <c r="AJ14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44" s="111">
        <f t="shared" si="22"/>
        <v>1</v>
      </c>
      <c r="AL1444" s="111">
        <f>PRODUCT($AK$5:AK1444)</f>
        <v>8.962823818226312E-2</v>
      </c>
      <c r="AM1444" s="109">
        <f>1 - [K-M P Value]</f>
        <v>0.91037176181773694</v>
      </c>
      <c r="AN1444" s="111" t="str">
        <f>IF(Audit[[#This Row],[K-M P Value]]&gt;1-'General Info'!$B$16,"Continue", "Stop")</f>
        <v>Stop</v>
      </c>
      <c r="AO1444" s="110" t="b">
        <f>IF(Audit[[#This Row],[Status - Continue or stop audit]] = "Continue", TRUE, IF(AN1443 = "Continue", TRUE, FALSE))</f>
        <v>0</v>
      </c>
      <c r="AP1444" s="110"/>
    </row>
    <row r="1445" spans="1:42" ht="15" hidden="1" customHeight="1">
      <c r="A1445" s="111" t="str">
        <f>'Sampling Data'!W1438</f>
        <v/>
      </c>
      <c r="B1445" s="112" t="str">
        <f>'Sampling Data'!A1438</f>
        <v>MAYFIELD HEIGHTS -00-M - ABS</v>
      </c>
      <c r="C1445" s="112">
        <f>'Sampling Data'!B1438</f>
        <v>13</v>
      </c>
      <c r="D1445" s="112">
        <f>'Sampling Data'!C1438</f>
        <v>23</v>
      </c>
      <c r="E1445" s="113">
        <f>'Sampling Data'!D1438</f>
        <v>2</v>
      </c>
      <c r="F1445" s="113">
        <f>'Sampling Data'!E1438</f>
        <v>0</v>
      </c>
      <c r="G1445" s="113">
        <f>'Sampling Data'!F1438</f>
        <v>0</v>
      </c>
      <c r="H1445" s="113">
        <f>'Sampling Data'!G1438</f>
        <v>0</v>
      </c>
      <c r="I1445" s="112">
        <f>'Sampling Data'!H1438</f>
        <v>0</v>
      </c>
      <c r="J1445" s="112">
        <f>'Sampling Data'!I1438</f>
        <v>0</v>
      </c>
      <c r="K1445" s="112">
        <f>'Sampling Data'!J1438</f>
        <v>38</v>
      </c>
      <c r="L1445" s="111">
        <f>'Sampling Data'!X1438</f>
        <v>0</v>
      </c>
      <c r="M1445" s="114"/>
      <c r="N1445" s="114"/>
      <c r="O1445" s="115"/>
      <c r="P1445" s="115"/>
      <c r="Q1445" s="116"/>
      <c r="R1445" s="116"/>
      <c r="S1445" s="111">
        <f>Audit[[#This Row],[Audit Losing Candidate]]-Audit[[#This Row],[Losing Candidate]]</f>
        <v>-13</v>
      </c>
      <c r="T1445" s="111">
        <f>Audit[[#This Row],[Audit Winning Candidate]]-Audit[[#This Row],[Winning Candidate]]</f>
        <v>-23</v>
      </c>
      <c r="U1445" s="111">
        <f>Audit[[#This Row],[Audit Candidate 3]]-Audit[[#This Row],[Candidate 3]]</f>
        <v>-2</v>
      </c>
      <c r="V1445" s="111">
        <f>Audit[[#This Row],[Audit Candidate 4]]-Audit[[#This Row],[Candidate 4]]</f>
        <v>0</v>
      </c>
      <c r="W1445" s="111">
        <f>Audit[[#This Row],[Audit Candidate 5]]-Audit[[#This Row],[Candidate 5]]</f>
        <v>0</v>
      </c>
      <c r="X1445" s="111">
        <f>Audit[[#This Row],[Audit Candidate 6]]-Audit[[#This Row],[Candidate 6]]</f>
        <v>0</v>
      </c>
      <c r="Y1445" s="111">
        <f>SUMIF(Audit[[#This Row],[Difference Loser]:[Difference Candidate 6]], "&gt;0")</f>
        <v>0</v>
      </c>
      <c r="Z1445" s="111">
        <f>SUM(Audit[[#This Row],[Difference Loser]:[Difference Candidate 6]])</f>
        <v>-38</v>
      </c>
      <c r="AA1445" s="111">
        <f>IF(Audit[[#This Row],[Times p Drawn - With Replacement]]&gt;0, IF(Audit[[#This Row],[Canceled Differences]]&lt;0, Audit[[#This Row],[Max Differences]]+ABS(Audit[[#This Row],[Canceled Differences]]), Audit[[#This Row],[Max Differences]]), 0)</f>
        <v>0</v>
      </c>
      <c r="AB1445" s="111">
        <f>'Sampling Data'!P1438</f>
        <v>2.9397354238118569E-3</v>
      </c>
      <c r="AC1445" s="111">
        <f>IF(
      SUM(Audit[[#This Row],[Audit Losing Candidate]:[Audit Candidate 6]])
      &lt;&gt;0,
      (Audit[[#This Row],[Winning Candidate]]-Audit[[#This Row],[Losing Candidate]]-(Audit[[#This Row],[Audit Winning Candidate]]-Audit[[#This Row],[Audit Losing Candidate]]))/(Audit[[#Totals],[Winning Candidate]]-Audit[[#Totals],[Losing Candidate]]),
      0
)</f>
        <v>0</v>
      </c>
      <c r="AD14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5" s="111">
        <f>IF(Audit[[#This Row],[Max Relative Error (ep)]] = 0, 0, Audit[[#This Row],[Max Relative Error (ep)]]/Audit[[#This Row],[Error Bound (up) - Max. possible relative overstatement]])</f>
        <v>0</v>
      </c>
      <c r="AJ14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45" s="111">
        <f t="shared" si="22"/>
        <v>1</v>
      </c>
      <c r="AL1445" s="111">
        <f>PRODUCT($AK$5:AK1445)</f>
        <v>8.962823818226312E-2</v>
      </c>
      <c r="AM1445" s="109">
        <f>1 - [K-M P Value]</f>
        <v>0.91037176181773694</v>
      </c>
      <c r="AN1445" s="111" t="str">
        <f>IF(Audit[[#This Row],[K-M P Value]]&gt;1-'General Info'!$B$16,"Continue", "Stop")</f>
        <v>Stop</v>
      </c>
      <c r="AO1445" s="110" t="b">
        <f>IF(Audit[[#This Row],[Status - Continue or stop audit]] = "Continue", TRUE, IF(AN1444 = "Continue", TRUE, FALSE))</f>
        <v>0</v>
      </c>
      <c r="AP1445" s="110"/>
    </row>
    <row r="1446" spans="1:42" ht="15" hidden="1" customHeight="1">
      <c r="A1446" s="111" t="str">
        <f>'Sampling Data'!W1439</f>
        <v/>
      </c>
      <c r="B1446" s="112" t="str">
        <f>'Sampling Data'!A1439</f>
        <v>MAYFIELD HEIGHTS -00-N</v>
      </c>
      <c r="C1446" s="112">
        <f>'Sampling Data'!B1439</f>
        <v>21</v>
      </c>
      <c r="D1446" s="112">
        <f>'Sampling Data'!C1439</f>
        <v>40</v>
      </c>
      <c r="E1446" s="113">
        <f>'Sampling Data'!D1439</f>
        <v>11</v>
      </c>
      <c r="F1446" s="113">
        <f>'Sampling Data'!E1439</f>
        <v>2</v>
      </c>
      <c r="G1446" s="113">
        <f>'Sampling Data'!F1439</f>
        <v>1</v>
      </c>
      <c r="H1446" s="113">
        <f>'Sampling Data'!G1439</f>
        <v>0</v>
      </c>
      <c r="I1446" s="112">
        <f>'Sampling Data'!H1439</f>
        <v>0</v>
      </c>
      <c r="J1446" s="112">
        <f>'Sampling Data'!I1439</f>
        <v>2</v>
      </c>
      <c r="K1446" s="112">
        <f>'Sampling Data'!J1439</f>
        <v>77</v>
      </c>
      <c r="L1446" s="111">
        <f>'Sampling Data'!X1439</f>
        <v>0</v>
      </c>
      <c r="M1446" s="114"/>
      <c r="N1446" s="114"/>
      <c r="O1446" s="115"/>
      <c r="P1446" s="115"/>
      <c r="Q1446" s="116"/>
      <c r="R1446" s="116"/>
      <c r="S1446" s="111">
        <f>Audit[[#This Row],[Audit Losing Candidate]]-Audit[[#This Row],[Losing Candidate]]</f>
        <v>-21</v>
      </c>
      <c r="T1446" s="111">
        <f>Audit[[#This Row],[Audit Winning Candidate]]-Audit[[#This Row],[Winning Candidate]]</f>
        <v>-40</v>
      </c>
      <c r="U1446" s="111">
        <f>Audit[[#This Row],[Audit Candidate 3]]-Audit[[#This Row],[Candidate 3]]</f>
        <v>-11</v>
      </c>
      <c r="V1446" s="111">
        <f>Audit[[#This Row],[Audit Candidate 4]]-Audit[[#This Row],[Candidate 4]]</f>
        <v>-2</v>
      </c>
      <c r="W1446" s="111">
        <f>Audit[[#This Row],[Audit Candidate 5]]-Audit[[#This Row],[Candidate 5]]</f>
        <v>-1</v>
      </c>
      <c r="X1446" s="111">
        <f>Audit[[#This Row],[Audit Candidate 6]]-Audit[[#This Row],[Candidate 6]]</f>
        <v>0</v>
      </c>
      <c r="Y1446" s="111">
        <f>SUMIF(Audit[[#This Row],[Difference Loser]:[Difference Candidate 6]], "&gt;0")</f>
        <v>0</v>
      </c>
      <c r="Z1446" s="111">
        <f>SUM(Audit[[#This Row],[Difference Loser]:[Difference Candidate 6]])</f>
        <v>-75</v>
      </c>
      <c r="AA1446" s="111">
        <f>IF(Audit[[#This Row],[Times p Drawn - With Replacement]]&gt;0, IF(Audit[[#This Row],[Canceled Differences]]&lt;0, Audit[[#This Row],[Max Differences]]+ABS(Audit[[#This Row],[Canceled Differences]]), Audit[[#This Row],[Max Differences]]), 0)</f>
        <v>0</v>
      </c>
      <c r="AB1446" s="111">
        <f>'Sampling Data'!P1439</f>
        <v>5.8794708476237138E-3</v>
      </c>
      <c r="AC1446" s="111">
        <f>IF(
      SUM(Audit[[#This Row],[Audit Losing Candidate]:[Audit Candidate 6]])
      &lt;&gt;0,
      (Audit[[#This Row],[Winning Candidate]]-Audit[[#This Row],[Losing Candidate]]-(Audit[[#This Row],[Audit Winning Candidate]]-Audit[[#This Row],[Audit Losing Candidate]]))/(Audit[[#Totals],[Winning Candidate]]-Audit[[#Totals],[Losing Candidate]]),
      0
)</f>
        <v>0</v>
      </c>
      <c r="AD14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6" s="111">
        <f>IF(Audit[[#This Row],[Max Relative Error (ep)]] = 0, 0, Audit[[#This Row],[Max Relative Error (ep)]]/Audit[[#This Row],[Error Bound (up) - Max. possible relative overstatement]])</f>
        <v>0</v>
      </c>
      <c r="AJ14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46" s="111">
        <f t="shared" si="22"/>
        <v>1</v>
      </c>
      <c r="AL1446" s="111">
        <f>PRODUCT($AK$5:AK1446)</f>
        <v>8.962823818226312E-2</v>
      </c>
      <c r="AM1446" s="109">
        <f>1 - [K-M P Value]</f>
        <v>0.91037176181773694</v>
      </c>
      <c r="AN1446" s="111" t="str">
        <f>IF(Audit[[#This Row],[K-M P Value]]&gt;1-'General Info'!$B$16,"Continue", "Stop")</f>
        <v>Stop</v>
      </c>
      <c r="AO1446" s="110" t="b">
        <f>IF(Audit[[#This Row],[Status - Continue or stop audit]] = "Continue", TRUE, IF(AN1445 = "Continue", TRUE, FALSE))</f>
        <v>0</v>
      </c>
      <c r="AP1446" s="110"/>
    </row>
    <row r="1447" spans="1:42" ht="15" hidden="1" customHeight="1">
      <c r="A1447" s="111" t="str">
        <f>'Sampling Data'!W1440</f>
        <v/>
      </c>
      <c r="B1447" s="112" t="str">
        <f>'Sampling Data'!A1440</f>
        <v>MAYFIELD HEIGHTS -00-N - ABS</v>
      </c>
      <c r="C1447" s="112">
        <f>'Sampling Data'!B1440</f>
        <v>10</v>
      </c>
      <c r="D1447" s="112">
        <f>'Sampling Data'!C1440</f>
        <v>29</v>
      </c>
      <c r="E1447" s="113">
        <f>'Sampling Data'!D1440</f>
        <v>10</v>
      </c>
      <c r="F1447" s="113">
        <f>'Sampling Data'!E1440</f>
        <v>4</v>
      </c>
      <c r="G1447" s="113">
        <f>'Sampling Data'!F1440</f>
        <v>1</v>
      </c>
      <c r="H1447" s="113">
        <f>'Sampling Data'!G1440</f>
        <v>0</v>
      </c>
      <c r="I1447" s="112">
        <f>'Sampling Data'!H1440</f>
        <v>1</v>
      </c>
      <c r="J1447" s="112">
        <f>'Sampling Data'!I1440</f>
        <v>1</v>
      </c>
      <c r="K1447" s="112">
        <f>'Sampling Data'!J1440</f>
        <v>56</v>
      </c>
      <c r="L1447" s="111">
        <f>'Sampling Data'!X1440</f>
        <v>0</v>
      </c>
      <c r="M1447" s="114"/>
      <c r="N1447" s="114"/>
      <c r="O1447" s="115"/>
      <c r="P1447" s="115"/>
      <c r="Q1447" s="116"/>
      <c r="R1447" s="116"/>
      <c r="S1447" s="111">
        <f>Audit[[#This Row],[Audit Losing Candidate]]-Audit[[#This Row],[Losing Candidate]]</f>
        <v>-10</v>
      </c>
      <c r="T1447" s="111">
        <f>Audit[[#This Row],[Audit Winning Candidate]]-Audit[[#This Row],[Winning Candidate]]</f>
        <v>-29</v>
      </c>
      <c r="U1447" s="111">
        <f>Audit[[#This Row],[Audit Candidate 3]]-Audit[[#This Row],[Candidate 3]]</f>
        <v>-10</v>
      </c>
      <c r="V1447" s="111">
        <f>Audit[[#This Row],[Audit Candidate 4]]-Audit[[#This Row],[Candidate 4]]</f>
        <v>-4</v>
      </c>
      <c r="W1447" s="111">
        <f>Audit[[#This Row],[Audit Candidate 5]]-Audit[[#This Row],[Candidate 5]]</f>
        <v>-1</v>
      </c>
      <c r="X1447" s="111">
        <f>Audit[[#This Row],[Audit Candidate 6]]-Audit[[#This Row],[Candidate 6]]</f>
        <v>0</v>
      </c>
      <c r="Y1447" s="111">
        <f>SUMIF(Audit[[#This Row],[Difference Loser]:[Difference Candidate 6]], "&gt;0")</f>
        <v>0</v>
      </c>
      <c r="Z1447" s="111">
        <f>SUM(Audit[[#This Row],[Difference Loser]:[Difference Candidate 6]])</f>
        <v>-54</v>
      </c>
      <c r="AA1447" s="111">
        <f>IF(Audit[[#This Row],[Times p Drawn - With Replacement]]&gt;0, IF(Audit[[#This Row],[Canceled Differences]]&lt;0, Audit[[#This Row],[Max Differences]]+ABS(Audit[[#This Row],[Canceled Differences]]), Audit[[#This Row],[Max Differences]]), 0)</f>
        <v>0</v>
      </c>
      <c r="AB1447" s="111">
        <f>'Sampling Data'!P1440</f>
        <v>4.5933365997060261E-3</v>
      </c>
      <c r="AC1447" s="111">
        <f>IF(
      SUM(Audit[[#This Row],[Audit Losing Candidate]:[Audit Candidate 6]])
      &lt;&gt;0,
      (Audit[[#This Row],[Winning Candidate]]-Audit[[#This Row],[Losing Candidate]]-(Audit[[#This Row],[Audit Winning Candidate]]-Audit[[#This Row],[Audit Losing Candidate]]))/(Audit[[#Totals],[Winning Candidate]]-Audit[[#Totals],[Losing Candidate]]),
      0
)</f>
        <v>0</v>
      </c>
      <c r="AD14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7" s="111">
        <f>IF(Audit[[#This Row],[Max Relative Error (ep)]] = 0, 0, Audit[[#This Row],[Max Relative Error (ep)]]/Audit[[#This Row],[Error Bound (up) - Max. possible relative overstatement]])</f>
        <v>0</v>
      </c>
      <c r="AJ14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47" s="111">
        <f t="shared" si="22"/>
        <v>1</v>
      </c>
      <c r="AL1447" s="111">
        <f>PRODUCT($AK$5:AK1447)</f>
        <v>8.962823818226312E-2</v>
      </c>
      <c r="AM1447" s="109">
        <f>1 - [K-M P Value]</f>
        <v>0.91037176181773694</v>
      </c>
      <c r="AN1447" s="111" t="str">
        <f>IF(Audit[[#This Row],[K-M P Value]]&gt;1-'General Info'!$B$16,"Continue", "Stop")</f>
        <v>Stop</v>
      </c>
      <c r="AO1447" s="110" t="b">
        <f>IF(Audit[[#This Row],[Status - Continue or stop audit]] = "Continue", TRUE, IF(AN1446 = "Continue", TRUE, FALSE))</f>
        <v>0</v>
      </c>
      <c r="AP1447" s="110"/>
    </row>
    <row r="1448" spans="1:42" ht="15" hidden="1" customHeight="1">
      <c r="A1448" s="111" t="str">
        <f>'Sampling Data'!W1441</f>
        <v/>
      </c>
      <c r="B1448" s="112" t="str">
        <f>'Sampling Data'!A1441</f>
        <v>MAYFIELD HEIGHTS -00-O</v>
      </c>
      <c r="C1448" s="112">
        <f>'Sampling Data'!B1441</f>
        <v>15</v>
      </c>
      <c r="D1448" s="112">
        <f>'Sampling Data'!C1441</f>
        <v>63</v>
      </c>
      <c r="E1448" s="113">
        <f>'Sampling Data'!D1441</f>
        <v>19</v>
      </c>
      <c r="F1448" s="113">
        <f>'Sampling Data'!E1441</f>
        <v>8</v>
      </c>
      <c r="G1448" s="113">
        <f>'Sampling Data'!F1441</f>
        <v>0</v>
      </c>
      <c r="H1448" s="113">
        <f>'Sampling Data'!G1441</f>
        <v>1</v>
      </c>
      <c r="I1448" s="112">
        <f>'Sampling Data'!H1441</f>
        <v>1</v>
      </c>
      <c r="J1448" s="112">
        <f>'Sampling Data'!I1441</f>
        <v>5</v>
      </c>
      <c r="K1448" s="112">
        <f>'Sampling Data'!J1441</f>
        <v>112</v>
      </c>
      <c r="L1448" s="111">
        <f>'Sampling Data'!X1441</f>
        <v>0</v>
      </c>
      <c r="M1448" s="114"/>
      <c r="N1448" s="114"/>
      <c r="O1448" s="115"/>
      <c r="P1448" s="115"/>
      <c r="Q1448" s="116"/>
      <c r="R1448" s="116"/>
      <c r="S1448" s="111">
        <f>Audit[[#This Row],[Audit Losing Candidate]]-Audit[[#This Row],[Losing Candidate]]</f>
        <v>-15</v>
      </c>
      <c r="T1448" s="111">
        <f>Audit[[#This Row],[Audit Winning Candidate]]-Audit[[#This Row],[Winning Candidate]]</f>
        <v>-63</v>
      </c>
      <c r="U1448" s="111">
        <f>Audit[[#This Row],[Audit Candidate 3]]-Audit[[#This Row],[Candidate 3]]</f>
        <v>-19</v>
      </c>
      <c r="V1448" s="111">
        <f>Audit[[#This Row],[Audit Candidate 4]]-Audit[[#This Row],[Candidate 4]]</f>
        <v>-8</v>
      </c>
      <c r="W1448" s="111">
        <f>Audit[[#This Row],[Audit Candidate 5]]-Audit[[#This Row],[Candidate 5]]</f>
        <v>0</v>
      </c>
      <c r="X1448" s="111">
        <f>Audit[[#This Row],[Audit Candidate 6]]-Audit[[#This Row],[Candidate 6]]</f>
        <v>-1</v>
      </c>
      <c r="Y1448" s="111">
        <f>SUMIF(Audit[[#This Row],[Difference Loser]:[Difference Candidate 6]], "&gt;0")</f>
        <v>0</v>
      </c>
      <c r="Z1448" s="111">
        <f>SUM(Audit[[#This Row],[Difference Loser]:[Difference Candidate 6]])</f>
        <v>-106</v>
      </c>
      <c r="AA1448" s="111">
        <f>IF(Audit[[#This Row],[Times p Drawn - With Replacement]]&gt;0, IF(Audit[[#This Row],[Canceled Differences]]&lt;0, Audit[[#This Row],[Max Differences]]+ABS(Audit[[#This Row],[Canceled Differences]]), Audit[[#This Row],[Max Differences]]), 0)</f>
        <v>0</v>
      </c>
      <c r="AB1448" s="111">
        <f>'Sampling Data'!P1441</f>
        <v>9.7991180793728563E-3</v>
      </c>
      <c r="AC1448" s="111">
        <f>IF(
      SUM(Audit[[#This Row],[Audit Losing Candidate]:[Audit Candidate 6]])
      &lt;&gt;0,
      (Audit[[#This Row],[Winning Candidate]]-Audit[[#This Row],[Losing Candidate]]-(Audit[[#This Row],[Audit Winning Candidate]]-Audit[[#This Row],[Audit Losing Candidate]]))/(Audit[[#Totals],[Winning Candidate]]-Audit[[#Totals],[Losing Candidate]]),
      0
)</f>
        <v>0</v>
      </c>
      <c r="AD14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8" s="111">
        <f>IF(Audit[[#This Row],[Max Relative Error (ep)]] = 0, 0, Audit[[#This Row],[Max Relative Error (ep)]]/Audit[[#This Row],[Error Bound (up) - Max. possible relative overstatement]])</f>
        <v>0</v>
      </c>
      <c r="AJ14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48" s="111">
        <f t="shared" si="22"/>
        <v>1</v>
      </c>
      <c r="AL1448" s="111">
        <f>PRODUCT($AK$5:AK1448)</f>
        <v>8.962823818226312E-2</v>
      </c>
      <c r="AM1448" s="109">
        <f>1 - [K-M P Value]</f>
        <v>0.91037176181773694</v>
      </c>
      <c r="AN1448" s="111" t="str">
        <f>IF(Audit[[#This Row],[K-M P Value]]&gt;1-'General Info'!$B$16,"Continue", "Stop")</f>
        <v>Stop</v>
      </c>
      <c r="AO1448" s="110" t="b">
        <f>IF(Audit[[#This Row],[Status - Continue or stop audit]] = "Continue", TRUE, IF(AN1447 = "Continue", TRUE, FALSE))</f>
        <v>0</v>
      </c>
      <c r="AP1448" s="110"/>
    </row>
    <row r="1449" spans="1:42" ht="15" hidden="1" customHeight="1">
      <c r="A1449" s="111" t="str">
        <f>'Sampling Data'!W1442</f>
        <v/>
      </c>
      <c r="B1449" s="112" t="str">
        <f>'Sampling Data'!A1442</f>
        <v>MAYFIELD HEIGHTS -00-O - ABS</v>
      </c>
      <c r="C1449" s="112">
        <f>'Sampling Data'!B1442</f>
        <v>6</v>
      </c>
      <c r="D1449" s="112">
        <f>'Sampling Data'!C1442</f>
        <v>21</v>
      </c>
      <c r="E1449" s="113">
        <f>'Sampling Data'!D1442</f>
        <v>7</v>
      </c>
      <c r="F1449" s="113">
        <f>'Sampling Data'!E1442</f>
        <v>0</v>
      </c>
      <c r="G1449" s="113">
        <f>'Sampling Data'!F1442</f>
        <v>1</v>
      </c>
      <c r="H1449" s="113">
        <f>'Sampling Data'!G1442</f>
        <v>0</v>
      </c>
      <c r="I1449" s="112">
        <f>'Sampling Data'!H1442</f>
        <v>0</v>
      </c>
      <c r="J1449" s="112">
        <f>'Sampling Data'!I1442</f>
        <v>2</v>
      </c>
      <c r="K1449" s="112">
        <f>'Sampling Data'!J1442</f>
        <v>37</v>
      </c>
      <c r="L1449" s="111">
        <f>'Sampling Data'!X1442</f>
        <v>0</v>
      </c>
      <c r="M1449" s="114"/>
      <c r="N1449" s="114"/>
      <c r="O1449" s="115"/>
      <c r="P1449" s="115"/>
      <c r="Q1449" s="116"/>
      <c r="R1449" s="116"/>
      <c r="S1449" s="111">
        <f>Audit[[#This Row],[Audit Losing Candidate]]-Audit[[#This Row],[Losing Candidate]]</f>
        <v>-6</v>
      </c>
      <c r="T1449" s="111">
        <f>Audit[[#This Row],[Audit Winning Candidate]]-Audit[[#This Row],[Winning Candidate]]</f>
        <v>-21</v>
      </c>
      <c r="U1449" s="111">
        <f>Audit[[#This Row],[Audit Candidate 3]]-Audit[[#This Row],[Candidate 3]]</f>
        <v>-7</v>
      </c>
      <c r="V1449" s="111">
        <f>Audit[[#This Row],[Audit Candidate 4]]-Audit[[#This Row],[Candidate 4]]</f>
        <v>0</v>
      </c>
      <c r="W1449" s="111">
        <f>Audit[[#This Row],[Audit Candidate 5]]-Audit[[#This Row],[Candidate 5]]</f>
        <v>-1</v>
      </c>
      <c r="X1449" s="111">
        <f>Audit[[#This Row],[Audit Candidate 6]]-Audit[[#This Row],[Candidate 6]]</f>
        <v>0</v>
      </c>
      <c r="Y1449" s="111">
        <f>SUMIF(Audit[[#This Row],[Difference Loser]:[Difference Candidate 6]], "&gt;0")</f>
        <v>0</v>
      </c>
      <c r="Z1449" s="111">
        <f>SUM(Audit[[#This Row],[Difference Loser]:[Difference Candidate 6]])</f>
        <v>-35</v>
      </c>
      <c r="AA1449" s="111">
        <f>IF(Audit[[#This Row],[Times p Drawn - With Replacement]]&gt;0, IF(Audit[[#This Row],[Canceled Differences]]&lt;0, Audit[[#This Row],[Max Differences]]+ABS(Audit[[#This Row],[Canceled Differences]]), Audit[[#This Row],[Max Differences]]), 0)</f>
        <v>0</v>
      </c>
      <c r="AB1449" s="111">
        <f>'Sampling Data'!P1442</f>
        <v>3.1847133757961785E-3</v>
      </c>
      <c r="AC1449" s="111">
        <f>IF(
      SUM(Audit[[#This Row],[Audit Losing Candidate]:[Audit Candidate 6]])
      &lt;&gt;0,
      (Audit[[#This Row],[Winning Candidate]]-Audit[[#This Row],[Losing Candidate]]-(Audit[[#This Row],[Audit Winning Candidate]]-Audit[[#This Row],[Audit Losing Candidate]]))/(Audit[[#Totals],[Winning Candidate]]-Audit[[#Totals],[Losing Candidate]]),
      0
)</f>
        <v>0</v>
      </c>
      <c r="AD14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9" s="111">
        <f>IF(Audit[[#This Row],[Max Relative Error (ep)]] = 0, 0, Audit[[#This Row],[Max Relative Error (ep)]]/Audit[[#This Row],[Error Bound (up) - Max. possible relative overstatement]])</f>
        <v>0</v>
      </c>
      <c r="AJ14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49" s="111">
        <f t="shared" si="22"/>
        <v>1</v>
      </c>
      <c r="AL1449" s="111">
        <f>PRODUCT($AK$5:AK1449)</f>
        <v>8.962823818226312E-2</v>
      </c>
      <c r="AM1449" s="109">
        <f>1 - [K-M P Value]</f>
        <v>0.91037176181773694</v>
      </c>
      <c r="AN1449" s="111" t="str">
        <f>IF(Audit[[#This Row],[K-M P Value]]&gt;1-'General Info'!$B$16,"Continue", "Stop")</f>
        <v>Stop</v>
      </c>
      <c r="AO1449" s="110" t="b">
        <f>IF(Audit[[#This Row],[Status - Continue or stop audit]] = "Continue", TRUE, IF(AN1448 = "Continue", TRUE, FALSE))</f>
        <v>0</v>
      </c>
      <c r="AP1449" s="110"/>
    </row>
    <row r="1450" spans="1:42" ht="15" hidden="1" customHeight="1">
      <c r="A1450" s="111" t="str">
        <f>'Sampling Data'!W1443</f>
        <v/>
      </c>
      <c r="B1450" s="112" t="str">
        <f>'Sampling Data'!A1443</f>
        <v>MAYFIELD VILLAGE -01-A</v>
      </c>
      <c r="C1450" s="112">
        <f>'Sampling Data'!B1443</f>
        <v>26</v>
      </c>
      <c r="D1450" s="112">
        <f>'Sampling Data'!C1443</f>
        <v>51</v>
      </c>
      <c r="E1450" s="113">
        <f>'Sampling Data'!D1443</f>
        <v>12</v>
      </c>
      <c r="F1450" s="113">
        <f>'Sampling Data'!E1443</f>
        <v>9</v>
      </c>
      <c r="G1450" s="113">
        <f>'Sampling Data'!F1443</f>
        <v>0</v>
      </c>
      <c r="H1450" s="113">
        <f>'Sampling Data'!G1443</f>
        <v>0</v>
      </c>
      <c r="I1450" s="112">
        <f>'Sampling Data'!H1443</f>
        <v>0</v>
      </c>
      <c r="J1450" s="112">
        <f>'Sampling Data'!I1443</f>
        <v>2</v>
      </c>
      <c r="K1450" s="112">
        <f>'Sampling Data'!J1443</f>
        <v>100</v>
      </c>
      <c r="L1450" s="111">
        <f>'Sampling Data'!X1443</f>
        <v>0</v>
      </c>
      <c r="M1450" s="114"/>
      <c r="N1450" s="114"/>
      <c r="O1450" s="115"/>
      <c r="P1450" s="115"/>
      <c r="Q1450" s="116"/>
      <c r="R1450" s="116"/>
      <c r="S1450" s="111">
        <f>Audit[[#This Row],[Audit Losing Candidate]]-Audit[[#This Row],[Losing Candidate]]</f>
        <v>-26</v>
      </c>
      <c r="T1450" s="111">
        <f>Audit[[#This Row],[Audit Winning Candidate]]-Audit[[#This Row],[Winning Candidate]]</f>
        <v>-51</v>
      </c>
      <c r="U1450" s="111">
        <f>Audit[[#This Row],[Audit Candidate 3]]-Audit[[#This Row],[Candidate 3]]</f>
        <v>-12</v>
      </c>
      <c r="V1450" s="111">
        <f>Audit[[#This Row],[Audit Candidate 4]]-Audit[[#This Row],[Candidate 4]]</f>
        <v>-9</v>
      </c>
      <c r="W1450" s="111">
        <f>Audit[[#This Row],[Audit Candidate 5]]-Audit[[#This Row],[Candidate 5]]</f>
        <v>0</v>
      </c>
      <c r="X1450" s="111">
        <f>Audit[[#This Row],[Audit Candidate 6]]-Audit[[#This Row],[Candidate 6]]</f>
        <v>0</v>
      </c>
      <c r="Y1450" s="111">
        <f>SUMIF(Audit[[#This Row],[Difference Loser]:[Difference Candidate 6]], "&gt;0")</f>
        <v>0</v>
      </c>
      <c r="Z1450" s="111">
        <f>SUM(Audit[[#This Row],[Difference Loser]:[Difference Candidate 6]])</f>
        <v>-98</v>
      </c>
      <c r="AA1450" s="111">
        <f>IF(Audit[[#This Row],[Times p Drawn - With Replacement]]&gt;0, IF(Audit[[#This Row],[Canceled Differences]]&lt;0, Audit[[#This Row],[Max Differences]]+ABS(Audit[[#This Row],[Canceled Differences]]), Audit[[#This Row],[Max Differences]]), 0)</f>
        <v>0</v>
      </c>
      <c r="AB1450" s="111">
        <f>'Sampling Data'!P1443</f>
        <v>7.6555609995100438E-3</v>
      </c>
      <c r="AC1450" s="111">
        <f>IF(
      SUM(Audit[[#This Row],[Audit Losing Candidate]:[Audit Candidate 6]])
      &lt;&gt;0,
      (Audit[[#This Row],[Winning Candidate]]-Audit[[#This Row],[Losing Candidate]]-(Audit[[#This Row],[Audit Winning Candidate]]-Audit[[#This Row],[Audit Losing Candidate]]))/(Audit[[#Totals],[Winning Candidate]]-Audit[[#Totals],[Losing Candidate]]),
      0
)</f>
        <v>0</v>
      </c>
      <c r="AD14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0" s="111">
        <f>IF(Audit[[#This Row],[Max Relative Error (ep)]] = 0, 0, Audit[[#This Row],[Max Relative Error (ep)]]/Audit[[#This Row],[Error Bound (up) - Max. possible relative overstatement]])</f>
        <v>0</v>
      </c>
      <c r="AJ14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50" s="111">
        <f t="shared" si="22"/>
        <v>1</v>
      </c>
      <c r="AL1450" s="111">
        <f>PRODUCT($AK$5:AK1450)</f>
        <v>8.962823818226312E-2</v>
      </c>
      <c r="AM1450" s="109">
        <f>1 - [K-M P Value]</f>
        <v>0.91037176181773694</v>
      </c>
      <c r="AN1450" s="111" t="str">
        <f>IF(Audit[[#This Row],[K-M P Value]]&gt;1-'General Info'!$B$16,"Continue", "Stop")</f>
        <v>Stop</v>
      </c>
      <c r="AO1450" s="110" t="b">
        <f>IF(Audit[[#This Row],[Status - Continue or stop audit]] = "Continue", TRUE, IF(AN1449 = "Continue", TRUE, FALSE))</f>
        <v>0</v>
      </c>
      <c r="AP1450" s="110"/>
    </row>
    <row r="1451" spans="1:42" ht="15" hidden="1" customHeight="1">
      <c r="A1451" s="111" t="str">
        <f>'Sampling Data'!W1444</f>
        <v/>
      </c>
      <c r="B1451" s="112" t="str">
        <f>'Sampling Data'!A1444</f>
        <v>MAYFIELD VILLAGE -01-A - ABS</v>
      </c>
      <c r="C1451" s="112">
        <f>'Sampling Data'!B1444</f>
        <v>13</v>
      </c>
      <c r="D1451" s="112">
        <f>'Sampling Data'!C1444</f>
        <v>25</v>
      </c>
      <c r="E1451" s="113">
        <f>'Sampling Data'!D1444</f>
        <v>4</v>
      </c>
      <c r="F1451" s="113">
        <f>'Sampling Data'!E1444</f>
        <v>1</v>
      </c>
      <c r="G1451" s="113">
        <f>'Sampling Data'!F1444</f>
        <v>0</v>
      </c>
      <c r="H1451" s="113">
        <f>'Sampling Data'!G1444</f>
        <v>0</v>
      </c>
      <c r="I1451" s="112">
        <f>'Sampling Data'!H1444</f>
        <v>0</v>
      </c>
      <c r="J1451" s="112">
        <f>'Sampling Data'!I1444</f>
        <v>2</v>
      </c>
      <c r="K1451" s="112">
        <f>'Sampling Data'!J1444</f>
        <v>45</v>
      </c>
      <c r="L1451" s="111">
        <f>'Sampling Data'!X1444</f>
        <v>0</v>
      </c>
      <c r="M1451" s="114"/>
      <c r="N1451" s="114"/>
      <c r="O1451" s="115"/>
      <c r="P1451" s="115"/>
      <c r="Q1451" s="116"/>
      <c r="R1451" s="116"/>
      <c r="S1451" s="111">
        <f>Audit[[#This Row],[Audit Losing Candidate]]-Audit[[#This Row],[Losing Candidate]]</f>
        <v>-13</v>
      </c>
      <c r="T1451" s="111">
        <f>Audit[[#This Row],[Audit Winning Candidate]]-Audit[[#This Row],[Winning Candidate]]</f>
        <v>-25</v>
      </c>
      <c r="U1451" s="111">
        <f>Audit[[#This Row],[Audit Candidate 3]]-Audit[[#This Row],[Candidate 3]]</f>
        <v>-4</v>
      </c>
      <c r="V1451" s="111">
        <f>Audit[[#This Row],[Audit Candidate 4]]-Audit[[#This Row],[Candidate 4]]</f>
        <v>-1</v>
      </c>
      <c r="W1451" s="111">
        <f>Audit[[#This Row],[Audit Candidate 5]]-Audit[[#This Row],[Candidate 5]]</f>
        <v>0</v>
      </c>
      <c r="X1451" s="111">
        <f>Audit[[#This Row],[Audit Candidate 6]]-Audit[[#This Row],[Candidate 6]]</f>
        <v>0</v>
      </c>
      <c r="Y1451" s="111">
        <f>SUMIF(Audit[[#This Row],[Difference Loser]:[Difference Candidate 6]], "&gt;0")</f>
        <v>0</v>
      </c>
      <c r="Z1451" s="111">
        <f>SUM(Audit[[#This Row],[Difference Loser]:[Difference Candidate 6]])</f>
        <v>-43</v>
      </c>
      <c r="AA1451" s="111">
        <f>IF(Audit[[#This Row],[Times p Drawn - With Replacement]]&gt;0, IF(Audit[[#This Row],[Canceled Differences]]&lt;0, Audit[[#This Row],[Max Differences]]+ABS(Audit[[#This Row],[Canceled Differences]]), Audit[[#This Row],[Max Differences]]), 0)</f>
        <v>0</v>
      </c>
      <c r="AB1451" s="111">
        <f>'Sampling Data'!P1444</f>
        <v>3.4909358157765801E-3</v>
      </c>
      <c r="AC1451" s="111">
        <f>IF(
      SUM(Audit[[#This Row],[Audit Losing Candidate]:[Audit Candidate 6]])
      &lt;&gt;0,
      (Audit[[#This Row],[Winning Candidate]]-Audit[[#This Row],[Losing Candidate]]-(Audit[[#This Row],[Audit Winning Candidate]]-Audit[[#This Row],[Audit Losing Candidate]]))/(Audit[[#Totals],[Winning Candidate]]-Audit[[#Totals],[Losing Candidate]]),
      0
)</f>
        <v>0</v>
      </c>
      <c r="AD14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1" s="111">
        <f>IF(Audit[[#This Row],[Max Relative Error (ep)]] = 0, 0, Audit[[#This Row],[Max Relative Error (ep)]]/Audit[[#This Row],[Error Bound (up) - Max. possible relative overstatement]])</f>
        <v>0</v>
      </c>
      <c r="AJ14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51" s="111">
        <f t="shared" si="22"/>
        <v>1</v>
      </c>
      <c r="AL1451" s="111">
        <f>PRODUCT($AK$5:AK1451)</f>
        <v>8.962823818226312E-2</v>
      </c>
      <c r="AM1451" s="109">
        <f>1 - [K-M P Value]</f>
        <v>0.91037176181773694</v>
      </c>
      <c r="AN1451" s="111" t="str">
        <f>IF(Audit[[#This Row],[K-M P Value]]&gt;1-'General Info'!$B$16,"Continue", "Stop")</f>
        <v>Stop</v>
      </c>
      <c r="AO1451" s="110" t="b">
        <f>IF(Audit[[#This Row],[Status - Continue or stop audit]] = "Continue", TRUE, IF(AN1450 = "Continue", TRUE, FALSE))</f>
        <v>0</v>
      </c>
      <c r="AP1451" s="110"/>
    </row>
    <row r="1452" spans="1:42" ht="15" hidden="1" customHeight="1">
      <c r="A1452" s="111" t="str">
        <f>'Sampling Data'!W1445</f>
        <v/>
      </c>
      <c r="B1452" s="112" t="str">
        <f>'Sampling Data'!A1445</f>
        <v>MAYFIELD VILLAGE -02-A</v>
      </c>
      <c r="C1452" s="112">
        <f>'Sampling Data'!B1445</f>
        <v>24</v>
      </c>
      <c r="D1452" s="112">
        <f>'Sampling Data'!C1445</f>
        <v>74</v>
      </c>
      <c r="E1452" s="113">
        <f>'Sampling Data'!D1445</f>
        <v>20</v>
      </c>
      <c r="F1452" s="113">
        <f>'Sampling Data'!E1445</f>
        <v>5</v>
      </c>
      <c r="G1452" s="113">
        <f>'Sampling Data'!F1445</f>
        <v>1</v>
      </c>
      <c r="H1452" s="113">
        <f>'Sampling Data'!G1445</f>
        <v>1</v>
      </c>
      <c r="I1452" s="112">
        <f>'Sampling Data'!H1445</f>
        <v>0</v>
      </c>
      <c r="J1452" s="112">
        <f>'Sampling Data'!I1445</f>
        <v>0</v>
      </c>
      <c r="K1452" s="112">
        <f>'Sampling Data'!J1445</f>
        <v>125</v>
      </c>
      <c r="L1452" s="111">
        <f>'Sampling Data'!X1445</f>
        <v>0</v>
      </c>
      <c r="M1452" s="114"/>
      <c r="N1452" s="114"/>
      <c r="O1452" s="115"/>
      <c r="P1452" s="115"/>
      <c r="Q1452" s="116"/>
      <c r="R1452" s="116"/>
      <c r="S1452" s="111">
        <f>Audit[[#This Row],[Audit Losing Candidate]]-Audit[[#This Row],[Losing Candidate]]</f>
        <v>-24</v>
      </c>
      <c r="T1452" s="111">
        <f>Audit[[#This Row],[Audit Winning Candidate]]-Audit[[#This Row],[Winning Candidate]]</f>
        <v>-74</v>
      </c>
      <c r="U1452" s="111">
        <f>Audit[[#This Row],[Audit Candidate 3]]-Audit[[#This Row],[Candidate 3]]</f>
        <v>-20</v>
      </c>
      <c r="V1452" s="111">
        <f>Audit[[#This Row],[Audit Candidate 4]]-Audit[[#This Row],[Candidate 4]]</f>
        <v>-5</v>
      </c>
      <c r="W1452" s="111">
        <f>Audit[[#This Row],[Audit Candidate 5]]-Audit[[#This Row],[Candidate 5]]</f>
        <v>-1</v>
      </c>
      <c r="X1452" s="111">
        <f>Audit[[#This Row],[Audit Candidate 6]]-Audit[[#This Row],[Candidate 6]]</f>
        <v>-1</v>
      </c>
      <c r="Y1452" s="111">
        <f>SUMIF(Audit[[#This Row],[Difference Loser]:[Difference Candidate 6]], "&gt;0")</f>
        <v>0</v>
      </c>
      <c r="Z1452" s="111">
        <f>SUM(Audit[[#This Row],[Difference Loser]:[Difference Candidate 6]])</f>
        <v>-125</v>
      </c>
      <c r="AA1452" s="111">
        <f>IF(Audit[[#This Row],[Times p Drawn - With Replacement]]&gt;0, IF(Audit[[#This Row],[Canceled Differences]]&lt;0, Audit[[#This Row],[Max Differences]]+ABS(Audit[[#This Row],[Canceled Differences]]), Audit[[#This Row],[Max Differences]]), 0)</f>
        <v>0</v>
      </c>
      <c r="AB1452" s="111">
        <f>'Sampling Data'!P1445</f>
        <v>1.0717785399314061E-2</v>
      </c>
      <c r="AC1452" s="111">
        <f>IF(
      SUM(Audit[[#This Row],[Audit Losing Candidate]:[Audit Candidate 6]])
      &lt;&gt;0,
      (Audit[[#This Row],[Winning Candidate]]-Audit[[#This Row],[Losing Candidate]]-(Audit[[#This Row],[Audit Winning Candidate]]-Audit[[#This Row],[Audit Losing Candidate]]))/(Audit[[#Totals],[Winning Candidate]]-Audit[[#Totals],[Losing Candidate]]),
      0
)</f>
        <v>0</v>
      </c>
      <c r="AD14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2" s="111">
        <f>IF(Audit[[#This Row],[Max Relative Error (ep)]] = 0, 0, Audit[[#This Row],[Max Relative Error (ep)]]/Audit[[#This Row],[Error Bound (up) - Max. possible relative overstatement]])</f>
        <v>0</v>
      </c>
      <c r="AJ14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52" s="111">
        <f t="shared" si="22"/>
        <v>1</v>
      </c>
      <c r="AL1452" s="111">
        <f>PRODUCT($AK$5:AK1452)</f>
        <v>8.962823818226312E-2</v>
      </c>
      <c r="AM1452" s="109">
        <f>1 - [K-M P Value]</f>
        <v>0.91037176181773694</v>
      </c>
      <c r="AN1452" s="111" t="str">
        <f>IF(Audit[[#This Row],[K-M P Value]]&gt;1-'General Info'!$B$16,"Continue", "Stop")</f>
        <v>Stop</v>
      </c>
      <c r="AO1452" s="110" t="b">
        <f>IF(Audit[[#This Row],[Status - Continue or stop audit]] = "Continue", TRUE, IF(AN1451 = "Continue", TRUE, FALSE))</f>
        <v>0</v>
      </c>
      <c r="AP1452" s="110"/>
    </row>
    <row r="1453" spans="1:42" ht="15" hidden="1" customHeight="1">
      <c r="A1453" s="111" t="str">
        <f>'Sampling Data'!W1446</f>
        <v/>
      </c>
      <c r="B1453" s="112" t="str">
        <f>'Sampling Data'!A1446</f>
        <v>MAYFIELD VILLAGE -02-A - ABS</v>
      </c>
      <c r="C1453" s="112">
        <f>'Sampling Data'!B1446</f>
        <v>11</v>
      </c>
      <c r="D1453" s="112">
        <f>'Sampling Data'!C1446</f>
        <v>18</v>
      </c>
      <c r="E1453" s="113">
        <f>'Sampling Data'!D1446</f>
        <v>4</v>
      </c>
      <c r="F1453" s="113">
        <f>'Sampling Data'!E1446</f>
        <v>2</v>
      </c>
      <c r="G1453" s="113">
        <f>'Sampling Data'!F1446</f>
        <v>0</v>
      </c>
      <c r="H1453" s="113">
        <f>'Sampling Data'!G1446</f>
        <v>0</v>
      </c>
      <c r="I1453" s="112">
        <f>'Sampling Data'!H1446</f>
        <v>0</v>
      </c>
      <c r="J1453" s="112">
        <f>'Sampling Data'!I1446</f>
        <v>1</v>
      </c>
      <c r="K1453" s="112">
        <f>'Sampling Data'!J1446</f>
        <v>36</v>
      </c>
      <c r="L1453" s="111">
        <f>'Sampling Data'!X1446</f>
        <v>0</v>
      </c>
      <c r="M1453" s="114"/>
      <c r="N1453" s="114"/>
      <c r="O1453" s="115"/>
      <c r="P1453" s="115"/>
      <c r="Q1453" s="116"/>
      <c r="R1453" s="116"/>
      <c r="S1453" s="111">
        <f>Audit[[#This Row],[Audit Losing Candidate]]-Audit[[#This Row],[Losing Candidate]]</f>
        <v>-11</v>
      </c>
      <c r="T1453" s="111">
        <f>Audit[[#This Row],[Audit Winning Candidate]]-Audit[[#This Row],[Winning Candidate]]</f>
        <v>-18</v>
      </c>
      <c r="U1453" s="111">
        <f>Audit[[#This Row],[Audit Candidate 3]]-Audit[[#This Row],[Candidate 3]]</f>
        <v>-4</v>
      </c>
      <c r="V1453" s="111">
        <f>Audit[[#This Row],[Audit Candidate 4]]-Audit[[#This Row],[Candidate 4]]</f>
        <v>-2</v>
      </c>
      <c r="W1453" s="111">
        <f>Audit[[#This Row],[Audit Candidate 5]]-Audit[[#This Row],[Candidate 5]]</f>
        <v>0</v>
      </c>
      <c r="X1453" s="111">
        <f>Audit[[#This Row],[Audit Candidate 6]]-Audit[[#This Row],[Candidate 6]]</f>
        <v>0</v>
      </c>
      <c r="Y1453" s="111">
        <f>SUMIF(Audit[[#This Row],[Difference Loser]:[Difference Candidate 6]], "&gt;0")</f>
        <v>0</v>
      </c>
      <c r="Z1453" s="111">
        <f>SUM(Audit[[#This Row],[Difference Loser]:[Difference Candidate 6]])</f>
        <v>-35</v>
      </c>
      <c r="AA1453" s="111">
        <f>IF(Audit[[#This Row],[Times p Drawn - With Replacement]]&gt;0, IF(Audit[[#This Row],[Canceled Differences]]&lt;0, Audit[[#This Row],[Max Differences]]+ABS(Audit[[#This Row],[Canceled Differences]]), Audit[[#This Row],[Max Differences]]), 0)</f>
        <v>0</v>
      </c>
      <c r="AB1453" s="111">
        <f>'Sampling Data'!P1446</f>
        <v>2.6335129838314553E-3</v>
      </c>
      <c r="AC1453" s="111">
        <f>IF(
      SUM(Audit[[#This Row],[Audit Losing Candidate]:[Audit Candidate 6]])
      &lt;&gt;0,
      (Audit[[#This Row],[Winning Candidate]]-Audit[[#This Row],[Losing Candidate]]-(Audit[[#This Row],[Audit Winning Candidate]]-Audit[[#This Row],[Audit Losing Candidate]]))/(Audit[[#Totals],[Winning Candidate]]-Audit[[#Totals],[Losing Candidate]]),
      0
)</f>
        <v>0</v>
      </c>
      <c r="AD14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3" s="111">
        <f>IF(Audit[[#This Row],[Max Relative Error (ep)]] = 0, 0, Audit[[#This Row],[Max Relative Error (ep)]]/Audit[[#This Row],[Error Bound (up) - Max. possible relative overstatement]])</f>
        <v>0</v>
      </c>
      <c r="AJ14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53" s="111">
        <f t="shared" si="22"/>
        <v>1</v>
      </c>
      <c r="AL1453" s="111">
        <f>PRODUCT($AK$5:AK1453)</f>
        <v>8.962823818226312E-2</v>
      </c>
      <c r="AM1453" s="109">
        <f>1 - [K-M P Value]</f>
        <v>0.91037176181773694</v>
      </c>
      <c r="AN1453" s="111" t="str">
        <f>IF(Audit[[#This Row],[K-M P Value]]&gt;1-'General Info'!$B$16,"Continue", "Stop")</f>
        <v>Stop</v>
      </c>
      <c r="AO1453" s="110" t="b">
        <f>IF(Audit[[#This Row],[Status - Continue or stop audit]] = "Continue", TRUE, IF(AN1452 = "Continue", TRUE, FALSE))</f>
        <v>0</v>
      </c>
      <c r="AP1453" s="110"/>
    </row>
    <row r="1454" spans="1:42" ht="15" hidden="1" customHeight="1">
      <c r="A1454" s="111" t="str">
        <f>'Sampling Data'!W1447</f>
        <v/>
      </c>
      <c r="B1454" s="112" t="str">
        <f>'Sampling Data'!A1447</f>
        <v>MAYFIELD VILLAGE -03-A</v>
      </c>
      <c r="C1454" s="112">
        <f>'Sampling Data'!B1447</f>
        <v>17</v>
      </c>
      <c r="D1454" s="112">
        <f>'Sampling Data'!C1447</f>
        <v>79</v>
      </c>
      <c r="E1454" s="113">
        <f>'Sampling Data'!D1447</f>
        <v>15</v>
      </c>
      <c r="F1454" s="113">
        <f>'Sampling Data'!E1447</f>
        <v>10</v>
      </c>
      <c r="G1454" s="113">
        <f>'Sampling Data'!F1447</f>
        <v>0</v>
      </c>
      <c r="H1454" s="113">
        <f>'Sampling Data'!G1447</f>
        <v>0</v>
      </c>
      <c r="I1454" s="112">
        <f>'Sampling Data'!H1447</f>
        <v>0</v>
      </c>
      <c r="J1454" s="112">
        <f>'Sampling Data'!I1447</f>
        <v>0</v>
      </c>
      <c r="K1454" s="112">
        <f>'Sampling Data'!J1447</f>
        <v>121</v>
      </c>
      <c r="L1454" s="111">
        <f>'Sampling Data'!X1447</f>
        <v>0</v>
      </c>
      <c r="M1454" s="114"/>
      <c r="N1454" s="114"/>
      <c r="O1454" s="115"/>
      <c r="P1454" s="115"/>
      <c r="Q1454" s="116"/>
      <c r="R1454" s="116"/>
      <c r="S1454" s="111">
        <f>Audit[[#This Row],[Audit Losing Candidate]]-Audit[[#This Row],[Losing Candidate]]</f>
        <v>-17</v>
      </c>
      <c r="T1454" s="111">
        <f>Audit[[#This Row],[Audit Winning Candidate]]-Audit[[#This Row],[Winning Candidate]]</f>
        <v>-79</v>
      </c>
      <c r="U1454" s="111">
        <f>Audit[[#This Row],[Audit Candidate 3]]-Audit[[#This Row],[Candidate 3]]</f>
        <v>-15</v>
      </c>
      <c r="V1454" s="111">
        <f>Audit[[#This Row],[Audit Candidate 4]]-Audit[[#This Row],[Candidate 4]]</f>
        <v>-10</v>
      </c>
      <c r="W1454" s="111">
        <f>Audit[[#This Row],[Audit Candidate 5]]-Audit[[#This Row],[Candidate 5]]</f>
        <v>0</v>
      </c>
      <c r="X1454" s="111">
        <f>Audit[[#This Row],[Audit Candidate 6]]-Audit[[#This Row],[Candidate 6]]</f>
        <v>0</v>
      </c>
      <c r="Y1454" s="111">
        <f>SUMIF(Audit[[#This Row],[Difference Loser]:[Difference Candidate 6]], "&gt;0")</f>
        <v>0</v>
      </c>
      <c r="Z1454" s="111">
        <f>SUM(Audit[[#This Row],[Difference Loser]:[Difference Candidate 6]])</f>
        <v>-121</v>
      </c>
      <c r="AA1454" s="111">
        <f>IF(Audit[[#This Row],[Times p Drawn - With Replacement]]&gt;0, IF(Audit[[#This Row],[Canceled Differences]]&lt;0, Audit[[#This Row],[Max Differences]]+ABS(Audit[[#This Row],[Canceled Differences]]), Audit[[#This Row],[Max Differences]]), 0)</f>
        <v>0</v>
      </c>
      <c r="AB1454" s="111">
        <f>'Sampling Data'!P1447</f>
        <v>1.1207741303282705E-2</v>
      </c>
      <c r="AC1454" s="111">
        <f>IF(
      SUM(Audit[[#This Row],[Audit Losing Candidate]:[Audit Candidate 6]])
      &lt;&gt;0,
      (Audit[[#This Row],[Winning Candidate]]-Audit[[#This Row],[Losing Candidate]]-(Audit[[#This Row],[Audit Winning Candidate]]-Audit[[#This Row],[Audit Losing Candidate]]))/(Audit[[#Totals],[Winning Candidate]]-Audit[[#Totals],[Losing Candidate]]),
      0
)</f>
        <v>0</v>
      </c>
      <c r="AD14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4" s="111">
        <f>IF(Audit[[#This Row],[Max Relative Error (ep)]] = 0, 0, Audit[[#This Row],[Max Relative Error (ep)]]/Audit[[#This Row],[Error Bound (up) - Max. possible relative overstatement]])</f>
        <v>0</v>
      </c>
      <c r="AJ14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54" s="111">
        <f t="shared" si="22"/>
        <v>1</v>
      </c>
      <c r="AL1454" s="111">
        <f>PRODUCT($AK$5:AK1454)</f>
        <v>8.962823818226312E-2</v>
      </c>
      <c r="AM1454" s="109">
        <f>1 - [K-M P Value]</f>
        <v>0.91037176181773694</v>
      </c>
      <c r="AN1454" s="111" t="str">
        <f>IF(Audit[[#This Row],[K-M P Value]]&gt;1-'General Info'!$B$16,"Continue", "Stop")</f>
        <v>Stop</v>
      </c>
      <c r="AO1454" s="110" t="b">
        <f>IF(Audit[[#This Row],[Status - Continue or stop audit]] = "Continue", TRUE, IF(AN1453 = "Continue", TRUE, FALSE))</f>
        <v>0</v>
      </c>
      <c r="AP1454" s="110"/>
    </row>
    <row r="1455" spans="1:42" ht="15" hidden="1" customHeight="1">
      <c r="A1455" s="111" t="str">
        <f>'Sampling Data'!W1448</f>
        <v/>
      </c>
      <c r="B1455" s="112" t="str">
        <f>'Sampling Data'!A1448</f>
        <v>MAYFIELD VILLAGE -03-A - ABS</v>
      </c>
      <c r="C1455" s="112">
        <f>'Sampling Data'!B1448</f>
        <v>15</v>
      </c>
      <c r="D1455" s="112">
        <f>'Sampling Data'!C1448</f>
        <v>30</v>
      </c>
      <c r="E1455" s="113">
        <f>'Sampling Data'!D1448</f>
        <v>4</v>
      </c>
      <c r="F1455" s="113">
        <f>'Sampling Data'!E1448</f>
        <v>3</v>
      </c>
      <c r="G1455" s="113">
        <f>'Sampling Data'!F1448</f>
        <v>1</v>
      </c>
      <c r="H1455" s="113">
        <f>'Sampling Data'!G1448</f>
        <v>0</v>
      </c>
      <c r="I1455" s="112">
        <f>'Sampling Data'!H1448</f>
        <v>0</v>
      </c>
      <c r="J1455" s="112">
        <f>'Sampling Data'!I1448</f>
        <v>0</v>
      </c>
      <c r="K1455" s="112">
        <f>'Sampling Data'!J1448</f>
        <v>53</v>
      </c>
      <c r="L1455" s="111">
        <f>'Sampling Data'!X1448</f>
        <v>0</v>
      </c>
      <c r="M1455" s="114"/>
      <c r="N1455" s="114"/>
      <c r="O1455" s="115"/>
      <c r="P1455" s="115"/>
      <c r="Q1455" s="116"/>
      <c r="R1455" s="116"/>
      <c r="S1455" s="111">
        <f>Audit[[#This Row],[Audit Losing Candidate]]-Audit[[#This Row],[Losing Candidate]]</f>
        <v>-15</v>
      </c>
      <c r="T1455" s="111">
        <f>Audit[[#This Row],[Audit Winning Candidate]]-Audit[[#This Row],[Winning Candidate]]</f>
        <v>-30</v>
      </c>
      <c r="U1455" s="111">
        <f>Audit[[#This Row],[Audit Candidate 3]]-Audit[[#This Row],[Candidate 3]]</f>
        <v>-4</v>
      </c>
      <c r="V1455" s="111">
        <f>Audit[[#This Row],[Audit Candidate 4]]-Audit[[#This Row],[Candidate 4]]</f>
        <v>-3</v>
      </c>
      <c r="W1455" s="111">
        <f>Audit[[#This Row],[Audit Candidate 5]]-Audit[[#This Row],[Candidate 5]]</f>
        <v>-1</v>
      </c>
      <c r="X1455" s="111">
        <f>Audit[[#This Row],[Audit Candidate 6]]-Audit[[#This Row],[Candidate 6]]</f>
        <v>0</v>
      </c>
      <c r="Y1455" s="111">
        <f>SUMIF(Audit[[#This Row],[Difference Loser]:[Difference Candidate 6]], "&gt;0")</f>
        <v>0</v>
      </c>
      <c r="Z1455" s="111">
        <f>SUM(Audit[[#This Row],[Difference Loser]:[Difference Candidate 6]])</f>
        <v>-53</v>
      </c>
      <c r="AA1455" s="111">
        <f>IF(Audit[[#This Row],[Times p Drawn - With Replacement]]&gt;0, IF(Audit[[#This Row],[Canceled Differences]]&lt;0, Audit[[#This Row],[Max Differences]]+ABS(Audit[[#This Row],[Canceled Differences]]), Audit[[#This Row],[Max Differences]]), 0)</f>
        <v>0</v>
      </c>
      <c r="AB1455" s="111">
        <f>'Sampling Data'!P1448</f>
        <v>4.1646251837334641E-3</v>
      </c>
      <c r="AC1455" s="111">
        <f>IF(
      SUM(Audit[[#This Row],[Audit Losing Candidate]:[Audit Candidate 6]])
      &lt;&gt;0,
      (Audit[[#This Row],[Winning Candidate]]-Audit[[#This Row],[Losing Candidate]]-(Audit[[#This Row],[Audit Winning Candidate]]-Audit[[#This Row],[Audit Losing Candidate]]))/(Audit[[#Totals],[Winning Candidate]]-Audit[[#Totals],[Losing Candidate]]),
      0
)</f>
        <v>0</v>
      </c>
      <c r="AD14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5" s="111">
        <f>IF(Audit[[#This Row],[Max Relative Error (ep)]] = 0, 0, Audit[[#This Row],[Max Relative Error (ep)]]/Audit[[#This Row],[Error Bound (up) - Max. possible relative overstatement]])</f>
        <v>0</v>
      </c>
      <c r="AJ14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55" s="111">
        <f t="shared" si="22"/>
        <v>1</v>
      </c>
      <c r="AL1455" s="111">
        <f>PRODUCT($AK$5:AK1455)</f>
        <v>8.962823818226312E-2</v>
      </c>
      <c r="AM1455" s="109">
        <f>1 - [K-M P Value]</f>
        <v>0.91037176181773694</v>
      </c>
      <c r="AN1455" s="111" t="str">
        <f>IF(Audit[[#This Row],[K-M P Value]]&gt;1-'General Info'!$B$16,"Continue", "Stop")</f>
        <v>Stop</v>
      </c>
      <c r="AO1455" s="110" t="b">
        <f>IF(Audit[[#This Row],[Status - Continue or stop audit]] = "Continue", TRUE, IF(AN1454 = "Continue", TRUE, FALSE))</f>
        <v>0</v>
      </c>
      <c r="AP1455" s="110"/>
    </row>
    <row r="1456" spans="1:42" ht="15" hidden="1" customHeight="1">
      <c r="A1456" s="111" t="str">
        <f>'Sampling Data'!W1449</f>
        <v/>
      </c>
      <c r="B1456" s="112" t="str">
        <f>'Sampling Data'!A1449</f>
        <v>MAYFIELD VILLAGE -04-A</v>
      </c>
      <c r="C1456" s="112">
        <f>'Sampling Data'!B1449</f>
        <v>22</v>
      </c>
      <c r="D1456" s="112">
        <f>'Sampling Data'!C1449</f>
        <v>44</v>
      </c>
      <c r="E1456" s="113">
        <f>'Sampling Data'!D1449</f>
        <v>12</v>
      </c>
      <c r="F1456" s="113">
        <f>'Sampling Data'!E1449</f>
        <v>7</v>
      </c>
      <c r="G1456" s="113">
        <f>'Sampling Data'!F1449</f>
        <v>0</v>
      </c>
      <c r="H1456" s="113">
        <f>'Sampling Data'!G1449</f>
        <v>0</v>
      </c>
      <c r="I1456" s="112">
        <f>'Sampling Data'!H1449</f>
        <v>0</v>
      </c>
      <c r="J1456" s="112">
        <f>'Sampling Data'!I1449</f>
        <v>3</v>
      </c>
      <c r="K1456" s="112">
        <f>'Sampling Data'!J1449</f>
        <v>88</v>
      </c>
      <c r="L1456" s="111">
        <f>'Sampling Data'!X1449</f>
        <v>0</v>
      </c>
      <c r="M1456" s="114"/>
      <c r="N1456" s="114"/>
      <c r="O1456" s="115"/>
      <c r="P1456" s="115"/>
      <c r="Q1456" s="116"/>
      <c r="R1456" s="116"/>
      <c r="S1456" s="111">
        <f>Audit[[#This Row],[Audit Losing Candidate]]-Audit[[#This Row],[Losing Candidate]]</f>
        <v>-22</v>
      </c>
      <c r="T1456" s="111">
        <f>Audit[[#This Row],[Audit Winning Candidate]]-Audit[[#This Row],[Winning Candidate]]</f>
        <v>-44</v>
      </c>
      <c r="U1456" s="111">
        <f>Audit[[#This Row],[Audit Candidate 3]]-Audit[[#This Row],[Candidate 3]]</f>
        <v>-12</v>
      </c>
      <c r="V1456" s="111">
        <f>Audit[[#This Row],[Audit Candidate 4]]-Audit[[#This Row],[Candidate 4]]</f>
        <v>-7</v>
      </c>
      <c r="W1456" s="111">
        <f>Audit[[#This Row],[Audit Candidate 5]]-Audit[[#This Row],[Candidate 5]]</f>
        <v>0</v>
      </c>
      <c r="X1456" s="111">
        <f>Audit[[#This Row],[Audit Candidate 6]]-Audit[[#This Row],[Candidate 6]]</f>
        <v>0</v>
      </c>
      <c r="Y1456" s="111">
        <f>SUMIF(Audit[[#This Row],[Difference Loser]:[Difference Candidate 6]], "&gt;0")</f>
        <v>0</v>
      </c>
      <c r="Z1456" s="111">
        <f>SUM(Audit[[#This Row],[Difference Loser]:[Difference Candidate 6]])</f>
        <v>-85</v>
      </c>
      <c r="AA1456" s="111">
        <f>IF(Audit[[#This Row],[Times p Drawn - With Replacement]]&gt;0, IF(Audit[[#This Row],[Canceled Differences]]&lt;0, Audit[[#This Row],[Max Differences]]+ABS(Audit[[#This Row],[Canceled Differences]]), Audit[[#This Row],[Max Differences]]), 0)</f>
        <v>0</v>
      </c>
      <c r="AB1456" s="111">
        <f>'Sampling Data'!P1449</f>
        <v>6.7368936795688386E-3</v>
      </c>
      <c r="AC1456" s="111">
        <f>IF(
      SUM(Audit[[#This Row],[Audit Losing Candidate]:[Audit Candidate 6]])
      &lt;&gt;0,
      (Audit[[#This Row],[Winning Candidate]]-Audit[[#This Row],[Losing Candidate]]-(Audit[[#This Row],[Audit Winning Candidate]]-Audit[[#This Row],[Audit Losing Candidate]]))/(Audit[[#Totals],[Winning Candidate]]-Audit[[#Totals],[Losing Candidate]]),
      0
)</f>
        <v>0</v>
      </c>
      <c r="AD14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6" s="111">
        <f>IF(Audit[[#This Row],[Max Relative Error (ep)]] = 0, 0, Audit[[#This Row],[Max Relative Error (ep)]]/Audit[[#This Row],[Error Bound (up) - Max. possible relative overstatement]])</f>
        <v>0</v>
      </c>
      <c r="AJ14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56" s="111">
        <f t="shared" si="22"/>
        <v>1</v>
      </c>
      <c r="AL1456" s="111">
        <f>PRODUCT($AK$5:AK1456)</f>
        <v>8.962823818226312E-2</v>
      </c>
      <c r="AM1456" s="109">
        <f>1 - [K-M P Value]</f>
        <v>0.91037176181773694</v>
      </c>
      <c r="AN1456" s="111" t="str">
        <f>IF(Audit[[#This Row],[K-M P Value]]&gt;1-'General Info'!$B$16,"Continue", "Stop")</f>
        <v>Stop</v>
      </c>
      <c r="AO1456" s="110" t="b">
        <f>IF(Audit[[#This Row],[Status - Continue or stop audit]] = "Continue", TRUE, IF(AN1455 = "Continue", TRUE, FALSE))</f>
        <v>0</v>
      </c>
      <c r="AP1456" s="110"/>
    </row>
    <row r="1457" spans="1:42" ht="15" hidden="1" customHeight="1">
      <c r="A1457" s="111" t="str">
        <f>'Sampling Data'!W1450</f>
        <v/>
      </c>
      <c r="B1457" s="112" t="str">
        <f>'Sampling Data'!A1450</f>
        <v>MAYFIELD VILLAGE -04-A - ABS</v>
      </c>
      <c r="C1457" s="112">
        <f>'Sampling Data'!B1450</f>
        <v>8</v>
      </c>
      <c r="D1457" s="112">
        <f>'Sampling Data'!C1450</f>
        <v>22</v>
      </c>
      <c r="E1457" s="113">
        <f>'Sampling Data'!D1450</f>
        <v>5</v>
      </c>
      <c r="F1457" s="113">
        <f>'Sampling Data'!E1450</f>
        <v>2</v>
      </c>
      <c r="G1457" s="113">
        <f>'Sampling Data'!F1450</f>
        <v>0</v>
      </c>
      <c r="H1457" s="113">
        <f>'Sampling Data'!G1450</f>
        <v>0</v>
      </c>
      <c r="I1457" s="112">
        <f>'Sampling Data'!H1450</f>
        <v>0</v>
      </c>
      <c r="J1457" s="112">
        <f>'Sampling Data'!I1450</f>
        <v>0</v>
      </c>
      <c r="K1457" s="112">
        <f>'Sampling Data'!J1450</f>
        <v>37</v>
      </c>
      <c r="L1457" s="111">
        <f>'Sampling Data'!X1450</f>
        <v>0</v>
      </c>
      <c r="M1457" s="114"/>
      <c r="N1457" s="114"/>
      <c r="O1457" s="115"/>
      <c r="P1457" s="115"/>
      <c r="Q1457" s="116"/>
      <c r="R1457" s="116"/>
      <c r="S1457" s="111">
        <f>Audit[[#This Row],[Audit Losing Candidate]]-Audit[[#This Row],[Losing Candidate]]</f>
        <v>-8</v>
      </c>
      <c r="T1457" s="111">
        <f>Audit[[#This Row],[Audit Winning Candidate]]-Audit[[#This Row],[Winning Candidate]]</f>
        <v>-22</v>
      </c>
      <c r="U1457" s="111">
        <f>Audit[[#This Row],[Audit Candidate 3]]-Audit[[#This Row],[Candidate 3]]</f>
        <v>-5</v>
      </c>
      <c r="V1457" s="111">
        <f>Audit[[#This Row],[Audit Candidate 4]]-Audit[[#This Row],[Candidate 4]]</f>
        <v>-2</v>
      </c>
      <c r="W1457" s="111">
        <f>Audit[[#This Row],[Audit Candidate 5]]-Audit[[#This Row],[Candidate 5]]</f>
        <v>0</v>
      </c>
      <c r="X1457" s="111">
        <f>Audit[[#This Row],[Audit Candidate 6]]-Audit[[#This Row],[Candidate 6]]</f>
        <v>0</v>
      </c>
      <c r="Y1457" s="111">
        <f>SUMIF(Audit[[#This Row],[Difference Loser]:[Difference Candidate 6]], "&gt;0")</f>
        <v>0</v>
      </c>
      <c r="Z1457" s="111">
        <f>SUM(Audit[[#This Row],[Difference Loser]:[Difference Candidate 6]])</f>
        <v>-37</v>
      </c>
      <c r="AA1457" s="111">
        <f>IF(Audit[[#This Row],[Times p Drawn - With Replacement]]&gt;0, IF(Audit[[#This Row],[Canceled Differences]]&lt;0, Audit[[#This Row],[Max Differences]]+ABS(Audit[[#This Row],[Canceled Differences]]), Audit[[#This Row],[Max Differences]]), 0)</f>
        <v>0</v>
      </c>
      <c r="AB1457" s="111">
        <f>'Sampling Data'!P1450</f>
        <v>3.1234688878000981E-3</v>
      </c>
      <c r="AC1457" s="111">
        <f>IF(
      SUM(Audit[[#This Row],[Audit Losing Candidate]:[Audit Candidate 6]])
      &lt;&gt;0,
      (Audit[[#This Row],[Winning Candidate]]-Audit[[#This Row],[Losing Candidate]]-(Audit[[#This Row],[Audit Winning Candidate]]-Audit[[#This Row],[Audit Losing Candidate]]))/(Audit[[#Totals],[Winning Candidate]]-Audit[[#Totals],[Losing Candidate]]),
      0
)</f>
        <v>0</v>
      </c>
      <c r="AD14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7" s="111">
        <f>IF(Audit[[#This Row],[Max Relative Error (ep)]] = 0, 0, Audit[[#This Row],[Max Relative Error (ep)]]/Audit[[#This Row],[Error Bound (up) - Max. possible relative overstatement]])</f>
        <v>0</v>
      </c>
      <c r="AJ14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57" s="111">
        <f t="shared" si="22"/>
        <v>1</v>
      </c>
      <c r="AL1457" s="111">
        <f>PRODUCT($AK$5:AK1457)</f>
        <v>8.962823818226312E-2</v>
      </c>
      <c r="AM1457" s="109">
        <f>1 - [K-M P Value]</f>
        <v>0.91037176181773694</v>
      </c>
      <c r="AN1457" s="111" t="str">
        <f>IF(Audit[[#This Row],[K-M P Value]]&gt;1-'General Info'!$B$16,"Continue", "Stop")</f>
        <v>Stop</v>
      </c>
      <c r="AO1457" s="110" t="b">
        <f>IF(Audit[[#This Row],[Status - Continue or stop audit]] = "Continue", TRUE, IF(AN1456 = "Continue", TRUE, FALSE))</f>
        <v>0</v>
      </c>
      <c r="AP1457" s="110"/>
    </row>
    <row r="1458" spans="1:42" ht="15" hidden="1" customHeight="1">
      <c r="A1458" s="111" t="str">
        <f>'Sampling Data'!W1451</f>
        <v/>
      </c>
      <c r="B1458" s="112" t="str">
        <f>'Sampling Data'!A1451</f>
        <v>MIDDLEBURG HEIGHTS -01-A</v>
      </c>
      <c r="C1458" s="112">
        <f>'Sampling Data'!B1451</f>
        <v>34</v>
      </c>
      <c r="D1458" s="112">
        <f>'Sampling Data'!C1451</f>
        <v>38</v>
      </c>
      <c r="E1458" s="113">
        <f>'Sampling Data'!D1451</f>
        <v>11</v>
      </c>
      <c r="F1458" s="113">
        <f>'Sampling Data'!E1451</f>
        <v>7</v>
      </c>
      <c r="G1458" s="113">
        <f>'Sampling Data'!F1451</f>
        <v>0</v>
      </c>
      <c r="H1458" s="113">
        <f>'Sampling Data'!G1451</f>
        <v>0</v>
      </c>
      <c r="I1458" s="112">
        <f>'Sampling Data'!H1451</f>
        <v>0</v>
      </c>
      <c r="J1458" s="112">
        <f>'Sampling Data'!I1451</f>
        <v>1</v>
      </c>
      <c r="K1458" s="112">
        <f>'Sampling Data'!J1451</f>
        <v>91</v>
      </c>
      <c r="L1458" s="111">
        <f>'Sampling Data'!X1451</f>
        <v>0</v>
      </c>
      <c r="M1458" s="114"/>
      <c r="N1458" s="114"/>
      <c r="O1458" s="115"/>
      <c r="P1458" s="115"/>
      <c r="Q1458" s="116"/>
      <c r="R1458" s="116"/>
      <c r="S1458" s="111">
        <f>Audit[[#This Row],[Audit Losing Candidate]]-Audit[[#This Row],[Losing Candidate]]</f>
        <v>-34</v>
      </c>
      <c r="T1458" s="111">
        <f>Audit[[#This Row],[Audit Winning Candidate]]-Audit[[#This Row],[Winning Candidate]]</f>
        <v>-38</v>
      </c>
      <c r="U1458" s="111">
        <f>Audit[[#This Row],[Audit Candidate 3]]-Audit[[#This Row],[Candidate 3]]</f>
        <v>-11</v>
      </c>
      <c r="V1458" s="111">
        <f>Audit[[#This Row],[Audit Candidate 4]]-Audit[[#This Row],[Candidate 4]]</f>
        <v>-7</v>
      </c>
      <c r="W1458" s="111">
        <f>Audit[[#This Row],[Audit Candidate 5]]-Audit[[#This Row],[Candidate 5]]</f>
        <v>0</v>
      </c>
      <c r="X1458" s="111">
        <f>Audit[[#This Row],[Audit Candidate 6]]-Audit[[#This Row],[Candidate 6]]</f>
        <v>0</v>
      </c>
      <c r="Y1458" s="111">
        <f>SUMIF(Audit[[#This Row],[Difference Loser]:[Difference Candidate 6]], "&gt;0")</f>
        <v>0</v>
      </c>
      <c r="Z1458" s="111">
        <f>SUM(Audit[[#This Row],[Difference Loser]:[Difference Candidate 6]])</f>
        <v>-90</v>
      </c>
      <c r="AA1458" s="111">
        <f>IF(Audit[[#This Row],[Times p Drawn - With Replacement]]&gt;0, IF(Audit[[#This Row],[Canceled Differences]]&lt;0, Audit[[#This Row],[Max Differences]]+ABS(Audit[[#This Row],[Canceled Differences]]), Audit[[#This Row],[Max Differences]]), 0)</f>
        <v>0</v>
      </c>
      <c r="AB1458" s="111">
        <f>'Sampling Data'!P1451</f>
        <v>5.8182263596276334E-3</v>
      </c>
      <c r="AC1458" s="111">
        <f>IF(
      SUM(Audit[[#This Row],[Audit Losing Candidate]:[Audit Candidate 6]])
      &lt;&gt;0,
      (Audit[[#This Row],[Winning Candidate]]-Audit[[#This Row],[Losing Candidate]]-(Audit[[#This Row],[Audit Winning Candidate]]-Audit[[#This Row],[Audit Losing Candidate]]))/(Audit[[#Totals],[Winning Candidate]]-Audit[[#Totals],[Losing Candidate]]),
      0
)</f>
        <v>0</v>
      </c>
      <c r="AD14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8" s="111">
        <f>IF(Audit[[#This Row],[Max Relative Error (ep)]] = 0, 0, Audit[[#This Row],[Max Relative Error (ep)]]/Audit[[#This Row],[Error Bound (up) - Max. possible relative overstatement]])</f>
        <v>0</v>
      </c>
      <c r="AJ14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58" s="111">
        <f t="shared" si="22"/>
        <v>1</v>
      </c>
      <c r="AL1458" s="111">
        <f>PRODUCT($AK$5:AK1458)</f>
        <v>8.962823818226312E-2</v>
      </c>
      <c r="AM1458" s="109">
        <f>1 - [K-M P Value]</f>
        <v>0.91037176181773694</v>
      </c>
      <c r="AN1458" s="111" t="str">
        <f>IF(Audit[[#This Row],[K-M P Value]]&gt;1-'General Info'!$B$16,"Continue", "Stop")</f>
        <v>Stop</v>
      </c>
      <c r="AO1458" s="110" t="b">
        <f>IF(Audit[[#This Row],[Status - Continue or stop audit]] = "Continue", TRUE, IF(AN1457 = "Continue", TRUE, FALSE))</f>
        <v>0</v>
      </c>
      <c r="AP1458" s="110"/>
    </row>
    <row r="1459" spans="1:42" ht="15" hidden="1" customHeight="1">
      <c r="A1459" s="111" t="str">
        <f>'Sampling Data'!W1452</f>
        <v/>
      </c>
      <c r="B1459" s="112" t="str">
        <f>'Sampling Data'!A1452</f>
        <v>MIDDLEBURG HEIGHTS -01-A - ABS</v>
      </c>
      <c r="C1459" s="112">
        <f>'Sampling Data'!B1452</f>
        <v>13</v>
      </c>
      <c r="D1459" s="112">
        <f>'Sampling Data'!C1452</f>
        <v>28</v>
      </c>
      <c r="E1459" s="113">
        <f>'Sampling Data'!D1452</f>
        <v>7</v>
      </c>
      <c r="F1459" s="113">
        <f>'Sampling Data'!E1452</f>
        <v>2</v>
      </c>
      <c r="G1459" s="113">
        <f>'Sampling Data'!F1452</f>
        <v>1</v>
      </c>
      <c r="H1459" s="113">
        <f>'Sampling Data'!G1452</f>
        <v>1</v>
      </c>
      <c r="I1459" s="112">
        <f>'Sampling Data'!H1452</f>
        <v>0</v>
      </c>
      <c r="J1459" s="112">
        <f>'Sampling Data'!I1452</f>
        <v>3</v>
      </c>
      <c r="K1459" s="112">
        <f>'Sampling Data'!J1452</f>
        <v>55</v>
      </c>
      <c r="L1459" s="111">
        <f>'Sampling Data'!X1452</f>
        <v>0</v>
      </c>
      <c r="M1459" s="114"/>
      <c r="N1459" s="114"/>
      <c r="O1459" s="115"/>
      <c r="P1459" s="115"/>
      <c r="Q1459" s="116"/>
      <c r="R1459" s="116"/>
      <c r="S1459" s="111">
        <f>Audit[[#This Row],[Audit Losing Candidate]]-Audit[[#This Row],[Losing Candidate]]</f>
        <v>-13</v>
      </c>
      <c r="T1459" s="111">
        <f>Audit[[#This Row],[Audit Winning Candidate]]-Audit[[#This Row],[Winning Candidate]]</f>
        <v>-28</v>
      </c>
      <c r="U1459" s="111">
        <f>Audit[[#This Row],[Audit Candidate 3]]-Audit[[#This Row],[Candidate 3]]</f>
        <v>-7</v>
      </c>
      <c r="V1459" s="111">
        <f>Audit[[#This Row],[Audit Candidate 4]]-Audit[[#This Row],[Candidate 4]]</f>
        <v>-2</v>
      </c>
      <c r="W1459" s="111">
        <f>Audit[[#This Row],[Audit Candidate 5]]-Audit[[#This Row],[Candidate 5]]</f>
        <v>-1</v>
      </c>
      <c r="X1459" s="111">
        <f>Audit[[#This Row],[Audit Candidate 6]]-Audit[[#This Row],[Candidate 6]]</f>
        <v>-1</v>
      </c>
      <c r="Y1459" s="111">
        <f>SUMIF(Audit[[#This Row],[Difference Loser]:[Difference Candidate 6]], "&gt;0")</f>
        <v>0</v>
      </c>
      <c r="Z1459" s="111">
        <f>SUM(Audit[[#This Row],[Difference Loser]:[Difference Candidate 6]])</f>
        <v>-52</v>
      </c>
      <c r="AA1459" s="111">
        <f>IF(Audit[[#This Row],[Times p Drawn - With Replacement]]&gt;0, IF(Audit[[#This Row],[Canceled Differences]]&lt;0, Audit[[#This Row],[Max Differences]]+ABS(Audit[[#This Row],[Canceled Differences]]), Audit[[#This Row],[Max Differences]]), 0)</f>
        <v>0</v>
      </c>
      <c r="AB1459" s="111">
        <f>'Sampling Data'!P1452</f>
        <v>4.2871141597256249E-3</v>
      </c>
      <c r="AC1459" s="111">
        <f>IF(
      SUM(Audit[[#This Row],[Audit Losing Candidate]:[Audit Candidate 6]])
      &lt;&gt;0,
      (Audit[[#This Row],[Winning Candidate]]-Audit[[#This Row],[Losing Candidate]]-(Audit[[#This Row],[Audit Winning Candidate]]-Audit[[#This Row],[Audit Losing Candidate]]))/(Audit[[#Totals],[Winning Candidate]]-Audit[[#Totals],[Losing Candidate]]),
      0
)</f>
        <v>0</v>
      </c>
      <c r="AD14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9" s="111">
        <f>IF(Audit[[#This Row],[Max Relative Error (ep)]] = 0, 0, Audit[[#This Row],[Max Relative Error (ep)]]/Audit[[#This Row],[Error Bound (up) - Max. possible relative overstatement]])</f>
        <v>0</v>
      </c>
      <c r="AJ14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59" s="111">
        <f t="shared" si="22"/>
        <v>1</v>
      </c>
      <c r="AL1459" s="111">
        <f>PRODUCT($AK$5:AK1459)</f>
        <v>8.962823818226312E-2</v>
      </c>
      <c r="AM1459" s="109">
        <f>1 - [K-M P Value]</f>
        <v>0.91037176181773694</v>
      </c>
      <c r="AN1459" s="111" t="str">
        <f>IF(Audit[[#This Row],[K-M P Value]]&gt;1-'General Info'!$B$16,"Continue", "Stop")</f>
        <v>Stop</v>
      </c>
      <c r="AO1459" s="110" t="b">
        <f>IF(Audit[[#This Row],[Status - Continue or stop audit]] = "Continue", TRUE, IF(AN1458 = "Continue", TRUE, FALSE))</f>
        <v>0</v>
      </c>
      <c r="AP1459" s="110"/>
    </row>
    <row r="1460" spans="1:42" ht="15" hidden="1" customHeight="1">
      <c r="A1460" s="111" t="str">
        <f>'Sampling Data'!W1453</f>
        <v/>
      </c>
      <c r="B1460" s="112" t="str">
        <f>'Sampling Data'!A1453</f>
        <v>MIDDLEBURG HEIGHTS -01-B</v>
      </c>
      <c r="C1460" s="112">
        <f>'Sampling Data'!B1453</f>
        <v>21</v>
      </c>
      <c r="D1460" s="112">
        <f>'Sampling Data'!C1453</f>
        <v>21</v>
      </c>
      <c r="E1460" s="113">
        <f>'Sampling Data'!D1453</f>
        <v>4</v>
      </c>
      <c r="F1460" s="113">
        <f>'Sampling Data'!E1453</f>
        <v>3</v>
      </c>
      <c r="G1460" s="113">
        <f>'Sampling Data'!F1453</f>
        <v>0</v>
      </c>
      <c r="H1460" s="113">
        <f>'Sampling Data'!G1453</f>
        <v>0</v>
      </c>
      <c r="I1460" s="112">
        <f>'Sampling Data'!H1453</f>
        <v>0</v>
      </c>
      <c r="J1460" s="112">
        <f>'Sampling Data'!I1453</f>
        <v>1</v>
      </c>
      <c r="K1460" s="112">
        <f>'Sampling Data'!J1453</f>
        <v>50</v>
      </c>
      <c r="L1460" s="111">
        <f>'Sampling Data'!X1453</f>
        <v>0</v>
      </c>
      <c r="M1460" s="114"/>
      <c r="N1460" s="114"/>
      <c r="O1460" s="115"/>
      <c r="P1460" s="115"/>
      <c r="Q1460" s="116"/>
      <c r="R1460" s="116"/>
      <c r="S1460" s="111">
        <f>Audit[[#This Row],[Audit Losing Candidate]]-Audit[[#This Row],[Losing Candidate]]</f>
        <v>-21</v>
      </c>
      <c r="T1460" s="111">
        <f>Audit[[#This Row],[Audit Winning Candidate]]-Audit[[#This Row],[Winning Candidate]]</f>
        <v>-21</v>
      </c>
      <c r="U1460" s="111">
        <f>Audit[[#This Row],[Audit Candidate 3]]-Audit[[#This Row],[Candidate 3]]</f>
        <v>-4</v>
      </c>
      <c r="V1460" s="111">
        <f>Audit[[#This Row],[Audit Candidate 4]]-Audit[[#This Row],[Candidate 4]]</f>
        <v>-3</v>
      </c>
      <c r="W1460" s="111">
        <f>Audit[[#This Row],[Audit Candidate 5]]-Audit[[#This Row],[Candidate 5]]</f>
        <v>0</v>
      </c>
      <c r="X1460" s="111">
        <f>Audit[[#This Row],[Audit Candidate 6]]-Audit[[#This Row],[Candidate 6]]</f>
        <v>0</v>
      </c>
      <c r="Y1460" s="111">
        <f>SUMIF(Audit[[#This Row],[Difference Loser]:[Difference Candidate 6]], "&gt;0")</f>
        <v>0</v>
      </c>
      <c r="Z1460" s="111">
        <f>SUM(Audit[[#This Row],[Difference Loser]:[Difference Candidate 6]])</f>
        <v>-49</v>
      </c>
      <c r="AA1460" s="111">
        <f>IF(Audit[[#This Row],[Times p Drawn - With Replacement]]&gt;0, IF(Audit[[#This Row],[Canceled Differences]]&lt;0, Audit[[#This Row],[Max Differences]]+ABS(Audit[[#This Row],[Canceled Differences]]), Audit[[#This Row],[Max Differences]]), 0)</f>
        <v>0</v>
      </c>
      <c r="AB1460" s="111">
        <f>'Sampling Data'!P1453</f>
        <v>3.0622243998040177E-3</v>
      </c>
      <c r="AC1460" s="111">
        <f>IF(
      SUM(Audit[[#This Row],[Audit Losing Candidate]:[Audit Candidate 6]])
      &lt;&gt;0,
      (Audit[[#This Row],[Winning Candidate]]-Audit[[#This Row],[Losing Candidate]]-(Audit[[#This Row],[Audit Winning Candidate]]-Audit[[#This Row],[Audit Losing Candidate]]))/(Audit[[#Totals],[Winning Candidate]]-Audit[[#Totals],[Losing Candidate]]),
      0
)</f>
        <v>0</v>
      </c>
      <c r="AD14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0" s="111">
        <f>IF(Audit[[#This Row],[Max Relative Error (ep)]] = 0, 0, Audit[[#This Row],[Max Relative Error (ep)]]/Audit[[#This Row],[Error Bound (up) - Max. possible relative overstatement]])</f>
        <v>0</v>
      </c>
      <c r="AJ14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60" s="111">
        <f t="shared" si="22"/>
        <v>1</v>
      </c>
      <c r="AL1460" s="111">
        <f>PRODUCT($AK$5:AK1460)</f>
        <v>8.962823818226312E-2</v>
      </c>
      <c r="AM1460" s="109">
        <f>1 - [K-M P Value]</f>
        <v>0.91037176181773694</v>
      </c>
      <c r="AN1460" s="111" t="str">
        <f>IF(Audit[[#This Row],[K-M P Value]]&gt;1-'General Info'!$B$16,"Continue", "Stop")</f>
        <v>Stop</v>
      </c>
      <c r="AO1460" s="110" t="b">
        <f>IF(Audit[[#This Row],[Status - Continue or stop audit]] = "Continue", TRUE, IF(AN1459 = "Continue", TRUE, FALSE))</f>
        <v>0</v>
      </c>
      <c r="AP1460" s="110"/>
    </row>
    <row r="1461" spans="1:42" ht="15" hidden="1" customHeight="1">
      <c r="A1461" s="111" t="str">
        <f>'Sampling Data'!W1454</f>
        <v/>
      </c>
      <c r="B1461" s="112" t="str">
        <f>'Sampling Data'!A1454</f>
        <v>MIDDLEBURG HEIGHTS -01-B - ABS</v>
      </c>
      <c r="C1461" s="112">
        <f>'Sampling Data'!B1454</f>
        <v>5</v>
      </c>
      <c r="D1461" s="112">
        <f>'Sampling Data'!C1454</f>
        <v>7</v>
      </c>
      <c r="E1461" s="113">
        <f>'Sampling Data'!D1454</f>
        <v>10</v>
      </c>
      <c r="F1461" s="113">
        <f>'Sampling Data'!E1454</f>
        <v>0</v>
      </c>
      <c r="G1461" s="113">
        <f>'Sampling Data'!F1454</f>
        <v>0</v>
      </c>
      <c r="H1461" s="113">
        <f>'Sampling Data'!G1454</f>
        <v>0</v>
      </c>
      <c r="I1461" s="112">
        <f>'Sampling Data'!H1454</f>
        <v>0</v>
      </c>
      <c r="J1461" s="112">
        <f>'Sampling Data'!I1454</f>
        <v>0</v>
      </c>
      <c r="K1461" s="112">
        <f>'Sampling Data'!J1454</f>
        <v>22</v>
      </c>
      <c r="L1461" s="111">
        <f>'Sampling Data'!X1454</f>
        <v>0</v>
      </c>
      <c r="M1461" s="114"/>
      <c r="N1461" s="114"/>
      <c r="O1461" s="115"/>
      <c r="P1461" s="115"/>
      <c r="Q1461" s="116"/>
      <c r="R1461" s="116"/>
      <c r="S1461" s="111">
        <f>Audit[[#This Row],[Audit Losing Candidate]]-Audit[[#This Row],[Losing Candidate]]</f>
        <v>-5</v>
      </c>
      <c r="T1461" s="111">
        <f>Audit[[#This Row],[Audit Winning Candidate]]-Audit[[#This Row],[Winning Candidate]]</f>
        <v>-7</v>
      </c>
      <c r="U1461" s="111">
        <f>Audit[[#This Row],[Audit Candidate 3]]-Audit[[#This Row],[Candidate 3]]</f>
        <v>-10</v>
      </c>
      <c r="V1461" s="111">
        <f>Audit[[#This Row],[Audit Candidate 4]]-Audit[[#This Row],[Candidate 4]]</f>
        <v>0</v>
      </c>
      <c r="W1461" s="111">
        <f>Audit[[#This Row],[Audit Candidate 5]]-Audit[[#This Row],[Candidate 5]]</f>
        <v>0</v>
      </c>
      <c r="X1461" s="111">
        <f>Audit[[#This Row],[Audit Candidate 6]]-Audit[[#This Row],[Candidate 6]]</f>
        <v>0</v>
      </c>
      <c r="Y1461" s="111">
        <f>SUMIF(Audit[[#This Row],[Difference Loser]:[Difference Candidate 6]], "&gt;0")</f>
        <v>0</v>
      </c>
      <c r="Z1461" s="111">
        <f>SUM(Audit[[#This Row],[Difference Loser]:[Difference Candidate 6]])</f>
        <v>-22</v>
      </c>
      <c r="AA1461" s="111">
        <f>IF(Audit[[#This Row],[Times p Drawn - With Replacement]]&gt;0, IF(Audit[[#This Row],[Canceled Differences]]&lt;0, Audit[[#This Row],[Max Differences]]+ABS(Audit[[#This Row],[Canceled Differences]]), Audit[[#This Row],[Max Differences]]), 0)</f>
        <v>0</v>
      </c>
      <c r="AB1461" s="111">
        <f>'Sampling Data'!P1454</f>
        <v>1.4698677119059284E-3</v>
      </c>
      <c r="AC1461" s="111">
        <f>IF(
      SUM(Audit[[#This Row],[Audit Losing Candidate]:[Audit Candidate 6]])
      &lt;&gt;0,
      (Audit[[#This Row],[Winning Candidate]]-Audit[[#This Row],[Losing Candidate]]-(Audit[[#This Row],[Audit Winning Candidate]]-Audit[[#This Row],[Audit Losing Candidate]]))/(Audit[[#Totals],[Winning Candidate]]-Audit[[#Totals],[Losing Candidate]]),
      0
)</f>
        <v>0</v>
      </c>
      <c r="AD14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1" s="111">
        <f>IF(Audit[[#This Row],[Max Relative Error (ep)]] = 0, 0, Audit[[#This Row],[Max Relative Error (ep)]]/Audit[[#This Row],[Error Bound (up) - Max. possible relative overstatement]])</f>
        <v>0</v>
      </c>
      <c r="AJ14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61" s="111">
        <f t="shared" si="22"/>
        <v>1</v>
      </c>
      <c r="AL1461" s="111">
        <f>PRODUCT($AK$5:AK1461)</f>
        <v>8.962823818226312E-2</v>
      </c>
      <c r="AM1461" s="109">
        <f>1 - [K-M P Value]</f>
        <v>0.91037176181773694</v>
      </c>
      <c r="AN1461" s="111" t="str">
        <f>IF(Audit[[#This Row],[K-M P Value]]&gt;1-'General Info'!$B$16,"Continue", "Stop")</f>
        <v>Stop</v>
      </c>
      <c r="AO1461" s="110" t="b">
        <f>IF(Audit[[#This Row],[Status - Continue or stop audit]] = "Continue", TRUE, IF(AN1460 = "Continue", TRUE, FALSE))</f>
        <v>0</v>
      </c>
      <c r="AP1461" s="110"/>
    </row>
    <row r="1462" spans="1:42" ht="15" hidden="1" customHeight="1">
      <c r="A1462" s="111" t="str">
        <f>'Sampling Data'!W1455</f>
        <v/>
      </c>
      <c r="B1462" s="112" t="str">
        <f>'Sampling Data'!A1455</f>
        <v>MIDDLEBURG HEIGHTS -01-C</v>
      </c>
      <c r="C1462" s="112">
        <f>'Sampling Data'!B1455</f>
        <v>20</v>
      </c>
      <c r="D1462" s="112">
        <f>'Sampling Data'!C1455</f>
        <v>39</v>
      </c>
      <c r="E1462" s="113">
        <f>'Sampling Data'!D1455</f>
        <v>9</v>
      </c>
      <c r="F1462" s="113">
        <f>'Sampling Data'!E1455</f>
        <v>5</v>
      </c>
      <c r="G1462" s="113">
        <f>'Sampling Data'!F1455</f>
        <v>0</v>
      </c>
      <c r="H1462" s="113">
        <f>'Sampling Data'!G1455</f>
        <v>0</v>
      </c>
      <c r="I1462" s="112">
        <f>'Sampling Data'!H1455</f>
        <v>0</v>
      </c>
      <c r="J1462" s="112">
        <f>'Sampling Data'!I1455</f>
        <v>3</v>
      </c>
      <c r="K1462" s="112">
        <f>'Sampling Data'!J1455</f>
        <v>76</v>
      </c>
      <c r="L1462" s="111">
        <f>'Sampling Data'!X1455</f>
        <v>0</v>
      </c>
      <c r="M1462" s="114"/>
      <c r="N1462" s="114"/>
      <c r="O1462" s="115"/>
      <c r="P1462" s="115"/>
      <c r="Q1462" s="116"/>
      <c r="R1462" s="116"/>
      <c r="S1462" s="111">
        <f>Audit[[#This Row],[Audit Losing Candidate]]-Audit[[#This Row],[Losing Candidate]]</f>
        <v>-20</v>
      </c>
      <c r="T1462" s="111">
        <f>Audit[[#This Row],[Audit Winning Candidate]]-Audit[[#This Row],[Winning Candidate]]</f>
        <v>-39</v>
      </c>
      <c r="U1462" s="111">
        <f>Audit[[#This Row],[Audit Candidate 3]]-Audit[[#This Row],[Candidate 3]]</f>
        <v>-9</v>
      </c>
      <c r="V1462" s="111">
        <f>Audit[[#This Row],[Audit Candidate 4]]-Audit[[#This Row],[Candidate 4]]</f>
        <v>-5</v>
      </c>
      <c r="W1462" s="111">
        <f>Audit[[#This Row],[Audit Candidate 5]]-Audit[[#This Row],[Candidate 5]]</f>
        <v>0</v>
      </c>
      <c r="X1462" s="111">
        <f>Audit[[#This Row],[Audit Candidate 6]]-Audit[[#This Row],[Candidate 6]]</f>
        <v>0</v>
      </c>
      <c r="Y1462" s="111">
        <f>SUMIF(Audit[[#This Row],[Difference Loser]:[Difference Candidate 6]], "&gt;0")</f>
        <v>0</v>
      </c>
      <c r="Z1462" s="111">
        <f>SUM(Audit[[#This Row],[Difference Loser]:[Difference Candidate 6]])</f>
        <v>-73</v>
      </c>
      <c r="AA1462" s="111">
        <f>IF(Audit[[#This Row],[Times p Drawn - With Replacement]]&gt;0, IF(Audit[[#This Row],[Canceled Differences]]&lt;0, Audit[[#This Row],[Max Differences]]+ABS(Audit[[#This Row],[Canceled Differences]]), Audit[[#This Row],[Max Differences]]), 0)</f>
        <v>0</v>
      </c>
      <c r="AB1462" s="111">
        <f>'Sampling Data'!P1455</f>
        <v>5.8182263596276334E-3</v>
      </c>
      <c r="AC1462" s="111">
        <f>IF(
      SUM(Audit[[#This Row],[Audit Losing Candidate]:[Audit Candidate 6]])
      &lt;&gt;0,
      (Audit[[#This Row],[Winning Candidate]]-Audit[[#This Row],[Losing Candidate]]-(Audit[[#This Row],[Audit Winning Candidate]]-Audit[[#This Row],[Audit Losing Candidate]]))/(Audit[[#Totals],[Winning Candidate]]-Audit[[#Totals],[Losing Candidate]]),
      0
)</f>
        <v>0</v>
      </c>
      <c r="AD14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2" s="111">
        <f>IF(Audit[[#This Row],[Max Relative Error (ep)]] = 0, 0, Audit[[#This Row],[Max Relative Error (ep)]]/Audit[[#This Row],[Error Bound (up) - Max. possible relative overstatement]])</f>
        <v>0</v>
      </c>
      <c r="AJ14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62" s="111">
        <f t="shared" si="22"/>
        <v>1</v>
      </c>
      <c r="AL1462" s="111">
        <f>PRODUCT($AK$5:AK1462)</f>
        <v>8.962823818226312E-2</v>
      </c>
      <c r="AM1462" s="109">
        <f>1 - [K-M P Value]</f>
        <v>0.91037176181773694</v>
      </c>
      <c r="AN1462" s="111" t="str">
        <f>IF(Audit[[#This Row],[K-M P Value]]&gt;1-'General Info'!$B$16,"Continue", "Stop")</f>
        <v>Stop</v>
      </c>
      <c r="AO1462" s="110" t="b">
        <f>IF(Audit[[#This Row],[Status - Continue or stop audit]] = "Continue", TRUE, IF(AN1461 = "Continue", TRUE, FALSE))</f>
        <v>0</v>
      </c>
      <c r="AP1462" s="110"/>
    </row>
    <row r="1463" spans="1:42" ht="15" hidden="1" customHeight="1">
      <c r="A1463" s="111" t="str">
        <f>'Sampling Data'!W1456</f>
        <v/>
      </c>
      <c r="B1463" s="112" t="str">
        <f>'Sampling Data'!A1456</f>
        <v>MIDDLEBURG HEIGHTS -01-C - ABS</v>
      </c>
      <c r="C1463" s="112">
        <f>'Sampling Data'!B1456</f>
        <v>9</v>
      </c>
      <c r="D1463" s="112">
        <f>'Sampling Data'!C1456</f>
        <v>11</v>
      </c>
      <c r="E1463" s="113">
        <f>'Sampling Data'!D1456</f>
        <v>5</v>
      </c>
      <c r="F1463" s="113">
        <f>'Sampling Data'!E1456</f>
        <v>0</v>
      </c>
      <c r="G1463" s="113">
        <f>'Sampling Data'!F1456</f>
        <v>0</v>
      </c>
      <c r="H1463" s="113">
        <f>'Sampling Data'!G1456</f>
        <v>1</v>
      </c>
      <c r="I1463" s="112">
        <f>'Sampling Data'!H1456</f>
        <v>0</v>
      </c>
      <c r="J1463" s="112">
        <f>'Sampling Data'!I1456</f>
        <v>0</v>
      </c>
      <c r="K1463" s="112">
        <f>'Sampling Data'!J1456</f>
        <v>26</v>
      </c>
      <c r="L1463" s="111">
        <f>'Sampling Data'!X1456</f>
        <v>0</v>
      </c>
      <c r="M1463" s="114"/>
      <c r="N1463" s="114"/>
      <c r="O1463" s="115"/>
      <c r="P1463" s="115"/>
      <c r="Q1463" s="116"/>
      <c r="R1463" s="116"/>
      <c r="S1463" s="111">
        <f>Audit[[#This Row],[Audit Losing Candidate]]-Audit[[#This Row],[Losing Candidate]]</f>
        <v>-9</v>
      </c>
      <c r="T1463" s="111">
        <f>Audit[[#This Row],[Audit Winning Candidate]]-Audit[[#This Row],[Winning Candidate]]</f>
        <v>-11</v>
      </c>
      <c r="U1463" s="111">
        <f>Audit[[#This Row],[Audit Candidate 3]]-Audit[[#This Row],[Candidate 3]]</f>
        <v>-5</v>
      </c>
      <c r="V1463" s="111">
        <f>Audit[[#This Row],[Audit Candidate 4]]-Audit[[#This Row],[Candidate 4]]</f>
        <v>0</v>
      </c>
      <c r="W1463" s="111">
        <f>Audit[[#This Row],[Audit Candidate 5]]-Audit[[#This Row],[Candidate 5]]</f>
        <v>0</v>
      </c>
      <c r="X1463" s="111">
        <f>Audit[[#This Row],[Audit Candidate 6]]-Audit[[#This Row],[Candidate 6]]</f>
        <v>-1</v>
      </c>
      <c r="Y1463" s="111">
        <f>SUMIF(Audit[[#This Row],[Difference Loser]:[Difference Candidate 6]], "&gt;0")</f>
        <v>0</v>
      </c>
      <c r="Z1463" s="111">
        <f>SUM(Audit[[#This Row],[Difference Loser]:[Difference Candidate 6]])</f>
        <v>-26</v>
      </c>
      <c r="AA1463" s="111">
        <f>IF(Audit[[#This Row],[Times p Drawn - With Replacement]]&gt;0, IF(Audit[[#This Row],[Canceled Differences]]&lt;0, Audit[[#This Row],[Max Differences]]+ABS(Audit[[#This Row],[Canceled Differences]]), Audit[[#This Row],[Max Differences]]), 0)</f>
        <v>0</v>
      </c>
      <c r="AB1463" s="111">
        <f>'Sampling Data'!P1456</f>
        <v>1.7148456638902498E-3</v>
      </c>
      <c r="AC1463" s="111">
        <f>IF(
      SUM(Audit[[#This Row],[Audit Losing Candidate]:[Audit Candidate 6]])
      &lt;&gt;0,
      (Audit[[#This Row],[Winning Candidate]]-Audit[[#This Row],[Losing Candidate]]-(Audit[[#This Row],[Audit Winning Candidate]]-Audit[[#This Row],[Audit Losing Candidate]]))/(Audit[[#Totals],[Winning Candidate]]-Audit[[#Totals],[Losing Candidate]]),
      0
)</f>
        <v>0</v>
      </c>
      <c r="AD14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3" s="111">
        <f>IF(Audit[[#This Row],[Max Relative Error (ep)]] = 0, 0, Audit[[#This Row],[Max Relative Error (ep)]]/Audit[[#This Row],[Error Bound (up) - Max. possible relative overstatement]])</f>
        <v>0</v>
      </c>
      <c r="AJ14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63" s="111">
        <f t="shared" si="22"/>
        <v>1</v>
      </c>
      <c r="AL1463" s="111">
        <f>PRODUCT($AK$5:AK1463)</f>
        <v>8.962823818226312E-2</v>
      </c>
      <c r="AM1463" s="109">
        <f>1 - [K-M P Value]</f>
        <v>0.91037176181773694</v>
      </c>
      <c r="AN1463" s="111" t="str">
        <f>IF(Audit[[#This Row],[K-M P Value]]&gt;1-'General Info'!$B$16,"Continue", "Stop")</f>
        <v>Stop</v>
      </c>
      <c r="AO1463" s="110" t="b">
        <f>IF(Audit[[#This Row],[Status - Continue or stop audit]] = "Continue", TRUE, IF(AN1462 = "Continue", TRUE, FALSE))</f>
        <v>0</v>
      </c>
      <c r="AP1463" s="110"/>
    </row>
    <row r="1464" spans="1:42" ht="15" hidden="1" customHeight="1">
      <c r="A1464" s="111" t="str">
        <f>'Sampling Data'!W1457</f>
        <v/>
      </c>
      <c r="B1464" s="112" t="str">
        <f>'Sampling Data'!A1457</f>
        <v>MIDDLEBURG HEIGHTS -01-D</v>
      </c>
      <c r="C1464" s="112">
        <f>'Sampling Data'!B1457</f>
        <v>32</v>
      </c>
      <c r="D1464" s="112">
        <f>'Sampling Data'!C1457</f>
        <v>40</v>
      </c>
      <c r="E1464" s="113">
        <f>'Sampling Data'!D1457</f>
        <v>8</v>
      </c>
      <c r="F1464" s="113">
        <f>'Sampling Data'!E1457</f>
        <v>6</v>
      </c>
      <c r="G1464" s="113">
        <f>'Sampling Data'!F1457</f>
        <v>0</v>
      </c>
      <c r="H1464" s="113">
        <f>'Sampling Data'!G1457</f>
        <v>1</v>
      </c>
      <c r="I1464" s="112">
        <f>'Sampling Data'!H1457</f>
        <v>0</v>
      </c>
      <c r="J1464" s="112">
        <f>'Sampling Data'!I1457</f>
        <v>1</v>
      </c>
      <c r="K1464" s="112">
        <f>'Sampling Data'!J1457</f>
        <v>88</v>
      </c>
      <c r="L1464" s="111">
        <f>'Sampling Data'!X1457</f>
        <v>0</v>
      </c>
      <c r="M1464" s="114"/>
      <c r="N1464" s="114"/>
      <c r="O1464" s="115"/>
      <c r="P1464" s="115"/>
      <c r="Q1464" s="116"/>
      <c r="R1464" s="116"/>
      <c r="S1464" s="111">
        <f>Audit[[#This Row],[Audit Losing Candidate]]-Audit[[#This Row],[Losing Candidate]]</f>
        <v>-32</v>
      </c>
      <c r="T1464" s="111">
        <f>Audit[[#This Row],[Audit Winning Candidate]]-Audit[[#This Row],[Winning Candidate]]</f>
        <v>-40</v>
      </c>
      <c r="U1464" s="111">
        <f>Audit[[#This Row],[Audit Candidate 3]]-Audit[[#This Row],[Candidate 3]]</f>
        <v>-8</v>
      </c>
      <c r="V1464" s="111">
        <f>Audit[[#This Row],[Audit Candidate 4]]-Audit[[#This Row],[Candidate 4]]</f>
        <v>-6</v>
      </c>
      <c r="W1464" s="111">
        <f>Audit[[#This Row],[Audit Candidate 5]]-Audit[[#This Row],[Candidate 5]]</f>
        <v>0</v>
      </c>
      <c r="X1464" s="111">
        <f>Audit[[#This Row],[Audit Candidate 6]]-Audit[[#This Row],[Candidate 6]]</f>
        <v>-1</v>
      </c>
      <c r="Y1464" s="111">
        <f>SUMIF(Audit[[#This Row],[Difference Loser]:[Difference Candidate 6]], "&gt;0")</f>
        <v>0</v>
      </c>
      <c r="Z1464" s="111">
        <f>SUM(Audit[[#This Row],[Difference Loser]:[Difference Candidate 6]])</f>
        <v>-87</v>
      </c>
      <c r="AA1464" s="111">
        <f>IF(Audit[[#This Row],[Times p Drawn - With Replacement]]&gt;0, IF(Audit[[#This Row],[Canceled Differences]]&lt;0, Audit[[#This Row],[Max Differences]]+ABS(Audit[[#This Row],[Canceled Differences]]), Audit[[#This Row],[Max Differences]]), 0)</f>
        <v>0</v>
      </c>
      <c r="AB1464" s="111">
        <f>'Sampling Data'!P1457</f>
        <v>5.8794708476237138E-3</v>
      </c>
      <c r="AC1464" s="111">
        <f>IF(
      SUM(Audit[[#This Row],[Audit Losing Candidate]:[Audit Candidate 6]])
      &lt;&gt;0,
      (Audit[[#This Row],[Winning Candidate]]-Audit[[#This Row],[Losing Candidate]]-(Audit[[#This Row],[Audit Winning Candidate]]-Audit[[#This Row],[Audit Losing Candidate]]))/(Audit[[#Totals],[Winning Candidate]]-Audit[[#Totals],[Losing Candidate]]),
      0
)</f>
        <v>0</v>
      </c>
      <c r="AD14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4" s="111">
        <f>IF(Audit[[#This Row],[Max Relative Error (ep)]] = 0, 0, Audit[[#This Row],[Max Relative Error (ep)]]/Audit[[#This Row],[Error Bound (up) - Max. possible relative overstatement]])</f>
        <v>0</v>
      </c>
      <c r="AJ14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64" s="111">
        <f t="shared" si="22"/>
        <v>1</v>
      </c>
      <c r="AL1464" s="111">
        <f>PRODUCT($AK$5:AK1464)</f>
        <v>8.962823818226312E-2</v>
      </c>
      <c r="AM1464" s="109">
        <f>1 - [K-M P Value]</f>
        <v>0.91037176181773694</v>
      </c>
      <c r="AN1464" s="111" t="str">
        <f>IF(Audit[[#This Row],[K-M P Value]]&gt;1-'General Info'!$B$16,"Continue", "Stop")</f>
        <v>Stop</v>
      </c>
      <c r="AO1464" s="110" t="b">
        <f>IF(Audit[[#This Row],[Status - Continue or stop audit]] = "Continue", TRUE, IF(AN1463 = "Continue", TRUE, FALSE))</f>
        <v>0</v>
      </c>
      <c r="AP1464" s="110"/>
    </row>
    <row r="1465" spans="1:42" ht="15" hidden="1" customHeight="1">
      <c r="A1465" s="111" t="str">
        <f>'Sampling Data'!W1458</f>
        <v/>
      </c>
      <c r="B1465" s="112" t="str">
        <f>'Sampling Data'!A1458</f>
        <v>MIDDLEBURG HEIGHTS -01-D - ABS</v>
      </c>
      <c r="C1465" s="112">
        <f>'Sampling Data'!B1458</f>
        <v>13</v>
      </c>
      <c r="D1465" s="112">
        <f>'Sampling Data'!C1458</f>
        <v>15</v>
      </c>
      <c r="E1465" s="113">
        <f>'Sampling Data'!D1458</f>
        <v>6</v>
      </c>
      <c r="F1465" s="113">
        <f>'Sampling Data'!E1458</f>
        <v>6</v>
      </c>
      <c r="G1465" s="113">
        <f>'Sampling Data'!F1458</f>
        <v>0</v>
      </c>
      <c r="H1465" s="113">
        <f>'Sampling Data'!G1458</f>
        <v>0</v>
      </c>
      <c r="I1465" s="112">
        <f>'Sampling Data'!H1458</f>
        <v>0</v>
      </c>
      <c r="J1465" s="112">
        <f>'Sampling Data'!I1458</f>
        <v>1</v>
      </c>
      <c r="K1465" s="112">
        <f>'Sampling Data'!J1458</f>
        <v>41</v>
      </c>
      <c r="L1465" s="111">
        <f>'Sampling Data'!X1458</f>
        <v>0</v>
      </c>
      <c r="M1465" s="114"/>
      <c r="N1465" s="114"/>
      <c r="O1465" s="115"/>
      <c r="P1465" s="115"/>
      <c r="Q1465" s="116"/>
      <c r="R1465" s="116"/>
      <c r="S1465" s="111">
        <f>Audit[[#This Row],[Audit Losing Candidate]]-Audit[[#This Row],[Losing Candidate]]</f>
        <v>-13</v>
      </c>
      <c r="T1465" s="111">
        <f>Audit[[#This Row],[Audit Winning Candidate]]-Audit[[#This Row],[Winning Candidate]]</f>
        <v>-15</v>
      </c>
      <c r="U1465" s="111">
        <f>Audit[[#This Row],[Audit Candidate 3]]-Audit[[#This Row],[Candidate 3]]</f>
        <v>-6</v>
      </c>
      <c r="V1465" s="111">
        <f>Audit[[#This Row],[Audit Candidate 4]]-Audit[[#This Row],[Candidate 4]]</f>
        <v>-6</v>
      </c>
      <c r="W1465" s="111">
        <f>Audit[[#This Row],[Audit Candidate 5]]-Audit[[#This Row],[Candidate 5]]</f>
        <v>0</v>
      </c>
      <c r="X1465" s="111">
        <f>Audit[[#This Row],[Audit Candidate 6]]-Audit[[#This Row],[Candidate 6]]</f>
        <v>0</v>
      </c>
      <c r="Y1465" s="111">
        <f>SUMIF(Audit[[#This Row],[Difference Loser]:[Difference Candidate 6]], "&gt;0")</f>
        <v>0</v>
      </c>
      <c r="Z1465" s="111">
        <f>SUM(Audit[[#This Row],[Difference Loser]:[Difference Candidate 6]])</f>
        <v>-40</v>
      </c>
      <c r="AA1465" s="111">
        <f>IF(Audit[[#This Row],[Times p Drawn - With Replacement]]&gt;0, IF(Audit[[#This Row],[Canceled Differences]]&lt;0, Audit[[#This Row],[Max Differences]]+ABS(Audit[[#This Row],[Canceled Differences]]), Audit[[#This Row],[Max Differences]]), 0)</f>
        <v>0</v>
      </c>
      <c r="AB1465" s="111">
        <f>'Sampling Data'!P1458</f>
        <v>2.6335129838314553E-3</v>
      </c>
      <c r="AC1465" s="111">
        <f>IF(
      SUM(Audit[[#This Row],[Audit Losing Candidate]:[Audit Candidate 6]])
      &lt;&gt;0,
      (Audit[[#This Row],[Winning Candidate]]-Audit[[#This Row],[Losing Candidate]]-(Audit[[#This Row],[Audit Winning Candidate]]-Audit[[#This Row],[Audit Losing Candidate]]))/(Audit[[#Totals],[Winning Candidate]]-Audit[[#Totals],[Losing Candidate]]),
      0
)</f>
        <v>0</v>
      </c>
      <c r="AD14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5" s="111">
        <f>IF(Audit[[#This Row],[Max Relative Error (ep)]] = 0, 0, Audit[[#This Row],[Max Relative Error (ep)]]/Audit[[#This Row],[Error Bound (up) - Max. possible relative overstatement]])</f>
        <v>0</v>
      </c>
      <c r="AJ14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65" s="111">
        <f t="shared" si="22"/>
        <v>1</v>
      </c>
      <c r="AL1465" s="111">
        <f>PRODUCT($AK$5:AK1465)</f>
        <v>8.962823818226312E-2</v>
      </c>
      <c r="AM1465" s="109">
        <f>1 - [K-M P Value]</f>
        <v>0.91037176181773694</v>
      </c>
      <c r="AN1465" s="111" t="str">
        <f>IF(Audit[[#This Row],[K-M P Value]]&gt;1-'General Info'!$B$16,"Continue", "Stop")</f>
        <v>Stop</v>
      </c>
      <c r="AO1465" s="110" t="b">
        <f>IF(Audit[[#This Row],[Status - Continue or stop audit]] = "Continue", TRUE, IF(AN1464 = "Continue", TRUE, FALSE))</f>
        <v>0</v>
      </c>
      <c r="AP1465" s="110"/>
    </row>
    <row r="1466" spans="1:42" ht="15" hidden="1" customHeight="1">
      <c r="A1466" s="111" t="str">
        <f>'Sampling Data'!W1459</f>
        <v/>
      </c>
      <c r="B1466" s="112" t="str">
        <f>'Sampling Data'!A1459</f>
        <v>MIDDLEBURG HEIGHTS -02-A</v>
      </c>
      <c r="C1466" s="112">
        <f>'Sampling Data'!B1459</f>
        <v>53</v>
      </c>
      <c r="D1466" s="112">
        <f>'Sampling Data'!C1459</f>
        <v>49</v>
      </c>
      <c r="E1466" s="113">
        <f>'Sampling Data'!D1459</f>
        <v>18</v>
      </c>
      <c r="F1466" s="113">
        <f>'Sampling Data'!E1459</f>
        <v>14</v>
      </c>
      <c r="G1466" s="113">
        <f>'Sampling Data'!F1459</f>
        <v>2</v>
      </c>
      <c r="H1466" s="113">
        <f>'Sampling Data'!G1459</f>
        <v>0</v>
      </c>
      <c r="I1466" s="112">
        <f>'Sampling Data'!H1459</f>
        <v>0</v>
      </c>
      <c r="J1466" s="112">
        <f>'Sampling Data'!I1459</f>
        <v>1</v>
      </c>
      <c r="K1466" s="112">
        <f>'Sampling Data'!J1459</f>
        <v>137</v>
      </c>
      <c r="L1466" s="111">
        <f>'Sampling Data'!X1459</f>
        <v>0</v>
      </c>
      <c r="M1466" s="114"/>
      <c r="N1466" s="114"/>
      <c r="O1466" s="115"/>
      <c r="P1466" s="115"/>
      <c r="Q1466" s="116"/>
      <c r="R1466" s="116"/>
      <c r="S1466" s="111">
        <f>Audit[[#This Row],[Audit Losing Candidate]]-Audit[[#This Row],[Losing Candidate]]</f>
        <v>-53</v>
      </c>
      <c r="T1466" s="111">
        <f>Audit[[#This Row],[Audit Winning Candidate]]-Audit[[#This Row],[Winning Candidate]]</f>
        <v>-49</v>
      </c>
      <c r="U1466" s="111">
        <f>Audit[[#This Row],[Audit Candidate 3]]-Audit[[#This Row],[Candidate 3]]</f>
        <v>-18</v>
      </c>
      <c r="V1466" s="111">
        <f>Audit[[#This Row],[Audit Candidate 4]]-Audit[[#This Row],[Candidate 4]]</f>
        <v>-14</v>
      </c>
      <c r="W1466" s="111">
        <f>Audit[[#This Row],[Audit Candidate 5]]-Audit[[#This Row],[Candidate 5]]</f>
        <v>-2</v>
      </c>
      <c r="X1466" s="111">
        <f>Audit[[#This Row],[Audit Candidate 6]]-Audit[[#This Row],[Candidate 6]]</f>
        <v>0</v>
      </c>
      <c r="Y1466" s="111">
        <f>SUMIF(Audit[[#This Row],[Difference Loser]:[Difference Candidate 6]], "&gt;0")</f>
        <v>0</v>
      </c>
      <c r="Z1466" s="111">
        <f>SUM(Audit[[#This Row],[Difference Loser]:[Difference Candidate 6]])</f>
        <v>-136</v>
      </c>
      <c r="AA1466" s="111">
        <f>IF(Audit[[#This Row],[Times p Drawn - With Replacement]]&gt;0, IF(Audit[[#This Row],[Canceled Differences]]&lt;0, Audit[[#This Row],[Max Differences]]+ABS(Audit[[#This Row],[Canceled Differences]]), Audit[[#This Row],[Max Differences]]), 0)</f>
        <v>0</v>
      </c>
      <c r="AB1466" s="111">
        <f>'Sampling Data'!P1459</f>
        <v>8.1455169034786862E-3</v>
      </c>
      <c r="AC1466" s="111">
        <f>IF(
      SUM(Audit[[#This Row],[Audit Losing Candidate]:[Audit Candidate 6]])
      &lt;&gt;0,
      (Audit[[#This Row],[Winning Candidate]]-Audit[[#This Row],[Losing Candidate]]-(Audit[[#This Row],[Audit Winning Candidate]]-Audit[[#This Row],[Audit Losing Candidate]]))/(Audit[[#Totals],[Winning Candidate]]-Audit[[#Totals],[Losing Candidate]]),
      0
)</f>
        <v>0</v>
      </c>
      <c r="AD14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6" s="111">
        <f>IF(Audit[[#This Row],[Max Relative Error (ep)]] = 0, 0, Audit[[#This Row],[Max Relative Error (ep)]]/Audit[[#This Row],[Error Bound (up) - Max. possible relative overstatement]])</f>
        <v>0</v>
      </c>
      <c r="AJ14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66" s="111">
        <f t="shared" si="22"/>
        <v>1</v>
      </c>
      <c r="AL1466" s="111">
        <f>PRODUCT($AK$5:AK1466)</f>
        <v>8.962823818226312E-2</v>
      </c>
      <c r="AM1466" s="109">
        <f>1 - [K-M P Value]</f>
        <v>0.91037176181773694</v>
      </c>
      <c r="AN1466" s="111" t="str">
        <f>IF(Audit[[#This Row],[K-M P Value]]&gt;1-'General Info'!$B$16,"Continue", "Stop")</f>
        <v>Stop</v>
      </c>
      <c r="AO1466" s="110" t="b">
        <f>IF(Audit[[#This Row],[Status - Continue or stop audit]] = "Continue", TRUE, IF(AN1465 = "Continue", TRUE, FALSE))</f>
        <v>0</v>
      </c>
      <c r="AP1466" s="110"/>
    </row>
    <row r="1467" spans="1:42" ht="15" hidden="1" customHeight="1">
      <c r="A1467" s="111" t="str">
        <f>'Sampling Data'!W1460</f>
        <v/>
      </c>
      <c r="B1467" s="112" t="str">
        <f>'Sampling Data'!A1460</f>
        <v>MIDDLEBURG HEIGHTS -02-A - ABS</v>
      </c>
      <c r="C1467" s="112">
        <f>'Sampling Data'!B1460</f>
        <v>11</v>
      </c>
      <c r="D1467" s="112">
        <f>'Sampling Data'!C1460</f>
        <v>10</v>
      </c>
      <c r="E1467" s="113">
        <f>'Sampling Data'!D1460</f>
        <v>4</v>
      </c>
      <c r="F1467" s="113">
        <f>'Sampling Data'!E1460</f>
        <v>1</v>
      </c>
      <c r="G1467" s="113">
        <f>'Sampling Data'!F1460</f>
        <v>0</v>
      </c>
      <c r="H1467" s="113">
        <f>'Sampling Data'!G1460</f>
        <v>1</v>
      </c>
      <c r="I1467" s="112">
        <f>'Sampling Data'!H1460</f>
        <v>0</v>
      </c>
      <c r="J1467" s="112">
        <f>'Sampling Data'!I1460</f>
        <v>2</v>
      </c>
      <c r="K1467" s="112">
        <f>'Sampling Data'!J1460</f>
        <v>29</v>
      </c>
      <c r="L1467" s="111">
        <f>'Sampling Data'!X1460</f>
        <v>0</v>
      </c>
      <c r="M1467" s="114"/>
      <c r="N1467" s="114"/>
      <c r="O1467" s="115"/>
      <c r="P1467" s="115"/>
      <c r="Q1467" s="116"/>
      <c r="R1467" s="116"/>
      <c r="S1467" s="111">
        <f>Audit[[#This Row],[Audit Losing Candidate]]-Audit[[#This Row],[Losing Candidate]]</f>
        <v>-11</v>
      </c>
      <c r="T1467" s="111">
        <f>Audit[[#This Row],[Audit Winning Candidate]]-Audit[[#This Row],[Winning Candidate]]</f>
        <v>-10</v>
      </c>
      <c r="U1467" s="111">
        <f>Audit[[#This Row],[Audit Candidate 3]]-Audit[[#This Row],[Candidate 3]]</f>
        <v>-4</v>
      </c>
      <c r="V1467" s="111">
        <f>Audit[[#This Row],[Audit Candidate 4]]-Audit[[#This Row],[Candidate 4]]</f>
        <v>-1</v>
      </c>
      <c r="W1467" s="111">
        <f>Audit[[#This Row],[Audit Candidate 5]]-Audit[[#This Row],[Candidate 5]]</f>
        <v>0</v>
      </c>
      <c r="X1467" s="111">
        <f>Audit[[#This Row],[Audit Candidate 6]]-Audit[[#This Row],[Candidate 6]]</f>
        <v>-1</v>
      </c>
      <c r="Y1467" s="111">
        <f>SUMIF(Audit[[#This Row],[Difference Loser]:[Difference Candidate 6]], "&gt;0")</f>
        <v>0</v>
      </c>
      <c r="Z1467" s="111">
        <f>SUM(Audit[[#This Row],[Difference Loser]:[Difference Candidate 6]])</f>
        <v>-27</v>
      </c>
      <c r="AA1467" s="111">
        <f>IF(Audit[[#This Row],[Times p Drawn - With Replacement]]&gt;0, IF(Audit[[#This Row],[Canceled Differences]]&lt;0, Audit[[#This Row],[Max Differences]]+ABS(Audit[[#This Row],[Canceled Differences]]), Audit[[#This Row],[Max Differences]]), 0)</f>
        <v>0</v>
      </c>
      <c r="AB1467" s="111">
        <f>'Sampling Data'!P1460</f>
        <v>1.7148456638902498E-3</v>
      </c>
      <c r="AC1467" s="111">
        <f>IF(
      SUM(Audit[[#This Row],[Audit Losing Candidate]:[Audit Candidate 6]])
      &lt;&gt;0,
      (Audit[[#This Row],[Winning Candidate]]-Audit[[#This Row],[Losing Candidate]]-(Audit[[#This Row],[Audit Winning Candidate]]-Audit[[#This Row],[Audit Losing Candidate]]))/(Audit[[#Totals],[Winning Candidate]]-Audit[[#Totals],[Losing Candidate]]),
      0
)</f>
        <v>0</v>
      </c>
      <c r="AD14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7" s="111">
        <f>IF(Audit[[#This Row],[Max Relative Error (ep)]] = 0, 0, Audit[[#This Row],[Max Relative Error (ep)]]/Audit[[#This Row],[Error Bound (up) - Max. possible relative overstatement]])</f>
        <v>0</v>
      </c>
      <c r="AJ14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67" s="111">
        <f t="shared" si="22"/>
        <v>1</v>
      </c>
      <c r="AL1467" s="111">
        <f>PRODUCT($AK$5:AK1467)</f>
        <v>8.962823818226312E-2</v>
      </c>
      <c r="AM1467" s="109">
        <f>1 - [K-M P Value]</f>
        <v>0.91037176181773694</v>
      </c>
      <c r="AN1467" s="111" t="str">
        <f>IF(Audit[[#This Row],[K-M P Value]]&gt;1-'General Info'!$B$16,"Continue", "Stop")</f>
        <v>Stop</v>
      </c>
      <c r="AO1467" s="110" t="b">
        <f>IF(Audit[[#This Row],[Status - Continue or stop audit]] = "Continue", TRUE, IF(AN1466 = "Continue", TRUE, FALSE))</f>
        <v>0</v>
      </c>
      <c r="AP1467" s="110"/>
    </row>
    <row r="1468" spans="1:42" ht="15" hidden="1" customHeight="1">
      <c r="A1468" s="111" t="str">
        <f>'Sampling Data'!W1461</f>
        <v/>
      </c>
      <c r="B1468" s="112" t="str">
        <f>'Sampling Data'!A1461</f>
        <v>MIDDLEBURG HEIGHTS -02-B</v>
      </c>
      <c r="C1468" s="112">
        <f>'Sampling Data'!B1461</f>
        <v>41</v>
      </c>
      <c r="D1468" s="112">
        <f>'Sampling Data'!C1461</f>
        <v>59</v>
      </c>
      <c r="E1468" s="113">
        <f>'Sampling Data'!D1461</f>
        <v>17</v>
      </c>
      <c r="F1468" s="113">
        <f>'Sampling Data'!E1461</f>
        <v>16</v>
      </c>
      <c r="G1468" s="113">
        <f>'Sampling Data'!F1461</f>
        <v>1</v>
      </c>
      <c r="H1468" s="113">
        <f>'Sampling Data'!G1461</f>
        <v>1</v>
      </c>
      <c r="I1468" s="112">
        <f>'Sampling Data'!H1461</f>
        <v>0</v>
      </c>
      <c r="J1468" s="112">
        <f>'Sampling Data'!I1461</f>
        <v>8</v>
      </c>
      <c r="K1468" s="112">
        <f>'Sampling Data'!J1461</f>
        <v>143</v>
      </c>
      <c r="L1468" s="111">
        <f>'Sampling Data'!X1461</f>
        <v>0</v>
      </c>
      <c r="M1468" s="114"/>
      <c r="N1468" s="114"/>
      <c r="O1468" s="115"/>
      <c r="P1468" s="115"/>
      <c r="Q1468" s="116"/>
      <c r="R1468" s="116"/>
      <c r="S1468" s="111">
        <f>Audit[[#This Row],[Audit Losing Candidate]]-Audit[[#This Row],[Losing Candidate]]</f>
        <v>-41</v>
      </c>
      <c r="T1468" s="111">
        <f>Audit[[#This Row],[Audit Winning Candidate]]-Audit[[#This Row],[Winning Candidate]]</f>
        <v>-59</v>
      </c>
      <c r="U1468" s="111">
        <f>Audit[[#This Row],[Audit Candidate 3]]-Audit[[#This Row],[Candidate 3]]</f>
        <v>-17</v>
      </c>
      <c r="V1468" s="111">
        <f>Audit[[#This Row],[Audit Candidate 4]]-Audit[[#This Row],[Candidate 4]]</f>
        <v>-16</v>
      </c>
      <c r="W1468" s="111">
        <f>Audit[[#This Row],[Audit Candidate 5]]-Audit[[#This Row],[Candidate 5]]</f>
        <v>-1</v>
      </c>
      <c r="X1468" s="111">
        <f>Audit[[#This Row],[Audit Candidate 6]]-Audit[[#This Row],[Candidate 6]]</f>
        <v>-1</v>
      </c>
      <c r="Y1468" s="111">
        <f>SUMIF(Audit[[#This Row],[Difference Loser]:[Difference Candidate 6]], "&gt;0")</f>
        <v>0</v>
      </c>
      <c r="Z1468" s="111">
        <f>SUM(Audit[[#This Row],[Difference Loser]:[Difference Candidate 6]])</f>
        <v>-135</v>
      </c>
      <c r="AA1468" s="111">
        <f>IF(Audit[[#This Row],[Times p Drawn - With Replacement]]&gt;0, IF(Audit[[#This Row],[Canceled Differences]]&lt;0, Audit[[#This Row],[Max Differences]]+ABS(Audit[[#This Row],[Canceled Differences]]), Audit[[#This Row],[Max Differences]]), 0)</f>
        <v>0</v>
      </c>
      <c r="AB1468" s="111">
        <f>'Sampling Data'!P1461</f>
        <v>9.8603625673689375E-3</v>
      </c>
      <c r="AC1468" s="111">
        <f>IF(
      SUM(Audit[[#This Row],[Audit Losing Candidate]:[Audit Candidate 6]])
      &lt;&gt;0,
      (Audit[[#This Row],[Winning Candidate]]-Audit[[#This Row],[Losing Candidate]]-(Audit[[#This Row],[Audit Winning Candidate]]-Audit[[#This Row],[Audit Losing Candidate]]))/(Audit[[#Totals],[Winning Candidate]]-Audit[[#Totals],[Losing Candidate]]),
      0
)</f>
        <v>0</v>
      </c>
      <c r="AD14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8" s="111">
        <f>IF(Audit[[#This Row],[Max Relative Error (ep)]] = 0, 0, Audit[[#This Row],[Max Relative Error (ep)]]/Audit[[#This Row],[Error Bound (up) - Max. possible relative overstatement]])</f>
        <v>0</v>
      </c>
      <c r="AJ14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68" s="111">
        <f t="shared" si="22"/>
        <v>1</v>
      </c>
      <c r="AL1468" s="111">
        <f>PRODUCT($AK$5:AK1468)</f>
        <v>8.962823818226312E-2</v>
      </c>
      <c r="AM1468" s="109">
        <f>1 - [K-M P Value]</f>
        <v>0.91037176181773694</v>
      </c>
      <c r="AN1468" s="111" t="str">
        <f>IF(Audit[[#This Row],[K-M P Value]]&gt;1-'General Info'!$B$16,"Continue", "Stop")</f>
        <v>Stop</v>
      </c>
      <c r="AO1468" s="110" t="b">
        <f>IF(Audit[[#This Row],[Status - Continue or stop audit]] = "Continue", TRUE, IF(AN1467 = "Continue", TRUE, FALSE))</f>
        <v>0</v>
      </c>
      <c r="AP1468" s="110"/>
    </row>
    <row r="1469" spans="1:42" ht="15" hidden="1" customHeight="1">
      <c r="A1469" s="111" t="str">
        <f>'Sampling Data'!W1462</f>
        <v/>
      </c>
      <c r="B1469" s="112" t="str">
        <f>'Sampling Data'!A1462</f>
        <v>MIDDLEBURG HEIGHTS -02-B - ABS</v>
      </c>
      <c r="C1469" s="112">
        <f>'Sampling Data'!B1462</f>
        <v>19</v>
      </c>
      <c r="D1469" s="112">
        <f>'Sampling Data'!C1462</f>
        <v>11</v>
      </c>
      <c r="E1469" s="113">
        <f>'Sampling Data'!D1462</f>
        <v>7</v>
      </c>
      <c r="F1469" s="113">
        <f>'Sampling Data'!E1462</f>
        <v>3</v>
      </c>
      <c r="G1469" s="113">
        <f>'Sampling Data'!F1462</f>
        <v>0</v>
      </c>
      <c r="H1469" s="113">
        <f>'Sampling Data'!G1462</f>
        <v>0</v>
      </c>
      <c r="I1469" s="112">
        <f>'Sampling Data'!H1462</f>
        <v>0</v>
      </c>
      <c r="J1469" s="112">
        <f>'Sampling Data'!I1462</f>
        <v>0</v>
      </c>
      <c r="K1469" s="112">
        <f>'Sampling Data'!J1462</f>
        <v>40</v>
      </c>
      <c r="L1469" s="111">
        <f>'Sampling Data'!X1462</f>
        <v>0</v>
      </c>
      <c r="M1469" s="114"/>
      <c r="N1469" s="114"/>
      <c r="O1469" s="115"/>
      <c r="P1469" s="115"/>
      <c r="Q1469" s="116"/>
      <c r="R1469" s="116"/>
      <c r="S1469" s="111">
        <f>Audit[[#This Row],[Audit Losing Candidate]]-Audit[[#This Row],[Losing Candidate]]</f>
        <v>-19</v>
      </c>
      <c r="T1469" s="111">
        <f>Audit[[#This Row],[Audit Winning Candidate]]-Audit[[#This Row],[Winning Candidate]]</f>
        <v>-11</v>
      </c>
      <c r="U1469" s="111">
        <f>Audit[[#This Row],[Audit Candidate 3]]-Audit[[#This Row],[Candidate 3]]</f>
        <v>-7</v>
      </c>
      <c r="V1469" s="111">
        <f>Audit[[#This Row],[Audit Candidate 4]]-Audit[[#This Row],[Candidate 4]]</f>
        <v>-3</v>
      </c>
      <c r="W1469" s="111">
        <f>Audit[[#This Row],[Audit Candidate 5]]-Audit[[#This Row],[Candidate 5]]</f>
        <v>0</v>
      </c>
      <c r="X1469" s="111">
        <f>Audit[[#This Row],[Audit Candidate 6]]-Audit[[#This Row],[Candidate 6]]</f>
        <v>0</v>
      </c>
      <c r="Y1469" s="111">
        <f>SUMIF(Audit[[#This Row],[Difference Loser]:[Difference Candidate 6]], "&gt;0")</f>
        <v>0</v>
      </c>
      <c r="Z1469" s="111">
        <f>SUM(Audit[[#This Row],[Difference Loser]:[Difference Candidate 6]])</f>
        <v>-40</v>
      </c>
      <c r="AA1469" s="111">
        <f>IF(Audit[[#This Row],[Times p Drawn - With Replacement]]&gt;0, IF(Audit[[#This Row],[Canceled Differences]]&lt;0, Audit[[#This Row],[Max Differences]]+ABS(Audit[[#This Row],[Canceled Differences]]), Audit[[#This Row],[Max Differences]]), 0)</f>
        <v>0</v>
      </c>
      <c r="AB1469" s="111">
        <f>'Sampling Data'!P1462</f>
        <v>1.9598236158745713E-3</v>
      </c>
      <c r="AC1469" s="111">
        <f>IF(
      SUM(Audit[[#This Row],[Audit Losing Candidate]:[Audit Candidate 6]])
      &lt;&gt;0,
      (Audit[[#This Row],[Winning Candidate]]-Audit[[#This Row],[Losing Candidate]]-(Audit[[#This Row],[Audit Winning Candidate]]-Audit[[#This Row],[Audit Losing Candidate]]))/(Audit[[#Totals],[Winning Candidate]]-Audit[[#Totals],[Losing Candidate]]),
      0
)</f>
        <v>0</v>
      </c>
      <c r="AD14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9" s="111">
        <f>IF(Audit[[#This Row],[Max Relative Error (ep)]] = 0, 0, Audit[[#This Row],[Max Relative Error (ep)]]/Audit[[#This Row],[Error Bound (up) - Max. possible relative overstatement]])</f>
        <v>0</v>
      </c>
      <c r="AJ14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69" s="111">
        <f t="shared" si="22"/>
        <v>1</v>
      </c>
      <c r="AL1469" s="111">
        <f>PRODUCT($AK$5:AK1469)</f>
        <v>8.962823818226312E-2</v>
      </c>
      <c r="AM1469" s="109">
        <f>1 - [K-M P Value]</f>
        <v>0.91037176181773694</v>
      </c>
      <c r="AN1469" s="111" t="str">
        <f>IF(Audit[[#This Row],[K-M P Value]]&gt;1-'General Info'!$B$16,"Continue", "Stop")</f>
        <v>Stop</v>
      </c>
      <c r="AO1469" s="110" t="b">
        <f>IF(Audit[[#This Row],[Status - Continue or stop audit]] = "Continue", TRUE, IF(AN1468 = "Continue", TRUE, FALSE))</f>
        <v>0</v>
      </c>
      <c r="AP1469" s="110"/>
    </row>
    <row r="1470" spans="1:42" ht="15" hidden="1" customHeight="1">
      <c r="A1470" s="111" t="str">
        <f>'Sampling Data'!W1463</f>
        <v/>
      </c>
      <c r="B1470" s="112" t="str">
        <f>'Sampling Data'!A1463</f>
        <v>MIDDLEBURG HEIGHTS -02-C</v>
      </c>
      <c r="C1470" s="112">
        <f>'Sampling Data'!B1463</f>
        <v>25</v>
      </c>
      <c r="D1470" s="112">
        <f>'Sampling Data'!C1463</f>
        <v>17</v>
      </c>
      <c r="E1470" s="113">
        <f>'Sampling Data'!D1463</f>
        <v>13</v>
      </c>
      <c r="F1470" s="113">
        <f>'Sampling Data'!E1463</f>
        <v>7</v>
      </c>
      <c r="G1470" s="113">
        <f>'Sampling Data'!F1463</f>
        <v>0</v>
      </c>
      <c r="H1470" s="113">
        <f>'Sampling Data'!G1463</f>
        <v>1</v>
      </c>
      <c r="I1470" s="112">
        <f>'Sampling Data'!H1463</f>
        <v>0</v>
      </c>
      <c r="J1470" s="112">
        <f>'Sampling Data'!I1463</f>
        <v>3</v>
      </c>
      <c r="K1470" s="112">
        <f>'Sampling Data'!J1463</f>
        <v>66</v>
      </c>
      <c r="L1470" s="111">
        <f>'Sampling Data'!X1463</f>
        <v>0</v>
      </c>
      <c r="M1470" s="114"/>
      <c r="N1470" s="114"/>
      <c r="O1470" s="115"/>
      <c r="P1470" s="115"/>
      <c r="Q1470" s="116"/>
      <c r="R1470" s="116"/>
      <c r="S1470" s="111">
        <f>Audit[[#This Row],[Audit Losing Candidate]]-Audit[[#This Row],[Losing Candidate]]</f>
        <v>-25</v>
      </c>
      <c r="T1470" s="111">
        <f>Audit[[#This Row],[Audit Winning Candidate]]-Audit[[#This Row],[Winning Candidate]]</f>
        <v>-17</v>
      </c>
      <c r="U1470" s="111">
        <f>Audit[[#This Row],[Audit Candidate 3]]-Audit[[#This Row],[Candidate 3]]</f>
        <v>-13</v>
      </c>
      <c r="V1470" s="111">
        <f>Audit[[#This Row],[Audit Candidate 4]]-Audit[[#This Row],[Candidate 4]]</f>
        <v>-7</v>
      </c>
      <c r="W1470" s="111">
        <f>Audit[[#This Row],[Audit Candidate 5]]-Audit[[#This Row],[Candidate 5]]</f>
        <v>0</v>
      </c>
      <c r="X1470" s="111">
        <f>Audit[[#This Row],[Audit Candidate 6]]-Audit[[#This Row],[Candidate 6]]</f>
        <v>-1</v>
      </c>
      <c r="Y1470" s="111">
        <f>SUMIF(Audit[[#This Row],[Difference Loser]:[Difference Candidate 6]], "&gt;0")</f>
        <v>0</v>
      </c>
      <c r="Z1470" s="111">
        <f>SUM(Audit[[#This Row],[Difference Loser]:[Difference Candidate 6]])</f>
        <v>-63</v>
      </c>
      <c r="AA1470" s="111">
        <f>IF(Audit[[#This Row],[Times p Drawn - With Replacement]]&gt;0, IF(Audit[[#This Row],[Canceled Differences]]&lt;0, Audit[[#This Row],[Max Differences]]+ABS(Audit[[#This Row],[Canceled Differences]]), Audit[[#This Row],[Max Differences]]), 0)</f>
        <v>0</v>
      </c>
      <c r="AB1470" s="111">
        <f>'Sampling Data'!P1463</f>
        <v>3.5521803037726605E-3</v>
      </c>
      <c r="AC1470" s="111">
        <f>IF(
      SUM(Audit[[#This Row],[Audit Losing Candidate]:[Audit Candidate 6]])
      &lt;&gt;0,
      (Audit[[#This Row],[Winning Candidate]]-Audit[[#This Row],[Losing Candidate]]-(Audit[[#This Row],[Audit Winning Candidate]]-Audit[[#This Row],[Audit Losing Candidate]]))/(Audit[[#Totals],[Winning Candidate]]-Audit[[#Totals],[Losing Candidate]]),
      0
)</f>
        <v>0</v>
      </c>
      <c r="AD14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0" s="111">
        <f>IF(Audit[[#This Row],[Max Relative Error (ep)]] = 0, 0, Audit[[#This Row],[Max Relative Error (ep)]]/Audit[[#This Row],[Error Bound (up) - Max. possible relative overstatement]])</f>
        <v>0</v>
      </c>
      <c r="AJ14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70" s="111">
        <f t="shared" si="22"/>
        <v>1</v>
      </c>
      <c r="AL1470" s="111">
        <f>PRODUCT($AK$5:AK1470)</f>
        <v>8.962823818226312E-2</v>
      </c>
      <c r="AM1470" s="109">
        <f>1 - [K-M P Value]</f>
        <v>0.91037176181773694</v>
      </c>
      <c r="AN1470" s="111" t="str">
        <f>IF(Audit[[#This Row],[K-M P Value]]&gt;1-'General Info'!$B$16,"Continue", "Stop")</f>
        <v>Stop</v>
      </c>
      <c r="AO1470" s="110" t="b">
        <f>IF(Audit[[#This Row],[Status - Continue or stop audit]] = "Continue", TRUE, IF(AN1469 = "Continue", TRUE, FALSE))</f>
        <v>0</v>
      </c>
      <c r="AP1470" s="110"/>
    </row>
    <row r="1471" spans="1:42" ht="15" hidden="1" customHeight="1">
      <c r="A1471" s="111" t="str">
        <f>'Sampling Data'!W1464</f>
        <v/>
      </c>
      <c r="B1471" s="112" t="str">
        <f>'Sampling Data'!A1464</f>
        <v>MIDDLEBURG HEIGHTS -02-C - ABS</v>
      </c>
      <c r="C1471" s="112">
        <f>'Sampling Data'!B1464</f>
        <v>12</v>
      </c>
      <c r="D1471" s="112">
        <f>'Sampling Data'!C1464</f>
        <v>5</v>
      </c>
      <c r="E1471" s="113">
        <f>'Sampling Data'!D1464</f>
        <v>7</v>
      </c>
      <c r="F1471" s="113">
        <f>'Sampling Data'!E1464</f>
        <v>2</v>
      </c>
      <c r="G1471" s="113">
        <f>'Sampling Data'!F1464</f>
        <v>0</v>
      </c>
      <c r="H1471" s="113">
        <f>'Sampling Data'!G1464</f>
        <v>0</v>
      </c>
      <c r="I1471" s="112">
        <f>'Sampling Data'!H1464</f>
        <v>0</v>
      </c>
      <c r="J1471" s="112">
        <f>'Sampling Data'!I1464</f>
        <v>1</v>
      </c>
      <c r="K1471" s="112">
        <f>'Sampling Data'!J1464</f>
        <v>27</v>
      </c>
      <c r="L1471" s="111">
        <f>'Sampling Data'!X1464</f>
        <v>0</v>
      </c>
      <c r="M1471" s="114"/>
      <c r="N1471" s="114"/>
      <c r="O1471" s="115"/>
      <c r="P1471" s="115"/>
      <c r="Q1471" s="116"/>
      <c r="R1471" s="116"/>
      <c r="S1471" s="111">
        <f>Audit[[#This Row],[Audit Losing Candidate]]-Audit[[#This Row],[Losing Candidate]]</f>
        <v>-12</v>
      </c>
      <c r="T1471" s="111">
        <f>Audit[[#This Row],[Audit Winning Candidate]]-Audit[[#This Row],[Winning Candidate]]</f>
        <v>-5</v>
      </c>
      <c r="U1471" s="111">
        <f>Audit[[#This Row],[Audit Candidate 3]]-Audit[[#This Row],[Candidate 3]]</f>
        <v>-7</v>
      </c>
      <c r="V1471" s="111">
        <f>Audit[[#This Row],[Audit Candidate 4]]-Audit[[#This Row],[Candidate 4]]</f>
        <v>-2</v>
      </c>
      <c r="W1471" s="111">
        <f>Audit[[#This Row],[Audit Candidate 5]]-Audit[[#This Row],[Candidate 5]]</f>
        <v>0</v>
      </c>
      <c r="X1471" s="111">
        <f>Audit[[#This Row],[Audit Candidate 6]]-Audit[[#This Row],[Candidate 6]]</f>
        <v>0</v>
      </c>
      <c r="Y1471" s="111">
        <f>SUMIF(Audit[[#This Row],[Difference Loser]:[Difference Candidate 6]], "&gt;0")</f>
        <v>0</v>
      </c>
      <c r="Z1471" s="111">
        <f>SUM(Audit[[#This Row],[Difference Loser]:[Difference Candidate 6]])</f>
        <v>-26</v>
      </c>
      <c r="AA1471" s="111">
        <f>IF(Audit[[#This Row],[Times p Drawn - With Replacement]]&gt;0, IF(Audit[[#This Row],[Canceled Differences]]&lt;0, Audit[[#This Row],[Max Differences]]+ABS(Audit[[#This Row],[Canceled Differences]]), Audit[[#This Row],[Max Differences]]), 0)</f>
        <v>0</v>
      </c>
      <c r="AB1471" s="111">
        <f>'Sampling Data'!P1464</f>
        <v>1.224889759921607E-3</v>
      </c>
      <c r="AC1471" s="111">
        <f>IF(
      SUM(Audit[[#This Row],[Audit Losing Candidate]:[Audit Candidate 6]])
      &lt;&gt;0,
      (Audit[[#This Row],[Winning Candidate]]-Audit[[#This Row],[Losing Candidate]]-(Audit[[#This Row],[Audit Winning Candidate]]-Audit[[#This Row],[Audit Losing Candidate]]))/(Audit[[#Totals],[Winning Candidate]]-Audit[[#Totals],[Losing Candidate]]),
      0
)</f>
        <v>0</v>
      </c>
      <c r="AD14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1" s="111">
        <f>IF(Audit[[#This Row],[Max Relative Error (ep)]] = 0, 0, Audit[[#This Row],[Max Relative Error (ep)]]/Audit[[#This Row],[Error Bound (up) - Max. possible relative overstatement]])</f>
        <v>0</v>
      </c>
      <c r="AJ14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71" s="111">
        <f t="shared" si="22"/>
        <v>1</v>
      </c>
      <c r="AL1471" s="111">
        <f>PRODUCT($AK$5:AK1471)</f>
        <v>8.962823818226312E-2</v>
      </c>
      <c r="AM1471" s="109">
        <f>1 - [K-M P Value]</f>
        <v>0.91037176181773694</v>
      </c>
      <c r="AN1471" s="111" t="str">
        <f>IF(Audit[[#This Row],[K-M P Value]]&gt;1-'General Info'!$B$16,"Continue", "Stop")</f>
        <v>Stop</v>
      </c>
      <c r="AO1471" s="110" t="b">
        <f>IF(Audit[[#This Row],[Status - Continue or stop audit]] = "Continue", TRUE, IF(AN1470 = "Continue", TRUE, FALSE))</f>
        <v>0</v>
      </c>
      <c r="AP1471" s="110"/>
    </row>
    <row r="1472" spans="1:42" ht="15" hidden="1" customHeight="1">
      <c r="A1472" s="111" t="str">
        <f>'Sampling Data'!W1465</f>
        <v/>
      </c>
      <c r="B1472" s="112" t="str">
        <f>'Sampling Data'!A1465</f>
        <v>MIDDLEBURG HEIGHTS -03-A</v>
      </c>
      <c r="C1472" s="112">
        <f>'Sampling Data'!B1465</f>
        <v>35</v>
      </c>
      <c r="D1472" s="112">
        <f>'Sampling Data'!C1465</f>
        <v>72</v>
      </c>
      <c r="E1472" s="113">
        <f>'Sampling Data'!D1465</f>
        <v>11</v>
      </c>
      <c r="F1472" s="113">
        <f>'Sampling Data'!E1465</f>
        <v>5</v>
      </c>
      <c r="G1472" s="113">
        <f>'Sampling Data'!F1465</f>
        <v>1</v>
      </c>
      <c r="H1472" s="113">
        <f>'Sampling Data'!G1465</f>
        <v>0</v>
      </c>
      <c r="I1472" s="112">
        <f>'Sampling Data'!H1465</f>
        <v>0</v>
      </c>
      <c r="J1472" s="112">
        <f>'Sampling Data'!I1465</f>
        <v>4</v>
      </c>
      <c r="K1472" s="112">
        <f>'Sampling Data'!J1465</f>
        <v>128</v>
      </c>
      <c r="L1472" s="111">
        <f>'Sampling Data'!X1465</f>
        <v>0</v>
      </c>
      <c r="M1472" s="114"/>
      <c r="N1472" s="114"/>
      <c r="O1472" s="115"/>
      <c r="P1472" s="115"/>
      <c r="Q1472" s="116"/>
      <c r="R1472" s="116"/>
      <c r="S1472" s="111">
        <f>Audit[[#This Row],[Audit Losing Candidate]]-Audit[[#This Row],[Losing Candidate]]</f>
        <v>-35</v>
      </c>
      <c r="T1472" s="111">
        <f>Audit[[#This Row],[Audit Winning Candidate]]-Audit[[#This Row],[Winning Candidate]]</f>
        <v>-72</v>
      </c>
      <c r="U1472" s="111">
        <f>Audit[[#This Row],[Audit Candidate 3]]-Audit[[#This Row],[Candidate 3]]</f>
        <v>-11</v>
      </c>
      <c r="V1472" s="111">
        <f>Audit[[#This Row],[Audit Candidate 4]]-Audit[[#This Row],[Candidate 4]]</f>
        <v>-5</v>
      </c>
      <c r="W1472" s="111">
        <f>Audit[[#This Row],[Audit Candidate 5]]-Audit[[#This Row],[Candidate 5]]</f>
        <v>-1</v>
      </c>
      <c r="X1472" s="111">
        <f>Audit[[#This Row],[Audit Candidate 6]]-Audit[[#This Row],[Candidate 6]]</f>
        <v>0</v>
      </c>
      <c r="Y1472" s="111">
        <f>SUMIF(Audit[[#This Row],[Difference Loser]:[Difference Candidate 6]], "&gt;0")</f>
        <v>0</v>
      </c>
      <c r="Z1472" s="111">
        <f>SUM(Audit[[#This Row],[Difference Loser]:[Difference Candidate 6]])</f>
        <v>-124</v>
      </c>
      <c r="AA1472" s="111">
        <f>IF(Audit[[#This Row],[Times p Drawn - With Replacement]]&gt;0, IF(Audit[[#This Row],[Canceled Differences]]&lt;0, Audit[[#This Row],[Max Differences]]+ABS(Audit[[#This Row],[Canceled Differences]]), Audit[[#This Row],[Max Differences]]), 0)</f>
        <v>0</v>
      </c>
      <c r="AB1472" s="111">
        <f>'Sampling Data'!P1465</f>
        <v>1.0105340519353257E-2</v>
      </c>
      <c r="AC1472" s="111">
        <f>IF(
      SUM(Audit[[#This Row],[Audit Losing Candidate]:[Audit Candidate 6]])
      &lt;&gt;0,
      (Audit[[#This Row],[Winning Candidate]]-Audit[[#This Row],[Losing Candidate]]-(Audit[[#This Row],[Audit Winning Candidate]]-Audit[[#This Row],[Audit Losing Candidate]]))/(Audit[[#Totals],[Winning Candidate]]-Audit[[#Totals],[Losing Candidate]]),
      0
)</f>
        <v>0</v>
      </c>
      <c r="AD14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2" s="111">
        <f>IF(Audit[[#This Row],[Max Relative Error (ep)]] = 0, 0, Audit[[#This Row],[Max Relative Error (ep)]]/Audit[[#This Row],[Error Bound (up) - Max. possible relative overstatement]])</f>
        <v>0</v>
      </c>
      <c r="AJ14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72" s="111">
        <f t="shared" si="22"/>
        <v>1</v>
      </c>
      <c r="AL1472" s="111">
        <f>PRODUCT($AK$5:AK1472)</f>
        <v>8.962823818226312E-2</v>
      </c>
      <c r="AM1472" s="109">
        <f>1 - [K-M P Value]</f>
        <v>0.91037176181773694</v>
      </c>
      <c r="AN1472" s="111" t="str">
        <f>IF(Audit[[#This Row],[K-M P Value]]&gt;1-'General Info'!$B$16,"Continue", "Stop")</f>
        <v>Stop</v>
      </c>
      <c r="AO1472" s="110" t="b">
        <f>IF(Audit[[#This Row],[Status - Continue or stop audit]] = "Continue", TRUE, IF(AN1471 = "Continue", TRUE, FALSE))</f>
        <v>0</v>
      </c>
      <c r="AP1472" s="110"/>
    </row>
    <row r="1473" spans="1:42" ht="15" hidden="1" customHeight="1">
      <c r="A1473" s="111" t="str">
        <f>'Sampling Data'!W1466</f>
        <v/>
      </c>
      <c r="B1473" s="112" t="str">
        <f>'Sampling Data'!A1466</f>
        <v>MIDDLEBURG HEIGHTS -03-A - ABS</v>
      </c>
      <c r="C1473" s="112">
        <f>'Sampling Data'!B1466</f>
        <v>22</v>
      </c>
      <c r="D1473" s="112">
        <f>'Sampling Data'!C1466</f>
        <v>19</v>
      </c>
      <c r="E1473" s="113">
        <f>'Sampling Data'!D1466</f>
        <v>4</v>
      </c>
      <c r="F1473" s="113">
        <f>'Sampling Data'!E1466</f>
        <v>4</v>
      </c>
      <c r="G1473" s="113">
        <f>'Sampling Data'!F1466</f>
        <v>0</v>
      </c>
      <c r="H1473" s="113">
        <f>'Sampling Data'!G1466</f>
        <v>0</v>
      </c>
      <c r="I1473" s="112">
        <f>'Sampling Data'!H1466</f>
        <v>0</v>
      </c>
      <c r="J1473" s="112">
        <f>'Sampling Data'!I1466</f>
        <v>0</v>
      </c>
      <c r="K1473" s="112">
        <f>'Sampling Data'!J1466</f>
        <v>49</v>
      </c>
      <c r="L1473" s="111">
        <f>'Sampling Data'!X1466</f>
        <v>0</v>
      </c>
      <c r="M1473" s="114"/>
      <c r="N1473" s="114"/>
      <c r="O1473" s="115"/>
      <c r="P1473" s="115"/>
      <c r="Q1473" s="116"/>
      <c r="R1473" s="116"/>
      <c r="S1473" s="111">
        <f>Audit[[#This Row],[Audit Losing Candidate]]-Audit[[#This Row],[Losing Candidate]]</f>
        <v>-22</v>
      </c>
      <c r="T1473" s="111">
        <f>Audit[[#This Row],[Audit Winning Candidate]]-Audit[[#This Row],[Winning Candidate]]</f>
        <v>-19</v>
      </c>
      <c r="U1473" s="111">
        <f>Audit[[#This Row],[Audit Candidate 3]]-Audit[[#This Row],[Candidate 3]]</f>
        <v>-4</v>
      </c>
      <c r="V1473" s="111">
        <f>Audit[[#This Row],[Audit Candidate 4]]-Audit[[#This Row],[Candidate 4]]</f>
        <v>-4</v>
      </c>
      <c r="W1473" s="111">
        <f>Audit[[#This Row],[Audit Candidate 5]]-Audit[[#This Row],[Candidate 5]]</f>
        <v>0</v>
      </c>
      <c r="X1473" s="111">
        <f>Audit[[#This Row],[Audit Candidate 6]]-Audit[[#This Row],[Candidate 6]]</f>
        <v>0</v>
      </c>
      <c r="Y1473" s="111">
        <f>SUMIF(Audit[[#This Row],[Difference Loser]:[Difference Candidate 6]], "&gt;0")</f>
        <v>0</v>
      </c>
      <c r="Z1473" s="111">
        <f>SUM(Audit[[#This Row],[Difference Loser]:[Difference Candidate 6]])</f>
        <v>-49</v>
      </c>
      <c r="AA1473" s="111">
        <f>IF(Audit[[#This Row],[Times p Drawn - With Replacement]]&gt;0, IF(Audit[[#This Row],[Canceled Differences]]&lt;0, Audit[[#This Row],[Max Differences]]+ABS(Audit[[#This Row],[Canceled Differences]]), Audit[[#This Row],[Max Differences]]), 0)</f>
        <v>0</v>
      </c>
      <c r="AB1473" s="111">
        <f>'Sampling Data'!P1466</f>
        <v>2.8172464478196961E-3</v>
      </c>
      <c r="AC1473" s="111">
        <f>IF(
      SUM(Audit[[#This Row],[Audit Losing Candidate]:[Audit Candidate 6]])
      &lt;&gt;0,
      (Audit[[#This Row],[Winning Candidate]]-Audit[[#This Row],[Losing Candidate]]-(Audit[[#This Row],[Audit Winning Candidate]]-Audit[[#This Row],[Audit Losing Candidate]]))/(Audit[[#Totals],[Winning Candidate]]-Audit[[#Totals],[Losing Candidate]]),
      0
)</f>
        <v>0</v>
      </c>
      <c r="AD14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3" s="111">
        <f>IF(Audit[[#This Row],[Max Relative Error (ep)]] = 0, 0, Audit[[#This Row],[Max Relative Error (ep)]]/Audit[[#This Row],[Error Bound (up) - Max. possible relative overstatement]])</f>
        <v>0</v>
      </c>
      <c r="AJ14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73" s="111">
        <f t="shared" si="22"/>
        <v>1</v>
      </c>
      <c r="AL1473" s="111">
        <f>PRODUCT($AK$5:AK1473)</f>
        <v>8.962823818226312E-2</v>
      </c>
      <c r="AM1473" s="109">
        <f>1 - [K-M P Value]</f>
        <v>0.91037176181773694</v>
      </c>
      <c r="AN1473" s="111" t="str">
        <f>IF(Audit[[#This Row],[K-M P Value]]&gt;1-'General Info'!$B$16,"Continue", "Stop")</f>
        <v>Stop</v>
      </c>
      <c r="AO1473" s="110" t="b">
        <f>IF(Audit[[#This Row],[Status - Continue or stop audit]] = "Continue", TRUE, IF(AN1472 = "Continue", TRUE, FALSE))</f>
        <v>0</v>
      </c>
      <c r="AP1473" s="110"/>
    </row>
    <row r="1474" spans="1:42" ht="15" hidden="1" customHeight="1">
      <c r="A1474" s="111" t="str">
        <f>'Sampling Data'!W1467</f>
        <v/>
      </c>
      <c r="B1474" s="112" t="str">
        <f>'Sampling Data'!A1467</f>
        <v>MIDDLEBURG HEIGHTS -03-B</v>
      </c>
      <c r="C1474" s="112">
        <f>'Sampling Data'!B1467</f>
        <v>38</v>
      </c>
      <c r="D1474" s="112">
        <f>'Sampling Data'!C1467</f>
        <v>55</v>
      </c>
      <c r="E1474" s="113">
        <f>'Sampling Data'!D1467</f>
        <v>28</v>
      </c>
      <c r="F1474" s="113">
        <f>'Sampling Data'!E1467</f>
        <v>18</v>
      </c>
      <c r="G1474" s="113">
        <f>'Sampling Data'!F1467</f>
        <v>0</v>
      </c>
      <c r="H1474" s="113">
        <f>'Sampling Data'!G1467</f>
        <v>0</v>
      </c>
      <c r="I1474" s="112">
        <f>'Sampling Data'!H1467</f>
        <v>0</v>
      </c>
      <c r="J1474" s="112">
        <f>'Sampling Data'!I1467</f>
        <v>4</v>
      </c>
      <c r="K1474" s="112">
        <f>'Sampling Data'!J1467</f>
        <v>143</v>
      </c>
      <c r="L1474" s="111">
        <f>'Sampling Data'!X1467</f>
        <v>0</v>
      </c>
      <c r="M1474" s="114"/>
      <c r="N1474" s="114"/>
      <c r="O1474" s="115"/>
      <c r="P1474" s="115"/>
      <c r="Q1474" s="116"/>
      <c r="R1474" s="116"/>
      <c r="S1474" s="111">
        <f>Audit[[#This Row],[Audit Losing Candidate]]-Audit[[#This Row],[Losing Candidate]]</f>
        <v>-38</v>
      </c>
      <c r="T1474" s="111">
        <f>Audit[[#This Row],[Audit Winning Candidate]]-Audit[[#This Row],[Winning Candidate]]</f>
        <v>-55</v>
      </c>
      <c r="U1474" s="111">
        <f>Audit[[#This Row],[Audit Candidate 3]]-Audit[[#This Row],[Candidate 3]]</f>
        <v>-28</v>
      </c>
      <c r="V1474" s="111">
        <f>Audit[[#This Row],[Audit Candidate 4]]-Audit[[#This Row],[Candidate 4]]</f>
        <v>-18</v>
      </c>
      <c r="W1474" s="111">
        <f>Audit[[#This Row],[Audit Candidate 5]]-Audit[[#This Row],[Candidate 5]]</f>
        <v>0</v>
      </c>
      <c r="X1474" s="111">
        <f>Audit[[#This Row],[Audit Candidate 6]]-Audit[[#This Row],[Candidate 6]]</f>
        <v>0</v>
      </c>
      <c r="Y1474" s="111">
        <f>SUMIF(Audit[[#This Row],[Difference Loser]:[Difference Candidate 6]], "&gt;0")</f>
        <v>0</v>
      </c>
      <c r="Z1474" s="111">
        <f>SUM(Audit[[#This Row],[Difference Loser]:[Difference Candidate 6]])</f>
        <v>-139</v>
      </c>
      <c r="AA1474" s="111">
        <f>IF(Audit[[#This Row],[Times p Drawn - With Replacement]]&gt;0, IF(Audit[[#This Row],[Canceled Differences]]&lt;0, Audit[[#This Row],[Max Differences]]+ABS(Audit[[#This Row],[Canceled Differences]]), Audit[[#This Row],[Max Differences]]), 0)</f>
        <v>0</v>
      </c>
      <c r="AB1474" s="111">
        <f>'Sampling Data'!P1467</f>
        <v>9.7991180793728563E-3</v>
      </c>
      <c r="AC1474" s="111">
        <f>IF(
      SUM(Audit[[#This Row],[Audit Losing Candidate]:[Audit Candidate 6]])
      &lt;&gt;0,
      (Audit[[#This Row],[Winning Candidate]]-Audit[[#This Row],[Losing Candidate]]-(Audit[[#This Row],[Audit Winning Candidate]]-Audit[[#This Row],[Audit Losing Candidate]]))/(Audit[[#Totals],[Winning Candidate]]-Audit[[#Totals],[Losing Candidate]]),
      0
)</f>
        <v>0</v>
      </c>
      <c r="AD14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4" s="111">
        <f>IF(Audit[[#This Row],[Max Relative Error (ep)]] = 0, 0, Audit[[#This Row],[Max Relative Error (ep)]]/Audit[[#This Row],[Error Bound (up) - Max. possible relative overstatement]])</f>
        <v>0</v>
      </c>
      <c r="AJ14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74" s="111">
        <f t="shared" si="22"/>
        <v>1</v>
      </c>
      <c r="AL1474" s="111">
        <f>PRODUCT($AK$5:AK1474)</f>
        <v>8.962823818226312E-2</v>
      </c>
      <c r="AM1474" s="109">
        <f>1 - [K-M P Value]</f>
        <v>0.91037176181773694</v>
      </c>
      <c r="AN1474" s="111" t="str">
        <f>IF(Audit[[#This Row],[K-M P Value]]&gt;1-'General Info'!$B$16,"Continue", "Stop")</f>
        <v>Stop</v>
      </c>
      <c r="AO1474" s="110" t="b">
        <f>IF(Audit[[#This Row],[Status - Continue or stop audit]] = "Continue", TRUE, IF(AN1473 = "Continue", TRUE, FALSE))</f>
        <v>0</v>
      </c>
      <c r="AP1474" s="110"/>
    </row>
    <row r="1475" spans="1:42" ht="15" hidden="1" customHeight="1">
      <c r="A1475" s="111" t="str">
        <f>'Sampling Data'!W1468</f>
        <v/>
      </c>
      <c r="B1475" s="112" t="str">
        <f>'Sampling Data'!A1468</f>
        <v>MIDDLEBURG HEIGHTS -03-B - ABS</v>
      </c>
      <c r="C1475" s="112">
        <f>'Sampling Data'!B1468</f>
        <v>15</v>
      </c>
      <c r="D1475" s="112">
        <f>'Sampling Data'!C1468</f>
        <v>17</v>
      </c>
      <c r="E1475" s="113">
        <f>'Sampling Data'!D1468</f>
        <v>9</v>
      </c>
      <c r="F1475" s="113">
        <f>'Sampling Data'!E1468</f>
        <v>3</v>
      </c>
      <c r="G1475" s="113">
        <f>'Sampling Data'!F1468</f>
        <v>0</v>
      </c>
      <c r="H1475" s="113">
        <f>'Sampling Data'!G1468</f>
        <v>1</v>
      </c>
      <c r="I1475" s="112">
        <f>'Sampling Data'!H1468</f>
        <v>0</v>
      </c>
      <c r="J1475" s="112">
        <f>'Sampling Data'!I1468</f>
        <v>1</v>
      </c>
      <c r="K1475" s="112">
        <f>'Sampling Data'!J1468</f>
        <v>46</v>
      </c>
      <c r="L1475" s="111">
        <f>'Sampling Data'!X1468</f>
        <v>0</v>
      </c>
      <c r="M1475" s="114"/>
      <c r="N1475" s="114"/>
      <c r="O1475" s="115"/>
      <c r="P1475" s="115"/>
      <c r="Q1475" s="116"/>
      <c r="R1475" s="116"/>
      <c r="S1475" s="111">
        <f>Audit[[#This Row],[Audit Losing Candidate]]-Audit[[#This Row],[Losing Candidate]]</f>
        <v>-15</v>
      </c>
      <c r="T1475" s="111">
        <f>Audit[[#This Row],[Audit Winning Candidate]]-Audit[[#This Row],[Winning Candidate]]</f>
        <v>-17</v>
      </c>
      <c r="U1475" s="111">
        <f>Audit[[#This Row],[Audit Candidate 3]]-Audit[[#This Row],[Candidate 3]]</f>
        <v>-9</v>
      </c>
      <c r="V1475" s="111">
        <f>Audit[[#This Row],[Audit Candidate 4]]-Audit[[#This Row],[Candidate 4]]</f>
        <v>-3</v>
      </c>
      <c r="W1475" s="111">
        <f>Audit[[#This Row],[Audit Candidate 5]]-Audit[[#This Row],[Candidate 5]]</f>
        <v>0</v>
      </c>
      <c r="X1475" s="111">
        <f>Audit[[#This Row],[Audit Candidate 6]]-Audit[[#This Row],[Candidate 6]]</f>
        <v>-1</v>
      </c>
      <c r="Y1475" s="111">
        <f>SUMIF(Audit[[#This Row],[Difference Loser]:[Difference Candidate 6]], "&gt;0")</f>
        <v>0</v>
      </c>
      <c r="Z1475" s="111">
        <f>SUM(Audit[[#This Row],[Difference Loser]:[Difference Candidate 6]])</f>
        <v>-45</v>
      </c>
      <c r="AA1475" s="111">
        <f>IF(Audit[[#This Row],[Times p Drawn - With Replacement]]&gt;0, IF(Audit[[#This Row],[Canceled Differences]]&lt;0, Audit[[#This Row],[Max Differences]]+ABS(Audit[[#This Row],[Canceled Differences]]), Audit[[#This Row],[Max Differences]]), 0)</f>
        <v>0</v>
      </c>
      <c r="AB1475" s="111">
        <f>'Sampling Data'!P1468</f>
        <v>2.9397354238118569E-3</v>
      </c>
      <c r="AC1475" s="111">
        <f>IF(
      SUM(Audit[[#This Row],[Audit Losing Candidate]:[Audit Candidate 6]])
      &lt;&gt;0,
      (Audit[[#This Row],[Winning Candidate]]-Audit[[#This Row],[Losing Candidate]]-(Audit[[#This Row],[Audit Winning Candidate]]-Audit[[#This Row],[Audit Losing Candidate]]))/(Audit[[#Totals],[Winning Candidate]]-Audit[[#Totals],[Losing Candidate]]),
      0
)</f>
        <v>0</v>
      </c>
      <c r="AD14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5" s="111">
        <f>IF(Audit[[#This Row],[Max Relative Error (ep)]] = 0, 0, Audit[[#This Row],[Max Relative Error (ep)]]/Audit[[#This Row],[Error Bound (up) - Max. possible relative overstatement]])</f>
        <v>0</v>
      </c>
      <c r="AJ14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75" s="111">
        <f t="shared" si="22"/>
        <v>1</v>
      </c>
      <c r="AL1475" s="111">
        <f>PRODUCT($AK$5:AK1475)</f>
        <v>8.962823818226312E-2</v>
      </c>
      <c r="AM1475" s="109">
        <f>1 - [K-M P Value]</f>
        <v>0.91037176181773694</v>
      </c>
      <c r="AN1475" s="111" t="str">
        <f>IF(Audit[[#This Row],[K-M P Value]]&gt;1-'General Info'!$B$16,"Continue", "Stop")</f>
        <v>Stop</v>
      </c>
      <c r="AO1475" s="110" t="b">
        <f>IF(Audit[[#This Row],[Status - Continue or stop audit]] = "Continue", TRUE, IF(AN1474 = "Continue", TRUE, FALSE))</f>
        <v>0</v>
      </c>
      <c r="AP1475" s="110"/>
    </row>
    <row r="1476" spans="1:42" ht="15" hidden="1" customHeight="1">
      <c r="A1476" s="111" t="str">
        <f>'Sampling Data'!W1469</f>
        <v/>
      </c>
      <c r="B1476" s="112" t="str">
        <f>'Sampling Data'!A1469</f>
        <v>MIDDLEBURG HEIGHTS -03-C</v>
      </c>
      <c r="C1476" s="112">
        <f>'Sampling Data'!B1469</f>
        <v>58</v>
      </c>
      <c r="D1476" s="112">
        <f>'Sampling Data'!C1469</f>
        <v>61</v>
      </c>
      <c r="E1476" s="113">
        <f>'Sampling Data'!D1469</f>
        <v>29</v>
      </c>
      <c r="F1476" s="113">
        <f>'Sampling Data'!E1469</f>
        <v>9</v>
      </c>
      <c r="G1476" s="113">
        <f>'Sampling Data'!F1469</f>
        <v>1</v>
      </c>
      <c r="H1476" s="113">
        <f>'Sampling Data'!G1469</f>
        <v>0</v>
      </c>
      <c r="I1476" s="112">
        <f>'Sampling Data'!H1469</f>
        <v>0</v>
      </c>
      <c r="J1476" s="112">
        <f>'Sampling Data'!I1469</f>
        <v>5</v>
      </c>
      <c r="K1476" s="112">
        <f>'Sampling Data'!J1469</f>
        <v>163</v>
      </c>
      <c r="L1476" s="111">
        <f>'Sampling Data'!X1469</f>
        <v>0</v>
      </c>
      <c r="M1476" s="114"/>
      <c r="N1476" s="114"/>
      <c r="O1476" s="115"/>
      <c r="P1476" s="115"/>
      <c r="Q1476" s="116"/>
      <c r="R1476" s="116"/>
      <c r="S1476" s="111">
        <f>Audit[[#This Row],[Audit Losing Candidate]]-Audit[[#This Row],[Losing Candidate]]</f>
        <v>-58</v>
      </c>
      <c r="T1476" s="111">
        <f>Audit[[#This Row],[Audit Winning Candidate]]-Audit[[#This Row],[Winning Candidate]]</f>
        <v>-61</v>
      </c>
      <c r="U1476" s="111">
        <f>Audit[[#This Row],[Audit Candidate 3]]-Audit[[#This Row],[Candidate 3]]</f>
        <v>-29</v>
      </c>
      <c r="V1476" s="111">
        <f>Audit[[#This Row],[Audit Candidate 4]]-Audit[[#This Row],[Candidate 4]]</f>
        <v>-9</v>
      </c>
      <c r="W1476" s="111">
        <f>Audit[[#This Row],[Audit Candidate 5]]-Audit[[#This Row],[Candidate 5]]</f>
        <v>-1</v>
      </c>
      <c r="X1476" s="111">
        <f>Audit[[#This Row],[Audit Candidate 6]]-Audit[[#This Row],[Candidate 6]]</f>
        <v>0</v>
      </c>
      <c r="Y1476" s="111">
        <f>SUMIF(Audit[[#This Row],[Difference Loser]:[Difference Candidate 6]], "&gt;0")</f>
        <v>0</v>
      </c>
      <c r="Z1476" s="111">
        <f>SUM(Audit[[#This Row],[Difference Loser]:[Difference Candidate 6]])</f>
        <v>-158</v>
      </c>
      <c r="AA1476" s="111">
        <f>IF(Audit[[#This Row],[Times p Drawn - With Replacement]]&gt;0, IF(Audit[[#This Row],[Canceled Differences]]&lt;0, Audit[[#This Row],[Max Differences]]+ABS(Audit[[#This Row],[Canceled Differences]]), Audit[[#This Row],[Max Differences]]), 0)</f>
        <v>0</v>
      </c>
      <c r="AB1476" s="111">
        <f>'Sampling Data'!P1469</f>
        <v>1.0166585007349339E-2</v>
      </c>
      <c r="AC1476" s="111">
        <f>IF(
      SUM(Audit[[#This Row],[Audit Losing Candidate]:[Audit Candidate 6]])
      &lt;&gt;0,
      (Audit[[#This Row],[Winning Candidate]]-Audit[[#This Row],[Losing Candidate]]-(Audit[[#This Row],[Audit Winning Candidate]]-Audit[[#This Row],[Audit Losing Candidate]]))/(Audit[[#Totals],[Winning Candidate]]-Audit[[#Totals],[Losing Candidate]]),
      0
)</f>
        <v>0</v>
      </c>
      <c r="AD14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6" s="111">
        <f>IF(Audit[[#This Row],[Max Relative Error (ep)]] = 0, 0, Audit[[#This Row],[Max Relative Error (ep)]]/Audit[[#This Row],[Error Bound (up) - Max. possible relative overstatement]])</f>
        <v>0</v>
      </c>
      <c r="AJ14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76" s="111">
        <f t="shared" si="22"/>
        <v>1</v>
      </c>
      <c r="AL1476" s="111">
        <f>PRODUCT($AK$5:AK1476)</f>
        <v>8.962823818226312E-2</v>
      </c>
      <c r="AM1476" s="109">
        <f>1 - [K-M P Value]</f>
        <v>0.91037176181773694</v>
      </c>
      <c r="AN1476" s="111" t="str">
        <f>IF(Audit[[#This Row],[K-M P Value]]&gt;1-'General Info'!$B$16,"Continue", "Stop")</f>
        <v>Stop</v>
      </c>
      <c r="AO1476" s="110" t="b">
        <f>IF(Audit[[#This Row],[Status - Continue or stop audit]] = "Continue", TRUE, IF(AN1475 = "Continue", TRUE, FALSE))</f>
        <v>0</v>
      </c>
      <c r="AP1476" s="110"/>
    </row>
    <row r="1477" spans="1:42" ht="15" hidden="1" customHeight="1">
      <c r="A1477" s="111" t="str">
        <f>'Sampling Data'!W1470</f>
        <v/>
      </c>
      <c r="B1477" s="112" t="str">
        <f>'Sampling Data'!A1470</f>
        <v>MIDDLEBURG HEIGHTS -03-C - ABS</v>
      </c>
      <c r="C1477" s="112">
        <f>'Sampling Data'!B1470</f>
        <v>17</v>
      </c>
      <c r="D1477" s="112">
        <f>'Sampling Data'!C1470</f>
        <v>15</v>
      </c>
      <c r="E1477" s="113">
        <f>'Sampling Data'!D1470</f>
        <v>7</v>
      </c>
      <c r="F1477" s="113">
        <f>'Sampling Data'!E1470</f>
        <v>8</v>
      </c>
      <c r="G1477" s="113">
        <f>'Sampling Data'!F1470</f>
        <v>0</v>
      </c>
      <c r="H1477" s="113">
        <f>'Sampling Data'!G1470</f>
        <v>0</v>
      </c>
      <c r="I1477" s="112">
        <f>'Sampling Data'!H1470</f>
        <v>0</v>
      </c>
      <c r="J1477" s="112">
        <f>'Sampling Data'!I1470</f>
        <v>1</v>
      </c>
      <c r="K1477" s="112">
        <f>'Sampling Data'!J1470</f>
        <v>48</v>
      </c>
      <c r="L1477" s="111">
        <f>'Sampling Data'!X1470</f>
        <v>0</v>
      </c>
      <c r="M1477" s="114"/>
      <c r="N1477" s="114"/>
      <c r="O1477" s="115"/>
      <c r="P1477" s="115"/>
      <c r="Q1477" s="116"/>
      <c r="R1477" s="116"/>
      <c r="S1477" s="111">
        <f>Audit[[#This Row],[Audit Losing Candidate]]-Audit[[#This Row],[Losing Candidate]]</f>
        <v>-17</v>
      </c>
      <c r="T1477" s="111">
        <f>Audit[[#This Row],[Audit Winning Candidate]]-Audit[[#This Row],[Winning Candidate]]</f>
        <v>-15</v>
      </c>
      <c r="U1477" s="111">
        <f>Audit[[#This Row],[Audit Candidate 3]]-Audit[[#This Row],[Candidate 3]]</f>
        <v>-7</v>
      </c>
      <c r="V1477" s="111">
        <f>Audit[[#This Row],[Audit Candidate 4]]-Audit[[#This Row],[Candidate 4]]</f>
        <v>-8</v>
      </c>
      <c r="W1477" s="111">
        <f>Audit[[#This Row],[Audit Candidate 5]]-Audit[[#This Row],[Candidate 5]]</f>
        <v>0</v>
      </c>
      <c r="X1477" s="111">
        <f>Audit[[#This Row],[Audit Candidate 6]]-Audit[[#This Row],[Candidate 6]]</f>
        <v>0</v>
      </c>
      <c r="Y1477" s="111">
        <f>SUMIF(Audit[[#This Row],[Difference Loser]:[Difference Candidate 6]], "&gt;0")</f>
        <v>0</v>
      </c>
      <c r="Z1477" s="111">
        <f>SUM(Audit[[#This Row],[Difference Loser]:[Difference Candidate 6]])</f>
        <v>-47</v>
      </c>
      <c r="AA1477" s="111">
        <f>IF(Audit[[#This Row],[Times p Drawn - With Replacement]]&gt;0, IF(Audit[[#This Row],[Canceled Differences]]&lt;0, Audit[[#This Row],[Max Differences]]+ABS(Audit[[#This Row],[Canceled Differences]]), Audit[[#This Row],[Max Differences]]), 0)</f>
        <v>0</v>
      </c>
      <c r="AB1477" s="111">
        <f>'Sampling Data'!P1470</f>
        <v>2.8172464478196961E-3</v>
      </c>
      <c r="AC1477" s="111">
        <f>IF(
      SUM(Audit[[#This Row],[Audit Losing Candidate]:[Audit Candidate 6]])
      &lt;&gt;0,
      (Audit[[#This Row],[Winning Candidate]]-Audit[[#This Row],[Losing Candidate]]-(Audit[[#This Row],[Audit Winning Candidate]]-Audit[[#This Row],[Audit Losing Candidate]]))/(Audit[[#Totals],[Winning Candidate]]-Audit[[#Totals],[Losing Candidate]]),
      0
)</f>
        <v>0</v>
      </c>
      <c r="AD14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7" s="111">
        <f>IF(Audit[[#This Row],[Max Relative Error (ep)]] = 0, 0, Audit[[#This Row],[Max Relative Error (ep)]]/Audit[[#This Row],[Error Bound (up) - Max. possible relative overstatement]])</f>
        <v>0</v>
      </c>
      <c r="AJ14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77" s="111">
        <f t="shared" ref="AK1477:AK1540" si="23">IF(ISERR(POWER(AJ1477,L1477)), 0, POWER(AJ1477,L1477))</f>
        <v>1</v>
      </c>
      <c r="AL1477" s="111">
        <f>PRODUCT($AK$5:AK1477)</f>
        <v>8.962823818226312E-2</v>
      </c>
      <c r="AM1477" s="109">
        <f>1 - [K-M P Value]</f>
        <v>0.91037176181773694</v>
      </c>
      <c r="AN1477" s="111" t="str">
        <f>IF(Audit[[#This Row],[K-M P Value]]&gt;1-'General Info'!$B$16,"Continue", "Stop")</f>
        <v>Stop</v>
      </c>
      <c r="AO1477" s="110" t="b">
        <f>IF(Audit[[#This Row],[Status - Continue or stop audit]] = "Continue", TRUE, IF(AN1476 = "Continue", TRUE, FALSE))</f>
        <v>0</v>
      </c>
      <c r="AP1477" s="110"/>
    </row>
    <row r="1478" spans="1:42" ht="15" hidden="1" customHeight="1">
      <c r="A1478" s="111" t="str">
        <f>'Sampling Data'!W1471</f>
        <v/>
      </c>
      <c r="B1478" s="112" t="str">
        <f>'Sampling Data'!A1471</f>
        <v>MIDDLEBURG HEIGHTS -04-A</v>
      </c>
      <c r="C1478" s="112">
        <f>'Sampling Data'!B1471</f>
        <v>47</v>
      </c>
      <c r="D1478" s="112">
        <f>'Sampling Data'!C1471</f>
        <v>69</v>
      </c>
      <c r="E1478" s="113">
        <f>'Sampling Data'!D1471</f>
        <v>21</v>
      </c>
      <c r="F1478" s="113">
        <f>'Sampling Data'!E1471</f>
        <v>3</v>
      </c>
      <c r="G1478" s="113">
        <f>'Sampling Data'!F1471</f>
        <v>3</v>
      </c>
      <c r="H1478" s="113">
        <f>'Sampling Data'!G1471</f>
        <v>0</v>
      </c>
      <c r="I1478" s="112">
        <f>'Sampling Data'!H1471</f>
        <v>1</v>
      </c>
      <c r="J1478" s="112">
        <f>'Sampling Data'!I1471</f>
        <v>4</v>
      </c>
      <c r="K1478" s="112">
        <f>'Sampling Data'!J1471</f>
        <v>148</v>
      </c>
      <c r="L1478" s="111">
        <f>'Sampling Data'!X1471</f>
        <v>0</v>
      </c>
      <c r="M1478" s="114"/>
      <c r="N1478" s="114"/>
      <c r="O1478" s="115"/>
      <c r="P1478" s="115"/>
      <c r="Q1478" s="116"/>
      <c r="R1478" s="116"/>
      <c r="S1478" s="111">
        <f>Audit[[#This Row],[Audit Losing Candidate]]-Audit[[#This Row],[Losing Candidate]]</f>
        <v>-47</v>
      </c>
      <c r="T1478" s="111">
        <f>Audit[[#This Row],[Audit Winning Candidate]]-Audit[[#This Row],[Winning Candidate]]</f>
        <v>-69</v>
      </c>
      <c r="U1478" s="111">
        <f>Audit[[#This Row],[Audit Candidate 3]]-Audit[[#This Row],[Candidate 3]]</f>
        <v>-21</v>
      </c>
      <c r="V1478" s="111">
        <f>Audit[[#This Row],[Audit Candidate 4]]-Audit[[#This Row],[Candidate 4]]</f>
        <v>-3</v>
      </c>
      <c r="W1478" s="111">
        <f>Audit[[#This Row],[Audit Candidate 5]]-Audit[[#This Row],[Candidate 5]]</f>
        <v>-3</v>
      </c>
      <c r="X1478" s="111">
        <f>Audit[[#This Row],[Audit Candidate 6]]-Audit[[#This Row],[Candidate 6]]</f>
        <v>0</v>
      </c>
      <c r="Y1478" s="111">
        <f>SUMIF(Audit[[#This Row],[Difference Loser]:[Difference Candidate 6]], "&gt;0")</f>
        <v>0</v>
      </c>
      <c r="Z1478" s="111">
        <f>SUM(Audit[[#This Row],[Difference Loser]:[Difference Candidate 6]])</f>
        <v>-143</v>
      </c>
      <c r="AA1478" s="111">
        <f>IF(Audit[[#This Row],[Times p Drawn - With Replacement]]&gt;0, IF(Audit[[#This Row],[Canceled Differences]]&lt;0, Audit[[#This Row],[Max Differences]]+ABS(Audit[[#This Row],[Canceled Differences]]), Audit[[#This Row],[Max Differences]]), 0)</f>
        <v>0</v>
      </c>
      <c r="AB1478" s="111">
        <f>'Sampling Data'!P1471</f>
        <v>1.041156295933366E-2</v>
      </c>
      <c r="AC1478" s="111">
        <f>IF(
      SUM(Audit[[#This Row],[Audit Losing Candidate]:[Audit Candidate 6]])
      &lt;&gt;0,
      (Audit[[#This Row],[Winning Candidate]]-Audit[[#This Row],[Losing Candidate]]-(Audit[[#This Row],[Audit Winning Candidate]]-Audit[[#This Row],[Audit Losing Candidate]]))/(Audit[[#Totals],[Winning Candidate]]-Audit[[#Totals],[Losing Candidate]]),
      0
)</f>
        <v>0</v>
      </c>
      <c r="AD14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8" s="111">
        <f>IF(Audit[[#This Row],[Max Relative Error (ep)]] = 0, 0, Audit[[#This Row],[Max Relative Error (ep)]]/Audit[[#This Row],[Error Bound (up) - Max. possible relative overstatement]])</f>
        <v>0</v>
      </c>
      <c r="AJ14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78" s="111">
        <f t="shared" si="23"/>
        <v>1</v>
      </c>
      <c r="AL1478" s="111">
        <f>PRODUCT($AK$5:AK1478)</f>
        <v>8.962823818226312E-2</v>
      </c>
      <c r="AM1478" s="109">
        <f>1 - [K-M P Value]</f>
        <v>0.91037176181773694</v>
      </c>
      <c r="AN1478" s="111" t="str">
        <f>IF(Audit[[#This Row],[K-M P Value]]&gt;1-'General Info'!$B$16,"Continue", "Stop")</f>
        <v>Stop</v>
      </c>
      <c r="AO1478" s="110" t="b">
        <f>IF(Audit[[#This Row],[Status - Continue or stop audit]] = "Continue", TRUE, IF(AN1477 = "Continue", TRUE, FALSE))</f>
        <v>0</v>
      </c>
      <c r="AP1478" s="110"/>
    </row>
    <row r="1479" spans="1:42" ht="15" hidden="1" customHeight="1">
      <c r="A1479" s="111" t="str">
        <f>'Sampling Data'!W1472</f>
        <v/>
      </c>
      <c r="B1479" s="112" t="str">
        <f>'Sampling Data'!A1472</f>
        <v>MIDDLEBURG HEIGHTS -04-A - ABS</v>
      </c>
      <c r="C1479" s="112">
        <f>'Sampling Data'!B1472</f>
        <v>16</v>
      </c>
      <c r="D1479" s="112">
        <f>'Sampling Data'!C1472</f>
        <v>37</v>
      </c>
      <c r="E1479" s="113">
        <f>'Sampling Data'!D1472</f>
        <v>11</v>
      </c>
      <c r="F1479" s="113">
        <f>'Sampling Data'!E1472</f>
        <v>7</v>
      </c>
      <c r="G1479" s="113">
        <f>'Sampling Data'!F1472</f>
        <v>0</v>
      </c>
      <c r="H1479" s="113">
        <f>'Sampling Data'!G1472</f>
        <v>0</v>
      </c>
      <c r="I1479" s="112">
        <f>'Sampling Data'!H1472</f>
        <v>0</v>
      </c>
      <c r="J1479" s="112">
        <f>'Sampling Data'!I1472</f>
        <v>0</v>
      </c>
      <c r="K1479" s="112">
        <f>'Sampling Data'!J1472</f>
        <v>71</v>
      </c>
      <c r="L1479" s="111">
        <f>'Sampling Data'!X1472</f>
        <v>0</v>
      </c>
      <c r="M1479" s="114"/>
      <c r="N1479" s="114"/>
      <c r="O1479" s="115"/>
      <c r="P1479" s="115"/>
      <c r="Q1479" s="116"/>
      <c r="R1479" s="116"/>
      <c r="S1479" s="111">
        <f>Audit[[#This Row],[Audit Losing Candidate]]-Audit[[#This Row],[Losing Candidate]]</f>
        <v>-16</v>
      </c>
      <c r="T1479" s="111">
        <f>Audit[[#This Row],[Audit Winning Candidate]]-Audit[[#This Row],[Winning Candidate]]</f>
        <v>-37</v>
      </c>
      <c r="U1479" s="111">
        <f>Audit[[#This Row],[Audit Candidate 3]]-Audit[[#This Row],[Candidate 3]]</f>
        <v>-11</v>
      </c>
      <c r="V1479" s="111">
        <f>Audit[[#This Row],[Audit Candidate 4]]-Audit[[#This Row],[Candidate 4]]</f>
        <v>-7</v>
      </c>
      <c r="W1479" s="111">
        <f>Audit[[#This Row],[Audit Candidate 5]]-Audit[[#This Row],[Candidate 5]]</f>
        <v>0</v>
      </c>
      <c r="X1479" s="111">
        <f>Audit[[#This Row],[Audit Candidate 6]]-Audit[[#This Row],[Candidate 6]]</f>
        <v>0</v>
      </c>
      <c r="Y1479" s="111">
        <f>SUMIF(Audit[[#This Row],[Difference Loser]:[Difference Candidate 6]], "&gt;0")</f>
        <v>0</v>
      </c>
      <c r="Z1479" s="111">
        <f>SUM(Audit[[#This Row],[Difference Loser]:[Difference Candidate 6]])</f>
        <v>-71</v>
      </c>
      <c r="AA1479" s="111">
        <f>IF(Audit[[#This Row],[Times p Drawn - With Replacement]]&gt;0, IF(Audit[[#This Row],[Canceled Differences]]&lt;0, Audit[[#This Row],[Max Differences]]+ABS(Audit[[#This Row],[Canceled Differences]]), Audit[[#This Row],[Max Differences]]), 0)</f>
        <v>0</v>
      </c>
      <c r="AB1479" s="111">
        <f>'Sampling Data'!P1472</f>
        <v>5.6344928956393921E-3</v>
      </c>
      <c r="AC1479" s="111">
        <f>IF(
      SUM(Audit[[#This Row],[Audit Losing Candidate]:[Audit Candidate 6]])
      &lt;&gt;0,
      (Audit[[#This Row],[Winning Candidate]]-Audit[[#This Row],[Losing Candidate]]-(Audit[[#This Row],[Audit Winning Candidate]]-Audit[[#This Row],[Audit Losing Candidate]]))/(Audit[[#Totals],[Winning Candidate]]-Audit[[#Totals],[Losing Candidate]]),
      0
)</f>
        <v>0</v>
      </c>
      <c r="AD14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9" s="111">
        <f>IF(Audit[[#This Row],[Max Relative Error (ep)]] = 0, 0, Audit[[#This Row],[Max Relative Error (ep)]]/Audit[[#This Row],[Error Bound (up) - Max. possible relative overstatement]])</f>
        <v>0</v>
      </c>
      <c r="AJ14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79" s="111">
        <f t="shared" si="23"/>
        <v>1</v>
      </c>
      <c r="AL1479" s="111">
        <f>PRODUCT($AK$5:AK1479)</f>
        <v>8.962823818226312E-2</v>
      </c>
      <c r="AM1479" s="109">
        <f>1 - [K-M P Value]</f>
        <v>0.91037176181773694</v>
      </c>
      <c r="AN1479" s="111" t="str">
        <f>IF(Audit[[#This Row],[K-M P Value]]&gt;1-'General Info'!$B$16,"Continue", "Stop")</f>
        <v>Stop</v>
      </c>
      <c r="AO1479" s="110" t="b">
        <f>IF(Audit[[#This Row],[Status - Continue or stop audit]] = "Continue", TRUE, IF(AN1478 = "Continue", TRUE, FALSE))</f>
        <v>0</v>
      </c>
      <c r="AP1479" s="110"/>
    </row>
    <row r="1480" spans="1:42" ht="15" hidden="1" customHeight="1">
      <c r="A1480" s="111" t="str">
        <f>'Sampling Data'!W1473</f>
        <v/>
      </c>
      <c r="B1480" s="112" t="str">
        <f>'Sampling Data'!A1473</f>
        <v>MIDDLEBURG HEIGHTS -04-B</v>
      </c>
      <c r="C1480" s="112">
        <f>'Sampling Data'!B1473</f>
        <v>39</v>
      </c>
      <c r="D1480" s="112">
        <f>'Sampling Data'!C1473</f>
        <v>54</v>
      </c>
      <c r="E1480" s="113">
        <f>'Sampling Data'!D1473</f>
        <v>30</v>
      </c>
      <c r="F1480" s="113">
        <f>'Sampling Data'!E1473</f>
        <v>3</v>
      </c>
      <c r="G1480" s="113">
        <f>'Sampling Data'!F1473</f>
        <v>0</v>
      </c>
      <c r="H1480" s="113">
        <f>'Sampling Data'!G1473</f>
        <v>0</v>
      </c>
      <c r="I1480" s="112">
        <f>'Sampling Data'!H1473</f>
        <v>0</v>
      </c>
      <c r="J1480" s="112">
        <f>'Sampling Data'!I1473</f>
        <v>3</v>
      </c>
      <c r="K1480" s="112">
        <f>'Sampling Data'!J1473</f>
        <v>129</v>
      </c>
      <c r="L1480" s="111">
        <f>'Sampling Data'!X1473</f>
        <v>0</v>
      </c>
      <c r="M1480" s="114"/>
      <c r="N1480" s="114"/>
      <c r="O1480" s="115"/>
      <c r="P1480" s="115"/>
      <c r="Q1480" s="116"/>
      <c r="R1480" s="116"/>
      <c r="S1480" s="111">
        <f>Audit[[#This Row],[Audit Losing Candidate]]-Audit[[#This Row],[Losing Candidate]]</f>
        <v>-39</v>
      </c>
      <c r="T1480" s="111">
        <f>Audit[[#This Row],[Audit Winning Candidate]]-Audit[[#This Row],[Winning Candidate]]</f>
        <v>-54</v>
      </c>
      <c r="U1480" s="111">
        <f>Audit[[#This Row],[Audit Candidate 3]]-Audit[[#This Row],[Candidate 3]]</f>
        <v>-30</v>
      </c>
      <c r="V1480" s="111">
        <f>Audit[[#This Row],[Audit Candidate 4]]-Audit[[#This Row],[Candidate 4]]</f>
        <v>-3</v>
      </c>
      <c r="W1480" s="111">
        <f>Audit[[#This Row],[Audit Candidate 5]]-Audit[[#This Row],[Candidate 5]]</f>
        <v>0</v>
      </c>
      <c r="X1480" s="111">
        <f>Audit[[#This Row],[Audit Candidate 6]]-Audit[[#This Row],[Candidate 6]]</f>
        <v>0</v>
      </c>
      <c r="Y1480" s="111">
        <f>SUMIF(Audit[[#This Row],[Difference Loser]:[Difference Candidate 6]], "&gt;0")</f>
        <v>0</v>
      </c>
      <c r="Z1480" s="111">
        <f>SUM(Audit[[#This Row],[Difference Loser]:[Difference Candidate 6]])</f>
        <v>-126</v>
      </c>
      <c r="AA1480" s="111">
        <f>IF(Audit[[#This Row],[Times p Drawn - With Replacement]]&gt;0, IF(Audit[[#This Row],[Canceled Differences]]&lt;0, Audit[[#This Row],[Max Differences]]+ABS(Audit[[#This Row],[Canceled Differences]]), Audit[[#This Row],[Max Differences]]), 0)</f>
        <v>0</v>
      </c>
      <c r="AB1480" s="111">
        <f>'Sampling Data'!P1473</f>
        <v>8.8192062714355715E-3</v>
      </c>
      <c r="AC1480" s="111">
        <f>IF(
      SUM(Audit[[#This Row],[Audit Losing Candidate]:[Audit Candidate 6]])
      &lt;&gt;0,
      (Audit[[#This Row],[Winning Candidate]]-Audit[[#This Row],[Losing Candidate]]-(Audit[[#This Row],[Audit Winning Candidate]]-Audit[[#This Row],[Audit Losing Candidate]]))/(Audit[[#Totals],[Winning Candidate]]-Audit[[#Totals],[Losing Candidate]]),
      0
)</f>
        <v>0</v>
      </c>
      <c r="AD14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0" s="111">
        <f>IF(Audit[[#This Row],[Max Relative Error (ep)]] = 0, 0, Audit[[#This Row],[Max Relative Error (ep)]]/Audit[[#This Row],[Error Bound (up) - Max. possible relative overstatement]])</f>
        <v>0</v>
      </c>
      <c r="AJ14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80" s="111">
        <f t="shared" si="23"/>
        <v>1</v>
      </c>
      <c r="AL1480" s="111">
        <f>PRODUCT($AK$5:AK1480)</f>
        <v>8.962823818226312E-2</v>
      </c>
      <c r="AM1480" s="109">
        <f>1 - [K-M P Value]</f>
        <v>0.91037176181773694</v>
      </c>
      <c r="AN1480" s="111" t="str">
        <f>IF(Audit[[#This Row],[K-M P Value]]&gt;1-'General Info'!$B$16,"Continue", "Stop")</f>
        <v>Stop</v>
      </c>
      <c r="AO1480" s="110" t="b">
        <f>IF(Audit[[#This Row],[Status - Continue or stop audit]] = "Continue", TRUE, IF(AN1479 = "Continue", TRUE, FALSE))</f>
        <v>0</v>
      </c>
      <c r="AP1480" s="110"/>
    </row>
    <row r="1481" spans="1:42" ht="15" hidden="1" customHeight="1">
      <c r="A1481" s="111" t="str">
        <f>'Sampling Data'!W1474</f>
        <v/>
      </c>
      <c r="B1481" s="112" t="str">
        <f>'Sampling Data'!A1474</f>
        <v>MIDDLEBURG HEIGHTS -04-B - ABS</v>
      </c>
      <c r="C1481" s="112">
        <f>'Sampling Data'!B1474</f>
        <v>13</v>
      </c>
      <c r="D1481" s="112">
        <f>'Sampling Data'!C1474</f>
        <v>20</v>
      </c>
      <c r="E1481" s="113">
        <f>'Sampling Data'!D1474</f>
        <v>7</v>
      </c>
      <c r="F1481" s="113">
        <f>'Sampling Data'!E1474</f>
        <v>5</v>
      </c>
      <c r="G1481" s="113">
        <f>'Sampling Data'!F1474</f>
        <v>0</v>
      </c>
      <c r="H1481" s="113">
        <f>'Sampling Data'!G1474</f>
        <v>0</v>
      </c>
      <c r="I1481" s="112">
        <f>'Sampling Data'!H1474</f>
        <v>0</v>
      </c>
      <c r="J1481" s="112">
        <f>'Sampling Data'!I1474</f>
        <v>1</v>
      </c>
      <c r="K1481" s="112">
        <f>'Sampling Data'!J1474</f>
        <v>46</v>
      </c>
      <c r="L1481" s="111">
        <f>'Sampling Data'!X1474</f>
        <v>0</v>
      </c>
      <c r="M1481" s="114"/>
      <c r="N1481" s="114"/>
      <c r="O1481" s="115"/>
      <c r="P1481" s="115"/>
      <c r="Q1481" s="116"/>
      <c r="R1481" s="116"/>
      <c r="S1481" s="111">
        <f>Audit[[#This Row],[Audit Losing Candidate]]-Audit[[#This Row],[Losing Candidate]]</f>
        <v>-13</v>
      </c>
      <c r="T1481" s="111">
        <f>Audit[[#This Row],[Audit Winning Candidate]]-Audit[[#This Row],[Winning Candidate]]</f>
        <v>-20</v>
      </c>
      <c r="U1481" s="111">
        <f>Audit[[#This Row],[Audit Candidate 3]]-Audit[[#This Row],[Candidate 3]]</f>
        <v>-7</v>
      </c>
      <c r="V1481" s="111">
        <f>Audit[[#This Row],[Audit Candidate 4]]-Audit[[#This Row],[Candidate 4]]</f>
        <v>-5</v>
      </c>
      <c r="W1481" s="111">
        <f>Audit[[#This Row],[Audit Candidate 5]]-Audit[[#This Row],[Candidate 5]]</f>
        <v>0</v>
      </c>
      <c r="X1481" s="111">
        <f>Audit[[#This Row],[Audit Candidate 6]]-Audit[[#This Row],[Candidate 6]]</f>
        <v>0</v>
      </c>
      <c r="Y1481" s="111">
        <f>SUMIF(Audit[[#This Row],[Difference Loser]:[Difference Candidate 6]], "&gt;0")</f>
        <v>0</v>
      </c>
      <c r="Z1481" s="111">
        <f>SUM(Audit[[#This Row],[Difference Loser]:[Difference Candidate 6]])</f>
        <v>-45</v>
      </c>
      <c r="AA1481" s="111">
        <f>IF(Audit[[#This Row],[Times p Drawn - With Replacement]]&gt;0, IF(Audit[[#This Row],[Canceled Differences]]&lt;0, Audit[[#This Row],[Max Differences]]+ABS(Audit[[#This Row],[Canceled Differences]]), Audit[[#This Row],[Max Differences]]), 0)</f>
        <v>0</v>
      </c>
      <c r="AB1481" s="111">
        <f>'Sampling Data'!P1474</f>
        <v>3.2459578637922589E-3</v>
      </c>
      <c r="AC1481" s="111">
        <f>IF(
      SUM(Audit[[#This Row],[Audit Losing Candidate]:[Audit Candidate 6]])
      &lt;&gt;0,
      (Audit[[#This Row],[Winning Candidate]]-Audit[[#This Row],[Losing Candidate]]-(Audit[[#This Row],[Audit Winning Candidate]]-Audit[[#This Row],[Audit Losing Candidate]]))/(Audit[[#Totals],[Winning Candidate]]-Audit[[#Totals],[Losing Candidate]]),
      0
)</f>
        <v>0</v>
      </c>
      <c r="AD14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1" s="111">
        <f>IF(Audit[[#This Row],[Max Relative Error (ep)]] = 0, 0, Audit[[#This Row],[Max Relative Error (ep)]]/Audit[[#This Row],[Error Bound (up) - Max. possible relative overstatement]])</f>
        <v>0</v>
      </c>
      <c r="AJ14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81" s="111">
        <f t="shared" si="23"/>
        <v>1</v>
      </c>
      <c r="AL1481" s="111">
        <f>PRODUCT($AK$5:AK1481)</f>
        <v>8.962823818226312E-2</v>
      </c>
      <c r="AM1481" s="109">
        <f>1 - [K-M P Value]</f>
        <v>0.91037176181773694</v>
      </c>
      <c r="AN1481" s="111" t="str">
        <f>IF(Audit[[#This Row],[K-M P Value]]&gt;1-'General Info'!$B$16,"Continue", "Stop")</f>
        <v>Stop</v>
      </c>
      <c r="AO1481" s="110" t="b">
        <f>IF(Audit[[#This Row],[Status - Continue or stop audit]] = "Continue", TRUE, IF(AN1480 = "Continue", TRUE, FALSE))</f>
        <v>0</v>
      </c>
      <c r="AP1481" s="110"/>
    </row>
    <row r="1482" spans="1:42" ht="15" hidden="1" customHeight="1">
      <c r="A1482" s="111" t="str">
        <f>'Sampling Data'!W1475</f>
        <v/>
      </c>
      <c r="B1482" s="112" t="str">
        <f>'Sampling Data'!A1475</f>
        <v>MIDDLEBURG HEIGHTS -04-C</v>
      </c>
      <c r="C1482" s="112">
        <f>'Sampling Data'!B1475</f>
        <v>35</v>
      </c>
      <c r="D1482" s="112">
        <f>'Sampling Data'!C1475</f>
        <v>68</v>
      </c>
      <c r="E1482" s="113">
        <f>'Sampling Data'!D1475</f>
        <v>10</v>
      </c>
      <c r="F1482" s="113">
        <f>'Sampling Data'!E1475</f>
        <v>11</v>
      </c>
      <c r="G1482" s="113">
        <f>'Sampling Data'!F1475</f>
        <v>1</v>
      </c>
      <c r="H1482" s="113">
        <f>'Sampling Data'!G1475</f>
        <v>2</v>
      </c>
      <c r="I1482" s="112">
        <f>'Sampling Data'!H1475</f>
        <v>0</v>
      </c>
      <c r="J1482" s="112">
        <f>'Sampling Data'!I1475</f>
        <v>1</v>
      </c>
      <c r="K1482" s="112">
        <f>'Sampling Data'!J1475</f>
        <v>128</v>
      </c>
      <c r="L1482" s="111">
        <f>'Sampling Data'!X1475</f>
        <v>0</v>
      </c>
      <c r="M1482" s="114"/>
      <c r="N1482" s="114"/>
      <c r="O1482" s="115"/>
      <c r="P1482" s="115"/>
      <c r="Q1482" s="116"/>
      <c r="R1482" s="116"/>
      <c r="S1482" s="111">
        <f>Audit[[#This Row],[Audit Losing Candidate]]-Audit[[#This Row],[Losing Candidate]]</f>
        <v>-35</v>
      </c>
      <c r="T1482" s="111">
        <f>Audit[[#This Row],[Audit Winning Candidate]]-Audit[[#This Row],[Winning Candidate]]</f>
        <v>-68</v>
      </c>
      <c r="U1482" s="111">
        <f>Audit[[#This Row],[Audit Candidate 3]]-Audit[[#This Row],[Candidate 3]]</f>
        <v>-10</v>
      </c>
      <c r="V1482" s="111">
        <f>Audit[[#This Row],[Audit Candidate 4]]-Audit[[#This Row],[Candidate 4]]</f>
        <v>-11</v>
      </c>
      <c r="W1482" s="111">
        <f>Audit[[#This Row],[Audit Candidate 5]]-Audit[[#This Row],[Candidate 5]]</f>
        <v>-1</v>
      </c>
      <c r="X1482" s="111">
        <f>Audit[[#This Row],[Audit Candidate 6]]-Audit[[#This Row],[Candidate 6]]</f>
        <v>-2</v>
      </c>
      <c r="Y1482" s="111">
        <f>SUMIF(Audit[[#This Row],[Difference Loser]:[Difference Candidate 6]], "&gt;0")</f>
        <v>0</v>
      </c>
      <c r="Z1482" s="111">
        <f>SUM(Audit[[#This Row],[Difference Loser]:[Difference Candidate 6]])</f>
        <v>-127</v>
      </c>
      <c r="AA1482" s="111">
        <f>IF(Audit[[#This Row],[Times p Drawn - With Replacement]]&gt;0, IF(Audit[[#This Row],[Canceled Differences]]&lt;0, Audit[[#This Row],[Max Differences]]+ABS(Audit[[#This Row],[Canceled Differences]]), Audit[[#This Row],[Max Differences]]), 0)</f>
        <v>0</v>
      </c>
      <c r="AB1482" s="111">
        <f>'Sampling Data'!P1475</f>
        <v>9.8603625673689375E-3</v>
      </c>
      <c r="AC1482" s="111">
        <f>IF(
      SUM(Audit[[#This Row],[Audit Losing Candidate]:[Audit Candidate 6]])
      &lt;&gt;0,
      (Audit[[#This Row],[Winning Candidate]]-Audit[[#This Row],[Losing Candidate]]-(Audit[[#This Row],[Audit Winning Candidate]]-Audit[[#This Row],[Audit Losing Candidate]]))/(Audit[[#Totals],[Winning Candidate]]-Audit[[#Totals],[Losing Candidate]]),
      0
)</f>
        <v>0</v>
      </c>
      <c r="AD14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2" s="111">
        <f>IF(Audit[[#This Row],[Max Relative Error (ep)]] = 0, 0, Audit[[#This Row],[Max Relative Error (ep)]]/Audit[[#This Row],[Error Bound (up) - Max. possible relative overstatement]])</f>
        <v>0</v>
      </c>
      <c r="AJ14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82" s="111">
        <f t="shared" si="23"/>
        <v>1</v>
      </c>
      <c r="AL1482" s="111">
        <f>PRODUCT($AK$5:AK1482)</f>
        <v>8.962823818226312E-2</v>
      </c>
      <c r="AM1482" s="109">
        <f>1 - [K-M P Value]</f>
        <v>0.91037176181773694</v>
      </c>
      <c r="AN1482" s="111" t="str">
        <f>IF(Audit[[#This Row],[K-M P Value]]&gt;1-'General Info'!$B$16,"Continue", "Stop")</f>
        <v>Stop</v>
      </c>
      <c r="AO1482" s="110" t="b">
        <f>IF(Audit[[#This Row],[Status - Continue or stop audit]] = "Continue", TRUE, IF(AN1481 = "Continue", TRUE, FALSE))</f>
        <v>0</v>
      </c>
      <c r="AP1482" s="110"/>
    </row>
    <row r="1483" spans="1:42" ht="15" hidden="1" customHeight="1">
      <c r="A1483" s="111" t="str">
        <f>'Sampling Data'!W1476</f>
        <v/>
      </c>
      <c r="B1483" s="112" t="str">
        <f>'Sampling Data'!A1476</f>
        <v>MIDDLEBURG HEIGHTS -04-C - ABS</v>
      </c>
      <c r="C1483" s="112">
        <f>'Sampling Data'!B1476</f>
        <v>22</v>
      </c>
      <c r="D1483" s="112">
        <f>'Sampling Data'!C1476</f>
        <v>26</v>
      </c>
      <c r="E1483" s="113">
        <f>'Sampling Data'!D1476</f>
        <v>5</v>
      </c>
      <c r="F1483" s="113">
        <f>'Sampling Data'!E1476</f>
        <v>1</v>
      </c>
      <c r="G1483" s="113">
        <f>'Sampling Data'!F1476</f>
        <v>0</v>
      </c>
      <c r="H1483" s="113">
        <f>'Sampling Data'!G1476</f>
        <v>1</v>
      </c>
      <c r="I1483" s="112">
        <f>'Sampling Data'!H1476</f>
        <v>0</v>
      </c>
      <c r="J1483" s="112">
        <f>'Sampling Data'!I1476</f>
        <v>1</v>
      </c>
      <c r="K1483" s="112">
        <f>'Sampling Data'!J1476</f>
        <v>56</v>
      </c>
      <c r="L1483" s="111">
        <f>'Sampling Data'!X1476</f>
        <v>0</v>
      </c>
      <c r="M1483" s="114"/>
      <c r="N1483" s="114"/>
      <c r="O1483" s="115"/>
      <c r="P1483" s="115"/>
      <c r="Q1483" s="116"/>
      <c r="R1483" s="116"/>
      <c r="S1483" s="111">
        <f>Audit[[#This Row],[Audit Losing Candidate]]-Audit[[#This Row],[Losing Candidate]]</f>
        <v>-22</v>
      </c>
      <c r="T1483" s="111">
        <f>Audit[[#This Row],[Audit Winning Candidate]]-Audit[[#This Row],[Winning Candidate]]</f>
        <v>-26</v>
      </c>
      <c r="U1483" s="111">
        <f>Audit[[#This Row],[Audit Candidate 3]]-Audit[[#This Row],[Candidate 3]]</f>
        <v>-5</v>
      </c>
      <c r="V1483" s="111">
        <f>Audit[[#This Row],[Audit Candidate 4]]-Audit[[#This Row],[Candidate 4]]</f>
        <v>-1</v>
      </c>
      <c r="W1483" s="111">
        <f>Audit[[#This Row],[Audit Candidate 5]]-Audit[[#This Row],[Candidate 5]]</f>
        <v>0</v>
      </c>
      <c r="X1483" s="111">
        <f>Audit[[#This Row],[Audit Candidate 6]]-Audit[[#This Row],[Candidate 6]]</f>
        <v>-1</v>
      </c>
      <c r="Y1483" s="111">
        <f>SUMIF(Audit[[#This Row],[Difference Loser]:[Difference Candidate 6]], "&gt;0")</f>
        <v>0</v>
      </c>
      <c r="Z1483" s="111">
        <f>SUM(Audit[[#This Row],[Difference Loser]:[Difference Candidate 6]])</f>
        <v>-55</v>
      </c>
      <c r="AA1483" s="111">
        <f>IF(Audit[[#This Row],[Times p Drawn - With Replacement]]&gt;0, IF(Audit[[#This Row],[Canceled Differences]]&lt;0, Audit[[#This Row],[Max Differences]]+ABS(Audit[[#This Row],[Canceled Differences]]), Audit[[#This Row],[Max Differences]]), 0)</f>
        <v>0</v>
      </c>
      <c r="AB1483" s="111">
        <f>'Sampling Data'!P1476</f>
        <v>3.6746692797648213E-3</v>
      </c>
      <c r="AC1483" s="111">
        <f>IF(
      SUM(Audit[[#This Row],[Audit Losing Candidate]:[Audit Candidate 6]])
      &lt;&gt;0,
      (Audit[[#This Row],[Winning Candidate]]-Audit[[#This Row],[Losing Candidate]]-(Audit[[#This Row],[Audit Winning Candidate]]-Audit[[#This Row],[Audit Losing Candidate]]))/(Audit[[#Totals],[Winning Candidate]]-Audit[[#Totals],[Losing Candidate]]),
      0
)</f>
        <v>0</v>
      </c>
      <c r="AD14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3" s="111">
        <f>IF(Audit[[#This Row],[Max Relative Error (ep)]] = 0, 0, Audit[[#This Row],[Max Relative Error (ep)]]/Audit[[#This Row],[Error Bound (up) - Max. possible relative overstatement]])</f>
        <v>0</v>
      </c>
      <c r="AJ14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83" s="111">
        <f t="shared" si="23"/>
        <v>1</v>
      </c>
      <c r="AL1483" s="111">
        <f>PRODUCT($AK$5:AK1483)</f>
        <v>8.962823818226312E-2</v>
      </c>
      <c r="AM1483" s="109">
        <f>1 - [K-M P Value]</f>
        <v>0.91037176181773694</v>
      </c>
      <c r="AN1483" s="111" t="str">
        <f>IF(Audit[[#This Row],[K-M P Value]]&gt;1-'General Info'!$B$16,"Continue", "Stop")</f>
        <v>Stop</v>
      </c>
      <c r="AO1483" s="110" t="b">
        <f>IF(Audit[[#This Row],[Status - Continue or stop audit]] = "Continue", TRUE, IF(AN1482 = "Continue", TRUE, FALSE))</f>
        <v>0</v>
      </c>
      <c r="AP1483" s="110"/>
    </row>
    <row r="1484" spans="1:42" ht="15" hidden="1" customHeight="1">
      <c r="A1484" s="111" t="str">
        <f>'Sampling Data'!W1477</f>
        <v/>
      </c>
      <c r="B1484" s="112" t="str">
        <f>'Sampling Data'!A1477</f>
        <v>MORELAND HILLS -00-A</v>
      </c>
      <c r="C1484" s="112">
        <f>'Sampling Data'!B1477</f>
        <v>12</v>
      </c>
      <c r="D1484" s="112">
        <f>'Sampling Data'!C1477</f>
        <v>102</v>
      </c>
      <c r="E1484" s="113">
        <f>'Sampling Data'!D1477</f>
        <v>4</v>
      </c>
      <c r="F1484" s="113">
        <f>'Sampling Data'!E1477</f>
        <v>6</v>
      </c>
      <c r="G1484" s="113">
        <f>'Sampling Data'!F1477</f>
        <v>1</v>
      </c>
      <c r="H1484" s="113">
        <f>'Sampling Data'!G1477</f>
        <v>0</v>
      </c>
      <c r="I1484" s="112">
        <f>'Sampling Data'!H1477</f>
        <v>0</v>
      </c>
      <c r="J1484" s="112">
        <f>'Sampling Data'!I1477</f>
        <v>2</v>
      </c>
      <c r="K1484" s="112">
        <f>'Sampling Data'!J1477</f>
        <v>127</v>
      </c>
      <c r="L1484" s="111">
        <f>'Sampling Data'!X1477</f>
        <v>0</v>
      </c>
      <c r="M1484" s="114"/>
      <c r="N1484" s="114"/>
      <c r="O1484" s="115"/>
      <c r="P1484" s="115"/>
      <c r="Q1484" s="116"/>
      <c r="R1484" s="116"/>
      <c r="S1484" s="111">
        <f>Audit[[#This Row],[Audit Losing Candidate]]-Audit[[#This Row],[Losing Candidate]]</f>
        <v>-12</v>
      </c>
      <c r="T1484" s="111">
        <f>Audit[[#This Row],[Audit Winning Candidate]]-Audit[[#This Row],[Winning Candidate]]</f>
        <v>-102</v>
      </c>
      <c r="U1484" s="111">
        <f>Audit[[#This Row],[Audit Candidate 3]]-Audit[[#This Row],[Candidate 3]]</f>
        <v>-4</v>
      </c>
      <c r="V1484" s="111">
        <f>Audit[[#This Row],[Audit Candidate 4]]-Audit[[#This Row],[Candidate 4]]</f>
        <v>-6</v>
      </c>
      <c r="W1484" s="111">
        <f>Audit[[#This Row],[Audit Candidate 5]]-Audit[[#This Row],[Candidate 5]]</f>
        <v>-1</v>
      </c>
      <c r="X1484" s="111">
        <f>Audit[[#This Row],[Audit Candidate 6]]-Audit[[#This Row],[Candidate 6]]</f>
        <v>0</v>
      </c>
      <c r="Y1484" s="111">
        <f>SUMIF(Audit[[#This Row],[Difference Loser]:[Difference Candidate 6]], "&gt;0")</f>
        <v>0</v>
      </c>
      <c r="Z1484" s="111">
        <f>SUM(Audit[[#This Row],[Difference Loser]:[Difference Candidate 6]])</f>
        <v>-125</v>
      </c>
      <c r="AA1484" s="111">
        <f>IF(Audit[[#This Row],[Times p Drawn - With Replacement]]&gt;0, IF(Audit[[#This Row],[Canceled Differences]]&lt;0, Audit[[#This Row],[Max Differences]]+ABS(Audit[[#This Row],[Canceled Differences]]), Audit[[#This Row],[Max Differences]]), 0)</f>
        <v>0</v>
      </c>
      <c r="AB1484" s="111">
        <f>'Sampling Data'!P1477</f>
        <v>1.3290053895149437E-2</v>
      </c>
      <c r="AC1484" s="111">
        <f>IF(
      SUM(Audit[[#This Row],[Audit Losing Candidate]:[Audit Candidate 6]])
      &lt;&gt;0,
      (Audit[[#This Row],[Winning Candidate]]-Audit[[#This Row],[Losing Candidate]]-(Audit[[#This Row],[Audit Winning Candidate]]-Audit[[#This Row],[Audit Losing Candidate]]))/(Audit[[#Totals],[Winning Candidate]]-Audit[[#Totals],[Losing Candidate]]),
      0
)</f>
        <v>0</v>
      </c>
      <c r="AD14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4" s="111">
        <f>IF(Audit[[#This Row],[Max Relative Error (ep)]] = 0, 0, Audit[[#This Row],[Max Relative Error (ep)]]/Audit[[#This Row],[Error Bound (up) - Max. possible relative overstatement]])</f>
        <v>0</v>
      </c>
      <c r="AJ14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84" s="111">
        <f t="shared" si="23"/>
        <v>1</v>
      </c>
      <c r="AL1484" s="111">
        <f>PRODUCT($AK$5:AK1484)</f>
        <v>8.962823818226312E-2</v>
      </c>
      <c r="AM1484" s="109">
        <f>1 - [K-M P Value]</f>
        <v>0.91037176181773694</v>
      </c>
      <c r="AN1484" s="111" t="str">
        <f>IF(Audit[[#This Row],[K-M P Value]]&gt;1-'General Info'!$B$16,"Continue", "Stop")</f>
        <v>Stop</v>
      </c>
      <c r="AO1484" s="110" t="b">
        <f>IF(Audit[[#This Row],[Status - Continue or stop audit]] = "Continue", TRUE, IF(AN1483 = "Continue", TRUE, FALSE))</f>
        <v>0</v>
      </c>
      <c r="AP1484" s="110"/>
    </row>
    <row r="1485" spans="1:42" ht="15" hidden="1" customHeight="1">
      <c r="A1485" s="111" t="str">
        <f>'Sampling Data'!W1478</f>
        <v/>
      </c>
      <c r="B1485" s="112" t="str">
        <f>'Sampling Data'!A1478</f>
        <v>MORELAND HILLS -00-A - ABS</v>
      </c>
      <c r="C1485" s="112">
        <f>'Sampling Data'!B1478</f>
        <v>17</v>
      </c>
      <c r="D1485" s="112">
        <f>'Sampling Data'!C1478</f>
        <v>31</v>
      </c>
      <c r="E1485" s="113">
        <f>'Sampling Data'!D1478</f>
        <v>6</v>
      </c>
      <c r="F1485" s="113">
        <f>'Sampling Data'!E1478</f>
        <v>3</v>
      </c>
      <c r="G1485" s="113">
        <f>'Sampling Data'!F1478</f>
        <v>0</v>
      </c>
      <c r="H1485" s="113">
        <f>'Sampling Data'!G1478</f>
        <v>0</v>
      </c>
      <c r="I1485" s="112">
        <f>'Sampling Data'!H1478</f>
        <v>0</v>
      </c>
      <c r="J1485" s="112">
        <f>'Sampling Data'!I1478</f>
        <v>1</v>
      </c>
      <c r="K1485" s="112">
        <f>'Sampling Data'!J1478</f>
        <v>58</v>
      </c>
      <c r="L1485" s="111">
        <f>'Sampling Data'!X1478</f>
        <v>0</v>
      </c>
      <c r="M1485" s="114"/>
      <c r="N1485" s="114"/>
      <c r="O1485" s="115"/>
      <c r="P1485" s="115"/>
      <c r="Q1485" s="116"/>
      <c r="R1485" s="116"/>
      <c r="S1485" s="111">
        <f>Audit[[#This Row],[Audit Losing Candidate]]-Audit[[#This Row],[Losing Candidate]]</f>
        <v>-17</v>
      </c>
      <c r="T1485" s="111">
        <f>Audit[[#This Row],[Audit Winning Candidate]]-Audit[[#This Row],[Winning Candidate]]</f>
        <v>-31</v>
      </c>
      <c r="U1485" s="111">
        <f>Audit[[#This Row],[Audit Candidate 3]]-Audit[[#This Row],[Candidate 3]]</f>
        <v>-6</v>
      </c>
      <c r="V1485" s="111">
        <f>Audit[[#This Row],[Audit Candidate 4]]-Audit[[#This Row],[Candidate 4]]</f>
        <v>-3</v>
      </c>
      <c r="W1485" s="111">
        <f>Audit[[#This Row],[Audit Candidate 5]]-Audit[[#This Row],[Candidate 5]]</f>
        <v>0</v>
      </c>
      <c r="X1485" s="111">
        <f>Audit[[#This Row],[Audit Candidate 6]]-Audit[[#This Row],[Candidate 6]]</f>
        <v>0</v>
      </c>
      <c r="Y1485" s="111">
        <f>SUMIF(Audit[[#This Row],[Difference Loser]:[Difference Candidate 6]], "&gt;0")</f>
        <v>0</v>
      </c>
      <c r="Z1485" s="111">
        <f>SUM(Audit[[#This Row],[Difference Loser]:[Difference Candidate 6]])</f>
        <v>-57</v>
      </c>
      <c r="AA1485" s="111">
        <f>IF(Audit[[#This Row],[Times p Drawn - With Replacement]]&gt;0, IF(Audit[[#This Row],[Canceled Differences]]&lt;0, Audit[[#This Row],[Max Differences]]+ABS(Audit[[#This Row],[Canceled Differences]]), Audit[[#This Row],[Max Differences]]), 0)</f>
        <v>0</v>
      </c>
      <c r="AB1485" s="111">
        <f>'Sampling Data'!P1478</f>
        <v>4.4096031357177858E-3</v>
      </c>
      <c r="AC1485" s="111">
        <f>IF(
      SUM(Audit[[#This Row],[Audit Losing Candidate]:[Audit Candidate 6]])
      &lt;&gt;0,
      (Audit[[#This Row],[Winning Candidate]]-Audit[[#This Row],[Losing Candidate]]-(Audit[[#This Row],[Audit Winning Candidate]]-Audit[[#This Row],[Audit Losing Candidate]]))/(Audit[[#Totals],[Winning Candidate]]-Audit[[#Totals],[Losing Candidate]]),
      0
)</f>
        <v>0</v>
      </c>
      <c r="AD14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5" s="111">
        <f>IF(Audit[[#This Row],[Max Relative Error (ep)]] = 0, 0, Audit[[#This Row],[Max Relative Error (ep)]]/Audit[[#This Row],[Error Bound (up) - Max. possible relative overstatement]])</f>
        <v>0</v>
      </c>
      <c r="AJ14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85" s="111">
        <f t="shared" si="23"/>
        <v>1</v>
      </c>
      <c r="AL1485" s="111">
        <f>PRODUCT($AK$5:AK1485)</f>
        <v>8.962823818226312E-2</v>
      </c>
      <c r="AM1485" s="109">
        <f>1 - [K-M P Value]</f>
        <v>0.91037176181773694</v>
      </c>
      <c r="AN1485" s="111" t="str">
        <f>IF(Audit[[#This Row],[K-M P Value]]&gt;1-'General Info'!$B$16,"Continue", "Stop")</f>
        <v>Stop</v>
      </c>
      <c r="AO1485" s="110" t="b">
        <f>IF(Audit[[#This Row],[Status - Continue or stop audit]] = "Continue", TRUE, IF(AN1484 = "Continue", TRUE, FALSE))</f>
        <v>0</v>
      </c>
      <c r="AP1485" s="110"/>
    </row>
    <row r="1486" spans="1:42" ht="15" hidden="1" customHeight="1">
      <c r="A1486" s="111" t="str">
        <f>'Sampling Data'!W1479</f>
        <v/>
      </c>
      <c r="B1486" s="112" t="str">
        <f>'Sampling Data'!A1479</f>
        <v>MORELAND HILLS -00-B</v>
      </c>
      <c r="C1486" s="112">
        <f>'Sampling Data'!B1479</f>
        <v>16</v>
      </c>
      <c r="D1486" s="112">
        <f>'Sampling Data'!C1479</f>
        <v>95</v>
      </c>
      <c r="E1486" s="113">
        <f>'Sampling Data'!D1479</f>
        <v>8</v>
      </c>
      <c r="F1486" s="113">
        <f>'Sampling Data'!E1479</f>
        <v>9</v>
      </c>
      <c r="G1486" s="113">
        <f>'Sampling Data'!F1479</f>
        <v>0</v>
      </c>
      <c r="H1486" s="113">
        <f>'Sampling Data'!G1479</f>
        <v>0</v>
      </c>
      <c r="I1486" s="112">
        <f>'Sampling Data'!H1479</f>
        <v>0</v>
      </c>
      <c r="J1486" s="112">
        <f>'Sampling Data'!I1479</f>
        <v>2</v>
      </c>
      <c r="K1486" s="112">
        <f>'Sampling Data'!J1479</f>
        <v>130</v>
      </c>
      <c r="L1486" s="111">
        <f>'Sampling Data'!X1479</f>
        <v>0</v>
      </c>
      <c r="M1486" s="114"/>
      <c r="N1486" s="114"/>
      <c r="O1486" s="115"/>
      <c r="P1486" s="115"/>
      <c r="Q1486" s="116"/>
      <c r="R1486" s="116"/>
      <c r="S1486" s="111">
        <f>Audit[[#This Row],[Audit Losing Candidate]]-Audit[[#This Row],[Losing Candidate]]</f>
        <v>-16</v>
      </c>
      <c r="T1486" s="111">
        <f>Audit[[#This Row],[Audit Winning Candidate]]-Audit[[#This Row],[Winning Candidate]]</f>
        <v>-95</v>
      </c>
      <c r="U1486" s="111">
        <f>Audit[[#This Row],[Audit Candidate 3]]-Audit[[#This Row],[Candidate 3]]</f>
        <v>-8</v>
      </c>
      <c r="V1486" s="111">
        <f>Audit[[#This Row],[Audit Candidate 4]]-Audit[[#This Row],[Candidate 4]]</f>
        <v>-9</v>
      </c>
      <c r="W1486" s="111">
        <f>Audit[[#This Row],[Audit Candidate 5]]-Audit[[#This Row],[Candidate 5]]</f>
        <v>0</v>
      </c>
      <c r="X1486" s="111">
        <f>Audit[[#This Row],[Audit Candidate 6]]-Audit[[#This Row],[Candidate 6]]</f>
        <v>0</v>
      </c>
      <c r="Y1486" s="111">
        <f>SUMIF(Audit[[#This Row],[Difference Loser]:[Difference Candidate 6]], "&gt;0")</f>
        <v>0</v>
      </c>
      <c r="Z1486" s="111">
        <f>SUM(Audit[[#This Row],[Difference Loser]:[Difference Candidate 6]])</f>
        <v>-128</v>
      </c>
      <c r="AA1486" s="111">
        <f>IF(Audit[[#This Row],[Times p Drawn - With Replacement]]&gt;0, IF(Audit[[#This Row],[Canceled Differences]]&lt;0, Audit[[#This Row],[Max Differences]]+ABS(Audit[[#This Row],[Canceled Differences]]), Audit[[#This Row],[Max Differences]]), 0)</f>
        <v>0</v>
      </c>
      <c r="AB1486" s="111">
        <f>'Sampling Data'!P1479</f>
        <v>1.2800097991180794E-2</v>
      </c>
      <c r="AC1486" s="111">
        <f>IF(
      SUM(Audit[[#This Row],[Audit Losing Candidate]:[Audit Candidate 6]])
      &lt;&gt;0,
      (Audit[[#This Row],[Winning Candidate]]-Audit[[#This Row],[Losing Candidate]]-(Audit[[#This Row],[Audit Winning Candidate]]-Audit[[#This Row],[Audit Losing Candidate]]))/(Audit[[#Totals],[Winning Candidate]]-Audit[[#Totals],[Losing Candidate]]),
      0
)</f>
        <v>0</v>
      </c>
      <c r="AD14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6" s="111">
        <f>IF(Audit[[#This Row],[Max Relative Error (ep)]] = 0, 0, Audit[[#This Row],[Max Relative Error (ep)]]/Audit[[#This Row],[Error Bound (up) - Max. possible relative overstatement]])</f>
        <v>0</v>
      </c>
      <c r="AJ14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86" s="111">
        <f t="shared" si="23"/>
        <v>1</v>
      </c>
      <c r="AL1486" s="111">
        <f>PRODUCT($AK$5:AK1486)</f>
        <v>8.962823818226312E-2</v>
      </c>
      <c r="AM1486" s="109">
        <f>1 - [K-M P Value]</f>
        <v>0.91037176181773694</v>
      </c>
      <c r="AN1486" s="111" t="str">
        <f>IF(Audit[[#This Row],[K-M P Value]]&gt;1-'General Info'!$B$16,"Continue", "Stop")</f>
        <v>Stop</v>
      </c>
      <c r="AO1486" s="110" t="b">
        <f>IF(Audit[[#This Row],[Status - Continue or stop audit]] = "Continue", TRUE, IF(AN1485 = "Continue", TRUE, FALSE))</f>
        <v>0</v>
      </c>
      <c r="AP1486" s="110"/>
    </row>
    <row r="1487" spans="1:42" ht="15" hidden="1" customHeight="1">
      <c r="A1487" s="111" t="str">
        <f>'Sampling Data'!W1480</f>
        <v/>
      </c>
      <c r="B1487" s="112" t="str">
        <f>'Sampling Data'!A1480</f>
        <v>MORELAND HILLS -00-B - ABS</v>
      </c>
      <c r="C1487" s="112">
        <f>'Sampling Data'!B1480</f>
        <v>10</v>
      </c>
      <c r="D1487" s="112">
        <f>'Sampling Data'!C1480</f>
        <v>31</v>
      </c>
      <c r="E1487" s="113">
        <f>'Sampling Data'!D1480</f>
        <v>4</v>
      </c>
      <c r="F1487" s="113">
        <f>'Sampling Data'!E1480</f>
        <v>0</v>
      </c>
      <c r="G1487" s="113">
        <f>'Sampling Data'!F1480</f>
        <v>0</v>
      </c>
      <c r="H1487" s="113">
        <f>'Sampling Data'!G1480</f>
        <v>0</v>
      </c>
      <c r="I1487" s="112">
        <f>'Sampling Data'!H1480</f>
        <v>0</v>
      </c>
      <c r="J1487" s="112">
        <f>'Sampling Data'!I1480</f>
        <v>1</v>
      </c>
      <c r="K1487" s="112">
        <f>'Sampling Data'!J1480</f>
        <v>46</v>
      </c>
      <c r="L1487" s="111">
        <f>'Sampling Data'!X1480</f>
        <v>0</v>
      </c>
      <c r="M1487" s="114"/>
      <c r="N1487" s="114"/>
      <c r="O1487" s="115"/>
      <c r="P1487" s="115"/>
      <c r="Q1487" s="116"/>
      <c r="R1487" s="116"/>
      <c r="S1487" s="111">
        <f>Audit[[#This Row],[Audit Losing Candidate]]-Audit[[#This Row],[Losing Candidate]]</f>
        <v>-10</v>
      </c>
      <c r="T1487" s="111">
        <f>Audit[[#This Row],[Audit Winning Candidate]]-Audit[[#This Row],[Winning Candidate]]</f>
        <v>-31</v>
      </c>
      <c r="U1487" s="111">
        <f>Audit[[#This Row],[Audit Candidate 3]]-Audit[[#This Row],[Candidate 3]]</f>
        <v>-4</v>
      </c>
      <c r="V1487" s="111">
        <f>Audit[[#This Row],[Audit Candidate 4]]-Audit[[#This Row],[Candidate 4]]</f>
        <v>0</v>
      </c>
      <c r="W1487" s="111">
        <f>Audit[[#This Row],[Audit Candidate 5]]-Audit[[#This Row],[Candidate 5]]</f>
        <v>0</v>
      </c>
      <c r="X1487" s="111">
        <f>Audit[[#This Row],[Audit Candidate 6]]-Audit[[#This Row],[Candidate 6]]</f>
        <v>0</v>
      </c>
      <c r="Y1487" s="111">
        <f>SUMIF(Audit[[#This Row],[Difference Loser]:[Difference Candidate 6]], "&gt;0")</f>
        <v>0</v>
      </c>
      <c r="Z1487" s="111">
        <f>SUM(Audit[[#This Row],[Difference Loser]:[Difference Candidate 6]])</f>
        <v>-45</v>
      </c>
      <c r="AA1487" s="111">
        <f>IF(Audit[[#This Row],[Times p Drawn - With Replacement]]&gt;0, IF(Audit[[#This Row],[Canceled Differences]]&lt;0, Audit[[#This Row],[Max Differences]]+ABS(Audit[[#This Row],[Canceled Differences]]), Audit[[#This Row],[Max Differences]]), 0)</f>
        <v>0</v>
      </c>
      <c r="AB1487" s="111">
        <f>'Sampling Data'!P1480</f>
        <v>4.1033806957373837E-3</v>
      </c>
      <c r="AC1487" s="111">
        <f>IF(
      SUM(Audit[[#This Row],[Audit Losing Candidate]:[Audit Candidate 6]])
      &lt;&gt;0,
      (Audit[[#This Row],[Winning Candidate]]-Audit[[#This Row],[Losing Candidate]]-(Audit[[#This Row],[Audit Winning Candidate]]-Audit[[#This Row],[Audit Losing Candidate]]))/(Audit[[#Totals],[Winning Candidate]]-Audit[[#Totals],[Losing Candidate]]),
      0
)</f>
        <v>0</v>
      </c>
      <c r="AD14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7" s="111">
        <f>IF(Audit[[#This Row],[Max Relative Error (ep)]] = 0, 0, Audit[[#This Row],[Max Relative Error (ep)]]/Audit[[#This Row],[Error Bound (up) - Max. possible relative overstatement]])</f>
        <v>0</v>
      </c>
      <c r="AJ14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87" s="111">
        <f t="shared" si="23"/>
        <v>1</v>
      </c>
      <c r="AL1487" s="111">
        <f>PRODUCT($AK$5:AK1487)</f>
        <v>8.962823818226312E-2</v>
      </c>
      <c r="AM1487" s="109">
        <f>1 - [K-M P Value]</f>
        <v>0.91037176181773694</v>
      </c>
      <c r="AN1487" s="111" t="str">
        <f>IF(Audit[[#This Row],[K-M P Value]]&gt;1-'General Info'!$B$16,"Continue", "Stop")</f>
        <v>Stop</v>
      </c>
      <c r="AO1487" s="110" t="b">
        <f>IF(Audit[[#This Row],[Status - Continue or stop audit]] = "Continue", TRUE, IF(AN1486 = "Continue", TRUE, FALSE))</f>
        <v>0</v>
      </c>
      <c r="AP1487" s="110"/>
    </row>
    <row r="1488" spans="1:42" ht="15" hidden="1" customHeight="1">
      <c r="A1488" s="111" t="str">
        <f>'Sampling Data'!W1481</f>
        <v/>
      </c>
      <c r="B1488" s="112" t="str">
        <f>'Sampling Data'!A1481</f>
        <v>MORELAND HILLS -00-C</v>
      </c>
      <c r="C1488" s="112">
        <f>'Sampling Data'!B1481</f>
        <v>9</v>
      </c>
      <c r="D1488" s="112">
        <f>'Sampling Data'!C1481</f>
        <v>83</v>
      </c>
      <c r="E1488" s="113">
        <f>'Sampling Data'!D1481</f>
        <v>10</v>
      </c>
      <c r="F1488" s="113">
        <f>'Sampling Data'!E1481</f>
        <v>4</v>
      </c>
      <c r="G1488" s="113">
        <f>'Sampling Data'!F1481</f>
        <v>0</v>
      </c>
      <c r="H1488" s="113">
        <f>'Sampling Data'!G1481</f>
        <v>0</v>
      </c>
      <c r="I1488" s="112">
        <f>'Sampling Data'!H1481</f>
        <v>0</v>
      </c>
      <c r="J1488" s="112">
        <f>'Sampling Data'!I1481</f>
        <v>0</v>
      </c>
      <c r="K1488" s="112">
        <f>'Sampling Data'!J1481</f>
        <v>106</v>
      </c>
      <c r="L1488" s="111">
        <f>'Sampling Data'!X1481</f>
        <v>0</v>
      </c>
      <c r="M1488" s="114"/>
      <c r="N1488" s="114"/>
      <c r="O1488" s="115"/>
      <c r="P1488" s="115"/>
      <c r="Q1488" s="116"/>
      <c r="R1488" s="116"/>
      <c r="S1488" s="111">
        <f>Audit[[#This Row],[Audit Losing Candidate]]-Audit[[#This Row],[Losing Candidate]]</f>
        <v>-9</v>
      </c>
      <c r="T1488" s="111">
        <f>Audit[[#This Row],[Audit Winning Candidate]]-Audit[[#This Row],[Winning Candidate]]</f>
        <v>-83</v>
      </c>
      <c r="U1488" s="111">
        <f>Audit[[#This Row],[Audit Candidate 3]]-Audit[[#This Row],[Candidate 3]]</f>
        <v>-10</v>
      </c>
      <c r="V1488" s="111">
        <f>Audit[[#This Row],[Audit Candidate 4]]-Audit[[#This Row],[Candidate 4]]</f>
        <v>-4</v>
      </c>
      <c r="W1488" s="111">
        <f>Audit[[#This Row],[Audit Candidate 5]]-Audit[[#This Row],[Candidate 5]]</f>
        <v>0</v>
      </c>
      <c r="X1488" s="111">
        <f>Audit[[#This Row],[Audit Candidate 6]]-Audit[[#This Row],[Candidate 6]]</f>
        <v>0</v>
      </c>
      <c r="Y1488" s="111">
        <f>SUMIF(Audit[[#This Row],[Difference Loser]:[Difference Candidate 6]], "&gt;0")</f>
        <v>0</v>
      </c>
      <c r="Z1488" s="111">
        <f>SUM(Audit[[#This Row],[Difference Loser]:[Difference Candidate 6]])</f>
        <v>-106</v>
      </c>
      <c r="AA1488" s="111">
        <f>IF(Audit[[#This Row],[Times p Drawn - With Replacement]]&gt;0, IF(Audit[[#This Row],[Canceled Differences]]&lt;0, Audit[[#This Row],[Max Differences]]+ABS(Audit[[#This Row],[Canceled Differences]]), Audit[[#This Row],[Max Differences]]), 0)</f>
        <v>0</v>
      </c>
      <c r="AB1488" s="111">
        <f>'Sampling Data'!P1481</f>
        <v>1.1024007839294463E-2</v>
      </c>
      <c r="AC1488" s="111">
        <f>IF(
      SUM(Audit[[#This Row],[Audit Losing Candidate]:[Audit Candidate 6]])
      &lt;&gt;0,
      (Audit[[#This Row],[Winning Candidate]]-Audit[[#This Row],[Losing Candidate]]-(Audit[[#This Row],[Audit Winning Candidate]]-Audit[[#This Row],[Audit Losing Candidate]]))/(Audit[[#Totals],[Winning Candidate]]-Audit[[#Totals],[Losing Candidate]]),
      0
)</f>
        <v>0</v>
      </c>
      <c r="AD14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8" s="111">
        <f>IF(Audit[[#This Row],[Max Relative Error (ep)]] = 0, 0, Audit[[#This Row],[Max Relative Error (ep)]]/Audit[[#This Row],[Error Bound (up) - Max. possible relative overstatement]])</f>
        <v>0</v>
      </c>
      <c r="AJ14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88" s="111">
        <f t="shared" si="23"/>
        <v>1</v>
      </c>
      <c r="AL1488" s="111">
        <f>PRODUCT($AK$5:AK1488)</f>
        <v>8.962823818226312E-2</v>
      </c>
      <c r="AM1488" s="109">
        <f>1 - [K-M P Value]</f>
        <v>0.91037176181773694</v>
      </c>
      <c r="AN1488" s="111" t="str">
        <f>IF(Audit[[#This Row],[K-M P Value]]&gt;1-'General Info'!$B$16,"Continue", "Stop")</f>
        <v>Stop</v>
      </c>
      <c r="AO1488" s="110" t="b">
        <f>IF(Audit[[#This Row],[Status - Continue or stop audit]] = "Continue", TRUE, IF(AN1487 = "Continue", TRUE, FALSE))</f>
        <v>0</v>
      </c>
      <c r="AP1488" s="110"/>
    </row>
    <row r="1489" spans="1:42" ht="15" hidden="1" customHeight="1">
      <c r="A1489" s="111" t="str">
        <f>'Sampling Data'!W1482</f>
        <v/>
      </c>
      <c r="B1489" s="112" t="str">
        <f>'Sampling Data'!A1482</f>
        <v>MORELAND HILLS -00-C - ABS</v>
      </c>
      <c r="C1489" s="112">
        <f>'Sampling Data'!B1482</f>
        <v>5</v>
      </c>
      <c r="D1489" s="112">
        <f>'Sampling Data'!C1482</f>
        <v>42</v>
      </c>
      <c r="E1489" s="113">
        <f>'Sampling Data'!D1482</f>
        <v>4</v>
      </c>
      <c r="F1489" s="113">
        <f>'Sampling Data'!E1482</f>
        <v>2</v>
      </c>
      <c r="G1489" s="113">
        <f>'Sampling Data'!F1482</f>
        <v>0</v>
      </c>
      <c r="H1489" s="113">
        <f>'Sampling Data'!G1482</f>
        <v>0</v>
      </c>
      <c r="I1489" s="112">
        <f>'Sampling Data'!H1482</f>
        <v>0</v>
      </c>
      <c r="J1489" s="112">
        <f>'Sampling Data'!I1482</f>
        <v>0</v>
      </c>
      <c r="K1489" s="112">
        <f>'Sampling Data'!J1482</f>
        <v>53</v>
      </c>
      <c r="L1489" s="111">
        <f>'Sampling Data'!X1482</f>
        <v>0</v>
      </c>
      <c r="M1489" s="114"/>
      <c r="N1489" s="114"/>
      <c r="O1489" s="115"/>
      <c r="P1489" s="115"/>
      <c r="Q1489" s="116"/>
      <c r="R1489" s="116"/>
      <c r="S1489" s="111">
        <f>Audit[[#This Row],[Audit Losing Candidate]]-Audit[[#This Row],[Losing Candidate]]</f>
        <v>-5</v>
      </c>
      <c r="T1489" s="111">
        <f>Audit[[#This Row],[Audit Winning Candidate]]-Audit[[#This Row],[Winning Candidate]]</f>
        <v>-42</v>
      </c>
      <c r="U1489" s="111">
        <f>Audit[[#This Row],[Audit Candidate 3]]-Audit[[#This Row],[Candidate 3]]</f>
        <v>-4</v>
      </c>
      <c r="V1489" s="111">
        <f>Audit[[#This Row],[Audit Candidate 4]]-Audit[[#This Row],[Candidate 4]]</f>
        <v>-2</v>
      </c>
      <c r="W1489" s="111">
        <f>Audit[[#This Row],[Audit Candidate 5]]-Audit[[#This Row],[Candidate 5]]</f>
        <v>0</v>
      </c>
      <c r="X1489" s="111">
        <f>Audit[[#This Row],[Audit Candidate 6]]-Audit[[#This Row],[Candidate 6]]</f>
        <v>0</v>
      </c>
      <c r="Y1489" s="111">
        <f>SUMIF(Audit[[#This Row],[Difference Loser]:[Difference Candidate 6]], "&gt;0")</f>
        <v>0</v>
      </c>
      <c r="Z1489" s="111">
        <f>SUM(Audit[[#This Row],[Difference Loser]:[Difference Candidate 6]])</f>
        <v>-53</v>
      </c>
      <c r="AA1489" s="111">
        <f>IF(Audit[[#This Row],[Times p Drawn - With Replacement]]&gt;0, IF(Audit[[#This Row],[Canceled Differences]]&lt;0, Audit[[#This Row],[Max Differences]]+ABS(Audit[[#This Row],[Canceled Differences]]), Audit[[#This Row],[Max Differences]]), 0)</f>
        <v>0</v>
      </c>
      <c r="AB1489" s="111">
        <f>'Sampling Data'!P1482</f>
        <v>5.5120039196472313E-3</v>
      </c>
      <c r="AC1489" s="111">
        <f>IF(
      SUM(Audit[[#This Row],[Audit Losing Candidate]:[Audit Candidate 6]])
      &lt;&gt;0,
      (Audit[[#This Row],[Winning Candidate]]-Audit[[#This Row],[Losing Candidate]]-(Audit[[#This Row],[Audit Winning Candidate]]-Audit[[#This Row],[Audit Losing Candidate]]))/(Audit[[#Totals],[Winning Candidate]]-Audit[[#Totals],[Losing Candidate]]),
      0
)</f>
        <v>0</v>
      </c>
      <c r="AD14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9" s="111">
        <f>IF(Audit[[#This Row],[Max Relative Error (ep)]] = 0, 0, Audit[[#This Row],[Max Relative Error (ep)]]/Audit[[#This Row],[Error Bound (up) - Max. possible relative overstatement]])</f>
        <v>0</v>
      </c>
      <c r="AJ14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89" s="111">
        <f t="shared" si="23"/>
        <v>1</v>
      </c>
      <c r="AL1489" s="111">
        <f>PRODUCT($AK$5:AK1489)</f>
        <v>8.962823818226312E-2</v>
      </c>
      <c r="AM1489" s="109">
        <f>1 - [K-M P Value]</f>
        <v>0.91037176181773694</v>
      </c>
      <c r="AN1489" s="111" t="str">
        <f>IF(Audit[[#This Row],[K-M P Value]]&gt;1-'General Info'!$B$16,"Continue", "Stop")</f>
        <v>Stop</v>
      </c>
      <c r="AO1489" s="110" t="b">
        <f>IF(Audit[[#This Row],[Status - Continue or stop audit]] = "Continue", TRUE, IF(AN1488 = "Continue", TRUE, FALSE))</f>
        <v>0</v>
      </c>
      <c r="AP1489" s="110"/>
    </row>
    <row r="1490" spans="1:42" ht="15" hidden="1" customHeight="1">
      <c r="A1490" s="111" t="str">
        <f>'Sampling Data'!W1483</f>
        <v/>
      </c>
      <c r="B1490" s="112" t="str">
        <f>'Sampling Data'!A1483</f>
        <v>NEWBURGH HEIGHTS -00-A</v>
      </c>
      <c r="C1490" s="112">
        <f>'Sampling Data'!B1483</f>
        <v>13</v>
      </c>
      <c r="D1490" s="112">
        <f>'Sampling Data'!C1483</f>
        <v>7</v>
      </c>
      <c r="E1490" s="113">
        <f>'Sampling Data'!D1483</f>
        <v>4</v>
      </c>
      <c r="F1490" s="113">
        <f>'Sampling Data'!E1483</f>
        <v>3</v>
      </c>
      <c r="G1490" s="113">
        <f>'Sampling Data'!F1483</f>
        <v>0</v>
      </c>
      <c r="H1490" s="113">
        <f>'Sampling Data'!G1483</f>
        <v>0</v>
      </c>
      <c r="I1490" s="112">
        <f>'Sampling Data'!H1483</f>
        <v>0</v>
      </c>
      <c r="J1490" s="112">
        <f>'Sampling Data'!I1483</f>
        <v>0</v>
      </c>
      <c r="K1490" s="112">
        <f>'Sampling Data'!J1483</f>
        <v>27</v>
      </c>
      <c r="L1490" s="111">
        <f>'Sampling Data'!X1483</f>
        <v>0</v>
      </c>
      <c r="M1490" s="114"/>
      <c r="N1490" s="114"/>
      <c r="O1490" s="115"/>
      <c r="P1490" s="115"/>
      <c r="Q1490" s="116"/>
      <c r="R1490" s="116"/>
      <c r="S1490" s="111">
        <f>Audit[[#This Row],[Audit Losing Candidate]]-Audit[[#This Row],[Losing Candidate]]</f>
        <v>-13</v>
      </c>
      <c r="T1490" s="111">
        <f>Audit[[#This Row],[Audit Winning Candidate]]-Audit[[#This Row],[Winning Candidate]]</f>
        <v>-7</v>
      </c>
      <c r="U1490" s="111">
        <f>Audit[[#This Row],[Audit Candidate 3]]-Audit[[#This Row],[Candidate 3]]</f>
        <v>-4</v>
      </c>
      <c r="V1490" s="111">
        <f>Audit[[#This Row],[Audit Candidate 4]]-Audit[[#This Row],[Candidate 4]]</f>
        <v>-3</v>
      </c>
      <c r="W1490" s="111">
        <f>Audit[[#This Row],[Audit Candidate 5]]-Audit[[#This Row],[Candidate 5]]</f>
        <v>0</v>
      </c>
      <c r="X1490" s="111">
        <f>Audit[[#This Row],[Audit Candidate 6]]-Audit[[#This Row],[Candidate 6]]</f>
        <v>0</v>
      </c>
      <c r="Y1490" s="111">
        <f>SUMIF(Audit[[#This Row],[Difference Loser]:[Difference Candidate 6]], "&gt;0")</f>
        <v>0</v>
      </c>
      <c r="Z1490" s="111">
        <f>SUM(Audit[[#This Row],[Difference Loser]:[Difference Candidate 6]])</f>
        <v>-27</v>
      </c>
      <c r="AA1490" s="111">
        <f>IF(Audit[[#This Row],[Times p Drawn - With Replacement]]&gt;0, IF(Audit[[#This Row],[Canceled Differences]]&lt;0, Audit[[#This Row],[Max Differences]]+ABS(Audit[[#This Row],[Canceled Differences]]), Audit[[#This Row],[Max Differences]]), 0)</f>
        <v>0</v>
      </c>
      <c r="AB1490" s="111">
        <f>'Sampling Data'!P1483</f>
        <v>1.2861342479176874E-3</v>
      </c>
      <c r="AC1490" s="111">
        <f>IF(
      SUM(Audit[[#This Row],[Audit Losing Candidate]:[Audit Candidate 6]])
      &lt;&gt;0,
      (Audit[[#This Row],[Winning Candidate]]-Audit[[#This Row],[Losing Candidate]]-(Audit[[#This Row],[Audit Winning Candidate]]-Audit[[#This Row],[Audit Losing Candidate]]))/(Audit[[#Totals],[Winning Candidate]]-Audit[[#Totals],[Losing Candidate]]),
      0
)</f>
        <v>0</v>
      </c>
      <c r="AD14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0" s="111">
        <f>IF(Audit[[#This Row],[Max Relative Error (ep)]] = 0, 0, Audit[[#This Row],[Max Relative Error (ep)]]/Audit[[#This Row],[Error Bound (up) - Max. possible relative overstatement]])</f>
        <v>0</v>
      </c>
      <c r="AJ14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90" s="111">
        <f t="shared" si="23"/>
        <v>1</v>
      </c>
      <c r="AL1490" s="111">
        <f>PRODUCT($AK$5:AK1490)</f>
        <v>8.962823818226312E-2</v>
      </c>
      <c r="AM1490" s="109">
        <f>1 - [K-M P Value]</f>
        <v>0.91037176181773694</v>
      </c>
      <c r="AN1490" s="111" t="str">
        <f>IF(Audit[[#This Row],[K-M P Value]]&gt;1-'General Info'!$B$16,"Continue", "Stop")</f>
        <v>Stop</v>
      </c>
      <c r="AO1490" s="110" t="b">
        <f>IF(Audit[[#This Row],[Status - Continue or stop audit]] = "Continue", TRUE, IF(AN1489 = "Continue", TRUE, FALSE))</f>
        <v>0</v>
      </c>
      <c r="AP1490" s="110"/>
    </row>
    <row r="1491" spans="1:42" ht="15" hidden="1" customHeight="1">
      <c r="A1491" s="111" t="str">
        <f>'Sampling Data'!W1484</f>
        <v/>
      </c>
      <c r="B1491" s="112" t="str">
        <f>'Sampling Data'!A1484</f>
        <v>NEWBURGH HEIGHTS -00-A - ABS</v>
      </c>
      <c r="C1491" s="112">
        <f>'Sampling Data'!B1484</f>
        <v>3</v>
      </c>
      <c r="D1491" s="112">
        <f>'Sampling Data'!C1484</f>
        <v>2</v>
      </c>
      <c r="E1491" s="113">
        <f>'Sampling Data'!D1484</f>
        <v>1</v>
      </c>
      <c r="F1491" s="113">
        <f>'Sampling Data'!E1484</f>
        <v>3</v>
      </c>
      <c r="G1491" s="113">
        <f>'Sampling Data'!F1484</f>
        <v>0</v>
      </c>
      <c r="H1491" s="113">
        <f>'Sampling Data'!G1484</f>
        <v>0</v>
      </c>
      <c r="I1491" s="112">
        <f>'Sampling Data'!H1484</f>
        <v>0</v>
      </c>
      <c r="J1491" s="112">
        <f>'Sampling Data'!I1484</f>
        <v>0</v>
      </c>
      <c r="K1491" s="112">
        <f>'Sampling Data'!J1484</f>
        <v>9</v>
      </c>
      <c r="L1491" s="111">
        <f>'Sampling Data'!X1484</f>
        <v>0</v>
      </c>
      <c r="M1491" s="114"/>
      <c r="N1491" s="114"/>
      <c r="O1491" s="115"/>
      <c r="P1491" s="115"/>
      <c r="Q1491" s="116"/>
      <c r="R1491" s="116"/>
      <c r="S1491" s="111">
        <f>Audit[[#This Row],[Audit Losing Candidate]]-Audit[[#This Row],[Losing Candidate]]</f>
        <v>-3</v>
      </c>
      <c r="T1491" s="111">
        <f>Audit[[#This Row],[Audit Winning Candidate]]-Audit[[#This Row],[Winning Candidate]]</f>
        <v>-2</v>
      </c>
      <c r="U1491" s="111">
        <f>Audit[[#This Row],[Audit Candidate 3]]-Audit[[#This Row],[Candidate 3]]</f>
        <v>-1</v>
      </c>
      <c r="V1491" s="111">
        <f>Audit[[#This Row],[Audit Candidate 4]]-Audit[[#This Row],[Candidate 4]]</f>
        <v>-3</v>
      </c>
      <c r="W1491" s="111">
        <f>Audit[[#This Row],[Audit Candidate 5]]-Audit[[#This Row],[Candidate 5]]</f>
        <v>0</v>
      </c>
      <c r="X1491" s="111">
        <f>Audit[[#This Row],[Audit Candidate 6]]-Audit[[#This Row],[Candidate 6]]</f>
        <v>0</v>
      </c>
      <c r="Y1491" s="111">
        <f>SUMIF(Audit[[#This Row],[Difference Loser]:[Difference Candidate 6]], "&gt;0")</f>
        <v>0</v>
      </c>
      <c r="Z1491" s="111">
        <f>SUM(Audit[[#This Row],[Difference Loser]:[Difference Candidate 6]])</f>
        <v>-9</v>
      </c>
      <c r="AA1491" s="111">
        <f>IF(Audit[[#This Row],[Times p Drawn - With Replacement]]&gt;0, IF(Audit[[#This Row],[Canceled Differences]]&lt;0, Audit[[#This Row],[Max Differences]]+ABS(Audit[[#This Row],[Canceled Differences]]), Audit[[#This Row],[Max Differences]]), 0)</f>
        <v>0</v>
      </c>
      <c r="AB1491" s="111">
        <f>'Sampling Data'!P1484</f>
        <v>4.8995590396864281E-4</v>
      </c>
      <c r="AC1491" s="111">
        <f>IF(
      SUM(Audit[[#This Row],[Audit Losing Candidate]:[Audit Candidate 6]])
      &lt;&gt;0,
      (Audit[[#This Row],[Winning Candidate]]-Audit[[#This Row],[Losing Candidate]]-(Audit[[#This Row],[Audit Winning Candidate]]-Audit[[#This Row],[Audit Losing Candidate]]))/(Audit[[#Totals],[Winning Candidate]]-Audit[[#Totals],[Losing Candidate]]),
      0
)</f>
        <v>0</v>
      </c>
      <c r="AD14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1" s="111">
        <f>IF(Audit[[#This Row],[Max Relative Error (ep)]] = 0, 0, Audit[[#This Row],[Max Relative Error (ep)]]/Audit[[#This Row],[Error Bound (up) - Max. possible relative overstatement]])</f>
        <v>0</v>
      </c>
      <c r="AJ14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91" s="111">
        <f t="shared" si="23"/>
        <v>1</v>
      </c>
      <c r="AL1491" s="111">
        <f>PRODUCT($AK$5:AK1491)</f>
        <v>8.962823818226312E-2</v>
      </c>
      <c r="AM1491" s="109">
        <f>1 - [K-M P Value]</f>
        <v>0.91037176181773694</v>
      </c>
      <c r="AN1491" s="111" t="str">
        <f>IF(Audit[[#This Row],[K-M P Value]]&gt;1-'General Info'!$B$16,"Continue", "Stop")</f>
        <v>Stop</v>
      </c>
      <c r="AO1491" s="110" t="b">
        <f>IF(Audit[[#This Row],[Status - Continue or stop audit]] = "Continue", TRUE, IF(AN1490 = "Continue", TRUE, FALSE))</f>
        <v>0</v>
      </c>
      <c r="AP1491" s="110"/>
    </row>
    <row r="1492" spans="1:42" ht="15" hidden="1" customHeight="1">
      <c r="A1492" s="111" t="str">
        <f>'Sampling Data'!W1485</f>
        <v/>
      </c>
      <c r="B1492" s="112" t="str">
        <f>'Sampling Data'!A1485</f>
        <v>NEWBURGH HEIGHTS -00-B</v>
      </c>
      <c r="C1492" s="112">
        <f>'Sampling Data'!B1485</f>
        <v>10</v>
      </c>
      <c r="D1492" s="112">
        <f>'Sampling Data'!C1485</f>
        <v>17</v>
      </c>
      <c r="E1492" s="113">
        <f>'Sampling Data'!D1485</f>
        <v>3</v>
      </c>
      <c r="F1492" s="113">
        <f>'Sampling Data'!E1485</f>
        <v>3</v>
      </c>
      <c r="G1492" s="113">
        <f>'Sampling Data'!F1485</f>
        <v>0</v>
      </c>
      <c r="H1492" s="113">
        <f>'Sampling Data'!G1485</f>
        <v>0</v>
      </c>
      <c r="I1492" s="112">
        <f>'Sampling Data'!H1485</f>
        <v>0</v>
      </c>
      <c r="J1492" s="112">
        <f>'Sampling Data'!I1485</f>
        <v>1</v>
      </c>
      <c r="K1492" s="112">
        <f>'Sampling Data'!J1485</f>
        <v>34</v>
      </c>
      <c r="L1492" s="111">
        <f>'Sampling Data'!X1485</f>
        <v>0</v>
      </c>
      <c r="M1492" s="114"/>
      <c r="N1492" s="114"/>
      <c r="O1492" s="115"/>
      <c r="P1492" s="115"/>
      <c r="Q1492" s="116"/>
      <c r="R1492" s="116"/>
      <c r="S1492" s="111">
        <f>Audit[[#This Row],[Audit Losing Candidate]]-Audit[[#This Row],[Losing Candidate]]</f>
        <v>-10</v>
      </c>
      <c r="T1492" s="111">
        <f>Audit[[#This Row],[Audit Winning Candidate]]-Audit[[#This Row],[Winning Candidate]]</f>
        <v>-17</v>
      </c>
      <c r="U1492" s="111">
        <f>Audit[[#This Row],[Audit Candidate 3]]-Audit[[#This Row],[Candidate 3]]</f>
        <v>-3</v>
      </c>
      <c r="V1492" s="111">
        <f>Audit[[#This Row],[Audit Candidate 4]]-Audit[[#This Row],[Candidate 4]]</f>
        <v>-3</v>
      </c>
      <c r="W1492" s="111">
        <f>Audit[[#This Row],[Audit Candidate 5]]-Audit[[#This Row],[Candidate 5]]</f>
        <v>0</v>
      </c>
      <c r="X1492" s="111">
        <f>Audit[[#This Row],[Audit Candidate 6]]-Audit[[#This Row],[Candidate 6]]</f>
        <v>0</v>
      </c>
      <c r="Y1492" s="111">
        <f>SUMIF(Audit[[#This Row],[Difference Loser]:[Difference Candidate 6]], "&gt;0")</f>
        <v>0</v>
      </c>
      <c r="Z1492" s="111">
        <f>SUM(Audit[[#This Row],[Difference Loser]:[Difference Candidate 6]])</f>
        <v>-33</v>
      </c>
      <c r="AA1492" s="111">
        <f>IF(Audit[[#This Row],[Times p Drawn - With Replacement]]&gt;0, IF(Audit[[#This Row],[Canceled Differences]]&lt;0, Audit[[#This Row],[Max Differences]]+ABS(Audit[[#This Row],[Canceled Differences]]), Audit[[#This Row],[Max Differences]]), 0)</f>
        <v>0</v>
      </c>
      <c r="AB1492" s="111">
        <f>'Sampling Data'!P1485</f>
        <v>2.5110240078392945E-3</v>
      </c>
      <c r="AC1492" s="111">
        <f>IF(
      SUM(Audit[[#This Row],[Audit Losing Candidate]:[Audit Candidate 6]])
      &lt;&gt;0,
      (Audit[[#This Row],[Winning Candidate]]-Audit[[#This Row],[Losing Candidate]]-(Audit[[#This Row],[Audit Winning Candidate]]-Audit[[#This Row],[Audit Losing Candidate]]))/(Audit[[#Totals],[Winning Candidate]]-Audit[[#Totals],[Losing Candidate]]),
      0
)</f>
        <v>0</v>
      </c>
      <c r="AD14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2" s="111">
        <f>IF(Audit[[#This Row],[Max Relative Error (ep)]] = 0, 0, Audit[[#This Row],[Max Relative Error (ep)]]/Audit[[#This Row],[Error Bound (up) - Max. possible relative overstatement]])</f>
        <v>0</v>
      </c>
      <c r="AJ14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92" s="111">
        <f t="shared" si="23"/>
        <v>1</v>
      </c>
      <c r="AL1492" s="111">
        <f>PRODUCT($AK$5:AK1492)</f>
        <v>8.962823818226312E-2</v>
      </c>
      <c r="AM1492" s="109">
        <f>1 - [K-M P Value]</f>
        <v>0.91037176181773694</v>
      </c>
      <c r="AN1492" s="111" t="str">
        <f>IF(Audit[[#This Row],[K-M P Value]]&gt;1-'General Info'!$B$16,"Continue", "Stop")</f>
        <v>Stop</v>
      </c>
      <c r="AO1492" s="110" t="b">
        <f>IF(Audit[[#This Row],[Status - Continue or stop audit]] = "Continue", TRUE, IF(AN1491 = "Continue", TRUE, FALSE))</f>
        <v>0</v>
      </c>
      <c r="AP1492" s="110"/>
    </row>
    <row r="1493" spans="1:42" ht="15" hidden="1" customHeight="1">
      <c r="A1493" s="111" t="str">
        <f>'Sampling Data'!W1486</f>
        <v/>
      </c>
      <c r="B1493" s="112" t="str">
        <f>'Sampling Data'!A1486</f>
        <v>NEWBURGH HEIGHTS -00-B - ABS</v>
      </c>
      <c r="C1493" s="112">
        <f>'Sampling Data'!B1486</f>
        <v>4</v>
      </c>
      <c r="D1493" s="112">
        <f>'Sampling Data'!C1486</f>
        <v>3</v>
      </c>
      <c r="E1493" s="113">
        <f>'Sampling Data'!D1486</f>
        <v>2</v>
      </c>
      <c r="F1493" s="113">
        <f>'Sampling Data'!E1486</f>
        <v>1</v>
      </c>
      <c r="G1493" s="113">
        <f>'Sampling Data'!F1486</f>
        <v>0</v>
      </c>
      <c r="H1493" s="113">
        <f>'Sampling Data'!G1486</f>
        <v>0</v>
      </c>
      <c r="I1493" s="112">
        <f>'Sampling Data'!H1486</f>
        <v>0</v>
      </c>
      <c r="J1493" s="112">
        <f>'Sampling Data'!I1486</f>
        <v>0</v>
      </c>
      <c r="K1493" s="112">
        <f>'Sampling Data'!J1486</f>
        <v>10</v>
      </c>
      <c r="L1493" s="111">
        <f>'Sampling Data'!X1486</f>
        <v>0</v>
      </c>
      <c r="M1493" s="114"/>
      <c r="N1493" s="114"/>
      <c r="O1493" s="115"/>
      <c r="P1493" s="115"/>
      <c r="Q1493" s="116"/>
      <c r="R1493" s="116"/>
      <c r="S1493" s="111">
        <f>Audit[[#This Row],[Audit Losing Candidate]]-Audit[[#This Row],[Losing Candidate]]</f>
        <v>-4</v>
      </c>
      <c r="T1493" s="111">
        <f>Audit[[#This Row],[Audit Winning Candidate]]-Audit[[#This Row],[Winning Candidate]]</f>
        <v>-3</v>
      </c>
      <c r="U1493" s="111">
        <f>Audit[[#This Row],[Audit Candidate 3]]-Audit[[#This Row],[Candidate 3]]</f>
        <v>-2</v>
      </c>
      <c r="V1493" s="111">
        <f>Audit[[#This Row],[Audit Candidate 4]]-Audit[[#This Row],[Candidate 4]]</f>
        <v>-1</v>
      </c>
      <c r="W1493" s="111">
        <f>Audit[[#This Row],[Audit Candidate 5]]-Audit[[#This Row],[Candidate 5]]</f>
        <v>0</v>
      </c>
      <c r="X1493" s="111">
        <f>Audit[[#This Row],[Audit Candidate 6]]-Audit[[#This Row],[Candidate 6]]</f>
        <v>0</v>
      </c>
      <c r="Y1493" s="111">
        <f>SUMIF(Audit[[#This Row],[Difference Loser]:[Difference Candidate 6]], "&gt;0")</f>
        <v>0</v>
      </c>
      <c r="Z1493" s="111">
        <f>SUM(Audit[[#This Row],[Difference Loser]:[Difference Candidate 6]])</f>
        <v>-10</v>
      </c>
      <c r="AA1493" s="111">
        <f>IF(Audit[[#This Row],[Times p Drawn - With Replacement]]&gt;0, IF(Audit[[#This Row],[Canceled Differences]]&lt;0, Audit[[#This Row],[Max Differences]]+ABS(Audit[[#This Row],[Canceled Differences]]), Audit[[#This Row],[Max Differences]]), 0)</f>
        <v>0</v>
      </c>
      <c r="AB1493" s="111">
        <f>'Sampling Data'!P1486</f>
        <v>5.5120039196472322E-4</v>
      </c>
      <c r="AC1493" s="111">
        <f>IF(
      SUM(Audit[[#This Row],[Audit Losing Candidate]:[Audit Candidate 6]])
      &lt;&gt;0,
      (Audit[[#This Row],[Winning Candidate]]-Audit[[#This Row],[Losing Candidate]]-(Audit[[#This Row],[Audit Winning Candidate]]-Audit[[#This Row],[Audit Losing Candidate]]))/(Audit[[#Totals],[Winning Candidate]]-Audit[[#Totals],[Losing Candidate]]),
      0
)</f>
        <v>0</v>
      </c>
      <c r="AD14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3" s="111">
        <f>IF(Audit[[#This Row],[Max Relative Error (ep)]] = 0, 0, Audit[[#This Row],[Max Relative Error (ep)]]/Audit[[#This Row],[Error Bound (up) - Max. possible relative overstatement]])</f>
        <v>0</v>
      </c>
      <c r="AJ14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93" s="111">
        <f t="shared" si="23"/>
        <v>1</v>
      </c>
      <c r="AL1493" s="111">
        <f>PRODUCT($AK$5:AK1493)</f>
        <v>8.962823818226312E-2</v>
      </c>
      <c r="AM1493" s="109">
        <f>1 - [K-M P Value]</f>
        <v>0.91037176181773694</v>
      </c>
      <c r="AN1493" s="111" t="str">
        <f>IF(Audit[[#This Row],[K-M P Value]]&gt;1-'General Info'!$B$16,"Continue", "Stop")</f>
        <v>Stop</v>
      </c>
      <c r="AO1493" s="110" t="b">
        <f>IF(Audit[[#This Row],[Status - Continue or stop audit]] = "Continue", TRUE, IF(AN1492 = "Continue", TRUE, FALSE))</f>
        <v>0</v>
      </c>
      <c r="AP1493" s="110"/>
    </row>
    <row r="1494" spans="1:42" ht="15" hidden="1" customHeight="1">
      <c r="A1494" s="111" t="str">
        <f>'Sampling Data'!W1487</f>
        <v/>
      </c>
      <c r="B1494" s="112" t="str">
        <f>'Sampling Data'!A1487</f>
        <v>NORTH OLMSTED -01-A</v>
      </c>
      <c r="C1494" s="112">
        <f>'Sampling Data'!B1487</f>
        <v>31</v>
      </c>
      <c r="D1494" s="112">
        <f>'Sampling Data'!C1487</f>
        <v>49</v>
      </c>
      <c r="E1494" s="113">
        <f>'Sampling Data'!D1487</f>
        <v>12</v>
      </c>
      <c r="F1494" s="113">
        <f>'Sampling Data'!E1487</f>
        <v>11</v>
      </c>
      <c r="G1494" s="113">
        <f>'Sampling Data'!F1487</f>
        <v>0</v>
      </c>
      <c r="H1494" s="113">
        <f>'Sampling Data'!G1487</f>
        <v>1</v>
      </c>
      <c r="I1494" s="112">
        <f>'Sampling Data'!H1487</f>
        <v>0</v>
      </c>
      <c r="J1494" s="112">
        <f>'Sampling Data'!I1487</f>
        <v>0</v>
      </c>
      <c r="K1494" s="112">
        <f>'Sampling Data'!J1487</f>
        <v>104</v>
      </c>
      <c r="L1494" s="111">
        <f>'Sampling Data'!X1487</f>
        <v>0</v>
      </c>
      <c r="M1494" s="114"/>
      <c r="N1494" s="114"/>
      <c r="O1494" s="115"/>
      <c r="P1494" s="115"/>
      <c r="Q1494" s="116"/>
      <c r="R1494" s="116"/>
      <c r="S1494" s="111">
        <f>Audit[[#This Row],[Audit Losing Candidate]]-Audit[[#This Row],[Losing Candidate]]</f>
        <v>-31</v>
      </c>
      <c r="T1494" s="111">
        <f>Audit[[#This Row],[Audit Winning Candidate]]-Audit[[#This Row],[Winning Candidate]]</f>
        <v>-49</v>
      </c>
      <c r="U1494" s="111">
        <f>Audit[[#This Row],[Audit Candidate 3]]-Audit[[#This Row],[Candidate 3]]</f>
        <v>-12</v>
      </c>
      <c r="V1494" s="111">
        <f>Audit[[#This Row],[Audit Candidate 4]]-Audit[[#This Row],[Candidate 4]]</f>
        <v>-11</v>
      </c>
      <c r="W1494" s="111">
        <f>Audit[[#This Row],[Audit Candidate 5]]-Audit[[#This Row],[Candidate 5]]</f>
        <v>0</v>
      </c>
      <c r="X1494" s="111">
        <f>Audit[[#This Row],[Audit Candidate 6]]-Audit[[#This Row],[Candidate 6]]</f>
        <v>-1</v>
      </c>
      <c r="Y1494" s="111">
        <f>SUMIF(Audit[[#This Row],[Difference Loser]:[Difference Candidate 6]], "&gt;0")</f>
        <v>0</v>
      </c>
      <c r="Z1494" s="111">
        <f>SUM(Audit[[#This Row],[Difference Loser]:[Difference Candidate 6]])</f>
        <v>-104</v>
      </c>
      <c r="AA1494" s="111">
        <f>IF(Audit[[#This Row],[Times p Drawn - With Replacement]]&gt;0, IF(Audit[[#This Row],[Canceled Differences]]&lt;0, Audit[[#This Row],[Max Differences]]+ABS(Audit[[#This Row],[Canceled Differences]]), Audit[[#This Row],[Max Differences]]), 0)</f>
        <v>0</v>
      </c>
      <c r="AB1494" s="111">
        <f>'Sampling Data'!P1487</f>
        <v>7.4718275355218034E-3</v>
      </c>
      <c r="AC1494" s="111">
        <f>IF(
      SUM(Audit[[#This Row],[Audit Losing Candidate]:[Audit Candidate 6]])
      &lt;&gt;0,
      (Audit[[#This Row],[Winning Candidate]]-Audit[[#This Row],[Losing Candidate]]-(Audit[[#This Row],[Audit Winning Candidate]]-Audit[[#This Row],[Audit Losing Candidate]]))/(Audit[[#Totals],[Winning Candidate]]-Audit[[#Totals],[Losing Candidate]]),
      0
)</f>
        <v>0</v>
      </c>
      <c r="AD14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4" s="111">
        <f>IF(Audit[[#This Row],[Max Relative Error (ep)]] = 0, 0, Audit[[#This Row],[Max Relative Error (ep)]]/Audit[[#This Row],[Error Bound (up) - Max. possible relative overstatement]])</f>
        <v>0</v>
      </c>
      <c r="AJ14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94" s="111">
        <f t="shared" si="23"/>
        <v>1</v>
      </c>
      <c r="AL1494" s="111">
        <f>PRODUCT($AK$5:AK1494)</f>
        <v>8.962823818226312E-2</v>
      </c>
      <c r="AM1494" s="109">
        <f>1 - [K-M P Value]</f>
        <v>0.91037176181773694</v>
      </c>
      <c r="AN1494" s="111" t="str">
        <f>IF(Audit[[#This Row],[K-M P Value]]&gt;1-'General Info'!$B$16,"Continue", "Stop")</f>
        <v>Stop</v>
      </c>
      <c r="AO1494" s="110" t="b">
        <f>IF(Audit[[#This Row],[Status - Continue or stop audit]] = "Continue", TRUE, IF(AN1493 = "Continue", TRUE, FALSE))</f>
        <v>0</v>
      </c>
      <c r="AP1494" s="110"/>
    </row>
    <row r="1495" spans="1:42" ht="15" hidden="1" customHeight="1">
      <c r="A1495" s="111" t="str">
        <f>'Sampling Data'!W1488</f>
        <v/>
      </c>
      <c r="B1495" s="112" t="str">
        <f>'Sampling Data'!A1488</f>
        <v>NORTH OLMSTED -01-A - ABS</v>
      </c>
      <c r="C1495" s="112">
        <f>'Sampling Data'!B1488</f>
        <v>23</v>
      </c>
      <c r="D1495" s="112">
        <f>'Sampling Data'!C1488</f>
        <v>33</v>
      </c>
      <c r="E1495" s="113">
        <f>'Sampling Data'!D1488</f>
        <v>8</v>
      </c>
      <c r="F1495" s="113">
        <f>'Sampling Data'!E1488</f>
        <v>5</v>
      </c>
      <c r="G1495" s="113">
        <f>'Sampling Data'!F1488</f>
        <v>0</v>
      </c>
      <c r="H1495" s="113">
        <f>'Sampling Data'!G1488</f>
        <v>1</v>
      </c>
      <c r="I1495" s="112">
        <f>'Sampling Data'!H1488</f>
        <v>0</v>
      </c>
      <c r="J1495" s="112">
        <f>'Sampling Data'!I1488</f>
        <v>3</v>
      </c>
      <c r="K1495" s="112">
        <f>'Sampling Data'!J1488</f>
        <v>73</v>
      </c>
      <c r="L1495" s="111">
        <f>'Sampling Data'!X1488</f>
        <v>0</v>
      </c>
      <c r="M1495" s="114"/>
      <c r="N1495" s="114"/>
      <c r="O1495" s="115"/>
      <c r="P1495" s="115"/>
      <c r="Q1495" s="116"/>
      <c r="R1495" s="116"/>
      <c r="S1495" s="111">
        <f>Audit[[#This Row],[Audit Losing Candidate]]-Audit[[#This Row],[Losing Candidate]]</f>
        <v>-23</v>
      </c>
      <c r="T1495" s="111">
        <f>Audit[[#This Row],[Audit Winning Candidate]]-Audit[[#This Row],[Winning Candidate]]</f>
        <v>-33</v>
      </c>
      <c r="U1495" s="111">
        <f>Audit[[#This Row],[Audit Candidate 3]]-Audit[[#This Row],[Candidate 3]]</f>
        <v>-8</v>
      </c>
      <c r="V1495" s="111">
        <f>Audit[[#This Row],[Audit Candidate 4]]-Audit[[#This Row],[Candidate 4]]</f>
        <v>-5</v>
      </c>
      <c r="W1495" s="111">
        <f>Audit[[#This Row],[Audit Candidate 5]]-Audit[[#This Row],[Candidate 5]]</f>
        <v>0</v>
      </c>
      <c r="X1495" s="111">
        <f>Audit[[#This Row],[Audit Candidate 6]]-Audit[[#This Row],[Candidate 6]]</f>
        <v>-1</v>
      </c>
      <c r="Y1495" s="111">
        <f>SUMIF(Audit[[#This Row],[Difference Loser]:[Difference Candidate 6]], "&gt;0")</f>
        <v>0</v>
      </c>
      <c r="Z1495" s="111">
        <f>SUM(Audit[[#This Row],[Difference Loser]:[Difference Candidate 6]])</f>
        <v>-70</v>
      </c>
      <c r="AA1495" s="111">
        <f>IF(Audit[[#This Row],[Times p Drawn - With Replacement]]&gt;0, IF(Audit[[#This Row],[Canceled Differences]]&lt;0, Audit[[#This Row],[Max Differences]]+ABS(Audit[[#This Row],[Canceled Differences]]), Audit[[#This Row],[Max Differences]]), 0)</f>
        <v>0</v>
      </c>
      <c r="AB1495" s="111">
        <f>'Sampling Data'!P1488</f>
        <v>5.0832925036746694E-3</v>
      </c>
      <c r="AC1495" s="111">
        <f>IF(
      SUM(Audit[[#This Row],[Audit Losing Candidate]:[Audit Candidate 6]])
      &lt;&gt;0,
      (Audit[[#This Row],[Winning Candidate]]-Audit[[#This Row],[Losing Candidate]]-(Audit[[#This Row],[Audit Winning Candidate]]-Audit[[#This Row],[Audit Losing Candidate]]))/(Audit[[#Totals],[Winning Candidate]]-Audit[[#Totals],[Losing Candidate]]),
      0
)</f>
        <v>0</v>
      </c>
      <c r="AD14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5" s="111">
        <f>IF(Audit[[#This Row],[Max Relative Error (ep)]] = 0, 0, Audit[[#This Row],[Max Relative Error (ep)]]/Audit[[#This Row],[Error Bound (up) - Max. possible relative overstatement]])</f>
        <v>0</v>
      </c>
      <c r="AJ14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95" s="111">
        <f t="shared" si="23"/>
        <v>1</v>
      </c>
      <c r="AL1495" s="111">
        <f>PRODUCT($AK$5:AK1495)</f>
        <v>8.962823818226312E-2</v>
      </c>
      <c r="AM1495" s="109">
        <f>1 - [K-M P Value]</f>
        <v>0.91037176181773694</v>
      </c>
      <c r="AN1495" s="111" t="str">
        <f>IF(Audit[[#This Row],[K-M P Value]]&gt;1-'General Info'!$B$16,"Continue", "Stop")</f>
        <v>Stop</v>
      </c>
      <c r="AO1495" s="110" t="b">
        <f>IF(Audit[[#This Row],[Status - Continue or stop audit]] = "Continue", TRUE, IF(AN1494 = "Continue", TRUE, FALSE))</f>
        <v>0</v>
      </c>
      <c r="AP1495" s="110"/>
    </row>
    <row r="1496" spans="1:42" ht="15" hidden="1" customHeight="1">
      <c r="A1496" s="111" t="str">
        <f>'Sampling Data'!W1489</f>
        <v/>
      </c>
      <c r="B1496" s="112" t="str">
        <f>'Sampling Data'!A1489</f>
        <v>NORTH OLMSTED -01-B</v>
      </c>
      <c r="C1496" s="112">
        <f>'Sampling Data'!B1489</f>
        <v>32</v>
      </c>
      <c r="D1496" s="112">
        <f>'Sampling Data'!C1489</f>
        <v>43</v>
      </c>
      <c r="E1496" s="113">
        <f>'Sampling Data'!D1489</f>
        <v>5</v>
      </c>
      <c r="F1496" s="113">
        <f>'Sampling Data'!E1489</f>
        <v>4</v>
      </c>
      <c r="G1496" s="113">
        <f>'Sampling Data'!F1489</f>
        <v>0</v>
      </c>
      <c r="H1496" s="113">
        <f>'Sampling Data'!G1489</f>
        <v>0</v>
      </c>
      <c r="I1496" s="112">
        <f>'Sampling Data'!H1489</f>
        <v>0</v>
      </c>
      <c r="J1496" s="112">
        <f>'Sampling Data'!I1489</f>
        <v>1</v>
      </c>
      <c r="K1496" s="112">
        <f>'Sampling Data'!J1489</f>
        <v>85</v>
      </c>
      <c r="L1496" s="111">
        <f>'Sampling Data'!X1489</f>
        <v>0</v>
      </c>
      <c r="M1496" s="114"/>
      <c r="N1496" s="114"/>
      <c r="O1496" s="115"/>
      <c r="P1496" s="115"/>
      <c r="Q1496" s="116"/>
      <c r="R1496" s="116"/>
      <c r="S1496" s="111">
        <f>Audit[[#This Row],[Audit Losing Candidate]]-Audit[[#This Row],[Losing Candidate]]</f>
        <v>-32</v>
      </c>
      <c r="T1496" s="111">
        <f>Audit[[#This Row],[Audit Winning Candidate]]-Audit[[#This Row],[Winning Candidate]]</f>
        <v>-43</v>
      </c>
      <c r="U1496" s="111">
        <f>Audit[[#This Row],[Audit Candidate 3]]-Audit[[#This Row],[Candidate 3]]</f>
        <v>-5</v>
      </c>
      <c r="V1496" s="111">
        <f>Audit[[#This Row],[Audit Candidate 4]]-Audit[[#This Row],[Candidate 4]]</f>
        <v>-4</v>
      </c>
      <c r="W1496" s="111">
        <f>Audit[[#This Row],[Audit Candidate 5]]-Audit[[#This Row],[Candidate 5]]</f>
        <v>0</v>
      </c>
      <c r="X1496" s="111">
        <f>Audit[[#This Row],[Audit Candidate 6]]-Audit[[#This Row],[Candidate 6]]</f>
        <v>0</v>
      </c>
      <c r="Y1496" s="111">
        <f>SUMIF(Audit[[#This Row],[Difference Loser]:[Difference Candidate 6]], "&gt;0")</f>
        <v>0</v>
      </c>
      <c r="Z1496" s="111">
        <f>SUM(Audit[[#This Row],[Difference Loser]:[Difference Candidate 6]])</f>
        <v>-84</v>
      </c>
      <c r="AA1496" s="111">
        <f>IF(Audit[[#This Row],[Times p Drawn - With Replacement]]&gt;0, IF(Audit[[#This Row],[Canceled Differences]]&lt;0, Audit[[#This Row],[Max Differences]]+ABS(Audit[[#This Row],[Canceled Differences]]), Audit[[#This Row],[Max Differences]]), 0)</f>
        <v>0</v>
      </c>
      <c r="AB1496" s="111">
        <f>'Sampling Data'!P1489</f>
        <v>5.8794708476237138E-3</v>
      </c>
      <c r="AC1496" s="111">
        <f>IF(
      SUM(Audit[[#This Row],[Audit Losing Candidate]:[Audit Candidate 6]])
      &lt;&gt;0,
      (Audit[[#This Row],[Winning Candidate]]-Audit[[#This Row],[Losing Candidate]]-(Audit[[#This Row],[Audit Winning Candidate]]-Audit[[#This Row],[Audit Losing Candidate]]))/(Audit[[#Totals],[Winning Candidate]]-Audit[[#Totals],[Losing Candidate]]),
      0
)</f>
        <v>0</v>
      </c>
      <c r="AD14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6" s="111">
        <f>IF(Audit[[#This Row],[Max Relative Error (ep)]] = 0, 0, Audit[[#This Row],[Max Relative Error (ep)]]/Audit[[#This Row],[Error Bound (up) - Max. possible relative overstatement]])</f>
        <v>0</v>
      </c>
      <c r="AJ14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96" s="111">
        <f t="shared" si="23"/>
        <v>1</v>
      </c>
      <c r="AL1496" s="111">
        <f>PRODUCT($AK$5:AK1496)</f>
        <v>8.962823818226312E-2</v>
      </c>
      <c r="AM1496" s="109">
        <f>1 - [K-M P Value]</f>
        <v>0.91037176181773694</v>
      </c>
      <c r="AN1496" s="111" t="str">
        <f>IF(Audit[[#This Row],[K-M P Value]]&gt;1-'General Info'!$B$16,"Continue", "Stop")</f>
        <v>Stop</v>
      </c>
      <c r="AO1496" s="110" t="b">
        <f>IF(Audit[[#This Row],[Status - Continue or stop audit]] = "Continue", TRUE, IF(AN1495 = "Continue", TRUE, FALSE))</f>
        <v>0</v>
      </c>
      <c r="AP1496" s="110"/>
    </row>
    <row r="1497" spans="1:42" ht="15" hidden="1" customHeight="1">
      <c r="A1497" s="111" t="str">
        <f>'Sampling Data'!W1490</f>
        <v/>
      </c>
      <c r="B1497" s="112" t="str">
        <f>'Sampling Data'!A1490</f>
        <v>NORTH OLMSTED -01-B - ABS</v>
      </c>
      <c r="C1497" s="112">
        <f>'Sampling Data'!B1490</f>
        <v>17</v>
      </c>
      <c r="D1497" s="112">
        <f>'Sampling Data'!C1490</f>
        <v>12</v>
      </c>
      <c r="E1497" s="113">
        <f>'Sampling Data'!D1490</f>
        <v>7</v>
      </c>
      <c r="F1497" s="113">
        <f>'Sampling Data'!E1490</f>
        <v>1</v>
      </c>
      <c r="G1497" s="113">
        <f>'Sampling Data'!F1490</f>
        <v>1</v>
      </c>
      <c r="H1497" s="113">
        <f>'Sampling Data'!G1490</f>
        <v>0</v>
      </c>
      <c r="I1497" s="112">
        <f>'Sampling Data'!H1490</f>
        <v>0</v>
      </c>
      <c r="J1497" s="112">
        <f>'Sampling Data'!I1490</f>
        <v>1</v>
      </c>
      <c r="K1497" s="112">
        <f>'Sampling Data'!J1490</f>
        <v>39</v>
      </c>
      <c r="L1497" s="111">
        <f>'Sampling Data'!X1490</f>
        <v>0</v>
      </c>
      <c r="M1497" s="114"/>
      <c r="N1497" s="114"/>
      <c r="O1497" s="115"/>
      <c r="P1497" s="115"/>
      <c r="Q1497" s="116"/>
      <c r="R1497" s="116"/>
      <c r="S1497" s="111">
        <f>Audit[[#This Row],[Audit Losing Candidate]]-Audit[[#This Row],[Losing Candidate]]</f>
        <v>-17</v>
      </c>
      <c r="T1497" s="111">
        <f>Audit[[#This Row],[Audit Winning Candidate]]-Audit[[#This Row],[Winning Candidate]]</f>
        <v>-12</v>
      </c>
      <c r="U1497" s="111">
        <f>Audit[[#This Row],[Audit Candidate 3]]-Audit[[#This Row],[Candidate 3]]</f>
        <v>-7</v>
      </c>
      <c r="V1497" s="111">
        <f>Audit[[#This Row],[Audit Candidate 4]]-Audit[[#This Row],[Candidate 4]]</f>
        <v>-1</v>
      </c>
      <c r="W1497" s="111">
        <f>Audit[[#This Row],[Audit Candidate 5]]-Audit[[#This Row],[Candidate 5]]</f>
        <v>-1</v>
      </c>
      <c r="X1497" s="111">
        <f>Audit[[#This Row],[Audit Candidate 6]]-Audit[[#This Row],[Candidate 6]]</f>
        <v>0</v>
      </c>
      <c r="Y1497" s="111">
        <f>SUMIF(Audit[[#This Row],[Difference Loser]:[Difference Candidate 6]], "&gt;0")</f>
        <v>0</v>
      </c>
      <c r="Z1497" s="111">
        <f>SUM(Audit[[#This Row],[Difference Loser]:[Difference Candidate 6]])</f>
        <v>-38</v>
      </c>
      <c r="AA1497" s="111">
        <f>IF(Audit[[#This Row],[Times p Drawn - With Replacement]]&gt;0, IF(Audit[[#This Row],[Canceled Differences]]&lt;0, Audit[[#This Row],[Max Differences]]+ABS(Audit[[#This Row],[Canceled Differences]]), Audit[[#This Row],[Max Differences]]), 0)</f>
        <v>0</v>
      </c>
      <c r="AB1497" s="111">
        <f>'Sampling Data'!P1490</f>
        <v>2.0823125918667321E-3</v>
      </c>
      <c r="AC1497" s="111">
        <f>IF(
      SUM(Audit[[#This Row],[Audit Losing Candidate]:[Audit Candidate 6]])
      &lt;&gt;0,
      (Audit[[#This Row],[Winning Candidate]]-Audit[[#This Row],[Losing Candidate]]-(Audit[[#This Row],[Audit Winning Candidate]]-Audit[[#This Row],[Audit Losing Candidate]]))/(Audit[[#Totals],[Winning Candidate]]-Audit[[#Totals],[Losing Candidate]]),
      0
)</f>
        <v>0</v>
      </c>
      <c r="AD14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7" s="111">
        <f>IF(Audit[[#This Row],[Max Relative Error (ep)]] = 0, 0, Audit[[#This Row],[Max Relative Error (ep)]]/Audit[[#This Row],[Error Bound (up) - Max. possible relative overstatement]])</f>
        <v>0</v>
      </c>
      <c r="AJ14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97" s="111">
        <f t="shared" si="23"/>
        <v>1</v>
      </c>
      <c r="AL1497" s="111">
        <f>PRODUCT($AK$5:AK1497)</f>
        <v>8.962823818226312E-2</v>
      </c>
      <c r="AM1497" s="109">
        <f>1 - [K-M P Value]</f>
        <v>0.91037176181773694</v>
      </c>
      <c r="AN1497" s="111" t="str">
        <f>IF(Audit[[#This Row],[K-M P Value]]&gt;1-'General Info'!$B$16,"Continue", "Stop")</f>
        <v>Stop</v>
      </c>
      <c r="AO1497" s="110" t="b">
        <f>IF(Audit[[#This Row],[Status - Continue or stop audit]] = "Continue", TRUE, IF(AN1496 = "Continue", TRUE, FALSE))</f>
        <v>0</v>
      </c>
      <c r="AP1497" s="110"/>
    </row>
    <row r="1498" spans="1:42" ht="15" hidden="1" customHeight="1">
      <c r="A1498" s="111" t="str">
        <f>'Sampling Data'!W1491</f>
        <v/>
      </c>
      <c r="B1498" s="112" t="str">
        <f>'Sampling Data'!A1491</f>
        <v>NORTH OLMSTED -01-C</v>
      </c>
      <c r="C1498" s="112">
        <f>'Sampling Data'!B1491</f>
        <v>29</v>
      </c>
      <c r="D1498" s="112">
        <f>'Sampling Data'!C1491</f>
        <v>47</v>
      </c>
      <c r="E1498" s="113">
        <f>'Sampling Data'!D1491</f>
        <v>20</v>
      </c>
      <c r="F1498" s="113">
        <f>'Sampling Data'!E1491</f>
        <v>13</v>
      </c>
      <c r="G1498" s="113">
        <f>'Sampling Data'!F1491</f>
        <v>0</v>
      </c>
      <c r="H1498" s="113">
        <f>'Sampling Data'!G1491</f>
        <v>2</v>
      </c>
      <c r="I1498" s="112">
        <f>'Sampling Data'!H1491</f>
        <v>0</v>
      </c>
      <c r="J1498" s="112">
        <f>'Sampling Data'!I1491</f>
        <v>1</v>
      </c>
      <c r="K1498" s="112">
        <f>'Sampling Data'!J1491</f>
        <v>112</v>
      </c>
      <c r="L1498" s="111">
        <f>'Sampling Data'!X1491</f>
        <v>0</v>
      </c>
      <c r="M1498" s="114"/>
      <c r="N1498" s="114"/>
      <c r="O1498" s="115"/>
      <c r="P1498" s="115"/>
      <c r="Q1498" s="116"/>
      <c r="R1498" s="116"/>
      <c r="S1498" s="111">
        <f>Audit[[#This Row],[Audit Losing Candidate]]-Audit[[#This Row],[Losing Candidate]]</f>
        <v>-29</v>
      </c>
      <c r="T1498" s="111">
        <f>Audit[[#This Row],[Audit Winning Candidate]]-Audit[[#This Row],[Winning Candidate]]</f>
        <v>-47</v>
      </c>
      <c r="U1498" s="111">
        <f>Audit[[#This Row],[Audit Candidate 3]]-Audit[[#This Row],[Candidate 3]]</f>
        <v>-20</v>
      </c>
      <c r="V1498" s="111">
        <f>Audit[[#This Row],[Audit Candidate 4]]-Audit[[#This Row],[Candidate 4]]</f>
        <v>-13</v>
      </c>
      <c r="W1498" s="111">
        <f>Audit[[#This Row],[Audit Candidate 5]]-Audit[[#This Row],[Candidate 5]]</f>
        <v>0</v>
      </c>
      <c r="X1498" s="111">
        <f>Audit[[#This Row],[Audit Candidate 6]]-Audit[[#This Row],[Candidate 6]]</f>
        <v>-2</v>
      </c>
      <c r="Y1498" s="111">
        <f>SUMIF(Audit[[#This Row],[Difference Loser]:[Difference Candidate 6]], "&gt;0")</f>
        <v>0</v>
      </c>
      <c r="Z1498" s="111">
        <f>SUM(Audit[[#This Row],[Difference Loser]:[Difference Candidate 6]])</f>
        <v>-111</v>
      </c>
      <c r="AA1498" s="111">
        <f>IF(Audit[[#This Row],[Times p Drawn - With Replacement]]&gt;0, IF(Audit[[#This Row],[Canceled Differences]]&lt;0, Audit[[#This Row],[Max Differences]]+ABS(Audit[[#This Row],[Canceled Differences]]), Audit[[#This Row],[Max Differences]]), 0)</f>
        <v>0</v>
      </c>
      <c r="AB1498" s="111">
        <f>'Sampling Data'!P1491</f>
        <v>7.9617834394904458E-3</v>
      </c>
      <c r="AC1498" s="111">
        <f>IF(
      SUM(Audit[[#This Row],[Audit Losing Candidate]:[Audit Candidate 6]])
      &lt;&gt;0,
      (Audit[[#This Row],[Winning Candidate]]-Audit[[#This Row],[Losing Candidate]]-(Audit[[#This Row],[Audit Winning Candidate]]-Audit[[#This Row],[Audit Losing Candidate]]))/(Audit[[#Totals],[Winning Candidate]]-Audit[[#Totals],[Losing Candidate]]),
      0
)</f>
        <v>0</v>
      </c>
      <c r="AD14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8" s="111">
        <f>IF(Audit[[#This Row],[Max Relative Error (ep)]] = 0, 0, Audit[[#This Row],[Max Relative Error (ep)]]/Audit[[#This Row],[Error Bound (up) - Max. possible relative overstatement]])</f>
        <v>0</v>
      </c>
      <c r="AJ14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98" s="111">
        <f t="shared" si="23"/>
        <v>1</v>
      </c>
      <c r="AL1498" s="111">
        <f>PRODUCT($AK$5:AK1498)</f>
        <v>8.962823818226312E-2</v>
      </c>
      <c r="AM1498" s="109">
        <f>1 - [K-M P Value]</f>
        <v>0.91037176181773694</v>
      </c>
      <c r="AN1498" s="111" t="str">
        <f>IF(Audit[[#This Row],[K-M P Value]]&gt;1-'General Info'!$B$16,"Continue", "Stop")</f>
        <v>Stop</v>
      </c>
      <c r="AO1498" s="110" t="b">
        <f>IF(Audit[[#This Row],[Status - Continue or stop audit]] = "Continue", TRUE, IF(AN1497 = "Continue", TRUE, FALSE))</f>
        <v>0</v>
      </c>
      <c r="AP1498" s="110"/>
    </row>
    <row r="1499" spans="1:42" ht="15" hidden="1" customHeight="1">
      <c r="A1499" s="111" t="str">
        <f>'Sampling Data'!W1492</f>
        <v/>
      </c>
      <c r="B1499" s="112" t="str">
        <f>'Sampling Data'!A1492</f>
        <v>NORTH OLMSTED -01-C - ABS</v>
      </c>
      <c r="C1499" s="112">
        <f>'Sampling Data'!B1492</f>
        <v>21</v>
      </c>
      <c r="D1499" s="112">
        <f>'Sampling Data'!C1492</f>
        <v>18</v>
      </c>
      <c r="E1499" s="113">
        <f>'Sampling Data'!D1492</f>
        <v>5</v>
      </c>
      <c r="F1499" s="113">
        <f>'Sampling Data'!E1492</f>
        <v>1</v>
      </c>
      <c r="G1499" s="113">
        <f>'Sampling Data'!F1492</f>
        <v>1</v>
      </c>
      <c r="H1499" s="113">
        <f>'Sampling Data'!G1492</f>
        <v>1</v>
      </c>
      <c r="I1499" s="112">
        <f>'Sampling Data'!H1492</f>
        <v>0</v>
      </c>
      <c r="J1499" s="112">
        <f>'Sampling Data'!I1492</f>
        <v>1</v>
      </c>
      <c r="K1499" s="112">
        <f>'Sampling Data'!J1492</f>
        <v>48</v>
      </c>
      <c r="L1499" s="111">
        <f>'Sampling Data'!X1492</f>
        <v>0</v>
      </c>
      <c r="M1499" s="114"/>
      <c r="N1499" s="114"/>
      <c r="O1499" s="115"/>
      <c r="P1499" s="115"/>
      <c r="Q1499" s="116"/>
      <c r="R1499" s="116"/>
      <c r="S1499" s="111">
        <f>Audit[[#This Row],[Audit Losing Candidate]]-Audit[[#This Row],[Losing Candidate]]</f>
        <v>-21</v>
      </c>
      <c r="T1499" s="111">
        <f>Audit[[#This Row],[Audit Winning Candidate]]-Audit[[#This Row],[Winning Candidate]]</f>
        <v>-18</v>
      </c>
      <c r="U1499" s="111">
        <f>Audit[[#This Row],[Audit Candidate 3]]-Audit[[#This Row],[Candidate 3]]</f>
        <v>-5</v>
      </c>
      <c r="V1499" s="111">
        <f>Audit[[#This Row],[Audit Candidate 4]]-Audit[[#This Row],[Candidate 4]]</f>
        <v>-1</v>
      </c>
      <c r="W1499" s="111">
        <f>Audit[[#This Row],[Audit Candidate 5]]-Audit[[#This Row],[Candidate 5]]</f>
        <v>-1</v>
      </c>
      <c r="X1499" s="111">
        <f>Audit[[#This Row],[Audit Candidate 6]]-Audit[[#This Row],[Candidate 6]]</f>
        <v>-1</v>
      </c>
      <c r="Y1499" s="111">
        <f>SUMIF(Audit[[#This Row],[Difference Loser]:[Difference Candidate 6]], "&gt;0")</f>
        <v>0</v>
      </c>
      <c r="Z1499" s="111">
        <f>SUM(Audit[[#This Row],[Difference Loser]:[Difference Candidate 6]])</f>
        <v>-47</v>
      </c>
      <c r="AA1499" s="111">
        <f>IF(Audit[[#This Row],[Times p Drawn - With Replacement]]&gt;0, IF(Audit[[#This Row],[Canceled Differences]]&lt;0, Audit[[#This Row],[Max Differences]]+ABS(Audit[[#This Row],[Canceled Differences]]), Audit[[#This Row],[Max Differences]]), 0)</f>
        <v>0</v>
      </c>
      <c r="AB1499" s="111">
        <f>'Sampling Data'!P1492</f>
        <v>2.7560019598236157E-3</v>
      </c>
      <c r="AC1499" s="111">
        <f>IF(
      SUM(Audit[[#This Row],[Audit Losing Candidate]:[Audit Candidate 6]])
      &lt;&gt;0,
      (Audit[[#This Row],[Winning Candidate]]-Audit[[#This Row],[Losing Candidate]]-(Audit[[#This Row],[Audit Winning Candidate]]-Audit[[#This Row],[Audit Losing Candidate]]))/(Audit[[#Totals],[Winning Candidate]]-Audit[[#Totals],[Losing Candidate]]),
      0
)</f>
        <v>0</v>
      </c>
      <c r="AD14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9" s="111">
        <f>IF(Audit[[#This Row],[Max Relative Error (ep)]] = 0, 0, Audit[[#This Row],[Max Relative Error (ep)]]/Audit[[#This Row],[Error Bound (up) - Max. possible relative overstatement]])</f>
        <v>0</v>
      </c>
      <c r="AJ14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499" s="111">
        <f t="shared" si="23"/>
        <v>1</v>
      </c>
      <c r="AL1499" s="111">
        <f>PRODUCT($AK$5:AK1499)</f>
        <v>8.962823818226312E-2</v>
      </c>
      <c r="AM1499" s="109">
        <f>1 - [K-M P Value]</f>
        <v>0.91037176181773694</v>
      </c>
      <c r="AN1499" s="111" t="str">
        <f>IF(Audit[[#This Row],[K-M P Value]]&gt;1-'General Info'!$B$16,"Continue", "Stop")</f>
        <v>Stop</v>
      </c>
      <c r="AO1499" s="110" t="b">
        <f>IF(Audit[[#This Row],[Status - Continue or stop audit]] = "Continue", TRUE, IF(AN1498 = "Continue", TRUE, FALSE))</f>
        <v>0</v>
      </c>
      <c r="AP1499" s="110"/>
    </row>
    <row r="1500" spans="1:42" ht="15" hidden="1" customHeight="1">
      <c r="A1500" s="111" t="str">
        <f>'Sampling Data'!W1493</f>
        <v/>
      </c>
      <c r="B1500" s="112" t="str">
        <f>'Sampling Data'!A1493</f>
        <v>NORTH OLMSTED -01-D</v>
      </c>
      <c r="C1500" s="112">
        <f>'Sampling Data'!B1493</f>
        <v>33</v>
      </c>
      <c r="D1500" s="112">
        <f>'Sampling Data'!C1493</f>
        <v>50</v>
      </c>
      <c r="E1500" s="113">
        <f>'Sampling Data'!D1493</f>
        <v>9</v>
      </c>
      <c r="F1500" s="113">
        <f>'Sampling Data'!E1493</f>
        <v>18</v>
      </c>
      <c r="G1500" s="113">
        <f>'Sampling Data'!F1493</f>
        <v>1</v>
      </c>
      <c r="H1500" s="113">
        <f>'Sampling Data'!G1493</f>
        <v>0</v>
      </c>
      <c r="I1500" s="112">
        <f>'Sampling Data'!H1493</f>
        <v>0</v>
      </c>
      <c r="J1500" s="112">
        <f>'Sampling Data'!I1493</f>
        <v>1</v>
      </c>
      <c r="K1500" s="112">
        <f>'Sampling Data'!J1493</f>
        <v>112</v>
      </c>
      <c r="L1500" s="111">
        <f>'Sampling Data'!X1493</f>
        <v>0</v>
      </c>
      <c r="M1500" s="114"/>
      <c r="N1500" s="114"/>
      <c r="O1500" s="115"/>
      <c r="P1500" s="115"/>
      <c r="Q1500" s="116"/>
      <c r="R1500" s="116"/>
      <c r="S1500" s="111">
        <f>Audit[[#This Row],[Audit Losing Candidate]]-Audit[[#This Row],[Losing Candidate]]</f>
        <v>-33</v>
      </c>
      <c r="T1500" s="111">
        <f>Audit[[#This Row],[Audit Winning Candidate]]-Audit[[#This Row],[Winning Candidate]]</f>
        <v>-50</v>
      </c>
      <c r="U1500" s="111">
        <f>Audit[[#This Row],[Audit Candidate 3]]-Audit[[#This Row],[Candidate 3]]</f>
        <v>-9</v>
      </c>
      <c r="V1500" s="111">
        <f>Audit[[#This Row],[Audit Candidate 4]]-Audit[[#This Row],[Candidate 4]]</f>
        <v>-18</v>
      </c>
      <c r="W1500" s="111">
        <f>Audit[[#This Row],[Audit Candidate 5]]-Audit[[#This Row],[Candidate 5]]</f>
        <v>-1</v>
      </c>
      <c r="X1500" s="111">
        <f>Audit[[#This Row],[Audit Candidate 6]]-Audit[[#This Row],[Candidate 6]]</f>
        <v>0</v>
      </c>
      <c r="Y1500" s="111">
        <f>SUMIF(Audit[[#This Row],[Difference Loser]:[Difference Candidate 6]], "&gt;0")</f>
        <v>0</v>
      </c>
      <c r="Z1500" s="111">
        <f>SUM(Audit[[#This Row],[Difference Loser]:[Difference Candidate 6]])</f>
        <v>-111</v>
      </c>
      <c r="AA1500" s="111">
        <f>IF(Audit[[#This Row],[Times p Drawn - With Replacement]]&gt;0, IF(Audit[[#This Row],[Canceled Differences]]&lt;0, Audit[[#This Row],[Max Differences]]+ABS(Audit[[#This Row],[Canceled Differences]]), Audit[[#This Row],[Max Differences]]), 0)</f>
        <v>0</v>
      </c>
      <c r="AB1500" s="111">
        <f>'Sampling Data'!P1493</f>
        <v>7.9005389514943663E-3</v>
      </c>
      <c r="AC1500" s="111">
        <f>IF(
      SUM(Audit[[#This Row],[Audit Losing Candidate]:[Audit Candidate 6]])
      &lt;&gt;0,
      (Audit[[#This Row],[Winning Candidate]]-Audit[[#This Row],[Losing Candidate]]-(Audit[[#This Row],[Audit Winning Candidate]]-Audit[[#This Row],[Audit Losing Candidate]]))/(Audit[[#Totals],[Winning Candidate]]-Audit[[#Totals],[Losing Candidate]]),
      0
)</f>
        <v>0</v>
      </c>
      <c r="AD15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0" s="111">
        <f>IF(Audit[[#This Row],[Max Relative Error (ep)]] = 0, 0, Audit[[#This Row],[Max Relative Error (ep)]]/Audit[[#This Row],[Error Bound (up) - Max. possible relative overstatement]])</f>
        <v>0</v>
      </c>
      <c r="AJ15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00" s="111">
        <f t="shared" si="23"/>
        <v>1</v>
      </c>
      <c r="AL1500" s="111">
        <f>PRODUCT($AK$5:AK1500)</f>
        <v>8.962823818226312E-2</v>
      </c>
      <c r="AM1500" s="109">
        <f>1 - [K-M P Value]</f>
        <v>0.91037176181773694</v>
      </c>
      <c r="AN1500" s="111" t="str">
        <f>IF(Audit[[#This Row],[K-M P Value]]&gt;1-'General Info'!$B$16,"Continue", "Stop")</f>
        <v>Stop</v>
      </c>
      <c r="AO1500" s="110" t="b">
        <f>IF(Audit[[#This Row],[Status - Continue or stop audit]] = "Continue", TRUE, IF(AN1499 = "Continue", TRUE, FALSE))</f>
        <v>0</v>
      </c>
      <c r="AP1500" s="110"/>
    </row>
    <row r="1501" spans="1:42" ht="15" hidden="1" customHeight="1">
      <c r="A1501" s="111" t="str">
        <f>'Sampling Data'!W1494</f>
        <v/>
      </c>
      <c r="B1501" s="112" t="str">
        <f>'Sampling Data'!A1494</f>
        <v>NORTH OLMSTED -01-D - ABS</v>
      </c>
      <c r="C1501" s="112">
        <f>'Sampling Data'!B1494</f>
        <v>18</v>
      </c>
      <c r="D1501" s="112">
        <f>'Sampling Data'!C1494</f>
        <v>12</v>
      </c>
      <c r="E1501" s="113">
        <f>'Sampling Data'!D1494</f>
        <v>7</v>
      </c>
      <c r="F1501" s="113">
        <f>'Sampling Data'!E1494</f>
        <v>3</v>
      </c>
      <c r="G1501" s="113">
        <f>'Sampling Data'!F1494</f>
        <v>0</v>
      </c>
      <c r="H1501" s="113">
        <f>'Sampling Data'!G1494</f>
        <v>0</v>
      </c>
      <c r="I1501" s="112">
        <f>'Sampling Data'!H1494</f>
        <v>0</v>
      </c>
      <c r="J1501" s="112">
        <f>'Sampling Data'!I1494</f>
        <v>0</v>
      </c>
      <c r="K1501" s="112">
        <f>'Sampling Data'!J1494</f>
        <v>40</v>
      </c>
      <c r="L1501" s="111">
        <f>'Sampling Data'!X1494</f>
        <v>0</v>
      </c>
      <c r="M1501" s="114"/>
      <c r="N1501" s="114"/>
      <c r="O1501" s="115"/>
      <c r="P1501" s="115"/>
      <c r="Q1501" s="116"/>
      <c r="R1501" s="116"/>
      <c r="S1501" s="111">
        <f>Audit[[#This Row],[Audit Losing Candidate]]-Audit[[#This Row],[Losing Candidate]]</f>
        <v>-18</v>
      </c>
      <c r="T1501" s="111">
        <f>Audit[[#This Row],[Audit Winning Candidate]]-Audit[[#This Row],[Winning Candidate]]</f>
        <v>-12</v>
      </c>
      <c r="U1501" s="111">
        <f>Audit[[#This Row],[Audit Candidate 3]]-Audit[[#This Row],[Candidate 3]]</f>
        <v>-7</v>
      </c>
      <c r="V1501" s="111">
        <f>Audit[[#This Row],[Audit Candidate 4]]-Audit[[#This Row],[Candidate 4]]</f>
        <v>-3</v>
      </c>
      <c r="W1501" s="111">
        <f>Audit[[#This Row],[Audit Candidate 5]]-Audit[[#This Row],[Candidate 5]]</f>
        <v>0</v>
      </c>
      <c r="X1501" s="111">
        <f>Audit[[#This Row],[Audit Candidate 6]]-Audit[[#This Row],[Candidate 6]]</f>
        <v>0</v>
      </c>
      <c r="Y1501" s="111">
        <f>SUMIF(Audit[[#This Row],[Difference Loser]:[Difference Candidate 6]], "&gt;0")</f>
        <v>0</v>
      </c>
      <c r="Z1501" s="111">
        <f>SUM(Audit[[#This Row],[Difference Loser]:[Difference Candidate 6]])</f>
        <v>-40</v>
      </c>
      <c r="AA1501" s="111">
        <f>IF(Audit[[#This Row],[Times p Drawn - With Replacement]]&gt;0, IF(Audit[[#This Row],[Canceled Differences]]&lt;0, Audit[[#This Row],[Max Differences]]+ABS(Audit[[#This Row],[Canceled Differences]]), Audit[[#This Row],[Max Differences]]), 0)</f>
        <v>0</v>
      </c>
      <c r="AB1501" s="111">
        <f>'Sampling Data'!P1494</f>
        <v>2.0823125918667321E-3</v>
      </c>
      <c r="AC1501" s="111">
        <f>IF(
      SUM(Audit[[#This Row],[Audit Losing Candidate]:[Audit Candidate 6]])
      &lt;&gt;0,
      (Audit[[#This Row],[Winning Candidate]]-Audit[[#This Row],[Losing Candidate]]-(Audit[[#This Row],[Audit Winning Candidate]]-Audit[[#This Row],[Audit Losing Candidate]]))/(Audit[[#Totals],[Winning Candidate]]-Audit[[#Totals],[Losing Candidate]]),
      0
)</f>
        <v>0</v>
      </c>
      <c r="AD15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1" s="111">
        <f>IF(Audit[[#This Row],[Max Relative Error (ep)]] = 0, 0, Audit[[#This Row],[Max Relative Error (ep)]]/Audit[[#This Row],[Error Bound (up) - Max. possible relative overstatement]])</f>
        <v>0</v>
      </c>
      <c r="AJ15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01" s="111">
        <f t="shared" si="23"/>
        <v>1</v>
      </c>
      <c r="AL1501" s="111">
        <f>PRODUCT($AK$5:AK1501)</f>
        <v>8.962823818226312E-2</v>
      </c>
      <c r="AM1501" s="109">
        <f>1 - [K-M P Value]</f>
        <v>0.91037176181773694</v>
      </c>
      <c r="AN1501" s="111" t="str">
        <f>IF(Audit[[#This Row],[K-M P Value]]&gt;1-'General Info'!$B$16,"Continue", "Stop")</f>
        <v>Stop</v>
      </c>
      <c r="AO1501" s="110" t="b">
        <f>IF(Audit[[#This Row],[Status - Continue or stop audit]] = "Continue", TRUE, IF(AN1500 = "Continue", TRUE, FALSE))</f>
        <v>0</v>
      </c>
      <c r="AP1501" s="110"/>
    </row>
    <row r="1502" spans="1:42" ht="15" hidden="1" customHeight="1">
      <c r="A1502" s="111" t="str">
        <f>'Sampling Data'!W1495</f>
        <v/>
      </c>
      <c r="B1502" s="112" t="str">
        <f>'Sampling Data'!A1495</f>
        <v>NORTH OLMSTED -01-E</v>
      </c>
      <c r="C1502" s="112">
        <f>'Sampling Data'!B1495</f>
        <v>39</v>
      </c>
      <c r="D1502" s="112">
        <f>'Sampling Data'!C1495</f>
        <v>71</v>
      </c>
      <c r="E1502" s="113">
        <f>'Sampling Data'!D1495</f>
        <v>15</v>
      </c>
      <c r="F1502" s="113">
        <f>'Sampling Data'!E1495</f>
        <v>18</v>
      </c>
      <c r="G1502" s="113">
        <f>'Sampling Data'!F1495</f>
        <v>1</v>
      </c>
      <c r="H1502" s="113">
        <f>'Sampling Data'!G1495</f>
        <v>0</v>
      </c>
      <c r="I1502" s="112">
        <f>'Sampling Data'!H1495</f>
        <v>0</v>
      </c>
      <c r="J1502" s="112">
        <f>'Sampling Data'!I1495</f>
        <v>1</v>
      </c>
      <c r="K1502" s="112">
        <f>'Sampling Data'!J1495</f>
        <v>145</v>
      </c>
      <c r="L1502" s="111">
        <f>'Sampling Data'!X1495</f>
        <v>0</v>
      </c>
      <c r="M1502" s="114"/>
      <c r="N1502" s="114"/>
      <c r="O1502" s="115"/>
      <c r="P1502" s="115"/>
      <c r="Q1502" s="116"/>
      <c r="R1502" s="116"/>
      <c r="S1502" s="111">
        <f>Audit[[#This Row],[Audit Losing Candidate]]-Audit[[#This Row],[Losing Candidate]]</f>
        <v>-39</v>
      </c>
      <c r="T1502" s="111">
        <f>Audit[[#This Row],[Audit Winning Candidate]]-Audit[[#This Row],[Winning Candidate]]</f>
        <v>-71</v>
      </c>
      <c r="U1502" s="111">
        <f>Audit[[#This Row],[Audit Candidate 3]]-Audit[[#This Row],[Candidate 3]]</f>
        <v>-15</v>
      </c>
      <c r="V1502" s="111">
        <f>Audit[[#This Row],[Audit Candidate 4]]-Audit[[#This Row],[Candidate 4]]</f>
        <v>-18</v>
      </c>
      <c r="W1502" s="111">
        <f>Audit[[#This Row],[Audit Candidate 5]]-Audit[[#This Row],[Candidate 5]]</f>
        <v>-1</v>
      </c>
      <c r="X1502" s="111">
        <f>Audit[[#This Row],[Audit Candidate 6]]-Audit[[#This Row],[Candidate 6]]</f>
        <v>0</v>
      </c>
      <c r="Y1502" s="111">
        <f>SUMIF(Audit[[#This Row],[Difference Loser]:[Difference Candidate 6]], "&gt;0")</f>
        <v>0</v>
      </c>
      <c r="Z1502" s="111">
        <f>SUM(Audit[[#This Row],[Difference Loser]:[Difference Candidate 6]])</f>
        <v>-144</v>
      </c>
      <c r="AA1502" s="111">
        <f>IF(Audit[[#This Row],[Times p Drawn - With Replacement]]&gt;0, IF(Audit[[#This Row],[Canceled Differences]]&lt;0, Audit[[#This Row],[Max Differences]]+ABS(Audit[[#This Row],[Canceled Differences]]), Audit[[#This Row],[Max Differences]]), 0)</f>
        <v>0</v>
      </c>
      <c r="AB1502" s="111">
        <f>'Sampling Data'!P1495</f>
        <v>1.0840274375306222E-2</v>
      </c>
      <c r="AC1502" s="111">
        <f>IF(
      SUM(Audit[[#This Row],[Audit Losing Candidate]:[Audit Candidate 6]])
      &lt;&gt;0,
      (Audit[[#This Row],[Winning Candidate]]-Audit[[#This Row],[Losing Candidate]]-(Audit[[#This Row],[Audit Winning Candidate]]-Audit[[#This Row],[Audit Losing Candidate]]))/(Audit[[#Totals],[Winning Candidate]]-Audit[[#Totals],[Losing Candidate]]),
      0
)</f>
        <v>0</v>
      </c>
      <c r="AD15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2" s="111">
        <f>IF(Audit[[#This Row],[Max Relative Error (ep)]] = 0, 0, Audit[[#This Row],[Max Relative Error (ep)]]/Audit[[#This Row],[Error Bound (up) - Max. possible relative overstatement]])</f>
        <v>0</v>
      </c>
      <c r="AJ15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02" s="111">
        <f t="shared" si="23"/>
        <v>1</v>
      </c>
      <c r="AL1502" s="111">
        <f>PRODUCT($AK$5:AK1502)</f>
        <v>8.962823818226312E-2</v>
      </c>
      <c r="AM1502" s="109">
        <f>1 - [K-M P Value]</f>
        <v>0.91037176181773694</v>
      </c>
      <c r="AN1502" s="111" t="str">
        <f>IF(Audit[[#This Row],[K-M P Value]]&gt;1-'General Info'!$B$16,"Continue", "Stop")</f>
        <v>Stop</v>
      </c>
      <c r="AO1502" s="110" t="b">
        <f>IF(Audit[[#This Row],[Status - Continue or stop audit]] = "Continue", TRUE, IF(AN1501 = "Continue", TRUE, FALSE))</f>
        <v>0</v>
      </c>
      <c r="AP1502" s="110"/>
    </row>
    <row r="1503" spans="1:42" ht="15" hidden="1" customHeight="1">
      <c r="A1503" s="111" t="str">
        <f>'Sampling Data'!W1496</f>
        <v/>
      </c>
      <c r="B1503" s="112" t="str">
        <f>'Sampling Data'!A1496</f>
        <v>NORTH OLMSTED -01-E - ABS</v>
      </c>
      <c r="C1503" s="112">
        <f>'Sampling Data'!B1496</f>
        <v>25</v>
      </c>
      <c r="D1503" s="112">
        <f>'Sampling Data'!C1496</f>
        <v>25</v>
      </c>
      <c r="E1503" s="113">
        <f>'Sampling Data'!D1496</f>
        <v>10</v>
      </c>
      <c r="F1503" s="113">
        <f>'Sampling Data'!E1496</f>
        <v>5</v>
      </c>
      <c r="G1503" s="113">
        <f>'Sampling Data'!F1496</f>
        <v>1</v>
      </c>
      <c r="H1503" s="113">
        <f>'Sampling Data'!G1496</f>
        <v>0</v>
      </c>
      <c r="I1503" s="112">
        <f>'Sampling Data'!H1496</f>
        <v>0</v>
      </c>
      <c r="J1503" s="112">
        <f>'Sampling Data'!I1496</f>
        <v>0</v>
      </c>
      <c r="K1503" s="112">
        <f>'Sampling Data'!J1496</f>
        <v>66</v>
      </c>
      <c r="L1503" s="111">
        <f>'Sampling Data'!X1496</f>
        <v>0</v>
      </c>
      <c r="M1503" s="114"/>
      <c r="N1503" s="114"/>
      <c r="O1503" s="115"/>
      <c r="P1503" s="115"/>
      <c r="Q1503" s="116"/>
      <c r="R1503" s="116"/>
      <c r="S1503" s="111">
        <f>Audit[[#This Row],[Audit Losing Candidate]]-Audit[[#This Row],[Losing Candidate]]</f>
        <v>-25</v>
      </c>
      <c r="T1503" s="111">
        <f>Audit[[#This Row],[Audit Winning Candidate]]-Audit[[#This Row],[Winning Candidate]]</f>
        <v>-25</v>
      </c>
      <c r="U1503" s="111">
        <f>Audit[[#This Row],[Audit Candidate 3]]-Audit[[#This Row],[Candidate 3]]</f>
        <v>-10</v>
      </c>
      <c r="V1503" s="111">
        <f>Audit[[#This Row],[Audit Candidate 4]]-Audit[[#This Row],[Candidate 4]]</f>
        <v>-5</v>
      </c>
      <c r="W1503" s="111">
        <f>Audit[[#This Row],[Audit Candidate 5]]-Audit[[#This Row],[Candidate 5]]</f>
        <v>-1</v>
      </c>
      <c r="X1503" s="111">
        <f>Audit[[#This Row],[Audit Candidate 6]]-Audit[[#This Row],[Candidate 6]]</f>
        <v>0</v>
      </c>
      <c r="Y1503" s="111">
        <f>SUMIF(Audit[[#This Row],[Difference Loser]:[Difference Candidate 6]], "&gt;0")</f>
        <v>0</v>
      </c>
      <c r="Z1503" s="111">
        <f>SUM(Audit[[#This Row],[Difference Loser]:[Difference Candidate 6]])</f>
        <v>-66</v>
      </c>
      <c r="AA1503" s="111">
        <f>IF(Audit[[#This Row],[Times p Drawn - With Replacement]]&gt;0, IF(Audit[[#This Row],[Canceled Differences]]&lt;0, Audit[[#This Row],[Max Differences]]+ABS(Audit[[#This Row],[Canceled Differences]]), Audit[[#This Row],[Max Differences]]), 0)</f>
        <v>0</v>
      </c>
      <c r="AB1503" s="111">
        <f>'Sampling Data'!P1496</f>
        <v>4.0421362077413033E-3</v>
      </c>
      <c r="AC1503" s="111">
        <f>IF(
      SUM(Audit[[#This Row],[Audit Losing Candidate]:[Audit Candidate 6]])
      &lt;&gt;0,
      (Audit[[#This Row],[Winning Candidate]]-Audit[[#This Row],[Losing Candidate]]-(Audit[[#This Row],[Audit Winning Candidate]]-Audit[[#This Row],[Audit Losing Candidate]]))/(Audit[[#Totals],[Winning Candidate]]-Audit[[#Totals],[Losing Candidate]]),
      0
)</f>
        <v>0</v>
      </c>
      <c r="AD15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3" s="111">
        <f>IF(Audit[[#This Row],[Max Relative Error (ep)]] = 0, 0, Audit[[#This Row],[Max Relative Error (ep)]]/Audit[[#This Row],[Error Bound (up) - Max. possible relative overstatement]])</f>
        <v>0</v>
      </c>
      <c r="AJ15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03" s="111">
        <f t="shared" si="23"/>
        <v>1</v>
      </c>
      <c r="AL1503" s="111">
        <f>PRODUCT($AK$5:AK1503)</f>
        <v>8.962823818226312E-2</v>
      </c>
      <c r="AM1503" s="109">
        <f>1 - [K-M P Value]</f>
        <v>0.91037176181773694</v>
      </c>
      <c r="AN1503" s="111" t="str">
        <f>IF(Audit[[#This Row],[K-M P Value]]&gt;1-'General Info'!$B$16,"Continue", "Stop")</f>
        <v>Stop</v>
      </c>
      <c r="AO1503" s="110" t="b">
        <f>IF(Audit[[#This Row],[Status - Continue or stop audit]] = "Continue", TRUE, IF(AN1502 = "Continue", TRUE, FALSE))</f>
        <v>0</v>
      </c>
      <c r="AP1503" s="110"/>
    </row>
    <row r="1504" spans="1:42" ht="15" hidden="1" customHeight="1">
      <c r="A1504" s="111" t="str">
        <f>'Sampling Data'!W1497</f>
        <v/>
      </c>
      <c r="B1504" s="112" t="str">
        <f>'Sampling Data'!A1497</f>
        <v>NORTH OLMSTED -01-F</v>
      </c>
      <c r="C1504" s="112">
        <f>'Sampling Data'!B1497</f>
        <v>35</v>
      </c>
      <c r="D1504" s="112">
        <f>'Sampling Data'!C1497</f>
        <v>71</v>
      </c>
      <c r="E1504" s="113">
        <f>'Sampling Data'!D1497</f>
        <v>12</v>
      </c>
      <c r="F1504" s="113">
        <f>'Sampling Data'!E1497</f>
        <v>8</v>
      </c>
      <c r="G1504" s="113">
        <f>'Sampling Data'!F1497</f>
        <v>1</v>
      </c>
      <c r="H1504" s="113">
        <f>'Sampling Data'!G1497</f>
        <v>0</v>
      </c>
      <c r="I1504" s="112">
        <f>'Sampling Data'!H1497</f>
        <v>0</v>
      </c>
      <c r="J1504" s="112">
        <f>'Sampling Data'!I1497</f>
        <v>0</v>
      </c>
      <c r="K1504" s="112">
        <f>'Sampling Data'!J1497</f>
        <v>127</v>
      </c>
      <c r="L1504" s="111">
        <f>'Sampling Data'!X1497</f>
        <v>0</v>
      </c>
      <c r="M1504" s="114"/>
      <c r="N1504" s="114"/>
      <c r="O1504" s="115"/>
      <c r="P1504" s="115"/>
      <c r="Q1504" s="116"/>
      <c r="R1504" s="116"/>
      <c r="S1504" s="111">
        <f>Audit[[#This Row],[Audit Losing Candidate]]-Audit[[#This Row],[Losing Candidate]]</f>
        <v>-35</v>
      </c>
      <c r="T1504" s="111">
        <f>Audit[[#This Row],[Audit Winning Candidate]]-Audit[[#This Row],[Winning Candidate]]</f>
        <v>-71</v>
      </c>
      <c r="U1504" s="111">
        <f>Audit[[#This Row],[Audit Candidate 3]]-Audit[[#This Row],[Candidate 3]]</f>
        <v>-12</v>
      </c>
      <c r="V1504" s="111">
        <f>Audit[[#This Row],[Audit Candidate 4]]-Audit[[#This Row],[Candidate 4]]</f>
        <v>-8</v>
      </c>
      <c r="W1504" s="111">
        <f>Audit[[#This Row],[Audit Candidate 5]]-Audit[[#This Row],[Candidate 5]]</f>
        <v>-1</v>
      </c>
      <c r="X1504" s="111">
        <f>Audit[[#This Row],[Audit Candidate 6]]-Audit[[#This Row],[Candidate 6]]</f>
        <v>0</v>
      </c>
      <c r="Y1504" s="111">
        <f>SUMIF(Audit[[#This Row],[Difference Loser]:[Difference Candidate 6]], "&gt;0")</f>
        <v>0</v>
      </c>
      <c r="Z1504" s="111">
        <f>SUM(Audit[[#This Row],[Difference Loser]:[Difference Candidate 6]])</f>
        <v>-127</v>
      </c>
      <c r="AA1504" s="111">
        <f>IF(Audit[[#This Row],[Times p Drawn - With Replacement]]&gt;0, IF(Audit[[#This Row],[Canceled Differences]]&lt;0, Audit[[#This Row],[Max Differences]]+ABS(Audit[[#This Row],[Canceled Differences]]), Audit[[#This Row],[Max Differences]]), 0)</f>
        <v>0</v>
      </c>
      <c r="AB1504" s="111">
        <f>'Sampling Data'!P1497</f>
        <v>9.9828515433610984E-3</v>
      </c>
      <c r="AC1504" s="111">
        <f>IF(
      SUM(Audit[[#This Row],[Audit Losing Candidate]:[Audit Candidate 6]])
      &lt;&gt;0,
      (Audit[[#This Row],[Winning Candidate]]-Audit[[#This Row],[Losing Candidate]]-(Audit[[#This Row],[Audit Winning Candidate]]-Audit[[#This Row],[Audit Losing Candidate]]))/(Audit[[#Totals],[Winning Candidate]]-Audit[[#Totals],[Losing Candidate]]),
      0
)</f>
        <v>0</v>
      </c>
      <c r="AD15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4" s="111">
        <f>IF(Audit[[#This Row],[Max Relative Error (ep)]] = 0, 0, Audit[[#This Row],[Max Relative Error (ep)]]/Audit[[#This Row],[Error Bound (up) - Max. possible relative overstatement]])</f>
        <v>0</v>
      </c>
      <c r="AJ15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04" s="111">
        <f t="shared" si="23"/>
        <v>1</v>
      </c>
      <c r="AL1504" s="111">
        <f>PRODUCT($AK$5:AK1504)</f>
        <v>8.962823818226312E-2</v>
      </c>
      <c r="AM1504" s="109">
        <f>1 - [K-M P Value]</f>
        <v>0.91037176181773694</v>
      </c>
      <c r="AN1504" s="111" t="str">
        <f>IF(Audit[[#This Row],[K-M P Value]]&gt;1-'General Info'!$B$16,"Continue", "Stop")</f>
        <v>Stop</v>
      </c>
      <c r="AO1504" s="110" t="b">
        <f>IF(Audit[[#This Row],[Status - Continue or stop audit]] = "Continue", TRUE, IF(AN1503 = "Continue", TRUE, FALSE))</f>
        <v>0</v>
      </c>
      <c r="AP1504" s="110"/>
    </row>
    <row r="1505" spans="1:42" ht="15" hidden="1" customHeight="1">
      <c r="A1505" s="111" t="str">
        <f>'Sampling Data'!W1498</f>
        <v/>
      </c>
      <c r="B1505" s="112" t="str">
        <f>'Sampling Data'!A1498</f>
        <v>NORTH OLMSTED -01-F - ABS</v>
      </c>
      <c r="C1505" s="112">
        <f>'Sampling Data'!B1498</f>
        <v>19</v>
      </c>
      <c r="D1505" s="112">
        <f>'Sampling Data'!C1498</f>
        <v>31</v>
      </c>
      <c r="E1505" s="113">
        <f>'Sampling Data'!D1498</f>
        <v>9</v>
      </c>
      <c r="F1505" s="113">
        <f>'Sampling Data'!E1498</f>
        <v>6</v>
      </c>
      <c r="G1505" s="113">
        <f>'Sampling Data'!F1498</f>
        <v>0</v>
      </c>
      <c r="H1505" s="113">
        <f>'Sampling Data'!G1498</f>
        <v>0</v>
      </c>
      <c r="I1505" s="112">
        <f>'Sampling Data'!H1498</f>
        <v>0</v>
      </c>
      <c r="J1505" s="112">
        <f>'Sampling Data'!I1498</f>
        <v>3</v>
      </c>
      <c r="K1505" s="112">
        <f>'Sampling Data'!J1498</f>
        <v>68</v>
      </c>
      <c r="L1505" s="111">
        <f>'Sampling Data'!X1498</f>
        <v>0</v>
      </c>
      <c r="M1505" s="114"/>
      <c r="N1505" s="114"/>
      <c r="O1505" s="115"/>
      <c r="P1505" s="115"/>
      <c r="Q1505" s="116"/>
      <c r="R1505" s="116"/>
      <c r="S1505" s="111">
        <f>Audit[[#This Row],[Audit Losing Candidate]]-Audit[[#This Row],[Losing Candidate]]</f>
        <v>-19</v>
      </c>
      <c r="T1505" s="111">
        <f>Audit[[#This Row],[Audit Winning Candidate]]-Audit[[#This Row],[Winning Candidate]]</f>
        <v>-31</v>
      </c>
      <c r="U1505" s="111">
        <f>Audit[[#This Row],[Audit Candidate 3]]-Audit[[#This Row],[Candidate 3]]</f>
        <v>-9</v>
      </c>
      <c r="V1505" s="111">
        <f>Audit[[#This Row],[Audit Candidate 4]]-Audit[[#This Row],[Candidate 4]]</f>
        <v>-6</v>
      </c>
      <c r="W1505" s="111">
        <f>Audit[[#This Row],[Audit Candidate 5]]-Audit[[#This Row],[Candidate 5]]</f>
        <v>0</v>
      </c>
      <c r="X1505" s="111">
        <f>Audit[[#This Row],[Audit Candidate 6]]-Audit[[#This Row],[Candidate 6]]</f>
        <v>0</v>
      </c>
      <c r="Y1505" s="111">
        <f>SUMIF(Audit[[#This Row],[Difference Loser]:[Difference Candidate 6]], "&gt;0")</f>
        <v>0</v>
      </c>
      <c r="Z1505" s="111">
        <f>SUM(Audit[[#This Row],[Difference Loser]:[Difference Candidate 6]])</f>
        <v>-65</v>
      </c>
      <c r="AA1505" s="111">
        <f>IF(Audit[[#This Row],[Times p Drawn - With Replacement]]&gt;0, IF(Audit[[#This Row],[Canceled Differences]]&lt;0, Audit[[#This Row],[Max Differences]]+ABS(Audit[[#This Row],[Canceled Differences]]), Audit[[#This Row],[Max Differences]]), 0)</f>
        <v>0</v>
      </c>
      <c r="AB1505" s="111">
        <f>'Sampling Data'!P1498</f>
        <v>4.8995590396864281E-3</v>
      </c>
      <c r="AC1505" s="111">
        <f>IF(
      SUM(Audit[[#This Row],[Audit Losing Candidate]:[Audit Candidate 6]])
      &lt;&gt;0,
      (Audit[[#This Row],[Winning Candidate]]-Audit[[#This Row],[Losing Candidate]]-(Audit[[#This Row],[Audit Winning Candidate]]-Audit[[#This Row],[Audit Losing Candidate]]))/(Audit[[#Totals],[Winning Candidate]]-Audit[[#Totals],[Losing Candidate]]),
      0
)</f>
        <v>0</v>
      </c>
      <c r="AD15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5" s="111">
        <f>IF(Audit[[#This Row],[Max Relative Error (ep)]] = 0, 0, Audit[[#This Row],[Max Relative Error (ep)]]/Audit[[#This Row],[Error Bound (up) - Max. possible relative overstatement]])</f>
        <v>0</v>
      </c>
      <c r="AJ15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05" s="111">
        <f t="shared" si="23"/>
        <v>1</v>
      </c>
      <c r="AL1505" s="111">
        <f>PRODUCT($AK$5:AK1505)</f>
        <v>8.962823818226312E-2</v>
      </c>
      <c r="AM1505" s="109">
        <f>1 - [K-M P Value]</f>
        <v>0.91037176181773694</v>
      </c>
      <c r="AN1505" s="111" t="str">
        <f>IF(Audit[[#This Row],[K-M P Value]]&gt;1-'General Info'!$B$16,"Continue", "Stop")</f>
        <v>Stop</v>
      </c>
      <c r="AO1505" s="110" t="b">
        <f>IF(Audit[[#This Row],[Status - Continue or stop audit]] = "Continue", TRUE, IF(AN1504 = "Continue", TRUE, FALSE))</f>
        <v>0</v>
      </c>
      <c r="AP1505" s="110"/>
    </row>
    <row r="1506" spans="1:42" ht="15" hidden="1" customHeight="1">
      <c r="A1506" s="111" t="str">
        <f>'Sampling Data'!W1499</f>
        <v/>
      </c>
      <c r="B1506" s="112" t="str">
        <f>'Sampling Data'!A1499</f>
        <v>NORTH OLMSTED -02-A</v>
      </c>
      <c r="C1506" s="112">
        <f>'Sampling Data'!B1499</f>
        <v>52</v>
      </c>
      <c r="D1506" s="112">
        <f>'Sampling Data'!C1499</f>
        <v>63</v>
      </c>
      <c r="E1506" s="113">
        <f>'Sampling Data'!D1499</f>
        <v>20</v>
      </c>
      <c r="F1506" s="113">
        <f>'Sampling Data'!E1499</f>
        <v>9</v>
      </c>
      <c r="G1506" s="113">
        <f>'Sampling Data'!F1499</f>
        <v>0</v>
      </c>
      <c r="H1506" s="113">
        <f>'Sampling Data'!G1499</f>
        <v>0</v>
      </c>
      <c r="I1506" s="112">
        <f>'Sampling Data'!H1499</f>
        <v>0</v>
      </c>
      <c r="J1506" s="112">
        <f>'Sampling Data'!I1499</f>
        <v>0</v>
      </c>
      <c r="K1506" s="112">
        <f>'Sampling Data'!J1499</f>
        <v>144</v>
      </c>
      <c r="L1506" s="111">
        <f>'Sampling Data'!X1499</f>
        <v>0</v>
      </c>
      <c r="M1506" s="114"/>
      <c r="N1506" s="114"/>
      <c r="O1506" s="115"/>
      <c r="P1506" s="115"/>
      <c r="Q1506" s="116"/>
      <c r="R1506" s="116"/>
      <c r="S1506" s="111">
        <f>Audit[[#This Row],[Audit Losing Candidate]]-Audit[[#This Row],[Losing Candidate]]</f>
        <v>-52</v>
      </c>
      <c r="T1506" s="111">
        <f>Audit[[#This Row],[Audit Winning Candidate]]-Audit[[#This Row],[Winning Candidate]]</f>
        <v>-63</v>
      </c>
      <c r="U1506" s="111">
        <f>Audit[[#This Row],[Audit Candidate 3]]-Audit[[#This Row],[Candidate 3]]</f>
        <v>-20</v>
      </c>
      <c r="V1506" s="111">
        <f>Audit[[#This Row],[Audit Candidate 4]]-Audit[[#This Row],[Candidate 4]]</f>
        <v>-9</v>
      </c>
      <c r="W1506" s="111">
        <f>Audit[[#This Row],[Audit Candidate 5]]-Audit[[#This Row],[Candidate 5]]</f>
        <v>0</v>
      </c>
      <c r="X1506" s="111">
        <f>Audit[[#This Row],[Audit Candidate 6]]-Audit[[#This Row],[Candidate 6]]</f>
        <v>0</v>
      </c>
      <c r="Y1506" s="111">
        <f>SUMIF(Audit[[#This Row],[Difference Loser]:[Difference Candidate 6]], "&gt;0")</f>
        <v>0</v>
      </c>
      <c r="Z1506" s="111">
        <f>SUM(Audit[[#This Row],[Difference Loser]:[Difference Candidate 6]])</f>
        <v>-144</v>
      </c>
      <c r="AA1506" s="111">
        <f>IF(Audit[[#This Row],[Times p Drawn - With Replacement]]&gt;0, IF(Audit[[#This Row],[Canceled Differences]]&lt;0, Audit[[#This Row],[Max Differences]]+ABS(Audit[[#This Row],[Canceled Differences]]), Audit[[#This Row],[Max Differences]]), 0)</f>
        <v>0</v>
      </c>
      <c r="AB1506" s="111">
        <f>'Sampling Data'!P1499</f>
        <v>9.4928956393924551E-3</v>
      </c>
      <c r="AC1506" s="111">
        <f>IF(
      SUM(Audit[[#This Row],[Audit Losing Candidate]:[Audit Candidate 6]])
      &lt;&gt;0,
      (Audit[[#This Row],[Winning Candidate]]-Audit[[#This Row],[Losing Candidate]]-(Audit[[#This Row],[Audit Winning Candidate]]-Audit[[#This Row],[Audit Losing Candidate]]))/(Audit[[#Totals],[Winning Candidate]]-Audit[[#Totals],[Losing Candidate]]),
      0
)</f>
        <v>0</v>
      </c>
      <c r="AD15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6" s="111">
        <f>IF(Audit[[#This Row],[Max Relative Error (ep)]] = 0, 0, Audit[[#This Row],[Max Relative Error (ep)]]/Audit[[#This Row],[Error Bound (up) - Max. possible relative overstatement]])</f>
        <v>0</v>
      </c>
      <c r="AJ15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06" s="111">
        <f t="shared" si="23"/>
        <v>1</v>
      </c>
      <c r="AL1506" s="111">
        <f>PRODUCT($AK$5:AK1506)</f>
        <v>8.962823818226312E-2</v>
      </c>
      <c r="AM1506" s="109">
        <f>1 - [K-M P Value]</f>
        <v>0.91037176181773694</v>
      </c>
      <c r="AN1506" s="111" t="str">
        <f>IF(Audit[[#This Row],[K-M P Value]]&gt;1-'General Info'!$B$16,"Continue", "Stop")</f>
        <v>Stop</v>
      </c>
      <c r="AO1506" s="110" t="b">
        <f>IF(Audit[[#This Row],[Status - Continue or stop audit]] = "Continue", TRUE, IF(AN1505 = "Continue", TRUE, FALSE))</f>
        <v>0</v>
      </c>
      <c r="AP1506" s="110"/>
    </row>
    <row r="1507" spans="1:42" ht="15" hidden="1" customHeight="1">
      <c r="A1507" s="111" t="str">
        <f>'Sampling Data'!W1500</f>
        <v/>
      </c>
      <c r="B1507" s="112" t="str">
        <f>'Sampling Data'!A1500</f>
        <v>NORTH OLMSTED -02-A - ABS</v>
      </c>
      <c r="C1507" s="112">
        <f>'Sampling Data'!B1500</f>
        <v>18</v>
      </c>
      <c r="D1507" s="112">
        <f>'Sampling Data'!C1500</f>
        <v>25</v>
      </c>
      <c r="E1507" s="113">
        <f>'Sampling Data'!D1500</f>
        <v>10</v>
      </c>
      <c r="F1507" s="113">
        <f>'Sampling Data'!E1500</f>
        <v>3</v>
      </c>
      <c r="G1507" s="113">
        <f>'Sampling Data'!F1500</f>
        <v>1</v>
      </c>
      <c r="H1507" s="113">
        <f>'Sampling Data'!G1500</f>
        <v>0</v>
      </c>
      <c r="I1507" s="112">
        <f>'Sampling Data'!H1500</f>
        <v>0</v>
      </c>
      <c r="J1507" s="112">
        <f>'Sampling Data'!I1500</f>
        <v>1</v>
      </c>
      <c r="K1507" s="112">
        <f>'Sampling Data'!J1500</f>
        <v>58</v>
      </c>
      <c r="L1507" s="111">
        <f>'Sampling Data'!X1500</f>
        <v>0</v>
      </c>
      <c r="M1507" s="114"/>
      <c r="N1507" s="114"/>
      <c r="O1507" s="115"/>
      <c r="P1507" s="115"/>
      <c r="Q1507" s="116"/>
      <c r="R1507" s="116"/>
      <c r="S1507" s="111">
        <f>Audit[[#This Row],[Audit Losing Candidate]]-Audit[[#This Row],[Losing Candidate]]</f>
        <v>-18</v>
      </c>
      <c r="T1507" s="111">
        <f>Audit[[#This Row],[Audit Winning Candidate]]-Audit[[#This Row],[Winning Candidate]]</f>
        <v>-25</v>
      </c>
      <c r="U1507" s="111">
        <f>Audit[[#This Row],[Audit Candidate 3]]-Audit[[#This Row],[Candidate 3]]</f>
        <v>-10</v>
      </c>
      <c r="V1507" s="111">
        <f>Audit[[#This Row],[Audit Candidate 4]]-Audit[[#This Row],[Candidate 4]]</f>
        <v>-3</v>
      </c>
      <c r="W1507" s="111">
        <f>Audit[[#This Row],[Audit Candidate 5]]-Audit[[#This Row],[Candidate 5]]</f>
        <v>-1</v>
      </c>
      <c r="X1507" s="111">
        <f>Audit[[#This Row],[Audit Candidate 6]]-Audit[[#This Row],[Candidate 6]]</f>
        <v>0</v>
      </c>
      <c r="Y1507" s="111">
        <f>SUMIF(Audit[[#This Row],[Difference Loser]:[Difference Candidate 6]], "&gt;0")</f>
        <v>0</v>
      </c>
      <c r="Z1507" s="111">
        <f>SUM(Audit[[#This Row],[Difference Loser]:[Difference Candidate 6]])</f>
        <v>-57</v>
      </c>
      <c r="AA1507" s="111">
        <f>IF(Audit[[#This Row],[Times p Drawn - With Replacement]]&gt;0, IF(Audit[[#This Row],[Canceled Differences]]&lt;0, Audit[[#This Row],[Max Differences]]+ABS(Audit[[#This Row],[Canceled Differences]]), Audit[[#This Row],[Max Differences]]), 0)</f>
        <v>0</v>
      </c>
      <c r="AB1507" s="111">
        <f>'Sampling Data'!P1500</f>
        <v>3.9808917197452229E-3</v>
      </c>
      <c r="AC1507" s="111">
        <f>IF(
      SUM(Audit[[#This Row],[Audit Losing Candidate]:[Audit Candidate 6]])
      &lt;&gt;0,
      (Audit[[#This Row],[Winning Candidate]]-Audit[[#This Row],[Losing Candidate]]-(Audit[[#This Row],[Audit Winning Candidate]]-Audit[[#This Row],[Audit Losing Candidate]]))/(Audit[[#Totals],[Winning Candidate]]-Audit[[#Totals],[Losing Candidate]]),
      0
)</f>
        <v>0</v>
      </c>
      <c r="AD15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7" s="111">
        <f>IF(Audit[[#This Row],[Max Relative Error (ep)]] = 0, 0, Audit[[#This Row],[Max Relative Error (ep)]]/Audit[[#This Row],[Error Bound (up) - Max. possible relative overstatement]])</f>
        <v>0</v>
      </c>
      <c r="AJ15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07" s="111">
        <f t="shared" si="23"/>
        <v>1</v>
      </c>
      <c r="AL1507" s="111">
        <f>PRODUCT($AK$5:AK1507)</f>
        <v>8.962823818226312E-2</v>
      </c>
      <c r="AM1507" s="109">
        <f>1 - [K-M P Value]</f>
        <v>0.91037176181773694</v>
      </c>
      <c r="AN1507" s="111" t="str">
        <f>IF(Audit[[#This Row],[K-M P Value]]&gt;1-'General Info'!$B$16,"Continue", "Stop")</f>
        <v>Stop</v>
      </c>
      <c r="AO1507" s="110" t="b">
        <f>IF(Audit[[#This Row],[Status - Continue or stop audit]] = "Continue", TRUE, IF(AN1506 = "Continue", TRUE, FALSE))</f>
        <v>0</v>
      </c>
      <c r="AP1507" s="110"/>
    </row>
    <row r="1508" spans="1:42" ht="15" hidden="1" customHeight="1">
      <c r="A1508" s="111" t="str">
        <f>'Sampling Data'!W1501</f>
        <v/>
      </c>
      <c r="B1508" s="112" t="str">
        <f>'Sampling Data'!A1501</f>
        <v>NORTH OLMSTED -02-B</v>
      </c>
      <c r="C1508" s="112">
        <f>'Sampling Data'!B1501</f>
        <v>32</v>
      </c>
      <c r="D1508" s="112">
        <f>'Sampling Data'!C1501</f>
        <v>56</v>
      </c>
      <c r="E1508" s="113">
        <f>'Sampling Data'!D1501</f>
        <v>16</v>
      </c>
      <c r="F1508" s="113">
        <f>'Sampling Data'!E1501</f>
        <v>8</v>
      </c>
      <c r="G1508" s="113">
        <f>'Sampling Data'!F1501</f>
        <v>1</v>
      </c>
      <c r="H1508" s="113">
        <f>'Sampling Data'!G1501</f>
        <v>0</v>
      </c>
      <c r="I1508" s="112">
        <f>'Sampling Data'!H1501</f>
        <v>0</v>
      </c>
      <c r="J1508" s="112">
        <f>'Sampling Data'!I1501</f>
        <v>0</v>
      </c>
      <c r="K1508" s="112">
        <f>'Sampling Data'!J1501</f>
        <v>113</v>
      </c>
      <c r="L1508" s="111">
        <f>'Sampling Data'!X1501</f>
        <v>0</v>
      </c>
      <c r="M1508" s="114"/>
      <c r="N1508" s="114"/>
      <c r="O1508" s="115"/>
      <c r="P1508" s="115"/>
      <c r="Q1508" s="116"/>
      <c r="R1508" s="116"/>
      <c r="S1508" s="111">
        <f>Audit[[#This Row],[Audit Losing Candidate]]-Audit[[#This Row],[Losing Candidate]]</f>
        <v>-32</v>
      </c>
      <c r="T1508" s="111">
        <f>Audit[[#This Row],[Audit Winning Candidate]]-Audit[[#This Row],[Winning Candidate]]</f>
        <v>-56</v>
      </c>
      <c r="U1508" s="111">
        <f>Audit[[#This Row],[Audit Candidate 3]]-Audit[[#This Row],[Candidate 3]]</f>
        <v>-16</v>
      </c>
      <c r="V1508" s="111">
        <f>Audit[[#This Row],[Audit Candidate 4]]-Audit[[#This Row],[Candidate 4]]</f>
        <v>-8</v>
      </c>
      <c r="W1508" s="111">
        <f>Audit[[#This Row],[Audit Candidate 5]]-Audit[[#This Row],[Candidate 5]]</f>
        <v>-1</v>
      </c>
      <c r="X1508" s="111">
        <f>Audit[[#This Row],[Audit Candidate 6]]-Audit[[#This Row],[Candidate 6]]</f>
        <v>0</v>
      </c>
      <c r="Y1508" s="111">
        <f>SUMIF(Audit[[#This Row],[Difference Loser]:[Difference Candidate 6]], "&gt;0")</f>
        <v>0</v>
      </c>
      <c r="Z1508" s="111">
        <f>SUM(Audit[[#This Row],[Difference Loser]:[Difference Candidate 6]])</f>
        <v>-113</v>
      </c>
      <c r="AA1508" s="111">
        <f>IF(Audit[[#This Row],[Times p Drawn - With Replacement]]&gt;0, IF(Audit[[#This Row],[Canceled Differences]]&lt;0, Audit[[#This Row],[Max Differences]]+ABS(Audit[[#This Row],[Canceled Differences]]), Audit[[#This Row],[Max Differences]]), 0)</f>
        <v>0</v>
      </c>
      <c r="AB1508" s="111">
        <f>'Sampling Data'!P1501</f>
        <v>8.3904948554630078E-3</v>
      </c>
      <c r="AC1508" s="111">
        <f>IF(
      SUM(Audit[[#This Row],[Audit Losing Candidate]:[Audit Candidate 6]])
      &lt;&gt;0,
      (Audit[[#This Row],[Winning Candidate]]-Audit[[#This Row],[Losing Candidate]]-(Audit[[#This Row],[Audit Winning Candidate]]-Audit[[#This Row],[Audit Losing Candidate]]))/(Audit[[#Totals],[Winning Candidate]]-Audit[[#Totals],[Losing Candidate]]),
      0
)</f>
        <v>0</v>
      </c>
      <c r="AD15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8" s="111">
        <f>IF(Audit[[#This Row],[Max Relative Error (ep)]] = 0, 0, Audit[[#This Row],[Max Relative Error (ep)]]/Audit[[#This Row],[Error Bound (up) - Max. possible relative overstatement]])</f>
        <v>0</v>
      </c>
      <c r="AJ15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08" s="111">
        <f t="shared" si="23"/>
        <v>1</v>
      </c>
      <c r="AL1508" s="111">
        <f>PRODUCT($AK$5:AK1508)</f>
        <v>8.962823818226312E-2</v>
      </c>
      <c r="AM1508" s="109">
        <f>1 - [K-M P Value]</f>
        <v>0.91037176181773694</v>
      </c>
      <c r="AN1508" s="111" t="str">
        <f>IF(Audit[[#This Row],[K-M P Value]]&gt;1-'General Info'!$B$16,"Continue", "Stop")</f>
        <v>Stop</v>
      </c>
      <c r="AO1508" s="110" t="b">
        <f>IF(Audit[[#This Row],[Status - Continue or stop audit]] = "Continue", TRUE, IF(AN1507 = "Continue", TRUE, FALSE))</f>
        <v>0</v>
      </c>
      <c r="AP1508" s="110"/>
    </row>
    <row r="1509" spans="1:42" ht="15" hidden="1" customHeight="1">
      <c r="A1509" s="111" t="str">
        <f>'Sampling Data'!W1502</f>
        <v/>
      </c>
      <c r="B1509" s="112" t="str">
        <f>'Sampling Data'!A1502</f>
        <v>NORTH OLMSTED -02-B - ABS</v>
      </c>
      <c r="C1509" s="112">
        <f>'Sampling Data'!B1502</f>
        <v>13</v>
      </c>
      <c r="D1509" s="112">
        <f>'Sampling Data'!C1502</f>
        <v>20</v>
      </c>
      <c r="E1509" s="113">
        <f>'Sampling Data'!D1502</f>
        <v>11</v>
      </c>
      <c r="F1509" s="113">
        <f>'Sampling Data'!E1502</f>
        <v>6</v>
      </c>
      <c r="G1509" s="113">
        <f>'Sampling Data'!F1502</f>
        <v>0</v>
      </c>
      <c r="H1509" s="113">
        <f>'Sampling Data'!G1502</f>
        <v>1</v>
      </c>
      <c r="I1509" s="112">
        <f>'Sampling Data'!H1502</f>
        <v>1</v>
      </c>
      <c r="J1509" s="112">
        <f>'Sampling Data'!I1502</f>
        <v>2</v>
      </c>
      <c r="K1509" s="112">
        <f>'Sampling Data'!J1502</f>
        <v>54</v>
      </c>
      <c r="L1509" s="111">
        <f>'Sampling Data'!X1502</f>
        <v>0</v>
      </c>
      <c r="M1509" s="114"/>
      <c r="N1509" s="114"/>
      <c r="O1509" s="115"/>
      <c r="P1509" s="115"/>
      <c r="Q1509" s="116"/>
      <c r="R1509" s="116"/>
      <c r="S1509" s="111">
        <f>Audit[[#This Row],[Audit Losing Candidate]]-Audit[[#This Row],[Losing Candidate]]</f>
        <v>-13</v>
      </c>
      <c r="T1509" s="111">
        <f>Audit[[#This Row],[Audit Winning Candidate]]-Audit[[#This Row],[Winning Candidate]]</f>
        <v>-20</v>
      </c>
      <c r="U1509" s="111">
        <f>Audit[[#This Row],[Audit Candidate 3]]-Audit[[#This Row],[Candidate 3]]</f>
        <v>-11</v>
      </c>
      <c r="V1509" s="111">
        <f>Audit[[#This Row],[Audit Candidate 4]]-Audit[[#This Row],[Candidate 4]]</f>
        <v>-6</v>
      </c>
      <c r="W1509" s="111">
        <f>Audit[[#This Row],[Audit Candidate 5]]-Audit[[#This Row],[Candidate 5]]</f>
        <v>0</v>
      </c>
      <c r="X1509" s="111">
        <f>Audit[[#This Row],[Audit Candidate 6]]-Audit[[#This Row],[Candidate 6]]</f>
        <v>-1</v>
      </c>
      <c r="Y1509" s="111">
        <f>SUMIF(Audit[[#This Row],[Difference Loser]:[Difference Candidate 6]], "&gt;0")</f>
        <v>0</v>
      </c>
      <c r="Z1509" s="111">
        <f>SUM(Audit[[#This Row],[Difference Loser]:[Difference Candidate 6]])</f>
        <v>-51</v>
      </c>
      <c r="AA1509" s="111">
        <f>IF(Audit[[#This Row],[Times p Drawn - With Replacement]]&gt;0, IF(Audit[[#This Row],[Canceled Differences]]&lt;0, Audit[[#This Row],[Max Differences]]+ABS(Audit[[#This Row],[Canceled Differences]]), Audit[[#This Row],[Max Differences]]), 0)</f>
        <v>0</v>
      </c>
      <c r="AB1509" s="111">
        <f>'Sampling Data'!P1502</f>
        <v>3.7359137677609017E-3</v>
      </c>
      <c r="AC1509" s="111">
        <f>IF(
      SUM(Audit[[#This Row],[Audit Losing Candidate]:[Audit Candidate 6]])
      &lt;&gt;0,
      (Audit[[#This Row],[Winning Candidate]]-Audit[[#This Row],[Losing Candidate]]-(Audit[[#This Row],[Audit Winning Candidate]]-Audit[[#This Row],[Audit Losing Candidate]]))/(Audit[[#Totals],[Winning Candidate]]-Audit[[#Totals],[Losing Candidate]]),
      0
)</f>
        <v>0</v>
      </c>
      <c r="AD15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9" s="111">
        <f>IF(Audit[[#This Row],[Max Relative Error (ep)]] = 0, 0, Audit[[#This Row],[Max Relative Error (ep)]]/Audit[[#This Row],[Error Bound (up) - Max. possible relative overstatement]])</f>
        <v>0</v>
      </c>
      <c r="AJ15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09" s="111">
        <f t="shared" si="23"/>
        <v>1</v>
      </c>
      <c r="AL1509" s="111">
        <f>PRODUCT($AK$5:AK1509)</f>
        <v>8.962823818226312E-2</v>
      </c>
      <c r="AM1509" s="109">
        <f>1 - [K-M P Value]</f>
        <v>0.91037176181773694</v>
      </c>
      <c r="AN1509" s="111" t="str">
        <f>IF(Audit[[#This Row],[K-M P Value]]&gt;1-'General Info'!$B$16,"Continue", "Stop")</f>
        <v>Stop</v>
      </c>
      <c r="AO1509" s="110" t="b">
        <f>IF(Audit[[#This Row],[Status - Continue or stop audit]] = "Continue", TRUE, IF(AN1508 = "Continue", TRUE, FALSE))</f>
        <v>0</v>
      </c>
      <c r="AP1509" s="110"/>
    </row>
    <row r="1510" spans="1:42" ht="15" hidden="1" customHeight="1">
      <c r="A1510" s="111" t="str">
        <f>'Sampling Data'!W1503</f>
        <v/>
      </c>
      <c r="B1510" s="112" t="str">
        <f>'Sampling Data'!A1503</f>
        <v>NORTH OLMSTED -02-C</v>
      </c>
      <c r="C1510" s="112">
        <f>'Sampling Data'!B1503</f>
        <v>34</v>
      </c>
      <c r="D1510" s="112">
        <f>'Sampling Data'!C1503</f>
        <v>39</v>
      </c>
      <c r="E1510" s="113">
        <f>'Sampling Data'!D1503</f>
        <v>13</v>
      </c>
      <c r="F1510" s="113">
        <f>'Sampling Data'!E1503</f>
        <v>7</v>
      </c>
      <c r="G1510" s="113">
        <f>'Sampling Data'!F1503</f>
        <v>2</v>
      </c>
      <c r="H1510" s="113">
        <f>'Sampling Data'!G1503</f>
        <v>0</v>
      </c>
      <c r="I1510" s="112">
        <f>'Sampling Data'!H1503</f>
        <v>0</v>
      </c>
      <c r="J1510" s="112">
        <f>'Sampling Data'!I1503</f>
        <v>2</v>
      </c>
      <c r="K1510" s="112">
        <f>'Sampling Data'!J1503</f>
        <v>97</v>
      </c>
      <c r="L1510" s="111">
        <f>'Sampling Data'!X1503</f>
        <v>0</v>
      </c>
      <c r="M1510" s="114"/>
      <c r="N1510" s="114"/>
      <c r="O1510" s="115"/>
      <c r="P1510" s="115"/>
      <c r="Q1510" s="116"/>
      <c r="R1510" s="116"/>
      <c r="S1510" s="111">
        <f>Audit[[#This Row],[Audit Losing Candidate]]-Audit[[#This Row],[Losing Candidate]]</f>
        <v>-34</v>
      </c>
      <c r="T1510" s="111">
        <f>Audit[[#This Row],[Audit Winning Candidate]]-Audit[[#This Row],[Winning Candidate]]</f>
        <v>-39</v>
      </c>
      <c r="U1510" s="111">
        <f>Audit[[#This Row],[Audit Candidate 3]]-Audit[[#This Row],[Candidate 3]]</f>
        <v>-13</v>
      </c>
      <c r="V1510" s="111">
        <f>Audit[[#This Row],[Audit Candidate 4]]-Audit[[#This Row],[Candidate 4]]</f>
        <v>-7</v>
      </c>
      <c r="W1510" s="111">
        <f>Audit[[#This Row],[Audit Candidate 5]]-Audit[[#This Row],[Candidate 5]]</f>
        <v>-2</v>
      </c>
      <c r="X1510" s="111">
        <f>Audit[[#This Row],[Audit Candidate 6]]-Audit[[#This Row],[Candidate 6]]</f>
        <v>0</v>
      </c>
      <c r="Y1510" s="111">
        <f>SUMIF(Audit[[#This Row],[Difference Loser]:[Difference Candidate 6]], "&gt;0")</f>
        <v>0</v>
      </c>
      <c r="Z1510" s="111">
        <f>SUM(Audit[[#This Row],[Difference Loser]:[Difference Candidate 6]])</f>
        <v>-95</v>
      </c>
      <c r="AA1510" s="111">
        <f>IF(Audit[[#This Row],[Times p Drawn - With Replacement]]&gt;0, IF(Audit[[#This Row],[Canceled Differences]]&lt;0, Audit[[#This Row],[Max Differences]]+ABS(Audit[[#This Row],[Canceled Differences]]), Audit[[#This Row],[Max Differences]]), 0)</f>
        <v>0</v>
      </c>
      <c r="AB1510" s="111">
        <f>'Sampling Data'!P1503</f>
        <v>6.2469377756001962E-3</v>
      </c>
      <c r="AC1510" s="111">
        <f>IF(
      SUM(Audit[[#This Row],[Audit Losing Candidate]:[Audit Candidate 6]])
      &lt;&gt;0,
      (Audit[[#This Row],[Winning Candidate]]-Audit[[#This Row],[Losing Candidate]]-(Audit[[#This Row],[Audit Winning Candidate]]-Audit[[#This Row],[Audit Losing Candidate]]))/(Audit[[#Totals],[Winning Candidate]]-Audit[[#Totals],[Losing Candidate]]),
      0
)</f>
        <v>0</v>
      </c>
      <c r="AD15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0" s="111">
        <f>IF(Audit[[#This Row],[Max Relative Error (ep)]] = 0, 0, Audit[[#This Row],[Max Relative Error (ep)]]/Audit[[#This Row],[Error Bound (up) - Max. possible relative overstatement]])</f>
        <v>0</v>
      </c>
      <c r="AJ15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10" s="111">
        <f t="shared" si="23"/>
        <v>1</v>
      </c>
      <c r="AL1510" s="111">
        <f>PRODUCT($AK$5:AK1510)</f>
        <v>8.962823818226312E-2</v>
      </c>
      <c r="AM1510" s="109">
        <f>1 - [K-M P Value]</f>
        <v>0.91037176181773694</v>
      </c>
      <c r="AN1510" s="111" t="str">
        <f>IF(Audit[[#This Row],[K-M P Value]]&gt;1-'General Info'!$B$16,"Continue", "Stop")</f>
        <v>Stop</v>
      </c>
      <c r="AO1510" s="110" t="b">
        <f>IF(Audit[[#This Row],[Status - Continue or stop audit]] = "Continue", TRUE, IF(AN1509 = "Continue", TRUE, FALSE))</f>
        <v>0</v>
      </c>
      <c r="AP1510" s="110"/>
    </row>
    <row r="1511" spans="1:42" ht="15" hidden="1" customHeight="1">
      <c r="A1511" s="111" t="str">
        <f>'Sampling Data'!W1504</f>
        <v/>
      </c>
      <c r="B1511" s="112" t="str">
        <f>'Sampling Data'!A1504</f>
        <v>NORTH OLMSTED -02-C - ABS</v>
      </c>
      <c r="C1511" s="112">
        <f>'Sampling Data'!B1504</f>
        <v>16</v>
      </c>
      <c r="D1511" s="112">
        <f>'Sampling Data'!C1504</f>
        <v>23</v>
      </c>
      <c r="E1511" s="113">
        <f>'Sampling Data'!D1504</f>
        <v>1</v>
      </c>
      <c r="F1511" s="113">
        <f>'Sampling Data'!E1504</f>
        <v>1</v>
      </c>
      <c r="G1511" s="113">
        <f>'Sampling Data'!F1504</f>
        <v>0</v>
      </c>
      <c r="H1511" s="113">
        <f>'Sampling Data'!G1504</f>
        <v>0</v>
      </c>
      <c r="I1511" s="112">
        <f>'Sampling Data'!H1504</f>
        <v>0</v>
      </c>
      <c r="J1511" s="112">
        <f>'Sampling Data'!I1504</f>
        <v>1</v>
      </c>
      <c r="K1511" s="112">
        <f>'Sampling Data'!J1504</f>
        <v>42</v>
      </c>
      <c r="L1511" s="111">
        <f>'Sampling Data'!X1504</f>
        <v>0</v>
      </c>
      <c r="M1511" s="114"/>
      <c r="N1511" s="114"/>
      <c r="O1511" s="115"/>
      <c r="P1511" s="115"/>
      <c r="Q1511" s="116"/>
      <c r="R1511" s="116"/>
      <c r="S1511" s="111">
        <f>Audit[[#This Row],[Audit Losing Candidate]]-Audit[[#This Row],[Losing Candidate]]</f>
        <v>-16</v>
      </c>
      <c r="T1511" s="111">
        <f>Audit[[#This Row],[Audit Winning Candidate]]-Audit[[#This Row],[Winning Candidate]]</f>
        <v>-23</v>
      </c>
      <c r="U1511" s="111">
        <f>Audit[[#This Row],[Audit Candidate 3]]-Audit[[#This Row],[Candidate 3]]</f>
        <v>-1</v>
      </c>
      <c r="V1511" s="111">
        <f>Audit[[#This Row],[Audit Candidate 4]]-Audit[[#This Row],[Candidate 4]]</f>
        <v>-1</v>
      </c>
      <c r="W1511" s="111">
        <f>Audit[[#This Row],[Audit Candidate 5]]-Audit[[#This Row],[Candidate 5]]</f>
        <v>0</v>
      </c>
      <c r="X1511" s="111">
        <f>Audit[[#This Row],[Audit Candidate 6]]-Audit[[#This Row],[Candidate 6]]</f>
        <v>0</v>
      </c>
      <c r="Y1511" s="111">
        <f>SUMIF(Audit[[#This Row],[Difference Loser]:[Difference Candidate 6]], "&gt;0")</f>
        <v>0</v>
      </c>
      <c r="Z1511" s="111">
        <f>SUM(Audit[[#This Row],[Difference Loser]:[Difference Candidate 6]])</f>
        <v>-41</v>
      </c>
      <c r="AA1511" s="111">
        <f>IF(Audit[[#This Row],[Times p Drawn - With Replacement]]&gt;0, IF(Audit[[#This Row],[Canceled Differences]]&lt;0, Audit[[#This Row],[Max Differences]]+ABS(Audit[[#This Row],[Canceled Differences]]), Audit[[#This Row],[Max Differences]]), 0)</f>
        <v>0</v>
      </c>
      <c r="AB1511" s="111">
        <f>'Sampling Data'!P1504</f>
        <v>3.0009799118079373E-3</v>
      </c>
      <c r="AC1511" s="111">
        <f>IF(
      SUM(Audit[[#This Row],[Audit Losing Candidate]:[Audit Candidate 6]])
      &lt;&gt;0,
      (Audit[[#This Row],[Winning Candidate]]-Audit[[#This Row],[Losing Candidate]]-(Audit[[#This Row],[Audit Winning Candidate]]-Audit[[#This Row],[Audit Losing Candidate]]))/(Audit[[#Totals],[Winning Candidate]]-Audit[[#Totals],[Losing Candidate]]),
      0
)</f>
        <v>0</v>
      </c>
      <c r="AD15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1" s="111">
        <f>IF(Audit[[#This Row],[Max Relative Error (ep)]] = 0, 0, Audit[[#This Row],[Max Relative Error (ep)]]/Audit[[#This Row],[Error Bound (up) - Max. possible relative overstatement]])</f>
        <v>0</v>
      </c>
      <c r="AJ15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11" s="111">
        <f t="shared" si="23"/>
        <v>1</v>
      </c>
      <c r="AL1511" s="111">
        <f>PRODUCT($AK$5:AK1511)</f>
        <v>8.962823818226312E-2</v>
      </c>
      <c r="AM1511" s="109">
        <f>1 - [K-M P Value]</f>
        <v>0.91037176181773694</v>
      </c>
      <c r="AN1511" s="111" t="str">
        <f>IF(Audit[[#This Row],[K-M P Value]]&gt;1-'General Info'!$B$16,"Continue", "Stop")</f>
        <v>Stop</v>
      </c>
      <c r="AO1511" s="110" t="b">
        <f>IF(Audit[[#This Row],[Status - Continue or stop audit]] = "Continue", TRUE, IF(AN1510 = "Continue", TRUE, FALSE))</f>
        <v>0</v>
      </c>
      <c r="AP1511" s="110"/>
    </row>
    <row r="1512" spans="1:42" ht="15" hidden="1" customHeight="1">
      <c r="A1512" s="111" t="str">
        <f>'Sampling Data'!W1505</f>
        <v/>
      </c>
      <c r="B1512" s="112" t="str">
        <f>'Sampling Data'!A1505</f>
        <v>NORTH OLMSTED -02-D</v>
      </c>
      <c r="C1512" s="112">
        <f>'Sampling Data'!B1505</f>
        <v>40</v>
      </c>
      <c r="D1512" s="112">
        <f>'Sampling Data'!C1505</f>
        <v>48</v>
      </c>
      <c r="E1512" s="113">
        <f>'Sampling Data'!D1505</f>
        <v>13</v>
      </c>
      <c r="F1512" s="113">
        <f>'Sampling Data'!E1505</f>
        <v>15</v>
      </c>
      <c r="G1512" s="113">
        <f>'Sampling Data'!F1505</f>
        <v>0</v>
      </c>
      <c r="H1512" s="113">
        <f>'Sampling Data'!G1505</f>
        <v>1</v>
      </c>
      <c r="I1512" s="112">
        <f>'Sampling Data'!H1505</f>
        <v>0</v>
      </c>
      <c r="J1512" s="112">
        <f>'Sampling Data'!I1505</f>
        <v>0</v>
      </c>
      <c r="K1512" s="112">
        <f>'Sampling Data'!J1505</f>
        <v>117</v>
      </c>
      <c r="L1512" s="111">
        <f>'Sampling Data'!X1505</f>
        <v>0</v>
      </c>
      <c r="M1512" s="114"/>
      <c r="N1512" s="114"/>
      <c r="O1512" s="115"/>
      <c r="P1512" s="115"/>
      <c r="Q1512" s="116"/>
      <c r="R1512" s="116"/>
      <c r="S1512" s="111">
        <f>Audit[[#This Row],[Audit Losing Candidate]]-Audit[[#This Row],[Losing Candidate]]</f>
        <v>-40</v>
      </c>
      <c r="T1512" s="111">
        <f>Audit[[#This Row],[Audit Winning Candidate]]-Audit[[#This Row],[Winning Candidate]]</f>
        <v>-48</v>
      </c>
      <c r="U1512" s="111">
        <f>Audit[[#This Row],[Audit Candidate 3]]-Audit[[#This Row],[Candidate 3]]</f>
        <v>-13</v>
      </c>
      <c r="V1512" s="111">
        <f>Audit[[#This Row],[Audit Candidate 4]]-Audit[[#This Row],[Candidate 4]]</f>
        <v>-15</v>
      </c>
      <c r="W1512" s="111">
        <f>Audit[[#This Row],[Audit Candidate 5]]-Audit[[#This Row],[Candidate 5]]</f>
        <v>0</v>
      </c>
      <c r="X1512" s="111">
        <f>Audit[[#This Row],[Audit Candidate 6]]-Audit[[#This Row],[Candidate 6]]</f>
        <v>-1</v>
      </c>
      <c r="Y1512" s="111">
        <f>SUMIF(Audit[[#This Row],[Difference Loser]:[Difference Candidate 6]], "&gt;0")</f>
        <v>0</v>
      </c>
      <c r="Z1512" s="111">
        <f>SUM(Audit[[#This Row],[Difference Loser]:[Difference Candidate 6]])</f>
        <v>-117</v>
      </c>
      <c r="AA1512" s="111">
        <f>IF(Audit[[#This Row],[Times p Drawn - With Replacement]]&gt;0, IF(Audit[[#This Row],[Canceled Differences]]&lt;0, Audit[[#This Row],[Max Differences]]+ABS(Audit[[#This Row],[Canceled Differences]]), Audit[[#This Row],[Max Differences]]), 0)</f>
        <v>0</v>
      </c>
      <c r="AB1512" s="111">
        <f>'Sampling Data'!P1505</f>
        <v>7.6555609995100438E-3</v>
      </c>
      <c r="AC1512" s="111">
        <f>IF(
      SUM(Audit[[#This Row],[Audit Losing Candidate]:[Audit Candidate 6]])
      &lt;&gt;0,
      (Audit[[#This Row],[Winning Candidate]]-Audit[[#This Row],[Losing Candidate]]-(Audit[[#This Row],[Audit Winning Candidate]]-Audit[[#This Row],[Audit Losing Candidate]]))/(Audit[[#Totals],[Winning Candidate]]-Audit[[#Totals],[Losing Candidate]]),
      0
)</f>
        <v>0</v>
      </c>
      <c r="AD15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2" s="111">
        <f>IF(Audit[[#This Row],[Max Relative Error (ep)]] = 0, 0, Audit[[#This Row],[Max Relative Error (ep)]]/Audit[[#This Row],[Error Bound (up) - Max. possible relative overstatement]])</f>
        <v>0</v>
      </c>
      <c r="AJ15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12" s="111">
        <f t="shared" si="23"/>
        <v>1</v>
      </c>
      <c r="AL1512" s="111">
        <f>PRODUCT($AK$5:AK1512)</f>
        <v>8.962823818226312E-2</v>
      </c>
      <c r="AM1512" s="109">
        <f>1 - [K-M P Value]</f>
        <v>0.91037176181773694</v>
      </c>
      <c r="AN1512" s="111" t="str">
        <f>IF(Audit[[#This Row],[K-M P Value]]&gt;1-'General Info'!$B$16,"Continue", "Stop")</f>
        <v>Stop</v>
      </c>
      <c r="AO1512" s="110" t="b">
        <f>IF(Audit[[#This Row],[Status - Continue or stop audit]] = "Continue", TRUE, IF(AN1511 = "Continue", TRUE, FALSE))</f>
        <v>0</v>
      </c>
      <c r="AP1512" s="110"/>
    </row>
    <row r="1513" spans="1:42" ht="15" hidden="1" customHeight="1">
      <c r="A1513" s="111" t="str">
        <f>'Sampling Data'!W1506</f>
        <v/>
      </c>
      <c r="B1513" s="112" t="str">
        <f>'Sampling Data'!A1506</f>
        <v>NORTH OLMSTED -02-D - ABS</v>
      </c>
      <c r="C1513" s="112">
        <f>'Sampling Data'!B1506</f>
        <v>18</v>
      </c>
      <c r="D1513" s="112">
        <f>'Sampling Data'!C1506</f>
        <v>17</v>
      </c>
      <c r="E1513" s="113">
        <f>'Sampling Data'!D1506</f>
        <v>15</v>
      </c>
      <c r="F1513" s="113">
        <f>'Sampling Data'!E1506</f>
        <v>3</v>
      </c>
      <c r="G1513" s="113">
        <f>'Sampling Data'!F1506</f>
        <v>0</v>
      </c>
      <c r="H1513" s="113">
        <f>'Sampling Data'!G1506</f>
        <v>0</v>
      </c>
      <c r="I1513" s="112">
        <f>'Sampling Data'!H1506</f>
        <v>0</v>
      </c>
      <c r="J1513" s="112">
        <f>'Sampling Data'!I1506</f>
        <v>2</v>
      </c>
      <c r="K1513" s="112">
        <f>'Sampling Data'!J1506</f>
        <v>55</v>
      </c>
      <c r="L1513" s="111">
        <f>'Sampling Data'!X1506</f>
        <v>0</v>
      </c>
      <c r="M1513" s="114"/>
      <c r="N1513" s="114"/>
      <c r="O1513" s="115"/>
      <c r="P1513" s="115"/>
      <c r="Q1513" s="116"/>
      <c r="R1513" s="116"/>
      <c r="S1513" s="111">
        <f>Audit[[#This Row],[Audit Losing Candidate]]-Audit[[#This Row],[Losing Candidate]]</f>
        <v>-18</v>
      </c>
      <c r="T1513" s="111">
        <f>Audit[[#This Row],[Audit Winning Candidate]]-Audit[[#This Row],[Winning Candidate]]</f>
        <v>-17</v>
      </c>
      <c r="U1513" s="111">
        <f>Audit[[#This Row],[Audit Candidate 3]]-Audit[[#This Row],[Candidate 3]]</f>
        <v>-15</v>
      </c>
      <c r="V1513" s="111">
        <f>Audit[[#This Row],[Audit Candidate 4]]-Audit[[#This Row],[Candidate 4]]</f>
        <v>-3</v>
      </c>
      <c r="W1513" s="111">
        <f>Audit[[#This Row],[Audit Candidate 5]]-Audit[[#This Row],[Candidate 5]]</f>
        <v>0</v>
      </c>
      <c r="X1513" s="111">
        <f>Audit[[#This Row],[Audit Candidate 6]]-Audit[[#This Row],[Candidate 6]]</f>
        <v>0</v>
      </c>
      <c r="Y1513" s="111">
        <f>SUMIF(Audit[[#This Row],[Difference Loser]:[Difference Candidate 6]], "&gt;0")</f>
        <v>0</v>
      </c>
      <c r="Z1513" s="111">
        <f>SUM(Audit[[#This Row],[Difference Loser]:[Difference Candidate 6]])</f>
        <v>-53</v>
      </c>
      <c r="AA1513" s="111">
        <f>IF(Audit[[#This Row],[Times p Drawn - With Replacement]]&gt;0, IF(Audit[[#This Row],[Canceled Differences]]&lt;0, Audit[[#This Row],[Max Differences]]+ABS(Audit[[#This Row],[Canceled Differences]]), Audit[[#This Row],[Max Differences]]), 0)</f>
        <v>0</v>
      </c>
      <c r="AB1513" s="111">
        <f>'Sampling Data'!P1506</f>
        <v>3.3072023517883389E-3</v>
      </c>
      <c r="AC1513" s="111">
        <f>IF(
      SUM(Audit[[#This Row],[Audit Losing Candidate]:[Audit Candidate 6]])
      &lt;&gt;0,
      (Audit[[#This Row],[Winning Candidate]]-Audit[[#This Row],[Losing Candidate]]-(Audit[[#This Row],[Audit Winning Candidate]]-Audit[[#This Row],[Audit Losing Candidate]]))/(Audit[[#Totals],[Winning Candidate]]-Audit[[#Totals],[Losing Candidate]]),
      0
)</f>
        <v>0</v>
      </c>
      <c r="AD15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3" s="111">
        <f>IF(Audit[[#This Row],[Max Relative Error (ep)]] = 0, 0, Audit[[#This Row],[Max Relative Error (ep)]]/Audit[[#This Row],[Error Bound (up) - Max. possible relative overstatement]])</f>
        <v>0</v>
      </c>
      <c r="AJ15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13" s="111">
        <f t="shared" si="23"/>
        <v>1</v>
      </c>
      <c r="AL1513" s="111">
        <f>PRODUCT($AK$5:AK1513)</f>
        <v>8.962823818226312E-2</v>
      </c>
      <c r="AM1513" s="109">
        <f>1 - [K-M P Value]</f>
        <v>0.91037176181773694</v>
      </c>
      <c r="AN1513" s="111" t="str">
        <f>IF(Audit[[#This Row],[K-M P Value]]&gt;1-'General Info'!$B$16,"Continue", "Stop")</f>
        <v>Stop</v>
      </c>
      <c r="AO1513" s="110" t="b">
        <f>IF(Audit[[#This Row],[Status - Continue or stop audit]] = "Continue", TRUE, IF(AN1512 = "Continue", TRUE, FALSE))</f>
        <v>0</v>
      </c>
      <c r="AP1513" s="110"/>
    </row>
    <row r="1514" spans="1:42" ht="15" hidden="1" customHeight="1">
      <c r="A1514" s="111" t="str">
        <f>'Sampling Data'!W1507</f>
        <v/>
      </c>
      <c r="B1514" s="112" t="str">
        <f>'Sampling Data'!A1507</f>
        <v>NORTH OLMSTED -02-E</v>
      </c>
      <c r="C1514" s="112">
        <f>'Sampling Data'!B1507</f>
        <v>31</v>
      </c>
      <c r="D1514" s="112">
        <f>'Sampling Data'!C1507</f>
        <v>28</v>
      </c>
      <c r="E1514" s="113">
        <f>'Sampling Data'!D1507</f>
        <v>18</v>
      </c>
      <c r="F1514" s="113">
        <f>'Sampling Data'!E1507</f>
        <v>13</v>
      </c>
      <c r="G1514" s="113">
        <f>'Sampling Data'!F1507</f>
        <v>0</v>
      </c>
      <c r="H1514" s="113">
        <f>'Sampling Data'!G1507</f>
        <v>0</v>
      </c>
      <c r="I1514" s="112">
        <f>'Sampling Data'!H1507</f>
        <v>0</v>
      </c>
      <c r="J1514" s="112">
        <f>'Sampling Data'!I1507</f>
        <v>0</v>
      </c>
      <c r="K1514" s="112">
        <f>'Sampling Data'!J1507</f>
        <v>90</v>
      </c>
      <c r="L1514" s="111">
        <f>'Sampling Data'!X1507</f>
        <v>0</v>
      </c>
      <c r="M1514" s="114"/>
      <c r="N1514" s="114"/>
      <c r="O1514" s="115"/>
      <c r="P1514" s="115"/>
      <c r="Q1514" s="116"/>
      <c r="R1514" s="116"/>
      <c r="S1514" s="111">
        <f>Audit[[#This Row],[Audit Losing Candidate]]-Audit[[#This Row],[Losing Candidate]]</f>
        <v>-31</v>
      </c>
      <c r="T1514" s="111">
        <f>Audit[[#This Row],[Audit Winning Candidate]]-Audit[[#This Row],[Winning Candidate]]</f>
        <v>-28</v>
      </c>
      <c r="U1514" s="111">
        <f>Audit[[#This Row],[Audit Candidate 3]]-Audit[[#This Row],[Candidate 3]]</f>
        <v>-18</v>
      </c>
      <c r="V1514" s="111">
        <f>Audit[[#This Row],[Audit Candidate 4]]-Audit[[#This Row],[Candidate 4]]</f>
        <v>-13</v>
      </c>
      <c r="W1514" s="111">
        <f>Audit[[#This Row],[Audit Candidate 5]]-Audit[[#This Row],[Candidate 5]]</f>
        <v>0</v>
      </c>
      <c r="X1514" s="111">
        <f>Audit[[#This Row],[Audit Candidate 6]]-Audit[[#This Row],[Candidate 6]]</f>
        <v>0</v>
      </c>
      <c r="Y1514" s="111">
        <f>SUMIF(Audit[[#This Row],[Difference Loser]:[Difference Candidate 6]], "&gt;0")</f>
        <v>0</v>
      </c>
      <c r="Z1514" s="111">
        <f>SUM(Audit[[#This Row],[Difference Loser]:[Difference Candidate 6]])</f>
        <v>-90</v>
      </c>
      <c r="AA1514" s="111">
        <f>IF(Audit[[#This Row],[Times p Drawn - With Replacement]]&gt;0, IF(Audit[[#This Row],[Canceled Differences]]&lt;0, Audit[[#This Row],[Max Differences]]+ABS(Audit[[#This Row],[Canceled Differences]]), Audit[[#This Row],[Max Differences]]), 0)</f>
        <v>0</v>
      </c>
      <c r="AB1514" s="111">
        <f>'Sampling Data'!P1507</f>
        <v>5.328270455658991E-3</v>
      </c>
      <c r="AC1514" s="111">
        <f>IF(
      SUM(Audit[[#This Row],[Audit Losing Candidate]:[Audit Candidate 6]])
      &lt;&gt;0,
      (Audit[[#This Row],[Winning Candidate]]-Audit[[#This Row],[Losing Candidate]]-(Audit[[#This Row],[Audit Winning Candidate]]-Audit[[#This Row],[Audit Losing Candidate]]))/(Audit[[#Totals],[Winning Candidate]]-Audit[[#Totals],[Losing Candidate]]),
      0
)</f>
        <v>0</v>
      </c>
      <c r="AD15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4" s="111">
        <f>IF(Audit[[#This Row],[Max Relative Error (ep)]] = 0, 0, Audit[[#This Row],[Max Relative Error (ep)]]/Audit[[#This Row],[Error Bound (up) - Max. possible relative overstatement]])</f>
        <v>0</v>
      </c>
      <c r="AJ15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14" s="111">
        <f t="shared" si="23"/>
        <v>1</v>
      </c>
      <c r="AL1514" s="111">
        <f>PRODUCT($AK$5:AK1514)</f>
        <v>8.962823818226312E-2</v>
      </c>
      <c r="AM1514" s="109">
        <f>1 - [K-M P Value]</f>
        <v>0.91037176181773694</v>
      </c>
      <c r="AN1514" s="111" t="str">
        <f>IF(Audit[[#This Row],[K-M P Value]]&gt;1-'General Info'!$B$16,"Continue", "Stop")</f>
        <v>Stop</v>
      </c>
      <c r="AO1514" s="110" t="b">
        <f>IF(Audit[[#This Row],[Status - Continue or stop audit]] = "Continue", TRUE, IF(AN1513 = "Continue", TRUE, FALSE))</f>
        <v>0</v>
      </c>
      <c r="AP1514" s="110"/>
    </row>
    <row r="1515" spans="1:42" ht="15" hidden="1" customHeight="1">
      <c r="A1515" s="111" t="str">
        <f>'Sampling Data'!W1508</f>
        <v/>
      </c>
      <c r="B1515" s="112" t="str">
        <f>'Sampling Data'!A1508</f>
        <v>NORTH OLMSTED -02-E - ABS</v>
      </c>
      <c r="C1515" s="112">
        <f>'Sampling Data'!B1508</f>
        <v>10</v>
      </c>
      <c r="D1515" s="112">
        <f>'Sampling Data'!C1508</f>
        <v>24</v>
      </c>
      <c r="E1515" s="113">
        <f>'Sampling Data'!D1508</f>
        <v>8</v>
      </c>
      <c r="F1515" s="113">
        <f>'Sampling Data'!E1508</f>
        <v>1</v>
      </c>
      <c r="G1515" s="113">
        <f>'Sampling Data'!F1508</f>
        <v>0</v>
      </c>
      <c r="H1515" s="113">
        <f>'Sampling Data'!G1508</f>
        <v>1</v>
      </c>
      <c r="I1515" s="112">
        <f>'Sampling Data'!H1508</f>
        <v>0</v>
      </c>
      <c r="J1515" s="112">
        <f>'Sampling Data'!I1508</f>
        <v>2</v>
      </c>
      <c r="K1515" s="112">
        <f>'Sampling Data'!J1508</f>
        <v>46</v>
      </c>
      <c r="L1515" s="111">
        <f>'Sampling Data'!X1508</f>
        <v>0</v>
      </c>
      <c r="M1515" s="114"/>
      <c r="N1515" s="114"/>
      <c r="O1515" s="115"/>
      <c r="P1515" s="115"/>
      <c r="Q1515" s="116"/>
      <c r="R1515" s="116"/>
      <c r="S1515" s="111">
        <f>Audit[[#This Row],[Audit Losing Candidate]]-Audit[[#This Row],[Losing Candidate]]</f>
        <v>-10</v>
      </c>
      <c r="T1515" s="111">
        <f>Audit[[#This Row],[Audit Winning Candidate]]-Audit[[#This Row],[Winning Candidate]]</f>
        <v>-24</v>
      </c>
      <c r="U1515" s="111">
        <f>Audit[[#This Row],[Audit Candidate 3]]-Audit[[#This Row],[Candidate 3]]</f>
        <v>-8</v>
      </c>
      <c r="V1515" s="111">
        <f>Audit[[#This Row],[Audit Candidate 4]]-Audit[[#This Row],[Candidate 4]]</f>
        <v>-1</v>
      </c>
      <c r="W1515" s="111">
        <f>Audit[[#This Row],[Audit Candidate 5]]-Audit[[#This Row],[Candidate 5]]</f>
        <v>0</v>
      </c>
      <c r="X1515" s="111">
        <f>Audit[[#This Row],[Audit Candidate 6]]-Audit[[#This Row],[Candidate 6]]</f>
        <v>-1</v>
      </c>
      <c r="Y1515" s="111">
        <f>SUMIF(Audit[[#This Row],[Difference Loser]:[Difference Candidate 6]], "&gt;0")</f>
        <v>0</v>
      </c>
      <c r="Z1515" s="111">
        <f>SUM(Audit[[#This Row],[Difference Loser]:[Difference Candidate 6]])</f>
        <v>-44</v>
      </c>
      <c r="AA1515" s="111">
        <f>IF(Audit[[#This Row],[Times p Drawn - With Replacement]]&gt;0, IF(Audit[[#This Row],[Canceled Differences]]&lt;0, Audit[[#This Row],[Max Differences]]+ABS(Audit[[#This Row],[Canceled Differences]]), Audit[[#This Row],[Max Differences]]), 0)</f>
        <v>0</v>
      </c>
      <c r="AB1515" s="111">
        <f>'Sampling Data'!P1508</f>
        <v>3.6746692797648213E-3</v>
      </c>
      <c r="AC1515" s="111">
        <f>IF(
      SUM(Audit[[#This Row],[Audit Losing Candidate]:[Audit Candidate 6]])
      &lt;&gt;0,
      (Audit[[#This Row],[Winning Candidate]]-Audit[[#This Row],[Losing Candidate]]-(Audit[[#This Row],[Audit Winning Candidate]]-Audit[[#This Row],[Audit Losing Candidate]]))/(Audit[[#Totals],[Winning Candidate]]-Audit[[#Totals],[Losing Candidate]]),
      0
)</f>
        <v>0</v>
      </c>
      <c r="AD15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5" s="111">
        <f>IF(Audit[[#This Row],[Max Relative Error (ep)]] = 0, 0, Audit[[#This Row],[Max Relative Error (ep)]]/Audit[[#This Row],[Error Bound (up) - Max. possible relative overstatement]])</f>
        <v>0</v>
      </c>
      <c r="AJ15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15" s="111">
        <f t="shared" si="23"/>
        <v>1</v>
      </c>
      <c r="AL1515" s="111">
        <f>PRODUCT($AK$5:AK1515)</f>
        <v>8.962823818226312E-2</v>
      </c>
      <c r="AM1515" s="109">
        <f>1 - [K-M P Value]</f>
        <v>0.91037176181773694</v>
      </c>
      <c r="AN1515" s="111" t="str">
        <f>IF(Audit[[#This Row],[K-M P Value]]&gt;1-'General Info'!$B$16,"Continue", "Stop")</f>
        <v>Stop</v>
      </c>
      <c r="AO1515" s="110" t="b">
        <f>IF(Audit[[#This Row],[Status - Continue or stop audit]] = "Continue", TRUE, IF(AN1514 = "Continue", TRUE, FALSE))</f>
        <v>0</v>
      </c>
      <c r="AP1515" s="110"/>
    </row>
    <row r="1516" spans="1:42" ht="15" hidden="1" customHeight="1">
      <c r="A1516" s="111" t="str">
        <f>'Sampling Data'!W1509</f>
        <v/>
      </c>
      <c r="B1516" s="112" t="str">
        <f>'Sampling Data'!A1509</f>
        <v>NORTH OLMSTED -03-A</v>
      </c>
      <c r="C1516" s="112">
        <f>'Sampling Data'!B1509</f>
        <v>49</v>
      </c>
      <c r="D1516" s="112">
        <f>'Sampling Data'!C1509</f>
        <v>55</v>
      </c>
      <c r="E1516" s="113">
        <f>'Sampling Data'!D1509</f>
        <v>12</v>
      </c>
      <c r="F1516" s="113">
        <f>'Sampling Data'!E1509</f>
        <v>12</v>
      </c>
      <c r="G1516" s="113">
        <f>'Sampling Data'!F1509</f>
        <v>1</v>
      </c>
      <c r="H1516" s="113">
        <f>'Sampling Data'!G1509</f>
        <v>1</v>
      </c>
      <c r="I1516" s="112">
        <f>'Sampling Data'!H1509</f>
        <v>0</v>
      </c>
      <c r="J1516" s="112">
        <f>'Sampling Data'!I1509</f>
        <v>0</v>
      </c>
      <c r="K1516" s="112">
        <f>'Sampling Data'!J1509</f>
        <v>130</v>
      </c>
      <c r="L1516" s="111">
        <f>'Sampling Data'!X1509</f>
        <v>0</v>
      </c>
      <c r="M1516" s="114"/>
      <c r="N1516" s="114"/>
      <c r="O1516" s="115"/>
      <c r="P1516" s="115"/>
      <c r="Q1516" s="116"/>
      <c r="R1516" s="116"/>
      <c r="S1516" s="111">
        <f>Audit[[#This Row],[Audit Losing Candidate]]-Audit[[#This Row],[Losing Candidate]]</f>
        <v>-49</v>
      </c>
      <c r="T1516" s="111">
        <f>Audit[[#This Row],[Audit Winning Candidate]]-Audit[[#This Row],[Winning Candidate]]</f>
        <v>-55</v>
      </c>
      <c r="U1516" s="111">
        <f>Audit[[#This Row],[Audit Candidate 3]]-Audit[[#This Row],[Candidate 3]]</f>
        <v>-12</v>
      </c>
      <c r="V1516" s="111">
        <f>Audit[[#This Row],[Audit Candidate 4]]-Audit[[#This Row],[Candidate 4]]</f>
        <v>-12</v>
      </c>
      <c r="W1516" s="111">
        <f>Audit[[#This Row],[Audit Candidate 5]]-Audit[[#This Row],[Candidate 5]]</f>
        <v>-1</v>
      </c>
      <c r="X1516" s="111">
        <f>Audit[[#This Row],[Audit Candidate 6]]-Audit[[#This Row],[Candidate 6]]</f>
        <v>-1</v>
      </c>
      <c r="Y1516" s="111">
        <f>SUMIF(Audit[[#This Row],[Difference Loser]:[Difference Candidate 6]], "&gt;0")</f>
        <v>0</v>
      </c>
      <c r="Z1516" s="111">
        <f>SUM(Audit[[#This Row],[Difference Loser]:[Difference Candidate 6]])</f>
        <v>-130</v>
      </c>
      <c r="AA1516" s="111">
        <f>IF(Audit[[#This Row],[Times p Drawn - With Replacement]]&gt;0, IF(Audit[[#This Row],[Canceled Differences]]&lt;0, Audit[[#This Row],[Max Differences]]+ABS(Audit[[#This Row],[Canceled Differences]]), Audit[[#This Row],[Max Differences]]), 0)</f>
        <v>0</v>
      </c>
      <c r="AB1516" s="111">
        <f>'Sampling Data'!P1509</f>
        <v>8.3292503674669283E-3</v>
      </c>
      <c r="AC1516" s="111">
        <f>IF(
      SUM(Audit[[#This Row],[Audit Losing Candidate]:[Audit Candidate 6]])
      &lt;&gt;0,
      (Audit[[#This Row],[Winning Candidate]]-Audit[[#This Row],[Losing Candidate]]-(Audit[[#This Row],[Audit Winning Candidate]]-Audit[[#This Row],[Audit Losing Candidate]]))/(Audit[[#Totals],[Winning Candidate]]-Audit[[#Totals],[Losing Candidate]]),
      0
)</f>
        <v>0</v>
      </c>
      <c r="AD15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6" s="111">
        <f>IF(Audit[[#This Row],[Max Relative Error (ep)]] = 0, 0, Audit[[#This Row],[Max Relative Error (ep)]]/Audit[[#This Row],[Error Bound (up) - Max. possible relative overstatement]])</f>
        <v>0</v>
      </c>
      <c r="AJ15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16" s="111">
        <f t="shared" si="23"/>
        <v>1</v>
      </c>
      <c r="AL1516" s="111">
        <f>PRODUCT($AK$5:AK1516)</f>
        <v>8.962823818226312E-2</v>
      </c>
      <c r="AM1516" s="109">
        <f>1 - [K-M P Value]</f>
        <v>0.91037176181773694</v>
      </c>
      <c r="AN1516" s="111" t="str">
        <f>IF(Audit[[#This Row],[K-M P Value]]&gt;1-'General Info'!$B$16,"Continue", "Stop")</f>
        <v>Stop</v>
      </c>
      <c r="AO1516" s="110" t="b">
        <f>IF(Audit[[#This Row],[Status - Continue or stop audit]] = "Continue", TRUE, IF(AN1515 = "Continue", TRUE, FALSE))</f>
        <v>0</v>
      </c>
      <c r="AP1516" s="110"/>
    </row>
    <row r="1517" spans="1:42" ht="15" hidden="1" customHeight="1">
      <c r="A1517" s="111" t="str">
        <f>'Sampling Data'!W1510</f>
        <v/>
      </c>
      <c r="B1517" s="112" t="str">
        <f>'Sampling Data'!A1510</f>
        <v>NORTH OLMSTED -03-A - ABS</v>
      </c>
      <c r="C1517" s="112">
        <f>'Sampling Data'!B1510</f>
        <v>19</v>
      </c>
      <c r="D1517" s="112">
        <f>'Sampling Data'!C1510</f>
        <v>15</v>
      </c>
      <c r="E1517" s="113">
        <f>'Sampling Data'!D1510</f>
        <v>16</v>
      </c>
      <c r="F1517" s="113">
        <f>'Sampling Data'!E1510</f>
        <v>3</v>
      </c>
      <c r="G1517" s="113">
        <f>'Sampling Data'!F1510</f>
        <v>0</v>
      </c>
      <c r="H1517" s="113">
        <f>'Sampling Data'!G1510</f>
        <v>1</v>
      </c>
      <c r="I1517" s="112">
        <f>'Sampling Data'!H1510</f>
        <v>0</v>
      </c>
      <c r="J1517" s="112">
        <f>'Sampling Data'!I1510</f>
        <v>0</v>
      </c>
      <c r="K1517" s="112">
        <f>'Sampling Data'!J1510</f>
        <v>54</v>
      </c>
      <c r="L1517" s="111">
        <f>'Sampling Data'!X1510</f>
        <v>0</v>
      </c>
      <c r="M1517" s="114"/>
      <c r="N1517" s="114"/>
      <c r="O1517" s="115"/>
      <c r="P1517" s="115"/>
      <c r="Q1517" s="116"/>
      <c r="R1517" s="116"/>
      <c r="S1517" s="111">
        <f>Audit[[#This Row],[Audit Losing Candidate]]-Audit[[#This Row],[Losing Candidate]]</f>
        <v>-19</v>
      </c>
      <c r="T1517" s="111">
        <f>Audit[[#This Row],[Audit Winning Candidate]]-Audit[[#This Row],[Winning Candidate]]</f>
        <v>-15</v>
      </c>
      <c r="U1517" s="111">
        <f>Audit[[#This Row],[Audit Candidate 3]]-Audit[[#This Row],[Candidate 3]]</f>
        <v>-16</v>
      </c>
      <c r="V1517" s="111">
        <f>Audit[[#This Row],[Audit Candidate 4]]-Audit[[#This Row],[Candidate 4]]</f>
        <v>-3</v>
      </c>
      <c r="W1517" s="111">
        <f>Audit[[#This Row],[Audit Candidate 5]]-Audit[[#This Row],[Candidate 5]]</f>
        <v>0</v>
      </c>
      <c r="X1517" s="111">
        <f>Audit[[#This Row],[Audit Candidate 6]]-Audit[[#This Row],[Candidate 6]]</f>
        <v>-1</v>
      </c>
      <c r="Y1517" s="111">
        <f>SUMIF(Audit[[#This Row],[Difference Loser]:[Difference Candidate 6]], "&gt;0")</f>
        <v>0</v>
      </c>
      <c r="Z1517" s="111">
        <f>SUM(Audit[[#This Row],[Difference Loser]:[Difference Candidate 6]])</f>
        <v>-54</v>
      </c>
      <c r="AA1517" s="111">
        <f>IF(Audit[[#This Row],[Times p Drawn - With Replacement]]&gt;0, IF(Audit[[#This Row],[Canceled Differences]]&lt;0, Audit[[#This Row],[Max Differences]]+ABS(Audit[[#This Row],[Canceled Differences]]), Audit[[#This Row],[Max Differences]]), 0)</f>
        <v>0</v>
      </c>
      <c r="AB1517" s="111">
        <f>'Sampling Data'!P1510</f>
        <v>3.0622243998040177E-3</v>
      </c>
      <c r="AC1517" s="111">
        <f>IF(
      SUM(Audit[[#This Row],[Audit Losing Candidate]:[Audit Candidate 6]])
      &lt;&gt;0,
      (Audit[[#This Row],[Winning Candidate]]-Audit[[#This Row],[Losing Candidate]]-(Audit[[#This Row],[Audit Winning Candidate]]-Audit[[#This Row],[Audit Losing Candidate]]))/(Audit[[#Totals],[Winning Candidate]]-Audit[[#Totals],[Losing Candidate]]),
      0
)</f>
        <v>0</v>
      </c>
      <c r="AD15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7" s="111">
        <f>IF(Audit[[#This Row],[Max Relative Error (ep)]] = 0, 0, Audit[[#This Row],[Max Relative Error (ep)]]/Audit[[#This Row],[Error Bound (up) - Max. possible relative overstatement]])</f>
        <v>0</v>
      </c>
      <c r="AJ15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17" s="111">
        <f t="shared" si="23"/>
        <v>1</v>
      </c>
      <c r="AL1517" s="111">
        <f>PRODUCT($AK$5:AK1517)</f>
        <v>8.962823818226312E-2</v>
      </c>
      <c r="AM1517" s="109">
        <f>1 - [K-M P Value]</f>
        <v>0.91037176181773694</v>
      </c>
      <c r="AN1517" s="111" t="str">
        <f>IF(Audit[[#This Row],[K-M P Value]]&gt;1-'General Info'!$B$16,"Continue", "Stop")</f>
        <v>Stop</v>
      </c>
      <c r="AO1517" s="110" t="b">
        <f>IF(Audit[[#This Row],[Status - Continue or stop audit]] = "Continue", TRUE, IF(AN1516 = "Continue", TRUE, FALSE))</f>
        <v>0</v>
      </c>
      <c r="AP1517" s="110"/>
    </row>
    <row r="1518" spans="1:42" ht="15" hidden="1" customHeight="1">
      <c r="A1518" s="111" t="str">
        <f>'Sampling Data'!W1511</f>
        <v/>
      </c>
      <c r="B1518" s="112" t="str">
        <f>'Sampling Data'!A1511</f>
        <v>NORTH OLMSTED -03-B</v>
      </c>
      <c r="C1518" s="112">
        <f>'Sampling Data'!B1511</f>
        <v>4</v>
      </c>
      <c r="D1518" s="112">
        <f>'Sampling Data'!C1511</f>
        <v>11</v>
      </c>
      <c r="E1518" s="113">
        <f>'Sampling Data'!D1511</f>
        <v>5</v>
      </c>
      <c r="F1518" s="113">
        <f>'Sampling Data'!E1511</f>
        <v>1</v>
      </c>
      <c r="G1518" s="113">
        <f>'Sampling Data'!F1511</f>
        <v>0</v>
      </c>
      <c r="H1518" s="113">
        <f>'Sampling Data'!G1511</f>
        <v>0</v>
      </c>
      <c r="I1518" s="112">
        <f>'Sampling Data'!H1511</f>
        <v>0</v>
      </c>
      <c r="J1518" s="112">
        <f>'Sampling Data'!I1511</f>
        <v>0</v>
      </c>
      <c r="K1518" s="112">
        <f>'Sampling Data'!J1511</f>
        <v>21</v>
      </c>
      <c r="L1518" s="111">
        <f>'Sampling Data'!X1511</f>
        <v>0</v>
      </c>
      <c r="M1518" s="114"/>
      <c r="N1518" s="114"/>
      <c r="O1518" s="115"/>
      <c r="P1518" s="115"/>
      <c r="Q1518" s="116"/>
      <c r="R1518" s="116"/>
      <c r="S1518" s="111">
        <f>Audit[[#This Row],[Audit Losing Candidate]]-Audit[[#This Row],[Losing Candidate]]</f>
        <v>-4</v>
      </c>
      <c r="T1518" s="111">
        <f>Audit[[#This Row],[Audit Winning Candidate]]-Audit[[#This Row],[Winning Candidate]]</f>
        <v>-11</v>
      </c>
      <c r="U1518" s="111">
        <f>Audit[[#This Row],[Audit Candidate 3]]-Audit[[#This Row],[Candidate 3]]</f>
        <v>-5</v>
      </c>
      <c r="V1518" s="111">
        <f>Audit[[#This Row],[Audit Candidate 4]]-Audit[[#This Row],[Candidate 4]]</f>
        <v>-1</v>
      </c>
      <c r="W1518" s="111">
        <f>Audit[[#This Row],[Audit Candidate 5]]-Audit[[#This Row],[Candidate 5]]</f>
        <v>0</v>
      </c>
      <c r="X1518" s="111">
        <f>Audit[[#This Row],[Audit Candidate 6]]-Audit[[#This Row],[Candidate 6]]</f>
        <v>0</v>
      </c>
      <c r="Y1518" s="111">
        <f>SUMIF(Audit[[#This Row],[Difference Loser]:[Difference Candidate 6]], "&gt;0")</f>
        <v>0</v>
      </c>
      <c r="Z1518" s="111">
        <f>SUM(Audit[[#This Row],[Difference Loser]:[Difference Candidate 6]])</f>
        <v>-21</v>
      </c>
      <c r="AA1518" s="111">
        <f>IF(Audit[[#This Row],[Times p Drawn - With Replacement]]&gt;0, IF(Audit[[#This Row],[Canceled Differences]]&lt;0, Audit[[#This Row],[Max Differences]]+ABS(Audit[[#This Row],[Canceled Differences]]), Audit[[#This Row],[Max Differences]]), 0)</f>
        <v>0</v>
      </c>
      <c r="AB1518" s="111">
        <f>'Sampling Data'!P1511</f>
        <v>1.7148456638902498E-3</v>
      </c>
      <c r="AC1518" s="111">
        <f>IF(
      SUM(Audit[[#This Row],[Audit Losing Candidate]:[Audit Candidate 6]])
      &lt;&gt;0,
      (Audit[[#This Row],[Winning Candidate]]-Audit[[#This Row],[Losing Candidate]]-(Audit[[#This Row],[Audit Winning Candidate]]-Audit[[#This Row],[Audit Losing Candidate]]))/(Audit[[#Totals],[Winning Candidate]]-Audit[[#Totals],[Losing Candidate]]),
      0
)</f>
        <v>0</v>
      </c>
      <c r="AD15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8" s="111">
        <f>IF(Audit[[#This Row],[Max Relative Error (ep)]] = 0, 0, Audit[[#This Row],[Max Relative Error (ep)]]/Audit[[#This Row],[Error Bound (up) - Max. possible relative overstatement]])</f>
        <v>0</v>
      </c>
      <c r="AJ15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18" s="111">
        <f t="shared" si="23"/>
        <v>1</v>
      </c>
      <c r="AL1518" s="111">
        <f>PRODUCT($AK$5:AK1518)</f>
        <v>8.962823818226312E-2</v>
      </c>
      <c r="AM1518" s="109">
        <f>1 - [K-M P Value]</f>
        <v>0.91037176181773694</v>
      </c>
      <c r="AN1518" s="111" t="str">
        <f>IF(Audit[[#This Row],[K-M P Value]]&gt;1-'General Info'!$B$16,"Continue", "Stop")</f>
        <v>Stop</v>
      </c>
      <c r="AO1518" s="110" t="b">
        <f>IF(Audit[[#This Row],[Status - Continue or stop audit]] = "Continue", TRUE, IF(AN1517 = "Continue", TRUE, FALSE))</f>
        <v>0</v>
      </c>
      <c r="AP1518" s="110"/>
    </row>
    <row r="1519" spans="1:42" ht="15" hidden="1" customHeight="1">
      <c r="A1519" s="111" t="str">
        <f>'Sampling Data'!W1512</f>
        <v/>
      </c>
      <c r="B1519" s="112" t="str">
        <f>'Sampling Data'!A1512</f>
        <v>NORTH OLMSTED -03-B - ABS</v>
      </c>
      <c r="C1519" s="112">
        <f>'Sampling Data'!B1512</f>
        <v>3</v>
      </c>
      <c r="D1519" s="112">
        <f>'Sampling Data'!C1512</f>
        <v>18</v>
      </c>
      <c r="E1519" s="113">
        <f>'Sampling Data'!D1512</f>
        <v>1</v>
      </c>
      <c r="F1519" s="113">
        <f>'Sampling Data'!E1512</f>
        <v>2</v>
      </c>
      <c r="G1519" s="113">
        <f>'Sampling Data'!F1512</f>
        <v>1</v>
      </c>
      <c r="H1519" s="113">
        <f>'Sampling Data'!G1512</f>
        <v>0</v>
      </c>
      <c r="I1519" s="112">
        <f>'Sampling Data'!H1512</f>
        <v>0</v>
      </c>
      <c r="J1519" s="112">
        <f>'Sampling Data'!I1512</f>
        <v>1</v>
      </c>
      <c r="K1519" s="112">
        <f>'Sampling Data'!J1512</f>
        <v>26</v>
      </c>
      <c r="L1519" s="111">
        <f>'Sampling Data'!X1512</f>
        <v>0</v>
      </c>
      <c r="M1519" s="114"/>
      <c r="N1519" s="114"/>
      <c r="O1519" s="115"/>
      <c r="P1519" s="115"/>
      <c r="Q1519" s="116"/>
      <c r="R1519" s="116"/>
      <c r="S1519" s="111">
        <f>Audit[[#This Row],[Audit Losing Candidate]]-Audit[[#This Row],[Losing Candidate]]</f>
        <v>-3</v>
      </c>
      <c r="T1519" s="111">
        <f>Audit[[#This Row],[Audit Winning Candidate]]-Audit[[#This Row],[Winning Candidate]]</f>
        <v>-18</v>
      </c>
      <c r="U1519" s="111">
        <f>Audit[[#This Row],[Audit Candidate 3]]-Audit[[#This Row],[Candidate 3]]</f>
        <v>-1</v>
      </c>
      <c r="V1519" s="111">
        <f>Audit[[#This Row],[Audit Candidate 4]]-Audit[[#This Row],[Candidate 4]]</f>
        <v>-2</v>
      </c>
      <c r="W1519" s="111">
        <f>Audit[[#This Row],[Audit Candidate 5]]-Audit[[#This Row],[Candidate 5]]</f>
        <v>-1</v>
      </c>
      <c r="X1519" s="111">
        <f>Audit[[#This Row],[Audit Candidate 6]]-Audit[[#This Row],[Candidate 6]]</f>
        <v>0</v>
      </c>
      <c r="Y1519" s="111">
        <f>SUMIF(Audit[[#This Row],[Difference Loser]:[Difference Candidate 6]], "&gt;0")</f>
        <v>0</v>
      </c>
      <c r="Z1519" s="111">
        <f>SUM(Audit[[#This Row],[Difference Loser]:[Difference Candidate 6]])</f>
        <v>-25</v>
      </c>
      <c r="AA1519" s="111">
        <f>IF(Audit[[#This Row],[Times p Drawn - With Replacement]]&gt;0, IF(Audit[[#This Row],[Canceled Differences]]&lt;0, Audit[[#This Row],[Max Differences]]+ABS(Audit[[#This Row],[Canceled Differences]]), Audit[[#This Row],[Max Differences]]), 0)</f>
        <v>0</v>
      </c>
      <c r="AB1519" s="111">
        <f>'Sampling Data'!P1512</f>
        <v>2.5110240078392945E-3</v>
      </c>
      <c r="AC1519" s="111">
        <f>IF(
      SUM(Audit[[#This Row],[Audit Losing Candidate]:[Audit Candidate 6]])
      &lt;&gt;0,
      (Audit[[#This Row],[Winning Candidate]]-Audit[[#This Row],[Losing Candidate]]-(Audit[[#This Row],[Audit Winning Candidate]]-Audit[[#This Row],[Audit Losing Candidate]]))/(Audit[[#Totals],[Winning Candidate]]-Audit[[#Totals],[Losing Candidate]]),
      0
)</f>
        <v>0</v>
      </c>
      <c r="AD15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9" s="111">
        <f>IF(Audit[[#This Row],[Max Relative Error (ep)]] = 0, 0, Audit[[#This Row],[Max Relative Error (ep)]]/Audit[[#This Row],[Error Bound (up) - Max. possible relative overstatement]])</f>
        <v>0</v>
      </c>
      <c r="AJ15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19" s="111">
        <f t="shared" si="23"/>
        <v>1</v>
      </c>
      <c r="AL1519" s="111">
        <f>PRODUCT($AK$5:AK1519)</f>
        <v>8.962823818226312E-2</v>
      </c>
      <c r="AM1519" s="109">
        <f>1 - [K-M P Value]</f>
        <v>0.91037176181773694</v>
      </c>
      <c r="AN1519" s="111" t="str">
        <f>IF(Audit[[#This Row],[K-M P Value]]&gt;1-'General Info'!$B$16,"Continue", "Stop")</f>
        <v>Stop</v>
      </c>
      <c r="AO1519" s="110" t="b">
        <f>IF(Audit[[#This Row],[Status - Continue or stop audit]] = "Continue", TRUE, IF(AN1518 = "Continue", TRUE, FALSE))</f>
        <v>0</v>
      </c>
      <c r="AP1519" s="110"/>
    </row>
    <row r="1520" spans="1:42" ht="15" hidden="1" customHeight="1">
      <c r="A1520" s="111" t="str">
        <f>'Sampling Data'!W1513</f>
        <v/>
      </c>
      <c r="B1520" s="112" t="str">
        <f>'Sampling Data'!A1513</f>
        <v>NORTH OLMSTED -03-C</v>
      </c>
      <c r="C1520" s="112">
        <f>'Sampling Data'!B1513</f>
        <v>28</v>
      </c>
      <c r="D1520" s="112">
        <f>'Sampling Data'!C1513</f>
        <v>49</v>
      </c>
      <c r="E1520" s="113">
        <f>'Sampling Data'!D1513</f>
        <v>11</v>
      </c>
      <c r="F1520" s="113">
        <f>'Sampling Data'!E1513</f>
        <v>9</v>
      </c>
      <c r="G1520" s="113">
        <f>'Sampling Data'!F1513</f>
        <v>0</v>
      </c>
      <c r="H1520" s="113">
        <f>'Sampling Data'!G1513</f>
        <v>0</v>
      </c>
      <c r="I1520" s="112">
        <f>'Sampling Data'!H1513</f>
        <v>0</v>
      </c>
      <c r="J1520" s="112">
        <f>'Sampling Data'!I1513</f>
        <v>1</v>
      </c>
      <c r="K1520" s="112">
        <f>'Sampling Data'!J1513</f>
        <v>98</v>
      </c>
      <c r="L1520" s="111">
        <f>'Sampling Data'!X1513</f>
        <v>0</v>
      </c>
      <c r="M1520" s="114"/>
      <c r="N1520" s="114"/>
      <c r="O1520" s="115"/>
      <c r="P1520" s="115"/>
      <c r="Q1520" s="116"/>
      <c r="R1520" s="116"/>
      <c r="S1520" s="111">
        <f>Audit[[#This Row],[Audit Losing Candidate]]-Audit[[#This Row],[Losing Candidate]]</f>
        <v>-28</v>
      </c>
      <c r="T1520" s="111">
        <f>Audit[[#This Row],[Audit Winning Candidate]]-Audit[[#This Row],[Winning Candidate]]</f>
        <v>-49</v>
      </c>
      <c r="U1520" s="111">
        <f>Audit[[#This Row],[Audit Candidate 3]]-Audit[[#This Row],[Candidate 3]]</f>
        <v>-11</v>
      </c>
      <c r="V1520" s="111">
        <f>Audit[[#This Row],[Audit Candidate 4]]-Audit[[#This Row],[Candidate 4]]</f>
        <v>-9</v>
      </c>
      <c r="W1520" s="111">
        <f>Audit[[#This Row],[Audit Candidate 5]]-Audit[[#This Row],[Candidate 5]]</f>
        <v>0</v>
      </c>
      <c r="X1520" s="111">
        <f>Audit[[#This Row],[Audit Candidate 6]]-Audit[[#This Row],[Candidate 6]]</f>
        <v>0</v>
      </c>
      <c r="Y1520" s="111">
        <f>SUMIF(Audit[[#This Row],[Difference Loser]:[Difference Candidate 6]], "&gt;0")</f>
        <v>0</v>
      </c>
      <c r="Z1520" s="111">
        <f>SUM(Audit[[#This Row],[Difference Loser]:[Difference Candidate 6]])</f>
        <v>-97</v>
      </c>
      <c r="AA1520" s="111">
        <f>IF(Audit[[#This Row],[Times p Drawn - With Replacement]]&gt;0, IF(Audit[[#This Row],[Canceled Differences]]&lt;0, Audit[[#This Row],[Max Differences]]+ABS(Audit[[#This Row],[Canceled Differences]]), Audit[[#This Row],[Max Differences]]), 0)</f>
        <v>0</v>
      </c>
      <c r="AB1520" s="111">
        <f>'Sampling Data'!P1513</f>
        <v>7.2880940715335622E-3</v>
      </c>
      <c r="AC1520" s="111">
        <f>IF(
      SUM(Audit[[#This Row],[Audit Losing Candidate]:[Audit Candidate 6]])
      &lt;&gt;0,
      (Audit[[#This Row],[Winning Candidate]]-Audit[[#This Row],[Losing Candidate]]-(Audit[[#This Row],[Audit Winning Candidate]]-Audit[[#This Row],[Audit Losing Candidate]]))/(Audit[[#Totals],[Winning Candidate]]-Audit[[#Totals],[Losing Candidate]]),
      0
)</f>
        <v>0</v>
      </c>
      <c r="AD15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0" s="111">
        <f>IF(Audit[[#This Row],[Max Relative Error (ep)]] = 0, 0, Audit[[#This Row],[Max Relative Error (ep)]]/Audit[[#This Row],[Error Bound (up) - Max. possible relative overstatement]])</f>
        <v>0</v>
      </c>
      <c r="AJ15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20" s="111">
        <f t="shared" si="23"/>
        <v>1</v>
      </c>
      <c r="AL1520" s="111">
        <f>PRODUCT($AK$5:AK1520)</f>
        <v>8.962823818226312E-2</v>
      </c>
      <c r="AM1520" s="109">
        <f>1 - [K-M P Value]</f>
        <v>0.91037176181773694</v>
      </c>
      <c r="AN1520" s="111" t="str">
        <f>IF(Audit[[#This Row],[K-M P Value]]&gt;1-'General Info'!$B$16,"Continue", "Stop")</f>
        <v>Stop</v>
      </c>
      <c r="AO1520" s="110" t="b">
        <f>IF(Audit[[#This Row],[Status - Continue or stop audit]] = "Continue", TRUE, IF(AN1519 = "Continue", TRUE, FALSE))</f>
        <v>0</v>
      </c>
      <c r="AP1520" s="110"/>
    </row>
    <row r="1521" spans="1:42" ht="15" hidden="1" customHeight="1">
      <c r="A1521" s="111" t="str">
        <f>'Sampling Data'!W1514</f>
        <v/>
      </c>
      <c r="B1521" s="112" t="str">
        <f>'Sampling Data'!A1514</f>
        <v>NORTH OLMSTED -03-C - ABS</v>
      </c>
      <c r="C1521" s="112">
        <f>'Sampling Data'!B1514</f>
        <v>24</v>
      </c>
      <c r="D1521" s="112">
        <f>'Sampling Data'!C1514</f>
        <v>32</v>
      </c>
      <c r="E1521" s="113">
        <f>'Sampling Data'!D1514</f>
        <v>8</v>
      </c>
      <c r="F1521" s="113">
        <f>'Sampling Data'!E1514</f>
        <v>2</v>
      </c>
      <c r="G1521" s="113">
        <f>'Sampling Data'!F1514</f>
        <v>2</v>
      </c>
      <c r="H1521" s="113">
        <f>'Sampling Data'!G1514</f>
        <v>1</v>
      </c>
      <c r="I1521" s="112">
        <f>'Sampling Data'!H1514</f>
        <v>0</v>
      </c>
      <c r="J1521" s="112">
        <f>'Sampling Data'!I1514</f>
        <v>0</v>
      </c>
      <c r="K1521" s="112">
        <f>'Sampling Data'!J1514</f>
        <v>69</v>
      </c>
      <c r="L1521" s="111">
        <f>'Sampling Data'!X1514</f>
        <v>0</v>
      </c>
      <c r="M1521" s="114"/>
      <c r="N1521" s="114"/>
      <c r="O1521" s="115"/>
      <c r="P1521" s="115"/>
      <c r="Q1521" s="116"/>
      <c r="R1521" s="116"/>
      <c r="S1521" s="111">
        <f>Audit[[#This Row],[Audit Losing Candidate]]-Audit[[#This Row],[Losing Candidate]]</f>
        <v>-24</v>
      </c>
      <c r="T1521" s="111">
        <f>Audit[[#This Row],[Audit Winning Candidate]]-Audit[[#This Row],[Winning Candidate]]</f>
        <v>-32</v>
      </c>
      <c r="U1521" s="111">
        <f>Audit[[#This Row],[Audit Candidate 3]]-Audit[[#This Row],[Candidate 3]]</f>
        <v>-8</v>
      </c>
      <c r="V1521" s="111">
        <f>Audit[[#This Row],[Audit Candidate 4]]-Audit[[#This Row],[Candidate 4]]</f>
        <v>-2</v>
      </c>
      <c r="W1521" s="111">
        <f>Audit[[#This Row],[Audit Candidate 5]]-Audit[[#This Row],[Candidate 5]]</f>
        <v>-2</v>
      </c>
      <c r="X1521" s="111">
        <f>Audit[[#This Row],[Audit Candidate 6]]-Audit[[#This Row],[Candidate 6]]</f>
        <v>-1</v>
      </c>
      <c r="Y1521" s="111">
        <f>SUMIF(Audit[[#This Row],[Difference Loser]:[Difference Candidate 6]], "&gt;0")</f>
        <v>0</v>
      </c>
      <c r="Z1521" s="111">
        <f>SUM(Audit[[#This Row],[Difference Loser]:[Difference Candidate 6]])</f>
        <v>-69</v>
      </c>
      <c r="AA1521" s="111">
        <f>IF(Audit[[#This Row],[Times p Drawn - With Replacement]]&gt;0, IF(Audit[[#This Row],[Canceled Differences]]&lt;0, Audit[[#This Row],[Max Differences]]+ABS(Audit[[#This Row],[Canceled Differences]]), Audit[[#This Row],[Max Differences]]), 0)</f>
        <v>0</v>
      </c>
      <c r="AB1521" s="111">
        <f>'Sampling Data'!P1514</f>
        <v>4.7158255756981869E-3</v>
      </c>
      <c r="AC1521" s="111">
        <f>IF(
      SUM(Audit[[#This Row],[Audit Losing Candidate]:[Audit Candidate 6]])
      &lt;&gt;0,
      (Audit[[#This Row],[Winning Candidate]]-Audit[[#This Row],[Losing Candidate]]-(Audit[[#This Row],[Audit Winning Candidate]]-Audit[[#This Row],[Audit Losing Candidate]]))/(Audit[[#Totals],[Winning Candidate]]-Audit[[#Totals],[Losing Candidate]]),
      0
)</f>
        <v>0</v>
      </c>
      <c r="AD15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1" s="111">
        <f>IF(Audit[[#This Row],[Max Relative Error (ep)]] = 0, 0, Audit[[#This Row],[Max Relative Error (ep)]]/Audit[[#This Row],[Error Bound (up) - Max. possible relative overstatement]])</f>
        <v>0</v>
      </c>
      <c r="AJ15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21" s="111">
        <f t="shared" si="23"/>
        <v>1</v>
      </c>
      <c r="AL1521" s="111">
        <f>PRODUCT($AK$5:AK1521)</f>
        <v>8.962823818226312E-2</v>
      </c>
      <c r="AM1521" s="109">
        <f>1 - [K-M P Value]</f>
        <v>0.91037176181773694</v>
      </c>
      <c r="AN1521" s="111" t="str">
        <f>IF(Audit[[#This Row],[K-M P Value]]&gt;1-'General Info'!$B$16,"Continue", "Stop")</f>
        <v>Stop</v>
      </c>
      <c r="AO1521" s="110" t="b">
        <f>IF(Audit[[#This Row],[Status - Continue or stop audit]] = "Continue", TRUE, IF(AN1520 = "Continue", TRUE, FALSE))</f>
        <v>0</v>
      </c>
      <c r="AP1521" s="110"/>
    </row>
    <row r="1522" spans="1:42" ht="15" hidden="1" customHeight="1">
      <c r="A1522" s="111" t="str">
        <f>'Sampling Data'!W1515</f>
        <v/>
      </c>
      <c r="B1522" s="112" t="str">
        <f>'Sampling Data'!A1515</f>
        <v>NORTH OLMSTED -03-D</v>
      </c>
      <c r="C1522" s="112">
        <f>'Sampling Data'!B1515</f>
        <v>40</v>
      </c>
      <c r="D1522" s="112">
        <f>'Sampling Data'!C1515</f>
        <v>53</v>
      </c>
      <c r="E1522" s="113">
        <f>'Sampling Data'!D1515</f>
        <v>17</v>
      </c>
      <c r="F1522" s="113">
        <f>'Sampling Data'!E1515</f>
        <v>5</v>
      </c>
      <c r="G1522" s="113">
        <f>'Sampling Data'!F1515</f>
        <v>0</v>
      </c>
      <c r="H1522" s="113">
        <f>'Sampling Data'!G1515</f>
        <v>0</v>
      </c>
      <c r="I1522" s="112">
        <f>'Sampling Data'!H1515</f>
        <v>0</v>
      </c>
      <c r="J1522" s="112">
        <f>'Sampling Data'!I1515</f>
        <v>0</v>
      </c>
      <c r="K1522" s="112">
        <f>'Sampling Data'!J1515</f>
        <v>115</v>
      </c>
      <c r="L1522" s="111">
        <f>'Sampling Data'!X1515</f>
        <v>0</v>
      </c>
      <c r="M1522" s="114"/>
      <c r="N1522" s="114"/>
      <c r="O1522" s="115"/>
      <c r="P1522" s="115"/>
      <c r="Q1522" s="116"/>
      <c r="R1522" s="116"/>
      <c r="S1522" s="111">
        <f>Audit[[#This Row],[Audit Losing Candidate]]-Audit[[#This Row],[Losing Candidate]]</f>
        <v>-40</v>
      </c>
      <c r="T1522" s="111">
        <f>Audit[[#This Row],[Audit Winning Candidate]]-Audit[[#This Row],[Winning Candidate]]</f>
        <v>-53</v>
      </c>
      <c r="U1522" s="111">
        <f>Audit[[#This Row],[Audit Candidate 3]]-Audit[[#This Row],[Candidate 3]]</f>
        <v>-17</v>
      </c>
      <c r="V1522" s="111">
        <f>Audit[[#This Row],[Audit Candidate 4]]-Audit[[#This Row],[Candidate 4]]</f>
        <v>-5</v>
      </c>
      <c r="W1522" s="111">
        <f>Audit[[#This Row],[Audit Candidate 5]]-Audit[[#This Row],[Candidate 5]]</f>
        <v>0</v>
      </c>
      <c r="X1522" s="111">
        <f>Audit[[#This Row],[Audit Candidate 6]]-Audit[[#This Row],[Candidate 6]]</f>
        <v>0</v>
      </c>
      <c r="Y1522" s="111">
        <f>SUMIF(Audit[[#This Row],[Difference Loser]:[Difference Candidate 6]], "&gt;0")</f>
        <v>0</v>
      </c>
      <c r="Z1522" s="111">
        <f>SUM(Audit[[#This Row],[Difference Loser]:[Difference Candidate 6]])</f>
        <v>-115</v>
      </c>
      <c r="AA1522" s="111">
        <f>IF(Audit[[#This Row],[Times p Drawn - With Replacement]]&gt;0, IF(Audit[[#This Row],[Canceled Differences]]&lt;0, Audit[[#This Row],[Max Differences]]+ABS(Audit[[#This Row],[Canceled Differences]]), Audit[[#This Row],[Max Differences]]), 0)</f>
        <v>0</v>
      </c>
      <c r="AB1522" s="111">
        <f>'Sampling Data'!P1515</f>
        <v>7.839294463498285E-3</v>
      </c>
      <c r="AC1522" s="111">
        <f>IF(
      SUM(Audit[[#This Row],[Audit Losing Candidate]:[Audit Candidate 6]])
      &lt;&gt;0,
      (Audit[[#This Row],[Winning Candidate]]-Audit[[#This Row],[Losing Candidate]]-(Audit[[#This Row],[Audit Winning Candidate]]-Audit[[#This Row],[Audit Losing Candidate]]))/(Audit[[#Totals],[Winning Candidate]]-Audit[[#Totals],[Losing Candidate]]),
      0
)</f>
        <v>0</v>
      </c>
      <c r="AD15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2" s="111">
        <f>IF(Audit[[#This Row],[Max Relative Error (ep)]] = 0, 0, Audit[[#This Row],[Max Relative Error (ep)]]/Audit[[#This Row],[Error Bound (up) - Max. possible relative overstatement]])</f>
        <v>0</v>
      </c>
      <c r="AJ15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22" s="111">
        <f t="shared" si="23"/>
        <v>1</v>
      </c>
      <c r="AL1522" s="111">
        <f>PRODUCT($AK$5:AK1522)</f>
        <v>8.962823818226312E-2</v>
      </c>
      <c r="AM1522" s="109">
        <f>1 - [K-M P Value]</f>
        <v>0.91037176181773694</v>
      </c>
      <c r="AN1522" s="111" t="str">
        <f>IF(Audit[[#This Row],[K-M P Value]]&gt;1-'General Info'!$B$16,"Continue", "Stop")</f>
        <v>Stop</v>
      </c>
      <c r="AO1522" s="110" t="b">
        <f>IF(Audit[[#This Row],[Status - Continue or stop audit]] = "Continue", TRUE, IF(AN1521 = "Continue", TRUE, FALSE))</f>
        <v>0</v>
      </c>
      <c r="AP1522" s="110"/>
    </row>
    <row r="1523" spans="1:42" ht="15" hidden="1" customHeight="1">
      <c r="A1523" s="111" t="str">
        <f>'Sampling Data'!W1516</f>
        <v/>
      </c>
      <c r="B1523" s="112" t="str">
        <f>'Sampling Data'!A1516</f>
        <v>NORTH OLMSTED -03-D - ABS</v>
      </c>
      <c r="C1523" s="112">
        <f>'Sampling Data'!B1516</f>
        <v>15</v>
      </c>
      <c r="D1523" s="112">
        <f>'Sampling Data'!C1516</f>
        <v>13</v>
      </c>
      <c r="E1523" s="113">
        <f>'Sampling Data'!D1516</f>
        <v>8</v>
      </c>
      <c r="F1523" s="113">
        <f>'Sampling Data'!E1516</f>
        <v>2</v>
      </c>
      <c r="G1523" s="113">
        <f>'Sampling Data'!F1516</f>
        <v>1</v>
      </c>
      <c r="H1523" s="113">
        <f>'Sampling Data'!G1516</f>
        <v>0</v>
      </c>
      <c r="I1523" s="112">
        <f>'Sampling Data'!H1516</f>
        <v>0</v>
      </c>
      <c r="J1523" s="112">
        <f>'Sampling Data'!I1516</f>
        <v>0</v>
      </c>
      <c r="K1523" s="112">
        <f>'Sampling Data'!J1516</f>
        <v>39</v>
      </c>
      <c r="L1523" s="111">
        <f>'Sampling Data'!X1516</f>
        <v>0</v>
      </c>
      <c r="M1523" s="114"/>
      <c r="N1523" s="114"/>
      <c r="O1523" s="115"/>
      <c r="P1523" s="115"/>
      <c r="Q1523" s="116"/>
      <c r="R1523" s="116"/>
      <c r="S1523" s="111">
        <f>Audit[[#This Row],[Audit Losing Candidate]]-Audit[[#This Row],[Losing Candidate]]</f>
        <v>-15</v>
      </c>
      <c r="T1523" s="111">
        <f>Audit[[#This Row],[Audit Winning Candidate]]-Audit[[#This Row],[Winning Candidate]]</f>
        <v>-13</v>
      </c>
      <c r="U1523" s="111">
        <f>Audit[[#This Row],[Audit Candidate 3]]-Audit[[#This Row],[Candidate 3]]</f>
        <v>-8</v>
      </c>
      <c r="V1523" s="111">
        <f>Audit[[#This Row],[Audit Candidate 4]]-Audit[[#This Row],[Candidate 4]]</f>
        <v>-2</v>
      </c>
      <c r="W1523" s="111">
        <f>Audit[[#This Row],[Audit Candidate 5]]-Audit[[#This Row],[Candidate 5]]</f>
        <v>-1</v>
      </c>
      <c r="X1523" s="111">
        <f>Audit[[#This Row],[Audit Candidate 6]]-Audit[[#This Row],[Candidate 6]]</f>
        <v>0</v>
      </c>
      <c r="Y1523" s="111">
        <f>SUMIF(Audit[[#This Row],[Difference Loser]:[Difference Candidate 6]], "&gt;0")</f>
        <v>0</v>
      </c>
      <c r="Z1523" s="111">
        <f>SUM(Audit[[#This Row],[Difference Loser]:[Difference Candidate 6]])</f>
        <v>-39</v>
      </c>
      <c r="AA1523" s="111">
        <f>IF(Audit[[#This Row],[Times p Drawn - With Replacement]]&gt;0, IF(Audit[[#This Row],[Canceled Differences]]&lt;0, Audit[[#This Row],[Max Differences]]+ABS(Audit[[#This Row],[Canceled Differences]]), Audit[[#This Row],[Max Differences]]), 0)</f>
        <v>0</v>
      </c>
      <c r="AB1523" s="111">
        <f>'Sampling Data'!P1516</f>
        <v>2.2660460558549728E-3</v>
      </c>
      <c r="AC1523" s="111">
        <f>IF(
      SUM(Audit[[#This Row],[Audit Losing Candidate]:[Audit Candidate 6]])
      &lt;&gt;0,
      (Audit[[#This Row],[Winning Candidate]]-Audit[[#This Row],[Losing Candidate]]-(Audit[[#This Row],[Audit Winning Candidate]]-Audit[[#This Row],[Audit Losing Candidate]]))/(Audit[[#Totals],[Winning Candidate]]-Audit[[#Totals],[Losing Candidate]]),
      0
)</f>
        <v>0</v>
      </c>
      <c r="AD15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3" s="111">
        <f>IF(Audit[[#This Row],[Max Relative Error (ep)]] = 0, 0, Audit[[#This Row],[Max Relative Error (ep)]]/Audit[[#This Row],[Error Bound (up) - Max. possible relative overstatement]])</f>
        <v>0</v>
      </c>
      <c r="AJ15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23" s="111">
        <f t="shared" si="23"/>
        <v>1</v>
      </c>
      <c r="AL1523" s="111">
        <f>PRODUCT($AK$5:AK1523)</f>
        <v>8.962823818226312E-2</v>
      </c>
      <c r="AM1523" s="109">
        <f>1 - [K-M P Value]</f>
        <v>0.91037176181773694</v>
      </c>
      <c r="AN1523" s="111" t="str">
        <f>IF(Audit[[#This Row],[K-M P Value]]&gt;1-'General Info'!$B$16,"Continue", "Stop")</f>
        <v>Stop</v>
      </c>
      <c r="AO1523" s="110" t="b">
        <f>IF(Audit[[#This Row],[Status - Continue or stop audit]] = "Continue", TRUE, IF(AN1522 = "Continue", TRUE, FALSE))</f>
        <v>0</v>
      </c>
      <c r="AP1523" s="110"/>
    </row>
    <row r="1524" spans="1:42" ht="15" hidden="1" customHeight="1">
      <c r="A1524" s="111" t="str">
        <f>'Sampling Data'!W1517</f>
        <v/>
      </c>
      <c r="B1524" s="112" t="str">
        <f>'Sampling Data'!A1517</f>
        <v>NORTH OLMSTED -03-E</v>
      </c>
      <c r="C1524" s="112">
        <f>'Sampling Data'!B1517</f>
        <v>30</v>
      </c>
      <c r="D1524" s="112">
        <f>'Sampling Data'!C1517</f>
        <v>37</v>
      </c>
      <c r="E1524" s="113">
        <f>'Sampling Data'!D1517</f>
        <v>15</v>
      </c>
      <c r="F1524" s="113">
        <f>'Sampling Data'!E1517</f>
        <v>11</v>
      </c>
      <c r="G1524" s="113">
        <f>'Sampling Data'!F1517</f>
        <v>0</v>
      </c>
      <c r="H1524" s="113">
        <f>'Sampling Data'!G1517</f>
        <v>1</v>
      </c>
      <c r="I1524" s="112">
        <f>'Sampling Data'!H1517</f>
        <v>0</v>
      </c>
      <c r="J1524" s="112">
        <f>'Sampling Data'!I1517</f>
        <v>0</v>
      </c>
      <c r="K1524" s="112">
        <f>'Sampling Data'!J1517</f>
        <v>94</v>
      </c>
      <c r="L1524" s="111">
        <f>'Sampling Data'!X1517</f>
        <v>0</v>
      </c>
      <c r="M1524" s="114"/>
      <c r="N1524" s="114"/>
      <c r="O1524" s="115"/>
      <c r="P1524" s="115"/>
      <c r="Q1524" s="116"/>
      <c r="R1524" s="116"/>
      <c r="S1524" s="111">
        <f>Audit[[#This Row],[Audit Losing Candidate]]-Audit[[#This Row],[Losing Candidate]]</f>
        <v>-30</v>
      </c>
      <c r="T1524" s="111">
        <f>Audit[[#This Row],[Audit Winning Candidate]]-Audit[[#This Row],[Winning Candidate]]</f>
        <v>-37</v>
      </c>
      <c r="U1524" s="111">
        <f>Audit[[#This Row],[Audit Candidate 3]]-Audit[[#This Row],[Candidate 3]]</f>
        <v>-15</v>
      </c>
      <c r="V1524" s="111">
        <f>Audit[[#This Row],[Audit Candidate 4]]-Audit[[#This Row],[Candidate 4]]</f>
        <v>-11</v>
      </c>
      <c r="W1524" s="111">
        <f>Audit[[#This Row],[Audit Candidate 5]]-Audit[[#This Row],[Candidate 5]]</f>
        <v>0</v>
      </c>
      <c r="X1524" s="111">
        <f>Audit[[#This Row],[Audit Candidate 6]]-Audit[[#This Row],[Candidate 6]]</f>
        <v>-1</v>
      </c>
      <c r="Y1524" s="111">
        <f>SUMIF(Audit[[#This Row],[Difference Loser]:[Difference Candidate 6]], "&gt;0")</f>
        <v>0</v>
      </c>
      <c r="Z1524" s="111">
        <f>SUM(Audit[[#This Row],[Difference Loser]:[Difference Candidate 6]])</f>
        <v>-94</v>
      </c>
      <c r="AA1524" s="111">
        <f>IF(Audit[[#This Row],[Times p Drawn - With Replacement]]&gt;0, IF(Audit[[#This Row],[Canceled Differences]]&lt;0, Audit[[#This Row],[Max Differences]]+ABS(Audit[[#This Row],[Canceled Differences]]), Audit[[#This Row],[Max Differences]]), 0)</f>
        <v>0</v>
      </c>
      <c r="AB1524" s="111">
        <f>'Sampling Data'!P1517</f>
        <v>6.1856932876041158E-3</v>
      </c>
      <c r="AC1524" s="111">
        <f>IF(
      SUM(Audit[[#This Row],[Audit Losing Candidate]:[Audit Candidate 6]])
      &lt;&gt;0,
      (Audit[[#This Row],[Winning Candidate]]-Audit[[#This Row],[Losing Candidate]]-(Audit[[#This Row],[Audit Winning Candidate]]-Audit[[#This Row],[Audit Losing Candidate]]))/(Audit[[#Totals],[Winning Candidate]]-Audit[[#Totals],[Losing Candidate]]),
      0
)</f>
        <v>0</v>
      </c>
      <c r="AD15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4" s="111">
        <f>IF(Audit[[#This Row],[Max Relative Error (ep)]] = 0, 0, Audit[[#This Row],[Max Relative Error (ep)]]/Audit[[#This Row],[Error Bound (up) - Max. possible relative overstatement]])</f>
        <v>0</v>
      </c>
      <c r="AJ15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24" s="111">
        <f t="shared" si="23"/>
        <v>1</v>
      </c>
      <c r="AL1524" s="111">
        <f>PRODUCT($AK$5:AK1524)</f>
        <v>8.962823818226312E-2</v>
      </c>
      <c r="AM1524" s="109">
        <f>1 - [K-M P Value]</f>
        <v>0.91037176181773694</v>
      </c>
      <c r="AN1524" s="111" t="str">
        <f>IF(Audit[[#This Row],[K-M P Value]]&gt;1-'General Info'!$B$16,"Continue", "Stop")</f>
        <v>Stop</v>
      </c>
      <c r="AO1524" s="110" t="b">
        <f>IF(Audit[[#This Row],[Status - Continue or stop audit]] = "Continue", TRUE, IF(AN1523 = "Continue", TRUE, FALSE))</f>
        <v>0</v>
      </c>
      <c r="AP1524" s="110"/>
    </row>
    <row r="1525" spans="1:42" ht="15" hidden="1" customHeight="1">
      <c r="A1525" s="111" t="str">
        <f>'Sampling Data'!W1518</f>
        <v/>
      </c>
      <c r="B1525" s="112" t="str">
        <f>'Sampling Data'!A1518</f>
        <v>NORTH OLMSTED -03-E - ABS</v>
      </c>
      <c r="C1525" s="112">
        <f>'Sampling Data'!B1518</f>
        <v>23</v>
      </c>
      <c r="D1525" s="112">
        <f>'Sampling Data'!C1518</f>
        <v>22</v>
      </c>
      <c r="E1525" s="113">
        <f>'Sampling Data'!D1518</f>
        <v>12</v>
      </c>
      <c r="F1525" s="113">
        <f>'Sampling Data'!E1518</f>
        <v>7</v>
      </c>
      <c r="G1525" s="113">
        <f>'Sampling Data'!F1518</f>
        <v>0</v>
      </c>
      <c r="H1525" s="113">
        <f>'Sampling Data'!G1518</f>
        <v>0</v>
      </c>
      <c r="I1525" s="112">
        <f>'Sampling Data'!H1518</f>
        <v>0</v>
      </c>
      <c r="J1525" s="112">
        <f>'Sampling Data'!I1518</f>
        <v>1</v>
      </c>
      <c r="K1525" s="112">
        <f>'Sampling Data'!J1518</f>
        <v>65</v>
      </c>
      <c r="L1525" s="111">
        <f>'Sampling Data'!X1518</f>
        <v>0</v>
      </c>
      <c r="M1525" s="114"/>
      <c r="N1525" s="114"/>
      <c r="O1525" s="115"/>
      <c r="P1525" s="115"/>
      <c r="Q1525" s="116"/>
      <c r="R1525" s="116"/>
      <c r="S1525" s="111">
        <f>Audit[[#This Row],[Audit Losing Candidate]]-Audit[[#This Row],[Losing Candidate]]</f>
        <v>-23</v>
      </c>
      <c r="T1525" s="111">
        <f>Audit[[#This Row],[Audit Winning Candidate]]-Audit[[#This Row],[Winning Candidate]]</f>
        <v>-22</v>
      </c>
      <c r="U1525" s="111">
        <f>Audit[[#This Row],[Audit Candidate 3]]-Audit[[#This Row],[Candidate 3]]</f>
        <v>-12</v>
      </c>
      <c r="V1525" s="111">
        <f>Audit[[#This Row],[Audit Candidate 4]]-Audit[[#This Row],[Candidate 4]]</f>
        <v>-7</v>
      </c>
      <c r="W1525" s="111">
        <f>Audit[[#This Row],[Audit Candidate 5]]-Audit[[#This Row],[Candidate 5]]</f>
        <v>0</v>
      </c>
      <c r="X1525" s="111">
        <f>Audit[[#This Row],[Audit Candidate 6]]-Audit[[#This Row],[Candidate 6]]</f>
        <v>0</v>
      </c>
      <c r="Y1525" s="111">
        <f>SUMIF(Audit[[#This Row],[Difference Loser]:[Difference Candidate 6]], "&gt;0")</f>
        <v>0</v>
      </c>
      <c r="Z1525" s="111">
        <f>SUM(Audit[[#This Row],[Difference Loser]:[Difference Candidate 6]])</f>
        <v>-64</v>
      </c>
      <c r="AA1525" s="111">
        <f>IF(Audit[[#This Row],[Times p Drawn - With Replacement]]&gt;0, IF(Audit[[#This Row],[Canceled Differences]]&lt;0, Audit[[#This Row],[Max Differences]]+ABS(Audit[[#This Row],[Canceled Differences]]), Audit[[#This Row],[Max Differences]]), 0)</f>
        <v>0</v>
      </c>
      <c r="AB1525" s="111">
        <f>'Sampling Data'!P1518</f>
        <v>3.9196472317491425E-3</v>
      </c>
      <c r="AC1525" s="111">
        <f>IF(
      SUM(Audit[[#This Row],[Audit Losing Candidate]:[Audit Candidate 6]])
      &lt;&gt;0,
      (Audit[[#This Row],[Winning Candidate]]-Audit[[#This Row],[Losing Candidate]]-(Audit[[#This Row],[Audit Winning Candidate]]-Audit[[#This Row],[Audit Losing Candidate]]))/(Audit[[#Totals],[Winning Candidate]]-Audit[[#Totals],[Losing Candidate]]),
      0
)</f>
        <v>0</v>
      </c>
      <c r="AD15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5" s="111">
        <f>IF(Audit[[#This Row],[Max Relative Error (ep)]] = 0, 0, Audit[[#This Row],[Max Relative Error (ep)]]/Audit[[#This Row],[Error Bound (up) - Max. possible relative overstatement]])</f>
        <v>0</v>
      </c>
      <c r="AJ15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25" s="111">
        <f t="shared" si="23"/>
        <v>1</v>
      </c>
      <c r="AL1525" s="111">
        <f>PRODUCT($AK$5:AK1525)</f>
        <v>8.962823818226312E-2</v>
      </c>
      <c r="AM1525" s="109">
        <f>1 - [K-M P Value]</f>
        <v>0.91037176181773694</v>
      </c>
      <c r="AN1525" s="111" t="str">
        <f>IF(Audit[[#This Row],[K-M P Value]]&gt;1-'General Info'!$B$16,"Continue", "Stop")</f>
        <v>Stop</v>
      </c>
      <c r="AO1525" s="110" t="b">
        <f>IF(Audit[[#This Row],[Status - Continue or stop audit]] = "Continue", TRUE, IF(AN1524 = "Continue", TRUE, FALSE))</f>
        <v>0</v>
      </c>
      <c r="AP1525" s="110"/>
    </row>
    <row r="1526" spans="1:42" ht="15" hidden="1" customHeight="1">
      <c r="A1526" s="111" t="str">
        <f>'Sampling Data'!W1519</f>
        <v/>
      </c>
      <c r="B1526" s="112" t="str">
        <f>'Sampling Data'!A1519</f>
        <v>NORTH OLMSTED -03-F</v>
      </c>
      <c r="C1526" s="112">
        <f>'Sampling Data'!B1519</f>
        <v>26</v>
      </c>
      <c r="D1526" s="112">
        <f>'Sampling Data'!C1519</f>
        <v>37</v>
      </c>
      <c r="E1526" s="113">
        <f>'Sampling Data'!D1519</f>
        <v>7</v>
      </c>
      <c r="F1526" s="113">
        <f>'Sampling Data'!E1519</f>
        <v>15</v>
      </c>
      <c r="G1526" s="113">
        <f>'Sampling Data'!F1519</f>
        <v>1</v>
      </c>
      <c r="H1526" s="113">
        <f>'Sampling Data'!G1519</f>
        <v>0</v>
      </c>
      <c r="I1526" s="112">
        <f>'Sampling Data'!H1519</f>
        <v>0</v>
      </c>
      <c r="J1526" s="112">
        <f>'Sampling Data'!I1519</f>
        <v>1</v>
      </c>
      <c r="K1526" s="112">
        <f>'Sampling Data'!J1519</f>
        <v>87</v>
      </c>
      <c r="L1526" s="111">
        <f>'Sampling Data'!X1519</f>
        <v>0</v>
      </c>
      <c r="M1526" s="114"/>
      <c r="N1526" s="114"/>
      <c r="O1526" s="115"/>
      <c r="P1526" s="115"/>
      <c r="Q1526" s="116"/>
      <c r="R1526" s="116"/>
      <c r="S1526" s="111">
        <f>Audit[[#This Row],[Audit Losing Candidate]]-Audit[[#This Row],[Losing Candidate]]</f>
        <v>-26</v>
      </c>
      <c r="T1526" s="111">
        <f>Audit[[#This Row],[Audit Winning Candidate]]-Audit[[#This Row],[Winning Candidate]]</f>
        <v>-37</v>
      </c>
      <c r="U1526" s="111">
        <f>Audit[[#This Row],[Audit Candidate 3]]-Audit[[#This Row],[Candidate 3]]</f>
        <v>-7</v>
      </c>
      <c r="V1526" s="111">
        <f>Audit[[#This Row],[Audit Candidate 4]]-Audit[[#This Row],[Candidate 4]]</f>
        <v>-15</v>
      </c>
      <c r="W1526" s="111">
        <f>Audit[[#This Row],[Audit Candidate 5]]-Audit[[#This Row],[Candidate 5]]</f>
        <v>-1</v>
      </c>
      <c r="X1526" s="111">
        <f>Audit[[#This Row],[Audit Candidate 6]]-Audit[[#This Row],[Candidate 6]]</f>
        <v>0</v>
      </c>
      <c r="Y1526" s="111">
        <f>SUMIF(Audit[[#This Row],[Difference Loser]:[Difference Candidate 6]], "&gt;0")</f>
        <v>0</v>
      </c>
      <c r="Z1526" s="111">
        <f>SUM(Audit[[#This Row],[Difference Loser]:[Difference Candidate 6]])</f>
        <v>-86</v>
      </c>
      <c r="AA1526" s="111">
        <f>IF(Audit[[#This Row],[Times p Drawn - With Replacement]]&gt;0, IF(Audit[[#This Row],[Canceled Differences]]&lt;0, Audit[[#This Row],[Max Differences]]+ABS(Audit[[#This Row],[Canceled Differences]]), Audit[[#This Row],[Max Differences]]), 0)</f>
        <v>0</v>
      </c>
      <c r="AB1526" s="111">
        <f>'Sampling Data'!P1519</f>
        <v>6.0019598236158746E-3</v>
      </c>
      <c r="AC1526" s="111">
        <f>IF(
      SUM(Audit[[#This Row],[Audit Losing Candidate]:[Audit Candidate 6]])
      &lt;&gt;0,
      (Audit[[#This Row],[Winning Candidate]]-Audit[[#This Row],[Losing Candidate]]-(Audit[[#This Row],[Audit Winning Candidate]]-Audit[[#This Row],[Audit Losing Candidate]]))/(Audit[[#Totals],[Winning Candidate]]-Audit[[#Totals],[Losing Candidate]]),
      0
)</f>
        <v>0</v>
      </c>
      <c r="AD15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6" s="111">
        <f>IF(Audit[[#This Row],[Max Relative Error (ep)]] = 0, 0, Audit[[#This Row],[Max Relative Error (ep)]]/Audit[[#This Row],[Error Bound (up) - Max. possible relative overstatement]])</f>
        <v>0</v>
      </c>
      <c r="AJ15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26" s="111">
        <f t="shared" si="23"/>
        <v>1</v>
      </c>
      <c r="AL1526" s="111">
        <f>PRODUCT($AK$5:AK1526)</f>
        <v>8.962823818226312E-2</v>
      </c>
      <c r="AM1526" s="109">
        <f>1 - [K-M P Value]</f>
        <v>0.91037176181773694</v>
      </c>
      <c r="AN1526" s="111" t="str">
        <f>IF(Audit[[#This Row],[K-M P Value]]&gt;1-'General Info'!$B$16,"Continue", "Stop")</f>
        <v>Stop</v>
      </c>
      <c r="AO1526" s="110" t="b">
        <f>IF(Audit[[#This Row],[Status - Continue or stop audit]] = "Continue", TRUE, IF(AN1525 = "Continue", TRUE, FALSE))</f>
        <v>0</v>
      </c>
      <c r="AP1526" s="110"/>
    </row>
    <row r="1527" spans="1:42" ht="15" hidden="1" customHeight="1">
      <c r="A1527" s="111" t="str">
        <f>'Sampling Data'!W1520</f>
        <v/>
      </c>
      <c r="B1527" s="112" t="str">
        <f>'Sampling Data'!A1520</f>
        <v>NORTH OLMSTED -03-F - ABS</v>
      </c>
      <c r="C1527" s="112">
        <f>'Sampling Data'!B1520</f>
        <v>15</v>
      </c>
      <c r="D1527" s="112">
        <f>'Sampling Data'!C1520</f>
        <v>24</v>
      </c>
      <c r="E1527" s="113">
        <f>'Sampling Data'!D1520</f>
        <v>3</v>
      </c>
      <c r="F1527" s="113">
        <f>'Sampling Data'!E1520</f>
        <v>1</v>
      </c>
      <c r="G1527" s="113">
        <f>'Sampling Data'!F1520</f>
        <v>0</v>
      </c>
      <c r="H1527" s="113">
        <f>'Sampling Data'!G1520</f>
        <v>0</v>
      </c>
      <c r="I1527" s="112">
        <f>'Sampling Data'!H1520</f>
        <v>0</v>
      </c>
      <c r="J1527" s="112">
        <f>'Sampling Data'!I1520</f>
        <v>1</v>
      </c>
      <c r="K1527" s="112">
        <f>'Sampling Data'!J1520</f>
        <v>44</v>
      </c>
      <c r="L1527" s="111">
        <f>'Sampling Data'!X1520</f>
        <v>0</v>
      </c>
      <c r="M1527" s="114"/>
      <c r="N1527" s="114"/>
      <c r="O1527" s="115"/>
      <c r="P1527" s="115"/>
      <c r="Q1527" s="116"/>
      <c r="R1527" s="116"/>
      <c r="S1527" s="111">
        <f>Audit[[#This Row],[Audit Losing Candidate]]-Audit[[#This Row],[Losing Candidate]]</f>
        <v>-15</v>
      </c>
      <c r="T1527" s="111">
        <f>Audit[[#This Row],[Audit Winning Candidate]]-Audit[[#This Row],[Winning Candidate]]</f>
        <v>-24</v>
      </c>
      <c r="U1527" s="111">
        <f>Audit[[#This Row],[Audit Candidate 3]]-Audit[[#This Row],[Candidate 3]]</f>
        <v>-3</v>
      </c>
      <c r="V1527" s="111">
        <f>Audit[[#This Row],[Audit Candidate 4]]-Audit[[#This Row],[Candidate 4]]</f>
        <v>-1</v>
      </c>
      <c r="W1527" s="111">
        <f>Audit[[#This Row],[Audit Candidate 5]]-Audit[[#This Row],[Candidate 5]]</f>
        <v>0</v>
      </c>
      <c r="X1527" s="111">
        <f>Audit[[#This Row],[Audit Candidate 6]]-Audit[[#This Row],[Candidate 6]]</f>
        <v>0</v>
      </c>
      <c r="Y1527" s="111">
        <f>SUMIF(Audit[[#This Row],[Difference Loser]:[Difference Candidate 6]], "&gt;0")</f>
        <v>0</v>
      </c>
      <c r="Z1527" s="111">
        <f>SUM(Audit[[#This Row],[Difference Loser]:[Difference Candidate 6]])</f>
        <v>-43</v>
      </c>
      <c r="AA1527" s="111">
        <f>IF(Audit[[#This Row],[Times p Drawn - With Replacement]]&gt;0, IF(Audit[[#This Row],[Canceled Differences]]&lt;0, Audit[[#This Row],[Max Differences]]+ABS(Audit[[#This Row],[Canceled Differences]]), Audit[[#This Row],[Max Differences]]), 0)</f>
        <v>0</v>
      </c>
      <c r="AB1527" s="111">
        <f>'Sampling Data'!P1520</f>
        <v>3.2459578637922589E-3</v>
      </c>
      <c r="AC1527" s="111">
        <f>IF(
      SUM(Audit[[#This Row],[Audit Losing Candidate]:[Audit Candidate 6]])
      &lt;&gt;0,
      (Audit[[#This Row],[Winning Candidate]]-Audit[[#This Row],[Losing Candidate]]-(Audit[[#This Row],[Audit Winning Candidate]]-Audit[[#This Row],[Audit Losing Candidate]]))/(Audit[[#Totals],[Winning Candidate]]-Audit[[#Totals],[Losing Candidate]]),
      0
)</f>
        <v>0</v>
      </c>
      <c r="AD15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7" s="111">
        <f>IF(Audit[[#This Row],[Max Relative Error (ep)]] = 0, 0, Audit[[#This Row],[Max Relative Error (ep)]]/Audit[[#This Row],[Error Bound (up) - Max. possible relative overstatement]])</f>
        <v>0</v>
      </c>
      <c r="AJ15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27" s="111">
        <f t="shared" si="23"/>
        <v>1</v>
      </c>
      <c r="AL1527" s="111">
        <f>PRODUCT($AK$5:AK1527)</f>
        <v>8.962823818226312E-2</v>
      </c>
      <c r="AM1527" s="109">
        <f>1 - [K-M P Value]</f>
        <v>0.91037176181773694</v>
      </c>
      <c r="AN1527" s="111" t="str">
        <f>IF(Audit[[#This Row],[K-M P Value]]&gt;1-'General Info'!$B$16,"Continue", "Stop")</f>
        <v>Stop</v>
      </c>
      <c r="AO1527" s="110" t="b">
        <f>IF(Audit[[#This Row],[Status - Continue or stop audit]] = "Continue", TRUE, IF(AN1526 = "Continue", TRUE, FALSE))</f>
        <v>0</v>
      </c>
      <c r="AP1527" s="110"/>
    </row>
    <row r="1528" spans="1:42" ht="15" hidden="1" customHeight="1">
      <c r="A1528" s="111" t="str">
        <f>'Sampling Data'!W1521</f>
        <v/>
      </c>
      <c r="B1528" s="112" t="str">
        <f>'Sampling Data'!A1521</f>
        <v>NORTH OLMSTED -03-G</v>
      </c>
      <c r="C1528" s="112">
        <f>'Sampling Data'!B1521</f>
        <v>31</v>
      </c>
      <c r="D1528" s="112">
        <f>'Sampling Data'!C1521</f>
        <v>41</v>
      </c>
      <c r="E1528" s="113">
        <f>'Sampling Data'!D1521</f>
        <v>8</v>
      </c>
      <c r="F1528" s="113">
        <f>'Sampling Data'!E1521</f>
        <v>3</v>
      </c>
      <c r="G1528" s="113">
        <f>'Sampling Data'!F1521</f>
        <v>0</v>
      </c>
      <c r="H1528" s="113">
        <f>'Sampling Data'!G1521</f>
        <v>0</v>
      </c>
      <c r="I1528" s="112">
        <f>'Sampling Data'!H1521</f>
        <v>0</v>
      </c>
      <c r="J1528" s="112">
        <f>'Sampling Data'!I1521</f>
        <v>2</v>
      </c>
      <c r="K1528" s="112">
        <f>'Sampling Data'!J1521</f>
        <v>85</v>
      </c>
      <c r="L1528" s="111">
        <f>'Sampling Data'!X1521</f>
        <v>0</v>
      </c>
      <c r="M1528" s="114"/>
      <c r="N1528" s="114"/>
      <c r="O1528" s="115"/>
      <c r="P1528" s="115"/>
      <c r="Q1528" s="116"/>
      <c r="R1528" s="116"/>
      <c r="S1528" s="111">
        <f>Audit[[#This Row],[Audit Losing Candidate]]-Audit[[#This Row],[Losing Candidate]]</f>
        <v>-31</v>
      </c>
      <c r="T1528" s="111">
        <f>Audit[[#This Row],[Audit Winning Candidate]]-Audit[[#This Row],[Winning Candidate]]</f>
        <v>-41</v>
      </c>
      <c r="U1528" s="111">
        <f>Audit[[#This Row],[Audit Candidate 3]]-Audit[[#This Row],[Candidate 3]]</f>
        <v>-8</v>
      </c>
      <c r="V1528" s="111">
        <f>Audit[[#This Row],[Audit Candidate 4]]-Audit[[#This Row],[Candidate 4]]</f>
        <v>-3</v>
      </c>
      <c r="W1528" s="111">
        <f>Audit[[#This Row],[Audit Candidate 5]]-Audit[[#This Row],[Candidate 5]]</f>
        <v>0</v>
      </c>
      <c r="X1528" s="111">
        <f>Audit[[#This Row],[Audit Candidate 6]]-Audit[[#This Row],[Candidate 6]]</f>
        <v>0</v>
      </c>
      <c r="Y1528" s="111">
        <f>SUMIF(Audit[[#This Row],[Difference Loser]:[Difference Candidate 6]], "&gt;0")</f>
        <v>0</v>
      </c>
      <c r="Z1528" s="111">
        <f>SUM(Audit[[#This Row],[Difference Loser]:[Difference Candidate 6]])</f>
        <v>-83</v>
      </c>
      <c r="AA1528" s="111">
        <f>IF(Audit[[#This Row],[Times p Drawn - With Replacement]]&gt;0, IF(Audit[[#This Row],[Canceled Differences]]&lt;0, Audit[[#This Row],[Max Differences]]+ABS(Audit[[#This Row],[Canceled Differences]]), Audit[[#This Row],[Max Differences]]), 0)</f>
        <v>0</v>
      </c>
      <c r="AB1528" s="111">
        <f>'Sampling Data'!P1521</f>
        <v>5.8182263596276334E-3</v>
      </c>
      <c r="AC1528" s="111">
        <f>IF(
      SUM(Audit[[#This Row],[Audit Losing Candidate]:[Audit Candidate 6]])
      &lt;&gt;0,
      (Audit[[#This Row],[Winning Candidate]]-Audit[[#This Row],[Losing Candidate]]-(Audit[[#This Row],[Audit Winning Candidate]]-Audit[[#This Row],[Audit Losing Candidate]]))/(Audit[[#Totals],[Winning Candidate]]-Audit[[#Totals],[Losing Candidate]]),
      0
)</f>
        <v>0</v>
      </c>
      <c r="AD15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8" s="111">
        <f>IF(Audit[[#This Row],[Max Relative Error (ep)]] = 0, 0, Audit[[#This Row],[Max Relative Error (ep)]]/Audit[[#This Row],[Error Bound (up) - Max. possible relative overstatement]])</f>
        <v>0</v>
      </c>
      <c r="AJ15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28" s="111">
        <f t="shared" si="23"/>
        <v>1</v>
      </c>
      <c r="AL1528" s="111">
        <f>PRODUCT($AK$5:AK1528)</f>
        <v>8.962823818226312E-2</v>
      </c>
      <c r="AM1528" s="109">
        <f>1 - [K-M P Value]</f>
        <v>0.91037176181773694</v>
      </c>
      <c r="AN1528" s="111" t="str">
        <f>IF(Audit[[#This Row],[K-M P Value]]&gt;1-'General Info'!$B$16,"Continue", "Stop")</f>
        <v>Stop</v>
      </c>
      <c r="AO1528" s="110" t="b">
        <f>IF(Audit[[#This Row],[Status - Continue or stop audit]] = "Continue", TRUE, IF(AN1527 = "Continue", TRUE, FALSE))</f>
        <v>0</v>
      </c>
      <c r="AP1528" s="110"/>
    </row>
    <row r="1529" spans="1:42" ht="15" hidden="1" customHeight="1">
      <c r="A1529" s="111" t="str">
        <f>'Sampling Data'!W1522</f>
        <v/>
      </c>
      <c r="B1529" s="112" t="str">
        <f>'Sampling Data'!A1522</f>
        <v>NORTH OLMSTED -03-G - ABS</v>
      </c>
      <c r="C1529" s="112">
        <f>'Sampling Data'!B1522</f>
        <v>12</v>
      </c>
      <c r="D1529" s="112">
        <f>'Sampling Data'!C1522</f>
        <v>8</v>
      </c>
      <c r="E1529" s="113">
        <f>'Sampling Data'!D1522</f>
        <v>5</v>
      </c>
      <c r="F1529" s="113">
        <f>'Sampling Data'!E1522</f>
        <v>2</v>
      </c>
      <c r="G1529" s="113">
        <f>'Sampling Data'!F1522</f>
        <v>0</v>
      </c>
      <c r="H1529" s="113">
        <f>'Sampling Data'!G1522</f>
        <v>0</v>
      </c>
      <c r="I1529" s="112">
        <f>'Sampling Data'!H1522</f>
        <v>0</v>
      </c>
      <c r="J1529" s="112">
        <f>'Sampling Data'!I1522</f>
        <v>0</v>
      </c>
      <c r="K1529" s="112">
        <f>'Sampling Data'!J1522</f>
        <v>27</v>
      </c>
      <c r="L1529" s="111">
        <f>'Sampling Data'!X1522</f>
        <v>0</v>
      </c>
      <c r="M1529" s="114"/>
      <c r="N1529" s="114"/>
      <c r="O1529" s="115"/>
      <c r="P1529" s="115"/>
      <c r="Q1529" s="116"/>
      <c r="R1529" s="116"/>
      <c r="S1529" s="111">
        <f>Audit[[#This Row],[Audit Losing Candidate]]-Audit[[#This Row],[Losing Candidate]]</f>
        <v>-12</v>
      </c>
      <c r="T1529" s="111">
        <f>Audit[[#This Row],[Audit Winning Candidate]]-Audit[[#This Row],[Winning Candidate]]</f>
        <v>-8</v>
      </c>
      <c r="U1529" s="111">
        <f>Audit[[#This Row],[Audit Candidate 3]]-Audit[[#This Row],[Candidate 3]]</f>
        <v>-5</v>
      </c>
      <c r="V1529" s="111">
        <f>Audit[[#This Row],[Audit Candidate 4]]-Audit[[#This Row],[Candidate 4]]</f>
        <v>-2</v>
      </c>
      <c r="W1529" s="111">
        <f>Audit[[#This Row],[Audit Candidate 5]]-Audit[[#This Row],[Candidate 5]]</f>
        <v>0</v>
      </c>
      <c r="X1529" s="111">
        <f>Audit[[#This Row],[Audit Candidate 6]]-Audit[[#This Row],[Candidate 6]]</f>
        <v>0</v>
      </c>
      <c r="Y1529" s="111">
        <f>SUMIF(Audit[[#This Row],[Difference Loser]:[Difference Candidate 6]], "&gt;0")</f>
        <v>0</v>
      </c>
      <c r="Z1529" s="111">
        <f>SUM(Audit[[#This Row],[Difference Loser]:[Difference Candidate 6]])</f>
        <v>-27</v>
      </c>
      <c r="AA1529" s="111">
        <f>IF(Audit[[#This Row],[Times p Drawn - With Replacement]]&gt;0, IF(Audit[[#This Row],[Canceled Differences]]&lt;0, Audit[[#This Row],[Max Differences]]+ABS(Audit[[#This Row],[Canceled Differences]]), Audit[[#This Row],[Max Differences]]), 0)</f>
        <v>0</v>
      </c>
      <c r="AB1529" s="111">
        <f>'Sampling Data'!P1522</f>
        <v>1.408623223909848E-3</v>
      </c>
      <c r="AC1529" s="111">
        <f>IF(
      SUM(Audit[[#This Row],[Audit Losing Candidate]:[Audit Candidate 6]])
      &lt;&gt;0,
      (Audit[[#This Row],[Winning Candidate]]-Audit[[#This Row],[Losing Candidate]]-(Audit[[#This Row],[Audit Winning Candidate]]-Audit[[#This Row],[Audit Losing Candidate]]))/(Audit[[#Totals],[Winning Candidate]]-Audit[[#Totals],[Losing Candidate]]),
      0
)</f>
        <v>0</v>
      </c>
      <c r="AD15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9" s="111">
        <f>IF(Audit[[#This Row],[Max Relative Error (ep)]] = 0, 0, Audit[[#This Row],[Max Relative Error (ep)]]/Audit[[#This Row],[Error Bound (up) - Max. possible relative overstatement]])</f>
        <v>0</v>
      </c>
      <c r="AJ15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29" s="111">
        <f t="shared" si="23"/>
        <v>1</v>
      </c>
      <c r="AL1529" s="111">
        <f>PRODUCT($AK$5:AK1529)</f>
        <v>8.962823818226312E-2</v>
      </c>
      <c r="AM1529" s="109">
        <f>1 - [K-M P Value]</f>
        <v>0.91037176181773694</v>
      </c>
      <c r="AN1529" s="111" t="str">
        <f>IF(Audit[[#This Row],[K-M P Value]]&gt;1-'General Info'!$B$16,"Continue", "Stop")</f>
        <v>Stop</v>
      </c>
      <c r="AO1529" s="110" t="b">
        <f>IF(Audit[[#This Row],[Status - Continue or stop audit]] = "Continue", TRUE, IF(AN1528 = "Continue", TRUE, FALSE))</f>
        <v>0</v>
      </c>
      <c r="AP1529" s="110"/>
    </row>
    <row r="1530" spans="1:42" ht="15" hidden="1" customHeight="1">
      <c r="A1530" s="111" t="str">
        <f>'Sampling Data'!W1523</f>
        <v/>
      </c>
      <c r="B1530" s="112" t="str">
        <f>'Sampling Data'!A1523</f>
        <v>NORTH OLMSTED -04-A</v>
      </c>
      <c r="C1530" s="112">
        <f>'Sampling Data'!B1523</f>
        <v>17</v>
      </c>
      <c r="D1530" s="112">
        <f>'Sampling Data'!C1523</f>
        <v>44</v>
      </c>
      <c r="E1530" s="113">
        <f>'Sampling Data'!D1523</f>
        <v>20</v>
      </c>
      <c r="F1530" s="113">
        <f>'Sampling Data'!E1523</f>
        <v>9</v>
      </c>
      <c r="G1530" s="113">
        <f>'Sampling Data'!F1523</f>
        <v>0</v>
      </c>
      <c r="H1530" s="113">
        <f>'Sampling Data'!G1523</f>
        <v>1</v>
      </c>
      <c r="I1530" s="112">
        <f>'Sampling Data'!H1523</f>
        <v>0</v>
      </c>
      <c r="J1530" s="112">
        <f>'Sampling Data'!I1523</f>
        <v>0</v>
      </c>
      <c r="K1530" s="112">
        <f>'Sampling Data'!J1523</f>
        <v>91</v>
      </c>
      <c r="L1530" s="111">
        <f>'Sampling Data'!X1523</f>
        <v>0</v>
      </c>
      <c r="M1530" s="114"/>
      <c r="N1530" s="114"/>
      <c r="O1530" s="115"/>
      <c r="P1530" s="115"/>
      <c r="Q1530" s="116"/>
      <c r="R1530" s="116"/>
      <c r="S1530" s="111">
        <f>Audit[[#This Row],[Audit Losing Candidate]]-Audit[[#This Row],[Losing Candidate]]</f>
        <v>-17</v>
      </c>
      <c r="T1530" s="111">
        <f>Audit[[#This Row],[Audit Winning Candidate]]-Audit[[#This Row],[Winning Candidate]]</f>
        <v>-44</v>
      </c>
      <c r="U1530" s="111">
        <f>Audit[[#This Row],[Audit Candidate 3]]-Audit[[#This Row],[Candidate 3]]</f>
        <v>-20</v>
      </c>
      <c r="V1530" s="111">
        <f>Audit[[#This Row],[Audit Candidate 4]]-Audit[[#This Row],[Candidate 4]]</f>
        <v>-9</v>
      </c>
      <c r="W1530" s="111">
        <f>Audit[[#This Row],[Audit Candidate 5]]-Audit[[#This Row],[Candidate 5]]</f>
        <v>0</v>
      </c>
      <c r="X1530" s="111">
        <f>Audit[[#This Row],[Audit Candidate 6]]-Audit[[#This Row],[Candidate 6]]</f>
        <v>-1</v>
      </c>
      <c r="Y1530" s="111">
        <f>SUMIF(Audit[[#This Row],[Difference Loser]:[Difference Candidate 6]], "&gt;0")</f>
        <v>0</v>
      </c>
      <c r="Z1530" s="111">
        <f>SUM(Audit[[#This Row],[Difference Loser]:[Difference Candidate 6]])</f>
        <v>-91</v>
      </c>
      <c r="AA1530" s="111">
        <f>IF(Audit[[#This Row],[Times p Drawn - With Replacement]]&gt;0, IF(Audit[[#This Row],[Canceled Differences]]&lt;0, Audit[[#This Row],[Max Differences]]+ABS(Audit[[#This Row],[Canceled Differences]]), Audit[[#This Row],[Max Differences]]), 0)</f>
        <v>0</v>
      </c>
      <c r="AB1530" s="111">
        <f>'Sampling Data'!P1523</f>
        <v>7.2268495835374818E-3</v>
      </c>
      <c r="AC1530" s="111">
        <f>IF(
      SUM(Audit[[#This Row],[Audit Losing Candidate]:[Audit Candidate 6]])
      &lt;&gt;0,
      (Audit[[#This Row],[Winning Candidate]]-Audit[[#This Row],[Losing Candidate]]-(Audit[[#This Row],[Audit Winning Candidate]]-Audit[[#This Row],[Audit Losing Candidate]]))/(Audit[[#Totals],[Winning Candidate]]-Audit[[#Totals],[Losing Candidate]]),
      0
)</f>
        <v>0</v>
      </c>
      <c r="AD15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0" s="111">
        <f>IF(Audit[[#This Row],[Max Relative Error (ep)]] = 0, 0, Audit[[#This Row],[Max Relative Error (ep)]]/Audit[[#This Row],[Error Bound (up) - Max. possible relative overstatement]])</f>
        <v>0</v>
      </c>
      <c r="AJ15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30" s="111">
        <f t="shared" si="23"/>
        <v>1</v>
      </c>
      <c r="AL1530" s="111">
        <f>PRODUCT($AK$5:AK1530)</f>
        <v>8.962823818226312E-2</v>
      </c>
      <c r="AM1530" s="109">
        <f>1 - [K-M P Value]</f>
        <v>0.91037176181773694</v>
      </c>
      <c r="AN1530" s="111" t="str">
        <f>IF(Audit[[#This Row],[K-M P Value]]&gt;1-'General Info'!$B$16,"Continue", "Stop")</f>
        <v>Stop</v>
      </c>
      <c r="AO1530" s="110" t="b">
        <f>IF(Audit[[#This Row],[Status - Continue or stop audit]] = "Continue", TRUE, IF(AN1529 = "Continue", TRUE, FALSE))</f>
        <v>0</v>
      </c>
      <c r="AP1530" s="110"/>
    </row>
    <row r="1531" spans="1:42" ht="15" hidden="1" customHeight="1">
      <c r="A1531" s="111" t="str">
        <f>'Sampling Data'!W1524</f>
        <v/>
      </c>
      <c r="B1531" s="112" t="str">
        <f>'Sampling Data'!A1524</f>
        <v>NORTH OLMSTED -04-A - ABS</v>
      </c>
      <c r="C1531" s="112">
        <f>'Sampling Data'!B1524</f>
        <v>21</v>
      </c>
      <c r="D1531" s="112">
        <f>'Sampling Data'!C1524</f>
        <v>20</v>
      </c>
      <c r="E1531" s="113">
        <f>'Sampling Data'!D1524</f>
        <v>3</v>
      </c>
      <c r="F1531" s="113">
        <f>'Sampling Data'!E1524</f>
        <v>1</v>
      </c>
      <c r="G1531" s="113">
        <f>'Sampling Data'!F1524</f>
        <v>0</v>
      </c>
      <c r="H1531" s="113">
        <f>'Sampling Data'!G1524</f>
        <v>0</v>
      </c>
      <c r="I1531" s="112">
        <f>'Sampling Data'!H1524</f>
        <v>0</v>
      </c>
      <c r="J1531" s="112">
        <f>'Sampling Data'!I1524</f>
        <v>1</v>
      </c>
      <c r="K1531" s="112">
        <f>'Sampling Data'!J1524</f>
        <v>46</v>
      </c>
      <c r="L1531" s="111">
        <f>'Sampling Data'!X1524</f>
        <v>0</v>
      </c>
      <c r="M1531" s="114"/>
      <c r="N1531" s="114"/>
      <c r="O1531" s="115"/>
      <c r="P1531" s="115"/>
      <c r="Q1531" s="116"/>
      <c r="R1531" s="116"/>
      <c r="S1531" s="111">
        <f>Audit[[#This Row],[Audit Losing Candidate]]-Audit[[#This Row],[Losing Candidate]]</f>
        <v>-21</v>
      </c>
      <c r="T1531" s="111">
        <f>Audit[[#This Row],[Audit Winning Candidate]]-Audit[[#This Row],[Winning Candidate]]</f>
        <v>-20</v>
      </c>
      <c r="U1531" s="111">
        <f>Audit[[#This Row],[Audit Candidate 3]]-Audit[[#This Row],[Candidate 3]]</f>
        <v>-3</v>
      </c>
      <c r="V1531" s="111">
        <f>Audit[[#This Row],[Audit Candidate 4]]-Audit[[#This Row],[Candidate 4]]</f>
        <v>-1</v>
      </c>
      <c r="W1531" s="111">
        <f>Audit[[#This Row],[Audit Candidate 5]]-Audit[[#This Row],[Candidate 5]]</f>
        <v>0</v>
      </c>
      <c r="X1531" s="111">
        <f>Audit[[#This Row],[Audit Candidate 6]]-Audit[[#This Row],[Candidate 6]]</f>
        <v>0</v>
      </c>
      <c r="Y1531" s="111">
        <f>SUMIF(Audit[[#This Row],[Difference Loser]:[Difference Candidate 6]], "&gt;0")</f>
        <v>0</v>
      </c>
      <c r="Z1531" s="111">
        <f>SUM(Audit[[#This Row],[Difference Loser]:[Difference Candidate 6]])</f>
        <v>-45</v>
      </c>
      <c r="AA1531" s="111">
        <f>IF(Audit[[#This Row],[Times p Drawn - With Replacement]]&gt;0, IF(Audit[[#This Row],[Canceled Differences]]&lt;0, Audit[[#This Row],[Max Differences]]+ABS(Audit[[#This Row],[Canceled Differences]]), Audit[[#This Row],[Max Differences]]), 0)</f>
        <v>0</v>
      </c>
      <c r="AB1531" s="111">
        <f>'Sampling Data'!P1524</f>
        <v>2.7560019598236157E-3</v>
      </c>
      <c r="AC1531" s="111">
        <f>IF(
      SUM(Audit[[#This Row],[Audit Losing Candidate]:[Audit Candidate 6]])
      &lt;&gt;0,
      (Audit[[#This Row],[Winning Candidate]]-Audit[[#This Row],[Losing Candidate]]-(Audit[[#This Row],[Audit Winning Candidate]]-Audit[[#This Row],[Audit Losing Candidate]]))/(Audit[[#Totals],[Winning Candidate]]-Audit[[#Totals],[Losing Candidate]]),
      0
)</f>
        <v>0</v>
      </c>
      <c r="AD15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1" s="111">
        <f>IF(Audit[[#This Row],[Max Relative Error (ep)]] = 0, 0, Audit[[#This Row],[Max Relative Error (ep)]]/Audit[[#This Row],[Error Bound (up) - Max. possible relative overstatement]])</f>
        <v>0</v>
      </c>
      <c r="AJ15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31" s="111">
        <f t="shared" si="23"/>
        <v>1</v>
      </c>
      <c r="AL1531" s="111">
        <f>PRODUCT($AK$5:AK1531)</f>
        <v>8.962823818226312E-2</v>
      </c>
      <c r="AM1531" s="109">
        <f>1 - [K-M P Value]</f>
        <v>0.91037176181773694</v>
      </c>
      <c r="AN1531" s="111" t="str">
        <f>IF(Audit[[#This Row],[K-M P Value]]&gt;1-'General Info'!$B$16,"Continue", "Stop")</f>
        <v>Stop</v>
      </c>
      <c r="AO1531" s="110" t="b">
        <f>IF(Audit[[#This Row],[Status - Continue or stop audit]] = "Continue", TRUE, IF(AN1530 = "Continue", TRUE, FALSE))</f>
        <v>0</v>
      </c>
      <c r="AP1531" s="110"/>
    </row>
    <row r="1532" spans="1:42" ht="15" hidden="1" customHeight="1">
      <c r="A1532" s="111" t="str">
        <f>'Sampling Data'!W1525</f>
        <v/>
      </c>
      <c r="B1532" s="112" t="str">
        <f>'Sampling Data'!A1525</f>
        <v>NORTH OLMSTED -04-B</v>
      </c>
      <c r="C1532" s="112">
        <f>'Sampling Data'!B1525</f>
        <v>18</v>
      </c>
      <c r="D1532" s="112">
        <f>'Sampling Data'!C1525</f>
        <v>37</v>
      </c>
      <c r="E1532" s="113">
        <f>'Sampling Data'!D1525</f>
        <v>12</v>
      </c>
      <c r="F1532" s="113">
        <f>'Sampling Data'!E1525</f>
        <v>5</v>
      </c>
      <c r="G1532" s="113">
        <f>'Sampling Data'!F1525</f>
        <v>0</v>
      </c>
      <c r="H1532" s="113">
        <f>'Sampling Data'!G1525</f>
        <v>0</v>
      </c>
      <c r="I1532" s="112">
        <f>'Sampling Data'!H1525</f>
        <v>1</v>
      </c>
      <c r="J1532" s="112">
        <f>'Sampling Data'!I1525</f>
        <v>1</v>
      </c>
      <c r="K1532" s="112">
        <f>'Sampling Data'!J1525</f>
        <v>74</v>
      </c>
      <c r="L1532" s="111">
        <f>'Sampling Data'!X1525</f>
        <v>0</v>
      </c>
      <c r="M1532" s="114"/>
      <c r="N1532" s="114"/>
      <c r="O1532" s="115"/>
      <c r="P1532" s="115"/>
      <c r="Q1532" s="116"/>
      <c r="R1532" s="116"/>
      <c r="S1532" s="111">
        <f>Audit[[#This Row],[Audit Losing Candidate]]-Audit[[#This Row],[Losing Candidate]]</f>
        <v>-18</v>
      </c>
      <c r="T1532" s="111">
        <f>Audit[[#This Row],[Audit Winning Candidate]]-Audit[[#This Row],[Winning Candidate]]</f>
        <v>-37</v>
      </c>
      <c r="U1532" s="111">
        <f>Audit[[#This Row],[Audit Candidate 3]]-Audit[[#This Row],[Candidate 3]]</f>
        <v>-12</v>
      </c>
      <c r="V1532" s="111">
        <f>Audit[[#This Row],[Audit Candidate 4]]-Audit[[#This Row],[Candidate 4]]</f>
        <v>-5</v>
      </c>
      <c r="W1532" s="111">
        <f>Audit[[#This Row],[Audit Candidate 5]]-Audit[[#This Row],[Candidate 5]]</f>
        <v>0</v>
      </c>
      <c r="X1532" s="111">
        <f>Audit[[#This Row],[Audit Candidate 6]]-Audit[[#This Row],[Candidate 6]]</f>
        <v>0</v>
      </c>
      <c r="Y1532" s="111">
        <f>SUMIF(Audit[[#This Row],[Difference Loser]:[Difference Candidate 6]], "&gt;0")</f>
        <v>0</v>
      </c>
      <c r="Z1532" s="111">
        <f>SUM(Audit[[#This Row],[Difference Loser]:[Difference Candidate 6]])</f>
        <v>-72</v>
      </c>
      <c r="AA1532" s="111">
        <f>IF(Audit[[#This Row],[Times p Drawn - With Replacement]]&gt;0, IF(Audit[[#This Row],[Canceled Differences]]&lt;0, Audit[[#This Row],[Max Differences]]+ABS(Audit[[#This Row],[Canceled Differences]]), Audit[[#This Row],[Max Differences]]), 0)</f>
        <v>0</v>
      </c>
      <c r="AB1532" s="111">
        <f>'Sampling Data'!P1525</f>
        <v>5.6957373836354725E-3</v>
      </c>
      <c r="AC1532" s="111">
        <f>IF(
      SUM(Audit[[#This Row],[Audit Losing Candidate]:[Audit Candidate 6]])
      &lt;&gt;0,
      (Audit[[#This Row],[Winning Candidate]]-Audit[[#This Row],[Losing Candidate]]-(Audit[[#This Row],[Audit Winning Candidate]]-Audit[[#This Row],[Audit Losing Candidate]]))/(Audit[[#Totals],[Winning Candidate]]-Audit[[#Totals],[Losing Candidate]]),
      0
)</f>
        <v>0</v>
      </c>
      <c r="AD15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2" s="111">
        <f>IF(Audit[[#This Row],[Max Relative Error (ep)]] = 0, 0, Audit[[#This Row],[Max Relative Error (ep)]]/Audit[[#This Row],[Error Bound (up) - Max. possible relative overstatement]])</f>
        <v>0</v>
      </c>
      <c r="AJ15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32" s="111">
        <f t="shared" si="23"/>
        <v>1</v>
      </c>
      <c r="AL1532" s="111">
        <f>PRODUCT($AK$5:AK1532)</f>
        <v>8.962823818226312E-2</v>
      </c>
      <c r="AM1532" s="109">
        <f>1 - [K-M P Value]</f>
        <v>0.91037176181773694</v>
      </c>
      <c r="AN1532" s="111" t="str">
        <f>IF(Audit[[#This Row],[K-M P Value]]&gt;1-'General Info'!$B$16,"Continue", "Stop")</f>
        <v>Stop</v>
      </c>
      <c r="AO1532" s="110" t="b">
        <f>IF(Audit[[#This Row],[Status - Continue or stop audit]] = "Continue", TRUE, IF(AN1531 = "Continue", TRUE, FALSE))</f>
        <v>0</v>
      </c>
      <c r="AP1532" s="110"/>
    </row>
    <row r="1533" spans="1:42" ht="15" hidden="1" customHeight="1">
      <c r="A1533" s="111" t="str">
        <f>'Sampling Data'!W1526</f>
        <v/>
      </c>
      <c r="B1533" s="112" t="str">
        <f>'Sampling Data'!A1526</f>
        <v>NORTH OLMSTED -04-B - ABS</v>
      </c>
      <c r="C1533" s="112">
        <f>'Sampling Data'!B1526</f>
        <v>14</v>
      </c>
      <c r="D1533" s="112">
        <f>'Sampling Data'!C1526</f>
        <v>22</v>
      </c>
      <c r="E1533" s="113">
        <f>'Sampling Data'!D1526</f>
        <v>4</v>
      </c>
      <c r="F1533" s="113">
        <f>'Sampling Data'!E1526</f>
        <v>3</v>
      </c>
      <c r="G1533" s="113">
        <f>'Sampling Data'!F1526</f>
        <v>0</v>
      </c>
      <c r="H1533" s="113">
        <f>'Sampling Data'!G1526</f>
        <v>0</v>
      </c>
      <c r="I1533" s="112">
        <f>'Sampling Data'!H1526</f>
        <v>0</v>
      </c>
      <c r="J1533" s="112">
        <f>'Sampling Data'!I1526</f>
        <v>0</v>
      </c>
      <c r="K1533" s="112">
        <f>'Sampling Data'!J1526</f>
        <v>43</v>
      </c>
      <c r="L1533" s="111">
        <f>'Sampling Data'!X1526</f>
        <v>0</v>
      </c>
      <c r="M1533" s="114"/>
      <c r="N1533" s="114"/>
      <c r="O1533" s="115"/>
      <c r="P1533" s="115"/>
      <c r="Q1533" s="116"/>
      <c r="R1533" s="116"/>
      <c r="S1533" s="111">
        <f>Audit[[#This Row],[Audit Losing Candidate]]-Audit[[#This Row],[Losing Candidate]]</f>
        <v>-14</v>
      </c>
      <c r="T1533" s="111">
        <f>Audit[[#This Row],[Audit Winning Candidate]]-Audit[[#This Row],[Winning Candidate]]</f>
        <v>-22</v>
      </c>
      <c r="U1533" s="111">
        <f>Audit[[#This Row],[Audit Candidate 3]]-Audit[[#This Row],[Candidate 3]]</f>
        <v>-4</v>
      </c>
      <c r="V1533" s="111">
        <f>Audit[[#This Row],[Audit Candidate 4]]-Audit[[#This Row],[Candidate 4]]</f>
        <v>-3</v>
      </c>
      <c r="W1533" s="111">
        <f>Audit[[#This Row],[Audit Candidate 5]]-Audit[[#This Row],[Candidate 5]]</f>
        <v>0</v>
      </c>
      <c r="X1533" s="111">
        <f>Audit[[#This Row],[Audit Candidate 6]]-Audit[[#This Row],[Candidate 6]]</f>
        <v>0</v>
      </c>
      <c r="Y1533" s="111">
        <f>SUMIF(Audit[[#This Row],[Difference Loser]:[Difference Candidate 6]], "&gt;0")</f>
        <v>0</v>
      </c>
      <c r="Z1533" s="111">
        <f>SUM(Audit[[#This Row],[Difference Loser]:[Difference Candidate 6]])</f>
        <v>-43</v>
      </c>
      <c r="AA1533" s="111">
        <f>IF(Audit[[#This Row],[Times p Drawn - With Replacement]]&gt;0, IF(Audit[[#This Row],[Canceled Differences]]&lt;0, Audit[[#This Row],[Max Differences]]+ABS(Audit[[#This Row],[Canceled Differences]]), Audit[[#This Row],[Max Differences]]), 0)</f>
        <v>0</v>
      </c>
      <c r="AB1533" s="111">
        <f>'Sampling Data'!P1526</f>
        <v>3.1234688878000981E-3</v>
      </c>
      <c r="AC1533" s="111">
        <f>IF(
      SUM(Audit[[#This Row],[Audit Losing Candidate]:[Audit Candidate 6]])
      &lt;&gt;0,
      (Audit[[#This Row],[Winning Candidate]]-Audit[[#This Row],[Losing Candidate]]-(Audit[[#This Row],[Audit Winning Candidate]]-Audit[[#This Row],[Audit Losing Candidate]]))/(Audit[[#Totals],[Winning Candidate]]-Audit[[#Totals],[Losing Candidate]]),
      0
)</f>
        <v>0</v>
      </c>
      <c r="AD15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3" s="111">
        <f>IF(Audit[[#This Row],[Max Relative Error (ep)]] = 0, 0, Audit[[#This Row],[Max Relative Error (ep)]]/Audit[[#This Row],[Error Bound (up) - Max. possible relative overstatement]])</f>
        <v>0</v>
      </c>
      <c r="AJ15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33" s="111">
        <f t="shared" si="23"/>
        <v>1</v>
      </c>
      <c r="AL1533" s="111">
        <f>PRODUCT($AK$5:AK1533)</f>
        <v>8.962823818226312E-2</v>
      </c>
      <c r="AM1533" s="109">
        <f>1 - [K-M P Value]</f>
        <v>0.91037176181773694</v>
      </c>
      <c r="AN1533" s="111" t="str">
        <f>IF(Audit[[#This Row],[K-M P Value]]&gt;1-'General Info'!$B$16,"Continue", "Stop")</f>
        <v>Stop</v>
      </c>
      <c r="AO1533" s="110" t="b">
        <f>IF(Audit[[#This Row],[Status - Continue or stop audit]] = "Continue", TRUE, IF(AN1532 = "Continue", TRUE, FALSE))</f>
        <v>0</v>
      </c>
      <c r="AP1533" s="110"/>
    </row>
    <row r="1534" spans="1:42" ht="15" hidden="1" customHeight="1">
      <c r="A1534" s="111" t="str">
        <f>'Sampling Data'!W1527</f>
        <v/>
      </c>
      <c r="B1534" s="112" t="str">
        <f>'Sampling Data'!A1527</f>
        <v>NORTH OLMSTED -04-C</v>
      </c>
      <c r="C1534" s="112">
        <f>'Sampling Data'!B1527</f>
        <v>12</v>
      </c>
      <c r="D1534" s="112">
        <f>'Sampling Data'!C1527</f>
        <v>10</v>
      </c>
      <c r="E1534" s="113">
        <f>'Sampling Data'!D1527</f>
        <v>8</v>
      </c>
      <c r="F1534" s="113">
        <f>'Sampling Data'!E1527</f>
        <v>2</v>
      </c>
      <c r="G1534" s="113">
        <f>'Sampling Data'!F1527</f>
        <v>0</v>
      </c>
      <c r="H1534" s="113">
        <f>'Sampling Data'!G1527</f>
        <v>0</v>
      </c>
      <c r="I1534" s="112">
        <f>'Sampling Data'!H1527</f>
        <v>0</v>
      </c>
      <c r="J1534" s="112">
        <f>'Sampling Data'!I1527</f>
        <v>0</v>
      </c>
      <c r="K1534" s="112">
        <f>'Sampling Data'!J1527</f>
        <v>32</v>
      </c>
      <c r="L1534" s="111">
        <f>'Sampling Data'!X1527</f>
        <v>0</v>
      </c>
      <c r="M1534" s="114"/>
      <c r="N1534" s="114"/>
      <c r="O1534" s="115"/>
      <c r="P1534" s="115"/>
      <c r="Q1534" s="116"/>
      <c r="R1534" s="116"/>
      <c r="S1534" s="111">
        <f>Audit[[#This Row],[Audit Losing Candidate]]-Audit[[#This Row],[Losing Candidate]]</f>
        <v>-12</v>
      </c>
      <c r="T1534" s="111">
        <f>Audit[[#This Row],[Audit Winning Candidate]]-Audit[[#This Row],[Winning Candidate]]</f>
        <v>-10</v>
      </c>
      <c r="U1534" s="111">
        <f>Audit[[#This Row],[Audit Candidate 3]]-Audit[[#This Row],[Candidate 3]]</f>
        <v>-8</v>
      </c>
      <c r="V1534" s="111">
        <f>Audit[[#This Row],[Audit Candidate 4]]-Audit[[#This Row],[Candidate 4]]</f>
        <v>-2</v>
      </c>
      <c r="W1534" s="111">
        <f>Audit[[#This Row],[Audit Candidate 5]]-Audit[[#This Row],[Candidate 5]]</f>
        <v>0</v>
      </c>
      <c r="X1534" s="111">
        <f>Audit[[#This Row],[Audit Candidate 6]]-Audit[[#This Row],[Candidate 6]]</f>
        <v>0</v>
      </c>
      <c r="Y1534" s="111">
        <f>SUMIF(Audit[[#This Row],[Difference Loser]:[Difference Candidate 6]], "&gt;0")</f>
        <v>0</v>
      </c>
      <c r="Z1534" s="111">
        <f>SUM(Audit[[#This Row],[Difference Loser]:[Difference Candidate 6]])</f>
        <v>-32</v>
      </c>
      <c r="AA1534" s="111">
        <f>IF(Audit[[#This Row],[Times p Drawn - With Replacement]]&gt;0, IF(Audit[[#This Row],[Canceled Differences]]&lt;0, Audit[[#This Row],[Max Differences]]+ABS(Audit[[#This Row],[Canceled Differences]]), Audit[[#This Row],[Max Differences]]), 0)</f>
        <v>0</v>
      </c>
      <c r="AB1534" s="111">
        <f>'Sampling Data'!P1527</f>
        <v>1.8373346398824107E-3</v>
      </c>
      <c r="AC1534" s="111">
        <f>IF(
      SUM(Audit[[#This Row],[Audit Losing Candidate]:[Audit Candidate 6]])
      &lt;&gt;0,
      (Audit[[#This Row],[Winning Candidate]]-Audit[[#This Row],[Losing Candidate]]-(Audit[[#This Row],[Audit Winning Candidate]]-Audit[[#This Row],[Audit Losing Candidate]]))/(Audit[[#Totals],[Winning Candidate]]-Audit[[#Totals],[Losing Candidate]]),
      0
)</f>
        <v>0</v>
      </c>
      <c r="AD15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4" s="111">
        <f>IF(Audit[[#This Row],[Max Relative Error (ep)]] = 0, 0, Audit[[#This Row],[Max Relative Error (ep)]]/Audit[[#This Row],[Error Bound (up) - Max. possible relative overstatement]])</f>
        <v>0</v>
      </c>
      <c r="AJ15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34" s="111">
        <f t="shared" si="23"/>
        <v>1</v>
      </c>
      <c r="AL1534" s="111">
        <f>PRODUCT($AK$5:AK1534)</f>
        <v>8.962823818226312E-2</v>
      </c>
      <c r="AM1534" s="109">
        <f>1 - [K-M P Value]</f>
        <v>0.91037176181773694</v>
      </c>
      <c r="AN1534" s="111" t="str">
        <f>IF(Audit[[#This Row],[K-M P Value]]&gt;1-'General Info'!$B$16,"Continue", "Stop")</f>
        <v>Stop</v>
      </c>
      <c r="AO1534" s="110" t="b">
        <f>IF(Audit[[#This Row],[Status - Continue or stop audit]] = "Continue", TRUE, IF(AN1533 = "Continue", TRUE, FALSE))</f>
        <v>0</v>
      </c>
      <c r="AP1534" s="110"/>
    </row>
    <row r="1535" spans="1:42" ht="15" hidden="1" customHeight="1">
      <c r="A1535" s="111" t="str">
        <f>'Sampling Data'!W1528</f>
        <v/>
      </c>
      <c r="B1535" s="112" t="str">
        <f>'Sampling Data'!A1528</f>
        <v>NORTH OLMSTED -04-C - ABS</v>
      </c>
      <c r="C1535" s="112">
        <f>'Sampling Data'!B1528</f>
        <v>5</v>
      </c>
      <c r="D1535" s="112">
        <f>'Sampling Data'!C1528</f>
        <v>8</v>
      </c>
      <c r="E1535" s="113">
        <f>'Sampling Data'!D1528</f>
        <v>0</v>
      </c>
      <c r="F1535" s="113">
        <f>'Sampling Data'!E1528</f>
        <v>4</v>
      </c>
      <c r="G1535" s="113">
        <f>'Sampling Data'!F1528</f>
        <v>0</v>
      </c>
      <c r="H1535" s="113">
        <f>'Sampling Data'!G1528</f>
        <v>1</v>
      </c>
      <c r="I1535" s="112">
        <f>'Sampling Data'!H1528</f>
        <v>0</v>
      </c>
      <c r="J1535" s="112">
        <f>'Sampling Data'!I1528</f>
        <v>0</v>
      </c>
      <c r="K1535" s="112">
        <f>'Sampling Data'!J1528</f>
        <v>18</v>
      </c>
      <c r="L1535" s="111">
        <f>'Sampling Data'!X1528</f>
        <v>0</v>
      </c>
      <c r="M1535" s="114"/>
      <c r="N1535" s="114"/>
      <c r="O1535" s="115"/>
      <c r="P1535" s="115"/>
      <c r="Q1535" s="116"/>
      <c r="R1535" s="116"/>
      <c r="S1535" s="111">
        <f>Audit[[#This Row],[Audit Losing Candidate]]-Audit[[#This Row],[Losing Candidate]]</f>
        <v>-5</v>
      </c>
      <c r="T1535" s="111">
        <f>Audit[[#This Row],[Audit Winning Candidate]]-Audit[[#This Row],[Winning Candidate]]</f>
        <v>-8</v>
      </c>
      <c r="U1535" s="111">
        <f>Audit[[#This Row],[Audit Candidate 3]]-Audit[[#This Row],[Candidate 3]]</f>
        <v>0</v>
      </c>
      <c r="V1535" s="111">
        <f>Audit[[#This Row],[Audit Candidate 4]]-Audit[[#This Row],[Candidate 4]]</f>
        <v>-4</v>
      </c>
      <c r="W1535" s="111">
        <f>Audit[[#This Row],[Audit Candidate 5]]-Audit[[#This Row],[Candidate 5]]</f>
        <v>0</v>
      </c>
      <c r="X1535" s="111">
        <f>Audit[[#This Row],[Audit Candidate 6]]-Audit[[#This Row],[Candidate 6]]</f>
        <v>-1</v>
      </c>
      <c r="Y1535" s="111">
        <f>SUMIF(Audit[[#This Row],[Difference Loser]:[Difference Candidate 6]], "&gt;0")</f>
        <v>0</v>
      </c>
      <c r="Z1535" s="111">
        <f>SUM(Audit[[#This Row],[Difference Loser]:[Difference Candidate 6]])</f>
        <v>-18</v>
      </c>
      <c r="AA1535" s="111">
        <f>IF(Audit[[#This Row],[Times p Drawn - With Replacement]]&gt;0, IF(Audit[[#This Row],[Canceled Differences]]&lt;0, Audit[[#This Row],[Max Differences]]+ABS(Audit[[#This Row],[Canceled Differences]]), Audit[[#This Row],[Max Differences]]), 0)</f>
        <v>0</v>
      </c>
      <c r="AB1535" s="111">
        <f>'Sampling Data'!P1528</f>
        <v>1.2861342479176874E-3</v>
      </c>
      <c r="AC1535" s="111">
        <f>IF(
      SUM(Audit[[#This Row],[Audit Losing Candidate]:[Audit Candidate 6]])
      &lt;&gt;0,
      (Audit[[#This Row],[Winning Candidate]]-Audit[[#This Row],[Losing Candidate]]-(Audit[[#This Row],[Audit Winning Candidate]]-Audit[[#This Row],[Audit Losing Candidate]]))/(Audit[[#Totals],[Winning Candidate]]-Audit[[#Totals],[Losing Candidate]]),
      0
)</f>
        <v>0</v>
      </c>
      <c r="AD15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5" s="111">
        <f>IF(Audit[[#This Row],[Max Relative Error (ep)]] = 0, 0, Audit[[#This Row],[Max Relative Error (ep)]]/Audit[[#This Row],[Error Bound (up) - Max. possible relative overstatement]])</f>
        <v>0</v>
      </c>
      <c r="AJ15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35" s="111">
        <f t="shared" si="23"/>
        <v>1</v>
      </c>
      <c r="AL1535" s="111">
        <f>PRODUCT($AK$5:AK1535)</f>
        <v>8.962823818226312E-2</v>
      </c>
      <c r="AM1535" s="109">
        <f>1 - [K-M P Value]</f>
        <v>0.91037176181773694</v>
      </c>
      <c r="AN1535" s="111" t="str">
        <f>IF(Audit[[#This Row],[K-M P Value]]&gt;1-'General Info'!$B$16,"Continue", "Stop")</f>
        <v>Stop</v>
      </c>
      <c r="AO1535" s="110" t="b">
        <f>IF(Audit[[#This Row],[Status - Continue or stop audit]] = "Continue", TRUE, IF(AN1534 = "Continue", TRUE, FALSE))</f>
        <v>0</v>
      </c>
      <c r="AP1535" s="110"/>
    </row>
    <row r="1536" spans="1:42" ht="15" hidden="1" customHeight="1">
      <c r="A1536" s="111" t="str">
        <f>'Sampling Data'!W1529</f>
        <v/>
      </c>
      <c r="B1536" s="112" t="str">
        <f>'Sampling Data'!A1529</f>
        <v>NORTH OLMSTED -04-D</v>
      </c>
      <c r="C1536" s="112">
        <f>'Sampling Data'!B1529</f>
        <v>15</v>
      </c>
      <c r="D1536" s="112">
        <f>'Sampling Data'!C1529</f>
        <v>33</v>
      </c>
      <c r="E1536" s="113">
        <f>'Sampling Data'!D1529</f>
        <v>13</v>
      </c>
      <c r="F1536" s="113">
        <f>'Sampling Data'!E1529</f>
        <v>8</v>
      </c>
      <c r="G1536" s="113">
        <f>'Sampling Data'!F1529</f>
        <v>1</v>
      </c>
      <c r="H1536" s="113">
        <f>'Sampling Data'!G1529</f>
        <v>1</v>
      </c>
      <c r="I1536" s="112">
        <f>'Sampling Data'!H1529</f>
        <v>0</v>
      </c>
      <c r="J1536" s="112">
        <f>'Sampling Data'!I1529</f>
        <v>1</v>
      </c>
      <c r="K1536" s="112">
        <f>'Sampling Data'!J1529</f>
        <v>72</v>
      </c>
      <c r="L1536" s="111">
        <f>'Sampling Data'!X1529</f>
        <v>0</v>
      </c>
      <c r="M1536" s="114"/>
      <c r="N1536" s="114"/>
      <c r="O1536" s="115"/>
      <c r="P1536" s="115"/>
      <c r="Q1536" s="116"/>
      <c r="R1536" s="116"/>
      <c r="S1536" s="111">
        <f>Audit[[#This Row],[Audit Losing Candidate]]-Audit[[#This Row],[Losing Candidate]]</f>
        <v>-15</v>
      </c>
      <c r="T1536" s="111">
        <f>Audit[[#This Row],[Audit Winning Candidate]]-Audit[[#This Row],[Winning Candidate]]</f>
        <v>-33</v>
      </c>
      <c r="U1536" s="111">
        <f>Audit[[#This Row],[Audit Candidate 3]]-Audit[[#This Row],[Candidate 3]]</f>
        <v>-13</v>
      </c>
      <c r="V1536" s="111">
        <f>Audit[[#This Row],[Audit Candidate 4]]-Audit[[#This Row],[Candidate 4]]</f>
        <v>-8</v>
      </c>
      <c r="W1536" s="111">
        <f>Audit[[#This Row],[Audit Candidate 5]]-Audit[[#This Row],[Candidate 5]]</f>
        <v>-1</v>
      </c>
      <c r="X1536" s="111">
        <f>Audit[[#This Row],[Audit Candidate 6]]-Audit[[#This Row],[Candidate 6]]</f>
        <v>-1</v>
      </c>
      <c r="Y1536" s="111">
        <f>SUMIF(Audit[[#This Row],[Difference Loser]:[Difference Candidate 6]], "&gt;0")</f>
        <v>0</v>
      </c>
      <c r="Z1536" s="111">
        <f>SUM(Audit[[#This Row],[Difference Loser]:[Difference Candidate 6]])</f>
        <v>-71</v>
      </c>
      <c r="AA1536" s="111">
        <f>IF(Audit[[#This Row],[Times p Drawn - With Replacement]]&gt;0, IF(Audit[[#This Row],[Canceled Differences]]&lt;0, Audit[[#This Row],[Max Differences]]+ABS(Audit[[#This Row],[Canceled Differences]]), Audit[[#This Row],[Max Differences]]), 0)</f>
        <v>0</v>
      </c>
      <c r="AB1536" s="111">
        <f>'Sampling Data'!P1529</f>
        <v>5.5120039196472313E-3</v>
      </c>
      <c r="AC1536" s="111">
        <f>IF(
      SUM(Audit[[#This Row],[Audit Losing Candidate]:[Audit Candidate 6]])
      &lt;&gt;0,
      (Audit[[#This Row],[Winning Candidate]]-Audit[[#This Row],[Losing Candidate]]-(Audit[[#This Row],[Audit Winning Candidate]]-Audit[[#This Row],[Audit Losing Candidate]]))/(Audit[[#Totals],[Winning Candidate]]-Audit[[#Totals],[Losing Candidate]]),
      0
)</f>
        <v>0</v>
      </c>
      <c r="AD15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6" s="111">
        <f>IF(Audit[[#This Row],[Max Relative Error (ep)]] = 0, 0, Audit[[#This Row],[Max Relative Error (ep)]]/Audit[[#This Row],[Error Bound (up) - Max. possible relative overstatement]])</f>
        <v>0</v>
      </c>
      <c r="AJ15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36" s="111">
        <f t="shared" si="23"/>
        <v>1</v>
      </c>
      <c r="AL1536" s="111">
        <f>PRODUCT($AK$5:AK1536)</f>
        <v>8.962823818226312E-2</v>
      </c>
      <c r="AM1536" s="109">
        <f>1 - [K-M P Value]</f>
        <v>0.91037176181773694</v>
      </c>
      <c r="AN1536" s="111" t="str">
        <f>IF(Audit[[#This Row],[K-M P Value]]&gt;1-'General Info'!$B$16,"Continue", "Stop")</f>
        <v>Stop</v>
      </c>
      <c r="AO1536" s="110" t="b">
        <f>IF(Audit[[#This Row],[Status - Continue or stop audit]] = "Continue", TRUE, IF(AN1535 = "Continue", TRUE, FALSE))</f>
        <v>0</v>
      </c>
      <c r="AP1536" s="110"/>
    </row>
    <row r="1537" spans="1:42" ht="15" hidden="1" customHeight="1">
      <c r="A1537" s="111" t="str">
        <f>'Sampling Data'!W1530</f>
        <v/>
      </c>
      <c r="B1537" s="112" t="str">
        <f>'Sampling Data'!A1530</f>
        <v>NORTH OLMSTED -04-D - ABS</v>
      </c>
      <c r="C1537" s="112">
        <f>'Sampling Data'!B1530</f>
        <v>6</v>
      </c>
      <c r="D1537" s="112">
        <f>'Sampling Data'!C1530</f>
        <v>5</v>
      </c>
      <c r="E1537" s="113">
        <f>'Sampling Data'!D1530</f>
        <v>4</v>
      </c>
      <c r="F1537" s="113">
        <f>'Sampling Data'!E1530</f>
        <v>2</v>
      </c>
      <c r="G1537" s="113">
        <f>'Sampling Data'!F1530</f>
        <v>0</v>
      </c>
      <c r="H1537" s="113">
        <f>'Sampling Data'!G1530</f>
        <v>0</v>
      </c>
      <c r="I1537" s="112">
        <f>'Sampling Data'!H1530</f>
        <v>0</v>
      </c>
      <c r="J1537" s="112">
        <f>'Sampling Data'!I1530</f>
        <v>1</v>
      </c>
      <c r="K1537" s="112">
        <f>'Sampling Data'!J1530</f>
        <v>18</v>
      </c>
      <c r="L1537" s="111">
        <f>'Sampling Data'!X1530</f>
        <v>0</v>
      </c>
      <c r="M1537" s="114"/>
      <c r="N1537" s="114"/>
      <c r="O1537" s="115"/>
      <c r="P1537" s="115"/>
      <c r="Q1537" s="116"/>
      <c r="R1537" s="116"/>
      <c r="S1537" s="111">
        <f>Audit[[#This Row],[Audit Losing Candidate]]-Audit[[#This Row],[Losing Candidate]]</f>
        <v>-6</v>
      </c>
      <c r="T1537" s="111">
        <f>Audit[[#This Row],[Audit Winning Candidate]]-Audit[[#This Row],[Winning Candidate]]</f>
        <v>-5</v>
      </c>
      <c r="U1537" s="111">
        <f>Audit[[#This Row],[Audit Candidate 3]]-Audit[[#This Row],[Candidate 3]]</f>
        <v>-4</v>
      </c>
      <c r="V1537" s="111">
        <f>Audit[[#This Row],[Audit Candidate 4]]-Audit[[#This Row],[Candidate 4]]</f>
        <v>-2</v>
      </c>
      <c r="W1537" s="111">
        <f>Audit[[#This Row],[Audit Candidate 5]]-Audit[[#This Row],[Candidate 5]]</f>
        <v>0</v>
      </c>
      <c r="X1537" s="111">
        <f>Audit[[#This Row],[Audit Candidate 6]]-Audit[[#This Row],[Candidate 6]]</f>
        <v>0</v>
      </c>
      <c r="Y1537" s="111">
        <f>SUMIF(Audit[[#This Row],[Difference Loser]:[Difference Candidate 6]], "&gt;0")</f>
        <v>0</v>
      </c>
      <c r="Z1537" s="111">
        <f>SUM(Audit[[#This Row],[Difference Loser]:[Difference Candidate 6]])</f>
        <v>-17</v>
      </c>
      <c r="AA1537" s="111">
        <f>IF(Audit[[#This Row],[Times p Drawn - With Replacement]]&gt;0, IF(Audit[[#This Row],[Canceled Differences]]&lt;0, Audit[[#This Row],[Max Differences]]+ABS(Audit[[#This Row],[Canceled Differences]]), Audit[[#This Row],[Max Differences]]), 0)</f>
        <v>0</v>
      </c>
      <c r="AB1537" s="111">
        <f>'Sampling Data'!P1530</f>
        <v>1.041156295933366E-3</v>
      </c>
      <c r="AC1537" s="111">
        <f>IF(
      SUM(Audit[[#This Row],[Audit Losing Candidate]:[Audit Candidate 6]])
      &lt;&gt;0,
      (Audit[[#This Row],[Winning Candidate]]-Audit[[#This Row],[Losing Candidate]]-(Audit[[#This Row],[Audit Winning Candidate]]-Audit[[#This Row],[Audit Losing Candidate]]))/(Audit[[#Totals],[Winning Candidate]]-Audit[[#Totals],[Losing Candidate]]),
      0
)</f>
        <v>0</v>
      </c>
      <c r="AD15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7" s="111">
        <f>IF(Audit[[#This Row],[Max Relative Error (ep)]] = 0, 0, Audit[[#This Row],[Max Relative Error (ep)]]/Audit[[#This Row],[Error Bound (up) - Max. possible relative overstatement]])</f>
        <v>0</v>
      </c>
      <c r="AJ15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37" s="111">
        <f t="shared" si="23"/>
        <v>1</v>
      </c>
      <c r="AL1537" s="111">
        <f>PRODUCT($AK$5:AK1537)</f>
        <v>8.962823818226312E-2</v>
      </c>
      <c r="AM1537" s="109">
        <f>1 - [K-M P Value]</f>
        <v>0.91037176181773694</v>
      </c>
      <c r="AN1537" s="111" t="str">
        <f>IF(Audit[[#This Row],[K-M P Value]]&gt;1-'General Info'!$B$16,"Continue", "Stop")</f>
        <v>Stop</v>
      </c>
      <c r="AO1537" s="110" t="b">
        <f>IF(Audit[[#This Row],[Status - Continue or stop audit]] = "Continue", TRUE, IF(AN1536 = "Continue", TRUE, FALSE))</f>
        <v>0</v>
      </c>
      <c r="AP1537" s="110"/>
    </row>
    <row r="1538" spans="1:42" ht="15" hidden="1" customHeight="1">
      <c r="A1538" s="111" t="str">
        <f>'Sampling Data'!W1531</f>
        <v/>
      </c>
      <c r="B1538" s="112" t="str">
        <f>'Sampling Data'!A1531</f>
        <v>NORTH OLMSTED -04-E</v>
      </c>
      <c r="C1538" s="112">
        <f>'Sampling Data'!B1531</f>
        <v>17</v>
      </c>
      <c r="D1538" s="112">
        <f>'Sampling Data'!C1531</f>
        <v>23</v>
      </c>
      <c r="E1538" s="113">
        <f>'Sampling Data'!D1531</f>
        <v>12</v>
      </c>
      <c r="F1538" s="113">
        <f>'Sampling Data'!E1531</f>
        <v>8</v>
      </c>
      <c r="G1538" s="113">
        <f>'Sampling Data'!F1531</f>
        <v>0</v>
      </c>
      <c r="H1538" s="113">
        <f>'Sampling Data'!G1531</f>
        <v>0</v>
      </c>
      <c r="I1538" s="112">
        <f>'Sampling Data'!H1531</f>
        <v>0</v>
      </c>
      <c r="J1538" s="112">
        <f>'Sampling Data'!I1531</f>
        <v>0</v>
      </c>
      <c r="K1538" s="112">
        <f>'Sampling Data'!J1531</f>
        <v>60</v>
      </c>
      <c r="L1538" s="111">
        <f>'Sampling Data'!X1531</f>
        <v>0</v>
      </c>
      <c r="M1538" s="114"/>
      <c r="N1538" s="114"/>
      <c r="O1538" s="115"/>
      <c r="P1538" s="115"/>
      <c r="Q1538" s="116"/>
      <c r="R1538" s="116"/>
      <c r="S1538" s="111">
        <f>Audit[[#This Row],[Audit Losing Candidate]]-Audit[[#This Row],[Losing Candidate]]</f>
        <v>-17</v>
      </c>
      <c r="T1538" s="111">
        <f>Audit[[#This Row],[Audit Winning Candidate]]-Audit[[#This Row],[Winning Candidate]]</f>
        <v>-23</v>
      </c>
      <c r="U1538" s="111">
        <f>Audit[[#This Row],[Audit Candidate 3]]-Audit[[#This Row],[Candidate 3]]</f>
        <v>-12</v>
      </c>
      <c r="V1538" s="111">
        <f>Audit[[#This Row],[Audit Candidate 4]]-Audit[[#This Row],[Candidate 4]]</f>
        <v>-8</v>
      </c>
      <c r="W1538" s="111">
        <f>Audit[[#This Row],[Audit Candidate 5]]-Audit[[#This Row],[Candidate 5]]</f>
        <v>0</v>
      </c>
      <c r="X1538" s="111">
        <f>Audit[[#This Row],[Audit Candidate 6]]-Audit[[#This Row],[Candidate 6]]</f>
        <v>0</v>
      </c>
      <c r="Y1538" s="111">
        <f>SUMIF(Audit[[#This Row],[Difference Loser]:[Difference Candidate 6]], "&gt;0")</f>
        <v>0</v>
      </c>
      <c r="Z1538" s="111">
        <f>SUM(Audit[[#This Row],[Difference Loser]:[Difference Candidate 6]])</f>
        <v>-60</v>
      </c>
      <c r="AA1538" s="111">
        <f>IF(Audit[[#This Row],[Times p Drawn - With Replacement]]&gt;0, IF(Audit[[#This Row],[Canceled Differences]]&lt;0, Audit[[#This Row],[Max Differences]]+ABS(Audit[[#This Row],[Canceled Differences]]), Audit[[#This Row],[Max Differences]]), 0)</f>
        <v>0</v>
      </c>
      <c r="AB1538" s="111">
        <f>'Sampling Data'!P1531</f>
        <v>4.0421362077413033E-3</v>
      </c>
      <c r="AC1538" s="111">
        <f>IF(
      SUM(Audit[[#This Row],[Audit Losing Candidate]:[Audit Candidate 6]])
      &lt;&gt;0,
      (Audit[[#This Row],[Winning Candidate]]-Audit[[#This Row],[Losing Candidate]]-(Audit[[#This Row],[Audit Winning Candidate]]-Audit[[#This Row],[Audit Losing Candidate]]))/(Audit[[#Totals],[Winning Candidate]]-Audit[[#Totals],[Losing Candidate]]),
      0
)</f>
        <v>0</v>
      </c>
      <c r="AD15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8" s="111">
        <f>IF(Audit[[#This Row],[Max Relative Error (ep)]] = 0, 0, Audit[[#This Row],[Max Relative Error (ep)]]/Audit[[#This Row],[Error Bound (up) - Max. possible relative overstatement]])</f>
        <v>0</v>
      </c>
      <c r="AJ15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38" s="111">
        <f t="shared" si="23"/>
        <v>1</v>
      </c>
      <c r="AL1538" s="111">
        <f>PRODUCT($AK$5:AK1538)</f>
        <v>8.962823818226312E-2</v>
      </c>
      <c r="AM1538" s="109">
        <f>1 - [K-M P Value]</f>
        <v>0.91037176181773694</v>
      </c>
      <c r="AN1538" s="111" t="str">
        <f>IF(Audit[[#This Row],[K-M P Value]]&gt;1-'General Info'!$B$16,"Continue", "Stop")</f>
        <v>Stop</v>
      </c>
      <c r="AO1538" s="110" t="b">
        <f>IF(Audit[[#This Row],[Status - Continue or stop audit]] = "Continue", TRUE, IF(AN1537 = "Continue", TRUE, FALSE))</f>
        <v>0</v>
      </c>
      <c r="AP1538" s="110"/>
    </row>
    <row r="1539" spans="1:42" ht="15" hidden="1" customHeight="1">
      <c r="A1539" s="111" t="str">
        <f>'Sampling Data'!W1532</f>
        <v/>
      </c>
      <c r="B1539" s="112" t="str">
        <f>'Sampling Data'!A1532</f>
        <v>NORTH OLMSTED -04-E - ABS</v>
      </c>
      <c r="C1539" s="112">
        <f>'Sampling Data'!B1532</f>
        <v>9</v>
      </c>
      <c r="D1539" s="112">
        <f>'Sampling Data'!C1532</f>
        <v>11</v>
      </c>
      <c r="E1539" s="113">
        <f>'Sampling Data'!D1532</f>
        <v>8</v>
      </c>
      <c r="F1539" s="113">
        <f>'Sampling Data'!E1532</f>
        <v>2</v>
      </c>
      <c r="G1539" s="113">
        <f>'Sampling Data'!F1532</f>
        <v>0</v>
      </c>
      <c r="H1539" s="113">
        <f>'Sampling Data'!G1532</f>
        <v>0</v>
      </c>
      <c r="I1539" s="112">
        <f>'Sampling Data'!H1532</f>
        <v>0</v>
      </c>
      <c r="J1539" s="112">
        <f>'Sampling Data'!I1532</f>
        <v>0</v>
      </c>
      <c r="K1539" s="112">
        <f>'Sampling Data'!J1532</f>
        <v>30</v>
      </c>
      <c r="L1539" s="111">
        <f>'Sampling Data'!X1532</f>
        <v>0</v>
      </c>
      <c r="M1539" s="114"/>
      <c r="N1539" s="114"/>
      <c r="O1539" s="115"/>
      <c r="P1539" s="115"/>
      <c r="Q1539" s="116"/>
      <c r="R1539" s="116"/>
      <c r="S1539" s="111">
        <f>Audit[[#This Row],[Audit Losing Candidate]]-Audit[[#This Row],[Losing Candidate]]</f>
        <v>-9</v>
      </c>
      <c r="T1539" s="111">
        <f>Audit[[#This Row],[Audit Winning Candidate]]-Audit[[#This Row],[Winning Candidate]]</f>
        <v>-11</v>
      </c>
      <c r="U1539" s="111">
        <f>Audit[[#This Row],[Audit Candidate 3]]-Audit[[#This Row],[Candidate 3]]</f>
        <v>-8</v>
      </c>
      <c r="V1539" s="111">
        <f>Audit[[#This Row],[Audit Candidate 4]]-Audit[[#This Row],[Candidate 4]]</f>
        <v>-2</v>
      </c>
      <c r="W1539" s="111">
        <f>Audit[[#This Row],[Audit Candidate 5]]-Audit[[#This Row],[Candidate 5]]</f>
        <v>0</v>
      </c>
      <c r="X1539" s="111">
        <f>Audit[[#This Row],[Audit Candidate 6]]-Audit[[#This Row],[Candidate 6]]</f>
        <v>0</v>
      </c>
      <c r="Y1539" s="111">
        <f>SUMIF(Audit[[#This Row],[Difference Loser]:[Difference Candidate 6]], "&gt;0")</f>
        <v>0</v>
      </c>
      <c r="Z1539" s="111">
        <f>SUM(Audit[[#This Row],[Difference Loser]:[Difference Candidate 6]])</f>
        <v>-30</v>
      </c>
      <c r="AA1539" s="111">
        <f>IF(Audit[[#This Row],[Times p Drawn - With Replacement]]&gt;0, IF(Audit[[#This Row],[Canceled Differences]]&lt;0, Audit[[#This Row],[Max Differences]]+ABS(Audit[[#This Row],[Canceled Differences]]), Audit[[#This Row],[Max Differences]]), 0)</f>
        <v>0</v>
      </c>
      <c r="AB1539" s="111">
        <f>'Sampling Data'!P1532</f>
        <v>1.9598236158745713E-3</v>
      </c>
      <c r="AC1539" s="111">
        <f>IF(
      SUM(Audit[[#This Row],[Audit Losing Candidate]:[Audit Candidate 6]])
      &lt;&gt;0,
      (Audit[[#This Row],[Winning Candidate]]-Audit[[#This Row],[Losing Candidate]]-(Audit[[#This Row],[Audit Winning Candidate]]-Audit[[#This Row],[Audit Losing Candidate]]))/(Audit[[#Totals],[Winning Candidate]]-Audit[[#Totals],[Losing Candidate]]),
      0
)</f>
        <v>0</v>
      </c>
      <c r="AD15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9" s="111">
        <f>IF(Audit[[#This Row],[Max Relative Error (ep)]] = 0, 0, Audit[[#This Row],[Max Relative Error (ep)]]/Audit[[#This Row],[Error Bound (up) - Max. possible relative overstatement]])</f>
        <v>0</v>
      </c>
      <c r="AJ15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39" s="111">
        <f t="shared" si="23"/>
        <v>1</v>
      </c>
      <c r="AL1539" s="111">
        <f>PRODUCT($AK$5:AK1539)</f>
        <v>8.962823818226312E-2</v>
      </c>
      <c r="AM1539" s="109">
        <f>1 - [K-M P Value]</f>
        <v>0.91037176181773694</v>
      </c>
      <c r="AN1539" s="111" t="str">
        <f>IF(Audit[[#This Row],[K-M P Value]]&gt;1-'General Info'!$B$16,"Continue", "Stop")</f>
        <v>Stop</v>
      </c>
      <c r="AO1539" s="110" t="b">
        <f>IF(Audit[[#This Row],[Status - Continue or stop audit]] = "Continue", TRUE, IF(AN1538 = "Continue", TRUE, FALSE))</f>
        <v>0</v>
      </c>
      <c r="AP1539" s="110"/>
    </row>
    <row r="1540" spans="1:42" ht="15" hidden="1" customHeight="1">
      <c r="A1540" s="111" t="str">
        <f>'Sampling Data'!W1533</f>
        <v/>
      </c>
      <c r="B1540" s="112" t="str">
        <f>'Sampling Data'!A1533</f>
        <v>NORTH OLMSTED -04-F</v>
      </c>
      <c r="C1540" s="112">
        <f>'Sampling Data'!B1533</f>
        <v>30</v>
      </c>
      <c r="D1540" s="112">
        <f>'Sampling Data'!C1533</f>
        <v>59</v>
      </c>
      <c r="E1540" s="113">
        <f>'Sampling Data'!D1533</f>
        <v>13</v>
      </c>
      <c r="F1540" s="113">
        <f>'Sampling Data'!E1533</f>
        <v>15</v>
      </c>
      <c r="G1540" s="113">
        <f>'Sampling Data'!F1533</f>
        <v>0</v>
      </c>
      <c r="H1540" s="113">
        <f>'Sampling Data'!G1533</f>
        <v>0</v>
      </c>
      <c r="I1540" s="112">
        <f>'Sampling Data'!H1533</f>
        <v>0</v>
      </c>
      <c r="J1540" s="112">
        <f>'Sampling Data'!I1533</f>
        <v>0</v>
      </c>
      <c r="K1540" s="112">
        <f>'Sampling Data'!J1533</f>
        <v>117</v>
      </c>
      <c r="L1540" s="111">
        <f>'Sampling Data'!X1533</f>
        <v>0</v>
      </c>
      <c r="M1540" s="114"/>
      <c r="N1540" s="114"/>
      <c r="O1540" s="115"/>
      <c r="P1540" s="115"/>
      <c r="Q1540" s="116"/>
      <c r="R1540" s="116"/>
      <c r="S1540" s="111">
        <f>Audit[[#This Row],[Audit Losing Candidate]]-Audit[[#This Row],[Losing Candidate]]</f>
        <v>-30</v>
      </c>
      <c r="T1540" s="111">
        <f>Audit[[#This Row],[Audit Winning Candidate]]-Audit[[#This Row],[Winning Candidate]]</f>
        <v>-59</v>
      </c>
      <c r="U1540" s="111">
        <f>Audit[[#This Row],[Audit Candidate 3]]-Audit[[#This Row],[Candidate 3]]</f>
        <v>-13</v>
      </c>
      <c r="V1540" s="111">
        <f>Audit[[#This Row],[Audit Candidate 4]]-Audit[[#This Row],[Candidate 4]]</f>
        <v>-15</v>
      </c>
      <c r="W1540" s="111">
        <f>Audit[[#This Row],[Audit Candidate 5]]-Audit[[#This Row],[Candidate 5]]</f>
        <v>0</v>
      </c>
      <c r="X1540" s="111">
        <f>Audit[[#This Row],[Audit Candidate 6]]-Audit[[#This Row],[Candidate 6]]</f>
        <v>0</v>
      </c>
      <c r="Y1540" s="111">
        <f>SUMIF(Audit[[#This Row],[Difference Loser]:[Difference Candidate 6]], "&gt;0")</f>
        <v>0</v>
      </c>
      <c r="Z1540" s="111">
        <f>SUM(Audit[[#This Row],[Difference Loser]:[Difference Candidate 6]])</f>
        <v>-117</v>
      </c>
      <c r="AA1540" s="111">
        <f>IF(Audit[[#This Row],[Times p Drawn - With Replacement]]&gt;0, IF(Audit[[#This Row],[Canceled Differences]]&lt;0, Audit[[#This Row],[Max Differences]]+ABS(Audit[[#This Row],[Canceled Differences]]), Audit[[#This Row],[Max Differences]]), 0)</f>
        <v>0</v>
      </c>
      <c r="AB1540" s="111">
        <f>'Sampling Data'!P1533</f>
        <v>8.9416952474277323E-3</v>
      </c>
      <c r="AC1540" s="111">
        <f>IF(
      SUM(Audit[[#This Row],[Audit Losing Candidate]:[Audit Candidate 6]])
      &lt;&gt;0,
      (Audit[[#This Row],[Winning Candidate]]-Audit[[#This Row],[Losing Candidate]]-(Audit[[#This Row],[Audit Winning Candidate]]-Audit[[#This Row],[Audit Losing Candidate]]))/(Audit[[#Totals],[Winning Candidate]]-Audit[[#Totals],[Losing Candidate]]),
      0
)</f>
        <v>0</v>
      </c>
      <c r="AD15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0" s="111">
        <f>IF(Audit[[#This Row],[Max Relative Error (ep)]] = 0, 0, Audit[[#This Row],[Max Relative Error (ep)]]/Audit[[#This Row],[Error Bound (up) - Max. possible relative overstatement]])</f>
        <v>0</v>
      </c>
      <c r="AJ15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40" s="111">
        <f t="shared" si="23"/>
        <v>1</v>
      </c>
      <c r="AL1540" s="111">
        <f>PRODUCT($AK$5:AK1540)</f>
        <v>8.962823818226312E-2</v>
      </c>
      <c r="AM1540" s="109">
        <f>1 - [K-M P Value]</f>
        <v>0.91037176181773694</v>
      </c>
      <c r="AN1540" s="111" t="str">
        <f>IF(Audit[[#This Row],[K-M P Value]]&gt;1-'General Info'!$B$16,"Continue", "Stop")</f>
        <v>Stop</v>
      </c>
      <c r="AO1540" s="110" t="b">
        <f>IF(Audit[[#This Row],[Status - Continue or stop audit]] = "Continue", TRUE, IF(AN1539 = "Continue", TRUE, FALSE))</f>
        <v>0</v>
      </c>
      <c r="AP1540" s="110"/>
    </row>
    <row r="1541" spans="1:42" ht="15" hidden="1" customHeight="1">
      <c r="A1541" s="111" t="str">
        <f>'Sampling Data'!W1534</f>
        <v/>
      </c>
      <c r="B1541" s="112" t="str">
        <f>'Sampling Data'!A1534</f>
        <v>NORTH OLMSTED -04-F - ABS</v>
      </c>
      <c r="C1541" s="112">
        <f>'Sampling Data'!B1534</f>
        <v>23</v>
      </c>
      <c r="D1541" s="112">
        <f>'Sampling Data'!C1534</f>
        <v>20</v>
      </c>
      <c r="E1541" s="113">
        <f>'Sampling Data'!D1534</f>
        <v>12</v>
      </c>
      <c r="F1541" s="113">
        <f>'Sampling Data'!E1534</f>
        <v>3</v>
      </c>
      <c r="G1541" s="113">
        <f>'Sampling Data'!F1534</f>
        <v>0</v>
      </c>
      <c r="H1541" s="113">
        <f>'Sampling Data'!G1534</f>
        <v>1</v>
      </c>
      <c r="I1541" s="112">
        <f>'Sampling Data'!H1534</f>
        <v>0</v>
      </c>
      <c r="J1541" s="112">
        <f>'Sampling Data'!I1534</f>
        <v>0</v>
      </c>
      <c r="K1541" s="112">
        <f>'Sampling Data'!J1534</f>
        <v>59</v>
      </c>
      <c r="L1541" s="111">
        <f>'Sampling Data'!X1534</f>
        <v>0</v>
      </c>
      <c r="M1541" s="114"/>
      <c r="N1541" s="114"/>
      <c r="O1541" s="115"/>
      <c r="P1541" s="115"/>
      <c r="Q1541" s="116"/>
      <c r="R1541" s="116"/>
      <c r="S1541" s="111">
        <f>Audit[[#This Row],[Audit Losing Candidate]]-Audit[[#This Row],[Losing Candidate]]</f>
        <v>-23</v>
      </c>
      <c r="T1541" s="111">
        <f>Audit[[#This Row],[Audit Winning Candidate]]-Audit[[#This Row],[Winning Candidate]]</f>
        <v>-20</v>
      </c>
      <c r="U1541" s="111">
        <f>Audit[[#This Row],[Audit Candidate 3]]-Audit[[#This Row],[Candidate 3]]</f>
        <v>-12</v>
      </c>
      <c r="V1541" s="111">
        <f>Audit[[#This Row],[Audit Candidate 4]]-Audit[[#This Row],[Candidate 4]]</f>
        <v>-3</v>
      </c>
      <c r="W1541" s="111">
        <f>Audit[[#This Row],[Audit Candidate 5]]-Audit[[#This Row],[Candidate 5]]</f>
        <v>0</v>
      </c>
      <c r="X1541" s="111">
        <f>Audit[[#This Row],[Audit Candidate 6]]-Audit[[#This Row],[Candidate 6]]</f>
        <v>-1</v>
      </c>
      <c r="Y1541" s="111">
        <f>SUMIF(Audit[[#This Row],[Difference Loser]:[Difference Candidate 6]], "&gt;0")</f>
        <v>0</v>
      </c>
      <c r="Z1541" s="111">
        <f>SUM(Audit[[#This Row],[Difference Loser]:[Difference Candidate 6]])</f>
        <v>-59</v>
      </c>
      <c r="AA1541" s="111">
        <f>IF(Audit[[#This Row],[Times p Drawn - With Replacement]]&gt;0, IF(Audit[[#This Row],[Canceled Differences]]&lt;0, Audit[[#This Row],[Max Differences]]+ABS(Audit[[#This Row],[Canceled Differences]]), Audit[[#This Row],[Max Differences]]), 0)</f>
        <v>0</v>
      </c>
      <c r="AB1541" s="111">
        <f>'Sampling Data'!P1534</f>
        <v>3.4296913277804997E-3</v>
      </c>
      <c r="AC1541" s="111">
        <f>IF(
      SUM(Audit[[#This Row],[Audit Losing Candidate]:[Audit Candidate 6]])
      &lt;&gt;0,
      (Audit[[#This Row],[Winning Candidate]]-Audit[[#This Row],[Losing Candidate]]-(Audit[[#This Row],[Audit Winning Candidate]]-Audit[[#This Row],[Audit Losing Candidate]]))/(Audit[[#Totals],[Winning Candidate]]-Audit[[#Totals],[Losing Candidate]]),
      0
)</f>
        <v>0</v>
      </c>
      <c r="AD15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1" s="111">
        <f>IF(Audit[[#This Row],[Max Relative Error (ep)]] = 0, 0, Audit[[#This Row],[Max Relative Error (ep)]]/Audit[[#This Row],[Error Bound (up) - Max. possible relative overstatement]])</f>
        <v>0</v>
      </c>
      <c r="AJ15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41" s="111">
        <f t="shared" ref="AK1541:AK1604" si="24">IF(ISERR(POWER(AJ1541,L1541)), 0, POWER(AJ1541,L1541))</f>
        <v>1</v>
      </c>
      <c r="AL1541" s="111">
        <f>PRODUCT($AK$5:AK1541)</f>
        <v>8.962823818226312E-2</v>
      </c>
      <c r="AM1541" s="109">
        <f>1 - [K-M P Value]</f>
        <v>0.91037176181773694</v>
      </c>
      <c r="AN1541" s="111" t="str">
        <f>IF(Audit[[#This Row],[K-M P Value]]&gt;1-'General Info'!$B$16,"Continue", "Stop")</f>
        <v>Stop</v>
      </c>
      <c r="AO1541" s="110" t="b">
        <f>IF(Audit[[#This Row],[Status - Continue or stop audit]] = "Continue", TRUE, IF(AN1540 = "Continue", TRUE, FALSE))</f>
        <v>0</v>
      </c>
      <c r="AP1541" s="110"/>
    </row>
    <row r="1542" spans="1:42" ht="15" hidden="1" customHeight="1">
      <c r="A1542" s="111" t="str">
        <f>'Sampling Data'!W1535</f>
        <v/>
      </c>
      <c r="B1542" s="112" t="str">
        <f>'Sampling Data'!A1535</f>
        <v>NORTH RANDALL -00-A</v>
      </c>
      <c r="C1542" s="112">
        <f>'Sampling Data'!B1535</f>
        <v>3</v>
      </c>
      <c r="D1542" s="112">
        <f>'Sampling Data'!C1535</f>
        <v>2</v>
      </c>
      <c r="E1542" s="113">
        <f>'Sampling Data'!D1535</f>
        <v>0</v>
      </c>
      <c r="F1542" s="113">
        <f>'Sampling Data'!E1535</f>
        <v>0</v>
      </c>
      <c r="G1542" s="113">
        <f>'Sampling Data'!F1535</f>
        <v>0</v>
      </c>
      <c r="H1542" s="113">
        <f>'Sampling Data'!G1535</f>
        <v>2</v>
      </c>
      <c r="I1542" s="112">
        <f>'Sampling Data'!H1535</f>
        <v>0</v>
      </c>
      <c r="J1542" s="112">
        <f>'Sampling Data'!I1535</f>
        <v>0</v>
      </c>
      <c r="K1542" s="112">
        <f>'Sampling Data'!J1535</f>
        <v>7</v>
      </c>
      <c r="L1542" s="111">
        <f>'Sampling Data'!X1535</f>
        <v>0</v>
      </c>
      <c r="M1542" s="114"/>
      <c r="N1542" s="114"/>
      <c r="O1542" s="115"/>
      <c r="P1542" s="115"/>
      <c r="Q1542" s="116"/>
      <c r="R1542" s="116"/>
      <c r="S1542" s="111">
        <f>Audit[[#This Row],[Audit Losing Candidate]]-Audit[[#This Row],[Losing Candidate]]</f>
        <v>-3</v>
      </c>
      <c r="T1542" s="111">
        <f>Audit[[#This Row],[Audit Winning Candidate]]-Audit[[#This Row],[Winning Candidate]]</f>
        <v>-2</v>
      </c>
      <c r="U1542" s="111">
        <f>Audit[[#This Row],[Audit Candidate 3]]-Audit[[#This Row],[Candidate 3]]</f>
        <v>0</v>
      </c>
      <c r="V1542" s="111">
        <f>Audit[[#This Row],[Audit Candidate 4]]-Audit[[#This Row],[Candidate 4]]</f>
        <v>0</v>
      </c>
      <c r="W1542" s="111">
        <f>Audit[[#This Row],[Audit Candidate 5]]-Audit[[#This Row],[Candidate 5]]</f>
        <v>0</v>
      </c>
      <c r="X1542" s="111">
        <f>Audit[[#This Row],[Audit Candidate 6]]-Audit[[#This Row],[Candidate 6]]</f>
        <v>-2</v>
      </c>
      <c r="Y1542" s="111">
        <f>SUMIF(Audit[[#This Row],[Difference Loser]:[Difference Candidate 6]], "&gt;0")</f>
        <v>0</v>
      </c>
      <c r="Z1542" s="111">
        <f>SUM(Audit[[#This Row],[Difference Loser]:[Difference Candidate 6]])</f>
        <v>-7</v>
      </c>
      <c r="AA1542" s="111">
        <f>IF(Audit[[#This Row],[Times p Drawn - With Replacement]]&gt;0, IF(Audit[[#This Row],[Canceled Differences]]&lt;0, Audit[[#This Row],[Max Differences]]+ABS(Audit[[#This Row],[Canceled Differences]]), Audit[[#This Row],[Max Differences]]), 0)</f>
        <v>0</v>
      </c>
      <c r="AB1542" s="111">
        <f>'Sampling Data'!P1535</f>
        <v>3.6746692797648211E-4</v>
      </c>
      <c r="AC1542" s="111">
        <f>IF(
      SUM(Audit[[#This Row],[Audit Losing Candidate]:[Audit Candidate 6]])
      &lt;&gt;0,
      (Audit[[#This Row],[Winning Candidate]]-Audit[[#This Row],[Losing Candidate]]-(Audit[[#This Row],[Audit Winning Candidate]]-Audit[[#This Row],[Audit Losing Candidate]]))/(Audit[[#Totals],[Winning Candidate]]-Audit[[#Totals],[Losing Candidate]]),
      0
)</f>
        <v>0</v>
      </c>
      <c r="AD15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2" s="111">
        <f>IF(Audit[[#This Row],[Max Relative Error (ep)]] = 0, 0, Audit[[#This Row],[Max Relative Error (ep)]]/Audit[[#This Row],[Error Bound (up) - Max. possible relative overstatement]])</f>
        <v>0</v>
      </c>
      <c r="AJ15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42" s="111">
        <f t="shared" si="24"/>
        <v>1</v>
      </c>
      <c r="AL1542" s="111">
        <f>PRODUCT($AK$5:AK1542)</f>
        <v>8.962823818226312E-2</v>
      </c>
      <c r="AM1542" s="109">
        <f>1 - [K-M P Value]</f>
        <v>0.91037176181773694</v>
      </c>
      <c r="AN1542" s="111" t="str">
        <f>IF(Audit[[#This Row],[K-M P Value]]&gt;1-'General Info'!$B$16,"Continue", "Stop")</f>
        <v>Stop</v>
      </c>
      <c r="AO1542" s="110" t="b">
        <f>IF(Audit[[#This Row],[Status - Continue or stop audit]] = "Continue", TRUE, IF(AN1541 = "Continue", TRUE, FALSE))</f>
        <v>0</v>
      </c>
      <c r="AP1542" s="110"/>
    </row>
    <row r="1543" spans="1:42" ht="15" hidden="1" customHeight="1">
      <c r="A1543" s="111" t="str">
        <f>'Sampling Data'!W1536</f>
        <v/>
      </c>
      <c r="B1543" s="112" t="str">
        <f>'Sampling Data'!A1536</f>
        <v>NORTH RANDALL -00-A - ABS</v>
      </c>
      <c r="C1543" s="112">
        <f>'Sampling Data'!B1536</f>
        <v>3</v>
      </c>
      <c r="D1543" s="112">
        <f>'Sampling Data'!C1536</f>
        <v>2</v>
      </c>
      <c r="E1543" s="113">
        <f>'Sampling Data'!D1536</f>
        <v>3</v>
      </c>
      <c r="F1543" s="113">
        <f>'Sampling Data'!E1536</f>
        <v>1</v>
      </c>
      <c r="G1543" s="113">
        <f>'Sampling Data'!F1536</f>
        <v>0</v>
      </c>
      <c r="H1543" s="113">
        <f>'Sampling Data'!G1536</f>
        <v>1</v>
      </c>
      <c r="I1543" s="112">
        <f>'Sampling Data'!H1536</f>
        <v>0</v>
      </c>
      <c r="J1543" s="112">
        <f>'Sampling Data'!I1536</f>
        <v>0</v>
      </c>
      <c r="K1543" s="112">
        <f>'Sampling Data'!J1536</f>
        <v>10</v>
      </c>
      <c r="L1543" s="111">
        <f>'Sampling Data'!X1536</f>
        <v>0</v>
      </c>
      <c r="M1543" s="114"/>
      <c r="N1543" s="114"/>
      <c r="O1543" s="115"/>
      <c r="P1543" s="115"/>
      <c r="Q1543" s="116"/>
      <c r="R1543" s="116"/>
      <c r="S1543" s="111">
        <f>Audit[[#This Row],[Audit Losing Candidate]]-Audit[[#This Row],[Losing Candidate]]</f>
        <v>-3</v>
      </c>
      <c r="T1543" s="111">
        <f>Audit[[#This Row],[Audit Winning Candidate]]-Audit[[#This Row],[Winning Candidate]]</f>
        <v>-2</v>
      </c>
      <c r="U1543" s="111">
        <f>Audit[[#This Row],[Audit Candidate 3]]-Audit[[#This Row],[Candidate 3]]</f>
        <v>-3</v>
      </c>
      <c r="V1543" s="111">
        <f>Audit[[#This Row],[Audit Candidate 4]]-Audit[[#This Row],[Candidate 4]]</f>
        <v>-1</v>
      </c>
      <c r="W1543" s="111">
        <f>Audit[[#This Row],[Audit Candidate 5]]-Audit[[#This Row],[Candidate 5]]</f>
        <v>0</v>
      </c>
      <c r="X1543" s="111">
        <f>Audit[[#This Row],[Audit Candidate 6]]-Audit[[#This Row],[Candidate 6]]</f>
        <v>-1</v>
      </c>
      <c r="Y1543" s="111">
        <f>SUMIF(Audit[[#This Row],[Difference Loser]:[Difference Candidate 6]], "&gt;0")</f>
        <v>0</v>
      </c>
      <c r="Z1543" s="111">
        <f>SUM(Audit[[#This Row],[Difference Loser]:[Difference Candidate 6]])</f>
        <v>-10</v>
      </c>
      <c r="AA1543" s="111">
        <f>IF(Audit[[#This Row],[Times p Drawn - With Replacement]]&gt;0, IF(Audit[[#This Row],[Canceled Differences]]&lt;0, Audit[[#This Row],[Max Differences]]+ABS(Audit[[#This Row],[Canceled Differences]]), Audit[[#This Row],[Max Differences]]), 0)</f>
        <v>0</v>
      </c>
      <c r="AB1543" s="111">
        <f>'Sampling Data'!P1536</f>
        <v>5.5120039196472322E-4</v>
      </c>
      <c r="AC1543" s="111">
        <f>IF(
      SUM(Audit[[#This Row],[Audit Losing Candidate]:[Audit Candidate 6]])
      &lt;&gt;0,
      (Audit[[#This Row],[Winning Candidate]]-Audit[[#This Row],[Losing Candidate]]-(Audit[[#This Row],[Audit Winning Candidate]]-Audit[[#This Row],[Audit Losing Candidate]]))/(Audit[[#Totals],[Winning Candidate]]-Audit[[#Totals],[Losing Candidate]]),
      0
)</f>
        <v>0</v>
      </c>
      <c r="AD15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3" s="111">
        <f>IF(Audit[[#This Row],[Max Relative Error (ep)]] = 0, 0, Audit[[#This Row],[Max Relative Error (ep)]]/Audit[[#This Row],[Error Bound (up) - Max. possible relative overstatement]])</f>
        <v>0</v>
      </c>
      <c r="AJ15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43" s="111">
        <f t="shared" si="24"/>
        <v>1</v>
      </c>
      <c r="AL1543" s="111">
        <f>PRODUCT($AK$5:AK1543)</f>
        <v>8.962823818226312E-2</v>
      </c>
      <c r="AM1543" s="109">
        <f>1 - [K-M P Value]</f>
        <v>0.91037176181773694</v>
      </c>
      <c r="AN1543" s="111" t="str">
        <f>IF(Audit[[#This Row],[K-M P Value]]&gt;1-'General Info'!$B$16,"Continue", "Stop")</f>
        <v>Stop</v>
      </c>
      <c r="AO1543" s="110" t="b">
        <f>IF(Audit[[#This Row],[Status - Continue or stop audit]] = "Continue", TRUE, IF(AN1542 = "Continue", TRUE, FALSE))</f>
        <v>0</v>
      </c>
      <c r="AP1543" s="110"/>
    </row>
    <row r="1544" spans="1:42" ht="15" hidden="1" customHeight="1">
      <c r="A1544" s="111" t="str">
        <f>'Sampling Data'!W1537</f>
        <v/>
      </c>
      <c r="B1544" s="112" t="str">
        <f>'Sampling Data'!A1537</f>
        <v>NORTH ROYALTON -01-A</v>
      </c>
      <c r="C1544" s="112">
        <f>'Sampling Data'!B1537</f>
        <v>41</v>
      </c>
      <c r="D1544" s="112">
        <f>'Sampling Data'!C1537</f>
        <v>47</v>
      </c>
      <c r="E1544" s="113">
        <f>'Sampling Data'!D1537</f>
        <v>17</v>
      </c>
      <c r="F1544" s="113">
        <f>'Sampling Data'!E1537</f>
        <v>18</v>
      </c>
      <c r="G1544" s="113">
        <f>'Sampling Data'!F1537</f>
        <v>1</v>
      </c>
      <c r="H1544" s="113">
        <f>'Sampling Data'!G1537</f>
        <v>0</v>
      </c>
      <c r="I1544" s="112">
        <f>'Sampling Data'!H1537</f>
        <v>0</v>
      </c>
      <c r="J1544" s="112">
        <f>'Sampling Data'!I1537</f>
        <v>0</v>
      </c>
      <c r="K1544" s="112">
        <f>'Sampling Data'!J1537</f>
        <v>124</v>
      </c>
      <c r="L1544" s="111">
        <f>'Sampling Data'!X1537</f>
        <v>0</v>
      </c>
      <c r="M1544" s="114"/>
      <c r="N1544" s="114"/>
      <c r="O1544" s="115"/>
      <c r="P1544" s="115"/>
      <c r="Q1544" s="116"/>
      <c r="R1544" s="116"/>
      <c r="S1544" s="111">
        <f>Audit[[#This Row],[Audit Losing Candidate]]-Audit[[#This Row],[Losing Candidate]]</f>
        <v>-41</v>
      </c>
      <c r="T1544" s="111">
        <f>Audit[[#This Row],[Audit Winning Candidate]]-Audit[[#This Row],[Winning Candidate]]</f>
        <v>-47</v>
      </c>
      <c r="U1544" s="111">
        <f>Audit[[#This Row],[Audit Candidate 3]]-Audit[[#This Row],[Candidate 3]]</f>
        <v>-17</v>
      </c>
      <c r="V1544" s="111">
        <f>Audit[[#This Row],[Audit Candidate 4]]-Audit[[#This Row],[Candidate 4]]</f>
        <v>-18</v>
      </c>
      <c r="W1544" s="111">
        <f>Audit[[#This Row],[Audit Candidate 5]]-Audit[[#This Row],[Candidate 5]]</f>
        <v>-1</v>
      </c>
      <c r="X1544" s="111">
        <f>Audit[[#This Row],[Audit Candidate 6]]-Audit[[#This Row],[Candidate 6]]</f>
        <v>0</v>
      </c>
      <c r="Y1544" s="111">
        <f>SUMIF(Audit[[#This Row],[Difference Loser]:[Difference Candidate 6]], "&gt;0")</f>
        <v>0</v>
      </c>
      <c r="Z1544" s="111">
        <f>SUM(Audit[[#This Row],[Difference Loser]:[Difference Candidate 6]])</f>
        <v>-124</v>
      </c>
      <c r="AA1544" s="111">
        <f>IF(Audit[[#This Row],[Times p Drawn - With Replacement]]&gt;0, IF(Audit[[#This Row],[Canceled Differences]]&lt;0, Audit[[#This Row],[Max Differences]]+ABS(Audit[[#This Row],[Canceled Differences]]), Audit[[#This Row],[Max Differences]]), 0)</f>
        <v>0</v>
      </c>
      <c r="AB1544" s="111">
        <f>'Sampling Data'!P1537</f>
        <v>7.9617834394904458E-3</v>
      </c>
      <c r="AC1544" s="111">
        <f>IF(
      SUM(Audit[[#This Row],[Audit Losing Candidate]:[Audit Candidate 6]])
      &lt;&gt;0,
      (Audit[[#This Row],[Winning Candidate]]-Audit[[#This Row],[Losing Candidate]]-(Audit[[#This Row],[Audit Winning Candidate]]-Audit[[#This Row],[Audit Losing Candidate]]))/(Audit[[#Totals],[Winning Candidate]]-Audit[[#Totals],[Losing Candidate]]),
      0
)</f>
        <v>0</v>
      </c>
      <c r="AD15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4" s="111">
        <f>IF(Audit[[#This Row],[Max Relative Error (ep)]] = 0, 0, Audit[[#This Row],[Max Relative Error (ep)]]/Audit[[#This Row],[Error Bound (up) - Max. possible relative overstatement]])</f>
        <v>0</v>
      </c>
      <c r="AJ15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44" s="111">
        <f t="shared" si="24"/>
        <v>1</v>
      </c>
      <c r="AL1544" s="111">
        <f>PRODUCT($AK$5:AK1544)</f>
        <v>8.962823818226312E-2</v>
      </c>
      <c r="AM1544" s="109">
        <f>1 - [K-M P Value]</f>
        <v>0.91037176181773694</v>
      </c>
      <c r="AN1544" s="111" t="str">
        <f>IF(Audit[[#This Row],[K-M P Value]]&gt;1-'General Info'!$B$16,"Continue", "Stop")</f>
        <v>Stop</v>
      </c>
      <c r="AO1544" s="110" t="b">
        <f>IF(Audit[[#This Row],[Status - Continue or stop audit]] = "Continue", TRUE, IF(AN1543 = "Continue", TRUE, FALSE))</f>
        <v>0</v>
      </c>
      <c r="AP1544" s="110"/>
    </row>
    <row r="1545" spans="1:42" ht="15" hidden="1" customHeight="1">
      <c r="A1545" s="111" t="str">
        <f>'Sampling Data'!W1538</f>
        <v/>
      </c>
      <c r="B1545" s="112" t="str">
        <f>'Sampling Data'!A1538</f>
        <v>NORTH ROYALTON -01-A - ABS</v>
      </c>
      <c r="C1545" s="112">
        <f>'Sampling Data'!B1538</f>
        <v>18</v>
      </c>
      <c r="D1545" s="112">
        <f>'Sampling Data'!C1538</f>
        <v>19</v>
      </c>
      <c r="E1545" s="113">
        <f>'Sampling Data'!D1538</f>
        <v>6</v>
      </c>
      <c r="F1545" s="113">
        <f>'Sampling Data'!E1538</f>
        <v>4</v>
      </c>
      <c r="G1545" s="113">
        <f>'Sampling Data'!F1538</f>
        <v>0</v>
      </c>
      <c r="H1545" s="113">
        <f>'Sampling Data'!G1538</f>
        <v>0</v>
      </c>
      <c r="I1545" s="112">
        <f>'Sampling Data'!H1538</f>
        <v>0</v>
      </c>
      <c r="J1545" s="112">
        <f>'Sampling Data'!I1538</f>
        <v>0</v>
      </c>
      <c r="K1545" s="112">
        <f>'Sampling Data'!J1538</f>
        <v>47</v>
      </c>
      <c r="L1545" s="111">
        <f>'Sampling Data'!X1538</f>
        <v>0</v>
      </c>
      <c r="M1545" s="114"/>
      <c r="N1545" s="114"/>
      <c r="O1545" s="115"/>
      <c r="P1545" s="115"/>
      <c r="Q1545" s="116"/>
      <c r="R1545" s="116"/>
      <c r="S1545" s="111">
        <f>Audit[[#This Row],[Audit Losing Candidate]]-Audit[[#This Row],[Losing Candidate]]</f>
        <v>-18</v>
      </c>
      <c r="T1545" s="111">
        <f>Audit[[#This Row],[Audit Winning Candidate]]-Audit[[#This Row],[Winning Candidate]]</f>
        <v>-19</v>
      </c>
      <c r="U1545" s="111">
        <f>Audit[[#This Row],[Audit Candidate 3]]-Audit[[#This Row],[Candidate 3]]</f>
        <v>-6</v>
      </c>
      <c r="V1545" s="111">
        <f>Audit[[#This Row],[Audit Candidate 4]]-Audit[[#This Row],[Candidate 4]]</f>
        <v>-4</v>
      </c>
      <c r="W1545" s="111">
        <f>Audit[[#This Row],[Audit Candidate 5]]-Audit[[#This Row],[Candidate 5]]</f>
        <v>0</v>
      </c>
      <c r="X1545" s="111">
        <f>Audit[[#This Row],[Audit Candidate 6]]-Audit[[#This Row],[Candidate 6]]</f>
        <v>0</v>
      </c>
      <c r="Y1545" s="111">
        <f>SUMIF(Audit[[#This Row],[Difference Loser]:[Difference Candidate 6]], "&gt;0")</f>
        <v>0</v>
      </c>
      <c r="Z1545" s="111">
        <f>SUM(Audit[[#This Row],[Difference Loser]:[Difference Candidate 6]])</f>
        <v>-47</v>
      </c>
      <c r="AA1545" s="111">
        <f>IF(Audit[[#This Row],[Times p Drawn - With Replacement]]&gt;0, IF(Audit[[#This Row],[Canceled Differences]]&lt;0, Audit[[#This Row],[Max Differences]]+ABS(Audit[[#This Row],[Canceled Differences]]), Audit[[#This Row],[Max Differences]]), 0)</f>
        <v>0</v>
      </c>
      <c r="AB1545" s="111">
        <f>'Sampling Data'!P1538</f>
        <v>2.9397354238118569E-3</v>
      </c>
      <c r="AC1545" s="111">
        <f>IF(
      SUM(Audit[[#This Row],[Audit Losing Candidate]:[Audit Candidate 6]])
      &lt;&gt;0,
      (Audit[[#This Row],[Winning Candidate]]-Audit[[#This Row],[Losing Candidate]]-(Audit[[#This Row],[Audit Winning Candidate]]-Audit[[#This Row],[Audit Losing Candidate]]))/(Audit[[#Totals],[Winning Candidate]]-Audit[[#Totals],[Losing Candidate]]),
      0
)</f>
        <v>0</v>
      </c>
      <c r="AD15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5" s="111">
        <f>IF(Audit[[#This Row],[Max Relative Error (ep)]] = 0, 0, Audit[[#This Row],[Max Relative Error (ep)]]/Audit[[#This Row],[Error Bound (up) - Max. possible relative overstatement]])</f>
        <v>0</v>
      </c>
      <c r="AJ15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45" s="111">
        <f t="shared" si="24"/>
        <v>1</v>
      </c>
      <c r="AL1545" s="111">
        <f>PRODUCT($AK$5:AK1545)</f>
        <v>8.962823818226312E-2</v>
      </c>
      <c r="AM1545" s="109">
        <f>1 - [K-M P Value]</f>
        <v>0.91037176181773694</v>
      </c>
      <c r="AN1545" s="111" t="str">
        <f>IF(Audit[[#This Row],[K-M P Value]]&gt;1-'General Info'!$B$16,"Continue", "Stop")</f>
        <v>Stop</v>
      </c>
      <c r="AO1545" s="110" t="b">
        <f>IF(Audit[[#This Row],[Status - Continue or stop audit]] = "Continue", TRUE, IF(AN1544 = "Continue", TRUE, FALSE))</f>
        <v>0</v>
      </c>
      <c r="AP1545" s="110"/>
    </row>
    <row r="1546" spans="1:42" ht="15" hidden="1" customHeight="1">
      <c r="A1546" s="111" t="str">
        <f>'Sampling Data'!W1539</f>
        <v/>
      </c>
      <c r="B1546" s="112" t="str">
        <f>'Sampling Data'!A1539</f>
        <v>NORTH ROYALTON -01-B</v>
      </c>
      <c r="C1546" s="112">
        <f>'Sampling Data'!B1539</f>
        <v>49</v>
      </c>
      <c r="D1546" s="112">
        <f>'Sampling Data'!C1539</f>
        <v>65</v>
      </c>
      <c r="E1546" s="113">
        <f>'Sampling Data'!D1539</f>
        <v>15</v>
      </c>
      <c r="F1546" s="113">
        <f>'Sampling Data'!E1539</f>
        <v>14</v>
      </c>
      <c r="G1546" s="113">
        <f>'Sampling Data'!F1539</f>
        <v>0</v>
      </c>
      <c r="H1546" s="113">
        <f>'Sampling Data'!G1539</f>
        <v>0</v>
      </c>
      <c r="I1546" s="112">
        <f>'Sampling Data'!H1539</f>
        <v>0</v>
      </c>
      <c r="J1546" s="112">
        <f>'Sampling Data'!I1539</f>
        <v>0</v>
      </c>
      <c r="K1546" s="112">
        <f>'Sampling Data'!J1539</f>
        <v>143</v>
      </c>
      <c r="L1546" s="111">
        <f>'Sampling Data'!X1539</f>
        <v>0</v>
      </c>
      <c r="M1546" s="114"/>
      <c r="N1546" s="114"/>
      <c r="O1546" s="115"/>
      <c r="P1546" s="115"/>
      <c r="Q1546" s="116"/>
      <c r="R1546" s="116"/>
      <c r="S1546" s="111">
        <f>Audit[[#This Row],[Audit Losing Candidate]]-Audit[[#This Row],[Losing Candidate]]</f>
        <v>-49</v>
      </c>
      <c r="T1546" s="111">
        <f>Audit[[#This Row],[Audit Winning Candidate]]-Audit[[#This Row],[Winning Candidate]]</f>
        <v>-65</v>
      </c>
      <c r="U1546" s="111">
        <f>Audit[[#This Row],[Audit Candidate 3]]-Audit[[#This Row],[Candidate 3]]</f>
        <v>-15</v>
      </c>
      <c r="V1546" s="111">
        <f>Audit[[#This Row],[Audit Candidate 4]]-Audit[[#This Row],[Candidate 4]]</f>
        <v>-14</v>
      </c>
      <c r="W1546" s="111">
        <f>Audit[[#This Row],[Audit Candidate 5]]-Audit[[#This Row],[Candidate 5]]</f>
        <v>0</v>
      </c>
      <c r="X1546" s="111">
        <f>Audit[[#This Row],[Audit Candidate 6]]-Audit[[#This Row],[Candidate 6]]</f>
        <v>0</v>
      </c>
      <c r="Y1546" s="111">
        <f>SUMIF(Audit[[#This Row],[Difference Loser]:[Difference Candidate 6]], "&gt;0")</f>
        <v>0</v>
      </c>
      <c r="Z1546" s="111">
        <f>SUM(Audit[[#This Row],[Difference Loser]:[Difference Candidate 6]])</f>
        <v>-143</v>
      </c>
      <c r="AA1546" s="111">
        <f>IF(Audit[[#This Row],[Times p Drawn - With Replacement]]&gt;0, IF(Audit[[#This Row],[Canceled Differences]]&lt;0, Audit[[#This Row],[Max Differences]]+ABS(Audit[[#This Row],[Canceled Differences]]), Audit[[#This Row],[Max Differences]]), 0)</f>
        <v>0</v>
      </c>
      <c r="AB1546" s="111">
        <f>'Sampling Data'!P1539</f>
        <v>9.7378735913767767E-3</v>
      </c>
      <c r="AC1546" s="111">
        <f>IF(
      SUM(Audit[[#This Row],[Audit Losing Candidate]:[Audit Candidate 6]])
      &lt;&gt;0,
      (Audit[[#This Row],[Winning Candidate]]-Audit[[#This Row],[Losing Candidate]]-(Audit[[#This Row],[Audit Winning Candidate]]-Audit[[#This Row],[Audit Losing Candidate]]))/(Audit[[#Totals],[Winning Candidate]]-Audit[[#Totals],[Losing Candidate]]),
      0
)</f>
        <v>0</v>
      </c>
      <c r="AD15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6" s="111">
        <f>IF(Audit[[#This Row],[Max Relative Error (ep)]] = 0, 0, Audit[[#This Row],[Max Relative Error (ep)]]/Audit[[#This Row],[Error Bound (up) - Max. possible relative overstatement]])</f>
        <v>0</v>
      </c>
      <c r="AJ15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46" s="111">
        <f t="shared" si="24"/>
        <v>1</v>
      </c>
      <c r="AL1546" s="111">
        <f>PRODUCT($AK$5:AK1546)</f>
        <v>8.962823818226312E-2</v>
      </c>
      <c r="AM1546" s="109">
        <f>1 - [K-M P Value]</f>
        <v>0.91037176181773694</v>
      </c>
      <c r="AN1546" s="111" t="str">
        <f>IF(Audit[[#This Row],[K-M P Value]]&gt;1-'General Info'!$B$16,"Continue", "Stop")</f>
        <v>Stop</v>
      </c>
      <c r="AO1546" s="110" t="b">
        <f>IF(Audit[[#This Row],[Status - Continue or stop audit]] = "Continue", TRUE, IF(AN1545 = "Continue", TRUE, FALSE))</f>
        <v>0</v>
      </c>
      <c r="AP1546" s="110"/>
    </row>
    <row r="1547" spans="1:42" ht="15" hidden="1" customHeight="1">
      <c r="A1547" s="111" t="str">
        <f>'Sampling Data'!W1540</f>
        <v/>
      </c>
      <c r="B1547" s="112" t="str">
        <f>'Sampling Data'!A1540</f>
        <v>NORTH ROYALTON -01-B - ABS</v>
      </c>
      <c r="C1547" s="112">
        <f>'Sampling Data'!B1540</f>
        <v>43</v>
      </c>
      <c r="D1547" s="112">
        <f>'Sampling Data'!C1540</f>
        <v>16</v>
      </c>
      <c r="E1547" s="113">
        <f>'Sampling Data'!D1540</f>
        <v>7</v>
      </c>
      <c r="F1547" s="113">
        <f>'Sampling Data'!E1540</f>
        <v>5</v>
      </c>
      <c r="G1547" s="113">
        <f>'Sampling Data'!F1540</f>
        <v>0</v>
      </c>
      <c r="H1547" s="113">
        <f>'Sampling Data'!G1540</f>
        <v>1</v>
      </c>
      <c r="I1547" s="112">
        <f>'Sampling Data'!H1540</f>
        <v>0</v>
      </c>
      <c r="J1547" s="112">
        <f>'Sampling Data'!I1540</f>
        <v>0</v>
      </c>
      <c r="K1547" s="112">
        <f>'Sampling Data'!J1540</f>
        <v>72</v>
      </c>
      <c r="L1547" s="111">
        <f>'Sampling Data'!X1540</f>
        <v>0</v>
      </c>
      <c r="M1547" s="114"/>
      <c r="N1547" s="114"/>
      <c r="O1547" s="115"/>
      <c r="P1547" s="115"/>
      <c r="Q1547" s="116"/>
      <c r="R1547" s="116"/>
      <c r="S1547" s="111">
        <f>Audit[[#This Row],[Audit Losing Candidate]]-Audit[[#This Row],[Losing Candidate]]</f>
        <v>-43</v>
      </c>
      <c r="T1547" s="111">
        <f>Audit[[#This Row],[Audit Winning Candidate]]-Audit[[#This Row],[Winning Candidate]]</f>
        <v>-16</v>
      </c>
      <c r="U1547" s="111">
        <f>Audit[[#This Row],[Audit Candidate 3]]-Audit[[#This Row],[Candidate 3]]</f>
        <v>-7</v>
      </c>
      <c r="V1547" s="111">
        <f>Audit[[#This Row],[Audit Candidate 4]]-Audit[[#This Row],[Candidate 4]]</f>
        <v>-5</v>
      </c>
      <c r="W1547" s="111">
        <f>Audit[[#This Row],[Audit Candidate 5]]-Audit[[#This Row],[Candidate 5]]</f>
        <v>0</v>
      </c>
      <c r="X1547" s="111">
        <f>Audit[[#This Row],[Audit Candidate 6]]-Audit[[#This Row],[Candidate 6]]</f>
        <v>-1</v>
      </c>
      <c r="Y1547" s="111">
        <f>SUMIF(Audit[[#This Row],[Difference Loser]:[Difference Candidate 6]], "&gt;0")</f>
        <v>0</v>
      </c>
      <c r="Z1547" s="111">
        <f>SUM(Audit[[#This Row],[Difference Loser]:[Difference Candidate 6]])</f>
        <v>-72</v>
      </c>
      <c r="AA1547" s="111">
        <f>IF(Audit[[#This Row],[Times p Drawn - With Replacement]]&gt;0, IF(Audit[[#This Row],[Canceled Differences]]&lt;0, Audit[[#This Row],[Max Differences]]+ABS(Audit[[#This Row],[Canceled Differences]]), Audit[[#This Row],[Max Differences]]), 0)</f>
        <v>0</v>
      </c>
      <c r="AB1547" s="111">
        <f>'Sampling Data'!P1540</f>
        <v>2.7560019598236157E-3</v>
      </c>
      <c r="AC1547" s="111">
        <f>IF(
      SUM(Audit[[#This Row],[Audit Losing Candidate]:[Audit Candidate 6]])
      &lt;&gt;0,
      (Audit[[#This Row],[Winning Candidate]]-Audit[[#This Row],[Losing Candidate]]-(Audit[[#This Row],[Audit Winning Candidate]]-Audit[[#This Row],[Audit Losing Candidate]]))/(Audit[[#Totals],[Winning Candidate]]-Audit[[#Totals],[Losing Candidate]]),
      0
)</f>
        <v>0</v>
      </c>
      <c r="AD15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7" s="111">
        <f>IF(Audit[[#This Row],[Max Relative Error (ep)]] = 0, 0, Audit[[#This Row],[Max Relative Error (ep)]]/Audit[[#This Row],[Error Bound (up) - Max. possible relative overstatement]])</f>
        <v>0</v>
      </c>
      <c r="AJ15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47" s="111">
        <f t="shared" si="24"/>
        <v>1</v>
      </c>
      <c r="AL1547" s="111">
        <f>PRODUCT($AK$5:AK1547)</f>
        <v>8.962823818226312E-2</v>
      </c>
      <c r="AM1547" s="109">
        <f>1 - [K-M P Value]</f>
        <v>0.91037176181773694</v>
      </c>
      <c r="AN1547" s="111" t="str">
        <f>IF(Audit[[#This Row],[K-M P Value]]&gt;1-'General Info'!$B$16,"Continue", "Stop")</f>
        <v>Stop</v>
      </c>
      <c r="AO1547" s="110" t="b">
        <f>IF(Audit[[#This Row],[Status - Continue or stop audit]] = "Continue", TRUE, IF(AN1546 = "Continue", TRUE, FALSE))</f>
        <v>0</v>
      </c>
      <c r="AP1547" s="110"/>
    </row>
    <row r="1548" spans="1:42" ht="15" hidden="1" customHeight="1">
      <c r="A1548" s="111" t="str">
        <f>'Sampling Data'!W1541</f>
        <v/>
      </c>
      <c r="B1548" s="112" t="str">
        <f>'Sampling Data'!A1541</f>
        <v>NORTH ROYALTON -01-C</v>
      </c>
      <c r="C1548" s="112">
        <f>'Sampling Data'!B1541</f>
        <v>47</v>
      </c>
      <c r="D1548" s="112">
        <f>'Sampling Data'!C1541</f>
        <v>68</v>
      </c>
      <c r="E1548" s="113">
        <f>'Sampling Data'!D1541</f>
        <v>10</v>
      </c>
      <c r="F1548" s="113">
        <f>'Sampling Data'!E1541</f>
        <v>6</v>
      </c>
      <c r="G1548" s="113">
        <f>'Sampling Data'!F1541</f>
        <v>0</v>
      </c>
      <c r="H1548" s="113">
        <f>'Sampling Data'!G1541</f>
        <v>0</v>
      </c>
      <c r="I1548" s="112">
        <f>'Sampling Data'!H1541</f>
        <v>0</v>
      </c>
      <c r="J1548" s="112">
        <f>'Sampling Data'!I1541</f>
        <v>0</v>
      </c>
      <c r="K1548" s="112">
        <f>'Sampling Data'!J1541</f>
        <v>131</v>
      </c>
      <c r="L1548" s="111">
        <f>'Sampling Data'!X1541</f>
        <v>0</v>
      </c>
      <c r="M1548" s="114"/>
      <c r="N1548" s="114"/>
      <c r="O1548" s="115"/>
      <c r="P1548" s="115"/>
      <c r="Q1548" s="116"/>
      <c r="R1548" s="116"/>
      <c r="S1548" s="111">
        <f>Audit[[#This Row],[Audit Losing Candidate]]-Audit[[#This Row],[Losing Candidate]]</f>
        <v>-47</v>
      </c>
      <c r="T1548" s="111">
        <f>Audit[[#This Row],[Audit Winning Candidate]]-Audit[[#This Row],[Winning Candidate]]</f>
        <v>-68</v>
      </c>
      <c r="U1548" s="111">
        <f>Audit[[#This Row],[Audit Candidate 3]]-Audit[[#This Row],[Candidate 3]]</f>
        <v>-10</v>
      </c>
      <c r="V1548" s="111">
        <f>Audit[[#This Row],[Audit Candidate 4]]-Audit[[#This Row],[Candidate 4]]</f>
        <v>-6</v>
      </c>
      <c r="W1548" s="111">
        <f>Audit[[#This Row],[Audit Candidate 5]]-Audit[[#This Row],[Candidate 5]]</f>
        <v>0</v>
      </c>
      <c r="X1548" s="111">
        <f>Audit[[#This Row],[Audit Candidate 6]]-Audit[[#This Row],[Candidate 6]]</f>
        <v>0</v>
      </c>
      <c r="Y1548" s="111">
        <f>SUMIF(Audit[[#This Row],[Difference Loser]:[Difference Candidate 6]], "&gt;0")</f>
        <v>0</v>
      </c>
      <c r="Z1548" s="111">
        <f>SUM(Audit[[#This Row],[Difference Loser]:[Difference Candidate 6]])</f>
        <v>-131</v>
      </c>
      <c r="AA1548" s="111">
        <f>IF(Audit[[#This Row],[Times p Drawn - With Replacement]]&gt;0, IF(Audit[[#This Row],[Canceled Differences]]&lt;0, Audit[[#This Row],[Max Differences]]+ABS(Audit[[#This Row],[Canceled Differences]]), Audit[[#This Row],[Max Differences]]), 0)</f>
        <v>0</v>
      </c>
      <c r="AB1548" s="111">
        <f>'Sampling Data'!P1541</f>
        <v>9.309162175404213E-3</v>
      </c>
      <c r="AC1548" s="111">
        <f>IF(
      SUM(Audit[[#This Row],[Audit Losing Candidate]:[Audit Candidate 6]])
      &lt;&gt;0,
      (Audit[[#This Row],[Winning Candidate]]-Audit[[#This Row],[Losing Candidate]]-(Audit[[#This Row],[Audit Winning Candidate]]-Audit[[#This Row],[Audit Losing Candidate]]))/(Audit[[#Totals],[Winning Candidate]]-Audit[[#Totals],[Losing Candidate]]),
      0
)</f>
        <v>0</v>
      </c>
      <c r="AD15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8" s="111">
        <f>IF(Audit[[#This Row],[Max Relative Error (ep)]] = 0, 0, Audit[[#This Row],[Max Relative Error (ep)]]/Audit[[#This Row],[Error Bound (up) - Max. possible relative overstatement]])</f>
        <v>0</v>
      </c>
      <c r="AJ15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48" s="111">
        <f t="shared" si="24"/>
        <v>1</v>
      </c>
      <c r="AL1548" s="111">
        <f>PRODUCT($AK$5:AK1548)</f>
        <v>8.962823818226312E-2</v>
      </c>
      <c r="AM1548" s="109">
        <f>1 - [K-M P Value]</f>
        <v>0.91037176181773694</v>
      </c>
      <c r="AN1548" s="111" t="str">
        <f>IF(Audit[[#This Row],[K-M P Value]]&gt;1-'General Info'!$B$16,"Continue", "Stop")</f>
        <v>Stop</v>
      </c>
      <c r="AO1548" s="110" t="b">
        <f>IF(Audit[[#This Row],[Status - Continue or stop audit]] = "Continue", TRUE, IF(AN1547 = "Continue", TRUE, FALSE))</f>
        <v>0</v>
      </c>
      <c r="AP1548" s="110"/>
    </row>
    <row r="1549" spans="1:42" ht="15" hidden="1" customHeight="1">
      <c r="A1549" s="111" t="str">
        <f>'Sampling Data'!W1542</f>
        <v/>
      </c>
      <c r="B1549" s="112" t="str">
        <f>'Sampling Data'!A1542</f>
        <v>NORTH ROYALTON -01-C - ABS</v>
      </c>
      <c r="C1549" s="112">
        <f>'Sampling Data'!B1542</f>
        <v>24</v>
      </c>
      <c r="D1549" s="112">
        <f>'Sampling Data'!C1542</f>
        <v>26</v>
      </c>
      <c r="E1549" s="113">
        <f>'Sampling Data'!D1542</f>
        <v>16</v>
      </c>
      <c r="F1549" s="113">
        <f>'Sampling Data'!E1542</f>
        <v>3</v>
      </c>
      <c r="G1549" s="113">
        <f>'Sampling Data'!F1542</f>
        <v>0</v>
      </c>
      <c r="H1549" s="113">
        <f>'Sampling Data'!G1542</f>
        <v>1</v>
      </c>
      <c r="I1549" s="112">
        <f>'Sampling Data'!H1542</f>
        <v>0</v>
      </c>
      <c r="J1549" s="112">
        <f>'Sampling Data'!I1542</f>
        <v>2</v>
      </c>
      <c r="K1549" s="112">
        <f>'Sampling Data'!J1542</f>
        <v>72</v>
      </c>
      <c r="L1549" s="111">
        <f>'Sampling Data'!X1542</f>
        <v>0</v>
      </c>
      <c r="M1549" s="114"/>
      <c r="N1549" s="114"/>
      <c r="O1549" s="115"/>
      <c r="P1549" s="115"/>
      <c r="Q1549" s="116"/>
      <c r="R1549" s="116"/>
      <c r="S1549" s="111">
        <f>Audit[[#This Row],[Audit Losing Candidate]]-Audit[[#This Row],[Losing Candidate]]</f>
        <v>-24</v>
      </c>
      <c r="T1549" s="111">
        <f>Audit[[#This Row],[Audit Winning Candidate]]-Audit[[#This Row],[Winning Candidate]]</f>
        <v>-26</v>
      </c>
      <c r="U1549" s="111">
        <f>Audit[[#This Row],[Audit Candidate 3]]-Audit[[#This Row],[Candidate 3]]</f>
        <v>-16</v>
      </c>
      <c r="V1549" s="111">
        <f>Audit[[#This Row],[Audit Candidate 4]]-Audit[[#This Row],[Candidate 4]]</f>
        <v>-3</v>
      </c>
      <c r="W1549" s="111">
        <f>Audit[[#This Row],[Audit Candidate 5]]-Audit[[#This Row],[Candidate 5]]</f>
        <v>0</v>
      </c>
      <c r="X1549" s="111">
        <f>Audit[[#This Row],[Audit Candidate 6]]-Audit[[#This Row],[Candidate 6]]</f>
        <v>-1</v>
      </c>
      <c r="Y1549" s="111">
        <f>SUMIF(Audit[[#This Row],[Difference Loser]:[Difference Candidate 6]], "&gt;0")</f>
        <v>0</v>
      </c>
      <c r="Z1549" s="111">
        <f>SUM(Audit[[#This Row],[Difference Loser]:[Difference Candidate 6]])</f>
        <v>-70</v>
      </c>
      <c r="AA1549" s="111">
        <f>IF(Audit[[#This Row],[Times p Drawn - With Replacement]]&gt;0, IF(Audit[[#This Row],[Canceled Differences]]&lt;0, Audit[[#This Row],[Max Differences]]+ABS(Audit[[#This Row],[Canceled Differences]]), Audit[[#This Row],[Max Differences]]), 0)</f>
        <v>0</v>
      </c>
      <c r="AB1549" s="111">
        <f>'Sampling Data'!P1542</f>
        <v>4.5320921117099457E-3</v>
      </c>
      <c r="AC1549" s="111">
        <f>IF(
      SUM(Audit[[#This Row],[Audit Losing Candidate]:[Audit Candidate 6]])
      &lt;&gt;0,
      (Audit[[#This Row],[Winning Candidate]]-Audit[[#This Row],[Losing Candidate]]-(Audit[[#This Row],[Audit Winning Candidate]]-Audit[[#This Row],[Audit Losing Candidate]]))/(Audit[[#Totals],[Winning Candidate]]-Audit[[#Totals],[Losing Candidate]]),
      0
)</f>
        <v>0</v>
      </c>
      <c r="AD15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9" s="111">
        <f>IF(Audit[[#This Row],[Max Relative Error (ep)]] = 0, 0, Audit[[#This Row],[Max Relative Error (ep)]]/Audit[[#This Row],[Error Bound (up) - Max. possible relative overstatement]])</f>
        <v>0</v>
      </c>
      <c r="AJ15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49" s="111">
        <f t="shared" si="24"/>
        <v>1</v>
      </c>
      <c r="AL1549" s="111">
        <f>PRODUCT($AK$5:AK1549)</f>
        <v>8.962823818226312E-2</v>
      </c>
      <c r="AM1549" s="109">
        <f>1 - [K-M P Value]</f>
        <v>0.91037176181773694</v>
      </c>
      <c r="AN1549" s="111" t="str">
        <f>IF(Audit[[#This Row],[K-M P Value]]&gt;1-'General Info'!$B$16,"Continue", "Stop")</f>
        <v>Stop</v>
      </c>
      <c r="AO1549" s="110" t="b">
        <f>IF(Audit[[#This Row],[Status - Continue or stop audit]] = "Continue", TRUE, IF(AN1548 = "Continue", TRUE, FALSE))</f>
        <v>0</v>
      </c>
      <c r="AP1549" s="110"/>
    </row>
    <row r="1550" spans="1:42" ht="15" hidden="1" customHeight="1">
      <c r="A1550" s="111" t="str">
        <f>'Sampling Data'!W1543</f>
        <v/>
      </c>
      <c r="B1550" s="112" t="str">
        <f>'Sampling Data'!A1543</f>
        <v>NORTH ROYALTON -02-A</v>
      </c>
      <c r="C1550" s="112">
        <f>'Sampling Data'!B1543</f>
        <v>49</v>
      </c>
      <c r="D1550" s="112">
        <f>'Sampling Data'!C1543</f>
        <v>60</v>
      </c>
      <c r="E1550" s="113">
        <f>'Sampling Data'!D1543</f>
        <v>17</v>
      </c>
      <c r="F1550" s="113">
        <f>'Sampling Data'!E1543</f>
        <v>10</v>
      </c>
      <c r="G1550" s="113">
        <f>'Sampling Data'!F1543</f>
        <v>0</v>
      </c>
      <c r="H1550" s="113">
        <f>'Sampling Data'!G1543</f>
        <v>0</v>
      </c>
      <c r="I1550" s="112">
        <f>'Sampling Data'!H1543</f>
        <v>0</v>
      </c>
      <c r="J1550" s="112">
        <f>'Sampling Data'!I1543</f>
        <v>2</v>
      </c>
      <c r="K1550" s="112">
        <f>'Sampling Data'!J1543</f>
        <v>138</v>
      </c>
      <c r="L1550" s="111">
        <f>'Sampling Data'!X1543</f>
        <v>0</v>
      </c>
      <c r="M1550" s="114"/>
      <c r="N1550" s="114"/>
      <c r="O1550" s="115"/>
      <c r="P1550" s="115"/>
      <c r="Q1550" s="116"/>
      <c r="R1550" s="116"/>
      <c r="S1550" s="111">
        <f>Audit[[#This Row],[Audit Losing Candidate]]-Audit[[#This Row],[Losing Candidate]]</f>
        <v>-49</v>
      </c>
      <c r="T1550" s="111">
        <f>Audit[[#This Row],[Audit Winning Candidate]]-Audit[[#This Row],[Winning Candidate]]</f>
        <v>-60</v>
      </c>
      <c r="U1550" s="111">
        <f>Audit[[#This Row],[Audit Candidate 3]]-Audit[[#This Row],[Candidate 3]]</f>
        <v>-17</v>
      </c>
      <c r="V1550" s="111">
        <f>Audit[[#This Row],[Audit Candidate 4]]-Audit[[#This Row],[Candidate 4]]</f>
        <v>-10</v>
      </c>
      <c r="W1550" s="111">
        <f>Audit[[#This Row],[Audit Candidate 5]]-Audit[[#This Row],[Candidate 5]]</f>
        <v>0</v>
      </c>
      <c r="X1550" s="111">
        <f>Audit[[#This Row],[Audit Candidate 6]]-Audit[[#This Row],[Candidate 6]]</f>
        <v>0</v>
      </c>
      <c r="Y1550" s="111">
        <f>SUMIF(Audit[[#This Row],[Difference Loser]:[Difference Candidate 6]], "&gt;0")</f>
        <v>0</v>
      </c>
      <c r="Z1550" s="111">
        <f>SUM(Audit[[#This Row],[Difference Loser]:[Difference Candidate 6]])</f>
        <v>-136</v>
      </c>
      <c r="AA1550" s="111">
        <f>IF(Audit[[#This Row],[Times p Drawn - With Replacement]]&gt;0, IF(Audit[[#This Row],[Canceled Differences]]&lt;0, Audit[[#This Row],[Max Differences]]+ABS(Audit[[#This Row],[Canceled Differences]]), Audit[[#This Row],[Max Differences]]), 0)</f>
        <v>0</v>
      </c>
      <c r="AB1550" s="111">
        <f>'Sampling Data'!P1543</f>
        <v>9.1254287114159727E-3</v>
      </c>
      <c r="AC1550" s="111">
        <f>IF(
      SUM(Audit[[#This Row],[Audit Losing Candidate]:[Audit Candidate 6]])
      &lt;&gt;0,
      (Audit[[#This Row],[Winning Candidate]]-Audit[[#This Row],[Losing Candidate]]-(Audit[[#This Row],[Audit Winning Candidate]]-Audit[[#This Row],[Audit Losing Candidate]]))/(Audit[[#Totals],[Winning Candidate]]-Audit[[#Totals],[Losing Candidate]]),
      0
)</f>
        <v>0</v>
      </c>
      <c r="AD15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0" s="111">
        <f>IF(Audit[[#This Row],[Max Relative Error (ep)]] = 0, 0, Audit[[#This Row],[Max Relative Error (ep)]]/Audit[[#This Row],[Error Bound (up) - Max. possible relative overstatement]])</f>
        <v>0</v>
      </c>
      <c r="AJ15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50" s="111">
        <f t="shared" si="24"/>
        <v>1</v>
      </c>
      <c r="AL1550" s="111">
        <f>PRODUCT($AK$5:AK1550)</f>
        <v>8.962823818226312E-2</v>
      </c>
      <c r="AM1550" s="109">
        <f>1 - [K-M P Value]</f>
        <v>0.91037176181773694</v>
      </c>
      <c r="AN1550" s="111" t="str">
        <f>IF(Audit[[#This Row],[K-M P Value]]&gt;1-'General Info'!$B$16,"Continue", "Stop")</f>
        <v>Stop</v>
      </c>
      <c r="AO1550" s="110" t="b">
        <f>IF(Audit[[#This Row],[Status - Continue or stop audit]] = "Continue", TRUE, IF(AN1549 = "Continue", TRUE, FALSE))</f>
        <v>0</v>
      </c>
      <c r="AP1550" s="110"/>
    </row>
    <row r="1551" spans="1:42" ht="15" hidden="1" customHeight="1">
      <c r="A1551" s="111" t="str">
        <f>'Sampling Data'!W1544</f>
        <v/>
      </c>
      <c r="B1551" s="112" t="str">
        <f>'Sampling Data'!A1544</f>
        <v>NORTH ROYALTON -02-A - ABS</v>
      </c>
      <c r="C1551" s="112">
        <f>'Sampling Data'!B1544</f>
        <v>23</v>
      </c>
      <c r="D1551" s="112">
        <f>'Sampling Data'!C1544</f>
        <v>35</v>
      </c>
      <c r="E1551" s="113">
        <f>'Sampling Data'!D1544</f>
        <v>5</v>
      </c>
      <c r="F1551" s="113">
        <f>'Sampling Data'!E1544</f>
        <v>4</v>
      </c>
      <c r="G1551" s="113">
        <f>'Sampling Data'!F1544</f>
        <v>0</v>
      </c>
      <c r="H1551" s="113">
        <f>'Sampling Data'!G1544</f>
        <v>0</v>
      </c>
      <c r="I1551" s="112">
        <f>'Sampling Data'!H1544</f>
        <v>0</v>
      </c>
      <c r="J1551" s="112">
        <f>'Sampling Data'!I1544</f>
        <v>0</v>
      </c>
      <c r="K1551" s="112">
        <f>'Sampling Data'!J1544</f>
        <v>67</v>
      </c>
      <c r="L1551" s="111">
        <f>'Sampling Data'!X1544</f>
        <v>0</v>
      </c>
      <c r="M1551" s="114"/>
      <c r="N1551" s="114"/>
      <c r="O1551" s="115"/>
      <c r="P1551" s="115"/>
      <c r="Q1551" s="116"/>
      <c r="R1551" s="116"/>
      <c r="S1551" s="111">
        <f>Audit[[#This Row],[Audit Losing Candidate]]-Audit[[#This Row],[Losing Candidate]]</f>
        <v>-23</v>
      </c>
      <c r="T1551" s="111">
        <f>Audit[[#This Row],[Audit Winning Candidate]]-Audit[[#This Row],[Winning Candidate]]</f>
        <v>-35</v>
      </c>
      <c r="U1551" s="111">
        <f>Audit[[#This Row],[Audit Candidate 3]]-Audit[[#This Row],[Candidate 3]]</f>
        <v>-5</v>
      </c>
      <c r="V1551" s="111">
        <f>Audit[[#This Row],[Audit Candidate 4]]-Audit[[#This Row],[Candidate 4]]</f>
        <v>-4</v>
      </c>
      <c r="W1551" s="111">
        <f>Audit[[#This Row],[Audit Candidate 5]]-Audit[[#This Row],[Candidate 5]]</f>
        <v>0</v>
      </c>
      <c r="X1551" s="111">
        <f>Audit[[#This Row],[Audit Candidate 6]]-Audit[[#This Row],[Candidate 6]]</f>
        <v>0</v>
      </c>
      <c r="Y1551" s="111">
        <f>SUMIF(Audit[[#This Row],[Difference Loser]:[Difference Candidate 6]], "&gt;0")</f>
        <v>0</v>
      </c>
      <c r="Z1551" s="111">
        <f>SUM(Audit[[#This Row],[Difference Loser]:[Difference Candidate 6]])</f>
        <v>-67</v>
      </c>
      <c r="AA1551" s="111">
        <f>IF(Audit[[#This Row],[Times p Drawn - With Replacement]]&gt;0, IF(Audit[[#This Row],[Canceled Differences]]&lt;0, Audit[[#This Row],[Max Differences]]+ABS(Audit[[#This Row],[Canceled Differences]]), Audit[[#This Row],[Max Differences]]), 0)</f>
        <v>0</v>
      </c>
      <c r="AB1551" s="111">
        <f>'Sampling Data'!P1544</f>
        <v>4.8383145516903477E-3</v>
      </c>
      <c r="AC1551" s="111">
        <f>IF(
      SUM(Audit[[#This Row],[Audit Losing Candidate]:[Audit Candidate 6]])
      &lt;&gt;0,
      (Audit[[#This Row],[Winning Candidate]]-Audit[[#This Row],[Losing Candidate]]-(Audit[[#This Row],[Audit Winning Candidate]]-Audit[[#This Row],[Audit Losing Candidate]]))/(Audit[[#Totals],[Winning Candidate]]-Audit[[#Totals],[Losing Candidate]]),
      0
)</f>
        <v>0</v>
      </c>
      <c r="AD15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1" s="111">
        <f>IF(Audit[[#This Row],[Max Relative Error (ep)]] = 0, 0, Audit[[#This Row],[Max Relative Error (ep)]]/Audit[[#This Row],[Error Bound (up) - Max. possible relative overstatement]])</f>
        <v>0</v>
      </c>
      <c r="AJ15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51" s="111">
        <f t="shared" si="24"/>
        <v>1</v>
      </c>
      <c r="AL1551" s="111">
        <f>PRODUCT($AK$5:AK1551)</f>
        <v>8.962823818226312E-2</v>
      </c>
      <c r="AM1551" s="109">
        <f>1 - [K-M P Value]</f>
        <v>0.91037176181773694</v>
      </c>
      <c r="AN1551" s="111" t="str">
        <f>IF(Audit[[#This Row],[K-M P Value]]&gt;1-'General Info'!$B$16,"Continue", "Stop")</f>
        <v>Stop</v>
      </c>
      <c r="AO1551" s="110" t="b">
        <f>IF(Audit[[#This Row],[Status - Continue or stop audit]] = "Continue", TRUE, IF(AN1550 = "Continue", TRUE, FALSE))</f>
        <v>0</v>
      </c>
      <c r="AP1551" s="110"/>
    </row>
    <row r="1552" spans="1:42" ht="15" hidden="1" customHeight="1">
      <c r="A1552" s="111" t="str">
        <f>'Sampling Data'!W1545</f>
        <v/>
      </c>
      <c r="B1552" s="112" t="str">
        <f>'Sampling Data'!A1545</f>
        <v>NORTH ROYALTON -02-B</v>
      </c>
      <c r="C1552" s="112">
        <f>'Sampling Data'!B1545</f>
        <v>51</v>
      </c>
      <c r="D1552" s="112">
        <f>'Sampling Data'!C1545</f>
        <v>65</v>
      </c>
      <c r="E1552" s="113">
        <f>'Sampling Data'!D1545</f>
        <v>23</v>
      </c>
      <c r="F1552" s="113">
        <f>'Sampling Data'!E1545</f>
        <v>16</v>
      </c>
      <c r="G1552" s="113">
        <f>'Sampling Data'!F1545</f>
        <v>0</v>
      </c>
      <c r="H1552" s="113">
        <f>'Sampling Data'!G1545</f>
        <v>1</v>
      </c>
      <c r="I1552" s="112">
        <f>'Sampling Data'!H1545</f>
        <v>1</v>
      </c>
      <c r="J1552" s="112">
        <f>'Sampling Data'!I1545</f>
        <v>0</v>
      </c>
      <c r="K1552" s="112">
        <f>'Sampling Data'!J1545</f>
        <v>157</v>
      </c>
      <c r="L1552" s="111">
        <f>'Sampling Data'!X1545</f>
        <v>0</v>
      </c>
      <c r="M1552" s="114"/>
      <c r="N1552" s="114"/>
      <c r="O1552" s="115"/>
      <c r="P1552" s="115"/>
      <c r="Q1552" s="116"/>
      <c r="R1552" s="116"/>
      <c r="S1552" s="111">
        <f>Audit[[#This Row],[Audit Losing Candidate]]-Audit[[#This Row],[Losing Candidate]]</f>
        <v>-51</v>
      </c>
      <c r="T1552" s="111">
        <f>Audit[[#This Row],[Audit Winning Candidate]]-Audit[[#This Row],[Winning Candidate]]</f>
        <v>-65</v>
      </c>
      <c r="U1552" s="111">
        <f>Audit[[#This Row],[Audit Candidate 3]]-Audit[[#This Row],[Candidate 3]]</f>
        <v>-23</v>
      </c>
      <c r="V1552" s="111">
        <f>Audit[[#This Row],[Audit Candidate 4]]-Audit[[#This Row],[Candidate 4]]</f>
        <v>-16</v>
      </c>
      <c r="W1552" s="111">
        <f>Audit[[#This Row],[Audit Candidate 5]]-Audit[[#This Row],[Candidate 5]]</f>
        <v>0</v>
      </c>
      <c r="X1552" s="111">
        <f>Audit[[#This Row],[Audit Candidate 6]]-Audit[[#This Row],[Candidate 6]]</f>
        <v>-1</v>
      </c>
      <c r="Y1552" s="111">
        <f>SUMIF(Audit[[#This Row],[Difference Loser]:[Difference Candidate 6]], "&gt;0")</f>
        <v>0</v>
      </c>
      <c r="Z1552" s="111">
        <f>SUM(Audit[[#This Row],[Difference Loser]:[Difference Candidate 6]])</f>
        <v>-156</v>
      </c>
      <c r="AA1552" s="111">
        <f>IF(Audit[[#This Row],[Times p Drawn - With Replacement]]&gt;0, IF(Audit[[#This Row],[Canceled Differences]]&lt;0, Audit[[#This Row],[Max Differences]]+ABS(Audit[[#This Row],[Canceled Differences]]), Audit[[#This Row],[Max Differences]]), 0)</f>
        <v>0</v>
      </c>
      <c r="AB1552" s="111">
        <f>'Sampling Data'!P1545</f>
        <v>1.047280744732974E-2</v>
      </c>
      <c r="AC1552" s="111">
        <f>IF(
      SUM(Audit[[#This Row],[Audit Losing Candidate]:[Audit Candidate 6]])
      &lt;&gt;0,
      (Audit[[#This Row],[Winning Candidate]]-Audit[[#This Row],[Losing Candidate]]-(Audit[[#This Row],[Audit Winning Candidate]]-Audit[[#This Row],[Audit Losing Candidate]]))/(Audit[[#Totals],[Winning Candidate]]-Audit[[#Totals],[Losing Candidate]]),
      0
)</f>
        <v>0</v>
      </c>
      <c r="AD15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2" s="111">
        <f>IF(Audit[[#This Row],[Max Relative Error (ep)]] = 0, 0, Audit[[#This Row],[Max Relative Error (ep)]]/Audit[[#This Row],[Error Bound (up) - Max. possible relative overstatement]])</f>
        <v>0</v>
      </c>
      <c r="AJ15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52" s="111">
        <f t="shared" si="24"/>
        <v>1</v>
      </c>
      <c r="AL1552" s="111">
        <f>PRODUCT($AK$5:AK1552)</f>
        <v>8.962823818226312E-2</v>
      </c>
      <c r="AM1552" s="109">
        <f>1 - [K-M P Value]</f>
        <v>0.91037176181773694</v>
      </c>
      <c r="AN1552" s="111" t="str">
        <f>IF(Audit[[#This Row],[K-M P Value]]&gt;1-'General Info'!$B$16,"Continue", "Stop")</f>
        <v>Stop</v>
      </c>
      <c r="AO1552" s="110" t="b">
        <f>IF(Audit[[#This Row],[Status - Continue or stop audit]] = "Continue", TRUE, IF(AN1551 = "Continue", TRUE, FALSE))</f>
        <v>0</v>
      </c>
      <c r="AP1552" s="110"/>
    </row>
    <row r="1553" spans="1:42" ht="15" hidden="1" customHeight="1">
      <c r="A1553" s="111" t="str">
        <f>'Sampling Data'!W1546</f>
        <v/>
      </c>
      <c r="B1553" s="112" t="str">
        <f>'Sampling Data'!A1546</f>
        <v>NORTH ROYALTON -02-B - ABS</v>
      </c>
      <c r="C1553" s="112">
        <f>'Sampling Data'!B1546</f>
        <v>35</v>
      </c>
      <c r="D1553" s="112">
        <f>'Sampling Data'!C1546</f>
        <v>38</v>
      </c>
      <c r="E1553" s="113">
        <f>'Sampling Data'!D1546</f>
        <v>6</v>
      </c>
      <c r="F1553" s="113">
        <f>'Sampling Data'!E1546</f>
        <v>1</v>
      </c>
      <c r="G1553" s="113">
        <f>'Sampling Data'!F1546</f>
        <v>0</v>
      </c>
      <c r="H1553" s="113">
        <f>'Sampling Data'!G1546</f>
        <v>0</v>
      </c>
      <c r="I1553" s="112">
        <f>'Sampling Data'!H1546</f>
        <v>1</v>
      </c>
      <c r="J1553" s="112">
        <f>'Sampling Data'!I1546</f>
        <v>1</v>
      </c>
      <c r="K1553" s="112">
        <f>'Sampling Data'!J1546</f>
        <v>82</v>
      </c>
      <c r="L1553" s="111">
        <f>'Sampling Data'!X1546</f>
        <v>0</v>
      </c>
      <c r="M1553" s="114"/>
      <c r="N1553" s="114"/>
      <c r="O1553" s="115"/>
      <c r="P1553" s="115"/>
      <c r="Q1553" s="116"/>
      <c r="R1553" s="116"/>
      <c r="S1553" s="111">
        <f>Audit[[#This Row],[Audit Losing Candidate]]-Audit[[#This Row],[Losing Candidate]]</f>
        <v>-35</v>
      </c>
      <c r="T1553" s="111">
        <f>Audit[[#This Row],[Audit Winning Candidate]]-Audit[[#This Row],[Winning Candidate]]</f>
        <v>-38</v>
      </c>
      <c r="U1553" s="111">
        <f>Audit[[#This Row],[Audit Candidate 3]]-Audit[[#This Row],[Candidate 3]]</f>
        <v>-6</v>
      </c>
      <c r="V1553" s="111">
        <f>Audit[[#This Row],[Audit Candidate 4]]-Audit[[#This Row],[Candidate 4]]</f>
        <v>-1</v>
      </c>
      <c r="W1553" s="111">
        <f>Audit[[#This Row],[Audit Candidate 5]]-Audit[[#This Row],[Candidate 5]]</f>
        <v>0</v>
      </c>
      <c r="X1553" s="111">
        <f>Audit[[#This Row],[Audit Candidate 6]]-Audit[[#This Row],[Candidate 6]]</f>
        <v>0</v>
      </c>
      <c r="Y1553" s="111">
        <f>SUMIF(Audit[[#This Row],[Difference Loser]:[Difference Candidate 6]], "&gt;0")</f>
        <v>0</v>
      </c>
      <c r="Z1553" s="111">
        <f>SUM(Audit[[#This Row],[Difference Loser]:[Difference Candidate 6]])</f>
        <v>-80</v>
      </c>
      <c r="AA1553" s="111">
        <f>IF(Audit[[#This Row],[Times p Drawn - With Replacement]]&gt;0, IF(Audit[[#This Row],[Canceled Differences]]&lt;0, Audit[[#This Row],[Max Differences]]+ABS(Audit[[#This Row],[Canceled Differences]]), Audit[[#This Row],[Max Differences]]), 0)</f>
        <v>0</v>
      </c>
      <c r="AB1553" s="111">
        <f>'Sampling Data'!P1546</f>
        <v>5.2057814796668302E-3</v>
      </c>
      <c r="AC1553" s="111">
        <f>IF(
      SUM(Audit[[#This Row],[Audit Losing Candidate]:[Audit Candidate 6]])
      &lt;&gt;0,
      (Audit[[#This Row],[Winning Candidate]]-Audit[[#This Row],[Losing Candidate]]-(Audit[[#This Row],[Audit Winning Candidate]]-Audit[[#This Row],[Audit Losing Candidate]]))/(Audit[[#Totals],[Winning Candidate]]-Audit[[#Totals],[Losing Candidate]]),
      0
)</f>
        <v>0</v>
      </c>
      <c r="AD15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3" s="111">
        <f>IF(Audit[[#This Row],[Max Relative Error (ep)]] = 0, 0, Audit[[#This Row],[Max Relative Error (ep)]]/Audit[[#This Row],[Error Bound (up) - Max. possible relative overstatement]])</f>
        <v>0</v>
      </c>
      <c r="AJ15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53" s="111">
        <f t="shared" si="24"/>
        <v>1</v>
      </c>
      <c r="AL1553" s="111">
        <f>PRODUCT($AK$5:AK1553)</f>
        <v>8.962823818226312E-2</v>
      </c>
      <c r="AM1553" s="109">
        <f>1 - [K-M P Value]</f>
        <v>0.91037176181773694</v>
      </c>
      <c r="AN1553" s="111" t="str">
        <f>IF(Audit[[#This Row],[K-M P Value]]&gt;1-'General Info'!$B$16,"Continue", "Stop")</f>
        <v>Stop</v>
      </c>
      <c r="AO1553" s="110" t="b">
        <f>IF(Audit[[#This Row],[Status - Continue or stop audit]] = "Continue", TRUE, IF(AN1552 = "Continue", TRUE, FALSE))</f>
        <v>0</v>
      </c>
      <c r="AP1553" s="110"/>
    </row>
    <row r="1554" spans="1:42" ht="15" hidden="1" customHeight="1">
      <c r="A1554" s="111" t="str">
        <f>'Sampling Data'!W1547</f>
        <v/>
      </c>
      <c r="B1554" s="112" t="str">
        <f>'Sampling Data'!A1547</f>
        <v>NORTH ROYALTON -02-C</v>
      </c>
      <c r="C1554" s="112">
        <f>'Sampling Data'!B1547</f>
        <v>30</v>
      </c>
      <c r="D1554" s="112">
        <f>'Sampling Data'!C1547</f>
        <v>66</v>
      </c>
      <c r="E1554" s="113">
        <f>'Sampling Data'!D1547</f>
        <v>10</v>
      </c>
      <c r="F1554" s="113">
        <f>'Sampling Data'!E1547</f>
        <v>15</v>
      </c>
      <c r="G1554" s="113">
        <f>'Sampling Data'!F1547</f>
        <v>0</v>
      </c>
      <c r="H1554" s="113">
        <f>'Sampling Data'!G1547</f>
        <v>1</v>
      </c>
      <c r="I1554" s="112">
        <f>'Sampling Data'!H1547</f>
        <v>0</v>
      </c>
      <c r="J1554" s="112">
        <f>'Sampling Data'!I1547</f>
        <v>5</v>
      </c>
      <c r="K1554" s="112">
        <f>'Sampling Data'!J1547</f>
        <v>127</v>
      </c>
      <c r="L1554" s="111">
        <f>'Sampling Data'!X1547</f>
        <v>0</v>
      </c>
      <c r="M1554" s="114"/>
      <c r="N1554" s="114"/>
      <c r="O1554" s="115"/>
      <c r="P1554" s="115"/>
      <c r="Q1554" s="116"/>
      <c r="R1554" s="116"/>
      <c r="S1554" s="111">
        <f>Audit[[#This Row],[Audit Losing Candidate]]-Audit[[#This Row],[Losing Candidate]]</f>
        <v>-30</v>
      </c>
      <c r="T1554" s="111">
        <f>Audit[[#This Row],[Audit Winning Candidate]]-Audit[[#This Row],[Winning Candidate]]</f>
        <v>-66</v>
      </c>
      <c r="U1554" s="111">
        <f>Audit[[#This Row],[Audit Candidate 3]]-Audit[[#This Row],[Candidate 3]]</f>
        <v>-10</v>
      </c>
      <c r="V1554" s="111">
        <f>Audit[[#This Row],[Audit Candidate 4]]-Audit[[#This Row],[Candidate 4]]</f>
        <v>-15</v>
      </c>
      <c r="W1554" s="111">
        <f>Audit[[#This Row],[Audit Candidate 5]]-Audit[[#This Row],[Candidate 5]]</f>
        <v>0</v>
      </c>
      <c r="X1554" s="111">
        <f>Audit[[#This Row],[Audit Candidate 6]]-Audit[[#This Row],[Candidate 6]]</f>
        <v>-1</v>
      </c>
      <c r="Y1554" s="111">
        <f>SUMIF(Audit[[#This Row],[Difference Loser]:[Difference Candidate 6]], "&gt;0")</f>
        <v>0</v>
      </c>
      <c r="Z1554" s="111">
        <f>SUM(Audit[[#This Row],[Difference Loser]:[Difference Candidate 6]])</f>
        <v>-122</v>
      </c>
      <c r="AA1554" s="111">
        <f>IF(Audit[[#This Row],[Times p Drawn - With Replacement]]&gt;0, IF(Audit[[#This Row],[Canceled Differences]]&lt;0, Audit[[#This Row],[Max Differences]]+ABS(Audit[[#This Row],[Canceled Differences]]), Audit[[#This Row],[Max Differences]]), 0)</f>
        <v>0</v>
      </c>
      <c r="AB1554" s="111">
        <f>'Sampling Data'!P1547</f>
        <v>9.9828515433610984E-3</v>
      </c>
      <c r="AC1554" s="111">
        <f>IF(
      SUM(Audit[[#This Row],[Audit Losing Candidate]:[Audit Candidate 6]])
      &lt;&gt;0,
      (Audit[[#This Row],[Winning Candidate]]-Audit[[#This Row],[Losing Candidate]]-(Audit[[#This Row],[Audit Winning Candidate]]-Audit[[#This Row],[Audit Losing Candidate]]))/(Audit[[#Totals],[Winning Candidate]]-Audit[[#Totals],[Losing Candidate]]),
      0
)</f>
        <v>0</v>
      </c>
      <c r="AD15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4" s="111">
        <f>IF(Audit[[#This Row],[Max Relative Error (ep)]] = 0, 0, Audit[[#This Row],[Max Relative Error (ep)]]/Audit[[#This Row],[Error Bound (up) - Max. possible relative overstatement]])</f>
        <v>0</v>
      </c>
      <c r="AJ15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54" s="111">
        <f t="shared" si="24"/>
        <v>1</v>
      </c>
      <c r="AL1554" s="111">
        <f>PRODUCT($AK$5:AK1554)</f>
        <v>8.962823818226312E-2</v>
      </c>
      <c r="AM1554" s="109">
        <f>1 - [K-M P Value]</f>
        <v>0.91037176181773694</v>
      </c>
      <c r="AN1554" s="111" t="str">
        <f>IF(Audit[[#This Row],[K-M P Value]]&gt;1-'General Info'!$B$16,"Continue", "Stop")</f>
        <v>Stop</v>
      </c>
      <c r="AO1554" s="110" t="b">
        <f>IF(Audit[[#This Row],[Status - Continue or stop audit]] = "Continue", TRUE, IF(AN1553 = "Continue", TRUE, FALSE))</f>
        <v>0</v>
      </c>
      <c r="AP1554" s="110"/>
    </row>
    <row r="1555" spans="1:42" ht="15" hidden="1" customHeight="1">
      <c r="A1555" s="111" t="str">
        <f>'Sampling Data'!W1548</f>
        <v/>
      </c>
      <c r="B1555" s="112" t="str">
        <f>'Sampling Data'!A1548</f>
        <v>NORTH ROYALTON -02-C - ABS</v>
      </c>
      <c r="C1555" s="112">
        <f>'Sampling Data'!B1548</f>
        <v>21</v>
      </c>
      <c r="D1555" s="112">
        <f>'Sampling Data'!C1548</f>
        <v>21</v>
      </c>
      <c r="E1555" s="113">
        <f>'Sampling Data'!D1548</f>
        <v>10</v>
      </c>
      <c r="F1555" s="113">
        <f>'Sampling Data'!E1548</f>
        <v>2</v>
      </c>
      <c r="G1555" s="113">
        <f>'Sampling Data'!F1548</f>
        <v>0</v>
      </c>
      <c r="H1555" s="113">
        <f>'Sampling Data'!G1548</f>
        <v>0</v>
      </c>
      <c r="I1555" s="112">
        <f>'Sampling Data'!H1548</f>
        <v>0</v>
      </c>
      <c r="J1555" s="112">
        <f>'Sampling Data'!I1548</f>
        <v>1</v>
      </c>
      <c r="K1555" s="112">
        <f>'Sampling Data'!J1548</f>
        <v>55</v>
      </c>
      <c r="L1555" s="111">
        <f>'Sampling Data'!X1548</f>
        <v>0</v>
      </c>
      <c r="M1555" s="114"/>
      <c r="N1555" s="114"/>
      <c r="O1555" s="115"/>
      <c r="P1555" s="115"/>
      <c r="Q1555" s="116"/>
      <c r="R1555" s="116"/>
      <c r="S1555" s="111">
        <f>Audit[[#This Row],[Audit Losing Candidate]]-Audit[[#This Row],[Losing Candidate]]</f>
        <v>-21</v>
      </c>
      <c r="T1555" s="111">
        <f>Audit[[#This Row],[Audit Winning Candidate]]-Audit[[#This Row],[Winning Candidate]]</f>
        <v>-21</v>
      </c>
      <c r="U1555" s="111">
        <f>Audit[[#This Row],[Audit Candidate 3]]-Audit[[#This Row],[Candidate 3]]</f>
        <v>-10</v>
      </c>
      <c r="V1555" s="111">
        <f>Audit[[#This Row],[Audit Candidate 4]]-Audit[[#This Row],[Candidate 4]]</f>
        <v>-2</v>
      </c>
      <c r="W1555" s="111">
        <f>Audit[[#This Row],[Audit Candidate 5]]-Audit[[#This Row],[Candidate 5]]</f>
        <v>0</v>
      </c>
      <c r="X1555" s="111">
        <f>Audit[[#This Row],[Audit Candidate 6]]-Audit[[#This Row],[Candidate 6]]</f>
        <v>0</v>
      </c>
      <c r="Y1555" s="111">
        <f>SUMIF(Audit[[#This Row],[Difference Loser]:[Difference Candidate 6]], "&gt;0")</f>
        <v>0</v>
      </c>
      <c r="Z1555" s="111">
        <f>SUM(Audit[[#This Row],[Difference Loser]:[Difference Candidate 6]])</f>
        <v>-54</v>
      </c>
      <c r="AA1555" s="111">
        <f>IF(Audit[[#This Row],[Times p Drawn - With Replacement]]&gt;0, IF(Audit[[#This Row],[Canceled Differences]]&lt;0, Audit[[#This Row],[Max Differences]]+ABS(Audit[[#This Row],[Canceled Differences]]), Audit[[#This Row],[Max Differences]]), 0)</f>
        <v>0</v>
      </c>
      <c r="AB1555" s="111">
        <f>'Sampling Data'!P1548</f>
        <v>3.3684468397844193E-3</v>
      </c>
      <c r="AC1555" s="111">
        <f>IF(
      SUM(Audit[[#This Row],[Audit Losing Candidate]:[Audit Candidate 6]])
      &lt;&gt;0,
      (Audit[[#This Row],[Winning Candidate]]-Audit[[#This Row],[Losing Candidate]]-(Audit[[#This Row],[Audit Winning Candidate]]-Audit[[#This Row],[Audit Losing Candidate]]))/(Audit[[#Totals],[Winning Candidate]]-Audit[[#Totals],[Losing Candidate]]),
      0
)</f>
        <v>0</v>
      </c>
      <c r="AD15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5" s="111">
        <f>IF(Audit[[#This Row],[Max Relative Error (ep)]] = 0, 0, Audit[[#This Row],[Max Relative Error (ep)]]/Audit[[#This Row],[Error Bound (up) - Max. possible relative overstatement]])</f>
        <v>0</v>
      </c>
      <c r="AJ15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55" s="111">
        <f t="shared" si="24"/>
        <v>1</v>
      </c>
      <c r="AL1555" s="111">
        <f>PRODUCT($AK$5:AK1555)</f>
        <v>8.962823818226312E-2</v>
      </c>
      <c r="AM1555" s="109">
        <f>1 - [K-M P Value]</f>
        <v>0.91037176181773694</v>
      </c>
      <c r="AN1555" s="111" t="str">
        <f>IF(Audit[[#This Row],[K-M P Value]]&gt;1-'General Info'!$B$16,"Continue", "Stop")</f>
        <v>Stop</v>
      </c>
      <c r="AO1555" s="110" t="b">
        <f>IF(Audit[[#This Row],[Status - Continue or stop audit]] = "Continue", TRUE, IF(AN1554 = "Continue", TRUE, FALSE))</f>
        <v>0</v>
      </c>
      <c r="AP1555" s="110"/>
    </row>
    <row r="1556" spans="1:42" ht="15" hidden="1" customHeight="1">
      <c r="A1556" s="111" t="str">
        <f>'Sampling Data'!W1549</f>
        <v/>
      </c>
      <c r="B1556" s="112" t="str">
        <f>'Sampling Data'!A1549</f>
        <v>NORTH ROYALTON -02-D</v>
      </c>
      <c r="C1556" s="112">
        <f>'Sampling Data'!B1549</f>
        <v>9</v>
      </c>
      <c r="D1556" s="112">
        <f>'Sampling Data'!C1549</f>
        <v>21</v>
      </c>
      <c r="E1556" s="113">
        <f>'Sampling Data'!D1549</f>
        <v>1</v>
      </c>
      <c r="F1556" s="113">
        <f>'Sampling Data'!E1549</f>
        <v>3</v>
      </c>
      <c r="G1556" s="113">
        <f>'Sampling Data'!F1549</f>
        <v>0</v>
      </c>
      <c r="H1556" s="113">
        <f>'Sampling Data'!G1549</f>
        <v>0</v>
      </c>
      <c r="I1556" s="112">
        <f>'Sampling Data'!H1549</f>
        <v>0</v>
      </c>
      <c r="J1556" s="112">
        <f>'Sampling Data'!I1549</f>
        <v>0</v>
      </c>
      <c r="K1556" s="112">
        <f>'Sampling Data'!J1549</f>
        <v>34</v>
      </c>
      <c r="L1556" s="111">
        <f>'Sampling Data'!X1549</f>
        <v>0</v>
      </c>
      <c r="M1556" s="114"/>
      <c r="N1556" s="114"/>
      <c r="O1556" s="115"/>
      <c r="P1556" s="115"/>
      <c r="Q1556" s="116"/>
      <c r="R1556" s="116"/>
      <c r="S1556" s="111">
        <f>Audit[[#This Row],[Audit Losing Candidate]]-Audit[[#This Row],[Losing Candidate]]</f>
        <v>-9</v>
      </c>
      <c r="T1556" s="111">
        <f>Audit[[#This Row],[Audit Winning Candidate]]-Audit[[#This Row],[Winning Candidate]]</f>
        <v>-21</v>
      </c>
      <c r="U1556" s="111">
        <f>Audit[[#This Row],[Audit Candidate 3]]-Audit[[#This Row],[Candidate 3]]</f>
        <v>-1</v>
      </c>
      <c r="V1556" s="111">
        <f>Audit[[#This Row],[Audit Candidate 4]]-Audit[[#This Row],[Candidate 4]]</f>
        <v>-3</v>
      </c>
      <c r="W1556" s="111">
        <f>Audit[[#This Row],[Audit Candidate 5]]-Audit[[#This Row],[Candidate 5]]</f>
        <v>0</v>
      </c>
      <c r="X1556" s="111">
        <f>Audit[[#This Row],[Audit Candidate 6]]-Audit[[#This Row],[Candidate 6]]</f>
        <v>0</v>
      </c>
      <c r="Y1556" s="111">
        <f>SUMIF(Audit[[#This Row],[Difference Loser]:[Difference Candidate 6]], "&gt;0")</f>
        <v>0</v>
      </c>
      <c r="Z1556" s="111">
        <f>SUM(Audit[[#This Row],[Difference Loser]:[Difference Candidate 6]])</f>
        <v>-34</v>
      </c>
      <c r="AA1556" s="111">
        <f>IF(Audit[[#This Row],[Times p Drawn - With Replacement]]&gt;0, IF(Audit[[#This Row],[Canceled Differences]]&lt;0, Audit[[#This Row],[Max Differences]]+ABS(Audit[[#This Row],[Canceled Differences]]), Audit[[#This Row],[Max Differences]]), 0)</f>
        <v>0</v>
      </c>
      <c r="AB1556" s="111">
        <f>'Sampling Data'!P1549</f>
        <v>2.8172464478196961E-3</v>
      </c>
      <c r="AC1556" s="111">
        <f>IF(
      SUM(Audit[[#This Row],[Audit Losing Candidate]:[Audit Candidate 6]])
      &lt;&gt;0,
      (Audit[[#This Row],[Winning Candidate]]-Audit[[#This Row],[Losing Candidate]]-(Audit[[#This Row],[Audit Winning Candidate]]-Audit[[#This Row],[Audit Losing Candidate]]))/(Audit[[#Totals],[Winning Candidate]]-Audit[[#Totals],[Losing Candidate]]),
      0
)</f>
        <v>0</v>
      </c>
      <c r="AD15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6" s="111">
        <f>IF(Audit[[#This Row],[Max Relative Error (ep)]] = 0, 0, Audit[[#This Row],[Max Relative Error (ep)]]/Audit[[#This Row],[Error Bound (up) - Max. possible relative overstatement]])</f>
        <v>0</v>
      </c>
      <c r="AJ15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56" s="111">
        <f t="shared" si="24"/>
        <v>1</v>
      </c>
      <c r="AL1556" s="111">
        <f>PRODUCT($AK$5:AK1556)</f>
        <v>8.962823818226312E-2</v>
      </c>
      <c r="AM1556" s="109">
        <f>1 - [K-M P Value]</f>
        <v>0.91037176181773694</v>
      </c>
      <c r="AN1556" s="111" t="str">
        <f>IF(Audit[[#This Row],[K-M P Value]]&gt;1-'General Info'!$B$16,"Continue", "Stop")</f>
        <v>Stop</v>
      </c>
      <c r="AO1556" s="110" t="b">
        <f>IF(Audit[[#This Row],[Status - Continue or stop audit]] = "Continue", TRUE, IF(AN1555 = "Continue", TRUE, FALSE))</f>
        <v>0</v>
      </c>
      <c r="AP1556" s="110"/>
    </row>
    <row r="1557" spans="1:42" ht="15" hidden="1" customHeight="1">
      <c r="A1557" s="111" t="str">
        <f>'Sampling Data'!W1550</f>
        <v/>
      </c>
      <c r="B1557" s="112" t="str">
        <f>'Sampling Data'!A1550</f>
        <v>NORTH ROYALTON -02-D - ABS</v>
      </c>
      <c r="C1557" s="112">
        <f>'Sampling Data'!B1550</f>
        <v>6</v>
      </c>
      <c r="D1557" s="112">
        <f>'Sampling Data'!C1550</f>
        <v>3</v>
      </c>
      <c r="E1557" s="113">
        <f>'Sampling Data'!D1550</f>
        <v>0</v>
      </c>
      <c r="F1557" s="113">
        <f>'Sampling Data'!E1550</f>
        <v>1</v>
      </c>
      <c r="G1557" s="113">
        <f>'Sampling Data'!F1550</f>
        <v>0</v>
      </c>
      <c r="H1557" s="113">
        <f>'Sampling Data'!G1550</f>
        <v>0</v>
      </c>
      <c r="I1557" s="112">
        <f>'Sampling Data'!H1550</f>
        <v>0</v>
      </c>
      <c r="J1557" s="112">
        <f>'Sampling Data'!I1550</f>
        <v>0</v>
      </c>
      <c r="K1557" s="112">
        <f>'Sampling Data'!J1550</f>
        <v>10</v>
      </c>
      <c r="L1557" s="111">
        <f>'Sampling Data'!X1550</f>
        <v>0</v>
      </c>
      <c r="M1557" s="114"/>
      <c r="N1557" s="114"/>
      <c r="O1557" s="115"/>
      <c r="P1557" s="115"/>
      <c r="Q1557" s="116"/>
      <c r="R1557" s="116"/>
      <c r="S1557" s="111">
        <f>Audit[[#This Row],[Audit Losing Candidate]]-Audit[[#This Row],[Losing Candidate]]</f>
        <v>-6</v>
      </c>
      <c r="T1557" s="111">
        <f>Audit[[#This Row],[Audit Winning Candidate]]-Audit[[#This Row],[Winning Candidate]]</f>
        <v>-3</v>
      </c>
      <c r="U1557" s="111">
        <f>Audit[[#This Row],[Audit Candidate 3]]-Audit[[#This Row],[Candidate 3]]</f>
        <v>0</v>
      </c>
      <c r="V1557" s="111">
        <f>Audit[[#This Row],[Audit Candidate 4]]-Audit[[#This Row],[Candidate 4]]</f>
        <v>-1</v>
      </c>
      <c r="W1557" s="111">
        <f>Audit[[#This Row],[Audit Candidate 5]]-Audit[[#This Row],[Candidate 5]]</f>
        <v>0</v>
      </c>
      <c r="X1557" s="111">
        <f>Audit[[#This Row],[Audit Candidate 6]]-Audit[[#This Row],[Candidate 6]]</f>
        <v>0</v>
      </c>
      <c r="Y1557" s="111">
        <f>SUMIF(Audit[[#This Row],[Difference Loser]:[Difference Candidate 6]], "&gt;0")</f>
        <v>0</v>
      </c>
      <c r="Z1557" s="111">
        <f>SUM(Audit[[#This Row],[Difference Loser]:[Difference Candidate 6]])</f>
        <v>-10</v>
      </c>
      <c r="AA1557" s="111">
        <f>IF(Audit[[#This Row],[Times p Drawn - With Replacement]]&gt;0, IF(Audit[[#This Row],[Canceled Differences]]&lt;0, Audit[[#This Row],[Max Differences]]+ABS(Audit[[#This Row],[Canceled Differences]]), Audit[[#This Row],[Max Differences]]), 0)</f>
        <v>0</v>
      </c>
      <c r="AB1557" s="111">
        <f>'Sampling Data'!P1550</f>
        <v>4.2871141597256246E-4</v>
      </c>
      <c r="AC1557" s="111">
        <f>IF(
      SUM(Audit[[#This Row],[Audit Losing Candidate]:[Audit Candidate 6]])
      &lt;&gt;0,
      (Audit[[#This Row],[Winning Candidate]]-Audit[[#This Row],[Losing Candidate]]-(Audit[[#This Row],[Audit Winning Candidate]]-Audit[[#This Row],[Audit Losing Candidate]]))/(Audit[[#Totals],[Winning Candidate]]-Audit[[#Totals],[Losing Candidate]]),
      0
)</f>
        <v>0</v>
      </c>
      <c r="AD15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7" s="111">
        <f>IF(Audit[[#This Row],[Max Relative Error (ep)]] = 0, 0, Audit[[#This Row],[Max Relative Error (ep)]]/Audit[[#This Row],[Error Bound (up) - Max. possible relative overstatement]])</f>
        <v>0</v>
      </c>
      <c r="AJ15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57" s="111">
        <f t="shared" si="24"/>
        <v>1</v>
      </c>
      <c r="AL1557" s="111">
        <f>PRODUCT($AK$5:AK1557)</f>
        <v>8.962823818226312E-2</v>
      </c>
      <c r="AM1557" s="109">
        <f>1 - [K-M P Value]</f>
        <v>0.91037176181773694</v>
      </c>
      <c r="AN1557" s="111" t="str">
        <f>IF(Audit[[#This Row],[K-M P Value]]&gt;1-'General Info'!$B$16,"Continue", "Stop")</f>
        <v>Stop</v>
      </c>
      <c r="AO1557" s="110" t="b">
        <f>IF(Audit[[#This Row],[Status - Continue or stop audit]] = "Continue", TRUE, IF(AN1556 = "Continue", TRUE, FALSE))</f>
        <v>0</v>
      </c>
      <c r="AP1557" s="110"/>
    </row>
    <row r="1558" spans="1:42" ht="15" hidden="1" customHeight="1">
      <c r="A1558" s="111" t="str">
        <f>'Sampling Data'!W1551</f>
        <v/>
      </c>
      <c r="B1558" s="112" t="str">
        <f>'Sampling Data'!A1551</f>
        <v>NORTH ROYALTON -03-A</v>
      </c>
      <c r="C1558" s="112">
        <f>'Sampling Data'!B1551</f>
        <v>32</v>
      </c>
      <c r="D1558" s="112">
        <f>'Sampling Data'!C1551</f>
        <v>89</v>
      </c>
      <c r="E1558" s="113">
        <f>'Sampling Data'!D1551</f>
        <v>7</v>
      </c>
      <c r="F1558" s="113">
        <f>'Sampling Data'!E1551</f>
        <v>6</v>
      </c>
      <c r="G1558" s="113">
        <f>'Sampling Data'!F1551</f>
        <v>1</v>
      </c>
      <c r="H1558" s="113">
        <f>'Sampling Data'!G1551</f>
        <v>0</v>
      </c>
      <c r="I1558" s="112">
        <f>'Sampling Data'!H1551</f>
        <v>0</v>
      </c>
      <c r="J1558" s="112">
        <f>'Sampling Data'!I1551</f>
        <v>1</v>
      </c>
      <c r="K1558" s="112">
        <f>'Sampling Data'!J1551</f>
        <v>136</v>
      </c>
      <c r="L1558" s="111">
        <f>'Sampling Data'!X1551</f>
        <v>0</v>
      </c>
      <c r="M1558" s="114"/>
      <c r="N1558" s="114"/>
      <c r="O1558" s="115"/>
      <c r="P1558" s="115"/>
      <c r="Q1558" s="116"/>
      <c r="R1558" s="116"/>
      <c r="S1558" s="111">
        <f>Audit[[#This Row],[Audit Losing Candidate]]-Audit[[#This Row],[Losing Candidate]]</f>
        <v>-32</v>
      </c>
      <c r="T1558" s="111">
        <f>Audit[[#This Row],[Audit Winning Candidate]]-Audit[[#This Row],[Winning Candidate]]</f>
        <v>-89</v>
      </c>
      <c r="U1558" s="111">
        <f>Audit[[#This Row],[Audit Candidate 3]]-Audit[[#This Row],[Candidate 3]]</f>
        <v>-7</v>
      </c>
      <c r="V1558" s="111">
        <f>Audit[[#This Row],[Audit Candidate 4]]-Audit[[#This Row],[Candidate 4]]</f>
        <v>-6</v>
      </c>
      <c r="W1558" s="111">
        <f>Audit[[#This Row],[Audit Candidate 5]]-Audit[[#This Row],[Candidate 5]]</f>
        <v>-1</v>
      </c>
      <c r="X1558" s="111">
        <f>Audit[[#This Row],[Audit Candidate 6]]-Audit[[#This Row],[Candidate 6]]</f>
        <v>0</v>
      </c>
      <c r="Y1558" s="111">
        <f>SUMIF(Audit[[#This Row],[Difference Loser]:[Difference Candidate 6]], "&gt;0")</f>
        <v>0</v>
      </c>
      <c r="Z1558" s="111">
        <f>SUM(Audit[[#This Row],[Difference Loser]:[Difference Candidate 6]])</f>
        <v>-135</v>
      </c>
      <c r="AA1558" s="111">
        <f>IF(Audit[[#This Row],[Times p Drawn - With Replacement]]&gt;0, IF(Audit[[#This Row],[Canceled Differences]]&lt;0, Audit[[#This Row],[Max Differences]]+ABS(Audit[[#This Row],[Canceled Differences]]), Audit[[#This Row],[Max Differences]]), 0)</f>
        <v>0</v>
      </c>
      <c r="AB1558" s="111">
        <f>'Sampling Data'!P1551</f>
        <v>1.1820186183243509E-2</v>
      </c>
      <c r="AC1558" s="111">
        <f>IF(
      SUM(Audit[[#This Row],[Audit Losing Candidate]:[Audit Candidate 6]])
      &lt;&gt;0,
      (Audit[[#This Row],[Winning Candidate]]-Audit[[#This Row],[Losing Candidate]]-(Audit[[#This Row],[Audit Winning Candidate]]-Audit[[#This Row],[Audit Losing Candidate]]))/(Audit[[#Totals],[Winning Candidate]]-Audit[[#Totals],[Losing Candidate]]),
      0
)</f>
        <v>0</v>
      </c>
      <c r="AD15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8" s="111">
        <f>IF(Audit[[#This Row],[Max Relative Error (ep)]] = 0, 0, Audit[[#This Row],[Max Relative Error (ep)]]/Audit[[#This Row],[Error Bound (up) - Max. possible relative overstatement]])</f>
        <v>0</v>
      </c>
      <c r="AJ15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58" s="111">
        <f t="shared" si="24"/>
        <v>1</v>
      </c>
      <c r="AL1558" s="111">
        <f>PRODUCT($AK$5:AK1558)</f>
        <v>8.962823818226312E-2</v>
      </c>
      <c r="AM1558" s="109">
        <f>1 - [K-M P Value]</f>
        <v>0.91037176181773694</v>
      </c>
      <c r="AN1558" s="111" t="str">
        <f>IF(Audit[[#This Row],[K-M P Value]]&gt;1-'General Info'!$B$16,"Continue", "Stop")</f>
        <v>Stop</v>
      </c>
      <c r="AO1558" s="110" t="b">
        <f>IF(Audit[[#This Row],[Status - Continue or stop audit]] = "Continue", TRUE, IF(AN1557 = "Continue", TRUE, FALSE))</f>
        <v>0</v>
      </c>
      <c r="AP1558" s="110"/>
    </row>
    <row r="1559" spans="1:42" ht="15" hidden="1" customHeight="1">
      <c r="A1559" s="111" t="str">
        <f>'Sampling Data'!W1552</f>
        <v/>
      </c>
      <c r="B1559" s="112" t="str">
        <f>'Sampling Data'!A1552</f>
        <v>NORTH ROYALTON -03-A - ABS</v>
      </c>
      <c r="C1559" s="112">
        <f>'Sampling Data'!B1552</f>
        <v>21</v>
      </c>
      <c r="D1559" s="112">
        <f>'Sampling Data'!C1552</f>
        <v>35</v>
      </c>
      <c r="E1559" s="113">
        <f>'Sampling Data'!D1552</f>
        <v>7</v>
      </c>
      <c r="F1559" s="113">
        <f>'Sampling Data'!E1552</f>
        <v>4</v>
      </c>
      <c r="G1559" s="113">
        <f>'Sampling Data'!F1552</f>
        <v>0</v>
      </c>
      <c r="H1559" s="113">
        <f>'Sampling Data'!G1552</f>
        <v>0</v>
      </c>
      <c r="I1559" s="112">
        <f>'Sampling Data'!H1552</f>
        <v>0</v>
      </c>
      <c r="J1559" s="112">
        <f>'Sampling Data'!I1552</f>
        <v>0</v>
      </c>
      <c r="K1559" s="112">
        <f>'Sampling Data'!J1552</f>
        <v>67</v>
      </c>
      <c r="L1559" s="111">
        <f>'Sampling Data'!X1552</f>
        <v>0</v>
      </c>
      <c r="M1559" s="114"/>
      <c r="N1559" s="114"/>
      <c r="O1559" s="115"/>
      <c r="P1559" s="115"/>
      <c r="Q1559" s="116"/>
      <c r="R1559" s="116"/>
      <c r="S1559" s="111">
        <f>Audit[[#This Row],[Audit Losing Candidate]]-Audit[[#This Row],[Losing Candidate]]</f>
        <v>-21</v>
      </c>
      <c r="T1559" s="111">
        <f>Audit[[#This Row],[Audit Winning Candidate]]-Audit[[#This Row],[Winning Candidate]]</f>
        <v>-35</v>
      </c>
      <c r="U1559" s="111">
        <f>Audit[[#This Row],[Audit Candidate 3]]-Audit[[#This Row],[Candidate 3]]</f>
        <v>-7</v>
      </c>
      <c r="V1559" s="111">
        <f>Audit[[#This Row],[Audit Candidate 4]]-Audit[[#This Row],[Candidate 4]]</f>
        <v>-4</v>
      </c>
      <c r="W1559" s="111">
        <f>Audit[[#This Row],[Audit Candidate 5]]-Audit[[#This Row],[Candidate 5]]</f>
        <v>0</v>
      </c>
      <c r="X1559" s="111">
        <f>Audit[[#This Row],[Audit Candidate 6]]-Audit[[#This Row],[Candidate 6]]</f>
        <v>0</v>
      </c>
      <c r="Y1559" s="111">
        <f>SUMIF(Audit[[#This Row],[Difference Loser]:[Difference Candidate 6]], "&gt;0")</f>
        <v>0</v>
      </c>
      <c r="Z1559" s="111">
        <f>SUM(Audit[[#This Row],[Difference Loser]:[Difference Candidate 6]])</f>
        <v>-67</v>
      </c>
      <c r="AA1559" s="111">
        <f>IF(Audit[[#This Row],[Times p Drawn - With Replacement]]&gt;0, IF(Audit[[#This Row],[Canceled Differences]]&lt;0, Audit[[#This Row],[Max Differences]]+ABS(Audit[[#This Row],[Canceled Differences]]), Audit[[#This Row],[Max Differences]]), 0)</f>
        <v>0</v>
      </c>
      <c r="AB1559" s="111">
        <f>'Sampling Data'!P1552</f>
        <v>4.9608035276825085E-3</v>
      </c>
      <c r="AC1559" s="111">
        <f>IF(
      SUM(Audit[[#This Row],[Audit Losing Candidate]:[Audit Candidate 6]])
      &lt;&gt;0,
      (Audit[[#This Row],[Winning Candidate]]-Audit[[#This Row],[Losing Candidate]]-(Audit[[#This Row],[Audit Winning Candidate]]-Audit[[#This Row],[Audit Losing Candidate]]))/(Audit[[#Totals],[Winning Candidate]]-Audit[[#Totals],[Losing Candidate]]),
      0
)</f>
        <v>0</v>
      </c>
      <c r="AD15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9" s="111">
        <f>IF(Audit[[#This Row],[Max Relative Error (ep)]] = 0, 0, Audit[[#This Row],[Max Relative Error (ep)]]/Audit[[#This Row],[Error Bound (up) - Max. possible relative overstatement]])</f>
        <v>0</v>
      </c>
      <c r="AJ15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59" s="111">
        <f t="shared" si="24"/>
        <v>1</v>
      </c>
      <c r="AL1559" s="111">
        <f>PRODUCT($AK$5:AK1559)</f>
        <v>8.962823818226312E-2</v>
      </c>
      <c r="AM1559" s="109">
        <f>1 - [K-M P Value]</f>
        <v>0.91037176181773694</v>
      </c>
      <c r="AN1559" s="111" t="str">
        <f>IF(Audit[[#This Row],[K-M P Value]]&gt;1-'General Info'!$B$16,"Continue", "Stop")</f>
        <v>Stop</v>
      </c>
      <c r="AO1559" s="110" t="b">
        <f>IF(Audit[[#This Row],[Status - Continue or stop audit]] = "Continue", TRUE, IF(AN1558 = "Continue", TRUE, FALSE))</f>
        <v>0</v>
      </c>
      <c r="AP1559" s="110"/>
    </row>
    <row r="1560" spans="1:42" ht="15" hidden="1" customHeight="1">
      <c r="A1560" s="111" t="str">
        <f>'Sampling Data'!W1553</f>
        <v/>
      </c>
      <c r="B1560" s="112" t="str">
        <f>'Sampling Data'!A1553</f>
        <v>NORTH ROYALTON -03-B</v>
      </c>
      <c r="C1560" s="112">
        <f>'Sampling Data'!B1553</f>
        <v>25</v>
      </c>
      <c r="D1560" s="112">
        <f>'Sampling Data'!C1553</f>
        <v>48</v>
      </c>
      <c r="E1560" s="113">
        <f>'Sampling Data'!D1553</f>
        <v>10</v>
      </c>
      <c r="F1560" s="113">
        <f>'Sampling Data'!E1553</f>
        <v>13</v>
      </c>
      <c r="G1560" s="113">
        <f>'Sampling Data'!F1553</f>
        <v>0</v>
      </c>
      <c r="H1560" s="113">
        <f>'Sampling Data'!G1553</f>
        <v>0</v>
      </c>
      <c r="I1560" s="112">
        <f>'Sampling Data'!H1553</f>
        <v>0</v>
      </c>
      <c r="J1560" s="112">
        <f>'Sampling Data'!I1553</f>
        <v>3</v>
      </c>
      <c r="K1560" s="112">
        <f>'Sampling Data'!J1553</f>
        <v>99</v>
      </c>
      <c r="L1560" s="111">
        <f>'Sampling Data'!X1553</f>
        <v>0</v>
      </c>
      <c r="M1560" s="114"/>
      <c r="N1560" s="114"/>
      <c r="O1560" s="115"/>
      <c r="P1560" s="115"/>
      <c r="Q1560" s="116"/>
      <c r="R1560" s="116"/>
      <c r="S1560" s="111">
        <f>Audit[[#This Row],[Audit Losing Candidate]]-Audit[[#This Row],[Losing Candidate]]</f>
        <v>-25</v>
      </c>
      <c r="T1560" s="111">
        <f>Audit[[#This Row],[Audit Winning Candidate]]-Audit[[#This Row],[Winning Candidate]]</f>
        <v>-48</v>
      </c>
      <c r="U1560" s="111">
        <f>Audit[[#This Row],[Audit Candidate 3]]-Audit[[#This Row],[Candidate 3]]</f>
        <v>-10</v>
      </c>
      <c r="V1560" s="111">
        <f>Audit[[#This Row],[Audit Candidate 4]]-Audit[[#This Row],[Candidate 4]]</f>
        <v>-13</v>
      </c>
      <c r="W1560" s="111">
        <f>Audit[[#This Row],[Audit Candidate 5]]-Audit[[#This Row],[Candidate 5]]</f>
        <v>0</v>
      </c>
      <c r="X1560" s="111">
        <f>Audit[[#This Row],[Audit Candidate 6]]-Audit[[#This Row],[Candidate 6]]</f>
        <v>0</v>
      </c>
      <c r="Y1560" s="111">
        <f>SUMIF(Audit[[#This Row],[Difference Loser]:[Difference Candidate 6]], "&gt;0")</f>
        <v>0</v>
      </c>
      <c r="Z1560" s="111">
        <f>SUM(Audit[[#This Row],[Difference Loser]:[Difference Candidate 6]])</f>
        <v>-96</v>
      </c>
      <c r="AA1560" s="111">
        <f>IF(Audit[[#This Row],[Times p Drawn - With Replacement]]&gt;0, IF(Audit[[#This Row],[Canceled Differences]]&lt;0, Audit[[#This Row],[Max Differences]]+ABS(Audit[[#This Row],[Canceled Differences]]), Audit[[#This Row],[Max Differences]]), 0)</f>
        <v>0</v>
      </c>
      <c r="AB1560" s="111">
        <f>'Sampling Data'!P1553</f>
        <v>7.4718275355218034E-3</v>
      </c>
      <c r="AC1560" s="111">
        <f>IF(
      SUM(Audit[[#This Row],[Audit Losing Candidate]:[Audit Candidate 6]])
      &lt;&gt;0,
      (Audit[[#This Row],[Winning Candidate]]-Audit[[#This Row],[Losing Candidate]]-(Audit[[#This Row],[Audit Winning Candidate]]-Audit[[#This Row],[Audit Losing Candidate]]))/(Audit[[#Totals],[Winning Candidate]]-Audit[[#Totals],[Losing Candidate]]),
      0
)</f>
        <v>0</v>
      </c>
      <c r="AD15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0" s="111">
        <f>IF(Audit[[#This Row],[Max Relative Error (ep)]] = 0, 0, Audit[[#This Row],[Max Relative Error (ep)]]/Audit[[#This Row],[Error Bound (up) - Max. possible relative overstatement]])</f>
        <v>0</v>
      </c>
      <c r="AJ15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60" s="111">
        <f t="shared" si="24"/>
        <v>1</v>
      </c>
      <c r="AL1560" s="111">
        <f>PRODUCT($AK$5:AK1560)</f>
        <v>8.962823818226312E-2</v>
      </c>
      <c r="AM1560" s="109">
        <f>1 - [K-M P Value]</f>
        <v>0.91037176181773694</v>
      </c>
      <c r="AN1560" s="111" t="str">
        <f>IF(Audit[[#This Row],[K-M P Value]]&gt;1-'General Info'!$B$16,"Continue", "Stop")</f>
        <v>Stop</v>
      </c>
      <c r="AO1560" s="110" t="b">
        <f>IF(Audit[[#This Row],[Status - Continue or stop audit]] = "Continue", TRUE, IF(AN1559 = "Continue", TRUE, FALSE))</f>
        <v>0</v>
      </c>
      <c r="AP1560" s="110"/>
    </row>
    <row r="1561" spans="1:42" ht="15" hidden="1" customHeight="1">
      <c r="A1561" s="111" t="str">
        <f>'Sampling Data'!W1554</f>
        <v/>
      </c>
      <c r="B1561" s="112" t="str">
        <f>'Sampling Data'!A1554</f>
        <v>NORTH ROYALTON -03-B - ABS</v>
      </c>
      <c r="C1561" s="112">
        <f>'Sampling Data'!B1554</f>
        <v>29</v>
      </c>
      <c r="D1561" s="112">
        <f>'Sampling Data'!C1554</f>
        <v>38</v>
      </c>
      <c r="E1561" s="113">
        <f>'Sampling Data'!D1554</f>
        <v>10</v>
      </c>
      <c r="F1561" s="113">
        <f>'Sampling Data'!E1554</f>
        <v>2</v>
      </c>
      <c r="G1561" s="113">
        <f>'Sampling Data'!F1554</f>
        <v>0</v>
      </c>
      <c r="H1561" s="113">
        <f>'Sampling Data'!G1554</f>
        <v>0</v>
      </c>
      <c r="I1561" s="112">
        <f>'Sampling Data'!H1554</f>
        <v>0</v>
      </c>
      <c r="J1561" s="112">
        <f>'Sampling Data'!I1554</f>
        <v>1</v>
      </c>
      <c r="K1561" s="112">
        <f>'Sampling Data'!J1554</f>
        <v>80</v>
      </c>
      <c r="L1561" s="111">
        <f>'Sampling Data'!X1554</f>
        <v>0</v>
      </c>
      <c r="M1561" s="114"/>
      <c r="N1561" s="114"/>
      <c r="O1561" s="115"/>
      <c r="P1561" s="115"/>
      <c r="Q1561" s="116"/>
      <c r="R1561" s="116"/>
      <c r="S1561" s="111">
        <f>Audit[[#This Row],[Audit Losing Candidate]]-Audit[[#This Row],[Losing Candidate]]</f>
        <v>-29</v>
      </c>
      <c r="T1561" s="111">
        <f>Audit[[#This Row],[Audit Winning Candidate]]-Audit[[#This Row],[Winning Candidate]]</f>
        <v>-38</v>
      </c>
      <c r="U1561" s="111">
        <f>Audit[[#This Row],[Audit Candidate 3]]-Audit[[#This Row],[Candidate 3]]</f>
        <v>-10</v>
      </c>
      <c r="V1561" s="111">
        <f>Audit[[#This Row],[Audit Candidate 4]]-Audit[[#This Row],[Candidate 4]]</f>
        <v>-2</v>
      </c>
      <c r="W1561" s="111">
        <f>Audit[[#This Row],[Audit Candidate 5]]-Audit[[#This Row],[Candidate 5]]</f>
        <v>0</v>
      </c>
      <c r="X1561" s="111">
        <f>Audit[[#This Row],[Audit Candidate 6]]-Audit[[#This Row],[Candidate 6]]</f>
        <v>0</v>
      </c>
      <c r="Y1561" s="111">
        <f>SUMIF(Audit[[#This Row],[Difference Loser]:[Difference Candidate 6]], "&gt;0")</f>
        <v>0</v>
      </c>
      <c r="Z1561" s="111">
        <f>SUM(Audit[[#This Row],[Difference Loser]:[Difference Candidate 6]])</f>
        <v>-79</v>
      </c>
      <c r="AA1561" s="111">
        <f>IF(Audit[[#This Row],[Times p Drawn - With Replacement]]&gt;0, IF(Audit[[#This Row],[Canceled Differences]]&lt;0, Audit[[#This Row],[Max Differences]]+ABS(Audit[[#This Row],[Canceled Differences]]), Audit[[#This Row],[Max Differences]]), 0)</f>
        <v>0</v>
      </c>
      <c r="AB1561" s="111">
        <f>'Sampling Data'!P1554</f>
        <v>5.4507594316511518E-3</v>
      </c>
      <c r="AC1561" s="111">
        <f>IF(
      SUM(Audit[[#This Row],[Audit Losing Candidate]:[Audit Candidate 6]])
      &lt;&gt;0,
      (Audit[[#This Row],[Winning Candidate]]-Audit[[#This Row],[Losing Candidate]]-(Audit[[#This Row],[Audit Winning Candidate]]-Audit[[#This Row],[Audit Losing Candidate]]))/(Audit[[#Totals],[Winning Candidate]]-Audit[[#Totals],[Losing Candidate]]),
      0
)</f>
        <v>0</v>
      </c>
      <c r="AD15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1" s="111">
        <f>IF(Audit[[#This Row],[Max Relative Error (ep)]] = 0, 0, Audit[[#This Row],[Max Relative Error (ep)]]/Audit[[#This Row],[Error Bound (up) - Max. possible relative overstatement]])</f>
        <v>0</v>
      </c>
      <c r="AJ15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61" s="111">
        <f t="shared" si="24"/>
        <v>1</v>
      </c>
      <c r="AL1561" s="111">
        <f>PRODUCT($AK$5:AK1561)</f>
        <v>8.962823818226312E-2</v>
      </c>
      <c r="AM1561" s="109">
        <f>1 - [K-M P Value]</f>
        <v>0.91037176181773694</v>
      </c>
      <c r="AN1561" s="111" t="str">
        <f>IF(Audit[[#This Row],[K-M P Value]]&gt;1-'General Info'!$B$16,"Continue", "Stop")</f>
        <v>Stop</v>
      </c>
      <c r="AO1561" s="110" t="b">
        <f>IF(Audit[[#This Row],[Status - Continue or stop audit]] = "Continue", TRUE, IF(AN1560 = "Continue", TRUE, FALSE))</f>
        <v>0</v>
      </c>
      <c r="AP1561" s="110"/>
    </row>
    <row r="1562" spans="1:42" ht="15" hidden="1" customHeight="1">
      <c r="A1562" s="111" t="str">
        <f>'Sampling Data'!W1555</f>
        <v/>
      </c>
      <c r="B1562" s="112" t="str">
        <f>'Sampling Data'!A1555</f>
        <v>NORTH ROYALTON -03-C</v>
      </c>
      <c r="C1562" s="112">
        <f>'Sampling Data'!B1555</f>
        <v>27</v>
      </c>
      <c r="D1562" s="112">
        <f>'Sampling Data'!C1555</f>
        <v>69</v>
      </c>
      <c r="E1562" s="113">
        <f>'Sampling Data'!D1555</f>
        <v>10</v>
      </c>
      <c r="F1562" s="113">
        <f>'Sampling Data'!E1555</f>
        <v>3</v>
      </c>
      <c r="G1562" s="113">
        <f>'Sampling Data'!F1555</f>
        <v>0</v>
      </c>
      <c r="H1562" s="113">
        <f>'Sampling Data'!G1555</f>
        <v>2</v>
      </c>
      <c r="I1562" s="112">
        <f>'Sampling Data'!H1555</f>
        <v>0</v>
      </c>
      <c r="J1562" s="112">
        <f>'Sampling Data'!I1555</f>
        <v>1</v>
      </c>
      <c r="K1562" s="112">
        <f>'Sampling Data'!J1555</f>
        <v>112</v>
      </c>
      <c r="L1562" s="111">
        <f>'Sampling Data'!X1555</f>
        <v>0</v>
      </c>
      <c r="M1562" s="114"/>
      <c r="N1562" s="114"/>
      <c r="O1562" s="115"/>
      <c r="P1562" s="115"/>
      <c r="Q1562" s="116"/>
      <c r="R1562" s="116"/>
      <c r="S1562" s="111">
        <f>Audit[[#This Row],[Audit Losing Candidate]]-Audit[[#This Row],[Losing Candidate]]</f>
        <v>-27</v>
      </c>
      <c r="T1562" s="111">
        <f>Audit[[#This Row],[Audit Winning Candidate]]-Audit[[#This Row],[Winning Candidate]]</f>
        <v>-69</v>
      </c>
      <c r="U1562" s="111">
        <f>Audit[[#This Row],[Audit Candidate 3]]-Audit[[#This Row],[Candidate 3]]</f>
        <v>-10</v>
      </c>
      <c r="V1562" s="111">
        <f>Audit[[#This Row],[Audit Candidate 4]]-Audit[[#This Row],[Candidate 4]]</f>
        <v>-3</v>
      </c>
      <c r="W1562" s="111">
        <f>Audit[[#This Row],[Audit Candidate 5]]-Audit[[#This Row],[Candidate 5]]</f>
        <v>0</v>
      </c>
      <c r="X1562" s="111">
        <f>Audit[[#This Row],[Audit Candidate 6]]-Audit[[#This Row],[Candidate 6]]</f>
        <v>-2</v>
      </c>
      <c r="Y1562" s="111">
        <f>SUMIF(Audit[[#This Row],[Difference Loser]:[Difference Candidate 6]], "&gt;0")</f>
        <v>0</v>
      </c>
      <c r="Z1562" s="111">
        <f>SUM(Audit[[#This Row],[Difference Loser]:[Difference Candidate 6]])</f>
        <v>-111</v>
      </c>
      <c r="AA1562" s="111">
        <f>IF(Audit[[#This Row],[Times p Drawn - With Replacement]]&gt;0, IF(Audit[[#This Row],[Canceled Differences]]&lt;0, Audit[[#This Row],[Max Differences]]+ABS(Audit[[#This Row],[Canceled Differences]]), Audit[[#This Row],[Max Differences]]), 0)</f>
        <v>0</v>
      </c>
      <c r="AB1562" s="111">
        <f>'Sampling Data'!P1555</f>
        <v>9.4316511513963738E-3</v>
      </c>
      <c r="AC1562" s="111">
        <f>IF(
      SUM(Audit[[#This Row],[Audit Losing Candidate]:[Audit Candidate 6]])
      &lt;&gt;0,
      (Audit[[#This Row],[Winning Candidate]]-Audit[[#This Row],[Losing Candidate]]-(Audit[[#This Row],[Audit Winning Candidate]]-Audit[[#This Row],[Audit Losing Candidate]]))/(Audit[[#Totals],[Winning Candidate]]-Audit[[#Totals],[Losing Candidate]]),
      0
)</f>
        <v>0</v>
      </c>
      <c r="AD15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2" s="111">
        <f>IF(Audit[[#This Row],[Max Relative Error (ep)]] = 0, 0, Audit[[#This Row],[Max Relative Error (ep)]]/Audit[[#This Row],[Error Bound (up) - Max. possible relative overstatement]])</f>
        <v>0</v>
      </c>
      <c r="AJ15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62" s="111">
        <f t="shared" si="24"/>
        <v>1</v>
      </c>
      <c r="AL1562" s="111">
        <f>PRODUCT($AK$5:AK1562)</f>
        <v>8.962823818226312E-2</v>
      </c>
      <c r="AM1562" s="109">
        <f>1 - [K-M P Value]</f>
        <v>0.91037176181773694</v>
      </c>
      <c r="AN1562" s="111" t="str">
        <f>IF(Audit[[#This Row],[K-M P Value]]&gt;1-'General Info'!$B$16,"Continue", "Stop")</f>
        <v>Stop</v>
      </c>
      <c r="AO1562" s="110" t="b">
        <f>IF(Audit[[#This Row],[Status - Continue or stop audit]] = "Continue", TRUE, IF(AN1561 = "Continue", TRUE, FALSE))</f>
        <v>0</v>
      </c>
      <c r="AP1562" s="110"/>
    </row>
    <row r="1563" spans="1:42" ht="15" hidden="1" customHeight="1">
      <c r="A1563" s="111" t="str">
        <f>'Sampling Data'!W1556</f>
        <v/>
      </c>
      <c r="B1563" s="112" t="str">
        <f>'Sampling Data'!A1556</f>
        <v>NORTH ROYALTON -03-C - ABS</v>
      </c>
      <c r="C1563" s="112">
        <f>'Sampling Data'!B1556</f>
        <v>24</v>
      </c>
      <c r="D1563" s="112">
        <f>'Sampling Data'!C1556</f>
        <v>26</v>
      </c>
      <c r="E1563" s="113">
        <f>'Sampling Data'!D1556</f>
        <v>6</v>
      </c>
      <c r="F1563" s="113">
        <f>'Sampling Data'!E1556</f>
        <v>2</v>
      </c>
      <c r="G1563" s="113">
        <f>'Sampling Data'!F1556</f>
        <v>0</v>
      </c>
      <c r="H1563" s="113">
        <f>'Sampling Data'!G1556</f>
        <v>0</v>
      </c>
      <c r="I1563" s="112">
        <f>'Sampling Data'!H1556</f>
        <v>0</v>
      </c>
      <c r="J1563" s="112">
        <f>'Sampling Data'!I1556</f>
        <v>0</v>
      </c>
      <c r="K1563" s="112">
        <f>'Sampling Data'!J1556</f>
        <v>58</v>
      </c>
      <c r="L1563" s="111">
        <f>'Sampling Data'!X1556</f>
        <v>0</v>
      </c>
      <c r="M1563" s="114"/>
      <c r="N1563" s="114"/>
      <c r="O1563" s="115"/>
      <c r="P1563" s="115"/>
      <c r="Q1563" s="116"/>
      <c r="R1563" s="116"/>
      <c r="S1563" s="111">
        <f>Audit[[#This Row],[Audit Losing Candidate]]-Audit[[#This Row],[Losing Candidate]]</f>
        <v>-24</v>
      </c>
      <c r="T1563" s="111">
        <f>Audit[[#This Row],[Audit Winning Candidate]]-Audit[[#This Row],[Winning Candidate]]</f>
        <v>-26</v>
      </c>
      <c r="U1563" s="111">
        <f>Audit[[#This Row],[Audit Candidate 3]]-Audit[[#This Row],[Candidate 3]]</f>
        <v>-6</v>
      </c>
      <c r="V1563" s="111">
        <f>Audit[[#This Row],[Audit Candidate 4]]-Audit[[#This Row],[Candidate 4]]</f>
        <v>-2</v>
      </c>
      <c r="W1563" s="111">
        <f>Audit[[#This Row],[Audit Candidate 5]]-Audit[[#This Row],[Candidate 5]]</f>
        <v>0</v>
      </c>
      <c r="X1563" s="111">
        <f>Audit[[#This Row],[Audit Candidate 6]]-Audit[[#This Row],[Candidate 6]]</f>
        <v>0</v>
      </c>
      <c r="Y1563" s="111">
        <f>SUMIF(Audit[[#This Row],[Difference Loser]:[Difference Candidate 6]], "&gt;0")</f>
        <v>0</v>
      </c>
      <c r="Z1563" s="111">
        <f>SUM(Audit[[#This Row],[Difference Loser]:[Difference Candidate 6]])</f>
        <v>-58</v>
      </c>
      <c r="AA1563" s="111">
        <f>IF(Audit[[#This Row],[Times p Drawn - With Replacement]]&gt;0, IF(Audit[[#This Row],[Canceled Differences]]&lt;0, Audit[[#This Row],[Max Differences]]+ABS(Audit[[#This Row],[Canceled Differences]]), Audit[[#This Row],[Max Differences]]), 0)</f>
        <v>0</v>
      </c>
      <c r="AB1563" s="111">
        <f>'Sampling Data'!P1556</f>
        <v>3.6746692797648213E-3</v>
      </c>
      <c r="AC1563" s="111">
        <f>IF(
      SUM(Audit[[#This Row],[Audit Losing Candidate]:[Audit Candidate 6]])
      &lt;&gt;0,
      (Audit[[#This Row],[Winning Candidate]]-Audit[[#This Row],[Losing Candidate]]-(Audit[[#This Row],[Audit Winning Candidate]]-Audit[[#This Row],[Audit Losing Candidate]]))/(Audit[[#Totals],[Winning Candidate]]-Audit[[#Totals],[Losing Candidate]]),
      0
)</f>
        <v>0</v>
      </c>
      <c r="AD15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3" s="111">
        <f>IF(Audit[[#This Row],[Max Relative Error (ep)]] = 0, 0, Audit[[#This Row],[Max Relative Error (ep)]]/Audit[[#This Row],[Error Bound (up) - Max. possible relative overstatement]])</f>
        <v>0</v>
      </c>
      <c r="AJ15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63" s="111">
        <f t="shared" si="24"/>
        <v>1</v>
      </c>
      <c r="AL1563" s="111">
        <f>PRODUCT($AK$5:AK1563)</f>
        <v>8.962823818226312E-2</v>
      </c>
      <c r="AM1563" s="109">
        <f>1 - [K-M P Value]</f>
        <v>0.91037176181773694</v>
      </c>
      <c r="AN1563" s="111" t="str">
        <f>IF(Audit[[#This Row],[K-M P Value]]&gt;1-'General Info'!$B$16,"Continue", "Stop")</f>
        <v>Stop</v>
      </c>
      <c r="AO1563" s="110" t="b">
        <f>IF(Audit[[#This Row],[Status - Continue or stop audit]] = "Continue", TRUE, IF(AN1562 = "Continue", TRUE, FALSE))</f>
        <v>0</v>
      </c>
      <c r="AP1563" s="110"/>
    </row>
    <row r="1564" spans="1:42" ht="15" hidden="1" customHeight="1">
      <c r="A1564" s="111" t="str">
        <f>'Sampling Data'!W1557</f>
        <v/>
      </c>
      <c r="B1564" s="112" t="str">
        <f>'Sampling Data'!A1557</f>
        <v>NORTH ROYALTON -03-D</v>
      </c>
      <c r="C1564" s="112">
        <f>'Sampling Data'!B1557</f>
        <v>12</v>
      </c>
      <c r="D1564" s="112">
        <f>'Sampling Data'!C1557</f>
        <v>16</v>
      </c>
      <c r="E1564" s="113">
        <f>'Sampling Data'!D1557</f>
        <v>9</v>
      </c>
      <c r="F1564" s="113">
        <f>'Sampling Data'!E1557</f>
        <v>3</v>
      </c>
      <c r="G1564" s="113">
        <f>'Sampling Data'!F1557</f>
        <v>0</v>
      </c>
      <c r="H1564" s="113">
        <f>'Sampling Data'!G1557</f>
        <v>0</v>
      </c>
      <c r="I1564" s="112">
        <f>'Sampling Data'!H1557</f>
        <v>0</v>
      </c>
      <c r="J1564" s="112">
        <f>'Sampling Data'!I1557</f>
        <v>1</v>
      </c>
      <c r="K1564" s="112">
        <f>'Sampling Data'!J1557</f>
        <v>41</v>
      </c>
      <c r="L1564" s="111">
        <f>'Sampling Data'!X1557</f>
        <v>0</v>
      </c>
      <c r="M1564" s="114"/>
      <c r="N1564" s="114"/>
      <c r="O1564" s="115"/>
      <c r="P1564" s="115"/>
      <c r="Q1564" s="116"/>
      <c r="R1564" s="116"/>
      <c r="S1564" s="111">
        <f>Audit[[#This Row],[Audit Losing Candidate]]-Audit[[#This Row],[Losing Candidate]]</f>
        <v>-12</v>
      </c>
      <c r="T1564" s="111">
        <f>Audit[[#This Row],[Audit Winning Candidate]]-Audit[[#This Row],[Winning Candidate]]</f>
        <v>-16</v>
      </c>
      <c r="U1564" s="111">
        <f>Audit[[#This Row],[Audit Candidate 3]]-Audit[[#This Row],[Candidate 3]]</f>
        <v>-9</v>
      </c>
      <c r="V1564" s="111">
        <f>Audit[[#This Row],[Audit Candidate 4]]-Audit[[#This Row],[Candidate 4]]</f>
        <v>-3</v>
      </c>
      <c r="W1564" s="111">
        <f>Audit[[#This Row],[Audit Candidate 5]]-Audit[[#This Row],[Candidate 5]]</f>
        <v>0</v>
      </c>
      <c r="X1564" s="111">
        <f>Audit[[#This Row],[Audit Candidate 6]]-Audit[[#This Row],[Candidate 6]]</f>
        <v>0</v>
      </c>
      <c r="Y1564" s="111">
        <f>SUMIF(Audit[[#This Row],[Difference Loser]:[Difference Candidate 6]], "&gt;0")</f>
        <v>0</v>
      </c>
      <c r="Z1564" s="111">
        <f>SUM(Audit[[#This Row],[Difference Loser]:[Difference Candidate 6]])</f>
        <v>-40</v>
      </c>
      <c r="AA1564" s="111">
        <f>IF(Audit[[#This Row],[Times p Drawn - With Replacement]]&gt;0, IF(Audit[[#This Row],[Canceled Differences]]&lt;0, Audit[[#This Row],[Max Differences]]+ABS(Audit[[#This Row],[Canceled Differences]]), Audit[[#This Row],[Max Differences]]), 0)</f>
        <v>0</v>
      </c>
      <c r="AB1564" s="111">
        <f>'Sampling Data'!P1557</f>
        <v>2.7560019598236157E-3</v>
      </c>
      <c r="AC1564" s="111">
        <f>IF(
      SUM(Audit[[#This Row],[Audit Losing Candidate]:[Audit Candidate 6]])
      &lt;&gt;0,
      (Audit[[#This Row],[Winning Candidate]]-Audit[[#This Row],[Losing Candidate]]-(Audit[[#This Row],[Audit Winning Candidate]]-Audit[[#This Row],[Audit Losing Candidate]]))/(Audit[[#Totals],[Winning Candidate]]-Audit[[#Totals],[Losing Candidate]]),
      0
)</f>
        <v>0</v>
      </c>
      <c r="AD15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4" s="111">
        <f>IF(Audit[[#This Row],[Max Relative Error (ep)]] = 0, 0, Audit[[#This Row],[Max Relative Error (ep)]]/Audit[[#This Row],[Error Bound (up) - Max. possible relative overstatement]])</f>
        <v>0</v>
      </c>
      <c r="AJ15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64" s="111">
        <f t="shared" si="24"/>
        <v>1</v>
      </c>
      <c r="AL1564" s="111">
        <f>PRODUCT($AK$5:AK1564)</f>
        <v>8.962823818226312E-2</v>
      </c>
      <c r="AM1564" s="109">
        <f>1 - [K-M P Value]</f>
        <v>0.91037176181773694</v>
      </c>
      <c r="AN1564" s="111" t="str">
        <f>IF(Audit[[#This Row],[K-M P Value]]&gt;1-'General Info'!$B$16,"Continue", "Stop")</f>
        <v>Stop</v>
      </c>
      <c r="AO1564" s="110" t="b">
        <f>IF(Audit[[#This Row],[Status - Continue or stop audit]] = "Continue", TRUE, IF(AN1563 = "Continue", TRUE, FALSE))</f>
        <v>0</v>
      </c>
      <c r="AP1564" s="110"/>
    </row>
    <row r="1565" spans="1:42" ht="15" hidden="1" customHeight="1">
      <c r="A1565" s="111" t="str">
        <f>'Sampling Data'!W1558</f>
        <v/>
      </c>
      <c r="B1565" s="112" t="str">
        <f>'Sampling Data'!A1558</f>
        <v>NORTH ROYALTON -03-D - ABS</v>
      </c>
      <c r="C1565" s="112">
        <f>'Sampling Data'!B1558</f>
        <v>7</v>
      </c>
      <c r="D1565" s="112">
        <f>'Sampling Data'!C1558</f>
        <v>10</v>
      </c>
      <c r="E1565" s="113">
        <f>'Sampling Data'!D1558</f>
        <v>4</v>
      </c>
      <c r="F1565" s="113">
        <f>'Sampling Data'!E1558</f>
        <v>3</v>
      </c>
      <c r="G1565" s="113">
        <f>'Sampling Data'!F1558</f>
        <v>1</v>
      </c>
      <c r="H1565" s="113">
        <f>'Sampling Data'!G1558</f>
        <v>0</v>
      </c>
      <c r="I1565" s="112">
        <f>'Sampling Data'!H1558</f>
        <v>0</v>
      </c>
      <c r="J1565" s="112">
        <f>'Sampling Data'!I1558</f>
        <v>0</v>
      </c>
      <c r="K1565" s="112">
        <f>'Sampling Data'!J1558</f>
        <v>25</v>
      </c>
      <c r="L1565" s="111">
        <f>'Sampling Data'!X1558</f>
        <v>0</v>
      </c>
      <c r="M1565" s="114"/>
      <c r="N1565" s="114"/>
      <c r="O1565" s="115"/>
      <c r="P1565" s="115"/>
      <c r="Q1565" s="116"/>
      <c r="R1565" s="116"/>
      <c r="S1565" s="111">
        <f>Audit[[#This Row],[Audit Losing Candidate]]-Audit[[#This Row],[Losing Candidate]]</f>
        <v>-7</v>
      </c>
      <c r="T1565" s="111">
        <f>Audit[[#This Row],[Audit Winning Candidate]]-Audit[[#This Row],[Winning Candidate]]</f>
        <v>-10</v>
      </c>
      <c r="U1565" s="111">
        <f>Audit[[#This Row],[Audit Candidate 3]]-Audit[[#This Row],[Candidate 3]]</f>
        <v>-4</v>
      </c>
      <c r="V1565" s="111">
        <f>Audit[[#This Row],[Audit Candidate 4]]-Audit[[#This Row],[Candidate 4]]</f>
        <v>-3</v>
      </c>
      <c r="W1565" s="111">
        <f>Audit[[#This Row],[Audit Candidate 5]]-Audit[[#This Row],[Candidate 5]]</f>
        <v>-1</v>
      </c>
      <c r="X1565" s="111">
        <f>Audit[[#This Row],[Audit Candidate 6]]-Audit[[#This Row],[Candidate 6]]</f>
        <v>0</v>
      </c>
      <c r="Y1565" s="111">
        <f>SUMIF(Audit[[#This Row],[Difference Loser]:[Difference Candidate 6]], "&gt;0")</f>
        <v>0</v>
      </c>
      <c r="Z1565" s="111">
        <f>SUM(Audit[[#This Row],[Difference Loser]:[Difference Candidate 6]])</f>
        <v>-25</v>
      </c>
      <c r="AA1565" s="111">
        <f>IF(Audit[[#This Row],[Times p Drawn - With Replacement]]&gt;0, IF(Audit[[#This Row],[Canceled Differences]]&lt;0, Audit[[#This Row],[Max Differences]]+ABS(Audit[[#This Row],[Canceled Differences]]), Audit[[#This Row],[Max Differences]]), 0)</f>
        <v>0</v>
      </c>
      <c r="AB1565" s="111">
        <f>'Sampling Data'!P1558</f>
        <v>1.7148456638902498E-3</v>
      </c>
      <c r="AC1565" s="111">
        <f>IF(
      SUM(Audit[[#This Row],[Audit Losing Candidate]:[Audit Candidate 6]])
      &lt;&gt;0,
      (Audit[[#This Row],[Winning Candidate]]-Audit[[#This Row],[Losing Candidate]]-(Audit[[#This Row],[Audit Winning Candidate]]-Audit[[#This Row],[Audit Losing Candidate]]))/(Audit[[#Totals],[Winning Candidate]]-Audit[[#Totals],[Losing Candidate]]),
      0
)</f>
        <v>0</v>
      </c>
      <c r="AD15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5" s="111">
        <f>IF(Audit[[#This Row],[Max Relative Error (ep)]] = 0, 0, Audit[[#This Row],[Max Relative Error (ep)]]/Audit[[#This Row],[Error Bound (up) - Max. possible relative overstatement]])</f>
        <v>0</v>
      </c>
      <c r="AJ15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65" s="111">
        <f t="shared" si="24"/>
        <v>1</v>
      </c>
      <c r="AL1565" s="111">
        <f>PRODUCT($AK$5:AK1565)</f>
        <v>8.962823818226312E-2</v>
      </c>
      <c r="AM1565" s="109">
        <f>1 - [K-M P Value]</f>
        <v>0.91037176181773694</v>
      </c>
      <c r="AN1565" s="111" t="str">
        <f>IF(Audit[[#This Row],[K-M P Value]]&gt;1-'General Info'!$B$16,"Continue", "Stop")</f>
        <v>Stop</v>
      </c>
      <c r="AO1565" s="110" t="b">
        <f>IF(Audit[[#This Row],[Status - Continue or stop audit]] = "Continue", TRUE, IF(AN1564 = "Continue", TRUE, FALSE))</f>
        <v>0</v>
      </c>
      <c r="AP1565" s="110"/>
    </row>
    <row r="1566" spans="1:42" ht="15" hidden="1" customHeight="1">
      <c r="A1566" s="111" t="str">
        <f>'Sampling Data'!W1559</f>
        <v/>
      </c>
      <c r="B1566" s="112" t="str">
        <f>'Sampling Data'!A1559</f>
        <v>NORTH ROYALTON -04-A</v>
      </c>
      <c r="C1566" s="112">
        <f>'Sampling Data'!B1559</f>
        <v>38</v>
      </c>
      <c r="D1566" s="112">
        <f>'Sampling Data'!C1559</f>
        <v>49</v>
      </c>
      <c r="E1566" s="113">
        <f>'Sampling Data'!D1559</f>
        <v>25</v>
      </c>
      <c r="F1566" s="113">
        <f>'Sampling Data'!E1559</f>
        <v>7</v>
      </c>
      <c r="G1566" s="113">
        <f>'Sampling Data'!F1559</f>
        <v>0</v>
      </c>
      <c r="H1566" s="113">
        <f>'Sampling Data'!G1559</f>
        <v>0</v>
      </c>
      <c r="I1566" s="112">
        <f>'Sampling Data'!H1559</f>
        <v>0</v>
      </c>
      <c r="J1566" s="112">
        <f>'Sampling Data'!I1559</f>
        <v>2</v>
      </c>
      <c r="K1566" s="112">
        <f>'Sampling Data'!J1559</f>
        <v>121</v>
      </c>
      <c r="L1566" s="111">
        <f>'Sampling Data'!X1559</f>
        <v>0</v>
      </c>
      <c r="M1566" s="114"/>
      <c r="N1566" s="114"/>
      <c r="O1566" s="115"/>
      <c r="P1566" s="115"/>
      <c r="Q1566" s="116"/>
      <c r="R1566" s="116"/>
      <c r="S1566" s="111">
        <f>Audit[[#This Row],[Audit Losing Candidate]]-Audit[[#This Row],[Losing Candidate]]</f>
        <v>-38</v>
      </c>
      <c r="T1566" s="111">
        <f>Audit[[#This Row],[Audit Winning Candidate]]-Audit[[#This Row],[Winning Candidate]]</f>
        <v>-49</v>
      </c>
      <c r="U1566" s="111">
        <f>Audit[[#This Row],[Audit Candidate 3]]-Audit[[#This Row],[Candidate 3]]</f>
        <v>-25</v>
      </c>
      <c r="V1566" s="111">
        <f>Audit[[#This Row],[Audit Candidate 4]]-Audit[[#This Row],[Candidate 4]]</f>
        <v>-7</v>
      </c>
      <c r="W1566" s="111">
        <f>Audit[[#This Row],[Audit Candidate 5]]-Audit[[#This Row],[Candidate 5]]</f>
        <v>0</v>
      </c>
      <c r="X1566" s="111">
        <f>Audit[[#This Row],[Audit Candidate 6]]-Audit[[#This Row],[Candidate 6]]</f>
        <v>0</v>
      </c>
      <c r="Y1566" s="111">
        <f>SUMIF(Audit[[#This Row],[Difference Loser]:[Difference Candidate 6]], "&gt;0")</f>
        <v>0</v>
      </c>
      <c r="Z1566" s="111">
        <f>SUM(Audit[[#This Row],[Difference Loser]:[Difference Candidate 6]])</f>
        <v>-119</v>
      </c>
      <c r="AA1566" s="111">
        <f>IF(Audit[[#This Row],[Times p Drawn - With Replacement]]&gt;0, IF(Audit[[#This Row],[Canceled Differences]]&lt;0, Audit[[#This Row],[Max Differences]]+ABS(Audit[[#This Row],[Canceled Differences]]), Audit[[#This Row],[Max Differences]]), 0)</f>
        <v>0</v>
      </c>
      <c r="AB1566" s="111">
        <f>'Sampling Data'!P1559</f>
        <v>8.0842724154826066E-3</v>
      </c>
      <c r="AC1566" s="111">
        <f>IF(
      SUM(Audit[[#This Row],[Audit Losing Candidate]:[Audit Candidate 6]])
      &lt;&gt;0,
      (Audit[[#This Row],[Winning Candidate]]-Audit[[#This Row],[Losing Candidate]]-(Audit[[#This Row],[Audit Winning Candidate]]-Audit[[#This Row],[Audit Losing Candidate]]))/(Audit[[#Totals],[Winning Candidate]]-Audit[[#Totals],[Losing Candidate]]),
      0
)</f>
        <v>0</v>
      </c>
      <c r="AD15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6" s="111">
        <f>IF(Audit[[#This Row],[Max Relative Error (ep)]] = 0, 0, Audit[[#This Row],[Max Relative Error (ep)]]/Audit[[#This Row],[Error Bound (up) - Max. possible relative overstatement]])</f>
        <v>0</v>
      </c>
      <c r="AJ15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66" s="111">
        <f t="shared" si="24"/>
        <v>1</v>
      </c>
      <c r="AL1566" s="111">
        <f>PRODUCT($AK$5:AK1566)</f>
        <v>8.962823818226312E-2</v>
      </c>
      <c r="AM1566" s="109">
        <f>1 - [K-M P Value]</f>
        <v>0.91037176181773694</v>
      </c>
      <c r="AN1566" s="111" t="str">
        <f>IF(Audit[[#This Row],[K-M P Value]]&gt;1-'General Info'!$B$16,"Continue", "Stop")</f>
        <v>Stop</v>
      </c>
      <c r="AO1566" s="110" t="b">
        <f>IF(Audit[[#This Row],[Status - Continue or stop audit]] = "Continue", TRUE, IF(AN1565 = "Continue", TRUE, FALSE))</f>
        <v>0</v>
      </c>
      <c r="AP1566" s="110"/>
    </row>
    <row r="1567" spans="1:42" ht="15" hidden="1" customHeight="1">
      <c r="A1567" s="111" t="str">
        <f>'Sampling Data'!W1560</f>
        <v/>
      </c>
      <c r="B1567" s="112" t="str">
        <f>'Sampling Data'!A1560</f>
        <v>NORTH ROYALTON -04-A - ABS</v>
      </c>
      <c r="C1567" s="112">
        <f>'Sampling Data'!B1560</f>
        <v>39</v>
      </c>
      <c r="D1567" s="112">
        <f>'Sampling Data'!C1560</f>
        <v>24</v>
      </c>
      <c r="E1567" s="113">
        <f>'Sampling Data'!D1560</f>
        <v>6</v>
      </c>
      <c r="F1567" s="113">
        <f>'Sampling Data'!E1560</f>
        <v>4</v>
      </c>
      <c r="G1567" s="113">
        <f>'Sampling Data'!F1560</f>
        <v>0</v>
      </c>
      <c r="H1567" s="113">
        <f>'Sampling Data'!G1560</f>
        <v>1</v>
      </c>
      <c r="I1567" s="112">
        <f>'Sampling Data'!H1560</f>
        <v>0</v>
      </c>
      <c r="J1567" s="112">
        <f>'Sampling Data'!I1560</f>
        <v>1</v>
      </c>
      <c r="K1567" s="112">
        <f>'Sampling Data'!J1560</f>
        <v>75</v>
      </c>
      <c r="L1567" s="111">
        <f>'Sampling Data'!X1560</f>
        <v>0</v>
      </c>
      <c r="M1567" s="114"/>
      <c r="N1567" s="114"/>
      <c r="O1567" s="115"/>
      <c r="P1567" s="115"/>
      <c r="Q1567" s="116"/>
      <c r="R1567" s="116"/>
      <c r="S1567" s="111">
        <f>Audit[[#This Row],[Audit Losing Candidate]]-Audit[[#This Row],[Losing Candidate]]</f>
        <v>-39</v>
      </c>
      <c r="T1567" s="111">
        <f>Audit[[#This Row],[Audit Winning Candidate]]-Audit[[#This Row],[Winning Candidate]]</f>
        <v>-24</v>
      </c>
      <c r="U1567" s="111">
        <f>Audit[[#This Row],[Audit Candidate 3]]-Audit[[#This Row],[Candidate 3]]</f>
        <v>-6</v>
      </c>
      <c r="V1567" s="111">
        <f>Audit[[#This Row],[Audit Candidate 4]]-Audit[[#This Row],[Candidate 4]]</f>
        <v>-4</v>
      </c>
      <c r="W1567" s="111">
        <f>Audit[[#This Row],[Audit Candidate 5]]-Audit[[#This Row],[Candidate 5]]</f>
        <v>0</v>
      </c>
      <c r="X1567" s="111">
        <f>Audit[[#This Row],[Audit Candidate 6]]-Audit[[#This Row],[Candidate 6]]</f>
        <v>-1</v>
      </c>
      <c r="Y1567" s="111">
        <f>SUMIF(Audit[[#This Row],[Difference Loser]:[Difference Candidate 6]], "&gt;0")</f>
        <v>0</v>
      </c>
      <c r="Z1567" s="111">
        <f>SUM(Audit[[#This Row],[Difference Loser]:[Difference Candidate 6]])</f>
        <v>-74</v>
      </c>
      <c r="AA1567" s="111">
        <f>IF(Audit[[#This Row],[Times p Drawn - With Replacement]]&gt;0, IF(Audit[[#This Row],[Canceled Differences]]&lt;0, Audit[[#This Row],[Max Differences]]+ABS(Audit[[#This Row],[Canceled Differences]]), Audit[[#This Row],[Max Differences]]), 0)</f>
        <v>0</v>
      </c>
      <c r="AB1567" s="111">
        <f>'Sampling Data'!P1560</f>
        <v>3.6746692797648213E-3</v>
      </c>
      <c r="AC1567" s="111">
        <f>IF(
      SUM(Audit[[#This Row],[Audit Losing Candidate]:[Audit Candidate 6]])
      &lt;&gt;0,
      (Audit[[#This Row],[Winning Candidate]]-Audit[[#This Row],[Losing Candidate]]-(Audit[[#This Row],[Audit Winning Candidate]]-Audit[[#This Row],[Audit Losing Candidate]]))/(Audit[[#Totals],[Winning Candidate]]-Audit[[#Totals],[Losing Candidate]]),
      0
)</f>
        <v>0</v>
      </c>
      <c r="AD15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7" s="111">
        <f>IF(Audit[[#This Row],[Max Relative Error (ep)]] = 0, 0, Audit[[#This Row],[Max Relative Error (ep)]]/Audit[[#This Row],[Error Bound (up) - Max. possible relative overstatement]])</f>
        <v>0</v>
      </c>
      <c r="AJ15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67" s="111">
        <f t="shared" si="24"/>
        <v>1</v>
      </c>
      <c r="AL1567" s="111">
        <f>PRODUCT($AK$5:AK1567)</f>
        <v>8.962823818226312E-2</v>
      </c>
      <c r="AM1567" s="109">
        <f>1 - [K-M P Value]</f>
        <v>0.91037176181773694</v>
      </c>
      <c r="AN1567" s="111" t="str">
        <f>IF(Audit[[#This Row],[K-M P Value]]&gt;1-'General Info'!$B$16,"Continue", "Stop")</f>
        <v>Stop</v>
      </c>
      <c r="AO1567" s="110" t="b">
        <f>IF(Audit[[#This Row],[Status - Continue or stop audit]] = "Continue", TRUE, IF(AN1566 = "Continue", TRUE, FALSE))</f>
        <v>0</v>
      </c>
      <c r="AP1567" s="110"/>
    </row>
    <row r="1568" spans="1:42" ht="15" hidden="1" customHeight="1">
      <c r="A1568" s="111" t="str">
        <f>'Sampling Data'!W1561</f>
        <v/>
      </c>
      <c r="B1568" s="112" t="str">
        <f>'Sampling Data'!A1561</f>
        <v>NORTH ROYALTON -04-B</v>
      </c>
      <c r="C1568" s="112">
        <f>'Sampling Data'!B1561</f>
        <v>8</v>
      </c>
      <c r="D1568" s="112">
        <f>'Sampling Data'!C1561</f>
        <v>13</v>
      </c>
      <c r="E1568" s="113">
        <f>'Sampling Data'!D1561</f>
        <v>2</v>
      </c>
      <c r="F1568" s="113">
        <f>'Sampling Data'!E1561</f>
        <v>9</v>
      </c>
      <c r="G1568" s="113">
        <f>'Sampling Data'!F1561</f>
        <v>0</v>
      </c>
      <c r="H1568" s="113">
        <f>'Sampling Data'!G1561</f>
        <v>0</v>
      </c>
      <c r="I1568" s="112">
        <f>'Sampling Data'!H1561</f>
        <v>0</v>
      </c>
      <c r="J1568" s="112">
        <f>'Sampling Data'!I1561</f>
        <v>0</v>
      </c>
      <c r="K1568" s="112">
        <f>'Sampling Data'!J1561</f>
        <v>32</v>
      </c>
      <c r="L1568" s="111">
        <f>'Sampling Data'!X1561</f>
        <v>0</v>
      </c>
      <c r="M1568" s="114"/>
      <c r="N1568" s="114"/>
      <c r="O1568" s="115"/>
      <c r="P1568" s="115"/>
      <c r="Q1568" s="116"/>
      <c r="R1568" s="116"/>
      <c r="S1568" s="111">
        <f>Audit[[#This Row],[Audit Losing Candidate]]-Audit[[#This Row],[Losing Candidate]]</f>
        <v>-8</v>
      </c>
      <c r="T1568" s="111">
        <f>Audit[[#This Row],[Audit Winning Candidate]]-Audit[[#This Row],[Winning Candidate]]</f>
        <v>-13</v>
      </c>
      <c r="U1568" s="111">
        <f>Audit[[#This Row],[Audit Candidate 3]]-Audit[[#This Row],[Candidate 3]]</f>
        <v>-2</v>
      </c>
      <c r="V1568" s="111">
        <f>Audit[[#This Row],[Audit Candidate 4]]-Audit[[#This Row],[Candidate 4]]</f>
        <v>-9</v>
      </c>
      <c r="W1568" s="111">
        <f>Audit[[#This Row],[Audit Candidate 5]]-Audit[[#This Row],[Candidate 5]]</f>
        <v>0</v>
      </c>
      <c r="X1568" s="111">
        <f>Audit[[#This Row],[Audit Candidate 6]]-Audit[[#This Row],[Candidate 6]]</f>
        <v>0</v>
      </c>
      <c r="Y1568" s="111">
        <f>SUMIF(Audit[[#This Row],[Difference Loser]:[Difference Candidate 6]], "&gt;0")</f>
        <v>0</v>
      </c>
      <c r="Z1568" s="111">
        <f>SUM(Audit[[#This Row],[Difference Loser]:[Difference Candidate 6]])</f>
        <v>-32</v>
      </c>
      <c r="AA1568" s="111">
        <f>IF(Audit[[#This Row],[Times p Drawn - With Replacement]]&gt;0, IF(Audit[[#This Row],[Canceled Differences]]&lt;0, Audit[[#This Row],[Max Differences]]+ABS(Audit[[#This Row],[Canceled Differences]]), Audit[[#This Row],[Max Differences]]), 0)</f>
        <v>0</v>
      </c>
      <c r="AB1568" s="111">
        <f>'Sampling Data'!P1561</f>
        <v>2.2660460558549728E-3</v>
      </c>
      <c r="AC1568" s="111">
        <f>IF(
      SUM(Audit[[#This Row],[Audit Losing Candidate]:[Audit Candidate 6]])
      &lt;&gt;0,
      (Audit[[#This Row],[Winning Candidate]]-Audit[[#This Row],[Losing Candidate]]-(Audit[[#This Row],[Audit Winning Candidate]]-Audit[[#This Row],[Audit Losing Candidate]]))/(Audit[[#Totals],[Winning Candidate]]-Audit[[#Totals],[Losing Candidate]]),
      0
)</f>
        <v>0</v>
      </c>
      <c r="AD15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8" s="111">
        <f>IF(Audit[[#This Row],[Max Relative Error (ep)]] = 0, 0, Audit[[#This Row],[Max Relative Error (ep)]]/Audit[[#This Row],[Error Bound (up) - Max. possible relative overstatement]])</f>
        <v>0</v>
      </c>
      <c r="AJ15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68" s="111">
        <f t="shared" si="24"/>
        <v>1</v>
      </c>
      <c r="AL1568" s="111">
        <f>PRODUCT($AK$5:AK1568)</f>
        <v>8.962823818226312E-2</v>
      </c>
      <c r="AM1568" s="109">
        <f>1 - [K-M P Value]</f>
        <v>0.91037176181773694</v>
      </c>
      <c r="AN1568" s="111" t="str">
        <f>IF(Audit[[#This Row],[K-M P Value]]&gt;1-'General Info'!$B$16,"Continue", "Stop")</f>
        <v>Stop</v>
      </c>
      <c r="AO1568" s="110" t="b">
        <f>IF(Audit[[#This Row],[Status - Continue or stop audit]] = "Continue", TRUE, IF(AN1567 = "Continue", TRUE, FALSE))</f>
        <v>0</v>
      </c>
      <c r="AP1568" s="110"/>
    </row>
    <row r="1569" spans="1:42" ht="15" hidden="1" customHeight="1">
      <c r="A1569" s="111" t="str">
        <f>'Sampling Data'!W1562</f>
        <v/>
      </c>
      <c r="B1569" s="112" t="str">
        <f>'Sampling Data'!A1562</f>
        <v>NORTH ROYALTON -04-B - ABS</v>
      </c>
      <c r="C1569" s="112">
        <f>'Sampling Data'!B1562</f>
        <v>10</v>
      </c>
      <c r="D1569" s="112">
        <f>'Sampling Data'!C1562</f>
        <v>5</v>
      </c>
      <c r="E1569" s="113">
        <f>'Sampling Data'!D1562</f>
        <v>1</v>
      </c>
      <c r="F1569" s="113">
        <f>'Sampling Data'!E1562</f>
        <v>1</v>
      </c>
      <c r="G1569" s="113">
        <f>'Sampling Data'!F1562</f>
        <v>0</v>
      </c>
      <c r="H1569" s="113">
        <f>'Sampling Data'!G1562</f>
        <v>2</v>
      </c>
      <c r="I1569" s="112">
        <f>'Sampling Data'!H1562</f>
        <v>0</v>
      </c>
      <c r="J1569" s="112">
        <f>'Sampling Data'!I1562</f>
        <v>2</v>
      </c>
      <c r="K1569" s="112">
        <f>'Sampling Data'!J1562</f>
        <v>21</v>
      </c>
      <c r="L1569" s="111">
        <f>'Sampling Data'!X1562</f>
        <v>0</v>
      </c>
      <c r="M1569" s="114"/>
      <c r="N1569" s="114"/>
      <c r="O1569" s="115"/>
      <c r="P1569" s="115"/>
      <c r="Q1569" s="116"/>
      <c r="R1569" s="116"/>
      <c r="S1569" s="111">
        <f>Audit[[#This Row],[Audit Losing Candidate]]-Audit[[#This Row],[Losing Candidate]]</f>
        <v>-10</v>
      </c>
      <c r="T1569" s="111">
        <f>Audit[[#This Row],[Audit Winning Candidate]]-Audit[[#This Row],[Winning Candidate]]</f>
        <v>-5</v>
      </c>
      <c r="U1569" s="111">
        <f>Audit[[#This Row],[Audit Candidate 3]]-Audit[[#This Row],[Candidate 3]]</f>
        <v>-1</v>
      </c>
      <c r="V1569" s="111">
        <f>Audit[[#This Row],[Audit Candidate 4]]-Audit[[#This Row],[Candidate 4]]</f>
        <v>-1</v>
      </c>
      <c r="W1569" s="111">
        <f>Audit[[#This Row],[Audit Candidate 5]]-Audit[[#This Row],[Candidate 5]]</f>
        <v>0</v>
      </c>
      <c r="X1569" s="111">
        <f>Audit[[#This Row],[Audit Candidate 6]]-Audit[[#This Row],[Candidate 6]]</f>
        <v>-2</v>
      </c>
      <c r="Y1569" s="111">
        <f>SUMIF(Audit[[#This Row],[Difference Loser]:[Difference Candidate 6]], "&gt;0")</f>
        <v>0</v>
      </c>
      <c r="Z1569" s="111">
        <f>SUM(Audit[[#This Row],[Difference Loser]:[Difference Candidate 6]])</f>
        <v>-19</v>
      </c>
      <c r="AA1569" s="111">
        <f>IF(Audit[[#This Row],[Times p Drawn - With Replacement]]&gt;0, IF(Audit[[#This Row],[Canceled Differences]]&lt;0, Audit[[#This Row],[Max Differences]]+ABS(Audit[[#This Row],[Canceled Differences]]), Audit[[#This Row],[Max Differences]]), 0)</f>
        <v>0</v>
      </c>
      <c r="AB1569" s="111">
        <f>'Sampling Data'!P1562</f>
        <v>9.7991180793728563E-4</v>
      </c>
      <c r="AC1569" s="111">
        <f>IF(
      SUM(Audit[[#This Row],[Audit Losing Candidate]:[Audit Candidate 6]])
      &lt;&gt;0,
      (Audit[[#This Row],[Winning Candidate]]-Audit[[#This Row],[Losing Candidate]]-(Audit[[#This Row],[Audit Winning Candidate]]-Audit[[#This Row],[Audit Losing Candidate]]))/(Audit[[#Totals],[Winning Candidate]]-Audit[[#Totals],[Losing Candidate]]),
      0
)</f>
        <v>0</v>
      </c>
      <c r="AD15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9" s="111">
        <f>IF(Audit[[#This Row],[Max Relative Error (ep)]] = 0, 0, Audit[[#This Row],[Max Relative Error (ep)]]/Audit[[#This Row],[Error Bound (up) - Max. possible relative overstatement]])</f>
        <v>0</v>
      </c>
      <c r="AJ15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69" s="111">
        <f t="shared" si="24"/>
        <v>1</v>
      </c>
      <c r="AL1569" s="111">
        <f>PRODUCT($AK$5:AK1569)</f>
        <v>8.962823818226312E-2</v>
      </c>
      <c r="AM1569" s="109">
        <f>1 - [K-M P Value]</f>
        <v>0.91037176181773694</v>
      </c>
      <c r="AN1569" s="111" t="str">
        <f>IF(Audit[[#This Row],[K-M P Value]]&gt;1-'General Info'!$B$16,"Continue", "Stop")</f>
        <v>Stop</v>
      </c>
      <c r="AO1569" s="110" t="b">
        <f>IF(Audit[[#This Row],[Status - Continue or stop audit]] = "Continue", TRUE, IF(AN1568 = "Continue", TRUE, FALSE))</f>
        <v>0</v>
      </c>
      <c r="AP1569" s="110"/>
    </row>
    <row r="1570" spans="1:42" ht="15" hidden="1" customHeight="1">
      <c r="A1570" s="111" t="str">
        <f>'Sampling Data'!W1563</f>
        <v/>
      </c>
      <c r="B1570" s="112" t="str">
        <f>'Sampling Data'!A1563</f>
        <v>NORTH ROYALTON -04-C</v>
      </c>
      <c r="C1570" s="112">
        <f>'Sampling Data'!B1563</f>
        <v>12</v>
      </c>
      <c r="D1570" s="112">
        <f>'Sampling Data'!C1563</f>
        <v>17</v>
      </c>
      <c r="E1570" s="113">
        <f>'Sampling Data'!D1563</f>
        <v>3</v>
      </c>
      <c r="F1570" s="113">
        <f>'Sampling Data'!E1563</f>
        <v>8</v>
      </c>
      <c r="G1570" s="113">
        <f>'Sampling Data'!F1563</f>
        <v>0</v>
      </c>
      <c r="H1570" s="113">
        <f>'Sampling Data'!G1563</f>
        <v>0</v>
      </c>
      <c r="I1570" s="112">
        <f>'Sampling Data'!H1563</f>
        <v>0</v>
      </c>
      <c r="J1570" s="112">
        <f>'Sampling Data'!I1563</f>
        <v>0</v>
      </c>
      <c r="K1570" s="112">
        <f>'Sampling Data'!J1563</f>
        <v>40</v>
      </c>
      <c r="L1570" s="111">
        <f>'Sampling Data'!X1563</f>
        <v>0</v>
      </c>
      <c r="M1570" s="114"/>
      <c r="N1570" s="114"/>
      <c r="O1570" s="115"/>
      <c r="P1570" s="115"/>
      <c r="Q1570" s="116"/>
      <c r="R1570" s="116"/>
      <c r="S1570" s="111">
        <f>Audit[[#This Row],[Audit Losing Candidate]]-Audit[[#This Row],[Losing Candidate]]</f>
        <v>-12</v>
      </c>
      <c r="T1570" s="111">
        <f>Audit[[#This Row],[Audit Winning Candidate]]-Audit[[#This Row],[Winning Candidate]]</f>
        <v>-17</v>
      </c>
      <c r="U1570" s="111">
        <f>Audit[[#This Row],[Audit Candidate 3]]-Audit[[#This Row],[Candidate 3]]</f>
        <v>-3</v>
      </c>
      <c r="V1570" s="111">
        <f>Audit[[#This Row],[Audit Candidate 4]]-Audit[[#This Row],[Candidate 4]]</f>
        <v>-8</v>
      </c>
      <c r="W1570" s="111">
        <f>Audit[[#This Row],[Audit Candidate 5]]-Audit[[#This Row],[Candidate 5]]</f>
        <v>0</v>
      </c>
      <c r="X1570" s="111">
        <f>Audit[[#This Row],[Audit Candidate 6]]-Audit[[#This Row],[Candidate 6]]</f>
        <v>0</v>
      </c>
      <c r="Y1570" s="111">
        <f>SUMIF(Audit[[#This Row],[Difference Loser]:[Difference Candidate 6]], "&gt;0")</f>
        <v>0</v>
      </c>
      <c r="Z1570" s="111">
        <f>SUM(Audit[[#This Row],[Difference Loser]:[Difference Candidate 6]])</f>
        <v>-40</v>
      </c>
      <c r="AA1570" s="111">
        <f>IF(Audit[[#This Row],[Times p Drawn - With Replacement]]&gt;0, IF(Audit[[#This Row],[Canceled Differences]]&lt;0, Audit[[#This Row],[Max Differences]]+ABS(Audit[[#This Row],[Canceled Differences]]), Audit[[#This Row],[Max Differences]]), 0)</f>
        <v>0</v>
      </c>
      <c r="AB1570" s="111">
        <f>'Sampling Data'!P1563</f>
        <v>2.7560019598236157E-3</v>
      </c>
      <c r="AC1570" s="111">
        <f>IF(
      SUM(Audit[[#This Row],[Audit Losing Candidate]:[Audit Candidate 6]])
      &lt;&gt;0,
      (Audit[[#This Row],[Winning Candidate]]-Audit[[#This Row],[Losing Candidate]]-(Audit[[#This Row],[Audit Winning Candidate]]-Audit[[#This Row],[Audit Losing Candidate]]))/(Audit[[#Totals],[Winning Candidate]]-Audit[[#Totals],[Losing Candidate]]),
      0
)</f>
        <v>0</v>
      </c>
      <c r="AD15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0" s="111">
        <f>IF(Audit[[#This Row],[Max Relative Error (ep)]] = 0, 0, Audit[[#This Row],[Max Relative Error (ep)]]/Audit[[#This Row],[Error Bound (up) - Max. possible relative overstatement]])</f>
        <v>0</v>
      </c>
      <c r="AJ15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70" s="111">
        <f t="shared" si="24"/>
        <v>1</v>
      </c>
      <c r="AL1570" s="111">
        <f>PRODUCT($AK$5:AK1570)</f>
        <v>8.962823818226312E-2</v>
      </c>
      <c r="AM1570" s="109">
        <f>1 - [K-M P Value]</f>
        <v>0.91037176181773694</v>
      </c>
      <c r="AN1570" s="111" t="str">
        <f>IF(Audit[[#This Row],[K-M P Value]]&gt;1-'General Info'!$B$16,"Continue", "Stop")</f>
        <v>Stop</v>
      </c>
      <c r="AO1570" s="110" t="b">
        <f>IF(Audit[[#This Row],[Status - Continue or stop audit]] = "Continue", TRUE, IF(AN1569 = "Continue", TRUE, FALSE))</f>
        <v>0</v>
      </c>
      <c r="AP1570" s="110"/>
    </row>
    <row r="1571" spans="1:42" ht="15" hidden="1" customHeight="1">
      <c r="A1571" s="111" t="str">
        <f>'Sampling Data'!W1564</f>
        <v/>
      </c>
      <c r="B1571" s="112" t="str">
        <f>'Sampling Data'!A1564</f>
        <v>NORTH ROYALTON -04-C - ABS</v>
      </c>
      <c r="C1571" s="112">
        <f>'Sampling Data'!B1564</f>
        <v>4</v>
      </c>
      <c r="D1571" s="112">
        <f>'Sampling Data'!C1564</f>
        <v>5</v>
      </c>
      <c r="E1571" s="113">
        <f>'Sampling Data'!D1564</f>
        <v>2</v>
      </c>
      <c r="F1571" s="113">
        <f>'Sampling Data'!E1564</f>
        <v>1</v>
      </c>
      <c r="G1571" s="113">
        <f>'Sampling Data'!F1564</f>
        <v>0</v>
      </c>
      <c r="H1571" s="113">
        <f>'Sampling Data'!G1564</f>
        <v>0</v>
      </c>
      <c r="I1571" s="112">
        <f>'Sampling Data'!H1564</f>
        <v>0</v>
      </c>
      <c r="J1571" s="112">
        <f>'Sampling Data'!I1564</f>
        <v>0</v>
      </c>
      <c r="K1571" s="112">
        <f>'Sampling Data'!J1564</f>
        <v>12</v>
      </c>
      <c r="L1571" s="111">
        <f>'Sampling Data'!X1564</f>
        <v>0</v>
      </c>
      <c r="M1571" s="114"/>
      <c r="N1571" s="114"/>
      <c r="O1571" s="115"/>
      <c r="P1571" s="115"/>
      <c r="Q1571" s="116"/>
      <c r="R1571" s="116"/>
      <c r="S1571" s="111">
        <f>Audit[[#This Row],[Audit Losing Candidate]]-Audit[[#This Row],[Losing Candidate]]</f>
        <v>-4</v>
      </c>
      <c r="T1571" s="111">
        <f>Audit[[#This Row],[Audit Winning Candidate]]-Audit[[#This Row],[Winning Candidate]]</f>
        <v>-5</v>
      </c>
      <c r="U1571" s="111">
        <f>Audit[[#This Row],[Audit Candidate 3]]-Audit[[#This Row],[Candidate 3]]</f>
        <v>-2</v>
      </c>
      <c r="V1571" s="111">
        <f>Audit[[#This Row],[Audit Candidate 4]]-Audit[[#This Row],[Candidate 4]]</f>
        <v>-1</v>
      </c>
      <c r="W1571" s="111">
        <f>Audit[[#This Row],[Audit Candidate 5]]-Audit[[#This Row],[Candidate 5]]</f>
        <v>0</v>
      </c>
      <c r="X1571" s="111">
        <f>Audit[[#This Row],[Audit Candidate 6]]-Audit[[#This Row],[Candidate 6]]</f>
        <v>0</v>
      </c>
      <c r="Y1571" s="111">
        <f>SUMIF(Audit[[#This Row],[Difference Loser]:[Difference Candidate 6]], "&gt;0")</f>
        <v>0</v>
      </c>
      <c r="Z1571" s="111">
        <f>SUM(Audit[[#This Row],[Difference Loser]:[Difference Candidate 6]])</f>
        <v>-12</v>
      </c>
      <c r="AA1571" s="111">
        <f>IF(Audit[[#This Row],[Times p Drawn - With Replacement]]&gt;0, IF(Audit[[#This Row],[Canceled Differences]]&lt;0, Audit[[#This Row],[Max Differences]]+ABS(Audit[[#This Row],[Canceled Differences]]), Audit[[#This Row],[Max Differences]]), 0)</f>
        <v>0</v>
      </c>
      <c r="AB1571" s="111">
        <f>'Sampling Data'!P1564</f>
        <v>7.9617834394904463E-4</v>
      </c>
      <c r="AC1571" s="111">
        <f>IF(
      SUM(Audit[[#This Row],[Audit Losing Candidate]:[Audit Candidate 6]])
      &lt;&gt;0,
      (Audit[[#This Row],[Winning Candidate]]-Audit[[#This Row],[Losing Candidate]]-(Audit[[#This Row],[Audit Winning Candidate]]-Audit[[#This Row],[Audit Losing Candidate]]))/(Audit[[#Totals],[Winning Candidate]]-Audit[[#Totals],[Losing Candidate]]),
      0
)</f>
        <v>0</v>
      </c>
      <c r="AD15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1" s="111">
        <f>IF(Audit[[#This Row],[Max Relative Error (ep)]] = 0, 0, Audit[[#This Row],[Max Relative Error (ep)]]/Audit[[#This Row],[Error Bound (up) - Max. possible relative overstatement]])</f>
        <v>0</v>
      </c>
      <c r="AJ15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71" s="111">
        <f t="shared" si="24"/>
        <v>1</v>
      </c>
      <c r="AL1571" s="111">
        <f>PRODUCT($AK$5:AK1571)</f>
        <v>8.962823818226312E-2</v>
      </c>
      <c r="AM1571" s="109">
        <f>1 - [K-M P Value]</f>
        <v>0.91037176181773694</v>
      </c>
      <c r="AN1571" s="111" t="str">
        <f>IF(Audit[[#This Row],[K-M P Value]]&gt;1-'General Info'!$B$16,"Continue", "Stop")</f>
        <v>Stop</v>
      </c>
      <c r="AO1571" s="110" t="b">
        <f>IF(Audit[[#This Row],[Status - Continue or stop audit]] = "Continue", TRUE, IF(AN1570 = "Continue", TRUE, FALSE))</f>
        <v>0</v>
      </c>
      <c r="AP1571" s="110"/>
    </row>
    <row r="1572" spans="1:42" ht="15" hidden="1" customHeight="1">
      <c r="A1572" s="111" t="str">
        <f>'Sampling Data'!W1565</f>
        <v/>
      </c>
      <c r="B1572" s="112" t="str">
        <f>'Sampling Data'!A1565</f>
        <v>NORTH ROYALTON -04-D</v>
      </c>
      <c r="C1572" s="112">
        <f>'Sampling Data'!B1565</f>
        <v>47</v>
      </c>
      <c r="D1572" s="112">
        <f>'Sampling Data'!C1565</f>
        <v>57</v>
      </c>
      <c r="E1572" s="113">
        <f>'Sampling Data'!D1565</f>
        <v>21</v>
      </c>
      <c r="F1572" s="113">
        <f>'Sampling Data'!E1565</f>
        <v>10</v>
      </c>
      <c r="G1572" s="113">
        <f>'Sampling Data'!F1565</f>
        <v>0</v>
      </c>
      <c r="H1572" s="113">
        <f>'Sampling Data'!G1565</f>
        <v>0</v>
      </c>
      <c r="I1572" s="112">
        <f>'Sampling Data'!H1565</f>
        <v>0</v>
      </c>
      <c r="J1572" s="112">
        <f>'Sampling Data'!I1565</f>
        <v>0</v>
      </c>
      <c r="K1572" s="112">
        <f>'Sampling Data'!J1565</f>
        <v>135</v>
      </c>
      <c r="L1572" s="111">
        <f>'Sampling Data'!X1565</f>
        <v>0</v>
      </c>
      <c r="M1572" s="114"/>
      <c r="N1572" s="114"/>
      <c r="O1572" s="115"/>
      <c r="P1572" s="115"/>
      <c r="Q1572" s="116"/>
      <c r="R1572" s="116"/>
      <c r="S1572" s="111">
        <f>Audit[[#This Row],[Audit Losing Candidate]]-Audit[[#This Row],[Losing Candidate]]</f>
        <v>-47</v>
      </c>
      <c r="T1572" s="111">
        <f>Audit[[#This Row],[Audit Winning Candidate]]-Audit[[#This Row],[Winning Candidate]]</f>
        <v>-57</v>
      </c>
      <c r="U1572" s="111">
        <f>Audit[[#This Row],[Audit Candidate 3]]-Audit[[#This Row],[Candidate 3]]</f>
        <v>-21</v>
      </c>
      <c r="V1572" s="111">
        <f>Audit[[#This Row],[Audit Candidate 4]]-Audit[[#This Row],[Candidate 4]]</f>
        <v>-10</v>
      </c>
      <c r="W1572" s="111">
        <f>Audit[[#This Row],[Audit Candidate 5]]-Audit[[#This Row],[Candidate 5]]</f>
        <v>0</v>
      </c>
      <c r="X1572" s="111">
        <f>Audit[[#This Row],[Audit Candidate 6]]-Audit[[#This Row],[Candidate 6]]</f>
        <v>0</v>
      </c>
      <c r="Y1572" s="111">
        <f>SUMIF(Audit[[#This Row],[Difference Loser]:[Difference Candidate 6]], "&gt;0")</f>
        <v>0</v>
      </c>
      <c r="Z1572" s="111">
        <f>SUM(Audit[[#This Row],[Difference Loser]:[Difference Candidate 6]])</f>
        <v>-135</v>
      </c>
      <c r="AA1572" s="111">
        <f>IF(Audit[[#This Row],[Times p Drawn - With Replacement]]&gt;0, IF(Audit[[#This Row],[Canceled Differences]]&lt;0, Audit[[#This Row],[Max Differences]]+ABS(Audit[[#This Row],[Canceled Differences]]), Audit[[#This Row],[Max Differences]]), 0)</f>
        <v>0</v>
      </c>
      <c r="AB1572" s="111">
        <f>'Sampling Data'!P1565</f>
        <v>8.880450759431651E-3</v>
      </c>
      <c r="AC1572" s="111">
        <f>IF(
      SUM(Audit[[#This Row],[Audit Losing Candidate]:[Audit Candidate 6]])
      &lt;&gt;0,
      (Audit[[#This Row],[Winning Candidate]]-Audit[[#This Row],[Losing Candidate]]-(Audit[[#This Row],[Audit Winning Candidate]]-Audit[[#This Row],[Audit Losing Candidate]]))/(Audit[[#Totals],[Winning Candidate]]-Audit[[#Totals],[Losing Candidate]]),
      0
)</f>
        <v>0</v>
      </c>
      <c r="AD15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2" s="111">
        <f>IF(Audit[[#This Row],[Max Relative Error (ep)]] = 0, 0, Audit[[#This Row],[Max Relative Error (ep)]]/Audit[[#This Row],[Error Bound (up) - Max. possible relative overstatement]])</f>
        <v>0</v>
      </c>
      <c r="AJ15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72" s="111">
        <f t="shared" si="24"/>
        <v>1</v>
      </c>
      <c r="AL1572" s="111">
        <f>PRODUCT($AK$5:AK1572)</f>
        <v>8.962823818226312E-2</v>
      </c>
      <c r="AM1572" s="109">
        <f>1 - [K-M P Value]</f>
        <v>0.91037176181773694</v>
      </c>
      <c r="AN1572" s="111" t="str">
        <f>IF(Audit[[#This Row],[K-M P Value]]&gt;1-'General Info'!$B$16,"Continue", "Stop")</f>
        <v>Stop</v>
      </c>
      <c r="AO1572" s="110" t="b">
        <f>IF(Audit[[#This Row],[Status - Continue or stop audit]] = "Continue", TRUE, IF(AN1571 = "Continue", TRUE, FALSE))</f>
        <v>0</v>
      </c>
      <c r="AP1572" s="110"/>
    </row>
    <row r="1573" spans="1:42" ht="15" hidden="1" customHeight="1">
      <c r="A1573" s="111" t="str">
        <f>'Sampling Data'!W1566</f>
        <v/>
      </c>
      <c r="B1573" s="112" t="str">
        <f>'Sampling Data'!A1566</f>
        <v>NORTH ROYALTON -04-D - ABS</v>
      </c>
      <c r="C1573" s="112">
        <f>'Sampling Data'!B1566</f>
        <v>11</v>
      </c>
      <c r="D1573" s="112">
        <f>'Sampling Data'!C1566</f>
        <v>26</v>
      </c>
      <c r="E1573" s="113">
        <f>'Sampling Data'!D1566</f>
        <v>5</v>
      </c>
      <c r="F1573" s="113">
        <f>'Sampling Data'!E1566</f>
        <v>1</v>
      </c>
      <c r="G1573" s="113">
        <f>'Sampling Data'!F1566</f>
        <v>0</v>
      </c>
      <c r="H1573" s="113">
        <f>'Sampling Data'!G1566</f>
        <v>1</v>
      </c>
      <c r="I1573" s="112">
        <f>'Sampling Data'!H1566</f>
        <v>0</v>
      </c>
      <c r="J1573" s="112">
        <f>'Sampling Data'!I1566</f>
        <v>1</v>
      </c>
      <c r="K1573" s="112">
        <f>'Sampling Data'!J1566</f>
        <v>45</v>
      </c>
      <c r="L1573" s="111">
        <f>'Sampling Data'!X1566</f>
        <v>0</v>
      </c>
      <c r="M1573" s="114"/>
      <c r="N1573" s="114"/>
      <c r="O1573" s="115"/>
      <c r="P1573" s="115"/>
      <c r="Q1573" s="116"/>
      <c r="R1573" s="116"/>
      <c r="S1573" s="111">
        <f>Audit[[#This Row],[Audit Losing Candidate]]-Audit[[#This Row],[Losing Candidate]]</f>
        <v>-11</v>
      </c>
      <c r="T1573" s="111">
        <f>Audit[[#This Row],[Audit Winning Candidate]]-Audit[[#This Row],[Winning Candidate]]</f>
        <v>-26</v>
      </c>
      <c r="U1573" s="111">
        <f>Audit[[#This Row],[Audit Candidate 3]]-Audit[[#This Row],[Candidate 3]]</f>
        <v>-5</v>
      </c>
      <c r="V1573" s="111">
        <f>Audit[[#This Row],[Audit Candidate 4]]-Audit[[#This Row],[Candidate 4]]</f>
        <v>-1</v>
      </c>
      <c r="W1573" s="111">
        <f>Audit[[#This Row],[Audit Candidate 5]]-Audit[[#This Row],[Candidate 5]]</f>
        <v>0</v>
      </c>
      <c r="X1573" s="111">
        <f>Audit[[#This Row],[Audit Candidate 6]]-Audit[[#This Row],[Candidate 6]]</f>
        <v>-1</v>
      </c>
      <c r="Y1573" s="111">
        <f>SUMIF(Audit[[#This Row],[Difference Loser]:[Difference Candidate 6]], "&gt;0")</f>
        <v>0</v>
      </c>
      <c r="Z1573" s="111">
        <f>SUM(Audit[[#This Row],[Difference Loser]:[Difference Candidate 6]])</f>
        <v>-44</v>
      </c>
      <c r="AA1573" s="111">
        <f>IF(Audit[[#This Row],[Times p Drawn - With Replacement]]&gt;0, IF(Audit[[#This Row],[Canceled Differences]]&lt;0, Audit[[#This Row],[Max Differences]]+ABS(Audit[[#This Row],[Canceled Differences]]), Audit[[#This Row],[Max Differences]]), 0)</f>
        <v>0</v>
      </c>
      <c r="AB1573" s="111">
        <f>'Sampling Data'!P1566</f>
        <v>3.6746692797648213E-3</v>
      </c>
      <c r="AC1573" s="111">
        <f>IF(
      SUM(Audit[[#This Row],[Audit Losing Candidate]:[Audit Candidate 6]])
      &lt;&gt;0,
      (Audit[[#This Row],[Winning Candidate]]-Audit[[#This Row],[Losing Candidate]]-(Audit[[#This Row],[Audit Winning Candidate]]-Audit[[#This Row],[Audit Losing Candidate]]))/(Audit[[#Totals],[Winning Candidate]]-Audit[[#Totals],[Losing Candidate]]),
      0
)</f>
        <v>0</v>
      </c>
      <c r="AD15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3" s="111">
        <f>IF(Audit[[#This Row],[Max Relative Error (ep)]] = 0, 0, Audit[[#This Row],[Max Relative Error (ep)]]/Audit[[#This Row],[Error Bound (up) - Max. possible relative overstatement]])</f>
        <v>0</v>
      </c>
      <c r="AJ15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73" s="111">
        <f t="shared" si="24"/>
        <v>1</v>
      </c>
      <c r="AL1573" s="111">
        <f>PRODUCT($AK$5:AK1573)</f>
        <v>8.962823818226312E-2</v>
      </c>
      <c r="AM1573" s="109">
        <f>1 - [K-M P Value]</f>
        <v>0.91037176181773694</v>
      </c>
      <c r="AN1573" s="111" t="str">
        <f>IF(Audit[[#This Row],[K-M P Value]]&gt;1-'General Info'!$B$16,"Continue", "Stop")</f>
        <v>Stop</v>
      </c>
      <c r="AO1573" s="110" t="b">
        <f>IF(Audit[[#This Row],[Status - Continue or stop audit]] = "Continue", TRUE, IF(AN1572 = "Continue", TRUE, FALSE))</f>
        <v>0</v>
      </c>
      <c r="AP1573" s="110"/>
    </row>
    <row r="1574" spans="1:42" ht="15" hidden="1" customHeight="1">
      <c r="A1574" s="111" t="str">
        <f>'Sampling Data'!W1567</f>
        <v/>
      </c>
      <c r="B1574" s="112" t="str">
        <f>'Sampling Data'!A1567</f>
        <v>NORTH ROYALTON -05-A</v>
      </c>
      <c r="C1574" s="112">
        <f>'Sampling Data'!B1567</f>
        <v>31</v>
      </c>
      <c r="D1574" s="112">
        <f>'Sampling Data'!C1567</f>
        <v>30</v>
      </c>
      <c r="E1574" s="113">
        <f>'Sampling Data'!D1567</f>
        <v>8</v>
      </c>
      <c r="F1574" s="113">
        <f>'Sampling Data'!E1567</f>
        <v>10</v>
      </c>
      <c r="G1574" s="113">
        <f>'Sampling Data'!F1567</f>
        <v>0</v>
      </c>
      <c r="H1574" s="113">
        <f>'Sampling Data'!G1567</f>
        <v>0</v>
      </c>
      <c r="I1574" s="112">
        <f>'Sampling Data'!H1567</f>
        <v>0</v>
      </c>
      <c r="J1574" s="112">
        <f>'Sampling Data'!I1567</f>
        <v>0</v>
      </c>
      <c r="K1574" s="112">
        <f>'Sampling Data'!J1567</f>
        <v>79</v>
      </c>
      <c r="L1574" s="111">
        <f>'Sampling Data'!X1567</f>
        <v>0</v>
      </c>
      <c r="M1574" s="114"/>
      <c r="N1574" s="114"/>
      <c r="O1574" s="115"/>
      <c r="P1574" s="115"/>
      <c r="Q1574" s="116"/>
      <c r="R1574" s="116"/>
      <c r="S1574" s="111">
        <f>Audit[[#This Row],[Audit Losing Candidate]]-Audit[[#This Row],[Losing Candidate]]</f>
        <v>-31</v>
      </c>
      <c r="T1574" s="111">
        <f>Audit[[#This Row],[Audit Winning Candidate]]-Audit[[#This Row],[Winning Candidate]]</f>
        <v>-30</v>
      </c>
      <c r="U1574" s="111">
        <f>Audit[[#This Row],[Audit Candidate 3]]-Audit[[#This Row],[Candidate 3]]</f>
        <v>-8</v>
      </c>
      <c r="V1574" s="111">
        <f>Audit[[#This Row],[Audit Candidate 4]]-Audit[[#This Row],[Candidate 4]]</f>
        <v>-10</v>
      </c>
      <c r="W1574" s="111">
        <f>Audit[[#This Row],[Audit Candidate 5]]-Audit[[#This Row],[Candidate 5]]</f>
        <v>0</v>
      </c>
      <c r="X1574" s="111">
        <f>Audit[[#This Row],[Audit Candidate 6]]-Audit[[#This Row],[Candidate 6]]</f>
        <v>0</v>
      </c>
      <c r="Y1574" s="111">
        <f>SUMIF(Audit[[#This Row],[Difference Loser]:[Difference Candidate 6]], "&gt;0")</f>
        <v>0</v>
      </c>
      <c r="Z1574" s="111">
        <f>SUM(Audit[[#This Row],[Difference Loser]:[Difference Candidate 6]])</f>
        <v>-79</v>
      </c>
      <c r="AA1574" s="111">
        <f>IF(Audit[[#This Row],[Times p Drawn - With Replacement]]&gt;0, IF(Audit[[#This Row],[Canceled Differences]]&lt;0, Audit[[#This Row],[Max Differences]]+ABS(Audit[[#This Row],[Canceled Differences]]), Audit[[#This Row],[Max Differences]]), 0)</f>
        <v>0</v>
      </c>
      <c r="AB1574" s="111">
        <f>'Sampling Data'!P1567</f>
        <v>4.7770700636942673E-3</v>
      </c>
      <c r="AC1574" s="111">
        <f>IF(
      SUM(Audit[[#This Row],[Audit Losing Candidate]:[Audit Candidate 6]])
      &lt;&gt;0,
      (Audit[[#This Row],[Winning Candidate]]-Audit[[#This Row],[Losing Candidate]]-(Audit[[#This Row],[Audit Winning Candidate]]-Audit[[#This Row],[Audit Losing Candidate]]))/(Audit[[#Totals],[Winning Candidate]]-Audit[[#Totals],[Losing Candidate]]),
      0
)</f>
        <v>0</v>
      </c>
      <c r="AD15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4" s="111">
        <f>IF(Audit[[#This Row],[Max Relative Error (ep)]] = 0, 0, Audit[[#This Row],[Max Relative Error (ep)]]/Audit[[#This Row],[Error Bound (up) - Max. possible relative overstatement]])</f>
        <v>0</v>
      </c>
      <c r="AJ15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74" s="111">
        <f t="shared" si="24"/>
        <v>1</v>
      </c>
      <c r="AL1574" s="111">
        <f>PRODUCT($AK$5:AK1574)</f>
        <v>8.962823818226312E-2</v>
      </c>
      <c r="AM1574" s="109">
        <f>1 - [K-M P Value]</f>
        <v>0.91037176181773694</v>
      </c>
      <c r="AN1574" s="111" t="str">
        <f>IF(Audit[[#This Row],[K-M P Value]]&gt;1-'General Info'!$B$16,"Continue", "Stop")</f>
        <v>Stop</v>
      </c>
      <c r="AO1574" s="110" t="b">
        <f>IF(Audit[[#This Row],[Status - Continue or stop audit]] = "Continue", TRUE, IF(AN1573 = "Continue", TRUE, FALSE))</f>
        <v>0</v>
      </c>
      <c r="AP1574" s="110"/>
    </row>
    <row r="1575" spans="1:42" ht="15" hidden="1" customHeight="1">
      <c r="A1575" s="111" t="str">
        <f>'Sampling Data'!W1568</f>
        <v/>
      </c>
      <c r="B1575" s="112" t="str">
        <f>'Sampling Data'!A1568</f>
        <v>NORTH ROYALTON -05-A - ABS</v>
      </c>
      <c r="C1575" s="112">
        <f>'Sampling Data'!B1568</f>
        <v>12</v>
      </c>
      <c r="D1575" s="112">
        <f>'Sampling Data'!C1568</f>
        <v>11</v>
      </c>
      <c r="E1575" s="113">
        <f>'Sampling Data'!D1568</f>
        <v>2</v>
      </c>
      <c r="F1575" s="113">
        <f>'Sampling Data'!E1568</f>
        <v>2</v>
      </c>
      <c r="G1575" s="113">
        <f>'Sampling Data'!F1568</f>
        <v>2</v>
      </c>
      <c r="H1575" s="113">
        <f>'Sampling Data'!G1568</f>
        <v>1</v>
      </c>
      <c r="I1575" s="112">
        <f>'Sampling Data'!H1568</f>
        <v>0</v>
      </c>
      <c r="J1575" s="112">
        <f>'Sampling Data'!I1568</f>
        <v>0</v>
      </c>
      <c r="K1575" s="112">
        <f>'Sampling Data'!J1568</f>
        <v>30</v>
      </c>
      <c r="L1575" s="111">
        <f>'Sampling Data'!X1568</f>
        <v>0</v>
      </c>
      <c r="M1575" s="114"/>
      <c r="N1575" s="114"/>
      <c r="O1575" s="115"/>
      <c r="P1575" s="115"/>
      <c r="Q1575" s="116"/>
      <c r="R1575" s="116"/>
      <c r="S1575" s="111">
        <f>Audit[[#This Row],[Audit Losing Candidate]]-Audit[[#This Row],[Losing Candidate]]</f>
        <v>-12</v>
      </c>
      <c r="T1575" s="111">
        <f>Audit[[#This Row],[Audit Winning Candidate]]-Audit[[#This Row],[Winning Candidate]]</f>
        <v>-11</v>
      </c>
      <c r="U1575" s="111">
        <f>Audit[[#This Row],[Audit Candidate 3]]-Audit[[#This Row],[Candidate 3]]</f>
        <v>-2</v>
      </c>
      <c r="V1575" s="111">
        <f>Audit[[#This Row],[Audit Candidate 4]]-Audit[[#This Row],[Candidate 4]]</f>
        <v>-2</v>
      </c>
      <c r="W1575" s="111">
        <f>Audit[[#This Row],[Audit Candidate 5]]-Audit[[#This Row],[Candidate 5]]</f>
        <v>-2</v>
      </c>
      <c r="X1575" s="111">
        <f>Audit[[#This Row],[Audit Candidate 6]]-Audit[[#This Row],[Candidate 6]]</f>
        <v>-1</v>
      </c>
      <c r="Y1575" s="111">
        <f>SUMIF(Audit[[#This Row],[Difference Loser]:[Difference Candidate 6]], "&gt;0")</f>
        <v>0</v>
      </c>
      <c r="Z1575" s="111">
        <f>SUM(Audit[[#This Row],[Difference Loser]:[Difference Candidate 6]])</f>
        <v>-30</v>
      </c>
      <c r="AA1575" s="111">
        <f>IF(Audit[[#This Row],[Times p Drawn - With Replacement]]&gt;0, IF(Audit[[#This Row],[Canceled Differences]]&lt;0, Audit[[#This Row],[Max Differences]]+ABS(Audit[[#This Row],[Canceled Differences]]), Audit[[#This Row],[Max Differences]]), 0)</f>
        <v>0</v>
      </c>
      <c r="AB1575" s="111">
        <f>'Sampling Data'!P1568</f>
        <v>1.7760901518863303E-3</v>
      </c>
      <c r="AC1575" s="111">
        <f>IF(
      SUM(Audit[[#This Row],[Audit Losing Candidate]:[Audit Candidate 6]])
      &lt;&gt;0,
      (Audit[[#This Row],[Winning Candidate]]-Audit[[#This Row],[Losing Candidate]]-(Audit[[#This Row],[Audit Winning Candidate]]-Audit[[#This Row],[Audit Losing Candidate]]))/(Audit[[#Totals],[Winning Candidate]]-Audit[[#Totals],[Losing Candidate]]),
      0
)</f>
        <v>0</v>
      </c>
      <c r="AD15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5" s="111">
        <f>IF(Audit[[#This Row],[Max Relative Error (ep)]] = 0, 0, Audit[[#This Row],[Max Relative Error (ep)]]/Audit[[#This Row],[Error Bound (up) - Max. possible relative overstatement]])</f>
        <v>0</v>
      </c>
      <c r="AJ15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75" s="111">
        <f t="shared" si="24"/>
        <v>1</v>
      </c>
      <c r="AL1575" s="111">
        <f>PRODUCT($AK$5:AK1575)</f>
        <v>8.962823818226312E-2</v>
      </c>
      <c r="AM1575" s="109">
        <f>1 - [K-M P Value]</f>
        <v>0.91037176181773694</v>
      </c>
      <c r="AN1575" s="111" t="str">
        <f>IF(Audit[[#This Row],[K-M P Value]]&gt;1-'General Info'!$B$16,"Continue", "Stop")</f>
        <v>Stop</v>
      </c>
      <c r="AO1575" s="110" t="b">
        <f>IF(Audit[[#This Row],[Status - Continue or stop audit]] = "Continue", TRUE, IF(AN1574 = "Continue", TRUE, FALSE))</f>
        <v>0</v>
      </c>
      <c r="AP1575" s="110"/>
    </row>
    <row r="1576" spans="1:42" ht="15" hidden="1" customHeight="1">
      <c r="A1576" s="111" t="str">
        <f>'Sampling Data'!W1569</f>
        <v/>
      </c>
      <c r="B1576" s="112" t="str">
        <f>'Sampling Data'!A1569</f>
        <v>NORTH ROYALTON -05-B</v>
      </c>
      <c r="C1576" s="112">
        <f>'Sampling Data'!B1569</f>
        <v>32</v>
      </c>
      <c r="D1576" s="112">
        <f>'Sampling Data'!C1569</f>
        <v>43</v>
      </c>
      <c r="E1576" s="113">
        <f>'Sampling Data'!D1569</f>
        <v>17</v>
      </c>
      <c r="F1576" s="113">
        <f>'Sampling Data'!E1569</f>
        <v>11</v>
      </c>
      <c r="G1576" s="113">
        <f>'Sampling Data'!F1569</f>
        <v>0</v>
      </c>
      <c r="H1576" s="113">
        <f>'Sampling Data'!G1569</f>
        <v>0</v>
      </c>
      <c r="I1576" s="112">
        <f>'Sampling Data'!H1569</f>
        <v>0</v>
      </c>
      <c r="J1576" s="112">
        <f>'Sampling Data'!I1569</f>
        <v>0</v>
      </c>
      <c r="K1576" s="112">
        <f>'Sampling Data'!J1569</f>
        <v>103</v>
      </c>
      <c r="L1576" s="111">
        <f>'Sampling Data'!X1569</f>
        <v>0</v>
      </c>
      <c r="M1576" s="114"/>
      <c r="N1576" s="114"/>
      <c r="O1576" s="115"/>
      <c r="P1576" s="115"/>
      <c r="Q1576" s="116"/>
      <c r="R1576" s="116"/>
      <c r="S1576" s="111">
        <f>Audit[[#This Row],[Audit Losing Candidate]]-Audit[[#This Row],[Losing Candidate]]</f>
        <v>-32</v>
      </c>
      <c r="T1576" s="111">
        <f>Audit[[#This Row],[Audit Winning Candidate]]-Audit[[#This Row],[Winning Candidate]]</f>
        <v>-43</v>
      </c>
      <c r="U1576" s="111">
        <f>Audit[[#This Row],[Audit Candidate 3]]-Audit[[#This Row],[Candidate 3]]</f>
        <v>-17</v>
      </c>
      <c r="V1576" s="111">
        <f>Audit[[#This Row],[Audit Candidate 4]]-Audit[[#This Row],[Candidate 4]]</f>
        <v>-11</v>
      </c>
      <c r="W1576" s="111">
        <f>Audit[[#This Row],[Audit Candidate 5]]-Audit[[#This Row],[Candidate 5]]</f>
        <v>0</v>
      </c>
      <c r="X1576" s="111">
        <f>Audit[[#This Row],[Audit Candidate 6]]-Audit[[#This Row],[Candidate 6]]</f>
        <v>0</v>
      </c>
      <c r="Y1576" s="111">
        <f>SUMIF(Audit[[#This Row],[Difference Loser]:[Difference Candidate 6]], "&gt;0")</f>
        <v>0</v>
      </c>
      <c r="Z1576" s="111">
        <f>SUM(Audit[[#This Row],[Difference Loser]:[Difference Candidate 6]])</f>
        <v>-103</v>
      </c>
      <c r="AA1576" s="111">
        <f>IF(Audit[[#This Row],[Times p Drawn - With Replacement]]&gt;0, IF(Audit[[#This Row],[Canceled Differences]]&lt;0, Audit[[#This Row],[Max Differences]]+ABS(Audit[[#This Row],[Canceled Differences]]), Audit[[#This Row],[Max Differences]]), 0)</f>
        <v>0</v>
      </c>
      <c r="AB1576" s="111">
        <f>'Sampling Data'!P1569</f>
        <v>6.9818716315531602E-3</v>
      </c>
      <c r="AC1576" s="111">
        <f>IF(
      SUM(Audit[[#This Row],[Audit Losing Candidate]:[Audit Candidate 6]])
      &lt;&gt;0,
      (Audit[[#This Row],[Winning Candidate]]-Audit[[#This Row],[Losing Candidate]]-(Audit[[#This Row],[Audit Winning Candidate]]-Audit[[#This Row],[Audit Losing Candidate]]))/(Audit[[#Totals],[Winning Candidate]]-Audit[[#Totals],[Losing Candidate]]),
      0
)</f>
        <v>0</v>
      </c>
      <c r="AD15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6" s="111">
        <f>IF(Audit[[#This Row],[Max Relative Error (ep)]] = 0, 0, Audit[[#This Row],[Max Relative Error (ep)]]/Audit[[#This Row],[Error Bound (up) - Max. possible relative overstatement]])</f>
        <v>0</v>
      </c>
      <c r="AJ15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76" s="111">
        <f t="shared" si="24"/>
        <v>1</v>
      </c>
      <c r="AL1576" s="111">
        <f>PRODUCT($AK$5:AK1576)</f>
        <v>8.962823818226312E-2</v>
      </c>
      <c r="AM1576" s="109">
        <f>1 - [K-M P Value]</f>
        <v>0.91037176181773694</v>
      </c>
      <c r="AN1576" s="111" t="str">
        <f>IF(Audit[[#This Row],[K-M P Value]]&gt;1-'General Info'!$B$16,"Continue", "Stop")</f>
        <v>Stop</v>
      </c>
      <c r="AO1576" s="110" t="b">
        <f>IF(Audit[[#This Row],[Status - Continue or stop audit]] = "Continue", TRUE, IF(AN1575 = "Continue", TRUE, FALSE))</f>
        <v>0</v>
      </c>
      <c r="AP1576" s="110"/>
    </row>
    <row r="1577" spans="1:42" ht="15" hidden="1" customHeight="1">
      <c r="A1577" s="111" t="str">
        <f>'Sampling Data'!W1570</f>
        <v/>
      </c>
      <c r="B1577" s="112" t="str">
        <f>'Sampling Data'!A1570</f>
        <v>NORTH ROYALTON -05-B - ABS</v>
      </c>
      <c r="C1577" s="112">
        <f>'Sampling Data'!B1570</f>
        <v>17</v>
      </c>
      <c r="D1577" s="112">
        <f>'Sampling Data'!C1570</f>
        <v>13</v>
      </c>
      <c r="E1577" s="113">
        <f>'Sampling Data'!D1570</f>
        <v>9</v>
      </c>
      <c r="F1577" s="113">
        <f>'Sampling Data'!E1570</f>
        <v>6</v>
      </c>
      <c r="G1577" s="113">
        <f>'Sampling Data'!F1570</f>
        <v>0</v>
      </c>
      <c r="H1577" s="113">
        <f>'Sampling Data'!G1570</f>
        <v>0</v>
      </c>
      <c r="I1577" s="112">
        <f>'Sampling Data'!H1570</f>
        <v>0</v>
      </c>
      <c r="J1577" s="112">
        <f>'Sampling Data'!I1570</f>
        <v>1</v>
      </c>
      <c r="K1577" s="112">
        <f>'Sampling Data'!J1570</f>
        <v>46</v>
      </c>
      <c r="L1577" s="111">
        <f>'Sampling Data'!X1570</f>
        <v>0</v>
      </c>
      <c r="M1577" s="114"/>
      <c r="N1577" s="114"/>
      <c r="O1577" s="115"/>
      <c r="P1577" s="115"/>
      <c r="Q1577" s="116"/>
      <c r="R1577" s="116"/>
      <c r="S1577" s="111">
        <f>Audit[[#This Row],[Audit Losing Candidate]]-Audit[[#This Row],[Losing Candidate]]</f>
        <v>-17</v>
      </c>
      <c r="T1577" s="111">
        <f>Audit[[#This Row],[Audit Winning Candidate]]-Audit[[#This Row],[Winning Candidate]]</f>
        <v>-13</v>
      </c>
      <c r="U1577" s="111">
        <f>Audit[[#This Row],[Audit Candidate 3]]-Audit[[#This Row],[Candidate 3]]</f>
        <v>-9</v>
      </c>
      <c r="V1577" s="111">
        <f>Audit[[#This Row],[Audit Candidate 4]]-Audit[[#This Row],[Candidate 4]]</f>
        <v>-6</v>
      </c>
      <c r="W1577" s="111">
        <f>Audit[[#This Row],[Audit Candidate 5]]-Audit[[#This Row],[Candidate 5]]</f>
        <v>0</v>
      </c>
      <c r="X1577" s="111">
        <f>Audit[[#This Row],[Audit Candidate 6]]-Audit[[#This Row],[Candidate 6]]</f>
        <v>0</v>
      </c>
      <c r="Y1577" s="111">
        <f>SUMIF(Audit[[#This Row],[Difference Loser]:[Difference Candidate 6]], "&gt;0")</f>
        <v>0</v>
      </c>
      <c r="Z1577" s="111">
        <f>SUM(Audit[[#This Row],[Difference Loser]:[Difference Candidate 6]])</f>
        <v>-45</v>
      </c>
      <c r="AA1577" s="111">
        <f>IF(Audit[[#This Row],[Times p Drawn - With Replacement]]&gt;0, IF(Audit[[#This Row],[Canceled Differences]]&lt;0, Audit[[#This Row],[Max Differences]]+ABS(Audit[[#This Row],[Canceled Differences]]), Audit[[#This Row],[Max Differences]]), 0)</f>
        <v>0</v>
      </c>
      <c r="AB1577" s="111">
        <f>'Sampling Data'!P1570</f>
        <v>2.5722684958353749E-3</v>
      </c>
      <c r="AC1577" s="111">
        <f>IF(
      SUM(Audit[[#This Row],[Audit Losing Candidate]:[Audit Candidate 6]])
      &lt;&gt;0,
      (Audit[[#This Row],[Winning Candidate]]-Audit[[#This Row],[Losing Candidate]]-(Audit[[#This Row],[Audit Winning Candidate]]-Audit[[#This Row],[Audit Losing Candidate]]))/(Audit[[#Totals],[Winning Candidate]]-Audit[[#Totals],[Losing Candidate]]),
      0
)</f>
        <v>0</v>
      </c>
      <c r="AD15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7" s="111">
        <f>IF(Audit[[#This Row],[Max Relative Error (ep)]] = 0, 0, Audit[[#This Row],[Max Relative Error (ep)]]/Audit[[#This Row],[Error Bound (up) - Max. possible relative overstatement]])</f>
        <v>0</v>
      </c>
      <c r="AJ15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77" s="111">
        <f t="shared" si="24"/>
        <v>1</v>
      </c>
      <c r="AL1577" s="111">
        <f>PRODUCT($AK$5:AK1577)</f>
        <v>8.962823818226312E-2</v>
      </c>
      <c r="AM1577" s="109">
        <f>1 - [K-M P Value]</f>
        <v>0.91037176181773694</v>
      </c>
      <c r="AN1577" s="111" t="str">
        <f>IF(Audit[[#This Row],[K-M P Value]]&gt;1-'General Info'!$B$16,"Continue", "Stop")</f>
        <v>Stop</v>
      </c>
      <c r="AO1577" s="110" t="b">
        <f>IF(Audit[[#This Row],[Status - Continue or stop audit]] = "Continue", TRUE, IF(AN1576 = "Continue", TRUE, FALSE))</f>
        <v>0</v>
      </c>
      <c r="AP1577" s="110"/>
    </row>
    <row r="1578" spans="1:42" ht="15" hidden="1" customHeight="1">
      <c r="A1578" s="111" t="str">
        <f>'Sampling Data'!W1571</f>
        <v/>
      </c>
      <c r="B1578" s="112" t="str">
        <f>'Sampling Data'!A1571</f>
        <v>NORTH ROYALTON -05-C</v>
      </c>
      <c r="C1578" s="112">
        <f>'Sampling Data'!B1571</f>
        <v>26</v>
      </c>
      <c r="D1578" s="112">
        <f>'Sampling Data'!C1571</f>
        <v>23</v>
      </c>
      <c r="E1578" s="113">
        <f>'Sampling Data'!D1571</f>
        <v>16</v>
      </c>
      <c r="F1578" s="113">
        <f>'Sampling Data'!E1571</f>
        <v>13</v>
      </c>
      <c r="G1578" s="113">
        <f>'Sampling Data'!F1571</f>
        <v>0</v>
      </c>
      <c r="H1578" s="113">
        <f>'Sampling Data'!G1571</f>
        <v>0</v>
      </c>
      <c r="I1578" s="112">
        <f>'Sampling Data'!H1571</f>
        <v>0</v>
      </c>
      <c r="J1578" s="112">
        <f>'Sampling Data'!I1571</f>
        <v>2</v>
      </c>
      <c r="K1578" s="112">
        <f>'Sampling Data'!J1571</f>
        <v>80</v>
      </c>
      <c r="L1578" s="111">
        <f>'Sampling Data'!X1571</f>
        <v>0</v>
      </c>
      <c r="M1578" s="114"/>
      <c r="N1578" s="114"/>
      <c r="O1578" s="115"/>
      <c r="P1578" s="115"/>
      <c r="Q1578" s="116"/>
      <c r="R1578" s="116"/>
      <c r="S1578" s="111">
        <f>Audit[[#This Row],[Audit Losing Candidate]]-Audit[[#This Row],[Losing Candidate]]</f>
        <v>-26</v>
      </c>
      <c r="T1578" s="111">
        <f>Audit[[#This Row],[Audit Winning Candidate]]-Audit[[#This Row],[Winning Candidate]]</f>
        <v>-23</v>
      </c>
      <c r="U1578" s="111">
        <f>Audit[[#This Row],[Audit Candidate 3]]-Audit[[#This Row],[Candidate 3]]</f>
        <v>-16</v>
      </c>
      <c r="V1578" s="111">
        <f>Audit[[#This Row],[Audit Candidate 4]]-Audit[[#This Row],[Candidate 4]]</f>
        <v>-13</v>
      </c>
      <c r="W1578" s="111">
        <f>Audit[[#This Row],[Audit Candidate 5]]-Audit[[#This Row],[Candidate 5]]</f>
        <v>0</v>
      </c>
      <c r="X1578" s="111">
        <f>Audit[[#This Row],[Audit Candidate 6]]-Audit[[#This Row],[Candidate 6]]</f>
        <v>0</v>
      </c>
      <c r="Y1578" s="111">
        <f>SUMIF(Audit[[#This Row],[Difference Loser]:[Difference Candidate 6]], "&gt;0")</f>
        <v>0</v>
      </c>
      <c r="Z1578" s="111">
        <f>SUM(Audit[[#This Row],[Difference Loser]:[Difference Candidate 6]])</f>
        <v>-78</v>
      </c>
      <c r="AA1578" s="111">
        <f>IF(Audit[[#This Row],[Times p Drawn - With Replacement]]&gt;0, IF(Audit[[#This Row],[Canceled Differences]]&lt;0, Audit[[#This Row],[Max Differences]]+ABS(Audit[[#This Row],[Canceled Differences]]), Audit[[#This Row],[Max Differences]]), 0)</f>
        <v>0</v>
      </c>
      <c r="AB1578" s="111">
        <f>'Sampling Data'!P1571</f>
        <v>4.7158255756981869E-3</v>
      </c>
      <c r="AC1578" s="111">
        <f>IF(
      SUM(Audit[[#This Row],[Audit Losing Candidate]:[Audit Candidate 6]])
      &lt;&gt;0,
      (Audit[[#This Row],[Winning Candidate]]-Audit[[#This Row],[Losing Candidate]]-(Audit[[#This Row],[Audit Winning Candidate]]-Audit[[#This Row],[Audit Losing Candidate]]))/(Audit[[#Totals],[Winning Candidate]]-Audit[[#Totals],[Losing Candidate]]),
      0
)</f>
        <v>0</v>
      </c>
      <c r="AD15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8" s="111">
        <f>IF(Audit[[#This Row],[Max Relative Error (ep)]] = 0, 0, Audit[[#This Row],[Max Relative Error (ep)]]/Audit[[#This Row],[Error Bound (up) - Max. possible relative overstatement]])</f>
        <v>0</v>
      </c>
      <c r="AJ15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78" s="111">
        <f t="shared" si="24"/>
        <v>1</v>
      </c>
      <c r="AL1578" s="111">
        <f>PRODUCT($AK$5:AK1578)</f>
        <v>8.962823818226312E-2</v>
      </c>
      <c r="AM1578" s="109">
        <f>1 - [K-M P Value]</f>
        <v>0.91037176181773694</v>
      </c>
      <c r="AN1578" s="111" t="str">
        <f>IF(Audit[[#This Row],[K-M P Value]]&gt;1-'General Info'!$B$16,"Continue", "Stop")</f>
        <v>Stop</v>
      </c>
      <c r="AO1578" s="110" t="b">
        <f>IF(Audit[[#This Row],[Status - Continue or stop audit]] = "Continue", TRUE, IF(AN1577 = "Continue", TRUE, FALSE))</f>
        <v>0</v>
      </c>
      <c r="AP1578" s="110"/>
    </row>
    <row r="1579" spans="1:42" ht="15" hidden="1" customHeight="1">
      <c r="A1579" s="111" t="str">
        <f>'Sampling Data'!W1572</f>
        <v/>
      </c>
      <c r="B1579" s="112" t="str">
        <f>'Sampling Data'!A1572</f>
        <v>NORTH ROYALTON -05-C - ABS</v>
      </c>
      <c r="C1579" s="112">
        <f>'Sampling Data'!B1572</f>
        <v>12</v>
      </c>
      <c r="D1579" s="112">
        <f>'Sampling Data'!C1572</f>
        <v>10</v>
      </c>
      <c r="E1579" s="113">
        <f>'Sampling Data'!D1572</f>
        <v>7</v>
      </c>
      <c r="F1579" s="113">
        <f>'Sampling Data'!E1572</f>
        <v>3</v>
      </c>
      <c r="G1579" s="113">
        <f>'Sampling Data'!F1572</f>
        <v>0</v>
      </c>
      <c r="H1579" s="113">
        <f>'Sampling Data'!G1572</f>
        <v>0</v>
      </c>
      <c r="I1579" s="112">
        <f>'Sampling Data'!H1572</f>
        <v>0</v>
      </c>
      <c r="J1579" s="112">
        <f>'Sampling Data'!I1572</f>
        <v>2</v>
      </c>
      <c r="K1579" s="112">
        <f>'Sampling Data'!J1572</f>
        <v>34</v>
      </c>
      <c r="L1579" s="111">
        <f>'Sampling Data'!X1572</f>
        <v>0</v>
      </c>
      <c r="M1579" s="114"/>
      <c r="N1579" s="114"/>
      <c r="O1579" s="115"/>
      <c r="P1579" s="115"/>
      <c r="Q1579" s="116"/>
      <c r="R1579" s="116"/>
      <c r="S1579" s="111">
        <f>Audit[[#This Row],[Audit Losing Candidate]]-Audit[[#This Row],[Losing Candidate]]</f>
        <v>-12</v>
      </c>
      <c r="T1579" s="111">
        <f>Audit[[#This Row],[Audit Winning Candidate]]-Audit[[#This Row],[Winning Candidate]]</f>
        <v>-10</v>
      </c>
      <c r="U1579" s="111">
        <f>Audit[[#This Row],[Audit Candidate 3]]-Audit[[#This Row],[Candidate 3]]</f>
        <v>-7</v>
      </c>
      <c r="V1579" s="111">
        <f>Audit[[#This Row],[Audit Candidate 4]]-Audit[[#This Row],[Candidate 4]]</f>
        <v>-3</v>
      </c>
      <c r="W1579" s="111">
        <f>Audit[[#This Row],[Audit Candidate 5]]-Audit[[#This Row],[Candidate 5]]</f>
        <v>0</v>
      </c>
      <c r="X1579" s="111">
        <f>Audit[[#This Row],[Audit Candidate 6]]-Audit[[#This Row],[Candidate 6]]</f>
        <v>0</v>
      </c>
      <c r="Y1579" s="111">
        <f>SUMIF(Audit[[#This Row],[Difference Loser]:[Difference Candidate 6]], "&gt;0")</f>
        <v>0</v>
      </c>
      <c r="Z1579" s="111">
        <f>SUM(Audit[[#This Row],[Difference Loser]:[Difference Candidate 6]])</f>
        <v>-32</v>
      </c>
      <c r="AA1579" s="111">
        <f>IF(Audit[[#This Row],[Times p Drawn - With Replacement]]&gt;0, IF(Audit[[#This Row],[Canceled Differences]]&lt;0, Audit[[#This Row],[Max Differences]]+ABS(Audit[[#This Row],[Canceled Differences]]), Audit[[#This Row],[Max Differences]]), 0)</f>
        <v>0</v>
      </c>
      <c r="AB1579" s="111">
        <f>'Sampling Data'!P1572</f>
        <v>1.9598236158745713E-3</v>
      </c>
      <c r="AC1579" s="111">
        <f>IF(
      SUM(Audit[[#This Row],[Audit Losing Candidate]:[Audit Candidate 6]])
      &lt;&gt;0,
      (Audit[[#This Row],[Winning Candidate]]-Audit[[#This Row],[Losing Candidate]]-(Audit[[#This Row],[Audit Winning Candidate]]-Audit[[#This Row],[Audit Losing Candidate]]))/(Audit[[#Totals],[Winning Candidate]]-Audit[[#Totals],[Losing Candidate]]),
      0
)</f>
        <v>0</v>
      </c>
      <c r="AD15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9" s="111">
        <f>IF(Audit[[#This Row],[Max Relative Error (ep)]] = 0, 0, Audit[[#This Row],[Max Relative Error (ep)]]/Audit[[#This Row],[Error Bound (up) - Max. possible relative overstatement]])</f>
        <v>0</v>
      </c>
      <c r="AJ15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79" s="111">
        <f t="shared" si="24"/>
        <v>1</v>
      </c>
      <c r="AL1579" s="111">
        <f>PRODUCT($AK$5:AK1579)</f>
        <v>8.962823818226312E-2</v>
      </c>
      <c r="AM1579" s="109">
        <f>1 - [K-M P Value]</f>
        <v>0.91037176181773694</v>
      </c>
      <c r="AN1579" s="111" t="str">
        <f>IF(Audit[[#This Row],[K-M P Value]]&gt;1-'General Info'!$B$16,"Continue", "Stop")</f>
        <v>Stop</v>
      </c>
      <c r="AO1579" s="110" t="b">
        <f>IF(Audit[[#This Row],[Status - Continue or stop audit]] = "Continue", TRUE, IF(AN1578 = "Continue", TRUE, FALSE))</f>
        <v>0</v>
      </c>
      <c r="AP1579" s="110"/>
    </row>
    <row r="1580" spans="1:42" ht="15" hidden="1" customHeight="1">
      <c r="A1580" s="111" t="str">
        <f>'Sampling Data'!W1573</f>
        <v/>
      </c>
      <c r="B1580" s="112" t="str">
        <f>'Sampling Data'!A1573</f>
        <v>NORTH ROYALTON -05-D</v>
      </c>
      <c r="C1580" s="112">
        <f>'Sampling Data'!B1573</f>
        <v>33</v>
      </c>
      <c r="D1580" s="112">
        <f>'Sampling Data'!C1573</f>
        <v>70</v>
      </c>
      <c r="E1580" s="113">
        <f>'Sampling Data'!D1573</f>
        <v>10</v>
      </c>
      <c r="F1580" s="113">
        <f>'Sampling Data'!E1573</f>
        <v>16</v>
      </c>
      <c r="G1580" s="113">
        <f>'Sampling Data'!F1573</f>
        <v>0</v>
      </c>
      <c r="H1580" s="113">
        <f>'Sampling Data'!G1573</f>
        <v>0</v>
      </c>
      <c r="I1580" s="112">
        <f>'Sampling Data'!H1573</f>
        <v>0</v>
      </c>
      <c r="J1580" s="112">
        <f>'Sampling Data'!I1573</f>
        <v>1</v>
      </c>
      <c r="K1580" s="112">
        <f>'Sampling Data'!J1573</f>
        <v>130</v>
      </c>
      <c r="L1580" s="111">
        <f>'Sampling Data'!X1573</f>
        <v>0</v>
      </c>
      <c r="M1580" s="114"/>
      <c r="N1580" s="114"/>
      <c r="O1580" s="115"/>
      <c r="P1580" s="115"/>
      <c r="Q1580" s="116"/>
      <c r="R1580" s="116"/>
      <c r="S1580" s="111">
        <f>Audit[[#This Row],[Audit Losing Candidate]]-Audit[[#This Row],[Losing Candidate]]</f>
        <v>-33</v>
      </c>
      <c r="T1580" s="111">
        <f>Audit[[#This Row],[Audit Winning Candidate]]-Audit[[#This Row],[Winning Candidate]]</f>
        <v>-70</v>
      </c>
      <c r="U1580" s="111">
        <f>Audit[[#This Row],[Audit Candidate 3]]-Audit[[#This Row],[Candidate 3]]</f>
        <v>-10</v>
      </c>
      <c r="V1580" s="111">
        <f>Audit[[#This Row],[Audit Candidate 4]]-Audit[[#This Row],[Candidate 4]]</f>
        <v>-16</v>
      </c>
      <c r="W1580" s="111">
        <f>Audit[[#This Row],[Audit Candidate 5]]-Audit[[#This Row],[Candidate 5]]</f>
        <v>0</v>
      </c>
      <c r="X1580" s="111">
        <f>Audit[[#This Row],[Audit Candidate 6]]-Audit[[#This Row],[Candidate 6]]</f>
        <v>0</v>
      </c>
      <c r="Y1580" s="111">
        <f>SUMIF(Audit[[#This Row],[Difference Loser]:[Difference Candidate 6]], "&gt;0")</f>
        <v>0</v>
      </c>
      <c r="Z1580" s="111">
        <f>SUM(Audit[[#This Row],[Difference Loser]:[Difference Candidate 6]])</f>
        <v>-129</v>
      </c>
      <c r="AA1580" s="111">
        <f>IF(Audit[[#This Row],[Times p Drawn - With Replacement]]&gt;0, IF(Audit[[#This Row],[Canceled Differences]]&lt;0, Audit[[#This Row],[Max Differences]]+ABS(Audit[[#This Row],[Canceled Differences]]), Audit[[#This Row],[Max Differences]]), 0)</f>
        <v>0</v>
      </c>
      <c r="AB1580" s="111">
        <f>'Sampling Data'!P1573</f>
        <v>1.0227829495345418E-2</v>
      </c>
      <c r="AC1580" s="111">
        <f>IF(
      SUM(Audit[[#This Row],[Audit Losing Candidate]:[Audit Candidate 6]])
      &lt;&gt;0,
      (Audit[[#This Row],[Winning Candidate]]-Audit[[#This Row],[Losing Candidate]]-(Audit[[#This Row],[Audit Winning Candidate]]-Audit[[#This Row],[Audit Losing Candidate]]))/(Audit[[#Totals],[Winning Candidate]]-Audit[[#Totals],[Losing Candidate]]),
      0
)</f>
        <v>0</v>
      </c>
      <c r="AD15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0" s="111">
        <f>IF(Audit[[#This Row],[Max Relative Error (ep)]] = 0, 0, Audit[[#This Row],[Max Relative Error (ep)]]/Audit[[#This Row],[Error Bound (up) - Max. possible relative overstatement]])</f>
        <v>0</v>
      </c>
      <c r="AJ15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80" s="111">
        <f t="shared" si="24"/>
        <v>1</v>
      </c>
      <c r="AL1580" s="111">
        <f>PRODUCT($AK$5:AK1580)</f>
        <v>8.962823818226312E-2</v>
      </c>
      <c r="AM1580" s="109">
        <f>1 - [K-M P Value]</f>
        <v>0.91037176181773694</v>
      </c>
      <c r="AN1580" s="111" t="str">
        <f>IF(Audit[[#This Row],[K-M P Value]]&gt;1-'General Info'!$B$16,"Continue", "Stop")</f>
        <v>Stop</v>
      </c>
      <c r="AO1580" s="110" t="b">
        <f>IF(Audit[[#This Row],[Status - Continue or stop audit]] = "Continue", TRUE, IF(AN1579 = "Continue", TRUE, FALSE))</f>
        <v>0</v>
      </c>
      <c r="AP1580" s="110"/>
    </row>
    <row r="1581" spans="1:42" ht="15" hidden="1" customHeight="1">
      <c r="A1581" s="111" t="str">
        <f>'Sampling Data'!W1574</f>
        <v/>
      </c>
      <c r="B1581" s="112" t="str">
        <f>'Sampling Data'!A1574</f>
        <v>NORTH ROYALTON -05-D - ABS</v>
      </c>
      <c r="C1581" s="112">
        <f>'Sampling Data'!B1574</f>
        <v>24</v>
      </c>
      <c r="D1581" s="112">
        <f>'Sampling Data'!C1574</f>
        <v>32</v>
      </c>
      <c r="E1581" s="113">
        <f>'Sampling Data'!D1574</f>
        <v>8</v>
      </c>
      <c r="F1581" s="113">
        <f>'Sampling Data'!E1574</f>
        <v>9</v>
      </c>
      <c r="G1581" s="113">
        <f>'Sampling Data'!F1574</f>
        <v>0</v>
      </c>
      <c r="H1581" s="113">
        <f>'Sampling Data'!G1574</f>
        <v>0</v>
      </c>
      <c r="I1581" s="112">
        <f>'Sampling Data'!H1574</f>
        <v>0</v>
      </c>
      <c r="J1581" s="112">
        <f>'Sampling Data'!I1574</f>
        <v>0</v>
      </c>
      <c r="K1581" s="112">
        <f>'Sampling Data'!J1574</f>
        <v>73</v>
      </c>
      <c r="L1581" s="111">
        <f>'Sampling Data'!X1574</f>
        <v>0</v>
      </c>
      <c r="M1581" s="114"/>
      <c r="N1581" s="114"/>
      <c r="O1581" s="115"/>
      <c r="P1581" s="115"/>
      <c r="Q1581" s="116"/>
      <c r="R1581" s="116"/>
      <c r="S1581" s="111">
        <f>Audit[[#This Row],[Audit Losing Candidate]]-Audit[[#This Row],[Losing Candidate]]</f>
        <v>-24</v>
      </c>
      <c r="T1581" s="111">
        <f>Audit[[#This Row],[Audit Winning Candidate]]-Audit[[#This Row],[Winning Candidate]]</f>
        <v>-32</v>
      </c>
      <c r="U1581" s="111">
        <f>Audit[[#This Row],[Audit Candidate 3]]-Audit[[#This Row],[Candidate 3]]</f>
        <v>-8</v>
      </c>
      <c r="V1581" s="111">
        <f>Audit[[#This Row],[Audit Candidate 4]]-Audit[[#This Row],[Candidate 4]]</f>
        <v>-9</v>
      </c>
      <c r="W1581" s="111">
        <f>Audit[[#This Row],[Audit Candidate 5]]-Audit[[#This Row],[Candidate 5]]</f>
        <v>0</v>
      </c>
      <c r="X1581" s="111">
        <f>Audit[[#This Row],[Audit Candidate 6]]-Audit[[#This Row],[Candidate 6]]</f>
        <v>0</v>
      </c>
      <c r="Y1581" s="111">
        <f>SUMIF(Audit[[#This Row],[Difference Loser]:[Difference Candidate 6]], "&gt;0")</f>
        <v>0</v>
      </c>
      <c r="Z1581" s="111">
        <f>SUM(Audit[[#This Row],[Difference Loser]:[Difference Candidate 6]])</f>
        <v>-73</v>
      </c>
      <c r="AA1581" s="111">
        <f>IF(Audit[[#This Row],[Times p Drawn - With Replacement]]&gt;0, IF(Audit[[#This Row],[Canceled Differences]]&lt;0, Audit[[#This Row],[Max Differences]]+ABS(Audit[[#This Row],[Canceled Differences]]), Audit[[#This Row],[Max Differences]]), 0)</f>
        <v>0</v>
      </c>
      <c r="AB1581" s="111">
        <f>'Sampling Data'!P1574</f>
        <v>4.9608035276825085E-3</v>
      </c>
      <c r="AC1581" s="111">
        <f>IF(
      SUM(Audit[[#This Row],[Audit Losing Candidate]:[Audit Candidate 6]])
      &lt;&gt;0,
      (Audit[[#This Row],[Winning Candidate]]-Audit[[#This Row],[Losing Candidate]]-(Audit[[#This Row],[Audit Winning Candidate]]-Audit[[#This Row],[Audit Losing Candidate]]))/(Audit[[#Totals],[Winning Candidate]]-Audit[[#Totals],[Losing Candidate]]),
      0
)</f>
        <v>0</v>
      </c>
      <c r="AD15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1" s="111">
        <f>IF(Audit[[#This Row],[Max Relative Error (ep)]] = 0, 0, Audit[[#This Row],[Max Relative Error (ep)]]/Audit[[#This Row],[Error Bound (up) - Max. possible relative overstatement]])</f>
        <v>0</v>
      </c>
      <c r="AJ15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81" s="111">
        <f t="shared" si="24"/>
        <v>1</v>
      </c>
      <c r="AL1581" s="111">
        <f>PRODUCT($AK$5:AK1581)</f>
        <v>8.962823818226312E-2</v>
      </c>
      <c r="AM1581" s="109">
        <f>1 - [K-M P Value]</f>
        <v>0.91037176181773694</v>
      </c>
      <c r="AN1581" s="111" t="str">
        <f>IF(Audit[[#This Row],[K-M P Value]]&gt;1-'General Info'!$B$16,"Continue", "Stop")</f>
        <v>Stop</v>
      </c>
      <c r="AO1581" s="110" t="b">
        <f>IF(Audit[[#This Row],[Status - Continue or stop audit]] = "Continue", TRUE, IF(AN1580 = "Continue", TRUE, FALSE))</f>
        <v>0</v>
      </c>
      <c r="AP1581" s="110"/>
    </row>
    <row r="1582" spans="1:42" ht="15" hidden="1" customHeight="1">
      <c r="A1582" s="111" t="str">
        <f>'Sampling Data'!W1575</f>
        <v/>
      </c>
      <c r="B1582" s="112" t="str">
        <f>'Sampling Data'!A1575</f>
        <v>NORTH ROYALTON -06-A</v>
      </c>
      <c r="C1582" s="112">
        <f>'Sampling Data'!B1575</f>
        <v>26</v>
      </c>
      <c r="D1582" s="112">
        <f>'Sampling Data'!C1575</f>
        <v>49</v>
      </c>
      <c r="E1582" s="113">
        <f>'Sampling Data'!D1575</f>
        <v>9</v>
      </c>
      <c r="F1582" s="113">
        <f>'Sampling Data'!E1575</f>
        <v>9</v>
      </c>
      <c r="G1582" s="113">
        <f>'Sampling Data'!F1575</f>
        <v>1</v>
      </c>
      <c r="H1582" s="113">
        <f>'Sampling Data'!G1575</f>
        <v>0</v>
      </c>
      <c r="I1582" s="112">
        <f>'Sampling Data'!H1575</f>
        <v>0</v>
      </c>
      <c r="J1582" s="112">
        <f>'Sampling Data'!I1575</f>
        <v>0</v>
      </c>
      <c r="K1582" s="112">
        <f>'Sampling Data'!J1575</f>
        <v>94</v>
      </c>
      <c r="L1582" s="111">
        <f>'Sampling Data'!X1575</f>
        <v>0</v>
      </c>
      <c r="M1582" s="114"/>
      <c r="N1582" s="114"/>
      <c r="O1582" s="115"/>
      <c r="P1582" s="115"/>
      <c r="Q1582" s="116"/>
      <c r="R1582" s="116"/>
      <c r="S1582" s="111">
        <f>Audit[[#This Row],[Audit Losing Candidate]]-Audit[[#This Row],[Losing Candidate]]</f>
        <v>-26</v>
      </c>
      <c r="T1582" s="111">
        <f>Audit[[#This Row],[Audit Winning Candidate]]-Audit[[#This Row],[Winning Candidate]]</f>
        <v>-49</v>
      </c>
      <c r="U1582" s="111">
        <f>Audit[[#This Row],[Audit Candidate 3]]-Audit[[#This Row],[Candidate 3]]</f>
        <v>-9</v>
      </c>
      <c r="V1582" s="111">
        <f>Audit[[#This Row],[Audit Candidate 4]]-Audit[[#This Row],[Candidate 4]]</f>
        <v>-9</v>
      </c>
      <c r="W1582" s="111">
        <f>Audit[[#This Row],[Audit Candidate 5]]-Audit[[#This Row],[Candidate 5]]</f>
        <v>-1</v>
      </c>
      <c r="X1582" s="111">
        <f>Audit[[#This Row],[Audit Candidate 6]]-Audit[[#This Row],[Candidate 6]]</f>
        <v>0</v>
      </c>
      <c r="Y1582" s="111">
        <f>SUMIF(Audit[[#This Row],[Difference Loser]:[Difference Candidate 6]], "&gt;0")</f>
        <v>0</v>
      </c>
      <c r="Z1582" s="111">
        <f>SUM(Audit[[#This Row],[Difference Loser]:[Difference Candidate 6]])</f>
        <v>-94</v>
      </c>
      <c r="AA1582" s="111">
        <f>IF(Audit[[#This Row],[Times p Drawn - With Replacement]]&gt;0, IF(Audit[[#This Row],[Canceled Differences]]&lt;0, Audit[[#This Row],[Max Differences]]+ABS(Audit[[#This Row],[Canceled Differences]]), Audit[[#This Row],[Max Differences]]), 0)</f>
        <v>0</v>
      </c>
      <c r="AB1582" s="111">
        <f>'Sampling Data'!P1575</f>
        <v>7.1656050955414014E-3</v>
      </c>
      <c r="AC1582" s="111">
        <f>IF(
      SUM(Audit[[#This Row],[Audit Losing Candidate]:[Audit Candidate 6]])
      &lt;&gt;0,
      (Audit[[#This Row],[Winning Candidate]]-Audit[[#This Row],[Losing Candidate]]-(Audit[[#This Row],[Audit Winning Candidate]]-Audit[[#This Row],[Audit Losing Candidate]]))/(Audit[[#Totals],[Winning Candidate]]-Audit[[#Totals],[Losing Candidate]]),
      0
)</f>
        <v>0</v>
      </c>
      <c r="AD15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2" s="111">
        <f>IF(Audit[[#This Row],[Max Relative Error (ep)]] = 0, 0, Audit[[#This Row],[Max Relative Error (ep)]]/Audit[[#This Row],[Error Bound (up) - Max. possible relative overstatement]])</f>
        <v>0</v>
      </c>
      <c r="AJ15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82" s="111">
        <f t="shared" si="24"/>
        <v>1</v>
      </c>
      <c r="AL1582" s="111">
        <f>PRODUCT($AK$5:AK1582)</f>
        <v>8.962823818226312E-2</v>
      </c>
      <c r="AM1582" s="109">
        <f>1 - [K-M P Value]</f>
        <v>0.91037176181773694</v>
      </c>
      <c r="AN1582" s="111" t="str">
        <f>IF(Audit[[#This Row],[K-M P Value]]&gt;1-'General Info'!$B$16,"Continue", "Stop")</f>
        <v>Stop</v>
      </c>
      <c r="AO1582" s="110" t="b">
        <f>IF(Audit[[#This Row],[Status - Continue or stop audit]] = "Continue", TRUE, IF(AN1581 = "Continue", TRUE, FALSE))</f>
        <v>0</v>
      </c>
      <c r="AP1582" s="110"/>
    </row>
    <row r="1583" spans="1:42" ht="15" hidden="1" customHeight="1">
      <c r="A1583" s="111" t="str">
        <f>'Sampling Data'!W1576</f>
        <v/>
      </c>
      <c r="B1583" s="112" t="str">
        <f>'Sampling Data'!A1576</f>
        <v>NORTH ROYALTON -06-A - ABS</v>
      </c>
      <c r="C1583" s="112">
        <f>'Sampling Data'!B1576</f>
        <v>12</v>
      </c>
      <c r="D1583" s="112">
        <f>'Sampling Data'!C1576</f>
        <v>15</v>
      </c>
      <c r="E1583" s="113">
        <f>'Sampling Data'!D1576</f>
        <v>5</v>
      </c>
      <c r="F1583" s="113">
        <f>'Sampling Data'!E1576</f>
        <v>4</v>
      </c>
      <c r="G1583" s="113">
        <f>'Sampling Data'!F1576</f>
        <v>0</v>
      </c>
      <c r="H1583" s="113">
        <f>'Sampling Data'!G1576</f>
        <v>0</v>
      </c>
      <c r="I1583" s="112">
        <f>'Sampling Data'!H1576</f>
        <v>0</v>
      </c>
      <c r="J1583" s="112">
        <f>'Sampling Data'!I1576</f>
        <v>1</v>
      </c>
      <c r="K1583" s="112">
        <f>'Sampling Data'!J1576</f>
        <v>37</v>
      </c>
      <c r="L1583" s="111">
        <f>'Sampling Data'!X1576</f>
        <v>0</v>
      </c>
      <c r="M1583" s="114"/>
      <c r="N1583" s="114"/>
      <c r="O1583" s="115"/>
      <c r="P1583" s="115"/>
      <c r="Q1583" s="116"/>
      <c r="R1583" s="116"/>
      <c r="S1583" s="111">
        <f>Audit[[#This Row],[Audit Losing Candidate]]-Audit[[#This Row],[Losing Candidate]]</f>
        <v>-12</v>
      </c>
      <c r="T1583" s="111">
        <f>Audit[[#This Row],[Audit Winning Candidate]]-Audit[[#This Row],[Winning Candidate]]</f>
        <v>-15</v>
      </c>
      <c r="U1583" s="111">
        <f>Audit[[#This Row],[Audit Candidate 3]]-Audit[[#This Row],[Candidate 3]]</f>
        <v>-5</v>
      </c>
      <c r="V1583" s="111">
        <f>Audit[[#This Row],[Audit Candidate 4]]-Audit[[#This Row],[Candidate 4]]</f>
        <v>-4</v>
      </c>
      <c r="W1583" s="111">
        <f>Audit[[#This Row],[Audit Candidate 5]]-Audit[[#This Row],[Candidate 5]]</f>
        <v>0</v>
      </c>
      <c r="X1583" s="111">
        <f>Audit[[#This Row],[Audit Candidate 6]]-Audit[[#This Row],[Candidate 6]]</f>
        <v>0</v>
      </c>
      <c r="Y1583" s="111">
        <f>SUMIF(Audit[[#This Row],[Difference Loser]:[Difference Candidate 6]], "&gt;0")</f>
        <v>0</v>
      </c>
      <c r="Z1583" s="111">
        <f>SUM(Audit[[#This Row],[Difference Loser]:[Difference Candidate 6]])</f>
        <v>-36</v>
      </c>
      <c r="AA1583" s="111">
        <f>IF(Audit[[#This Row],[Times p Drawn - With Replacement]]&gt;0, IF(Audit[[#This Row],[Canceled Differences]]&lt;0, Audit[[#This Row],[Max Differences]]+ABS(Audit[[#This Row],[Canceled Differences]]), Audit[[#This Row],[Max Differences]]), 0)</f>
        <v>0</v>
      </c>
      <c r="AB1583" s="111">
        <f>'Sampling Data'!P1576</f>
        <v>2.4497795198432141E-3</v>
      </c>
      <c r="AC1583" s="111">
        <f>IF(
      SUM(Audit[[#This Row],[Audit Losing Candidate]:[Audit Candidate 6]])
      &lt;&gt;0,
      (Audit[[#This Row],[Winning Candidate]]-Audit[[#This Row],[Losing Candidate]]-(Audit[[#This Row],[Audit Winning Candidate]]-Audit[[#This Row],[Audit Losing Candidate]]))/(Audit[[#Totals],[Winning Candidate]]-Audit[[#Totals],[Losing Candidate]]),
      0
)</f>
        <v>0</v>
      </c>
      <c r="AD15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3" s="111">
        <f>IF(Audit[[#This Row],[Max Relative Error (ep)]] = 0, 0, Audit[[#This Row],[Max Relative Error (ep)]]/Audit[[#This Row],[Error Bound (up) - Max. possible relative overstatement]])</f>
        <v>0</v>
      </c>
      <c r="AJ15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83" s="111">
        <f t="shared" si="24"/>
        <v>1</v>
      </c>
      <c r="AL1583" s="111">
        <f>PRODUCT($AK$5:AK1583)</f>
        <v>8.962823818226312E-2</v>
      </c>
      <c r="AM1583" s="109">
        <f>1 - [K-M P Value]</f>
        <v>0.91037176181773694</v>
      </c>
      <c r="AN1583" s="111" t="str">
        <f>IF(Audit[[#This Row],[K-M P Value]]&gt;1-'General Info'!$B$16,"Continue", "Stop")</f>
        <v>Stop</v>
      </c>
      <c r="AO1583" s="110" t="b">
        <f>IF(Audit[[#This Row],[Status - Continue or stop audit]] = "Continue", TRUE, IF(AN1582 = "Continue", TRUE, FALSE))</f>
        <v>0</v>
      </c>
      <c r="AP1583" s="110"/>
    </row>
    <row r="1584" spans="1:42" ht="15" hidden="1" customHeight="1">
      <c r="A1584" s="111" t="str">
        <f>'Sampling Data'!W1577</f>
        <v/>
      </c>
      <c r="B1584" s="112" t="str">
        <f>'Sampling Data'!A1577</f>
        <v>NORTH ROYALTON -06-B</v>
      </c>
      <c r="C1584" s="112">
        <f>'Sampling Data'!B1577</f>
        <v>42</v>
      </c>
      <c r="D1584" s="112">
        <f>'Sampling Data'!C1577</f>
        <v>81</v>
      </c>
      <c r="E1584" s="113">
        <f>'Sampling Data'!D1577</f>
        <v>19</v>
      </c>
      <c r="F1584" s="113">
        <f>'Sampling Data'!E1577</f>
        <v>4</v>
      </c>
      <c r="G1584" s="113">
        <f>'Sampling Data'!F1577</f>
        <v>0</v>
      </c>
      <c r="H1584" s="113">
        <f>'Sampling Data'!G1577</f>
        <v>0</v>
      </c>
      <c r="I1584" s="112">
        <f>'Sampling Data'!H1577</f>
        <v>0</v>
      </c>
      <c r="J1584" s="112">
        <f>'Sampling Data'!I1577</f>
        <v>2</v>
      </c>
      <c r="K1584" s="112">
        <f>'Sampling Data'!J1577</f>
        <v>148</v>
      </c>
      <c r="L1584" s="111">
        <f>'Sampling Data'!X1577</f>
        <v>0</v>
      </c>
      <c r="M1584" s="114"/>
      <c r="N1584" s="114"/>
      <c r="O1584" s="115"/>
      <c r="P1584" s="115"/>
      <c r="Q1584" s="116"/>
      <c r="R1584" s="116"/>
      <c r="S1584" s="111">
        <f>Audit[[#This Row],[Audit Losing Candidate]]-Audit[[#This Row],[Losing Candidate]]</f>
        <v>-42</v>
      </c>
      <c r="T1584" s="111">
        <f>Audit[[#This Row],[Audit Winning Candidate]]-Audit[[#This Row],[Winning Candidate]]</f>
        <v>-81</v>
      </c>
      <c r="U1584" s="111">
        <f>Audit[[#This Row],[Audit Candidate 3]]-Audit[[#This Row],[Candidate 3]]</f>
        <v>-19</v>
      </c>
      <c r="V1584" s="111">
        <f>Audit[[#This Row],[Audit Candidate 4]]-Audit[[#This Row],[Candidate 4]]</f>
        <v>-4</v>
      </c>
      <c r="W1584" s="111">
        <f>Audit[[#This Row],[Audit Candidate 5]]-Audit[[#This Row],[Candidate 5]]</f>
        <v>0</v>
      </c>
      <c r="X1584" s="111">
        <f>Audit[[#This Row],[Audit Candidate 6]]-Audit[[#This Row],[Candidate 6]]</f>
        <v>0</v>
      </c>
      <c r="Y1584" s="111">
        <f>SUMIF(Audit[[#This Row],[Difference Loser]:[Difference Candidate 6]], "&gt;0")</f>
        <v>0</v>
      </c>
      <c r="Z1584" s="111">
        <f>SUM(Audit[[#This Row],[Difference Loser]:[Difference Candidate 6]])</f>
        <v>-146</v>
      </c>
      <c r="AA1584" s="111">
        <f>IF(Audit[[#This Row],[Times p Drawn - With Replacement]]&gt;0, IF(Audit[[#This Row],[Canceled Differences]]&lt;0, Audit[[#This Row],[Max Differences]]+ABS(Audit[[#This Row],[Canceled Differences]]), Audit[[#This Row],[Max Differences]]), 0)</f>
        <v>0</v>
      </c>
      <c r="AB1584" s="111">
        <f>'Sampling Data'!P1577</f>
        <v>1.1452719255267026E-2</v>
      </c>
      <c r="AC1584" s="111">
        <f>IF(
      SUM(Audit[[#This Row],[Audit Losing Candidate]:[Audit Candidate 6]])
      &lt;&gt;0,
      (Audit[[#This Row],[Winning Candidate]]-Audit[[#This Row],[Losing Candidate]]-(Audit[[#This Row],[Audit Winning Candidate]]-Audit[[#This Row],[Audit Losing Candidate]]))/(Audit[[#Totals],[Winning Candidate]]-Audit[[#Totals],[Losing Candidate]]),
      0
)</f>
        <v>0</v>
      </c>
      <c r="AD15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4" s="111">
        <f>IF(Audit[[#This Row],[Max Relative Error (ep)]] = 0, 0, Audit[[#This Row],[Max Relative Error (ep)]]/Audit[[#This Row],[Error Bound (up) - Max. possible relative overstatement]])</f>
        <v>0</v>
      </c>
      <c r="AJ15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84" s="111">
        <f t="shared" si="24"/>
        <v>1</v>
      </c>
      <c r="AL1584" s="111">
        <f>PRODUCT($AK$5:AK1584)</f>
        <v>8.962823818226312E-2</v>
      </c>
      <c r="AM1584" s="109">
        <f>1 - [K-M P Value]</f>
        <v>0.91037176181773694</v>
      </c>
      <c r="AN1584" s="111" t="str">
        <f>IF(Audit[[#This Row],[K-M P Value]]&gt;1-'General Info'!$B$16,"Continue", "Stop")</f>
        <v>Stop</v>
      </c>
      <c r="AO1584" s="110" t="b">
        <f>IF(Audit[[#This Row],[Status - Continue or stop audit]] = "Continue", TRUE, IF(AN1583 = "Continue", TRUE, FALSE))</f>
        <v>0</v>
      </c>
      <c r="AP1584" s="110"/>
    </row>
    <row r="1585" spans="1:42" ht="15" hidden="1" customHeight="1">
      <c r="A1585" s="111" t="str">
        <f>'Sampling Data'!W1578</f>
        <v/>
      </c>
      <c r="B1585" s="112" t="str">
        <f>'Sampling Data'!A1578</f>
        <v>NORTH ROYALTON -06-B - ABS</v>
      </c>
      <c r="C1585" s="112">
        <f>'Sampling Data'!B1578</f>
        <v>24</v>
      </c>
      <c r="D1585" s="112">
        <f>'Sampling Data'!C1578</f>
        <v>19</v>
      </c>
      <c r="E1585" s="113">
        <f>'Sampling Data'!D1578</f>
        <v>15</v>
      </c>
      <c r="F1585" s="113">
        <f>'Sampling Data'!E1578</f>
        <v>4</v>
      </c>
      <c r="G1585" s="113">
        <f>'Sampling Data'!F1578</f>
        <v>0</v>
      </c>
      <c r="H1585" s="113">
        <f>'Sampling Data'!G1578</f>
        <v>0</v>
      </c>
      <c r="I1585" s="112">
        <f>'Sampling Data'!H1578</f>
        <v>0</v>
      </c>
      <c r="J1585" s="112">
        <f>'Sampling Data'!I1578</f>
        <v>0</v>
      </c>
      <c r="K1585" s="112">
        <f>'Sampling Data'!J1578</f>
        <v>62</v>
      </c>
      <c r="L1585" s="111">
        <f>'Sampling Data'!X1578</f>
        <v>0</v>
      </c>
      <c r="M1585" s="114"/>
      <c r="N1585" s="114"/>
      <c r="O1585" s="115"/>
      <c r="P1585" s="115"/>
      <c r="Q1585" s="116"/>
      <c r="R1585" s="116"/>
      <c r="S1585" s="111">
        <f>Audit[[#This Row],[Audit Losing Candidate]]-Audit[[#This Row],[Losing Candidate]]</f>
        <v>-24</v>
      </c>
      <c r="T1585" s="111">
        <f>Audit[[#This Row],[Audit Winning Candidate]]-Audit[[#This Row],[Winning Candidate]]</f>
        <v>-19</v>
      </c>
      <c r="U1585" s="111">
        <f>Audit[[#This Row],[Audit Candidate 3]]-Audit[[#This Row],[Candidate 3]]</f>
        <v>-15</v>
      </c>
      <c r="V1585" s="111">
        <f>Audit[[#This Row],[Audit Candidate 4]]-Audit[[#This Row],[Candidate 4]]</f>
        <v>-4</v>
      </c>
      <c r="W1585" s="111">
        <f>Audit[[#This Row],[Audit Candidate 5]]-Audit[[#This Row],[Candidate 5]]</f>
        <v>0</v>
      </c>
      <c r="X1585" s="111">
        <f>Audit[[#This Row],[Audit Candidate 6]]-Audit[[#This Row],[Candidate 6]]</f>
        <v>0</v>
      </c>
      <c r="Y1585" s="111">
        <f>SUMIF(Audit[[#This Row],[Difference Loser]:[Difference Candidate 6]], "&gt;0")</f>
        <v>0</v>
      </c>
      <c r="Z1585" s="111">
        <f>SUM(Audit[[#This Row],[Difference Loser]:[Difference Candidate 6]])</f>
        <v>-62</v>
      </c>
      <c r="AA1585" s="111">
        <f>IF(Audit[[#This Row],[Times p Drawn - With Replacement]]&gt;0, IF(Audit[[#This Row],[Canceled Differences]]&lt;0, Audit[[#This Row],[Max Differences]]+ABS(Audit[[#This Row],[Canceled Differences]]), Audit[[#This Row],[Max Differences]]), 0)</f>
        <v>0</v>
      </c>
      <c r="AB1585" s="111">
        <f>'Sampling Data'!P1578</f>
        <v>3.4909358157765801E-3</v>
      </c>
      <c r="AC1585" s="111">
        <f>IF(
      SUM(Audit[[#This Row],[Audit Losing Candidate]:[Audit Candidate 6]])
      &lt;&gt;0,
      (Audit[[#This Row],[Winning Candidate]]-Audit[[#This Row],[Losing Candidate]]-(Audit[[#This Row],[Audit Winning Candidate]]-Audit[[#This Row],[Audit Losing Candidate]]))/(Audit[[#Totals],[Winning Candidate]]-Audit[[#Totals],[Losing Candidate]]),
      0
)</f>
        <v>0</v>
      </c>
      <c r="AD15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5" s="111">
        <f>IF(Audit[[#This Row],[Max Relative Error (ep)]] = 0, 0, Audit[[#This Row],[Max Relative Error (ep)]]/Audit[[#This Row],[Error Bound (up) - Max. possible relative overstatement]])</f>
        <v>0</v>
      </c>
      <c r="AJ15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85" s="111">
        <f t="shared" si="24"/>
        <v>1</v>
      </c>
      <c r="AL1585" s="111">
        <f>PRODUCT($AK$5:AK1585)</f>
        <v>8.962823818226312E-2</v>
      </c>
      <c r="AM1585" s="109">
        <f>1 - [K-M P Value]</f>
        <v>0.91037176181773694</v>
      </c>
      <c r="AN1585" s="111" t="str">
        <f>IF(Audit[[#This Row],[K-M P Value]]&gt;1-'General Info'!$B$16,"Continue", "Stop")</f>
        <v>Stop</v>
      </c>
      <c r="AO1585" s="110" t="b">
        <f>IF(Audit[[#This Row],[Status - Continue or stop audit]] = "Continue", TRUE, IF(AN1584 = "Continue", TRUE, FALSE))</f>
        <v>0</v>
      </c>
      <c r="AP1585" s="110"/>
    </row>
    <row r="1586" spans="1:42" ht="15" hidden="1" customHeight="1">
      <c r="A1586" s="111" t="str">
        <f>'Sampling Data'!W1579</f>
        <v/>
      </c>
      <c r="B1586" s="112" t="str">
        <f>'Sampling Data'!A1579</f>
        <v>NORTH ROYALTON -06-C</v>
      </c>
      <c r="C1586" s="112">
        <f>'Sampling Data'!B1579</f>
        <v>38</v>
      </c>
      <c r="D1586" s="112">
        <f>'Sampling Data'!C1579</f>
        <v>44</v>
      </c>
      <c r="E1586" s="113">
        <f>'Sampling Data'!D1579</f>
        <v>22</v>
      </c>
      <c r="F1586" s="113">
        <f>'Sampling Data'!E1579</f>
        <v>12</v>
      </c>
      <c r="G1586" s="113">
        <f>'Sampling Data'!F1579</f>
        <v>0</v>
      </c>
      <c r="H1586" s="113">
        <f>'Sampling Data'!G1579</f>
        <v>0</v>
      </c>
      <c r="I1586" s="112">
        <f>'Sampling Data'!H1579</f>
        <v>0</v>
      </c>
      <c r="J1586" s="112">
        <f>'Sampling Data'!I1579</f>
        <v>0</v>
      </c>
      <c r="K1586" s="112">
        <f>'Sampling Data'!J1579</f>
        <v>116</v>
      </c>
      <c r="L1586" s="111">
        <f>'Sampling Data'!X1579</f>
        <v>0</v>
      </c>
      <c r="M1586" s="114"/>
      <c r="N1586" s="114"/>
      <c r="O1586" s="115"/>
      <c r="P1586" s="115"/>
      <c r="Q1586" s="116"/>
      <c r="R1586" s="116"/>
      <c r="S1586" s="111">
        <f>Audit[[#This Row],[Audit Losing Candidate]]-Audit[[#This Row],[Losing Candidate]]</f>
        <v>-38</v>
      </c>
      <c r="T1586" s="111">
        <f>Audit[[#This Row],[Audit Winning Candidate]]-Audit[[#This Row],[Winning Candidate]]</f>
        <v>-44</v>
      </c>
      <c r="U1586" s="111">
        <f>Audit[[#This Row],[Audit Candidate 3]]-Audit[[#This Row],[Candidate 3]]</f>
        <v>-22</v>
      </c>
      <c r="V1586" s="111">
        <f>Audit[[#This Row],[Audit Candidate 4]]-Audit[[#This Row],[Candidate 4]]</f>
        <v>-12</v>
      </c>
      <c r="W1586" s="111">
        <f>Audit[[#This Row],[Audit Candidate 5]]-Audit[[#This Row],[Candidate 5]]</f>
        <v>0</v>
      </c>
      <c r="X1586" s="111">
        <f>Audit[[#This Row],[Audit Candidate 6]]-Audit[[#This Row],[Candidate 6]]</f>
        <v>0</v>
      </c>
      <c r="Y1586" s="111">
        <f>SUMIF(Audit[[#This Row],[Difference Loser]:[Difference Candidate 6]], "&gt;0")</f>
        <v>0</v>
      </c>
      <c r="Z1586" s="111">
        <f>SUM(Audit[[#This Row],[Difference Loser]:[Difference Candidate 6]])</f>
        <v>-116</v>
      </c>
      <c r="AA1586" s="111">
        <f>IF(Audit[[#This Row],[Times p Drawn - With Replacement]]&gt;0, IF(Audit[[#This Row],[Canceled Differences]]&lt;0, Audit[[#This Row],[Max Differences]]+ABS(Audit[[#This Row],[Canceled Differences]]), Audit[[#This Row],[Max Differences]]), 0)</f>
        <v>0</v>
      </c>
      <c r="AB1586" s="111">
        <f>'Sampling Data'!P1579</f>
        <v>7.4718275355218034E-3</v>
      </c>
      <c r="AC1586" s="111">
        <f>IF(
      SUM(Audit[[#This Row],[Audit Losing Candidate]:[Audit Candidate 6]])
      &lt;&gt;0,
      (Audit[[#This Row],[Winning Candidate]]-Audit[[#This Row],[Losing Candidate]]-(Audit[[#This Row],[Audit Winning Candidate]]-Audit[[#This Row],[Audit Losing Candidate]]))/(Audit[[#Totals],[Winning Candidate]]-Audit[[#Totals],[Losing Candidate]]),
      0
)</f>
        <v>0</v>
      </c>
      <c r="AD15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6" s="111">
        <f>IF(Audit[[#This Row],[Max Relative Error (ep)]] = 0, 0, Audit[[#This Row],[Max Relative Error (ep)]]/Audit[[#This Row],[Error Bound (up) - Max. possible relative overstatement]])</f>
        <v>0</v>
      </c>
      <c r="AJ15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86" s="111">
        <f t="shared" si="24"/>
        <v>1</v>
      </c>
      <c r="AL1586" s="111">
        <f>PRODUCT($AK$5:AK1586)</f>
        <v>8.962823818226312E-2</v>
      </c>
      <c r="AM1586" s="109">
        <f>1 - [K-M P Value]</f>
        <v>0.91037176181773694</v>
      </c>
      <c r="AN1586" s="111" t="str">
        <f>IF(Audit[[#This Row],[K-M P Value]]&gt;1-'General Info'!$B$16,"Continue", "Stop")</f>
        <v>Stop</v>
      </c>
      <c r="AO1586" s="110" t="b">
        <f>IF(Audit[[#This Row],[Status - Continue or stop audit]] = "Continue", TRUE, IF(AN1585 = "Continue", TRUE, FALSE))</f>
        <v>0</v>
      </c>
      <c r="AP1586" s="110"/>
    </row>
    <row r="1587" spans="1:42" ht="15" hidden="1" customHeight="1">
      <c r="A1587" s="111" t="str">
        <f>'Sampling Data'!W1580</f>
        <v/>
      </c>
      <c r="B1587" s="112" t="str">
        <f>'Sampling Data'!A1580</f>
        <v>NORTH ROYALTON -06-C - ABS</v>
      </c>
      <c r="C1587" s="112">
        <f>'Sampling Data'!B1580</f>
        <v>31</v>
      </c>
      <c r="D1587" s="112">
        <f>'Sampling Data'!C1580</f>
        <v>36</v>
      </c>
      <c r="E1587" s="113">
        <f>'Sampling Data'!D1580</f>
        <v>11</v>
      </c>
      <c r="F1587" s="113">
        <f>'Sampling Data'!E1580</f>
        <v>1</v>
      </c>
      <c r="G1587" s="113">
        <f>'Sampling Data'!F1580</f>
        <v>0</v>
      </c>
      <c r="H1587" s="113">
        <f>'Sampling Data'!G1580</f>
        <v>1</v>
      </c>
      <c r="I1587" s="112">
        <f>'Sampling Data'!H1580</f>
        <v>0</v>
      </c>
      <c r="J1587" s="112">
        <f>'Sampling Data'!I1580</f>
        <v>1</v>
      </c>
      <c r="K1587" s="112">
        <f>'Sampling Data'!J1580</f>
        <v>81</v>
      </c>
      <c r="L1587" s="111">
        <f>'Sampling Data'!X1580</f>
        <v>0</v>
      </c>
      <c r="M1587" s="114"/>
      <c r="N1587" s="114"/>
      <c r="O1587" s="115"/>
      <c r="P1587" s="115"/>
      <c r="Q1587" s="116"/>
      <c r="R1587" s="116"/>
      <c r="S1587" s="111">
        <f>Audit[[#This Row],[Audit Losing Candidate]]-Audit[[#This Row],[Losing Candidate]]</f>
        <v>-31</v>
      </c>
      <c r="T1587" s="111">
        <f>Audit[[#This Row],[Audit Winning Candidate]]-Audit[[#This Row],[Winning Candidate]]</f>
        <v>-36</v>
      </c>
      <c r="U1587" s="111">
        <f>Audit[[#This Row],[Audit Candidate 3]]-Audit[[#This Row],[Candidate 3]]</f>
        <v>-11</v>
      </c>
      <c r="V1587" s="111">
        <f>Audit[[#This Row],[Audit Candidate 4]]-Audit[[#This Row],[Candidate 4]]</f>
        <v>-1</v>
      </c>
      <c r="W1587" s="111">
        <f>Audit[[#This Row],[Audit Candidate 5]]-Audit[[#This Row],[Candidate 5]]</f>
        <v>0</v>
      </c>
      <c r="X1587" s="111">
        <f>Audit[[#This Row],[Audit Candidate 6]]-Audit[[#This Row],[Candidate 6]]</f>
        <v>-1</v>
      </c>
      <c r="Y1587" s="111">
        <f>SUMIF(Audit[[#This Row],[Difference Loser]:[Difference Candidate 6]], "&gt;0")</f>
        <v>0</v>
      </c>
      <c r="Z1587" s="111">
        <f>SUM(Audit[[#This Row],[Difference Loser]:[Difference Candidate 6]])</f>
        <v>-80</v>
      </c>
      <c r="AA1587" s="111">
        <f>IF(Audit[[#This Row],[Times p Drawn - With Replacement]]&gt;0, IF(Audit[[#This Row],[Canceled Differences]]&lt;0, Audit[[#This Row],[Max Differences]]+ABS(Audit[[#This Row],[Canceled Differences]]), Audit[[#This Row],[Max Differences]]), 0)</f>
        <v>0</v>
      </c>
      <c r="AB1587" s="111">
        <f>'Sampling Data'!P1580</f>
        <v>5.2670259676629106E-3</v>
      </c>
      <c r="AC1587" s="111">
        <f>IF(
      SUM(Audit[[#This Row],[Audit Losing Candidate]:[Audit Candidate 6]])
      &lt;&gt;0,
      (Audit[[#This Row],[Winning Candidate]]-Audit[[#This Row],[Losing Candidate]]-(Audit[[#This Row],[Audit Winning Candidate]]-Audit[[#This Row],[Audit Losing Candidate]]))/(Audit[[#Totals],[Winning Candidate]]-Audit[[#Totals],[Losing Candidate]]),
      0
)</f>
        <v>0</v>
      </c>
      <c r="AD15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7" s="111">
        <f>IF(Audit[[#This Row],[Max Relative Error (ep)]] = 0, 0, Audit[[#This Row],[Max Relative Error (ep)]]/Audit[[#This Row],[Error Bound (up) - Max. possible relative overstatement]])</f>
        <v>0</v>
      </c>
      <c r="AJ15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87" s="111">
        <f t="shared" si="24"/>
        <v>1</v>
      </c>
      <c r="AL1587" s="111">
        <f>PRODUCT($AK$5:AK1587)</f>
        <v>8.962823818226312E-2</v>
      </c>
      <c r="AM1587" s="109">
        <f>1 - [K-M P Value]</f>
        <v>0.91037176181773694</v>
      </c>
      <c r="AN1587" s="111" t="str">
        <f>IF(Audit[[#This Row],[K-M P Value]]&gt;1-'General Info'!$B$16,"Continue", "Stop")</f>
        <v>Stop</v>
      </c>
      <c r="AO1587" s="110" t="b">
        <f>IF(Audit[[#This Row],[Status - Continue or stop audit]] = "Continue", TRUE, IF(AN1586 = "Continue", TRUE, FALSE))</f>
        <v>0</v>
      </c>
      <c r="AP1587" s="110"/>
    </row>
    <row r="1588" spans="1:42" ht="15" hidden="1" customHeight="1">
      <c r="A1588" s="111" t="str">
        <f>'Sampling Data'!W1581</f>
        <v/>
      </c>
      <c r="B1588" s="112" t="str">
        <f>'Sampling Data'!A1581</f>
        <v>NORTH ROYALTON -06-D</v>
      </c>
      <c r="C1588" s="112">
        <f>'Sampling Data'!B1581</f>
        <v>37</v>
      </c>
      <c r="D1588" s="112">
        <f>'Sampling Data'!C1581</f>
        <v>59</v>
      </c>
      <c r="E1588" s="113">
        <f>'Sampling Data'!D1581</f>
        <v>17</v>
      </c>
      <c r="F1588" s="113">
        <f>'Sampling Data'!E1581</f>
        <v>16</v>
      </c>
      <c r="G1588" s="113">
        <f>'Sampling Data'!F1581</f>
        <v>0</v>
      </c>
      <c r="H1588" s="113">
        <f>'Sampling Data'!G1581</f>
        <v>0</v>
      </c>
      <c r="I1588" s="112">
        <f>'Sampling Data'!H1581</f>
        <v>0</v>
      </c>
      <c r="J1588" s="112">
        <f>'Sampling Data'!I1581</f>
        <v>0</v>
      </c>
      <c r="K1588" s="112">
        <f>'Sampling Data'!J1581</f>
        <v>129</v>
      </c>
      <c r="L1588" s="111">
        <f>'Sampling Data'!X1581</f>
        <v>0</v>
      </c>
      <c r="M1588" s="114"/>
      <c r="N1588" s="114"/>
      <c r="O1588" s="115"/>
      <c r="P1588" s="115"/>
      <c r="Q1588" s="116"/>
      <c r="R1588" s="116"/>
      <c r="S1588" s="111">
        <f>Audit[[#This Row],[Audit Losing Candidate]]-Audit[[#This Row],[Losing Candidate]]</f>
        <v>-37</v>
      </c>
      <c r="T1588" s="111">
        <f>Audit[[#This Row],[Audit Winning Candidate]]-Audit[[#This Row],[Winning Candidate]]</f>
        <v>-59</v>
      </c>
      <c r="U1588" s="111">
        <f>Audit[[#This Row],[Audit Candidate 3]]-Audit[[#This Row],[Candidate 3]]</f>
        <v>-17</v>
      </c>
      <c r="V1588" s="111">
        <f>Audit[[#This Row],[Audit Candidate 4]]-Audit[[#This Row],[Candidate 4]]</f>
        <v>-16</v>
      </c>
      <c r="W1588" s="111">
        <f>Audit[[#This Row],[Audit Candidate 5]]-Audit[[#This Row],[Candidate 5]]</f>
        <v>0</v>
      </c>
      <c r="X1588" s="111">
        <f>Audit[[#This Row],[Audit Candidate 6]]-Audit[[#This Row],[Candidate 6]]</f>
        <v>0</v>
      </c>
      <c r="Y1588" s="111">
        <f>SUMIF(Audit[[#This Row],[Difference Loser]:[Difference Candidate 6]], "&gt;0")</f>
        <v>0</v>
      </c>
      <c r="Z1588" s="111">
        <f>SUM(Audit[[#This Row],[Difference Loser]:[Difference Candidate 6]])</f>
        <v>-129</v>
      </c>
      <c r="AA1588" s="111">
        <f>IF(Audit[[#This Row],[Times p Drawn - With Replacement]]&gt;0, IF(Audit[[#This Row],[Canceled Differences]]&lt;0, Audit[[#This Row],[Max Differences]]+ABS(Audit[[#This Row],[Canceled Differences]]), Audit[[#This Row],[Max Differences]]), 0)</f>
        <v>0</v>
      </c>
      <c r="AB1588" s="111">
        <f>'Sampling Data'!P1581</f>
        <v>9.2479176874081335E-3</v>
      </c>
      <c r="AC1588" s="111">
        <f>IF(
      SUM(Audit[[#This Row],[Audit Losing Candidate]:[Audit Candidate 6]])
      &lt;&gt;0,
      (Audit[[#This Row],[Winning Candidate]]-Audit[[#This Row],[Losing Candidate]]-(Audit[[#This Row],[Audit Winning Candidate]]-Audit[[#This Row],[Audit Losing Candidate]]))/(Audit[[#Totals],[Winning Candidate]]-Audit[[#Totals],[Losing Candidate]]),
      0
)</f>
        <v>0</v>
      </c>
      <c r="AD15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8" s="111">
        <f>IF(Audit[[#This Row],[Max Relative Error (ep)]] = 0, 0, Audit[[#This Row],[Max Relative Error (ep)]]/Audit[[#This Row],[Error Bound (up) - Max. possible relative overstatement]])</f>
        <v>0</v>
      </c>
      <c r="AJ15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88" s="111">
        <f t="shared" si="24"/>
        <v>1</v>
      </c>
      <c r="AL1588" s="111">
        <f>PRODUCT($AK$5:AK1588)</f>
        <v>8.962823818226312E-2</v>
      </c>
      <c r="AM1588" s="109">
        <f>1 - [K-M P Value]</f>
        <v>0.91037176181773694</v>
      </c>
      <c r="AN1588" s="111" t="str">
        <f>IF(Audit[[#This Row],[K-M P Value]]&gt;1-'General Info'!$B$16,"Continue", "Stop")</f>
        <v>Stop</v>
      </c>
      <c r="AO1588" s="110" t="b">
        <f>IF(Audit[[#This Row],[Status - Continue or stop audit]] = "Continue", TRUE, IF(AN1587 = "Continue", TRUE, FALSE))</f>
        <v>0</v>
      </c>
      <c r="AP1588" s="110"/>
    </row>
    <row r="1589" spans="1:42" ht="15" hidden="1" customHeight="1">
      <c r="A1589" s="111" t="str">
        <f>'Sampling Data'!W1582</f>
        <v/>
      </c>
      <c r="B1589" s="112" t="str">
        <f>'Sampling Data'!A1582</f>
        <v>NORTH ROYALTON -06-D - ABS</v>
      </c>
      <c r="C1589" s="112">
        <f>'Sampling Data'!B1582</f>
        <v>15</v>
      </c>
      <c r="D1589" s="112">
        <f>'Sampling Data'!C1582</f>
        <v>31</v>
      </c>
      <c r="E1589" s="113">
        <f>'Sampling Data'!D1582</f>
        <v>13</v>
      </c>
      <c r="F1589" s="113">
        <f>'Sampling Data'!E1582</f>
        <v>10</v>
      </c>
      <c r="G1589" s="113">
        <f>'Sampling Data'!F1582</f>
        <v>0</v>
      </c>
      <c r="H1589" s="113">
        <f>'Sampling Data'!G1582</f>
        <v>0</v>
      </c>
      <c r="I1589" s="112">
        <f>'Sampling Data'!H1582</f>
        <v>0</v>
      </c>
      <c r="J1589" s="112">
        <f>'Sampling Data'!I1582</f>
        <v>1</v>
      </c>
      <c r="K1589" s="112">
        <f>'Sampling Data'!J1582</f>
        <v>70</v>
      </c>
      <c r="L1589" s="111">
        <f>'Sampling Data'!X1582</f>
        <v>0</v>
      </c>
      <c r="M1589" s="114"/>
      <c r="N1589" s="114"/>
      <c r="O1589" s="115"/>
      <c r="P1589" s="115"/>
      <c r="Q1589" s="116"/>
      <c r="R1589" s="116"/>
      <c r="S1589" s="111">
        <f>Audit[[#This Row],[Audit Losing Candidate]]-Audit[[#This Row],[Losing Candidate]]</f>
        <v>-15</v>
      </c>
      <c r="T1589" s="111">
        <f>Audit[[#This Row],[Audit Winning Candidate]]-Audit[[#This Row],[Winning Candidate]]</f>
        <v>-31</v>
      </c>
      <c r="U1589" s="111">
        <f>Audit[[#This Row],[Audit Candidate 3]]-Audit[[#This Row],[Candidate 3]]</f>
        <v>-13</v>
      </c>
      <c r="V1589" s="111">
        <f>Audit[[#This Row],[Audit Candidate 4]]-Audit[[#This Row],[Candidate 4]]</f>
        <v>-10</v>
      </c>
      <c r="W1589" s="111">
        <f>Audit[[#This Row],[Audit Candidate 5]]-Audit[[#This Row],[Candidate 5]]</f>
        <v>0</v>
      </c>
      <c r="X1589" s="111">
        <f>Audit[[#This Row],[Audit Candidate 6]]-Audit[[#This Row],[Candidate 6]]</f>
        <v>0</v>
      </c>
      <c r="Y1589" s="111">
        <f>SUMIF(Audit[[#This Row],[Difference Loser]:[Difference Candidate 6]], "&gt;0")</f>
        <v>0</v>
      </c>
      <c r="Z1589" s="111">
        <f>SUM(Audit[[#This Row],[Difference Loser]:[Difference Candidate 6]])</f>
        <v>-69</v>
      </c>
      <c r="AA1589" s="111">
        <f>IF(Audit[[#This Row],[Times p Drawn - With Replacement]]&gt;0, IF(Audit[[#This Row],[Canceled Differences]]&lt;0, Audit[[#This Row],[Max Differences]]+ABS(Audit[[#This Row],[Canceled Differences]]), Audit[[#This Row],[Max Differences]]), 0)</f>
        <v>0</v>
      </c>
      <c r="AB1589" s="111">
        <f>'Sampling Data'!P1582</f>
        <v>5.2670259676629106E-3</v>
      </c>
      <c r="AC1589" s="111">
        <f>IF(
      SUM(Audit[[#This Row],[Audit Losing Candidate]:[Audit Candidate 6]])
      &lt;&gt;0,
      (Audit[[#This Row],[Winning Candidate]]-Audit[[#This Row],[Losing Candidate]]-(Audit[[#This Row],[Audit Winning Candidate]]-Audit[[#This Row],[Audit Losing Candidate]]))/(Audit[[#Totals],[Winning Candidate]]-Audit[[#Totals],[Losing Candidate]]),
      0
)</f>
        <v>0</v>
      </c>
      <c r="AD15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9" s="111">
        <f>IF(Audit[[#This Row],[Max Relative Error (ep)]] = 0, 0, Audit[[#This Row],[Max Relative Error (ep)]]/Audit[[#This Row],[Error Bound (up) - Max. possible relative overstatement]])</f>
        <v>0</v>
      </c>
      <c r="AJ15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89" s="111">
        <f t="shared" si="24"/>
        <v>1</v>
      </c>
      <c r="AL1589" s="111">
        <f>PRODUCT($AK$5:AK1589)</f>
        <v>8.962823818226312E-2</v>
      </c>
      <c r="AM1589" s="109">
        <f>1 - [K-M P Value]</f>
        <v>0.91037176181773694</v>
      </c>
      <c r="AN1589" s="111" t="str">
        <f>IF(Audit[[#This Row],[K-M P Value]]&gt;1-'General Info'!$B$16,"Continue", "Stop")</f>
        <v>Stop</v>
      </c>
      <c r="AO1589" s="110" t="b">
        <f>IF(Audit[[#This Row],[Status - Continue or stop audit]] = "Continue", TRUE, IF(AN1588 = "Continue", TRUE, FALSE))</f>
        <v>0</v>
      </c>
      <c r="AP1589" s="110"/>
    </row>
    <row r="1590" spans="1:42" ht="15" hidden="1" customHeight="1">
      <c r="A1590" s="111" t="str">
        <f>'Sampling Data'!W1583</f>
        <v/>
      </c>
      <c r="B1590" s="112" t="str">
        <f>'Sampling Data'!A1583</f>
        <v>OAKWOOD -01-A</v>
      </c>
      <c r="C1590" s="112">
        <f>'Sampling Data'!B1583</f>
        <v>3</v>
      </c>
      <c r="D1590" s="112">
        <f>'Sampling Data'!C1583</f>
        <v>2</v>
      </c>
      <c r="E1590" s="113">
        <f>'Sampling Data'!D1583</f>
        <v>6</v>
      </c>
      <c r="F1590" s="113">
        <f>'Sampling Data'!E1583</f>
        <v>4</v>
      </c>
      <c r="G1590" s="113">
        <f>'Sampling Data'!F1583</f>
        <v>0</v>
      </c>
      <c r="H1590" s="113">
        <f>'Sampling Data'!G1583</f>
        <v>0</v>
      </c>
      <c r="I1590" s="112">
        <f>'Sampling Data'!H1583</f>
        <v>0</v>
      </c>
      <c r="J1590" s="112">
        <f>'Sampling Data'!I1583</f>
        <v>1</v>
      </c>
      <c r="K1590" s="112">
        <f>'Sampling Data'!J1583</f>
        <v>16</v>
      </c>
      <c r="L1590" s="111">
        <f>'Sampling Data'!X1583</f>
        <v>0</v>
      </c>
      <c r="M1590" s="114"/>
      <c r="N1590" s="114"/>
      <c r="O1590" s="115"/>
      <c r="P1590" s="115"/>
      <c r="Q1590" s="116"/>
      <c r="R1590" s="116"/>
      <c r="S1590" s="111">
        <f>Audit[[#This Row],[Audit Losing Candidate]]-Audit[[#This Row],[Losing Candidate]]</f>
        <v>-3</v>
      </c>
      <c r="T1590" s="111">
        <f>Audit[[#This Row],[Audit Winning Candidate]]-Audit[[#This Row],[Winning Candidate]]</f>
        <v>-2</v>
      </c>
      <c r="U1590" s="111">
        <f>Audit[[#This Row],[Audit Candidate 3]]-Audit[[#This Row],[Candidate 3]]</f>
        <v>-6</v>
      </c>
      <c r="V1590" s="111">
        <f>Audit[[#This Row],[Audit Candidate 4]]-Audit[[#This Row],[Candidate 4]]</f>
        <v>-4</v>
      </c>
      <c r="W1590" s="111">
        <f>Audit[[#This Row],[Audit Candidate 5]]-Audit[[#This Row],[Candidate 5]]</f>
        <v>0</v>
      </c>
      <c r="X1590" s="111">
        <f>Audit[[#This Row],[Audit Candidate 6]]-Audit[[#This Row],[Candidate 6]]</f>
        <v>0</v>
      </c>
      <c r="Y1590" s="111">
        <f>SUMIF(Audit[[#This Row],[Difference Loser]:[Difference Candidate 6]], "&gt;0")</f>
        <v>0</v>
      </c>
      <c r="Z1590" s="111">
        <f>SUM(Audit[[#This Row],[Difference Loser]:[Difference Candidate 6]])</f>
        <v>-15</v>
      </c>
      <c r="AA1590" s="111">
        <f>IF(Audit[[#This Row],[Times p Drawn - With Replacement]]&gt;0, IF(Audit[[#This Row],[Canceled Differences]]&lt;0, Audit[[#This Row],[Max Differences]]+ABS(Audit[[#This Row],[Canceled Differences]]), Audit[[#This Row],[Max Differences]]), 0)</f>
        <v>0</v>
      </c>
      <c r="AB1590" s="111">
        <f>'Sampling Data'!P1583</f>
        <v>9.1866731994120533E-4</v>
      </c>
      <c r="AC1590" s="111">
        <f>IF(
      SUM(Audit[[#This Row],[Audit Losing Candidate]:[Audit Candidate 6]])
      &lt;&gt;0,
      (Audit[[#This Row],[Winning Candidate]]-Audit[[#This Row],[Losing Candidate]]-(Audit[[#This Row],[Audit Winning Candidate]]-Audit[[#This Row],[Audit Losing Candidate]]))/(Audit[[#Totals],[Winning Candidate]]-Audit[[#Totals],[Losing Candidate]]),
      0
)</f>
        <v>0</v>
      </c>
      <c r="AD15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0" s="111">
        <f>IF(Audit[[#This Row],[Max Relative Error (ep)]] = 0, 0, Audit[[#This Row],[Max Relative Error (ep)]]/Audit[[#This Row],[Error Bound (up) - Max. possible relative overstatement]])</f>
        <v>0</v>
      </c>
      <c r="AJ15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90" s="111">
        <f t="shared" si="24"/>
        <v>1</v>
      </c>
      <c r="AL1590" s="111">
        <f>PRODUCT($AK$5:AK1590)</f>
        <v>8.962823818226312E-2</v>
      </c>
      <c r="AM1590" s="109">
        <f>1 - [K-M P Value]</f>
        <v>0.91037176181773694</v>
      </c>
      <c r="AN1590" s="111" t="str">
        <f>IF(Audit[[#This Row],[K-M P Value]]&gt;1-'General Info'!$B$16,"Continue", "Stop")</f>
        <v>Stop</v>
      </c>
      <c r="AO1590" s="110" t="b">
        <f>IF(Audit[[#This Row],[Status - Continue or stop audit]] = "Continue", TRUE, IF(AN1589 = "Continue", TRUE, FALSE))</f>
        <v>0</v>
      </c>
      <c r="AP1590" s="110"/>
    </row>
    <row r="1591" spans="1:42" ht="15" hidden="1" customHeight="1">
      <c r="A1591" s="111" t="str">
        <f>'Sampling Data'!W1584</f>
        <v/>
      </c>
      <c r="B1591" s="112" t="str">
        <f>'Sampling Data'!A1584</f>
        <v>OAKWOOD -01-A - ABS</v>
      </c>
      <c r="C1591" s="112">
        <f>'Sampling Data'!B1584</f>
        <v>3</v>
      </c>
      <c r="D1591" s="112">
        <f>'Sampling Data'!C1584</f>
        <v>3</v>
      </c>
      <c r="E1591" s="113">
        <f>'Sampling Data'!D1584</f>
        <v>1</v>
      </c>
      <c r="F1591" s="113">
        <f>'Sampling Data'!E1584</f>
        <v>0</v>
      </c>
      <c r="G1591" s="113">
        <f>'Sampling Data'!F1584</f>
        <v>0</v>
      </c>
      <c r="H1591" s="113">
        <f>'Sampling Data'!G1584</f>
        <v>0</v>
      </c>
      <c r="I1591" s="112">
        <f>'Sampling Data'!H1584</f>
        <v>0</v>
      </c>
      <c r="J1591" s="112">
        <f>'Sampling Data'!I1584</f>
        <v>0</v>
      </c>
      <c r="K1591" s="112">
        <f>'Sampling Data'!J1584</f>
        <v>7</v>
      </c>
      <c r="L1591" s="111">
        <f>'Sampling Data'!X1584</f>
        <v>0</v>
      </c>
      <c r="M1591" s="114"/>
      <c r="N1591" s="114"/>
      <c r="O1591" s="115"/>
      <c r="P1591" s="115"/>
      <c r="Q1591" s="116"/>
      <c r="R1591" s="116"/>
      <c r="S1591" s="111">
        <f>Audit[[#This Row],[Audit Losing Candidate]]-Audit[[#This Row],[Losing Candidate]]</f>
        <v>-3</v>
      </c>
      <c r="T1591" s="111">
        <f>Audit[[#This Row],[Audit Winning Candidate]]-Audit[[#This Row],[Winning Candidate]]</f>
        <v>-3</v>
      </c>
      <c r="U1591" s="111">
        <f>Audit[[#This Row],[Audit Candidate 3]]-Audit[[#This Row],[Candidate 3]]</f>
        <v>-1</v>
      </c>
      <c r="V1591" s="111">
        <f>Audit[[#This Row],[Audit Candidate 4]]-Audit[[#This Row],[Candidate 4]]</f>
        <v>0</v>
      </c>
      <c r="W1591" s="111">
        <f>Audit[[#This Row],[Audit Candidate 5]]-Audit[[#This Row],[Candidate 5]]</f>
        <v>0</v>
      </c>
      <c r="X1591" s="111">
        <f>Audit[[#This Row],[Audit Candidate 6]]-Audit[[#This Row],[Candidate 6]]</f>
        <v>0</v>
      </c>
      <c r="Y1591" s="111">
        <f>SUMIF(Audit[[#This Row],[Difference Loser]:[Difference Candidate 6]], "&gt;0")</f>
        <v>0</v>
      </c>
      <c r="Z1591" s="111">
        <f>SUM(Audit[[#This Row],[Difference Loser]:[Difference Candidate 6]])</f>
        <v>-7</v>
      </c>
      <c r="AA1591" s="111">
        <f>IF(Audit[[#This Row],[Times p Drawn - With Replacement]]&gt;0, IF(Audit[[#This Row],[Canceled Differences]]&lt;0, Audit[[#This Row],[Max Differences]]+ABS(Audit[[#This Row],[Canceled Differences]]), Audit[[#This Row],[Max Differences]]), 0)</f>
        <v>0</v>
      </c>
      <c r="AB1591" s="111">
        <f>'Sampling Data'!P1584</f>
        <v>4.2871141597256246E-4</v>
      </c>
      <c r="AC1591" s="111">
        <f>IF(
      SUM(Audit[[#This Row],[Audit Losing Candidate]:[Audit Candidate 6]])
      &lt;&gt;0,
      (Audit[[#This Row],[Winning Candidate]]-Audit[[#This Row],[Losing Candidate]]-(Audit[[#This Row],[Audit Winning Candidate]]-Audit[[#This Row],[Audit Losing Candidate]]))/(Audit[[#Totals],[Winning Candidate]]-Audit[[#Totals],[Losing Candidate]]),
      0
)</f>
        <v>0</v>
      </c>
      <c r="AD15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1" s="111">
        <f>IF(Audit[[#This Row],[Max Relative Error (ep)]] = 0, 0, Audit[[#This Row],[Max Relative Error (ep)]]/Audit[[#This Row],[Error Bound (up) - Max. possible relative overstatement]])</f>
        <v>0</v>
      </c>
      <c r="AJ15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91" s="111">
        <f t="shared" si="24"/>
        <v>1</v>
      </c>
      <c r="AL1591" s="111">
        <f>PRODUCT($AK$5:AK1591)</f>
        <v>8.962823818226312E-2</v>
      </c>
      <c r="AM1591" s="109">
        <f>1 - [K-M P Value]</f>
        <v>0.91037176181773694</v>
      </c>
      <c r="AN1591" s="111" t="str">
        <f>IF(Audit[[#This Row],[K-M P Value]]&gt;1-'General Info'!$B$16,"Continue", "Stop")</f>
        <v>Stop</v>
      </c>
      <c r="AO1591" s="110" t="b">
        <f>IF(Audit[[#This Row],[Status - Continue or stop audit]] = "Continue", TRUE, IF(AN1590 = "Continue", TRUE, FALSE))</f>
        <v>0</v>
      </c>
      <c r="AP1591" s="110"/>
    </row>
    <row r="1592" spans="1:42" ht="15" hidden="1" customHeight="1">
      <c r="A1592" s="111" t="str">
        <f>'Sampling Data'!W1585</f>
        <v/>
      </c>
      <c r="B1592" s="112" t="str">
        <f>'Sampling Data'!A1585</f>
        <v>OAKWOOD -02-A</v>
      </c>
      <c r="C1592" s="112">
        <f>'Sampling Data'!B1585</f>
        <v>1</v>
      </c>
      <c r="D1592" s="112">
        <f>'Sampling Data'!C1585</f>
        <v>0</v>
      </c>
      <c r="E1592" s="113">
        <f>'Sampling Data'!D1585</f>
        <v>2</v>
      </c>
      <c r="F1592" s="113">
        <f>'Sampling Data'!E1585</f>
        <v>0</v>
      </c>
      <c r="G1592" s="113">
        <f>'Sampling Data'!F1585</f>
        <v>0</v>
      </c>
      <c r="H1592" s="113">
        <f>'Sampling Data'!G1585</f>
        <v>0</v>
      </c>
      <c r="I1592" s="112">
        <f>'Sampling Data'!H1585</f>
        <v>0</v>
      </c>
      <c r="J1592" s="112">
        <f>'Sampling Data'!I1585</f>
        <v>0</v>
      </c>
      <c r="K1592" s="112">
        <f>'Sampling Data'!J1585</f>
        <v>3</v>
      </c>
      <c r="L1592" s="111">
        <f>'Sampling Data'!X1585</f>
        <v>0</v>
      </c>
      <c r="M1592" s="114"/>
      <c r="N1592" s="114"/>
      <c r="O1592" s="115"/>
      <c r="P1592" s="115"/>
      <c r="Q1592" s="116"/>
      <c r="R1592" s="116"/>
      <c r="S1592" s="111">
        <f>Audit[[#This Row],[Audit Losing Candidate]]-Audit[[#This Row],[Losing Candidate]]</f>
        <v>-1</v>
      </c>
      <c r="T1592" s="111">
        <f>Audit[[#This Row],[Audit Winning Candidate]]-Audit[[#This Row],[Winning Candidate]]</f>
        <v>0</v>
      </c>
      <c r="U1592" s="111">
        <f>Audit[[#This Row],[Audit Candidate 3]]-Audit[[#This Row],[Candidate 3]]</f>
        <v>-2</v>
      </c>
      <c r="V1592" s="111">
        <f>Audit[[#This Row],[Audit Candidate 4]]-Audit[[#This Row],[Candidate 4]]</f>
        <v>0</v>
      </c>
      <c r="W1592" s="111">
        <f>Audit[[#This Row],[Audit Candidate 5]]-Audit[[#This Row],[Candidate 5]]</f>
        <v>0</v>
      </c>
      <c r="X1592" s="111">
        <f>Audit[[#This Row],[Audit Candidate 6]]-Audit[[#This Row],[Candidate 6]]</f>
        <v>0</v>
      </c>
      <c r="Y1592" s="111">
        <f>SUMIF(Audit[[#This Row],[Difference Loser]:[Difference Candidate 6]], "&gt;0")</f>
        <v>0</v>
      </c>
      <c r="Z1592" s="111">
        <f>SUM(Audit[[#This Row],[Difference Loser]:[Difference Candidate 6]])</f>
        <v>-3</v>
      </c>
      <c r="AA1592" s="111">
        <f>IF(Audit[[#This Row],[Times p Drawn - With Replacement]]&gt;0, IF(Audit[[#This Row],[Canceled Differences]]&lt;0, Audit[[#This Row],[Max Differences]]+ABS(Audit[[#This Row],[Canceled Differences]]), Audit[[#This Row],[Max Differences]]), 0)</f>
        <v>0</v>
      </c>
      <c r="AB1592" s="111">
        <f>'Sampling Data'!P1585</f>
        <v>1.224889759921607E-4</v>
      </c>
      <c r="AC1592" s="111">
        <f>IF(
      SUM(Audit[[#This Row],[Audit Losing Candidate]:[Audit Candidate 6]])
      &lt;&gt;0,
      (Audit[[#This Row],[Winning Candidate]]-Audit[[#This Row],[Losing Candidate]]-(Audit[[#This Row],[Audit Winning Candidate]]-Audit[[#This Row],[Audit Losing Candidate]]))/(Audit[[#Totals],[Winning Candidate]]-Audit[[#Totals],[Losing Candidate]]),
      0
)</f>
        <v>0</v>
      </c>
      <c r="AD15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2" s="111">
        <f>IF(Audit[[#This Row],[Max Relative Error (ep)]] = 0, 0, Audit[[#This Row],[Max Relative Error (ep)]]/Audit[[#This Row],[Error Bound (up) - Max. possible relative overstatement]])</f>
        <v>0</v>
      </c>
      <c r="AJ15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92" s="111">
        <f t="shared" si="24"/>
        <v>1</v>
      </c>
      <c r="AL1592" s="111">
        <f>PRODUCT($AK$5:AK1592)</f>
        <v>8.962823818226312E-2</v>
      </c>
      <c r="AM1592" s="109">
        <f>1 - [K-M P Value]</f>
        <v>0.91037176181773694</v>
      </c>
      <c r="AN1592" s="111" t="str">
        <f>IF(Audit[[#This Row],[K-M P Value]]&gt;1-'General Info'!$B$16,"Continue", "Stop")</f>
        <v>Stop</v>
      </c>
      <c r="AO1592" s="110" t="b">
        <f>IF(Audit[[#This Row],[Status - Continue or stop audit]] = "Continue", TRUE, IF(AN1591 = "Continue", TRUE, FALSE))</f>
        <v>0</v>
      </c>
      <c r="AP1592" s="110"/>
    </row>
    <row r="1593" spans="1:42" ht="15" hidden="1" customHeight="1">
      <c r="A1593" s="111" t="str">
        <f>'Sampling Data'!W1586</f>
        <v/>
      </c>
      <c r="B1593" s="112" t="str">
        <f>'Sampling Data'!A1586</f>
        <v>OAKWOOD -02-A - ABS</v>
      </c>
      <c r="C1593" s="112">
        <f>'Sampling Data'!B1586</f>
        <v>0</v>
      </c>
      <c r="D1593" s="112">
        <f>'Sampling Data'!C1586</f>
        <v>1</v>
      </c>
      <c r="E1593" s="113">
        <f>'Sampling Data'!D1586</f>
        <v>0</v>
      </c>
      <c r="F1593" s="113">
        <f>'Sampling Data'!E1586</f>
        <v>0</v>
      </c>
      <c r="G1593" s="113">
        <f>'Sampling Data'!F1586</f>
        <v>0</v>
      </c>
      <c r="H1593" s="113">
        <f>'Sampling Data'!G1586</f>
        <v>0</v>
      </c>
      <c r="I1593" s="112">
        <f>'Sampling Data'!H1586</f>
        <v>0</v>
      </c>
      <c r="J1593" s="112">
        <f>'Sampling Data'!I1586</f>
        <v>0</v>
      </c>
      <c r="K1593" s="112">
        <f>'Sampling Data'!J1586</f>
        <v>1</v>
      </c>
      <c r="L1593" s="111">
        <f>'Sampling Data'!X1586</f>
        <v>0</v>
      </c>
      <c r="M1593" s="114"/>
      <c r="N1593" s="114"/>
      <c r="O1593" s="115"/>
      <c r="P1593" s="115"/>
      <c r="Q1593" s="116"/>
      <c r="R1593" s="116"/>
      <c r="S1593" s="111">
        <f>Audit[[#This Row],[Audit Losing Candidate]]-Audit[[#This Row],[Losing Candidate]]</f>
        <v>0</v>
      </c>
      <c r="T1593" s="111">
        <f>Audit[[#This Row],[Audit Winning Candidate]]-Audit[[#This Row],[Winning Candidate]]</f>
        <v>-1</v>
      </c>
      <c r="U1593" s="111">
        <f>Audit[[#This Row],[Audit Candidate 3]]-Audit[[#This Row],[Candidate 3]]</f>
        <v>0</v>
      </c>
      <c r="V1593" s="111">
        <f>Audit[[#This Row],[Audit Candidate 4]]-Audit[[#This Row],[Candidate 4]]</f>
        <v>0</v>
      </c>
      <c r="W1593" s="111">
        <f>Audit[[#This Row],[Audit Candidate 5]]-Audit[[#This Row],[Candidate 5]]</f>
        <v>0</v>
      </c>
      <c r="X1593" s="111">
        <f>Audit[[#This Row],[Audit Candidate 6]]-Audit[[#This Row],[Candidate 6]]</f>
        <v>0</v>
      </c>
      <c r="Y1593" s="111">
        <f>SUMIF(Audit[[#This Row],[Difference Loser]:[Difference Candidate 6]], "&gt;0")</f>
        <v>0</v>
      </c>
      <c r="Z1593" s="111">
        <f>SUM(Audit[[#This Row],[Difference Loser]:[Difference Candidate 6]])</f>
        <v>-1</v>
      </c>
      <c r="AA1593" s="111">
        <f>IF(Audit[[#This Row],[Times p Drawn - With Replacement]]&gt;0, IF(Audit[[#This Row],[Canceled Differences]]&lt;0, Audit[[#This Row],[Max Differences]]+ABS(Audit[[#This Row],[Canceled Differences]]), Audit[[#This Row],[Max Differences]]), 0)</f>
        <v>0</v>
      </c>
      <c r="AB1593" s="111">
        <f>'Sampling Data'!P1586</f>
        <v>1.224889759921607E-4</v>
      </c>
      <c r="AC1593" s="111">
        <f>IF(
      SUM(Audit[[#This Row],[Audit Losing Candidate]:[Audit Candidate 6]])
      &lt;&gt;0,
      (Audit[[#This Row],[Winning Candidate]]-Audit[[#This Row],[Losing Candidate]]-(Audit[[#This Row],[Audit Winning Candidate]]-Audit[[#This Row],[Audit Losing Candidate]]))/(Audit[[#Totals],[Winning Candidate]]-Audit[[#Totals],[Losing Candidate]]),
      0
)</f>
        <v>0</v>
      </c>
      <c r="AD15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3" s="111">
        <f>IF(Audit[[#This Row],[Max Relative Error (ep)]] = 0, 0, Audit[[#This Row],[Max Relative Error (ep)]]/Audit[[#This Row],[Error Bound (up) - Max. possible relative overstatement]])</f>
        <v>0</v>
      </c>
      <c r="AJ15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93" s="111">
        <f t="shared" si="24"/>
        <v>1</v>
      </c>
      <c r="AL1593" s="111">
        <f>PRODUCT($AK$5:AK1593)</f>
        <v>8.962823818226312E-2</v>
      </c>
      <c r="AM1593" s="109">
        <f>1 - [K-M P Value]</f>
        <v>0.91037176181773694</v>
      </c>
      <c r="AN1593" s="111" t="str">
        <f>IF(Audit[[#This Row],[K-M P Value]]&gt;1-'General Info'!$B$16,"Continue", "Stop")</f>
        <v>Stop</v>
      </c>
      <c r="AO1593" s="110" t="b">
        <f>IF(Audit[[#This Row],[Status - Continue or stop audit]] = "Continue", TRUE, IF(AN1592 = "Continue", TRUE, FALSE))</f>
        <v>0</v>
      </c>
      <c r="AP1593" s="110"/>
    </row>
    <row r="1594" spans="1:42" ht="15" hidden="1" customHeight="1">
      <c r="A1594" s="111" t="str">
        <f>'Sampling Data'!W1587</f>
        <v/>
      </c>
      <c r="B1594" s="112" t="str">
        <f>'Sampling Data'!A1587</f>
        <v>OAKWOOD -03-A</v>
      </c>
      <c r="C1594" s="112">
        <f>'Sampling Data'!B1587</f>
        <v>5</v>
      </c>
      <c r="D1594" s="112">
        <f>'Sampling Data'!C1587</f>
        <v>3</v>
      </c>
      <c r="E1594" s="113">
        <f>'Sampling Data'!D1587</f>
        <v>0</v>
      </c>
      <c r="F1594" s="113">
        <f>'Sampling Data'!E1587</f>
        <v>2</v>
      </c>
      <c r="G1594" s="113">
        <f>'Sampling Data'!F1587</f>
        <v>0</v>
      </c>
      <c r="H1594" s="113">
        <f>'Sampling Data'!G1587</f>
        <v>0</v>
      </c>
      <c r="I1594" s="112">
        <f>'Sampling Data'!H1587</f>
        <v>0</v>
      </c>
      <c r="J1594" s="112">
        <f>'Sampling Data'!I1587</f>
        <v>0</v>
      </c>
      <c r="K1594" s="112">
        <f>'Sampling Data'!J1587</f>
        <v>10</v>
      </c>
      <c r="L1594" s="111">
        <f>'Sampling Data'!X1587</f>
        <v>0</v>
      </c>
      <c r="M1594" s="114"/>
      <c r="N1594" s="114"/>
      <c r="O1594" s="115"/>
      <c r="P1594" s="115"/>
      <c r="Q1594" s="116"/>
      <c r="R1594" s="116"/>
      <c r="S1594" s="111">
        <f>Audit[[#This Row],[Audit Losing Candidate]]-Audit[[#This Row],[Losing Candidate]]</f>
        <v>-5</v>
      </c>
      <c r="T1594" s="111">
        <f>Audit[[#This Row],[Audit Winning Candidate]]-Audit[[#This Row],[Winning Candidate]]</f>
        <v>-3</v>
      </c>
      <c r="U1594" s="111">
        <f>Audit[[#This Row],[Audit Candidate 3]]-Audit[[#This Row],[Candidate 3]]</f>
        <v>0</v>
      </c>
      <c r="V1594" s="111">
        <f>Audit[[#This Row],[Audit Candidate 4]]-Audit[[#This Row],[Candidate 4]]</f>
        <v>-2</v>
      </c>
      <c r="W1594" s="111">
        <f>Audit[[#This Row],[Audit Candidate 5]]-Audit[[#This Row],[Candidate 5]]</f>
        <v>0</v>
      </c>
      <c r="X1594" s="111">
        <f>Audit[[#This Row],[Audit Candidate 6]]-Audit[[#This Row],[Candidate 6]]</f>
        <v>0</v>
      </c>
      <c r="Y1594" s="111">
        <f>SUMIF(Audit[[#This Row],[Difference Loser]:[Difference Candidate 6]], "&gt;0")</f>
        <v>0</v>
      </c>
      <c r="Z1594" s="111">
        <f>SUM(Audit[[#This Row],[Difference Loser]:[Difference Candidate 6]])</f>
        <v>-10</v>
      </c>
      <c r="AA1594" s="111">
        <f>IF(Audit[[#This Row],[Times p Drawn - With Replacement]]&gt;0, IF(Audit[[#This Row],[Canceled Differences]]&lt;0, Audit[[#This Row],[Max Differences]]+ABS(Audit[[#This Row],[Canceled Differences]]), Audit[[#This Row],[Max Differences]]), 0)</f>
        <v>0</v>
      </c>
      <c r="AB1594" s="111">
        <f>'Sampling Data'!P1587</f>
        <v>4.8995590396864281E-4</v>
      </c>
      <c r="AC1594" s="111">
        <f>IF(
      SUM(Audit[[#This Row],[Audit Losing Candidate]:[Audit Candidate 6]])
      &lt;&gt;0,
      (Audit[[#This Row],[Winning Candidate]]-Audit[[#This Row],[Losing Candidate]]-(Audit[[#This Row],[Audit Winning Candidate]]-Audit[[#This Row],[Audit Losing Candidate]]))/(Audit[[#Totals],[Winning Candidate]]-Audit[[#Totals],[Losing Candidate]]),
      0
)</f>
        <v>0</v>
      </c>
      <c r="AD15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4" s="111">
        <f>IF(Audit[[#This Row],[Max Relative Error (ep)]] = 0, 0, Audit[[#This Row],[Max Relative Error (ep)]]/Audit[[#This Row],[Error Bound (up) - Max. possible relative overstatement]])</f>
        <v>0</v>
      </c>
      <c r="AJ15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94" s="111">
        <f t="shared" si="24"/>
        <v>1</v>
      </c>
      <c r="AL1594" s="111">
        <f>PRODUCT($AK$5:AK1594)</f>
        <v>8.962823818226312E-2</v>
      </c>
      <c r="AM1594" s="109">
        <f>1 - [K-M P Value]</f>
        <v>0.91037176181773694</v>
      </c>
      <c r="AN1594" s="111" t="str">
        <f>IF(Audit[[#This Row],[K-M P Value]]&gt;1-'General Info'!$B$16,"Continue", "Stop")</f>
        <v>Stop</v>
      </c>
      <c r="AO1594" s="110" t="b">
        <f>IF(Audit[[#This Row],[Status - Continue or stop audit]] = "Continue", TRUE, IF(AN1593 = "Continue", TRUE, FALSE))</f>
        <v>0</v>
      </c>
      <c r="AP1594" s="110"/>
    </row>
    <row r="1595" spans="1:42" ht="15" hidden="1" customHeight="1">
      <c r="A1595" s="111" t="str">
        <f>'Sampling Data'!W1588</f>
        <v/>
      </c>
      <c r="B1595" s="112" t="str">
        <f>'Sampling Data'!A1588</f>
        <v>OAKWOOD -03-A - ABS</v>
      </c>
      <c r="C1595" s="112">
        <f>'Sampling Data'!B1588</f>
        <v>3</v>
      </c>
      <c r="D1595" s="112">
        <f>'Sampling Data'!C1588</f>
        <v>1</v>
      </c>
      <c r="E1595" s="113">
        <f>'Sampling Data'!D1588</f>
        <v>0</v>
      </c>
      <c r="F1595" s="113">
        <f>'Sampling Data'!E1588</f>
        <v>0</v>
      </c>
      <c r="G1595" s="113">
        <f>'Sampling Data'!F1588</f>
        <v>0</v>
      </c>
      <c r="H1595" s="113">
        <f>'Sampling Data'!G1588</f>
        <v>0</v>
      </c>
      <c r="I1595" s="112">
        <f>'Sampling Data'!H1588</f>
        <v>0</v>
      </c>
      <c r="J1595" s="112">
        <f>'Sampling Data'!I1588</f>
        <v>0</v>
      </c>
      <c r="K1595" s="112">
        <f>'Sampling Data'!J1588</f>
        <v>4</v>
      </c>
      <c r="L1595" s="111">
        <f>'Sampling Data'!X1588</f>
        <v>0</v>
      </c>
      <c r="M1595" s="114"/>
      <c r="N1595" s="114"/>
      <c r="O1595" s="115"/>
      <c r="P1595" s="115"/>
      <c r="Q1595" s="116"/>
      <c r="R1595" s="116"/>
      <c r="S1595" s="111">
        <f>Audit[[#This Row],[Audit Losing Candidate]]-Audit[[#This Row],[Losing Candidate]]</f>
        <v>-3</v>
      </c>
      <c r="T1595" s="111">
        <f>Audit[[#This Row],[Audit Winning Candidate]]-Audit[[#This Row],[Winning Candidate]]</f>
        <v>-1</v>
      </c>
      <c r="U1595" s="111">
        <f>Audit[[#This Row],[Audit Candidate 3]]-Audit[[#This Row],[Candidate 3]]</f>
        <v>0</v>
      </c>
      <c r="V1595" s="111">
        <f>Audit[[#This Row],[Audit Candidate 4]]-Audit[[#This Row],[Candidate 4]]</f>
        <v>0</v>
      </c>
      <c r="W1595" s="111">
        <f>Audit[[#This Row],[Audit Candidate 5]]-Audit[[#This Row],[Candidate 5]]</f>
        <v>0</v>
      </c>
      <c r="X1595" s="111">
        <f>Audit[[#This Row],[Audit Candidate 6]]-Audit[[#This Row],[Candidate 6]]</f>
        <v>0</v>
      </c>
      <c r="Y1595" s="111">
        <f>SUMIF(Audit[[#This Row],[Difference Loser]:[Difference Candidate 6]], "&gt;0")</f>
        <v>0</v>
      </c>
      <c r="Z1595" s="111">
        <f>SUM(Audit[[#This Row],[Difference Loser]:[Difference Candidate 6]])</f>
        <v>-4</v>
      </c>
      <c r="AA1595" s="111">
        <f>IF(Audit[[#This Row],[Times p Drawn - With Replacement]]&gt;0, IF(Audit[[#This Row],[Canceled Differences]]&lt;0, Audit[[#This Row],[Max Differences]]+ABS(Audit[[#This Row],[Canceled Differences]]), Audit[[#This Row],[Max Differences]]), 0)</f>
        <v>0</v>
      </c>
      <c r="AB1595" s="111">
        <f>'Sampling Data'!P1588</f>
        <v>1.6130593283220958E-4</v>
      </c>
      <c r="AC1595" s="111">
        <f>IF(
      SUM(Audit[[#This Row],[Audit Losing Candidate]:[Audit Candidate 6]])
      &lt;&gt;0,
      (Audit[[#This Row],[Winning Candidate]]-Audit[[#This Row],[Losing Candidate]]-(Audit[[#This Row],[Audit Winning Candidate]]-Audit[[#This Row],[Audit Losing Candidate]]))/(Audit[[#Totals],[Winning Candidate]]-Audit[[#Totals],[Losing Candidate]]),
      0
)</f>
        <v>0</v>
      </c>
      <c r="AD15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5" s="111">
        <f>IF(Audit[[#This Row],[Max Relative Error (ep)]] = 0, 0, Audit[[#This Row],[Max Relative Error (ep)]]/Audit[[#This Row],[Error Bound (up) - Max. possible relative overstatement]])</f>
        <v>0</v>
      </c>
      <c r="AJ15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95" s="111">
        <f t="shared" si="24"/>
        <v>1</v>
      </c>
      <c r="AL1595" s="111">
        <f>PRODUCT($AK$5:AK1595)</f>
        <v>8.962823818226312E-2</v>
      </c>
      <c r="AM1595" s="109">
        <f>1 - [K-M P Value]</f>
        <v>0.91037176181773694</v>
      </c>
      <c r="AN1595" s="111" t="str">
        <f>IF(Audit[[#This Row],[K-M P Value]]&gt;1-'General Info'!$B$16,"Continue", "Stop")</f>
        <v>Stop</v>
      </c>
      <c r="AO1595" s="110" t="b">
        <f>IF(Audit[[#This Row],[Status - Continue or stop audit]] = "Continue", TRUE, IF(AN1594 = "Continue", TRUE, FALSE))</f>
        <v>0</v>
      </c>
      <c r="AP1595" s="110"/>
    </row>
    <row r="1596" spans="1:42" ht="15" hidden="1" customHeight="1">
      <c r="A1596" s="111" t="str">
        <f>'Sampling Data'!W1589</f>
        <v/>
      </c>
      <c r="B1596" s="112" t="str">
        <f>'Sampling Data'!A1589</f>
        <v>OAKWOOD -03-B</v>
      </c>
      <c r="C1596" s="112">
        <f>'Sampling Data'!B1589</f>
        <v>1</v>
      </c>
      <c r="D1596" s="112">
        <f>'Sampling Data'!C1589</f>
        <v>0</v>
      </c>
      <c r="E1596" s="113">
        <f>'Sampling Data'!D1589</f>
        <v>0</v>
      </c>
      <c r="F1596" s="113">
        <f>'Sampling Data'!E1589</f>
        <v>1</v>
      </c>
      <c r="G1596" s="113">
        <f>'Sampling Data'!F1589</f>
        <v>0</v>
      </c>
      <c r="H1596" s="113">
        <f>'Sampling Data'!G1589</f>
        <v>0</v>
      </c>
      <c r="I1596" s="112">
        <f>'Sampling Data'!H1589</f>
        <v>0</v>
      </c>
      <c r="J1596" s="112">
        <f>'Sampling Data'!I1589</f>
        <v>0</v>
      </c>
      <c r="K1596" s="112">
        <f>'Sampling Data'!J1589</f>
        <v>2</v>
      </c>
      <c r="L1596" s="111">
        <f>'Sampling Data'!X1589</f>
        <v>0</v>
      </c>
      <c r="M1596" s="114"/>
      <c r="N1596" s="114"/>
      <c r="O1596" s="115"/>
      <c r="P1596" s="115"/>
      <c r="Q1596" s="116"/>
      <c r="R1596" s="116"/>
      <c r="S1596" s="111">
        <f>Audit[[#This Row],[Audit Losing Candidate]]-Audit[[#This Row],[Losing Candidate]]</f>
        <v>-1</v>
      </c>
      <c r="T1596" s="111">
        <f>Audit[[#This Row],[Audit Winning Candidate]]-Audit[[#This Row],[Winning Candidate]]</f>
        <v>0</v>
      </c>
      <c r="U1596" s="111">
        <f>Audit[[#This Row],[Audit Candidate 3]]-Audit[[#This Row],[Candidate 3]]</f>
        <v>0</v>
      </c>
      <c r="V1596" s="111">
        <f>Audit[[#This Row],[Audit Candidate 4]]-Audit[[#This Row],[Candidate 4]]</f>
        <v>-1</v>
      </c>
      <c r="W1596" s="111">
        <f>Audit[[#This Row],[Audit Candidate 5]]-Audit[[#This Row],[Candidate 5]]</f>
        <v>0</v>
      </c>
      <c r="X1596" s="111">
        <f>Audit[[#This Row],[Audit Candidate 6]]-Audit[[#This Row],[Candidate 6]]</f>
        <v>0</v>
      </c>
      <c r="Y1596" s="111">
        <f>SUMIF(Audit[[#This Row],[Difference Loser]:[Difference Candidate 6]], "&gt;0")</f>
        <v>0</v>
      </c>
      <c r="Z1596" s="111">
        <f>SUM(Audit[[#This Row],[Difference Loser]:[Difference Candidate 6]])</f>
        <v>-2</v>
      </c>
      <c r="AA1596" s="111">
        <f>IF(Audit[[#This Row],[Times p Drawn - With Replacement]]&gt;0, IF(Audit[[#This Row],[Canceled Differences]]&lt;0, Audit[[#This Row],[Max Differences]]+ABS(Audit[[#This Row],[Canceled Differences]]), Audit[[#This Row],[Max Differences]]), 0)</f>
        <v>0</v>
      </c>
      <c r="AB1596" s="111">
        <f>'Sampling Data'!P1589</f>
        <v>6.4522373132883833E-5</v>
      </c>
      <c r="AC1596" s="111">
        <f>IF(
      SUM(Audit[[#This Row],[Audit Losing Candidate]:[Audit Candidate 6]])
      &lt;&gt;0,
      (Audit[[#This Row],[Winning Candidate]]-Audit[[#This Row],[Losing Candidate]]-(Audit[[#This Row],[Audit Winning Candidate]]-Audit[[#This Row],[Audit Losing Candidate]]))/(Audit[[#Totals],[Winning Candidate]]-Audit[[#Totals],[Losing Candidate]]),
      0
)</f>
        <v>0</v>
      </c>
      <c r="AD15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6" s="111">
        <f>IF(Audit[[#This Row],[Max Relative Error (ep)]] = 0, 0, Audit[[#This Row],[Max Relative Error (ep)]]/Audit[[#This Row],[Error Bound (up) - Max. possible relative overstatement]])</f>
        <v>0</v>
      </c>
      <c r="AJ15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96" s="111">
        <f t="shared" si="24"/>
        <v>1</v>
      </c>
      <c r="AL1596" s="111">
        <f>PRODUCT($AK$5:AK1596)</f>
        <v>8.962823818226312E-2</v>
      </c>
      <c r="AM1596" s="109">
        <f>1 - [K-M P Value]</f>
        <v>0.91037176181773694</v>
      </c>
      <c r="AN1596" s="111" t="str">
        <f>IF(Audit[[#This Row],[K-M P Value]]&gt;1-'General Info'!$B$16,"Continue", "Stop")</f>
        <v>Stop</v>
      </c>
      <c r="AO1596" s="110" t="b">
        <f>IF(Audit[[#This Row],[Status - Continue or stop audit]] = "Continue", TRUE, IF(AN1595 = "Continue", TRUE, FALSE))</f>
        <v>0</v>
      </c>
      <c r="AP1596" s="110"/>
    </row>
    <row r="1597" spans="1:42" ht="15" hidden="1" customHeight="1">
      <c r="A1597" s="111" t="str">
        <f>'Sampling Data'!W1590</f>
        <v/>
      </c>
      <c r="B1597" s="112" t="str">
        <f>'Sampling Data'!A1590</f>
        <v>OAKWOOD -03-B - ABS</v>
      </c>
      <c r="C1597" s="112">
        <f>'Sampling Data'!B1590</f>
        <v>0</v>
      </c>
      <c r="D1597" s="112">
        <f>'Sampling Data'!C1590</f>
        <v>0</v>
      </c>
      <c r="E1597" s="113">
        <f>'Sampling Data'!D1590</f>
        <v>0</v>
      </c>
      <c r="F1597" s="113">
        <f>'Sampling Data'!E1590</f>
        <v>0</v>
      </c>
      <c r="G1597" s="113">
        <f>'Sampling Data'!F1590</f>
        <v>0</v>
      </c>
      <c r="H1597" s="113">
        <f>'Sampling Data'!G1590</f>
        <v>0</v>
      </c>
      <c r="I1597" s="112">
        <f>'Sampling Data'!H1590</f>
        <v>0</v>
      </c>
      <c r="J1597" s="112">
        <f>'Sampling Data'!I1590</f>
        <v>0</v>
      </c>
      <c r="K1597" s="112">
        <f>'Sampling Data'!J1590</f>
        <v>0</v>
      </c>
      <c r="L1597" s="111">
        <f>'Sampling Data'!X1590</f>
        <v>0</v>
      </c>
      <c r="M1597" s="114"/>
      <c r="N1597" s="114"/>
      <c r="O1597" s="115"/>
      <c r="P1597" s="115"/>
      <c r="Q1597" s="116"/>
      <c r="R1597" s="116"/>
      <c r="S1597" s="111">
        <f>Audit[[#This Row],[Audit Losing Candidate]]-Audit[[#This Row],[Losing Candidate]]</f>
        <v>0</v>
      </c>
      <c r="T1597" s="111">
        <f>Audit[[#This Row],[Audit Winning Candidate]]-Audit[[#This Row],[Winning Candidate]]</f>
        <v>0</v>
      </c>
      <c r="U1597" s="111">
        <f>Audit[[#This Row],[Audit Candidate 3]]-Audit[[#This Row],[Candidate 3]]</f>
        <v>0</v>
      </c>
      <c r="V1597" s="111">
        <f>Audit[[#This Row],[Audit Candidate 4]]-Audit[[#This Row],[Candidate 4]]</f>
        <v>0</v>
      </c>
      <c r="W1597" s="111">
        <f>Audit[[#This Row],[Audit Candidate 5]]-Audit[[#This Row],[Candidate 5]]</f>
        <v>0</v>
      </c>
      <c r="X1597" s="111">
        <f>Audit[[#This Row],[Audit Candidate 6]]-Audit[[#This Row],[Candidate 6]]</f>
        <v>0</v>
      </c>
      <c r="Y1597" s="111">
        <f>SUMIF(Audit[[#This Row],[Difference Loser]:[Difference Candidate 6]], "&gt;0")</f>
        <v>0</v>
      </c>
      <c r="Z1597" s="111">
        <f>SUM(Audit[[#This Row],[Difference Loser]:[Difference Candidate 6]])</f>
        <v>0</v>
      </c>
      <c r="AA1597" s="111">
        <f>IF(Audit[[#This Row],[Times p Drawn - With Replacement]]&gt;0, IF(Audit[[#This Row],[Canceled Differences]]&lt;0, Audit[[#This Row],[Max Differences]]+ABS(Audit[[#This Row],[Canceled Differences]]), Audit[[#This Row],[Max Differences]]), 0)</f>
        <v>0</v>
      </c>
      <c r="AB1597" s="111">
        <f>'Sampling Data'!P1590</f>
        <v>0</v>
      </c>
      <c r="AC1597" s="111">
        <f>IF(
      SUM(Audit[[#This Row],[Audit Losing Candidate]:[Audit Candidate 6]])
      &lt;&gt;0,
      (Audit[[#This Row],[Winning Candidate]]-Audit[[#This Row],[Losing Candidate]]-(Audit[[#This Row],[Audit Winning Candidate]]-Audit[[#This Row],[Audit Losing Candidate]]))/(Audit[[#Totals],[Winning Candidate]]-Audit[[#Totals],[Losing Candidate]]),
      0
)</f>
        <v>0</v>
      </c>
      <c r="AD15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7" s="111">
        <f>IF(Audit[[#This Row],[Max Relative Error (ep)]] = 0, 0, Audit[[#This Row],[Max Relative Error (ep)]]/Audit[[#This Row],[Error Bound (up) - Max. possible relative overstatement]])</f>
        <v>0</v>
      </c>
      <c r="AJ15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97" s="111">
        <f t="shared" si="24"/>
        <v>1</v>
      </c>
      <c r="AL1597" s="111">
        <f>PRODUCT($AK$5:AK1597)</f>
        <v>8.962823818226312E-2</v>
      </c>
      <c r="AM1597" s="109">
        <f>1 - [K-M P Value]</f>
        <v>0.91037176181773694</v>
      </c>
      <c r="AN1597" s="111" t="str">
        <f>IF(Audit[[#This Row],[K-M P Value]]&gt;1-'General Info'!$B$16,"Continue", "Stop")</f>
        <v>Stop</v>
      </c>
      <c r="AO1597" s="110" t="b">
        <f>IF(Audit[[#This Row],[Status - Continue or stop audit]] = "Continue", TRUE, IF(AN1596 = "Continue", TRUE, FALSE))</f>
        <v>0</v>
      </c>
      <c r="AP1597" s="110"/>
    </row>
    <row r="1598" spans="1:42" ht="15" hidden="1" customHeight="1">
      <c r="A1598" s="111" t="str">
        <f>'Sampling Data'!W1591</f>
        <v/>
      </c>
      <c r="B1598" s="112" t="str">
        <f>'Sampling Data'!A1591</f>
        <v>OAKWOOD -04-A</v>
      </c>
      <c r="C1598" s="112">
        <f>'Sampling Data'!B1591</f>
        <v>10</v>
      </c>
      <c r="D1598" s="112">
        <f>'Sampling Data'!C1591</f>
        <v>6</v>
      </c>
      <c r="E1598" s="113">
        <f>'Sampling Data'!D1591</f>
        <v>4</v>
      </c>
      <c r="F1598" s="113">
        <f>'Sampling Data'!E1591</f>
        <v>2</v>
      </c>
      <c r="G1598" s="113">
        <f>'Sampling Data'!F1591</f>
        <v>0</v>
      </c>
      <c r="H1598" s="113">
        <f>'Sampling Data'!G1591</f>
        <v>0</v>
      </c>
      <c r="I1598" s="112">
        <f>'Sampling Data'!H1591</f>
        <v>0</v>
      </c>
      <c r="J1598" s="112">
        <f>'Sampling Data'!I1591</f>
        <v>0</v>
      </c>
      <c r="K1598" s="112">
        <f>'Sampling Data'!J1591</f>
        <v>22</v>
      </c>
      <c r="L1598" s="111">
        <f>'Sampling Data'!X1591</f>
        <v>0</v>
      </c>
      <c r="M1598" s="114"/>
      <c r="N1598" s="114"/>
      <c r="O1598" s="115"/>
      <c r="P1598" s="115"/>
      <c r="Q1598" s="116"/>
      <c r="R1598" s="116"/>
      <c r="S1598" s="111">
        <f>Audit[[#This Row],[Audit Losing Candidate]]-Audit[[#This Row],[Losing Candidate]]</f>
        <v>-10</v>
      </c>
      <c r="T1598" s="111">
        <f>Audit[[#This Row],[Audit Winning Candidate]]-Audit[[#This Row],[Winning Candidate]]</f>
        <v>-6</v>
      </c>
      <c r="U1598" s="111">
        <f>Audit[[#This Row],[Audit Candidate 3]]-Audit[[#This Row],[Candidate 3]]</f>
        <v>-4</v>
      </c>
      <c r="V1598" s="111">
        <f>Audit[[#This Row],[Audit Candidate 4]]-Audit[[#This Row],[Candidate 4]]</f>
        <v>-2</v>
      </c>
      <c r="W1598" s="111">
        <f>Audit[[#This Row],[Audit Candidate 5]]-Audit[[#This Row],[Candidate 5]]</f>
        <v>0</v>
      </c>
      <c r="X1598" s="111">
        <f>Audit[[#This Row],[Audit Candidate 6]]-Audit[[#This Row],[Candidate 6]]</f>
        <v>0</v>
      </c>
      <c r="Y1598" s="111">
        <f>SUMIF(Audit[[#This Row],[Difference Loser]:[Difference Candidate 6]], "&gt;0")</f>
        <v>0</v>
      </c>
      <c r="Z1598" s="111">
        <f>SUM(Audit[[#This Row],[Difference Loser]:[Difference Candidate 6]])</f>
        <v>-22</v>
      </c>
      <c r="AA1598" s="111">
        <f>IF(Audit[[#This Row],[Times p Drawn - With Replacement]]&gt;0, IF(Audit[[#This Row],[Canceled Differences]]&lt;0, Audit[[#This Row],[Max Differences]]+ABS(Audit[[#This Row],[Canceled Differences]]), Audit[[#This Row],[Max Differences]]), 0)</f>
        <v>0</v>
      </c>
      <c r="AB1598" s="111">
        <f>'Sampling Data'!P1591</f>
        <v>1.1024007839294464E-3</v>
      </c>
      <c r="AC1598" s="111">
        <f>IF(
      SUM(Audit[[#This Row],[Audit Losing Candidate]:[Audit Candidate 6]])
      &lt;&gt;0,
      (Audit[[#This Row],[Winning Candidate]]-Audit[[#This Row],[Losing Candidate]]-(Audit[[#This Row],[Audit Winning Candidate]]-Audit[[#This Row],[Audit Losing Candidate]]))/(Audit[[#Totals],[Winning Candidate]]-Audit[[#Totals],[Losing Candidate]]),
      0
)</f>
        <v>0</v>
      </c>
      <c r="AD15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8" s="111">
        <f>IF(Audit[[#This Row],[Max Relative Error (ep)]] = 0, 0, Audit[[#This Row],[Max Relative Error (ep)]]/Audit[[#This Row],[Error Bound (up) - Max. possible relative overstatement]])</f>
        <v>0</v>
      </c>
      <c r="AJ15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98" s="111">
        <f t="shared" si="24"/>
        <v>1</v>
      </c>
      <c r="AL1598" s="111">
        <f>PRODUCT($AK$5:AK1598)</f>
        <v>8.962823818226312E-2</v>
      </c>
      <c r="AM1598" s="109">
        <f>1 - [K-M P Value]</f>
        <v>0.91037176181773694</v>
      </c>
      <c r="AN1598" s="111" t="str">
        <f>IF(Audit[[#This Row],[K-M P Value]]&gt;1-'General Info'!$B$16,"Continue", "Stop")</f>
        <v>Stop</v>
      </c>
      <c r="AO1598" s="110" t="b">
        <f>IF(Audit[[#This Row],[Status - Continue or stop audit]] = "Continue", TRUE, IF(AN1597 = "Continue", TRUE, FALSE))</f>
        <v>0</v>
      </c>
      <c r="AP1598" s="110"/>
    </row>
    <row r="1599" spans="1:42" ht="15" hidden="1" customHeight="1">
      <c r="A1599" s="111" t="str">
        <f>'Sampling Data'!W1592</f>
        <v/>
      </c>
      <c r="B1599" s="112" t="str">
        <f>'Sampling Data'!A1592</f>
        <v>OAKWOOD -04-A - ABS</v>
      </c>
      <c r="C1599" s="112">
        <f>'Sampling Data'!B1592</f>
        <v>5</v>
      </c>
      <c r="D1599" s="112">
        <f>'Sampling Data'!C1592</f>
        <v>4</v>
      </c>
      <c r="E1599" s="113">
        <f>'Sampling Data'!D1592</f>
        <v>3</v>
      </c>
      <c r="F1599" s="113">
        <f>'Sampling Data'!E1592</f>
        <v>4</v>
      </c>
      <c r="G1599" s="113">
        <f>'Sampling Data'!F1592</f>
        <v>1</v>
      </c>
      <c r="H1599" s="113">
        <f>'Sampling Data'!G1592</f>
        <v>0</v>
      </c>
      <c r="I1599" s="112">
        <f>'Sampling Data'!H1592</f>
        <v>0</v>
      </c>
      <c r="J1599" s="112">
        <f>'Sampling Data'!I1592</f>
        <v>0</v>
      </c>
      <c r="K1599" s="112">
        <f>'Sampling Data'!J1592</f>
        <v>17</v>
      </c>
      <c r="L1599" s="111">
        <f>'Sampling Data'!X1592</f>
        <v>0</v>
      </c>
      <c r="M1599" s="114"/>
      <c r="N1599" s="114"/>
      <c r="O1599" s="115"/>
      <c r="P1599" s="115"/>
      <c r="Q1599" s="116"/>
      <c r="R1599" s="116"/>
      <c r="S1599" s="111">
        <f>Audit[[#This Row],[Audit Losing Candidate]]-Audit[[#This Row],[Losing Candidate]]</f>
        <v>-5</v>
      </c>
      <c r="T1599" s="111">
        <f>Audit[[#This Row],[Audit Winning Candidate]]-Audit[[#This Row],[Winning Candidate]]</f>
        <v>-4</v>
      </c>
      <c r="U1599" s="111">
        <f>Audit[[#This Row],[Audit Candidate 3]]-Audit[[#This Row],[Candidate 3]]</f>
        <v>-3</v>
      </c>
      <c r="V1599" s="111">
        <f>Audit[[#This Row],[Audit Candidate 4]]-Audit[[#This Row],[Candidate 4]]</f>
        <v>-4</v>
      </c>
      <c r="W1599" s="111">
        <f>Audit[[#This Row],[Audit Candidate 5]]-Audit[[#This Row],[Candidate 5]]</f>
        <v>-1</v>
      </c>
      <c r="X1599" s="111">
        <f>Audit[[#This Row],[Audit Candidate 6]]-Audit[[#This Row],[Candidate 6]]</f>
        <v>0</v>
      </c>
      <c r="Y1599" s="111">
        <f>SUMIF(Audit[[#This Row],[Difference Loser]:[Difference Candidate 6]], "&gt;0")</f>
        <v>0</v>
      </c>
      <c r="Z1599" s="111">
        <f>SUM(Audit[[#This Row],[Difference Loser]:[Difference Candidate 6]])</f>
        <v>-17</v>
      </c>
      <c r="AA1599" s="111">
        <f>IF(Audit[[#This Row],[Times p Drawn - With Replacement]]&gt;0, IF(Audit[[#This Row],[Canceled Differences]]&lt;0, Audit[[#This Row],[Max Differences]]+ABS(Audit[[#This Row],[Canceled Differences]]), Audit[[#This Row],[Max Differences]]), 0)</f>
        <v>0</v>
      </c>
      <c r="AB1599" s="111">
        <f>'Sampling Data'!P1592</f>
        <v>9.7991180793728563E-4</v>
      </c>
      <c r="AC1599" s="111">
        <f>IF(
      SUM(Audit[[#This Row],[Audit Losing Candidate]:[Audit Candidate 6]])
      &lt;&gt;0,
      (Audit[[#This Row],[Winning Candidate]]-Audit[[#This Row],[Losing Candidate]]-(Audit[[#This Row],[Audit Winning Candidate]]-Audit[[#This Row],[Audit Losing Candidate]]))/(Audit[[#Totals],[Winning Candidate]]-Audit[[#Totals],[Losing Candidate]]),
      0
)</f>
        <v>0</v>
      </c>
      <c r="AD15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9" s="111">
        <f>IF(Audit[[#This Row],[Max Relative Error (ep)]] = 0, 0, Audit[[#This Row],[Max Relative Error (ep)]]/Audit[[#This Row],[Error Bound (up) - Max. possible relative overstatement]])</f>
        <v>0</v>
      </c>
      <c r="AJ15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599" s="111">
        <f t="shared" si="24"/>
        <v>1</v>
      </c>
      <c r="AL1599" s="111">
        <f>PRODUCT($AK$5:AK1599)</f>
        <v>8.962823818226312E-2</v>
      </c>
      <c r="AM1599" s="109">
        <f>1 - [K-M P Value]</f>
        <v>0.91037176181773694</v>
      </c>
      <c r="AN1599" s="111" t="str">
        <f>IF(Audit[[#This Row],[K-M P Value]]&gt;1-'General Info'!$B$16,"Continue", "Stop")</f>
        <v>Stop</v>
      </c>
      <c r="AO1599" s="110" t="b">
        <f>IF(Audit[[#This Row],[Status - Continue or stop audit]] = "Continue", TRUE, IF(AN1598 = "Continue", TRUE, FALSE))</f>
        <v>0</v>
      </c>
      <c r="AP1599" s="110"/>
    </row>
    <row r="1600" spans="1:42" ht="15" hidden="1" customHeight="1">
      <c r="A1600" s="111" t="str">
        <f>'Sampling Data'!W1593</f>
        <v/>
      </c>
      <c r="B1600" s="112" t="str">
        <f>'Sampling Data'!A1593</f>
        <v>OAKWOOD -04-B</v>
      </c>
      <c r="C1600" s="112">
        <f>'Sampling Data'!B1593</f>
        <v>0</v>
      </c>
      <c r="D1600" s="112">
        <f>'Sampling Data'!C1593</f>
        <v>0</v>
      </c>
      <c r="E1600" s="113">
        <f>'Sampling Data'!D1593</f>
        <v>0</v>
      </c>
      <c r="F1600" s="113">
        <f>'Sampling Data'!E1593</f>
        <v>0</v>
      </c>
      <c r="G1600" s="113">
        <f>'Sampling Data'!F1593</f>
        <v>0</v>
      </c>
      <c r="H1600" s="113">
        <f>'Sampling Data'!G1593</f>
        <v>0</v>
      </c>
      <c r="I1600" s="112">
        <f>'Sampling Data'!H1593</f>
        <v>0</v>
      </c>
      <c r="J1600" s="112">
        <f>'Sampling Data'!I1593</f>
        <v>0</v>
      </c>
      <c r="K1600" s="112">
        <f>'Sampling Data'!J1593</f>
        <v>0</v>
      </c>
      <c r="L1600" s="111">
        <f>'Sampling Data'!X1593</f>
        <v>0</v>
      </c>
      <c r="M1600" s="114"/>
      <c r="N1600" s="114"/>
      <c r="O1600" s="115"/>
      <c r="P1600" s="115"/>
      <c r="Q1600" s="116"/>
      <c r="R1600" s="116"/>
      <c r="S1600" s="111">
        <f>Audit[[#This Row],[Audit Losing Candidate]]-Audit[[#This Row],[Losing Candidate]]</f>
        <v>0</v>
      </c>
      <c r="T1600" s="111">
        <f>Audit[[#This Row],[Audit Winning Candidate]]-Audit[[#This Row],[Winning Candidate]]</f>
        <v>0</v>
      </c>
      <c r="U1600" s="111">
        <f>Audit[[#This Row],[Audit Candidate 3]]-Audit[[#This Row],[Candidate 3]]</f>
        <v>0</v>
      </c>
      <c r="V1600" s="111">
        <f>Audit[[#This Row],[Audit Candidate 4]]-Audit[[#This Row],[Candidate 4]]</f>
        <v>0</v>
      </c>
      <c r="W1600" s="111">
        <f>Audit[[#This Row],[Audit Candidate 5]]-Audit[[#This Row],[Candidate 5]]</f>
        <v>0</v>
      </c>
      <c r="X1600" s="111">
        <f>Audit[[#This Row],[Audit Candidate 6]]-Audit[[#This Row],[Candidate 6]]</f>
        <v>0</v>
      </c>
      <c r="Y1600" s="111">
        <f>SUMIF(Audit[[#This Row],[Difference Loser]:[Difference Candidate 6]], "&gt;0")</f>
        <v>0</v>
      </c>
      <c r="Z1600" s="111">
        <f>SUM(Audit[[#This Row],[Difference Loser]:[Difference Candidate 6]])</f>
        <v>0</v>
      </c>
      <c r="AA1600" s="111">
        <f>IF(Audit[[#This Row],[Times p Drawn - With Replacement]]&gt;0, IF(Audit[[#This Row],[Canceled Differences]]&lt;0, Audit[[#This Row],[Max Differences]]+ABS(Audit[[#This Row],[Canceled Differences]]), Audit[[#This Row],[Max Differences]]), 0)</f>
        <v>0</v>
      </c>
      <c r="AB1600" s="111">
        <f>'Sampling Data'!P1593</f>
        <v>0</v>
      </c>
      <c r="AC1600" s="111">
        <f>IF(
      SUM(Audit[[#This Row],[Audit Losing Candidate]:[Audit Candidate 6]])
      &lt;&gt;0,
      (Audit[[#This Row],[Winning Candidate]]-Audit[[#This Row],[Losing Candidate]]-(Audit[[#This Row],[Audit Winning Candidate]]-Audit[[#This Row],[Audit Losing Candidate]]))/(Audit[[#Totals],[Winning Candidate]]-Audit[[#Totals],[Losing Candidate]]),
      0
)</f>
        <v>0</v>
      </c>
      <c r="AD16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0" s="111">
        <f>IF(Audit[[#This Row],[Max Relative Error (ep)]] = 0, 0, Audit[[#This Row],[Max Relative Error (ep)]]/Audit[[#This Row],[Error Bound (up) - Max. possible relative overstatement]])</f>
        <v>0</v>
      </c>
      <c r="AJ16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00" s="111">
        <f t="shared" si="24"/>
        <v>1</v>
      </c>
      <c r="AL1600" s="111">
        <f>PRODUCT($AK$5:AK1600)</f>
        <v>8.962823818226312E-2</v>
      </c>
      <c r="AM1600" s="109">
        <f>1 - [K-M P Value]</f>
        <v>0.91037176181773694</v>
      </c>
      <c r="AN1600" s="111" t="str">
        <f>IF(Audit[[#This Row],[K-M P Value]]&gt;1-'General Info'!$B$16,"Continue", "Stop")</f>
        <v>Stop</v>
      </c>
      <c r="AO1600" s="110" t="b">
        <f>IF(Audit[[#This Row],[Status - Continue or stop audit]] = "Continue", TRUE, IF(AN1599 = "Continue", TRUE, FALSE))</f>
        <v>0</v>
      </c>
      <c r="AP1600" s="110"/>
    </row>
    <row r="1601" spans="1:42" ht="15" hidden="1" customHeight="1">
      <c r="A1601" s="111" t="str">
        <f>'Sampling Data'!W1594</f>
        <v/>
      </c>
      <c r="B1601" s="112" t="str">
        <f>'Sampling Data'!A1594</f>
        <v>OAKWOOD -04-B - ABS</v>
      </c>
      <c r="C1601" s="112">
        <f>'Sampling Data'!B1594</f>
        <v>0</v>
      </c>
      <c r="D1601" s="112">
        <f>'Sampling Data'!C1594</f>
        <v>0</v>
      </c>
      <c r="E1601" s="113">
        <f>'Sampling Data'!D1594</f>
        <v>0</v>
      </c>
      <c r="F1601" s="113">
        <f>'Sampling Data'!E1594</f>
        <v>0</v>
      </c>
      <c r="G1601" s="113">
        <f>'Sampling Data'!F1594</f>
        <v>0</v>
      </c>
      <c r="H1601" s="113">
        <f>'Sampling Data'!G1594</f>
        <v>0</v>
      </c>
      <c r="I1601" s="112">
        <f>'Sampling Data'!H1594</f>
        <v>0</v>
      </c>
      <c r="J1601" s="112">
        <f>'Sampling Data'!I1594</f>
        <v>0</v>
      </c>
      <c r="K1601" s="112">
        <f>'Sampling Data'!J1594</f>
        <v>0</v>
      </c>
      <c r="L1601" s="111">
        <f>'Sampling Data'!X1594</f>
        <v>0</v>
      </c>
      <c r="M1601" s="114"/>
      <c r="N1601" s="114"/>
      <c r="O1601" s="115"/>
      <c r="P1601" s="115"/>
      <c r="Q1601" s="116"/>
      <c r="R1601" s="116"/>
      <c r="S1601" s="111">
        <f>Audit[[#This Row],[Audit Losing Candidate]]-Audit[[#This Row],[Losing Candidate]]</f>
        <v>0</v>
      </c>
      <c r="T1601" s="111">
        <f>Audit[[#This Row],[Audit Winning Candidate]]-Audit[[#This Row],[Winning Candidate]]</f>
        <v>0</v>
      </c>
      <c r="U1601" s="111">
        <f>Audit[[#This Row],[Audit Candidate 3]]-Audit[[#This Row],[Candidate 3]]</f>
        <v>0</v>
      </c>
      <c r="V1601" s="111">
        <f>Audit[[#This Row],[Audit Candidate 4]]-Audit[[#This Row],[Candidate 4]]</f>
        <v>0</v>
      </c>
      <c r="W1601" s="111">
        <f>Audit[[#This Row],[Audit Candidate 5]]-Audit[[#This Row],[Candidate 5]]</f>
        <v>0</v>
      </c>
      <c r="X1601" s="111">
        <f>Audit[[#This Row],[Audit Candidate 6]]-Audit[[#This Row],[Candidate 6]]</f>
        <v>0</v>
      </c>
      <c r="Y1601" s="111">
        <f>SUMIF(Audit[[#This Row],[Difference Loser]:[Difference Candidate 6]], "&gt;0")</f>
        <v>0</v>
      </c>
      <c r="Z1601" s="111">
        <f>SUM(Audit[[#This Row],[Difference Loser]:[Difference Candidate 6]])</f>
        <v>0</v>
      </c>
      <c r="AA1601" s="111">
        <f>IF(Audit[[#This Row],[Times p Drawn - With Replacement]]&gt;0, IF(Audit[[#This Row],[Canceled Differences]]&lt;0, Audit[[#This Row],[Max Differences]]+ABS(Audit[[#This Row],[Canceled Differences]]), Audit[[#This Row],[Max Differences]]), 0)</f>
        <v>0</v>
      </c>
      <c r="AB1601" s="111">
        <f>'Sampling Data'!P1594</f>
        <v>0</v>
      </c>
      <c r="AC1601" s="111">
        <f>IF(
      SUM(Audit[[#This Row],[Audit Losing Candidate]:[Audit Candidate 6]])
      &lt;&gt;0,
      (Audit[[#This Row],[Winning Candidate]]-Audit[[#This Row],[Losing Candidate]]-(Audit[[#This Row],[Audit Winning Candidate]]-Audit[[#This Row],[Audit Losing Candidate]]))/(Audit[[#Totals],[Winning Candidate]]-Audit[[#Totals],[Losing Candidate]]),
      0
)</f>
        <v>0</v>
      </c>
      <c r="AD16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1" s="111">
        <f>IF(Audit[[#This Row],[Max Relative Error (ep)]] = 0, 0, Audit[[#This Row],[Max Relative Error (ep)]]/Audit[[#This Row],[Error Bound (up) - Max. possible relative overstatement]])</f>
        <v>0</v>
      </c>
      <c r="AJ16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01" s="111">
        <f t="shared" si="24"/>
        <v>1</v>
      </c>
      <c r="AL1601" s="111">
        <f>PRODUCT($AK$5:AK1601)</f>
        <v>8.962823818226312E-2</v>
      </c>
      <c r="AM1601" s="109">
        <f>1 - [K-M P Value]</f>
        <v>0.91037176181773694</v>
      </c>
      <c r="AN1601" s="111" t="str">
        <f>IF(Audit[[#This Row],[K-M P Value]]&gt;1-'General Info'!$B$16,"Continue", "Stop")</f>
        <v>Stop</v>
      </c>
      <c r="AO1601" s="110" t="b">
        <f>IF(Audit[[#This Row],[Status - Continue or stop audit]] = "Continue", TRUE, IF(AN1600 = "Continue", TRUE, FALSE))</f>
        <v>0</v>
      </c>
      <c r="AP1601" s="110"/>
    </row>
    <row r="1602" spans="1:42" ht="15" hidden="1" customHeight="1">
      <c r="A1602" s="111" t="str">
        <f>'Sampling Data'!W1595</f>
        <v/>
      </c>
      <c r="B1602" s="112" t="str">
        <f>'Sampling Data'!A1595</f>
        <v>OAKWOOD -05-A</v>
      </c>
      <c r="C1602" s="112">
        <f>'Sampling Data'!B1595</f>
        <v>2</v>
      </c>
      <c r="D1602" s="112">
        <f>'Sampling Data'!C1595</f>
        <v>4</v>
      </c>
      <c r="E1602" s="113">
        <f>'Sampling Data'!D1595</f>
        <v>3</v>
      </c>
      <c r="F1602" s="113">
        <f>'Sampling Data'!E1595</f>
        <v>0</v>
      </c>
      <c r="G1602" s="113">
        <f>'Sampling Data'!F1595</f>
        <v>0</v>
      </c>
      <c r="H1602" s="113">
        <f>'Sampling Data'!G1595</f>
        <v>0</v>
      </c>
      <c r="I1602" s="112">
        <f>'Sampling Data'!H1595</f>
        <v>0</v>
      </c>
      <c r="J1602" s="112">
        <f>'Sampling Data'!I1595</f>
        <v>0</v>
      </c>
      <c r="K1602" s="112">
        <f>'Sampling Data'!J1595</f>
        <v>9</v>
      </c>
      <c r="L1602" s="111">
        <f>'Sampling Data'!X1595</f>
        <v>0</v>
      </c>
      <c r="M1602" s="114"/>
      <c r="N1602" s="114"/>
      <c r="O1602" s="115"/>
      <c r="P1602" s="115"/>
      <c r="Q1602" s="116"/>
      <c r="R1602" s="116"/>
      <c r="S1602" s="111">
        <f>Audit[[#This Row],[Audit Losing Candidate]]-Audit[[#This Row],[Losing Candidate]]</f>
        <v>-2</v>
      </c>
      <c r="T1602" s="111">
        <f>Audit[[#This Row],[Audit Winning Candidate]]-Audit[[#This Row],[Winning Candidate]]</f>
        <v>-4</v>
      </c>
      <c r="U1602" s="111">
        <f>Audit[[#This Row],[Audit Candidate 3]]-Audit[[#This Row],[Candidate 3]]</f>
        <v>-3</v>
      </c>
      <c r="V1602" s="111">
        <f>Audit[[#This Row],[Audit Candidate 4]]-Audit[[#This Row],[Candidate 4]]</f>
        <v>0</v>
      </c>
      <c r="W1602" s="111">
        <f>Audit[[#This Row],[Audit Candidate 5]]-Audit[[#This Row],[Candidate 5]]</f>
        <v>0</v>
      </c>
      <c r="X1602" s="111">
        <f>Audit[[#This Row],[Audit Candidate 6]]-Audit[[#This Row],[Candidate 6]]</f>
        <v>0</v>
      </c>
      <c r="Y1602" s="111">
        <f>SUMIF(Audit[[#This Row],[Difference Loser]:[Difference Candidate 6]], "&gt;0")</f>
        <v>0</v>
      </c>
      <c r="Z1602" s="111">
        <f>SUM(Audit[[#This Row],[Difference Loser]:[Difference Candidate 6]])</f>
        <v>-9</v>
      </c>
      <c r="AA1602" s="111">
        <f>IF(Audit[[#This Row],[Times p Drawn - With Replacement]]&gt;0, IF(Audit[[#This Row],[Canceled Differences]]&lt;0, Audit[[#This Row],[Max Differences]]+ABS(Audit[[#This Row],[Canceled Differences]]), Audit[[#This Row],[Max Differences]]), 0)</f>
        <v>0</v>
      </c>
      <c r="AB1602" s="111">
        <f>'Sampling Data'!P1595</f>
        <v>6.7368936795688392E-4</v>
      </c>
      <c r="AC1602" s="111">
        <f>IF(
      SUM(Audit[[#This Row],[Audit Losing Candidate]:[Audit Candidate 6]])
      &lt;&gt;0,
      (Audit[[#This Row],[Winning Candidate]]-Audit[[#This Row],[Losing Candidate]]-(Audit[[#This Row],[Audit Winning Candidate]]-Audit[[#This Row],[Audit Losing Candidate]]))/(Audit[[#Totals],[Winning Candidate]]-Audit[[#Totals],[Losing Candidate]]),
      0
)</f>
        <v>0</v>
      </c>
      <c r="AD16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2" s="111">
        <f>IF(Audit[[#This Row],[Max Relative Error (ep)]] = 0, 0, Audit[[#This Row],[Max Relative Error (ep)]]/Audit[[#This Row],[Error Bound (up) - Max. possible relative overstatement]])</f>
        <v>0</v>
      </c>
      <c r="AJ16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02" s="111">
        <f t="shared" si="24"/>
        <v>1</v>
      </c>
      <c r="AL1602" s="111">
        <f>PRODUCT($AK$5:AK1602)</f>
        <v>8.962823818226312E-2</v>
      </c>
      <c r="AM1602" s="109">
        <f>1 - [K-M P Value]</f>
        <v>0.91037176181773694</v>
      </c>
      <c r="AN1602" s="111" t="str">
        <f>IF(Audit[[#This Row],[K-M P Value]]&gt;1-'General Info'!$B$16,"Continue", "Stop")</f>
        <v>Stop</v>
      </c>
      <c r="AO1602" s="110" t="b">
        <f>IF(Audit[[#This Row],[Status - Continue or stop audit]] = "Continue", TRUE, IF(AN1601 = "Continue", TRUE, FALSE))</f>
        <v>0</v>
      </c>
      <c r="AP1602" s="110"/>
    </row>
    <row r="1603" spans="1:42" ht="15" hidden="1" customHeight="1">
      <c r="A1603" s="111" t="str">
        <f>'Sampling Data'!W1596</f>
        <v/>
      </c>
      <c r="B1603" s="112" t="str">
        <f>'Sampling Data'!A1596</f>
        <v>OAKWOOD -05-A - ABS</v>
      </c>
      <c r="C1603" s="112">
        <f>'Sampling Data'!B1596</f>
        <v>0</v>
      </c>
      <c r="D1603" s="112">
        <f>'Sampling Data'!C1596</f>
        <v>2</v>
      </c>
      <c r="E1603" s="113">
        <f>'Sampling Data'!D1596</f>
        <v>0</v>
      </c>
      <c r="F1603" s="113">
        <f>'Sampling Data'!E1596</f>
        <v>0</v>
      </c>
      <c r="G1603" s="113">
        <f>'Sampling Data'!F1596</f>
        <v>0</v>
      </c>
      <c r="H1603" s="113">
        <f>'Sampling Data'!G1596</f>
        <v>0</v>
      </c>
      <c r="I1603" s="112">
        <f>'Sampling Data'!H1596</f>
        <v>0</v>
      </c>
      <c r="J1603" s="112">
        <f>'Sampling Data'!I1596</f>
        <v>0</v>
      </c>
      <c r="K1603" s="112">
        <f>'Sampling Data'!J1596</f>
        <v>2</v>
      </c>
      <c r="L1603" s="111">
        <f>'Sampling Data'!X1596</f>
        <v>0</v>
      </c>
      <c r="M1603" s="114"/>
      <c r="N1603" s="114"/>
      <c r="O1603" s="115"/>
      <c r="P1603" s="115"/>
      <c r="Q1603" s="116"/>
      <c r="R1603" s="116"/>
      <c r="S1603" s="111">
        <f>Audit[[#This Row],[Audit Losing Candidate]]-Audit[[#This Row],[Losing Candidate]]</f>
        <v>0</v>
      </c>
      <c r="T1603" s="111">
        <f>Audit[[#This Row],[Audit Winning Candidate]]-Audit[[#This Row],[Winning Candidate]]</f>
        <v>-2</v>
      </c>
      <c r="U1603" s="111">
        <f>Audit[[#This Row],[Audit Candidate 3]]-Audit[[#This Row],[Candidate 3]]</f>
        <v>0</v>
      </c>
      <c r="V1603" s="111">
        <f>Audit[[#This Row],[Audit Candidate 4]]-Audit[[#This Row],[Candidate 4]]</f>
        <v>0</v>
      </c>
      <c r="W1603" s="111">
        <f>Audit[[#This Row],[Audit Candidate 5]]-Audit[[#This Row],[Candidate 5]]</f>
        <v>0</v>
      </c>
      <c r="X1603" s="111">
        <f>Audit[[#This Row],[Audit Candidate 6]]-Audit[[#This Row],[Candidate 6]]</f>
        <v>0</v>
      </c>
      <c r="Y1603" s="111">
        <f>SUMIF(Audit[[#This Row],[Difference Loser]:[Difference Candidate 6]], "&gt;0")</f>
        <v>0</v>
      </c>
      <c r="Z1603" s="111">
        <f>SUM(Audit[[#This Row],[Difference Loser]:[Difference Candidate 6]])</f>
        <v>-2</v>
      </c>
      <c r="AA1603" s="111">
        <f>IF(Audit[[#This Row],[Times p Drawn - With Replacement]]&gt;0, IF(Audit[[#This Row],[Canceled Differences]]&lt;0, Audit[[#This Row],[Max Differences]]+ABS(Audit[[#This Row],[Canceled Differences]]), Audit[[#This Row],[Max Differences]]), 0)</f>
        <v>0</v>
      </c>
      <c r="AB1603" s="111">
        <f>'Sampling Data'!P1596</f>
        <v>2.4497795198432141E-4</v>
      </c>
      <c r="AC1603" s="111">
        <f>IF(
      SUM(Audit[[#This Row],[Audit Losing Candidate]:[Audit Candidate 6]])
      &lt;&gt;0,
      (Audit[[#This Row],[Winning Candidate]]-Audit[[#This Row],[Losing Candidate]]-(Audit[[#This Row],[Audit Winning Candidate]]-Audit[[#This Row],[Audit Losing Candidate]]))/(Audit[[#Totals],[Winning Candidate]]-Audit[[#Totals],[Losing Candidate]]),
      0
)</f>
        <v>0</v>
      </c>
      <c r="AD16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3" s="111">
        <f>IF(Audit[[#This Row],[Max Relative Error (ep)]] = 0, 0, Audit[[#This Row],[Max Relative Error (ep)]]/Audit[[#This Row],[Error Bound (up) - Max. possible relative overstatement]])</f>
        <v>0</v>
      </c>
      <c r="AJ16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03" s="111">
        <f t="shared" si="24"/>
        <v>1</v>
      </c>
      <c r="AL1603" s="111">
        <f>PRODUCT($AK$5:AK1603)</f>
        <v>8.962823818226312E-2</v>
      </c>
      <c r="AM1603" s="109">
        <f>1 - [K-M P Value]</f>
        <v>0.91037176181773694</v>
      </c>
      <c r="AN1603" s="111" t="str">
        <f>IF(Audit[[#This Row],[K-M P Value]]&gt;1-'General Info'!$B$16,"Continue", "Stop")</f>
        <v>Stop</v>
      </c>
      <c r="AO1603" s="110" t="b">
        <f>IF(Audit[[#This Row],[Status - Continue or stop audit]] = "Continue", TRUE, IF(AN1602 = "Continue", TRUE, FALSE))</f>
        <v>0</v>
      </c>
      <c r="AP1603" s="110"/>
    </row>
    <row r="1604" spans="1:42" ht="15" hidden="1" customHeight="1">
      <c r="A1604" s="111" t="str">
        <f>'Sampling Data'!W1597</f>
        <v/>
      </c>
      <c r="B1604" s="112" t="str">
        <f>'Sampling Data'!A1597</f>
        <v>OLMSTED FALLS  -01-A</v>
      </c>
      <c r="C1604" s="112">
        <f>'Sampling Data'!B1597</f>
        <v>13</v>
      </c>
      <c r="D1604" s="112">
        <f>'Sampling Data'!C1597</f>
        <v>20</v>
      </c>
      <c r="E1604" s="113">
        <f>'Sampling Data'!D1597</f>
        <v>7</v>
      </c>
      <c r="F1604" s="113">
        <f>'Sampling Data'!E1597</f>
        <v>8</v>
      </c>
      <c r="G1604" s="113">
        <f>'Sampling Data'!F1597</f>
        <v>1</v>
      </c>
      <c r="H1604" s="113">
        <f>'Sampling Data'!G1597</f>
        <v>0</v>
      </c>
      <c r="I1604" s="112">
        <f>'Sampling Data'!H1597</f>
        <v>0</v>
      </c>
      <c r="J1604" s="112">
        <f>'Sampling Data'!I1597</f>
        <v>2</v>
      </c>
      <c r="K1604" s="112">
        <f>'Sampling Data'!J1597</f>
        <v>51</v>
      </c>
      <c r="L1604" s="111">
        <f>'Sampling Data'!X1597</f>
        <v>0</v>
      </c>
      <c r="M1604" s="114"/>
      <c r="N1604" s="114"/>
      <c r="O1604" s="115"/>
      <c r="P1604" s="115"/>
      <c r="Q1604" s="116"/>
      <c r="R1604" s="116"/>
      <c r="S1604" s="111">
        <f>Audit[[#This Row],[Audit Losing Candidate]]-Audit[[#This Row],[Losing Candidate]]</f>
        <v>-13</v>
      </c>
      <c r="T1604" s="111">
        <f>Audit[[#This Row],[Audit Winning Candidate]]-Audit[[#This Row],[Winning Candidate]]</f>
        <v>-20</v>
      </c>
      <c r="U1604" s="111">
        <f>Audit[[#This Row],[Audit Candidate 3]]-Audit[[#This Row],[Candidate 3]]</f>
        <v>-7</v>
      </c>
      <c r="V1604" s="111">
        <f>Audit[[#This Row],[Audit Candidate 4]]-Audit[[#This Row],[Candidate 4]]</f>
        <v>-8</v>
      </c>
      <c r="W1604" s="111">
        <f>Audit[[#This Row],[Audit Candidate 5]]-Audit[[#This Row],[Candidate 5]]</f>
        <v>-1</v>
      </c>
      <c r="X1604" s="111">
        <f>Audit[[#This Row],[Audit Candidate 6]]-Audit[[#This Row],[Candidate 6]]</f>
        <v>0</v>
      </c>
      <c r="Y1604" s="111">
        <f>SUMIF(Audit[[#This Row],[Difference Loser]:[Difference Candidate 6]], "&gt;0")</f>
        <v>0</v>
      </c>
      <c r="Z1604" s="111">
        <f>SUM(Audit[[#This Row],[Difference Loser]:[Difference Candidate 6]])</f>
        <v>-49</v>
      </c>
      <c r="AA1604" s="111">
        <f>IF(Audit[[#This Row],[Times p Drawn - With Replacement]]&gt;0, IF(Audit[[#This Row],[Canceled Differences]]&lt;0, Audit[[#This Row],[Max Differences]]+ABS(Audit[[#This Row],[Canceled Differences]]), Audit[[#This Row],[Max Differences]]), 0)</f>
        <v>0</v>
      </c>
      <c r="AB1604" s="111">
        <f>'Sampling Data'!P1597</f>
        <v>3.5521803037726605E-3</v>
      </c>
      <c r="AC1604" s="111">
        <f>IF(
      SUM(Audit[[#This Row],[Audit Losing Candidate]:[Audit Candidate 6]])
      &lt;&gt;0,
      (Audit[[#This Row],[Winning Candidate]]-Audit[[#This Row],[Losing Candidate]]-(Audit[[#This Row],[Audit Winning Candidate]]-Audit[[#This Row],[Audit Losing Candidate]]))/(Audit[[#Totals],[Winning Candidate]]-Audit[[#Totals],[Losing Candidate]]),
      0
)</f>
        <v>0</v>
      </c>
      <c r="AD16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4" s="111">
        <f>IF(Audit[[#This Row],[Max Relative Error (ep)]] = 0, 0, Audit[[#This Row],[Max Relative Error (ep)]]/Audit[[#This Row],[Error Bound (up) - Max. possible relative overstatement]])</f>
        <v>0</v>
      </c>
      <c r="AJ16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04" s="111">
        <f t="shared" si="24"/>
        <v>1</v>
      </c>
      <c r="AL1604" s="111">
        <f>PRODUCT($AK$5:AK1604)</f>
        <v>8.962823818226312E-2</v>
      </c>
      <c r="AM1604" s="109">
        <f>1 - [K-M P Value]</f>
        <v>0.91037176181773694</v>
      </c>
      <c r="AN1604" s="111" t="str">
        <f>IF(Audit[[#This Row],[K-M P Value]]&gt;1-'General Info'!$B$16,"Continue", "Stop")</f>
        <v>Stop</v>
      </c>
      <c r="AO1604" s="110" t="b">
        <f>IF(Audit[[#This Row],[Status - Continue or stop audit]] = "Continue", TRUE, IF(AN1603 = "Continue", TRUE, FALSE))</f>
        <v>0</v>
      </c>
      <c r="AP1604" s="110"/>
    </row>
    <row r="1605" spans="1:42" ht="15" hidden="1" customHeight="1">
      <c r="A1605" s="111" t="str">
        <f>'Sampling Data'!W1598</f>
        <v/>
      </c>
      <c r="B1605" s="112" t="str">
        <f>'Sampling Data'!A1598</f>
        <v>OLMSTED FALLS  -01-A - ABS</v>
      </c>
      <c r="C1605" s="112">
        <f>'Sampling Data'!B1598</f>
        <v>7</v>
      </c>
      <c r="D1605" s="112">
        <f>'Sampling Data'!C1598</f>
        <v>13</v>
      </c>
      <c r="E1605" s="113">
        <f>'Sampling Data'!D1598</f>
        <v>2</v>
      </c>
      <c r="F1605" s="113">
        <f>'Sampling Data'!E1598</f>
        <v>2</v>
      </c>
      <c r="G1605" s="113">
        <f>'Sampling Data'!F1598</f>
        <v>0</v>
      </c>
      <c r="H1605" s="113">
        <f>'Sampling Data'!G1598</f>
        <v>0</v>
      </c>
      <c r="I1605" s="112">
        <f>'Sampling Data'!H1598</f>
        <v>0</v>
      </c>
      <c r="J1605" s="112">
        <f>'Sampling Data'!I1598</f>
        <v>1</v>
      </c>
      <c r="K1605" s="112">
        <f>'Sampling Data'!J1598</f>
        <v>25</v>
      </c>
      <c r="L1605" s="111">
        <f>'Sampling Data'!X1598</f>
        <v>0</v>
      </c>
      <c r="M1605" s="114"/>
      <c r="N1605" s="114"/>
      <c r="O1605" s="115"/>
      <c r="P1605" s="115"/>
      <c r="Q1605" s="116"/>
      <c r="R1605" s="116"/>
      <c r="S1605" s="111">
        <f>Audit[[#This Row],[Audit Losing Candidate]]-Audit[[#This Row],[Losing Candidate]]</f>
        <v>-7</v>
      </c>
      <c r="T1605" s="111">
        <f>Audit[[#This Row],[Audit Winning Candidate]]-Audit[[#This Row],[Winning Candidate]]</f>
        <v>-13</v>
      </c>
      <c r="U1605" s="111">
        <f>Audit[[#This Row],[Audit Candidate 3]]-Audit[[#This Row],[Candidate 3]]</f>
        <v>-2</v>
      </c>
      <c r="V1605" s="111">
        <f>Audit[[#This Row],[Audit Candidate 4]]-Audit[[#This Row],[Candidate 4]]</f>
        <v>-2</v>
      </c>
      <c r="W1605" s="111">
        <f>Audit[[#This Row],[Audit Candidate 5]]-Audit[[#This Row],[Candidate 5]]</f>
        <v>0</v>
      </c>
      <c r="X1605" s="111">
        <f>Audit[[#This Row],[Audit Candidate 6]]-Audit[[#This Row],[Candidate 6]]</f>
        <v>0</v>
      </c>
      <c r="Y1605" s="111">
        <f>SUMIF(Audit[[#This Row],[Difference Loser]:[Difference Candidate 6]], "&gt;0")</f>
        <v>0</v>
      </c>
      <c r="Z1605" s="111">
        <f>SUM(Audit[[#This Row],[Difference Loser]:[Difference Candidate 6]])</f>
        <v>-24</v>
      </c>
      <c r="AA1605" s="111">
        <f>IF(Audit[[#This Row],[Times p Drawn - With Replacement]]&gt;0, IF(Audit[[#This Row],[Canceled Differences]]&lt;0, Audit[[#This Row],[Max Differences]]+ABS(Audit[[#This Row],[Canceled Differences]]), Audit[[#This Row],[Max Differences]]), 0)</f>
        <v>0</v>
      </c>
      <c r="AB1605" s="111">
        <f>'Sampling Data'!P1598</f>
        <v>1.8985791278784908E-3</v>
      </c>
      <c r="AC1605" s="111">
        <f>IF(
      SUM(Audit[[#This Row],[Audit Losing Candidate]:[Audit Candidate 6]])
      &lt;&gt;0,
      (Audit[[#This Row],[Winning Candidate]]-Audit[[#This Row],[Losing Candidate]]-(Audit[[#This Row],[Audit Winning Candidate]]-Audit[[#This Row],[Audit Losing Candidate]]))/(Audit[[#Totals],[Winning Candidate]]-Audit[[#Totals],[Losing Candidate]]),
      0
)</f>
        <v>0</v>
      </c>
      <c r="AD16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5" s="111">
        <f>IF(Audit[[#This Row],[Max Relative Error (ep)]] = 0, 0, Audit[[#This Row],[Max Relative Error (ep)]]/Audit[[#This Row],[Error Bound (up) - Max. possible relative overstatement]])</f>
        <v>0</v>
      </c>
      <c r="AJ16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05" s="111">
        <f t="shared" ref="AK1605:AK1668" si="25">IF(ISERR(POWER(AJ1605,L1605)), 0, POWER(AJ1605,L1605))</f>
        <v>1</v>
      </c>
      <c r="AL1605" s="111">
        <f>PRODUCT($AK$5:AK1605)</f>
        <v>8.962823818226312E-2</v>
      </c>
      <c r="AM1605" s="109">
        <f>1 - [K-M P Value]</f>
        <v>0.91037176181773694</v>
      </c>
      <c r="AN1605" s="111" t="str">
        <f>IF(Audit[[#This Row],[K-M P Value]]&gt;1-'General Info'!$B$16,"Continue", "Stop")</f>
        <v>Stop</v>
      </c>
      <c r="AO1605" s="110" t="b">
        <f>IF(Audit[[#This Row],[Status - Continue or stop audit]] = "Continue", TRUE, IF(AN1604 = "Continue", TRUE, FALSE))</f>
        <v>0</v>
      </c>
      <c r="AP1605" s="110"/>
    </row>
    <row r="1606" spans="1:42" ht="15" hidden="1" customHeight="1">
      <c r="A1606" s="111" t="str">
        <f>'Sampling Data'!W1599</f>
        <v/>
      </c>
      <c r="B1606" s="112" t="str">
        <f>'Sampling Data'!A1599</f>
        <v>OLMSTED FALLS  -01-B</v>
      </c>
      <c r="C1606" s="112">
        <f>'Sampling Data'!B1599</f>
        <v>23</v>
      </c>
      <c r="D1606" s="112">
        <f>'Sampling Data'!C1599</f>
        <v>41</v>
      </c>
      <c r="E1606" s="113">
        <f>'Sampling Data'!D1599</f>
        <v>21</v>
      </c>
      <c r="F1606" s="113">
        <f>'Sampling Data'!E1599</f>
        <v>11</v>
      </c>
      <c r="G1606" s="113">
        <f>'Sampling Data'!F1599</f>
        <v>0</v>
      </c>
      <c r="H1606" s="113">
        <f>'Sampling Data'!G1599</f>
        <v>0</v>
      </c>
      <c r="I1606" s="112">
        <f>'Sampling Data'!H1599</f>
        <v>0</v>
      </c>
      <c r="J1606" s="112">
        <f>'Sampling Data'!I1599</f>
        <v>2</v>
      </c>
      <c r="K1606" s="112">
        <f>'Sampling Data'!J1599</f>
        <v>98</v>
      </c>
      <c r="L1606" s="111">
        <f>'Sampling Data'!X1599</f>
        <v>0</v>
      </c>
      <c r="M1606" s="114"/>
      <c r="N1606" s="114"/>
      <c r="O1606" s="115"/>
      <c r="P1606" s="115"/>
      <c r="Q1606" s="116"/>
      <c r="R1606" s="116"/>
      <c r="S1606" s="111">
        <f>Audit[[#This Row],[Audit Losing Candidate]]-Audit[[#This Row],[Losing Candidate]]</f>
        <v>-23</v>
      </c>
      <c r="T1606" s="111">
        <f>Audit[[#This Row],[Audit Winning Candidate]]-Audit[[#This Row],[Winning Candidate]]</f>
        <v>-41</v>
      </c>
      <c r="U1606" s="111">
        <f>Audit[[#This Row],[Audit Candidate 3]]-Audit[[#This Row],[Candidate 3]]</f>
        <v>-21</v>
      </c>
      <c r="V1606" s="111">
        <f>Audit[[#This Row],[Audit Candidate 4]]-Audit[[#This Row],[Candidate 4]]</f>
        <v>-11</v>
      </c>
      <c r="W1606" s="111">
        <f>Audit[[#This Row],[Audit Candidate 5]]-Audit[[#This Row],[Candidate 5]]</f>
        <v>0</v>
      </c>
      <c r="X1606" s="111">
        <f>Audit[[#This Row],[Audit Candidate 6]]-Audit[[#This Row],[Candidate 6]]</f>
        <v>0</v>
      </c>
      <c r="Y1606" s="111">
        <f>SUMIF(Audit[[#This Row],[Difference Loser]:[Difference Candidate 6]], "&gt;0")</f>
        <v>0</v>
      </c>
      <c r="Z1606" s="111">
        <f>SUM(Audit[[#This Row],[Difference Loser]:[Difference Candidate 6]])</f>
        <v>-96</v>
      </c>
      <c r="AA1606" s="111">
        <f>IF(Audit[[#This Row],[Times p Drawn - With Replacement]]&gt;0, IF(Audit[[#This Row],[Canceled Differences]]&lt;0, Audit[[#This Row],[Max Differences]]+ABS(Audit[[#This Row],[Canceled Differences]]), Audit[[#This Row],[Max Differences]]), 0)</f>
        <v>0</v>
      </c>
      <c r="AB1606" s="111">
        <f>'Sampling Data'!P1599</f>
        <v>7.104360607545321E-3</v>
      </c>
      <c r="AC1606" s="111">
        <f>IF(
      SUM(Audit[[#This Row],[Audit Losing Candidate]:[Audit Candidate 6]])
      &lt;&gt;0,
      (Audit[[#This Row],[Winning Candidate]]-Audit[[#This Row],[Losing Candidate]]-(Audit[[#This Row],[Audit Winning Candidate]]-Audit[[#This Row],[Audit Losing Candidate]]))/(Audit[[#Totals],[Winning Candidate]]-Audit[[#Totals],[Losing Candidate]]),
      0
)</f>
        <v>0</v>
      </c>
      <c r="AD16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6" s="111">
        <f>IF(Audit[[#This Row],[Max Relative Error (ep)]] = 0, 0, Audit[[#This Row],[Max Relative Error (ep)]]/Audit[[#This Row],[Error Bound (up) - Max. possible relative overstatement]])</f>
        <v>0</v>
      </c>
      <c r="AJ16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06" s="111">
        <f t="shared" si="25"/>
        <v>1</v>
      </c>
      <c r="AL1606" s="111">
        <f>PRODUCT($AK$5:AK1606)</f>
        <v>8.962823818226312E-2</v>
      </c>
      <c r="AM1606" s="109">
        <f>1 - [K-M P Value]</f>
        <v>0.91037176181773694</v>
      </c>
      <c r="AN1606" s="111" t="str">
        <f>IF(Audit[[#This Row],[K-M P Value]]&gt;1-'General Info'!$B$16,"Continue", "Stop")</f>
        <v>Stop</v>
      </c>
      <c r="AO1606" s="110" t="b">
        <f>IF(Audit[[#This Row],[Status - Continue or stop audit]] = "Continue", TRUE, IF(AN1605 = "Continue", TRUE, FALSE))</f>
        <v>0</v>
      </c>
      <c r="AP1606" s="110"/>
    </row>
    <row r="1607" spans="1:42" ht="15" hidden="1" customHeight="1">
      <c r="A1607" s="111" t="str">
        <f>'Sampling Data'!W1600</f>
        <v/>
      </c>
      <c r="B1607" s="112" t="str">
        <f>'Sampling Data'!A1600</f>
        <v>OLMSTED FALLS  -01-B - ABS</v>
      </c>
      <c r="C1607" s="112">
        <f>'Sampling Data'!B1600</f>
        <v>8</v>
      </c>
      <c r="D1607" s="112">
        <f>'Sampling Data'!C1600</f>
        <v>22</v>
      </c>
      <c r="E1607" s="113">
        <f>'Sampling Data'!D1600</f>
        <v>4</v>
      </c>
      <c r="F1607" s="113">
        <f>'Sampling Data'!E1600</f>
        <v>4</v>
      </c>
      <c r="G1607" s="113">
        <f>'Sampling Data'!F1600</f>
        <v>2</v>
      </c>
      <c r="H1607" s="113">
        <f>'Sampling Data'!G1600</f>
        <v>0</v>
      </c>
      <c r="I1607" s="112">
        <f>'Sampling Data'!H1600</f>
        <v>0</v>
      </c>
      <c r="J1607" s="112">
        <f>'Sampling Data'!I1600</f>
        <v>1</v>
      </c>
      <c r="K1607" s="112">
        <f>'Sampling Data'!J1600</f>
        <v>41</v>
      </c>
      <c r="L1607" s="111">
        <f>'Sampling Data'!X1600</f>
        <v>0</v>
      </c>
      <c r="M1607" s="114"/>
      <c r="N1607" s="114"/>
      <c r="O1607" s="115"/>
      <c r="P1607" s="115"/>
      <c r="Q1607" s="116"/>
      <c r="R1607" s="116"/>
      <c r="S1607" s="111">
        <f>Audit[[#This Row],[Audit Losing Candidate]]-Audit[[#This Row],[Losing Candidate]]</f>
        <v>-8</v>
      </c>
      <c r="T1607" s="111">
        <f>Audit[[#This Row],[Audit Winning Candidate]]-Audit[[#This Row],[Winning Candidate]]</f>
        <v>-22</v>
      </c>
      <c r="U1607" s="111">
        <f>Audit[[#This Row],[Audit Candidate 3]]-Audit[[#This Row],[Candidate 3]]</f>
        <v>-4</v>
      </c>
      <c r="V1607" s="111">
        <f>Audit[[#This Row],[Audit Candidate 4]]-Audit[[#This Row],[Candidate 4]]</f>
        <v>-4</v>
      </c>
      <c r="W1607" s="111">
        <f>Audit[[#This Row],[Audit Candidate 5]]-Audit[[#This Row],[Candidate 5]]</f>
        <v>-2</v>
      </c>
      <c r="X1607" s="111">
        <f>Audit[[#This Row],[Audit Candidate 6]]-Audit[[#This Row],[Candidate 6]]</f>
        <v>0</v>
      </c>
      <c r="Y1607" s="111">
        <f>SUMIF(Audit[[#This Row],[Difference Loser]:[Difference Candidate 6]], "&gt;0")</f>
        <v>0</v>
      </c>
      <c r="Z1607" s="111">
        <f>SUM(Audit[[#This Row],[Difference Loser]:[Difference Candidate 6]])</f>
        <v>-40</v>
      </c>
      <c r="AA1607" s="111">
        <f>IF(Audit[[#This Row],[Times p Drawn - With Replacement]]&gt;0, IF(Audit[[#This Row],[Canceled Differences]]&lt;0, Audit[[#This Row],[Max Differences]]+ABS(Audit[[#This Row],[Canceled Differences]]), Audit[[#This Row],[Max Differences]]), 0)</f>
        <v>0</v>
      </c>
      <c r="AB1607" s="111">
        <f>'Sampling Data'!P1600</f>
        <v>3.3684468397844193E-3</v>
      </c>
      <c r="AC1607" s="111">
        <f>IF(
      SUM(Audit[[#This Row],[Audit Losing Candidate]:[Audit Candidate 6]])
      &lt;&gt;0,
      (Audit[[#This Row],[Winning Candidate]]-Audit[[#This Row],[Losing Candidate]]-(Audit[[#This Row],[Audit Winning Candidate]]-Audit[[#This Row],[Audit Losing Candidate]]))/(Audit[[#Totals],[Winning Candidate]]-Audit[[#Totals],[Losing Candidate]]),
      0
)</f>
        <v>0</v>
      </c>
      <c r="AD16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7" s="111">
        <f>IF(Audit[[#This Row],[Max Relative Error (ep)]] = 0, 0, Audit[[#This Row],[Max Relative Error (ep)]]/Audit[[#This Row],[Error Bound (up) - Max. possible relative overstatement]])</f>
        <v>0</v>
      </c>
      <c r="AJ16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07" s="111">
        <f t="shared" si="25"/>
        <v>1</v>
      </c>
      <c r="AL1607" s="111">
        <f>PRODUCT($AK$5:AK1607)</f>
        <v>8.962823818226312E-2</v>
      </c>
      <c r="AM1607" s="109">
        <f>1 - [K-M P Value]</f>
        <v>0.91037176181773694</v>
      </c>
      <c r="AN1607" s="111" t="str">
        <f>IF(Audit[[#This Row],[K-M P Value]]&gt;1-'General Info'!$B$16,"Continue", "Stop")</f>
        <v>Stop</v>
      </c>
      <c r="AO1607" s="110" t="b">
        <f>IF(Audit[[#This Row],[Status - Continue or stop audit]] = "Continue", TRUE, IF(AN1606 = "Continue", TRUE, FALSE))</f>
        <v>0</v>
      </c>
      <c r="AP1607" s="110"/>
    </row>
    <row r="1608" spans="1:42" ht="15" hidden="1" customHeight="1">
      <c r="A1608" s="111" t="str">
        <f>'Sampling Data'!W1601</f>
        <v/>
      </c>
      <c r="B1608" s="112" t="str">
        <f>'Sampling Data'!A1601</f>
        <v>OLMSTED FALLS  -02-A</v>
      </c>
      <c r="C1608" s="112">
        <f>'Sampling Data'!B1601</f>
        <v>35</v>
      </c>
      <c r="D1608" s="112">
        <f>'Sampling Data'!C1601</f>
        <v>40</v>
      </c>
      <c r="E1608" s="113">
        <f>'Sampling Data'!D1601</f>
        <v>11</v>
      </c>
      <c r="F1608" s="113">
        <f>'Sampling Data'!E1601</f>
        <v>5</v>
      </c>
      <c r="G1608" s="113">
        <f>'Sampling Data'!F1601</f>
        <v>0</v>
      </c>
      <c r="H1608" s="113">
        <f>'Sampling Data'!G1601</f>
        <v>2</v>
      </c>
      <c r="I1608" s="112">
        <f>'Sampling Data'!H1601</f>
        <v>0</v>
      </c>
      <c r="J1608" s="112">
        <f>'Sampling Data'!I1601</f>
        <v>1</v>
      </c>
      <c r="K1608" s="112">
        <f>'Sampling Data'!J1601</f>
        <v>94</v>
      </c>
      <c r="L1608" s="111">
        <f>'Sampling Data'!X1601</f>
        <v>0</v>
      </c>
      <c r="M1608" s="114"/>
      <c r="N1608" s="114"/>
      <c r="O1608" s="115"/>
      <c r="P1608" s="115"/>
      <c r="Q1608" s="116"/>
      <c r="R1608" s="116"/>
      <c r="S1608" s="111">
        <f>Audit[[#This Row],[Audit Losing Candidate]]-Audit[[#This Row],[Losing Candidate]]</f>
        <v>-35</v>
      </c>
      <c r="T1608" s="111">
        <f>Audit[[#This Row],[Audit Winning Candidate]]-Audit[[#This Row],[Winning Candidate]]</f>
        <v>-40</v>
      </c>
      <c r="U1608" s="111">
        <f>Audit[[#This Row],[Audit Candidate 3]]-Audit[[#This Row],[Candidate 3]]</f>
        <v>-11</v>
      </c>
      <c r="V1608" s="111">
        <f>Audit[[#This Row],[Audit Candidate 4]]-Audit[[#This Row],[Candidate 4]]</f>
        <v>-5</v>
      </c>
      <c r="W1608" s="111">
        <f>Audit[[#This Row],[Audit Candidate 5]]-Audit[[#This Row],[Candidate 5]]</f>
        <v>0</v>
      </c>
      <c r="X1608" s="111">
        <f>Audit[[#This Row],[Audit Candidate 6]]-Audit[[#This Row],[Candidate 6]]</f>
        <v>-2</v>
      </c>
      <c r="Y1608" s="111">
        <f>SUMIF(Audit[[#This Row],[Difference Loser]:[Difference Candidate 6]], "&gt;0")</f>
        <v>0</v>
      </c>
      <c r="Z1608" s="111">
        <f>SUM(Audit[[#This Row],[Difference Loser]:[Difference Candidate 6]])</f>
        <v>-93</v>
      </c>
      <c r="AA1608" s="111">
        <f>IF(Audit[[#This Row],[Times p Drawn - With Replacement]]&gt;0, IF(Audit[[#This Row],[Canceled Differences]]&lt;0, Audit[[#This Row],[Max Differences]]+ABS(Audit[[#This Row],[Canceled Differences]]), Audit[[#This Row],[Max Differences]]), 0)</f>
        <v>0</v>
      </c>
      <c r="AB1608" s="111">
        <f>'Sampling Data'!P1601</f>
        <v>6.063204311611955E-3</v>
      </c>
      <c r="AC1608" s="111">
        <f>IF(
      SUM(Audit[[#This Row],[Audit Losing Candidate]:[Audit Candidate 6]])
      &lt;&gt;0,
      (Audit[[#This Row],[Winning Candidate]]-Audit[[#This Row],[Losing Candidate]]-(Audit[[#This Row],[Audit Winning Candidate]]-Audit[[#This Row],[Audit Losing Candidate]]))/(Audit[[#Totals],[Winning Candidate]]-Audit[[#Totals],[Losing Candidate]]),
      0
)</f>
        <v>0</v>
      </c>
      <c r="AD16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8" s="111">
        <f>IF(Audit[[#This Row],[Max Relative Error (ep)]] = 0, 0, Audit[[#This Row],[Max Relative Error (ep)]]/Audit[[#This Row],[Error Bound (up) - Max. possible relative overstatement]])</f>
        <v>0</v>
      </c>
      <c r="AJ16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08" s="111">
        <f t="shared" si="25"/>
        <v>1</v>
      </c>
      <c r="AL1608" s="111">
        <f>PRODUCT($AK$5:AK1608)</f>
        <v>8.962823818226312E-2</v>
      </c>
      <c r="AM1608" s="109">
        <f>1 - [K-M P Value]</f>
        <v>0.91037176181773694</v>
      </c>
      <c r="AN1608" s="111" t="str">
        <f>IF(Audit[[#This Row],[K-M P Value]]&gt;1-'General Info'!$B$16,"Continue", "Stop")</f>
        <v>Stop</v>
      </c>
      <c r="AO1608" s="110" t="b">
        <f>IF(Audit[[#This Row],[Status - Continue or stop audit]] = "Continue", TRUE, IF(AN1607 = "Continue", TRUE, FALSE))</f>
        <v>0</v>
      </c>
      <c r="AP1608" s="110"/>
    </row>
    <row r="1609" spans="1:42" ht="15" hidden="1" customHeight="1">
      <c r="A1609" s="111" t="str">
        <f>'Sampling Data'!W1602</f>
        <v/>
      </c>
      <c r="B1609" s="112" t="str">
        <f>'Sampling Data'!A1602</f>
        <v>OLMSTED FALLS  -02-A - ABS</v>
      </c>
      <c r="C1609" s="112">
        <f>'Sampling Data'!B1602</f>
        <v>5</v>
      </c>
      <c r="D1609" s="112">
        <f>'Sampling Data'!C1602</f>
        <v>11</v>
      </c>
      <c r="E1609" s="113">
        <f>'Sampling Data'!D1602</f>
        <v>4</v>
      </c>
      <c r="F1609" s="113">
        <f>'Sampling Data'!E1602</f>
        <v>2</v>
      </c>
      <c r="G1609" s="113">
        <f>'Sampling Data'!F1602</f>
        <v>0</v>
      </c>
      <c r="H1609" s="113">
        <f>'Sampling Data'!G1602</f>
        <v>0</v>
      </c>
      <c r="I1609" s="112">
        <f>'Sampling Data'!H1602</f>
        <v>0</v>
      </c>
      <c r="J1609" s="112">
        <f>'Sampling Data'!I1602</f>
        <v>0</v>
      </c>
      <c r="K1609" s="112">
        <f>'Sampling Data'!J1602</f>
        <v>22</v>
      </c>
      <c r="L1609" s="111">
        <f>'Sampling Data'!X1602</f>
        <v>0</v>
      </c>
      <c r="M1609" s="114"/>
      <c r="N1609" s="114"/>
      <c r="O1609" s="115"/>
      <c r="P1609" s="115"/>
      <c r="Q1609" s="116"/>
      <c r="R1609" s="116"/>
      <c r="S1609" s="111">
        <f>Audit[[#This Row],[Audit Losing Candidate]]-Audit[[#This Row],[Losing Candidate]]</f>
        <v>-5</v>
      </c>
      <c r="T1609" s="111">
        <f>Audit[[#This Row],[Audit Winning Candidate]]-Audit[[#This Row],[Winning Candidate]]</f>
        <v>-11</v>
      </c>
      <c r="U1609" s="111">
        <f>Audit[[#This Row],[Audit Candidate 3]]-Audit[[#This Row],[Candidate 3]]</f>
        <v>-4</v>
      </c>
      <c r="V1609" s="111">
        <f>Audit[[#This Row],[Audit Candidate 4]]-Audit[[#This Row],[Candidate 4]]</f>
        <v>-2</v>
      </c>
      <c r="W1609" s="111">
        <f>Audit[[#This Row],[Audit Candidate 5]]-Audit[[#This Row],[Candidate 5]]</f>
        <v>0</v>
      </c>
      <c r="X1609" s="111">
        <f>Audit[[#This Row],[Audit Candidate 6]]-Audit[[#This Row],[Candidate 6]]</f>
        <v>0</v>
      </c>
      <c r="Y1609" s="111">
        <f>SUMIF(Audit[[#This Row],[Difference Loser]:[Difference Candidate 6]], "&gt;0")</f>
        <v>0</v>
      </c>
      <c r="Z1609" s="111">
        <f>SUM(Audit[[#This Row],[Difference Loser]:[Difference Candidate 6]])</f>
        <v>-22</v>
      </c>
      <c r="AA1609" s="111">
        <f>IF(Audit[[#This Row],[Times p Drawn - With Replacement]]&gt;0, IF(Audit[[#This Row],[Canceled Differences]]&lt;0, Audit[[#This Row],[Max Differences]]+ABS(Audit[[#This Row],[Canceled Differences]]), Audit[[#This Row],[Max Differences]]), 0)</f>
        <v>0</v>
      </c>
      <c r="AB1609" s="111">
        <f>'Sampling Data'!P1602</f>
        <v>1.7148456638902498E-3</v>
      </c>
      <c r="AC1609" s="111">
        <f>IF(
      SUM(Audit[[#This Row],[Audit Losing Candidate]:[Audit Candidate 6]])
      &lt;&gt;0,
      (Audit[[#This Row],[Winning Candidate]]-Audit[[#This Row],[Losing Candidate]]-(Audit[[#This Row],[Audit Winning Candidate]]-Audit[[#This Row],[Audit Losing Candidate]]))/(Audit[[#Totals],[Winning Candidate]]-Audit[[#Totals],[Losing Candidate]]),
      0
)</f>
        <v>0</v>
      </c>
      <c r="AD16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9" s="111">
        <f>IF(Audit[[#This Row],[Max Relative Error (ep)]] = 0, 0, Audit[[#This Row],[Max Relative Error (ep)]]/Audit[[#This Row],[Error Bound (up) - Max. possible relative overstatement]])</f>
        <v>0</v>
      </c>
      <c r="AJ16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09" s="111">
        <f t="shared" si="25"/>
        <v>1</v>
      </c>
      <c r="AL1609" s="111">
        <f>PRODUCT($AK$5:AK1609)</f>
        <v>8.962823818226312E-2</v>
      </c>
      <c r="AM1609" s="109">
        <f>1 - [K-M P Value]</f>
        <v>0.91037176181773694</v>
      </c>
      <c r="AN1609" s="111" t="str">
        <f>IF(Audit[[#This Row],[K-M P Value]]&gt;1-'General Info'!$B$16,"Continue", "Stop")</f>
        <v>Stop</v>
      </c>
      <c r="AO1609" s="110" t="b">
        <f>IF(Audit[[#This Row],[Status - Continue or stop audit]] = "Continue", TRUE, IF(AN1608 = "Continue", TRUE, FALSE))</f>
        <v>0</v>
      </c>
      <c r="AP1609" s="110"/>
    </row>
    <row r="1610" spans="1:42" ht="15" hidden="1" customHeight="1">
      <c r="A1610" s="111" t="str">
        <f>'Sampling Data'!W1603</f>
        <v/>
      </c>
      <c r="B1610" s="112" t="str">
        <f>'Sampling Data'!A1603</f>
        <v>OLMSTED FALLS  -02-B</v>
      </c>
      <c r="C1610" s="112">
        <f>'Sampling Data'!B1603</f>
        <v>33</v>
      </c>
      <c r="D1610" s="112">
        <f>'Sampling Data'!C1603</f>
        <v>44</v>
      </c>
      <c r="E1610" s="113">
        <f>'Sampling Data'!D1603</f>
        <v>16</v>
      </c>
      <c r="F1610" s="113">
        <f>'Sampling Data'!E1603</f>
        <v>9</v>
      </c>
      <c r="G1610" s="113">
        <f>'Sampling Data'!F1603</f>
        <v>0</v>
      </c>
      <c r="H1610" s="113">
        <f>'Sampling Data'!G1603</f>
        <v>1</v>
      </c>
      <c r="I1610" s="112">
        <f>'Sampling Data'!H1603</f>
        <v>0</v>
      </c>
      <c r="J1610" s="112">
        <f>'Sampling Data'!I1603</f>
        <v>3</v>
      </c>
      <c r="K1610" s="112">
        <f>'Sampling Data'!J1603</f>
        <v>106</v>
      </c>
      <c r="L1610" s="111">
        <f>'Sampling Data'!X1603</f>
        <v>0</v>
      </c>
      <c r="M1610" s="114"/>
      <c r="N1610" s="114"/>
      <c r="O1610" s="115"/>
      <c r="P1610" s="115"/>
      <c r="Q1610" s="116"/>
      <c r="R1610" s="116"/>
      <c r="S1610" s="111">
        <f>Audit[[#This Row],[Audit Losing Candidate]]-Audit[[#This Row],[Losing Candidate]]</f>
        <v>-33</v>
      </c>
      <c r="T1610" s="111">
        <f>Audit[[#This Row],[Audit Winning Candidate]]-Audit[[#This Row],[Winning Candidate]]</f>
        <v>-44</v>
      </c>
      <c r="U1610" s="111">
        <f>Audit[[#This Row],[Audit Candidate 3]]-Audit[[#This Row],[Candidate 3]]</f>
        <v>-16</v>
      </c>
      <c r="V1610" s="111">
        <f>Audit[[#This Row],[Audit Candidate 4]]-Audit[[#This Row],[Candidate 4]]</f>
        <v>-9</v>
      </c>
      <c r="W1610" s="111">
        <f>Audit[[#This Row],[Audit Candidate 5]]-Audit[[#This Row],[Candidate 5]]</f>
        <v>0</v>
      </c>
      <c r="X1610" s="111">
        <f>Audit[[#This Row],[Audit Candidate 6]]-Audit[[#This Row],[Candidate 6]]</f>
        <v>-1</v>
      </c>
      <c r="Y1610" s="111">
        <f>SUMIF(Audit[[#This Row],[Difference Loser]:[Difference Candidate 6]], "&gt;0")</f>
        <v>0</v>
      </c>
      <c r="Z1610" s="111">
        <f>SUM(Audit[[#This Row],[Difference Loser]:[Difference Candidate 6]])</f>
        <v>-103</v>
      </c>
      <c r="AA1610" s="111">
        <f>IF(Audit[[#This Row],[Times p Drawn - With Replacement]]&gt;0, IF(Audit[[#This Row],[Canceled Differences]]&lt;0, Audit[[#This Row],[Max Differences]]+ABS(Audit[[#This Row],[Canceled Differences]]), Audit[[#This Row],[Max Differences]]), 0)</f>
        <v>0</v>
      </c>
      <c r="AB1610" s="111">
        <f>'Sampling Data'!P1603</f>
        <v>7.1656050955414014E-3</v>
      </c>
      <c r="AC1610" s="111">
        <f>IF(
      SUM(Audit[[#This Row],[Audit Losing Candidate]:[Audit Candidate 6]])
      &lt;&gt;0,
      (Audit[[#This Row],[Winning Candidate]]-Audit[[#This Row],[Losing Candidate]]-(Audit[[#This Row],[Audit Winning Candidate]]-Audit[[#This Row],[Audit Losing Candidate]]))/(Audit[[#Totals],[Winning Candidate]]-Audit[[#Totals],[Losing Candidate]]),
      0
)</f>
        <v>0</v>
      </c>
      <c r="AD16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0" s="111">
        <f>IF(Audit[[#This Row],[Max Relative Error (ep)]] = 0, 0, Audit[[#This Row],[Max Relative Error (ep)]]/Audit[[#This Row],[Error Bound (up) - Max. possible relative overstatement]])</f>
        <v>0</v>
      </c>
      <c r="AJ16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10" s="111">
        <f t="shared" si="25"/>
        <v>1</v>
      </c>
      <c r="AL1610" s="111">
        <f>PRODUCT($AK$5:AK1610)</f>
        <v>8.962823818226312E-2</v>
      </c>
      <c r="AM1610" s="109">
        <f>1 - [K-M P Value]</f>
        <v>0.91037176181773694</v>
      </c>
      <c r="AN1610" s="111" t="str">
        <f>IF(Audit[[#This Row],[K-M P Value]]&gt;1-'General Info'!$B$16,"Continue", "Stop")</f>
        <v>Stop</v>
      </c>
      <c r="AO1610" s="110" t="b">
        <f>IF(Audit[[#This Row],[Status - Continue or stop audit]] = "Continue", TRUE, IF(AN1609 = "Continue", TRUE, FALSE))</f>
        <v>0</v>
      </c>
      <c r="AP1610" s="110"/>
    </row>
    <row r="1611" spans="1:42" ht="15" hidden="1" customHeight="1">
      <c r="A1611" s="111" t="str">
        <f>'Sampling Data'!W1604</f>
        <v/>
      </c>
      <c r="B1611" s="112" t="str">
        <f>'Sampling Data'!A1604</f>
        <v>OLMSTED FALLS  -02-B - ABS</v>
      </c>
      <c r="C1611" s="112">
        <f>'Sampling Data'!B1604</f>
        <v>10</v>
      </c>
      <c r="D1611" s="112">
        <f>'Sampling Data'!C1604</f>
        <v>28</v>
      </c>
      <c r="E1611" s="113">
        <f>'Sampling Data'!D1604</f>
        <v>9</v>
      </c>
      <c r="F1611" s="113">
        <f>'Sampling Data'!E1604</f>
        <v>4</v>
      </c>
      <c r="G1611" s="113">
        <f>'Sampling Data'!F1604</f>
        <v>1</v>
      </c>
      <c r="H1611" s="113">
        <f>'Sampling Data'!G1604</f>
        <v>1</v>
      </c>
      <c r="I1611" s="112">
        <f>'Sampling Data'!H1604</f>
        <v>0</v>
      </c>
      <c r="J1611" s="112">
        <f>'Sampling Data'!I1604</f>
        <v>2</v>
      </c>
      <c r="K1611" s="112">
        <f>'Sampling Data'!J1604</f>
        <v>55</v>
      </c>
      <c r="L1611" s="111">
        <f>'Sampling Data'!X1604</f>
        <v>0</v>
      </c>
      <c r="M1611" s="114"/>
      <c r="N1611" s="114"/>
      <c r="O1611" s="115"/>
      <c r="P1611" s="115"/>
      <c r="Q1611" s="116"/>
      <c r="R1611" s="116"/>
      <c r="S1611" s="111">
        <f>Audit[[#This Row],[Audit Losing Candidate]]-Audit[[#This Row],[Losing Candidate]]</f>
        <v>-10</v>
      </c>
      <c r="T1611" s="111">
        <f>Audit[[#This Row],[Audit Winning Candidate]]-Audit[[#This Row],[Winning Candidate]]</f>
        <v>-28</v>
      </c>
      <c r="U1611" s="111">
        <f>Audit[[#This Row],[Audit Candidate 3]]-Audit[[#This Row],[Candidate 3]]</f>
        <v>-9</v>
      </c>
      <c r="V1611" s="111">
        <f>Audit[[#This Row],[Audit Candidate 4]]-Audit[[#This Row],[Candidate 4]]</f>
        <v>-4</v>
      </c>
      <c r="W1611" s="111">
        <f>Audit[[#This Row],[Audit Candidate 5]]-Audit[[#This Row],[Candidate 5]]</f>
        <v>-1</v>
      </c>
      <c r="X1611" s="111">
        <f>Audit[[#This Row],[Audit Candidate 6]]-Audit[[#This Row],[Candidate 6]]</f>
        <v>-1</v>
      </c>
      <c r="Y1611" s="111">
        <f>SUMIF(Audit[[#This Row],[Difference Loser]:[Difference Candidate 6]], "&gt;0")</f>
        <v>0</v>
      </c>
      <c r="Z1611" s="111">
        <f>SUM(Audit[[#This Row],[Difference Loser]:[Difference Candidate 6]])</f>
        <v>-53</v>
      </c>
      <c r="AA1611" s="111">
        <f>IF(Audit[[#This Row],[Times p Drawn - With Replacement]]&gt;0, IF(Audit[[#This Row],[Canceled Differences]]&lt;0, Audit[[#This Row],[Max Differences]]+ABS(Audit[[#This Row],[Canceled Differences]]), Audit[[#This Row],[Max Differences]]), 0)</f>
        <v>0</v>
      </c>
      <c r="AB1611" s="111">
        <f>'Sampling Data'!P1604</f>
        <v>4.4708476237138662E-3</v>
      </c>
      <c r="AC1611" s="111">
        <f>IF(
      SUM(Audit[[#This Row],[Audit Losing Candidate]:[Audit Candidate 6]])
      &lt;&gt;0,
      (Audit[[#This Row],[Winning Candidate]]-Audit[[#This Row],[Losing Candidate]]-(Audit[[#This Row],[Audit Winning Candidate]]-Audit[[#This Row],[Audit Losing Candidate]]))/(Audit[[#Totals],[Winning Candidate]]-Audit[[#Totals],[Losing Candidate]]),
      0
)</f>
        <v>0</v>
      </c>
      <c r="AD16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1" s="111">
        <f>IF(Audit[[#This Row],[Max Relative Error (ep)]] = 0, 0, Audit[[#This Row],[Max Relative Error (ep)]]/Audit[[#This Row],[Error Bound (up) - Max. possible relative overstatement]])</f>
        <v>0</v>
      </c>
      <c r="AJ16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11" s="111">
        <f t="shared" si="25"/>
        <v>1</v>
      </c>
      <c r="AL1611" s="111">
        <f>PRODUCT($AK$5:AK1611)</f>
        <v>8.962823818226312E-2</v>
      </c>
      <c r="AM1611" s="109">
        <f>1 - [K-M P Value]</f>
        <v>0.91037176181773694</v>
      </c>
      <c r="AN1611" s="111" t="str">
        <f>IF(Audit[[#This Row],[K-M P Value]]&gt;1-'General Info'!$B$16,"Continue", "Stop")</f>
        <v>Stop</v>
      </c>
      <c r="AO1611" s="110" t="b">
        <f>IF(Audit[[#This Row],[Status - Continue or stop audit]] = "Continue", TRUE, IF(AN1610 = "Continue", TRUE, FALSE))</f>
        <v>0</v>
      </c>
      <c r="AP1611" s="110"/>
    </row>
    <row r="1612" spans="1:42" ht="15" hidden="1" customHeight="1">
      <c r="A1612" s="111" t="str">
        <f>'Sampling Data'!W1605</f>
        <v/>
      </c>
      <c r="B1612" s="112" t="str">
        <f>'Sampling Data'!A1605</f>
        <v>OLMSTED FALLS  -03-A</v>
      </c>
      <c r="C1612" s="112">
        <f>'Sampling Data'!B1605</f>
        <v>30</v>
      </c>
      <c r="D1612" s="112">
        <f>'Sampling Data'!C1605</f>
        <v>58</v>
      </c>
      <c r="E1612" s="113">
        <f>'Sampling Data'!D1605</f>
        <v>16</v>
      </c>
      <c r="F1612" s="113">
        <f>'Sampling Data'!E1605</f>
        <v>7</v>
      </c>
      <c r="G1612" s="113">
        <f>'Sampling Data'!F1605</f>
        <v>0</v>
      </c>
      <c r="H1612" s="113">
        <f>'Sampling Data'!G1605</f>
        <v>0</v>
      </c>
      <c r="I1612" s="112">
        <f>'Sampling Data'!H1605</f>
        <v>0</v>
      </c>
      <c r="J1612" s="112">
        <f>'Sampling Data'!I1605</f>
        <v>1</v>
      </c>
      <c r="K1612" s="112">
        <f>'Sampling Data'!J1605</f>
        <v>112</v>
      </c>
      <c r="L1612" s="111">
        <f>'Sampling Data'!X1605</f>
        <v>0</v>
      </c>
      <c r="M1612" s="114"/>
      <c r="N1612" s="114"/>
      <c r="O1612" s="115"/>
      <c r="P1612" s="115"/>
      <c r="Q1612" s="116"/>
      <c r="R1612" s="116"/>
      <c r="S1612" s="111">
        <f>Audit[[#This Row],[Audit Losing Candidate]]-Audit[[#This Row],[Losing Candidate]]</f>
        <v>-30</v>
      </c>
      <c r="T1612" s="111">
        <f>Audit[[#This Row],[Audit Winning Candidate]]-Audit[[#This Row],[Winning Candidate]]</f>
        <v>-58</v>
      </c>
      <c r="U1612" s="111">
        <f>Audit[[#This Row],[Audit Candidate 3]]-Audit[[#This Row],[Candidate 3]]</f>
        <v>-16</v>
      </c>
      <c r="V1612" s="111">
        <f>Audit[[#This Row],[Audit Candidate 4]]-Audit[[#This Row],[Candidate 4]]</f>
        <v>-7</v>
      </c>
      <c r="W1612" s="111">
        <f>Audit[[#This Row],[Audit Candidate 5]]-Audit[[#This Row],[Candidate 5]]</f>
        <v>0</v>
      </c>
      <c r="X1612" s="111">
        <f>Audit[[#This Row],[Audit Candidate 6]]-Audit[[#This Row],[Candidate 6]]</f>
        <v>0</v>
      </c>
      <c r="Y1612" s="111">
        <f>SUMIF(Audit[[#This Row],[Difference Loser]:[Difference Candidate 6]], "&gt;0")</f>
        <v>0</v>
      </c>
      <c r="Z1612" s="111">
        <f>SUM(Audit[[#This Row],[Difference Loser]:[Difference Candidate 6]])</f>
        <v>-111</v>
      </c>
      <c r="AA1612" s="111">
        <f>IF(Audit[[#This Row],[Times p Drawn - With Replacement]]&gt;0, IF(Audit[[#This Row],[Canceled Differences]]&lt;0, Audit[[#This Row],[Max Differences]]+ABS(Audit[[#This Row],[Canceled Differences]]), Audit[[#This Row],[Max Differences]]), 0)</f>
        <v>0</v>
      </c>
      <c r="AB1612" s="111">
        <f>'Sampling Data'!P1605</f>
        <v>8.5742283194512499E-3</v>
      </c>
      <c r="AC1612" s="111">
        <f>IF(
      SUM(Audit[[#This Row],[Audit Losing Candidate]:[Audit Candidate 6]])
      &lt;&gt;0,
      (Audit[[#This Row],[Winning Candidate]]-Audit[[#This Row],[Losing Candidate]]-(Audit[[#This Row],[Audit Winning Candidate]]-Audit[[#This Row],[Audit Losing Candidate]]))/(Audit[[#Totals],[Winning Candidate]]-Audit[[#Totals],[Losing Candidate]]),
      0
)</f>
        <v>0</v>
      </c>
      <c r="AD16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2" s="111">
        <f>IF(Audit[[#This Row],[Max Relative Error (ep)]] = 0, 0, Audit[[#This Row],[Max Relative Error (ep)]]/Audit[[#This Row],[Error Bound (up) - Max. possible relative overstatement]])</f>
        <v>0</v>
      </c>
      <c r="AJ16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12" s="111">
        <f t="shared" si="25"/>
        <v>1</v>
      </c>
      <c r="AL1612" s="111">
        <f>PRODUCT($AK$5:AK1612)</f>
        <v>8.962823818226312E-2</v>
      </c>
      <c r="AM1612" s="109">
        <f>1 - [K-M P Value]</f>
        <v>0.91037176181773694</v>
      </c>
      <c r="AN1612" s="111" t="str">
        <f>IF(Audit[[#This Row],[K-M P Value]]&gt;1-'General Info'!$B$16,"Continue", "Stop")</f>
        <v>Stop</v>
      </c>
      <c r="AO1612" s="110" t="b">
        <f>IF(Audit[[#This Row],[Status - Continue or stop audit]] = "Continue", TRUE, IF(AN1611 = "Continue", TRUE, FALSE))</f>
        <v>0</v>
      </c>
      <c r="AP1612" s="110"/>
    </row>
    <row r="1613" spans="1:42" ht="15" hidden="1" customHeight="1">
      <c r="A1613" s="111" t="str">
        <f>'Sampling Data'!W1606</f>
        <v/>
      </c>
      <c r="B1613" s="112" t="str">
        <f>'Sampling Data'!A1606</f>
        <v>OLMSTED FALLS  -03-A - ABS</v>
      </c>
      <c r="C1613" s="112">
        <f>'Sampling Data'!B1606</f>
        <v>18</v>
      </c>
      <c r="D1613" s="112">
        <f>'Sampling Data'!C1606</f>
        <v>27</v>
      </c>
      <c r="E1613" s="113">
        <f>'Sampling Data'!D1606</f>
        <v>6</v>
      </c>
      <c r="F1613" s="113">
        <f>'Sampling Data'!E1606</f>
        <v>1</v>
      </c>
      <c r="G1613" s="113">
        <f>'Sampling Data'!F1606</f>
        <v>0</v>
      </c>
      <c r="H1613" s="113">
        <f>'Sampling Data'!G1606</f>
        <v>0</v>
      </c>
      <c r="I1613" s="112">
        <f>'Sampling Data'!H1606</f>
        <v>0</v>
      </c>
      <c r="J1613" s="112">
        <f>'Sampling Data'!I1606</f>
        <v>0</v>
      </c>
      <c r="K1613" s="112">
        <f>'Sampling Data'!J1606</f>
        <v>52</v>
      </c>
      <c r="L1613" s="111">
        <f>'Sampling Data'!X1606</f>
        <v>0</v>
      </c>
      <c r="M1613" s="114"/>
      <c r="N1613" s="114"/>
      <c r="O1613" s="115"/>
      <c r="P1613" s="115"/>
      <c r="Q1613" s="116"/>
      <c r="R1613" s="116"/>
      <c r="S1613" s="111">
        <f>Audit[[#This Row],[Audit Losing Candidate]]-Audit[[#This Row],[Losing Candidate]]</f>
        <v>-18</v>
      </c>
      <c r="T1613" s="111">
        <f>Audit[[#This Row],[Audit Winning Candidate]]-Audit[[#This Row],[Winning Candidate]]</f>
        <v>-27</v>
      </c>
      <c r="U1613" s="111">
        <f>Audit[[#This Row],[Audit Candidate 3]]-Audit[[#This Row],[Candidate 3]]</f>
        <v>-6</v>
      </c>
      <c r="V1613" s="111">
        <f>Audit[[#This Row],[Audit Candidate 4]]-Audit[[#This Row],[Candidate 4]]</f>
        <v>-1</v>
      </c>
      <c r="W1613" s="111">
        <f>Audit[[#This Row],[Audit Candidate 5]]-Audit[[#This Row],[Candidate 5]]</f>
        <v>0</v>
      </c>
      <c r="X1613" s="111">
        <f>Audit[[#This Row],[Audit Candidate 6]]-Audit[[#This Row],[Candidate 6]]</f>
        <v>0</v>
      </c>
      <c r="Y1613" s="111">
        <f>SUMIF(Audit[[#This Row],[Difference Loser]:[Difference Candidate 6]], "&gt;0")</f>
        <v>0</v>
      </c>
      <c r="Z1613" s="111">
        <f>SUM(Audit[[#This Row],[Difference Loser]:[Difference Candidate 6]])</f>
        <v>-52</v>
      </c>
      <c r="AA1613" s="111">
        <f>IF(Audit[[#This Row],[Times p Drawn - With Replacement]]&gt;0, IF(Audit[[#This Row],[Canceled Differences]]&lt;0, Audit[[#This Row],[Max Differences]]+ABS(Audit[[#This Row],[Canceled Differences]]), Audit[[#This Row],[Max Differences]]), 0)</f>
        <v>0</v>
      </c>
      <c r="AB1613" s="111">
        <f>'Sampling Data'!P1606</f>
        <v>3.7359137677609017E-3</v>
      </c>
      <c r="AC1613" s="111">
        <f>IF(
      SUM(Audit[[#This Row],[Audit Losing Candidate]:[Audit Candidate 6]])
      &lt;&gt;0,
      (Audit[[#This Row],[Winning Candidate]]-Audit[[#This Row],[Losing Candidate]]-(Audit[[#This Row],[Audit Winning Candidate]]-Audit[[#This Row],[Audit Losing Candidate]]))/(Audit[[#Totals],[Winning Candidate]]-Audit[[#Totals],[Losing Candidate]]),
      0
)</f>
        <v>0</v>
      </c>
      <c r="AD16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3" s="111">
        <f>IF(Audit[[#This Row],[Max Relative Error (ep)]] = 0, 0, Audit[[#This Row],[Max Relative Error (ep)]]/Audit[[#This Row],[Error Bound (up) - Max. possible relative overstatement]])</f>
        <v>0</v>
      </c>
      <c r="AJ16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13" s="111">
        <f t="shared" si="25"/>
        <v>1</v>
      </c>
      <c r="AL1613" s="111">
        <f>PRODUCT($AK$5:AK1613)</f>
        <v>8.962823818226312E-2</v>
      </c>
      <c r="AM1613" s="109">
        <f>1 - [K-M P Value]</f>
        <v>0.91037176181773694</v>
      </c>
      <c r="AN1613" s="111" t="str">
        <f>IF(Audit[[#This Row],[K-M P Value]]&gt;1-'General Info'!$B$16,"Continue", "Stop")</f>
        <v>Stop</v>
      </c>
      <c r="AO1613" s="110" t="b">
        <f>IF(Audit[[#This Row],[Status - Continue or stop audit]] = "Continue", TRUE, IF(AN1612 = "Continue", TRUE, FALSE))</f>
        <v>0</v>
      </c>
      <c r="AP1613" s="110"/>
    </row>
    <row r="1614" spans="1:42" ht="15" hidden="1" customHeight="1">
      <c r="A1614" s="111" t="str">
        <f>'Sampling Data'!W1607</f>
        <v/>
      </c>
      <c r="B1614" s="112" t="str">
        <f>'Sampling Data'!A1607</f>
        <v>OLMSTED FALLS  -03-B</v>
      </c>
      <c r="C1614" s="112">
        <f>'Sampling Data'!B1607</f>
        <v>11</v>
      </c>
      <c r="D1614" s="112">
        <f>'Sampling Data'!C1607</f>
        <v>6</v>
      </c>
      <c r="E1614" s="113">
        <f>'Sampling Data'!D1607</f>
        <v>2</v>
      </c>
      <c r="F1614" s="113">
        <f>'Sampling Data'!E1607</f>
        <v>9</v>
      </c>
      <c r="G1614" s="113">
        <f>'Sampling Data'!F1607</f>
        <v>0</v>
      </c>
      <c r="H1614" s="113">
        <f>'Sampling Data'!G1607</f>
        <v>0</v>
      </c>
      <c r="I1614" s="112">
        <f>'Sampling Data'!H1607</f>
        <v>0</v>
      </c>
      <c r="J1614" s="112">
        <f>'Sampling Data'!I1607</f>
        <v>0</v>
      </c>
      <c r="K1614" s="112">
        <f>'Sampling Data'!J1607</f>
        <v>28</v>
      </c>
      <c r="L1614" s="111">
        <f>'Sampling Data'!X1607</f>
        <v>0</v>
      </c>
      <c r="M1614" s="114"/>
      <c r="N1614" s="114"/>
      <c r="O1614" s="115"/>
      <c r="P1614" s="115"/>
      <c r="Q1614" s="116"/>
      <c r="R1614" s="116"/>
      <c r="S1614" s="111">
        <f>Audit[[#This Row],[Audit Losing Candidate]]-Audit[[#This Row],[Losing Candidate]]</f>
        <v>-11</v>
      </c>
      <c r="T1614" s="111">
        <f>Audit[[#This Row],[Audit Winning Candidate]]-Audit[[#This Row],[Winning Candidate]]</f>
        <v>-6</v>
      </c>
      <c r="U1614" s="111">
        <f>Audit[[#This Row],[Audit Candidate 3]]-Audit[[#This Row],[Candidate 3]]</f>
        <v>-2</v>
      </c>
      <c r="V1614" s="111">
        <f>Audit[[#This Row],[Audit Candidate 4]]-Audit[[#This Row],[Candidate 4]]</f>
        <v>-9</v>
      </c>
      <c r="W1614" s="111">
        <f>Audit[[#This Row],[Audit Candidate 5]]-Audit[[#This Row],[Candidate 5]]</f>
        <v>0</v>
      </c>
      <c r="X1614" s="111">
        <f>Audit[[#This Row],[Audit Candidate 6]]-Audit[[#This Row],[Candidate 6]]</f>
        <v>0</v>
      </c>
      <c r="Y1614" s="111">
        <f>SUMIF(Audit[[#This Row],[Difference Loser]:[Difference Candidate 6]], "&gt;0")</f>
        <v>0</v>
      </c>
      <c r="Z1614" s="111">
        <f>SUM(Audit[[#This Row],[Difference Loser]:[Difference Candidate 6]])</f>
        <v>-28</v>
      </c>
      <c r="AA1614" s="111">
        <f>IF(Audit[[#This Row],[Times p Drawn - With Replacement]]&gt;0, IF(Audit[[#This Row],[Canceled Differences]]&lt;0, Audit[[#This Row],[Max Differences]]+ABS(Audit[[#This Row],[Canceled Differences]]), Audit[[#This Row],[Max Differences]]), 0)</f>
        <v>0</v>
      </c>
      <c r="AB1614" s="111">
        <f>'Sampling Data'!P1607</f>
        <v>1.408623223909848E-3</v>
      </c>
      <c r="AC1614" s="111">
        <f>IF(
      SUM(Audit[[#This Row],[Audit Losing Candidate]:[Audit Candidate 6]])
      &lt;&gt;0,
      (Audit[[#This Row],[Winning Candidate]]-Audit[[#This Row],[Losing Candidate]]-(Audit[[#This Row],[Audit Winning Candidate]]-Audit[[#This Row],[Audit Losing Candidate]]))/(Audit[[#Totals],[Winning Candidate]]-Audit[[#Totals],[Losing Candidate]]),
      0
)</f>
        <v>0</v>
      </c>
      <c r="AD16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4" s="111">
        <f>IF(Audit[[#This Row],[Max Relative Error (ep)]] = 0, 0, Audit[[#This Row],[Max Relative Error (ep)]]/Audit[[#This Row],[Error Bound (up) - Max. possible relative overstatement]])</f>
        <v>0</v>
      </c>
      <c r="AJ16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14" s="111">
        <f t="shared" si="25"/>
        <v>1</v>
      </c>
      <c r="AL1614" s="111">
        <f>PRODUCT($AK$5:AK1614)</f>
        <v>8.962823818226312E-2</v>
      </c>
      <c r="AM1614" s="109">
        <f>1 - [K-M P Value]</f>
        <v>0.91037176181773694</v>
      </c>
      <c r="AN1614" s="111" t="str">
        <f>IF(Audit[[#This Row],[K-M P Value]]&gt;1-'General Info'!$B$16,"Continue", "Stop")</f>
        <v>Stop</v>
      </c>
      <c r="AO1614" s="110" t="b">
        <f>IF(Audit[[#This Row],[Status - Continue or stop audit]] = "Continue", TRUE, IF(AN1613 = "Continue", TRUE, FALSE))</f>
        <v>0</v>
      </c>
      <c r="AP1614" s="110"/>
    </row>
    <row r="1615" spans="1:42" ht="15" hidden="1" customHeight="1">
      <c r="A1615" s="111" t="str">
        <f>'Sampling Data'!W1608</f>
        <v/>
      </c>
      <c r="B1615" s="112" t="str">
        <f>'Sampling Data'!A1608</f>
        <v>OLMSTED FALLS  -03-B - ABS</v>
      </c>
      <c r="C1615" s="112">
        <f>'Sampling Data'!B1608</f>
        <v>13</v>
      </c>
      <c r="D1615" s="112">
        <f>'Sampling Data'!C1608</f>
        <v>10</v>
      </c>
      <c r="E1615" s="113">
        <f>'Sampling Data'!D1608</f>
        <v>1</v>
      </c>
      <c r="F1615" s="113">
        <f>'Sampling Data'!E1608</f>
        <v>1</v>
      </c>
      <c r="G1615" s="113">
        <f>'Sampling Data'!F1608</f>
        <v>0</v>
      </c>
      <c r="H1615" s="113">
        <f>'Sampling Data'!G1608</f>
        <v>1</v>
      </c>
      <c r="I1615" s="112">
        <f>'Sampling Data'!H1608</f>
        <v>0</v>
      </c>
      <c r="J1615" s="112">
        <f>'Sampling Data'!I1608</f>
        <v>0</v>
      </c>
      <c r="K1615" s="112">
        <f>'Sampling Data'!J1608</f>
        <v>26</v>
      </c>
      <c r="L1615" s="111">
        <f>'Sampling Data'!X1608</f>
        <v>0</v>
      </c>
      <c r="M1615" s="114"/>
      <c r="N1615" s="114"/>
      <c r="O1615" s="115"/>
      <c r="P1615" s="115"/>
      <c r="Q1615" s="116"/>
      <c r="R1615" s="116"/>
      <c r="S1615" s="111">
        <f>Audit[[#This Row],[Audit Losing Candidate]]-Audit[[#This Row],[Losing Candidate]]</f>
        <v>-13</v>
      </c>
      <c r="T1615" s="111">
        <f>Audit[[#This Row],[Audit Winning Candidate]]-Audit[[#This Row],[Winning Candidate]]</f>
        <v>-10</v>
      </c>
      <c r="U1615" s="111">
        <f>Audit[[#This Row],[Audit Candidate 3]]-Audit[[#This Row],[Candidate 3]]</f>
        <v>-1</v>
      </c>
      <c r="V1615" s="111">
        <f>Audit[[#This Row],[Audit Candidate 4]]-Audit[[#This Row],[Candidate 4]]</f>
        <v>-1</v>
      </c>
      <c r="W1615" s="111">
        <f>Audit[[#This Row],[Audit Candidate 5]]-Audit[[#This Row],[Candidate 5]]</f>
        <v>0</v>
      </c>
      <c r="X1615" s="111">
        <f>Audit[[#This Row],[Audit Candidate 6]]-Audit[[#This Row],[Candidate 6]]</f>
        <v>-1</v>
      </c>
      <c r="Y1615" s="111">
        <f>SUMIF(Audit[[#This Row],[Difference Loser]:[Difference Candidate 6]], "&gt;0")</f>
        <v>0</v>
      </c>
      <c r="Z1615" s="111">
        <f>SUM(Audit[[#This Row],[Difference Loser]:[Difference Candidate 6]])</f>
        <v>-26</v>
      </c>
      <c r="AA1615" s="111">
        <f>IF(Audit[[#This Row],[Times p Drawn - With Replacement]]&gt;0, IF(Audit[[#This Row],[Canceled Differences]]&lt;0, Audit[[#This Row],[Max Differences]]+ABS(Audit[[#This Row],[Canceled Differences]]), Audit[[#This Row],[Max Differences]]), 0)</f>
        <v>0</v>
      </c>
      <c r="AB1615" s="111">
        <f>'Sampling Data'!P1608</f>
        <v>1.408623223909848E-3</v>
      </c>
      <c r="AC1615" s="111">
        <f>IF(
      SUM(Audit[[#This Row],[Audit Losing Candidate]:[Audit Candidate 6]])
      &lt;&gt;0,
      (Audit[[#This Row],[Winning Candidate]]-Audit[[#This Row],[Losing Candidate]]-(Audit[[#This Row],[Audit Winning Candidate]]-Audit[[#This Row],[Audit Losing Candidate]]))/(Audit[[#Totals],[Winning Candidate]]-Audit[[#Totals],[Losing Candidate]]),
      0
)</f>
        <v>0</v>
      </c>
      <c r="AD16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5" s="111">
        <f>IF(Audit[[#This Row],[Max Relative Error (ep)]] = 0, 0, Audit[[#This Row],[Max Relative Error (ep)]]/Audit[[#This Row],[Error Bound (up) - Max. possible relative overstatement]])</f>
        <v>0</v>
      </c>
      <c r="AJ16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15" s="111">
        <f t="shared" si="25"/>
        <v>1</v>
      </c>
      <c r="AL1615" s="111">
        <f>PRODUCT($AK$5:AK1615)</f>
        <v>8.962823818226312E-2</v>
      </c>
      <c r="AM1615" s="109">
        <f>1 - [K-M P Value]</f>
        <v>0.91037176181773694</v>
      </c>
      <c r="AN1615" s="111" t="str">
        <f>IF(Audit[[#This Row],[K-M P Value]]&gt;1-'General Info'!$B$16,"Continue", "Stop")</f>
        <v>Stop</v>
      </c>
      <c r="AO1615" s="110" t="b">
        <f>IF(Audit[[#This Row],[Status - Continue or stop audit]] = "Continue", TRUE, IF(AN1614 = "Continue", TRUE, FALSE))</f>
        <v>0</v>
      </c>
      <c r="AP1615" s="110"/>
    </row>
    <row r="1616" spans="1:42" ht="15" hidden="1" customHeight="1">
      <c r="A1616" s="111" t="str">
        <f>'Sampling Data'!W1609</f>
        <v/>
      </c>
      <c r="B1616" s="112" t="str">
        <f>'Sampling Data'!A1609</f>
        <v>OLMSTED FALLS  -04-A</v>
      </c>
      <c r="C1616" s="112">
        <f>'Sampling Data'!B1609</f>
        <v>25</v>
      </c>
      <c r="D1616" s="112">
        <f>'Sampling Data'!C1609</f>
        <v>31</v>
      </c>
      <c r="E1616" s="113">
        <f>'Sampling Data'!D1609</f>
        <v>10</v>
      </c>
      <c r="F1616" s="113">
        <f>'Sampling Data'!E1609</f>
        <v>6</v>
      </c>
      <c r="G1616" s="113">
        <f>'Sampling Data'!F1609</f>
        <v>1</v>
      </c>
      <c r="H1616" s="113">
        <f>'Sampling Data'!G1609</f>
        <v>1</v>
      </c>
      <c r="I1616" s="112">
        <f>'Sampling Data'!H1609</f>
        <v>0</v>
      </c>
      <c r="J1616" s="112">
        <f>'Sampling Data'!I1609</f>
        <v>3</v>
      </c>
      <c r="K1616" s="112">
        <f>'Sampling Data'!J1609</f>
        <v>77</v>
      </c>
      <c r="L1616" s="111">
        <f>'Sampling Data'!X1609</f>
        <v>0</v>
      </c>
      <c r="M1616" s="114"/>
      <c r="N1616" s="114"/>
      <c r="O1616" s="115"/>
      <c r="P1616" s="115"/>
      <c r="Q1616" s="116"/>
      <c r="R1616" s="116"/>
      <c r="S1616" s="111">
        <f>Audit[[#This Row],[Audit Losing Candidate]]-Audit[[#This Row],[Losing Candidate]]</f>
        <v>-25</v>
      </c>
      <c r="T1616" s="111">
        <f>Audit[[#This Row],[Audit Winning Candidate]]-Audit[[#This Row],[Winning Candidate]]</f>
        <v>-31</v>
      </c>
      <c r="U1616" s="111">
        <f>Audit[[#This Row],[Audit Candidate 3]]-Audit[[#This Row],[Candidate 3]]</f>
        <v>-10</v>
      </c>
      <c r="V1616" s="111">
        <f>Audit[[#This Row],[Audit Candidate 4]]-Audit[[#This Row],[Candidate 4]]</f>
        <v>-6</v>
      </c>
      <c r="W1616" s="111">
        <f>Audit[[#This Row],[Audit Candidate 5]]-Audit[[#This Row],[Candidate 5]]</f>
        <v>-1</v>
      </c>
      <c r="X1616" s="111">
        <f>Audit[[#This Row],[Audit Candidate 6]]-Audit[[#This Row],[Candidate 6]]</f>
        <v>-1</v>
      </c>
      <c r="Y1616" s="111">
        <f>SUMIF(Audit[[#This Row],[Difference Loser]:[Difference Candidate 6]], "&gt;0")</f>
        <v>0</v>
      </c>
      <c r="Z1616" s="111">
        <f>SUM(Audit[[#This Row],[Difference Loser]:[Difference Candidate 6]])</f>
        <v>-74</v>
      </c>
      <c r="AA1616" s="111">
        <f>IF(Audit[[#This Row],[Times p Drawn - With Replacement]]&gt;0, IF(Audit[[#This Row],[Canceled Differences]]&lt;0, Audit[[#This Row],[Max Differences]]+ABS(Audit[[#This Row],[Canceled Differences]]), Audit[[#This Row],[Max Differences]]), 0)</f>
        <v>0</v>
      </c>
      <c r="AB1616" s="111">
        <f>'Sampling Data'!P1609</f>
        <v>5.0832925036746694E-3</v>
      </c>
      <c r="AC1616" s="111">
        <f>IF(
      SUM(Audit[[#This Row],[Audit Losing Candidate]:[Audit Candidate 6]])
      &lt;&gt;0,
      (Audit[[#This Row],[Winning Candidate]]-Audit[[#This Row],[Losing Candidate]]-(Audit[[#This Row],[Audit Winning Candidate]]-Audit[[#This Row],[Audit Losing Candidate]]))/(Audit[[#Totals],[Winning Candidate]]-Audit[[#Totals],[Losing Candidate]]),
      0
)</f>
        <v>0</v>
      </c>
      <c r="AD16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6" s="111">
        <f>IF(Audit[[#This Row],[Max Relative Error (ep)]] = 0, 0, Audit[[#This Row],[Max Relative Error (ep)]]/Audit[[#This Row],[Error Bound (up) - Max. possible relative overstatement]])</f>
        <v>0</v>
      </c>
      <c r="AJ16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16" s="111">
        <f t="shared" si="25"/>
        <v>1</v>
      </c>
      <c r="AL1616" s="111">
        <f>PRODUCT($AK$5:AK1616)</f>
        <v>8.962823818226312E-2</v>
      </c>
      <c r="AM1616" s="109">
        <f>1 - [K-M P Value]</f>
        <v>0.91037176181773694</v>
      </c>
      <c r="AN1616" s="111" t="str">
        <f>IF(Audit[[#This Row],[K-M P Value]]&gt;1-'General Info'!$B$16,"Continue", "Stop")</f>
        <v>Stop</v>
      </c>
      <c r="AO1616" s="110" t="b">
        <f>IF(Audit[[#This Row],[Status - Continue or stop audit]] = "Continue", TRUE, IF(AN1615 = "Continue", TRUE, FALSE))</f>
        <v>0</v>
      </c>
      <c r="AP1616" s="110"/>
    </row>
    <row r="1617" spans="1:42" ht="15" hidden="1" customHeight="1">
      <c r="A1617" s="111" t="str">
        <f>'Sampling Data'!W1610</f>
        <v/>
      </c>
      <c r="B1617" s="112" t="str">
        <f>'Sampling Data'!A1610</f>
        <v>OLMSTED FALLS  -04-A - ABS</v>
      </c>
      <c r="C1617" s="112">
        <f>'Sampling Data'!B1610</f>
        <v>11</v>
      </c>
      <c r="D1617" s="112">
        <f>'Sampling Data'!C1610</f>
        <v>20</v>
      </c>
      <c r="E1617" s="113">
        <f>'Sampling Data'!D1610</f>
        <v>1</v>
      </c>
      <c r="F1617" s="113">
        <f>'Sampling Data'!E1610</f>
        <v>0</v>
      </c>
      <c r="G1617" s="113">
        <f>'Sampling Data'!F1610</f>
        <v>0</v>
      </c>
      <c r="H1617" s="113">
        <f>'Sampling Data'!G1610</f>
        <v>0</v>
      </c>
      <c r="I1617" s="112">
        <f>'Sampling Data'!H1610</f>
        <v>0</v>
      </c>
      <c r="J1617" s="112">
        <f>'Sampling Data'!I1610</f>
        <v>1</v>
      </c>
      <c r="K1617" s="112">
        <f>'Sampling Data'!J1610</f>
        <v>33</v>
      </c>
      <c r="L1617" s="111">
        <f>'Sampling Data'!X1610</f>
        <v>0</v>
      </c>
      <c r="M1617" s="114"/>
      <c r="N1617" s="114"/>
      <c r="O1617" s="115"/>
      <c r="P1617" s="115"/>
      <c r="Q1617" s="116"/>
      <c r="R1617" s="116"/>
      <c r="S1617" s="111">
        <f>Audit[[#This Row],[Audit Losing Candidate]]-Audit[[#This Row],[Losing Candidate]]</f>
        <v>-11</v>
      </c>
      <c r="T1617" s="111">
        <f>Audit[[#This Row],[Audit Winning Candidate]]-Audit[[#This Row],[Winning Candidate]]</f>
        <v>-20</v>
      </c>
      <c r="U1617" s="111">
        <f>Audit[[#This Row],[Audit Candidate 3]]-Audit[[#This Row],[Candidate 3]]</f>
        <v>-1</v>
      </c>
      <c r="V1617" s="111">
        <f>Audit[[#This Row],[Audit Candidate 4]]-Audit[[#This Row],[Candidate 4]]</f>
        <v>0</v>
      </c>
      <c r="W1617" s="111">
        <f>Audit[[#This Row],[Audit Candidate 5]]-Audit[[#This Row],[Candidate 5]]</f>
        <v>0</v>
      </c>
      <c r="X1617" s="111">
        <f>Audit[[#This Row],[Audit Candidate 6]]-Audit[[#This Row],[Candidate 6]]</f>
        <v>0</v>
      </c>
      <c r="Y1617" s="111">
        <f>SUMIF(Audit[[#This Row],[Difference Loser]:[Difference Candidate 6]], "&gt;0")</f>
        <v>0</v>
      </c>
      <c r="Z1617" s="111">
        <f>SUM(Audit[[#This Row],[Difference Loser]:[Difference Candidate 6]])</f>
        <v>-32</v>
      </c>
      <c r="AA1617" s="111">
        <f>IF(Audit[[#This Row],[Times p Drawn - With Replacement]]&gt;0, IF(Audit[[#This Row],[Canceled Differences]]&lt;0, Audit[[#This Row],[Max Differences]]+ABS(Audit[[#This Row],[Canceled Differences]]), Audit[[#This Row],[Max Differences]]), 0)</f>
        <v>0</v>
      </c>
      <c r="AB1617" s="111">
        <f>'Sampling Data'!P1610</f>
        <v>2.5722684958353749E-3</v>
      </c>
      <c r="AC1617" s="111">
        <f>IF(
      SUM(Audit[[#This Row],[Audit Losing Candidate]:[Audit Candidate 6]])
      &lt;&gt;0,
      (Audit[[#This Row],[Winning Candidate]]-Audit[[#This Row],[Losing Candidate]]-(Audit[[#This Row],[Audit Winning Candidate]]-Audit[[#This Row],[Audit Losing Candidate]]))/(Audit[[#Totals],[Winning Candidate]]-Audit[[#Totals],[Losing Candidate]]),
      0
)</f>
        <v>0</v>
      </c>
      <c r="AD16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7" s="111">
        <f>IF(Audit[[#This Row],[Max Relative Error (ep)]] = 0, 0, Audit[[#This Row],[Max Relative Error (ep)]]/Audit[[#This Row],[Error Bound (up) - Max. possible relative overstatement]])</f>
        <v>0</v>
      </c>
      <c r="AJ16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17" s="111">
        <f t="shared" si="25"/>
        <v>1</v>
      </c>
      <c r="AL1617" s="111">
        <f>PRODUCT($AK$5:AK1617)</f>
        <v>8.962823818226312E-2</v>
      </c>
      <c r="AM1617" s="109">
        <f>1 - [K-M P Value]</f>
        <v>0.91037176181773694</v>
      </c>
      <c r="AN1617" s="111" t="str">
        <f>IF(Audit[[#This Row],[K-M P Value]]&gt;1-'General Info'!$B$16,"Continue", "Stop")</f>
        <v>Stop</v>
      </c>
      <c r="AO1617" s="110" t="b">
        <f>IF(Audit[[#This Row],[Status - Continue or stop audit]] = "Continue", TRUE, IF(AN1616 = "Continue", TRUE, FALSE))</f>
        <v>0</v>
      </c>
      <c r="AP1617" s="110"/>
    </row>
    <row r="1618" spans="1:42" ht="15" hidden="1" customHeight="1">
      <c r="A1618" s="111" t="str">
        <f>'Sampling Data'!W1611</f>
        <v/>
      </c>
      <c r="B1618" s="112" t="str">
        <f>'Sampling Data'!A1611</f>
        <v>OLMSTED FALLS  -04-B</v>
      </c>
      <c r="C1618" s="112">
        <f>'Sampling Data'!B1611</f>
        <v>27</v>
      </c>
      <c r="D1618" s="112">
        <f>'Sampling Data'!C1611</f>
        <v>38</v>
      </c>
      <c r="E1618" s="113">
        <f>'Sampling Data'!D1611</f>
        <v>10</v>
      </c>
      <c r="F1618" s="113">
        <f>'Sampling Data'!E1611</f>
        <v>10</v>
      </c>
      <c r="G1618" s="113">
        <f>'Sampling Data'!F1611</f>
        <v>0</v>
      </c>
      <c r="H1618" s="113">
        <f>'Sampling Data'!G1611</f>
        <v>1</v>
      </c>
      <c r="I1618" s="112">
        <f>'Sampling Data'!H1611</f>
        <v>0</v>
      </c>
      <c r="J1618" s="112">
        <f>'Sampling Data'!I1611</f>
        <v>1</v>
      </c>
      <c r="K1618" s="112">
        <f>'Sampling Data'!J1611</f>
        <v>87</v>
      </c>
      <c r="L1618" s="111">
        <f>'Sampling Data'!X1611</f>
        <v>0</v>
      </c>
      <c r="M1618" s="114"/>
      <c r="N1618" s="114"/>
      <c r="O1618" s="115"/>
      <c r="P1618" s="115"/>
      <c r="Q1618" s="116"/>
      <c r="R1618" s="116"/>
      <c r="S1618" s="111">
        <f>Audit[[#This Row],[Audit Losing Candidate]]-Audit[[#This Row],[Losing Candidate]]</f>
        <v>-27</v>
      </c>
      <c r="T1618" s="111">
        <f>Audit[[#This Row],[Audit Winning Candidate]]-Audit[[#This Row],[Winning Candidate]]</f>
        <v>-38</v>
      </c>
      <c r="U1618" s="111">
        <f>Audit[[#This Row],[Audit Candidate 3]]-Audit[[#This Row],[Candidate 3]]</f>
        <v>-10</v>
      </c>
      <c r="V1618" s="111">
        <f>Audit[[#This Row],[Audit Candidate 4]]-Audit[[#This Row],[Candidate 4]]</f>
        <v>-10</v>
      </c>
      <c r="W1618" s="111">
        <f>Audit[[#This Row],[Audit Candidate 5]]-Audit[[#This Row],[Candidate 5]]</f>
        <v>0</v>
      </c>
      <c r="X1618" s="111">
        <f>Audit[[#This Row],[Audit Candidate 6]]-Audit[[#This Row],[Candidate 6]]</f>
        <v>-1</v>
      </c>
      <c r="Y1618" s="111">
        <f>SUMIF(Audit[[#This Row],[Difference Loser]:[Difference Candidate 6]], "&gt;0")</f>
        <v>0</v>
      </c>
      <c r="Z1618" s="111">
        <f>SUM(Audit[[#This Row],[Difference Loser]:[Difference Candidate 6]])</f>
        <v>-86</v>
      </c>
      <c r="AA1618" s="111">
        <f>IF(Audit[[#This Row],[Times p Drawn - With Replacement]]&gt;0, IF(Audit[[#This Row],[Canceled Differences]]&lt;0, Audit[[#This Row],[Max Differences]]+ABS(Audit[[#This Row],[Canceled Differences]]), Audit[[#This Row],[Max Differences]]), 0)</f>
        <v>0</v>
      </c>
      <c r="AB1618" s="111">
        <f>'Sampling Data'!P1611</f>
        <v>6.0019598236158746E-3</v>
      </c>
      <c r="AC1618" s="111">
        <f>IF(
      SUM(Audit[[#This Row],[Audit Losing Candidate]:[Audit Candidate 6]])
      &lt;&gt;0,
      (Audit[[#This Row],[Winning Candidate]]-Audit[[#This Row],[Losing Candidate]]-(Audit[[#This Row],[Audit Winning Candidate]]-Audit[[#This Row],[Audit Losing Candidate]]))/(Audit[[#Totals],[Winning Candidate]]-Audit[[#Totals],[Losing Candidate]]),
      0
)</f>
        <v>0</v>
      </c>
      <c r="AD16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8" s="111">
        <f>IF(Audit[[#This Row],[Max Relative Error (ep)]] = 0, 0, Audit[[#This Row],[Max Relative Error (ep)]]/Audit[[#This Row],[Error Bound (up) - Max. possible relative overstatement]])</f>
        <v>0</v>
      </c>
      <c r="AJ16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18" s="111">
        <f t="shared" si="25"/>
        <v>1</v>
      </c>
      <c r="AL1618" s="111">
        <f>PRODUCT($AK$5:AK1618)</f>
        <v>8.962823818226312E-2</v>
      </c>
      <c r="AM1618" s="109">
        <f>1 - [K-M P Value]</f>
        <v>0.91037176181773694</v>
      </c>
      <c r="AN1618" s="111" t="str">
        <f>IF(Audit[[#This Row],[K-M P Value]]&gt;1-'General Info'!$B$16,"Continue", "Stop")</f>
        <v>Stop</v>
      </c>
      <c r="AO1618" s="110" t="b">
        <f>IF(Audit[[#This Row],[Status - Continue or stop audit]] = "Continue", TRUE, IF(AN1617 = "Continue", TRUE, FALSE))</f>
        <v>0</v>
      </c>
      <c r="AP1618" s="110"/>
    </row>
    <row r="1619" spans="1:42" ht="15" hidden="1" customHeight="1">
      <c r="A1619" s="111" t="str">
        <f>'Sampling Data'!W1612</f>
        <v/>
      </c>
      <c r="B1619" s="112" t="str">
        <f>'Sampling Data'!A1612</f>
        <v>OLMSTED FALLS  -04-B - ABS</v>
      </c>
      <c r="C1619" s="112">
        <f>'Sampling Data'!B1612</f>
        <v>25</v>
      </c>
      <c r="D1619" s="112">
        <f>'Sampling Data'!C1612</f>
        <v>12</v>
      </c>
      <c r="E1619" s="113">
        <f>'Sampling Data'!D1612</f>
        <v>1</v>
      </c>
      <c r="F1619" s="113">
        <f>'Sampling Data'!E1612</f>
        <v>0</v>
      </c>
      <c r="G1619" s="113">
        <f>'Sampling Data'!F1612</f>
        <v>1</v>
      </c>
      <c r="H1619" s="113">
        <f>'Sampling Data'!G1612</f>
        <v>0</v>
      </c>
      <c r="I1619" s="112">
        <f>'Sampling Data'!H1612</f>
        <v>0</v>
      </c>
      <c r="J1619" s="112">
        <f>'Sampling Data'!I1612</f>
        <v>1</v>
      </c>
      <c r="K1619" s="112">
        <f>'Sampling Data'!J1612</f>
        <v>40</v>
      </c>
      <c r="L1619" s="111">
        <f>'Sampling Data'!X1612</f>
        <v>0</v>
      </c>
      <c r="M1619" s="114"/>
      <c r="N1619" s="114"/>
      <c r="O1619" s="115"/>
      <c r="P1619" s="115"/>
      <c r="Q1619" s="116"/>
      <c r="R1619" s="116"/>
      <c r="S1619" s="111">
        <f>Audit[[#This Row],[Audit Losing Candidate]]-Audit[[#This Row],[Losing Candidate]]</f>
        <v>-25</v>
      </c>
      <c r="T1619" s="111">
        <f>Audit[[#This Row],[Audit Winning Candidate]]-Audit[[#This Row],[Winning Candidate]]</f>
        <v>-12</v>
      </c>
      <c r="U1619" s="111">
        <f>Audit[[#This Row],[Audit Candidate 3]]-Audit[[#This Row],[Candidate 3]]</f>
        <v>-1</v>
      </c>
      <c r="V1619" s="111">
        <f>Audit[[#This Row],[Audit Candidate 4]]-Audit[[#This Row],[Candidate 4]]</f>
        <v>0</v>
      </c>
      <c r="W1619" s="111">
        <f>Audit[[#This Row],[Audit Candidate 5]]-Audit[[#This Row],[Candidate 5]]</f>
        <v>-1</v>
      </c>
      <c r="X1619" s="111">
        <f>Audit[[#This Row],[Audit Candidate 6]]-Audit[[#This Row],[Candidate 6]]</f>
        <v>0</v>
      </c>
      <c r="Y1619" s="111">
        <f>SUMIF(Audit[[#This Row],[Difference Loser]:[Difference Candidate 6]], "&gt;0")</f>
        <v>0</v>
      </c>
      <c r="Z1619" s="111">
        <f>SUM(Audit[[#This Row],[Difference Loser]:[Difference Candidate 6]])</f>
        <v>-39</v>
      </c>
      <c r="AA1619" s="111">
        <f>IF(Audit[[#This Row],[Times p Drawn - With Replacement]]&gt;0, IF(Audit[[#This Row],[Canceled Differences]]&lt;0, Audit[[#This Row],[Max Differences]]+ABS(Audit[[#This Row],[Canceled Differences]]), Audit[[#This Row],[Max Differences]]), 0)</f>
        <v>0</v>
      </c>
      <c r="AB1619" s="111">
        <f>'Sampling Data'!P1612</f>
        <v>1.6536011758941694E-3</v>
      </c>
      <c r="AC1619" s="111">
        <f>IF(
      SUM(Audit[[#This Row],[Audit Losing Candidate]:[Audit Candidate 6]])
      &lt;&gt;0,
      (Audit[[#This Row],[Winning Candidate]]-Audit[[#This Row],[Losing Candidate]]-(Audit[[#This Row],[Audit Winning Candidate]]-Audit[[#This Row],[Audit Losing Candidate]]))/(Audit[[#Totals],[Winning Candidate]]-Audit[[#Totals],[Losing Candidate]]),
      0
)</f>
        <v>0</v>
      </c>
      <c r="AD16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9" s="111">
        <f>IF(Audit[[#This Row],[Max Relative Error (ep)]] = 0, 0, Audit[[#This Row],[Max Relative Error (ep)]]/Audit[[#This Row],[Error Bound (up) - Max. possible relative overstatement]])</f>
        <v>0</v>
      </c>
      <c r="AJ16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19" s="111">
        <f t="shared" si="25"/>
        <v>1</v>
      </c>
      <c r="AL1619" s="111">
        <f>PRODUCT($AK$5:AK1619)</f>
        <v>8.962823818226312E-2</v>
      </c>
      <c r="AM1619" s="109">
        <f>1 - [K-M P Value]</f>
        <v>0.91037176181773694</v>
      </c>
      <c r="AN1619" s="111" t="str">
        <f>IF(Audit[[#This Row],[K-M P Value]]&gt;1-'General Info'!$B$16,"Continue", "Stop")</f>
        <v>Stop</v>
      </c>
      <c r="AO1619" s="110" t="b">
        <f>IF(Audit[[#This Row],[Status - Continue or stop audit]] = "Continue", TRUE, IF(AN1618 = "Continue", TRUE, FALSE))</f>
        <v>0</v>
      </c>
      <c r="AP1619" s="110"/>
    </row>
    <row r="1620" spans="1:42" ht="15" hidden="1" customHeight="1">
      <c r="A1620" s="111" t="str">
        <f>'Sampling Data'!W1613</f>
        <v/>
      </c>
      <c r="B1620" s="112" t="str">
        <f>'Sampling Data'!A1613</f>
        <v>OLMSTED TOWNSHIP -00-A</v>
      </c>
      <c r="C1620" s="112">
        <f>'Sampling Data'!B1613</f>
        <v>25</v>
      </c>
      <c r="D1620" s="112">
        <f>'Sampling Data'!C1613</f>
        <v>45</v>
      </c>
      <c r="E1620" s="113">
        <f>'Sampling Data'!D1613</f>
        <v>15</v>
      </c>
      <c r="F1620" s="113">
        <f>'Sampling Data'!E1613</f>
        <v>7</v>
      </c>
      <c r="G1620" s="113">
        <f>'Sampling Data'!F1613</f>
        <v>0</v>
      </c>
      <c r="H1620" s="113">
        <f>'Sampling Data'!G1613</f>
        <v>2</v>
      </c>
      <c r="I1620" s="112">
        <f>'Sampling Data'!H1613</f>
        <v>0</v>
      </c>
      <c r="J1620" s="112">
        <f>'Sampling Data'!I1613</f>
        <v>1</v>
      </c>
      <c r="K1620" s="112">
        <f>'Sampling Data'!J1613</f>
        <v>95</v>
      </c>
      <c r="L1620" s="111">
        <f>'Sampling Data'!X1613</f>
        <v>0</v>
      </c>
      <c r="M1620" s="114"/>
      <c r="N1620" s="114"/>
      <c r="O1620" s="115"/>
      <c r="P1620" s="115"/>
      <c r="Q1620" s="116"/>
      <c r="R1620" s="116"/>
      <c r="S1620" s="111">
        <f>Audit[[#This Row],[Audit Losing Candidate]]-Audit[[#This Row],[Losing Candidate]]</f>
        <v>-25</v>
      </c>
      <c r="T1620" s="111">
        <f>Audit[[#This Row],[Audit Winning Candidate]]-Audit[[#This Row],[Winning Candidate]]</f>
        <v>-45</v>
      </c>
      <c r="U1620" s="111">
        <f>Audit[[#This Row],[Audit Candidate 3]]-Audit[[#This Row],[Candidate 3]]</f>
        <v>-15</v>
      </c>
      <c r="V1620" s="111">
        <f>Audit[[#This Row],[Audit Candidate 4]]-Audit[[#This Row],[Candidate 4]]</f>
        <v>-7</v>
      </c>
      <c r="W1620" s="111">
        <f>Audit[[#This Row],[Audit Candidate 5]]-Audit[[#This Row],[Candidate 5]]</f>
        <v>0</v>
      </c>
      <c r="X1620" s="111">
        <f>Audit[[#This Row],[Audit Candidate 6]]-Audit[[#This Row],[Candidate 6]]</f>
        <v>-2</v>
      </c>
      <c r="Y1620" s="111">
        <f>SUMIF(Audit[[#This Row],[Difference Loser]:[Difference Candidate 6]], "&gt;0")</f>
        <v>0</v>
      </c>
      <c r="Z1620" s="111">
        <f>SUM(Audit[[#This Row],[Difference Loser]:[Difference Candidate 6]])</f>
        <v>-94</v>
      </c>
      <c r="AA1620" s="111">
        <f>IF(Audit[[#This Row],[Times p Drawn - With Replacement]]&gt;0, IF(Audit[[#This Row],[Canceled Differences]]&lt;0, Audit[[#This Row],[Max Differences]]+ABS(Audit[[#This Row],[Canceled Differences]]), Audit[[#This Row],[Max Differences]]), 0)</f>
        <v>0</v>
      </c>
      <c r="AB1620" s="111">
        <f>'Sampling Data'!P1613</f>
        <v>7.0431161195492406E-3</v>
      </c>
      <c r="AC1620" s="111">
        <f>IF(
      SUM(Audit[[#This Row],[Audit Losing Candidate]:[Audit Candidate 6]])
      &lt;&gt;0,
      (Audit[[#This Row],[Winning Candidate]]-Audit[[#This Row],[Losing Candidate]]-(Audit[[#This Row],[Audit Winning Candidate]]-Audit[[#This Row],[Audit Losing Candidate]]))/(Audit[[#Totals],[Winning Candidate]]-Audit[[#Totals],[Losing Candidate]]),
      0
)</f>
        <v>0</v>
      </c>
      <c r="AD16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0" s="111">
        <f>IF(Audit[[#This Row],[Max Relative Error (ep)]] = 0, 0, Audit[[#This Row],[Max Relative Error (ep)]]/Audit[[#This Row],[Error Bound (up) - Max. possible relative overstatement]])</f>
        <v>0</v>
      </c>
      <c r="AJ16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20" s="111">
        <f t="shared" si="25"/>
        <v>1</v>
      </c>
      <c r="AL1620" s="111">
        <f>PRODUCT($AK$5:AK1620)</f>
        <v>8.962823818226312E-2</v>
      </c>
      <c r="AM1620" s="109">
        <f>1 - [K-M P Value]</f>
        <v>0.91037176181773694</v>
      </c>
      <c r="AN1620" s="111" t="str">
        <f>IF(Audit[[#This Row],[K-M P Value]]&gt;1-'General Info'!$B$16,"Continue", "Stop")</f>
        <v>Stop</v>
      </c>
      <c r="AO1620" s="110" t="b">
        <f>IF(Audit[[#This Row],[Status - Continue or stop audit]] = "Continue", TRUE, IF(AN1619 = "Continue", TRUE, FALSE))</f>
        <v>0</v>
      </c>
      <c r="AP1620" s="110"/>
    </row>
    <row r="1621" spans="1:42" ht="15" hidden="1" customHeight="1">
      <c r="A1621" s="111" t="str">
        <f>'Sampling Data'!W1614</f>
        <v/>
      </c>
      <c r="B1621" s="112" t="str">
        <f>'Sampling Data'!A1614</f>
        <v>OLMSTED TOWNSHIP -00-A - ABS</v>
      </c>
      <c r="C1621" s="112">
        <f>'Sampling Data'!B1614</f>
        <v>12</v>
      </c>
      <c r="D1621" s="112">
        <f>'Sampling Data'!C1614</f>
        <v>20</v>
      </c>
      <c r="E1621" s="113">
        <f>'Sampling Data'!D1614</f>
        <v>15</v>
      </c>
      <c r="F1621" s="113">
        <f>'Sampling Data'!E1614</f>
        <v>1</v>
      </c>
      <c r="G1621" s="113">
        <f>'Sampling Data'!F1614</f>
        <v>0</v>
      </c>
      <c r="H1621" s="113">
        <f>'Sampling Data'!G1614</f>
        <v>0</v>
      </c>
      <c r="I1621" s="112">
        <f>'Sampling Data'!H1614</f>
        <v>0</v>
      </c>
      <c r="J1621" s="112">
        <f>'Sampling Data'!I1614</f>
        <v>0</v>
      </c>
      <c r="K1621" s="112">
        <f>'Sampling Data'!J1614</f>
        <v>48</v>
      </c>
      <c r="L1621" s="111">
        <f>'Sampling Data'!X1614</f>
        <v>0</v>
      </c>
      <c r="M1621" s="114"/>
      <c r="N1621" s="114"/>
      <c r="O1621" s="115"/>
      <c r="P1621" s="115"/>
      <c r="Q1621" s="116"/>
      <c r="R1621" s="116"/>
      <c r="S1621" s="111">
        <f>Audit[[#This Row],[Audit Losing Candidate]]-Audit[[#This Row],[Losing Candidate]]</f>
        <v>-12</v>
      </c>
      <c r="T1621" s="111">
        <f>Audit[[#This Row],[Audit Winning Candidate]]-Audit[[#This Row],[Winning Candidate]]</f>
        <v>-20</v>
      </c>
      <c r="U1621" s="111">
        <f>Audit[[#This Row],[Audit Candidate 3]]-Audit[[#This Row],[Candidate 3]]</f>
        <v>-15</v>
      </c>
      <c r="V1621" s="111">
        <f>Audit[[#This Row],[Audit Candidate 4]]-Audit[[#This Row],[Candidate 4]]</f>
        <v>-1</v>
      </c>
      <c r="W1621" s="111">
        <f>Audit[[#This Row],[Audit Candidate 5]]-Audit[[#This Row],[Candidate 5]]</f>
        <v>0</v>
      </c>
      <c r="X1621" s="111">
        <f>Audit[[#This Row],[Audit Candidate 6]]-Audit[[#This Row],[Candidate 6]]</f>
        <v>0</v>
      </c>
      <c r="Y1621" s="111">
        <f>SUMIF(Audit[[#This Row],[Difference Loser]:[Difference Candidate 6]], "&gt;0")</f>
        <v>0</v>
      </c>
      <c r="Z1621" s="111">
        <f>SUM(Audit[[#This Row],[Difference Loser]:[Difference Candidate 6]])</f>
        <v>-48</v>
      </c>
      <c r="AA1621" s="111">
        <f>IF(Audit[[#This Row],[Times p Drawn - With Replacement]]&gt;0, IF(Audit[[#This Row],[Canceled Differences]]&lt;0, Audit[[#This Row],[Max Differences]]+ABS(Audit[[#This Row],[Canceled Differences]]), Audit[[#This Row],[Max Differences]]), 0)</f>
        <v>0</v>
      </c>
      <c r="AB1621" s="111">
        <f>'Sampling Data'!P1614</f>
        <v>3.4296913277804997E-3</v>
      </c>
      <c r="AC1621" s="111">
        <f>IF(
      SUM(Audit[[#This Row],[Audit Losing Candidate]:[Audit Candidate 6]])
      &lt;&gt;0,
      (Audit[[#This Row],[Winning Candidate]]-Audit[[#This Row],[Losing Candidate]]-(Audit[[#This Row],[Audit Winning Candidate]]-Audit[[#This Row],[Audit Losing Candidate]]))/(Audit[[#Totals],[Winning Candidate]]-Audit[[#Totals],[Losing Candidate]]),
      0
)</f>
        <v>0</v>
      </c>
      <c r="AD16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1" s="111">
        <f>IF(Audit[[#This Row],[Max Relative Error (ep)]] = 0, 0, Audit[[#This Row],[Max Relative Error (ep)]]/Audit[[#This Row],[Error Bound (up) - Max. possible relative overstatement]])</f>
        <v>0</v>
      </c>
      <c r="AJ16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21" s="111">
        <f t="shared" si="25"/>
        <v>1</v>
      </c>
      <c r="AL1621" s="111">
        <f>PRODUCT($AK$5:AK1621)</f>
        <v>8.962823818226312E-2</v>
      </c>
      <c r="AM1621" s="109">
        <f>1 - [K-M P Value]</f>
        <v>0.91037176181773694</v>
      </c>
      <c r="AN1621" s="111" t="str">
        <f>IF(Audit[[#This Row],[K-M P Value]]&gt;1-'General Info'!$B$16,"Continue", "Stop")</f>
        <v>Stop</v>
      </c>
      <c r="AO1621" s="110" t="b">
        <f>IF(Audit[[#This Row],[Status - Continue or stop audit]] = "Continue", TRUE, IF(AN1620 = "Continue", TRUE, FALSE))</f>
        <v>0</v>
      </c>
      <c r="AP1621" s="110"/>
    </row>
    <row r="1622" spans="1:42" ht="15" hidden="1" customHeight="1">
      <c r="A1622" s="111" t="str">
        <f>'Sampling Data'!W1616</f>
        <v/>
      </c>
      <c r="B1622" s="112" t="str">
        <f>'Sampling Data'!A1616</f>
        <v>OLMSTED TOWNSHIP -00-B - ABS</v>
      </c>
      <c r="C1622" s="112">
        <f>'Sampling Data'!B1616</f>
        <v>15</v>
      </c>
      <c r="D1622" s="112">
        <f>'Sampling Data'!C1616</f>
        <v>43</v>
      </c>
      <c r="E1622" s="113">
        <f>'Sampling Data'!D1616</f>
        <v>11</v>
      </c>
      <c r="F1622" s="113">
        <f>'Sampling Data'!E1616</f>
        <v>1</v>
      </c>
      <c r="G1622" s="113">
        <f>'Sampling Data'!F1616</f>
        <v>1</v>
      </c>
      <c r="H1622" s="113">
        <f>'Sampling Data'!G1616</f>
        <v>1</v>
      </c>
      <c r="I1622" s="112">
        <f>'Sampling Data'!H1616</f>
        <v>0</v>
      </c>
      <c r="J1622" s="112">
        <f>'Sampling Data'!I1616</f>
        <v>0</v>
      </c>
      <c r="K1622" s="112">
        <f>'Sampling Data'!J1616</f>
        <v>72</v>
      </c>
      <c r="L1622" s="111">
        <f>'Sampling Data'!X1616</f>
        <v>0</v>
      </c>
      <c r="M1622" s="114"/>
      <c r="N1622" s="114"/>
      <c r="O1622" s="115"/>
      <c r="P1622" s="115"/>
      <c r="Q1622" s="116"/>
      <c r="R1622" s="116"/>
      <c r="S1622" s="111">
        <f>Audit[[#This Row],[Audit Losing Candidate]]-Audit[[#This Row],[Losing Candidate]]</f>
        <v>-15</v>
      </c>
      <c r="T1622" s="111">
        <f>Audit[[#This Row],[Audit Winning Candidate]]-Audit[[#This Row],[Winning Candidate]]</f>
        <v>-43</v>
      </c>
      <c r="U1622" s="111">
        <f>Audit[[#This Row],[Audit Candidate 3]]-Audit[[#This Row],[Candidate 3]]</f>
        <v>-11</v>
      </c>
      <c r="V1622" s="111">
        <f>Audit[[#This Row],[Audit Candidate 4]]-Audit[[#This Row],[Candidate 4]]</f>
        <v>-1</v>
      </c>
      <c r="W1622" s="111">
        <f>Audit[[#This Row],[Audit Candidate 5]]-Audit[[#This Row],[Candidate 5]]</f>
        <v>-1</v>
      </c>
      <c r="X1622" s="111">
        <f>Audit[[#This Row],[Audit Candidate 6]]-Audit[[#This Row],[Candidate 6]]</f>
        <v>-1</v>
      </c>
      <c r="Y1622" s="111">
        <f>SUMIF(Audit[[#This Row],[Difference Loser]:[Difference Candidate 6]], "&gt;0")</f>
        <v>0</v>
      </c>
      <c r="Z1622" s="111">
        <f>SUM(Audit[[#This Row],[Difference Loser]:[Difference Candidate 6]])</f>
        <v>-72</v>
      </c>
      <c r="AA1622" s="111">
        <f>IF(Audit[[#This Row],[Times p Drawn - With Replacement]]&gt;0, IF(Audit[[#This Row],[Canceled Differences]]&lt;0, Audit[[#This Row],[Max Differences]]+ABS(Audit[[#This Row],[Canceled Differences]]), Audit[[#This Row],[Max Differences]]), 0)</f>
        <v>0</v>
      </c>
      <c r="AB1622" s="111">
        <f>'Sampling Data'!P1616</f>
        <v>6.1244487996080354E-3</v>
      </c>
      <c r="AC1622" s="111">
        <f>IF(
      SUM(Audit[[#This Row],[Audit Losing Candidate]:[Audit Candidate 6]])
      &lt;&gt;0,
      (Audit[[#This Row],[Winning Candidate]]-Audit[[#This Row],[Losing Candidate]]-(Audit[[#This Row],[Audit Winning Candidate]]-Audit[[#This Row],[Audit Losing Candidate]]))/(Audit[[#Totals],[Winning Candidate]]-Audit[[#Totals],[Losing Candidate]]),
      0
)</f>
        <v>0</v>
      </c>
      <c r="AD16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2" s="111">
        <f>IF(Audit[[#This Row],[Max Relative Error (ep)]] = 0, 0, Audit[[#This Row],[Max Relative Error (ep)]]/Audit[[#This Row],[Error Bound (up) - Max. possible relative overstatement]])</f>
        <v>0</v>
      </c>
      <c r="AJ16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22" s="111">
        <f t="shared" si="25"/>
        <v>1</v>
      </c>
      <c r="AL1622" s="111">
        <f>PRODUCT($AK$5:AK1622)</f>
        <v>8.962823818226312E-2</v>
      </c>
      <c r="AM1622" s="109">
        <f>1 - [K-M P Value]</f>
        <v>0.91037176181773694</v>
      </c>
      <c r="AN1622" s="111" t="str">
        <f>IF(Audit[[#This Row],[K-M P Value]]&gt;1-'General Info'!$B$16,"Continue", "Stop")</f>
        <v>Stop</v>
      </c>
      <c r="AO1622" s="110" t="b">
        <f>IF(Audit[[#This Row],[Status - Continue or stop audit]] = "Continue", TRUE, IF(AN1621 = "Continue", TRUE, FALSE))</f>
        <v>0</v>
      </c>
      <c r="AP1622" s="110"/>
    </row>
    <row r="1623" spans="1:42" ht="15" hidden="1" customHeight="1">
      <c r="A1623" s="111" t="str">
        <f>'Sampling Data'!W1617</f>
        <v/>
      </c>
      <c r="B1623" s="112" t="str">
        <f>'Sampling Data'!A1617</f>
        <v>OLMSTED TOWNSHIP -00-C</v>
      </c>
      <c r="C1623" s="112">
        <f>'Sampling Data'!B1617</f>
        <v>43</v>
      </c>
      <c r="D1623" s="112">
        <f>'Sampling Data'!C1617</f>
        <v>57</v>
      </c>
      <c r="E1623" s="113">
        <f>'Sampling Data'!D1617</f>
        <v>14</v>
      </c>
      <c r="F1623" s="113">
        <f>'Sampling Data'!E1617</f>
        <v>10</v>
      </c>
      <c r="G1623" s="113">
        <f>'Sampling Data'!F1617</f>
        <v>0</v>
      </c>
      <c r="H1623" s="113">
        <f>'Sampling Data'!G1617</f>
        <v>0</v>
      </c>
      <c r="I1623" s="112">
        <f>'Sampling Data'!H1617</f>
        <v>0</v>
      </c>
      <c r="J1623" s="112">
        <f>'Sampling Data'!I1617</f>
        <v>0</v>
      </c>
      <c r="K1623" s="112">
        <f>'Sampling Data'!J1617</f>
        <v>124</v>
      </c>
      <c r="L1623" s="111">
        <f>'Sampling Data'!X1617</f>
        <v>0</v>
      </c>
      <c r="M1623" s="114"/>
      <c r="N1623" s="114"/>
      <c r="O1623" s="115"/>
      <c r="P1623" s="115"/>
      <c r="Q1623" s="116"/>
      <c r="R1623" s="116"/>
      <c r="S1623" s="111">
        <f>Audit[[#This Row],[Audit Losing Candidate]]-Audit[[#This Row],[Losing Candidate]]</f>
        <v>-43</v>
      </c>
      <c r="T1623" s="111">
        <f>Audit[[#This Row],[Audit Winning Candidate]]-Audit[[#This Row],[Winning Candidate]]</f>
        <v>-57</v>
      </c>
      <c r="U1623" s="111">
        <f>Audit[[#This Row],[Audit Candidate 3]]-Audit[[#This Row],[Candidate 3]]</f>
        <v>-14</v>
      </c>
      <c r="V1623" s="111">
        <f>Audit[[#This Row],[Audit Candidate 4]]-Audit[[#This Row],[Candidate 4]]</f>
        <v>-10</v>
      </c>
      <c r="W1623" s="111">
        <f>Audit[[#This Row],[Audit Candidate 5]]-Audit[[#This Row],[Candidate 5]]</f>
        <v>0</v>
      </c>
      <c r="X1623" s="111">
        <f>Audit[[#This Row],[Audit Candidate 6]]-Audit[[#This Row],[Candidate 6]]</f>
        <v>0</v>
      </c>
      <c r="Y1623" s="111">
        <f>SUMIF(Audit[[#This Row],[Difference Loser]:[Difference Candidate 6]], "&gt;0")</f>
        <v>0</v>
      </c>
      <c r="Z1623" s="111">
        <f>SUM(Audit[[#This Row],[Difference Loser]:[Difference Candidate 6]])</f>
        <v>-124</v>
      </c>
      <c r="AA1623" s="111">
        <f>IF(Audit[[#This Row],[Times p Drawn - With Replacement]]&gt;0, IF(Audit[[#This Row],[Canceled Differences]]&lt;0, Audit[[#This Row],[Max Differences]]+ABS(Audit[[#This Row],[Canceled Differences]]), Audit[[#This Row],[Max Differences]]), 0)</f>
        <v>0</v>
      </c>
      <c r="AB1623" s="111">
        <f>'Sampling Data'!P1617</f>
        <v>8.4517393434590891E-3</v>
      </c>
      <c r="AC1623" s="111">
        <f>IF(
      SUM(Audit[[#This Row],[Audit Losing Candidate]:[Audit Candidate 6]])
      &lt;&gt;0,
      (Audit[[#This Row],[Winning Candidate]]-Audit[[#This Row],[Losing Candidate]]-(Audit[[#This Row],[Audit Winning Candidate]]-Audit[[#This Row],[Audit Losing Candidate]]))/(Audit[[#Totals],[Winning Candidate]]-Audit[[#Totals],[Losing Candidate]]),
      0
)</f>
        <v>0</v>
      </c>
      <c r="AD16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3" s="111">
        <f>IF(Audit[[#This Row],[Max Relative Error (ep)]] = 0, 0, Audit[[#This Row],[Max Relative Error (ep)]]/Audit[[#This Row],[Error Bound (up) - Max. possible relative overstatement]])</f>
        <v>0</v>
      </c>
      <c r="AJ16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23" s="111">
        <f t="shared" si="25"/>
        <v>1</v>
      </c>
      <c r="AL1623" s="111">
        <f>PRODUCT($AK$5:AK1623)</f>
        <v>8.962823818226312E-2</v>
      </c>
      <c r="AM1623" s="109">
        <f>1 - [K-M P Value]</f>
        <v>0.91037176181773694</v>
      </c>
      <c r="AN1623" s="111" t="str">
        <f>IF(Audit[[#This Row],[K-M P Value]]&gt;1-'General Info'!$B$16,"Continue", "Stop")</f>
        <v>Stop</v>
      </c>
      <c r="AO1623" s="110" t="b">
        <f>IF(Audit[[#This Row],[Status - Continue or stop audit]] = "Continue", TRUE, IF(AN1622 = "Continue", TRUE, FALSE))</f>
        <v>0</v>
      </c>
      <c r="AP1623" s="110"/>
    </row>
    <row r="1624" spans="1:42" ht="15" hidden="1" customHeight="1">
      <c r="A1624" s="111" t="str">
        <f>'Sampling Data'!W1618</f>
        <v/>
      </c>
      <c r="B1624" s="112" t="str">
        <f>'Sampling Data'!A1618</f>
        <v>OLMSTED TOWNSHIP -00-C - ABS</v>
      </c>
      <c r="C1624" s="112">
        <f>'Sampling Data'!B1618</f>
        <v>15</v>
      </c>
      <c r="D1624" s="112">
        <f>'Sampling Data'!C1618</f>
        <v>9</v>
      </c>
      <c r="E1624" s="113">
        <f>'Sampling Data'!D1618</f>
        <v>3</v>
      </c>
      <c r="F1624" s="113">
        <f>'Sampling Data'!E1618</f>
        <v>2</v>
      </c>
      <c r="G1624" s="113">
        <f>'Sampling Data'!F1618</f>
        <v>0</v>
      </c>
      <c r="H1624" s="113">
        <f>'Sampling Data'!G1618</f>
        <v>0</v>
      </c>
      <c r="I1624" s="112">
        <f>'Sampling Data'!H1618</f>
        <v>0</v>
      </c>
      <c r="J1624" s="112">
        <f>'Sampling Data'!I1618</f>
        <v>1</v>
      </c>
      <c r="K1624" s="112">
        <f>'Sampling Data'!J1618</f>
        <v>30</v>
      </c>
      <c r="L1624" s="111">
        <f>'Sampling Data'!X1618</f>
        <v>0</v>
      </c>
      <c r="M1624" s="114"/>
      <c r="N1624" s="114"/>
      <c r="O1624" s="115"/>
      <c r="P1624" s="115"/>
      <c r="Q1624" s="116"/>
      <c r="R1624" s="116"/>
      <c r="S1624" s="111">
        <f>Audit[[#This Row],[Audit Losing Candidate]]-Audit[[#This Row],[Losing Candidate]]</f>
        <v>-15</v>
      </c>
      <c r="T1624" s="111">
        <f>Audit[[#This Row],[Audit Winning Candidate]]-Audit[[#This Row],[Winning Candidate]]</f>
        <v>-9</v>
      </c>
      <c r="U1624" s="111">
        <f>Audit[[#This Row],[Audit Candidate 3]]-Audit[[#This Row],[Candidate 3]]</f>
        <v>-3</v>
      </c>
      <c r="V1624" s="111">
        <f>Audit[[#This Row],[Audit Candidate 4]]-Audit[[#This Row],[Candidate 4]]</f>
        <v>-2</v>
      </c>
      <c r="W1624" s="111">
        <f>Audit[[#This Row],[Audit Candidate 5]]-Audit[[#This Row],[Candidate 5]]</f>
        <v>0</v>
      </c>
      <c r="X1624" s="111">
        <f>Audit[[#This Row],[Audit Candidate 6]]-Audit[[#This Row],[Candidate 6]]</f>
        <v>0</v>
      </c>
      <c r="Y1624" s="111">
        <f>SUMIF(Audit[[#This Row],[Difference Loser]:[Difference Candidate 6]], "&gt;0")</f>
        <v>0</v>
      </c>
      <c r="Z1624" s="111">
        <f>SUM(Audit[[#This Row],[Difference Loser]:[Difference Candidate 6]])</f>
        <v>-29</v>
      </c>
      <c r="AA1624" s="111">
        <f>IF(Audit[[#This Row],[Times p Drawn - With Replacement]]&gt;0, IF(Audit[[#This Row],[Canceled Differences]]&lt;0, Audit[[#This Row],[Max Differences]]+ABS(Audit[[#This Row],[Canceled Differences]]), Audit[[#This Row],[Max Differences]]), 0)</f>
        <v>0</v>
      </c>
      <c r="AB1624" s="111">
        <f>'Sampling Data'!P1618</f>
        <v>1.4698677119059284E-3</v>
      </c>
      <c r="AC1624" s="111">
        <f>IF(
      SUM(Audit[[#This Row],[Audit Losing Candidate]:[Audit Candidate 6]])
      &lt;&gt;0,
      (Audit[[#This Row],[Winning Candidate]]-Audit[[#This Row],[Losing Candidate]]-(Audit[[#This Row],[Audit Winning Candidate]]-Audit[[#This Row],[Audit Losing Candidate]]))/(Audit[[#Totals],[Winning Candidate]]-Audit[[#Totals],[Losing Candidate]]),
      0
)</f>
        <v>0</v>
      </c>
      <c r="AD16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4" s="111">
        <f>IF(Audit[[#This Row],[Max Relative Error (ep)]] = 0, 0, Audit[[#This Row],[Max Relative Error (ep)]]/Audit[[#This Row],[Error Bound (up) - Max. possible relative overstatement]])</f>
        <v>0</v>
      </c>
      <c r="AJ16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24" s="111">
        <f t="shared" si="25"/>
        <v>1</v>
      </c>
      <c r="AL1624" s="111">
        <f>PRODUCT($AK$5:AK1624)</f>
        <v>8.962823818226312E-2</v>
      </c>
      <c r="AM1624" s="109">
        <f>1 - [K-M P Value]</f>
        <v>0.91037176181773694</v>
      </c>
      <c r="AN1624" s="111" t="str">
        <f>IF(Audit[[#This Row],[K-M P Value]]&gt;1-'General Info'!$B$16,"Continue", "Stop")</f>
        <v>Stop</v>
      </c>
      <c r="AO1624" s="110" t="b">
        <f>IF(Audit[[#This Row],[Status - Continue or stop audit]] = "Continue", TRUE, IF(AN1623 = "Continue", TRUE, FALSE))</f>
        <v>0</v>
      </c>
      <c r="AP1624" s="110"/>
    </row>
    <row r="1625" spans="1:42" ht="15" hidden="1" customHeight="1">
      <c r="A1625" s="111" t="str">
        <f>'Sampling Data'!W1619</f>
        <v/>
      </c>
      <c r="B1625" s="112" t="str">
        <f>'Sampling Data'!A1619</f>
        <v>OLMSTED TOWNSHIP -00-D</v>
      </c>
      <c r="C1625" s="112">
        <f>'Sampling Data'!B1619</f>
        <v>18</v>
      </c>
      <c r="D1625" s="112">
        <f>'Sampling Data'!C1619</f>
        <v>27</v>
      </c>
      <c r="E1625" s="113">
        <f>'Sampling Data'!D1619</f>
        <v>17</v>
      </c>
      <c r="F1625" s="113">
        <f>'Sampling Data'!E1619</f>
        <v>18</v>
      </c>
      <c r="G1625" s="113">
        <f>'Sampling Data'!F1619</f>
        <v>0</v>
      </c>
      <c r="H1625" s="113">
        <f>'Sampling Data'!G1619</f>
        <v>0</v>
      </c>
      <c r="I1625" s="112">
        <f>'Sampling Data'!H1619</f>
        <v>0</v>
      </c>
      <c r="J1625" s="112">
        <f>'Sampling Data'!I1619</f>
        <v>0</v>
      </c>
      <c r="K1625" s="112">
        <f>'Sampling Data'!J1619</f>
        <v>80</v>
      </c>
      <c r="L1625" s="111">
        <f>'Sampling Data'!X1619</f>
        <v>0</v>
      </c>
      <c r="M1625" s="114"/>
      <c r="N1625" s="114"/>
      <c r="O1625" s="115"/>
      <c r="P1625" s="115"/>
      <c r="Q1625" s="116"/>
      <c r="R1625" s="116"/>
      <c r="S1625" s="111">
        <f>Audit[[#This Row],[Audit Losing Candidate]]-Audit[[#This Row],[Losing Candidate]]</f>
        <v>-18</v>
      </c>
      <c r="T1625" s="111">
        <f>Audit[[#This Row],[Audit Winning Candidate]]-Audit[[#This Row],[Winning Candidate]]</f>
        <v>-27</v>
      </c>
      <c r="U1625" s="111">
        <f>Audit[[#This Row],[Audit Candidate 3]]-Audit[[#This Row],[Candidate 3]]</f>
        <v>-17</v>
      </c>
      <c r="V1625" s="111">
        <f>Audit[[#This Row],[Audit Candidate 4]]-Audit[[#This Row],[Candidate 4]]</f>
        <v>-18</v>
      </c>
      <c r="W1625" s="111">
        <f>Audit[[#This Row],[Audit Candidate 5]]-Audit[[#This Row],[Candidate 5]]</f>
        <v>0</v>
      </c>
      <c r="X1625" s="111">
        <f>Audit[[#This Row],[Audit Candidate 6]]-Audit[[#This Row],[Candidate 6]]</f>
        <v>0</v>
      </c>
      <c r="Y1625" s="111">
        <f>SUMIF(Audit[[#This Row],[Difference Loser]:[Difference Candidate 6]], "&gt;0")</f>
        <v>0</v>
      </c>
      <c r="Z1625" s="111">
        <f>SUM(Audit[[#This Row],[Difference Loser]:[Difference Candidate 6]])</f>
        <v>-80</v>
      </c>
      <c r="AA1625" s="111">
        <f>IF(Audit[[#This Row],[Times p Drawn - With Replacement]]&gt;0, IF(Audit[[#This Row],[Canceled Differences]]&lt;0, Audit[[#This Row],[Max Differences]]+ABS(Audit[[#This Row],[Canceled Differences]]), Audit[[#This Row],[Max Differences]]), 0)</f>
        <v>0</v>
      </c>
      <c r="AB1625" s="111">
        <f>'Sampling Data'!P1619</f>
        <v>5.4507594316511518E-3</v>
      </c>
      <c r="AC1625" s="111">
        <f>IF(
      SUM(Audit[[#This Row],[Audit Losing Candidate]:[Audit Candidate 6]])
      &lt;&gt;0,
      (Audit[[#This Row],[Winning Candidate]]-Audit[[#This Row],[Losing Candidate]]-(Audit[[#This Row],[Audit Winning Candidate]]-Audit[[#This Row],[Audit Losing Candidate]]))/(Audit[[#Totals],[Winning Candidate]]-Audit[[#Totals],[Losing Candidate]]),
      0
)</f>
        <v>0</v>
      </c>
      <c r="AD16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5" s="111">
        <f>IF(Audit[[#This Row],[Max Relative Error (ep)]] = 0, 0, Audit[[#This Row],[Max Relative Error (ep)]]/Audit[[#This Row],[Error Bound (up) - Max. possible relative overstatement]])</f>
        <v>0</v>
      </c>
      <c r="AJ16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25" s="111">
        <f t="shared" si="25"/>
        <v>1</v>
      </c>
      <c r="AL1625" s="111">
        <f>PRODUCT($AK$5:AK1625)</f>
        <v>8.962823818226312E-2</v>
      </c>
      <c r="AM1625" s="109">
        <f>1 - [K-M P Value]</f>
        <v>0.91037176181773694</v>
      </c>
      <c r="AN1625" s="111" t="str">
        <f>IF(Audit[[#This Row],[K-M P Value]]&gt;1-'General Info'!$B$16,"Continue", "Stop")</f>
        <v>Stop</v>
      </c>
      <c r="AO1625" s="110" t="b">
        <f>IF(Audit[[#This Row],[Status - Continue or stop audit]] = "Continue", TRUE, IF(AN1624 = "Continue", TRUE, FALSE))</f>
        <v>0</v>
      </c>
      <c r="AP1625" s="110"/>
    </row>
    <row r="1626" spans="1:42" ht="15" hidden="1" customHeight="1">
      <c r="A1626" s="111" t="str">
        <f>'Sampling Data'!W1620</f>
        <v/>
      </c>
      <c r="B1626" s="112" t="str">
        <f>'Sampling Data'!A1620</f>
        <v>OLMSTED TOWNSHIP -00-D - ABS</v>
      </c>
      <c r="C1626" s="112">
        <f>'Sampling Data'!B1620</f>
        <v>23</v>
      </c>
      <c r="D1626" s="112">
        <f>'Sampling Data'!C1620</f>
        <v>13</v>
      </c>
      <c r="E1626" s="113">
        <f>'Sampling Data'!D1620</f>
        <v>3</v>
      </c>
      <c r="F1626" s="113">
        <f>'Sampling Data'!E1620</f>
        <v>0</v>
      </c>
      <c r="G1626" s="113">
        <f>'Sampling Data'!F1620</f>
        <v>1</v>
      </c>
      <c r="H1626" s="113">
        <f>'Sampling Data'!G1620</f>
        <v>0</v>
      </c>
      <c r="I1626" s="112">
        <f>'Sampling Data'!H1620</f>
        <v>0</v>
      </c>
      <c r="J1626" s="112">
        <f>'Sampling Data'!I1620</f>
        <v>1</v>
      </c>
      <c r="K1626" s="112">
        <f>'Sampling Data'!J1620</f>
        <v>41</v>
      </c>
      <c r="L1626" s="111">
        <f>'Sampling Data'!X1620</f>
        <v>0</v>
      </c>
      <c r="M1626" s="114"/>
      <c r="N1626" s="114"/>
      <c r="O1626" s="115"/>
      <c r="P1626" s="115"/>
      <c r="Q1626" s="116"/>
      <c r="R1626" s="116"/>
      <c r="S1626" s="111">
        <f>Audit[[#This Row],[Audit Losing Candidate]]-Audit[[#This Row],[Losing Candidate]]</f>
        <v>-23</v>
      </c>
      <c r="T1626" s="111">
        <f>Audit[[#This Row],[Audit Winning Candidate]]-Audit[[#This Row],[Winning Candidate]]</f>
        <v>-13</v>
      </c>
      <c r="U1626" s="111">
        <f>Audit[[#This Row],[Audit Candidate 3]]-Audit[[#This Row],[Candidate 3]]</f>
        <v>-3</v>
      </c>
      <c r="V1626" s="111">
        <f>Audit[[#This Row],[Audit Candidate 4]]-Audit[[#This Row],[Candidate 4]]</f>
        <v>0</v>
      </c>
      <c r="W1626" s="111">
        <f>Audit[[#This Row],[Audit Candidate 5]]-Audit[[#This Row],[Candidate 5]]</f>
        <v>-1</v>
      </c>
      <c r="X1626" s="111">
        <f>Audit[[#This Row],[Audit Candidate 6]]-Audit[[#This Row],[Candidate 6]]</f>
        <v>0</v>
      </c>
      <c r="Y1626" s="111">
        <f>SUMIF(Audit[[#This Row],[Difference Loser]:[Difference Candidate 6]], "&gt;0")</f>
        <v>0</v>
      </c>
      <c r="Z1626" s="111">
        <f>SUM(Audit[[#This Row],[Difference Loser]:[Difference Candidate 6]])</f>
        <v>-40</v>
      </c>
      <c r="AA1626" s="111">
        <f>IF(Audit[[#This Row],[Times p Drawn - With Replacement]]&gt;0, IF(Audit[[#This Row],[Canceled Differences]]&lt;0, Audit[[#This Row],[Max Differences]]+ABS(Audit[[#This Row],[Canceled Differences]]), Audit[[#This Row],[Max Differences]]), 0)</f>
        <v>0</v>
      </c>
      <c r="AB1626" s="111">
        <f>'Sampling Data'!P1620</f>
        <v>1.8985791278784908E-3</v>
      </c>
      <c r="AC1626" s="111">
        <f>IF(
      SUM(Audit[[#This Row],[Audit Losing Candidate]:[Audit Candidate 6]])
      &lt;&gt;0,
      (Audit[[#This Row],[Winning Candidate]]-Audit[[#This Row],[Losing Candidate]]-(Audit[[#This Row],[Audit Winning Candidate]]-Audit[[#This Row],[Audit Losing Candidate]]))/(Audit[[#Totals],[Winning Candidate]]-Audit[[#Totals],[Losing Candidate]]),
      0
)</f>
        <v>0</v>
      </c>
      <c r="AD16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6" s="111">
        <f>IF(Audit[[#This Row],[Max Relative Error (ep)]] = 0, 0, Audit[[#This Row],[Max Relative Error (ep)]]/Audit[[#This Row],[Error Bound (up) - Max. possible relative overstatement]])</f>
        <v>0</v>
      </c>
      <c r="AJ16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26" s="111">
        <f t="shared" si="25"/>
        <v>1</v>
      </c>
      <c r="AL1626" s="111">
        <f>PRODUCT($AK$5:AK1626)</f>
        <v>8.962823818226312E-2</v>
      </c>
      <c r="AM1626" s="109">
        <f>1 - [K-M P Value]</f>
        <v>0.91037176181773694</v>
      </c>
      <c r="AN1626" s="111" t="str">
        <f>IF(Audit[[#This Row],[K-M P Value]]&gt;1-'General Info'!$B$16,"Continue", "Stop")</f>
        <v>Stop</v>
      </c>
      <c r="AO1626" s="110" t="b">
        <f>IF(Audit[[#This Row],[Status - Continue or stop audit]] = "Continue", TRUE, IF(AN1625 = "Continue", TRUE, FALSE))</f>
        <v>0</v>
      </c>
      <c r="AP1626" s="110"/>
    </row>
    <row r="1627" spans="1:42" ht="15" hidden="1" customHeight="1">
      <c r="A1627" s="111" t="str">
        <f>'Sampling Data'!W1621</f>
        <v/>
      </c>
      <c r="B1627" s="112" t="str">
        <f>'Sampling Data'!A1621</f>
        <v>OLMSTED TOWNSHIP -00-E</v>
      </c>
      <c r="C1627" s="112">
        <f>'Sampling Data'!B1621</f>
        <v>32</v>
      </c>
      <c r="D1627" s="112">
        <f>'Sampling Data'!C1621</f>
        <v>56</v>
      </c>
      <c r="E1627" s="113">
        <f>'Sampling Data'!D1621</f>
        <v>17</v>
      </c>
      <c r="F1627" s="113">
        <f>'Sampling Data'!E1621</f>
        <v>11</v>
      </c>
      <c r="G1627" s="113">
        <f>'Sampling Data'!F1621</f>
        <v>2</v>
      </c>
      <c r="H1627" s="113">
        <f>'Sampling Data'!G1621</f>
        <v>0</v>
      </c>
      <c r="I1627" s="112">
        <f>'Sampling Data'!H1621</f>
        <v>0</v>
      </c>
      <c r="J1627" s="112">
        <f>'Sampling Data'!I1621</f>
        <v>1</v>
      </c>
      <c r="K1627" s="112">
        <f>'Sampling Data'!J1621</f>
        <v>119</v>
      </c>
      <c r="L1627" s="111">
        <f>'Sampling Data'!X1621</f>
        <v>0</v>
      </c>
      <c r="M1627" s="114"/>
      <c r="N1627" s="114"/>
      <c r="O1627" s="115"/>
      <c r="P1627" s="115"/>
      <c r="Q1627" s="116"/>
      <c r="R1627" s="116"/>
      <c r="S1627" s="111">
        <f>Audit[[#This Row],[Audit Losing Candidate]]-Audit[[#This Row],[Losing Candidate]]</f>
        <v>-32</v>
      </c>
      <c r="T1627" s="111">
        <f>Audit[[#This Row],[Audit Winning Candidate]]-Audit[[#This Row],[Winning Candidate]]</f>
        <v>-56</v>
      </c>
      <c r="U1627" s="111">
        <f>Audit[[#This Row],[Audit Candidate 3]]-Audit[[#This Row],[Candidate 3]]</f>
        <v>-17</v>
      </c>
      <c r="V1627" s="111">
        <f>Audit[[#This Row],[Audit Candidate 4]]-Audit[[#This Row],[Candidate 4]]</f>
        <v>-11</v>
      </c>
      <c r="W1627" s="111">
        <f>Audit[[#This Row],[Audit Candidate 5]]-Audit[[#This Row],[Candidate 5]]</f>
        <v>-2</v>
      </c>
      <c r="X1627" s="111">
        <f>Audit[[#This Row],[Audit Candidate 6]]-Audit[[#This Row],[Candidate 6]]</f>
        <v>0</v>
      </c>
      <c r="Y1627" s="111">
        <f>SUMIF(Audit[[#This Row],[Difference Loser]:[Difference Candidate 6]], "&gt;0")</f>
        <v>0</v>
      </c>
      <c r="Z1627" s="111">
        <f>SUM(Audit[[#This Row],[Difference Loser]:[Difference Candidate 6]])</f>
        <v>-118</v>
      </c>
      <c r="AA1627" s="111">
        <f>IF(Audit[[#This Row],[Times p Drawn - With Replacement]]&gt;0, IF(Audit[[#This Row],[Canceled Differences]]&lt;0, Audit[[#This Row],[Max Differences]]+ABS(Audit[[#This Row],[Canceled Differences]]), Audit[[#This Row],[Max Differences]]), 0)</f>
        <v>0</v>
      </c>
      <c r="AB1627" s="111">
        <f>'Sampling Data'!P1621</f>
        <v>8.7579617834394902E-3</v>
      </c>
      <c r="AC1627" s="111">
        <f>IF(
      SUM(Audit[[#This Row],[Audit Losing Candidate]:[Audit Candidate 6]])
      &lt;&gt;0,
      (Audit[[#This Row],[Winning Candidate]]-Audit[[#This Row],[Losing Candidate]]-(Audit[[#This Row],[Audit Winning Candidate]]-Audit[[#This Row],[Audit Losing Candidate]]))/(Audit[[#Totals],[Winning Candidate]]-Audit[[#Totals],[Losing Candidate]]),
      0
)</f>
        <v>0</v>
      </c>
      <c r="AD16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7" s="111">
        <f>IF(Audit[[#This Row],[Max Relative Error (ep)]] = 0, 0, Audit[[#This Row],[Max Relative Error (ep)]]/Audit[[#This Row],[Error Bound (up) - Max. possible relative overstatement]])</f>
        <v>0</v>
      </c>
      <c r="AJ16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27" s="111">
        <f t="shared" si="25"/>
        <v>1</v>
      </c>
      <c r="AL1627" s="111">
        <f>PRODUCT($AK$5:AK1627)</f>
        <v>8.962823818226312E-2</v>
      </c>
      <c r="AM1627" s="109">
        <f>1 - [K-M P Value]</f>
        <v>0.91037176181773694</v>
      </c>
      <c r="AN1627" s="111" t="str">
        <f>IF(Audit[[#This Row],[K-M P Value]]&gt;1-'General Info'!$B$16,"Continue", "Stop")</f>
        <v>Stop</v>
      </c>
      <c r="AO1627" s="110" t="b">
        <f>IF(Audit[[#This Row],[Status - Continue or stop audit]] = "Continue", TRUE, IF(AN1626 = "Continue", TRUE, FALSE))</f>
        <v>0</v>
      </c>
      <c r="AP1627" s="110"/>
    </row>
    <row r="1628" spans="1:42" ht="15" hidden="1" customHeight="1">
      <c r="A1628" s="111" t="str">
        <f>'Sampling Data'!W1622</f>
        <v/>
      </c>
      <c r="B1628" s="112" t="str">
        <f>'Sampling Data'!A1622</f>
        <v>OLMSTED TOWNSHIP -00-E - ABS</v>
      </c>
      <c r="C1628" s="112">
        <f>'Sampling Data'!B1622</f>
        <v>17</v>
      </c>
      <c r="D1628" s="112">
        <f>'Sampling Data'!C1622</f>
        <v>19</v>
      </c>
      <c r="E1628" s="113">
        <f>'Sampling Data'!D1622</f>
        <v>4</v>
      </c>
      <c r="F1628" s="113">
        <f>'Sampling Data'!E1622</f>
        <v>5</v>
      </c>
      <c r="G1628" s="113">
        <f>'Sampling Data'!F1622</f>
        <v>0</v>
      </c>
      <c r="H1628" s="113">
        <f>'Sampling Data'!G1622</f>
        <v>0</v>
      </c>
      <c r="I1628" s="112">
        <f>'Sampling Data'!H1622</f>
        <v>0</v>
      </c>
      <c r="J1628" s="112">
        <f>'Sampling Data'!I1622</f>
        <v>0</v>
      </c>
      <c r="K1628" s="112">
        <f>'Sampling Data'!J1622</f>
        <v>45</v>
      </c>
      <c r="L1628" s="111">
        <f>'Sampling Data'!X1622</f>
        <v>0</v>
      </c>
      <c r="M1628" s="114"/>
      <c r="N1628" s="114"/>
      <c r="O1628" s="115"/>
      <c r="P1628" s="115"/>
      <c r="Q1628" s="116"/>
      <c r="R1628" s="116"/>
      <c r="S1628" s="111">
        <f>Audit[[#This Row],[Audit Losing Candidate]]-Audit[[#This Row],[Losing Candidate]]</f>
        <v>-17</v>
      </c>
      <c r="T1628" s="111">
        <f>Audit[[#This Row],[Audit Winning Candidate]]-Audit[[#This Row],[Winning Candidate]]</f>
        <v>-19</v>
      </c>
      <c r="U1628" s="111">
        <f>Audit[[#This Row],[Audit Candidate 3]]-Audit[[#This Row],[Candidate 3]]</f>
        <v>-4</v>
      </c>
      <c r="V1628" s="111">
        <f>Audit[[#This Row],[Audit Candidate 4]]-Audit[[#This Row],[Candidate 4]]</f>
        <v>-5</v>
      </c>
      <c r="W1628" s="111">
        <f>Audit[[#This Row],[Audit Candidate 5]]-Audit[[#This Row],[Candidate 5]]</f>
        <v>0</v>
      </c>
      <c r="X1628" s="111">
        <f>Audit[[#This Row],[Audit Candidate 6]]-Audit[[#This Row],[Candidate 6]]</f>
        <v>0</v>
      </c>
      <c r="Y1628" s="111">
        <f>SUMIF(Audit[[#This Row],[Difference Loser]:[Difference Candidate 6]], "&gt;0")</f>
        <v>0</v>
      </c>
      <c r="Z1628" s="111">
        <f>SUM(Audit[[#This Row],[Difference Loser]:[Difference Candidate 6]])</f>
        <v>-45</v>
      </c>
      <c r="AA1628" s="111">
        <f>IF(Audit[[#This Row],[Times p Drawn - With Replacement]]&gt;0, IF(Audit[[#This Row],[Canceled Differences]]&lt;0, Audit[[#This Row],[Max Differences]]+ABS(Audit[[#This Row],[Canceled Differences]]), Audit[[#This Row],[Max Differences]]), 0)</f>
        <v>0</v>
      </c>
      <c r="AB1628" s="111">
        <f>'Sampling Data'!P1622</f>
        <v>2.8784909358157765E-3</v>
      </c>
      <c r="AC1628" s="111">
        <f>IF(
      SUM(Audit[[#This Row],[Audit Losing Candidate]:[Audit Candidate 6]])
      &lt;&gt;0,
      (Audit[[#This Row],[Winning Candidate]]-Audit[[#This Row],[Losing Candidate]]-(Audit[[#This Row],[Audit Winning Candidate]]-Audit[[#This Row],[Audit Losing Candidate]]))/(Audit[[#Totals],[Winning Candidate]]-Audit[[#Totals],[Losing Candidate]]),
      0
)</f>
        <v>0</v>
      </c>
      <c r="AD16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8" s="111">
        <f>IF(Audit[[#This Row],[Max Relative Error (ep)]] = 0, 0, Audit[[#This Row],[Max Relative Error (ep)]]/Audit[[#This Row],[Error Bound (up) - Max. possible relative overstatement]])</f>
        <v>0</v>
      </c>
      <c r="AJ16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28" s="111">
        <f t="shared" si="25"/>
        <v>1</v>
      </c>
      <c r="AL1628" s="111">
        <f>PRODUCT($AK$5:AK1628)</f>
        <v>8.962823818226312E-2</v>
      </c>
      <c r="AM1628" s="109">
        <f>1 - [K-M P Value]</f>
        <v>0.91037176181773694</v>
      </c>
      <c r="AN1628" s="111" t="str">
        <f>IF(Audit[[#This Row],[K-M P Value]]&gt;1-'General Info'!$B$16,"Continue", "Stop")</f>
        <v>Stop</v>
      </c>
      <c r="AO1628" s="110" t="b">
        <f>IF(Audit[[#This Row],[Status - Continue or stop audit]] = "Continue", TRUE, IF(AN1627 = "Continue", TRUE, FALSE))</f>
        <v>0</v>
      </c>
      <c r="AP1628" s="110"/>
    </row>
    <row r="1629" spans="1:42" ht="15" hidden="1" customHeight="1">
      <c r="A1629" s="111" t="str">
        <f>'Sampling Data'!W1623</f>
        <v/>
      </c>
      <c r="B1629" s="112" t="str">
        <f>'Sampling Data'!A1623</f>
        <v>OLMSTED TOWNSHIP -00-F</v>
      </c>
      <c r="C1629" s="112">
        <f>'Sampling Data'!B1623</f>
        <v>28</v>
      </c>
      <c r="D1629" s="112">
        <f>'Sampling Data'!C1623</f>
        <v>26</v>
      </c>
      <c r="E1629" s="113">
        <f>'Sampling Data'!D1623</f>
        <v>11</v>
      </c>
      <c r="F1629" s="113">
        <f>'Sampling Data'!E1623</f>
        <v>6</v>
      </c>
      <c r="G1629" s="113">
        <f>'Sampling Data'!F1623</f>
        <v>0</v>
      </c>
      <c r="H1629" s="113">
        <f>'Sampling Data'!G1623</f>
        <v>0</v>
      </c>
      <c r="I1629" s="112">
        <f>'Sampling Data'!H1623</f>
        <v>1</v>
      </c>
      <c r="J1629" s="112">
        <f>'Sampling Data'!I1623</f>
        <v>1</v>
      </c>
      <c r="K1629" s="112">
        <f>'Sampling Data'!J1623</f>
        <v>73</v>
      </c>
      <c r="L1629" s="111">
        <f>'Sampling Data'!X1623</f>
        <v>0</v>
      </c>
      <c r="M1629" s="114"/>
      <c r="N1629" s="114"/>
      <c r="O1629" s="115"/>
      <c r="P1629" s="115"/>
      <c r="Q1629" s="116"/>
      <c r="R1629" s="116"/>
      <c r="S1629" s="111">
        <f>Audit[[#This Row],[Audit Losing Candidate]]-Audit[[#This Row],[Losing Candidate]]</f>
        <v>-28</v>
      </c>
      <c r="T1629" s="111">
        <f>Audit[[#This Row],[Audit Winning Candidate]]-Audit[[#This Row],[Winning Candidate]]</f>
        <v>-26</v>
      </c>
      <c r="U1629" s="111">
        <f>Audit[[#This Row],[Audit Candidate 3]]-Audit[[#This Row],[Candidate 3]]</f>
        <v>-11</v>
      </c>
      <c r="V1629" s="111">
        <f>Audit[[#This Row],[Audit Candidate 4]]-Audit[[#This Row],[Candidate 4]]</f>
        <v>-6</v>
      </c>
      <c r="W1629" s="111">
        <f>Audit[[#This Row],[Audit Candidate 5]]-Audit[[#This Row],[Candidate 5]]</f>
        <v>0</v>
      </c>
      <c r="X1629" s="111">
        <f>Audit[[#This Row],[Audit Candidate 6]]-Audit[[#This Row],[Candidate 6]]</f>
        <v>0</v>
      </c>
      <c r="Y1629" s="111">
        <f>SUMIF(Audit[[#This Row],[Difference Loser]:[Difference Candidate 6]], "&gt;0")</f>
        <v>0</v>
      </c>
      <c r="Z1629" s="111">
        <f>SUM(Audit[[#This Row],[Difference Loser]:[Difference Candidate 6]])</f>
        <v>-71</v>
      </c>
      <c r="AA1629" s="111">
        <f>IF(Audit[[#This Row],[Times p Drawn - With Replacement]]&gt;0, IF(Audit[[#This Row],[Canceled Differences]]&lt;0, Audit[[#This Row],[Max Differences]]+ABS(Audit[[#This Row],[Canceled Differences]]), Audit[[#This Row],[Max Differences]]), 0)</f>
        <v>0</v>
      </c>
      <c r="AB1629" s="111">
        <f>'Sampling Data'!P1623</f>
        <v>4.3483586477217053E-3</v>
      </c>
      <c r="AC1629" s="111">
        <f>IF(
      SUM(Audit[[#This Row],[Audit Losing Candidate]:[Audit Candidate 6]])
      &lt;&gt;0,
      (Audit[[#This Row],[Winning Candidate]]-Audit[[#This Row],[Losing Candidate]]-(Audit[[#This Row],[Audit Winning Candidate]]-Audit[[#This Row],[Audit Losing Candidate]]))/(Audit[[#Totals],[Winning Candidate]]-Audit[[#Totals],[Losing Candidate]]),
      0
)</f>
        <v>0</v>
      </c>
      <c r="AD16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9" s="111">
        <f>IF(Audit[[#This Row],[Max Relative Error (ep)]] = 0, 0, Audit[[#This Row],[Max Relative Error (ep)]]/Audit[[#This Row],[Error Bound (up) - Max. possible relative overstatement]])</f>
        <v>0</v>
      </c>
      <c r="AJ16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29" s="111">
        <f t="shared" si="25"/>
        <v>1</v>
      </c>
      <c r="AL1629" s="111">
        <f>PRODUCT($AK$5:AK1629)</f>
        <v>8.962823818226312E-2</v>
      </c>
      <c r="AM1629" s="109">
        <f>1 - [K-M P Value]</f>
        <v>0.91037176181773694</v>
      </c>
      <c r="AN1629" s="111" t="str">
        <f>IF(Audit[[#This Row],[K-M P Value]]&gt;1-'General Info'!$B$16,"Continue", "Stop")</f>
        <v>Stop</v>
      </c>
      <c r="AO1629" s="110" t="b">
        <f>IF(Audit[[#This Row],[Status - Continue or stop audit]] = "Continue", TRUE, IF(AN1628 = "Continue", TRUE, FALSE))</f>
        <v>0</v>
      </c>
      <c r="AP1629" s="110"/>
    </row>
    <row r="1630" spans="1:42" ht="15" hidden="1" customHeight="1">
      <c r="A1630" s="111" t="str">
        <f>'Sampling Data'!W1624</f>
        <v/>
      </c>
      <c r="B1630" s="112" t="str">
        <f>'Sampling Data'!A1624</f>
        <v>OLMSTED TOWNSHIP -00-F - ABS</v>
      </c>
      <c r="C1630" s="112">
        <f>'Sampling Data'!B1624</f>
        <v>34</v>
      </c>
      <c r="D1630" s="112">
        <f>'Sampling Data'!C1624</f>
        <v>17</v>
      </c>
      <c r="E1630" s="113">
        <f>'Sampling Data'!D1624</f>
        <v>2</v>
      </c>
      <c r="F1630" s="113">
        <f>'Sampling Data'!E1624</f>
        <v>2</v>
      </c>
      <c r="G1630" s="113">
        <f>'Sampling Data'!F1624</f>
        <v>0</v>
      </c>
      <c r="H1630" s="113">
        <f>'Sampling Data'!G1624</f>
        <v>0</v>
      </c>
      <c r="I1630" s="112">
        <f>'Sampling Data'!H1624</f>
        <v>0</v>
      </c>
      <c r="J1630" s="112">
        <f>'Sampling Data'!I1624</f>
        <v>0</v>
      </c>
      <c r="K1630" s="112">
        <f>'Sampling Data'!J1624</f>
        <v>55</v>
      </c>
      <c r="L1630" s="111">
        <f>'Sampling Data'!X1624</f>
        <v>0</v>
      </c>
      <c r="M1630" s="114"/>
      <c r="N1630" s="114"/>
      <c r="O1630" s="115"/>
      <c r="P1630" s="115"/>
      <c r="Q1630" s="116"/>
      <c r="R1630" s="116"/>
      <c r="S1630" s="111">
        <f>Audit[[#This Row],[Audit Losing Candidate]]-Audit[[#This Row],[Losing Candidate]]</f>
        <v>-34</v>
      </c>
      <c r="T1630" s="111">
        <f>Audit[[#This Row],[Audit Winning Candidate]]-Audit[[#This Row],[Winning Candidate]]</f>
        <v>-17</v>
      </c>
      <c r="U1630" s="111">
        <f>Audit[[#This Row],[Audit Candidate 3]]-Audit[[#This Row],[Candidate 3]]</f>
        <v>-2</v>
      </c>
      <c r="V1630" s="111">
        <f>Audit[[#This Row],[Audit Candidate 4]]-Audit[[#This Row],[Candidate 4]]</f>
        <v>-2</v>
      </c>
      <c r="W1630" s="111">
        <f>Audit[[#This Row],[Audit Candidate 5]]-Audit[[#This Row],[Candidate 5]]</f>
        <v>0</v>
      </c>
      <c r="X1630" s="111">
        <f>Audit[[#This Row],[Audit Candidate 6]]-Audit[[#This Row],[Candidate 6]]</f>
        <v>0</v>
      </c>
      <c r="Y1630" s="111">
        <f>SUMIF(Audit[[#This Row],[Difference Loser]:[Difference Candidate 6]], "&gt;0")</f>
        <v>0</v>
      </c>
      <c r="Z1630" s="111">
        <f>SUM(Audit[[#This Row],[Difference Loser]:[Difference Candidate 6]])</f>
        <v>-55</v>
      </c>
      <c r="AA1630" s="111">
        <f>IF(Audit[[#This Row],[Times p Drawn - With Replacement]]&gt;0, IF(Audit[[#This Row],[Canceled Differences]]&lt;0, Audit[[#This Row],[Max Differences]]+ABS(Audit[[#This Row],[Canceled Differences]]), Audit[[#This Row],[Max Differences]]), 0)</f>
        <v>0</v>
      </c>
      <c r="AB1630" s="111">
        <f>'Sampling Data'!P1624</f>
        <v>2.3272905438510533E-3</v>
      </c>
      <c r="AC1630" s="111">
        <f>IF(
      SUM(Audit[[#This Row],[Audit Losing Candidate]:[Audit Candidate 6]])
      &lt;&gt;0,
      (Audit[[#This Row],[Winning Candidate]]-Audit[[#This Row],[Losing Candidate]]-(Audit[[#This Row],[Audit Winning Candidate]]-Audit[[#This Row],[Audit Losing Candidate]]))/(Audit[[#Totals],[Winning Candidate]]-Audit[[#Totals],[Losing Candidate]]),
      0
)</f>
        <v>0</v>
      </c>
      <c r="AD16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0" s="111">
        <f>IF(Audit[[#This Row],[Max Relative Error (ep)]] = 0, 0, Audit[[#This Row],[Max Relative Error (ep)]]/Audit[[#This Row],[Error Bound (up) - Max. possible relative overstatement]])</f>
        <v>0</v>
      </c>
      <c r="AJ16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30" s="111">
        <f t="shared" si="25"/>
        <v>1</v>
      </c>
      <c r="AL1630" s="111">
        <f>PRODUCT($AK$5:AK1630)</f>
        <v>8.962823818226312E-2</v>
      </c>
      <c r="AM1630" s="109">
        <f>1 - [K-M P Value]</f>
        <v>0.91037176181773694</v>
      </c>
      <c r="AN1630" s="111" t="str">
        <f>IF(Audit[[#This Row],[K-M P Value]]&gt;1-'General Info'!$B$16,"Continue", "Stop")</f>
        <v>Stop</v>
      </c>
      <c r="AO1630" s="110" t="b">
        <f>IF(Audit[[#This Row],[Status - Continue or stop audit]] = "Continue", TRUE, IF(AN1629 = "Continue", TRUE, FALSE))</f>
        <v>0</v>
      </c>
      <c r="AP1630" s="110"/>
    </row>
    <row r="1631" spans="1:42" ht="15" hidden="1" customHeight="1">
      <c r="A1631" s="111" t="str">
        <f>'Sampling Data'!W1625</f>
        <v/>
      </c>
      <c r="B1631" s="112" t="str">
        <f>'Sampling Data'!A1625</f>
        <v>OLMSTED TOWNSHIP -00-G</v>
      </c>
      <c r="C1631" s="112">
        <f>'Sampling Data'!B1625</f>
        <v>37</v>
      </c>
      <c r="D1631" s="112">
        <f>'Sampling Data'!C1625</f>
        <v>40</v>
      </c>
      <c r="E1631" s="113">
        <f>'Sampling Data'!D1625</f>
        <v>15</v>
      </c>
      <c r="F1631" s="113">
        <f>'Sampling Data'!E1625</f>
        <v>12</v>
      </c>
      <c r="G1631" s="113">
        <f>'Sampling Data'!F1625</f>
        <v>0</v>
      </c>
      <c r="H1631" s="113">
        <f>'Sampling Data'!G1625</f>
        <v>0</v>
      </c>
      <c r="I1631" s="112">
        <f>'Sampling Data'!H1625</f>
        <v>0</v>
      </c>
      <c r="J1631" s="112">
        <f>'Sampling Data'!I1625</f>
        <v>1</v>
      </c>
      <c r="K1631" s="112">
        <f>'Sampling Data'!J1625</f>
        <v>105</v>
      </c>
      <c r="L1631" s="111">
        <f>'Sampling Data'!X1625</f>
        <v>0</v>
      </c>
      <c r="M1631" s="114"/>
      <c r="N1631" s="114"/>
      <c r="O1631" s="115"/>
      <c r="P1631" s="115"/>
      <c r="Q1631" s="116"/>
      <c r="R1631" s="116"/>
      <c r="S1631" s="111">
        <f>Audit[[#This Row],[Audit Losing Candidate]]-Audit[[#This Row],[Losing Candidate]]</f>
        <v>-37</v>
      </c>
      <c r="T1631" s="111">
        <f>Audit[[#This Row],[Audit Winning Candidate]]-Audit[[#This Row],[Winning Candidate]]</f>
        <v>-40</v>
      </c>
      <c r="U1631" s="111">
        <f>Audit[[#This Row],[Audit Candidate 3]]-Audit[[#This Row],[Candidate 3]]</f>
        <v>-15</v>
      </c>
      <c r="V1631" s="111">
        <f>Audit[[#This Row],[Audit Candidate 4]]-Audit[[#This Row],[Candidate 4]]</f>
        <v>-12</v>
      </c>
      <c r="W1631" s="111">
        <f>Audit[[#This Row],[Audit Candidate 5]]-Audit[[#This Row],[Candidate 5]]</f>
        <v>0</v>
      </c>
      <c r="X1631" s="111">
        <f>Audit[[#This Row],[Audit Candidate 6]]-Audit[[#This Row],[Candidate 6]]</f>
        <v>0</v>
      </c>
      <c r="Y1631" s="111">
        <f>SUMIF(Audit[[#This Row],[Difference Loser]:[Difference Candidate 6]], "&gt;0")</f>
        <v>0</v>
      </c>
      <c r="Z1631" s="111">
        <f>SUM(Audit[[#This Row],[Difference Loser]:[Difference Candidate 6]])</f>
        <v>-104</v>
      </c>
      <c r="AA1631" s="111">
        <f>IF(Audit[[#This Row],[Times p Drawn - With Replacement]]&gt;0, IF(Audit[[#This Row],[Canceled Differences]]&lt;0, Audit[[#This Row],[Max Differences]]+ABS(Audit[[#This Row],[Canceled Differences]]), Audit[[#This Row],[Max Differences]]), 0)</f>
        <v>0</v>
      </c>
      <c r="AB1631" s="111">
        <f>'Sampling Data'!P1625</f>
        <v>6.6144047035766778E-3</v>
      </c>
      <c r="AC1631" s="111">
        <f>IF(
      SUM(Audit[[#This Row],[Audit Losing Candidate]:[Audit Candidate 6]])
      &lt;&gt;0,
      (Audit[[#This Row],[Winning Candidate]]-Audit[[#This Row],[Losing Candidate]]-(Audit[[#This Row],[Audit Winning Candidate]]-Audit[[#This Row],[Audit Losing Candidate]]))/(Audit[[#Totals],[Winning Candidate]]-Audit[[#Totals],[Losing Candidate]]),
      0
)</f>
        <v>0</v>
      </c>
      <c r="AD16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1" s="111">
        <f>IF(Audit[[#This Row],[Max Relative Error (ep)]] = 0, 0, Audit[[#This Row],[Max Relative Error (ep)]]/Audit[[#This Row],[Error Bound (up) - Max. possible relative overstatement]])</f>
        <v>0</v>
      </c>
      <c r="AJ16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31" s="111">
        <f t="shared" si="25"/>
        <v>1</v>
      </c>
      <c r="AL1631" s="111">
        <f>PRODUCT($AK$5:AK1631)</f>
        <v>8.962823818226312E-2</v>
      </c>
      <c r="AM1631" s="109">
        <f>1 - [K-M P Value]</f>
        <v>0.91037176181773694</v>
      </c>
      <c r="AN1631" s="111" t="str">
        <f>IF(Audit[[#This Row],[K-M P Value]]&gt;1-'General Info'!$B$16,"Continue", "Stop")</f>
        <v>Stop</v>
      </c>
      <c r="AO1631" s="110" t="b">
        <f>IF(Audit[[#This Row],[Status - Continue or stop audit]] = "Continue", TRUE, IF(AN1630 = "Continue", TRUE, FALSE))</f>
        <v>0</v>
      </c>
      <c r="AP1631" s="110"/>
    </row>
    <row r="1632" spans="1:42" ht="15" hidden="1" customHeight="1">
      <c r="A1632" s="111" t="str">
        <f>'Sampling Data'!W1626</f>
        <v/>
      </c>
      <c r="B1632" s="112" t="str">
        <f>'Sampling Data'!A1626</f>
        <v>OLMSTED TOWNSHIP -00-G - ABS</v>
      </c>
      <c r="C1632" s="112">
        <f>'Sampling Data'!B1626</f>
        <v>14</v>
      </c>
      <c r="D1632" s="112">
        <f>'Sampling Data'!C1626</f>
        <v>18</v>
      </c>
      <c r="E1632" s="113">
        <f>'Sampling Data'!D1626</f>
        <v>4</v>
      </c>
      <c r="F1632" s="113">
        <f>'Sampling Data'!E1626</f>
        <v>0</v>
      </c>
      <c r="G1632" s="113">
        <f>'Sampling Data'!F1626</f>
        <v>0</v>
      </c>
      <c r="H1632" s="113">
        <f>'Sampling Data'!G1626</f>
        <v>3</v>
      </c>
      <c r="I1632" s="112">
        <f>'Sampling Data'!H1626</f>
        <v>0</v>
      </c>
      <c r="J1632" s="112">
        <f>'Sampling Data'!I1626</f>
        <v>1</v>
      </c>
      <c r="K1632" s="112">
        <f>'Sampling Data'!J1626</f>
        <v>40</v>
      </c>
      <c r="L1632" s="111">
        <f>'Sampling Data'!X1626</f>
        <v>0</v>
      </c>
      <c r="M1632" s="114"/>
      <c r="N1632" s="114"/>
      <c r="O1632" s="115"/>
      <c r="P1632" s="115"/>
      <c r="Q1632" s="116"/>
      <c r="R1632" s="116"/>
      <c r="S1632" s="111">
        <f>Audit[[#This Row],[Audit Losing Candidate]]-Audit[[#This Row],[Losing Candidate]]</f>
        <v>-14</v>
      </c>
      <c r="T1632" s="111">
        <f>Audit[[#This Row],[Audit Winning Candidate]]-Audit[[#This Row],[Winning Candidate]]</f>
        <v>-18</v>
      </c>
      <c r="U1632" s="111">
        <f>Audit[[#This Row],[Audit Candidate 3]]-Audit[[#This Row],[Candidate 3]]</f>
        <v>-4</v>
      </c>
      <c r="V1632" s="111">
        <f>Audit[[#This Row],[Audit Candidate 4]]-Audit[[#This Row],[Candidate 4]]</f>
        <v>0</v>
      </c>
      <c r="W1632" s="111">
        <f>Audit[[#This Row],[Audit Candidate 5]]-Audit[[#This Row],[Candidate 5]]</f>
        <v>0</v>
      </c>
      <c r="X1632" s="111">
        <f>Audit[[#This Row],[Audit Candidate 6]]-Audit[[#This Row],[Candidate 6]]</f>
        <v>-3</v>
      </c>
      <c r="Y1632" s="111">
        <f>SUMIF(Audit[[#This Row],[Difference Loser]:[Difference Candidate 6]], "&gt;0")</f>
        <v>0</v>
      </c>
      <c r="Z1632" s="111">
        <f>SUM(Audit[[#This Row],[Difference Loser]:[Difference Candidate 6]])</f>
        <v>-39</v>
      </c>
      <c r="AA1632" s="111">
        <f>IF(Audit[[#This Row],[Times p Drawn - With Replacement]]&gt;0, IF(Audit[[#This Row],[Canceled Differences]]&lt;0, Audit[[#This Row],[Max Differences]]+ABS(Audit[[#This Row],[Canceled Differences]]), Audit[[#This Row],[Max Differences]]), 0)</f>
        <v>0</v>
      </c>
      <c r="AB1632" s="111">
        <f>'Sampling Data'!P1626</f>
        <v>2.6947574718275357E-3</v>
      </c>
      <c r="AC1632" s="111">
        <f>IF(
      SUM(Audit[[#This Row],[Audit Losing Candidate]:[Audit Candidate 6]])
      &lt;&gt;0,
      (Audit[[#This Row],[Winning Candidate]]-Audit[[#This Row],[Losing Candidate]]-(Audit[[#This Row],[Audit Winning Candidate]]-Audit[[#This Row],[Audit Losing Candidate]]))/(Audit[[#Totals],[Winning Candidate]]-Audit[[#Totals],[Losing Candidate]]),
      0
)</f>
        <v>0</v>
      </c>
      <c r="AD16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2" s="111">
        <f>IF(Audit[[#This Row],[Max Relative Error (ep)]] = 0, 0, Audit[[#This Row],[Max Relative Error (ep)]]/Audit[[#This Row],[Error Bound (up) - Max. possible relative overstatement]])</f>
        <v>0</v>
      </c>
      <c r="AJ16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32" s="111">
        <f t="shared" si="25"/>
        <v>1</v>
      </c>
      <c r="AL1632" s="111">
        <f>PRODUCT($AK$5:AK1632)</f>
        <v>8.962823818226312E-2</v>
      </c>
      <c r="AM1632" s="109">
        <f>1 - [K-M P Value]</f>
        <v>0.91037176181773694</v>
      </c>
      <c r="AN1632" s="111" t="str">
        <f>IF(Audit[[#This Row],[K-M P Value]]&gt;1-'General Info'!$B$16,"Continue", "Stop")</f>
        <v>Stop</v>
      </c>
      <c r="AO1632" s="110" t="b">
        <f>IF(Audit[[#This Row],[Status - Continue or stop audit]] = "Continue", TRUE, IF(AN1631 = "Continue", TRUE, FALSE))</f>
        <v>0</v>
      </c>
      <c r="AP1632" s="110"/>
    </row>
    <row r="1633" spans="1:42" ht="15" hidden="1" customHeight="1">
      <c r="A1633" s="111" t="str">
        <f>'Sampling Data'!W1627</f>
        <v/>
      </c>
      <c r="B1633" s="112" t="str">
        <f>'Sampling Data'!A1627</f>
        <v>OLMSTED TOWNSHIP -00-H</v>
      </c>
      <c r="C1633" s="112">
        <f>'Sampling Data'!B1627</f>
        <v>23</v>
      </c>
      <c r="D1633" s="112">
        <f>'Sampling Data'!C1627</f>
        <v>25</v>
      </c>
      <c r="E1633" s="113">
        <f>'Sampling Data'!D1627</f>
        <v>7</v>
      </c>
      <c r="F1633" s="113">
        <f>'Sampling Data'!E1627</f>
        <v>9</v>
      </c>
      <c r="G1633" s="113">
        <f>'Sampling Data'!F1627</f>
        <v>1</v>
      </c>
      <c r="H1633" s="113">
        <f>'Sampling Data'!G1627</f>
        <v>1</v>
      </c>
      <c r="I1633" s="112">
        <f>'Sampling Data'!H1627</f>
        <v>0</v>
      </c>
      <c r="J1633" s="112">
        <f>'Sampling Data'!I1627</f>
        <v>0</v>
      </c>
      <c r="K1633" s="112">
        <f>'Sampling Data'!J1627</f>
        <v>66</v>
      </c>
      <c r="L1633" s="111">
        <f>'Sampling Data'!X1627</f>
        <v>0</v>
      </c>
      <c r="M1633" s="114"/>
      <c r="N1633" s="114"/>
      <c r="O1633" s="115"/>
      <c r="P1633" s="115"/>
      <c r="Q1633" s="116"/>
      <c r="R1633" s="116"/>
      <c r="S1633" s="111">
        <f>Audit[[#This Row],[Audit Losing Candidate]]-Audit[[#This Row],[Losing Candidate]]</f>
        <v>-23</v>
      </c>
      <c r="T1633" s="111">
        <f>Audit[[#This Row],[Audit Winning Candidate]]-Audit[[#This Row],[Winning Candidate]]</f>
        <v>-25</v>
      </c>
      <c r="U1633" s="111">
        <f>Audit[[#This Row],[Audit Candidate 3]]-Audit[[#This Row],[Candidate 3]]</f>
        <v>-7</v>
      </c>
      <c r="V1633" s="111">
        <f>Audit[[#This Row],[Audit Candidate 4]]-Audit[[#This Row],[Candidate 4]]</f>
        <v>-9</v>
      </c>
      <c r="W1633" s="111">
        <f>Audit[[#This Row],[Audit Candidate 5]]-Audit[[#This Row],[Candidate 5]]</f>
        <v>-1</v>
      </c>
      <c r="X1633" s="111">
        <f>Audit[[#This Row],[Audit Candidate 6]]-Audit[[#This Row],[Candidate 6]]</f>
        <v>-1</v>
      </c>
      <c r="Y1633" s="111">
        <f>SUMIF(Audit[[#This Row],[Difference Loser]:[Difference Candidate 6]], "&gt;0")</f>
        <v>0</v>
      </c>
      <c r="Z1633" s="111">
        <f>SUM(Audit[[#This Row],[Difference Loser]:[Difference Candidate 6]])</f>
        <v>-66</v>
      </c>
      <c r="AA1633" s="111">
        <f>IF(Audit[[#This Row],[Times p Drawn - With Replacement]]&gt;0, IF(Audit[[#This Row],[Canceled Differences]]&lt;0, Audit[[#This Row],[Max Differences]]+ABS(Audit[[#This Row],[Canceled Differences]]), Audit[[#This Row],[Max Differences]]), 0)</f>
        <v>0</v>
      </c>
      <c r="AB1633" s="111">
        <f>'Sampling Data'!P1627</f>
        <v>4.1646251837334641E-3</v>
      </c>
      <c r="AC1633" s="111">
        <f>IF(
      SUM(Audit[[#This Row],[Audit Losing Candidate]:[Audit Candidate 6]])
      &lt;&gt;0,
      (Audit[[#This Row],[Winning Candidate]]-Audit[[#This Row],[Losing Candidate]]-(Audit[[#This Row],[Audit Winning Candidate]]-Audit[[#This Row],[Audit Losing Candidate]]))/(Audit[[#Totals],[Winning Candidate]]-Audit[[#Totals],[Losing Candidate]]),
      0
)</f>
        <v>0</v>
      </c>
      <c r="AD16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3" s="111">
        <f>IF(Audit[[#This Row],[Max Relative Error (ep)]] = 0, 0, Audit[[#This Row],[Max Relative Error (ep)]]/Audit[[#This Row],[Error Bound (up) - Max. possible relative overstatement]])</f>
        <v>0</v>
      </c>
      <c r="AJ16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33" s="111">
        <f t="shared" si="25"/>
        <v>1</v>
      </c>
      <c r="AL1633" s="111">
        <f>PRODUCT($AK$5:AK1633)</f>
        <v>8.962823818226312E-2</v>
      </c>
      <c r="AM1633" s="109">
        <f>1 - [K-M P Value]</f>
        <v>0.91037176181773694</v>
      </c>
      <c r="AN1633" s="111" t="str">
        <f>IF(Audit[[#This Row],[K-M P Value]]&gt;1-'General Info'!$B$16,"Continue", "Stop")</f>
        <v>Stop</v>
      </c>
      <c r="AO1633" s="110" t="b">
        <f>IF(Audit[[#This Row],[Status - Continue or stop audit]] = "Continue", TRUE, IF(AN1632 = "Continue", TRUE, FALSE))</f>
        <v>0</v>
      </c>
      <c r="AP1633" s="110"/>
    </row>
    <row r="1634" spans="1:42" ht="15" hidden="1" customHeight="1">
      <c r="A1634" s="111" t="str">
        <f>'Sampling Data'!W1628</f>
        <v/>
      </c>
      <c r="B1634" s="112" t="str">
        <f>'Sampling Data'!A1628</f>
        <v>OLMSTED TOWNSHIP -00-H - ABS</v>
      </c>
      <c r="C1634" s="112">
        <f>'Sampling Data'!B1628</f>
        <v>10</v>
      </c>
      <c r="D1634" s="112">
        <f>'Sampling Data'!C1628</f>
        <v>6</v>
      </c>
      <c r="E1634" s="113">
        <f>'Sampling Data'!D1628</f>
        <v>3</v>
      </c>
      <c r="F1634" s="113">
        <f>'Sampling Data'!E1628</f>
        <v>1</v>
      </c>
      <c r="G1634" s="113">
        <f>'Sampling Data'!F1628</f>
        <v>0</v>
      </c>
      <c r="H1634" s="113">
        <f>'Sampling Data'!G1628</f>
        <v>0</v>
      </c>
      <c r="I1634" s="112">
        <f>'Sampling Data'!H1628</f>
        <v>0</v>
      </c>
      <c r="J1634" s="112">
        <f>'Sampling Data'!I1628</f>
        <v>0</v>
      </c>
      <c r="K1634" s="112">
        <f>'Sampling Data'!J1628</f>
        <v>20</v>
      </c>
      <c r="L1634" s="111">
        <f>'Sampling Data'!X1628</f>
        <v>0</v>
      </c>
      <c r="M1634" s="114"/>
      <c r="N1634" s="114"/>
      <c r="O1634" s="115"/>
      <c r="P1634" s="115"/>
      <c r="Q1634" s="116"/>
      <c r="R1634" s="116"/>
      <c r="S1634" s="111">
        <f>Audit[[#This Row],[Audit Losing Candidate]]-Audit[[#This Row],[Losing Candidate]]</f>
        <v>-10</v>
      </c>
      <c r="T1634" s="111">
        <f>Audit[[#This Row],[Audit Winning Candidate]]-Audit[[#This Row],[Winning Candidate]]</f>
        <v>-6</v>
      </c>
      <c r="U1634" s="111">
        <f>Audit[[#This Row],[Audit Candidate 3]]-Audit[[#This Row],[Candidate 3]]</f>
        <v>-3</v>
      </c>
      <c r="V1634" s="111">
        <f>Audit[[#This Row],[Audit Candidate 4]]-Audit[[#This Row],[Candidate 4]]</f>
        <v>-1</v>
      </c>
      <c r="W1634" s="111">
        <f>Audit[[#This Row],[Audit Candidate 5]]-Audit[[#This Row],[Candidate 5]]</f>
        <v>0</v>
      </c>
      <c r="X1634" s="111">
        <f>Audit[[#This Row],[Audit Candidate 6]]-Audit[[#This Row],[Candidate 6]]</f>
        <v>0</v>
      </c>
      <c r="Y1634" s="111">
        <f>SUMIF(Audit[[#This Row],[Difference Loser]:[Difference Candidate 6]], "&gt;0")</f>
        <v>0</v>
      </c>
      <c r="Z1634" s="111">
        <f>SUM(Audit[[#This Row],[Difference Loser]:[Difference Candidate 6]])</f>
        <v>-20</v>
      </c>
      <c r="AA1634" s="111">
        <f>IF(Audit[[#This Row],[Times p Drawn - With Replacement]]&gt;0, IF(Audit[[#This Row],[Canceled Differences]]&lt;0, Audit[[#This Row],[Max Differences]]+ABS(Audit[[#This Row],[Canceled Differences]]), Audit[[#This Row],[Max Differences]]), 0)</f>
        <v>0</v>
      </c>
      <c r="AB1634" s="111">
        <f>'Sampling Data'!P1628</f>
        <v>9.7991180793728563E-4</v>
      </c>
      <c r="AC1634" s="111">
        <f>IF(
      SUM(Audit[[#This Row],[Audit Losing Candidate]:[Audit Candidate 6]])
      &lt;&gt;0,
      (Audit[[#This Row],[Winning Candidate]]-Audit[[#This Row],[Losing Candidate]]-(Audit[[#This Row],[Audit Winning Candidate]]-Audit[[#This Row],[Audit Losing Candidate]]))/(Audit[[#Totals],[Winning Candidate]]-Audit[[#Totals],[Losing Candidate]]),
      0
)</f>
        <v>0</v>
      </c>
      <c r="AD16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4" s="111">
        <f>IF(Audit[[#This Row],[Max Relative Error (ep)]] = 0, 0, Audit[[#This Row],[Max Relative Error (ep)]]/Audit[[#This Row],[Error Bound (up) - Max. possible relative overstatement]])</f>
        <v>0</v>
      </c>
      <c r="AJ16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34" s="111">
        <f t="shared" si="25"/>
        <v>1</v>
      </c>
      <c r="AL1634" s="111">
        <f>PRODUCT($AK$5:AK1634)</f>
        <v>8.962823818226312E-2</v>
      </c>
      <c r="AM1634" s="109">
        <f>1 - [K-M P Value]</f>
        <v>0.91037176181773694</v>
      </c>
      <c r="AN1634" s="111" t="str">
        <f>IF(Audit[[#This Row],[K-M P Value]]&gt;1-'General Info'!$B$16,"Continue", "Stop")</f>
        <v>Stop</v>
      </c>
      <c r="AO1634" s="110" t="b">
        <f>IF(Audit[[#This Row],[Status - Continue or stop audit]] = "Continue", TRUE, IF(AN1633 = "Continue", TRUE, FALSE))</f>
        <v>0</v>
      </c>
      <c r="AP1634" s="110"/>
    </row>
    <row r="1635" spans="1:42" ht="15" hidden="1" customHeight="1">
      <c r="A1635" s="111" t="str">
        <f>'Sampling Data'!W1629</f>
        <v/>
      </c>
      <c r="B1635" s="112" t="str">
        <f>'Sampling Data'!A1629</f>
        <v>OLMSTED TOWNSHIP -00-I</v>
      </c>
      <c r="C1635" s="112">
        <f>'Sampling Data'!B1629</f>
        <v>14</v>
      </c>
      <c r="D1635" s="112">
        <f>'Sampling Data'!C1629</f>
        <v>24</v>
      </c>
      <c r="E1635" s="113">
        <f>'Sampling Data'!D1629</f>
        <v>7</v>
      </c>
      <c r="F1635" s="113">
        <f>'Sampling Data'!E1629</f>
        <v>3</v>
      </c>
      <c r="G1635" s="113">
        <f>'Sampling Data'!F1629</f>
        <v>2</v>
      </c>
      <c r="H1635" s="113">
        <f>'Sampling Data'!G1629</f>
        <v>0</v>
      </c>
      <c r="I1635" s="112">
        <f>'Sampling Data'!H1629</f>
        <v>0</v>
      </c>
      <c r="J1635" s="112">
        <f>'Sampling Data'!I1629</f>
        <v>0</v>
      </c>
      <c r="K1635" s="112">
        <f>'Sampling Data'!J1629</f>
        <v>50</v>
      </c>
      <c r="L1635" s="111">
        <f>'Sampling Data'!X1629</f>
        <v>0</v>
      </c>
      <c r="M1635" s="114"/>
      <c r="N1635" s="114"/>
      <c r="O1635" s="115"/>
      <c r="P1635" s="115"/>
      <c r="Q1635" s="116"/>
      <c r="R1635" s="116"/>
      <c r="S1635" s="111">
        <f>Audit[[#This Row],[Audit Losing Candidate]]-Audit[[#This Row],[Losing Candidate]]</f>
        <v>-14</v>
      </c>
      <c r="T1635" s="111">
        <f>Audit[[#This Row],[Audit Winning Candidate]]-Audit[[#This Row],[Winning Candidate]]</f>
        <v>-24</v>
      </c>
      <c r="U1635" s="111">
        <f>Audit[[#This Row],[Audit Candidate 3]]-Audit[[#This Row],[Candidate 3]]</f>
        <v>-7</v>
      </c>
      <c r="V1635" s="111">
        <f>Audit[[#This Row],[Audit Candidate 4]]-Audit[[#This Row],[Candidate 4]]</f>
        <v>-3</v>
      </c>
      <c r="W1635" s="111">
        <f>Audit[[#This Row],[Audit Candidate 5]]-Audit[[#This Row],[Candidate 5]]</f>
        <v>-2</v>
      </c>
      <c r="X1635" s="111">
        <f>Audit[[#This Row],[Audit Candidate 6]]-Audit[[#This Row],[Candidate 6]]</f>
        <v>0</v>
      </c>
      <c r="Y1635" s="111">
        <f>SUMIF(Audit[[#This Row],[Difference Loser]:[Difference Candidate 6]], "&gt;0")</f>
        <v>0</v>
      </c>
      <c r="Z1635" s="111">
        <f>SUM(Audit[[#This Row],[Difference Loser]:[Difference Candidate 6]])</f>
        <v>-50</v>
      </c>
      <c r="AA1635" s="111">
        <f>IF(Audit[[#This Row],[Times p Drawn - With Replacement]]&gt;0, IF(Audit[[#This Row],[Canceled Differences]]&lt;0, Audit[[#This Row],[Max Differences]]+ABS(Audit[[#This Row],[Canceled Differences]]), Audit[[#This Row],[Max Differences]]), 0)</f>
        <v>0</v>
      </c>
      <c r="AB1635" s="111">
        <f>'Sampling Data'!P1629</f>
        <v>3.6746692797648213E-3</v>
      </c>
      <c r="AC1635" s="111">
        <f>IF(
      SUM(Audit[[#This Row],[Audit Losing Candidate]:[Audit Candidate 6]])
      &lt;&gt;0,
      (Audit[[#This Row],[Winning Candidate]]-Audit[[#This Row],[Losing Candidate]]-(Audit[[#This Row],[Audit Winning Candidate]]-Audit[[#This Row],[Audit Losing Candidate]]))/(Audit[[#Totals],[Winning Candidate]]-Audit[[#Totals],[Losing Candidate]]),
      0
)</f>
        <v>0</v>
      </c>
      <c r="AD16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5" s="111">
        <f>IF(Audit[[#This Row],[Max Relative Error (ep)]] = 0, 0, Audit[[#This Row],[Max Relative Error (ep)]]/Audit[[#This Row],[Error Bound (up) - Max. possible relative overstatement]])</f>
        <v>0</v>
      </c>
      <c r="AJ16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35" s="111">
        <f t="shared" si="25"/>
        <v>1</v>
      </c>
      <c r="AL1635" s="111">
        <f>PRODUCT($AK$5:AK1635)</f>
        <v>8.962823818226312E-2</v>
      </c>
      <c r="AM1635" s="109">
        <f>1 - [K-M P Value]</f>
        <v>0.91037176181773694</v>
      </c>
      <c r="AN1635" s="111" t="str">
        <f>IF(Audit[[#This Row],[K-M P Value]]&gt;1-'General Info'!$B$16,"Continue", "Stop")</f>
        <v>Stop</v>
      </c>
      <c r="AO1635" s="110" t="b">
        <f>IF(Audit[[#This Row],[Status - Continue or stop audit]] = "Continue", TRUE, IF(AN1634 = "Continue", TRUE, FALSE))</f>
        <v>0</v>
      </c>
      <c r="AP1635" s="110"/>
    </row>
    <row r="1636" spans="1:42" ht="15" hidden="1" customHeight="1">
      <c r="A1636" s="111" t="str">
        <f>'Sampling Data'!W1630</f>
        <v/>
      </c>
      <c r="B1636" s="112" t="str">
        <f>'Sampling Data'!A1630</f>
        <v>OLMSTED TOWNSHIP -00-I - ABS</v>
      </c>
      <c r="C1636" s="112">
        <f>'Sampling Data'!B1630</f>
        <v>5</v>
      </c>
      <c r="D1636" s="112">
        <f>'Sampling Data'!C1630</f>
        <v>10</v>
      </c>
      <c r="E1636" s="113">
        <f>'Sampling Data'!D1630</f>
        <v>4</v>
      </c>
      <c r="F1636" s="113">
        <f>'Sampling Data'!E1630</f>
        <v>3</v>
      </c>
      <c r="G1636" s="113">
        <f>'Sampling Data'!F1630</f>
        <v>1</v>
      </c>
      <c r="H1636" s="113">
        <f>'Sampling Data'!G1630</f>
        <v>1</v>
      </c>
      <c r="I1636" s="112">
        <f>'Sampling Data'!H1630</f>
        <v>0</v>
      </c>
      <c r="J1636" s="112">
        <f>'Sampling Data'!I1630</f>
        <v>0</v>
      </c>
      <c r="K1636" s="112">
        <f>'Sampling Data'!J1630</f>
        <v>24</v>
      </c>
      <c r="L1636" s="111">
        <f>'Sampling Data'!X1630</f>
        <v>0</v>
      </c>
      <c r="M1636" s="114"/>
      <c r="N1636" s="114"/>
      <c r="O1636" s="115"/>
      <c r="P1636" s="115"/>
      <c r="Q1636" s="116"/>
      <c r="R1636" s="116"/>
      <c r="S1636" s="111">
        <f>Audit[[#This Row],[Audit Losing Candidate]]-Audit[[#This Row],[Losing Candidate]]</f>
        <v>-5</v>
      </c>
      <c r="T1636" s="111">
        <f>Audit[[#This Row],[Audit Winning Candidate]]-Audit[[#This Row],[Winning Candidate]]</f>
        <v>-10</v>
      </c>
      <c r="U1636" s="111">
        <f>Audit[[#This Row],[Audit Candidate 3]]-Audit[[#This Row],[Candidate 3]]</f>
        <v>-4</v>
      </c>
      <c r="V1636" s="111">
        <f>Audit[[#This Row],[Audit Candidate 4]]-Audit[[#This Row],[Candidate 4]]</f>
        <v>-3</v>
      </c>
      <c r="W1636" s="111">
        <f>Audit[[#This Row],[Audit Candidate 5]]-Audit[[#This Row],[Candidate 5]]</f>
        <v>-1</v>
      </c>
      <c r="X1636" s="111">
        <f>Audit[[#This Row],[Audit Candidate 6]]-Audit[[#This Row],[Candidate 6]]</f>
        <v>-1</v>
      </c>
      <c r="Y1636" s="111">
        <f>SUMIF(Audit[[#This Row],[Difference Loser]:[Difference Candidate 6]], "&gt;0")</f>
        <v>0</v>
      </c>
      <c r="Z1636" s="111">
        <f>SUM(Audit[[#This Row],[Difference Loser]:[Difference Candidate 6]])</f>
        <v>-24</v>
      </c>
      <c r="AA1636" s="111">
        <f>IF(Audit[[#This Row],[Times p Drawn - With Replacement]]&gt;0, IF(Audit[[#This Row],[Canceled Differences]]&lt;0, Audit[[#This Row],[Max Differences]]+ABS(Audit[[#This Row],[Canceled Differences]]), Audit[[#This Row],[Max Differences]]), 0)</f>
        <v>0</v>
      </c>
      <c r="AB1636" s="111">
        <f>'Sampling Data'!P1630</f>
        <v>1.7760901518863303E-3</v>
      </c>
      <c r="AC1636" s="111">
        <f>IF(
      SUM(Audit[[#This Row],[Audit Losing Candidate]:[Audit Candidate 6]])
      &lt;&gt;0,
      (Audit[[#This Row],[Winning Candidate]]-Audit[[#This Row],[Losing Candidate]]-(Audit[[#This Row],[Audit Winning Candidate]]-Audit[[#This Row],[Audit Losing Candidate]]))/(Audit[[#Totals],[Winning Candidate]]-Audit[[#Totals],[Losing Candidate]]),
      0
)</f>
        <v>0</v>
      </c>
      <c r="AD16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6" s="111">
        <f>IF(Audit[[#This Row],[Max Relative Error (ep)]] = 0, 0, Audit[[#This Row],[Max Relative Error (ep)]]/Audit[[#This Row],[Error Bound (up) - Max. possible relative overstatement]])</f>
        <v>0</v>
      </c>
      <c r="AJ16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36" s="111">
        <f t="shared" si="25"/>
        <v>1</v>
      </c>
      <c r="AL1636" s="111">
        <f>PRODUCT($AK$5:AK1636)</f>
        <v>8.962823818226312E-2</v>
      </c>
      <c r="AM1636" s="109">
        <f>1 - [K-M P Value]</f>
        <v>0.91037176181773694</v>
      </c>
      <c r="AN1636" s="111" t="str">
        <f>IF(Audit[[#This Row],[K-M P Value]]&gt;1-'General Info'!$B$16,"Continue", "Stop")</f>
        <v>Stop</v>
      </c>
      <c r="AO1636" s="110" t="b">
        <f>IF(Audit[[#This Row],[Status - Continue or stop audit]] = "Continue", TRUE, IF(AN1635 = "Continue", TRUE, FALSE))</f>
        <v>0</v>
      </c>
      <c r="AP1636" s="110"/>
    </row>
    <row r="1637" spans="1:42" ht="15" hidden="1" customHeight="1">
      <c r="A1637" s="111" t="str">
        <f>'Sampling Data'!W1631</f>
        <v/>
      </c>
      <c r="B1637" s="112" t="str">
        <f>'Sampling Data'!A1631</f>
        <v>OLMSTED TOWNSHIP -00-J</v>
      </c>
      <c r="C1637" s="112">
        <f>'Sampling Data'!B1631</f>
        <v>24</v>
      </c>
      <c r="D1637" s="112">
        <f>'Sampling Data'!C1631</f>
        <v>31</v>
      </c>
      <c r="E1637" s="113">
        <f>'Sampling Data'!D1631</f>
        <v>9</v>
      </c>
      <c r="F1637" s="113">
        <f>'Sampling Data'!E1631</f>
        <v>8</v>
      </c>
      <c r="G1637" s="113">
        <f>'Sampling Data'!F1631</f>
        <v>0</v>
      </c>
      <c r="H1637" s="113">
        <f>'Sampling Data'!G1631</f>
        <v>0</v>
      </c>
      <c r="I1637" s="112">
        <f>'Sampling Data'!H1631</f>
        <v>0</v>
      </c>
      <c r="J1637" s="112">
        <f>'Sampling Data'!I1631</f>
        <v>1</v>
      </c>
      <c r="K1637" s="112">
        <f>'Sampling Data'!J1631</f>
        <v>73</v>
      </c>
      <c r="L1637" s="111">
        <f>'Sampling Data'!X1631</f>
        <v>0</v>
      </c>
      <c r="M1637" s="114"/>
      <c r="N1637" s="114"/>
      <c r="O1637" s="115"/>
      <c r="P1637" s="115"/>
      <c r="Q1637" s="116"/>
      <c r="R1637" s="116"/>
      <c r="S1637" s="111">
        <f>Audit[[#This Row],[Audit Losing Candidate]]-Audit[[#This Row],[Losing Candidate]]</f>
        <v>-24</v>
      </c>
      <c r="T1637" s="111">
        <f>Audit[[#This Row],[Audit Winning Candidate]]-Audit[[#This Row],[Winning Candidate]]</f>
        <v>-31</v>
      </c>
      <c r="U1637" s="111">
        <f>Audit[[#This Row],[Audit Candidate 3]]-Audit[[#This Row],[Candidate 3]]</f>
        <v>-9</v>
      </c>
      <c r="V1637" s="111">
        <f>Audit[[#This Row],[Audit Candidate 4]]-Audit[[#This Row],[Candidate 4]]</f>
        <v>-8</v>
      </c>
      <c r="W1637" s="111">
        <f>Audit[[#This Row],[Audit Candidate 5]]-Audit[[#This Row],[Candidate 5]]</f>
        <v>0</v>
      </c>
      <c r="X1637" s="111">
        <f>Audit[[#This Row],[Audit Candidate 6]]-Audit[[#This Row],[Candidate 6]]</f>
        <v>0</v>
      </c>
      <c r="Y1637" s="111">
        <f>SUMIF(Audit[[#This Row],[Difference Loser]:[Difference Candidate 6]], "&gt;0")</f>
        <v>0</v>
      </c>
      <c r="Z1637" s="111">
        <f>SUM(Audit[[#This Row],[Difference Loser]:[Difference Candidate 6]])</f>
        <v>-72</v>
      </c>
      <c r="AA1637" s="111">
        <f>IF(Audit[[#This Row],[Times p Drawn - With Replacement]]&gt;0, IF(Audit[[#This Row],[Canceled Differences]]&lt;0, Audit[[#This Row],[Max Differences]]+ABS(Audit[[#This Row],[Canceled Differences]]), Audit[[#This Row],[Max Differences]]), 0)</f>
        <v>0</v>
      </c>
      <c r="AB1637" s="111">
        <f>'Sampling Data'!P1631</f>
        <v>4.8995590396864281E-3</v>
      </c>
      <c r="AC1637" s="111">
        <f>IF(
      SUM(Audit[[#This Row],[Audit Losing Candidate]:[Audit Candidate 6]])
      &lt;&gt;0,
      (Audit[[#This Row],[Winning Candidate]]-Audit[[#This Row],[Losing Candidate]]-(Audit[[#This Row],[Audit Winning Candidate]]-Audit[[#This Row],[Audit Losing Candidate]]))/(Audit[[#Totals],[Winning Candidate]]-Audit[[#Totals],[Losing Candidate]]),
      0
)</f>
        <v>0</v>
      </c>
      <c r="AD16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7" s="111">
        <f>IF(Audit[[#This Row],[Max Relative Error (ep)]] = 0, 0, Audit[[#This Row],[Max Relative Error (ep)]]/Audit[[#This Row],[Error Bound (up) - Max. possible relative overstatement]])</f>
        <v>0</v>
      </c>
      <c r="AJ16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37" s="111">
        <f t="shared" si="25"/>
        <v>1</v>
      </c>
      <c r="AL1637" s="111">
        <f>PRODUCT($AK$5:AK1637)</f>
        <v>8.962823818226312E-2</v>
      </c>
      <c r="AM1637" s="109">
        <f>1 - [K-M P Value]</f>
        <v>0.91037176181773694</v>
      </c>
      <c r="AN1637" s="111" t="str">
        <f>IF(Audit[[#This Row],[K-M P Value]]&gt;1-'General Info'!$B$16,"Continue", "Stop")</f>
        <v>Stop</v>
      </c>
      <c r="AO1637" s="110" t="b">
        <f>IF(Audit[[#This Row],[Status - Continue or stop audit]] = "Continue", TRUE, IF(AN1636 = "Continue", TRUE, FALSE))</f>
        <v>0</v>
      </c>
      <c r="AP1637" s="110"/>
    </row>
    <row r="1638" spans="1:42" ht="15" hidden="1" customHeight="1">
      <c r="A1638" s="111" t="str">
        <f>'Sampling Data'!W1632</f>
        <v/>
      </c>
      <c r="B1638" s="112" t="str">
        <f>'Sampling Data'!A1632</f>
        <v>OLMSTED TOWNSHIP -00-J - ABS</v>
      </c>
      <c r="C1638" s="112">
        <f>'Sampling Data'!B1632</f>
        <v>9</v>
      </c>
      <c r="D1638" s="112">
        <f>'Sampling Data'!C1632</f>
        <v>6</v>
      </c>
      <c r="E1638" s="113">
        <f>'Sampling Data'!D1632</f>
        <v>2</v>
      </c>
      <c r="F1638" s="113">
        <f>'Sampling Data'!E1632</f>
        <v>3</v>
      </c>
      <c r="G1638" s="113">
        <f>'Sampling Data'!F1632</f>
        <v>0</v>
      </c>
      <c r="H1638" s="113">
        <f>'Sampling Data'!G1632</f>
        <v>0</v>
      </c>
      <c r="I1638" s="112">
        <f>'Sampling Data'!H1632</f>
        <v>1</v>
      </c>
      <c r="J1638" s="112">
        <f>'Sampling Data'!I1632</f>
        <v>0</v>
      </c>
      <c r="K1638" s="112">
        <f>'Sampling Data'!J1632</f>
        <v>21</v>
      </c>
      <c r="L1638" s="111">
        <f>'Sampling Data'!X1632</f>
        <v>0</v>
      </c>
      <c r="M1638" s="114"/>
      <c r="N1638" s="114"/>
      <c r="O1638" s="115"/>
      <c r="P1638" s="115"/>
      <c r="Q1638" s="116"/>
      <c r="R1638" s="116"/>
      <c r="S1638" s="111">
        <f>Audit[[#This Row],[Audit Losing Candidate]]-Audit[[#This Row],[Losing Candidate]]</f>
        <v>-9</v>
      </c>
      <c r="T1638" s="111">
        <f>Audit[[#This Row],[Audit Winning Candidate]]-Audit[[#This Row],[Winning Candidate]]</f>
        <v>-6</v>
      </c>
      <c r="U1638" s="111">
        <f>Audit[[#This Row],[Audit Candidate 3]]-Audit[[#This Row],[Candidate 3]]</f>
        <v>-2</v>
      </c>
      <c r="V1638" s="111">
        <f>Audit[[#This Row],[Audit Candidate 4]]-Audit[[#This Row],[Candidate 4]]</f>
        <v>-3</v>
      </c>
      <c r="W1638" s="111">
        <f>Audit[[#This Row],[Audit Candidate 5]]-Audit[[#This Row],[Candidate 5]]</f>
        <v>0</v>
      </c>
      <c r="X1638" s="111">
        <f>Audit[[#This Row],[Audit Candidate 6]]-Audit[[#This Row],[Candidate 6]]</f>
        <v>0</v>
      </c>
      <c r="Y1638" s="111">
        <f>SUMIF(Audit[[#This Row],[Difference Loser]:[Difference Candidate 6]], "&gt;0")</f>
        <v>0</v>
      </c>
      <c r="Z1638" s="111">
        <f>SUM(Audit[[#This Row],[Difference Loser]:[Difference Candidate 6]])</f>
        <v>-20</v>
      </c>
      <c r="AA1638" s="111">
        <f>IF(Audit[[#This Row],[Times p Drawn - With Replacement]]&gt;0, IF(Audit[[#This Row],[Canceled Differences]]&lt;0, Audit[[#This Row],[Max Differences]]+ABS(Audit[[#This Row],[Canceled Differences]]), Audit[[#This Row],[Max Differences]]), 0)</f>
        <v>0</v>
      </c>
      <c r="AB1638" s="111">
        <f>'Sampling Data'!P1632</f>
        <v>1.1024007839294464E-3</v>
      </c>
      <c r="AC1638" s="111">
        <f>IF(
      SUM(Audit[[#This Row],[Audit Losing Candidate]:[Audit Candidate 6]])
      &lt;&gt;0,
      (Audit[[#This Row],[Winning Candidate]]-Audit[[#This Row],[Losing Candidate]]-(Audit[[#This Row],[Audit Winning Candidate]]-Audit[[#This Row],[Audit Losing Candidate]]))/(Audit[[#Totals],[Winning Candidate]]-Audit[[#Totals],[Losing Candidate]]),
      0
)</f>
        <v>0</v>
      </c>
      <c r="AD16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8" s="111">
        <f>IF(Audit[[#This Row],[Max Relative Error (ep)]] = 0, 0, Audit[[#This Row],[Max Relative Error (ep)]]/Audit[[#This Row],[Error Bound (up) - Max. possible relative overstatement]])</f>
        <v>0</v>
      </c>
      <c r="AJ16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38" s="111">
        <f t="shared" si="25"/>
        <v>1</v>
      </c>
      <c r="AL1638" s="111">
        <f>PRODUCT($AK$5:AK1638)</f>
        <v>8.962823818226312E-2</v>
      </c>
      <c r="AM1638" s="109">
        <f>1 - [K-M P Value]</f>
        <v>0.91037176181773694</v>
      </c>
      <c r="AN1638" s="111" t="str">
        <f>IF(Audit[[#This Row],[K-M P Value]]&gt;1-'General Info'!$B$16,"Continue", "Stop")</f>
        <v>Stop</v>
      </c>
      <c r="AO1638" s="110" t="b">
        <f>IF(Audit[[#This Row],[Status - Continue or stop audit]] = "Continue", TRUE, IF(AN1637 = "Continue", TRUE, FALSE))</f>
        <v>0</v>
      </c>
      <c r="AP1638" s="110"/>
    </row>
    <row r="1639" spans="1:42" ht="15" hidden="1" customHeight="1">
      <c r="A1639" s="111" t="str">
        <f>'Sampling Data'!W1633</f>
        <v/>
      </c>
      <c r="B1639" s="112" t="str">
        <f>'Sampling Data'!A1633</f>
        <v>ORANGE -00-A</v>
      </c>
      <c r="C1639" s="112">
        <f>'Sampling Data'!B1633</f>
        <v>4</v>
      </c>
      <c r="D1639" s="112">
        <f>'Sampling Data'!C1633</f>
        <v>57</v>
      </c>
      <c r="E1639" s="113">
        <f>'Sampling Data'!D1633</f>
        <v>4</v>
      </c>
      <c r="F1639" s="113">
        <f>'Sampling Data'!E1633</f>
        <v>5</v>
      </c>
      <c r="G1639" s="113">
        <f>'Sampling Data'!F1633</f>
        <v>2</v>
      </c>
      <c r="H1639" s="113">
        <f>'Sampling Data'!G1633</f>
        <v>0</v>
      </c>
      <c r="I1639" s="112">
        <f>'Sampling Data'!H1633</f>
        <v>0</v>
      </c>
      <c r="J1639" s="112">
        <f>'Sampling Data'!I1633</f>
        <v>0</v>
      </c>
      <c r="K1639" s="112">
        <f>'Sampling Data'!J1633</f>
        <v>72</v>
      </c>
      <c r="L1639" s="111">
        <f>'Sampling Data'!X1633</f>
        <v>0</v>
      </c>
      <c r="M1639" s="114"/>
      <c r="N1639" s="114"/>
      <c r="O1639" s="115"/>
      <c r="P1639" s="115"/>
      <c r="Q1639" s="116"/>
      <c r="R1639" s="116"/>
      <c r="S1639" s="111">
        <f>Audit[[#This Row],[Audit Losing Candidate]]-Audit[[#This Row],[Losing Candidate]]</f>
        <v>-4</v>
      </c>
      <c r="T1639" s="111">
        <f>Audit[[#This Row],[Audit Winning Candidate]]-Audit[[#This Row],[Winning Candidate]]</f>
        <v>-57</v>
      </c>
      <c r="U1639" s="111">
        <f>Audit[[#This Row],[Audit Candidate 3]]-Audit[[#This Row],[Candidate 3]]</f>
        <v>-4</v>
      </c>
      <c r="V1639" s="111">
        <f>Audit[[#This Row],[Audit Candidate 4]]-Audit[[#This Row],[Candidate 4]]</f>
        <v>-5</v>
      </c>
      <c r="W1639" s="111">
        <f>Audit[[#This Row],[Audit Candidate 5]]-Audit[[#This Row],[Candidate 5]]</f>
        <v>-2</v>
      </c>
      <c r="X1639" s="111">
        <f>Audit[[#This Row],[Audit Candidate 6]]-Audit[[#This Row],[Candidate 6]]</f>
        <v>0</v>
      </c>
      <c r="Y1639" s="111">
        <f>SUMIF(Audit[[#This Row],[Difference Loser]:[Difference Candidate 6]], "&gt;0")</f>
        <v>0</v>
      </c>
      <c r="Z1639" s="111">
        <f>SUM(Audit[[#This Row],[Difference Loser]:[Difference Candidate 6]])</f>
        <v>-72</v>
      </c>
      <c r="AA1639" s="111">
        <f>IF(Audit[[#This Row],[Times p Drawn - With Replacement]]&gt;0, IF(Audit[[#This Row],[Canceled Differences]]&lt;0, Audit[[#This Row],[Max Differences]]+ABS(Audit[[#This Row],[Canceled Differences]]), Audit[[#This Row],[Max Differences]]), 0)</f>
        <v>0</v>
      </c>
      <c r="AB1639" s="111">
        <f>'Sampling Data'!P1633</f>
        <v>7.6555609995100438E-3</v>
      </c>
      <c r="AC1639" s="111">
        <f>IF(
      SUM(Audit[[#This Row],[Audit Losing Candidate]:[Audit Candidate 6]])
      &lt;&gt;0,
      (Audit[[#This Row],[Winning Candidate]]-Audit[[#This Row],[Losing Candidate]]-(Audit[[#This Row],[Audit Winning Candidate]]-Audit[[#This Row],[Audit Losing Candidate]]))/(Audit[[#Totals],[Winning Candidate]]-Audit[[#Totals],[Losing Candidate]]),
      0
)</f>
        <v>0</v>
      </c>
      <c r="AD16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9" s="111">
        <f>IF(Audit[[#This Row],[Max Relative Error (ep)]] = 0, 0, Audit[[#This Row],[Max Relative Error (ep)]]/Audit[[#This Row],[Error Bound (up) - Max. possible relative overstatement]])</f>
        <v>0</v>
      </c>
      <c r="AJ16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39" s="111">
        <f t="shared" si="25"/>
        <v>1</v>
      </c>
      <c r="AL1639" s="111">
        <f>PRODUCT($AK$5:AK1639)</f>
        <v>8.962823818226312E-2</v>
      </c>
      <c r="AM1639" s="109">
        <f>1 - [K-M P Value]</f>
        <v>0.91037176181773694</v>
      </c>
      <c r="AN1639" s="111" t="str">
        <f>IF(Audit[[#This Row],[K-M P Value]]&gt;1-'General Info'!$B$16,"Continue", "Stop")</f>
        <v>Stop</v>
      </c>
      <c r="AO1639" s="110" t="b">
        <f>IF(Audit[[#This Row],[Status - Continue or stop audit]] = "Continue", TRUE, IF(AN1638 = "Continue", TRUE, FALSE))</f>
        <v>0</v>
      </c>
      <c r="AP1639" s="110"/>
    </row>
    <row r="1640" spans="1:42" ht="15" hidden="1" customHeight="1">
      <c r="A1640" s="111" t="str">
        <f>'Sampling Data'!W1634</f>
        <v/>
      </c>
      <c r="B1640" s="112" t="str">
        <f>'Sampling Data'!A1634</f>
        <v>ORANGE -00-A - ABS</v>
      </c>
      <c r="C1640" s="112">
        <f>'Sampling Data'!B1634</f>
        <v>2</v>
      </c>
      <c r="D1640" s="112">
        <f>'Sampling Data'!C1634</f>
        <v>31</v>
      </c>
      <c r="E1640" s="113">
        <f>'Sampling Data'!D1634</f>
        <v>8</v>
      </c>
      <c r="F1640" s="113">
        <f>'Sampling Data'!E1634</f>
        <v>1</v>
      </c>
      <c r="G1640" s="113">
        <f>'Sampling Data'!F1634</f>
        <v>0</v>
      </c>
      <c r="H1640" s="113">
        <f>'Sampling Data'!G1634</f>
        <v>0</v>
      </c>
      <c r="I1640" s="112">
        <f>'Sampling Data'!H1634</f>
        <v>0</v>
      </c>
      <c r="J1640" s="112">
        <f>'Sampling Data'!I1634</f>
        <v>1</v>
      </c>
      <c r="K1640" s="112">
        <f>'Sampling Data'!J1634</f>
        <v>43</v>
      </c>
      <c r="L1640" s="111">
        <f>'Sampling Data'!X1634</f>
        <v>0</v>
      </c>
      <c r="M1640" s="114"/>
      <c r="N1640" s="114"/>
      <c r="O1640" s="115"/>
      <c r="P1640" s="115"/>
      <c r="Q1640" s="116"/>
      <c r="R1640" s="116"/>
      <c r="S1640" s="111">
        <f>Audit[[#This Row],[Audit Losing Candidate]]-Audit[[#This Row],[Losing Candidate]]</f>
        <v>-2</v>
      </c>
      <c r="T1640" s="111">
        <f>Audit[[#This Row],[Audit Winning Candidate]]-Audit[[#This Row],[Winning Candidate]]</f>
        <v>-31</v>
      </c>
      <c r="U1640" s="111">
        <f>Audit[[#This Row],[Audit Candidate 3]]-Audit[[#This Row],[Candidate 3]]</f>
        <v>-8</v>
      </c>
      <c r="V1640" s="111">
        <f>Audit[[#This Row],[Audit Candidate 4]]-Audit[[#This Row],[Candidate 4]]</f>
        <v>-1</v>
      </c>
      <c r="W1640" s="111">
        <f>Audit[[#This Row],[Audit Candidate 5]]-Audit[[#This Row],[Candidate 5]]</f>
        <v>0</v>
      </c>
      <c r="X1640" s="111">
        <f>Audit[[#This Row],[Audit Candidate 6]]-Audit[[#This Row],[Candidate 6]]</f>
        <v>0</v>
      </c>
      <c r="Y1640" s="111">
        <f>SUMIF(Audit[[#This Row],[Difference Loser]:[Difference Candidate 6]], "&gt;0")</f>
        <v>0</v>
      </c>
      <c r="Z1640" s="111">
        <f>SUM(Audit[[#This Row],[Difference Loser]:[Difference Candidate 6]])</f>
        <v>-42</v>
      </c>
      <c r="AA1640" s="111">
        <f>IF(Audit[[#This Row],[Times p Drawn - With Replacement]]&gt;0, IF(Audit[[#This Row],[Canceled Differences]]&lt;0, Audit[[#This Row],[Max Differences]]+ABS(Audit[[#This Row],[Canceled Differences]]), Audit[[#This Row],[Max Differences]]), 0)</f>
        <v>0</v>
      </c>
      <c r="AB1640" s="111">
        <f>'Sampling Data'!P1634</f>
        <v>4.4096031357177858E-3</v>
      </c>
      <c r="AC1640" s="111">
        <f>IF(
      SUM(Audit[[#This Row],[Audit Losing Candidate]:[Audit Candidate 6]])
      &lt;&gt;0,
      (Audit[[#This Row],[Winning Candidate]]-Audit[[#This Row],[Losing Candidate]]-(Audit[[#This Row],[Audit Winning Candidate]]-Audit[[#This Row],[Audit Losing Candidate]]))/(Audit[[#Totals],[Winning Candidate]]-Audit[[#Totals],[Losing Candidate]]),
      0
)</f>
        <v>0</v>
      </c>
      <c r="AD16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0" s="111">
        <f>IF(Audit[[#This Row],[Max Relative Error (ep)]] = 0, 0, Audit[[#This Row],[Max Relative Error (ep)]]/Audit[[#This Row],[Error Bound (up) - Max. possible relative overstatement]])</f>
        <v>0</v>
      </c>
      <c r="AJ16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40" s="111">
        <f t="shared" si="25"/>
        <v>1</v>
      </c>
      <c r="AL1640" s="111">
        <f>PRODUCT($AK$5:AK1640)</f>
        <v>8.962823818226312E-2</v>
      </c>
      <c r="AM1640" s="109">
        <f>1 - [K-M P Value]</f>
        <v>0.91037176181773694</v>
      </c>
      <c r="AN1640" s="111" t="str">
        <f>IF(Audit[[#This Row],[K-M P Value]]&gt;1-'General Info'!$B$16,"Continue", "Stop")</f>
        <v>Stop</v>
      </c>
      <c r="AO1640" s="110" t="b">
        <f>IF(Audit[[#This Row],[Status - Continue or stop audit]] = "Continue", TRUE, IF(AN1639 = "Continue", TRUE, FALSE))</f>
        <v>0</v>
      </c>
      <c r="AP1640" s="110"/>
    </row>
    <row r="1641" spans="1:42" ht="15" hidden="1" customHeight="1">
      <c r="A1641" s="111" t="str">
        <f>'Sampling Data'!W1635</f>
        <v/>
      </c>
      <c r="B1641" s="112" t="str">
        <f>'Sampling Data'!A1635</f>
        <v>ORANGE -00-B</v>
      </c>
      <c r="C1641" s="112">
        <f>'Sampling Data'!B1635</f>
        <v>11</v>
      </c>
      <c r="D1641" s="112">
        <f>'Sampling Data'!C1635</f>
        <v>41</v>
      </c>
      <c r="E1641" s="113">
        <f>'Sampling Data'!D1635</f>
        <v>4</v>
      </c>
      <c r="F1641" s="113">
        <f>'Sampling Data'!E1635</f>
        <v>2</v>
      </c>
      <c r="G1641" s="113">
        <f>'Sampling Data'!F1635</f>
        <v>0</v>
      </c>
      <c r="H1641" s="113">
        <f>'Sampling Data'!G1635</f>
        <v>0</v>
      </c>
      <c r="I1641" s="112">
        <f>'Sampling Data'!H1635</f>
        <v>0</v>
      </c>
      <c r="J1641" s="112">
        <f>'Sampling Data'!I1635</f>
        <v>0</v>
      </c>
      <c r="K1641" s="112">
        <f>'Sampling Data'!J1635</f>
        <v>58</v>
      </c>
      <c r="L1641" s="111">
        <f>'Sampling Data'!X1635</f>
        <v>0</v>
      </c>
      <c r="M1641" s="114"/>
      <c r="N1641" s="114"/>
      <c r="O1641" s="115"/>
      <c r="P1641" s="115"/>
      <c r="Q1641" s="116"/>
      <c r="R1641" s="116"/>
      <c r="S1641" s="111">
        <f>Audit[[#This Row],[Audit Losing Candidate]]-Audit[[#This Row],[Losing Candidate]]</f>
        <v>-11</v>
      </c>
      <c r="T1641" s="111">
        <f>Audit[[#This Row],[Audit Winning Candidate]]-Audit[[#This Row],[Winning Candidate]]</f>
        <v>-41</v>
      </c>
      <c r="U1641" s="111">
        <f>Audit[[#This Row],[Audit Candidate 3]]-Audit[[#This Row],[Candidate 3]]</f>
        <v>-4</v>
      </c>
      <c r="V1641" s="111">
        <f>Audit[[#This Row],[Audit Candidate 4]]-Audit[[#This Row],[Candidate 4]]</f>
        <v>-2</v>
      </c>
      <c r="W1641" s="111">
        <f>Audit[[#This Row],[Audit Candidate 5]]-Audit[[#This Row],[Candidate 5]]</f>
        <v>0</v>
      </c>
      <c r="X1641" s="111">
        <f>Audit[[#This Row],[Audit Candidate 6]]-Audit[[#This Row],[Candidate 6]]</f>
        <v>0</v>
      </c>
      <c r="Y1641" s="111">
        <f>SUMIF(Audit[[#This Row],[Difference Loser]:[Difference Candidate 6]], "&gt;0")</f>
        <v>0</v>
      </c>
      <c r="Z1641" s="111">
        <f>SUM(Audit[[#This Row],[Difference Loser]:[Difference Candidate 6]])</f>
        <v>-58</v>
      </c>
      <c r="AA1641" s="111">
        <f>IF(Audit[[#This Row],[Times p Drawn - With Replacement]]&gt;0, IF(Audit[[#This Row],[Canceled Differences]]&lt;0, Audit[[#This Row],[Max Differences]]+ABS(Audit[[#This Row],[Canceled Differences]]), Audit[[#This Row],[Max Differences]]), 0)</f>
        <v>0</v>
      </c>
      <c r="AB1641" s="111">
        <f>'Sampling Data'!P1635</f>
        <v>5.3895149436550714E-3</v>
      </c>
      <c r="AC1641" s="111">
        <f>IF(
      SUM(Audit[[#This Row],[Audit Losing Candidate]:[Audit Candidate 6]])
      &lt;&gt;0,
      (Audit[[#This Row],[Winning Candidate]]-Audit[[#This Row],[Losing Candidate]]-(Audit[[#This Row],[Audit Winning Candidate]]-Audit[[#This Row],[Audit Losing Candidate]]))/(Audit[[#Totals],[Winning Candidate]]-Audit[[#Totals],[Losing Candidate]]),
      0
)</f>
        <v>0</v>
      </c>
      <c r="AD16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1" s="111">
        <f>IF(Audit[[#This Row],[Max Relative Error (ep)]] = 0, 0, Audit[[#This Row],[Max Relative Error (ep)]]/Audit[[#This Row],[Error Bound (up) - Max. possible relative overstatement]])</f>
        <v>0</v>
      </c>
      <c r="AJ16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41" s="111">
        <f t="shared" si="25"/>
        <v>1</v>
      </c>
      <c r="AL1641" s="111">
        <f>PRODUCT($AK$5:AK1641)</f>
        <v>8.962823818226312E-2</v>
      </c>
      <c r="AM1641" s="109">
        <f>1 - [K-M P Value]</f>
        <v>0.91037176181773694</v>
      </c>
      <c r="AN1641" s="111" t="str">
        <f>IF(Audit[[#This Row],[K-M P Value]]&gt;1-'General Info'!$B$16,"Continue", "Stop")</f>
        <v>Stop</v>
      </c>
      <c r="AO1641" s="110" t="b">
        <f>IF(Audit[[#This Row],[Status - Continue or stop audit]] = "Continue", TRUE, IF(AN1640 = "Continue", TRUE, FALSE))</f>
        <v>0</v>
      </c>
      <c r="AP1641" s="110"/>
    </row>
    <row r="1642" spans="1:42" ht="15" hidden="1" customHeight="1">
      <c r="A1642" s="111" t="str">
        <f>'Sampling Data'!W1636</f>
        <v/>
      </c>
      <c r="B1642" s="112" t="str">
        <f>'Sampling Data'!A1636</f>
        <v>ORANGE -00-B - ABS</v>
      </c>
      <c r="C1642" s="112">
        <f>'Sampling Data'!B1636</f>
        <v>9</v>
      </c>
      <c r="D1642" s="112">
        <f>'Sampling Data'!C1636</f>
        <v>11</v>
      </c>
      <c r="E1642" s="113">
        <f>'Sampling Data'!D1636</f>
        <v>0</v>
      </c>
      <c r="F1642" s="113">
        <f>'Sampling Data'!E1636</f>
        <v>3</v>
      </c>
      <c r="G1642" s="113">
        <f>'Sampling Data'!F1636</f>
        <v>0</v>
      </c>
      <c r="H1642" s="113">
        <f>'Sampling Data'!G1636</f>
        <v>0</v>
      </c>
      <c r="I1642" s="112">
        <f>'Sampling Data'!H1636</f>
        <v>0</v>
      </c>
      <c r="J1642" s="112">
        <f>'Sampling Data'!I1636</f>
        <v>2</v>
      </c>
      <c r="K1642" s="112">
        <f>'Sampling Data'!J1636</f>
        <v>25</v>
      </c>
      <c r="L1642" s="111">
        <f>'Sampling Data'!X1636</f>
        <v>0</v>
      </c>
      <c r="M1642" s="114"/>
      <c r="N1642" s="114"/>
      <c r="O1642" s="115"/>
      <c r="P1642" s="115"/>
      <c r="Q1642" s="116"/>
      <c r="R1642" s="116"/>
      <c r="S1642" s="111">
        <f>Audit[[#This Row],[Audit Losing Candidate]]-Audit[[#This Row],[Losing Candidate]]</f>
        <v>-9</v>
      </c>
      <c r="T1642" s="111">
        <f>Audit[[#This Row],[Audit Winning Candidate]]-Audit[[#This Row],[Winning Candidate]]</f>
        <v>-11</v>
      </c>
      <c r="U1642" s="111">
        <f>Audit[[#This Row],[Audit Candidate 3]]-Audit[[#This Row],[Candidate 3]]</f>
        <v>0</v>
      </c>
      <c r="V1642" s="111">
        <f>Audit[[#This Row],[Audit Candidate 4]]-Audit[[#This Row],[Candidate 4]]</f>
        <v>-3</v>
      </c>
      <c r="W1642" s="111">
        <f>Audit[[#This Row],[Audit Candidate 5]]-Audit[[#This Row],[Candidate 5]]</f>
        <v>0</v>
      </c>
      <c r="X1642" s="111">
        <f>Audit[[#This Row],[Audit Candidate 6]]-Audit[[#This Row],[Candidate 6]]</f>
        <v>0</v>
      </c>
      <c r="Y1642" s="111">
        <f>SUMIF(Audit[[#This Row],[Difference Loser]:[Difference Candidate 6]], "&gt;0")</f>
        <v>0</v>
      </c>
      <c r="Z1642" s="111">
        <f>SUM(Audit[[#This Row],[Difference Loser]:[Difference Candidate 6]])</f>
        <v>-23</v>
      </c>
      <c r="AA1642" s="111">
        <f>IF(Audit[[#This Row],[Times p Drawn - With Replacement]]&gt;0, IF(Audit[[#This Row],[Canceled Differences]]&lt;0, Audit[[#This Row],[Max Differences]]+ABS(Audit[[#This Row],[Canceled Differences]]), Audit[[#This Row],[Max Differences]]), 0)</f>
        <v>0</v>
      </c>
      <c r="AB1642" s="111">
        <f>'Sampling Data'!P1636</f>
        <v>1.6536011758941694E-3</v>
      </c>
      <c r="AC1642" s="111">
        <f>IF(
      SUM(Audit[[#This Row],[Audit Losing Candidate]:[Audit Candidate 6]])
      &lt;&gt;0,
      (Audit[[#This Row],[Winning Candidate]]-Audit[[#This Row],[Losing Candidate]]-(Audit[[#This Row],[Audit Winning Candidate]]-Audit[[#This Row],[Audit Losing Candidate]]))/(Audit[[#Totals],[Winning Candidate]]-Audit[[#Totals],[Losing Candidate]]),
      0
)</f>
        <v>0</v>
      </c>
      <c r="AD16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2" s="111">
        <f>IF(Audit[[#This Row],[Max Relative Error (ep)]] = 0, 0, Audit[[#This Row],[Max Relative Error (ep)]]/Audit[[#This Row],[Error Bound (up) - Max. possible relative overstatement]])</f>
        <v>0</v>
      </c>
      <c r="AJ16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42" s="111">
        <f t="shared" si="25"/>
        <v>1</v>
      </c>
      <c r="AL1642" s="111">
        <f>PRODUCT($AK$5:AK1642)</f>
        <v>8.962823818226312E-2</v>
      </c>
      <c r="AM1642" s="109">
        <f>1 - [K-M P Value]</f>
        <v>0.91037176181773694</v>
      </c>
      <c r="AN1642" s="111" t="str">
        <f>IF(Audit[[#This Row],[K-M P Value]]&gt;1-'General Info'!$B$16,"Continue", "Stop")</f>
        <v>Stop</v>
      </c>
      <c r="AO1642" s="110" t="b">
        <f>IF(Audit[[#This Row],[Status - Continue or stop audit]] = "Continue", TRUE, IF(AN1641 = "Continue", TRUE, FALSE))</f>
        <v>0</v>
      </c>
      <c r="AP1642" s="110"/>
    </row>
    <row r="1643" spans="1:42" ht="15" hidden="1" customHeight="1">
      <c r="A1643" s="111" t="str">
        <f>'Sampling Data'!W1637</f>
        <v/>
      </c>
      <c r="B1643" s="112" t="str">
        <f>'Sampling Data'!A1637</f>
        <v>ORANGE -00-C</v>
      </c>
      <c r="C1643" s="112">
        <f>'Sampling Data'!B1637</f>
        <v>12</v>
      </c>
      <c r="D1643" s="112">
        <f>'Sampling Data'!C1637</f>
        <v>44</v>
      </c>
      <c r="E1643" s="113">
        <f>'Sampling Data'!D1637</f>
        <v>8</v>
      </c>
      <c r="F1643" s="113">
        <f>'Sampling Data'!E1637</f>
        <v>9</v>
      </c>
      <c r="G1643" s="113">
        <f>'Sampling Data'!F1637</f>
        <v>1</v>
      </c>
      <c r="H1643" s="113">
        <f>'Sampling Data'!G1637</f>
        <v>0</v>
      </c>
      <c r="I1643" s="112">
        <f>'Sampling Data'!H1637</f>
        <v>0</v>
      </c>
      <c r="J1643" s="112">
        <f>'Sampling Data'!I1637</f>
        <v>0</v>
      </c>
      <c r="K1643" s="112">
        <f>'Sampling Data'!J1637</f>
        <v>74</v>
      </c>
      <c r="L1643" s="111">
        <f>'Sampling Data'!X1637</f>
        <v>0</v>
      </c>
      <c r="M1643" s="114"/>
      <c r="N1643" s="114"/>
      <c r="O1643" s="115"/>
      <c r="P1643" s="115"/>
      <c r="Q1643" s="116"/>
      <c r="R1643" s="116"/>
      <c r="S1643" s="111">
        <f>Audit[[#This Row],[Audit Losing Candidate]]-Audit[[#This Row],[Losing Candidate]]</f>
        <v>-12</v>
      </c>
      <c r="T1643" s="111">
        <f>Audit[[#This Row],[Audit Winning Candidate]]-Audit[[#This Row],[Winning Candidate]]</f>
        <v>-44</v>
      </c>
      <c r="U1643" s="111">
        <f>Audit[[#This Row],[Audit Candidate 3]]-Audit[[#This Row],[Candidate 3]]</f>
        <v>-8</v>
      </c>
      <c r="V1643" s="111">
        <f>Audit[[#This Row],[Audit Candidate 4]]-Audit[[#This Row],[Candidate 4]]</f>
        <v>-9</v>
      </c>
      <c r="W1643" s="111">
        <f>Audit[[#This Row],[Audit Candidate 5]]-Audit[[#This Row],[Candidate 5]]</f>
        <v>-1</v>
      </c>
      <c r="X1643" s="111">
        <f>Audit[[#This Row],[Audit Candidate 6]]-Audit[[#This Row],[Candidate 6]]</f>
        <v>0</v>
      </c>
      <c r="Y1643" s="111">
        <f>SUMIF(Audit[[#This Row],[Difference Loser]:[Difference Candidate 6]], "&gt;0")</f>
        <v>0</v>
      </c>
      <c r="Z1643" s="111">
        <f>SUM(Audit[[#This Row],[Difference Loser]:[Difference Candidate 6]])</f>
        <v>-74</v>
      </c>
      <c r="AA1643" s="111">
        <f>IF(Audit[[#This Row],[Times p Drawn - With Replacement]]&gt;0, IF(Audit[[#This Row],[Canceled Differences]]&lt;0, Audit[[#This Row],[Max Differences]]+ABS(Audit[[#This Row],[Canceled Differences]]), Audit[[#This Row],[Max Differences]]), 0)</f>
        <v>0</v>
      </c>
      <c r="AB1643" s="111">
        <f>'Sampling Data'!P1637</f>
        <v>6.4919157275845178E-3</v>
      </c>
      <c r="AC1643" s="111">
        <f>IF(
      SUM(Audit[[#This Row],[Audit Losing Candidate]:[Audit Candidate 6]])
      &lt;&gt;0,
      (Audit[[#This Row],[Winning Candidate]]-Audit[[#This Row],[Losing Candidate]]-(Audit[[#This Row],[Audit Winning Candidate]]-Audit[[#This Row],[Audit Losing Candidate]]))/(Audit[[#Totals],[Winning Candidate]]-Audit[[#Totals],[Losing Candidate]]),
      0
)</f>
        <v>0</v>
      </c>
      <c r="AD16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3" s="111">
        <f>IF(Audit[[#This Row],[Max Relative Error (ep)]] = 0, 0, Audit[[#This Row],[Max Relative Error (ep)]]/Audit[[#This Row],[Error Bound (up) - Max. possible relative overstatement]])</f>
        <v>0</v>
      </c>
      <c r="AJ16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43" s="111">
        <f t="shared" si="25"/>
        <v>1</v>
      </c>
      <c r="AL1643" s="111">
        <f>PRODUCT($AK$5:AK1643)</f>
        <v>8.962823818226312E-2</v>
      </c>
      <c r="AM1643" s="109">
        <f>1 - [K-M P Value]</f>
        <v>0.91037176181773694</v>
      </c>
      <c r="AN1643" s="111" t="str">
        <f>IF(Audit[[#This Row],[K-M P Value]]&gt;1-'General Info'!$B$16,"Continue", "Stop")</f>
        <v>Stop</v>
      </c>
      <c r="AO1643" s="110" t="b">
        <f>IF(Audit[[#This Row],[Status - Continue or stop audit]] = "Continue", TRUE, IF(AN1642 = "Continue", TRUE, FALSE))</f>
        <v>0</v>
      </c>
      <c r="AP1643" s="110"/>
    </row>
    <row r="1644" spans="1:42" ht="15" hidden="1" customHeight="1">
      <c r="A1644" s="111" t="str">
        <f>'Sampling Data'!W1638</f>
        <v/>
      </c>
      <c r="B1644" s="112" t="str">
        <f>'Sampling Data'!A1638</f>
        <v>ORANGE -00-C - ABS</v>
      </c>
      <c r="C1644" s="112">
        <f>'Sampling Data'!B1638</f>
        <v>5</v>
      </c>
      <c r="D1644" s="112">
        <f>'Sampling Data'!C1638</f>
        <v>27</v>
      </c>
      <c r="E1644" s="113">
        <f>'Sampling Data'!D1638</f>
        <v>0</v>
      </c>
      <c r="F1644" s="113">
        <f>'Sampling Data'!E1638</f>
        <v>1</v>
      </c>
      <c r="G1644" s="113">
        <f>'Sampling Data'!F1638</f>
        <v>0</v>
      </c>
      <c r="H1644" s="113">
        <f>'Sampling Data'!G1638</f>
        <v>0</v>
      </c>
      <c r="I1644" s="112">
        <f>'Sampling Data'!H1638</f>
        <v>0</v>
      </c>
      <c r="J1644" s="112">
        <f>'Sampling Data'!I1638</f>
        <v>1</v>
      </c>
      <c r="K1644" s="112">
        <f>'Sampling Data'!J1638</f>
        <v>34</v>
      </c>
      <c r="L1644" s="111">
        <f>'Sampling Data'!X1638</f>
        <v>0</v>
      </c>
      <c r="M1644" s="114"/>
      <c r="N1644" s="114"/>
      <c r="O1644" s="115"/>
      <c r="P1644" s="115"/>
      <c r="Q1644" s="116"/>
      <c r="R1644" s="116"/>
      <c r="S1644" s="111">
        <f>Audit[[#This Row],[Audit Losing Candidate]]-Audit[[#This Row],[Losing Candidate]]</f>
        <v>-5</v>
      </c>
      <c r="T1644" s="111">
        <f>Audit[[#This Row],[Audit Winning Candidate]]-Audit[[#This Row],[Winning Candidate]]</f>
        <v>-27</v>
      </c>
      <c r="U1644" s="111">
        <f>Audit[[#This Row],[Audit Candidate 3]]-Audit[[#This Row],[Candidate 3]]</f>
        <v>0</v>
      </c>
      <c r="V1644" s="111">
        <f>Audit[[#This Row],[Audit Candidate 4]]-Audit[[#This Row],[Candidate 4]]</f>
        <v>-1</v>
      </c>
      <c r="W1644" s="111">
        <f>Audit[[#This Row],[Audit Candidate 5]]-Audit[[#This Row],[Candidate 5]]</f>
        <v>0</v>
      </c>
      <c r="X1644" s="111">
        <f>Audit[[#This Row],[Audit Candidate 6]]-Audit[[#This Row],[Candidate 6]]</f>
        <v>0</v>
      </c>
      <c r="Y1644" s="111">
        <f>SUMIF(Audit[[#This Row],[Difference Loser]:[Difference Candidate 6]], "&gt;0")</f>
        <v>0</v>
      </c>
      <c r="Z1644" s="111">
        <f>SUM(Audit[[#This Row],[Difference Loser]:[Difference Candidate 6]])</f>
        <v>-33</v>
      </c>
      <c r="AA1644" s="111">
        <f>IF(Audit[[#This Row],[Times p Drawn - With Replacement]]&gt;0, IF(Audit[[#This Row],[Canceled Differences]]&lt;0, Audit[[#This Row],[Max Differences]]+ABS(Audit[[#This Row],[Canceled Differences]]), Audit[[#This Row],[Max Differences]]), 0)</f>
        <v>0</v>
      </c>
      <c r="AB1644" s="111">
        <f>'Sampling Data'!P1638</f>
        <v>3.4296913277804997E-3</v>
      </c>
      <c r="AC1644" s="111">
        <f>IF(
      SUM(Audit[[#This Row],[Audit Losing Candidate]:[Audit Candidate 6]])
      &lt;&gt;0,
      (Audit[[#This Row],[Winning Candidate]]-Audit[[#This Row],[Losing Candidate]]-(Audit[[#This Row],[Audit Winning Candidate]]-Audit[[#This Row],[Audit Losing Candidate]]))/(Audit[[#Totals],[Winning Candidate]]-Audit[[#Totals],[Losing Candidate]]),
      0
)</f>
        <v>0</v>
      </c>
      <c r="AD16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4" s="111">
        <f>IF(Audit[[#This Row],[Max Relative Error (ep)]] = 0, 0, Audit[[#This Row],[Max Relative Error (ep)]]/Audit[[#This Row],[Error Bound (up) - Max. possible relative overstatement]])</f>
        <v>0</v>
      </c>
      <c r="AJ16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44" s="111">
        <f t="shared" si="25"/>
        <v>1</v>
      </c>
      <c r="AL1644" s="111">
        <f>PRODUCT($AK$5:AK1644)</f>
        <v>8.962823818226312E-2</v>
      </c>
      <c r="AM1644" s="109">
        <f>1 - [K-M P Value]</f>
        <v>0.91037176181773694</v>
      </c>
      <c r="AN1644" s="111" t="str">
        <f>IF(Audit[[#This Row],[K-M P Value]]&gt;1-'General Info'!$B$16,"Continue", "Stop")</f>
        <v>Stop</v>
      </c>
      <c r="AO1644" s="110" t="b">
        <f>IF(Audit[[#This Row],[Status - Continue or stop audit]] = "Continue", TRUE, IF(AN1643 = "Continue", TRUE, FALSE))</f>
        <v>0</v>
      </c>
      <c r="AP1644" s="110"/>
    </row>
    <row r="1645" spans="1:42" ht="15" hidden="1" customHeight="1">
      <c r="A1645" s="111" t="str">
        <f>'Sampling Data'!W1639</f>
        <v/>
      </c>
      <c r="B1645" s="112" t="str">
        <f>'Sampling Data'!A1639</f>
        <v>PARMA -01-A</v>
      </c>
      <c r="C1645" s="112">
        <f>'Sampling Data'!B1639</f>
        <v>0</v>
      </c>
      <c r="D1645" s="112">
        <f>'Sampling Data'!C1639</f>
        <v>0</v>
      </c>
      <c r="E1645" s="113">
        <f>'Sampling Data'!D1639</f>
        <v>0</v>
      </c>
      <c r="F1645" s="113">
        <f>'Sampling Data'!E1639</f>
        <v>0</v>
      </c>
      <c r="G1645" s="113">
        <f>'Sampling Data'!F1639</f>
        <v>0</v>
      </c>
      <c r="H1645" s="113">
        <f>'Sampling Data'!G1639</f>
        <v>0</v>
      </c>
      <c r="I1645" s="112">
        <f>'Sampling Data'!H1639</f>
        <v>0</v>
      </c>
      <c r="J1645" s="112">
        <f>'Sampling Data'!I1639</f>
        <v>0</v>
      </c>
      <c r="K1645" s="112">
        <f>'Sampling Data'!J1639</f>
        <v>0</v>
      </c>
      <c r="L1645" s="111">
        <f>'Sampling Data'!X1639</f>
        <v>0</v>
      </c>
      <c r="M1645" s="114"/>
      <c r="N1645" s="114"/>
      <c r="O1645" s="115"/>
      <c r="P1645" s="115"/>
      <c r="Q1645" s="116"/>
      <c r="R1645" s="116"/>
      <c r="S1645" s="111">
        <f>Audit[[#This Row],[Audit Losing Candidate]]-Audit[[#This Row],[Losing Candidate]]</f>
        <v>0</v>
      </c>
      <c r="T1645" s="111">
        <f>Audit[[#This Row],[Audit Winning Candidate]]-Audit[[#This Row],[Winning Candidate]]</f>
        <v>0</v>
      </c>
      <c r="U1645" s="111">
        <f>Audit[[#This Row],[Audit Candidate 3]]-Audit[[#This Row],[Candidate 3]]</f>
        <v>0</v>
      </c>
      <c r="V1645" s="111">
        <f>Audit[[#This Row],[Audit Candidate 4]]-Audit[[#This Row],[Candidate 4]]</f>
        <v>0</v>
      </c>
      <c r="W1645" s="111">
        <f>Audit[[#This Row],[Audit Candidate 5]]-Audit[[#This Row],[Candidate 5]]</f>
        <v>0</v>
      </c>
      <c r="X1645" s="111">
        <f>Audit[[#This Row],[Audit Candidate 6]]-Audit[[#This Row],[Candidate 6]]</f>
        <v>0</v>
      </c>
      <c r="Y1645" s="111">
        <f>SUMIF(Audit[[#This Row],[Difference Loser]:[Difference Candidate 6]], "&gt;0")</f>
        <v>0</v>
      </c>
      <c r="Z1645" s="111">
        <f>SUM(Audit[[#This Row],[Difference Loser]:[Difference Candidate 6]])</f>
        <v>0</v>
      </c>
      <c r="AA1645" s="111">
        <f>IF(Audit[[#This Row],[Times p Drawn - With Replacement]]&gt;0, IF(Audit[[#This Row],[Canceled Differences]]&lt;0, Audit[[#This Row],[Max Differences]]+ABS(Audit[[#This Row],[Canceled Differences]]), Audit[[#This Row],[Max Differences]]), 0)</f>
        <v>0</v>
      </c>
      <c r="AB1645" s="111">
        <f>'Sampling Data'!P1639</f>
        <v>0</v>
      </c>
      <c r="AC1645" s="111">
        <f>IF(
      SUM(Audit[[#This Row],[Audit Losing Candidate]:[Audit Candidate 6]])
      &lt;&gt;0,
      (Audit[[#This Row],[Winning Candidate]]-Audit[[#This Row],[Losing Candidate]]-(Audit[[#This Row],[Audit Winning Candidate]]-Audit[[#This Row],[Audit Losing Candidate]]))/(Audit[[#Totals],[Winning Candidate]]-Audit[[#Totals],[Losing Candidate]]),
      0
)</f>
        <v>0</v>
      </c>
      <c r="AD16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5" s="111">
        <f>IF(Audit[[#This Row],[Max Relative Error (ep)]] = 0, 0, Audit[[#This Row],[Max Relative Error (ep)]]/Audit[[#This Row],[Error Bound (up) - Max. possible relative overstatement]])</f>
        <v>0</v>
      </c>
      <c r="AJ16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45" s="111">
        <f t="shared" si="25"/>
        <v>1</v>
      </c>
      <c r="AL1645" s="111">
        <f>PRODUCT($AK$5:AK1645)</f>
        <v>8.962823818226312E-2</v>
      </c>
      <c r="AM1645" s="109">
        <f>1 - [K-M P Value]</f>
        <v>0.91037176181773694</v>
      </c>
      <c r="AN1645" s="111" t="str">
        <f>IF(Audit[[#This Row],[K-M P Value]]&gt;1-'General Info'!$B$16,"Continue", "Stop")</f>
        <v>Stop</v>
      </c>
      <c r="AO1645" s="110" t="b">
        <f>IF(Audit[[#This Row],[Status - Continue or stop audit]] = "Continue", TRUE, IF(AN1644 = "Continue", TRUE, FALSE))</f>
        <v>0</v>
      </c>
      <c r="AP1645" s="110"/>
    </row>
    <row r="1646" spans="1:42" ht="15" hidden="1" customHeight="1">
      <c r="A1646" s="111" t="str">
        <f>'Sampling Data'!W1640</f>
        <v/>
      </c>
      <c r="B1646" s="112" t="str">
        <f>'Sampling Data'!A1640</f>
        <v>PARMA -01-A - ABS</v>
      </c>
      <c r="C1646" s="112">
        <f>'Sampling Data'!B1640</f>
        <v>0</v>
      </c>
      <c r="D1646" s="112">
        <f>'Sampling Data'!C1640</f>
        <v>0</v>
      </c>
      <c r="E1646" s="113">
        <f>'Sampling Data'!D1640</f>
        <v>0</v>
      </c>
      <c r="F1646" s="113">
        <f>'Sampling Data'!E1640</f>
        <v>0</v>
      </c>
      <c r="G1646" s="113">
        <f>'Sampling Data'!F1640</f>
        <v>0</v>
      </c>
      <c r="H1646" s="113">
        <f>'Sampling Data'!G1640</f>
        <v>0</v>
      </c>
      <c r="I1646" s="112">
        <f>'Sampling Data'!H1640</f>
        <v>0</v>
      </c>
      <c r="J1646" s="112">
        <f>'Sampling Data'!I1640</f>
        <v>0</v>
      </c>
      <c r="K1646" s="112">
        <f>'Sampling Data'!J1640</f>
        <v>0</v>
      </c>
      <c r="L1646" s="111">
        <f>'Sampling Data'!X1640</f>
        <v>0</v>
      </c>
      <c r="M1646" s="114"/>
      <c r="N1646" s="114"/>
      <c r="O1646" s="115"/>
      <c r="P1646" s="115"/>
      <c r="Q1646" s="116"/>
      <c r="R1646" s="116"/>
      <c r="S1646" s="111">
        <f>Audit[[#This Row],[Audit Losing Candidate]]-Audit[[#This Row],[Losing Candidate]]</f>
        <v>0</v>
      </c>
      <c r="T1646" s="111">
        <f>Audit[[#This Row],[Audit Winning Candidate]]-Audit[[#This Row],[Winning Candidate]]</f>
        <v>0</v>
      </c>
      <c r="U1646" s="111">
        <f>Audit[[#This Row],[Audit Candidate 3]]-Audit[[#This Row],[Candidate 3]]</f>
        <v>0</v>
      </c>
      <c r="V1646" s="111">
        <f>Audit[[#This Row],[Audit Candidate 4]]-Audit[[#This Row],[Candidate 4]]</f>
        <v>0</v>
      </c>
      <c r="W1646" s="111">
        <f>Audit[[#This Row],[Audit Candidate 5]]-Audit[[#This Row],[Candidate 5]]</f>
        <v>0</v>
      </c>
      <c r="X1646" s="111">
        <f>Audit[[#This Row],[Audit Candidate 6]]-Audit[[#This Row],[Candidate 6]]</f>
        <v>0</v>
      </c>
      <c r="Y1646" s="111">
        <f>SUMIF(Audit[[#This Row],[Difference Loser]:[Difference Candidate 6]], "&gt;0")</f>
        <v>0</v>
      </c>
      <c r="Z1646" s="111">
        <f>SUM(Audit[[#This Row],[Difference Loser]:[Difference Candidate 6]])</f>
        <v>0</v>
      </c>
      <c r="AA1646" s="111">
        <f>IF(Audit[[#This Row],[Times p Drawn - With Replacement]]&gt;0, IF(Audit[[#This Row],[Canceled Differences]]&lt;0, Audit[[#This Row],[Max Differences]]+ABS(Audit[[#This Row],[Canceled Differences]]), Audit[[#This Row],[Max Differences]]), 0)</f>
        <v>0</v>
      </c>
      <c r="AB1646" s="111">
        <f>'Sampling Data'!P1640</f>
        <v>0</v>
      </c>
      <c r="AC1646" s="111">
        <f>IF(
      SUM(Audit[[#This Row],[Audit Losing Candidate]:[Audit Candidate 6]])
      &lt;&gt;0,
      (Audit[[#This Row],[Winning Candidate]]-Audit[[#This Row],[Losing Candidate]]-(Audit[[#This Row],[Audit Winning Candidate]]-Audit[[#This Row],[Audit Losing Candidate]]))/(Audit[[#Totals],[Winning Candidate]]-Audit[[#Totals],[Losing Candidate]]),
      0
)</f>
        <v>0</v>
      </c>
      <c r="AD16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6" s="111">
        <f>IF(Audit[[#This Row],[Max Relative Error (ep)]] = 0, 0, Audit[[#This Row],[Max Relative Error (ep)]]/Audit[[#This Row],[Error Bound (up) - Max. possible relative overstatement]])</f>
        <v>0</v>
      </c>
      <c r="AJ16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46" s="111">
        <f t="shared" si="25"/>
        <v>1</v>
      </c>
      <c r="AL1646" s="111">
        <f>PRODUCT($AK$5:AK1646)</f>
        <v>8.962823818226312E-2</v>
      </c>
      <c r="AM1646" s="109">
        <f>1 - [K-M P Value]</f>
        <v>0.91037176181773694</v>
      </c>
      <c r="AN1646" s="111" t="str">
        <f>IF(Audit[[#This Row],[K-M P Value]]&gt;1-'General Info'!$B$16,"Continue", "Stop")</f>
        <v>Stop</v>
      </c>
      <c r="AO1646" s="110" t="b">
        <f>IF(Audit[[#This Row],[Status - Continue or stop audit]] = "Continue", TRUE, IF(AN1645 = "Continue", TRUE, FALSE))</f>
        <v>0</v>
      </c>
      <c r="AP1646" s="110"/>
    </row>
    <row r="1647" spans="1:42" ht="15" hidden="1" customHeight="1">
      <c r="A1647" s="111" t="str">
        <f>'Sampling Data'!W1641</f>
        <v/>
      </c>
      <c r="B1647" s="112" t="str">
        <f>'Sampling Data'!A1641</f>
        <v>PARMA -01-A.02</v>
      </c>
      <c r="C1647" s="112">
        <f>'Sampling Data'!B1641</f>
        <v>12</v>
      </c>
      <c r="D1647" s="112">
        <f>'Sampling Data'!C1641</f>
        <v>25</v>
      </c>
      <c r="E1647" s="113">
        <f>'Sampling Data'!D1641</f>
        <v>7</v>
      </c>
      <c r="F1647" s="113">
        <f>'Sampling Data'!E1641</f>
        <v>6</v>
      </c>
      <c r="G1647" s="113">
        <f>'Sampling Data'!F1641</f>
        <v>0</v>
      </c>
      <c r="H1647" s="113">
        <f>'Sampling Data'!G1641</f>
        <v>0</v>
      </c>
      <c r="I1647" s="112">
        <f>'Sampling Data'!H1641</f>
        <v>0</v>
      </c>
      <c r="J1647" s="112">
        <f>'Sampling Data'!I1641</f>
        <v>0</v>
      </c>
      <c r="K1647" s="112">
        <f>'Sampling Data'!J1641</f>
        <v>50</v>
      </c>
      <c r="L1647" s="111">
        <f>'Sampling Data'!X1641</f>
        <v>0</v>
      </c>
      <c r="M1647" s="114"/>
      <c r="N1647" s="114"/>
      <c r="O1647" s="115"/>
      <c r="P1647" s="115"/>
      <c r="Q1647" s="116"/>
      <c r="R1647" s="116"/>
      <c r="S1647" s="111">
        <f>Audit[[#This Row],[Audit Losing Candidate]]-Audit[[#This Row],[Losing Candidate]]</f>
        <v>-12</v>
      </c>
      <c r="T1647" s="111">
        <f>Audit[[#This Row],[Audit Winning Candidate]]-Audit[[#This Row],[Winning Candidate]]</f>
        <v>-25</v>
      </c>
      <c r="U1647" s="111">
        <f>Audit[[#This Row],[Audit Candidate 3]]-Audit[[#This Row],[Candidate 3]]</f>
        <v>-7</v>
      </c>
      <c r="V1647" s="111">
        <f>Audit[[#This Row],[Audit Candidate 4]]-Audit[[#This Row],[Candidate 4]]</f>
        <v>-6</v>
      </c>
      <c r="W1647" s="111">
        <f>Audit[[#This Row],[Audit Candidate 5]]-Audit[[#This Row],[Candidate 5]]</f>
        <v>0</v>
      </c>
      <c r="X1647" s="111">
        <f>Audit[[#This Row],[Audit Candidate 6]]-Audit[[#This Row],[Candidate 6]]</f>
        <v>0</v>
      </c>
      <c r="Y1647" s="111">
        <f>SUMIF(Audit[[#This Row],[Difference Loser]:[Difference Candidate 6]], "&gt;0")</f>
        <v>0</v>
      </c>
      <c r="Z1647" s="111">
        <f>SUM(Audit[[#This Row],[Difference Loser]:[Difference Candidate 6]])</f>
        <v>-50</v>
      </c>
      <c r="AA1647" s="111">
        <f>IF(Audit[[#This Row],[Times p Drawn - With Replacement]]&gt;0, IF(Audit[[#This Row],[Canceled Differences]]&lt;0, Audit[[#This Row],[Max Differences]]+ABS(Audit[[#This Row],[Canceled Differences]]), Audit[[#This Row],[Max Differences]]), 0)</f>
        <v>0</v>
      </c>
      <c r="AB1647" s="111">
        <f>'Sampling Data'!P1641</f>
        <v>3.8584027437530621E-3</v>
      </c>
      <c r="AC1647" s="111">
        <f>IF(
      SUM(Audit[[#This Row],[Audit Losing Candidate]:[Audit Candidate 6]])
      &lt;&gt;0,
      (Audit[[#This Row],[Winning Candidate]]-Audit[[#This Row],[Losing Candidate]]-(Audit[[#This Row],[Audit Winning Candidate]]-Audit[[#This Row],[Audit Losing Candidate]]))/(Audit[[#Totals],[Winning Candidate]]-Audit[[#Totals],[Losing Candidate]]),
      0
)</f>
        <v>0</v>
      </c>
      <c r="AD16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7" s="111">
        <f>IF(Audit[[#This Row],[Max Relative Error (ep)]] = 0, 0, Audit[[#This Row],[Max Relative Error (ep)]]/Audit[[#This Row],[Error Bound (up) - Max. possible relative overstatement]])</f>
        <v>0</v>
      </c>
      <c r="AJ16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47" s="111">
        <f t="shared" si="25"/>
        <v>1</v>
      </c>
      <c r="AL1647" s="111">
        <f>PRODUCT($AK$5:AK1647)</f>
        <v>8.962823818226312E-2</v>
      </c>
      <c r="AM1647" s="109">
        <f>1 - [K-M P Value]</f>
        <v>0.91037176181773694</v>
      </c>
      <c r="AN1647" s="111" t="str">
        <f>IF(Audit[[#This Row],[K-M P Value]]&gt;1-'General Info'!$B$16,"Continue", "Stop")</f>
        <v>Stop</v>
      </c>
      <c r="AO1647" s="110" t="b">
        <f>IF(Audit[[#This Row],[Status - Continue or stop audit]] = "Continue", TRUE, IF(AN1646 = "Continue", TRUE, FALSE))</f>
        <v>0</v>
      </c>
      <c r="AP1647" s="110"/>
    </row>
    <row r="1648" spans="1:42" ht="15" hidden="1" customHeight="1">
      <c r="A1648" s="111" t="str">
        <f>'Sampling Data'!W1642</f>
        <v/>
      </c>
      <c r="B1648" s="112" t="str">
        <f>'Sampling Data'!A1642</f>
        <v>PARMA -01-A.02 - ABS</v>
      </c>
      <c r="C1648" s="112">
        <f>'Sampling Data'!B1642</f>
        <v>2</v>
      </c>
      <c r="D1648" s="112">
        <f>'Sampling Data'!C1642</f>
        <v>2</v>
      </c>
      <c r="E1648" s="113">
        <f>'Sampling Data'!D1642</f>
        <v>3</v>
      </c>
      <c r="F1648" s="113">
        <f>'Sampling Data'!E1642</f>
        <v>1</v>
      </c>
      <c r="G1648" s="113">
        <f>'Sampling Data'!F1642</f>
        <v>0</v>
      </c>
      <c r="H1648" s="113">
        <f>'Sampling Data'!G1642</f>
        <v>0</v>
      </c>
      <c r="I1648" s="112">
        <f>'Sampling Data'!H1642</f>
        <v>0</v>
      </c>
      <c r="J1648" s="112">
        <f>'Sampling Data'!I1642</f>
        <v>0</v>
      </c>
      <c r="K1648" s="112">
        <f>'Sampling Data'!J1642</f>
        <v>8</v>
      </c>
      <c r="L1648" s="111">
        <f>'Sampling Data'!X1642</f>
        <v>0</v>
      </c>
      <c r="M1648" s="114"/>
      <c r="N1648" s="114"/>
      <c r="O1648" s="115"/>
      <c r="P1648" s="115"/>
      <c r="Q1648" s="116"/>
      <c r="R1648" s="116"/>
      <c r="S1648" s="111">
        <f>Audit[[#This Row],[Audit Losing Candidate]]-Audit[[#This Row],[Losing Candidate]]</f>
        <v>-2</v>
      </c>
      <c r="T1648" s="111">
        <f>Audit[[#This Row],[Audit Winning Candidate]]-Audit[[#This Row],[Winning Candidate]]</f>
        <v>-2</v>
      </c>
      <c r="U1648" s="111">
        <f>Audit[[#This Row],[Audit Candidate 3]]-Audit[[#This Row],[Candidate 3]]</f>
        <v>-3</v>
      </c>
      <c r="V1648" s="111">
        <f>Audit[[#This Row],[Audit Candidate 4]]-Audit[[#This Row],[Candidate 4]]</f>
        <v>-1</v>
      </c>
      <c r="W1648" s="111">
        <f>Audit[[#This Row],[Audit Candidate 5]]-Audit[[#This Row],[Candidate 5]]</f>
        <v>0</v>
      </c>
      <c r="X1648" s="111">
        <f>Audit[[#This Row],[Audit Candidate 6]]-Audit[[#This Row],[Candidate 6]]</f>
        <v>0</v>
      </c>
      <c r="Y1648" s="111">
        <f>SUMIF(Audit[[#This Row],[Difference Loser]:[Difference Candidate 6]], "&gt;0")</f>
        <v>0</v>
      </c>
      <c r="Z1648" s="111">
        <f>SUM(Audit[[#This Row],[Difference Loser]:[Difference Candidate 6]])</f>
        <v>-8</v>
      </c>
      <c r="AA1648" s="111">
        <f>IF(Audit[[#This Row],[Times p Drawn - With Replacement]]&gt;0, IF(Audit[[#This Row],[Canceled Differences]]&lt;0, Audit[[#This Row],[Max Differences]]+ABS(Audit[[#This Row],[Canceled Differences]]), Audit[[#This Row],[Max Differences]]), 0)</f>
        <v>0</v>
      </c>
      <c r="AB1648" s="111">
        <f>'Sampling Data'!P1642</f>
        <v>4.8995590396864281E-4</v>
      </c>
      <c r="AC1648" s="111">
        <f>IF(
      SUM(Audit[[#This Row],[Audit Losing Candidate]:[Audit Candidate 6]])
      &lt;&gt;0,
      (Audit[[#This Row],[Winning Candidate]]-Audit[[#This Row],[Losing Candidate]]-(Audit[[#This Row],[Audit Winning Candidate]]-Audit[[#This Row],[Audit Losing Candidate]]))/(Audit[[#Totals],[Winning Candidate]]-Audit[[#Totals],[Losing Candidate]]),
      0
)</f>
        <v>0</v>
      </c>
      <c r="AD16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8" s="111">
        <f>IF(Audit[[#This Row],[Max Relative Error (ep)]] = 0, 0, Audit[[#This Row],[Max Relative Error (ep)]]/Audit[[#This Row],[Error Bound (up) - Max. possible relative overstatement]])</f>
        <v>0</v>
      </c>
      <c r="AJ16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48" s="111">
        <f t="shared" si="25"/>
        <v>1</v>
      </c>
      <c r="AL1648" s="111">
        <f>PRODUCT($AK$5:AK1648)</f>
        <v>8.962823818226312E-2</v>
      </c>
      <c r="AM1648" s="109">
        <f>1 - [K-M P Value]</f>
        <v>0.91037176181773694</v>
      </c>
      <c r="AN1648" s="111" t="str">
        <f>IF(Audit[[#This Row],[K-M P Value]]&gt;1-'General Info'!$B$16,"Continue", "Stop")</f>
        <v>Stop</v>
      </c>
      <c r="AO1648" s="110" t="b">
        <f>IF(Audit[[#This Row],[Status - Continue or stop audit]] = "Continue", TRUE, IF(AN1647 = "Continue", TRUE, FALSE))</f>
        <v>0</v>
      </c>
      <c r="AP1648" s="110"/>
    </row>
    <row r="1649" spans="1:42" ht="15" hidden="1" customHeight="1">
      <c r="A1649" s="111" t="str">
        <f>'Sampling Data'!W1643</f>
        <v/>
      </c>
      <c r="B1649" s="112" t="str">
        <f>'Sampling Data'!A1643</f>
        <v>PARMA -01-B</v>
      </c>
      <c r="C1649" s="112">
        <f>'Sampling Data'!B1643</f>
        <v>30</v>
      </c>
      <c r="D1649" s="112">
        <f>'Sampling Data'!C1643</f>
        <v>26</v>
      </c>
      <c r="E1649" s="113">
        <f>'Sampling Data'!D1643</f>
        <v>7</v>
      </c>
      <c r="F1649" s="113">
        <f>'Sampling Data'!E1643</f>
        <v>6</v>
      </c>
      <c r="G1649" s="113">
        <f>'Sampling Data'!F1643</f>
        <v>0</v>
      </c>
      <c r="H1649" s="113">
        <f>'Sampling Data'!G1643</f>
        <v>0</v>
      </c>
      <c r="I1649" s="112">
        <f>'Sampling Data'!H1643</f>
        <v>0</v>
      </c>
      <c r="J1649" s="112">
        <f>'Sampling Data'!I1643</f>
        <v>0</v>
      </c>
      <c r="K1649" s="112">
        <f>'Sampling Data'!J1643</f>
        <v>69</v>
      </c>
      <c r="L1649" s="111">
        <f>'Sampling Data'!X1643</f>
        <v>0</v>
      </c>
      <c r="M1649" s="114"/>
      <c r="N1649" s="114"/>
      <c r="O1649" s="115"/>
      <c r="P1649" s="115"/>
      <c r="Q1649" s="116"/>
      <c r="R1649" s="116"/>
      <c r="S1649" s="111">
        <f>Audit[[#This Row],[Audit Losing Candidate]]-Audit[[#This Row],[Losing Candidate]]</f>
        <v>-30</v>
      </c>
      <c r="T1649" s="111">
        <f>Audit[[#This Row],[Audit Winning Candidate]]-Audit[[#This Row],[Winning Candidate]]</f>
        <v>-26</v>
      </c>
      <c r="U1649" s="111">
        <f>Audit[[#This Row],[Audit Candidate 3]]-Audit[[#This Row],[Candidate 3]]</f>
        <v>-7</v>
      </c>
      <c r="V1649" s="111">
        <f>Audit[[#This Row],[Audit Candidate 4]]-Audit[[#This Row],[Candidate 4]]</f>
        <v>-6</v>
      </c>
      <c r="W1649" s="111">
        <f>Audit[[#This Row],[Audit Candidate 5]]-Audit[[#This Row],[Candidate 5]]</f>
        <v>0</v>
      </c>
      <c r="X1649" s="111">
        <f>Audit[[#This Row],[Audit Candidate 6]]-Audit[[#This Row],[Candidate 6]]</f>
        <v>0</v>
      </c>
      <c r="Y1649" s="111">
        <f>SUMIF(Audit[[#This Row],[Difference Loser]:[Difference Candidate 6]], "&gt;0")</f>
        <v>0</v>
      </c>
      <c r="Z1649" s="111">
        <f>SUM(Audit[[#This Row],[Difference Loser]:[Difference Candidate 6]])</f>
        <v>-69</v>
      </c>
      <c r="AA1649" s="111">
        <f>IF(Audit[[#This Row],[Times p Drawn - With Replacement]]&gt;0, IF(Audit[[#This Row],[Canceled Differences]]&lt;0, Audit[[#This Row],[Max Differences]]+ABS(Audit[[#This Row],[Canceled Differences]]), Audit[[#This Row],[Max Differences]]), 0)</f>
        <v>0</v>
      </c>
      <c r="AB1649" s="111">
        <f>'Sampling Data'!P1643</f>
        <v>3.9808917197452229E-3</v>
      </c>
      <c r="AC1649" s="111">
        <f>IF(
      SUM(Audit[[#This Row],[Audit Losing Candidate]:[Audit Candidate 6]])
      &lt;&gt;0,
      (Audit[[#This Row],[Winning Candidate]]-Audit[[#This Row],[Losing Candidate]]-(Audit[[#This Row],[Audit Winning Candidate]]-Audit[[#This Row],[Audit Losing Candidate]]))/(Audit[[#Totals],[Winning Candidate]]-Audit[[#Totals],[Losing Candidate]]),
      0
)</f>
        <v>0</v>
      </c>
      <c r="AD16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9" s="111">
        <f>IF(Audit[[#This Row],[Max Relative Error (ep)]] = 0, 0, Audit[[#This Row],[Max Relative Error (ep)]]/Audit[[#This Row],[Error Bound (up) - Max. possible relative overstatement]])</f>
        <v>0</v>
      </c>
      <c r="AJ16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49" s="111">
        <f t="shared" si="25"/>
        <v>1</v>
      </c>
      <c r="AL1649" s="111">
        <f>PRODUCT($AK$5:AK1649)</f>
        <v>8.962823818226312E-2</v>
      </c>
      <c r="AM1649" s="109">
        <f>1 - [K-M P Value]</f>
        <v>0.91037176181773694</v>
      </c>
      <c r="AN1649" s="111" t="str">
        <f>IF(Audit[[#This Row],[K-M P Value]]&gt;1-'General Info'!$B$16,"Continue", "Stop")</f>
        <v>Stop</v>
      </c>
      <c r="AO1649" s="110" t="b">
        <f>IF(Audit[[#This Row],[Status - Continue or stop audit]] = "Continue", TRUE, IF(AN1648 = "Continue", TRUE, FALSE))</f>
        <v>0</v>
      </c>
      <c r="AP1649" s="110"/>
    </row>
    <row r="1650" spans="1:42" ht="15" hidden="1" customHeight="1">
      <c r="A1650" s="111" t="str">
        <f>'Sampling Data'!W1644</f>
        <v/>
      </c>
      <c r="B1650" s="112" t="str">
        <f>'Sampling Data'!A1644</f>
        <v>PARMA -01-B - ABS</v>
      </c>
      <c r="C1650" s="112">
        <f>'Sampling Data'!B1644</f>
        <v>12</v>
      </c>
      <c r="D1650" s="112">
        <f>'Sampling Data'!C1644</f>
        <v>5</v>
      </c>
      <c r="E1650" s="113">
        <f>'Sampling Data'!D1644</f>
        <v>1</v>
      </c>
      <c r="F1650" s="113">
        <f>'Sampling Data'!E1644</f>
        <v>2</v>
      </c>
      <c r="G1650" s="113">
        <f>'Sampling Data'!F1644</f>
        <v>0</v>
      </c>
      <c r="H1650" s="113">
        <f>'Sampling Data'!G1644</f>
        <v>0</v>
      </c>
      <c r="I1650" s="112">
        <f>'Sampling Data'!H1644</f>
        <v>1</v>
      </c>
      <c r="J1650" s="112">
        <f>'Sampling Data'!I1644</f>
        <v>0</v>
      </c>
      <c r="K1650" s="112">
        <f>'Sampling Data'!J1644</f>
        <v>21</v>
      </c>
      <c r="L1650" s="111">
        <f>'Sampling Data'!X1644</f>
        <v>0</v>
      </c>
      <c r="M1650" s="114"/>
      <c r="N1650" s="114"/>
      <c r="O1650" s="115"/>
      <c r="P1650" s="115"/>
      <c r="Q1650" s="116"/>
      <c r="R1650" s="116"/>
      <c r="S1650" s="111">
        <f>Audit[[#This Row],[Audit Losing Candidate]]-Audit[[#This Row],[Losing Candidate]]</f>
        <v>-12</v>
      </c>
      <c r="T1650" s="111">
        <f>Audit[[#This Row],[Audit Winning Candidate]]-Audit[[#This Row],[Winning Candidate]]</f>
        <v>-5</v>
      </c>
      <c r="U1650" s="111">
        <f>Audit[[#This Row],[Audit Candidate 3]]-Audit[[#This Row],[Candidate 3]]</f>
        <v>-1</v>
      </c>
      <c r="V1650" s="111">
        <f>Audit[[#This Row],[Audit Candidate 4]]-Audit[[#This Row],[Candidate 4]]</f>
        <v>-2</v>
      </c>
      <c r="W1650" s="111">
        <f>Audit[[#This Row],[Audit Candidate 5]]-Audit[[#This Row],[Candidate 5]]</f>
        <v>0</v>
      </c>
      <c r="X1650" s="111">
        <f>Audit[[#This Row],[Audit Candidate 6]]-Audit[[#This Row],[Candidate 6]]</f>
        <v>0</v>
      </c>
      <c r="Y1650" s="111">
        <f>SUMIF(Audit[[#This Row],[Difference Loser]:[Difference Candidate 6]], "&gt;0")</f>
        <v>0</v>
      </c>
      <c r="Z1650" s="111">
        <f>SUM(Audit[[#This Row],[Difference Loser]:[Difference Candidate 6]])</f>
        <v>-20</v>
      </c>
      <c r="AA1650" s="111">
        <f>IF(Audit[[#This Row],[Times p Drawn - With Replacement]]&gt;0, IF(Audit[[#This Row],[Canceled Differences]]&lt;0, Audit[[#This Row],[Max Differences]]+ABS(Audit[[#This Row],[Canceled Differences]]), Audit[[#This Row],[Max Differences]]), 0)</f>
        <v>0</v>
      </c>
      <c r="AB1650" s="111">
        <f>'Sampling Data'!P1644</f>
        <v>8.5742283194512492E-4</v>
      </c>
      <c r="AC1650" s="111">
        <f>IF(
      SUM(Audit[[#This Row],[Audit Losing Candidate]:[Audit Candidate 6]])
      &lt;&gt;0,
      (Audit[[#This Row],[Winning Candidate]]-Audit[[#This Row],[Losing Candidate]]-(Audit[[#This Row],[Audit Winning Candidate]]-Audit[[#This Row],[Audit Losing Candidate]]))/(Audit[[#Totals],[Winning Candidate]]-Audit[[#Totals],[Losing Candidate]]),
      0
)</f>
        <v>0</v>
      </c>
      <c r="AD16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0" s="111">
        <f>IF(Audit[[#This Row],[Max Relative Error (ep)]] = 0, 0, Audit[[#This Row],[Max Relative Error (ep)]]/Audit[[#This Row],[Error Bound (up) - Max. possible relative overstatement]])</f>
        <v>0</v>
      </c>
      <c r="AJ16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50" s="111">
        <f t="shared" si="25"/>
        <v>1</v>
      </c>
      <c r="AL1650" s="111">
        <f>PRODUCT($AK$5:AK1650)</f>
        <v>8.962823818226312E-2</v>
      </c>
      <c r="AM1650" s="109">
        <f>1 - [K-M P Value]</f>
        <v>0.91037176181773694</v>
      </c>
      <c r="AN1650" s="111" t="str">
        <f>IF(Audit[[#This Row],[K-M P Value]]&gt;1-'General Info'!$B$16,"Continue", "Stop")</f>
        <v>Stop</v>
      </c>
      <c r="AO1650" s="110" t="b">
        <f>IF(Audit[[#This Row],[Status - Continue or stop audit]] = "Continue", TRUE, IF(AN1649 = "Continue", TRUE, FALSE))</f>
        <v>0</v>
      </c>
      <c r="AP1650" s="110"/>
    </row>
    <row r="1651" spans="1:42" ht="15" hidden="1" customHeight="1">
      <c r="A1651" s="111" t="str">
        <f>'Sampling Data'!W1645</f>
        <v/>
      </c>
      <c r="B1651" s="112" t="str">
        <f>'Sampling Data'!A1645</f>
        <v>PARMA -01-C</v>
      </c>
      <c r="C1651" s="112">
        <f>'Sampling Data'!B1645</f>
        <v>15</v>
      </c>
      <c r="D1651" s="112">
        <f>'Sampling Data'!C1645</f>
        <v>18</v>
      </c>
      <c r="E1651" s="113">
        <f>'Sampling Data'!D1645</f>
        <v>3</v>
      </c>
      <c r="F1651" s="113">
        <f>'Sampling Data'!E1645</f>
        <v>8</v>
      </c>
      <c r="G1651" s="113">
        <f>'Sampling Data'!F1645</f>
        <v>0</v>
      </c>
      <c r="H1651" s="113">
        <f>'Sampling Data'!G1645</f>
        <v>0</v>
      </c>
      <c r="I1651" s="112">
        <f>'Sampling Data'!H1645</f>
        <v>0</v>
      </c>
      <c r="J1651" s="112">
        <f>'Sampling Data'!I1645</f>
        <v>2</v>
      </c>
      <c r="K1651" s="112">
        <f>'Sampling Data'!J1645</f>
        <v>46</v>
      </c>
      <c r="L1651" s="111">
        <f>'Sampling Data'!X1645</f>
        <v>0</v>
      </c>
      <c r="M1651" s="114"/>
      <c r="N1651" s="114"/>
      <c r="O1651" s="115"/>
      <c r="P1651" s="115"/>
      <c r="Q1651" s="116"/>
      <c r="R1651" s="116"/>
      <c r="S1651" s="111">
        <f>Audit[[#This Row],[Audit Losing Candidate]]-Audit[[#This Row],[Losing Candidate]]</f>
        <v>-15</v>
      </c>
      <c r="T1651" s="111">
        <f>Audit[[#This Row],[Audit Winning Candidate]]-Audit[[#This Row],[Winning Candidate]]</f>
        <v>-18</v>
      </c>
      <c r="U1651" s="111">
        <f>Audit[[#This Row],[Audit Candidate 3]]-Audit[[#This Row],[Candidate 3]]</f>
        <v>-3</v>
      </c>
      <c r="V1651" s="111">
        <f>Audit[[#This Row],[Audit Candidate 4]]-Audit[[#This Row],[Candidate 4]]</f>
        <v>-8</v>
      </c>
      <c r="W1651" s="111">
        <f>Audit[[#This Row],[Audit Candidate 5]]-Audit[[#This Row],[Candidate 5]]</f>
        <v>0</v>
      </c>
      <c r="X1651" s="111">
        <f>Audit[[#This Row],[Audit Candidate 6]]-Audit[[#This Row],[Candidate 6]]</f>
        <v>0</v>
      </c>
      <c r="Y1651" s="111">
        <f>SUMIF(Audit[[#This Row],[Difference Loser]:[Difference Candidate 6]], "&gt;0")</f>
        <v>0</v>
      </c>
      <c r="Z1651" s="111">
        <f>SUM(Audit[[#This Row],[Difference Loser]:[Difference Candidate 6]])</f>
        <v>-44</v>
      </c>
      <c r="AA1651" s="111">
        <f>IF(Audit[[#This Row],[Times p Drawn - With Replacement]]&gt;0, IF(Audit[[#This Row],[Canceled Differences]]&lt;0, Audit[[#This Row],[Max Differences]]+ABS(Audit[[#This Row],[Canceled Differences]]), Audit[[#This Row],[Max Differences]]), 0)</f>
        <v>0</v>
      </c>
      <c r="AB1651" s="111">
        <f>'Sampling Data'!P1645</f>
        <v>3.0009799118079373E-3</v>
      </c>
      <c r="AC1651" s="111">
        <f>IF(
      SUM(Audit[[#This Row],[Audit Losing Candidate]:[Audit Candidate 6]])
      &lt;&gt;0,
      (Audit[[#This Row],[Winning Candidate]]-Audit[[#This Row],[Losing Candidate]]-(Audit[[#This Row],[Audit Winning Candidate]]-Audit[[#This Row],[Audit Losing Candidate]]))/(Audit[[#Totals],[Winning Candidate]]-Audit[[#Totals],[Losing Candidate]]),
      0
)</f>
        <v>0</v>
      </c>
      <c r="AD16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1" s="111">
        <f>IF(Audit[[#This Row],[Max Relative Error (ep)]] = 0, 0, Audit[[#This Row],[Max Relative Error (ep)]]/Audit[[#This Row],[Error Bound (up) - Max. possible relative overstatement]])</f>
        <v>0</v>
      </c>
      <c r="AJ16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51" s="111">
        <f t="shared" si="25"/>
        <v>1</v>
      </c>
      <c r="AL1651" s="111">
        <f>PRODUCT($AK$5:AK1651)</f>
        <v>8.962823818226312E-2</v>
      </c>
      <c r="AM1651" s="109">
        <f>1 - [K-M P Value]</f>
        <v>0.91037176181773694</v>
      </c>
      <c r="AN1651" s="111" t="str">
        <f>IF(Audit[[#This Row],[K-M P Value]]&gt;1-'General Info'!$B$16,"Continue", "Stop")</f>
        <v>Stop</v>
      </c>
      <c r="AO1651" s="110" t="b">
        <f>IF(Audit[[#This Row],[Status - Continue or stop audit]] = "Continue", TRUE, IF(AN1650 = "Continue", TRUE, FALSE))</f>
        <v>0</v>
      </c>
      <c r="AP1651" s="110"/>
    </row>
    <row r="1652" spans="1:42" ht="15" hidden="1" customHeight="1">
      <c r="A1652" s="111" t="str">
        <f>'Sampling Data'!W1646</f>
        <v/>
      </c>
      <c r="B1652" s="112" t="str">
        <f>'Sampling Data'!A1646</f>
        <v>PARMA -01-C - ABS</v>
      </c>
      <c r="C1652" s="112">
        <f>'Sampling Data'!B1646</f>
        <v>11</v>
      </c>
      <c r="D1652" s="112">
        <f>'Sampling Data'!C1646</f>
        <v>1</v>
      </c>
      <c r="E1652" s="113">
        <f>'Sampling Data'!D1646</f>
        <v>2</v>
      </c>
      <c r="F1652" s="113">
        <f>'Sampling Data'!E1646</f>
        <v>0</v>
      </c>
      <c r="G1652" s="113">
        <f>'Sampling Data'!F1646</f>
        <v>0</v>
      </c>
      <c r="H1652" s="113">
        <f>'Sampling Data'!G1646</f>
        <v>0</v>
      </c>
      <c r="I1652" s="112">
        <f>'Sampling Data'!H1646</f>
        <v>0</v>
      </c>
      <c r="J1652" s="112">
        <f>'Sampling Data'!I1646</f>
        <v>0</v>
      </c>
      <c r="K1652" s="112">
        <f>'Sampling Data'!J1646</f>
        <v>14</v>
      </c>
      <c r="L1652" s="111">
        <f>'Sampling Data'!X1646</f>
        <v>0</v>
      </c>
      <c r="M1652" s="114"/>
      <c r="N1652" s="114"/>
      <c r="O1652" s="115"/>
      <c r="P1652" s="115"/>
      <c r="Q1652" s="116"/>
      <c r="R1652" s="116"/>
      <c r="S1652" s="111">
        <f>Audit[[#This Row],[Audit Losing Candidate]]-Audit[[#This Row],[Losing Candidate]]</f>
        <v>-11</v>
      </c>
      <c r="T1652" s="111">
        <f>Audit[[#This Row],[Audit Winning Candidate]]-Audit[[#This Row],[Winning Candidate]]</f>
        <v>-1</v>
      </c>
      <c r="U1652" s="111">
        <f>Audit[[#This Row],[Audit Candidate 3]]-Audit[[#This Row],[Candidate 3]]</f>
        <v>-2</v>
      </c>
      <c r="V1652" s="111">
        <f>Audit[[#This Row],[Audit Candidate 4]]-Audit[[#This Row],[Candidate 4]]</f>
        <v>0</v>
      </c>
      <c r="W1652" s="111">
        <f>Audit[[#This Row],[Audit Candidate 5]]-Audit[[#This Row],[Candidate 5]]</f>
        <v>0</v>
      </c>
      <c r="X1652" s="111">
        <f>Audit[[#This Row],[Audit Candidate 6]]-Audit[[#This Row],[Candidate 6]]</f>
        <v>0</v>
      </c>
      <c r="Y1652" s="111">
        <f>SUMIF(Audit[[#This Row],[Difference Loser]:[Difference Candidate 6]], "&gt;0")</f>
        <v>0</v>
      </c>
      <c r="Z1652" s="111">
        <f>SUM(Audit[[#This Row],[Difference Loser]:[Difference Candidate 6]])</f>
        <v>-14</v>
      </c>
      <c r="AA1652" s="111">
        <f>IF(Audit[[#This Row],[Times p Drawn - With Replacement]]&gt;0, IF(Audit[[#This Row],[Canceled Differences]]&lt;0, Audit[[#This Row],[Max Differences]]+ABS(Audit[[#This Row],[Canceled Differences]]), Audit[[#This Row],[Max Differences]]), 0)</f>
        <v>0</v>
      </c>
      <c r="AB1652" s="111">
        <f>'Sampling Data'!P1646</f>
        <v>4.3848110146452689E-4</v>
      </c>
      <c r="AC1652" s="111">
        <f>IF(
      SUM(Audit[[#This Row],[Audit Losing Candidate]:[Audit Candidate 6]])
      &lt;&gt;0,
      (Audit[[#This Row],[Winning Candidate]]-Audit[[#This Row],[Losing Candidate]]-(Audit[[#This Row],[Audit Winning Candidate]]-Audit[[#This Row],[Audit Losing Candidate]]))/(Audit[[#Totals],[Winning Candidate]]-Audit[[#Totals],[Losing Candidate]]),
      0
)</f>
        <v>0</v>
      </c>
      <c r="AD16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2" s="111">
        <f>IF(Audit[[#This Row],[Max Relative Error (ep)]] = 0, 0, Audit[[#This Row],[Max Relative Error (ep)]]/Audit[[#This Row],[Error Bound (up) - Max. possible relative overstatement]])</f>
        <v>0</v>
      </c>
      <c r="AJ16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52" s="111">
        <f t="shared" si="25"/>
        <v>1</v>
      </c>
      <c r="AL1652" s="111">
        <f>PRODUCT($AK$5:AK1652)</f>
        <v>8.962823818226312E-2</v>
      </c>
      <c r="AM1652" s="109">
        <f>1 - [K-M P Value]</f>
        <v>0.91037176181773694</v>
      </c>
      <c r="AN1652" s="111" t="str">
        <f>IF(Audit[[#This Row],[K-M P Value]]&gt;1-'General Info'!$B$16,"Continue", "Stop")</f>
        <v>Stop</v>
      </c>
      <c r="AO1652" s="110" t="b">
        <f>IF(Audit[[#This Row],[Status - Continue or stop audit]] = "Continue", TRUE, IF(AN1651 = "Continue", TRUE, FALSE))</f>
        <v>0</v>
      </c>
      <c r="AP1652" s="110"/>
    </row>
    <row r="1653" spans="1:42" ht="15" hidden="1" customHeight="1">
      <c r="A1653" s="111" t="str">
        <f>'Sampling Data'!W1647</f>
        <v/>
      </c>
      <c r="B1653" s="112" t="str">
        <f>'Sampling Data'!A1647</f>
        <v>PARMA -01-D</v>
      </c>
      <c r="C1653" s="112">
        <f>'Sampling Data'!B1647</f>
        <v>34</v>
      </c>
      <c r="D1653" s="112">
        <f>'Sampling Data'!C1647</f>
        <v>47</v>
      </c>
      <c r="E1653" s="113">
        <f>'Sampling Data'!D1647</f>
        <v>17</v>
      </c>
      <c r="F1653" s="113">
        <f>'Sampling Data'!E1647</f>
        <v>13</v>
      </c>
      <c r="G1653" s="113">
        <f>'Sampling Data'!F1647</f>
        <v>2</v>
      </c>
      <c r="H1653" s="113">
        <f>'Sampling Data'!G1647</f>
        <v>0</v>
      </c>
      <c r="I1653" s="112">
        <f>'Sampling Data'!H1647</f>
        <v>0</v>
      </c>
      <c r="J1653" s="112">
        <f>'Sampling Data'!I1647</f>
        <v>2</v>
      </c>
      <c r="K1653" s="112">
        <f>'Sampling Data'!J1647</f>
        <v>115</v>
      </c>
      <c r="L1653" s="111">
        <f>'Sampling Data'!X1647</f>
        <v>0</v>
      </c>
      <c r="M1653" s="114"/>
      <c r="N1653" s="114"/>
      <c r="O1653" s="115"/>
      <c r="P1653" s="115"/>
      <c r="Q1653" s="116"/>
      <c r="R1653" s="116"/>
      <c r="S1653" s="111">
        <f>Audit[[#This Row],[Audit Losing Candidate]]-Audit[[#This Row],[Losing Candidate]]</f>
        <v>-34</v>
      </c>
      <c r="T1653" s="111">
        <f>Audit[[#This Row],[Audit Winning Candidate]]-Audit[[#This Row],[Winning Candidate]]</f>
        <v>-47</v>
      </c>
      <c r="U1653" s="111">
        <f>Audit[[#This Row],[Audit Candidate 3]]-Audit[[#This Row],[Candidate 3]]</f>
        <v>-17</v>
      </c>
      <c r="V1653" s="111">
        <f>Audit[[#This Row],[Audit Candidate 4]]-Audit[[#This Row],[Candidate 4]]</f>
        <v>-13</v>
      </c>
      <c r="W1653" s="111">
        <f>Audit[[#This Row],[Audit Candidate 5]]-Audit[[#This Row],[Candidate 5]]</f>
        <v>-2</v>
      </c>
      <c r="X1653" s="111">
        <f>Audit[[#This Row],[Audit Candidate 6]]-Audit[[#This Row],[Candidate 6]]</f>
        <v>0</v>
      </c>
      <c r="Y1653" s="111">
        <f>SUMIF(Audit[[#This Row],[Difference Loser]:[Difference Candidate 6]], "&gt;0")</f>
        <v>0</v>
      </c>
      <c r="Z1653" s="111">
        <f>SUM(Audit[[#This Row],[Difference Loser]:[Difference Candidate 6]])</f>
        <v>-113</v>
      </c>
      <c r="AA1653" s="111">
        <f>IF(Audit[[#This Row],[Times p Drawn - With Replacement]]&gt;0, IF(Audit[[#This Row],[Canceled Differences]]&lt;0, Audit[[#This Row],[Max Differences]]+ABS(Audit[[#This Row],[Canceled Differences]]), Audit[[#This Row],[Max Differences]]), 0)</f>
        <v>0</v>
      </c>
      <c r="AB1653" s="111">
        <f>'Sampling Data'!P1647</f>
        <v>7.839294463498285E-3</v>
      </c>
      <c r="AC1653" s="111">
        <f>IF(
      SUM(Audit[[#This Row],[Audit Losing Candidate]:[Audit Candidate 6]])
      &lt;&gt;0,
      (Audit[[#This Row],[Winning Candidate]]-Audit[[#This Row],[Losing Candidate]]-(Audit[[#This Row],[Audit Winning Candidate]]-Audit[[#This Row],[Audit Losing Candidate]]))/(Audit[[#Totals],[Winning Candidate]]-Audit[[#Totals],[Losing Candidate]]),
      0
)</f>
        <v>0</v>
      </c>
      <c r="AD16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3" s="111">
        <f>IF(Audit[[#This Row],[Max Relative Error (ep)]] = 0, 0, Audit[[#This Row],[Max Relative Error (ep)]]/Audit[[#This Row],[Error Bound (up) - Max. possible relative overstatement]])</f>
        <v>0</v>
      </c>
      <c r="AJ16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53" s="111">
        <f t="shared" si="25"/>
        <v>1</v>
      </c>
      <c r="AL1653" s="111">
        <f>PRODUCT($AK$5:AK1653)</f>
        <v>8.962823818226312E-2</v>
      </c>
      <c r="AM1653" s="109">
        <f>1 - [K-M P Value]</f>
        <v>0.91037176181773694</v>
      </c>
      <c r="AN1653" s="111" t="str">
        <f>IF(Audit[[#This Row],[K-M P Value]]&gt;1-'General Info'!$B$16,"Continue", "Stop")</f>
        <v>Stop</v>
      </c>
      <c r="AO1653" s="110" t="b">
        <f>IF(Audit[[#This Row],[Status - Continue or stop audit]] = "Continue", TRUE, IF(AN1652 = "Continue", TRUE, FALSE))</f>
        <v>0</v>
      </c>
      <c r="AP1653" s="110"/>
    </row>
    <row r="1654" spans="1:42" ht="15" hidden="1" customHeight="1">
      <c r="A1654" s="111" t="str">
        <f>'Sampling Data'!W1648</f>
        <v/>
      </c>
      <c r="B1654" s="112" t="str">
        <f>'Sampling Data'!A1648</f>
        <v>PARMA -01-D - ABS</v>
      </c>
      <c r="C1654" s="112">
        <f>'Sampling Data'!B1648</f>
        <v>28</v>
      </c>
      <c r="D1654" s="112">
        <f>'Sampling Data'!C1648</f>
        <v>15</v>
      </c>
      <c r="E1654" s="113">
        <f>'Sampling Data'!D1648</f>
        <v>7</v>
      </c>
      <c r="F1654" s="113">
        <f>'Sampling Data'!E1648</f>
        <v>2</v>
      </c>
      <c r="G1654" s="113">
        <f>'Sampling Data'!F1648</f>
        <v>0</v>
      </c>
      <c r="H1654" s="113">
        <f>'Sampling Data'!G1648</f>
        <v>0</v>
      </c>
      <c r="I1654" s="112">
        <f>'Sampling Data'!H1648</f>
        <v>0</v>
      </c>
      <c r="J1654" s="112">
        <f>'Sampling Data'!I1648</f>
        <v>1</v>
      </c>
      <c r="K1654" s="112">
        <f>'Sampling Data'!J1648</f>
        <v>53</v>
      </c>
      <c r="L1654" s="111">
        <f>'Sampling Data'!X1648</f>
        <v>0</v>
      </c>
      <c r="M1654" s="114"/>
      <c r="N1654" s="114"/>
      <c r="O1654" s="115"/>
      <c r="P1654" s="115"/>
      <c r="Q1654" s="116"/>
      <c r="R1654" s="116"/>
      <c r="S1654" s="111">
        <f>Audit[[#This Row],[Audit Losing Candidate]]-Audit[[#This Row],[Losing Candidate]]</f>
        <v>-28</v>
      </c>
      <c r="T1654" s="111">
        <f>Audit[[#This Row],[Audit Winning Candidate]]-Audit[[#This Row],[Winning Candidate]]</f>
        <v>-15</v>
      </c>
      <c r="U1654" s="111">
        <f>Audit[[#This Row],[Audit Candidate 3]]-Audit[[#This Row],[Candidate 3]]</f>
        <v>-7</v>
      </c>
      <c r="V1654" s="111">
        <f>Audit[[#This Row],[Audit Candidate 4]]-Audit[[#This Row],[Candidate 4]]</f>
        <v>-2</v>
      </c>
      <c r="W1654" s="111">
        <f>Audit[[#This Row],[Audit Candidate 5]]-Audit[[#This Row],[Candidate 5]]</f>
        <v>0</v>
      </c>
      <c r="X1654" s="111">
        <f>Audit[[#This Row],[Audit Candidate 6]]-Audit[[#This Row],[Candidate 6]]</f>
        <v>0</v>
      </c>
      <c r="Y1654" s="111">
        <f>SUMIF(Audit[[#This Row],[Difference Loser]:[Difference Candidate 6]], "&gt;0")</f>
        <v>0</v>
      </c>
      <c r="Z1654" s="111">
        <f>SUM(Audit[[#This Row],[Difference Loser]:[Difference Candidate 6]])</f>
        <v>-52</v>
      </c>
      <c r="AA1654" s="111">
        <f>IF(Audit[[#This Row],[Times p Drawn - With Replacement]]&gt;0, IF(Audit[[#This Row],[Canceled Differences]]&lt;0, Audit[[#This Row],[Max Differences]]+ABS(Audit[[#This Row],[Canceled Differences]]), Audit[[#This Row],[Max Differences]]), 0)</f>
        <v>0</v>
      </c>
      <c r="AB1654" s="111">
        <f>'Sampling Data'!P1648</f>
        <v>2.4497795198432141E-3</v>
      </c>
      <c r="AC1654" s="111">
        <f>IF(
      SUM(Audit[[#This Row],[Audit Losing Candidate]:[Audit Candidate 6]])
      &lt;&gt;0,
      (Audit[[#This Row],[Winning Candidate]]-Audit[[#This Row],[Losing Candidate]]-(Audit[[#This Row],[Audit Winning Candidate]]-Audit[[#This Row],[Audit Losing Candidate]]))/(Audit[[#Totals],[Winning Candidate]]-Audit[[#Totals],[Losing Candidate]]),
      0
)</f>
        <v>0</v>
      </c>
      <c r="AD16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4" s="111">
        <f>IF(Audit[[#This Row],[Max Relative Error (ep)]] = 0, 0, Audit[[#This Row],[Max Relative Error (ep)]]/Audit[[#This Row],[Error Bound (up) - Max. possible relative overstatement]])</f>
        <v>0</v>
      </c>
      <c r="AJ16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54" s="111">
        <f t="shared" si="25"/>
        <v>1</v>
      </c>
      <c r="AL1654" s="111">
        <f>PRODUCT($AK$5:AK1654)</f>
        <v>8.962823818226312E-2</v>
      </c>
      <c r="AM1654" s="109">
        <f>1 - [K-M P Value]</f>
        <v>0.91037176181773694</v>
      </c>
      <c r="AN1654" s="111" t="str">
        <f>IF(Audit[[#This Row],[K-M P Value]]&gt;1-'General Info'!$B$16,"Continue", "Stop")</f>
        <v>Stop</v>
      </c>
      <c r="AO1654" s="110" t="b">
        <f>IF(Audit[[#This Row],[Status - Continue or stop audit]] = "Continue", TRUE, IF(AN1653 = "Continue", TRUE, FALSE))</f>
        <v>0</v>
      </c>
      <c r="AP1654" s="110"/>
    </row>
    <row r="1655" spans="1:42" ht="15" hidden="1" customHeight="1">
      <c r="A1655" s="111" t="str">
        <f>'Sampling Data'!W1649</f>
        <v/>
      </c>
      <c r="B1655" s="112" t="str">
        <f>'Sampling Data'!A1649</f>
        <v>PARMA -01-E</v>
      </c>
      <c r="C1655" s="112">
        <f>'Sampling Data'!B1649</f>
        <v>32</v>
      </c>
      <c r="D1655" s="112">
        <f>'Sampling Data'!C1649</f>
        <v>23</v>
      </c>
      <c r="E1655" s="113">
        <f>'Sampling Data'!D1649</f>
        <v>8</v>
      </c>
      <c r="F1655" s="113">
        <f>'Sampling Data'!E1649</f>
        <v>7</v>
      </c>
      <c r="G1655" s="113">
        <f>'Sampling Data'!F1649</f>
        <v>0</v>
      </c>
      <c r="H1655" s="113">
        <f>'Sampling Data'!G1649</f>
        <v>1</v>
      </c>
      <c r="I1655" s="112">
        <f>'Sampling Data'!H1649</f>
        <v>0</v>
      </c>
      <c r="J1655" s="112">
        <f>'Sampling Data'!I1649</f>
        <v>1</v>
      </c>
      <c r="K1655" s="112">
        <f>'Sampling Data'!J1649</f>
        <v>72</v>
      </c>
      <c r="L1655" s="111">
        <f>'Sampling Data'!X1649</f>
        <v>0</v>
      </c>
      <c r="M1655" s="114"/>
      <c r="N1655" s="114"/>
      <c r="O1655" s="115"/>
      <c r="P1655" s="115"/>
      <c r="Q1655" s="116"/>
      <c r="R1655" s="116"/>
      <c r="S1655" s="111">
        <f>Audit[[#This Row],[Audit Losing Candidate]]-Audit[[#This Row],[Losing Candidate]]</f>
        <v>-32</v>
      </c>
      <c r="T1655" s="111">
        <f>Audit[[#This Row],[Audit Winning Candidate]]-Audit[[#This Row],[Winning Candidate]]</f>
        <v>-23</v>
      </c>
      <c r="U1655" s="111">
        <f>Audit[[#This Row],[Audit Candidate 3]]-Audit[[#This Row],[Candidate 3]]</f>
        <v>-8</v>
      </c>
      <c r="V1655" s="111">
        <f>Audit[[#This Row],[Audit Candidate 4]]-Audit[[#This Row],[Candidate 4]]</f>
        <v>-7</v>
      </c>
      <c r="W1655" s="111">
        <f>Audit[[#This Row],[Audit Candidate 5]]-Audit[[#This Row],[Candidate 5]]</f>
        <v>0</v>
      </c>
      <c r="X1655" s="111">
        <f>Audit[[#This Row],[Audit Candidate 6]]-Audit[[#This Row],[Candidate 6]]</f>
        <v>-1</v>
      </c>
      <c r="Y1655" s="111">
        <f>SUMIF(Audit[[#This Row],[Difference Loser]:[Difference Candidate 6]], "&gt;0")</f>
        <v>0</v>
      </c>
      <c r="Z1655" s="111">
        <f>SUM(Audit[[#This Row],[Difference Loser]:[Difference Candidate 6]])</f>
        <v>-71</v>
      </c>
      <c r="AA1655" s="111">
        <f>IF(Audit[[#This Row],[Times p Drawn - With Replacement]]&gt;0, IF(Audit[[#This Row],[Canceled Differences]]&lt;0, Audit[[#This Row],[Max Differences]]+ABS(Audit[[#This Row],[Canceled Differences]]), Audit[[#This Row],[Max Differences]]), 0)</f>
        <v>0</v>
      </c>
      <c r="AB1655" s="111">
        <f>'Sampling Data'!P1649</f>
        <v>3.8584027437530621E-3</v>
      </c>
      <c r="AC1655" s="111">
        <f>IF(
      SUM(Audit[[#This Row],[Audit Losing Candidate]:[Audit Candidate 6]])
      &lt;&gt;0,
      (Audit[[#This Row],[Winning Candidate]]-Audit[[#This Row],[Losing Candidate]]-(Audit[[#This Row],[Audit Winning Candidate]]-Audit[[#This Row],[Audit Losing Candidate]]))/(Audit[[#Totals],[Winning Candidate]]-Audit[[#Totals],[Losing Candidate]]),
      0
)</f>
        <v>0</v>
      </c>
      <c r="AD16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5" s="111">
        <f>IF(Audit[[#This Row],[Max Relative Error (ep)]] = 0, 0, Audit[[#This Row],[Max Relative Error (ep)]]/Audit[[#This Row],[Error Bound (up) - Max. possible relative overstatement]])</f>
        <v>0</v>
      </c>
      <c r="AJ16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55" s="111">
        <f t="shared" si="25"/>
        <v>1</v>
      </c>
      <c r="AL1655" s="111">
        <f>PRODUCT($AK$5:AK1655)</f>
        <v>8.962823818226312E-2</v>
      </c>
      <c r="AM1655" s="109">
        <f>1 - [K-M P Value]</f>
        <v>0.91037176181773694</v>
      </c>
      <c r="AN1655" s="111" t="str">
        <f>IF(Audit[[#This Row],[K-M P Value]]&gt;1-'General Info'!$B$16,"Continue", "Stop")</f>
        <v>Stop</v>
      </c>
      <c r="AO1655" s="110" t="b">
        <f>IF(Audit[[#This Row],[Status - Continue or stop audit]] = "Continue", TRUE, IF(AN1654 = "Continue", TRUE, FALSE))</f>
        <v>0</v>
      </c>
      <c r="AP1655" s="110"/>
    </row>
    <row r="1656" spans="1:42" ht="15" hidden="1" customHeight="1">
      <c r="A1656" s="111" t="str">
        <f>'Sampling Data'!W1650</f>
        <v/>
      </c>
      <c r="B1656" s="112" t="str">
        <f>'Sampling Data'!A1650</f>
        <v>PARMA -01-E - ABS</v>
      </c>
      <c r="C1656" s="112">
        <f>'Sampling Data'!B1650</f>
        <v>11</v>
      </c>
      <c r="D1656" s="112">
        <f>'Sampling Data'!C1650</f>
        <v>4</v>
      </c>
      <c r="E1656" s="113">
        <f>'Sampling Data'!D1650</f>
        <v>5</v>
      </c>
      <c r="F1656" s="113">
        <f>'Sampling Data'!E1650</f>
        <v>5</v>
      </c>
      <c r="G1656" s="113">
        <f>'Sampling Data'!F1650</f>
        <v>0</v>
      </c>
      <c r="H1656" s="113">
        <f>'Sampling Data'!G1650</f>
        <v>0</v>
      </c>
      <c r="I1656" s="112">
        <f>'Sampling Data'!H1650</f>
        <v>0</v>
      </c>
      <c r="J1656" s="112">
        <f>'Sampling Data'!I1650</f>
        <v>0</v>
      </c>
      <c r="K1656" s="112">
        <f>'Sampling Data'!J1650</f>
        <v>25</v>
      </c>
      <c r="L1656" s="111">
        <f>'Sampling Data'!X1650</f>
        <v>0</v>
      </c>
      <c r="M1656" s="114"/>
      <c r="N1656" s="114"/>
      <c r="O1656" s="115"/>
      <c r="P1656" s="115"/>
      <c r="Q1656" s="116"/>
      <c r="R1656" s="116"/>
      <c r="S1656" s="111">
        <f>Audit[[#This Row],[Audit Losing Candidate]]-Audit[[#This Row],[Losing Candidate]]</f>
        <v>-11</v>
      </c>
      <c r="T1656" s="111">
        <f>Audit[[#This Row],[Audit Winning Candidate]]-Audit[[#This Row],[Winning Candidate]]</f>
        <v>-4</v>
      </c>
      <c r="U1656" s="111">
        <f>Audit[[#This Row],[Audit Candidate 3]]-Audit[[#This Row],[Candidate 3]]</f>
        <v>-5</v>
      </c>
      <c r="V1656" s="111">
        <f>Audit[[#This Row],[Audit Candidate 4]]-Audit[[#This Row],[Candidate 4]]</f>
        <v>-5</v>
      </c>
      <c r="W1656" s="111">
        <f>Audit[[#This Row],[Audit Candidate 5]]-Audit[[#This Row],[Candidate 5]]</f>
        <v>0</v>
      </c>
      <c r="X1656" s="111">
        <f>Audit[[#This Row],[Audit Candidate 6]]-Audit[[#This Row],[Candidate 6]]</f>
        <v>0</v>
      </c>
      <c r="Y1656" s="111">
        <f>SUMIF(Audit[[#This Row],[Difference Loser]:[Difference Candidate 6]], "&gt;0")</f>
        <v>0</v>
      </c>
      <c r="Z1656" s="111">
        <f>SUM(Audit[[#This Row],[Difference Loser]:[Difference Candidate 6]])</f>
        <v>-25</v>
      </c>
      <c r="AA1656" s="111">
        <f>IF(Audit[[#This Row],[Times p Drawn - With Replacement]]&gt;0, IF(Audit[[#This Row],[Canceled Differences]]&lt;0, Audit[[#This Row],[Max Differences]]+ABS(Audit[[#This Row],[Canceled Differences]]), Audit[[#This Row],[Max Differences]]), 0)</f>
        <v>0</v>
      </c>
      <c r="AB1656" s="111">
        <f>'Sampling Data'!P1650</f>
        <v>1.1024007839294464E-3</v>
      </c>
      <c r="AC1656" s="111">
        <f>IF(
      SUM(Audit[[#This Row],[Audit Losing Candidate]:[Audit Candidate 6]])
      &lt;&gt;0,
      (Audit[[#This Row],[Winning Candidate]]-Audit[[#This Row],[Losing Candidate]]-(Audit[[#This Row],[Audit Winning Candidate]]-Audit[[#This Row],[Audit Losing Candidate]]))/(Audit[[#Totals],[Winning Candidate]]-Audit[[#Totals],[Losing Candidate]]),
      0
)</f>
        <v>0</v>
      </c>
      <c r="AD16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6" s="111">
        <f>IF(Audit[[#This Row],[Max Relative Error (ep)]] = 0, 0, Audit[[#This Row],[Max Relative Error (ep)]]/Audit[[#This Row],[Error Bound (up) - Max. possible relative overstatement]])</f>
        <v>0</v>
      </c>
      <c r="AJ16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56" s="111">
        <f t="shared" si="25"/>
        <v>1</v>
      </c>
      <c r="AL1656" s="111">
        <f>PRODUCT($AK$5:AK1656)</f>
        <v>8.962823818226312E-2</v>
      </c>
      <c r="AM1656" s="109">
        <f>1 - [K-M P Value]</f>
        <v>0.91037176181773694</v>
      </c>
      <c r="AN1656" s="111" t="str">
        <f>IF(Audit[[#This Row],[K-M P Value]]&gt;1-'General Info'!$B$16,"Continue", "Stop")</f>
        <v>Stop</v>
      </c>
      <c r="AO1656" s="110" t="b">
        <f>IF(Audit[[#This Row],[Status - Continue or stop audit]] = "Continue", TRUE, IF(AN1655 = "Continue", TRUE, FALSE))</f>
        <v>0</v>
      </c>
      <c r="AP1656" s="110"/>
    </row>
    <row r="1657" spans="1:42" ht="15" hidden="1" customHeight="1">
      <c r="A1657" s="111" t="str">
        <f>'Sampling Data'!W1651</f>
        <v/>
      </c>
      <c r="B1657" s="112" t="str">
        <f>'Sampling Data'!A1651</f>
        <v>PARMA -01-F</v>
      </c>
      <c r="C1657" s="112">
        <f>'Sampling Data'!B1651</f>
        <v>22</v>
      </c>
      <c r="D1657" s="112">
        <f>'Sampling Data'!C1651</f>
        <v>34</v>
      </c>
      <c r="E1657" s="113">
        <f>'Sampling Data'!D1651</f>
        <v>6</v>
      </c>
      <c r="F1657" s="113">
        <f>'Sampling Data'!E1651</f>
        <v>7</v>
      </c>
      <c r="G1657" s="113">
        <f>'Sampling Data'!F1651</f>
        <v>0</v>
      </c>
      <c r="H1657" s="113">
        <f>'Sampling Data'!G1651</f>
        <v>0</v>
      </c>
      <c r="I1657" s="112">
        <f>'Sampling Data'!H1651</f>
        <v>0</v>
      </c>
      <c r="J1657" s="112">
        <f>'Sampling Data'!I1651</f>
        <v>0</v>
      </c>
      <c r="K1657" s="112">
        <f>'Sampling Data'!J1651</f>
        <v>69</v>
      </c>
      <c r="L1657" s="111">
        <f>'Sampling Data'!X1651</f>
        <v>0</v>
      </c>
      <c r="M1657" s="114"/>
      <c r="N1657" s="114"/>
      <c r="O1657" s="115"/>
      <c r="P1657" s="115"/>
      <c r="Q1657" s="116"/>
      <c r="R1657" s="116"/>
      <c r="S1657" s="111">
        <f>Audit[[#This Row],[Audit Losing Candidate]]-Audit[[#This Row],[Losing Candidate]]</f>
        <v>-22</v>
      </c>
      <c r="T1657" s="111">
        <f>Audit[[#This Row],[Audit Winning Candidate]]-Audit[[#This Row],[Winning Candidate]]</f>
        <v>-34</v>
      </c>
      <c r="U1657" s="111">
        <f>Audit[[#This Row],[Audit Candidate 3]]-Audit[[#This Row],[Candidate 3]]</f>
        <v>-6</v>
      </c>
      <c r="V1657" s="111">
        <f>Audit[[#This Row],[Audit Candidate 4]]-Audit[[#This Row],[Candidate 4]]</f>
        <v>-7</v>
      </c>
      <c r="W1657" s="111">
        <f>Audit[[#This Row],[Audit Candidate 5]]-Audit[[#This Row],[Candidate 5]]</f>
        <v>0</v>
      </c>
      <c r="X1657" s="111">
        <f>Audit[[#This Row],[Audit Candidate 6]]-Audit[[#This Row],[Candidate 6]]</f>
        <v>0</v>
      </c>
      <c r="Y1657" s="111">
        <f>SUMIF(Audit[[#This Row],[Difference Loser]:[Difference Candidate 6]], "&gt;0")</f>
        <v>0</v>
      </c>
      <c r="Z1657" s="111">
        <f>SUM(Audit[[#This Row],[Difference Loser]:[Difference Candidate 6]])</f>
        <v>-69</v>
      </c>
      <c r="AA1657" s="111">
        <f>IF(Audit[[#This Row],[Times p Drawn - With Replacement]]&gt;0, IF(Audit[[#This Row],[Canceled Differences]]&lt;0, Audit[[#This Row],[Max Differences]]+ABS(Audit[[#This Row],[Canceled Differences]]), Audit[[#This Row],[Max Differences]]), 0)</f>
        <v>0</v>
      </c>
      <c r="AB1657" s="111">
        <f>'Sampling Data'!P1651</f>
        <v>4.9608035276825085E-3</v>
      </c>
      <c r="AC1657" s="111">
        <f>IF(
      SUM(Audit[[#This Row],[Audit Losing Candidate]:[Audit Candidate 6]])
      &lt;&gt;0,
      (Audit[[#This Row],[Winning Candidate]]-Audit[[#This Row],[Losing Candidate]]-(Audit[[#This Row],[Audit Winning Candidate]]-Audit[[#This Row],[Audit Losing Candidate]]))/(Audit[[#Totals],[Winning Candidate]]-Audit[[#Totals],[Losing Candidate]]),
      0
)</f>
        <v>0</v>
      </c>
      <c r="AD16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7" s="111">
        <f>IF(Audit[[#This Row],[Max Relative Error (ep)]] = 0, 0, Audit[[#This Row],[Max Relative Error (ep)]]/Audit[[#This Row],[Error Bound (up) - Max. possible relative overstatement]])</f>
        <v>0</v>
      </c>
      <c r="AJ16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57" s="111">
        <f t="shared" si="25"/>
        <v>1</v>
      </c>
      <c r="AL1657" s="111">
        <f>PRODUCT($AK$5:AK1657)</f>
        <v>8.962823818226312E-2</v>
      </c>
      <c r="AM1657" s="109">
        <f>1 - [K-M P Value]</f>
        <v>0.91037176181773694</v>
      </c>
      <c r="AN1657" s="111" t="str">
        <f>IF(Audit[[#This Row],[K-M P Value]]&gt;1-'General Info'!$B$16,"Continue", "Stop")</f>
        <v>Stop</v>
      </c>
      <c r="AO1657" s="110" t="b">
        <f>IF(Audit[[#This Row],[Status - Continue or stop audit]] = "Continue", TRUE, IF(AN1656 = "Continue", TRUE, FALSE))</f>
        <v>0</v>
      </c>
      <c r="AP1657" s="110"/>
    </row>
    <row r="1658" spans="1:42" ht="15" hidden="1" customHeight="1">
      <c r="A1658" s="111" t="str">
        <f>'Sampling Data'!W1652</f>
        <v/>
      </c>
      <c r="B1658" s="112" t="str">
        <f>'Sampling Data'!A1652</f>
        <v>PARMA -01-F - ABS</v>
      </c>
      <c r="C1658" s="112">
        <f>'Sampling Data'!B1652</f>
        <v>19</v>
      </c>
      <c r="D1658" s="112">
        <f>'Sampling Data'!C1652</f>
        <v>7</v>
      </c>
      <c r="E1658" s="113">
        <f>'Sampling Data'!D1652</f>
        <v>1</v>
      </c>
      <c r="F1658" s="113">
        <f>'Sampling Data'!E1652</f>
        <v>1</v>
      </c>
      <c r="G1658" s="113">
        <f>'Sampling Data'!F1652</f>
        <v>0</v>
      </c>
      <c r="H1658" s="113">
        <f>'Sampling Data'!G1652</f>
        <v>0</v>
      </c>
      <c r="I1658" s="112">
        <f>'Sampling Data'!H1652</f>
        <v>0</v>
      </c>
      <c r="J1658" s="112">
        <f>'Sampling Data'!I1652</f>
        <v>0</v>
      </c>
      <c r="K1658" s="112">
        <f>'Sampling Data'!J1652</f>
        <v>28</v>
      </c>
      <c r="L1658" s="111">
        <f>'Sampling Data'!X1652</f>
        <v>0</v>
      </c>
      <c r="M1658" s="114"/>
      <c r="N1658" s="114"/>
      <c r="O1658" s="115"/>
      <c r="P1658" s="115"/>
      <c r="Q1658" s="116"/>
      <c r="R1658" s="116"/>
      <c r="S1658" s="111">
        <f>Audit[[#This Row],[Audit Losing Candidate]]-Audit[[#This Row],[Losing Candidate]]</f>
        <v>-19</v>
      </c>
      <c r="T1658" s="111">
        <f>Audit[[#This Row],[Audit Winning Candidate]]-Audit[[#This Row],[Winning Candidate]]</f>
        <v>-7</v>
      </c>
      <c r="U1658" s="111">
        <f>Audit[[#This Row],[Audit Candidate 3]]-Audit[[#This Row],[Candidate 3]]</f>
        <v>-1</v>
      </c>
      <c r="V1658" s="111">
        <f>Audit[[#This Row],[Audit Candidate 4]]-Audit[[#This Row],[Candidate 4]]</f>
        <v>-1</v>
      </c>
      <c r="W1658" s="111">
        <f>Audit[[#This Row],[Audit Candidate 5]]-Audit[[#This Row],[Candidate 5]]</f>
        <v>0</v>
      </c>
      <c r="X1658" s="111">
        <f>Audit[[#This Row],[Audit Candidate 6]]-Audit[[#This Row],[Candidate 6]]</f>
        <v>0</v>
      </c>
      <c r="Y1658" s="111">
        <f>SUMIF(Audit[[#This Row],[Difference Loser]:[Difference Candidate 6]], "&gt;0")</f>
        <v>0</v>
      </c>
      <c r="Z1658" s="111">
        <f>SUM(Audit[[#This Row],[Difference Loser]:[Difference Candidate 6]])</f>
        <v>-28</v>
      </c>
      <c r="AA1658" s="111">
        <f>IF(Audit[[#This Row],[Times p Drawn - With Replacement]]&gt;0, IF(Audit[[#This Row],[Canceled Differences]]&lt;0, Audit[[#This Row],[Max Differences]]+ABS(Audit[[#This Row],[Canceled Differences]]), Audit[[#This Row],[Max Differences]]), 0)</f>
        <v>0</v>
      </c>
      <c r="AB1658" s="111">
        <f>'Sampling Data'!P1652</f>
        <v>1.0968803432590251E-3</v>
      </c>
      <c r="AC1658" s="111">
        <f>IF(
      SUM(Audit[[#This Row],[Audit Losing Candidate]:[Audit Candidate 6]])
      &lt;&gt;0,
      (Audit[[#This Row],[Winning Candidate]]-Audit[[#This Row],[Losing Candidate]]-(Audit[[#This Row],[Audit Winning Candidate]]-Audit[[#This Row],[Audit Losing Candidate]]))/(Audit[[#Totals],[Winning Candidate]]-Audit[[#Totals],[Losing Candidate]]),
      0
)</f>
        <v>0</v>
      </c>
      <c r="AD16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8" s="111">
        <f>IF(Audit[[#This Row],[Max Relative Error (ep)]] = 0, 0, Audit[[#This Row],[Max Relative Error (ep)]]/Audit[[#This Row],[Error Bound (up) - Max. possible relative overstatement]])</f>
        <v>0</v>
      </c>
      <c r="AJ16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58" s="111">
        <f t="shared" si="25"/>
        <v>1</v>
      </c>
      <c r="AL1658" s="111">
        <f>PRODUCT($AK$5:AK1658)</f>
        <v>8.962823818226312E-2</v>
      </c>
      <c r="AM1658" s="109">
        <f>1 - [K-M P Value]</f>
        <v>0.91037176181773694</v>
      </c>
      <c r="AN1658" s="111" t="str">
        <f>IF(Audit[[#This Row],[K-M P Value]]&gt;1-'General Info'!$B$16,"Continue", "Stop")</f>
        <v>Stop</v>
      </c>
      <c r="AO1658" s="110" t="b">
        <f>IF(Audit[[#This Row],[Status - Continue or stop audit]] = "Continue", TRUE, IF(AN1657 = "Continue", TRUE, FALSE))</f>
        <v>0</v>
      </c>
      <c r="AP1658" s="110"/>
    </row>
    <row r="1659" spans="1:42" ht="15" hidden="1" customHeight="1">
      <c r="A1659" s="111" t="str">
        <f>'Sampling Data'!W1653</f>
        <v/>
      </c>
      <c r="B1659" s="112" t="str">
        <f>'Sampling Data'!A1653</f>
        <v>PARMA -01-G</v>
      </c>
      <c r="C1659" s="112">
        <f>'Sampling Data'!B1653</f>
        <v>4</v>
      </c>
      <c r="D1659" s="112">
        <f>'Sampling Data'!C1653</f>
        <v>5</v>
      </c>
      <c r="E1659" s="113">
        <f>'Sampling Data'!D1653</f>
        <v>1</v>
      </c>
      <c r="F1659" s="113">
        <f>'Sampling Data'!E1653</f>
        <v>4</v>
      </c>
      <c r="G1659" s="113">
        <f>'Sampling Data'!F1653</f>
        <v>0</v>
      </c>
      <c r="H1659" s="113">
        <f>'Sampling Data'!G1653</f>
        <v>0</v>
      </c>
      <c r="I1659" s="112">
        <f>'Sampling Data'!H1653</f>
        <v>0</v>
      </c>
      <c r="J1659" s="112">
        <f>'Sampling Data'!I1653</f>
        <v>0</v>
      </c>
      <c r="K1659" s="112">
        <f>'Sampling Data'!J1653</f>
        <v>14</v>
      </c>
      <c r="L1659" s="111">
        <f>'Sampling Data'!X1653</f>
        <v>0</v>
      </c>
      <c r="M1659" s="114"/>
      <c r="N1659" s="114"/>
      <c r="O1659" s="115"/>
      <c r="P1659" s="115"/>
      <c r="Q1659" s="116"/>
      <c r="R1659" s="116"/>
      <c r="S1659" s="111">
        <f>Audit[[#This Row],[Audit Losing Candidate]]-Audit[[#This Row],[Losing Candidate]]</f>
        <v>-4</v>
      </c>
      <c r="T1659" s="111">
        <f>Audit[[#This Row],[Audit Winning Candidate]]-Audit[[#This Row],[Winning Candidate]]</f>
        <v>-5</v>
      </c>
      <c r="U1659" s="111">
        <f>Audit[[#This Row],[Audit Candidate 3]]-Audit[[#This Row],[Candidate 3]]</f>
        <v>-1</v>
      </c>
      <c r="V1659" s="111">
        <f>Audit[[#This Row],[Audit Candidate 4]]-Audit[[#This Row],[Candidate 4]]</f>
        <v>-4</v>
      </c>
      <c r="W1659" s="111">
        <f>Audit[[#This Row],[Audit Candidate 5]]-Audit[[#This Row],[Candidate 5]]</f>
        <v>0</v>
      </c>
      <c r="X1659" s="111">
        <f>Audit[[#This Row],[Audit Candidate 6]]-Audit[[#This Row],[Candidate 6]]</f>
        <v>0</v>
      </c>
      <c r="Y1659" s="111">
        <f>SUMIF(Audit[[#This Row],[Difference Loser]:[Difference Candidate 6]], "&gt;0")</f>
        <v>0</v>
      </c>
      <c r="Z1659" s="111">
        <f>SUM(Audit[[#This Row],[Difference Loser]:[Difference Candidate 6]])</f>
        <v>-14</v>
      </c>
      <c r="AA1659" s="111">
        <f>IF(Audit[[#This Row],[Times p Drawn - With Replacement]]&gt;0, IF(Audit[[#This Row],[Canceled Differences]]&lt;0, Audit[[#This Row],[Max Differences]]+ABS(Audit[[#This Row],[Canceled Differences]]), Audit[[#This Row],[Max Differences]]), 0)</f>
        <v>0</v>
      </c>
      <c r="AB1659" s="111">
        <f>'Sampling Data'!P1653</f>
        <v>9.1866731994120533E-4</v>
      </c>
      <c r="AC1659" s="111">
        <f>IF(
      SUM(Audit[[#This Row],[Audit Losing Candidate]:[Audit Candidate 6]])
      &lt;&gt;0,
      (Audit[[#This Row],[Winning Candidate]]-Audit[[#This Row],[Losing Candidate]]-(Audit[[#This Row],[Audit Winning Candidate]]-Audit[[#This Row],[Audit Losing Candidate]]))/(Audit[[#Totals],[Winning Candidate]]-Audit[[#Totals],[Losing Candidate]]),
      0
)</f>
        <v>0</v>
      </c>
      <c r="AD16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9" s="111">
        <f>IF(Audit[[#This Row],[Max Relative Error (ep)]] = 0, 0, Audit[[#This Row],[Max Relative Error (ep)]]/Audit[[#This Row],[Error Bound (up) - Max. possible relative overstatement]])</f>
        <v>0</v>
      </c>
      <c r="AJ16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59" s="111">
        <f t="shared" si="25"/>
        <v>1</v>
      </c>
      <c r="AL1659" s="111">
        <f>PRODUCT($AK$5:AK1659)</f>
        <v>8.962823818226312E-2</v>
      </c>
      <c r="AM1659" s="109">
        <f>1 - [K-M P Value]</f>
        <v>0.91037176181773694</v>
      </c>
      <c r="AN1659" s="111" t="str">
        <f>IF(Audit[[#This Row],[K-M P Value]]&gt;1-'General Info'!$B$16,"Continue", "Stop")</f>
        <v>Stop</v>
      </c>
      <c r="AO1659" s="110" t="b">
        <f>IF(Audit[[#This Row],[Status - Continue or stop audit]] = "Continue", TRUE, IF(AN1658 = "Continue", TRUE, FALSE))</f>
        <v>0</v>
      </c>
      <c r="AP1659" s="110"/>
    </row>
    <row r="1660" spans="1:42" ht="15" hidden="1" customHeight="1">
      <c r="A1660" s="111" t="str">
        <f>'Sampling Data'!W1654</f>
        <v/>
      </c>
      <c r="B1660" s="112" t="str">
        <f>'Sampling Data'!A1654</f>
        <v>PARMA -01-G - ABS</v>
      </c>
      <c r="C1660" s="112">
        <f>'Sampling Data'!B1654</f>
        <v>1</v>
      </c>
      <c r="D1660" s="112">
        <f>'Sampling Data'!C1654</f>
        <v>2</v>
      </c>
      <c r="E1660" s="113">
        <f>'Sampling Data'!D1654</f>
        <v>0</v>
      </c>
      <c r="F1660" s="113">
        <f>'Sampling Data'!E1654</f>
        <v>0</v>
      </c>
      <c r="G1660" s="113">
        <f>'Sampling Data'!F1654</f>
        <v>1</v>
      </c>
      <c r="H1660" s="113">
        <f>'Sampling Data'!G1654</f>
        <v>0</v>
      </c>
      <c r="I1660" s="112">
        <f>'Sampling Data'!H1654</f>
        <v>0</v>
      </c>
      <c r="J1660" s="112">
        <f>'Sampling Data'!I1654</f>
        <v>0</v>
      </c>
      <c r="K1660" s="112">
        <f>'Sampling Data'!J1654</f>
        <v>4</v>
      </c>
      <c r="L1660" s="111">
        <f>'Sampling Data'!X1654</f>
        <v>0</v>
      </c>
      <c r="M1660" s="114"/>
      <c r="N1660" s="114"/>
      <c r="O1660" s="115"/>
      <c r="P1660" s="115"/>
      <c r="Q1660" s="116"/>
      <c r="R1660" s="116"/>
      <c r="S1660" s="111">
        <f>Audit[[#This Row],[Audit Losing Candidate]]-Audit[[#This Row],[Losing Candidate]]</f>
        <v>-1</v>
      </c>
      <c r="T1660" s="111">
        <f>Audit[[#This Row],[Audit Winning Candidate]]-Audit[[#This Row],[Winning Candidate]]</f>
        <v>-2</v>
      </c>
      <c r="U1660" s="111">
        <f>Audit[[#This Row],[Audit Candidate 3]]-Audit[[#This Row],[Candidate 3]]</f>
        <v>0</v>
      </c>
      <c r="V1660" s="111">
        <f>Audit[[#This Row],[Audit Candidate 4]]-Audit[[#This Row],[Candidate 4]]</f>
        <v>0</v>
      </c>
      <c r="W1660" s="111">
        <f>Audit[[#This Row],[Audit Candidate 5]]-Audit[[#This Row],[Candidate 5]]</f>
        <v>-1</v>
      </c>
      <c r="X1660" s="111">
        <f>Audit[[#This Row],[Audit Candidate 6]]-Audit[[#This Row],[Candidate 6]]</f>
        <v>0</v>
      </c>
      <c r="Y1660" s="111">
        <f>SUMIF(Audit[[#This Row],[Difference Loser]:[Difference Candidate 6]], "&gt;0")</f>
        <v>0</v>
      </c>
      <c r="Z1660" s="111">
        <f>SUM(Audit[[#This Row],[Difference Loser]:[Difference Candidate 6]])</f>
        <v>-4</v>
      </c>
      <c r="AA1660" s="111">
        <f>IF(Audit[[#This Row],[Times p Drawn - With Replacement]]&gt;0, IF(Audit[[#This Row],[Canceled Differences]]&lt;0, Audit[[#This Row],[Max Differences]]+ABS(Audit[[#This Row],[Canceled Differences]]), Audit[[#This Row],[Max Differences]]), 0)</f>
        <v>0</v>
      </c>
      <c r="AB1660" s="111">
        <f>'Sampling Data'!P1654</f>
        <v>3.0622243998040176E-4</v>
      </c>
      <c r="AC1660" s="111">
        <f>IF(
      SUM(Audit[[#This Row],[Audit Losing Candidate]:[Audit Candidate 6]])
      &lt;&gt;0,
      (Audit[[#This Row],[Winning Candidate]]-Audit[[#This Row],[Losing Candidate]]-(Audit[[#This Row],[Audit Winning Candidate]]-Audit[[#This Row],[Audit Losing Candidate]]))/(Audit[[#Totals],[Winning Candidate]]-Audit[[#Totals],[Losing Candidate]]),
      0
)</f>
        <v>0</v>
      </c>
      <c r="AD16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0" s="111">
        <f>IF(Audit[[#This Row],[Max Relative Error (ep)]] = 0, 0, Audit[[#This Row],[Max Relative Error (ep)]]/Audit[[#This Row],[Error Bound (up) - Max. possible relative overstatement]])</f>
        <v>0</v>
      </c>
      <c r="AJ16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60" s="111">
        <f t="shared" si="25"/>
        <v>1</v>
      </c>
      <c r="AL1660" s="111">
        <f>PRODUCT($AK$5:AK1660)</f>
        <v>8.962823818226312E-2</v>
      </c>
      <c r="AM1660" s="109">
        <f>1 - [K-M P Value]</f>
        <v>0.91037176181773694</v>
      </c>
      <c r="AN1660" s="111" t="str">
        <f>IF(Audit[[#This Row],[K-M P Value]]&gt;1-'General Info'!$B$16,"Continue", "Stop")</f>
        <v>Stop</v>
      </c>
      <c r="AO1660" s="110" t="b">
        <f>IF(Audit[[#This Row],[Status - Continue or stop audit]] = "Continue", TRUE, IF(AN1659 = "Continue", TRUE, FALSE))</f>
        <v>0</v>
      </c>
      <c r="AP1660" s="110"/>
    </row>
    <row r="1661" spans="1:42" ht="15" hidden="1" customHeight="1">
      <c r="A1661" s="111" t="str">
        <f>'Sampling Data'!W1655</f>
        <v/>
      </c>
      <c r="B1661" s="112" t="str">
        <f>'Sampling Data'!A1655</f>
        <v>PARMA -02-A</v>
      </c>
      <c r="C1661" s="112">
        <f>'Sampling Data'!B1655</f>
        <v>19</v>
      </c>
      <c r="D1661" s="112">
        <f>'Sampling Data'!C1655</f>
        <v>19</v>
      </c>
      <c r="E1661" s="113">
        <f>'Sampling Data'!D1655</f>
        <v>9</v>
      </c>
      <c r="F1661" s="113">
        <f>'Sampling Data'!E1655</f>
        <v>14</v>
      </c>
      <c r="G1661" s="113">
        <f>'Sampling Data'!F1655</f>
        <v>0</v>
      </c>
      <c r="H1661" s="113">
        <f>'Sampling Data'!G1655</f>
        <v>1</v>
      </c>
      <c r="I1661" s="112">
        <f>'Sampling Data'!H1655</f>
        <v>0</v>
      </c>
      <c r="J1661" s="112">
        <f>'Sampling Data'!I1655</f>
        <v>1</v>
      </c>
      <c r="K1661" s="112">
        <f>'Sampling Data'!J1655</f>
        <v>63</v>
      </c>
      <c r="L1661" s="111">
        <f>'Sampling Data'!X1655</f>
        <v>0</v>
      </c>
      <c r="M1661" s="114"/>
      <c r="N1661" s="114"/>
      <c r="O1661" s="115"/>
      <c r="P1661" s="115"/>
      <c r="Q1661" s="116"/>
      <c r="R1661" s="116"/>
      <c r="S1661" s="111">
        <f>Audit[[#This Row],[Audit Losing Candidate]]-Audit[[#This Row],[Losing Candidate]]</f>
        <v>-19</v>
      </c>
      <c r="T1661" s="111">
        <f>Audit[[#This Row],[Audit Winning Candidate]]-Audit[[#This Row],[Winning Candidate]]</f>
        <v>-19</v>
      </c>
      <c r="U1661" s="111">
        <f>Audit[[#This Row],[Audit Candidate 3]]-Audit[[#This Row],[Candidate 3]]</f>
        <v>-9</v>
      </c>
      <c r="V1661" s="111">
        <f>Audit[[#This Row],[Audit Candidate 4]]-Audit[[#This Row],[Candidate 4]]</f>
        <v>-14</v>
      </c>
      <c r="W1661" s="111">
        <f>Audit[[#This Row],[Audit Candidate 5]]-Audit[[#This Row],[Candidate 5]]</f>
        <v>0</v>
      </c>
      <c r="X1661" s="111">
        <f>Audit[[#This Row],[Audit Candidate 6]]-Audit[[#This Row],[Candidate 6]]</f>
        <v>-1</v>
      </c>
      <c r="Y1661" s="111">
        <f>SUMIF(Audit[[#This Row],[Difference Loser]:[Difference Candidate 6]], "&gt;0")</f>
        <v>0</v>
      </c>
      <c r="Z1661" s="111">
        <f>SUM(Audit[[#This Row],[Difference Loser]:[Difference Candidate 6]])</f>
        <v>-62</v>
      </c>
      <c r="AA1661" s="111">
        <f>IF(Audit[[#This Row],[Times p Drawn - With Replacement]]&gt;0, IF(Audit[[#This Row],[Canceled Differences]]&lt;0, Audit[[#This Row],[Max Differences]]+ABS(Audit[[#This Row],[Canceled Differences]]), Audit[[#This Row],[Max Differences]]), 0)</f>
        <v>0</v>
      </c>
      <c r="AB1661" s="111">
        <f>'Sampling Data'!P1655</f>
        <v>3.8584027437530621E-3</v>
      </c>
      <c r="AC1661" s="111">
        <f>IF(
      SUM(Audit[[#This Row],[Audit Losing Candidate]:[Audit Candidate 6]])
      &lt;&gt;0,
      (Audit[[#This Row],[Winning Candidate]]-Audit[[#This Row],[Losing Candidate]]-(Audit[[#This Row],[Audit Winning Candidate]]-Audit[[#This Row],[Audit Losing Candidate]]))/(Audit[[#Totals],[Winning Candidate]]-Audit[[#Totals],[Losing Candidate]]),
      0
)</f>
        <v>0</v>
      </c>
      <c r="AD16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1" s="111">
        <f>IF(Audit[[#This Row],[Max Relative Error (ep)]] = 0, 0, Audit[[#This Row],[Max Relative Error (ep)]]/Audit[[#This Row],[Error Bound (up) - Max. possible relative overstatement]])</f>
        <v>0</v>
      </c>
      <c r="AJ16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61" s="111">
        <f t="shared" si="25"/>
        <v>1</v>
      </c>
      <c r="AL1661" s="111">
        <f>PRODUCT($AK$5:AK1661)</f>
        <v>8.962823818226312E-2</v>
      </c>
      <c r="AM1661" s="109">
        <f>1 - [K-M P Value]</f>
        <v>0.91037176181773694</v>
      </c>
      <c r="AN1661" s="111" t="str">
        <f>IF(Audit[[#This Row],[K-M P Value]]&gt;1-'General Info'!$B$16,"Continue", "Stop")</f>
        <v>Stop</v>
      </c>
      <c r="AO1661" s="110" t="b">
        <f>IF(Audit[[#This Row],[Status - Continue or stop audit]] = "Continue", TRUE, IF(AN1660 = "Continue", TRUE, FALSE))</f>
        <v>0</v>
      </c>
      <c r="AP1661" s="110"/>
    </row>
    <row r="1662" spans="1:42" ht="15" hidden="1" customHeight="1">
      <c r="A1662" s="111" t="str">
        <f>'Sampling Data'!W1656</f>
        <v/>
      </c>
      <c r="B1662" s="112" t="str">
        <f>'Sampling Data'!A1656</f>
        <v>PARMA -02-A - ABS</v>
      </c>
      <c r="C1662" s="112">
        <f>'Sampling Data'!B1656</f>
        <v>5</v>
      </c>
      <c r="D1662" s="112">
        <f>'Sampling Data'!C1656</f>
        <v>8</v>
      </c>
      <c r="E1662" s="113">
        <f>'Sampling Data'!D1656</f>
        <v>2</v>
      </c>
      <c r="F1662" s="113">
        <f>'Sampling Data'!E1656</f>
        <v>2</v>
      </c>
      <c r="G1662" s="113">
        <f>'Sampling Data'!F1656</f>
        <v>0</v>
      </c>
      <c r="H1662" s="113">
        <f>'Sampling Data'!G1656</f>
        <v>1</v>
      </c>
      <c r="I1662" s="112">
        <f>'Sampling Data'!H1656</f>
        <v>0</v>
      </c>
      <c r="J1662" s="112">
        <f>'Sampling Data'!I1656</f>
        <v>0</v>
      </c>
      <c r="K1662" s="112">
        <f>'Sampling Data'!J1656</f>
        <v>18</v>
      </c>
      <c r="L1662" s="111">
        <f>'Sampling Data'!X1656</f>
        <v>0</v>
      </c>
      <c r="M1662" s="114"/>
      <c r="N1662" s="114"/>
      <c r="O1662" s="115"/>
      <c r="P1662" s="115"/>
      <c r="Q1662" s="116"/>
      <c r="R1662" s="116"/>
      <c r="S1662" s="111">
        <f>Audit[[#This Row],[Audit Losing Candidate]]-Audit[[#This Row],[Losing Candidate]]</f>
        <v>-5</v>
      </c>
      <c r="T1662" s="111">
        <f>Audit[[#This Row],[Audit Winning Candidate]]-Audit[[#This Row],[Winning Candidate]]</f>
        <v>-8</v>
      </c>
      <c r="U1662" s="111">
        <f>Audit[[#This Row],[Audit Candidate 3]]-Audit[[#This Row],[Candidate 3]]</f>
        <v>-2</v>
      </c>
      <c r="V1662" s="111">
        <f>Audit[[#This Row],[Audit Candidate 4]]-Audit[[#This Row],[Candidate 4]]</f>
        <v>-2</v>
      </c>
      <c r="W1662" s="111">
        <f>Audit[[#This Row],[Audit Candidate 5]]-Audit[[#This Row],[Candidate 5]]</f>
        <v>0</v>
      </c>
      <c r="X1662" s="111">
        <f>Audit[[#This Row],[Audit Candidate 6]]-Audit[[#This Row],[Candidate 6]]</f>
        <v>-1</v>
      </c>
      <c r="Y1662" s="111">
        <f>SUMIF(Audit[[#This Row],[Difference Loser]:[Difference Candidate 6]], "&gt;0")</f>
        <v>0</v>
      </c>
      <c r="Z1662" s="111">
        <f>SUM(Audit[[#This Row],[Difference Loser]:[Difference Candidate 6]])</f>
        <v>-18</v>
      </c>
      <c r="AA1662" s="111">
        <f>IF(Audit[[#This Row],[Times p Drawn - With Replacement]]&gt;0, IF(Audit[[#This Row],[Canceled Differences]]&lt;0, Audit[[#This Row],[Max Differences]]+ABS(Audit[[#This Row],[Canceled Differences]]), Audit[[#This Row],[Max Differences]]), 0)</f>
        <v>0</v>
      </c>
      <c r="AB1662" s="111">
        <f>'Sampling Data'!P1656</f>
        <v>1.2861342479176874E-3</v>
      </c>
      <c r="AC1662" s="111">
        <f>IF(
      SUM(Audit[[#This Row],[Audit Losing Candidate]:[Audit Candidate 6]])
      &lt;&gt;0,
      (Audit[[#This Row],[Winning Candidate]]-Audit[[#This Row],[Losing Candidate]]-(Audit[[#This Row],[Audit Winning Candidate]]-Audit[[#This Row],[Audit Losing Candidate]]))/(Audit[[#Totals],[Winning Candidate]]-Audit[[#Totals],[Losing Candidate]]),
      0
)</f>
        <v>0</v>
      </c>
      <c r="AD16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2" s="111">
        <f>IF(Audit[[#This Row],[Max Relative Error (ep)]] = 0, 0, Audit[[#This Row],[Max Relative Error (ep)]]/Audit[[#This Row],[Error Bound (up) - Max. possible relative overstatement]])</f>
        <v>0</v>
      </c>
      <c r="AJ16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62" s="111">
        <f t="shared" si="25"/>
        <v>1</v>
      </c>
      <c r="AL1662" s="111">
        <f>PRODUCT($AK$5:AK1662)</f>
        <v>8.962823818226312E-2</v>
      </c>
      <c r="AM1662" s="109">
        <f>1 - [K-M P Value]</f>
        <v>0.91037176181773694</v>
      </c>
      <c r="AN1662" s="111" t="str">
        <f>IF(Audit[[#This Row],[K-M P Value]]&gt;1-'General Info'!$B$16,"Continue", "Stop")</f>
        <v>Stop</v>
      </c>
      <c r="AO1662" s="110" t="b">
        <f>IF(Audit[[#This Row],[Status - Continue or stop audit]] = "Continue", TRUE, IF(AN1661 = "Continue", TRUE, FALSE))</f>
        <v>0</v>
      </c>
      <c r="AP1662" s="110"/>
    </row>
    <row r="1663" spans="1:42" ht="15" hidden="1" customHeight="1">
      <c r="A1663" s="111" t="str">
        <f>'Sampling Data'!W1657</f>
        <v/>
      </c>
      <c r="B1663" s="112" t="str">
        <f>'Sampling Data'!A1657</f>
        <v>PARMA -02-B</v>
      </c>
      <c r="C1663" s="112">
        <f>'Sampling Data'!B1657</f>
        <v>16</v>
      </c>
      <c r="D1663" s="112">
        <f>'Sampling Data'!C1657</f>
        <v>20</v>
      </c>
      <c r="E1663" s="113">
        <f>'Sampling Data'!D1657</f>
        <v>7</v>
      </c>
      <c r="F1663" s="113">
        <f>'Sampling Data'!E1657</f>
        <v>7</v>
      </c>
      <c r="G1663" s="113">
        <f>'Sampling Data'!F1657</f>
        <v>0</v>
      </c>
      <c r="H1663" s="113">
        <f>'Sampling Data'!G1657</f>
        <v>0</v>
      </c>
      <c r="I1663" s="112">
        <f>'Sampling Data'!H1657</f>
        <v>0</v>
      </c>
      <c r="J1663" s="112">
        <f>'Sampling Data'!I1657</f>
        <v>0</v>
      </c>
      <c r="K1663" s="112">
        <f>'Sampling Data'!J1657</f>
        <v>50</v>
      </c>
      <c r="L1663" s="111">
        <f>'Sampling Data'!X1657</f>
        <v>0</v>
      </c>
      <c r="M1663" s="114"/>
      <c r="N1663" s="114"/>
      <c r="O1663" s="115"/>
      <c r="P1663" s="115"/>
      <c r="Q1663" s="116"/>
      <c r="R1663" s="116"/>
      <c r="S1663" s="111">
        <f>Audit[[#This Row],[Audit Losing Candidate]]-Audit[[#This Row],[Losing Candidate]]</f>
        <v>-16</v>
      </c>
      <c r="T1663" s="111">
        <f>Audit[[#This Row],[Audit Winning Candidate]]-Audit[[#This Row],[Winning Candidate]]</f>
        <v>-20</v>
      </c>
      <c r="U1663" s="111">
        <f>Audit[[#This Row],[Audit Candidate 3]]-Audit[[#This Row],[Candidate 3]]</f>
        <v>-7</v>
      </c>
      <c r="V1663" s="111">
        <f>Audit[[#This Row],[Audit Candidate 4]]-Audit[[#This Row],[Candidate 4]]</f>
        <v>-7</v>
      </c>
      <c r="W1663" s="111">
        <f>Audit[[#This Row],[Audit Candidate 5]]-Audit[[#This Row],[Candidate 5]]</f>
        <v>0</v>
      </c>
      <c r="X1663" s="111">
        <f>Audit[[#This Row],[Audit Candidate 6]]-Audit[[#This Row],[Candidate 6]]</f>
        <v>0</v>
      </c>
      <c r="Y1663" s="111">
        <f>SUMIF(Audit[[#This Row],[Difference Loser]:[Difference Candidate 6]], "&gt;0")</f>
        <v>0</v>
      </c>
      <c r="Z1663" s="111">
        <f>SUM(Audit[[#This Row],[Difference Loser]:[Difference Candidate 6]])</f>
        <v>-50</v>
      </c>
      <c r="AA1663" s="111">
        <f>IF(Audit[[#This Row],[Times p Drawn - With Replacement]]&gt;0, IF(Audit[[#This Row],[Canceled Differences]]&lt;0, Audit[[#This Row],[Max Differences]]+ABS(Audit[[#This Row],[Canceled Differences]]), Audit[[#This Row],[Max Differences]]), 0)</f>
        <v>0</v>
      </c>
      <c r="AB1663" s="111">
        <f>'Sampling Data'!P1657</f>
        <v>3.3072023517883389E-3</v>
      </c>
      <c r="AC1663" s="111">
        <f>IF(
      SUM(Audit[[#This Row],[Audit Losing Candidate]:[Audit Candidate 6]])
      &lt;&gt;0,
      (Audit[[#This Row],[Winning Candidate]]-Audit[[#This Row],[Losing Candidate]]-(Audit[[#This Row],[Audit Winning Candidate]]-Audit[[#This Row],[Audit Losing Candidate]]))/(Audit[[#Totals],[Winning Candidate]]-Audit[[#Totals],[Losing Candidate]]),
      0
)</f>
        <v>0</v>
      </c>
      <c r="AD16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3" s="111">
        <f>IF(Audit[[#This Row],[Max Relative Error (ep)]] = 0, 0, Audit[[#This Row],[Max Relative Error (ep)]]/Audit[[#This Row],[Error Bound (up) - Max. possible relative overstatement]])</f>
        <v>0</v>
      </c>
      <c r="AJ16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63" s="111">
        <f t="shared" si="25"/>
        <v>1</v>
      </c>
      <c r="AL1663" s="111">
        <f>PRODUCT($AK$5:AK1663)</f>
        <v>8.962823818226312E-2</v>
      </c>
      <c r="AM1663" s="109">
        <f>1 - [K-M P Value]</f>
        <v>0.91037176181773694</v>
      </c>
      <c r="AN1663" s="111" t="str">
        <f>IF(Audit[[#This Row],[K-M P Value]]&gt;1-'General Info'!$B$16,"Continue", "Stop")</f>
        <v>Stop</v>
      </c>
      <c r="AO1663" s="110" t="b">
        <f>IF(Audit[[#This Row],[Status - Continue or stop audit]] = "Continue", TRUE, IF(AN1662 = "Continue", TRUE, FALSE))</f>
        <v>0</v>
      </c>
      <c r="AP1663" s="110"/>
    </row>
    <row r="1664" spans="1:42" ht="15" hidden="1" customHeight="1">
      <c r="A1664" s="111" t="str">
        <f>'Sampling Data'!W1658</f>
        <v/>
      </c>
      <c r="B1664" s="112" t="str">
        <f>'Sampling Data'!A1658</f>
        <v>PARMA -02-B - ABS</v>
      </c>
      <c r="C1664" s="112">
        <f>'Sampling Data'!B1658</f>
        <v>13</v>
      </c>
      <c r="D1664" s="112">
        <f>'Sampling Data'!C1658</f>
        <v>8</v>
      </c>
      <c r="E1664" s="113">
        <f>'Sampling Data'!D1658</f>
        <v>0</v>
      </c>
      <c r="F1664" s="113">
        <f>'Sampling Data'!E1658</f>
        <v>0</v>
      </c>
      <c r="G1664" s="113">
        <f>'Sampling Data'!F1658</f>
        <v>0</v>
      </c>
      <c r="H1664" s="113">
        <f>'Sampling Data'!G1658</f>
        <v>0</v>
      </c>
      <c r="I1664" s="112">
        <f>'Sampling Data'!H1658</f>
        <v>0</v>
      </c>
      <c r="J1664" s="112">
        <f>'Sampling Data'!I1658</f>
        <v>0</v>
      </c>
      <c r="K1664" s="112">
        <f>'Sampling Data'!J1658</f>
        <v>21</v>
      </c>
      <c r="L1664" s="111">
        <f>'Sampling Data'!X1658</f>
        <v>0</v>
      </c>
      <c r="M1664" s="114"/>
      <c r="N1664" s="114"/>
      <c r="O1664" s="115"/>
      <c r="P1664" s="115"/>
      <c r="Q1664" s="116"/>
      <c r="R1664" s="116"/>
      <c r="S1664" s="111">
        <f>Audit[[#This Row],[Audit Losing Candidate]]-Audit[[#This Row],[Losing Candidate]]</f>
        <v>-13</v>
      </c>
      <c r="T1664" s="111">
        <f>Audit[[#This Row],[Audit Winning Candidate]]-Audit[[#This Row],[Winning Candidate]]</f>
        <v>-8</v>
      </c>
      <c r="U1664" s="111">
        <f>Audit[[#This Row],[Audit Candidate 3]]-Audit[[#This Row],[Candidate 3]]</f>
        <v>0</v>
      </c>
      <c r="V1664" s="111">
        <f>Audit[[#This Row],[Audit Candidate 4]]-Audit[[#This Row],[Candidate 4]]</f>
        <v>0</v>
      </c>
      <c r="W1664" s="111">
        <f>Audit[[#This Row],[Audit Candidate 5]]-Audit[[#This Row],[Candidate 5]]</f>
        <v>0</v>
      </c>
      <c r="X1664" s="111">
        <f>Audit[[#This Row],[Audit Candidate 6]]-Audit[[#This Row],[Candidate 6]]</f>
        <v>0</v>
      </c>
      <c r="Y1664" s="111">
        <f>SUMIF(Audit[[#This Row],[Difference Loser]:[Difference Candidate 6]], "&gt;0")</f>
        <v>0</v>
      </c>
      <c r="Z1664" s="111">
        <f>SUM(Audit[[#This Row],[Difference Loser]:[Difference Candidate 6]])</f>
        <v>-21</v>
      </c>
      <c r="AA1664" s="111">
        <f>IF(Audit[[#This Row],[Times p Drawn - With Replacement]]&gt;0, IF(Audit[[#This Row],[Canceled Differences]]&lt;0, Audit[[#This Row],[Max Differences]]+ABS(Audit[[#This Row],[Canceled Differences]]), Audit[[#This Row],[Max Differences]]), 0)</f>
        <v>0</v>
      </c>
      <c r="AB1664" s="111">
        <f>'Sampling Data'!P1658</f>
        <v>9.7991180793728563E-4</v>
      </c>
      <c r="AC1664" s="111">
        <f>IF(
      SUM(Audit[[#This Row],[Audit Losing Candidate]:[Audit Candidate 6]])
      &lt;&gt;0,
      (Audit[[#This Row],[Winning Candidate]]-Audit[[#This Row],[Losing Candidate]]-(Audit[[#This Row],[Audit Winning Candidate]]-Audit[[#This Row],[Audit Losing Candidate]]))/(Audit[[#Totals],[Winning Candidate]]-Audit[[#Totals],[Losing Candidate]]),
      0
)</f>
        <v>0</v>
      </c>
      <c r="AD16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4" s="111">
        <f>IF(Audit[[#This Row],[Max Relative Error (ep)]] = 0, 0, Audit[[#This Row],[Max Relative Error (ep)]]/Audit[[#This Row],[Error Bound (up) - Max. possible relative overstatement]])</f>
        <v>0</v>
      </c>
      <c r="AJ16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64" s="111">
        <f t="shared" si="25"/>
        <v>1</v>
      </c>
      <c r="AL1664" s="111">
        <f>PRODUCT($AK$5:AK1664)</f>
        <v>8.962823818226312E-2</v>
      </c>
      <c r="AM1664" s="109">
        <f>1 - [K-M P Value]</f>
        <v>0.91037176181773694</v>
      </c>
      <c r="AN1664" s="111" t="str">
        <f>IF(Audit[[#This Row],[K-M P Value]]&gt;1-'General Info'!$B$16,"Continue", "Stop")</f>
        <v>Stop</v>
      </c>
      <c r="AO1664" s="110" t="b">
        <f>IF(Audit[[#This Row],[Status - Continue or stop audit]] = "Continue", TRUE, IF(AN1663 = "Continue", TRUE, FALSE))</f>
        <v>0</v>
      </c>
      <c r="AP1664" s="110"/>
    </row>
    <row r="1665" spans="1:42" ht="15" hidden="1" customHeight="1">
      <c r="A1665" s="111" t="str">
        <f>'Sampling Data'!W1659</f>
        <v/>
      </c>
      <c r="B1665" s="112" t="str">
        <f>'Sampling Data'!A1659</f>
        <v>PARMA -02-C</v>
      </c>
      <c r="C1665" s="112">
        <f>'Sampling Data'!B1659</f>
        <v>11</v>
      </c>
      <c r="D1665" s="112">
        <f>'Sampling Data'!C1659</f>
        <v>22</v>
      </c>
      <c r="E1665" s="113">
        <f>'Sampling Data'!D1659</f>
        <v>9</v>
      </c>
      <c r="F1665" s="113">
        <f>'Sampling Data'!E1659</f>
        <v>3</v>
      </c>
      <c r="G1665" s="113">
        <f>'Sampling Data'!F1659</f>
        <v>0</v>
      </c>
      <c r="H1665" s="113">
        <f>'Sampling Data'!G1659</f>
        <v>0</v>
      </c>
      <c r="I1665" s="112">
        <f>'Sampling Data'!H1659</f>
        <v>0</v>
      </c>
      <c r="J1665" s="112">
        <f>'Sampling Data'!I1659</f>
        <v>0</v>
      </c>
      <c r="K1665" s="112">
        <f>'Sampling Data'!J1659</f>
        <v>45</v>
      </c>
      <c r="L1665" s="111">
        <f>'Sampling Data'!X1659</f>
        <v>0</v>
      </c>
      <c r="M1665" s="114"/>
      <c r="N1665" s="114"/>
      <c r="O1665" s="115"/>
      <c r="P1665" s="115"/>
      <c r="Q1665" s="116"/>
      <c r="R1665" s="116"/>
      <c r="S1665" s="111">
        <f>Audit[[#This Row],[Audit Losing Candidate]]-Audit[[#This Row],[Losing Candidate]]</f>
        <v>-11</v>
      </c>
      <c r="T1665" s="111">
        <f>Audit[[#This Row],[Audit Winning Candidate]]-Audit[[#This Row],[Winning Candidate]]</f>
        <v>-22</v>
      </c>
      <c r="U1665" s="111">
        <f>Audit[[#This Row],[Audit Candidate 3]]-Audit[[#This Row],[Candidate 3]]</f>
        <v>-9</v>
      </c>
      <c r="V1665" s="111">
        <f>Audit[[#This Row],[Audit Candidate 4]]-Audit[[#This Row],[Candidate 4]]</f>
        <v>-3</v>
      </c>
      <c r="W1665" s="111">
        <f>Audit[[#This Row],[Audit Candidate 5]]-Audit[[#This Row],[Candidate 5]]</f>
        <v>0</v>
      </c>
      <c r="X1665" s="111">
        <f>Audit[[#This Row],[Audit Candidate 6]]-Audit[[#This Row],[Candidate 6]]</f>
        <v>0</v>
      </c>
      <c r="Y1665" s="111">
        <f>SUMIF(Audit[[#This Row],[Difference Loser]:[Difference Candidate 6]], "&gt;0")</f>
        <v>0</v>
      </c>
      <c r="Z1665" s="111">
        <f>SUM(Audit[[#This Row],[Difference Loser]:[Difference Candidate 6]])</f>
        <v>-45</v>
      </c>
      <c r="AA1665" s="111">
        <f>IF(Audit[[#This Row],[Times p Drawn - With Replacement]]&gt;0, IF(Audit[[#This Row],[Canceled Differences]]&lt;0, Audit[[#This Row],[Max Differences]]+ABS(Audit[[#This Row],[Canceled Differences]]), Audit[[#This Row],[Max Differences]]), 0)</f>
        <v>0</v>
      </c>
      <c r="AB1665" s="111">
        <f>'Sampling Data'!P1659</f>
        <v>3.4296913277804997E-3</v>
      </c>
      <c r="AC1665" s="111">
        <f>IF(
      SUM(Audit[[#This Row],[Audit Losing Candidate]:[Audit Candidate 6]])
      &lt;&gt;0,
      (Audit[[#This Row],[Winning Candidate]]-Audit[[#This Row],[Losing Candidate]]-(Audit[[#This Row],[Audit Winning Candidate]]-Audit[[#This Row],[Audit Losing Candidate]]))/(Audit[[#Totals],[Winning Candidate]]-Audit[[#Totals],[Losing Candidate]]),
      0
)</f>
        <v>0</v>
      </c>
      <c r="AD16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5" s="111">
        <f>IF(Audit[[#This Row],[Max Relative Error (ep)]] = 0, 0, Audit[[#This Row],[Max Relative Error (ep)]]/Audit[[#This Row],[Error Bound (up) - Max. possible relative overstatement]])</f>
        <v>0</v>
      </c>
      <c r="AJ16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65" s="111">
        <f t="shared" si="25"/>
        <v>1</v>
      </c>
      <c r="AL1665" s="111">
        <f>PRODUCT($AK$5:AK1665)</f>
        <v>8.962823818226312E-2</v>
      </c>
      <c r="AM1665" s="109">
        <f>1 - [K-M P Value]</f>
        <v>0.91037176181773694</v>
      </c>
      <c r="AN1665" s="111" t="str">
        <f>IF(Audit[[#This Row],[K-M P Value]]&gt;1-'General Info'!$B$16,"Continue", "Stop")</f>
        <v>Stop</v>
      </c>
      <c r="AO1665" s="110" t="b">
        <f>IF(Audit[[#This Row],[Status - Continue or stop audit]] = "Continue", TRUE, IF(AN1664 = "Continue", TRUE, FALSE))</f>
        <v>0</v>
      </c>
      <c r="AP1665" s="110"/>
    </row>
    <row r="1666" spans="1:42" ht="15" hidden="1" customHeight="1">
      <c r="A1666" s="111" t="str">
        <f>'Sampling Data'!W1660</f>
        <v/>
      </c>
      <c r="B1666" s="112" t="str">
        <f>'Sampling Data'!A1660</f>
        <v>PARMA -02-C - ABS</v>
      </c>
      <c r="C1666" s="112">
        <f>'Sampling Data'!B1660</f>
        <v>14</v>
      </c>
      <c r="D1666" s="112">
        <f>'Sampling Data'!C1660</f>
        <v>10</v>
      </c>
      <c r="E1666" s="113">
        <f>'Sampling Data'!D1660</f>
        <v>3</v>
      </c>
      <c r="F1666" s="113">
        <f>'Sampling Data'!E1660</f>
        <v>3</v>
      </c>
      <c r="G1666" s="113">
        <f>'Sampling Data'!F1660</f>
        <v>0</v>
      </c>
      <c r="H1666" s="113">
        <f>'Sampling Data'!G1660</f>
        <v>0</v>
      </c>
      <c r="I1666" s="112">
        <f>'Sampling Data'!H1660</f>
        <v>0</v>
      </c>
      <c r="J1666" s="112">
        <f>'Sampling Data'!I1660</f>
        <v>1</v>
      </c>
      <c r="K1666" s="112">
        <f>'Sampling Data'!J1660</f>
        <v>31</v>
      </c>
      <c r="L1666" s="111">
        <f>'Sampling Data'!X1660</f>
        <v>0</v>
      </c>
      <c r="M1666" s="114"/>
      <c r="N1666" s="114"/>
      <c r="O1666" s="115"/>
      <c r="P1666" s="115"/>
      <c r="Q1666" s="116"/>
      <c r="R1666" s="116"/>
      <c r="S1666" s="111">
        <f>Audit[[#This Row],[Audit Losing Candidate]]-Audit[[#This Row],[Losing Candidate]]</f>
        <v>-14</v>
      </c>
      <c r="T1666" s="111">
        <f>Audit[[#This Row],[Audit Winning Candidate]]-Audit[[#This Row],[Winning Candidate]]</f>
        <v>-10</v>
      </c>
      <c r="U1666" s="111">
        <f>Audit[[#This Row],[Audit Candidate 3]]-Audit[[#This Row],[Candidate 3]]</f>
        <v>-3</v>
      </c>
      <c r="V1666" s="111">
        <f>Audit[[#This Row],[Audit Candidate 4]]-Audit[[#This Row],[Candidate 4]]</f>
        <v>-3</v>
      </c>
      <c r="W1666" s="111">
        <f>Audit[[#This Row],[Audit Candidate 5]]-Audit[[#This Row],[Candidate 5]]</f>
        <v>0</v>
      </c>
      <c r="X1666" s="111">
        <f>Audit[[#This Row],[Audit Candidate 6]]-Audit[[#This Row],[Candidate 6]]</f>
        <v>0</v>
      </c>
      <c r="Y1666" s="111">
        <f>SUMIF(Audit[[#This Row],[Difference Loser]:[Difference Candidate 6]], "&gt;0")</f>
        <v>0</v>
      </c>
      <c r="Z1666" s="111">
        <f>SUM(Audit[[#This Row],[Difference Loser]:[Difference Candidate 6]])</f>
        <v>-30</v>
      </c>
      <c r="AA1666" s="111">
        <f>IF(Audit[[#This Row],[Times p Drawn - With Replacement]]&gt;0, IF(Audit[[#This Row],[Canceled Differences]]&lt;0, Audit[[#This Row],[Max Differences]]+ABS(Audit[[#This Row],[Canceled Differences]]), Audit[[#This Row],[Max Differences]]), 0)</f>
        <v>0</v>
      </c>
      <c r="AB1666" s="111">
        <f>'Sampling Data'!P1660</f>
        <v>1.6536011758941694E-3</v>
      </c>
      <c r="AC1666" s="111">
        <f>IF(
      SUM(Audit[[#This Row],[Audit Losing Candidate]:[Audit Candidate 6]])
      &lt;&gt;0,
      (Audit[[#This Row],[Winning Candidate]]-Audit[[#This Row],[Losing Candidate]]-(Audit[[#This Row],[Audit Winning Candidate]]-Audit[[#This Row],[Audit Losing Candidate]]))/(Audit[[#Totals],[Winning Candidate]]-Audit[[#Totals],[Losing Candidate]]),
      0
)</f>
        <v>0</v>
      </c>
      <c r="AD16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6" s="111">
        <f>IF(Audit[[#This Row],[Max Relative Error (ep)]] = 0, 0, Audit[[#This Row],[Max Relative Error (ep)]]/Audit[[#This Row],[Error Bound (up) - Max. possible relative overstatement]])</f>
        <v>0</v>
      </c>
      <c r="AJ16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66" s="111">
        <f t="shared" si="25"/>
        <v>1</v>
      </c>
      <c r="AL1666" s="111">
        <f>PRODUCT($AK$5:AK1666)</f>
        <v>8.962823818226312E-2</v>
      </c>
      <c r="AM1666" s="109">
        <f>1 - [K-M P Value]</f>
        <v>0.91037176181773694</v>
      </c>
      <c r="AN1666" s="111" t="str">
        <f>IF(Audit[[#This Row],[K-M P Value]]&gt;1-'General Info'!$B$16,"Continue", "Stop")</f>
        <v>Stop</v>
      </c>
      <c r="AO1666" s="110" t="b">
        <f>IF(Audit[[#This Row],[Status - Continue or stop audit]] = "Continue", TRUE, IF(AN1665 = "Continue", TRUE, FALSE))</f>
        <v>0</v>
      </c>
      <c r="AP1666" s="110"/>
    </row>
    <row r="1667" spans="1:42" ht="15" hidden="1" customHeight="1">
      <c r="A1667" s="111" t="str">
        <f>'Sampling Data'!W1661</f>
        <v/>
      </c>
      <c r="B1667" s="112" t="str">
        <f>'Sampling Data'!A1661</f>
        <v>PARMA -02-D</v>
      </c>
      <c r="C1667" s="112">
        <f>'Sampling Data'!B1661</f>
        <v>28</v>
      </c>
      <c r="D1667" s="112">
        <f>'Sampling Data'!C1661</f>
        <v>30</v>
      </c>
      <c r="E1667" s="113">
        <f>'Sampling Data'!D1661</f>
        <v>15</v>
      </c>
      <c r="F1667" s="113">
        <f>'Sampling Data'!E1661</f>
        <v>14</v>
      </c>
      <c r="G1667" s="113">
        <f>'Sampling Data'!F1661</f>
        <v>2</v>
      </c>
      <c r="H1667" s="113">
        <f>'Sampling Data'!G1661</f>
        <v>0</v>
      </c>
      <c r="I1667" s="112">
        <f>'Sampling Data'!H1661</f>
        <v>0</v>
      </c>
      <c r="J1667" s="112">
        <f>'Sampling Data'!I1661</f>
        <v>1</v>
      </c>
      <c r="K1667" s="112">
        <f>'Sampling Data'!J1661</f>
        <v>90</v>
      </c>
      <c r="L1667" s="111">
        <f>'Sampling Data'!X1661</f>
        <v>0</v>
      </c>
      <c r="M1667" s="114"/>
      <c r="N1667" s="114"/>
      <c r="O1667" s="115"/>
      <c r="P1667" s="115"/>
      <c r="Q1667" s="116"/>
      <c r="R1667" s="116"/>
      <c r="S1667" s="111">
        <f>Audit[[#This Row],[Audit Losing Candidate]]-Audit[[#This Row],[Losing Candidate]]</f>
        <v>-28</v>
      </c>
      <c r="T1667" s="111">
        <f>Audit[[#This Row],[Audit Winning Candidate]]-Audit[[#This Row],[Winning Candidate]]</f>
        <v>-30</v>
      </c>
      <c r="U1667" s="111">
        <f>Audit[[#This Row],[Audit Candidate 3]]-Audit[[#This Row],[Candidate 3]]</f>
        <v>-15</v>
      </c>
      <c r="V1667" s="111">
        <f>Audit[[#This Row],[Audit Candidate 4]]-Audit[[#This Row],[Candidate 4]]</f>
        <v>-14</v>
      </c>
      <c r="W1667" s="111">
        <f>Audit[[#This Row],[Audit Candidate 5]]-Audit[[#This Row],[Candidate 5]]</f>
        <v>-2</v>
      </c>
      <c r="X1667" s="111">
        <f>Audit[[#This Row],[Audit Candidate 6]]-Audit[[#This Row],[Candidate 6]]</f>
        <v>0</v>
      </c>
      <c r="Y1667" s="111">
        <f>SUMIF(Audit[[#This Row],[Difference Loser]:[Difference Candidate 6]], "&gt;0")</f>
        <v>0</v>
      </c>
      <c r="Z1667" s="111">
        <f>SUM(Audit[[#This Row],[Difference Loser]:[Difference Candidate 6]])</f>
        <v>-89</v>
      </c>
      <c r="AA1667" s="111">
        <f>IF(Audit[[#This Row],[Times p Drawn - With Replacement]]&gt;0, IF(Audit[[#This Row],[Canceled Differences]]&lt;0, Audit[[#This Row],[Max Differences]]+ABS(Audit[[#This Row],[Canceled Differences]]), Audit[[#This Row],[Max Differences]]), 0)</f>
        <v>0</v>
      </c>
      <c r="AB1667" s="111">
        <f>'Sampling Data'!P1661</f>
        <v>5.6344928956393921E-3</v>
      </c>
      <c r="AC1667" s="111">
        <f>IF(
      SUM(Audit[[#This Row],[Audit Losing Candidate]:[Audit Candidate 6]])
      &lt;&gt;0,
      (Audit[[#This Row],[Winning Candidate]]-Audit[[#This Row],[Losing Candidate]]-(Audit[[#This Row],[Audit Winning Candidate]]-Audit[[#This Row],[Audit Losing Candidate]]))/(Audit[[#Totals],[Winning Candidate]]-Audit[[#Totals],[Losing Candidate]]),
      0
)</f>
        <v>0</v>
      </c>
      <c r="AD16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7" s="111">
        <f>IF(Audit[[#This Row],[Max Relative Error (ep)]] = 0, 0, Audit[[#This Row],[Max Relative Error (ep)]]/Audit[[#This Row],[Error Bound (up) - Max. possible relative overstatement]])</f>
        <v>0</v>
      </c>
      <c r="AJ16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67" s="111">
        <f t="shared" si="25"/>
        <v>1</v>
      </c>
      <c r="AL1667" s="111">
        <f>PRODUCT($AK$5:AK1667)</f>
        <v>8.962823818226312E-2</v>
      </c>
      <c r="AM1667" s="109">
        <f>1 - [K-M P Value]</f>
        <v>0.91037176181773694</v>
      </c>
      <c r="AN1667" s="111" t="str">
        <f>IF(Audit[[#This Row],[K-M P Value]]&gt;1-'General Info'!$B$16,"Continue", "Stop")</f>
        <v>Stop</v>
      </c>
      <c r="AO1667" s="110" t="b">
        <f>IF(Audit[[#This Row],[Status - Continue or stop audit]] = "Continue", TRUE, IF(AN1666 = "Continue", TRUE, FALSE))</f>
        <v>0</v>
      </c>
      <c r="AP1667" s="110"/>
    </row>
    <row r="1668" spans="1:42" ht="15" hidden="1" customHeight="1">
      <c r="A1668" s="111" t="str">
        <f>'Sampling Data'!W1662</f>
        <v/>
      </c>
      <c r="B1668" s="112" t="str">
        <f>'Sampling Data'!A1662</f>
        <v>PARMA -02-D - ABS</v>
      </c>
      <c r="C1668" s="112">
        <f>'Sampling Data'!B1662</f>
        <v>10</v>
      </c>
      <c r="D1668" s="112">
        <f>'Sampling Data'!C1662</f>
        <v>6</v>
      </c>
      <c r="E1668" s="113">
        <f>'Sampling Data'!D1662</f>
        <v>1</v>
      </c>
      <c r="F1668" s="113">
        <f>'Sampling Data'!E1662</f>
        <v>1</v>
      </c>
      <c r="G1668" s="113">
        <f>'Sampling Data'!F1662</f>
        <v>0</v>
      </c>
      <c r="H1668" s="113">
        <f>'Sampling Data'!G1662</f>
        <v>0</v>
      </c>
      <c r="I1668" s="112">
        <f>'Sampling Data'!H1662</f>
        <v>0</v>
      </c>
      <c r="J1668" s="112">
        <f>'Sampling Data'!I1662</f>
        <v>1</v>
      </c>
      <c r="K1668" s="112">
        <f>'Sampling Data'!J1662</f>
        <v>19</v>
      </c>
      <c r="L1668" s="111">
        <f>'Sampling Data'!X1662</f>
        <v>0</v>
      </c>
      <c r="M1668" s="114"/>
      <c r="N1668" s="114"/>
      <c r="O1668" s="115"/>
      <c r="P1668" s="115"/>
      <c r="Q1668" s="116"/>
      <c r="R1668" s="116"/>
      <c r="S1668" s="111">
        <f>Audit[[#This Row],[Audit Losing Candidate]]-Audit[[#This Row],[Losing Candidate]]</f>
        <v>-10</v>
      </c>
      <c r="T1668" s="111">
        <f>Audit[[#This Row],[Audit Winning Candidate]]-Audit[[#This Row],[Winning Candidate]]</f>
        <v>-6</v>
      </c>
      <c r="U1668" s="111">
        <f>Audit[[#This Row],[Audit Candidate 3]]-Audit[[#This Row],[Candidate 3]]</f>
        <v>-1</v>
      </c>
      <c r="V1668" s="111">
        <f>Audit[[#This Row],[Audit Candidate 4]]-Audit[[#This Row],[Candidate 4]]</f>
        <v>-1</v>
      </c>
      <c r="W1668" s="111">
        <f>Audit[[#This Row],[Audit Candidate 5]]-Audit[[#This Row],[Candidate 5]]</f>
        <v>0</v>
      </c>
      <c r="X1668" s="111">
        <f>Audit[[#This Row],[Audit Candidate 6]]-Audit[[#This Row],[Candidate 6]]</f>
        <v>0</v>
      </c>
      <c r="Y1668" s="111">
        <f>SUMIF(Audit[[#This Row],[Difference Loser]:[Difference Candidate 6]], "&gt;0")</f>
        <v>0</v>
      </c>
      <c r="Z1668" s="111">
        <f>SUM(Audit[[#This Row],[Difference Loser]:[Difference Candidate 6]])</f>
        <v>-18</v>
      </c>
      <c r="AA1668" s="111">
        <f>IF(Audit[[#This Row],[Times p Drawn - With Replacement]]&gt;0, IF(Audit[[#This Row],[Canceled Differences]]&lt;0, Audit[[#This Row],[Max Differences]]+ABS(Audit[[#This Row],[Canceled Differences]]), Audit[[#This Row],[Max Differences]]), 0)</f>
        <v>0</v>
      </c>
      <c r="AB1668" s="111">
        <f>'Sampling Data'!P1662</f>
        <v>9.1866731994120533E-4</v>
      </c>
      <c r="AC1668" s="111">
        <f>IF(
      SUM(Audit[[#This Row],[Audit Losing Candidate]:[Audit Candidate 6]])
      &lt;&gt;0,
      (Audit[[#This Row],[Winning Candidate]]-Audit[[#This Row],[Losing Candidate]]-(Audit[[#This Row],[Audit Winning Candidate]]-Audit[[#This Row],[Audit Losing Candidate]]))/(Audit[[#Totals],[Winning Candidate]]-Audit[[#Totals],[Losing Candidate]]),
      0
)</f>
        <v>0</v>
      </c>
      <c r="AD16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8" s="111">
        <f>IF(Audit[[#This Row],[Max Relative Error (ep)]] = 0, 0, Audit[[#This Row],[Max Relative Error (ep)]]/Audit[[#This Row],[Error Bound (up) - Max. possible relative overstatement]])</f>
        <v>0</v>
      </c>
      <c r="AJ16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68" s="111">
        <f t="shared" si="25"/>
        <v>1</v>
      </c>
      <c r="AL1668" s="111">
        <f>PRODUCT($AK$5:AK1668)</f>
        <v>8.962823818226312E-2</v>
      </c>
      <c r="AM1668" s="109">
        <f>1 - [K-M P Value]</f>
        <v>0.91037176181773694</v>
      </c>
      <c r="AN1668" s="111" t="str">
        <f>IF(Audit[[#This Row],[K-M P Value]]&gt;1-'General Info'!$B$16,"Continue", "Stop")</f>
        <v>Stop</v>
      </c>
      <c r="AO1668" s="110" t="b">
        <f>IF(Audit[[#This Row],[Status - Continue or stop audit]] = "Continue", TRUE, IF(AN1667 = "Continue", TRUE, FALSE))</f>
        <v>0</v>
      </c>
      <c r="AP1668" s="110"/>
    </row>
    <row r="1669" spans="1:42" ht="15" hidden="1" customHeight="1">
      <c r="A1669" s="111" t="str">
        <f>'Sampling Data'!W1663</f>
        <v/>
      </c>
      <c r="B1669" s="112" t="str">
        <f>'Sampling Data'!A1663</f>
        <v>PARMA -02-E</v>
      </c>
      <c r="C1669" s="112">
        <f>'Sampling Data'!B1663</f>
        <v>25</v>
      </c>
      <c r="D1669" s="112">
        <f>'Sampling Data'!C1663</f>
        <v>31</v>
      </c>
      <c r="E1669" s="113">
        <f>'Sampling Data'!D1663</f>
        <v>13</v>
      </c>
      <c r="F1669" s="113">
        <f>'Sampling Data'!E1663</f>
        <v>8</v>
      </c>
      <c r="G1669" s="113">
        <f>'Sampling Data'!F1663</f>
        <v>0</v>
      </c>
      <c r="H1669" s="113">
        <f>'Sampling Data'!G1663</f>
        <v>0</v>
      </c>
      <c r="I1669" s="112">
        <f>'Sampling Data'!H1663</f>
        <v>0</v>
      </c>
      <c r="J1669" s="112">
        <f>'Sampling Data'!I1663</f>
        <v>2</v>
      </c>
      <c r="K1669" s="112">
        <f>'Sampling Data'!J1663</f>
        <v>79</v>
      </c>
      <c r="L1669" s="111">
        <f>'Sampling Data'!X1663</f>
        <v>0</v>
      </c>
      <c r="M1669" s="114"/>
      <c r="N1669" s="114"/>
      <c r="O1669" s="115"/>
      <c r="P1669" s="115"/>
      <c r="Q1669" s="116"/>
      <c r="R1669" s="116"/>
      <c r="S1669" s="111">
        <f>Audit[[#This Row],[Audit Losing Candidate]]-Audit[[#This Row],[Losing Candidate]]</f>
        <v>-25</v>
      </c>
      <c r="T1669" s="111">
        <f>Audit[[#This Row],[Audit Winning Candidate]]-Audit[[#This Row],[Winning Candidate]]</f>
        <v>-31</v>
      </c>
      <c r="U1669" s="111">
        <f>Audit[[#This Row],[Audit Candidate 3]]-Audit[[#This Row],[Candidate 3]]</f>
        <v>-13</v>
      </c>
      <c r="V1669" s="111">
        <f>Audit[[#This Row],[Audit Candidate 4]]-Audit[[#This Row],[Candidate 4]]</f>
        <v>-8</v>
      </c>
      <c r="W1669" s="111">
        <f>Audit[[#This Row],[Audit Candidate 5]]-Audit[[#This Row],[Candidate 5]]</f>
        <v>0</v>
      </c>
      <c r="X1669" s="111">
        <f>Audit[[#This Row],[Audit Candidate 6]]-Audit[[#This Row],[Candidate 6]]</f>
        <v>0</v>
      </c>
      <c r="Y1669" s="111">
        <f>SUMIF(Audit[[#This Row],[Difference Loser]:[Difference Candidate 6]], "&gt;0")</f>
        <v>0</v>
      </c>
      <c r="Z1669" s="111">
        <f>SUM(Audit[[#This Row],[Difference Loser]:[Difference Candidate 6]])</f>
        <v>-77</v>
      </c>
      <c r="AA1669" s="111">
        <f>IF(Audit[[#This Row],[Times p Drawn - With Replacement]]&gt;0, IF(Audit[[#This Row],[Canceled Differences]]&lt;0, Audit[[#This Row],[Max Differences]]+ABS(Audit[[#This Row],[Canceled Differences]]), Audit[[#This Row],[Max Differences]]), 0)</f>
        <v>0</v>
      </c>
      <c r="AB1669" s="111">
        <f>'Sampling Data'!P1663</f>
        <v>5.2057814796668302E-3</v>
      </c>
      <c r="AC1669" s="111">
        <f>IF(
      SUM(Audit[[#This Row],[Audit Losing Candidate]:[Audit Candidate 6]])
      &lt;&gt;0,
      (Audit[[#This Row],[Winning Candidate]]-Audit[[#This Row],[Losing Candidate]]-(Audit[[#This Row],[Audit Winning Candidate]]-Audit[[#This Row],[Audit Losing Candidate]]))/(Audit[[#Totals],[Winning Candidate]]-Audit[[#Totals],[Losing Candidate]]),
      0
)</f>
        <v>0</v>
      </c>
      <c r="AD16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9" s="111">
        <f>IF(Audit[[#This Row],[Max Relative Error (ep)]] = 0, 0, Audit[[#This Row],[Max Relative Error (ep)]]/Audit[[#This Row],[Error Bound (up) - Max. possible relative overstatement]])</f>
        <v>0</v>
      </c>
      <c r="AJ16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69" s="111">
        <f t="shared" ref="AK1669:AK1732" si="26">IF(ISERR(POWER(AJ1669,L1669)), 0, POWER(AJ1669,L1669))</f>
        <v>1</v>
      </c>
      <c r="AL1669" s="111">
        <f>PRODUCT($AK$5:AK1669)</f>
        <v>8.962823818226312E-2</v>
      </c>
      <c r="AM1669" s="109">
        <f>1 - [K-M P Value]</f>
        <v>0.91037176181773694</v>
      </c>
      <c r="AN1669" s="111" t="str">
        <f>IF(Audit[[#This Row],[K-M P Value]]&gt;1-'General Info'!$B$16,"Continue", "Stop")</f>
        <v>Stop</v>
      </c>
      <c r="AO1669" s="110" t="b">
        <f>IF(Audit[[#This Row],[Status - Continue or stop audit]] = "Continue", TRUE, IF(AN1668 = "Continue", TRUE, FALSE))</f>
        <v>0</v>
      </c>
      <c r="AP1669" s="110"/>
    </row>
    <row r="1670" spans="1:42" ht="15" hidden="1" customHeight="1">
      <c r="A1670" s="111" t="str">
        <f>'Sampling Data'!W1664</f>
        <v/>
      </c>
      <c r="B1670" s="112" t="str">
        <f>'Sampling Data'!A1664</f>
        <v>PARMA -02-E - ABS</v>
      </c>
      <c r="C1670" s="112">
        <f>'Sampling Data'!B1664</f>
        <v>12</v>
      </c>
      <c r="D1670" s="112">
        <f>'Sampling Data'!C1664</f>
        <v>14</v>
      </c>
      <c r="E1670" s="113">
        <f>'Sampling Data'!D1664</f>
        <v>1</v>
      </c>
      <c r="F1670" s="113">
        <f>'Sampling Data'!E1664</f>
        <v>4</v>
      </c>
      <c r="G1670" s="113">
        <f>'Sampling Data'!F1664</f>
        <v>0</v>
      </c>
      <c r="H1670" s="113">
        <f>'Sampling Data'!G1664</f>
        <v>0</v>
      </c>
      <c r="I1670" s="112">
        <f>'Sampling Data'!H1664</f>
        <v>0</v>
      </c>
      <c r="J1670" s="112">
        <f>'Sampling Data'!I1664</f>
        <v>2</v>
      </c>
      <c r="K1670" s="112">
        <f>'Sampling Data'!J1664</f>
        <v>33</v>
      </c>
      <c r="L1670" s="111">
        <f>'Sampling Data'!X1664</f>
        <v>0</v>
      </c>
      <c r="M1670" s="114"/>
      <c r="N1670" s="114"/>
      <c r="O1670" s="115"/>
      <c r="P1670" s="115"/>
      <c r="Q1670" s="116"/>
      <c r="R1670" s="116"/>
      <c r="S1670" s="111">
        <f>Audit[[#This Row],[Audit Losing Candidate]]-Audit[[#This Row],[Losing Candidate]]</f>
        <v>-12</v>
      </c>
      <c r="T1670" s="111">
        <f>Audit[[#This Row],[Audit Winning Candidate]]-Audit[[#This Row],[Winning Candidate]]</f>
        <v>-14</v>
      </c>
      <c r="U1670" s="111">
        <f>Audit[[#This Row],[Audit Candidate 3]]-Audit[[#This Row],[Candidate 3]]</f>
        <v>-1</v>
      </c>
      <c r="V1670" s="111">
        <f>Audit[[#This Row],[Audit Candidate 4]]-Audit[[#This Row],[Candidate 4]]</f>
        <v>-4</v>
      </c>
      <c r="W1670" s="111">
        <f>Audit[[#This Row],[Audit Candidate 5]]-Audit[[#This Row],[Candidate 5]]</f>
        <v>0</v>
      </c>
      <c r="X1670" s="111">
        <f>Audit[[#This Row],[Audit Candidate 6]]-Audit[[#This Row],[Candidate 6]]</f>
        <v>0</v>
      </c>
      <c r="Y1670" s="111">
        <f>SUMIF(Audit[[#This Row],[Difference Loser]:[Difference Candidate 6]], "&gt;0")</f>
        <v>0</v>
      </c>
      <c r="Z1670" s="111">
        <f>SUM(Audit[[#This Row],[Difference Loser]:[Difference Candidate 6]])</f>
        <v>-31</v>
      </c>
      <c r="AA1670" s="111">
        <f>IF(Audit[[#This Row],[Times p Drawn - With Replacement]]&gt;0, IF(Audit[[#This Row],[Canceled Differences]]&lt;0, Audit[[#This Row],[Max Differences]]+ABS(Audit[[#This Row],[Canceled Differences]]), Audit[[#This Row],[Max Differences]]), 0)</f>
        <v>0</v>
      </c>
      <c r="AB1670" s="111">
        <f>'Sampling Data'!P1664</f>
        <v>2.1435570798628125E-3</v>
      </c>
      <c r="AC1670" s="111">
        <f>IF(
      SUM(Audit[[#This Row],[Audit Losing Candidate]:[Audit Candidate 6]])
      &lt;&gt;0,
      (Audit[[#This Row],[Winning Candidate]]-Audit[[#This Row],[Losing Candidate]]-(Audit[[#This Row],[Audit Winning Candidate]]-Audit[[#This Row],[Audit Losing Candidate]]))/(Audit[[#Totals],[Winning Candidate]]-Audit[[#Totals],[Losing Candidate]]),
      0
)</f>
        <v>0</v>
      </c>
      <c r="AD16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0" s="111">
        <f>IF(Audit[[#This Row],[Max Relative Error (ep)]] = 0, 0, Audit[[#This Row],[Max Relative Error (ep)]]/Audit[[#This Row],[Error Bound (up) - Max. possible relative overstatement]])</f>
        <v>0</v>
      </c>
      <c r="AJ16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70" s="111">
        <f t="shared" si="26"/>
        <v>1</v>
      </c>
      <c r="AL1670" s="111">
        <f>PRODUCT($AK$5:AK1670)</f>
        <v>8.962823818226312E-2</v>
      </c>
      <c r="AM1670" s="109">
        <f>1 - [K-M P Value]</f>
        <v>0.91037176181773694</v>
      </c>
      <c r="AN1670" s="111" t="str">
        <f>IF(Audit[[#This Row],[K-M P Value]]&gt;1-'General Info'!$B$16,"Continue", "Stop")</f>
        <v>Stop</v>
      </c>
      <c r="AO1670" s="110" t="b">
        <f>IF(Audit[[#This Row],[Status - Continue or stop audit]] = "Continue", TRUE, IF(AN1669 = "Continue", TRUE, FALSE))</f>
        <v>0</v>
      </c>
      <c r="AP1670" s="110"/>
    </row>
    <row r="1671" spans="1:42" ht="15" hidden="1" customHeight="1">
      <c r="A1671" s="111" t="str">
        <f>'Sampling Data'!W1665</f>
        <v/>
      </c>
      <c r="B1671" s="112" t="str">
        <f>'Sampling Data'!A1665</f>
        <v>PARMA -02-F</v>
      </c>
      <c r="C1671" s="112">
        <f>'Sampling Data'!B1665</f>
        <v>24</v>
      </c>
      <c r="D1671" s="112">
        <f>'Sampling Data'!C1665</f>
        <v>25</v>
      </c>
      <c r="E1671" s="113">
        <f>'Sampling Data'!D1665</f>
        <v>8</v>
      </c>
      <c r="F1671" s="113">
        <f>'Sampling Data'!E1665</f>
        <v>5</v>
      </c>
      <c r="G1671" s="113">
        <f>'Sampling Data'!F1665</f>
        <v>0</v>
      </c>
      <c r="H1671" s="113">
        <f>'Sampling Data'!G1665</f>
        <v>0</v>
      </c>
      <c r="I1671" s="112">
        <f>'Sampling Data'!H1665</f>
        <v>0</v>
      </c>
      <c r="J1671" s="112">
        <f>'Sampling Data'!I1665</f>
        <v>1</v>
      </c>
      <c r="K1671" s="112">
        <f>'Sampling Data'!J1665</f>
        <v>63</v>
      </c>
      <c r="L1671" s="111">
        <f>'Sampling Data'!X1665</f>
        <v>0</v>
      </c>
      <c r="M1671" s="114"/>
      <c r="N1671" s="114"/>
      <c r="O1671" s="115"/>
      <c r="P1671" s="115"/>
      <c r="Q1671" s="116"/>
      <c r="R1671" s="116"/>
      <c r="S1671" s="111">
        <f>Audit[[#This Row],[Audit Losing Candidate]]-Audit[[#This Row],[Losing Candidate]]</f>
        <v>-24</v>
      </c>
      <c r="T1671" s="111">
        <f>Audit[[#This Row],[Audit Winning Candidate]]-Audit[[#This Row],[Winning Candidate]]</f>
        <v>-25</v>
      </c>
      <c r="U1671" s="111">
        <f>Audit[[#This Row],[Audit Candidate 3]]-Audit[[#This Row],[Candidate 3]]</f>
        <v>-8</v>
      </c>
      <c r="V1671" s="111">
        <f>Audit[[#This Row],[Audit Candidate 4]]-Audit[[#This Row],[Candidate 4]]</f>
        <v>-5</v>
      </c>
      <c r="W1671" s="111">
        <f>Audit[[#This Row],[Audit Candidate 5]]-Audit[[#This Row],[Candidate 5]]</f>
        <v>0</v>
      </c>
      <c r="X1671" s="111">
        <f>Audit[[#This Row],[Audit Candidate 6]]-Audit[[#This Row],[Candidate 6]]</f>
        <v>0</v>
      </c>
      <c r="Y1671" s="111">
        <f>SUMIF(Audit[[#This Row],[Difference Loser]:[Difference Candidate 6]], "&gt;0")</f>
        <v>0</v>
      </c>
      <c r="Z1671" s="111">
        <f>SUM(Audit[[#This Row],[Difference Loser]:[Difference Candidate 6]])</f>
        <v>-62</v>
      </c>
      <c r="AA1671" s="111">
        <f>IF(Audit[[#This Row],[Times p Drawn - With Replacement]]&gt;0, IF(Audit[[#This Row],[Canceled Differences]]&lt;0, Audit[[#This Row],[Max Differences]]+ABS(Audit[[#This Row],[Canceled Differences]]), Audit[[#This Row],[Max Differences]]), 0)</f>
        <v>0</v>
      </c>
      <c r="AB1671" s="111">
        <f>'Sampling Data'!P1665</f>
        <v>3.9196472317491425E-3</v>
      </c>
      <c r="AC1671" s="111">
        <f>IF(
      SUM(Audit[[#This Row],[Audit Losing Candidate]:[Audit Candidate 6]])
      &lt;&gt;0,
      (Audit[[#This Row],[Winning Candidate]]-Audit[[#This Row],[Losing Candidate]]-(Audit[[#This Row],[Audit Winning Candidate]]-Audit[[#This Row],[Audit Losing Candidate]]))/(Audit[[#Totals],[Winning Candidate]]-Audit[[#Totals],[Losing Candidate]]),
      0
)</f>
        <v>0</v>
      </c>
      <c r="AD16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1" s="111">
        <f>IF(Audit[[#This Row],[Max Relative Error (ep)]] = 0, 0, Audit[[#This Row],[Max Relative Error (ep)]]/Audit[[#This Row],[Error Bound (up) - Max. possible relative overstatement]])</f>
        <v>0</v>
      </c>
      <c r="AJ16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71" s="111">
        <f t="shared" si="26"/>
        <v>1</v>
      </c>
      <c r="AL1671" s="111">
        <f>PRODUCT($AK$5:AK1671)</f>
        <v>8.962823818226312E-2</v>
      </c>
      <c r="AM1671" s="109">
        <f>1 - [K-M P Value]</f>
        <v>0.91037176181773694</v>
      </c>
      <c r="AN1671" s="111" t="str">
        <f>IF(Audit[[#This Row],[K-M P Value]]&gt;1-'General Info'!$B$16,"Continue", "Stop")</f>
        <v>Stop</v>
      </c>
      <c r="AO1671" s="110" t="b">
        <f>IF(Audit[[#This Row],[Status - Continue or stop audit]] = "Continue", TRUE, IF(AN1670 = "Continue", TRUE, FALSE))</f>
        <v>0</v>
      </c>
      <c r="AP1671" s="110"/>
    </row>
    <row r="1672" spans="1:42" ht="15" hidden="1" customHeight="1">
      <c r="A1672" s="111" t="str">
        <f>'Sampling Data'!W1666</f>
        <v/>
      </c>
      <c r="B1672" s="112" t="str">
        <f>'Sampling Data'!A1666</f>
        <v>PARMA -02-F - ABS</v>
      </c>
      <c r="C1672" s="112">
        <f>'Sampling Data'!B1666</f>
        <v>11</v>
      </c>
      <c r="D1672" s="112">
        <f>'Sampling Data'!C1666</f>
        <v>8</v>
      </c>
      <c r="E1672" s="113">
        <f>'Sampling Data'!D1666</f>
        <v>1</v>
      </c>
      <c r="F1672" s="113">
        <f>'Sampling Data'!E1666</f>
        <v>3</v>
      </c>
      <c r="G1672" s="113">
        <f>'Sampling Data'!F1666</f>
        <v>0</v>
      </c>
      <c r="H1672" s="113">
        <f>'Sampling Data'!G1666</f>
        <v>0</v>
      </c>
      <c r="I1672" s="112">
        <f>'Sampling Data'!H1666</f>
        <v>0</v>
      </c>
      <c r="J1672" s="112">
        <f>'Sampling Data'!I1666</f>
        <v>0</v>
      </c>
      <c r="K1672" s="112">
        <f>'Sampling Data'!J1666</f>
        <v>23</v>
      </c>
      <c r="L1672" s="111">
        <f>'Sampling Data'!X1666</f>
        <v>0</v>
      </c>
      <c r="M1672" s="114"/>
      <c r="N1672" s="114"/>
      <c r="O1672" s="115"/>
      <c r="P1672" s="115"/>
      <c r="Q1672" s="116"/>
      <c r="R1672" s="116"/>
      <c r="S1672" s="111">
        <f>Audit[[#This Row],[Audit Losing Candidate]]-Audit[[#This Row],[Losing Candidate]]</f>
        <v>-11</v>
      </c>
      <c r="T1672" s="111">
        <f>Audit[[#This Row],[Audit Winning Candidate]]-Audit[[#This Row],[Winning Candidate]]</f>
        <v>-8</v>
      </c>
      <c r="U1672" s="111">
        <f>Audit[[#This Row],[Audit Candidate 3]]-Audit[[#This Row],[Candidate 3]]</f>
        <v>-1</v>
      </c>
      <c r="V1672" s="111">
        <f>Audit[[#This Row],[Audit Candidate 4]]-Audit[[#This Row],[Candidate 4]]</f>
        <v>-3</v>
      </c>
      <c r="W1672" s="111">
        <f>Audit[[#This Row],[Audit Candidate 5]]-Audit[[#This Row],[Candidate 5]]</f>
        <v>0</v>
      </c>
      <c r="X1672" s="111">
        <f>Audit[[#This Row],[Audit Candidate 6]]-Audit[[#This Row],[Candidate 6]]</f>
        <v>0</v>
      </c>
      <c r="Y1672" s="111">
        <f>SUMIF(Audit[[#This Row],[Difference Loser]:[Difference Candidate 6]], "&gt;0")</f>
        <v>0</v>
      </c>
      <c r="Z1672" s="111">
        <f>SUM(Audit[[#This Row],[Difference Loser]:[Difference Candidate 6]])</f>
        <v>-23</v>
      </c>
      <c r="AA1672" s="111">
        <f>IF(Audit[[#This Row],[Times p Drawn - With Replacement]]&gt;0, IF(Audit[[#This Row],[Canceled Differences]]&lt;0, Audit[[#This Row],[Max Differences]]+ABS(Audit[[#This Row],[Canceled Differences]]), Audit[[#This Row],[Max Differences]]), 0)</f>
        <v>0</v>
      </c>
      <c r="AB1672" s="111">
        <f>'Sampling Data'!P1666</f>
        <v>1.224889759921607E-3</v>
      </c>
      <c r="AC1672" s="111">
        <f>IF(
      SUM(Audit[[#This Row],[Audit Losing Candidate]:[Audit Candidate 6]])
      &lt;&gt;0,
      (Audit[[#This Row],[Winning Candidate]]-Audit[[#This Row],[Losing Candidate]]-(Audit[[#This Row],[Audit Winning Candidate]]-Audit[[#This Row],[Audit Losing Candidate]]))/(Audit[[#Totals],[Winning Candidate]]-Audit[[#Totals],[Losing Candidate]]),
      0
)</f>
        <v>0</v>
      </c>
      <c r="AD16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2" s="111">
        <f>IF(Audit[[#This Row],[Max Relative Error (ep)]] = 0, 0, Audit[[#This Row],[Max Relative Error (ep)]]/Audit[[#This Row],[Error Bound (up) - Max. possible relative overstatement]])</f>
        <v>0</v>
      </c>
      <c r="AJ16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72" s="111">
        <f t="shared" si="26"/>
        <v>1</v>
      </c>
      <c r="AL1672" s="111">
        <f>PRODUCT($AK$5:AK1672)</f>
        <v>8.962823818226312E-2</v>
      </c>
      <c r="AM1672" s="109">
        <f>1 - [K-M P Value]</f>
        <v>0.91037176181773694</v>
      </c>
      <c r="AN1672" s="111" t="str">
        <f>IF(Audit[[#This Row],[K-M P Value]]&gt;1-'General Info'!$B$16,"Continue", "Stop")</f>
        <v>Stop</v>
      </c>
      <c r="AO1672" s="110" t="b">
        <f>IF(Audit[[#This Row],[Status - Continue or stop audit]] = "Continue", TRUE, IF(AN1671 = "Continue", TRUE, FALSE))</f>
        <v>0</v>
      </c>
      <c r="AP1672" s="110"/>
    </row>
    <row r="1673" spans="1:42" ht="15" hidden="1" customHeight="1">
      <c r="A1673" s="111" t="str">
        <f>'Sampling Data'!W1667</f>
        <v/>
      </c>
      <c r="B1673" s="112" t="str">
        <f>'Sampling Data'!A1667</f>
        <v>PARMA -02-G</v>
      </c>
      <c r="C1673" s="112">
        <f>'Sampling Data'!B1667</f>
        <v>20</v>
      </c>
      <c r="D1673" s="112">
        <f>'Sampling Data'!C1667</f>
        <v>36</v>
      </c>
      <c r="E1673" s="113">
        <f>'Sampling Data'!D1667</f>
        <v>8</v>
      </c>
      <c r="F1673" s="113">
        <f>'Sampling Data'!E1667</f>
        <v>14</v>
      </c>
      <c r="G1673" s="113">
        <f>'Sampling Data'!F1667</f>
        <v>0</v>
      </c>
      <c r="H1673" s="113">
        <f>'Sampling Data'!G1667</f>
        <v>2</v>
      </c>
      <c r="I1673" s="112">
        <f>'Sampling Data'!H1667</f>
        <v>1</v>
      </c>
      <c r="J1673" s="112">
        <f>'Sampling Data'!I1667</f>
        <v>0</v>
      </c>
      <c r="K1673" s="112">
        <f>'Sampling Data'!J1667</f>
        <v>81</v>
      </c>
      <c r="L1673" s="111">
        <f>'Sampling Data'!X1667</f>
        <v>0</v>
      </c>
      <c r="M1673" s="114"/>
      <c r="N1673" s="114"/>
      <c r="O1673" s="115"/>
      <c r="P1673" s="115"/>
      <c r="Q1673" s="116"/>
      <c r="R1673" s="116"/>
      <c r="S1673" s="111">
        <f>Audit[[#This Row],[Audit Losing Candidate]]-Audit[[#This Row],[Losing Candidate]]</f>
        <v>-20</v>
      </c>
      <c r="T1673" s="111">
        <f>Audit[[#This Row],[Audit Winning Candidate]]-Audit[[#This Row],[Winning Candidate]]</f>
        <v>-36</v>
      </c>
      <c r="U1673" s="111">
        <f>Audit[[#This Row],[Audit Candidate 3]]-Audit[[#This Row],[Candidate 3]]</f>
        <v>-8</v>
      </c>
      <c r="V1673" s="111">
        <f>Audit[[#This Row],[Audit Candidate 4]]-Audit[[#This Row],[Candidate 4]]</f>
        <v>-14</v>
      </c>
      <c r="W1673" s="111">
        <f>Audit[[#This Row],[Audit Candidate 5]]-Audit[[#This Row],[Candidate 5]]</f>
        <v>0</v>
      </c>
      <c r="X1673" s="111">
        <f>Audit[[#This Row],[Audit Candidate 6]]-Audit[[#This Row],[Candidate 6]]</f>
        <v>-2</v>
      </c>
      <c r="Y1673" s="111">
        <f>SUMIF(Audit[[#This Row],[Difference Loser]:[Difference Candidate 6]], "&gt;0")</f>
        <v>0</v>
      </c>
      <c r="Z1673" s="111">
        <f>SUM(Audit[[#This Row],[Difference Loser]:[Difference Candidate 6]])</f>
        <v>-80</v>
      </c>
      <c r="AA1673" s="111">
        <f>IF(Audit[[#This Row],[Times p Drawn - With Replacement]]&gt;0, IF(Audit[[#This Row],[Canceled Differences]]&lt;0, Audit[[#This Row],[Max Differences]]+ABS(Audit[[#This Row],[Canceled Differences]]), Audit[[#This Row],[Max Differences]]), 0)</f>
        <v>0</v>
      </c>
      <c r="AB1673" s="111">
        <f>'Sampling Data'!P1667</f>
        <v>5.9407153356197942E-3</v>
      </c>
      <c r="AC1673" s="111">
        <f>IF(
      SUM(Audit[[#This Row],[Audit Losing Candidate]:[Audit Candidate 6]])
      &lt;&gt;0,
      (Audit[[#This Row],[Winning Candidate]]-Audit[[#This Row],[Losing Candidate]]-(Audit[[#This Row],[Audit Winning Candidate]]-Audit[[#This Row],[Audit Losing Candidate]]))/(Audit[[#Totals],[Winning Candidate]]-Audit[[#Totals],[Losing Candidate]]),
      0
)</f>
        <v>0</v>
      </c>
      <c r="AD16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3" s="111">
        <f>IF(Audit[[#This Row],[Max Relative Error (ep)]] = 0, 0, Audit[[#This Row],[Max Relative Error (ep)]]/Audit[[#This Row],[Error Bound (up) - Max. possible relative overstatement]])</f>
        <v>0</v>
      </c>
      <c r="AJ16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73" s="111">
        <f t="shared" si="26"/>
        <v>1</v>
      </c>
      <c r="AL1673" s="111">
        <f>PRODUCT($AK$5:AK1673)</f>
        <v>8.962823818226312E-2</v>
      </c>
      <c r="AM1673" s="109">
        <f>1 - [K-M P Value]</f>
        <v>0.91037176181773694</v>
      </c>
      <c r="AN1673" s="111" t="str">
        <f>IF(Audit[[#This Row],[K-M P Value]]&gt;1-'General Info'!$B$16,"Continue", "Stop")</f>
        <v>Stop</v>
      </c>
      <c r="AO1673" s="110" t="b">
        <f>IF(Audit[[#This Row],[Status - Continue or stop audit]] = "Continue", TRUE, IF(AN1672 = "Continue", TRUE, FALSE))</f>
        <v>0</v>
      </c>
      <c r="AP1673" s="110"/>
    </row>
    <row r="1674" spans="1:42" ht="15" hidden="1" customHeight="1">
      <c r="A1674" s="111" t="str">
        <f>'Sampling Data'!W1668</f>
        <v/>
      </c>
      <c r="B1674" s="112" t="str">
        <f>'Sampling Data'!A1668</f>
        <v>PARMA -02-G - ABS</v>
      </c>
      <c r="C1674" s="112">
        <f>'Sampling Data'!B1668</f>
        <v>13</v>
      </c>
      <c r="D1674" s="112">
        <f>'Sampling Data'!C1668</f>
        <v>12</v>
      </c>
      <c r="E1674" s="113">
        <f>'Sampling Data'!D1668</f>
        <v>2</v>
      </c>
      <c r="F1674" s="113">
        <f>'Sampling Data'!E1668</f>
        <v>0</v>
      </c>
      <c r="G1674" s="113">
        <f>'Sampling Data'!F1668</f>
        <v>1</v>
      </c>
      <c r="H1674" s="113">
        <f>'Sampling Data'!G1668</f>
        <v>0</v>
      </c>
      <c r="I1674" s="112">
        <f>'Sampling Data'!H1668</f>
        <v>0</v>
      </c>
      <c r="J1674" s="112">
        <f>'Sampling Data'!I1668</f>
        <v>2</v>
      </c>
      <c r="K1674" s="112">
        <f>'Sampling Data'!J1668</f>
        <v>30</v>
      </c>
      <c r="L1674" s="111">
        <f>'Sampling Data'!X1668</f>
        <v>0</v>
      </c>
      <c r="M1674" s="114"/>
      <c r="N1674" s="114"/>
      <c r="O1674" s="115"/>
      <c r="P1674" s="115"/>
      <c r="Q1674" s="116"/>
      <c r="R1674" s="116"/>
      <c r="S1674" s="111">
        <f>Audit[[#This Row],[Audit Losing Candidate]]-Audit[[#This Row],[Losing Candidate]]</f>
        <v>-13</v>
      </c>
      <c r="T1674" s="111">
        <f>Audit[[#This Row],[Audit Winning Candidate]]-Audit[[#This Row],[Winning Candidate]]</f>
        <v>-12</v>
      </c>
      <c r="U1674" s="111">
        <f>Audit[[#This Row],[Audit Candidate 3]]-Audit[[#This Row],[Candidate 3]]</f>
        <v>-2</v>
      </c>
      <c r="V1674" s="111">
        <f>Audit[[#This Row],[Audit Candidate 4]]-Audit[[#This Row],[Candidate 4]]</f>
        <v>0</v>
      </c>
      <c r="W1674" s="111">
        <f>Audit[[#This Row],[Audit Candidate 5]]-Audit[[#This Row],[Candidate 5]]</f>
        <v>-1</v>
      </c>
      <c r="X1674" s="111">
        <f>Audit[[#This Row],[Audit Candidate 6]]-Audit[[#This Row],[Candidate 6]]</f>
        <v>0</v>
      </c>
      <c r="Y1674" s="111">
        <f>SUMIF(Audit[[#This Row],[Difference Loser]:[Difference Candidate 6]], "&gt;0")</f>
        <v>0</v>
      </c>
      <c r="Z1674" s="111">
        <f>SUM(Audit[[#This Row],[Difference Loser]:[Difference Candidate 6]])</f>
        <v>-28</v>
      </c>
      <c r="AA1674" s="111">
        <f>IF(Audit[[#This Row],[Times p Drawn - With Replacement]]&gt;0, IF(Audit[[#This Row],[Canceled Differences]]&lt;0, Audit[[#This Row],[Max Differences]]+ABS(Audit[[#This Row],[Canceled Differences]]), Audit[[#This Row],[Max Differences]]), 0)</f>
        <v>0</v>
      </c>
      <c r="AB1674" s="111">
        <f>'Sampling Data'!P1668</f>
        <v>1.7760901518863303E-3</v>
      </c>
      <c r="AC1674" s="111">
        <f>IF(
      SUM(Audit[[#This Row],[Audit Losing Candidate]:[Audit Candidate 6]])
      &lt;&gt;0,
      (Audit[[#This Row],[Winning Candidate]]-Audit[[#This Row],[Losing Candidate]]-(Audit[[#This Row],[Audit Winning Candidate]]-Audit[[#This Row],[Audit Losing Candidate]]))/(Audit[[#Totals],[Winning Candidate]]-Audit[[#Totals],[Losing Candidate]]),
      0
)</f>
        <v>0</v>
      </c>
      <c r="AD16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4" s="111">
        <f>IF(Audit[[#This Row],[Max Relative Error (ep)]] = 0, 0, Audit[[#This Row],[Max Relative Error (ep)]]/Audit[[#This Row],[Error Bound (up) - Max. possible relative overstatement]])</f>
        <v>0</v>
      </c>
      <c r="AJ16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74" s="111">
        <f t="shared" si="26"/>
        <v>1</v>
      </c>
      <c r="AL1674" s="111">
        <f>PRODUCT($AK$5:AK1674)</f>
        <v>8.962823818226312E-2</v>
      </c>
      <c r="AM1674" s="109">
        <f>1 - [K-M P Value]</f>
        <v>0.91037176181773694</v>
      </c>
      <c r="AN1674" s="111" t="str">
        <f>IF(Audit[[#This Row],[K-M P Value]]&gt;1-'General Info'!$B$16,"Continue", "Stop")</f>
        <v>Stop</v>
      </c>
      <c r="AO1674" s="110" t="b">
        <f>IF(Audit[[#This Row],[Status - Continue or stop audit]] = "Continue", TRUE, IF(AN1673 = "Continue", TRUE, FALSE))</f>
        <v>0</v>
      </c>
      <c r="AP1674" s="110"/>
    </row>
    <row r="1675" spans="1:42" ht="15" hidden="1" customHeight="1">
      <c r="A1675" s="111" t="str">
        <f>'Sampling Data'!W1669</f>
        <v/>
      </c>
      <c r="B1675" s="112" t="str">
        <f>'Sampling Data'!A1669</f>
        <v>PARMA -03-A</v>
      </c>
      <c r="C1675" s="112">
        <f>'Sampling Data'!B1669</f>
        <v>19</v>
      </c>
      <c r="D1675" s="112">
        <f>'Sampling Data'!C1669</f>
        <v>11</v>
      </c>
      <c r="E1675" s="113">
        <f>'Sampling Data'!D1669</f>
        <v>10</v>
      </c>
      <c r="F1675" s="113">
        <f>'Sampling Data'!E1669</f>
        <v>10</v>
      </c>
      <c r="G1675" s="113">
        <f>'Sampling Data'!F1669</f>
        <v>0</v>
      </c>
      <c r="H1675" s="113">
        <f>'Sampling Data'!G1669</f>
        <v>0</v>
      </c>
      <c r="I1675" s="112">
        <f>'Sampling Data'!H1669</f>
        <v>0</v>
      </c>
      <c r="J1675" s="112">
        <f>'Sampling Data'!I1669</f>
        <v>0</v>
      </c>
      <c r="K1675" s="112">
        <f>'Sampling Data'!J1669</f>
        <v>50</v>
      </c>
      <c r="L1675" s="111">
        <f>'Sampling Data'!X1669</f>
        <v>0</v>
      </c>
      <c r="M1675" s="114"/>
      <c r="N1675" s="114"/>
      <c r="O1675" s="115"/>
      <c r="P1675" s="115"/>
      <c r="Q1675" s="116"/>
      <c r="R1675" s="116"/>
      <c r="S1675" s="111">
        <f>Audit[[#This Row],[Audit Losing Candidate]]-Audit[[#This Row],[Losing Candidate]]</f>
        <v>-19</v>
      </c>
      <c r="T1675" s="111">
        <f>Audit[[#This Row],[Audit Winning Candidate]]-Audit[[#This Row],[Winning Candidate]]</f>
        <v>-11</v>
      </c>
      <c r="U1675" s="111">
        <f>Audit[[#This Row],[Audit Candidate 3]]-Audit[[#This Row],[Candidate 3]]</f>
        <v>-10</v>
      </c>
      <c r="V1675" s="111">
        <f>Audit[[#This Row],[Audit Candidate 4]]-Audit[[#This Row],[Candidate 4]]</f>
        <v>-10</v>
      </c>
      <c r="W1675" s="111">
        <f>Audit[[#This Row],[Audit Candidate 5]]-Audit[[#This Row],[Candidate 5]]</f>
        <v>0</v>
      </c>
      <c r="X1675" s="111">
        <f>Audit[[#This Row],[Audit Candidate 6]]-Audit[[#This Row],[Candidate 6]]</f>
        <v>0</v>
      </c>
      <c r="Y1675" s="111">
        <f>SUMIF(Audit[[#This Row],[Difference Loser]:[Difference Candidate 6]], "&gt;0")</f>
        <v>0</v>
      </c>
      <c r="Z1675" s="111">
        <f>SUM(Audit[[#This Row],[Difference Loser]:[Difference Candidate 6]])</f>
        <v>-50</v>
      </c>
      <c r="AA1675" s="111">
        <f>IF(Audit[[#This Row],[Times p Drawn - With Replacement]]&gt;0, IF(Audit[[#This Row],[Canceled Differences]]&lt;0, Audit[[#This Row],[Max Differences]]+ABS(Audit[[#This Row],[Canceled Differences]]), Audit[[#This Row],[Max Differences]]), 0)</f>
        <v>0</v>
      </c>
      <c r="AB1675" s="111">
        <f>'Sampling Data'!P1669</f>
        <v>2.5722684958353749E-3</v>
      </c>
      <c r="AC1675" s="111">
        <f>IF(
      SUM(Audit[[#This Row],[Audit Losing Candidate]:[Audit Candidate 6]])
      &lt;&gt;0,
      (Audit[[#This Row],[Winning Candidate]]-Audit[[#This Row],[Losing Candidate]]-(Audit[[#This Row],[Audit Winning Candidate]]-Audit[[#This Row],[Audit Losing Candidate]]))/(Audit[[#Totals],[Winning Candidate]]-Audit[[#Totals],[Losing Candidate]]),
      0
)</f>
        <v>0</v>
      </c>
      <c r="AD16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5" s="111">
        <f>IF(Audit[[#This Row],[Max Relative Error (ep)]] = 0, 0, Audit[[#This Row],[Max Relative Error (ep)]]/Audit[[#This Row],[Error Bound (up) - Max. possible relative overstatement]])</f>
        <v>0</v>
      </c>
      <c r="AJ16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75" s="111">
        <f t="shared" si="26"/>
        <v>1</v>
      </c>
      <c r="AL1675" s="111">
        <f>PRODUCT($AK$5:AK1675)</f>
        <v>8.962823818226312E-2</v>
      </c>
      <c r="AM1675" s="109">
        <f>1 - [K-M P Value]</f>
        <v>0.91037176181773694</v>
      </c>
      <c r="AN1675" s="111" t="str">
        <f>IF(Audit[[#This Row],[K-M P Value]]&gt;1-'General Info'!$B$16,"Continue", "Stop")</f>
        <v>Stop</v>
      </c>
      <c r="AO1675" s="110" t="b">
        <f>IF(Audit[[#This Row],[Status - Continue or stop audit]] = "Continue", TRUE, IF(AN1674 = "Continue", TRUE, FALSE))</f>
        <v>0</v>
      </c>
      <c r="AP1675" s="110"/>
    </row>
    <row r="1676" spans="1:42" ht="15" hidden="1" customHeight="1">
      <c r="A1676" s="111" t="str">
        <f>'Sampling Data'!W1670</f>
        <v/>
      </c>
      <c r="B1676" s="112" t="str">
        <f>'Sampling Data'!A1670</f>
        <v>PARMA -03-A - ABS</v>
      </c>
      <c r="C1676" s="112">
        <f>'Sampling Data'!B1670</f>
        <v>7</v>
      </c>
      <c r="D1676" s="112">
        <f>'Sampling Data'!C1670</f>
        <v>14</v>
      </c>
      <c r="E1676" s="113">
        <f>'Sampling Data'!D1670</f>
        <v>3</v>
      </c>
      <c r="F1676" s="113">
        <f>'Sampling Data'!E1670</f>
        <v>0</v>
      </c>
      <c r="G1676" s="113">
        <f>'Sampling Data'!F1670</f>
        <v>0</v>
      </c>
      <c r="H1676" s="113">
        <f>'Sampling Data'!G1670</f>
        <v>0</v>
      </c>
      <c r="I1676" s="112">
        <f>'Sampling Data'!H1670</f>
        <v>0</v>
      </c>
      <c r="J1676" s="112">
        <f>'Sampling Data'!I1670</f>
        <v>0</v>
      </c>
      <c r="K1676" s="112">
        <f>'Sampling Data'!J1670</f>
        <v>24</v>
      </c>
      <c r="L1676" s="111">
        <f>'Sampling Data'!X1670</f>
        <v>0</v>
      </c>
      <c r="M1676" s="114"/>
      <c r="N1676" s="114"/>
      <c r="O1676" s="115"/>
      <c r="P1676" s="115"/>
      <c r="Q1676" s="116"/>
      <c r="R1676" s="116"/>
      <c r="S1676" s="111">
        <f>Audit[[#This Row],[Audit Losing Candidate]]-Audit[[#This Row],[Losing Candidate]]</f>
        <v>-7</v>
      </c>
      <c r="T1676" s="111">
        <f>Audit[[#This Row],[Audit Winning Candidate]]-Audit[[#This Row],[Winning Candidate]]</f>
        <v>-14</v>
      </c>
      <c r="U1676" s="111">
        <f>Audit[[#This Row],[Audit Candidate 3]]-Audit[[#This Row],[Candidate 3]]</f>
        <v>-3</v>
      </c>
      <c r="V1676" s="111">
        <f>Audit[[#This Row],[Audit Candidate 4]]-Audit[[#This Row],[Candidate 4]]</f>
        <v>0</v>
      </c>
      <c r="W1676" s="111">
        <f>Audit[[#This Row],[Audit Candidate 5]]-Audit[[#This Row],[Candidate 5]]</f>
        <v>0</v>
      </c>
      <c r="X1676" s="111">
        <f>Audit[[#This Row],[Audit Candidate 6]]-Audit[[#This Row],[Candidate 6]]</f>
        <v>0</v>
      </c>
      <c r="Y1676" s="111">
        <f>SUMIF(Audit[[#This Row],[Difference Loser]:[Difference Candidate 6]], "&gt;0")</f>
        <v>0</v>
      </c>
      <c r="Z1676" s="111">
        <f>SUM(Audit[[#This Row],[Difference Loser]:[Difference Candidate 6]])</f>
        <v>-24</v>
      </c>
      <c r="AA1676" s="111">
        <f>IF(Audit[[#This Row],[Times p Drawn - With Replacement]]&gt;0, IF(Audit[[#This Row],[Canceled Differences]]&lt;0, Audit[[#This Row],[Max Differences]]+ABS(Audit[[#This Row],[Canceled Differences]]), Audit[[#This Row],[Max Differences]]), 0)</f>
        <v>0</v>
      </c>
      <c r="AB1676" s="111">
        <f>'Sampling Data'!P1670</f>
        <v>1.8985791278784908E-3</v>
      </c>
      <c r="AC1676" s="111">
        <f>IF(
      SUM(Audit[[#This Row],[Audit Losing Candidate]:[Audit Candidate 6]])
      &lt;&gt;0,
      (Audit[[#This Row],[Winning Candidate]]-Audit[[#This Row],[Losing Candidate]]-(Audit[[#This Row],[Audit Winning Candidate]]-Audit[[#This Row],[Audit Losing Candidate]]))/(Audit[[#Totals],[Winning Candidate]]-Audit[[#Totals],[Losing Candidate]]),
      0
)</f>
        <v>0</v>
      </c>
      <c r="AD16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6" s="111">
        <f>IF(Audit[[#This Row],[Max Relative Error (ep)]] = 0, 0, Audit[[#This Row],[Max Relative Error (ep)]]/Audit[[#This Row],[Error Bound (up) - Max. possible relative overstatement]])</f>
        <v>0</v>
      </c>
      <c r="AJ16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76" s="111">
        <f t="shared" si="26"/>
        <v>1</v>
      </c>
      <c r="AL1676" s="111">
        <f>PRODUCT($AK$5:AK1676)</f>
        <v>8.962823818226312E-2</v>
      </c>
      <c r="AM1676" s="109">
        <f>1 - [K-M P Value]</f>
        <v>0.91037176181773694</v>
      </c>
      <c r="AN1676" s="111" t="str">
        <f>IF(Audit[[#This Row],[K-M P Value]]&gt;1-'General Info'!$B$16,"Continue", "Stop")</f>
        <v>Stop</v>
      </c>
      <c r="AO1676" s="110" t="b">
        <f>IF(Audit[[#This Row],[Status - Continue or stop audit]] = "Continue", TRUE, IF(AN1675 = "Continue", TRUE, FALSE))</f>
        <v>0</v>
      </c>
      <c r="AP1676" s="110"/>
    </row>
    <row r="1677" spans="1:42" ht="15" hidden="1" customHeight="1">
      <c r="A1677" s="111" t="str">
        <f>'Sampling Data'!W1671</f>
        <v/>
      </c>
      <c r="B1677" s="112" t="str">
        <f>'Sampling Data'!A1671</f>
        <v>PARMA -03-B</v>
      </c>
      <c r="C1677" s="112">
        <f>'Sampling Data'!B1671</f>
        <v>15</v>
      </c>
      <c r="D1677" s="112">
        <f>'Sampling Data'!C1671</f>
        <v>22</v>
      </c>
      <c r="E1677" s="113">
        <f>'Sampling Data'!D1671</f>
        <v>3</v>
      </c>
      <c r="F1677" s="113">
        <f>'Sampling Data'!E1671</f>
        <v>3</v>
      </c>
      <c r="G1677" s="113">
        <f>'Sampling Data'!F1671</f>
        <v>0</v>
      </c>
      <c r="H1677" s="113">
        <f>'Sampling Data'!G1671</f>
        <v>1</v>
      </c>
      <c r="I1677" s="112">
        <f>'Sampling Data'!H1671</f>
        <v>0</v>
      </c>
      <c r="J1677" s="112">
        <f>'Sampling Data'!I1671</f>
        <v>2</v>
      </c>
      <c r="K1677" s="112">
        <f>'Sampling Data'!J1671</f>
        <v>46</v>
      </c>
      <c r="L1677" s="111">
        <f>'Sampling Data'!X1671</f>
        <v>0</v>
      </c>
      <c r="M1677" s="114"/>
      <c r="N1677" s="114"/>
      <c r="O1677" s="115"/>
      <c r="P1677" s="115"/>
      <c r="Q1677" s="116"/>
      <c r="R1677" s="116"/>
      <c r="S1677" s="111">
        <f>Audit[[#This Row],[Audit Losing Candidate]]-Audit[[#This Row],[Losing Candidate]]</f>
        <v>-15</v>
      </c>
      <c r="T1677" s="111">
        <f>Audit[[#This Row],[Audit Winning Candidate]]-Audit[[#This Row],[Winning Candidate]]</f>
        <v>-22</v>
      </c>
      <c r="U1677" s="111">
        <f>Audit[[#This Row],[Audit Candidate 3]]-Audit[[#This Row],[Candidate 3]]</f>
        <v>-3</v>
      </c>
      <c r="V1677" s="111">
        <f>Audit[[#This Row],[Audit Candidate 4]]-Audit[[#This Row],[Candidate 4]]</f>
        <v>-3</v>
      </c>
      <c r="W1677" s="111">
        <f>Audit[[#This Row],[Audit Candidate 5]]-Audit[[#This Row],[Candidate 5]]</f>
        <v>0</v>
      </c>
      <c r="X1677" s="111">
        <f>Audit[[#This Row],[Audit Candidate 6]]-Audit[[#This Row],[Candidate 6]]</f>
        <v>-1</v>
      </c>
      <c r="Y1677" s="111">
        <f>SUMIF(Audit[[#This Row],[Difference Loser]:[Difference Candidate 6]], "&gt;0")</f>
        <v>0</v>
      </c>
      <c r="Z1677" s="111">
        <f>SUM(Audit[[#This Row],[Difference Loser]:[Difference Candidate 6]])</f>
        <v>-44</v>
      </c>
      <c r="AA1677" s="111">
        <f>IF(Audit[[#This Row],[Times p Drawn - With Replacement]]&gt;0, IF(Audit[[#This Row],[Canceled Differences]]&lt;0, Audit[[#This Row],[Max Differences]]+ABS(Audit[[#This Row],[Canceled Differences]]), Audit[[#This Row],[Max Differences]]), 0)</f>
        <v>0</v>
      </c>
      <c r="AB1677" s="111">
        <f>'Sampling Data'!P1671</f>
        <v>3.2459578637922589E-3</v>
      </c>
      <c r="AC1677" s="111">
        <f>IF(
      SUM(Audit[[#This Row],[Audit Losing Candidate]:[Audit Candidate 6]])
      &lt;&gt;0,
      (Audit[[#This Row],[Winning Candidate]]-Audit[[#This Row],[Losing Candidate]]-(Audit[[#This Row],[Audit Winning Candidate]]-Audit[[#This Row],[Audit Losing Candidate]]))/(Audit[[#Totals],[Winning Candidate]]-Audit[[#Totals],[Losing Candidate]]),
      0
)</f>
        <v>0</v>
      </c>
      <c r="AD16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7" s="111">
        <f>IF(Audit[[#This Row],[Max Relative Error (ep)]] = 0, 0, Audit[[#This Row],[Max Relative Error (ep)]]/Audit[[#This Row],[Error Bound (up) - Max. possible relative overstatement]])</f>
        <v>0</v>
      </c>
      <c r="AJ16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77" s="111">
        <f t="shared" si="26"/>
        <v>1</v>
      </c>
      <c r="AL1677" s="111">
        <f>PRODUCT($AK$5:AK1677)</f>
        <v>8.962823818226312E-2</v>
      </c>
      <c r="AM1677" s="109">
        <f>1 - [K-M P Value]</f>
        <v>0.91037176181773694</v>
      </c>
      <c r="AN1677" s="111" t="str">
        <f>IF(Audit[[#This Row],[K-M P Value]]&gt;1-'General Info'!$B$16,"Continue", "Stop")</f>
        <v>Stop</v>
      </c>
      <c r="AO1677" s="110" t="b">
        <f>IF(Audit[[#This Row],[Status - Continue or stop audit]] = "Continue", TRUE, IF(AN1676 = "Continue", TRUE, FALSE))</f>
        <v>0</v>
      </c>
      <c r="AP1677" s="110"/>
    </row>
    <row r="1678" spans="1:42" ht="15" hidden="1" customHeight="1">
      <c r="A1678" s="111" t="str">
        <f>'Sampling Data'!W1672</f>
        <v/>
      </c>
      <c r="B1678" s="112" t="str">
        <f>'Sampling Data'!A1672</f>
        <v>PARMA -03-B - ABS</v>
      </c>
      <c r="C1678" s="112">
        <f>'Sampling Data'!B1672</f>
        <v>3</v>
      </c>
      <c r="D1678" s="112">
        <f>'Sampling Data'!C1672</f>
        <v>10</v>
      </c>
      <c r="E1678" s="113">
        <f>'Sampling Data'!D1672</f>
        <v>5</v>
      </c>
      <c r="F1678" s="113">
        <f>'Sampling Data'!E1672</f>
        <v>0</v>
      </c>
      <c r="G1678" s="113">
        <f>'Sampling Data'!F1672</f>
        <v>0</v>
      </c>
      <c r="H1678" s="113">
        <f>'Sampling Data'!G1672</f>
        <v>0</v>
      </c>
      <c r="I1678" s="112">
        <f>'Sampling Data'!H1672</f>
        <v>0</v>
      </c>
      <c r="J1678" s="112">
        <f>'Sampling Data'!I1672</f>
        <v>0</v>
      </c>
      <c r="K1678" s="112">
        <f>'Sampling Data'!J1672</f>
        <v>18</v>
      </c>
      <c r="L1678" s="111">
        <f>'Sampling Data'!X1672</f>
        <v>0</v>
      </c>
      <c r="M1678" s="114"/>
      <c r="N1678" s="114"/>
      <c r="O1678" s="115"/>
      <c r="P1678" s="115"/>
      <c r="Q1678" s="116"/>
      <c r="R1678" s="116"/>
      <c r="S1678" s="111">
        <f>Audit[[#This Row],[Audit Losing Candidate]]-Audit[[#This Row],[Losing Candidate]]</f>
        <v>-3</v>
      </c>
      <c r="T1678" s="111">
        <f>Audit[[#This Row],[Audit Winning Candidate]]-Audit[[#This Row],[Winning Candidate]]</f>
        <v>-10</v>
      </c>
      <c r="U1678" s="111">
        <f>Audit[[#This Row],[Audit Candidate 3]]-Audit[[#This Row],[Candidate 3]]</f>
        <v>-5</v>
      </c>
      <c r="V1678" s="111">
        <f>Audit[[#This Row],[Audit Candidate 4]]-Audit[[#This Row],[Candidate 4]]</f>
        <v>0</v>
      </c>
      <c r="W1678" s="111">
        <f>Audit[[#This Row],[Audit Candidate 5]]-Audit[[#This Row],[Candidate 5]]</f>
        <v>0</v>
      </c>
      <c r="X1678" s="111">
        <f>Audit[[#This Row],[Audit Candidate 6]]-Audit[[#This Row],[Candidate 6]]</f>
        <v>0</v>
      </c>
      <c r="Y1678" s="111">
        <f>SUMIF(Audit[[#This Row],[Difference Loser]:[Difference Candidate 6]], "&gt;0")</f>
        <v>0</v>
      </c>
      <c r="Z1678" s="111">
        <f>SUM(Audit[[#This Row],[Difference Loser]:[Difference Candidate 6]])</f>
        <v>-18</v>
      </c>
      <c r="AA1678" s="111">
        <f>IF(Audit[[#This Row],[Times p Drawn - With Replacement]]&gt;0, IF(Audit[[#This Row],[Canceled Differences]]&lt;0, Audit[[#This Row],[Max Differences]]+ABS(Audit[[#This Row],[Canceled Differences]]), Audit[[#This Row],[Max Differences]]), 0)</f>
        <v>0</v>
      </c>
      <c r="AB1678" s="111">
        <f>'Sampling Data'!P1672</f>
        <v>1.5311121999020088E-3</v>
      </c>
      <c r="AC1678" s="111">
        <f>IF(
      SUM(Audit[[#This Row],[Audit Losing Candidate]:[Audit Candidate 6]])
      &lt;&gt;0,
      (Audit[[#This Row],[Winning Candidate]]-Audit[[#This Row],[Losing Candidate]]-(Audit[[#This Row],[Audit Winning Candidate]]-Audit[[#This Row],[Audit Losing Candidate]]))/(Audit[[#Totals],[Winning Candidate]]-Audit[[#Totals],[Losing Candidate]]),
      0
)</f>
        <v>0</v>
      </c>
      <c r="AD16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8" s="111">
        <f>IF(Audit[[#This Row],[Max Relative Error (ep)]] = 0, 0, Audit[[#This Row],[Max Relative Error (ep)]]/Audit[[#This Row],[Error Bound (up) - Max. possible relative overstatement]])</f>
        <v>0</v>
      </c>
      <c r="AJ16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78" s="111">
        <f t="shared" si="26"/>
        <v>1</v>
      </c>
      <c r="AL1678" s="111">
        <f>PRODUCT($AK$5:AK1678)</f>
        <v>8.962823818226312E-2</v>
      </c>
      <c r="AM1678" s="109">
        <f>1 - [K-M P Value]</f>
        <v>0.91037176181773694</v>
      </c>
      <c r="AN1678" s="111" t="str">
        <f>IF(Audit[[#This Row],[K-M P Value]]&gt;1-'General Info'!$B$16,"Continue", "Stop")</f>
        <v>Stop</v>
      </c>
      <c r="AO1678" s="110" t="b">
        <f>IF(Audit[[#This Row],[Status - Continue or stop audit]] = "Continue", TRUE, IF(AN1677 = "Continue", TRUE, FALSE))</f>
        <v>0</v>
      </c>
      <c r="AP1678" s="110"/>
    </row>
    <row r="1679" spans="1:42" ht="15" hidden="1" customHeight="1">
      <c r="A1679" s="111" t="str">
        <f>'Sampling Data'!W1673</f>
        <v/>
      </c>
      <c r="B1679" s="112" t="str">
        <f>'Sampling Data'!A1673</f>
        <v>PARMA -03-C</v>
      </c>
      <c r="C1679" s="112">
        <f>'Sampling Data'!B1673</f>
        <v>11</v>
      </c>
      <c r="D1679" s="112">
        <f>'Sampling Data'!C1673</f>
        <v>14</v>
      </c>
      <c r="E1679" s="113">
        <f>'Sampling Data'!D1673</f>
        <v>7</v>
      </c>
      <c r="F1679" s="113">
        <f>'Sampling Data'!E1673</f>
        <v>10</v>
      </c>
      <c r="G1679" s="113">
        <f>'Sampling Data'!F1673</f>
        <v>0</v>
      </c>
      <c r="H1679" s="113">
        <f>'Sampling Data'!G1673</f>
        <v>0</v>
      </c>
      <c r="I1679" s="112">
        <f>'Sampling Data'!H1673</f>
        <v>0</v>
      </c>
      <c r="J1679" s="112">
        <f>'Sampling Data'!I1673</f>
        <v>0</v>
      </c>
      <c r="K1679" s="112">
        <f>'Sampling Data'!J1673</f>
        <v>42</v>
      </c>
      <c r="L1679" s="111">
        <f>'Sampling Data'!X1673</f>
        <v>0</v>
      </c>
      <c r="M1679" s="114"/>
      <c r="N1679" s="114"/>
      <c r="O1679" s="115"/>
      <c r="P1679" s="115"/>
      <c r="Q1679" s="116"/>
      <c r="R1679" s="116"/>
      <c r="S1679" s="111">
        <f>Audit[[#This Row],[Audit Losing Candidate]]-Audit[[#This Row],[Losing Candidate]]</f>
        <v>-11</v>
      </c>
      <c r="T1679" s="111">
        <f>Audit[[#This Row],[Audit Winning Candidate]]-Audit[[#This Row],[Winning Candidate]]</f>
        <v>-14</v>
      </c>
      <c r="U1679" s="111">
        <f>Audit[[#This Row],[Audit Candidate 3]]-Audit[[#This Row],[Candidate 3]]</f>
        <v>-7</v>
      </c>
      <c r="V1679" s="111">
        <f>Audit[[#This Row],[Audit Candidate 4]]-Audit[[#This Row],[Candidate 4]]</f>
        <v>-10</v>
      </c>
      <c r="W1679" s="111">
        <f>Audit[[#This Row],[Audit Candidate 5]]-Audit[[#This Row],[Candidate 5]]</f>
        <v>0</v>
      </c>
      <c r="X1679" s="111">
        <f>Audit[[#This Row],[Audit Candidate 6]]-Audit[[#This Row],[Candidate 6]]</f>
        <v>0</v>
      </c>
      <c r="Y1679" s="111">
        <f>SUMIF(Audit[[#This Row],[Difference Loser]:[Difference Candidate 6]], "&gt;0")</f>
        <v>0</v>
      </c>
      <c r="Z1679" s="111">
        <f>SUM(Audit[[#This Row],[Difference Loser]:[Difference Candidate 6]])</f>
        <v>-42</v>
      </c>
      <c r="AA1679" s="111">
        <f>IF(Audit[[#This Row],[Times p Drawn - With Replacement]]&gt;0, IF(Audit[[#This Row],[Canceled Differences]]&lt;0, Audit[[#This Row],[Max Differences]]+ABS(Audit[[#This Row],[Canceled Differences]]), Audit[[#This Row],[Max Differences]]), 0)</f>
        <v>0</v>
      </c>
      <c r="AB1679" s="111">
        <f>'Sampling Data'!P1673</f>
        <v>2.7560019598236157E-3</v>
      </c>
      <c r="AC1679" s="111">
        <f>IF(
      SUM(Audit[[#This Row],[Audit Losing Candidate]:[Audit Candidate 6]])
      &lt;&gt;0,
      (Audit[[#This Row],[Winning Candidate]]-Audit[[#This Row],[Losing Candidate]]-(Audit[[#This Row],[Audit Winning Candidate]]-Audit[[#This Row],[Audit Losing Candidate]]))/(Audit[[#Totals],[Winning Candidate]]-Audit[[#Totals],[Losing Candidate]]),
      0
)</f>
        <v>0</v>
      </c>
      <c r="AD16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9" s="111">
        <f>IF(Audit[[#This Row],[Max Relative Error (ep)]] = 0, 0, Audit[[#This Row],[Max Relative Error (ep)]]/Audit[[#This Row],[Error Bound (up) - Max. possible relative overstatement]])</f>
        <v>0</v>
      </c>
      <c r="AJ16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79" s="111">
        <f t="shared" si="26"/>
        <v>1</v>
      </c>
      <c r="AL1679" s="111">
        <f>PRODUCT($AK$5:AK1679)</f>
        <v>8.962823818226312E-2</v>
      </c>
      <c r="AM1679" s="109">
        <f>1 - [K-M P Value]</f>
        <v>0.91037176181773694</v>
      </c>
      <c r="AN1679" s="111" t="str">
        <f>IF(Audit[[#This Row],[K-M P Value]]&gt;1-'General Info'!$B$16,"Continue", "Stop")</f>
        <v>Stop</v>
      </c>
      <c r="AO1679" s="110" t="b">
        <f>IF(Audit[[#This Row],[Status - Continue or stop audit]] = "Continue", TRUE, IF(AN1678 = "Continue", TRUE, FALSE))</f>
        <v>0</v>
      </c>
      <c r="AP1679" s="110"/>
    </row>
    <row r="1680" spans="1:42" ht="15" hidden="1" customHeight="1">
      <c r="A1680" s="111" t="str">
        <f>'Sampling Data'!W1674</f>
        <v/>
      </c>
      <c r="B1680" s="112" t="str">
        <f>'Sampling Data'!A1674</f>
        <v>PARMA -03-C - ABS</v>
      </c>
      <c r="C1680" s="112">
        <f>'Sampling Data'!B1674</f>
        <v>11</v>
      </c>
      <c r="D1680" s="112">
        <f>'Sampling Data'!C1674</f>
        <v>6</v>
      </c>
      <c r="E1680" s="113">
        <f>'Sampling Data'!D1674</f>
        <v>2</v>
      </c>
      <c r="F1680" s="113">
        <f>'Sampling Data'!E1674</f>
        <v>1</v>
      </c>
      <c r="G1680" s="113">
        <f>'Sampling Data'!F1674</f>
        <v>0</v>
      </c>
      <c r="H1680" s="113">
        <f>'Sampling Data'!G1674</f>
        <v>0</v>
      </c>
      <c r="I1680" s="112">
        <f>'Sampling Data'!H1674</f>
        <v>0</v>
      </c>
      <c r="J1680" s="112">
        <f>'Sampling Data'!I1674</f>
        <v>2</v>
      </c>
      <c r="K1680" s="112">
        <f>'Sampling Data'!J1674</f>
        <v>22</v>
      </c>
      <c r="L1680" s="111">
        <f>'Sampling Data'!X1674</f>
        <v>0</v>
      </c>
      <c r="M1680" s="114"/>
      <c r="N1680" s="114"/>
      <c r="O1680" s="115"/>
      <c r="P1680" s="115"/>
      <c r="Q1680" s="116"/>
      <c r="R1680" s="116"/>
      <c r="S1680" s="111">
        <f>Audit[[#This Row],[Audit Losing Candidate]]-Audit[[#This Row],[Losing Candidate]]</f>
        <v>-11</v>
      </c>
      <c r="T1680" s="111">
        <f>Audit[[#This Row],[Audit Winning Candidate]]-Audit[[#This Row],[Winning Candidate]]</f>
        <v>-6</v>
      </c>
      <c r="U1680" s="111">
        <f>Audit[[#This Row],[Audit Candidate 3]]-Audit[[#This Row],[Candidate 3]]</f>
        <v>-2</v>
      </c>
      <c r="V1680" s="111">
        <f>Audit[[#This Row],[Audit Candidate 4]]-Audit[[#This Row],[Candidate 4]]</f>
        <v>-1</v>
      </c>
      <c r="W1680" s="111">
        <f>Audit[[#This Row],[Audit Candidate 5]]-Audit[[#This Row],[Candidate 5]]</f>
        <v>0</v>
      </c>
      <c r="X1680" s="111">
        <f>Audit[[#This Row],[Audit Candidate 6]]-Audit[[#This Row],[Candidate 6]]</f>
        <v>0</v>
      </c>
      <c r="Y1680" s="111">
        <f>SUMIF(Audit[[#This Row],[Difference Loser]:[Difference Candidate 6]], "&gt;0")</f>
        <v>0</v>
      </c>
      <c r="Z1680" s="111">
        <f>SUM(Audit[[#This Row],[Difference Loser]:[Difference Candidate 6]])</f>
        <v>-20</v>
      </c>
      <c r="AA1680" s="111">
        <f>IF(Audit[[#This Row],[Times p Drawn - With Replacement]]&gt;0, IF(Audit[[#This Row],[Canceled Differences]]&lt;0, Audit[[#This Row],[Max Differences]]+ABS(Audit[[#This Row],[Canceled Differences]]), Audit[[#This Row],[Max Differences]]), 0)</f>
        <v>0</v>
      </c>
      <c r="AB1680" s="111">
        <f>'Sampling Data'!P1674</f>
        <v>1.041156295933366E-3</v>
      </c>
      <c r="AC1680" s="111">
        <f>IF(
      SUM(Audit[[#This Row],[Audit Losing Candidate]:[Audit Candidate 6]])
      &lt;&gt;0,
      (Audit[[#This Row],[Winning Candidate]]-Audit[[#This Row],[Losing Candidate]]-(Audit[[#This Row],[Audit Winning Candidate]]-Audit[[#This Row],[Audit Losing Candidate]]))/(Audit[[#Totals],[Winning Candidate]]-Audit[[#Totals],[Losing Candidate]]),
      0
)</f>
        <v>0</v>
      </c>
      <c r="AD16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0" s="111">
        <f>IF(Audit[[#This Row],[Max Relative Error (ep)]] = 0, 0, Audit[[#This Row],[Max Relative Error (ep)]]/Audit[[#This Row],[Error Bound (up) - Max. possible relative overstatement]])</f>
        <v>0</v>
      </c>
      <c r="AJ16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80" s="111">
        <f t="shared" si="26"/>
        <v>1</v>
      </c>
      <c r="AL1680" s="111">
        <f>PRODUCT($AK$5:AK1680)</f>
        <v>8.962823818226312E-2</v>
      </c>
      <c r="AM1680" s="109">
        <f>1 - [K-M P Value]</f>
        <v>0.91037176181773694</v>
      </c>
      <c r="AN1680" s="111" t="str">
        <f>IF(Audit[[#This Row],[K-M P Value]]&gt;1-'General Info'!$B$16,"Continue", "Stop")</f>
        <v>Stop</v>
      </c>
      <c r="AO1680" s="110" t="b">
        <f>IF(Audit[[#This Row],[Status - Continue or stop audit]] = "Continue", TRUE, IF(AN1679 = "Continue", TRUE, FALSE))</f>
        <v>0</v>
      </c>
      <c r="AP1680" s="110"/>
    </row>
    <row r="1681" spans="1:42" ht="15" hidden="1" customHeight="1">
      <c r="A1681" s="111" t="str">
        <f>'Sampling Data'!W1675</f>
        <v/>
      </c>
      <c r="B1681" s="112" t="str">
        <f>'Sampling Data'!A1675</f>
        <v>PARMA -03-D</v>
      </c>
      <c r="C1681" s="112">
        <f>'Sampling Data'!B1675</f>
        <v>19</v>
      </c>
      <c r="D1681" s="112">
        <f>'Sampling Data'!C1675</f>
        <v>37</v>
      </c>
      <c r="E1681" s="113">
        <f>'Sampling Data'!D1675</f>
        <v>4</v>
      </c>
      <c r="F1681" s="113">
        <f>'Sampling Data'!E1675</f>
        <v>6</v>
      </c>
      <c r="G1681" s="113">
        <f>'Sampling Data'!F1675</f>
        <v>0</v>
      </c>
      <c r="H1681" s="113">
        <f>'Sampling Data'!G1675</f>
        <v>0</v>
      </c>
      <c r="I1681" s="112">
        <f>'Sampling Data'!H1675</f>
        <v>0</v>
      </c>
      <c r="J1681" s="112">
        <f>'Sampling Data'!I1675</f>
        <v>2</v>
      </c>
      <c r="K1681" s="112">
        <f>'Sampling Data'!J1675</f>
        <v>68</v>
      </c>
      <c r="L1681" s="111">
        <f>'Sampling Data'!X1675</f>
        <v>0</v>
      </c>
      <c r="M1681" s="114"/>
      <c r="N1681" s="114"/>
      <c r="O1681" s="115"/>
      <c r="P1681" s="115"/>
      <c r="Q1681" s="116"/>
      <c r="R1681" s="116"/>
      <c r="S1681" s="111">
        <f>Audit[[#This Row],[Audit Losing Candidate]]-Audit[[#This Row],[Losing Candidate]]</f>
        <v>-19</v>
      </c>
      <c r="T1681" s="111">
        <f>Audit[[#This Row],[Audit Winning Candidate]]-Audit[[#This Row],[Winning Candidate]]</f>
        <v>-37</v>
      </c>
      <c r="U1681" s="111">
        <f>Audit[[#This Row],[Audit Candidate 3]]-Audit[[#This Row],[Candidate 3]]</f>
        <v>-4</v>
      </c>
      <c r="V1681" s="111">
        <f>Audit[[#This Row],[Audit Candidate 4]]-Audit[[#This Row],[Candidate 4]]</f>
        <v>-6</v>
      </c>
      <c r="W1681" s="111">
        <f>Audit[[#This Row],[Audit Candidate 5]]-Audit[[#This Row],[Candidate 5]]</f>
        <v>0</v>
      </c>
      <c r="X1681" s="111">
        <f>Audit[[#This Row],[Audit Candidate 6]]-Audit[[#This Row],[Candidate 6]]</f>
        <v>0</v>
      </c>
      <c r="Y1681" s="111">
        <f>SUMIF(Audit[[#This Row],[Difference Loser]:[Difference Candidate 6]], "&gt;0")</f>
        <v>0</v>
      </c>
      <c r="Z1681" s="111">
        <f>SUM(Audit[[#This Row],[Difference Loser]:[Difference Candidate 6]])</f>
        <v>-66</v>
      </c>
      <c r="AA1681" s="111">
        <f>IF(Audit[[#This Row],[Times p Drawn - With Replacement]]&gt;0, IF(Audit[[#This Row],[Canceled Differences]]&lt;0, Audit[[#This Row],[Max Differences]]+ABS(Audit[[#This Row],[Canceled Differences]]), Audit[[#This Row],[Max Differences]]), 0)</f>
        <v>0</v>
      </c>
      <c r="AB1681" s="111">
        <f>'Sampling Data'!P1675</f>
        <v>5.2670259676629106E-3</v>
      </c>
      <c r="AC1681" s="111">
        <f>IF(
      SUM(Audit[[#This Row],[Audit Losing Candidate]:[Audit Candidate 6]])
      &lt;&gt;0,
      (Audit[[#This Row],[Winning Candidate]]-Audit[[#This Row],[Losing Candidate]]-(Audit[[#This Row],[Audit Winning Candidate]]-Audit[[#This Row],[Audit Losing Candidate]]))/(Audit[[#Totals],[Winning Candidate]]-Audit[[#Totals],[Losing Candidate]]),
      0
)</f>
        <v>0</v>
      </c>
      <c r="AD16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1" s="111">
        <f>IF(Audit[[#This Row],[Max Relative Error (ep)]] = 0, 0, Audit[[#This Row],[Max Relative Error (ep)]]/Audit[[#This Row],[Error Bound (up) - Max. possible relative overstatement]])</f>
        <v>0</v>
      </c>
      <c r="AJ16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81" s="111">
        <f t="shared" si="26"/>
        <v>1</v>
      </c>
      <c r="AL1681" s="111">
        <f>PRODUCT($AK$5:AK1681)</f>
        <v>8.962823818226312E-2</v>
      </c>
      <c r="AM1681" s="109">
        <f>1 - [K-M P Value]</f>
        <v>0.91037176181773694</v>
      </c>
      <c r="AN1681" s="111" t="str">
        <f>IF(Audit[[#This Row],[K-M P Value]]&gt;1-'General Info'!$B$16,"Continue", "Stop")</f>
        <v>Stop</v>
      </c>
      <c r="AO1681" s="110" t="b">
        <f>IF(Audit[[#This Row],[Status - Continue or stop audit]] = "Continue", TRUE, IF(AN1680 = "Continue", TRUE, FALSE))</f>
        <v>0</v>
      </c>
      <c r="AP1681" s="110"/>
    </row>
    <row r="1682" spans="1:42" ht="15" hidden="1" customHeight="1">
      <c r="A1682" s="111" t="str">
        <f>'Sampling Data'!W1676</f>
        <v/>
      </c>
      <c r="B1682" s="112" t="str">
        <f>'Sampling Data'!A1676</f>
        <v>PARMA -03-D - ABS</v>
      </c>
      <c r="C1682" s="112">
        <f>'Sampling Data'!B1676</f>
        <v>10</v>
      </c>
      <c r="D1682" s="112">
        <f>'Sampling Data'!C1676</f>
        <v>9</v>
      </c>
      <c r="E1682" s="113">
        <f>'Sampling Data'!D1676</f>
        <v>2</v>
      </c>
      <c r="F1682" s="113">
        <f>'Sampling Data'!E1676</f>
        <v>5</v>
      </c>
      <c r="G1682" s="113">
        <f>'Sampling Data'!F1676</f>
        <v>0</v>
      </c>
      <c r="H1682" s="113">
        <f>'Sampling Data'!G1676</f>
        <v>0</v>
      </c>
      <c r="I1682" s="112">
        <f>'Sampling Data'!H1676</f>
        <v>0</v>
      </c>
      <c r="J1682" s="112">
        <f>'Sampling Data'!I1676</f>
        <v>1</v>
      </c>
      <c r="K1682" s="112">
        <f>'Sampling Data'!J1676</f>
        <v>27</v>
      </c>
      <c r="L1682" s="111">
        <f>'Sampling Data'!X1676</f>
        <v>0</v>
      </c>
      <c r="M1682" s="114"/>
      <c r="N1682" s="114"/>
      <c r="O1682" s="115"/>
      <c r="P1682" s="115"/>
      <c r="Q1682" s="116"/>
      <c r="R1682" s="116"/>
      <c r="S1682" s="111">
        <f>Audit[[#This Row],[Audit Losing Candidate]]-Audit[[#This Row],[Losing Candidate]]</f>
        <v>-10</v>
      </c>
      <c r="T1682" s="111">
        <f>Audit[[#This Row],[Audit Winning Candidate]]-Audit[[#This Row],[Winning Candidate]]</f>
        <v>-9</v>
      </c>
      <c r="U1682" s="111">
        <f>Audit[[#This Row],[Audit Candidate 3]]-Audit[[#This Row],[Candidate 3]]</f>
        <v>-2</v>
      </c>
      <c r="V1682" s="111">
        <f>Audit[[#This Row],[Audit Candidate 4]]-Audit[[#This Row],[Candidate 4]]</f>
        <v>-5</v>
      </c>
      <c r="W1682" s="111">
        <f>Audit[[#This Row],[Audit Candidate 5]]-Audit[[#This Row],[Candidate 5]]</f>
        <v>0</v>
      </c>
      <c r="X1682" s="111">
        <f>Audit[[#This Row],[Audit Candidate 6]]-Audit[[#This Row],[Candidate 6]]</f>
        <v>0</v>
      </c>
      <c r="Y1682" s="111">
        <f>SUMIF(Audit[[#This Row],[Difference Loser]:[Difference Candidate 6]], "&gt;0")</f>
        <v>0</v>
      </c>
      <c r="Z1682" s="111">
        <f>SUM(Audit[[#This Row],[Difference Loser]:[Difference Candidate 6]])</f>
        <v>-26</v>
      </c>
      <c r="AA1682" s="111">
        <f>IF(Audit[[#This Row],[Times p Drawn - With Replacement]]&gt;0, IF(Audit[[#This Row],[Canceled Differences]]&lt;0, Audit[[#This Row],[Max Differences]]+ABS(Audit[[#This Row],[Canceled Differences]]), Audit[[#This Row],[Max Differences]]), 0)</f>
        <v>0</v>
      </c>
      <c r="AB1682" s="111">
        <f>'Sampling Data'!P1676</f>
        <v>1.5923566878980893E-3</v>
      </c>
      <c r="AC1682" s="111">
        <f>IF(
      SUM(Audit[[#This Row],[Audit Losing Candidate]:[Audit Candidate 6]])
      &lt;&gt;0,
      (Audit[[#This Row],[Winning Candidate]]-Audit[[#This Row],[Losing Candidate]]-(Audit[[#This Row],[Audit Winning Candidate]]-Audit[[#This Row],[Audit Losing Candidate]]))/(Audit[[#Totals],[Winning Candidate]]-Audit[[#Totals],[Losing Candidate]]),
      0
)</f>
        <v>0</v>
      </c>
      <c r="AD16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2" s="111">
        <f>IF(Audit[[#This Row],[Max Relative Error (ep)]] = 0, 0, Audit[[#This Row],[Max Relative Error (ep)]]/Audit[[#This Row],[Error Bound (up) - Max. possible relative overstatement]])</f>
        <v>0</v>
      </c>
      <c r="AJ16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82" s="111">
        <f t="shared" si="26"/>
        <v>1</v>
      </c>
      <c r="AL1682" s="111">
        <f>PRODUCT($AK$5:AK1682)</f>
        <v>8.962823818226312E-2</v>
      </c>
      <c r="AM1682" s="109">
        <f>1 - [K-M P Value]</f>
        <v>0.91037176181773694</v>
      </c>
      <c r="AN1682" s="111" t="str">
        <f>IF(Audit[[#This Row],[K-M P Value]]&gt;1-'General Info'!$B$16,"Continue", "Stop")</f>
        <v>Stop</v>
      </c>
      <c r="AO1682" s="110" t="b">
        <f>IF(Audit[[#This Row],[Status - Continue or stop audit]] = "Continue", TRUE, IF(AN1681 = "Continue", TRUE, FALSE))</f>
        <v>0</v>
      </c>
      <c r="AP1682" s="110"/>
    </row>
    <row r="1683" spans="1:42" ht="15" hidden="1" customHeight="1">
      <c r="A1683" s="111" t="str">
        <f>'Sampling Data'!W1677</f>
        <v/>
      </c>
      <c r="B1683" s="112" t="str">
        <f>'Sampling Data'!A1677</f>
        <v>PARMA -03-E</v>
      </c>
      <c r="C1683" s="112">
        <f>'Sampling Data'!B1677</f>
        <v>18</v>
      </c>
      <c r="D1683" s="112">
        <f>'Sampling Data'!C1677</f>
        <v>36</v>
      </c>
      <c r="E1683" s="113">
        <f>'Sampling Data'!D1677</f>
        <v>5</v>
      </c>
      <c r="F1683" s="113">
        <f>'Sampling Data'!E1677</f>
        <v>8</v>
      </c>
      <c r="G1683" s="113">
        <f>'Sampling Data'!F1677</f>
        <v>0</v>
      </c>
      <c r="H1683" s="113">
        <f>'Sampling Data'!G1677</f>
        <v>0</v>
      </c>
      <c r="I1683" s="112">
        <f>'Sampling Data'!H1677</f>
        <v>0</v>
      </c>
      <c r="J1683" s="112">
        <f>'Sampling Data'!I1677</f>
        <v>1</v>
      </c>
      <c r="K1683" s="112">
        <f>'Sampling Data'!J1677</f>
        <v>68</v>
      </c>
      <c r="L1683" s="111">
        <f>'Sampling Data'!X1677</f>
        <v>0</v>
      </c>
      <c r="M1683" s="114"/>
      <c r="N1683" s="114"/>
      <c r="O1683" s="115"/>
      <c r="P1683" s="115"/>
      <c r="Q1683" s="116"/>
      <c r="R1683" s="116"/>
      <c r="S1683" s="111">
        <f>Audit[[#This Row],[Audit Losing Candidate]]-Audit[[#This Row],[Losing Candidate]]</f>
        <v>-18</v>
      </c>
      <c r="T1683" s="111">
        <f>Audit[[#This Row],[Audit Winning Candidate]]-Audit[[#This Row],[Winning Candidate]]</f>
        <v>-36</v>
      </c>
      <c r="U1683" s="111">
        <f>Audit[[#This Row],[Audit Candidate 3]]-Audit[[#This Row],[Candidate 3]]</f>
        <v>-5</v>
      </c>
      <c r="V1683" s="111">
        <f>Audit[[#This Row],[Audit Candidate 4]]-Audit[[#This Row],[Candidate 4]]</f>
        <v>-8</v>
      </c>
      <c r="W1683" s="111">
        <f>Audit[[#This Row],[Audit Candidate 5]]-Audit[[#This Row],[Candidate 5]]</f>
        <v>0</v>
      </c>
      <c r="X1683" s="111">
        <f>Audit[[#This Row],[Audit Candidate 6]]-Audit[[#This Row],[Candidate 6]]</f>
        <v>0</v>
      </c>
      <c r="Y1683" s="111">
        <f>SUMIF(Audit[[#This Row],[Difference Loser]:[Difference Candidate 6]], "&gt;0")</f>
        <v>0</v>
      </c>
      <c r="Z1683" s="111">
        <f>SUM(Audit[[#This Row],[Difference Loser]:[Difference Candidate 6]])</f>
        <v>-67</v>
      </c>
      <c r="AA1683" s="111">
        <f>IF(Audit[[#This Row],[Times p Drawn - With Replacement]]&gt;0, IF(Audit[[#This Row],[Canceled Differences]]&lt;0, Audit[[#This Row],[Max Differences]]+ABS(Audit[[#This Row],[Canceled Differences]]), Audit[[#This Row],[Max Differences]]), 0)</f>
        <v>0</v>
      </c>
      <c r="AB1683" s="111">
        <f>'Sampling Data'!P1677</f>
        <v>5.2670259676629106E-3</v>
      </c>
      <c r="AC1683" s="111">
        <f>IF(
      SUM(Audit[[#This Row],[Audit Losing Candidate]:[Audit Candidate 6]])
      &lt;&gt;0,
      (Audit[[#This Row],[Winning Candidate]]-Audit[[#This Row],[Losing Candidate]]-(Audit[[#This Row],[Audit Winning Candidate]]-Audit[[#This Row],[Audit Losing Candidate]]))/(Audit[[#Totals],[Winning Candidate]]-Audit[[#Totals],[Losing Candidate]]),
      0
)</f>
        <v>0</v>
      </c>
      <c r="AD16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3" s="111">
        <f>IF(Audit[[#This Row],[Max Relative Error (ep)]] = 0, 0, Audit[[#This Row],[Max Relative Error (ep)]]/Audit[[#This Row],[Error Bound (up) - Max. possible relative overstatement]])</f>
        <v>0</v>
      </c>
      <c r="AJ16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83" s="111">
        <f t="shared" si="26"/>
        <v>1</v>
      </c>
      <c r="AL1683" s="111">
        <f>PRODUCT($AK$5:AK1683)</f>
        <v>8.962823818226312E-2</v>
      </c>
      <c r="AM1683" s="109">
        <f>1 - [K-M P Value]</f>
        <v>0.91037176181773694</v>
      </c>
      <c r="AN1683" s="111" t="str">
        <f>IF(Audit[[#This Row],[K-M P Value]]&gt;1-'General Info'!$B$16,"Continue", "Stop")</f>
        <v>Stop</v>
      </c>
      <c r="AO1683" s="110" t="b">
        <f>IF(Audit[[#This Row],[Status - Continue or stop audit]] = "Continue", TRUE, IF(AN1682 = "Continue", TRUE, FALSE))</f>
        <v>0</v>
      </c>
      <c r="AP1683" s="110"/>
    </row>
    <row r="1684" spans="1:42" ht="15" hidden="1" customHeight="1">
      <c r="A1684" s="111" t="str">
        <f>'Sampling Data'!W1678</f>
        <v/>
      </c>
      <c r="B1684" s="112" t="str">
        <f>'Sampling Data'!A1678</f>
        <v>PARMA -03-E - ABS</v>
      </c>
      <c r="C1684" s="112">
        <f>'Sampling Data'!B1678</f>
        <v>2</v>
      </c>
      <c r="D1684" s="112">
        <f>'Sampling Data'!C1678</f>
        <v>7</v>
      </c>
      <c r="E1684" s="113">
        <f>'Sampling Data'!D1678</f>
        <v>3</v>
      </c>
      <c r="F1684" s="113">
        <f>'Sampling Data'!E1678</f>
        <v>0</v>
      </c>
      <c r="G1684" s="113">
        <f>'Sampling Data'!F1678</f>
        <v>0</v>
      </c>
      <c r="H1684" s="113">
        <f>'Sampling Data'!G1678</f>
        <v>0</v>
      </c>
      <c r="I1684" s="112">
        <f>'Sampling Data'!H1678</f>
        <v>0</v>
      </c>
      <c r="J1684" s="112">
        <f>'Sampling Data'!I1678</f>
        <v>0</v>
      </c>
      <c r="K1684" s="112">
        <f>'Sampling Data'!J1678</f>
        <v>12</v>
      </c>
      <c r="L1684" s="111">
        <f>'Sampling Data'!X1678</f>
        <v>0</v>
      </c>
      <c r="M1684" s="114"/>
      <c r="N1684" s="114"/>
      <c r="O1684" s="115"/>
      <c r="P1684" s="115"/>
      <c r="Q1684" s="116"/>
      <c r="R1684" s="116"/>
      <c r="S1684" s="111">
        <f>Audit[[#This Row],[Audit Losing Candidate]]-Audit[[#This Row],[Losing Candidate]]</f>
        <v>-2</v>
      </c>
      <c r="T1684" s="111">
        <f>Audit[[#This Row],[Audit Winning Candidate]]-Audit[[#This Row],[Winning Candidate]]</f>
        <v>-7</v>
      </c>
      <c r="U1684" s="111">
        <f>Audit[[#This Row],[Audit Candidate 3]]-Audit[[#This Row],[Candidate 3]]</f>
        <v>-3</v>
      </c>
      <c r="V1684" s="111">
        <f>Audit[[#This Row],[Audit Candidate 4]]-Audit[[#This Row],[Candidate 4]]</f>
        <v>0</v>
      </c>
      <c r="W1684" s="111">
        <f>Audit[[#This Row],[Audit Candidate 5]]-Audit[[#This Row],[Candidate 5]]</f>
        <v>0</v>
      </c>
      <c r="X1684" s="111">
        <f>Audit[[#This Row],[Audit Candidate 6]]-Audit[[#This Row],[Candidate 6]]</f>
        <v>0</v>
      </c>
      <c r="Y1684" s="111">
        <f>SUMIF(Audit[[#This Row],[Difference Loser]:[Difference Candidate 6]], "&gt;0")</f>
        <v>0</v>
      </c>
      <c r="Z1684" s="111">
        <f>SUM(Audit[[#This Row],[Difference Loser]:[Difference Candidate 6]])</f>
        <v>-12</v>
      </c>
      <c r="AA1684" s="111">
        <f>IF(Audit[[#This Row],[Times p Drawn - With Replacement]]&gt;0, IF(Audit[[#This Row],[Canceled Differences]]&lt;0, Audit[[#This Row],[Max Differences]]+ABS(Audit[[#This Row],[Canceled Differences]]), Audit[[#This Row],[Max Differences]]), 0)</f>
        <v>0</v>
      </c>
      <c r="AB1684" s="111">
        <f>'Sampling Data'!P1678</f>
        <v>1.041156295933366E-3</v>
      </c>
      <c r="AC1684" s="111">
        <f>IF(
      SUM(Audit[[#This Row],[Audit Losing Candidate]:[Audit Candidate 6]])
      &lt;&gt;0,
      (Audit[[#This Row],[Winning Candidate]]-Audit[[#This Row],[Losing Candidate]]-(Audit[[#This Row],[Audit Winning Candidate]]-Audit[[#This Row],[Audit Losing Candidate]]))/(Audit[[#Totals],[Winning Candidate]]-Audit[[#Totals],[Losing Candidate]]),
      0
)</f>
        <v>0</v>
      </c>
      <c r="AD16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4" s="111">
        <f>IF(Audit[[#This Row],[Max Relative Error (ep)]] = 0, 0, Audit[[#This Row],[Max Relative Error (ep)]]/Audit[[#This Row],[Error Bound (up) - Max. possible relative overstatement]])</f>
        <v>0</v>
      </c>
      <c r="AJ16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84" s="111">
        <f t="shared" si="26"/>
        <v>1</v>
      </c>
      <c r="AL1684" s="111">
        <f>PRODUCT($AK$5:AK1684)</f>
        <v>8.962823818226312E-2</v>
      </c>
      <c r="AM1684" s="109">
        <f>1 - [K-M P Value]</f>
        <v>0.91037176181773694</v>
      </c>
      <c r="AN1684" s="111" t="str">
        <f>IF(Audit[[#This Row],[K-M P Value]]&gt;1-'General Info'!$B$16,"Continue", "Stop")</f>
        <v>Stop</v>
      </c>
      <c r="AO1684" s="110" t="b">
        <f>IF(Audit[[#This Row],[Status - Continue or stop audit]] = "Continue", TRUE, IF(AN1683 = "Continue", TRUE, FALSE))</f>
        <v>0</v>
      </c>
      <c r="AP1684" s="110"/>
    </row>
    <row r="1685" spans="1:42" ht="15" hidden="1" customHeight="1">
      <c r="A1685" s="111" t="str">
        <f>'Sampling Data'!W1679</f>
        <v/>
      </c>
      <c r="B1685" s="112" t="str">
        <f>'Sampling Data'!A1679</f>
        <v>PARMA -03-F</v>
      </c>
      <c r="C1685" s="112">
        <f>'Sampling Data'!B1679</f>
        <v>19</v>
      </c>
      <c r="D1685" s="112">
        <f>'Sampling Data'!C1679</f>
        <v>25</v>
      </c>
      <c r="E1685" s="113">
        <f>'Sampling Data'!D1679</f>
        <v>7</v>
      </c>
      <c r="F1685" s="113">
        <f>'Sampling Data'!E1679</f>
        <v>19</v>
      </c>
      <c r="G1685" s="113">
        <f>'Sampling Data'!F1679</f>
        <v>0</v>
      </c>
      <c r="H1685" s="113">
        <f>'Sampling Data'!G1679</f>
        <v>1</v>
      </c>
      <c r="I1685" s="112">
        <f>'Sampling Data'!H1679</f>
        <v>1</v>
      </c>
      <c r="J1685" s="112">
        <f>'Sampling Data'!I1679</f>
        <v>1</v>
      </c>
      <c r="K1685" s="112">
        <f>'Sampling Data'!J1679</f>
        <v>73</v>
      </c>
      <c r="L1685" s="111">
        <f>'Sampling Data'!X1679</f>
        <v>0</v>
      </c>
      <c r="M1685" s="114"/>
      <c r="N1685" s="114"/>
      <c r="O1685" s="115"/>
      <c r="P1685" s="115"/>
      <c r="Q1685" s="116"/>
      <c r="R1685" s="116"/>
      <c r="S1685" s="111">
        <f>Audit[[#This Row],[Audit Losing Candidate]]-Audit[[#This Row],[Losing Candidate]]</f>
        <v>-19</v>
      </c>
      <c r="T1685" s="111">
        <f>Audit[[#This Row],[Audit Winning Candidate]]-Audit[[#This Row],[Winning Candidate]]</f>
        <v>-25</v>
      </c>
      <c r="U1685" s="111">
        <f>Audit[[#This Row],[Audit Candidate 3]]-Audit[[#This Row],[Candidate 3]]</f>
        <v>-7</v>
      </c>
      <c r="V1685" s="111">
        <f>Audit[[#This Row],[Audit Candidate 4]]-Audit[[#This Row],[Candidate 4]]</f>
        <v>-19</v>
      </c>
      <c r="W1685" s="111">
        <f>Audit[[#This Row],[Audit Candidate 5]]-Audit[[#This Row],[Candidate 5]]</f>
        <v>0</v>
      </c>
      <c r="X1685" s="111">
        <f>Audit[[#This Row],[Audit Candidate 6]]-Audit[[#This Row],[Candidate 6]]</f>
        <v>-1</v>
      </c>
      <c r="Y1685" s="111">
        <f>SUMIF(Audit[[#This Row],[Difference Loser]:[Difference Candidate 6]], "&gt;0")</f>
        <v>0</v>
      </c>
      <c r="Z1685" s="111">
        <f>SUM(Audit[[#This Row],[Difference Loser]:[Difference Candidate 6]])</f>
        <v>-71</v>
      </c>
      <c r="AA1685" s="111">
        <f>IF(Audit[[#This Row],[Times p Drawn - With Replacement]]&gt;0, IF(Audit[[#This Row],[Canceled Differences]]&lt;0, Audit[[#This Row],[Max Differences]]+ABS(Audit[[#This Row],[Canceled Differences]]), Audit[[#This Row],[Max Differences]]), 0)</f>
        <v>0</v>
      </c>
      <c r="AB1685" s="111">
        <f>'Sampling Data'!P1679</f>
        <v>4.8383145516903477E-3</v>
      </c>
      <c r="AC1685" s="111">
        <f>IF(
      SUM(Audit[[#This Row],[Audit Losing Candidate]:[Audit Candidate 6]])
      &lt;&gt;0,
      (Audit[[#This Row],[Winning Candidate]]-Audit[[#This Row],[Losing Candidate]]-(Audit[[#This Row],[Audit Winning Candidate]]-Audit[[#This Row],[Audit Losing Candidate]]))/(Audit[[#Totals],[Winning Candidate]]-Audit[[#Totals],[Losing Candidate]]),
      0
)</f>
        <v>0</v>
      </c>
      <c r="AD16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5" s="111">
        <f>IF(Audit[[#This Row],[Max Relative Error (ep)]] = 0, 0, Audit[[#This Row],[Max Relative Error (ep)]]/Audit[[#This Row],[Error Bound (up) - Max. possible relative overstatement]])</f>
        <v>0</v>
      </c>
      <c r="AJ16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85" s="111">
        <f t="shared" si="26"/>
        <v>1</v>
      </c>
      <c r="AL1685" s="111">
        <f>PRODUCT($AK$5:AK1685)</f>
        <v>8.962823818226312E-2</v>
      </c>
      <c r="AM1685" s="109">
        <f>1 - [K-M P Value]</f>
        <v>0.91037176181773694</v>
      </c>
      <c r="AN1685" s="111" t="str">
        <f>IF(Audit[[#This Row],[K-M P Value]]&gt;1-'General Info'!$B$16,"Continue", "Stop")</f>
        <v>Stop</v>
      </c>
      <c r="AO1685" s="110" t="b">
        <f>IF(Audit[[#This Row],[Status - Continue or stop audit]] = "Continue", TRUE, IF(AN1684 = "Continue", TRUE, FALSE))</f>
        <v>0</v>
      </c>
      <c r="AP1685" s="110"/>
    </row>
    <row r="1686" spans="1:42" ht="15" hidden="1" customHeight="1">
      <c r="A1686" s="111" t="str">
        <f>'Sampling Data'!W1680</f>
        <v/>
      </c>
      <c r="B1686" s="112" t="str">
        <f>'Sampling Data'!A1680</f>
        <v>PARMA -03-F - ABS</v>
      </c>
      <c r="C1686" s="112">
        <f>'Sampling Data'!B1680</f>
        <v>12</v>
      </c>
      <c r="D1686" s="112">
        <f>'Sampling Data'!C1680</f>
        <v>10</v>
      </c>
      <c r="E1686" s="113">
        <f>'Sampling Data'!D1680</f>
        <v>4</v>
      </c>
      <c r="F1686" s="113">
        <f>'Sampling Data'!E1680</f>
        <v>1</v>
      </c>
      <c r="G1686" s="113">
        <f>'Sampling Data'!F1680</f>
        <v>1</v>
      </c>
      <c r="H1686" s="113">
        <f>'Sampling Data'!G1680</f>
        <v>0</v>
      </c>
      <c r="I1686" s="112">
        <f>'Sampling Data'!H1680</f>
        <v>0</v>
      </c>
      <c r="J1686" s="112">
        <f>'Sampling Data'!I1680</f>
        <v>0</v>
      </c>
      <c r="K1686" s="112">
        <f>'Sampling Data'!J1680</f>
        <v>28</v>
      </c>
      <c r="L1686" s="111">
        <f>'Sampling Data'!X1680</f>
        <v>0</v>
      </c>
      <c r="M1686" s="114"/>
      <c r="N1686" s="114"/>
      <c r="O1686" s="115"/>
      <c r="P1686" s="115"/>
      <c r="Q1686" s="116"/>
      <c r="R1686" s="116"/>
      <c r="S1686" s="111">
        <f>Audit[[#This Row],[Audit Losing Candidate]]-Audit[[#This Row],[Losing Candidate]]</f>
        <v>-12</v>
      </c>
      <c r="T1686" s="111">
        <f>Audit[[#This Row],[Audit Winning Candidate]]-Audit[[#This Row],[Winning Candidate]]</f>
        <v>-10</v>
      </c>
      <c r="U1686" s="111">
        <f>Audit[[#This Row],[Audit Candidate 3]]-Audit[[#This Row],[Candidate 3]]</f>
        <v>-4</v>
      </c>
      <c r="V1686" s="111">
        <f>Audit[[#This Row],[Audit Candidate 4]]-Audit[[#This Row],[Candidate 4]]</f>
        <v>-1</v>
      </c>
      <c r="W1686" s="111">
        <f>Audit[[#This Row],[Audit Candidate 5]]-Audit[[#This Row],[Candidate 5]]</f>
        <v>-1</v>
      </c>
      <c r="X1686" s="111">
        <f>Audit[[#This Row],[Audit Candidate 6]]-Audit[[#This Row],[Candidate 6]]</f>
        <v>0</v>
      </c>
      <c r="Y1686" s="111">
        <f>SUMIF(Audit[[#This Row],[Difference Loser]:[Difference Candidate 6]], "&gt;0")</f>
        <v>0</v>
      </c>
      <c r="Z1686" s="111">
        <f>SUM(Audit[[#This Row],[Difference Loser]:[Difference Candidate 6]])</f>
        <v>-28</v>
      </c>
      <c r="AA1686" s="111">
        <f>IF(Audit[[#This Row],[Times p Drawn - With Replacement]]&gt;0, IF(Audit[[#This Row],[Canceled Differences]]&lt;0, Audit[[#This Row],[Max Differences]]+ABS(Audit[[#This Row],[Canceled Differences]]), Audit[[#This Row],[Max Differences]]), 0)</f>
        <v>0</v>
      </c>
      <c r="AB1686" s="111">
        <f>'Sampling Data'!P1680</f>
        <v>1.5923566878980893E-3</v>
      </c>
      <c r="AC1686" s="111">
        <f>IF(
      SUM(Audit[[#This Row],[Audit Losing Candidate]:[Audit Candidate 6]])
      &lt;&gt;0,
      (Audit[[#This Row],[Winning Candidate]]-Audit[[#This Row],[Losing Candidate]]-(Audit[[#This Row],[Audit Winning Candidate]]-Audit[[#This Row],[Audit Losing Candidate]]))/(Audit[[#Totals],[Winning Candidate]]-Audit[[#Totals],[Losing Candidate]]),
      0
)</f>
        <v>0</v>
      </c>
      <c r="AD16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6" s="111">
        <f>IF(Audit[[#This Row],[Max Relative Error (ep)]] = 0, 0, Audit[[#This Row],[Max Relative Error (ep)]]/Audit[[#This Row],[Error Bound (up) - Max. possible relative overstatement]])</f>
        <v>0</v>
      </c>
      <c r="AJ16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86" s="111">
        <f t="shared" si="26"/>
        <v>1</v>
      </c>
      <c r="AL1686" s="111">
        <f>PRODUCT($AK$5:AK1686)</f>
        <v>8.962823818226312E-2</v>
      </c>
      <c r="AM1686" s="109">
        <f>1 - [K-M P Value]</f>
        <v>0.91037176181773694</v>
      </c>
      <c r="AN1686" s="111" t="str">
        <f>IF(Audit[[#This Row],[K-M P Value]]&gt;1-'General Info'!$B$16,"Continue", "Stop")</f>
        <v>Stop</v>
      </c>
      <c r="AO1686" s="110" t="b">
        <f>IF(Audit[[#This Row],[Status - Continue or stop audit]] = "Continue", TRUE, IF(AN1685 = "Continue", TRUE, FALSE))</f>
        <v>0</v>
      </c>
      <c r="AP1686" s="110"/>
    </row>
    <row r="1687" spans="1:42" ht="15" hidden="1" customHeight="1">
      <c r="A1687" s="111" t="str">
        <f>'Sampling Data'!W1681</f>
        <v/>
      </c>
      <c r="B1687" s="112" t="str">
        <f>'Sampling Data'!A1681</f>
        <v>PARMA -03-G</v>
      </c>
      <c r="C1687" s="112">
        <f>'Sampling Data'!B1681</f>
        <v>25</v>
      </c>
      <c r="D1687" s="112">
        <f>'Sampling Data'!C1681</f>
        <v>14</v>
      </c>
      <c r="E1687" s="113">
        <f>'Sampling Data'!D1681</f>
        <v>7</v>
      </c>
      <c r="F1687" s="113">
        <f>'Sampling Data'!E1681</f>
        <v>13</v>
      </c>
      <c r="G1687" s="113">
        <f>'Sampling Data'!F1681</f>
        <v>0</v>
      </c>
      <c r="H1687" s="113">
        <f>'Sampling Data'!G1681</f>
        <v>0</v>
      </c>
      <c r="I1687" s="112">
        <f>'Sampling Data'!H1681</f>
        <v>0</v>
      </c>
      <c r="J1687" s="112">
        <f>'Sampling Data'!I1681</f>
        <v>1</v>
      </c>
      <c r="K1687" s="112">
        <f>'Sampling Data'!J1681</f>
        <v>60</v>
      </c>
      <c r="L1687" s="111">
        <f>'Sampling Data'!X1681</f>
        <v>0</v>
      </c>
      <c r="M1687" s="114"/>
      <c r="N1687" s="114"/>
      <c r="O1687" s="115"/>
      <c r="P1687" s="115"/>
      <c r="Q1687" s="116"/>
      <c r="R1687" s="116"/>
      <c r="S1687" s="111">
        <f>Audit[[#This Row],[Audit Losing Candidate]]-Audit[[#This Row],[Losing Candidate]]</f>
        <v>-25</v>
      </c>
      <c r="T1687" s="111">
        <f>Audit[[#This Row],[Audit Winning Candidate]]-Audit[[#This Row],[Winning Candidate]]</f>
        <v>-14</v>
      </c>
      <c r="U1687" s="111">
        <f>Audit[[#This Row],[Audit Candidate 3]]-Audit[[#This Row],[Candidate 3]]</f>
        <v>-7</v>
      </c>
      <c r="V1687" s="111">
        <f>Audit[[#This Row],[Audit Candidate 4]]-Audit[[#This Row],[Candidate 4]]</f>
        <v>-13</v>
      </c>
      <c r="W1687" s="111">
        <f>Audit[[#This Row],[Audit Candidate 5]]-Audit[[#This Row],[Candidate 5]]</f>
        <v>0</v>
      </c>
      <c r="X1687" s="111">
        <f>Audit[[#This Row],[Audit Candidate 6]]-Audit[[#This Row],[Candidate 6]]</f>
        <v>0</v>
      </c>
      <c r="Y1687" s="111">
        <f>SUMIF(Audit[[#This Row],[Difference Loser]:[Difference Candidate 6]], "&gt;0")</f>
        <v>0</v>
      </c>
      <c r="Z1687" s="111">
        <f>SUM(Audit[[#This Row],[Difference Loser]:[Difference Candidate 6]])</f>
        <v>-59</v>
      </c>
      <c r="AA1687" s="111">
        <f>IF(Audit[[#This Row],[Times p Drawn - With Replacement]]&gt;0, IF(Audit[[#This Row],[Canceled Differences]]&lt;0, Audit[[#This Row],[Max Differences]]+ABS(Audit[[#This Row],[Canceled Differences]]), Audit[[#This Row],[Max Differences]]), 0)</f>
        <v>0</v>
      </c>
      <c r="AB1687" s="111">
        <f>'Sampling Data'!P1681</f>
        <v>3.0009799118079373E-3</v>
      </c>
      <c r="AC1687" s="111">
        <f>IF(
      SUM(Audit[[#This Row],[Audit Losing Candidate]:[Audit Candidate 6]])
      &lt;&gt;0,
      (Audit[[#This Row],[Winning Candidate]]-Audit[[#This Row],[Losing Candidate]]-(Audit[[#This Row],[Audit Winning Candidate]]-Audit[[#This Row],[Audit Losing Candidate]]))/(Audit[[#Totals],[Winning Candidate]]-Audit[[#Totals],[Losing Candidate]]),
      0
)</f>
        <v>0</v>
      </c>
      <c r="AD16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7" s="111">
        <f>IF(Audit[[#This Row],[Max Relative Error (ep)]] = 0, 0, Audit[[#This Row],[Max Relative Error (ep)]]/Audit[[#This Row],[Error Bound (up) - Max. possible relative overstatement]])</f>
        <v>0</v>
      </c>
      <c r="AJ16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87" s="111">
        <f t="shared" si="26"/>
        <v>1</v>
      </c>
      <c r="AL1687" s="111">
        <f>PRODUCT($AK$5:AK1687)</f>
        <v>8.962823818226312E-2</v>
      </c>
      <c r="AM1687" s="109">
        <f>1 - [K-M P Value]</f>
        <v>0.91037176181773694</v>
      </c>
      <c r="AN1687" s="111" t="str">
        <f>IF(Audit[[#This Row],[K-M P Value]]&gt;1-'General Info'!$B$16,"Continue", "Stop")</f>
        <v>Stop</v>
      </c>
      <c r="AO1687" s="110" t="b">
        <f>IF(Audit[[#This Row],[Status - Continue or stop audit]] = "Continue", TRUE, IF(AN1686 = "Continue", TRUE, FALSE))</f>
        <v>0</v>
      </c>
      <c r="AP1687" s="110"/>
    </row>
    <row r="1688" spans="1:42" ht="15" hidden="1" customHeight="1">
      <c r="A1688" s="111" t="str">
        <f>'Sampling Data'!W1682</f>
        <v/>
      </c>
      <c r="B1688" s="112" t="str">
        <f>'Sampling Data'!A1682</f>
        <v>PARMA -03-G - ABS</v>
      </c>
      <c r="C1688" s="112">
        <f>'Sampling Data'!B1682</f>
        <v>0</v>
      </c>
      <c r="D1688" s="112">
        <f>'Sampling Data'!C1682</f>
        <v>3</v>
      </c>
      <c r="E1688" s="113">
        <f>'Sampling Data'!D1682</f>
        <v>4</v>
      </c>
      <c r="F1688" s="113">
        <f>'Sampling Data'!E1682</f>
        <v>1</v>
      </c>
      <c r="G1688" s="113">
        <f>'Sampling Data'!F1682</f>
        <v>0</v>
      </c>
      <c r="H1688" s="113">
        <f>'Sampling Data'!G1682</f>
        <v>0</v>
      </c>
      <c r="I1688" s="112">
        <f>'Sampling Data'!H1682</f>
        <v>0</v>
      </c>
      <c r="J1688" s="112">
        <f>'Sampling Data'!I1682</f>
        <v>0</v>
      </c>
      <c r="K1688" s="112">
        <f>'Sampling Data'!J1682</f>
        <v>8</v>
      </c>
      <c r="L1688" s="111">
        <f>'Sampling Data'!X1682</f>
        <v>0</v>
      </c>
      <c r="M1688" s="114"/>
      <c r="N1688" s="114"/>
      <c r="O1688" s="115"/>
      <c r="P1688" s="115"/>
      <c r="Q1688" s="116"/>
      <c r="R1688" s="116"/>
      <c r="S1688" s="111">
        <f>Audit[[#This Row],[Audit Losing Candidate]]-Audit[[#This Row],[Losing Candidate]]</f>
        <v>0</v>
      </c>
      <c r="T1688" s="111">
        <f>Audit[[#This Row],[Audit Winning Candidate]]-Audit[[#This Row],[Winning Candidate]]</f>
        <v>-3</v>
      </c>
      <c r="U1688" s="111">
        <f>Audit[[#This Row],[Audit Candidate 3]]-Audit[[#This Row],[Candidate 3]]</f>
        <v>-4</v>
      </c>
      <c r="V1688" s="111">
        <f>Audit[[#This Row],[Audit Candidate 4]]-Audit[[#This Row],[Candidate 4]]</f>
        <v>-1</v>
      </c>
      <c r="W1688" s="111">
        <f>Audit[[#This Row],[Audit Candidate 5]]-Audit[[#This Row],[Candidate 5]]</f>
        <v>0</v>
      </c>
      <c r="X1688" s="111">
        <f>Audit[[#This Row],[Audit Candidate 6]]-Audit[[#This Row],[Candidate 6]]</f>
        <v>0</v>
      </c>
      <c r="Y1688" s="111">
        <f>SUMIF(Audit[[#This Row],[Difference Loser]:[Difference Candidate 6]], "&gt;0")</f>
        <v>0</v>
      </c>
      <c r="Z1688" s="111">
        <f>SUM(Audit[[#This Row],[Difference Loser]:[Difference Candidate 6]])</f>
        <v>-8</v>
      </c>
      <c r="AA1688" s="111">
        <f>IF(Audit[[#This Row],[Times p Drawn - With Replacement]]&gt;0, IF(Audit[[#This Row],[Canceled Differences]]&lt;0, Audit[[#This Row],[Max Differences]]+ABS(Audit[[#This Row],[Canceled Differences]]), Audit[[#This Row],[Max Differences]]), 0)</f>
        <v>0</v>
      </c>
      <c r="AB1688" s="111">
        <f>'Sampling Data'!P1682</f>
        <v>6.7368936795688392E-4</v>
      </c>
      <c r="AC1688" s="111">
        <f>IF(
      SUM(Audit[[#This Row],[Audit Losing Candidate]:[Audit Candidate 6]])
      &lt;&gt;0,
      (Audit[[#This Row],[Winning Candidate]]-Audit[[#This Row],[Losing Candidate]]-(Audit[[#This Row],[Audit Winning Candidate]]-Audit[[#This Row],[Audit Losing Candidate]]))/(Audit[[#Totals],[Winning Candidate]]-Audit[[#Totals],[Losing Candidate]]),
      0
)</f>
        <v>0</v>
      </c>
      <c r="AD16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8" s="111">
        <f>IF(Audit[[#This Row],[Max Relative Error (ep)]] = 0, 0, Audit[[#This Row],[Max Relative Error (ep)]]/Audit[[#This Row],[Error Bound (up) - Max. possible relative overstatement]])</f>
        <v>0</v>
      </c>
      <c r="AJ16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88" s="111">
        <f t="shared" si="26"/>
        <v>1</v>
      </c>
      <c r="AL1688" s="111">
        <f>PRODUCT($AK$5:AK1688)</f>
        <v>8.962823818226312E-2</v>
      </c>
      <c r="AM1688" s="109">
        <f>1 - [K-M P Value]</f>
        <v>0.91037176181773694</v>
      </c>
      <c r="AN1688" s="111" t="str">
        <f>IF(Audit[[#This Row],[K-M P Value]]&gt;1-'General Info'!$B$16,"Continue", "Stop")</f>
        <v>Stop</v>
      </c>
      <c r="AO1688" s="110" t="b">
        <f>IF(Audit[[#This Row],[Status - Continue or stop audit]] = "Continue", TRUE, IF(AN1687 = "Continue", TRUE, FALSE))</f>
        <v>0</v>
      </c>
      <c r="AP1688" s="110"/>
    </row>
    <row r="1689" spans="1:42" ht="15" hidden="1" customHeight="1">
      <c r="A1689" s="111" t="str">
        <f>'Sampling Data'!W1683</f>
        <v/>
      </c>
      <c r="B1689" s="112" t="str">
        <f>'Sampling Data'!A1683</f>
        <v>PARMA -04-A</v>
      </c>
      <c r="C1689" s="112">
        <f>'Sampling Data'!B1683</f>
        <v>31</v>
      </c>
      <c r="D1689" s="112">
        <f>'Sampling Data'!C1683</f>
        <v>10</v>
      </c>
      <c r="E1689" s="113">
        <f>'Sampling Data'!D1683</f>
        <v>7</v>
      </c>
      <c r="F1689" s="113">
        <f>'Sampling Data'!E1683</f>
        <v>6</v>
      </c>
      <c r="G1689" s="113">
        <f>'Sampling Data'!F1683</f>
        <v>0</v>
      </c>
      <c r="H1689" s="113">
        <f>'Sampling Data'!G1683</f>
        <v>0</v>
      </c>
      <c r="I1689" s="112">
        <f>'Sampling Data'!H1683</f>
        <v>0</v>
      </c>
      <c r="J1689" s="112">
        <f>'Sampling Data'!I1683</f>
        <v>1</v>
      </c>
      <c r="K1689" s="112">
        <f>'Sampling Data'!J1683</f>
        <v>55</v>
      </c>
      <c r="L1689" s="111">
        <f>'Sampling Data'!X1683</f>
        <v>0</v>
      </c>
      <c r="M1689" s="114"/>
      <c r="N1689" s="114"/>
      <c r="O1689" s="115"/>
      <c r="P1689" s="115"/>
      <c r="Q1689" s="116"/>
      <c r="R1689" s="116"/>
      <c r="S1689" s="111">
        <f>Audit[[#This Row],[Audit Losing Candidate]]-Audit[[#This Row],[Losing Candidate]]</f>
        <v>-31</v>
      </c>
      <c r="T1689" s="111">
        <f>Audit[[#This Row],[Audit Winning Candidate]]-Audit[[#This Row],[Winning Candidate]]</f>
        <v>-10</v>
      </c>
      <c r="U1689" s="111">
        <f>Audit[[#This Row],[Audit Candidate 3]]-Audit[[#This Row],[Candidate 3]]</f>
        <v>-7</v>
      </c>
      <c r="V1689" s="111">
        <f>Audit[[#This Row],[Audit Candidate 4]]-Audit[[#This Row],[Candidate 4]]</f>
        <v>-6</v>
      </c>
      <c r="W1689" s="111">
        <f>Audit[[#This Row],[Audit Candidate 5]]-Audit[[#This Row],[Candidate 5]]</f>
        <v>0</v>
      </c>
      <c r="X1689" s="111">
        <f>Audit[[#This Row],[Audit Candidate 6]]-Audit[[#This Row],[Candidate 6]]</f>
        <v>0</v>
      </c>
      <c r="Y1689" s="111">
        <f>SUMIF(Audit[[#This Row],[Difference Loser]:[Difference Candidate 6]], "&gt;0")</f>
        <v>0</v>
      </c>
      <c r="Z1689" s="111">
        <f>SUM(Audit[[#This Row],[Difference Loser]:[Difference Candidate 6]])</f>
        <v>-54</v>
      </c>
      <c r="AA1689" s="111">
        <f>IF(Audit[[#This Row],[Times p Drawn - With Replacement]]&gt;0, IF(Audit[[#This Row],[Canceled Differences]]&lt;0, Audit[[#This Row],[Max Differences]]+ABS(Audit[[#This Row],[Canceled Differences]]), Audit[[#This Row],[Max Differences]]), 0)</f>
        <v>0</v>
      </c>
      <c r="AB1689" s="111">
        <f>'Sampling Data'!P1683</f>
        <v>2.0823125918667321E-3</v>
      </c>
      <c r="AC1689" s="111">
        <f>IF(
      SUM(Audit[[#This Row],[Audit Losing Candidate]:[Audit Candidate 6]])
      &lt;&gt;0,
      (Audit[[#This Row],[Winning Candidate]]-Audit[[#This Row],[Losing Candidate]]-(Audit[[#This Row],[Audit Winning Candidate]]-Audit[[#This Row],[Audit Losing Candidate]]))/(Audit[[#Totals],[Winning Candidate]]-Audit[[#Totals],[Losing Candidate]]),
      0
)</f>
        <v>0</v>
      </c>
      <c r="AD16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9" s="111">
        <f>IF(Audit[[#This Row],[Max Relative Error (ep)]] = 0, 0, Audit[[#This Row],[Max Relative Error (ep)]]/Audit[[#This Row],[Error Bound (up) - Max. possible relative overstatement]])</f>
        <v>0</v>
      </c>
      <c r="AJ16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89" s="111">
        <f t="shared" si="26"/>
        <v>1</v>
      </c>
      <c r="AL1689" s="111">
        <f>PRODUCT($AK$5:AK1689)</f>
        <v>8.962823818226312E-2</v>
      </c>
      <c r="AM1689" s="109">
        <f>1 - [K-M P Value]</f>
        <v>0.91037176181773694</v>
      </c>
      <c r="AN1689" s="111" t="str">
        <f>IF(Audit[[#This Row],[K-M P Value]]&gt;1-'General Info'!$B$16,"Continue", "Stop")</f>
        <v>Stop</v>
      </c>
      <c r="AO1689" s="110" t="b">
        <f>IF(Audit[[#This Row],[Status - Continue or stop audit]] = "Continue", TRUE, IF(AN1688 = "Continue", TRUE, FALSE))</f>
        <v>0</v>
      </c>
      <c r="AP1689" s="110"/>
    </row>
    <row r="1690" spans="1:42" ht="15" hidden="1" customHeight="1">
      <c r="A1690" s="111" t="str">
        <f>'Sampling Data'!W1684</f>
        <v/>
      </c>
      <c r="B1690" s="112" t="str">
        <f>'Sampling Data'!A1684</f>
        <v>PARMA -04-A - ABS</v>
      </c>
      <c r="C1690" s="112">
        <f>'Sampling Data'!B1684</f>
        <v>9</v>
      </c>
      <c r="D1690" s="112">
        <f>'Sampling Data'!C1684</f>
        <v>7</v>
      </c>
      <c r="E1690" s="113">
        <f>'Sampling Data'!D1684</f>
        <v>3</v>
      </c>
      <c r="F1690" s="113">
        <f>'Sampling Data'!E1684</f>
        <v>4</v>
      </c>
      <c r="G1690" s="113">
        <f>'Sampling Data'!F1684</f>
        <v>0</v>
      </c>
      <c r="H1690" s="113">
        <f>'Sampling Data'!G1684</f>
        <v>3</v>
      </c>
      <c r="I1690" s="112">
        <f>'Sampling Data'!H1684</f>
        <v>0</v>
      </c>
      <c r="J1690" s="112">
        <f>'Sampling Data'!I1684</f>
        <v>1</v>
      </c>
      <c r="K1690" s="112">
        <f>'Sampling Data'!J1684</f>
        <v>27</v>
      </c>
      <c r="L1690" s="111">
        <f>'Sampling Data'!X1684</f>
        <v>0</v>
      </c>
      <c r="M1690" s="114"/>
      <c r="N1690" s="114"/>
      <c r="O1690" s="115"/>
      <c r="P1690" s="115"/>
      <c r="Q1690" s="116"/>
      <c r="R1690" s="116"/>
      <c r="S1690" s="111">
        <f>Audit[[#This Row],[Audit Losing Candidate]]-Audit[[#This Row],[Losing Candidate]]</f>
        <v>-9</v>
      </c>
      <c r="T1690" s="111">
        <f>Audit[[#This Row],[Audit Winning Candidate]]-Audit[[#This Row],[Winning Candidate]]</f>
        <v>-7</v>
      </c>
      <c r="U1690" s="111">
        <f>Audit[[#This Row],[Audit Candidate 3]]-Audit[[#This Row],[Candidate 3]]</f>
        <v>-3</v>
      </c>
      <c r="V1690" s="111">
        <f>Audit[[#This Row],[Audit Candidate 4]]-Audit[[#This Row],[Candidate 4]]</f>
        <v>-4</v>
      </c>
      <c r="W1690" s="111">
        <f>Audit[[#This Row],[Audit Candidate 5]]-Audit[[#This Row],[Candidate 5]]</f>
        <v>0</v>
      </c>
      <c r="X1690" s="111">
        <f>Audit[[#This Row],[Audit Candidate 6]]-Audit[[#This Row],[Candidate 6]]</f>
        <v>-3</v>
      </c>
      <c r="Y1690" s="111">
        <f>SUMIF(Audit[[#This Row],[Difference Loser]:[Difference Candidate 6]], "&gt;0")</f>
        <v>0</v>
      </c>
      <c r="Z1690" s="111">
        <f>SUM(Audit[[#This Row],[Difference Loser]:[Difference Candidate 6]])</f>
        <v>-26</v>
      </c>
      <c r="AA1690" s="111">
        <f>IF(Audit[[#This Row],[Times p Drawn - With Replacement]]&gt;0, IF(Audit[[#This Row],[Canceled Differences]]&lt;0, Audit[[#This Row],[Max Differences]]+ABS(Audit[[#This Row],[Canceled Differences]]), Audit[[#This Row],[Max Differences]]), 0)</f>
        <v>0</v>
      </c>
      <c r="AB1690" s="111">
        <f>'Sampling Data'!P1684</f>
        <v>1.5311121999020088E-3</v>
      </c>
      <c r="AC1690" s="111">
        <f>IF(
      SUM(Audit[[#This Row],[Audit Losing Candidate]:[Audit Candidate 6]])
      &lt;&gt;0,
      (Audit[[#This Row],[Winning Candidate]]-Audit[[#This Row],[Losing Candidate]]-(Audit[[#This Row],[Audit Winning Candidate]]-Audit[[#This Row],[Audit Losing Candidate]]))/(Audit[[#Totals],[Winning Candidate]]-Audit[[#Totals],[Losing Candidate]]),
      0
)</f>
        <v>0</v>
      </c>
      <c r="AD16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0" s="111">
        <f>IF(Audit[[#This Row],[Max Relative Error (ep)]] = 0, 0, Audit[[#This Row],[Max Relative Error (ep)]]/Audit[[#This Row],[Error Bound (up) - Max. possible relative overstatement]])</f>
        <v>0</v>
      </c>
      <c r="AJ16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90" s="111">
        <f t="shared" si="26"/>
        <v>1</v>
      </c>
      <c r="AL1690" s="111">
        <f>PRODUCT($AK$5:AK1690)</f>
        <v>8.962823818226312E-2</v>
      </c>
      <c r="AM1690" s="109">
        <f>1 - [K-M P Value]</f>
        <v>0.91037176181773694</v>
      </c>
      <c r="AN1690" s="111" t="str">
        <f>IF(Audit[[#This Row],[K-M P Value]]&gt;1-'General Info'!$B$16,"Continue", "Stop")</f>
        <v>Stop</v>
      </c>
      <c r="AO1690" s="110" t="b">
        <f>IF(Audit[[#This Row],[Status - Continue or stop audit]] = "Continue", TRUE, IF(AN1689 = "Continue", TRUE, FALSE))</f>
        <v>0</v>
      </c>
      <c r="AP1690" s="110"/>
    </row>
    <row r="1691" spans="1:42" ht="15" hidden="1" customHeight="1">
      <c r="A1691" s="111" t="str">
        <f>'Sampling Data'!W1685</f>
        <v/>
      </c>
      <c r="B1691" s="112" t="str">
        <f>'Sampling Data'!A1685</f>
        <v>PARMA -04-B</v>
      </c>
      <c r="C1691" s="112">
        <f>'Sampling Data'!B1685</f>
        <v>13</v>
      </c>
      <c r="D1691" s="112">
        <f>'Sampling Data'!C1685</f>
        <v>31</v>
      </c>
      <c r="E1691" s="113">
        <f>'Sampling Data'!D1685</f>
        <v>16</v>
      </c>
      <c r="F1691" s="113">
        <f>'Sampling Data'!E1685</f>
        <v>14</v>
      </c>
      <c r="G1691" s="113">
        <f>'Sampling Data'!F1685</f>
        <v>0</v>
      </c>
      <c r="H1691" s="113">
        <f>'Sampling Data'!G1685</f>
        <v>1</v>
      </c>
      <c r="I1691" s="112">
        <f>'Sampling Data'!H1685</f>
        <v>0</v>
      </c>
      <c r="J1691" s="112">
        <f>'Sampling Data'!I1685</f>
        <v>1</v>
      </c>
      <c r="K1691" s="112">
        <f>'Sampling Data'!J1685</f>
        <v>76</v>
      </c>
      <c r="L1691" s="111">
        <f>'Sampling Data'!X1685</f>
        <v>0</v>
      </c>
      <c r="M1691" s="114"/>
      <c r="N1691" s="114"/>
      <c r="O1691" s="115"/>
      <c r="P1691" s="115"/>
      <c r="Q1691" s="116"/>
      <c r="R1691" s="116"/>
      <c r="S1691" s="111">
        <f>Audit[[#This Row],[Audit Losing Candidate]]-Audit[[#This Row],[Losing Candidate]]</f>
        <v>-13</v>
      </c>
      <c r="T1691" s="111">
        <f>Audit[[#This Row],[Audit Winning Candidate]]-Audit[[#This Row],[Winning Candidate]]</f>
        <v>-31</v>
      </c>
      <c r="U1691" s="111">
        <f>Audit[[#This Row],[Audit Candidate 3]]-Audit[[#This Row],[Candidate 3]]</f>
        <v>-16</v>
      </c>
      <c r="V1691" s="111">
        <f>Audit[[#This Row],[Audit Candidate 4]]-Audit[[#This Row],[Candidate 4]]</f>
        <v>-14</v>
      </c>
      <c r="W1691" s="111">
        <f>Audit[[#This Row],[Audit Candidate 5]]-Audit[[#This Row],[Candidate 5]]</f>
        <v>0</v>
      </c>
      <c r="X1691" s="111">
        <f>Audit[[#This Row],[Audit Candidate 6]]-Audit[[#This Row],[Candidate 6]]</f>
        <v>-1</v>
      </c>
      <c r="Y1691" s="111">
        <f>SUMIF(Audit[[#This Row],[Difference Loser]:[Difference Candidate 6]], "&gt;0")</f>
        <v>0</v>
      </c>
      <c r="Z1691" s="111">
        <f>SUM(Audit[[#This Row],[Difference Loser]:[Difference Candidate 6]])</f>
        <v>-75</v>
      </c>
      <c r="AA1691" s="111">
        <f>IF(Audit[[#This Row],[Times p Drawn - With Replacement]]&gt;0, IF(Audit[[#This Row],[Canceled Differences]]&lt;0, Audit[[#This Row],[Max Differences]]+ABS(Audit[[#This Row],[Canceled Differences]]), Audit[[#This Row],[Max Differences]]), 0)</f>
        <v>0</v>
      </c>
      <c r="AB1691" s="111">
        <f>'Sampling Data'!P1685</f>
        <v>5.7569818716315529E-3</v>
      </c>
      <c r="AC1691" s="111">
        <f>IF(
      SUM(Audit[[#This Row],[Audit Losing Candidate]:[Audit Candidate 6]])
      &lt;&gt;0,
      (Audit[[#This Row],[Winning Candidate]]-Audit[[#This Row],[Losing Candidate]]-(Audit[[#This Row],[Audit Winning Candidate]]-Audit[[#This Row],[Audit Losing Candidate]]))/(Audit[[#Totals],[Winning Candidate]]-Audit[[#Totals],[Losing Candidate]]),
      0
)</f>
        <v>0</v>
      </c>
      <c r="AD16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1" s="111">
        <f>IF(Audit[[#This Row],[Max Relative Error (ep)]] = 0, 0, Audit[[#This Row],[Max Relative Error (ep)]]/Audit[[#This Row],[Error Bound (up) - Max. possible relative overstatement]])</f>
        <v>0</v>
      </c>
      <c r="AJ16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91" s="111">
        <f t="shared" si="26"/>
        <v>1</v>
      </c>
      <c r="AL1691" s="111">
        <f>PRODUCT($AK$5:AK1691)</f>
        <v>8.962823818226312E-2</v>
      </c>
      <c r="AM1691" s="109">
        <f>1 - [K-M P Value]</f>
        <v>0.91037176181773694</v>
      </c>
      <c r="AN1691" s="111" t="str">
        <f>IF(Audit[[#This Row],[K-M P Value]]&gt;1-'General Info'!$B$16,"Continue", "Stop")</f>
        <v>Stop</v>
      </c>
      <c r="AO1691" s="110" t="b">
        <f>IF(Audit[[#This Row],[Status - Continue or stop audit]] = "Continue", TRUE, IF(AN1690 = "Continue", TRUE, FALSE))</f>
        <v>0</v>
      </c>
      <c r="AP1691" s="110"/>
    </row>
    <row r="1692" spans="1:42" ht="15" hidden="1" customHeight="1">
      <c r="A1692" s="111" t="str">
        <f>'Sampling Data'!W1686</f>
        <v/>
      </c>
      <c r="B1692" s="112" t="str">
        <f>'Sampling Data'!A1686</f>
        <v>PARMA -04-B - ABS</v>
      </c>
      <c r="C1692" s="112">
        <f>'Sampling Data'!B1686</f>
        <v>4</v>
      </c>
      <c r="D1692" s="112">
        <f>'Sampling Data'!C1686</f>
        <v>5</v>
      </c>
      <c r="E1692" s="113">
        <f>'Sampling Data'!D1686</f>
        <v>2</v>
      </c>
      <c r="F1692" s="113">
        <f>'Sampling Data'!E1686</f>
        <v>1</v>
      </c>
      <c r="G1692" s="113">
        <f>'Sampling Data'!F1686</f>
        <v>0</v>
      </c>
      <c r="H1692" s="113">
        <f>'Sampling Data'!G1686</f>
        <v>0</v>
      </c>
      <c r="I1692" s="112">
        <f>'Sampling Data'!H1686</f>
        <v>0</v>
      </c>
      <c r="J1692" s="112">
        <f>'Sampling Data'!I1686</f>
        <v>1</v>
      </c>
      <c r="K1692" s="112">
        <f>'Sampling Data'!J1686</f>
        <v>13</v>
      </c>
      <c r="L1692" s="111">
        <f>'Sampling Data'!X1686</f>
        <v>0</v>
      </c>
      <c r="M1692" s="114"/>
      <c r="N1692" s="114"/>
      <c r="O1692" s="115"/>
      <c r="P1692" s="115"/>
      <c r="Q1692" s="116"/>
      <c r="R1692" s="116"/>
      <c r="S1692" s="111">
        <f>Audit[[#This Row],[Audit Losing Candidate]]-Audit[[#This Row],[Losing Candidate]]</f>
        <v>-4</v>
      </c>
      <c r="T1692" s="111">
        <f>Audit[[#This Row],[Audit Winning Candidate]]-Audit[[#This Row],[Winning Candidate]]</f>
        <v>-5</v>
      </c>
      <c r="U1692" s="111">
        <f>Audit[[#This Row],[Audit Candidate 3]]-Audit[[#This Row],[Candidate 3]]</f>
        <v>-2</v>
      </c>
      <c r="V1692" s="111">
        <f>Audit[[#This Row],[Audit Candidate 4]]-Audit[[#This Row],[Candidate 4]]</f>
        <v>-1</v>
      </c>
      <c r="W1692" s="111">
        <f>Audit[[#This Row],[Audit Candidate 5]]-Audit[[#This Row],[Candidate 5]]</f>
        <v>0</v>
      </c>
      <c r="X1692" s="111">
        <f>Audit[[#This Row],[Audit Candidate 6]]-Audit[[#This Row],[Candidate 6]]</f>
        <v>0</v>
      </c>
      <c r="Y1692" s="111">
        <f>SUMIF(Audit[[#This Row],[Difference Loser]:[Difference Candidate 6]], "&gt;0")</f>
        <v>0</v>
      </c>
      <c r="Z1692" s="111">
        <f>SUM(Audit[[#This Row],[Difference Loser]:[Difference Candidate 6]])</f>
        <v>-12</v>
      </c>
      <c r="AA1692" s="111">
        <f>IF(Audit[[#This Row],[Times p Drawn - With Replacement]]&gt;0, IF(Audit[[#This Row],[Canceled Differences]]&lt;0, Audit[[#This Row],[Max Differences]]+ABS(Audit[[#This Row],[Canceled Differences]]), Audit[[#This Row],[Max Differences]]), 0)</f>
        <v>0</v>
      </c>
      <c r="AB1692" s="111">
        <f>'Sampling Data'!P1686</f>
        <v>8.5742283194512492E-4</v>
      </c>
      <c r="AC1692" s="111">
        <f>IF(
      SUM(Audit[[#This Row],[Audit Losing Candidate]:[Audit Candidate 6]])
      &lt;&gt;0,
      (Audit[[#This Row],[Winning Candidate]]-Audit[[#This Row],[Losing Candidate]]-(Audit[[#This Row],[Audit Winning Candidate]]-Audit[[#This Row],[Audit Losing Candidate]]))/(Audit[[#Totals],[Winning Candidate]]-Audit[[#Totals],[Losing Candidate]]),
      0
)</f>
        <v>0</v>
      </c>
      <c r="AD16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2" s="111">
        <f>IF(Audit[[#This Row],[Max Relative Error (ep)]] = 0, 0, Audit[[#This Row],[Max Relative Error (ep)]]/Audit[[#This Row],[Error Bound (up) - Max. possible relative overstatement]])</f>
        <v>0</v>
      </c>
      <c r="AJ16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92" s="111">
        <f t="shared" si="26"/>
        <v>1</v>
      </c>
      <c r="AL1692" s="111">
        <f>PRODUCT($AK$5:AK1692)</f>
        <v>8.962823818226312E-2</v>
      </c>
      <c r="AM1692" s="109">
        <f>1 - [K-M P Value]</f>
        <v>0.91037176181773694</v>
      </c>
      <c r="AN1692" s="111" t="str">
        <f>IF(Audit[[#This Row],[K-M P Value]]&gt;1-'General Info'!$B$16,"Continue", "Stop")</f>
        <v>Stop</v>
      </c>
      <c r="AO1692" s="110" t="b">
        <f>IF(Audit[[#This Row],[Status - Continue or stop audit]] = "Continue", TRUE, IF(AN1691 = "Continue", TRUE, FALSE))</f>
        <v>0</v>
      </c>
      <c r="AP1692" s="110"/>
    </row>
    <row r="1693" spans="1:42" ht="15" hidden="1" customHeight="1">
      <c r="A1693" s="111" t="str">
        <f>'Sampling Data'!W1687</f>
        <v/>
      </c>
      <c r="B1693" s="112" t="str">
        <f>'Sampling Data'!A1687</f>
        <v>PARMA -04-C</v>
      </c>
      <c r="C1693" s="112">
        <f>'Sampling Data'!B1687</f>
        <v>11</v>
      </c>
      <c r="D1693" s="112">
        <f>'Sampling Data'!C1687</f>
        <v>24</v>
      </c>
      <c r="E1693" s="113">
        <f>'Sampling Data'!D1687</f>
        <v>2</v>
      </c>
      <c r="F1693" s="113">
        <f>'Sampling Data'!E1687</f>
        <v>4</v>
      </c>
      <c r="G1693" s="113">
        <f>'Sampling Data'!F1687</f>
        <v>0</v>
      </c>
      <c r="H1693" s="113">
        <f>'Sampling Data'!G1687</f>
        <v>0</v>
      </c>
      <c r="I1693" s="112">
        <f>'Sampling Data'!H1687</f>
        <v>0</v>
      </c>
      <c r="J1693" s="112">
        <f>'Sampling Data'!I1687</f>
        <v>1</v>
      </c>
      <c r="K1693" s="112">
        <f>'Sampling Data'!J1687</f>
        <v>42</v>
      </c>
      <c r="L1693" s="111">
        <f>'Sampling Data'!X1687</f>
        <v>0</v>
      </c>
      <c r="M1693" s="114"/>
      <c r="N1693" s="114"/>
      <c r="O1693" s="115"/>
      <c r="P1693" s="115"/>
      <c r="Q1693" s="116"/>
      <c r="R1693" s="116"/>
      <c r="S1693" s="111">
        <f>Audit[[#This Row],[Audit Losing Candidate]]-Audit[[#This Row],[Losing Candidate]]</f>
        <v>-11</v>
      </c>
      <c r="T1693" s="111">
        <f>Audit[[#This Row],[Audit Winning Candidate]]-Audit[[#This Row],[Winning Candidate]]</f>
        <v>-24</v>
      </c>
      <c r="U1693" s="111">
        <f>Audit[[#This Row],[Audit Candidate 3]]-Audit[[#This Row],[Candidate 3]]</f>
        <v>-2</v>
      </c>
      <c r="V1693" s="111">
        <f>Audit[[#This Row],[Audit Candidate 4]]-Audit[[#This Row],[Candidate 4]]</f>
        <v>-4</v>
      </c>
      <c r="W1693" s="111">
        <f>Audit[[#This Row],[Audit Candidate 5]]-Audit[[#This Row],[Candidate 5]]</f>
        <v>0</v>
      </c>
      <c r="X1693" s="111">
        <f>Audit[[#This Row],[Audit Candidate 6]]-Audit[[#This Row],[Candidate 6]]</f>
        <v>0</v>
      </c>
      <c r="Y1693" s="111">
        <f>SUMIF(Audit[[#This Row],[Difference Loser]:[Difference Candidate 6]], "&gt;0")</f>
        <v>0</v>
      </c>
      <c r="Z1693" s="111">
        <f>SUM(Audit[[#This Row],[Difference Loser]:[Difference Candidate 6]])</f>
        <v>-41</v>
      </c>
      <c r="AA1693" s="111">
        <f>IF(Audit[[#This Row],[Times p Drawn - With Replacement]]&gt;0, IF(Audit[[#This Row],[Canceled Differences]]&lt;0, Audit[[#This Row],[Max Differences]]+ABS(Audit[[#This Row],[Canceled Differences]]), Audit[[#This Row],[Max Differences]]), 0)</f>
        <v>0</v>
      </c>
      <c r="AB1693" s="111">
        <f>'Sampling Data'!P1687</f>
        <v>3.3684468397844193E-3</v>
      </c>
      <c r="AC1693" s="111">
        <f>IF(
      SUM(Audit[[#This Row],[Audit Losing Candidate]:[Audit Candidate 6]])
      &lt;&gt;0,
      (Audit[[#This Row],[Winning Candidate]]-Audit[[#This Row],[Losing Candidate]]-(Audit[[#This Row],[Audit Winning Candidate]]-Audit[[#This Row],[Audit Losing Candidate]]))/(Audit[[#Totals],[Winning Candidate]]-Audit[[#Totals],[Losing Candidate]]),
      0
)</f>
        <v>0</v>
      </c>
      <c r="AD16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3" s="111">
        <f>IF(Audit[[#This Row],[Max Relative Error (ep)]] = 0, 0, Audit[[#This Row],[Max Relative Error (ep)]]/Audit[[#This Row],[Error Bound (up) - Max. possible relative overstatement]])</f>
        <v>0</v>
      </c>
      <c r="AJ16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93" s="111">
        <f t="shared" si="26"/>
        <v>1</v>
      </c>
      <c r="AL1693" s="111">
        <f>PRODUCT($AK$5:AK1693)</f>
        <v>8.962823818226312E-2</v>
      </c>
      <c r="AM1693" s="109">
        <f>1 - [K-M P Value]</f>
        <v>0.91037176181773694</v>
      </c>
      <c r="AN1693" s="111" t="str">
        <f>IF(Audit[[#This Row],[K-M P Value]]&gt;1-'General Info'!$B$16,"Continue", "Stop")</f>
        <v>Stop</v>
      </c>
      <c r="AO1693" s="110" t="b">
        <f>IF(Audit[[#This Row],[Status - Continue or stop audit]] = "Continue", TRUE, IF(AN1692 = "Continue", TRUE, FALSE))</f>
        <v>0</v>
      </c>
      <c r="AP1693" s="110"/>
    </row>
    <row r="1694" spans="1:42" ht="15" hidden="1" customHeight="1">
      <c r="A1694" s="111" t="str">
        <f>'Sampling Data'!W1688</f>
        <v/>
      </c>
      <c r="B1694" s="112" t="str">
        <f>'Sampling Data'!A1688</f>
        <v>PARMA -04-C - ABS</v>
      </c>
      <c r="C1694" s="112">
        <f>'Sampling Data'!B1688</f>
        <v>7</v>
      </c>
      <c r="D1694" s="112">
        <f>'Sampling Data'!C1688</f>
        <v>3</v>
      </c>
      <c r="E1694" s="113">
        <f>'Sampling Data'!D1688</f>
        <v>2</v>
      </c>
      <c r="F1694" s="113">
        <f>'Sampling Data'!E1688</f>
        <v>0</v>
      </c>
      <c r="G1694" s="113">
        <f>'Sampling Data'!F1688</f>
        <v>0</v>
      </c>
      <c r="H1694" s="113">
        <f>'Sampling Data'!G1688</f>
        <v>0</v>
      </c>
      <c r="I1694" s="112">
        <f>'Sampling Data'!H1688</f>
        <v>0</v>
      </c>
      <c r="J1694" s="112">
        <f>'Sampling Data'!I1688</f>
        <v>0</v>
      </c>
      <c r="K1694" s="112">
        <f>'Sampling Data'!J1688</f>
        <v>12</v>
      </c>
      <c r="L1694" s="111">
        <f>'Sampling Data'!X1688</f>
        <v>0</v>
      </c>
      <c r="M1694" s="114"/>
      <c r="N1694" s="114"/>
      <c r="O1694" s="115"/>
      <c r="P1694" s="115"/>
      <c r="Q1694" s="116"/>
      <c r="R1694" s="116"/>
      <c r="S1694" s="111">
        <f>Audit[[#This Row],[Audit Losing Candidate]]-Audit[[#This Row],[Losing Candidate]]</f>
        <v>-7</v>
      </c>
      <c r="T1694" s="111">
        <f>Audit[[#This Row],[Audit Winning Candidate]]-Audit[[#This Row],[Winning Candidate]]</f>
        <v>-3</v>
      </c>
      <c r="U1694" s="111">
        <f>Audit[[#This Row],[Audit Candidate 3]]-Audit[[#This Row],[Candidate 3]]</f>
        <v>-2</v>
      </c>
      <c r="V1694" s="111">
        <f>Audit[[#This Row],[Audit Candidate 4]]-Audit[[#This Row],[Candidate 4]]</f>
        <v>0</v>
      </c>
      <c r="W1694" s="111">
        <f>Audit[[#This Row],[Audit Candidate 5]]-Audit[[#This Row],[Candidate 5]]</f>
        <v>0</v>
      </c>
      <c r="X1694" s="111">
        <f>Audit[[#This Row],[Audit Candidate 6]]-Audit[[#This Row],[Candidate 6]]</f>
        <v>0</v>
      </c>
      <c r="Y1694" s="111">
        <f>SUMIF(Audit[[#This Row],[Difference Loser]:[Difference Candidate 6]], "&gt;0")</f>
        <v>0</v>
      </c>
      <c r="Z1694" s="111">
        <f>SUM(Audit[[#This Row],[Difference Loser]:[Difference Candidate 6]])</f>
        <v>-12</v>
      </c>
      <c r="AA1694" s="111">
        <f>IF(Audit[[#This Row],[Times p Drawn - With Replacement]]&gt;0, IF(Audit[[#This Row],[Canceled Differences]]&lt;0, Audit[[#This Row],[Max Differences]]+ABS(Audit[[#This Row],[Canceled Differences]]), Audit[[#This Row],[Max Differences]]), 0)</f>
        <v>0</v>
      </c>
      <c r="AB1694" s="111">
        <f>'Sampling Data'!P1688</f>
        <v>4.8995590396864281E-4</v>
      </c>
      <c r="AC1694" s="111">
        <f>IF(
      SUM(Audit[[#This Row],[Audit Losing Candidate]:[Audit Candidate 6]])
      &lt;&gt;0,
      (Audit[[#This Row],[Winning Candidate]]-Audit[[#This Row],[Losing Candidate]]-(Audit[[#This Row],[Audit Winning Candidate]]-Audit[[#This Row],[Audit Losing Candidate]]))/(Audit[[#Totals],[Winning Candidate]]-Audit[[#Totals],[Losing Candidate]]),
      0
)</f>
        <v>0</v>
      </c>
      <c r="AD16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4" s="111">
        <f>IF(Audit[[#This Row],[Max Relative Error (ep)]] = 0, 0, Audit[[#This Row],[Max Relative Error (ep)]]/Audit[[#This Row],[Error Bound (up) - Max. possible relative overstatement]])</f>
        <v>0</v>
      </c>
      <c r="AJ16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94" s="111">
        <f t="shared" si="26"/>
        <v>1</v>
      </c>
      <c r="AL1694" s="111">
        <f>PRODUCT($AK$5:AK1694)</f>
        <v>8.962823818226312E-2</v>
      </c>
      <c r="AM1694" s="109">
        <f>1 - [K-M P Value]</f>
        <v>0.91037176181773694</v>
      </c>
      <c r="AN1694" s="111" t="str">
        <f>IF(Audit[[#This Row],[K-M P Value]]&gt;1-'General Info'!$B$16,"Continue", "Stop")</f>
        <v>Stop</v>
      </c>
      <c r="AO1694" s="110" t="b">
        <f>IF(Audit[[#This Row],[Status - Continue or stop audit]] = "Continue", TRUE, IF(AN1693 = "Continue", TRUE, FALSE))</f>
        <v>0</v>
      </c>
      <c r="AP1694" s="110"/>
    </row>
    <row r="1695" spans="1:42" ht="15" hidden="1" customHeight="1">
      <c r="A1695" s="111" t="str">
        <f>'Sampling Data'!W1689</f>
        <v/>
      </c>
      <c r="B1695" s="112" t="str">
        <f>'Sampling Data'!A1689</f>
        <v>PARMA -04-D</v>
      </c>
      <c r="C1695" s="112">
        <f>'Sampling Data'!B1689</f>
        <v>15</v>
      </c>
      <c r="D1695" s="112">
        <f>'Sampling Data'!C1689</f>
        <v>17</v>
      </c>
      <c r="E1695" s="113">
        <f>'Sampling Data'!D1689</f>
        <v>11</v>
      </c>
      <c r="F1695" s="113">
        <f>'Sampling Data'!E1689</f>
        <v>12</v>
      </c>
      <c r="G1695" s="113">
        <f>'Sampling Data'!F1689</f>
        <v>0</v>
      </c>
      <c r="H1695" s="113">
        <f>'Sampling Data'!G1689</f>
        <v>0</v>
      </c>
      <c r="I1695" s="112">
        <f>'Sampling Data'!H1689</f>
        <v>0</v>
      </c>
      <c r="J1695" s="112">
        <f>'Sampling Data'!I1689</f>
        <v>1</v>
      </c>
      <c r="K1695" s="112">
        <f>'Sampling Data'!J1689</f>
        <v>56</v>
      </c>
      <c r="L1695" s="111">
        <f>'Sampling Data'!X1689</f>
        <v>0</v>
      </c>
      <c r="M1695" s="114"/>
      <c r="N1695" s="114"/>
      <c r="O1695" s="115"/>
      <c r="P1695" s="115"/>
      <c r="Q1695" s="116"/>
      <c r="R1695" s="116"/>
      <c r="S1695" s="111">
        <f>Audit[[#This Row],[Audit Losing Candidate]]-Audit[[#This Row],[Losing Candidate]]</f>
        <v>-15</v>
      </c>
      <c r="T1695" s="111">
        <f>Audit[[#This Row],[Audit Winning Candidate]]-Audit[[#This Row],[Winning Candidate]]</f>
        <v>-17</v>
      </c>
      <c r="U1695" s="111">
        <f>Audit[[#This Row],[Audit Candidate 3]]-Audit[[#This Row],[Candidate 3]]</f>
        <v>-11</v>
      </c>
      <c r="V1695" s="111">
        <f>Audit[[#This Row],[Audit Candidate 4]]-Audit[[#This Row],[Candidate 4]]</f>
        <v>-12</v>
      </c>
      <c r="W1695" s="111">
        <f>Audit[[#This Row],[Audit Candidate 5]]-Audit[[#This Row],[Candidate 5]]</f>
        <v>0</v>
      </c>
      <c r="X1695" s="111">
        <f>Audit[[#This Row],[Audit Candidate 6]]-Audit[[#This Row],[Candidate 6]]</f>
        <v>0</v>
      </c>
      <c r="Y1695" s="111">
        <f>SUMIF(Audit[[#This Row],[Difference Loser]:[Difference Candidate 6]], "&gt;0")</f>
        <v>0</v>
      </c>
      <c r="Z1695" s="111">
        <f>SUM(Audit[[#This Row],[Difference Loser]:[Difference Candidate 6]])</f>
        <v>-55</v>
      </c>
      <c r="AA1695" s="111">
        <f>IF(Audit[[#This Row],[Times p Drawn - With Replacement]]&gt;0, IF(Audit[[#This Row],[Canceled Differences]]&lt;0, Audit[[#This Row],[Max Differences]]+ABS(Audit[[#This Row],[Canceled Differences]]), Audit[[#This Row],[Max Differences]]), 0)</f>
        <v>0</v>
      </c>
      <c r="AB1695" s="111">
        <f>'Sampling Data'!P1689</f>
        <v>3.5521803037726605E-3</v>
      </c>
      <c r="AC1695" s="111">
        <f>IF(
      SUM(Audit[[#This Row],[Audit Losing Candidate]:[Audit Candidate 6]])
      &lt;&gt;0,
      (Audit[[#This Row],[Winning Candidate]]-Audit[[#This Row],[Losing Candidate]]-(Audit[[#This Row],[Audit Winning Candidate]]-Audit[[#This Row],[Audit Losing Candidate]]))/(Audit[[#Totals],[Winning Candidate]]-Audit[[#Totals],[Losing Candidate]]),
      0
)</f>
        <v>0</v>
      </c>
      <c r="AD16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5" s="111">
        <f>IF(Audit[[#This Row],[Max Relative Error (ep)]] = 0, 0, Audit[[#This Row],[Max Relative Error (ep)]]/Audit[[#This Row],[Error Bound (up) - Max. possible relative overstatement]])</f>
        <v>0</v>
      </c>
      <c r="AJ16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95" s="111">
        <f t="shared" si="26"/>
        <v>1</v>
      </c>
      <c r="AL1695" s="111">
        <f>PRODUCT($AK$5:AK1695)</f>
        <v>8.962823818226312E-2</v>
      </c>
      <c r="AM1695" s="109">
        <f>1 - [K-M P Value]</f>
        <v>0.91037176181773694</v>
      </c>
      <c r="AN1695" s="111" t="str">
        <f>IF(Audit[[#This Row],[K-M P Value]]&gt;1-'General Info'!$B$16,"Continue", "Stop")</f>
        <v>Stop</v>
      </c>
      <c r="AO1695" s="110" t="b">
        <f>IF(Audit[[#This Row],[Status - Continue or stop audit]] = "Continue", TRUE, IF(AN1694 = "Continue", TRUE, FALSE))</f>
        <v>0</v>
      </c>
      <c r="AP1695" s="110"/>
    </row>
    <row r="1696" spans="1:42" ht="15" hidden="1" customHeight="1">
      <c r="A1696" s="111" t="str">
        <f>'Sampling Data'!W1690</f>
        <v/>
      </c>
      <c r="B1696" s="112" t="str">
        <f>'Sampling Data'!A1690</f>
        <v>PARMA -04-D - ABS</v>
      </c>
      <c r="C1696" s="112">
        <f>'Sampling Data'!B1690</f>
        <v>5</v>
      </c>
      <c r="D1696" s="112">
        <f>'Sampling Data'!C1690</f>
        <v>4</v>
      </c>
      <c r="E1696" s="113">
        <f>'Sampling Data'!D1690</f>
        <v>3</v>
      </c>
      <c r="F1696" s="113">
        <f>'Sampling Data'!E1690</f>
        <v>2</v>
      </c>
      <c r="G1696" s="113">
        <f>'Sampling Data'!F1690</f>
        <v>0</v>
      </c>
      <c r="H1696" s="113">
        <f>'Sampling Data'!G1690</f>
        <v>0</v>
      </c>
      <c r="I1696" s="112">
        <f>'Sampling Data'!H1690</f>
        <v>0</v>
      </c>
      <c r="J1696" s="112">
        <f>'Sampling Data'!I1690</f>
        <v>0</v>
      </c>
      <c r="K1696" s="112">
        <f>'Sampling Data'!J1690</f>
        <v>14</v>
      </c>
      <c r="L1696" s="111">
        <f>'Sampling Data'!X1690</f>
        <v>0</v>
      </c>
      <c r="M1696" s="114"/>
      <c r="N1696" s="114"/>
      <c r="O1696" s="115"/>
      <c r="P1696" s="115"/>
      <c r="Q1696" s="116"/>
      <c r="R1696" s="116"/>
      <c r="S1696" s="111">
        <f>Audit[[#This Row],[Audit Losing Candidate]]-Audit[[#This Row],[Losing Candidate]]</f>
        <v>-5</v>
      </c>
      <c r="T1696" s="111">
        <f>Audit[[#This Row],[Audit Winning Candidate]]-Audit[[#This Row],[Winning Candidate]]</f>
        <v>-4</v>
      </c>
      <c r="U1696" s="111">
        <f>Audit[[#This Row],[Audit Candidate 3]]-Audit[[#This Row],[Candidate 3]]</f>
        <v>-3</v>
      </c>
      <c r="V1696" s="111">
        <f>Audit[[#This Row],[Audit Candidate 4]]-Audit[[#This Row],[Candidate 4]]</f>
        <v>-2</v>
      </c>
      <c r="W1696" s="111">
        <f>Audit[[#This Row],[Audit Candidate 5]]-Audit[[#This Row],[Candidate 5]]</f>
        <v>0</v>
      </c>
      <c r="X1696" s="111">
        <f>Audit[[#This Row],[Audit Candidate 6]]-Audit[[#This Row],[Candidate 6]]</f>
        <v>0</v>
      </c>
      <c r="Y1696" s="111">
        <f>SUMIF(Audit[[#This Row],[Difference Loser]:[Difference Candidate 6]], "&gt;0")</f>
        <v>0</v>
      </c>
      <c r="Z1696" s="111">
        <f>SUM(Audit[[#This Row],[Difference Loser]:[Difference Candidate 6]])</f>
        <v>-14</v>
      </c>
      <c r="AA1696" s="111">
        <f>IF(Audit[[#This Row],[Times p Drawn - With Replacement]]&gt;0, IF(Audit[[#This Row],[Canceled Differences]]&lt;0, Audit[[#This Row],[Max Differences]]+ABS(Audit[[#This Row],[Canceled Differences]]), Audit[[#This Row],[Max Differences]]), 0)</f>
        <v>0</v>
      </c>
      <c r="AB1696" s="111">
        <f>'Sampling Data'!P1690</f>
        <v>7.9617834394904463E-4</v>
      </c>
      <c r="AC1696" s="111">
        <f>IF(
      SUM(Audit[[#This Row],[Audit Losing Candidate]:[Audit Candidate 6]])
      &lt;&gt;0,
      (Audit[[#This Row],[Winning Candidate]]-Audit[[#This Row],[Losing Candidate]]-(Audit[[#This Row],[Audit Winning Candidate]]-Audit[[#This Row],[Audit Losing Candidate]]))/(Audit[[#Totals],[Winning Candidate]]-Audit[[#Totals],[Losing Candidate]]),
      0
)</f>
        <v>0</v>
      </c>
      <c r="AD16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6" s="111">
        <f>IF(Audit[[#This Row],[Max Relative Error (ep)]] = 0, 0, Audit[[#This Row],[Max Relative Error (ep)]]/Audit[[#This Row],[Error Bound (up) - Max. possible relative overstatement]])</f>
        <v>0</v>
      </c>
      <c r="AJ16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96" s="111">
        <f t="shared" si="26"/>
        <v>1</v>
      </c>
      <c r="AL1696" s="111">
        <f>PRODUCT($AK$5:AK1696)</f>
        <v>8.962823818226312E-2</v>
      </c>
      <c r="AM1696" s="109">
        <f>1 - [K-M P Value]</f>
        <v>0.91037176181773694</v>
      </c>
      <c r="AN1696" s="111" t="str">
        <f>IF(Audit[[#This Row],[K-M P Value]]&gt;1-'General Info'!$B$16,"Continue", "Stop")</f>
        <v>Stop</v>
      </c>
      <c r="AO1696" s="110" t="b">
        <f>IF(Audit[[#This Row],[Status - Continue or stop audit]] = "Continue", TRUE, IF(AN1695 = "Continue", TRUE, FALSE))</f>
        <v>0</v>
      </c>
      <c r="AP1696" s="110"/>
    </row>
    <row r="1697" spans="1:42" ht="15" hidden="1" customHeight="1">
      <c r="A1697" s="111" t="str">
        <f>'Sampling Data'!W1691</f>
        <v/>
      </c>
      <c r="B1697" s="112" t="str">
        <f>'Sampling Data'!A1691</f>
        <v>PARMA -04-E</v>
      </c>
      <c r="C1697" s="112">
        <f>'Sampling Data'!B1691</f>
        <v>16</v>
      </c>
      <c r="D1697" s="112">
        <f>'Sampling Data'!C1691</f>
        <v>29</v>
      </c>
      <c r="E1697" s="113">
        <f>'Sampling Data'!D1691</f>
        <v>3</v>
      </c>
      <c r="F1697" s="113">
        <f>'Sampling Data'!E1691</f>
        <v>4</v>
      </c>
      <c r="G1697" s="113">
        <f>'Sampling Data'!F1691</f>
        <v>1</v>
      </c>
      <c r="H1697" s="113">
        <f>'Sampling Data'!G1691</f>
        <v>0</v>
      </c>
      <c r="I1697" s="112">
        <f>'Sampling Data'!H1691</f>
        <v>0</v>
      </c>
      <c r="J1697" s="112">
        <f>'Sampling Data'!I1691</f>
        <v>0</v>
      </c>
      <c r="K1697" s="112">
        <f>'Sampling Data'!J1691</f>
        <v>53</v>
      </c>
      <c r="L1697" s="111">
        <f>'Sampling Data'!X1691</f>
        <v>0</v>
      </c>
      <c r="M1697" s="114"/>
      <c r="N1697" s="114"/>
      <c r="O1697" s="115"/>
      <c r="P1697" s="115"/>
      <c r="Q1697" s="116"/>
      <c r="R1697" s="116"/>
      <c r="S1697" s="111">
        <f>Audit[[#This Row],[Audit Losing Candidate]]-Audit[[#This Row],[Losing Candidate]]</f>
        <v>-16</v>
      </c>
      <c r="T1697" s="111">
        <f>Audit[[#This Row],[Audit Winning Candidate]]-Audit[[#This Row],[Winning Candidate]]</f>
        <v>-29</v>
      </c>
      <c r="U1697" s="111">
        <f>Audit[[#This Row],[Audit Candidate 3]]-Audit[[#This Row],[Candidate 3]]</f>
        <v>-3</v>
      </c>
      <c r="V1697" s="111">
        <f>Audit[[#This Row],[Audit Candidate 4]]-Audit[[#This Row],[Candidate 4]]</f>
        <v>-4</v>
      </c>
      <c r="W1697" s="111">
        <f>Audit[[#This Row],[Audit Candidate 5]]-Audit[[#This Row],[Candidate 5]]</f>
        <v>-1</v>
      </c>
      <c r="X1697" s="111">
        <f>Audit[[#This Row],[Audit Candidate 6]]-Audit[[#This Row],[Candidate 6]]</f>
        <v>0</v>
      </c>
      <c r="Y1697" s="111">
        <f>SUMIF(Audit[[#This Row],[Difference Loser]:[Difference Candidate 6]], "&gt;0")</f>
        <v>0</v>
      </c>
      <c r="Z1697" s="111">
        <f>SUM(Audit[[#This Row],[Difference Loser]:[Difference Candidate 6]])</f>
        <v>-53</v>
      </c>
      <c r="AA1697" s="111">
        <f>IF(Audit[[#This Row],[Times p Drawn - With Replacement]]&gt;0, IF(Audit[[#This Row],[Canceled Differences]]&lt;0, Audit[[#This Row],[Max Differences]]+ABS(Audit[[#This Row],[Canceled Differences]]), Audit[[#This Row],[Max Differences]]), 0)</f>
        <v>0</v>
      </c>
      <c r="AB1697" s="111">
        <f>'Sampling Data'!P1691</f>
        <v>4.0421362077413033E-3</v>
      </c>
      <c r="AC1697" s="111">
        <f>IF(
      SUM(Audit[[#This Row],[Audit Losing Candidate]:[Audit Candidate 6]])
      &lt;&gt;0,
      (Audit[[#This Row],[Winning Candidate]]-Audit[[#This Row],[Losing Candidate]]-(Audit[[#This Row],[Audit Winning Candidate]]-Audit[[#This Row],[Audit Losing Candidate]]))/(Audit[[#Totals],[Winning Candidate]]-Audit[[#Totals],[Losing Candidate]]),
      0
)</f>
        <v>0</v>
      </c>
      <c r="AD16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7" s="111">
        <f>IF(Audit[[#This Row],[Max Relative Error (ep)]] = 0, 0, Audit[[#This Row],[Max Relative Error (ep)]]/Audit[[#This Row],[Error Bound (up) - Max. possible relative overstatement]])</f>
        <v>0</v>
      </c>
      <c r="AJ16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97" s="111">
        <f t="shared" si="26"/>
        <v>1</v>
      </c>
      <c r="AL1697" s="111">
        <f>PRODUCT($AK$5:AK1697)</f>
        <v>8.962823818226312E-2</v>
      </c>
      <c r="AM1697" s="109">
        <f>1 - [K-M P Value]</f>
        <v>0.91037176181773694</v>
      </c>
      <c r="AN1697" s="111" t="str">
        <f>IF(Audit[[#This Row],[K-M P Value]]&gt;1-'General Info'!$B$16,"Continue", "Stop")</f>
        <v>Stop</v>
      </c>
      <c r="AO1697" s="110" t="b">
        <f>IF(Audit[[#This Row],[Status - Continue or stop audit]] = "Continue", TRUE, IF(AN1696 = "Continue", TRUE, FALSE))</f>
        <v>0</v>
      </c>
      <c r="AP1697" s="110"/>
    </row>
    <row r="1698" spans="1:42" ht="15" hidden="1" customHeight="1">
      <c r="A1698" s="111" t="str">
        <f>'Sampling Data'!W1692</f>
        <v/>
      </c>
      <c r="B1698" s="112" t="str">
        <f>'Sampling Data'!A1692</f>
        <v>PARMA -04-E - ABS</v>
      </c>
      <c r="C1698" s="112">
        <f>'Sampling Data'!B1692</f>
        <v>8</v>
      </c>
      <c r="D1698" s="112">
        <f>'Sampling Data'!C1692</f>
        <v>14</v>
      </c>
      <c r="E1698" s="113">
        <f>'Sampling Data'!D1692</f>
        <v>4</v>
      </c>
      <c r="F1698" s="113">
        <f>'Sampling Data'!E1692</f>
        <v>1</v>
      </c>
      <c r="G1698" s="113">
        <f>'Sampling Data'!F1692</f>
        <v>0</v>
      </c>
      <c r="H1698" s="113">
        <f>'Sampling Data'!G1692</f>
        <v>0</v>
      </c>
      <c r="I1698" s="112">
        <f>'Sampling Data'!H1692</f>
        <v>0</v>
      </c>
      <c r="J1698" s="112">
        <f>'Sampling Data'!I1692</f>
        <v>0</v>
      </c>
      <c r="K1698" s="112">
        <f>'Sampling Data'!J1692</f>
        <v>27</v>
      </c>
      <c r="L1698" s="111">
        <f>'Sampling Data'!X1692</f>
        <v>0</v>
      </c>
      <c r="M1698" s="114"/>
      <c r="N1698" s="114"/>
      <c r="O1698" s="115"/>
      <c r="P1698" s="115"/>
      <c r="Q1698" s="116"/>
      <c r="R1698" s="116"/>
      <c r="S1698" s="111">
        <f>Audit[[#This Row],[Audit Losing Candidate]]-Audit[[#This Row],[Losing Candidate]]</f>
        <v>-8</v>
      </c>
      <c r="T1698" s="111">
        <f>Audit[[#This Row],[Audit Winning Candidate]]-Audit[[#This Row],[Winning Candidate]]</f>
        <v>-14</v>
      </c>
      <c r="U1698" s="111">
        <f>Audit[[#This Row],[Audit Candidate 3]]-Audit[[#This Row],[Candidate 3]]</f>
        <v>-4</v>
      </c>
      <c r="V1698" s="111">
        <f>Audit[[#This Row],[Audit Candidate 4]]-Audit[[#This Row],[Candidate 4]]</f>
        <v>-1</v>
      </c>
      <c r="W1698" s="111">
        <f>Audit[[#This Row],[Audit Candidate 5]]-Audit[[#This Row],[Candidate 5]]</f>
        <v>0</v>
      </c>
      <c r="X1698" s="111">
        <f>Audit[[#This Row],[Audit Candidate 6]]-Audit[[#This Row],[Candidate 6]]</f>
        <v>0</v>
      </c>
      <c r="Y1698" s="111">
        <f>SUMIF(Audit[[#This Row],[Difference Loser]:[Difference Candidate 6]], "&gt;0")</f>
        <v>0</v>
      </c>
      <c r="Z1698" s="111">
        <f>SUM(Audit[[#This Row],[Difference Loser]:[Difference Candidate 6]])</f>
        <v>-27</v>
      </c>
      <c r="AA1698" s="111">
        <f>IF(Audit[[#This Row],[Times p Drawn - With Replacement]]&gt;0, IF(Audit[[#This Row],[Canceled Differences]]&lt;0, Audit[[#This Row],[Max Differences]]+ABS(Audit[[#This Row],[Canceled Differences]]), Audit[[#This Row],[Max Differences]]), 0)</f>
        <v>0</v>
      </c>
      <c r="AB1698" s="111">
        <f>'Sampling Data'!P1692</f>
        <v>2.0210681038706517E-3</v>
      </c>
      <c r="AC1698" s="111">
        <f>IF(
      SUM(Audit[[#This Row],[Audit Losing Candidate]:[Audit Candidate 6]])
      &lt;&gt;0,
      (Audit[[#This Row],[Winning Candidate]]-Audit[[#This Row],[Losing Candidate]]-(Audit[[#This Row],[Audit Winning Candidate]]-Audit[[#This Row],[Audit Losing Candidate]]))/(Audit[[#Totals],[Winning Candidate]]-Audit[[#Totals],[Losing Candidate]]),
      0
)</f>
        <v>0</v>
      </c>
      <c r="AD16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8" s="111">
        <f>IF(Audit[[#This Row],[Max Relative Error (ep)]] = 0, 0, Audit[[#This Row],[Max Relative Error (ep)]]/Audit[[#This Row],[Error Bound (up) - Max. possible relative overstatement]])</f>
        <v>0</v>
      </c>
      <c r="AJ16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98" s="111">
        <f t="shared" si="26"/>
        <v>1</v>
      </c>
      <c r="AL1698" s="111">
        <f>PRODUCT($AK$5:AK1698)</f>
        <v>8.962823818226312E-2</v>
      </c>
      <c r="AM1698" s="109">
        <f>1 - [K-M P Value]</f>
        <v>0.91037176181773694</v>
      </c>
      <c r="AN1698" s="111" t="str">
        <f>IF(Audit[[#This Row],[K-M P Value]]&gt;1-'General Info'!$B$16,"Continue", "Stop")</f>
        <v>Stop</v>
      </c>
      <c r="AO1698" s="110" t="b">
        <f>IF(Audit[[#This Row],[Status - Continue or stop audit]] = "Continue", TRUE, IF(AN1697 = "Continue", TRUE, FALSE))</f>
        <v>0</v>
      </c>
      <c r="AP1698" s="110"/>
    </row>
    <row r="1699" spans="1:42" ht="15" hidden="1" customHeight="1">
      <c r="A1699" s="111" t="str">
        <f>'Sampling Data'!W1693</f>
        <v/>
      </c>
      <c r="B1699" s="112" t="str">
        <f>'Sampling Data'!A1693</f>
        <v>PARMA -04-F</v>
      </c>
      <c r="C1699" s="112">
        <f>'Sampling Data'!B1693</f>
        <v>21</v>
      </c>
      <c r="D1699" s="112">
        <f>'Sampling Data'!C1693</f>
        <v>27</v>
      </c>
      <c r="E1699" s="113">
        <f>'Sampling Data'!D1693</f>
        <v>8</v>
      </c>
      <c r="F1699" s="113">
        <f>'Sampling Data'!E1693</f>
        <v>10</v>
      </c>
      <c r="G1699" s="113">
        <f>'Sampling Data'!F1693</f>
        <v>0</v>
      </c>
      <c r="H1699" s="113">
        <f>'Sampling Data'!G1693</f>
        <v>1</v>
      </c>
      <c r="I1699" s="112">
        <f>'Sampling Data'!H1693</f>
        <v>0</v>
      </c>
      <c r="J1699" s="112">
        <f>'Sampling Data'!I1693</f>
        <v>1</v>
      </c>
      <c r="K1699" s="112">
        <f>'Sampling Data'!J1693</f>
        <v>68</v>
      </c>
      <c r="L1699" s="111">
        <f>'Sampling Data'!X1693</f>
        <v>0</v>
      </c>
      <c r="M1699" s="114"/>
      <c r="N1699" s="114"/>
      <c r="O1699" s="115"/>
      <c r="P1699" s="115"/>
      <c r="Q1699" s="116"/>
      <c r="R1699" s="116"/>
      <c r="S1699" s="111">
        <f>Audit[[#This Row],[Audit Losing Candidate]]-Audit[[#This Row],[Losing Candidate]]</f>
        <v>-21</v>
      </c>
      <c r="T1699" s="111">
        <f>Audit[[#This Row],[Audit Winning Candidate]]-Audit[[#This Row],[Winning Candidate]]</f>
        <v>-27</v>
      </c>
      <c r="U1699" s="111">
        <f>Audit[[#This Row],[Audit Candidate 3]]-Audit[[#This Row],[Candidate 3]]</f>
        <v>-8</v>
      </c>
      <c r="V1699" s="111">
        <f>Audit[[#This Row],[Audit Candidate 4]]-Audit[[#This Row],[Candidate 4]]</f>
        <v>-10</v>
      </c>
      <c r="W1699" s="111">
        <f>Audit[[#This Row],[Audit Candidate 5]]-Audit[[#This Row],[Candidate 5]]</f>
        <v>0</v>
      </c>
      <c r="X1699" s="111">
        <f>Audit[[#This Row],[Audit Candidate 6]]-Audit[[#This Row],[Candidate 6]]</f>
        <v>-1</v>
      </c>
      <c r="Y1699" s="111">
        <f>SUMIF(Audit[[#This Row],[Difference Loser]:[Difference Candidate 6]], "&gt;0")</f>
        <v>0</v>
      </c>
      <c r="Z1699" s="111">
        <f>SUM(Audit[[#This Row],[Difference Loser]:[Difference Candidate 6]])</f>
        <v>-67</v>
      </c>
      <c r="AA1699" s="111">
        <f>IF(Audit[[#This Row],[Times p Drawn - With Replacement]]&gt;0, IF(Audit[[#This Row],[Canceled Differences]]&lt;0, Audit[[#This Row],[Max Differences]]+ABS(Audit[[#This Row],[Canceled Differences]]), Audit[[#This Row],[Max Differences]]), 0)</f>
        <v>0</v>
      </c>
      <c r="AB1699" s="111">
        <f>'Sampling Data'!P1693</f>
        <v>4.5320921117099457E-3</v>
      </c>
      <c r="AC1699" s="111">
        <f>IF(
      SUM(Audit[[#This Row],[Audit Losing Candidate]:[Audit Candidate 6]])
      &lt;&gt;0,
      (Audit[[#This Row],[Winning Candidate]]-Audit[[#This Row],[Losing Candidate]]-(Audit[[#This Row],[Audit Winning Candidate]]-Audit[[#This Row],[Audit Losing Candidate]]))/(Audit[[#Totals],[Winning Candidate]]-Audit[[#Totals],[Losing Candidate]]),
      0
)</f>
        <v>0</v>
      </c>
      <c r="AD16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9" s="111">
        <f>IF(Audit[[#This Row],[Max Relative Error (ep)]] = 0, 0, Audit[[#This Row],[Max Relative Error (ep)]]/Audit[[#This Row],[Error Bound (up) - Max. possible relative overstatement]])</f>
        <v>0</v>
      </c>
      <c r="AJ16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699" s="111">
        <f t="shared" si="26"/>
        <v>1</v>
      </c>
      <c r="AL1699" s="111">
        <f>PRODUCT($AK$5:AK1699)</f>
        <v>8.962823818226312E-2</v>
      </c>
      <c r="AM1699" s="109">
        <f>1 - [K-M P Value]</f>
        <v>0.91037176181773694</v>
      </c>
      <c r="AN1699" s="111" t="str">
        <f>IF(Audit[[#This Row],[K-M P Value]]&gt;1-'General Info'!$B$16,"Continue", "Stop")</f>
        <v>Stop</v>
      </c>
      <c r="AO1699" s="110" t="b">
        <f>IF(Audit[[#This Row],[Status - Continue or stop audit]] = "Continue", TRUE, IF(AN1698 = "Continue", TRUE, FALSE))</f>
        <v>0</v>
      </c>
      <c r="AP1699" s="110"/>
    </row>
    <row r="1700" spans="1:42" ht="15" hidden="1" customHeight="1">
      <c r="A1700" s="111" t="str">
        <f>'Sampling Data'!W1694</f>
        <v/>
      </c>
      <c r="B1700" s="112" t="str">
        <f>'Sampling Data'!A1694</f>
        <v>PARMA -04-F - ABS</v>
      </c>
      <c r="C1700" s="112">
        <f>'Sampling Data'!B1694</f>
        <v>3</v>
      </c>
      <c r="D1700" s="112">
        <f>'Sampling Data'!C1694</f>
        <v>7</v>
      </c>
      <c r="E1700" s="113">
        <f>'Sampling Data'!D1694</f>
        <v>2</v>
      </c>
      <c r="F1700" s="113">
        <f>'Sampling Data'!E1694</f>
        <v>3</v>
      </c>
      <c r="G1700" s="113">
        <f>'Sampling Data'!F1694</f>
        <v>0</v>
      </c>
      <c r="H1700" s="113">
        <f>'Sampling Data'!G1694</f>
        <v>0</v>
      </c>
      <c r="I1700" s="112">
        <f>'Sampling Data'!H1694</f>
        <v>0</v>
      </c>
      <c r="J1700" s="112">
        <f>'Sampling Data'!I1694</f>
        <v>0</v>
      </c>
      <c r="K1700" s="112">
        <f>'Sampling Data'!J1694</f>
        <v>15</v>
      </c>
      <c r="L1700" s="111">
        <f>'Sampling Data'!X1694</f>
        <v>0</v>
      </c>
      <c r="M1700" s="114"/>
      <c r="N1700" s="114"/>
      <c r="O1700" s="115"/>
      <c r="P1700" s="115"/>
      <c r="Q1700" s="116"/>
      <c r="R1700" s="116"/>
      <c r="S1700" s="111">
        <f>Audit[[#This Row],[Audit Losing Candidate]]-Audit[[#This Row],[Losing Candidate]]</f>
        <v>-3</v>
      </c>
      <c r="T1700" s="111">
        <f>Audit[[#This Row],[Audit Winning Candidate]]-Audit[[#This Row],[Winning Candidate]]</f>
        <v>-7</v>
      </c>
      <c r="U1700" s="111">
        <f>Audit[[#This Row],[Audit Candidate 3]]-Audit[[#This Row],[Candidate 3]]</f>
        <v>-2</v>
      </c>
      <c r="V1700" s="111">
        <f>Audit[[#This Row],[Audit Candidate 4]]-Audit[[#This Row],[Candidate 4]]</f>
        <v>-3</v>
      </c>
      <c r="W1700" s="111">
        <f>Audit[[#This Row],[Audit Candidate 5]]-Audit[[#This Row],[Candidate 5]]</f>
        <v>0</v>
      </c>
      <c r="X1700" s="111">
        <f>Audit[[#This Row],[Audit Candidate 6]]-Audit[[#This Row],[Candidate 6]]</f>
        <v>0</v>
      </c>
      <c r="Y1700" s="111">
        <f>SUMIF(Audit[[#This Row],[Difference Loser]:[Difference Candidate 6]], "&gt;0")</f>
        <v>0</v>
      </c>
      <c r="Z1700" s="111">
        <f>SUM(Audit[[#This Row],[Difference Loser]:[Difference Candidate 6]])</f>
        <v>-15</v>
      </c>
      <c r="AA1700" s="111">
        <f>IF(Audit[[#This Row],[Times p Drawn - With Replacement]]&gt;0, IF(Audit[[#This Row],[Canceled Differences]]&lt;0, Audit[[#This Row],[Max Differences]]+ABS(Audit[[#This Row],[Canceled Differences]]), Audit[[#This Row],[Max Differences]]), 0)</f>
        <v>0</v>
      </c>
      <c r="AB1700" s="111">
        <f>'Sampling Data'!P1694</f>
        <v>1.1636452719255266E-3</v>
      </c>
      <c r="AC1700" s="111">
        <f>IF(
      SUM(Audit[[#This Row],[Audit Losing Candidate]:[Audit Candidate 6]])
      &lt;&gt;0,
      (Audit[[#This Row],[Winning Candidate]]-Audit[[#This Row],[Losing Candidate]]-(Audit[[#This Row],[Audit Winning Candidate]]-Audit[[#This Row],[Audit Losing Candidate]]))/(Audit[[#Totals],[Winning Candidate]]-Audit[[#Totals],[Losing Candidate]]),
      0
)</f>
        <v>0</v>
      </c>
      <c r="AD17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0" s="111">
        <f>IF(Audit[[#This Row],[Max Relative Error (ep)]] = 0, 0, Audit[[#This Row],[Max Relative Error (ep)]]/Audit[[#This Row],[Error Bound (up) - Max. possible relative overstatement]])</f>
        <v>0</v>
      </c>
      <c r="AJ17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00" s="111">
        <f t="shared" si="26"/>
        <v>1</v>
      </c>
      <c r="AL1700" s="111">
        <f>PRODUCT($AK$5:AK1700)</f>
        <v>8.962823818226312E-2</v>
      </c>
      <c r="AM1700" s="109">
        <f>1 - [K-M P Value]</f>
        <v>0.91037176181773694</v>
      </c>
      <c r="AN1700" s="111" t="str">
        <f>IF(Audit[[#This Row],[K-M P Value]]&gt;1-'General Info'!$B$16,"Continue", "Stop")</f>
        <v>Stop</v>
      </c>
      <c r="AO1700" s="110" t="b">
        <f>IF(Audit[[#This Row],[Status - Continue or stop audit]] = "Continue", TRUE, IF(AN1699 = "Continue", TRUE, FALSE))</f>
        <v>0</v>
      </c>
      <c r="AP1700" s="110"/>
    </row>
    <row r="1701" spans="1:42" ht="15" hidden="1" customHeight="1">
      <c r="A1701" s="111" t="str">
        <f>'Sampling Data'!W1695</f>
        <v/>
      </c>
      <c r="B1701" s="112" t="str">
        <f>'Sampling Data'!A1695</f>
        <v>PARMA -04-G</v>
      </c>
      <c r="C1701" s="112">
        <f>'Sampling Data'!B1695</f>
        <v>4</v>
      </c>
      <c r="D1701" s="112">
        <f>'Sampling Data'!C1695</f>
        <v>6</v>
      </c>
      <c r="E1701" s="113">
        <f>'Sampling Data'!D1695</f>
        <v>0</v>
      </c>
      <c r="F1701" s="113">
        <f>'Sampling Data'!E1695</f>
        <v>3</v>
      </c>
      <c r="G1701" s="113">
        <f>'Sampling Data'!F1695</f>
        <v>0</v>
      </c>
      <c r="H1701" s="113">
        <f>'Sampling Data'!G1695</f>
        <v>0</v>
      </c>
      <c r="I1701" s="112">
        <f>'Sampling Data'!H1695</f>
        <v>0</v>
      </c>
      <c r="J1701" s="112">
        <f>'Sampling Data'!I1695</f>
        <v>0</v>
      </c>
      <c r="K1701" s="112">
        <f>'Sampling Data'!J1695</f>
        <v>13</v>
      </c>
      <c r="L1701" s="111">
        <f>'Sampling Data'!X1695</f>
        <v>0</v>
      </c>
      <c r="M1701" s="114"/>
      <c r="N1701" s="114"/>
      <c r="O1701" s="115"/>
      <c r="P1701" s="115"/>
      <c r="Q1701" s="116"/>
      <c r="R1701" s="116"/>
      <c r="S1701" s="111">
        <f>Audit[[#This Row],[Audit Losing Candidate]]-Audit[[#This Row],[Losing Candidate]]</f>
        <v>-4</v>
      </c>
      <c r="T1701" s="111">
        <f>Audit[[#This Row],[Audit Winning Candidate]]-Audit[[#This Row],[Winning Candidate]]</f>
        <v>-6</v>
      </c>
      <c r="U1701" s="111">
        <f>Audit[[#This Row],[Audit Candidate 3]]-Audit[[#This Row],[Candidate 3]]</f>
        <v>0</v>
      </c>
      <c r="V1701" s="111">
        <f>Audit[[#This Row],[Audit Candidate 4]]-Audit[[#This Row],[Candidate 4]]</f>
        <v>-3</v>
      </c>
      <c r="W1701" s="111">
        <f>Audit[[#This Row],[Audit Candidate 5]]-Audit[[#This Row],[Candidate 5]]</f>
        <v>0</v>
      </c>
      <c r="X1701" s="111">
        <f>Audit[[#This Row],[Audit Candidate 6]]-Audit[[#This Row],[Candidate 6]]</f>
        <v>0</v>
      </c>
      <c r="Y1701" s="111">
        <f>SUMIF(Audit[[#This Row],[Difference Loser]:[Difference Candidate 6]], "&gt;0")</f>
        <v>0</v>
      </c>
      <c r="Z1701" s="111">
        <f>SUM(Audit[[#This Row],[Difference Loser]:[Difference Candidate 6]])</f>
        <v>-13</v>
      </c>
      <c r="AA1701" s="111">
        <f>IF(Audit[[#This Row],[Times p Drawn - With Replacement]]&gt;0, IF(Audit[[#This Row],[Canceled Differences]]&lt;0, Audit[[#This Row],[Max Differences]]+ABS(Audit[[#This Row],[Canceled Differences]]), Audit[[#This Row],[Max Differences]]), 0)</f>
        <v>0</v>
      </c>
      <c r="AB1701" s="111">
        <f>'Sampling Data'!P1695</f>
        <v>9.1866731994120533E-4</v>
      </c>
      <c r="AC1701" s="111">
        <f>IF(
      SUM(Audit[[#This Row],[Audit Losing Candidate]:[Audit Candidate 6]])
      &lt;&gt;0,
      (Audit[[#This Row],[Winning Candidate]]-Audit[[#This Row],[Losing Candidate]]-(Audit[[#This Row],[Audit Winning Candidate]]-Audit[[#This Row],[Audit Losing Candidate]]))/(Audit[[#Totals],[Winning Candidate]]-Audit[[#Totals],[Losing Candidate]]),
      0
)</f>
        <v>0</v>
      </c>
      <c r="AD17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1" s="111">
        <f>IF(Audit[[#This Row],[Max Relative Error (ep)]] = 0, 0, Audit[[#This Row],[Max Relative Error (ep)]]/Audit[[#This Row],[Error Bound (up) - Max. possible relative overstatement]])</f>
        <v>0</v>
      </c>
      <c r="AJ17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01" s="111">
        <f t="shared" si="26"/>
        <v>1</v>
      </c>
      <c r="AL1701" s="111">
        <f>PRODUCT($AK$5:AK1701)</f>
        <v>8.962823818226312E-2</v>
      </c>
      <c r="AM1701" s="109">
        <f>1 - [K-M P Value]</f>
        <v>0.91037176181773694</v>
      </c>
      <c r="AN1701" s="111" t="str">
        <f>IF(Audit[[#This Row],[K-M P Value]]&gt;1-'General Info'!$B$16,"Continue", "Stop")</f>
        <v>Stop</v>
      </c>
      <c r="AO1701" s="110" t="b">
        <f>IF(Audit[[#This Row],[Status - Continue or stop audit]] = "Continue", TRUE, IF(AN1700 = "Continue", TRUE, FALSE))</f>
        <v>0</v>
      </c>
      <c r="AP1701" s="110"/>
    </row>
    <row r="1702" spans="1:42" ht="15" hidden="1" customHeight="1">
      <c r="A1702" s="111" t="str">
        <f>'Sampling Data'!W1696</f>
        <v/>
      </c>
      <c r="B1702" s="112" t="str">
        <f>'Sampling Data'!A1696</f>
        <v>PARMA -04-G - ABS</v>
      </c>
      <c r="C1702" s="112">
        <f>'Sampling Data'!B1696</f>
        <v>1</v>
      </c>
      <c r="D1702" s="112">
        <f>'Sampling Data'!C1696</f>
        <v>2</v>
      </c>
      <c r="E1702" s="113">
        <f>'Sampling Data'!D1696</f>
        <v>0</v>
      </c>
      <c r="F1702" s="113">
        <f>'Sampling Data'!E1696</f>
        <v>0</v>
      </c>
      <c r="G1702" s="113">
        <f>'Sampling Data'!F1696</f>
        <v>0</v>
      </c>
      <c r="H1702" s="113">
        <f>'Sampling Data'!G1696</f>
        <v>0</v>
      </c>
      <c r="I1702" s="112">
        <f>'Sampling Data'!H1696</f>
        <v>0</v>
      </c>
      <c r="J1702" s="112">
        <f>'Sampling Data'!I1696</f>
        <v>0</v>
      </c>
      <c r="K1702" s="112">
        <f>'Sampling Data'!J1696</f>
        <v>3</v>
      </c>
      <c r="L1702" s="111">
        <f>'Sampling Data'!X1696</f>
        <v>0</v>
      </c>
      <c r="M1702" s="114"/>
      <c r="N1702" s="114"/>
      <c r="O1702" s="115"/>
      <c r="P1702" s="115"/>
      <c r="Q1702" s="116"/>
      <c r="R1702" s="116"/>
      <c r="S1702" s="111">
        <f>Audit[[#This Row],[Audit Losing Candidate]]-Audit[[#This Row],[Losing Candidate]]</f>
        <v>-1</v>
      </c>
      <c r="T1702" s="111">
        <f>Audit[[#This Row],[Audit Winning Candidate]]-Audit[[#This Row],[Winning Candidate]]</f>
        <v>-2</v>
      </c>
      <c r="U1702" s="111">
        <f>Audit[[#This Row],[Audit Candidate 3]]-Audit[[#This Row],[Candidate 3]]</f>
        <v>0</v>
      </c>
      <c r="V1702" s="111">
        <f>Audit[[#This Row],[Audit Candidate 4]]-Audit[[#This Row],[Candidate 4]]</f>
        <v>0</v>
      </c>
      <c r="W1702" s="111">
        <f>Audit[[#This Row],[Audit Candidate 5]]-Audit[[#This Row],[Candidate 5]]</f>
        <v>0</v>
      </c>
      <c r="X1702" s="111">
        <f>Audit[[#This Row],[Audit Candidate 6]]-Audit[[#This Row],[Candidate 6]]</f>
        <v>0</v>
      </c>
      <c r="Y1702" s="111">
        <f>SUMIF(Audit[[#This Row],[Difference Loser]:[Difference Candidate 6]], "&gt;0")</f>
        <v>0</v>
      </c>
      <c r="Z1702" s="111">
        <f>SUM(Audit[[#This Row],[Difference Loser]:[Difference Candidate 6]])</f>
        <v>-3</v>
      </c>
      <c r="AA1702" s="111">
        <f>IF(Audit[[#This Row],[Times p Drawn - With Replacement]]&gt;0, IF(Audit[[#This Row],[Canceled Differences]]&lt;0, Audit[[#This Row],[Max Differences]]+ABS(Audit[[#This Row],[Canceled Differences]]), Audit[[#This Row],[Max Differences]]), 0)</f>
        <v>0</v>
      </c>
      <c r="AB1702" s="111">
        <f>'Sampling Data'!P1696</f>
        <v>2.4497795198432141E-4</v>
      </c>
      <c r="AC1702" s="111">
        <f>IF(
      SUM(Audit[[#This Row],[Audit Losing Candidate]:[Audit Candidate 6]])
      &lt;&gt;0,
      (Audit[[#This Row],[Winning Candidate]]-Audit[[#This Row],[Losing Candidate]]-(Audit[[#This Row],[Audit Winning Candidate]]-Audit[[#This Row],[Audit Losing Candidate]]))/(Audit[[#Totals],[Winning Candidate]]-Audit[[#Totals],[Losing Candidate]]),
      0
)</f>
        <v>0</v>
      </c>
      <c r="AD17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2" s="111">
        <f>IF(Audit[[#This Row],[Max Relative Error (ep)]] = 0, 0, Audit[[#This Row],[Max Relative Error (ep)]]/Audit[[#This Row],[Error Bound (up) - Max. possible relative overstatement]])</f>
        <v>0</v>
      </c>
      <c r="AJ17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02" s="111">
        <f t="shared" si="26"/>
        <v>1</v>
      </c>
      <c r="AL1702" s="111">
        <f>PRODUCT($AK$5:AK1702)</f>
        <v>8.962823818226312E-2</v>
      </c>
      <c r="AM1702" s="109">
        <f>1 - [K-M P Value]</f>
        <v>0.91037176181773694</v>
      </c>
      <c r="AN1702" s="111" t="str">
        <f>IF(Audit[[#This Row],[K-M P Value]]&gt;1-'General Info'!$B$16,"Continue", "Stop")</f>
        <v>Stop</v>
      </c>
      <c r="AO1702" s="110" t="b">
        <f>IF(Audit[[#This Row],[Status - Continue or stop audit]] = "Continue", TRUE, IF(AN1701 = "Continue", TRUE, FALSE))</f>
        <v>0</v>
      </c>
      <c r="AP1702" s="110"/>
    </row>
    <row r="1703" spans="1:42" ht="15" hidden="1" customHeight="1">
      <c r="A1703" s="111" t="str">
        <f>'Sampling Data'!W1697</f>
        <v/>
      </c>
      <c r="B1703" s="112" t="str">
        <f>'Sampling Data'!A1697</f>
        <v>PARMA -05-A</v>
      </c>
      <c r="C1703" s="112">
        <f>'Sampling Data'!B1697</f>
        <v>33</v>
      </c>
      <c r="D1703" s="112">
        <f>'Sampling Data'!C1697</f>
        <v>40</v>
      </c>
      <c r="E1703" s="113">
        <f>'Sampling Data'!D1697</f>
        <v>19</v>
      </c>
      <c r="F1703" s="113">
        <f>'Sampling Data'!E1697</f>
        <v>11</v>
      </c>
      <c r="G1703" s="113">
        <f>'Sampling Data'!F1697</f>
        <v>0</v>
      </c>
      <c r="H1703" s="113">
        <f>'Sampling Data'!G1697</f>
        <v>0</v>
      </c>
      <c r="I1703" s="112">
        <f>'Sampling Data'!H1697</f>
        <v>1</v>
      </c>
      <c r="J1703" s="112">
        <f>'Sampling Data'!I1697</f>
        <v>4</v>
      </c>
      <c r="K1703" s="112">
        <f>'Sampling Data'!J1697</f>
        <v>108</v>
      </c>
      <c r="L1703" s="111">
        <f>'Sampling Data'!X1697</f>
        <v>0</v>
      </c>
      <c r="M1703" s="114"/>
      <c r="N1703" s="114"/>
      <c r="O1703" s="115"/>
      <c r="P1703" s="115"/>
      <c r="Q1703" s="116"/>
      <c r="R1703" s="116"/>
      <c r="S1703" s="111">
        <f>Audit[[#This Row],[Audit Losing Candidate]]-Audit[[#This Row],[Losing Candidate]]</f>
        <v>-33</v>
      </c>
      <c r="T1703" s="111">
        <f>Audit[[#This Row],[Audit Winning Candidate]]-Audit[[#This Row],[Winning Candidate]]</f>
        <v>-40</v>
      </c>
      <c r="U1703" s="111">
        <f>Audit[[#This Row],[Audit Candidate 3]]-Audit[[#This Row],[Candidate 3]]</f>
        <v>-19</v>
      </c>
      <c r="V1703" s="111">
        <f>Audit[[#This Row],[Audit Candidate 4]]-Audit[[#This Row],[Candidate 4]]</f>
        <v>-11</v>
      </c>
      <c r="W1703" s="111">
        <f>Audit[[#This Row],[Audit Candidate 5]]-Audit[[#This Row],[Candidate 5]]</f>
        <v>0</v>
      </c>
      <c r="X1703" s="111">
        <f>Audit[[#This Row],[Audit Candidate 6]]-Audit[[#This Row],[Candidate 6]]</f>
        <v>0</v>
      </c>
      <c r="Y1703" s="111">
        <f>SUMIF(Audit[[#This Row],[Difference Loser]:[Difference Candidate 6]], "&gt;0")</f>
        <v>0</v>
      </c>
      <c r="Z1703" s="111">
        <f>SUM(Audit[[#This Row],[Difference Loser]:[Difference Candidate 6]])</f>
        <v>-103</v>
      </c>
      <c r="AA1703" s="111">
        <f>IF(Audit[[#This Row],[Times p Drawn - With Replacement]]&gt;0, IF(Audit[[#This Row],[Canceled Differences]]&lt;0, Audit[[#This Row],[Max Differences]]+ABS(Audit[[#This Row],[Canceled Differences]]), Audit[[#This Row],[Max Differences]]), 0)</f>
        <v>0</v>
      </c>
      <c r="AB1703" s="111">
        <f>'Sampling Data'!P1697</f>
        <v>7.0431161195492406E-3</v>
      </c>
      <c r="AC1703" s="111">
        <f>IF(
      SUM(Audit[[#This Row],[Audit Losing Candidate]:[Audit Candidate 6]])
      &lt;&gt;0,
      (Audit[[#This Row],[Winning Candidate]]-Audit[[#This Row],[Losing Candidate]]-(Audit[[#This Row],[Audit Winning Candidate]]-Audit[[#This Row],[Audit Losing Candidate]]))/(Audit[[#Totals],[Winning Candidate]]-Audit[[#Totals],[Losing Candidate]]),
      0
)</f>
        <v>0</v>
      </c>
      <c r="AD17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3" s="111">
        <f>IF(Audit[[#This Row],[Max Relative Error (ep)]] = 0, 0, Audit[[#This Row],[Max Relative Error (ep)]]/Audit[[#This Row],[Error Bound (up) - Max. possible relative overstatement]])</f>
        <v>0</v>
      </c>
      <c r="AJ17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03" s="111">
        <f t="shared" si="26"/>
        <v>1</v>
      </c>
      <c r="AL1703" s="111">
        <f>PRODUCT($AK$5:AK1703)</f>
        <v>8.962823818226312E-2</v>
      </c>
      <c r="AM1703" s="109">
        <f>1 - [K-M P Value]</f>
        <v>0.91037176181773694</v>
      </c>
      <c r="AN1703" s="111" t="str">
        <f>IF(Audit[[#This Row],[K-M P Value]]&gt;1-'General Info'!$B$16,"Continue", "Stop")</f>
        <v>Stop</v>
      </c>
      <c r="AO1703" s="110" t="b">
        <f>IF(Audit[[#This Row],[Status - Continue or stop audit]] = "Continue", TRUE, IF(AN1702 = "Continue", TRUE, FALSE))</f>
        <v>0</v>
      </c>
      <c r="AP1703" s="110"/>
    </row>
    <row r="1704" spans="1:42" ht="15" hidden="1" customHeight="1">
      <c r="A1704" s="111" t="str">
        <f>'Sampling Data'!W1698</f>
        <v/>
      </c>
      <c r="B1704" s="112" t="str">
        <f>'Sampling Data'!A1698</f>
        <v>PARMA -05-A - ABS</v>
      </c>
      <c r="C1704" s="112">
        <f>'Sampling Data'!B1698</f>
        <v>15</v>
      </c>
      <c r="D1704" s="112">
        <f>'Sampling Data'!C1698</f>
        <v>19</v>
      </c>
      <c r="E1704" s="113">
        <f>'Sampling Data'!D1698</f>
        <v>2</v>
      </c>
      <c r="F1704" s="113">
        <f>'Sampling Data'!E1698</f>
        <v>1</v>
      </c>
      <c r="G1704" s="113">
        <f>'Sampling Data'!F1698</f>
        <v>0</v>
      </c>
      <c r="H1704" s="113">
        <f>'Sampling Data'!G1698</f>
        <v>0</v>
      </c>
      <c r="I1704" s="112">
        <f>'Sampling Data'!H1698</f>
        <v>0</v>
      </c>
      <c r="J1704" s="112">
        <f>'Sampling Data'!I1698</f>
        <v>3</v>
      </c>
      <c r="K1704" s="112">
        <f>'Sampling Data'!J1698</f>
        <v>40</v>
      </c>
      <c r="L1704" s="111">
        <f>'Sampling Data'!X1698</f>
        <v>0</v>
      </c>
      <c r="M1704" s="114"/>
      <c r="N1704" s="114"/>
      <c r="O1704" s="115"/>
      <c r="P1704" s="115"/>
      <c r="Q1704" s="116"/>
      <c r="R1704" s="116"/>
      <c r="S1704" s="111">
        <f>Audit[[#This Row],[Audit Losing Candidate]]-Audit[[#This Row],[Losing Candidate]]</f>
        <v>-15</v>
      </c>
      <c r="T1704" s="111">
        <f>Audit[[#This Row],[Audit Winning Candidate]]-Audit[[#This Row],[Winning Candidate]]</f>
        <v>-19</v>
      </c>
      <c r="U1704" s="111">
        <f>Audit[[#This Row],[Audit Candidate 3]]-Audit[[#This Row],[Candidate 3]]</f>
        <v>-2</v>
      </c>
      <c r="V1704" s="111">
        <f>Audit[[#This Row],[Audit Candidate 4]]-Audit[[#This Row],[Candidate 4]]</f>
        <v>-1</v>
      </c>
      <c r="W1704" s="111">
        <f>Audit[[#This Row],[Audit Candidate 5]]-Audit[[#This Row],[Candidate 5]]</f>
        <v>0</v>
      </c>
      <c r="X1704" s="111">
        <f>Audit[[#This Row],[Audit Candidate 6]]-Audit[[#This Row],[Candidate 6]]</f>
        <v>0</v>
      </c>
      <c r="Y1704" s="111">
        <f>SUMIF(Audit[[#This Row],[Difference Loser]:[Difference Candidate 6]], "&gt;0")</f>
        <v>0</v>
      </c>
      <c r="Z1704" s="111">
        <f>SUM(Audit[[#This Row],[Difference Loser]:[Difference Candidate 6]])</f>
        <v>-37</v>
      </c>
      <c r="AA1704" s="111">
        <f>IF(Audit[[#This Row],[Times p Drawn - With Replacement]]&gt;0, IF(Audit[[#This Row],[Canceled Differences]]&lt;0, Audit[[#This Row],[Max Differences]]+ABS(Audit[[#This Row],[Canceled Differences]]), Audit[[#This Row],[Max Differences]]), 0)</f>
        <v>0</v>
      </c>
      <c r="AB1704" s="111">
        <f>'Sampling Data'!P1698</f>
        <v>2.6947574718275357E-3</v>
      </c>
      <c r="AC1704" s="111">
        <f>IF(
      SUM(Audit[[#This Row],[Audit Losing Candidate]:[Audit Candidate 6]])
      &lt;&gt;0,
      (Audit[[#This Row],[Winning Candidate]]-Audit[[#This Row],[Losing Candidate]]-(Audit[[#This Row],[Audit Winning Candidate]]-Audit[[#This Row],[Audit Losing Candidate]]))/(Audit[[#Totals],[Winning Candidate]]-Audit[[#Totals],[Losing Candidate]]),
      0
)</f>
        <v>0</v>
      </c>
      <c r="AD17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4" s="111">
        <f>IF(Audit[[#This Row],[Max Relative Error (ep)]] = 0, 0, Audit[[#This Row],[Max Relative Error (ep)]]/Audit[[#This Row],[Error Bound (up) - Max. possible relative overstatement]])</f>
        <v>0</v>
      </c>
      <c r="AJ17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04" s="111">
        <f t="shared" si="26"/>
        <v>1</v>
      </c>
      <c r="AL1704" s="111">
        <f>PRODUCT($AK$5:AK1704)</f>
        <v>8.962823818226312E-2</v>
      </c>
      <c r="AM1704" s="109">
        <f>1 - [K-M P Value]</f>
        <v>0.91037176181773694</v>
      </c>
      <c r="AN1704" s="111" t="str">
        <f>IF(Audit[[#This Row],[K-M P Value]]&gt;1-'General Info'!$B$16,"Continue", "Stop")</f>
        <v>Stop</v>
      </c>
      <c r="AO1704" s="110" t="b">
        <f>IF(Audit[[#This Row],[Status - Continue or stop audit]] = "Continue", TRUE, IF(AN1703 = "Continue", TRUE, FALSE))</f>
        <v>0</v>
      </c>
      <c r="AP1704" s="110"/>
    </row>
    <row r="1705" spans="1:42" ht="15" hidden="1" customHeight="1">
      <c r="A1705" s="111" t="str">
        <f>'Sampling Data'!W1699</f>
        <v/>
      </c>
      <c r="B1705" s="112" t="str">
        <f>'Sampling Data'!A1699</f>
        <v>PARMA -05-B</v>
      </c>
      <c r="C1705" s="112">
        <f>'Sampling Data'!B1699</f>
        <v>48</v>
      </c>
      <c r="D1705" s="112">
        <f>'Sampling Data'!C1699</f>
        <v>63</v>
      </c>
      <c r="E1705" s="113">
        <f>'Sampling Data'!D1699</f>
        <v>17</v>
      </c>
      <c r="F1705" s="113">
        <f>'Sampling Data'!E1699</f>
        <v>14</v>
      </c>
      <c r="G1705" s="113">
        <f>'Sampling Data'!F1699</f>
        <v>1</v>
      </c>
      <c r="H1705" s="113">
        <f>'Sampling Data'!G1699</f>
        <v>0</v>
      </c>
      <c r="I1705" s="112">
        <f>'Sampling Data'!H1699</f>
        <v>1</v>
      </c>
      <c r="J1705" s="112">
        <f>'Sampling Data'!I1699</f>
        <v>3</v>
      </c>
      <c r="K1705" s="112">
        <f>'Sampling Data'!J1699</f>
        <v>147</v>
      </c>
      <c r="L1705" s="111">
        <f>'Sampling Data'!X1699</f>
        <v>0</v>
      </c>
      <c r="M1705" s="114"/>
      <c r="N1705" s="114"/>
      <c r="O1705" s="115"/>
      <c r="P1705" s="115"/>
      <c r="Q1705" s="116"/>
      <c r="R1705" s="116"/>
      <c r="S1705" s="111">
        <f>Audit[[#This Row],[Audit Losing Candidate]]-Audit[[#This Row],[Losing Candidate]]</f>
        <v>-48</v>
      </c>
      <c r="T1705" s="111">
        <f>Audit[[#This Row],[Audit Winning Candidate]]-Audit[[#This Row],[Winning Candidate]]</f>
        <v>-63</v>
      </c>
      <c r="U1705" s="111">
        <f>Audit[[#This Row],[Audit Candidate 3]]-Audit[[#This Row],[Candidate 3]]</f>
        <v>-17</v>
      </c>
      <c r="V1705" s="111">
        <f>Audit[[#This Row],[Audit Candidate 4]]-Audit[[#This Row],[Candidate 4]]</f>
        <v>-14</v>
      </c>
      <c r="W1705" s="111">
        <f>Audit[[#This Row],[Audit Candidate 5]]-Audit[[#This Row],[Candidate 5]]</f>
        <v>-1</v>
      </c>
      <c r="X1705" s="111">
        <f>Audit[[#This Row],[Audit Candidate 6]]-Audit[[#This Row],[Candidate 6]]</f>
        <v>0</v>
      </c>
      <c r="Y1705" s="111">
        <f>SUMIF(Audit[[#This Row],[Difference Loser]:[Difference Candidate 6]], "&gt;0")</f>
        <v>0</v>
      </c>
      <c r="Z1705" s="111">
        <f>SUM(Audit[[#This Row],[Difference Loser]:[Difference Candidate 6]])</f>
        <v>-143</v>
      </c>
      <c r="AA1705" s="111">
        <f>IF(Audit[[#This Row],[Times p Drawn - With Replacement]]&gt;0, IF(Audit[[#This Row],[Canceled Differences]]&lt;0, Audit[[#This Row],[Max Differences]]+ABS(Audit[[#This Row],[Canceled Differences]]), Audit[[#This Row],[Max Differences]]), 0)</f>
        <v>0</v>
      </c>
      <c r="AB1705" s="111">
        <f>'Sampling Data'!P1699</f>
        <v>9.9216070553650171E-3</v>
      </c>
      <c r="AC1705" s="111">
        <f>IF(
      SUM(Audit[[#This Row],[Audit Losing Candidate]:[Audit Candidate 6]])
      &lt;&gt;0,
      (Audit[[#This Row],[Winning Candidate]]-Audit[[#This Row],[Losing Candidate]]-(Audit[[#This Row],[Audit Winning Candidate]]-Audit[[#This Row],[Audit Losing Candidate]]))/(Audit[[#Totals],[Winning Candidate]]-Audit[[#Totals],[Losing Candidate]]),
      0
)</f>
        <v>0</v>
      </c>
      <c r="AD17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5" s="111">
        <f>IF(Audit[[#This Row],[Max Relative Error (ep)]] = 0, 0, Audit[[#This Row],[Max Relative Error (ep)]]/Audit[[#This Row],[Error Bound (up) - Max. possible relative overstatement]])</f>
        <v>0</v>
      </c>
      <c r="AJ17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05" s="111">
        <f t="shared" si="26"/>
        <v>1</v>
      </c>
      <c r="AL1705" s="111">
        <f>PRODUCT($AK$5:AK1705)</f>
        <v>8.962823818226312E-2</v>
      </c>
      <c r="AM1705" s="109">
        <f>1 - [K-M P Value]</f>
        <v>0.91037176181773694</v>
      </c>
      <c r="AN1705" s="111" t="str">
        <f>IF(Audit[[#This Row],[K-M P Value]]&gt;1-'General Info'!$B$16,"Continue", "Stop")</f>
        <v>Stop</v>
      </c>
      <c r="AO1705" s="110" t="b">
        <f>IF(Audit[[#This Row],[Status - Continue or stop audit]] = "Continue", TRUE, IF(AN1704 = "Continue", TRUE, FALSE))</f>
        <v>0</v>
      </c>
      <c r="AP1705" s="110"/>
    </row>
    <row r="1706" spans="1:42" ht="15" hidden="1" customHeight="1">
      <c r="A1706" s="111" t="str">
        <f>'Sampling Data'!W1700</f>
        <v/>
      </c>
      <c r="B1706" s="112" t="str">
        <f>'Sampling Data'!A1700</f>
        <v>PARMA -05-B - ABS</v>
      </c>
      <c r="C1706" s="112">
        <f>'Sampling Data'!B1700</f>
        <v>14</v>
      </c>
      <c r="D1706" s="112">
        <f>'Sampling Data'!C1700</f>
        <v>35</v>
      </c>
      <c r="E1706" s="113">
        <f>'Sampling Data'!D1700</f>
        <v>18</v>
      </c>
      <c r="F1706" s="113">
        <f>'Sampling Data'!E1700</f>
        <v>4</v>
      </c>
      <c r="G1706" s="113">
        <f>'Sampling Data'!F1700</f>
        <v>2</v>
      </c>
      <c r="H1706" s="113">
        <f>'Sampling Data'!G1700</f>
        <v>1</v>
      </c>
      <c r="I1706" s="112">
        <f>'Sampling Data'!H1700</f>
        <v>0</v>
      </c>
      <c r="J1706" s="112">
        <f>'Sampling Data'!I1700</f>
        <v>1</v>
      </c>
      <c r="K1706" s="112">
        <f>'Sampling Data'!J1700</f>
        <v>75</v>
      </c>
      <c r="L1706" s="111">
        <f>'Sampling Data'!X1700</f>
        <v>0</v>
      </c>
      <c r="M1706" s="114"/>
      <c r="N1706" s="114"/>
      <c r="O1706" s="115"/>
      <c r="P1706" s="115"/>
      <c r="Q1706" s="116"/>
      <c r="R1706" s="116"/>
      <c r="S1706" s="111">
        <f>Audit[[#This Row],[Audit Losing Candidate]]-Audit[[#This Row],[Losing Candidate]]</f>
        <v>-14</v>
      </c>
      <c r="T1706" s="111">
        <f>Audit[[#This Row],[Audit Winning Candidate]]-Audit[[#This Row],[Winning Candidate]]</f>
        <v>-35</v>
      </c>
      <c r="U1706" s="111">
        <f>Audit[[#This Row],[Audit Candidate 3]]-Audit[[#This Row],[Candidate 3]]</f>
        <v>-18</v>
      </c>
      <c r="V1706" s="111">
        <f>Audit[[#This Row],[Audit Candidate 4]]-Audit[[#This Row],[Candidate 4]]</f>
        <v>-4</v>
      </c>
      <c r="W1706" s="111">
        <f>Audit[[#This Row],[Audit Candidate 5]]-Audit[[#This Row],[Candidate 5]]</f>
        <v>-2</v>
      </c>
      <c r="X1706" s="111">
        <f>Audit[[#This Row],[Audit Candidate 6]]-Audit[[#This Row],[Candidate 6]]</f>
        <v>-1</v>
      </c>
      <c r="Y1706" s="111">
        <f>SUMIF(Audit[[#This Row],[Difference Loser]:[Difference Candidate 6]], "&gt;0")</f>
        <v>0</v>
      </c>
      <c r="Z1706" s="111">
        <f>SUM(Audit[[#This Row],[Difference Loser]:[Difference Candidate 6]])</f>
        <v>-74</v>
      </c>
      <c r="AA1706" s="111">
        <f>IF(Audit[[#This Row],[Times p Drawn - With Replacement]]&gt;0, IF(Audit[[#This Row],[Canceled Differences]]&lt;0, Audit[[#This Row],[Max Differences]]+ABS(Audit[[#This Row],[Canceled Differences]]), Audit[[#This Row],[Max Differences]]), 0)</f>
        <v>0</v>
      </c>
      <c r="AB1706" s="111">
        <f>'Sampling Data'!P1700</f>
        <v>5.8794708476237138E-3</v>
      </c>
      <c r="AC1706" s="111">
        <f>IF(
      SUM(Audit[[#This Row],[Audit Losing Candidate]:[Audit Candidate 6]])
      &lt;&gt;0,
      (Audit[[#This Row],[Winning Candidate]]-Audit[[#This Row],[Losing Candidate]]-(Audit[[#This Row],[Audit Winning Candidate]]-Audit[[#This Row],[Audit Losing Candidate]]))/(Audit[[#Totals],[Winning Candidate]]-Audit[[#Totals],[Losing Candidate]]),
      0
)</f>
        <v>0</v>
      </c>
      <c r="AD17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6" s="111">
        <f>IF(Audit[[#This Row],[Max Relative Error (ep)]] = 0, 0, Audit[[#This Row],[Max Relative Error (ep)]]/Audit[[#This Row],[Error Bound (up) - Max. possible relative overstatement]])</f>
        <v>0</v>
      </c>
      <c r="AJ17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06" s="111">
        <f t="shared" si="26"/>
        <v>1</v>
      </c>
      <c r="AL1706" s="111">
        <f>PRODUCT($AK$5:AK1706)</f>
        <v>8.962823818226312E-2</v>
      </c>
      <c r="AM1706" s="109">
        <f>1 - [K-M P Value]</f>
        <v>0.91037176181773694</v>
      </c>
      <c r="AN1706" s="111" t="str">
        <f>IF(Audit[[#This Row],[K-M P Value]]&gt;1-'General Info'!$B$16,"Continue", "Stop")</f>
        <v>Stop</v>
      </c>
      <c r="AO1706" s="110" t="b">
        <f>IF(Audit[[#This Row],[Status - Continue or stop audit]] = "Continue", TRUE, IF(AN1705 = "Continue", TRUE, FALSE))</f>
        <v>0</v>
      </c>
      <c r="AP1706" s="110"/>
    </row>
    <row r="1707" spans="1:42" ht="15" hidden="1" customHeight="1">
      <c r="A1707" s="111" t="str">
        <f>'Sampling Data'!W1701</f>
        <v/>
      </c>
      <c r="B1707" s="112" t="str">
        <f>'Sampling Data'!A1701</f>
        <v>PARMA -05-C</v>
      </c>
      <c r="C1707" s="112">
        <f>'Sampling Data'!B1701</f>
        <v>32</v>
      </c>
      <c r="D1707" s="112">
        <f>'Sampling Data'!C1701</f>
        <v>48</v>
      </c>
      <c r="E1707" s="113">
        <f>'Sampling Data'!D1701</f>
        <v>13</v>
      </c>
      <c r="F1707" s="113">
        <f>'Sampling Data'!E1701</f>
        <v>7</v>
      </c>
      <c r="G1707" s="113">
        <f>'Sampling Data'!F1701</f>
        <v>0</v>
      </c>
      <c r="H1707" s="113">
        <f>'Sampling Data'!G1701</f>
        <v>0</v>
      </c>
      <c r="I1707" s="112">
        <f>'Sampling Data'!H1701</f>
        <v>0</v>
      </c>
      <c r="J1707" s="112">
        <f>'Sampling Data'!I1701</f>
        <v>0</v>
      </c>
      <c r="K1707" s="112">
        <f>'Sampling Data'!J1701</f>
        <v>100</v>
      </c>
      <c r="L1707" s="111">
        <f>'Sampling Data'!X1701</f>
        <v>0</v>
      </c>
      <c r="M1707" s="114"/>
      <c r="N1707" s="114"/>
      <c r="O1707" s="115"/>
      <c r="P1707" s="115"/>
      <c r="Q1707" s="116"/>
      <c r="R1707" s="116"/>
      <c r="S1707" s="111">
        <f>Audit[[#This Row],[Audit Losing Candidate]]-Audit[[#This Row],[Losing Candidate]]</f>
        <v>-32</v>
      </c>
      <c r="T1707" s="111">
        <f>Audit[[#This Row],[Audit Winning Candidate]]-Audit[[#This Row],[Winning Candidate]]</f>
        <v>-48</v>
      </c>
      <c r="U1707" s="111">
        <f>Audit[[#This Row],[Audit Candidate 3]]-Audit[[#This Row],[Candidate 3]]</f>
        <v>-13</v>
      </c>
      <c r="V1707" s="111">
        <f>Audit[[#This Row],[Audit Candidate 4]]-Audit[[#This Row],[Candidate 4]]</f>
        <v>-7</v>
      </c>
      <c r="W1707" s="111">
        <f>Audit[[#This Row],[Audit Candidate 5]]-Audit[[#This Row],[Candidate 5]]</f>
        <v>0</v>
      </c>
      <c r="X1707" s="111">
        <f>Audit[[#This Row],[Audit Candidate 6]]-Audit[[#This Row],[Candidate 6]]</f>
        <v>0</v>
      </c>
      <c r="Y1707" s="111">
        <f>SUMIF(Audit[[#This Row],[Difference Loser]:[Difference Candidate 6]], "&gt;0")</f>
        <v>0</v>
      </c>
      <c r="Z1707" s="111">
        <f>SUM(Audit[[#This Row],[Difference Loser]:[Difference Candidate 6]])</f>
        <v>-100</v>
      </c>
      <c r="AA1707" s="111">
        <f>IF(Audit[[#This Row],[Times p Drawn - With Replacement]]&gt;0, IF(Audit[[#This Row],[Canceled Differences]]&lt;0, Audit[[#This Row],[Max Differences]]+ABS(Audit[[#This Row],[Canceled Differences]]), Audit[[#This Row],[Max Differences]]), 0)</f>
        <v>0</v>
      </c>
      <c r="AB1707" s="111">
        <f>'Sampling Data'!P1701</f>
        <v>7.104360607545321E-3</v>
      </c>
      <c r="AC1707" s="111">
        <f>IF(
      SUM(Audit[[#This Row],[Audit Losing Candidate]:[Audit Candidate 6]])
      &lt;&gt;0,
      (Audit[[#This Row],[Winning Candidate]]-Audit[[#This Row],[Losing Candidate]]-(Audit[[#This Row],[Audit Winning Candidate]]-Audit[[#This Row],[Audit Losing Candidate]]))/(Audit[[#Totals],[Winning Candidate]]-Audit[[#Totals],[Losing Candidate]]),
      0
)</f>
        <v>0</v>
      </c>
      <c r="AD17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7" s="111">
        <f>IF(Audit[[#This Row],[Max Relative Error (ep)]] = 0, 0, Audit[[#This Row],[Max Relative Error (ep)]]/Audit[[#This Row],[Error Bound (up) - Max. possible relative overstatement]])</f>
        <v>0</v>
      </c>
      <c r="AJ17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07" s="111">
        <f t="shared" si="26"/>
        <v>1</v>
      </c>
      <c r="AL1707" s="111">
        <f>PRODUCT($AK$5:AK1707)</f>
        <v>8.962823818226312E-2</v>
      </c>
      <c r="AM1707" s="109">
        <f>1 - [K-M P Value]</f>
        <v>0.91037176181773694</v>
      </c>
      <c r="AN1707" s="111" t="str">
        <f>IF(Audit[[#This Row],[K-M P Value]]&gt;1-'General Info'!$B$16,"Continue", "Stop")</f>
        <v>Stop</v>
      </c>
      <c r="AO1707" s="110" t="b">
        <f>IF(Audit[[#This Row],[Status - Continue or stop audit]] = "Continue", TRUE, IF(AN1706 = "Continue", TRUE, FALSE))</f>
        <v>0</v>
      </c>
      <c r="AP1707" s="110"/>
    </row>
    <row r="1708" spans="1:42" ht="15" hidden="1" customHeight="1">
      <c r="A1708" s="111" t="str">
        <f>'Sampling Data'!W1702</f>
        <v/>
      </c>
      <c r="B1708" s="112" t="str">
        <f>'Sampling Data'!A1702</f>
        <v>PARMA -05-C - ABS</v>
      </c>
      <c r="C1708" s="112">
        <f>'Sampling Data'!B1702</f>
        <v>21</v>
      </c>
      <c r="D1708" s="112">
        <f>'Sampling Data'!C1702</f>
        <v>24</v>
      </c>
      <c r="E1708" s="113">
        <f>'Sampling Data'!D1702</f>
        <v>10</v>
      </c>
      <c r="F1708" s="113">
        <f>'Sampling Data'!E1702</f>
        <v>6</v>
      </c>
      <c r="G1708" s="113">
        <f>'Sampling Data'!F1702</f>
        <v>0</v>
      </c>
      <c r="H1708" s="113">
        <f>'Sampling Data'!G1702</f>
        <v>0</v>
      </c>
      <c r="I1708" s="112">
        <f>'Sampling Data'!H1702</f>
        <v>0</v>
      </c>
      <c r="J1708" s="112">
        <f>'Sampling Data'!I1702</f>
        <v>3</v>
      </c>
      <c r="K1708" s="112">
        <f>'Sampling Data'!J1702</f>
        <v>64</v>
      </c>
      <c r="L1708" s="111">
        <f>'Sampling Data'!X1702</f>
        <v>0</v>
      </c>
      <c r="M1708" s="114"/>
      <c r="N1708" s="114"/>
      <c r="O1708" s="115"/>
      <c r="P1708" s="115"/>
      <c r="Q1708" s="116"/>
      <c r="R1708" s="116"/>
      <c r="S1708" s="111">
        <f>Audit[[#This Row],[Audit Losing Candidate]]-Audit[[#This Row],[Losing Candidate]]</f>
        <v>-21</v>
      </c>
      <c r="T1708" s="111">
        <f>Audit[[#This Row],[Audit Winning Candidate]]-Audit[[#This Row],[Winning Candidate]]</f>
        <v>-24</v>
      </c>
      <c r="U1708" s="111">
        <f>Audit[[#This Row],[Audit Candidate 3]]-Audit[[#This Row],[Candidate 3]]</f>
        <v>-10</v>
      </c>
      <c r="V1708" s="111">
        <f>Audit[[#This Row],[Audit Candidate 4]]-Audit[[#This Row],[Candidate 4]]</f>
        <v>-6</v>
      </c>
      <c r="W1708" s="111">
        <f>Audit[[#This Row],[Audit Candidate 5]]-Audit[[#This Row],[Candidate 5]]</f>
        <v>0</v>
      </c>
      <c r="X1708" s="111">
        <f>Audit[[#This Row],[Audit Candidate 6]]-Audit[[#This Row],[Candidate 6]]</f>
        <v>0</v>
      </c>
      <c r="Y1708" s="111">
        <f>SUMIF(Audit[[#This Row],[Difference Loser]:[Difference Candidate 6]], "&gt;0")</f>
        <v>0</v>
      </c>
      <c r="Z1708" s="111">
        <f>SUM(Audit[[#This Row],[Difference Loser]:[Difference Candidate 6]])</f>
        <v>-61</v>
      </c>
      <c r="AA1708" s="111">
        <f>IF(Audit[[#This Row],[Times p Drawn - With Replacement]]&gt;0, IF(Audit[[#This Row],[Canceled Differences]]&lt;0, Audit[[#This Row],[Max Differences]]+ABS(Audit[[#This Row],[Canceled Differences]]), Audit[[#This Row],[Max Differences]]), 0)</f>
        <v>0</v>
      </c>
      <c r="AB1708" s="111">
        <f>'Sampling Data'!P1702</f>
        <v>4.1033806957373837E-3</v>
      </c>
      <c r="AC1708" s="111">
        <f>IF(
      SUM(Audit[[#This Row],[Audit Losing Candidate]:[Audit Candidate 6]])
      &lt;&gt;0,
      (Audit[[#This Row],[Winning Candidate]]-Audit[[#This Row],[Losing Candidate]]-(Audit[[#This Row],[Audit Winning Candidate]]-Audit[[#This Row],[Audit Losing Candidate]]))/(Audit[[#Totals],[Winning Candidate]]-Audit[[#Totals],[Losing Candidate]]),
      0
)</f>
        <v>0</v>
      </c>
      <c r="AD17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8" s="111">
        <f>IF(Audit[[#This Row],[Max Relative Error (ep)]] = 0, 0, Audit[[#This Row],[Max Relative Error (ep)]]/Audit[[#This Row],[Error Bound (up) - Max. possible relative overstatement]])</f>
        <v>0</v>
      </c>
      <c r="AJ17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08" s="111">
        <f t="shared" si="26"/>
        <v>1</v>
      </c>
      <c r="AL1708" s="111">
        <f>PRODUCT($AK$5:AK1708)</f>
        <v>8.962823818226312E-2</v>
      </c>
      <c r="AM1708" s="109">
        <f>1 - [K-M P Value]</f>
        <v>0.91037176181773694</v>
      </c>
      <c r="AN1708" s="111" t="str">
        <f>IF(Audit[[#This Row],[K-M P Value]]&gt;1-'General Info'!$B$16,"Continue", "Stop")</f>
        <v>Stop</v>
      </c>
      <c r="AO1708" s="110" t="b">
        <f>IF(Audit[[#This Row],[Status - Continue or stop audit]] = "Continue", TRUE, IF(AN1707 = "Continue", TRUE, FALSE))</f>
        <v>0</v>
      </c>
      <c r="AP1708" s="110"/>
    </row>
    <row r="1709" spans="1:42" ht="15" hidden="1" customHeight="1">
      <c r="A1709" s="111" t="str">
        <f>'Sampling Data'!W1703</f>
        <v/>
      </c>
      <c r="B1709" s="112" t="str">
        <f>'Sampling Data'!A1703</f>
        <v>PARMA -05-D</v>
      </c>
      <c r="C1709" s="112">
        <f>'Sampling Data'!B1703</f>
        <v>38</v>
      </c>
      <c r="D1709" s="112">
        <f>'Sampling Data'!C1703</f>
        <v>44</v>
      </c>
      <c r="E1709" s="113">
        <f>'Sampling Data'!D1703</f>
        <v>24</v>
      </c>
      <c r="F1709" s="113">
        <f>'Sampling Data'!E1703</f>
        <v>7</v>
      </c>
      <c r="G1709" s="113">
        <f>'Sampling Data'!F1703</f>
        <v>0</v>
      </c>
      <c r="H1709" s="113">
        <f>'Sampling Data'!G1703</f>
        <v>0</v>
      </c>
      <c r="I1709" s="112">
        <f>'Sampling Data'!H1703</f>
        <v>1</v>
      </c>
      <c r="J1709" s="112">
        <f>'Sampling Data'!I1703</f>
        <v>1</v>
      </c>
      <c r="K1709" s="112">
        <f>'Sampling Data'!J1703</f>
        <v>115</v>
      </c>
      <c r="L1709" s="111">
        <f>'Sampling Data'!X1703</f>
        <v>0</v>
      </c>
      <c r="M1709" s="114"/>
      <c r="N1709" s="114"/>
      <c r="O1709" s="115"/>
      <c r="P1709" s="115"/>
      <c r="Q1709" s="116"/>
      <c r="R1709" s="116"/>
      <c r="S1709" s="111">
        <f>Audit[[#This Row],[Audit Losing Candidate]]-Audit[[#This Row],[Losing Candidate]]</f>
        <v>-38</v>
      </c>
      <c r="T1709" s="111">
        <f>Audit[[#This Row],[Audit Winning Candidate]]-Audit[[#This Row],[Winning Candidate]]</f>
        <v>-44</v>
      </c>
      <c r="U1709" s="111">
        <f>Audit[[#This Row],[Audit Candidate 3]]-Audit[[#This Row],[Candidate 3]]</f>
        <v>-24</v>
      </c>
      <c r="V1709" s="111">
        <f>Audit[[#This Row],[Audit Candidate 4]]-Audit[[#This Row],[Candidate 4]]</f>
        <v>-7</v>
      </c>
      <c r="W1709" s="111">
        <f>Audit[[#This Row],[Audit Candidate 5]]-Audit[[#This Row],[Candidate 5]]</f>
        <v>0</v>
      </c>
      <c r="X1709" s="111">
        <f>Audit[[#This Row],[Audit Candidate 6]]-Audit[[#This Row],[Candidate 6]]</f>
        <v>0</v>
      </c>
      <c r="Y1709" s="111">
        <f>SUMIF(Audit[[#This Row],[Difference Loser]:[Difference Candidate 6]], "&gt;0")</f>
        <v>0</v>
      </c>
      <c r="Z1709" s="111">
        <f>SUM(Audit[[#This Row],[Difference Loser]:[Difference Candidate 6]])</f>
        <v>-113</v>
      </c>
      <c r="AA1709" s="111">
        <f>IF(Audit[[#This Row],[Times p Drawn - With Replacement]]&gt;0, IF(Audit[[#This Row],[Canceled Differences]]&lt;0, Audit[[#This Row],[Max Differences]]+ABS(Audit[[#This Row],[Canceled Differences]]), Audit[[#This Row],[Max Differences]]), 0)</f>
        <v>0</v>
      </c>
      <c r="AB1709" s="111">
        <f>'Sampling Data'!P1703</f>
        <v>7.410583047525723E-3</v>
      </c>
      <c r="AC1709" s="111">
        <f>IF(
      SUM(Audit[[#This Row],[Audit Losing Candidate]:[Audit Candidate 6]])
      &lt;&gt;0,
      (Audit[[#This Row],[Winning Candidate]]-Audit[[#This Row],[Losing Candidate]]-(Audit[[#This Row],[Audit Winning Candidate]]-Audit[[#This Row],[Audit Losing Candidate]]))/(Audit[[#Totals],[Winning Candidate]]-Audit[[#Totals],[Losing Candidate]]),
      0
)</f>
        <v>0</v>
      </c>
      <c r="AD17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9" s="111">
        <f>IF(Audit[[#This Row],[Max Relative Error (ep)]] = 0, 0, Audit[[#This Row],[Max Relative Error (ep)]]/Audit[[#This Row],[Error Bound (up) - Max. possible relative overstatement]])</f>
        <v>0</v>
      </c>
      <c r="AJ17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09" s="111">
        <f t="shared" si="26"/>
        <v>1</v>
      </c>
      <c r="AL1709" s="111">
        <f>PRODUCT($AK$5:AK1709)</f>
        <v>8.962823818226312E-2</v>
      </c>
      <c r="AM1709" s="109">
        <f>1 - [K-M P Value]</f>
        <v>0.91037176181773694</v>
      </c>
      <c r="AN1709" s="111" t="str">
        <f>IF(Audit[[#This Row],[K-M P Value]]&gt;1-'General Info'!$B$16,"Continue", "Stop")</f>
        <v>Stop</v>
      </c>
      <c r="AO1709" s="110" t="b">
        <f>IF(Audit[[#This Row],[Status - Continue or stop audit]] = "Continue", TRUE, IF(AN1708 = "Continue", TRUE, FALSE))</f>
        <v>0</v>
      </c>
      <c r="AP1709" s="110"/>
    </row>
    <row r="1710" spans="1:42" ht="15" hidden="1" customHeight="1">
      <c r="A1710" s="111" t="str">
        <f>'Sampling Data'!W1704</f>
        <v/>
      </c>
      <c r="B1710" s="112" t="str">
        <f>'Sampling Data'!A1704</f>
        <v>PARMA -05-D - ABS</v>
      </c>
      <c r="C1710" s="112">
        <f>'Sampling Data'!B1704</f>
        <v>12</v>
      </c>
      <c r="D1710" s="112">
        <f>'Sampling Data'!C1704</f>
        <v>21</v>
      </c>
      <c r="E1710" s="113">
        <f>'Sampling Data'!D1704</f>
        <v>2</v>
      </c>
      <c r="F1710" s="113">
        <f>'Sampling Data'!E1704</f>
        <v>3</v>
      </c>
      <c r="G1710" s="113">
        <f>'Sampling Data'!F1704</f>
        <v>0</v>
      </c>
      <c r="H1710" s="113">
        <f>'Sampling Data'!G1704</f>
        <v>1</v>
      </c>
      <c r="I1710" s="112">
        <f>'Sampling Data'!H1704</f>
        <v>0</v>
      </c>
      <c r="J1710" s="112">
        <f>'Sampling Data'!I1704</f>
        <v>1</v>
      </c>
      <c r="K1710" s="112">
        <f>'Sampling Data'!J1704</f>
        <v>40</v>
      </c>
      <c r="L1710" s="111">
        <f>'Sampling Data'!X1704</f>
        <v>0</v>
      </c>
      <c r="M1710" s="114"/>
      <c r="N1710" s="114"/>
      <c r="O1710" s="115"/>
      <c r="P1710" s="115"/>
      <c r="Q1710" s="116"/>
      <c r="R1710" s="116"/>
      <c r="S1710" s="111">
        <f>Audit[[#This Row],[Audit Losing Candidate]]-Audit[[#This Row],[Losing Candidate]]</f>
        <v>-12</v>
      </c>
      <c r="T1710" s="111">
        <f>Audit[[#This Row],[Audit Winning Candidate]]-Audit[[#This Row],[Winning Candidate]]</f>
        <v>-21</v>
      </c>
      <c r="U1710" s="111">
        <f>Audit[[#This Row],[Audit Candidate 3]]-Audit[[#This Row],[Candidate 3]]</f>
        <v>-2</v>
      </c>
      <c r="V1710" s="111">
        <f>Audit[[#This Row],[Audit Candidate 4]]-Audit[[#This Row],[Candidate 4]]</f>
        <v>-3</v>
      </c>
      <c r="W1710" s="111">
        <f>Audit[[#This Row],[Audit Candidate 5]]-Audit[[#This Row],[Candidate 5]]</f>
        <v>0</v>
      </c>
      <c r="X1710" s="111">
        <f>Audit[[#This Row],[Audit Candidate 6]]-Audit[[#This Row],[Candidate 6]]</f>
        <v>-1</v>
      </c>
      <c r="Y1710" s="111">
        <f>SUMIF(Audit[[#This Row],[Difference Loser]:[Difference Candidate 6]], "&gt;0")</f>
        <v>0</v>
      </c>
      <c r="Z1710" s="111">
        <f>SUM(Audit[[#This Row],[Difference Loser]:[Difference Candidate 6]])</f>
        <v>-39</v>
      </c>
      <c r="AA1710" s="111">
        <f>IF(Audit[[#This Row],[Times p Drawn - With Replacement]]&gt;0, IF(Audit[[#This Row],[Canceled Differences]]&lt;0, Audit[[#This Row],[Max Differences]]+ABS(Audit[[#This Row],[Canceled Differences]]), Audit[[#This Row],[Max Differences]]), 0)</f>
        <v>0</v>
      </c>
      <c r="AB1710" s="111">
        <f>'Sampling Data'!P1704</f>
        <v>3.0009799118079373E-3</v>
      </c>
      <c r="AC1710" s="111">
        <f>IF(
      SUM(Audit[[#This Row],[Audit Losing Candidate]:[Audit Candidate 6]])
      &lt;&gt;0,
      (Audit[[#This Row],[Winning Candidate]]-Audit[[#This Row],[Losing Candidate]]-(Audit[[#This Row],[Audit Winning Candidate]]-Audit[[#This Row],[Audit Losing Candidate]]))/(Audit[[#Totals],[Winning Candidate]]-Audit[[#Totals],[Losing Candidate]]),
      0
)</f>
        <v>0</v>
      </c>
      <c r="AD17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0" s="111">
        <f>IF(Audit[[#This Row],[Max Relative Error (ep)]] = 0, 0, Audit[[#This Row],[Max Relative Error (ep)]]/Audit[[#This Row],[Error Bound (up) - Max. possible relative overstatement]])</f>
        <v>0</v>
      </c>
      <c r="AJ17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10" s="111">
        <f t="shared" si="26"/>
        <v>1</v>
      </c>
      <c r="AL1710" s="111">
        <f>PRODUCT($AK$5:AK1710)</f>
        <v>8.962823818226312E-2</v>
      </c>
      <c r="AM1710" s="109">
        <f>1 - [K-M P Value]</f>
        <v>0.91037176181773694</v>
      </c>
      <c r="AN1710" s="111" t="str">
        <f>IF(Audit[[#This Row],[K-M P Value]]&gt;1-'General Info'!$B$16,"Continue", "Stop")</f>
        <v>Stop</v>
      </c>
      <c r="AO1710" s="110" t="b">
        <f>IF(Audit[[#This Row],[Status - Continue or stop audit]] = "Continue", TRUE, IF(AN1709 = "Continue", TRUE, FALSE))</f>
        <v>0</v>
      </c>
      <c r="AP1710" s="110"/>
    </row>
    <row r="1711" spans="1:42" ht="15" hidden="1" customHeight="1">
      <c r="A1711" s="111" t="str">
        <f>'Sampling Data'!W1705</f>
        <v/>
      </c>
      <c r="B1711" s="112" t="str">
        <f>'Sampling Data'!A1705</f>
        <v>PARMA -05-E</v>
      </c>
      <c r="C1711" s="112">
        <f>'Sampling Data'!B1705</f>
        <v>33</v>
      </c>
      <c r="D1711" s="112">
        <f>'Sampling Data'!C1705</f>
        <v>54</v>
      </c>
      <c r="E1711" s="113">
        <f>'Sampling Data'!D1705</f>
        <v>13</v>
      </c>
      <c r="F1711" s="113">
        <f>'Sampling Data'!E1705</f>
        <v>8</v>
      </c>
      <c r="G1711" s="113">
        <f>'Sampling Data'!F1705</f>
        <v>0</v>
      </c>
      <c r="H1711" s="113">
        <f>'Sampling Data'!G1705</f>
        <v>0</v>
      </c>
      <c r="I1711" s="112">
        <f>'Sampling Data'!H1705</f>
        <v>1</v>
      </c>
      <c r="J1711" s="112">
        <f>'Sampling Data'!I1705</f>
        <v>1</v>
      </c>
      <c r="K1711" s="112">
        <f>'Sampling Data'!J1705</f>
        <v>110</v>
      </c>
      <c r="L1711" s="111">
        <f>'Sampling Data'!X1705</f>
        <v>0</v>
      </c>
      <c r="M1711" s="114"/>
      <c r="N1711" s="114"/>
      <c r="O1711" s="115"/>
      <c r="P1711" s="115"/>
      <c r="Q1711" s="116"/>
      <c r="R1711" s="116"/>
      <c r="S1711" s="111">
        <f>Audit[[#This Row],[Audit Losing Candidate]]-Audit[[#This Row],[Losing Candidate]]</f>
        <v>-33</v>
      </c>
      <c r="T1711" s="111">
        <f>Audit[[#This Row],[Audit Winning Candidate]]-Audit[[#This Row],[Winning Candidate]]</f>
        <v>-54</v>
      </c>
      <c r="U1711" s="111">
        <f>Audit[[#This Row],[Audit Candidate 3]]-Audit[[#This Row],[Candidate 3]]</f>
        <v>-13</v>
      </c>
      <c r="V1711" s="111">
        <f>Audit[[#This Row],[Audit Candidate 4]]-Audit[[#This Row],[Candidate 4]]</f>
        <v>-8</v>
      </c>
      <c r="W1711" s="111">
        <f>Audit[[#This Row],[Audit Candidate 5]]-Audit[[#This Row],[Candidate 5]]</f>
        <v>0</v>
      </c>
      <c r="X1711" s="111">
        <f>Audit[[#This Row],[Audit Candidate 6]]-Audit[[#This Row],[Candidate 6]]</f>
        <v>0</v>
      </c>
      <c r="Y1711" s="111">
        <f>SUMIF(Audit[[#This Row],[Difference Loser]:[Difference Candidate 6]], "&gt;0")</f>
        <v>0</v>
      </c>
      <c r="Z1711" s="111">
        <f>SUM(Audit[[#This Row],[Difference Loser]:[Difference Candidate 6]])</f>
        <v>-108</v>
      </c>
      <c r="AA1711" s="111">
        <f>IF(Audit[[#This Row],[Times p Drawn - With Replacement]]&gt;0, IF(Audit[[#This Row],[Canceled Differences]]&lt;0, Audit[[#This Row],[Max Differences]]+ABS(Audit[[#This Row],[Canceled Differences]]), Audit[[#This Row],[Max Differences]]), 0)</f>
        <v>0</v>
      </c>
      <c r="AB1711" s="111">
        <f>'Sampling Data'!P1705</f>
        <v>8.0230279274865254E-3</v>
      </c>
      <c r="AC1711" s="111">
        <f>IF(
      SUM(Audit[[#This Row],[Audit Losing Candidate]:[Audit Candidate 6]])
      &lt;&gt;0,
      (Audit[[#This Row],[Winning Candidate]]-Audit[[#This Row],[Losing Candidate]]-(Audit[[#This Row],[Audit Winning Candidate]]-Audit[[#This Row],[Audit Losing Candidate]]))/(Audit[[#Totals],[Winning Candidate]]-Audit[[#Totals],[Losing Candidate]]),
      0
)</f>
        <v>0</v>
      </c>
      <c r="AD17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1" s="111">
        <f>IF(Audit[[#This Row],[Max Relative Error (ep)]] = 0, 0, Audit[[#This Row],[Max Relative Error (ep)]]/Audit[[#This Row],[Error Bound (up) - Max. possible relative overstatement]])</f>
        <v>0</v>
      </c>
      <c r="AJ17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11" s="111">
        <f t="shared" si="26"/>
        <v>1</v>
      </c>
      <c r="AL1711" s="111">
        <f>PRODUCT($AK$5:AK1711)</f>
        <v>8.962823818226312E-2</v>
      </c>
      <c r="AM1711" s="109">
        <f>1 - [K-M P Value]</f>
        <v>0.91037176181773694</v>
      </c>
      <c r="AN1711" s="111" t="str">
        <f>IF(Audit[[#This Row],[K-M P Value]]&gt;1-'General Info'!$B$16,"Continue", "Stop")</f>
        <v>Stop</v>
      </c>
      <c r="AO1711" s="110" t="b">
        <f>IF(Audit[[#This Row],[Status - Continue or stop audit]] = "Continue", TRUE, IF(AN1710 = "Continue", TRUE, FALSE))</f>
        <v>0</v>
      </c>
      <c r="AP1711" s="110"/>
    </row>
    <row r="1712" spans="1:42" ht="15" hidden="1" customHeight="1">
      <c r="A1712" s="111" t="str">
        <f>'Sampling Data'!W1706</f>
        <v/>
      </c>
      <c r="B1712" s="112" t="str">
        <f>'Sampling Data'!A1706</f>
        <v>PARMA -05-E - ABS</v>
      </c>
      <c r="C1712" s="112">
        <f>'Sampling Data'!B1706</f>
        <v>29</v>
      </c>
      <c r="D1712" s="112">
        <f>'Sampling Data'!C1706</f>
        <v>30</v>
      </c>
      <c r="E1712" s="113">
        <f>'Sampling Data'!D1706</f>
        <v>9</v>
      </c>
      <c r="F1712" s="113">
        <f>'Sampling Data'!E1706</f>
        <v>2</v>
      </c>
      <c r="G1712" s="113">
        <f>'Sampling Data'!F1706</f>
        <v>0</v>
      </c>
      <c r="H1712" s="113">
        <f>'Sampling Data'!G1706</f>
        <v>0</v>
      </c>
      <c r="I1712" s="112">
        <f>'Sampling Data'!H1706</f>
        <v>0</v>
      </c>
      <c r="J1712" s="112">
        <f>'Sampling Data'!I1706</f>
        <v>1</v>
      </c>
      <c r="K1712" s="112">
        <f>'Sampling Data'!J1706</f>
        <v>71</v>
      </c>
      <c r="L1712" s="111">
        <f>'Sampling Data'!X1706</f>
        <v>0</v>
      </c>
      <c r="M1712" s="114"/>
      <c r="N1712" s="114"/>
      <c r="O1712" s="115"/>
      <c r="P1712" s="115"/>
      <c r="Q1712" s="116"/>
      <c r="R1712" s="116"/>
      <c r="S1712" s="111">
        <f>Audit[[#This Row],[Audit Losing Candidate]]-Audit[[#This Row],[Losing Candidate]]</f>
        <v>-29</v>
      </c>
      <c r="T1712" s="111">
        <f>Audit[[#This Row],[Audit Winning Candidate]]-Audit[[#This Row],[Winning Candidate]]</f>
        <v>-30</v>
      </c>
      <c r="U1712" s="111">
        <f>Audit[[#This Row],[Audit Candidate 3]]-Audit[[#This Row],[Candidate 3]]</f>
        <v>-9</v>
      </c>
      <c r="V1712" s="111">
        <f>Audit[[#This Row],[Audit Candidate 4]]-Audit[[#This Row],[Candidate 4]]</f>
        <v>-2</v>
      </c>
      <c r="W1712" s="111">
        <f>Audit[[#This Row],[Audit Candidate 5]]-Audit[[#This Row],[Candidate 5]]</f>
        <v>0</v>
      </c>
      <c r="X1712" s="111">
        <f>Audit[[#This Row],[Audit Candidate 6]]-Audit[[#This Row],[Candidate 6]]</f>
        <v>0</v>
      </c>
      <c r="Y1712" s="111">
        <f>SUMIF(Audit[[#This Row],[Difference Loser]:[Difference Candidate 6]], "&gt;0")</f>
        <v>0</v>
      </c>
      <c r="Z1712" s="111">
        <f>SUM(Audit[[#This Row],[Difference Loser]:[Difference Candidate 6]])</f>
        <v>-70</v>
      </c>
      <c r="AA1712" s="111">
        <f>IF(Audit[[#This Row],[Times p Drawn - With Replacement]]&gt;0, IF(Audit[[#This Row],[Canceled Differences]]&lt;0, Audit[[#This Row],[Max Differences]]+ABS(Audit[[#This Row],[Canceled Differences]]), Audit[[#This Row],[Max Differences]]), 0)</f>
        <v>0</v>
      </c>
      <c r="AB1712" s="111">
        <f>'Sampling Data'!P1706</f>
        <v>4.4096031357177858E-3</v>
      </c>
      <c r="AC1712" s="111">
        <f>IF(
      SUM(Audit[[#This Row],[Audit Losing Candidate]:[Audit Candidate 6]])
      &lt;&gt;0,
      (Audit[[#This Row],[Winning Candidate]]-Audit[[#This Row],[Losing Candidate]]-(Audit[[#This Row],[Audit Winning Candidate]]-Audit[[#This Row],[Audit Losing Candidate]]))/(Audit[[#Totals],[Winning Candidate]]-Audit[[#Totals],[Losing Candidate]]),
      0
)</f>
        <v>0</v>
      </c>
      <c r="AD17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2" s="111">
        <f>IF(Audit[[#This Row],[Max Relative Error (ep)]] = 0, 0, Audit[[#This Row],[Max Relative Error (ep)]]/Audit[[#This Row],[Error Bound (up) - Max. possible relative overstatement]])</f>
        <v>0</v>
      </c>
      <c r="AJ17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12" s="111">
        <f t="shared" si="26"/>
        <v>1</v>
      </c>
      <c r="AL1712" s="111">
        <f>PRODUCT($AK$5:AK1712)</f>
        <v>8.962823818226312E-2</v>
      </c>
      <c r="AM1712" s="109">
        <f>1 - [K-M P Value]</f>
        <v>0.91037176181773694</v>
      </c>
      <c r="AN1712" s="111" t="str">
        <f>IF(Audit[[#This Row],[K-M P Value]]&gt;1-'General Info'!$B$16,"Continue", "Stop")</f>
        <v>Stop</v>
      </c>
      <c r="AO1712" s="110" t="b">
        <f>IF(Audit[[#This Row],[Status - Continue or stop audit]] = "Continue", TRUE, IF(AN1711 = "Continue", TRUE, FALSE))</f>
        <v>0</v>
      </c>
      <c r="AP1712" s="110"/>
    </row>
    <row r="1713" spans="1:42" ht="15" hidden="1" customHeight="1">
      <c r="A1713" s="111" t="str">
        <f>'Sampling Data'!W1707</f>
        <v/>
      </c>
      <c r="B1713" s="112" t="str">
        <f>'Sampling Data'!A1707</f>
        <v>PARMA -05-F</v>
      </c>
      <c r="C1713" s="112">
        <f>'Sampling Data'!B1707</f>
        <v>40</v>
      </c>
      <c r="D1713" s="112">
        <f>'Sampling Data'!C1707</f>
        <v>40</v>
      </c>
      <c r="E1713" s="113">
        <f>'Sampling Data'!D1707</f>
        <v>23</v>
      </c>
      <c r="F1713" s="113">
        <f>'Sampling Data'!E1707</f>
        <v>9</v>
      </c>
      <c r="G1713" s="113">
        <f>'Sampling Data'!F1707</f>
        <v>0</v>
      </c>
      <c r="H1713" s="113">
        <f>'Sampling Data'!G1707</f>
        <v>0</v>
      </c>
      <c r="I1713" s="112">
        <f>'Sampling Data'!H1707</f>
        <v>0</v>
      </c>
      <c r="J1713" s="112">
        <f>'Sampling Data'!I1707</f>
        <v>4</v>
      </c>
      <c r="K1713" s="112">
        <f>'Sampling Data'!J1707</f>
        <v>116</v>
      </c>
      <c r="L1713" s="111">
        <f>'Sampling Data'!X1707</f>
        <v>0</v>
      </c>
      <c r="M1713" s="114"/>
      <c r="N1713" s="114"/>
      <c r="O1713" s="115"/>
      <c r="P1713" s="115"/>
      <c r="Q1713" s="116"/>
      <c r="R1713" s="116"/>
      <c r="S1713" s="111">
        <f>Audit[[#This Row],[Audit Losing Candidate]]-Audit[[#This Row],[Losing Candidate]]</f>
        <v>-40</v>
      </c>
      <c r="T1713" s="111">
        <f>Audit[[#This Row],[Audit Winning Candidate]]-Audit[[#This Row],[Winning Candidate]]</f>
        <v>-40</v>
      </c>
      <c r="U1713" s="111">
        <f>Audit[[#This Row],[Audit Candidate 3]]-Audit[[#This Row],[Candidate 3]]</f>
        <v>-23</v>
      </c>
      <c r="V1713" s="111">
        <f>Audit[[#This Row],[Audit Candidate 4]]-Audit[[#This Row],[Candidate 4]]</f>
        <v>-9</v>
      </c>
      <c r="W1713" s="111">
        <f>Audit[[#This Row],[Audit Candidate 5]]-Audit[[#This Row],[Candidate 5]]</f>
        <v>0</v>
      </c>
      <c r="X1713" s="111">
        <f>Audit[[#This Row],[Audit Candidate 6]]-Audit[[#This Row],[Candidate 6]]</f>
        <v>0</v>
      </c>
      <c r="Y1713" s="111">
        <f>SUMIF(Audit[[#This Row],[Difference Loser]:[Difference Candidate 6]], "&gt;0")</f>
        <v>0</v>
      </c>
      <c r="Z1713" s="111">
        <f>SUM(Audit[[#This Row],[Difference Loser]:[Difference Candidate 6]])</f>
        <v>-112</v>
      </c>
      <c r="AA1713" s="111">
        <f>IF(Audit[[#This Row],[Times p Drawn - With Replacement]]&gt;0, IF(Audit[[#This Row],[Canceled Differences]]&lt;0, Audit[[#This Row],[Max Differences]]+ABS(Audit[[#This Row],[Canceled Differences]]), Audit[[#This Row],[Max Differences]]), 0)</f>
        <v>0</v>
      </c>
      <c r="AB1713" s="111">
        <f>'Sampling Data'!P1707</f>
        <v>7.104360607545321E-3</v>
      </c>
      <c r="AC1713" s="111">
        <f>IF(
      SUM(Audit[[#This Row],[Audit Losing Candidate]:[Audit Candidate 6]])
      &lt;&gt;0,
      (Audit[[#This Row],[Winning Candidate]]-Audit[[#This Row],[Losing Candidate]]-(Audit[[#This Row],[Audit Winning Candidate]]-Audit[[#This Row],[Audit Losing Candidate]]))/(Audit[[#Totals],[Winning Candidate]]-Audit[[#Totals],[Losing Candidate]]),
      0
)</f>
        <v>0</v>
      </c>
      <c r="AD17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3" s="111">
        <f>IF(Audit[[#This Row],[Max Relative Error (ep)]] = 0, 0, Audit[[#This Row],[Max Relative Error (ep)]]/Audit[[#This Row],[Error Bound (up) - Max. possible relative overstatement]])</f>
        <v>0</v>
      </c>
      <c r="AJ17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13" s="111">
        <f t="shared" si="26"/>
        <v>1</v>
      </c>
      <c r="AL1713" s="111">
        <f>PRODUCT($AK$5:AK1713)</f>
        <v>8.962823818226312E-2</v>
      </c>
      <c r="AM1713" s="109">
        <f>1 - [K-M P Value]</f>
        <v>0.91037176181773694</v>
      </c>
      <c r="AN1713" s="111" t="str">
        <f>IF(Audit[[#This Row],[K-M P Value]]&gt;1-'General Info'!$B$16,"Continue", "Stop")</f>
        <v>Stop</v>
      </c>
      <c r="AO1713" s="110" t="b">
        <f>IF(Audit[[#This Row],[Status - Continue or stop audit]] = "Continue", TRUE, IF(AN1712 = "Continue", TRUE, FALSE))</f>
        <v>0</v>
      </c>
      <c r="AP1713" s="110"/>
    </row>
    <row r="1714" spans="1:42" ht="15" hidden="1" customHeight="1">
      <c r="A1714" s="111" t="str">
        <f>'Sampling Data'!W1708</f>
        <v/>
      </c>
      <c r="B1714" s="112" t="str">
        <f>'Sampling Data'!A1708</f>
        <v>PARMA -05-F - ABS</v>
      </c>
      <c r="C1714" s="112">
        <f>'Sampling Data'!B1708</f>
        <v>13</v>
      </c>
      <c r="D1714" s="112">
        <f>'Sampling Data'!C1708</f>
        <v>14</v>
      </c>
      <c r="E1714" s="113">
        <f>'Sampling Data'!D1708</f>
        <v>7</v>
      </c>
      <c r="F1714" s="113">
        <f>'Sampling Data'!E1708</f>
        <v>4</v>
      </c>
      <c r="G1714" s="113">
        <f>'Sampling Data'!F1708</f>
        <v>0</v>
      </c>
      <c r="H1714" s="113">
        <f>'Sampling Data'!G1708</f>
        <v>1</v>
      </c>
      <c r="I1714" s="112">
        <f>'Sampling Data'!H1708</f>
        <v>0</v>
      </c>
      <c r="J1714" s="112">
        <f>'Sampling Data'!I1708</f>
        <v>3</v>
      </c>
      <c r="K1714" s="112">
        <f>'Sampling Data'!J1708</f>
        <v>42</v>
      </c>
      <c r="L1714" s="111">
        <f>'Sampling Data'!X1708</f>
        <v>0</v>
      </c>
      <c r="M1714" s="114"/>
      <c r="N1714" s="114"/>
      <c r="O1714" s="115"/>
      <c r="P1714" s="115"/>
      <c r="Q1714" s="116"/>
      <c r="R1714" s="116"/>
      <c r="S1714" s="111">
        <f>Audit[[#This Row],[Audit Losing Candidate]]-Audit[[#This Row],[Losing Candidate]]</f>
        <v>-13</v>
      </c>
      <c r="T1714" s="111">
        <f>Audit[[#This Row],[Audit Winning Candidate]]-Audit[[#This Row],[Winning Candidate]]</f>
        <v>-14</v>
      </c>
      <c r="U1714" s="111">
        <f>Audit[[#This Row],[Audit Candidate 3]]-Audit[[#This Row],[Candidate 3]]</f>
        <v>-7</v>
      </c>
      <c r="V1714" s="111">
        <f>Audit[[#This Row],[Audit Candidate 4]]-Audit[[#This Row],[Candidate 4]]</f>
        <v>-4</v>
      </c>
      <c r="W1714" s="111">
        <f>Audit[[#This Row],[Audit Candidate 5]]-Audit[[#This Row],[Candidate 5]]</f>
        <v>0</v>
      </c>
      <c r="X1714" s="111">
        <f>Audit[[#This Row],[Audit Candidate 6]]-Audit[[#This Row],[Candidate 6]]</f>
        <v>-1</v>
      </c>
      <c r="Y1714" s="111">
        <f>SUMIF(Audit[[#This Row],[Difference Loser]:[Difference Candidate 6]], "&gt;0")</f>
        <v>0</v>
      </c>
      <c r="Z1714" s="111">
        <f>SUM(Audit[[#This Row],[Difference Loser]:[Difference Candidate 6]])</f>
        <v>-39</v>
      </c>
      <c r="AA1714" s="111">
        <f>IF(Audit[[#This Row],[Times p Drawn - With Replacement]]&gt;0, IF(Audit[[#This Row],[Canceled Differences]]&lt;0, Audit[[#This Row],[Max Differences]]+ABS(Audit[[#This Row],[Canceled Differences]]), Audit[[#This Row],[Max Differences]]), 0)</f>
        <v>0</v>
      </c>
      <c r="AB1714" s="111">
        <f>'Sampling Data'!P1708</f>
        <v>2.6335129838314553E-3</v>
      </c>
      <c r="AC1714" s="111">
        <f>IF(
      SUM(Audit[[#This Row],[Audit Losing Candidate]:[Audit Candidate 6]])
      &lt;&gt;0,
      (Audit[[#This Row],[Winning Candidate]]-Audit[[#This Row],[Losing Candidate]]-(Audit[[#This Row],[Audit Winning Candidate]]-Audit[[#This Row],[Audit Losing Candidate]]))/(Audit[[#Totals],[Winning Candidate]]-Audit[[#Totals],[Losing Candidate]]),
      0
)</f>
        <v>0</v>
      </c>
      <c r="AD17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4" s="111">
        <f>IF(Audit[[#This Row],[Max Relative Error (ep)]] = 0, 0, Audit[[#This Row],[Max Relative Error (ep)]]/Audit[[#This Row],[Error Bound (up) - Max. possible relative overstatement]])</f>
        <v>0</v>
      </c>
      <c r="AJ17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14" s="111">
        <f t="shared" si="26"/>
        <v>1</v>
      </c>
      <c r="AL1714" s="111">
        <f>PRODUCT($AK$5:AK1714)</f>
        <v>8.962823818226312E-2</v>
      </c>
      <c r="AM1714" s="109">
        <f>1 - [K-M P Value]</f>
        <v>0.91037176181773694</v>
      </c>
      <c r="AN1714" s="111" t="str">
        <f>IF(Audit[[#This Row],[K-M P Value]]&gt;1-'General Info'!$B$16,"Continue", "Stop")</f>
        <v>Stop</v>
      </c>
      <c r="AO1714" s="110" t="b">
        <f>IF(Audit[[#This Row],[Status - Continue or stop audit]] = "Continue", TRUE, IF(AN1713 = "Continue", TRUE, FALSE))</f>
        <v>0</v>
      </c>
      <c r="AP1714" s="110"/>
    </row>
    <row r="1715" spans="1:42" ht="15" hidden="1" customHeight="1">
      <c r="A1715" s="111" t="str">
        <f>'Sampling Data'!W1709</f>
        <v/>
      </c>
      <c r="B1715" s="112" t="str">
        <f>'Sampling Data'!A1709</f>
        <v>PARMA -06-A</v>
      </c>
      <c r="C1715" s="112">
        <f>'Sampling Data'!B1709</f>
        <v>32</v>
      </c>
      <c r="D1715" s="112">
        <f>'Sampling Data'!C1709</f>
        <v>31</v>
      </c>
      <c r="E1715" s="113">
        <f>'Sampling Data'!D1709</f>
        <v>10</v>
      </c>
      <c r="F1715" s="113">
        <f>'Sampling Data'!E1709</f>
        <v>16</v>
      </c>
      <c r="G1715" s="113">
        <f>'Sampling Data'!F1709</f>
        <v>1</v>
      </c>
      <c r="H1715" s="113">
        <f>'Sampling Data'!G1709</f>
        <v>0</v>
      </c>
      <c r="I1715" s="112">
        <f>'Sampling Data'!H1709</f>
        <v>0</v>
      </c>
      <c r="J1715" s="112">
        <f>'Sampling Data'!I1709</f>
        <v>1</v>
      </c>
      <c r="K1715" s="112">
        <f>'Sampling Data'!J1709</f>
        <v>91</v>
      </c>
      <c r="L1715" s="111">
        <f>'Sampling Data'!X1709</f>
        <v>0</v>
      </c>
      <c r="M1715" s="114"/>
      <c r="N1715" s="114"/>
      <c r="O1715" s="115"/>
      <c r="P1715" s="115"/>
      <c r="Q1715" s="116"/>
      <c r="R1715" s="116"/>
      <c r="S1715" s="111">
        <f>Audit[[#This Row],[Audit Losing Candidate]]-Audit[[#This Row],[Losing Candidate]]</f>
        <v>-32</v>
      </c>
      <c r="T1715" s="111">
        <f>Audit[[#This Row],[Audit Winning Candidate]]-Audit[[#This Row],[Winning Candidate]]</f>
        <v>-31</v>
      </c>
      <c r="U1715" s="111">
        <f>Audit[[#This Row],[Audit Candidate 3]]-Audit[[#This Row],[Candidate 3]]</f>
        <v>-10</v>
      </c>
      <c r="V1715" s="111">
        <f>Audit[[#This Row],[Audit Candidate 4]]-Audit[[#This Row],[Candidate 4]]</f>
        <v>-16</v>
      </c>
      <c r="W1715" s="111">
        <f>Audit[[#This Row],[Audit Candidate 5]]-Audit[[#This Row],[Candidate 5]]</f>
        <v>-1</v>
      </c>
      <c r="X1715" s="111">
        <f>Audit[[#This Row],[Audit Candidate 6]]-Audit[[#This Row],[Candidate 6]]</f>
        <v>0</v>
      </c>
      <c r="Y1715" s="111">
        <f>SUMIF(Audit[[#This Row],[Difference Loser]:[Difference Candidate 6]], "&gt;0")</f>
        <v>0</v>
      </c>
      <c r="Z1715" s="111">
        <f>SUM(Audit[[#This Row],[Difference Loser]:[Difference Candidate 6]])</f>
        <v>-90</v>
      </c>
      <c r="AA1715" s="111">
        <f>IF(Audit[[#This Row],[Times p Drawn - With Replacement]]&gt;0, IF(Audit[[#This Row],[Canceled Differences]]&lt;0, Audit[[#This Row],[Max Differences]]+ABS(Audit[[#This Row],[Canceled Differences]]), Audit[[#This Row],[Max Differences]]), 0)</f>
        <v>0</v>
      </c>
      <c r="AB1715" s="111">
        <f>'Sampling Data'!P1709</f>
        <v>5.5120039196472313E-3</v>
      </c>
      <c r="AC1715" s="111">
        <f>IF(
      SUM(Audit[[#This Row],[Audit Losing Candidate]:[Audit Candidate 6]])
      &lt;&gt;0,
      (Audit[[#This Row],[Winning Candidate]]-Audit[[#This Row],[Losing Candidate]]-(Audit[[#This Row],[Audit Winning Candidate]]-Audit[[#This Row],[Audit Losing Candidate]]))/(Audit[[#Totals],[Winning Candidate]]-Audit[[#Totals],[Losing Candidate]]),
      0
)</f>
        <v>0</v>
      </c>
      <c r="AD17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5" s="111">
        <f>IF(Audit[[#This Row],[Max Relative Error (ep)]] = 0, 0, Audit[[#This Row],[Max Relative Error (ep)]]/Audit[[#This Row],[Error Bound (up) - Max. possible relative overstatement]])</f>
        <v>0</v>
      </c>
      <c r="AJ17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15" s="111">
        <f t="shared" si="26"/>
        <v>1</v>
      </c>
      <c r="AL1715" s="111">
        <f>PRODUCT($AK$5:AK1715)</f>
        <v>8.962823818226312E-2</v>
      </c>
      <c r="AM1715" s="109">
        <f>1 - [K-M P Value]</f>
        <v>0.91037176181773694</v>
      </c>
      <c r="AN1715" s="111" t="str">
        <f>IF(Audit[[#This Row],[K-M P Value]]&gt;1-'General Info'!$B$16,"Continue", "Stop")</f>
        <v>Stop</v>
      </c>
      <c r="AO1715" s="110" t="b">
        <f>IF(Audit[[#This Row],[Status - Continue or stop audit]] = "Continue", TRUE, IF(AN1714 = "Continue", TRUE, FALSE))</f>
        <v>0</v>
      </c>
      <c r="AP1715" s="110"/>
    </row>
    <row r="1716" spans="1:42" ht="15" hidden="1" customHeight="1">
      <c r="A1716" s="111" t="str">
        <f>'Sampling Data'!W1710</f>
        <v/>
      </c>
      <c r="B1716" s="112" t="str">
        <f>'Sampling Data'!A1710</f>
        <v>PARMA -06-A - ABS</v>
      </c>
      <c r="C1716" s="112">
        <f>'Sampling Data'!B1710</f>
        <v>22</v>
      </c>
      <c r="D1716" s="112">
        <f>'Sampling Data'!C1710</f>
        <v>7</v>
      </c>
      <c r="E1716" s="113">
        <f>'Sampling Data'!D1710</f>
        <v>5</v>
      </c>
      <c r="F1716" s="113">
        <f>'Sampling Data'!E1710</f>
        <v>4</v>
      </c>
      <c r="G1716" s="113">
        <f>'Sampling Data'!F1710</f>
        <v>0</v>
      </c>
      <c r="H1716" s="113">
        <f>'Sampling Data'!G1710</f>
        <v>0</v>
      </c>
      <c r="I1716" s="112">
        <f>'Sampling Data'!H1710</f>
        <v>0</v>
      </c>
      <c r="J1716" s="112">
        <f>'Sampling Data'!I1710</f>
        <v>0</v>
      </c>
      <c r="K1716" s="112">
        <f>'Sampling Data'!J1710</f>
        <v>38</v>
      </c>
      <c r="L1716" s="111">
        <f>'Sampling Data'!X1710</f>
        <v>0</v>
      </c>
      <c r="M1716" s="114"/>
      <c r="N1716" s="114"/>
      <c r="O1716" s="115"/>
      <c r="P1716" s="115"/>
      <c r="Q1716" s="116"/>
      <c r="R1716" s="116"/>
      <c r="S1716" s="111">
        <f>Audit[[#This Row],[Audit Losing Candidate]]-Audit[[#This Row],[Losing Candidate]]</f>
        <v>-22</v>
      </c>
      <c r="T1716" s="111">
        <f>Audit[[#This Row],[Audit Winning Candidate]]-Audit[[#This Row],[Winning Candidate]]</f>
        <v>-7</v>
      </c>
      <c r="U1716" s="111">
        <f>Audit[[#This Row],[Audit Candidate 3]]-Audit[[#This Row],[Candidate 3]]</f>
        <v>-5</v>
      </c>
      <c r="V1716" s="111">
        <f>Audit[[#This Row],[Audit Candidate 4]]-Audit[[#This Row],[Candidate 4]]</f>
        <v>-4</v>
      </c>
      <c r="W1716" s="111">
        <f>Audit[[#This Row],[Audit Candidate 5]]-Audit[[#This Row],[Candidate 5]]</f>
        <v>0</v>
      </c>
      <c r="X1716" s="111">
        <f>Audit[[#This Row],[Audit Candidate 6]]-Audit[[#This Row],[Candidate 6]]</f>
        <v>0</v>
      </c>
      <c r="Y1716" s="111">
        <f>SUMIF(Audit[[#This Row],[Difference Loser]:[Difference Candidate 6]], "&gt;0")</f>
        <v>0</v>
      </c>
      <c r="Z1716" s="111">
        <f>SUM(Audit[[#This Row],[Difference Loser]:[Difference Candidate 6]])</f>
        <v>-38</v>
      </c>
      <c r="AA1716" s="111">
        <f>IF(Audit[[#This Row],[Times p Drawn - With Replacement]]&gt;0, IF(Audit[[#This Row],[Canceled Differences]]&lt;0, Audit[[#This Row],[Max Differences]]+ABS(Audit[[#This Row],[Canceled Differences]]), Audit[[#This Row],[Max Differences]]), 0)</f>
        <v>0</v>
      </c>
      <c r="AB1716" s="111">
        <f>'Sampling Data'!P1710</f>
        <v>1.408623223909848E-3</v>
      </c>
      <c r="AC1716" s="111">
        <f>IF(
      SUM(Audit[[#This Row],[Audit Losing Candidate]:[Audit Candidate 6]])
      &lt;&gt;0,
      (Audit[[#This Row],[Winning Candidate]]-Audit[[#This Row],[Losing Candidate]]-(Audit[[#This Row],[Audit Winning Candidate]]-Audit[[#This Row],[Audit Losing Candidate]]))/(Audit[[#Totals],[Winning Candidate]]-Audit[[#Totals],[Losing Candidate]]),
      0
)</f>
        <v>0</v>
      </c>
      <c r="AD17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6" s="111">
        <f>IF(Audit[[#This Row],[Max Relative Error (ep)]] = 0, 0, Audit[[#This Row],[Max Relative Error (ep)]]/Audit[[#This Row],[Error Bound (up) - Max. possible relative overstatement]])</f>
        <v>0</v>
      </c>
      <c r="AJ17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16" s="111">
        <f t="shared" si="26"/>
        <v>1</v>
      </c>
      <c r="AL1716" s="111">
        <f>PRODUCT($AK$5:AK1716)</f>
        <v>8.962823818226312E-2</v>
      </c>
      <c r="AM1716" s="109">
        <f>1 - [K-M P Value]</f>
        <v>0.91037176181773694</v>
      </c>
      <c r="AN1716" s="111" t="str">
        <f>IF(Audit[[#This Row],[K-M P Value]]&gt;1-'General Info'!$B$16,"Continue", "Stop")</f>
        <v>Stop</v>
      </c>
      <c r="AO1716" s="110" t="b">
        <f>IF(Audit[[#This Row],[Status - Continue or stop audit]] = "Continue", TRUE, IF(AN1715 = "Continue", TRUE, FALSE))</f>
        <v>0</v>
      </c>
      <c r="AP1716" s="110"/>
    </row>
    <row r="1717" spans="1:42" ht="15" hidden="1" customHeight="1">
      <c r="A1717" s="111" t="str">
        <f>'Sampling Data'!W1711</f>
        <v/>
      </c>
      <c r="B1717" s="112" t="str">
        <f>'Sampling Data'!A1711</f>
        <v>PARMA -06-B</v>
      </c>
      <c r="C1717" s="112">
        <f>'Sampling Data'!B1711</f>
        <v>36</v>
      </c>
      <c r="D1717" s="112">
        <f>'Sampling Data'!C1711</f>
        <v>48</v>
      </c>
      <c r="E1717" s="113">
        <f>'Sampling Data'!D1711</f>
        <v>8</v>
      </c>
      <c r="F1717" s="113">
        <f>'Sampling Data'!E1711</f>
        <v>12</v>
      </c>
      <c r="G1717" s="113">
        <f>'Sampling Data'!F1711</f>
        <v>1</v>
      </c>
      <c r="H1717" s="113">
        <f>'Sampling Data'!G1711</f>
        <v>0</v>
      </c>
      <c r="I1717" s="112">
        <f>'Sampling Data'!H1711</f>
        <v>0</v>
      </c>
      <c r="J1717" s="112">
        <f>'Sampling Data'!I1711</f>
        <v>1</v>
      </c>
      <c r="K1717" s="112">
        <f>'Sampling Data'!J1711</f>
        <v>106</v>
      </c>
      <c r="L1717" s="111">
        <f>'Sampling Data'!X1711</f>
        <v>0</v>
      </c>
      <c r="M1717" s="114"/>
      <c r="N1717" s="114"/>
      <c r="O1717" s="115"/>
      <c r="P1717" s="115"/>
      <c r="Q1717" s="116"/>
      <c r="R1717" s="116"/>
      <c r="S1717" s="111">
        <f>Audit[[#This Row],[Audit Losing Candidate]]-Audit[[#This Row],[Losing Candidate]]</f>
        <v>-36</v>
      </c>
      <c r="T1717" s="111">
        <f>Audit[[#This Row],[Audit Winning Candidate]]-Audit[[#This Row],[Winning Candidate]]</f>
        <v>-48</v>
      </c>
      <c r="U1717" s="111">
        <f>Audit[[#This Row],[Audit Candidate 3]]-Audit[[#This Row],[Candidate 3]]</f>
        <v>-8</v>
      </c>
      <c r="V1717" s="111">
        <f>Audit[[#This Row],[Audit Candidate 4]]-Audit[[#This Row],[Candidate 4]]</f>
        <v>-12</v>
      </c>
      <c r="W1717" s="111">
        <f>Audit[[#This Row],[Audit Candidate 5]]-Audit[[#This Row],[Candidate 5]]</f>
        <v>-1</v>
      </c>
      <c r="X1717" s="111">
        <f>Audit[[#This Row],[Audit Candidate 6]]-Audit[[#This Row],[Candidate 6]]</f>
        <v>0</v>
      </c>
      <c r="Y1717" s="111">
        <f>SUMIF(Audit[[#This Row],[Difference Loser]:[Difference Candidate 6]], "&gt;0")</f>
        <v>0</v>
      </c>
      <c r="Z1717" s="111">
        <f>SUM(Audit[[#This Row],[Difference Loser]:[Difference Candidate 6]])</f>
        <v>-105</v>
      </c>
      <c r="AA1717" s="111">
        <f>IF(Audit[[#This Row],[Times p Drawn - With Replacement]]&gt;0, IF(Audit[[#This Row],[Canceled Differences]]&lt;0, Audit[[#This Row],[Max Differences]]+ABS(Audit[[#This Row],[Canceled Differences]]), Audit[[#This Row],[Max Differences]]), 0)</f>
        <v>0</v>
      </c>
      <c r="AB1717" s="111">
        <f>'Sampling Data'!P1711</f>
        <v>7.2268495835374818E-3</v>
      </c>
      <c r="AC1717" s="111">
        <f>IF(
      SUM(Audit[[#This Row],[Audit Losing Candidate]:[Audit Candidate 6]])
      &lt;&gt;0,
      (Audit[[#This Row],[Winning Candidate]]-Audit[[#This Row],[Losing Candidate]]-(Audit[[#This Row],[Audit Winning Candidate]]-Audit[[#This Row],[Audit Losing Candidate]]))/(Audit[[#Totals],[Winning Candidate]]-Audit[[#Totals],[Losing Candidate]]),
      0
)</f>
        <v>0</v>
      </c>
      <c r="AD17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7" s="111">
        <f>IF(Audit[[#This Row],[Max Relative Error (ep)]] = 0, 0, Audit[[#This Row],[Max Relative Error (ep)]]/Audit[[#This Row],[Error Bound (up) - Max. possible relative overstatement]])</f>
        <v>0</v>
      </c>
      <c r="AJ17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17" s="111">
        <f t="shared" si="26"/>
        <v>1</v>
      </c>
      <c r="AL1717" s="111">
        <f>PRODUCT($AK$5:AK1717)</f>
        <v>8.962823818226312E-2</v>
      </c>
      <c r="AM1717" s="109">
        <f>1 - [K-M P Value]</f>
        <v>0.91037176181773694</v>
      </c>
      <c r="AN1717" s="111" t="str">
        <f>IF(Audit[[#This Row],[K-M P Value]]&gt;1-'General Info'!$B$16,"Continue", "Stop")</f>
        <v>Stop</v>
      </c>
      <c r="AO1717" s="110" t="b">
        <f>IF(Audit[[#This Row],[Status - Continue or stop audit]] = "Continue", TRUE, IF(AN1716 = "Continue", TRUE, FALSE))</f>
        <v>0</v>
      </c>
      <c r="AP1717" s="110"/>
    </row>
    <row r="1718" spans="1:42" ht="15" hidden="1" customHeight="1">
      <c r="A1718" s="111" t="str">
        <f>'Sampling Data'!W1712</f>
        <v/>
      </c>
      <c r="B1718" s="112" t="str">
        <f>'Sampling Data'!A1712</f>
        <v>PARMA -06-B - ABS</v>
      </c>
      <c r="C1718" s="112">
        <f>'Sampling Data'!B1712</f>
        <v>23</v>
      </c>
      <c r="D1718" s="112">
        <f>'Sampling Data'!C1712</f>
        <v>27</v>
      </c>
      <c r="E1718" s="113">
        <f>'Sampling Data'!D1712</f>
        <v>8</v>
      </c>
      <c r="F1718" s="113">
        <f>'Sampling Data'!E1712</f>
        <v>1</v>
      </c>
      <c r="G1718" s="113">
        <f>'Sampling Data'!F1712</f>
        <v>0</v>
      </c>
      <c r="H1718" s="113">
        <f>'Sampling Data'!G1712</f>
        <v>0</v>
      </c>
      <c r="I1718" s="112">
        <f>'Sampling Data'!H1712</f>
        <v>0</v>
      </c>
      <c r="J1718" s="112">
        <f>'Sampling Data'!I1712</f>
        <v>2</v>
      </c>
      <c r="K1718" s="112">
        <f>'Sampling Data'!J1712</f>
        <v>61</v>
      </c>
      <c r="L1718" s="111">
        <f>'Sampling Data'!X1712</f>
        <v>0</v>
      </c>
      <c r="M1718" s="114"/>
      <c r="N1718" s="114"/>
      <c r="O1718" s="115"/>
      <c r="P1718" s="115"/>
      <c r="Q1718" s="116"/>
      <c r="R1718" s="116"/>
      <c r="S1718" s="111">
        <f>Audit[[#This Row],[Audit Losing Candidate]]-Audit[[#This Row],[Losing Candidate]]</f>
        <v>-23</v>
      </c>
      <c r="T1718" s="111">
        <f>Audit[[#This Row],[Audit Winning Candidate]]-Audit[[#This Row],[Winning Candidate]]</f>
        <v>-27</v>
      </c>
      <c r="U1718" s="111">
        <f>Audit[[#This Row],[Audit Candidate 3]]-Audit[[#This Row],[Candidate 3]]</f>
        <v>-8</v>
      </c>
      <c r="V1718" s="111">
        <f>Audit[[#This Row],[Audit Candidate 4]]-Audit[[#This Row],[Candidate 4]]</f>
        <v>-1</v>
      </c>
      <c r="W1718" s="111">
        <f>Audit[[#This Row],[Audit Candidate 5]]-Audit[[#This Row],[Candidate 5]]</f>
        <v>0</v>
      </c>
      <c r="X1718" s="111">
        <f>Audit[[#This Row],[Audit Candidate 6]]-Audit[[#This Row],[Candidate 6]]</f>
        <v>0</v>
      </c>
      <c r="Y1718" s="111">
        <f>SUMIF(Audit[[#This Row],[Difference Loser]:[Difference Candidate 6]], "&gt;0")</f>
        <v>0</v>
      </c>
      <c r="Z1718" s="111">
        <f>SUM(Audit[[#This Row],[Difference Loser]:[Difference Candidate 6]])</f>
        <v>-59</v>
      </c>
      <c r="AA1718" s="111">
        <f>IF(Audit[[#This Row],[Times p Drawn - With Replacement]]&gt;0, IF(Audit[[#This Row],[Canceled Differences]]&lt;0, Audit[[#This Row],[Max Differences]]+ABS(Audit[[#This Row],[Canceled Differences]]), Audit[[#This Row],[Max Differences]]), 0)</f>
        <v>0</v>
      </c>
      <c r="AB1718" s="111">
        <f>'Sampling Data'!P1712</f>
        <v>3.9808917197452229E-3</v>
      </c>
      <c r="AC1718" s="111">
        <f>IF(
      SUM(Audit[[#This Row],[Audit Losing Candidate]:[Audit Candidate 6]])
      &lt;&gt;0,
      (Audit[[#This Row],[Winning Candidate]]-Audit[[#This Row],[Losing Candidate]]-(Audit[[#This Row],[Audit Winning Candidate]]-Audit[[#This Row],[Audit Losing Candidate]]))/(Audit[[#Totals],[Winning Candidate]]-Audit[[#Totals],[Losing Candidate]]),
      0
)</f>
        <v>0</v>
      </c>
      <c r="AD17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8" s="111">
        <f>IF(Audit[[#This Row],[Max Relative Error (ep)]] = 0, 0, Audit[[#This Row],[Max Relative Error (ep)]]/Audit[[#This Row],[Error Bound (up) - Max. possible relative overstatement]])</f>
        <v>0</v>
      </c>
      <c r="AJ17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18" s="111">
        <f t="shared" si="26"/>
        <v>1</v>
      </c>
      <c r="AL1718" s="111">
        <f>PRODUCT($AK$5:AK1718)</f>
        <v>8.962823818226312E-2</v>
      </c>
      <c r="AM1718" s="109">
        <f>1 - [K-M P Value]</f>
        <v>0.91037176181773694</v>
      </c>
      <c r="AN1718" s="111" t="str">
        <f>IF(Audit[[#This Row],[K-M P Value]]&gt;1-'General Info'!$B$16,"Continue", "Stop")</f>
        <v>Stop</v>
      </c>
      <c r="AO1718" s="110" t="b">
        <f>IF(Audit[[#This Row],[Status - Continue or stop audit]] = "Continue", TRUE, IF(AN1717 = "Continue", TRUE, FALSE))</f>
        <v>0</v>
      </c>
      <c r="AP1718" s="110"/>
    </row>
    <row r="1719" spans="1:42" ht="15" hidden="1" customHeight="1">
      <c r="A1719" s="111" t="str">
        <f>'Sampling Data'!W1713</f>
        <v/>
      </c>
      <c r="B1719" s="112" t="str">
        <f>'Sampling Data'!A1713</f>
        <v>PARMA -06-C</v>
      </c>
      <c r="C1719" s="112">
        <f>'Sampling Data'!B1713</f>
        <v>54</v>
      </c>
      <c r="D1719" s="112">
        <f>'Sampling Data'!C1713</f>
        <v>49</v>
      </c>
      <c r="E1719" s="113">
        <f>'Sampling Data'!D1713</f>
        <v>14</v>
      </c>
      <c r="F1719" s="113">
        <f>'Sampling Data'!E1713</f>
        <v>18</v>
      </c>
      <c r="G1719" s="113">
        <f>'Sampling Data'!F1713</f>
        <v>3</v>
      </c>
      <c r="H1719" s="113">
        <f>'Sampling Data'!G1713</f>
        <v>0</v>
      </c>
      <c r="I1719" s="112">
        <f>'Sampling Data'!H1713</f>
        <v>0</v>
      </c>
      <c r="J1719" s="112">
        <f>'Sampling Data'!I1713</f>
        <v>4</v>
      </c>
      <c r="K1719" s="112">
        <f>'Sampling Data'!J1713</f>
        <v>142</v>
      </c>
      <c r="L1719" s="111">
        <f>'Sampling Data'!X1713</f>
        <v>0</v>
      </c>
      <c r="M1719" s="114"/>
      <c r="N1719" s="114"/>
      <c r="O1719" s="115"/>
      <c r="P1719" s="115"/>
      <c r="Q1719" s="116"/>
      <c r="R1719" s="116"/>
      <c r="S1719" s="111">
        <f>Audit[[#This Row],[Audit Losing Candidate]]-Audit[[#This Row],[Losing Candidate]]</f>
        <v>-54</v>
      </c>
      <c r="T1719" s="111">
        <f>Audit[[#This Row],[Audit Winning Candidate]]-Audit[[#This Row],[Winning Candidate]]</f>
        <v>-49</v>
      </c>
      <c r="U1719" s="111">
        <f>Audit[[#This Row],[Audit Candidate 3]]-Audit[[#This Row],[Candidate 3]]</f>
        <v>-14</v>
      </c>
      <c r="V1719" s="111">
        <f>Audit[[#This Row],[Audit Candidate 4]]-Audit[[#This Row],[Candidate 4]]</f>
        <v>-18</v>
      </c>
      <c r="W1719" s="111">
        <f>Audit[[#This Row],[Audit Candidate 5]]-Audit[[#This Row],[Candidate 5]]</f>
        <v>-3</v>
      </c>
      <c r="X1719" s="111">
        <f>Audit[[#This Row],[Audit Candidate 6]]-Audit[[#This Row],[Candidate 6]]</f>
        <v>0</v>
      </c>
      <c r="Y1719" s="111">
        <f>SUMIF(Audit[[#This Row],[Difference Loser]:[Difference Candidate 6]], "&gt;0")</f>
        <v>0</v>
      </c>
      <c r="Z1719" s="111">
        <f>SUM(Audit[[#This Row],[Difference Loser]:[Difference Candidate 6]])</f>
        <v>-138</v>
      </c>
      <c r="AA1719" s="111">
        <f>IF(Audit[[#This Row],[Times p Drawn - With Replacement]]&gt;0, IF(Audit[[#This Row],[Canceled Differences]]&lt;0, Audit[[#This Row],[Max Differences]]+ABS(Audit[[#This Row],[Canceled Differences]]), Audit[[#This Row],[Max Differences]]), 0)</f>
        <v>0</v>
      </c>
      <c r="AB1719" s="111">
        <f>'Sampling Data'!P1713</f>
        <v>8.3904948554630078E-3</v>
      </c>
      <c r="AC1719" s="111">
        <f>IF(
      SUM(Audit[[#This Row],[Audit Losing Candidate]:[Audit Candidate 6]])
      &lt;&gt;0,
      (Audit[[#This Row],[Winning Candidate]]-Audit[[#This Row],[Losing Candidate]]-(Audit[[#This Row],[Audit Winning Candidate]]-Audit[[#This Row],[Audit Losing Candidate]]))/(Audit[[#Totals],[Winning Candidate]]-Audit[[#Totals],[Losing Candidate]]),
      0
)</f>
        <v>0</v>
      </c>
      <c r="AD17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9" s="111">
        <f>IF(Audit[[#This Row],[Max Relative Error (ep)]] = 0, 0, Audit[[#This Row],[Max Relative Error (ep)]]/Audit[[#This Row],[Error Bound (up) - Max. possible relative overstatement]])</f>
        <v>0</v>
      </c>
      <c r="AJ17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19" s="111">
        <f t="shared" si="26"/>
        <v>1</v>
      </c>
      <c r="AL1719" s="111">
        <f>PRODUCT($AK$5:AK1719)</f>
        <v>8.962823818226312E-2</v>
      </c>
      <c r="AM1719" s="109">
        <f>1 - [K-M P Value]</f>
        <v>0.91037176181773694</v>
      </c>
      <c r="AN1719" s="111" t="str">
        <f>IF(Audit[[#This Row],[K-M P Value]]&gt;1-'General Info'!$B$16,"Continue", "Stop")</f>
        <v>Stop</v>
      </c>
      <c r="AO1719" s="110" t="b">
        <f>IF(Audit[[#This Row],[Status - Continue or stop audit]] = "Continue", TRUE, IF(AN1718 = "Continue", TRUE, FALSE))</f>
        <v>0</v>
      </c>
      <c r="AP1719" s="110"/>
    </row>
    <row r="1720" spans="1:42" ht="15" hidden="1" customHeight="1">
      <c r="A1720" s="111" t="str">
        <f>'Sampling Data'!W1714</f>
        <v/>
      </c>
      <c r="B1720" s="112" t="str">
        <f>'Sampling Data'!A1714</f>
        <v>PARMA -06-C - ABS</v>
      </c>
      <c r="C1720" s="112">
        <f>'Sampling Data'!B1714</f>
        <v>18</v>
      </c>
      <c r="D1720" s="112">
        <f>'Sampling Data'!C1714</f>
        <v>24</v>
      </c>
      <c r="E1720" s="113">
        <f>'Sampling Data'!D1714</f>
        <v>9</v>
      </c>
      <c r="F1720" s="113">
        <f>'Sampling Data'!E1714</f>
        <v>3</v>
      </c>
      <c r="G1720" s="113">
        <f>'Sampling Data'!F1714</f>
        <v>0</v>
      </c>
      <c r="H1720" s="113">
        <f>'Sampling Data'!G1714</f>
        <v>0</v>
      </c>
      <c r="I1720" s="112">
        <f>'Sampling Data'!H1714</f>
        <v>0</v>
      </c>
      <c r="J1720" s="112">
        <f>'Sampling Data'!I1714</f>
        <v>1</v>
      </c>
      <c r="K1720" s="112">
        <f>'Sampling Data'!J1714</f>
        <v>55</v>
      </c>
      <c r="L1720" s="111">
        <f>'Sampling Data'!X1714</f>
        <v>0</v>
      </c>
      <c r="M1720" s="114"/>
      <c r="N1720" s="114"/>
      <c r="O1720" s="115"/>
      <c r="P1720" s="115"/>
      <c r="Q1720" s="116"/>
      <c r="R1720" s="116"/>
      <c r="S1720" s="111">
        <f>Audit[[#This Row],[Audit Losing Candidate]]-Audit[[#This Row],[Losing Candidate]]</f>
        <v>-18</v>
      </c>
      <c r="T1720" s="111">
        <f>Audit[[#This Row],[Audit Winning Candidate]]-Audit[[#This Row],[Winning Candidate]]</f>
        <v>-24</v>
      </c>
      <c r="U1720" s="111">
        <f>Audit[[#This Row],[Audit Candidate 3]]-Audit[[#This Row],[Candidate 3]]</f>
        <v>-9</v>
      </c>
      <c r="V1720" s="111">
        <f>Audit[[#This Row],[Audit Candidate 4]]-Audit[[#This Row],[Candidate 4]]</f>
        <v>-3</v>
      </c>
      <c r="W1720" s="111">
        <f>Audit[[#This Row],[Audit Candidate 5]]-Audit[[#This Row],[Candidate 5]]</f>
        <v>0</v>
      </c>
      <c r="X1720" s="111">
        <f>Audit[[#This Row],[Audit Candidate 6]]-Audit[[#This Row],[Candidate 6]]</f>
        <v>0</v>
      </c>
      <c r="Y1720" s="111">
        <f>SUMIF(Audit[[#This Row],[Difference Loser]:[Difference Candidate 6]], "&gt;0")</f>
        <v>0</v>
      </c>
      <c r="Z1720" s="111">
        <f>SUM(Audit[[#This Row],[Difference Loser]:[Difference Candidate 6]])</f>
        <v>-54</v>
      </c>
      <c r="AA1720" s="111">
        <f>IF(Audit[[#This Row],[Times p Drawn - With Replacement]]&gt;0, IF(Audit[[#This Row],[Canceled Differences]]&lt;0, Audit[[#This Row],[Max Differences]]+ABS(Audit[[#This Row],[Canceled Differences]]), Audit[[#This Row],[Max Differences]]), 0)</f>
        <v>0</v>
      </c>
      <c r="AB1720" s="111">
        <f>'Sampling Data'!P1714</f>
        <v>3.7359137677609017E-3</v>
      </c>
      <c r="AC1720" s="111">
        <f>IF(
      SUM(Audit[[#This Row],[Audit Losing Candidate]:[Audit Candidate 6]])
      &lt;&gt;0,
      (Audit[[#This Row],[Winning Candidate]]-Audit[[#This Row],[Losing Candidate]]-(Audit[[#This Row],[Audit Winning Candidate]]-Audit[[#This Row],[Audit Losing Candidate]]))/(Audit[[#Totals],[Winning Candidate]]-Audit[[#Totals],[Losing Candidate]]),
      0
)</f>
        <v>0</v>
      </c>
      <c r="AD17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0" s="111">
        <f>IF(Audit[[#This Row],[Max Relative Error (ep)]] = 0, 0, Audit[[#This Row],[Max Relative Error (ep)]]/Audit[[#This Row],[Error Bound (up) - Max. possible relative overstatement]])</f>
        <v>0</v>
      </c>
      <c r="AJ17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20" s="111">
        <f t="shared" si="26"/>
        <v>1</v>
      </c>
      <c r="AL1720" s="111">
        <f>PRODUCT($AK$5:AK1720)</f>
        <v>8.962823818226312E-2</v>
      </c>
      <c r="AM1720" s="109">
        <f>1 - [K-M P Value]</f>
        <v>0.91037176181773694</v>
      </c>
      <c r="AN1720" s="111" t="str">
        <f>IF(Audit[[#This Row],[K-M P Value]]&gt;1-'General Info'!$B$16,"Continue", "Stop")</f>
        <v>Stop</v>
      </c>
      <c r="AO1720" s="110" t="b">
        <f>IF(Audit[[#This Row],[Status - Continue or stop audit]] = "Continue", TRUE, IF(AN1719 = "Continue", TRUE, FALSE))</f>
        <v>0</v>
      </c>
      <c r="AP1720" s="110"/>
    </row>
    <row r="1721" spans="1:42" ht="15" hidden="1" customHeight="1">
      <c r="A1721" s="111" t="str">
        <f>'Sampling Data'!W1715</f>
        <v/>
      </c>
      <c r="B1721" s="112" t="str">
        <f>'Sampling Data'!A1715</f>
        <v>PARMA -06-D</v>
      </c>
      <c r="C1721" s="112">
        <f>'Sampling Data'!B1715</f>
        <v>30</v>
      </c>
      <c r="D1721" s="112">
        <f>'Sampling Data'!C1715</f>
        <v>43</v>
      </c>
      <c r="E1721" s="113">
        <f>'Sampling Data'!D1715</f>
        <v>10</v>
      </c>
      <c r="F1721" s="113">
        <f>'Sampling Data'!E1715</f>
        <v>13</v>
      </c>
      <c r="G1721" s="113">
        <f>'Sampling Data'!F1715</f>
        <v>0</v>
      </c>
      <c r="H1721" s="113">
        <f>'Sampling Data'!G1715</f>
        <v>1</v>
      </c>
      <c r="I1721" s="112">
        <f>'Sampling Data'!H1715</f>
        <v>0</v>
      </c>
      <c r="J1721" s="112">
        <f>'Sampling Data'!I1715</f>
        <v>0</v>
      </c>
      <c r="K1721" s="112">
        <f>'Sampling Data'!J1715</f>
        <v>97</v>
      </c>
      <c r="L1721" s="111">
        <f>'Sampling Data'!X1715</f>
        <v>0</v>
      </c>
      <c r="M1721" s="114"/>
      <c r="N1721" s="114"/>
      <c r="O1721" s="115"/>
      <c r="P1721" s="115"/>
      <c r="Q1721" s="116"/>
      <c r="R1721" s="116"/>
      <c r="S1721" s="111">
        <f>Audit[[#This Row],[Audit Losing Candidate]]-Audit[[#This Row],[Losing Candidate]]</f>
        <v>-30</v>
      </c>
      <c r="T1721" s="111">
        <f>Audit[[#This Row],[Audit Winning Candidate]]-Audit[[#This Row],[Winning Candidate]]</f>
        <v>-43</v>
      </c>
      <c r="U1721" s="111">
        <f>Audit[[#This Row],[Audit Candidate 3]]-Audit[[#This Row],[Candidate 3]]</f>
        <v>-10</v>
      </c>
      <c r="V1721" s="111">
        <f>Audit[[#This Row],[Audit Candidate 4]]-Audit[[#This Row],[Candidate 4]]</f>
        <v>-13</v>
      </c>
      <c r="W1721" s="111">
        <f>Audit[[#This Row],[Audit Candidate 5]]-Audit[[#This Row],[Candidate 5]]</f>
        <v>0</v>
      </c>
      <c r="X1721" s="111">
        <f>Audit[[#This Row],[Audit Candidate 6]]-Audit[[#This Row],[Candidate 6]]</f>
        <v>-1</v>
      </c>
      <c r="Y1721" s="111">
        <f>SUMIF(Audit[[#This Row],[Difference Loser]:[Difference Candidate 6]], "&gt;0")</f>
        <v>0</v>
      </c>
      <c r="Z1721" s="111">
        <f>SUM(Audit[[#This Row],[Difference Loser]:[Difference Candidate 6]])</f>
        <v>-97</v>
      </c>
      <c r="AA1721" s="111">
        <f>IF(Audit[[#This Row],[Times p Drawn - With Replacement]]&gt;0, IF(Audit[[#This Row],[Canceled Differences]]&lt;0, Audit[[#This Row],[Max Differences]]+ABS(Audit[[#This Row],[Canceled Differences]]), Audit[[#This Row],[Max Differences]]), 0)</f>
        <v>0</v>
      </c>
      <c r="AB1721" s="111">
        <f>'Sampling Data'!P1715</f>
        <v>6.7368936795688386E-3</v>
      </c>
      <c r="AC1721" s="111">
        <f>IF(
      SUM(Audit[[#This Row],[Audit Losing Candidate]:[Audit Candidate 6]])
      &lt;&gt;0,
      (Audit[[#This Row],[Winning Candidate]]-Audit[[#This Row],[Losing Candidate]]-(Audit[[#This Row],[Audit Winning Candidate]]-Audit[[#This Row],[Audit Losing Candidate]]))/(Audit[[#Totals],[Winning Candidate]]-Audit[[#Totals],[Losing Candidate]]),
      0
)</f>
        <v>0</v>
      </c>
      <c r="AD17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1" s="111">
        <f>IF(Audit[[#This Row],[Max Relative Error (ep)]] = 0, 0, Audit[[#This Row],[Max Relative Error (ep)]]/Audit[[#This Row],[Error Bound (up) - Max. possible relative overstatement]])</f>
        <v>0</v>
      </c>
      <c r="AJ17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21" s="111">
        <f t="shared" si="26"/>
        <v>1</v>
      </c>
      <c r="AL1721" s="111">
        <f>PRODUCT($AK$5:AK1721)</f>
        <v>8.962823818226312E-2</v>
      </c>
      <c r="AM1721" s="109">
        <f>1 - [K-M P Value]</f>
        <v>0.91037176181773694</v>
      </c>
      <c r="AN1721" s="111" t="str">
        <f>IF(Audit[[#This Row],[K-M P Value]]&gt;1-'General Info'!$B$16,"Continue", "Stop")</f>
        <v>Stop</v>
      </c>
      <c r="AO1721" s="110" t="b">
        <f>IF(Audit[[#This Row],[Status - Continue or stop audit]] = "Continue", TRUE, IF(AN1720 = "Continue", TRUE, FALSE))</f>
        <v>0</v>
      </c>
      <c r="AP1721" s="110"/>
    </row>
    <row r="1722" spans="1:42" ht="15" hidden="1" customHeight="1">
      <c r="A1722" s="111" t="str">
        <f>'Sampling Data'!W1716</f>
        <v/>
      </c>
      <c r="B1722" s="112" t="str">
        <f>'Sampling Data'!A1716</f>
        <v>PARMA -06-D - ABS</v>
      </c>
      <c r="C1722" s="112">
        <f>'Sampling Data'!B1716</f>
        <v>14</v>
      </c>
      <c r="D1722" s="112">
        <f>'Sampling Data'!C1716</f>
        <v>17</v>
      </c>
      <c r="E1722" s="113">
        <f>'Sampling Data'!D1716</f>
        <v>2</v>
      </c>
      <c r="F1722" s="113">
        <f>'Sampling Data'!E1716</f>
        <v>5</v>
      </c>
      <c r="G1722" s="113">
        <f>'Sampling Data'!F1716</f>
        <v>1</v>
      </c>
      <c r="H1722" s="113">
        <f>'Sampling Data'!G1716</f>
        <v>2</v>
      </c>
      <c r="I1722" s="112">
        <f>'Sampling Data'!H1716</f>
        <v>0</v>
      </c>
      <c r="J1722" s="112">
        <f>'Sampling Data'!I1716</f>
        <v>0</v>
      </c>
      <c r="K1722" s="112">
        <f>'Sampling Data'!J1716</f>
        <v>41</v>
      </c>
      <c r="L1722" s="111">
        <f>'Sampling Data'!X1716</f>
        <v>0</v>
      </c>
      <c r="M1722" s="114"/>
      <c r="N1722" s="114"/>
      <c r="O1722" s="115"/>
      <c r="P1722" s="115"/>
      <c r="Q1722" s="116"/>
      <c r="R1722" s="116"/>
      <c r="S1722" s="111">
        <f>Audit[[#This Row],[Audit Losing Candidate]]-Audit[[#This Row],[Losing Candidate]]</f>
        <v>-14</v>
      </c>
      <c r="T1722" s="111">
        <f>Audit[[#This Row],[Audit Winning Candidate]]-Audit[[#This Row],[Winning Candidate]]</f>
        <v>-17</v>
      </c>
      <c r="U1722" s="111">
        <f>Audit[[#This Row],[Audit Candidate 3]]-Audit[[#This Row],[Candidate 3]]</f>
        <v>-2</v>
      </c>
      <c r="V1722" s="111">
        <f>Audit[[#This Row],[Audit Candidate 4]]-Audit[[#This Row],[Candidate 4]]</f>
        <v>-5</v>
      </c>
      <c r="W1722" s="111">
        <f>Audit[[#This Row],[Audit Candidate 5]]-Audit[[#This Row],[Candidate 5]]</f>
        <v>-1</v>
      </c>
      <c r="X1722" s="111">
        <f>Audit[[#This Row],[Audit Candidate 6]]-Audit[[#This Row],[Candidate 6]]</f>
        <v>-2</v>
      </c>
      <c r="Y1722" s="111">
        <f>SUMIF(Audit[[#This Row],[Difference Loser]:[Difference Candidate 6]], "&gt;0")</f>
        <v>0</v>
      </c>
      <c r="Z1722" s="111">
        <f>SUM(Audit[[#This Row],[Difference Loser]:[Difference Candidate 6]])</f>
        <v>-41</v>
      </c>
      <c r="AA1722" s="111">
        <f>IF(Audit[[#This Row],[Times p Drawn - With Replacement]]&gt;0, IF(Audit[[#This Row],[Canceled Differences]]&lt;0, Audit[[#This Row],[Max Differences]]+ABS(Audit[[#This Row],[Canceled Differences]]), Audit[[#This Row],[Max Differences]]), 0)</f>
        <v>0</v>
      </c>
      <c r="AB1722" s="111">
        <f>'Sampling Data'!P1716</f>
        <v>2.6947574718275357E-3</v>
      </c>
      <c r="AC1722" s="111">
        <f>IF(
      SUM(Audit[[#This Row],[Audit Losing Candidate]:[Audit Candidate 6]])
      &lt;&gt;0,
      (Audit[[#This Row],[Winning Candidate]]-Audit[[#This Row],[Losing Candidate]]-(Audit[[#This Row],[Audit Winning Candidate]]-Audit[[#This Row],[Audit Losing Candidate]]))/(Audit[[#Totals],[Winning Candidate]]-Audit[[#Totals],[Losing Candidate]]),
      0
)</f>
        <v>0</v>
      </c>
      <c r="AD17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2" s="111">
        <f>IF(Audit[[#This Row],[Max Relative Error (ep)]] = 0, 0, Audit[[#This Row],[Max Relative Error (ep)]]/Audit[[#This Row],[Error Bound (up) - Max. possible relative overstatement]])</f>
        <v>0</v>
      </c>
      <c r="AJ17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22" s="111">
        <f t="shared" si="26"/>
        <v>1</v>
      </c>
      <c r="AL1722" s="111">
        <f>PRODUCT($AK$5:AK1722)</f>
        <v>8.962823818226312E-2</v>
      </c>
      <c r="AM1722" s="109">
        <f>1 - [K-M P Value]</f>
        <v>0.91037176181773694</v>
      </c>
      <c r="AN1722" s="111" t="str">
        <f>IF(Audit[[#This Row],[K-M P Value]]&gt;1-'General Info'!$B$16,"Continue", "Stop")</f>
        <v>Stop</v>
      </c>
      <c r="AO1722" s="110" t="b">
        <f>IF(Audit[[#This Row],[Status - Continue or stop audit]] = "Continue", TRUE, IF(AN1721 = "Continue", TRUE, FALSE))</f>
        <v>0</v>
      </c>
      <c r="AP1722" s="110"/>
    </row>
    <row r="1723" spans="1:42" ht="15" hidden="1" customHeight="1">
      <c r="A1723" s="111" t="str">
        <f>'Sampling Data'!W1717</f>
        <v/>
      </c>
      <c r="B1723" s="112" t="str">
        <f>'Sampling Data'!A1717</f>
        <v>PARMA -06-E</v>
      </c>
      <c r="C1723" s="112">
        <f>'Sampling Data'!B1717</f>
        <v>13</v>
      </c>
      <c r="D1723" s="112">
        <f>'Sampling Data'!C1717</f>
        <v>18</v>
      </c>
      <c r="E1723" s="113">
        <f>'Sampling Data'!D1717</f>
        <v>10</v>
      </c>
      <c r="F1723" s="113">
        <f>'Sampling Data'!E1717</f>
        <v>5</v>
      </c>
      <c r="G1723" s="113">
        <f>'Sampling Data'!F1717</f>
        <v>0</v>
      </c>
      <c r="H1723" s="113">
        <f>'Sampling Data'!G1717</f>
        <v>0</v>
      </c>
      <c r="I1723" s="112">
        <f>'Sampling Data'!H1717</f>
        <v>0</v>
      </c>
      <c r="J1723" s="112">
        <f>'Sampling Data'!I1717</f>
        <v>0</v>
      </c>
      <c r="K1723" s="112">
        <f>'Sampling Data'!J1717</f>
        <v>46</v>
      </c>
      <c r="L1723" s="111">
        <f>'Sampling Data'!X1717</f>
        <v>0</v>
      </c>
      <c r="M1723" s="114"/>
      <c r="N1723" s="114"/>
      <c r="O1723" s="115"/>
      <c r="P1723" s="115"/>
      <c r="Q1723" s="116"/>
      <c r="R1723" s="116"/>
      <c r="S1723" s="111">
        <f>Audit[[#This Row],[Audit Losing Candidate]]-Audit[[#This Row],[Losing Candidate]]</f>
        <v>-13</v>
      </c>
      <c r="T1723" s="111">
        <f>Audit[[#This Row],[Audit Winning Candidate]]-Audit[[#This Row],[Winning Candidate]]</f>
        <v>-18</v>
      </c>
      <c r="U1723" s="111">
        <f>Audit[[#This Row],[Audit Candidate 3]]-Audit[[#This Row],[Candidate 3]]</f>
        <v>-10</v>
      </c>
      <c r="V1723" s="111">
        <f>Audit[[#This Row],[Audit Candidate 4]]-Audit[[#This Row],[Candidate 4]]</f>
        <v>-5</v>
      </c>
      <c r="W1723" s="111">
        <f>Audit[[#This Row],[Audit Candidate 5]]-Audit[[#This Row],[Candidate 5]]</f>
        <v>0</v>
      </c>
      <c r="X1723" s="111">
        <f>Audit[[#This Row],[Audit Candidate 6]]-Audit[[#This Row],[Candidate 6]]</f>
        <v>0</v>
      </c>
      <c r="Y1723" s="111">
        <f>SUMIF(Audit[[#This Row],[Difference Loser]:[Difference Candidate 6]], "&gt;0")</f>
        <v>0</v>
      </c>
      <c r="Z1723" s="111">
        <f>SUM(Audit[[#This Row],[Difference Loser]:[Difference Candidate 6]])</f>
        <v>-46</v>
      </c>
      <c r="AA1723" s="111">
        <f>IF(Audit[[#This Row],[Times p Drawn - With Replacement]]&gt;0, IF(Audit[[#This Row],[Canceled Differences]]&lt;0, Audit[[#This Row],[Max Differences]]+ABS(Audit[[#This Row],[Canceled Differences]]), Audit[[#This Row],[Max Differences]]), 0)</f>
        <v>0</v>
      </c>
      <c r="AB1723" s="111">
        <f>'Sampling Data'!P1717</f>
        <v>3.1234688878000981E-3</v>
      </c>
      <c r="AC1723" s="111">
        <f>IF(
      SUM(Audit[[#This Row],[Audit Losing Candidate]:[Audit Candidate 6]])
      &lt;&gt;0,
      (Audit[[#This Row],[Winning Candidate]]-Audit[[#This Row],[Losing Candidate]]-(Audit[[#This Row],[Audit Winning Candidate]]-Audit[[#This Row],[Audit Losing Candidate]]))/(Audit[[#Totals],[Winning Candidate]]-Audit[[#Totals],[Losing Candidate]]),
      0
)</f>
        <v>0</v>
      </c>
      <c r="AD17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3" s="111">
        <f>IF(Audit[[#This Row],[Max Relative Error (ep)]] = 0, 0, Audit[[#This Row],[Max Relative Error (ep)]]/Audit[[#This Row],[Error Bound (up) - Max. possible relative overstatement]])</f>
        <v>0</v>
      </c>
      <c r="AJ17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23" s="111">
        <f t="shared" si="26"/>
        <v>1</v>
      </c>
      <c r="AL1723" s="111">
        <f>PRODUCT($AK$5:AK1723)</f>
        <v>8.962823818226312E-2</v>
      </c>
      <c r="AM1723" s="109">
        <f>1 - [K-M P Value]</f>
        <v>0.91037176181773694</v>
      </c>
      <c r="AN1723" s="111" t="str">
        <f>IF(Audit[[#This Row],[K-M P Value]]&gt;1-'General Info'!$B$16,"Continue", "Stop")</f>
        <v>Stop</v>
      </c>
      <c r="AO1723" s="110" t="b">
        <f>IF(Audit[[#This Row],[Status - Continue or stop audit]] = "Continue", TRUE, IF(AN1722 = "Continue", TRUE, FALSE))</f>
        <v>0</v>
      </c>
      <c r="AP1723" s="110"/>
    </row>
    <row r="1724" spans="1:42" ht="15" hidden="1" customHeight="1">
      <c r="A1724" s="111" t="str">
        <f>'Sampling Data'!W1718</f>
        <v/>
      </c>
      <c r="B1724" s="112" t="str">
        <f>'Sampling Data'!A1718</f>
        <v>PARMA -06-E - ABS</v>
      </c>
      <c r="C1724" s="112">
        <f>'Sampling Data'!B1718</f>
        <v>10</v>
      </c>
      <c r="D1724" s="112">
        <f>'Sampling Data'!C1718</f>
        <v>14</v>
      </c>
      <c r="E1724" s="113">
        <f>'Sampling Data'!D1718</f>
        <v>3</v>
      </c>
      <c r="F1724" s="113">
        <f>'Sampling Data'!E1718</f>
        <v>4</v>
      </c>
      <c r="G1724" s="113">
        <f>'Sampling Data'!F1718</f>
        <v>0</v>
      </c>
      <c r="H1724" s="113">
        <f>'Sampling Data'!G1718</f>
        <v>0</v>
      </c>
      <c r="I1724" s="112">
        <f>'Sampling Data'!H1718</f>
        <v>0</v>
      </c>
      <c r="J1724" s="112">
        <f>'Sampling Data'!I1718</f>
        <v>0</v>
      </c>
      <c r="K1724" s="112">
        <f>'Sampling Data'!J1718</f>
        <v>31</v>
      </c>
      <c r="L1724" s="111">
        <f>'Sampling Data'!X1718</f>
        <v>0</v>
      </c>
      <c r="M1724" s="114"/>
      <c r="N1724" s="114"/>
      <c r="O1724" s="115"/>
      <c r="P1724" s="115"/>
      <c r="Q1724" s="116"/>
      <c r="R1724" s="116"/>
      <c r="S1724" s="111">
        <f>Audit[[#This Row],[Audit Losing Candidate]]-Audit[[#This Row],[Losing Candidate]]</f>
        <v>-10</v>
      </c>
      <c r="T1724" s="111">
        <f>Audit[[#This Row],[Audit Winning Candidate]]-Audit[[#This Row],[Winning Candidate]]</f>
        <v>-14</v>
      </c>
      <c r="U1724" s="111">
        <f>Audit[[#This Row],[Audit Candidate 3]]-Audit[[#This Row],[Candidate 3]]</f>
        <v>-3</v>
      </c>
      <c r="V1724" s="111">
        <f>Audit[[#This Row],[Audit Candidate 4]]-Audit[[#This Row],[Candidate 4]]</f>
        <v>-4</v>
      </c>
      <c r="W1724" s="111">
        <f>Audit[[#This Row],[Audit Candidate 5]]-Audit[[#This Row],[Candidate 5]]</f>
        <v>0</v>
      </c>
      <c r="X1724" s="111">
        <f>Audit[[#This Row],[Audit Candidate 6]]-Audit[[#This Row],[Candidate 6]]</f>
        <v>0</v>
      </c>
      <c r="Y1724" s="111">
        <f>SUMIF(Audit[[#This Row],[Difference Loser]:[Difference Candidate 6]], "&gt;0")</f>
        <v>0</v>
      </c>
      <c r="Z1724" s="111">
        <f>SUM(Audit[[#This Row],[Difference Loser]:[Difference Candidate 6]])</f>
        <v>-31</v>
      </c>
      <c r="AA1724" s="111">
        <f>IF(Audit[[#This Row],[Times p Drawn - With Replacement]]&gt;0, IF(Audit[[#This Row],[Canceled Differences]]&lt;0, Audit[[#This Row],[Max Differences]]+ABS(Audit[[#This Row],[Canceled Differences]]), Audit[[#This Row],[Max Differences]]), 0)</f>
        <v>0</v>
      </c>
      <c r="AB1724" s="111">
        <f>'Sampling Data'!P1718</f>
        <v>2.1435570798628125E-3</v>
      </c>
      <c r="AC1724" s="111">
        <f>IF(
      SUM(Audit[[#This Row],[Audit Losing Candidate]:[Audit Candidate 6]])
      &lt;&gt;0,
      (Audit[[#This Row],[Winning Candidate]]-Audit[[#This Row],[Losing Candidate]]-(Audit[[#This Row],[Audit Winning Candidate]]-Audit[[#This Row],[Audit Losing Candidate]]))/(Audit[[#Totals],[Winning Candidate]]-Audit[[#Totals],[Losing Candidate]]),
      0
)</f>
        <v>0</v>
      </c>
      <c r="AD17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4" s="111">
        <f>IF(Audit[[#This Row],[Max Relative Error (ep)]] = 0, 0, Audit[[#This Row],[Max Relative Error (ep)]]/Audit[[#This Row],[Error Bound (up) - Max. possible relative overstatement]])</f>
        <v>0</v>
      </c>
      <c r="AJ17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24" s="111">
        <f t="shared" si="26"/>
        <v>1</v>
      </c>
      <c r="AL1724" s="111">
        <f>PRODUCT($AK$5:AK1724)</f>
        <v>8.962823818226312E-2</v>
      </c>
      <c r="AM1724" s="109">
        <f>1 - [K-M P Value]</f>
        <v>0.91037176181773694</v>
      </c>
      <c r="AN1724" s="111" t="str">
        <f>IF(Audit[[#This Row],[K-M P Value]]&gt;1-'General Info'!$B$16,"Continue", "Stop")</f>
        <v>Stop</v>
      </c>
      <c r="AO1724" s="110" t="b">
        <f>IF(Audit[[#This Row],[Status - Continue or stop audit]] = "Continue", TRUE, IF(AN1723 = "Continue", TRUE, FALSE))</f>
        <v>0</v>
      </c>
      <c r="AP1724" s="110"/>
    </row>
    <row r="1725" spans="1:42" ht="15" hidden="1" customHeight="1">
      <c r="A1725" s="111" t="str">
        <f>'Sampling Data'!W1719</f>
        <v/>
      </c>
      <c r="B1725" s="112" t="str">
        <f>'Sampling Data'!A1719</f>
        <v>PARMA -06-F</v>
      </c>
      <c r="C1725" s="112">
        <f>'Sampling Data'!B1719</f>
        <v>35</v>
      </c>
      <c r="D1725" s="112">
        <f>'Sampling Data'!C1719</f>
        <v>40</v>
      </c>
      <c r="E1725" s="113">
        <f>'Sampling Data'!D1719</f>
        <v>12</v>
      </c>
      <c r="F1725" s="113">
        <f>'Sampling Data'!E1719</f>
        <v>9</v>
      </c>
      <c r="G1725" s="113">
        <f>'Sampling Data'!F1719</f>
        <v>0</v>
      </c>
      <c r="H1725" s="113">
        <f>'Sampling Data'!G1719</f>
        <v>0</v>
      </c>
      <c r="I1725" s="112">
        <f>'Sampling Data'!H1719</f>
        <v>0</v>
      </c>
      <c r="J1725" s="112">
        <f>'Sampling Data'!I1719</f>
        <v>0</v>
      </c>
      <c r="K1725" s="112">
        <f>'Sampling Data'!J1719</f>
        <v>96</v>
      </c>
      <c r="L1725" s="111">
        <f>'Sampling Data'!X1719</f>
        <v>0</v>
      </c>
      <c r="M1725" s="114"/>
      <c r="N1725" s="114"/>
      <c r="O1725" s="115"/>
      <c r="P1725" s="115"/>
      <c r="Q1725" s="116"/>
      <c r="R1725" s="116"/>
      <c r="S1725" s="111">
        <f>Audit[[#This Row],[Audit Losing Candidate]]-Audit[[#This Row],[Losing Candidate]]</f>
        <v>-35</v>
      </c>
      <c r="T1725" s="111">
        <f>Audit[[#This Row],[Audit Winning Candidate]]-Audit[[#This Row],[Winning Candidate]]</f>
        <v>-40</v>
      </c>
      <c r="U1725" s="111">
        <f>Audit[[#This Row],[Audit Candidate 3]]-Audit[[#This Row],[Candidate 3]]</f>
        <v>-12</v>
      </c>
      <c r="V1725" s="111">
        <f>Audit[[#This Row],[Audit Candidate 4]]-Audit[[#This Row],[Candidate 4]]</f>
        <v>-9</v>
      </c>
      <c r="W1725" s="111">
        <f>Audit[[#This Row],[Audit Candidate 5]]-Audit[[#This Row],[Candidate 5]]</f>
        <v>0</v>
      </c>
      <c r="X1725" s="111">
        <f>Audit[[#This Row],[Audit Candidate 6]]-Audit[[#This Row],[Candidate 6]]</f>
        <v>0</v>
      </c>
      <c r="Y1725" s="111">
        <f>SUMIF(Audit[[#This Row],[Difference Loser]:[Difference Candidate 6]], "&gt;0")</f>
        <v>0</v>
      </c>
      <c r="Z1725" s="111">
        <f>SUM(Audit[[#This Row],[Difference Loser]:[Difference Candidate 6]])</f>
        <v>-96</v>
      </c>
      <c r="AA1725" s="111">
        <f>IF(Audit[[#This Row],[Times p Drawn - With Replacement]]&gt;0, IF(Audit[[#This Row],[Canceled Differences]]&lt;0, Audit[[#This Row],[Max Differences]]+ABS(Audit[[#This Row],[Canceled Differences]]), Audit[[#This Row],[Max Differences]]), 0)</f>
        <v>0</v>
      </c>
      <c r="AB1725" s="111">
        <f>'Sampling Data'!P1719</f>
        <v>6.1856932876041158E-3</v>
      </c>
      <c r="AC1725" s="111">
        <f>IF(
      SUM(Audit[[#This Row],[Audit Losing Candidate]:[Audit Candidate 6]])
      &lt;&gt;0,
      (Audit[[#This Row],[Winning Candidate]]-Audit[[#This Row],[Losing Candidate]]-(Audit[[#This Row],[Audit Winning Candidate]]-Audit[[#This Row],[Audit Losing Candidate]]))/(Audit[[#Totals],[Winning Candidate]]-Audit[[#Totals],[Losing Candidate]]),
      0
)</f>
        <v>0</v>
      </c>
      <c r="AD17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5" s="111">
        <f>IF(Audit[[#This Row],[Max Relative Error (ep)]] = 0, 0, Audit[[#This Row],[Max Relative Error (ep)]]/Audit[[#This Row],[Error Bound (up) - Max. possible relative overstatement]])</f>
        <v>0</v>
      </c>
      <c r="AJ17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25" s="111">
        <f t="shared" si="26"/>
        <v>1</v>
      </c>
      <c r="AL1725" s="111">
        <f>PRODUCT($AK$5:AK1725)</f>
        <v>8.962823818226312E-2</v>
      </c>
      <c r="AM1725" s="109">
        <f>1 - [K-M P Value]</f>
        <v>0.91037176181773694</v>
      </c>
      <c r="AN1725" s="111" t="str">
        <f>IF(Audit[[#This Row],[K-M P Value]]&gt;1-'General Info'!$B$16,"Continue", "Stop")</f>
        <v>Stop</v>
      </c>
      <c r="AO1725" s="110" t="b">
        <f>IF(Audit[[#This Row],[Status - Continue or stop audit]] = "Continue", TRUE, IF(AN1724 = "Continue", TRUE, FALSE))</f>
        <v>0</v>
      </c>
      <c r="AP1725" s="110"/>
    </row>
    <row r="1726" spans="1:42" ht="15" hidden="1" customHeight="1">
      <c r="A1726" s="111" t="str">
        <f>'Sampling Data'!W1720</f>
        <v/>
      </c>
      <c r="B1726" s="112" t="str">
        <f>'Sampling Data'!A1720</f>
        <v>PARMA -06-F - ABS</v>
      </c>
      <c r="C1726" s="112">
        <f>'Sampling Data'!B1720</f>
        <v>24</v>
      </c>
      <c r="D1726" s="112">
        <f>'Sampling Data'!C1720</f>
        <v>21</v>
      </c>
      <c r="E1726" s="113">
        <f>'Sampling Data'!D1720</f>
        <v>4</v>
      </c>
      <c r="F1726" s="113">
        <f>'Sampling Data'!E1720</f>
        <v>5</v>
      </c>
      <c r="G1726" s="113">
        <f>'Sampling Data'!F1720</f>
        <v>0</v>
      </c>
      <c r="H1726" s="113">
        <f>'Sampling Data'!G1720</f>
        <v>2</v>
      </c>
      <c r="I1726" s="112">
        <f>'Sampling Data'!H1720</f>
        <v>0</v>
      </c>
      <c r="J1726" s="112">
        <f>'Sampling Data'!I1720</f>
        <v>1</v>
      </c>
      <c r="K1726" s="112">
        <f>'Sampling Data'!J1720</f>
        <v>57</v>
      </c>
      <c r="L1726" s="111">
        <f>'Sampling Data'!X1720</f>
        <v>0</v>
      </c>
      <c r="M1726" s="114"/>
      <c r="N1726" s="114"/>
      <c r="O1726" s="115"/>
      <c r="P1726" s="115"/>
      <c r="Q1726" s="116"/>
      <c r="R1726" s="116"/>
      <c r="S1726" s="111">
        <f>Audit[[#This Row],[Audit Losing Candidate]]-Audit[[#This Row],[Losing Candidate]]</f>
        <v>-24</v>
      </c>
      <c r="T1726" s="111">
        <f>Audit[[#This Row],[Audit Winning Candidate]]-Audit[[#This Row],[Winning Candidate]]</f>
        <v>-21</v>
      </c>
      <c r="U1726" s="111">
        <f>Audit[[#This Row],[Audit Candidate 3]]-Audit[[#This Row],[Candidate 3]]</f>
        <v>-4</v>
      </c>
      <c r="V1726" s="111">
        <f>Audit[[#This Row],[Audit Candidate 4]]-Audit[[#This Row],[Candidate 4]]</f>
        <v>-5</v>
      </c>
      <c r="W1726" s="111">
        <f>Audit[[#This Row],[Audit Candidate 5]]-Audit[[#This Row],[Candidate 5]]</f>
        <v>0</v>
      </c>
      <c r="X1726" s="111">
        <f>Audit[[#This Row],[Audit Candidate 6]]-Audit[[#This Row],[Candidate 6]]</f>
        <v>-2</v>
      </c>
      <c r="Y1726" s="111">
        <f>SUMIF(Audit[[#This Row],[Difference Loser]:[Difference Candidate 6]], "&gt;0")</f>
        <v>0</v>
      </c>
      <c r="Z1726" s="111">
        <f>SUM(Audit[[#This Row],[Difference Loser]:[Difference Candidate 6]])</f>
        <v>-56</v>
      </c>
      <c r="AA1726" s="111">
        <f>IF(Audit[[#This Row],[Times p Drawn - With Replacement]]&gt;0, IF(Audit[[#This Row],[Canceled Differences]]&lt;0, Audit[[#This Row],[Max Differences]]+ABS(Audit[[#This Row],[Canceled Differences]]), Audit[[#This Row],[Max Differences]]), 0)</f>
        <v>0</v>
      </c>
      <c r="AB1726" s="111">
        <f>'Sampling Data'!P1720</f>
        <v>3.3072023517883389E-3</v>
      </c>
      <c r="AC1726" s="111">
        <f>IF(
      SUM(Audit[[#This Row],[Audit Losing Candidate]:[Audit Candidate 6]])
      &lt;&gt;0,
      (Audit[[#This Row],[Winning Candidate]]-Audit[[#This Row],[Losing Candidate]]-(Audit[[#This Row],[Audit Winning Candidate]]-Audit[[#This Row],[Audit Losing Candidate]]))/(Audit[[#Totals],[Winning Candidate]]-Audit[[#Totals],[Losing Candidate]]),
      0
)</f>
        <v>0</v>
      </c>
      <c r="AD17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6" s="111">
        <f>IF(Audit[[#This Row],[Max Relative Error (ep)]] = 0, 0, Audit[[#This Row],[Max Relative Error (ep)]]/Audit[[#This Row],[Error Bound (up) - Max. possible relative overstatement]])</f>
        <v>0</v>
      </c>
      <c r="AJ17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26" s="111">
        <f t="shared" si="26"/>
        <v>1</v>
      </c>
      <c r="AL1726" s="111">
        <f>PRODUCT($AK$5:AK1726)</f>
        <v>8.962823818226312E-2</v>
      </c>
      <c r="AM1726" s="109">
        <f>1 - [K-M P Value]</f>
        <v>0.91037176181773694</v>
      </c>
      <c r="AN1726" s="111" t="str">
        <f>IF(Audit[[#This Row],[K-M P Value]]&gt;1-'General Info'!$B$16,"Continue", "Stop")</f>
        <v>Stop</v>
      </c>
      <c r="AO1726" s="110" t="b">
        <f>IF(Audit[[#This Row],[Status - Continue or stop audit]] = "Continue", TRUE, IF(AN1725 = "Continue", TRUE, FALSE))</f>
        <v>0</v>
      </c>
      <c r="AP1726" s="110"/>
    </row>
    <row r="1727" spans="1:42" ht="15" hidden="1" customHeight="1">
      <c r="A1727" s="111" t="str">
        <f>'Sampling Data'!W1721</f>
        <v/>
      </c>
      <c r="B1727" s="112" t="str">
        <f>'Sampling Data'!A1721</f>
        <v>PARMA -07-A</v>
      </c>
      <c r="C1727" s="112">
        <f>'Sampling Data'!B1721</f>
        <v>47</v>
      </c>
      <c r="D1727" s="112">
        <f>'Sampling Data'!C1721</f>
        <v>43</v>
      </c>
      <c r="E1727" s="113">
        <f>'Sampling Data'!D1721</f>
        <v>25</v>
      </c>
      <c r="F1727" s="113">
        <f>'Sampling Data'!E1721</f>
        <v>11</v>
      </c>
      <c r="G1727" s="113">
        <f>'Sampling Data'!F1721</f>
        <v>1</v>
      </c>
      <c r="H1727" s="113">
        <f>'Sampling Data'!G1721</f>
        <v>0</v>
      </c>
      <c r="I1727" s="112">
        <f>'Sampling Data'!H1721</f>
        <v>0</v>
      </c>
      <c r="J1727" s="112">
        <f>'Sampling Data'!I1721</f>
        <v>1</v>
      </c>
      <c r="K1727" s="112">
        <f>'Sampling Data'!J1721</f>
        <v>128</v>
      </c>
      <c r="L1727" s="111">
        <f>'Sampling Data'!X1721</f>
        <v>0</v>
      </c>
      <c r="M1727" s="114"/>
      <c r="N1727" s="114"/>
      <c r="O1727" s="115"/>
      <c r="P1727" s="115"/>
      <c r="Q1727" s="116"/>
      <c r="R1727" s="116"/>
      <c r="S1727" s="111">
        <f>Audit[[#This Row],[Audit Losing Candidate]]-Audit[[#This Row],[Losing Candidate]]</f>
        <v>-47</v>
      </c>
      <c r="T1727" s="111">
        <f>Audit[[#This Row],[Audit Winning Candidate]]-Audit[[#This Row],[Winning Candidate]]</f>
        <v>-43</v>
      </c>
      <c r="U1727" s="111">
        <f>Audit[[#This Row],[Audit Candidate 3]]-Audit[[#This Row],[Candidate 3]]</f>
        <v>-25</v>
      </c>
      <c r="V1727" s="111">
        <f>Audit[[#This Row],[Audit Candidate 4]]-Audit[[#This Row],[Candidate 4]]</f>
        <v>-11</v>
      </c>
      <c r="W1727" s="111">
        <f>Audit[[#This Row],[Audit Candidate 5]]-Audit[[#This Row],[Candidate 5]]</f>
        <v>-1</v>
      </c>
      <c r="X1727" s="111">
        <f>Audit[[#This Row],[Audit Candidate 6]]-Audit[[#This Row],[Candidate 6]]</f>
        <v>0</v>
      </c>
      <c r="Y1727" s="111">
        <f>SUMIF(Audit[[#This Row],[Difference Loser]:[Difference Candidate 6]], "&gt;0")</f>
        <v>0</v>
      </c>
      <c r="Z1727" s="111">
        <f>SUM(Audit[[#This Row],[Difference Loser]:[Difference Candidate 6]])</f>
        <v>-127</v>
      </c>
      <c r="AA1727" s="111">
        <f>IF(Audit[[#This Row],[Times p Drawn - With Replacement]]&gt;0, IF(Audit[[#This Row],[Canceled Differences]]&lt;0, Audit[[#This Row],[Max Differences]]+ABS(Audit[[#This Row],[Canceled Differences]]), Audit[[#This Row],[Max Differences]]), 0)</f>
        <v>0</v>
      </c>
      <c r="AB1727" s="111">
        <f>'Sampling Data'!P1721</f>
        <v>7.5943165115139634E-3</v>
      </c>
      <c r="AC1727" s="111">
        <f>IF(
      SUM(Audit[[#This Row],[Audit Losing Candidate]:[Audit Candidate 6]])
      &lt;&gt;0,
      (Audit[[#This Row],[Winning Candidate]]-Audit[[#This Row],[Losing Candidate]]-(Audit[[#This Row],[Audit Winning Candidate]]-Audit[[#This Row],[Audit Losing Candidate]]))/(Audit[[#Totals],[Winning Candidate]]-Audit[[#Totals],[Losing Candidate]]),
      0
)</f>
        <v>0</v>
      </c>
      <c r="AD17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7" s="111">
        <f>IF(Audit[[#This Row],[Max Relative Error (ep)]] = 0, 0, Audit[[#This Row],[Max Relative Error (ep)]]/Audit[[#This Row],[Error Bound (up) - Max. possible relative overstatement]])</f>
        <v>0</v>
      </c>
      <c r="AJ17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27" s="111">
        <f t="shared" si="26"/>
        <v>1</v>
      </c>
      <c r="AL1727" s="111">
        <f>PRODUCT($AK$5:AK1727)</f>
        <v>8.962823818226312E-2</v>
      </c>
      <c r="AM1727" s="109">
        <f>1 - [K-M P Value]</f>
        <v>0.91037176181773694</v>
      </c>
      <c r="AN1727" s="111" t="str">
        <f>IF(Audit[[#This Row],[K-M P Value]]&gt;1-'General Info'!$B$16,"Continue", "Stop")</f>
        <v>Stop</v>
      </c>
      <c r="AO1727" s="110" t="b">
        <f>IF(Audit[[#This Row],[Status - Continue or stop audit]] = "Continue", TRUE, IF(AN1726 = "Continue", TRUE, FALSE))</f>
        <v>0</v>
      </c>
      <c r="AP1727" s="110"/>
    </row>
    <row r="1728" spans="1:42" ht="15" hidden="1" customHeight="1">
      <c r="A1728" s="111" t="str">
        <f>'Sampling Data'!W1722</f>
        <v/>
      </c>
      <c r="B1728" s="112" t="str">
        <f>'Sampling Data'!A1722</f>
        <v>PARMA -07-A - ABS</v>
      </c>
      <c r="C1728" s="112">
        <f>'Sampling Data'!B1722</f>
        <v>34</v>
      </c>
      <c r="D1728" s="112">
        <f>'Sampling Data'!C1722</f>
        <v>14</v>
      </c>
      <c r="E1728" s="113">
        <f>'Sampling Data'!D1722</f>
        <v>5</v>
      </c>
      <c r="F1728" s="113">
        <f>'Sampling Data'!E1722</f>
        <v>6</v>
      </c>
      <c r="G1728" s="113">
        <f>'Sampling Data'!F1722</f>
        <v>1</v>
      </c>
      <c r="H1728" s="113">
        <f>'Sampling Data'!G1722</f>
        <v>0</v>
      </c>
      <c r="I1728" s="112">
        <f>'Sampling Data'!H1722</f>
        <v>0</v>
      </c>
      <c r="J1728" s="112">
        <f>'Sampling Data'!I1722</f>
        <v>2</v>
      </c>
      <c r="K1728" s="112">
        <f>'Sampling Data'!J1722</f>
        <v>62</v>
      </c>
      <c r="L1728" s="111">
        <f>'Sampling Data'!X1722</f>
        <v>0</v>
      </c>
      <c r="M1728" s="114"/>
      <c r="N1728" s="114"/>
      <c r="O1728" s="115"/>
      <c r="P1728" s="115"/>
      <c r="Q1728" s="116"/>
      <c r="R1728" s="116"/>
      <c r="S1728" s="111">
        <f>Audit[[#This Row],[Audit Losing Candidate]]-Audit[[#This Row],[Losing Candidate]]</f>
        <v>-34</v>
      </c>
      <c r="T1728" s="111">
        <f>Audit[[#This Row],[Audit Winning Candidate]]-Audit[[#This Row],[Winning Candidate]]</f>
        <v>-14</v>
      </c>
      <c r="U1728" s="111">
        <f>Audit[[#This Row],[Audit Candidate 3]]-Audit[[#This Row],[Candidate 3]]</f>
        <v>-5</v>
      </c>
      <c r="V1728" s="111">
        <f>Audit[[#This Row],[Audit Candidate 4]]-Audit[[#This Row],[Candidate 4]]</f>
        <v>-6</v>
      </c>
      <c r="W1728" s="111">
        <f>Audit[[#This Row],[Audit Candidate 5]]-Audit[[#This Row],[Candidate 5]]</f>
        <v>-1</v>
      </c>
      <c r="X1728" s="111">
        <f>Audit[[#This Row],[Audit Candidate 6]]-Audit[[#This Row],[Candidate 6]]</f>
        <v>0</v>
      </c>
      <c r="Y1728" s="111">
        <f>SUMIF(Audit[[#This Row],[Difference Loser]:[Difference Candidate 6]], "&gt;0")</f>
        <v>0</v>
      </c>
      <c r="Z1728" s="111">
        <f>SUM(Audit[[#This Row],[Difference Loser]:[Difference Candidate 6]])</f>
        <v>-60</v>
      </c>
      <c r="AA1728" s="111">
        <f>IF(Audit[[#This Row],[Times p Drawn - With Replacement]]&gt;0, IF(Audit[[#This Row],[Canceled Differences]]&lt;0, Audit[[#This Row],[Max Differences]]+ABS(Audit[[#This Row],[Canceled Differences]]), Audit[[#This Row],[Max Differences]]), 0)</f>
        <v>0</v>
      </c>
      <c r="AB1728" s="111">
        <f>'Sampling Data'!P1722</f>
        <v>2.5722684958353749E-3</v>
      </c>
      <c r="AC1728" s="111">
        <f>IF(
      SUM(Audit[[#This Row],[Audit Losing Candidate]:[Audit Candidate 6]])
      &lt;&gt;0,
      (Audit[[#This Row],[Winning Candidate]]-Audit[[#This Row],[Losing Candidate]]-(Audit[[#This Row],[Audit Winning Candidate]]-Audit[[#This Row],[Audit Losing Candidate]]))/(Audit[[#Totals],[Winning Candidate]]-Audit[[#Totals],[Losing Candidate]]),
      0
)</f>
        <v>0</v>
      </c>
      <c r="AD17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8" s="111">
        <f>IF(Audit[[#This Row],[Max Relative Error (ep)]] = 0, 0, Audit[[#This Row],[Max Relative Error (ep)]]/Audit[[#This Row],[Error Bound (up) - Max. possible relative overstatement]])</f>
        <v>0</v>
      </c>
      <c r="AJ17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28" s="111">
        <f t="shared" si="26"/>
        <v>1</v>
      </c>
      <c r="AL1728" s="111">
        <f>PRODUCT($AK$5:AK1728)</f>
        <v>8.962823818226312E-2</v>
      </c>
      <c r="AM1728" s="109">
        <f>1 - [K-M P Value]</f>
        <v>0.91037176181773694</v>
      </c>
      <c r="AN1728" s="111" t="str">
        <f>IF(Audit[[#This Row],[K-M P Value]]&gt;1-'General Info'!$B$16,"Continue", "Stop")</f>
        <v>Stop</v>
      </c>
      <c r="AO1728" s="110" t="b">
        <f>IF(Audit[[#This Row],[Status - Continue or stop audit]] = "Continue", TRUE, IF(AN1727 = "Continue", TRUE, FALSE))</f>
        <v>0</v>
      </c>
      <c r="AP1728" s="110"/>
    </row>
    <row r="1729" spans="1:42" ht="15" hidden="1" customHeight="1">
      <c r="A1729" s="111" t="str">
        <f>'Sampling Data'!W1723</f>
        <v/>
      </c>
      <c r="B1729" s="112" t="str">
        <f>'Sampling Data'!A1723</f>
        <v>PARMA -07-B</v>
      </c>
      <c r="C1729" s="112">
        <f>'Sampling Data'!B1723</f>
        <v>37</v>
      </c>
      <c r="D1729" s="112">
        <f>'Sampling Data'!C1723</f>
        <v>34</v>
      </c>
      <c r="E1729" s="113">
        <f>'Sampling Data'!D1723</f>
        <v>10</v>
      </c>
      <c r="F1729" s="113">
        <f>'Sampling Data'!E1723</f>
        <v>9</v>
      </c>
      <c r="G1729" s="113">
        <f>'Sampling Data'!F1723</f>
        <v>0</v>
      </c>
      <c r="H1729" s="113">
        <f>'Sampling Data'!G1723</f>
        <v>0</v>
      </c>
      <c r="I1729" s="112">
        <f>'Sampling Data'!H1723</f>
        <v>0</v>
      </c>
      <c r="J1729" s="112">
        <f>'Sampling Data'!I1723</f>
        <v>4</v>
      </c>
      <c r="K1729" s="112">
        <f>'Sampling Data'!J1723</f>
        <v>94</v>
      </c>
      <c r="L1729" s="111">
        <f>'Sampling Data'!X1723</f>
        <v>0</v>
      </c>
      <c r="M1729" s="114"/>
      <c r="N1729" s="114"/>
      <c r="O1729" s="115"/>
      <c r="P1729" s="115"/>
      <c r="Q1729" s="116"/>
      <c r="R1729" s="116"/>
      <c r="S1729" s="111">
        <f>Audit[[#This Row],[Audit Losing Candidate]]-Audit[[#This Row],[Losing Candidate]]</f>
        <v>-37</v>
      </c>
      <c r="T1729" s="111">
        <f>Audit[[#This Row],[Audit Winning Candidate]]-Audit[[#This Row],[Winning Candidate]]</f>
        <v>-34</v>
      </c>
      <c r="U1729" s="111">
        <f>Audit[[#This Row],[Audit Candidate 3]]-Audit[[#This Row],[Candidate 3]]</f>
        <v>-10</v>
      </c>
      <c r="V1729" s="111">
        <f>Audit[[#This Row],[Audit Candidate 4]]-Audit[[#This Row],[Candidate 4]]</f>
        <v>-9</v>
      </c>
      <c r="W1729" s="111">
        <f>Audit[[#This Row],[Audit Candidate 5]]-Audit[[#This Row],[Candidate 5]]</f>
        <v>0</v>
      </c>
      <c r="X1729" s="111">
        <f>Audit[[#This Row],[Audit Candidate 6]]-Audit[[#This Row],[Candidate 6]]</f>
        <v>0</v>
      </c>
      <c r="Y1729" s="111">
        <f>SUMIF(Audit[[#This Row],[Difference Loser]:[Difference Candidate 6]], "&gt;0")</f>
        <v>0</v>
      </c>
      <c r="Z1729" s="111">
        <f>SUM(Audit[[#This Row],[Difference Loser]:[Difference Candidate 6]])</f>
        <v>-90</v>
      </c>
      <c r="AA1729" s="111">
        <f>IF(Audit[[#This Row],[Times p Drawn - With Replacement]]&gt;0, IF(Audit[[#This Row],[Canceled Differences]]&lt;0, Audit[[#This Row],[Max Differences]]+ABS(Audit[[#This Row],[Canceled Differences]]), Audit[[#This Row],[Max Differences]]), 0)</f>
        <v>0</v>
      </c>
      <c r="AB1729" s="111">
        <f>'Sampling Data'!P1723</f>
        <v>5.5732484076433117E-3</v>
      </c>
      <c r="AC1729" s="111">
        <f>IF(
      SUM(Audit[[#This Row],[Audit Losing Candidate]:[Audit Candidate 6]])
      &lt;&gt;0,
      (Audit[[#This Row],[Winning Candidate]]-Audit[[#This Row],[Losing Candidate]]-(Audit[[#This Row],[Audit Winning Candidate]]-Audit[[#This Row],[Audit Losing Candidate]]))/(Audit[[#Totals],[Winning Candidate]]-Audit[[#Totals],[Losing Candidate]]),
      0
)</f>
        <v>0</v>
      </c>
      <c r="AD17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9" s="111">
        <f>IF(Audit[[#This Row],[Max Relative Error (ep)]] = 0, 0, Audit[[#This Row],[Max Relative Error (ep)]]/Audit[[#This Row],[Error Bound (up) - Max. possible relative overstatement]])</f>
        <v>0</v>
      </c>
      <c r="AJ17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29" s="111">
        <f t="shared" si="26"/>
        <v>1</v>
      </c>
      <c r="AL1729" s="111">
        <f>PRODUCT($AK$5:AK1729)</f>
        <v>8.962823818226312E-2</v>
      </c>
      <c r="AM1729" s="109">
        <f>1 - [K-M P Value]</f>
        <v>0.91037176181773694</v>
      </c>
      <c r="AN1729" s="111" t="str">
        <f>IF(Audit[[#This Row],[K-M P Value]]&gt;1-'General Info'!$B$16,"Continue", "Stop")</f>
        <v>Stop</v>
      </c>
      <c r="AO1729" s="110" t="b">
        <f>IF(Audit[[#This Row],[Status - Continue or stop audit]] = "Continue", TRUE, IF(AN1728 = "Continue", TRUE, FALSE))</f>
        <v>0</v>
      </c>
      <c r="AP1729" s="110"/>
    </row>
    <row r="1730" spans="1:42" ht="15" hidden="1" customHeight="1">
      <c r="A1730" s="111" t="str">
        <f>'Sampling Data'!W1724</f>
        <v/>
      </c>
      <c r="B1730" s="112" t="str">
        <f>'Sampling Data'!A1724</f>
        <v>PARMA -07-B - ABS</v>
      </c>
      <c r="C1730" s="112">
        <f>'Sampling Data'!B1724</f>
        <v>25</v>
      </c>
      <c r="D1730" s="112">
        <f>'Sampling Data'!C1724</f>
        <v>16</v>
      </c>
      <c r="E1730" s="113">
        <f>'Sampling Data'!D1724</f>
        <v>9</v>
      </c>
      <c r="F1730" s="113">
        <f>'Sampling Data'!E1724</f>
        <v>3</v>
      </c>
      <c r="G1730" s="113">
        <f>'Sampling Data'!F1724</f>
        <v>0</v>
      </c>
      <c r="H1730" s="113">
        <f>'Sampling Data'!G1724</f>
        <v>0</v>
      </c>
      <c r="I1730" s="112">
        <f>'Sampling Data'!H1724</f>
        <v>0</v>
      </c>
      <c r="J1730" s="112">
        <f>'Sampling Data'!I1724</f>
        <v>1</v>
      </c>
      <c r="K1730" s="112">
        <f>'Sampling Data'!J1724</f>
        <v>54</v>
      </c>
      <c r="L1730" s="111">
        <f>'Sampling Data'!X1724</f>
        <v>0</v>
      </c>
      <c r="M1730" s="114"/>
      <c r="N1730" s="114"/>
      <c r="O1730" s="115"/>
      <c r="P1730" s="115"/>
      <c r="Q1730" s="116"/>
      <c r="R1730" s="116"/>
      <c r="S1730" s="111">
        <f>Audit[[#This Row],[Audit Losing Candidate]]-Audit[[#This Row],[Losing Candidate]]</f>
        <v>-25</v>
      </c>
      <c r="T1730" s="111">
        <f>Audit[[#This Row],[Audit Winning Candidate]]-Audit[[#This Row],[Winning Candidate]]</f>
        <v>-16</v>
      </c>
      <c r="U1730" s="111">
        <f>Audit[[#This Row],[Audit Candidate 3]]-Audit[[#This Row],[Candidate 3]]</f>
        <v>-9</v>
      </c>
      <c r="V1730" s="111">
        <f>Audit[[#This Row],[Audit Candidate 4]]-Audit[[#This Row],[Candidate 4]]</f>
        <v>-3</v>
      </c>
      <c r="W1730" s="111">
        <f>Audit[[#This Row],[Audit Candidate 5]]-Audit[[#This Row],[Candidate 5]]</f>
        <v>0</v>
      </c>
      <c r="X1730" s="111">
        <f>Audit[[#This Row],[Audit Candidate 6]]-Audit[[#This Row],[Candidate 6]]</f>
        <v>0</v>
      </c>
      <c r="Y1730" s="111">
        <f>SUMIF(Audit[[#This Row],[Difference Loser]:[Difference Candidate 6]], "&gt;0")</f>
        <v>0</v>
      </c>
      <c r="Z1730" s="111">
        <f>SUM(Audit[[#This Row],[Difference Loser]:[Difference Candidate 6]])</f>
        <v>-53</v>
      </c>
      <c r="AA1730" s="111">
        <f>IF(Audit[[#This Row],[Times p Drawn - With Replacement]]&gt;0, IF(Audit[[#This Row],[Canceled Differences]]&lt;0, Audit[[#This Row],[Max Differences]]+ABS(Audit[[#This Row],[Canceled Differences]]), Audit[[#This Row],[Max Differences]]), 0)</f>
        <v>0</v>
      </c>
      <c r="AB1730" s="111">
        <f>'Sampling Data'!P1724</f>
        <v>2.7560019598236157E-3</v>
      </c>
      <c r="AC1730" s="111">
        <f>IF(
      SUM(Audit[[#This Row],[Audit Losing Candidate]:[Audit Candidate 6]])
      &lt;&gt;0,
      (Audit[[#This Row],[Winning Candidate]]-Audit[[#This Row],[Losing Candidate]]-(Audit[[#This Row],[Audit Winning Candidate]]-Audit[[#This Row],[Audit Losing Candidate]]))/(Audit[[#Totals],[Winning Candidate]]-Audit[[#Totals],[Losing Candidate]]),
      0
)</f>
        <v>0</v>
      </c>
      <c r="AD17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0" s="111">
        <f>IF(Audit[[#This Row],[Max Relative Error (ep)]] = 0, 0, Audit[[#This Row],[Max Relative Error (ep)]]/Audit[[#This Row],[Error Bound (up) - Max. possible relative overstatement]])</f>
        <v>0</v>
      </c>
      <c r="AJ17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30" s="111">
        <f t="shared" si="26"/>
        <v>1</v>
      </c>
      <c r="AL1730" s="111">
        <f>PRODUCT($AK$5:AK1730)</f>
        <v>8.962823818226312E-2</v>
      </c>
      <c r="AM1730" s="109">
        <f>1 - [K-M P Value]</f>
        <v>0.91037176181773694</v>
      </c>
      <c r="AN1730" s="111" t="str">
        <f>IF(Audit[[#This Row],[K-M P Value]]&gt;1-'General Info'!$B$16,"Continue", "Stop")</f>
        <v>Stop</v>
      </c>
      <c r="AO1730" s="110" t="b">
        <f>IF(Audit[[#This Row],[Status - Continue or stop audit]] = "Continue", TRUE, IF(AN1729 = "Continue", TRUE, FALSE))</f>
        <v>0</v>
      </c>
      <c r="AP1730" s="110"/>
    </row>
    <row r="1731" spans="1:42" ht="15" hidden="1" customHeight="1">
      <c r="A1731" s="111" t="str">
        <f>'Sampling Data'!W1725</f>
        <v/>
      </c>
      <c r="B1731" s="112" t="str">
        <f>'Sampling Data'!A1725</f>
        <v>PARMA -07-C</v>
      </c>
      <c r="C1731" s="112">
        <f>'Sampling Data'!B1725</f>
        <v>47</v>
      </c>
      <c r="D1731" s="112">
        <f>'Sampling Data'!C1725</f>
        <v>55</v>
      </c>
      <c r="E1731" s="113">
        <f>'Sampling Data'!D1725</f>
        <v>12</v>
      </c>
      <c r="F1731" s="113">
        <f>'Sampling Data'!E1725</f>
        <v>11</v>
      </c>
      <c r="G1731" s="113">
        <f>'Sampling Data'!F1725</f>
        <v>0</v>
      </c>
      <c r="H1731" s="113">
        <f>'Sampling Data'!G1725</f>
        <v>1</v>
      </c>
      <c r="I1731" s="112">
        <f>'Sampling Data'!H1725</f>
        <v>0</v>
      </c>
      <c r="J1731" s="112">
        <f>'Sampling Data'!I1725</f>
        <v>1</v>
      </c>
      <c r="K1731" s="112">
        <f>'Sampling Data'!J1725</f>
        <v>127</v>
      </c>
      <c r="L1731" s="111">
        <f>'Sampling Data'!X1725</f>
        <v>0</v>
      </c>
      <c r="M1731" s="114"/>
      <c r="N1731" s="114"/>
      <c r="O1731" s="115"/>
      <c r="P1731" s="115"/>
      <c r="Q1731" s="116"/>
      <c r="R1731" s="116"/>
      <c r="S1731" s="111">
        <f>Audit[[#This Row],[Audit Losing Candidate]]-Audit[[#This Row],[Losing Candidate]]</f>
        <v>-47</v>
      </c>
      <c r="T1731" s="111">
        <f>Audit[[#This Row],[Audit Winning Candidate]]-Audit[[#This Row],[Winning Candidate]]</f>
        <v>-55</v>
      </c>
      <c r="U1731" s="111">
        <f>Audit[[#This Row],[Audit Candidate 3]]-Audit[[#This Row],[Candidate 3]]</f>
        <v>-12</v>
      </c>
      <c r="V1731" s="111">
        <f>Audit[[#This Row],[Audit Candidate 4]]-Audit[[#This Row],[Candidate 4]]</f>
        <v>-11</v>
      </c>
      <c r="W1731" s="111">
        <f>Audit[[#This Row],[Audit Candidate 5]]-Audit[[#This Row],[Candidate 5]]</f>
        <v>0</v>
      </c>
      <c r="X1731" s="111">
        <f>Audit[[#This Row],[Audit Candidate 6]]-Audit[[#This Row],[Candidate 6]]</f>
        <v>-1</v>
      </c>
      <c r="Y1731" s="111">
        <f>SUMIF(Audit[[#This Row],[Difference Loser]:[Difference Candidate 6]], "&gt;0")</f>
        <v>0</v>
      </c>
      <c r="Z1731" s="111">
        <f>SUM(Audit[[#This Row],[Difference Loser]:[Difference Candidate 6]])</f>
        <v>-126</v>
      </c>
      <c r="AA1731" s="111">
        <f>IF(Audit[[#This Row],[Times p Drawn - With Replacement]]&gt;0, IF(Audit[[#This Row],[Canceled Differences]]&lt;0, Audit[[#This Row],[Max Differences]]+ABS(Audit[[#This Row],[Canceled Differences]]), Audit[[#This Row],[Max Differences]]), 0)</f>
        <v>0</v>
      </c>
      <c r="AB1731" s="111">
        <f>'Sampling Data'!P1725</f>
        <v>8.268005879470847E-3</v>
      </c>
      <c r="AC1731" s="111">
        <f>IF(
      SUM(Audit[[#This Row],[Audit Losing Candidate]:[Audit Candidate 6]])
      &lt;&gt;0,
      (Audit[[#This Row],[Winning Candidate]]-Audit[[#This Row],[Losing Candidate]]-(Audit[[#This Row],[Audit Winning Candidate]]-Audit[[#This Row],[Audit Losing Candidate]]))/(Audit[[#Totals],[Winning Candidate]]-Audit[[#Totals],[Losing Candidate]]),
      0
)</f>
        <v>0</v>
      </c>
      <c r="AD17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1" s="111">
        <f>IF(Audit[[#This Row],[Max Relative Error (ep)]] = 0, 0, Audit[[#This Row],[Max Relative Error (ep)]]/Audit[[#This Row],[Error Bound (up) - Max. possible relative overstatement]])</f>
        <v>0</v>
      </c>
      <c r="AJ17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31" s="111">
        <f t="shared" si="26"/>
        <v>1</v>
      </c>
      <c r="AL1731" s="111">
        <f>PRODUCT($AK$5:AK1731)</f>
        <v>8.962823818226312E-2</v>
      </c>
      <c r="AM1731" s="109">
        <f>1 - [K-M P Value]</f>
        <v>0.91037176181773694</v>
      </c>
      <c r="AN1731" s="111" t="str">
        <f>IF(Audit[[#This Row],[K-M P Value]]&gt;1-'General Info'!$B$16,"Continue", "Stop")</f>
        <v>Stop</v>
      </c>
      <c r="AO1731" s="110" t="b">
        <f>IF(Audit[[#This Row],[Status - Continue or stop audit]] = "Continue", TRUE, IF(AN1730 = "Continue", TRUE, FALSE))</f>
        <v>0</v>
      </c>
      <c r="AP1731" s="110"/>
    </row>
    <row r="1732" spans="1:42" ht="15" hidden="1" customHeight="1">
      <c r="A1732" s="111" t="str">
        <f>'Sampling Data'!W1727</f>
        <v/>
      </c>
      <c r="B1732" s="112" t="str">
        <f>'Sampling Data'!A1727</f>
        <v>PARMA -07-D</v>
      </c>
      <c r="C1732" s="112">
        <f>'Sampling Data'!B1727</f>
        <v>40</v>
      </c>
      <c r="D1732" s="112">
        <f>'Sampling Data'!C1727</f>
        <v>39</v>
      </c>
      <c r="E1732" s="113">
        <f>'Sampling Data'!D1727</f>
        <v>11</v>
      </c>
      <c r="F1732" s="113">
        <f>'Sampling Data'!E1727</f>
        <v>10</v>
      </c>
      <c r="G1732" s="113">
        <f>'Sampling Data'!F1727</f>
        <v>0</v>
      </c>
      <c r="H1732" s="113">
        <f>'Sampling Data'!G1727</f>
        <v>0</v>
      </c>
      <c r="I1732" s="112">
        <f>'Sampling Data'!H1727</f>
        <v>0</v>
      </c>
      <c r="J1732" s="112">
        <f>'Sampling Data'!I1727</f>
        <v>0</v>
      </c>
      <c r="K1732" s="112">
        <f>'Sampling Data'!J1727</f>
        <v>100</v>
      </c>
      <c r="L1732" s="111">
        <f>'Sampling Data'!X1727</f>
        <v>0</v>
      </c>
      <c r="M1732" s="114"/>
      <c r="N1732" s="114"/>
      <c r="O1732" s="115"/>
      <c r="P1732" s="115"/>
      <c r="Q1732" s="116"/>
      <c r="R1732" s="116"/>
      <c r="S1732" s="111">
        <f>Audit[[#This Row],[Audit Losing Candidate]]-Audit[[#This Row],[Losing Candidate]]</f>
        <v>-40</v>
      </c>
      <c r="T1732" s="111">
        <f>Audit[[#This Row],[Audit Winning Candidate]]-Audit[[#This Row],[Winning Candidate]]</f>
        <v>-39</v>
      </c>
      <c r="U1732" s="111">
        <f>Audit[[#This Row],[Audit Candidate 3]]-Audit[[#This Row],[Candidate 3]]</f>
        <v>-11</v>
      </c>
      <c r="V1732" s="111">
        <f>Audit[[#This Row],[Audit Candidate 4]]-Audit[[#This Row],[Candidate 4]]</f>
        <v>-10</v>
      </c>
      <c r="W1732" s="111">
        <f>Audit[[#This Row],[Audit Candidate 5]]-Audit[[#This Row],[Candidate 5]]</f>
        <v>0</v>
      </c>
      <c r="X1732" s="111">
        <f>Audit[[#This Row],[Audit Candidate 6]]-Audit[[#This Row],[Candidate 6]]</f>
        <v>0</v>
      </c>
      <c r="Y1732" s="111">
        <f>SUMIF(Audit[[#This Row],[Difference Loser]:[Difference Candidate 6]], "&gt;0")</f>
        <v>0</v>
      </c>
      <c r="Z1732" s="111">
        <f>SUM(Audit[[#This Row],[Difference Loser]:[Difference Candidate 6]])</f>
        <v>-100</v>
      </c>
      <c r="AA1732" s="111">
        <f>IF(Audit[[#This Row],[Times p Drawn - With Replacement]]&gt;0, IF(Audit[[#This Row],[Canceled Differences]]&lt;0, Audit[[#This Row],[Max Differences]]+ABS(Audit[[#This Row],[Canceled Differences]]), Audit[[#This Row],[Max Differences]]), 0)</f>
        <v>0</v>
      </c>
      <c r="AB1732" s="111">
        <f>'Sampling Data'!P1727</f>
        <v>6.063204311611955E-3</v>
      </c>
      <c r="AC1732" s="111">
        <f>IF(
      SUM(Audit[[#This Row],[Audit Losing Candidate]:[Audit Candidate 6]])
      &lt;&gt;0,
      (Audit[[#This Row],[Winning Candidate]]-Audit[[#This Row],[Losing Candidate]]-(Audit[[#This Row],[Audit Winning Candidate]]-Audit[[#This Row],[Audit Losing Candidate]]))/(Audit[[#Totals],[Winning Candidate]]-Audit[[#Totals],[Losing Candidate]]),
      0
)</f>
        <v>0</v>
      </c>
      <c r="AD17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2" s="111">
        <f>IF(Audit[[#This Row],[Max Relative Error (ep)]] = 0, 0, Audit[[#This Row],[Max Relative Error (ep)]]/Audit[[#This Row],[Error Bound (up) - Max. possible relative overstatement]])</f>
        <v>0</v>
      </c>
      <c r="AJ17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32" s="111">
        <f t="shared" si="26"/>
        <v>1</v>
      </c>
      <c r="AL1732" s="111">
        <f>PRODUCT($AK$5:AK1732)</f>
        <v>8.962823818226312E-2</v>
      </c>
      <c r="AM1732" s="109">
        <f>1 - [K-M P Value]</f>
        <v>0.91037176181773694</v>
      </c>
      <c r="AN1732" s="111" t="str">
        <f>IF(Audit[[#This Row],[K-M P Value]]&gt;1-'General Info'!$B$16,"Continue", "Stop")</f>
        <v>Stop</v>
      </c>
      <c r="AO1732" s="110" t="b">
        <f>IF(Audit[[#This Row],[Status - Continue or stop audit]] = "Continue", TRUE, IF(AN1731 = "Continue", TRUE, FALSE))</f>
        <v>0</v>
      </c>
      <c r="AP1732" s="110"/>
    </row>
    <row r="1733" spans="1:42" ht="15" hidden="1" customHeight="1">
      <c r="A1733" s="111" t="str">
        <f>'Sampling Data'!W1728</f>
        <v/>
      </c>
      <c r="B1733" s="112" t="str">
        <f>'Sampling Data'!A1728</f>
        <v>PARMA -07-D - ABS</v>
      </c>
      <c r="C1733" s="112">
        <f>'Sampling Data'!B1728</f>
        <v>19</v>
      </c>
      <c r="D1733" s="112">
        <f>'Sampling Data'!C1728</f>
        <v>11</v>
      </c>
      <c r="E1733" s="113">
        <f>'Sampling Data'!D1728</f>
        <v>11</v>
      </c>
      <c r="F1733" s="113">
        <f>'Sampling Data'!E1728</f>
        <v>2</v>
      </c>
      <c r="G1733" s="113">
        <f>'Sampling Data'!F1728</f>
        <v>0</v>
      </c>
      <c r="H1733" s="113">
        <f>'Sampling Data'!G1728</f>
        <v>0</v>
      </c>
      <c r="I1733" s="112">
        <f>'Sampling Data'!H1728</f>
        <v>0</v>
      </c>
      <c r="J1733" s="112">
        <f>'Sampling Data'!I1728</f>
        <v>1</v>
      </c>
      <c r="K1733" s="112">
        <f>'Sampling Data'!J1728</f>
        <v>44</v>
      </c>
      <c r="L1733" s="111">
        <f>'Sampling Data'!X1728</f>
        <v>0</v>
      </c>
      <c r="M1733" s="114"/>
      <c r="N1733" s="114"/>
      <c r="O1733" s="115"/>
      <c r="P1733" s="115"/>
      <c r="Q1733" s="116"/>
      <c r="R1733" s="116"/>
      <c r="S1733" s="111">
        <f>Audit[[#This Row],[Audit Losing Candidate]]-Audit[[#This Row],[Losing Candidate]]</f>
        <v>-19</v>
      </c>
      <c r="T1733" s="111">
        <f>Audit[[#This Row],[Audit Winning Candidate]]-Audit[[#This Row],[Winning Candidate]]</f>
        <v>-11</v>
      </c>
      <c r="U1733" s="111">
        <f>Audit[[#This Row],[Audit Candidate 3]]-Audit[[#This Row],[Candidate 3]]</f>
        <v>-11</v>
      </c>
      <c r="V1733" s="111">
        <f>Audit[[#This Row],[Audit Candidate 4]]-Audit[[#This Row],[Candidate 4]]</f>
        <v>-2</v>
      </c>
      <c r="W1733" s="111">
        <f>Audit[[#This Row],[Audit Candidate 5]]-Audit[[#This Row],[Candidate 5]]</f>
        <v>0</v>
      </c>
      <c r="X1733" s="111">
        <f>Audit[[#This Row],[Audit Candidate 6]]-Audit[[#This Row],[Candidate 6]]</f>
        <v>0</v>
      </c>
      <c r="Y1733" s="111">
        <f>SUMIF(Audit[[#This Row],[Difference Loser]:[Difference Candidate 6]], "&gt;0")</f>
        <v>0</v>
      </c>
      <c r="Z1733" s="111">
        <f>SUM(Audit[[#This Row],[Difference Loser]:[Difference Candidate 6]])</f>
        <v>-43</v>
      </c>
      <c r="AA1733" s="111">
        <f>IF(Audit[[#This Row],[Times p Drawn - With Replacement]]&gt;0, IF(Audit[[#This Row],[Canceled Differences]]&lt;0, Audit[[#This Row],[Max Differences]]+ABS(Audit[[#This Row],[Canceled Differences]]), Audit[[#This Row],[Max Differences]]), 0)</f>
        <v>0</v>
      </c>
      <c r="AB1733" s="111">
        <f>'Sampling Data'!P1728</f>
        <v>2.2048015678588929E-3</v>
      </c>
      <c r="AC1733" s="111">
        <f>IF(
      SUM(Audit[[#This Row],[Audit Losing Candidate]:[Audit Candidate 6]])
      &lt;&gt;0,
      (Audit[[#This Row],[Winning Candidate]]-Audit[[#This Row],[Losing Candidate]]-(Audit[[#This Row],[Audit Winning Candidate]]-Audit[[#This Row],[Audit Losing Candidate]]))/(Audit[[#Totals],[Winning Candidate]]-Audit[[#Totals],[Losing Candidate]]),
      0
)</f>
        <v>0</v>
      </c>
      <c r="AD17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3" s="111">
        <f>IF(Audit[[#This Row],[Max Relative Error (ep)]] = 0, 0, Audit[[#This Row],[Max Relative Error (ep)]]/Audit[[#This Row],[Error Bound (up) - Max. possible relative overstatement]])</f>
        <v>0</v>
      </c>
      <c r="AJ17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33" s="111">
        <f t="shared" ref="AK1733:AK1796" si="27">IF(ISERR(POWER(AJ1733,L1733)), 0, POWER(AJ1733,L1733))</f>
        <v>1</v>
      </c>
      <c r="AL1733" s="111">
        <f>PRODUCT($AK$5:AK1733)</f>
        <v>8.962823818226312E-2</v>
      </c>
      <c r="AM1733" s="109">
        <f>1 - [K-M P Value]</f>
        <v>0.91037176181773694</v>
      </c>
      <c r="AN1733" s="111" t="str">
        <f>IF(Audit[[#This Row],[K-M P Value]]&gt;1-'General Info'!$B$16,"Continue", "Stop")</f>
        <v>Stop</v>
      </c>
      <c r="AO1733" s="110" t="b">
        <f>IF(Audit[[#This Row],[Status - Continue or stop audit]] = "Continue", TRUE, IF(AN1732 = "Continue", TRUE, FALSE))</f>
        <v>0</v>
      </c>
      <c r="AP1733" s="110"/>
    </row>
    <row r="1734" spans="1:42" ht="15" hidden="1" customHeight="1">
      <c r="A1734" s="111" t="str">
        <f>'Sampling Data'!W1729</f>
        <v/>
      </c>
      <c r="B1734" s="112" t="str">
        <f>'Sampling Data'!A1729</f>
        <v>PARMA -07-E</v>
      </c>
      <c r="C1734" s="112">
        <f>'Sampling Data'!B1729</f>
        <v>37</v>
      </c>
      <c r="D1734" s="112">
        <f>'Sampling Data'!C1729</f>
        <v>41</v>
      </c>
      <c r="E1734" s="113">
        <f>'Sampling Data'!D1729</f>
        <v>7</v>
      </c>
      <c r="F1734" s="113">
        <f>'Sampling Data'!E1729</f>
        <v>12</v>
      </c>
      <c r="G1734" s="113">
        <f>'Sampling Data'!F1729</f>
        <v>0</v>
      </c>
      <c r="H1734" s="113">
        <f>'Sampling Data'!G1729</f>
        <v>1</v>
      </c>
      <c r="I1734" s="112">
        <f>'Sampling Data'!H1729</f>
        <v>0</v>
      </c>
      <c r="J1734" s="112">
        <f>'Sampling Data'!I1729</f>
        <v>4</v>
      </c>
      <c r="K1734" s="112">
        <f>'Sampling Data'!J1729</f>
        <v>102</v>
      </c>
      <c r="L1734" s="111">
        <f>'Sampling Data'!X1729</f>
        <v>0</v>
      </c>
      <c r="M1734" s="114"/>
      <c r="N1734" s="114"/>
      <c r="O1734" s="115"/>
      <c r="P1734" s="115"/>
      <c r="Q1734" s="116"/>
      <c r="R1734" s="116"/>
      <c r="S1734" s="111">
        <f>Audit[[#This Row],[Audit Losing Candidate]]-Audit[[#This Row],[Losing Candidate]]</f>
        <v>-37</v>
      </c>
      <c r="T1734" s="111">
        <f>Audit[[#This Row],[Audit Winning Candidate]]-Audit[[#This Row],[Winning Candidate]]</f>
        <v>-41</v>
      </c>
      <c r="U1734" s="111">
        <f>Audit[[#This Row],[Audit Candidate 3]]-Audit[[#This Row],[Candidate 3]]</f>
        <v>-7</v>
      </c>
      <c r="V1734" s="111">
        <f>Audit[[#This Row],[Audit Candidate 4]]-Audit[[#This Row],[Candidate 4]]</f>
        <v>-12</v>
      </c>
      <c r="W1734" s="111">
        <f>Audit[[#This Row],[Audit Candidate 5]]-Audit[[#This Row],[Candidate 5]]</f>
        <v>0</v>
      </c>
      <c r="X1734" s="111">
        <f>Audit[[#This Row],[Audit Candidate 6]]-Audit[[#This Row],[Candidate 6]]</f>
        <v>-1</v>
      </c>
      <c r="Y1734" s="111">
        <f>SUMIF(Audit[[#This Row],[Difference Loser]:[Difference Candidate 6]], "&gt;0")</f>
        <v>0</v>
      </c>
      <c r="Z1734" s="111">
        <f>SUM(Audit[[#This Row],[Difference Loser]:[Difference Candidate 6]])</f>
        <v>-98</v>
      </c>
      <c r="AA1734" s="111">
        <f>IF(Audit[[#This Row],[Times p Drawn - With Replacement]]&gt;0, IF(Audit[[#This Row],[Canceled Differences]]&lt;0, Audit[[#This Row],[Max Differences]]+ABS(Audit[[#This Row],[Canceled Differences]]), Audit[[#This Row],[Max Differences]]), 0)</f>
        <v>0</v>
      </c>
      <c r="AB1734" s="111">
        <f>'Sampling Data'!P1729</f>
        <v>6.4919157275845178E-3</v>
      </c>
      <c r="AC1734" s="111">
        <f>IF(
      SUM(Audit[[#This Row],[Audit Losing Candidate]:[Audit Candidate 6]])
      &lt;&gt;0,
      (Audit[[#This Row],[Winning Candidate]]-Audit[[#This Row],[Losing Candidate]]-(Audit[[#This Row],[Audit Winning Candidate]]-Audit[[#This Row],[Audit Losing Candidate]]))/(Audit[[#Totals],[Winning Candidate]]-Audit[[#Totals],[Losing Candidate]]),
      0
)</f>
        <v>0</v>
      </c>
      <c r="AD17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4" s="111">
        <f>IF(Audit[[#This Row],[Max Relative Error (ep)]] = 0, 0, Audit[[#This Row],[Max Relative Error (ep)]]/Audit[[#This Row],[Error Bound (up) - Max. possible relative overstatement]])</f>
        <v>0</v>
      </c>
      <c r="AJ17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34" s="111">
        <f t="shared" si="27"/>
        <v>1</v>
      </c>
      <c r="AL1734" s="111">
        <f>PRODUCT($AK$5:AK1734)</f>
        <v>8.962823818226312E-2</v>
      </c>
      <c r="AM1734" s="109">
        <f>1 - [K-M P Value]</f>
        <v>0.91037176181773694</v>
      </c>
      <c r="AN1734" s="111" t="str">
        <f>IF(Audit[[#This Row],[K-M P Value]]&gt;1-'General Info'!$B$16,"Continue", "Stop")</f>
        <v>Stop</v>
      </c>
      <c r="AO1734" s="110" t="b">
        <f>IF(Audit[[#This Row],[Status - Continue or stop audit]] = "Continue", TRUE, IF(AN1733 = "Continue", TRUE, FALSE))</f>
        <v>0</v>
      </c>
      <c r="AP1734" s="110"/>
    </row>
    <row r="1735" spans="1:42" ht="15" hidden="1" customHeight="1">
      <c r="A1735" s="111" t="str">
        <f>'Sampling Data'!W1730</f>
        <v/>
      </c>
      <c r="B1735" s="112" t="str">
        <f>'Sampling Data'!A1730</f>
        <v>PARMA -07-E - ABS</v>
      </c>
      <c r="C1735" s="112">
        <f>'Sampling Data'!B1730</f>
        <v>28</v>
      </c>
      <c r="D1735" s="112">
        <f>'Sampling Data'!C1730</f>
        <v>25</v>
      </c>
      <c r="E1735" s="113">
        <f>'Sampling Data'!D1730</f>
        <v>8</v>
      </c>
      <c r="F1735" s="113">
        <f>'Sampling Data'!E1730</f>
        <v>2</v>
      </c>
      <c r="G1735" s="113">
        <f>'Sampling Data'!F1730</f>
        <v>1</v>
      </c>
      <c r="H1735" s="113">
        <f>'Sampling Data'!G1730</f>
        <v>0</v>
      </c>
      <c r="I1735" s="112">
        <f>'Sampling Data'!H1730</f>
        <v>0</v>
      </c>
      <c r="J1735" s="112">
        <f>'Sampling Data'!I1730</f>
        <v>0</v>
      </c>
      <c r="K1735" s="112">
        <f>'Sampling Data'!J1730</f>
        <v>64</v>
      </c>
      <c r="L1735" s="111">
        <f>'Sampling Data'!X1730</f>
        <v>0</v>
      </c>
      <c r="M1735" s="114"/>
      <c r="N1735" s="114"/>
      <c r="O1735" s="115"/>
      <c r="P1735" s="115"/>
      <c r="Q1735" s="116"/>
      <c r="R1735" s="116"/>
      <c r="S1735" s="111">
        <f>Audit[[#This Row],[Audit Losing Candidate]]-Audit[[#This Row],[Losing Candidate]]</f>
        <v>-28</v>
      </c>
      <c r="T1735" s="111">
        <f>Audit[[#This Row],[Audit Winning Candidate]]-Audit[[#This Row],[Winning Candidate]]</f>
        <v>-25</v>
      </c>
      <c r="U1735" s="111">
        <f>Audit[[#This Row],[Audit Candidate 3]]-Audit[[#This Row],[Candidate 3]]</f>
        <v>-8</v>
      </c>
      <c r="V1735" s="111">
        <f>Audit[[#This Row],[Audit Candidate 4]]-Audit[[#This Row],[Candidate 4]]</f>
        <v>-2</v>
      </c>
      <c r="W1735" s="111">
        <f>Audit[[#This Row],[Audit Candidate 5]]-Audit[[#This Row],[Candidate 5]]</f>
        <v>-1</v>
      </c>
      <c r="X1735" s="111">
        <f>Audit[[#This Row],[Audit Candidate 6]]-Audit[[#This Row],[Candidate 6]]</f>
        <v>0</v>
      </c>
      <c r="Y1735" s="111">
        <f>SUMIF(Audit[[#This Row],[Difference Loser]:[Difference Candidate 6]], "&gt;0")</f>
        <v>0</v>
      </c>
      <c r="Z1735" s="111">
        <f>SUM(Audit[[#This Row],[Difference Loser]:[Difference Candidate 6]])</f>
        <v>-64</v>
      </c>
      <c r="AA1735" s="111">
        <f>IF(Audit[[#This Row],[Times p Drawn - With Replacement]]&gt;0, IF(Audit[[#This Row],[Canceled Differences]]&lt;0, Audit[[#This Row],[Max Differences]]+ABS(Audit[[#This Row],[Canceled Differences]]), Audit[[#This Row],[Max Differences]]), 0)</f>
        <v>0</v>
      </c>
      <c r="AB1735" s="111">
        <f>'Sampling Data'!P1730</f>
        <v>3.7359137677609017E-3</v>
      </c>
      <c r="AC1735" s="111">
        <f>IF(
      SUM(Audit[[#This Row],[Audit Losing Candidate]:[Audit Candidate 6]])
      &lt;&gt;0,
      (Audit[[#This Row],[Winning Candidate]]-Audit[[#This Row],[Losing Candidate]]-(Audit[[#This Row],[Audit Winning Candidate]]-Audit[[#This Row],[Audit Losing Candidate]]))/(Audit[[#Totals],[Winning Candidate]]-Audit[[#Totals],[Losing Candidate]]),
      0
)</f>
        <v>0</v>
      </c>
      <c r="AD17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5" s="111">
        <f>IF(Audit[[#This Row],[Max Relative Error (ep)]] = 0, 0, Audit[[#This Row],[Max Relative Error (ep)]]/Audit[[#This Row],[Error Bound (up) - Max. possible relative overstatement]])</f>
        <v>0</v>
      </c>
      <c r="AJ17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35" s="111">
        <f t="shared" si="27"/>
        <v>1</v>
      </c>
      <c r="AL1735" s="111">
        <f>PRODUCT($AK$5:AK1735)</f>
        <v>8.962823818226312E-2</v>
      </c>
      <c r="AM1735" s="109">
        <f>1 - [K-M P Value]</f>
        <v>0.91037176181773694</v>
      </c>
      <c r="AN1735" s="111" t="str">
        <f>IF(Audit[[#This Row],[K-M P Value]]&gt;1-'General Info'!$B$16,"Continue", "Stop")</f>
        <v>Stop</v>
      </c>
      <c r="AO1735" s="110" t="b">
        <f>IF(Audit[[#This Row],[Status - Continue or stop audit]] = "Continue", TRUE, IF(AN1734 = "Continue", TRUE, FALSE))</f>
        <v>0</v>
      </c>
      <c r="AP1735" s="110"/>
    </row>
    <row r="1736" spans="1:42" ht="15" hidden="1" customHeight="1">
      <c r="A1736" s="111" t="str">
        <f>'Sampling Data'!W1731</f>
        <v/>
      </c>
      <c r="B1736" s="112" t="str">
        <f>'Sampling Data'!A1731</f>
        <v>PARMA -07-F</v>
      </c>
      <c r="C1736" s="112">
        <f>'Sampling Data'!B1731</f>
        <v>16</v>
      </c>
      <c r="D1736" s="112">
        <f>'Sampling Data'!C1731</f>
        <v>16</v>
      </c>
      <c r="E1736" s="113">
        <f>'Sampling Data'!D1731</f>
        <v>7</v>
      </c>
      <c r="F1736" s="113">
        <f>'Sampling Data'!E1731</f>
        <v>4</v>
      </c>
      <c r="G1736" s="113">
        <f>'Sampling Data'!F1731</f>
        <v>0</v>
      </c>
      <c r="H1736" s="113">
        <f>'Sampling Data'!G1731</f>
        <v>2</v>
      </c>
      <c r="I1736" s="112">
        <f>'Sampling Data'!H1731</f>
        <v>0</v>
      </c>
      <c r="J1736" s="112">
        <f>'Sampling Data'!I1731</f>
        <v>0</v>
      </c>
      <c r="K1736" s="112">
        <f>'Sampling Data'!J1731</f>
        <v>45</v>
      </c>
      <c r="L1736" s="111">
        <f>'Sampling Data'!X1731</f>
        <v>0</v>
      </c>
      <c r="M1736" s="114"/>
      <c r="N1736" s="114"/>
      <c r="O1736" s="115"/>
      <c r="P1736" s="115"/>
      <c r="Q1736" s="116"/>
      <c r="R1736" s="116"/>
      <c r="S1736" s="111">
        <f>Audit[[#This Row],[Audit Losing Candidate]]-Audit[[#This Row],[Losing Candidate]]</f>
        <v>-16</v>
      </c>
      <c r="T1736" s="111">
        <f>Audit[[#This Row],[Audit Winning Candidate]]-Audit[[#This Row],[Winning Candidate]]</f>
        <v>-16</v>
      </c>
      <c r="U1736" s="111">
        <f>Audit[[#This Row],[Audit Candidate 3]]-Audit[[#This Row],[Candidate 3]]</f>
        <v>-7</v>
      </c>
      <c r="V1736" s="111">
        <f>Audit[[#This Row],[Audit Candidate 4]]-Audit[[#This Row],[Candidate 4]]</f>
        <v>-4</v>
      </c>
      <c r="W1736" s="111">
        <f>Audit[[#This Row],[Audit Candidate 5]]-Audit[[#This Row],[Candidate 5]]</f>
        <v>0</v>
      </c>
      <c r="X1736" s="111">
        <f>Audit[[#This Row],[Audit Candidate 6]]-Audit[[#This Row],[Candidate 6]]</f>
        <v>-2</v>
      </c>
      <c r="Y1736" s="111">
        <f>SUMIF(Audit[[#This Row],[Difference Loser]:[Difference Candidate 6]], "&gt;0")</f>
        <v>0</v>
      </c>
      <c r="Z1736" s="111">
        <f>SUM(Audit[[#This Row],[Difference Loser]:[Difference Candidate 6]])</f>
        <v>-45</v>
      </c>
      <c r="AA1736" s="111">
        <f>IF(Audit[[#This Row],[Times p Drawn - With Replacement]]&gt;0, IF(Audit[[#This Row],[Canceled Differences]]&lt;0, Audit[[#This Row],[Max Differences]]+ABS(Audit[[#This Row],[Canceled Differences]]), Audit[[#This Row],[Max Differences]]), 0)</f>
        <v>0</v>
      </c>
      <c r="AB1736" s="111">
        <f>'Sampling Data'!P1731</f>
        <v>2.7560019598236157E-3</v>
      </c>
      <c r="AC1736" s="111">
        <f>IF(
      SUM(Audit[[#This Row],[Audit Losing Candidate]:[Audit Candidate 6]])
      &lt;&gt;0,
      (Audit[[#This Row],[Winning Candidate]]-Audit[[#This Row],[Losing Candidate]]-(Audit[[#This Row],[Audit Winning Candidate]]-Audit[[#This Row],[Audit Losing Candidate]]))/(Audit[[#Totals],[Winning Candidate]]-Audit[[#Totals],[Losing Candidate]]),
      0
)</f>
        <v>0</v>
      </c>
      <c r="AD17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6" s="111">
        <f>IF(Audit[[#This Row],[Max Relative Error (ep)]] = 0, 0, Audit[[#This Row],[Max Relative Error (ep)]]/Audit[[#This Row],[Error Bound (up) - Max. possible relative overstatement]])</f>
        <v>0</v>
      </c>
      <c r="AJ17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36" s="111">
        <f t="shared" si="27"/>
        <v>1</v>
      </c>
      <c r="AL1736" s="111">
        <f>PRODUCT($AK$5:AK1736)</f>
        <v>8.962823818226312E-2</v>
      </c>
      <c r="AM1736" s="109">
        <f>1 - [K-M P Value]</f>
        <v>0.91037176181773694</v>
      </c>
      <c r="AN1736" s="111" t="str">
        <f>IF(Audit[[#This Row],[K-M P Value]]&gt;1-'General Info'!$B$16,"Continue", "Stop")</f>
        <v>Stop</v>
      </c>
      <c r="AO1736" s="110" t="b">
        <f>IF(Audit[[#This Row],[Status - Continue or stop audit]] = "Continue", TRUE, IF(AN1735 = "Continue", TRUE, FALSE))</f>
        <v>0</v>
      </c>
      <c r="AP1736" s="110"/>
    </row>
    <row r="1737" spans="1:42" ht="15" hidden="1" customHeight="1">
      <c r="A1737" s="111" t="str">
        <f>'Sampling Data'!W1732</f>
        <v/>
      </c>
      <c r="B1737" s="112" t="str">
        <f>'Sampling Data'!A1732</f>
        <v>PARMA -07-F - ABS</v>
      </c>
      <c r="C1737" s="112">
        <f>'Sampling Data'!B1732</f>
        <v>13</v>
      </c>
      <c r="D1737" s="112">
        <f>'Sampling Data'!C1732</f>
        <v>6</v>
      </c>
      <c r="E1737" s="113">
        <f>'Sampling Data'!D1732</f>
        <v>4</v>
      </c>
      <c r="F1737" s="113">
        <f>'Sampling Data'!E1732</f>
        <v>0</v>
      </c>
      <c r="G1737" s="113">
        <f>'Sampling Data'!F1732</f>
        <v>0</v>
      </c>
      <c r="H1737" s="113">
        <f>'Sampling Data'!G1732</f>
        <v>0</v>
      </c>
      <c r="I1737" s="112">
        <f>'Sampling Data'!H1732</f>
        <v>0</v>
      </c>
      <c r="J1737" s="112">
        <f>'Sampling Data'!I1732</f>
        <v>0</v>
      </c>
      <c r="K1737" s="112">
        <f>'Sampling Data'!J1732</f>
        <v>23</v>
      </c>
      <c r="L1737" s="111">
        <f>'Sampling Data'!X1732</f>
        <v>0</v>
      </c>
      <c r="M1737" s="114"/>
      <c r="N1737" s="114"/>
      <c r="O1737" s="115"/>
      <c r="P1737" s="115"/>
      <c r="Q1737" s="116"/>
      <c r="R1737" s="116"/>
      <c r="S1737" s="111">
        <f>Audit[[#This Row],[Audit Losing Candidate]]-Audit[[#This Row],[Losing Candidate]]</f>
        <v>-13</v>
      </c>
      <c r="T1737" s="111">
        <f>Audit[[#This Row],[Audit Winning Candidate]]-Audit[[#This Row],[Winning Candidate]]</f>
        <v>-6</v>
      </c>
      <c r="U1737" s="111">
        <f>Audit[[#This Row],[Audit Candidate 3]]-Audit[[#This Row],[Candidate 3]]</f>
        <v>-4</v>
      </c>
      <c r="V1737" s="111">
        <f>Audit[[#This Row],[Audit Candidate 4]]-Audit[[#This Row],[Candidate 4]]</f>
        <v>0</v>
      </c>
      <c r="W1737" s="111">
        <f>Audit[[#This Row],[Audit Candidate 5]]-Audit[[#This Row],[Candidate 5]]</f>
        <v>0</v>
      </c>
      <c r="X1737" s="111">
        <f>Audit[[#This Row],[Audit Candidate 6]]-Audit[[#This Row],[Candidate 6]]</f>
        <v>0</v>
      </c>
      <c r="Y1737" s="111">
        <f>SUMIF(Audit[[#This Row],[Difference Loser]:[Difference Candidate 6]], "&gt;0")</f>
        <v>0</v>
      </c>
      <c r="Z1737" s="111">
        <f>SUM(Audit[[#This Row],[Difference Loser]:[Difference Candidate 6]])</f>
        <v>-23</v>
      </c>
      <c r="AA1737" s="111">
        <f>IF(Audit[[#This Row],[Times p Drawn - With Replacement]]&gt;0, IF(Audit[[#This Row],[Canceled Differences]]&lt;0, Audit[[#This Row],[Max Differences]]+ABS(Audit[[#This Row],[Canceled Differences]]), Audit[[#This Row],[Max Differences]]), 0)</f>
        <v>0</v>
      </c>
      <c r="AB1737" s="111">
        <f>'Sampling Data'!P1732</f>
        <v>9.7991180793728563E-4</v>
      </c>
      <c r="AC1737" s="111">
        <f>IF(
      SUM(Audit[[#This Row],[Audit Losing Candidate]:[Audit Candidate 6]])
      &lt;&gt;0,
      (Audit[[#This Row],[Winning Candidate]]-Audit[[#This Row],[Losing Candidate]]-(Audit[[#This Row],[Audit Winning Candidate]]-Audit[[#This Row],[Audit Losing Candidate]]))/(Audit[[#Totals],[Winning Candidate]]-Audit[[#Totals],[Losing Candidate]]),
      0
)</f>
        <v>0</v>
      </c>
      <c r="AD17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7" s="111">
        <f>IF(Audit[[#This Row],[Max Relative Error (ep)]] = 0, 0, Audit[[#This Row],[Max Relative Error (ep)]]/Audit[[#This Row],[Error Bound (up) - Max. possible relative overstatement]])</f>
        <v>0</v>
      </c>
      <c r="AJ17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37" s="111">
        <f t="shared" si="27"/>
        <v>1</v>
      </c>
      <c r="AL1737" s="111">
        <f>PRODUCT($AK$5:AK1737)</f>
        <v>8.962823818226312E-2</v>
      </c>
      <c r="AM1737" s="109">
        <f>1 - [K-M P Value]</f>
        <v>0.91037176181773694</v>
      </c>
      <c r="AN1737" s="111" t="str">
        <f>IF(Audit[[#This Row],[K-M P Value]]&gt;1-'General Info'!$B$16,"Continue", "Stop")</f>
        <v>Stop</v>
      </c>
      <c r="AO1737" s="110" t="b">
        <f>IF(Audit[[#This Row],[Status - Continue or stop audit]] = "Continue", TRUE, IF(AN1736 = "Continue", TRUE, FALSE))</f>
        <v>0</v>
      </c>
      <c r="AP1737" s="110"/>
    </row>
    <row r="1738" spans="1:42" ht="15" hidden="1" customHeight="1">
      <c r="A1738" s="111" t="str">
        <f>'Sampling Data'!W1733</f>
        <v/>
      </c>
      <c r="B1738" s="112" t="str">
        <f>'Sampling Data'!A1733</f>
        <v>PARMA -08-A</v>
      </c>
      <c r="C1738" s="112">
        <f>'Sampling Data'!B1733</f>
        <v>10</v>
      </c>
      <c r="D1738" s="112">
        <f>'Sampling Data'!C1733</f>
        <v>31</v>
      </c>
      <c r="E1738" s="113">
        <f>'Sampling Data'!D1733</f>
        <v>7</v>
      </c>
      <c r="F1738" s="113">
        <f>'Sampling Data'!E1733</f>
        <v>5</v>
      </c>
      <c r="G1738" s="113">
        <f>'Sampling Data'!F1733</f>
        <v>0</v>
      </c>
      <c r="H1738" s="113">
        <f>'Sampling Data'!G1733</f>
        <v>0</v>
      </c>
      <c r="I1738" s="112">
        <f>'Sampling Data'!H1733</f>
        <v>0</v>
      </c>
      <c r="J1738" s="112">
        <f>'Sampling Data'!I1733</f>
        <v>0</v>
      </c>
      <c r="K1738" s="112">
        <f>'Sampling Data'!J1733</f>
        <v>53</v>
      </c>
      <c r="L1738" s="111">
        <f>'Sampling Data'!X1733</f>
        <v>0</v>
      </c>
      <c r="M1738" s="114"/>
      <c r="N1738" s="114"/>
      <c r="O1738" s="115"/>
      <c r="P1738" s="115"/>
      <c r="Q1738" s="116"/>
      <c r="R1738" s="116"/>
      <c r="S1738" s="111">
        <f>Audit[[#This Row],[Audit Losing Candidate]]-Audit[[#This Row],[Losing Candidate]]</f>
        <v>-10</v>
      </c>
      <c r="T1738" s="111">
        <f>Audit[[#This Row],[Audit Winning Candidate]]-Audit[[#This Row],[Winning Candidate]]</f>
        <v>-31</v>
      </c>
      <c r="U1738" s="111">
        <f>Audit[[#This Row],[Audit Candidate 3]]-Audit[[#This Row],[Candidate 3]]</f>
        <v>-7</v>
      </c>
      <c r="V1738" s="111">
        <f>Audit[[#This Row],[Audit Candidate 4]]-Audit[[#This Row],[Candidate 4]]</f>
        <v>-5</v>
      </c>
      <c r="W1738" s="111">
        <f>Audit[[#This Row],[Audit Candidate 5]]-Audit[[#This Row],[Candidate 5]]</f>
        <v>0</v>
      </c>
      <c r="X1738" s="111">
        <f>Audit[[#This Row],[Audit Candidate 6]]-Audit[[#This Row],[Candidate 6]]</f>
        <v>0</v>
      </c>
      <c r="Y1738" s="111">
        <f>SUMIF(Audit[[#This Row],[Difference Loser]:[Difference Candidate 6]], "&gt;0")</f>
        <v>0</v>
      </c>
      <c r="Z1738" s="111">
        <f>SUM(Audit[[#This Row],[Difference Loser]:[Difference Candidate 6]])</f>
        <v>-53</v>
      </c>
      <c r="AA1738" s="111">
        <f>IF(Audit[[#This Row],[Times p Drawn - With Replacement]]&gt;0, IF(Audit[[#This Row],[Canceled Differences]]&lt;0, Audit[[#This Row],[Max Differences]]+ABS(Audit[[#This Row],[Canceled Differences]]), Audit[[#This Row],[Max Differences]]), 0)</f>
        <v>0</v>
      </c>
      <c r="AB1738" s="111">
        <f>'Sampling Data'!P1733</f>
        <v>4.5320921117099457E-3</v>
      </c>
      <c r="AC1738" s="111">
        <f>IF(
      SUM(Audit[[#This Row],[Audit Losing Candidate]:[Audit Candidate 6]])
      &lt;&gt;0,
      (Audit[[#This Row],[Winning Candidate]]-Audit[[#This Row],[Losing Candidate]]-(Audit[[#This Row],[Audit Winning Candidate]]-Audit[[#This Row],[Audit Losing Candidate]]))/(Audit[[#Totals],[Winning Candidate]]-Audit[[#Totals],[Losing Candidate]]),
      0
)</f>
        <v>0</v>
      </c>
      <c r="AD17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8" s="111">
        <f>IF(Audit[[#This Row],[Max Relative Error (ep)]] = 0, 0, Audit[[#This Row],[Max Relative Error (ep)]]/Audit[[#This Row],[Error Bound (up) - Max. possible relative overstatement]])</f>
        <v>0</v>
      </c>
      <c r="AJ17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38" s="111">
        <f t="shared" si="27"/>
        <v>1</v>
      </c>
      <c r="AL1738" s="111">
        <f>PRODUCT($AK$5:AK1738)</f>
        <v>8.962823818226312E-2</v>
      </c>
      <c r="AM1738" s="109">
        <f>1 - [K-M P Value]</f>
        <v>0.91037176181773694</v>
      </c>
      <c r="AN1738" s="111" t="str">
        <f>IF(Audit[[#This Row],[K-M P Value]]&gt;1-'General Info'!$B$16,"Continue", "Stop")</f>
        <v>Stop</v>
      </c>
      <c r="AO1738" s="110" t="b">
        <f>IF(Audit[[#This Row],[Status - Continue or stop audit]] = "Continue", TRUE, IF(AN1737 = "Continue", TRUE, FALSE))</f>
        <v>0</v>
      </c>
      <c r="AP1738" s="110"/>
    </row>
    <row r="1739" spans="1:42" ht="15" hidden="1" customHeight="1">
      <c r="A1739" s="111" t="str">
        <f>'Sampling Data'!W1734</f>
        <v/>
      </c>
      <c r="B1739" s="112" t="str">
        <f>'Sampling Data'!A1734</f>
        <v>PARMA -08-A - ABS</v>
      </c>
      <c r="C1739" s="112">
        <f>'Sampling Data'!B1734</f>
        <v>9</v>
      </c>
      <c r="D1739" s="112">
        <f>'Sampling Data'!C1734</f>
        <v>10</v>
      </c>
      <c r="E1739" s="113">
        <f>'Sampling Data'!D1734</f>
        <v>2</v>
      </c>
      <c r="F1739" s="113">
        <f>'Sampling Data'!E1734</f>
        <v>2</v>
      </c>
      <c r="G1739" s="113">
        <f>'Sampling Data'!F1734</f>
        <v>0</v>
      </c>
      <c r="H1739" s="113">
        <f>'Sampling Data'!G1734</f>
        <v>1</v>
      </c>
      <c r="I1739" s="112">
        <f>'Sampling Data'!H1734</f>
        <v>0</v>
      </c>
      <c r="J1739" s="112">
        <f>'Sampling Data'!I1734</f>
        <v>0</v>
      </c>
      <c r="K1739" s="112">
        <f>'Sampling Data'!J1734</f>
        <v>24</v>
      </c>
      <c r="L1739" s="111">
        <f>'Sampling Data'!X1734</f>
        <v>0</v>
      </c>
      <c r="M1739" s="114"/>
      <c r="N1739" s="114"/>
      <c r="O1739" s="115"/>
      <c r="P1739" s="115"/>
      <c r="Q1739" s="116"/>
      <c r="R1739" s="116"/>
      <c r="S1739" s="111">
        <f>Audit[[#This Row],[Audit Losing Candidate]]-Audit[[#This Row],[Losing Candidate]]</f>
        <v>-9</v>
      </c>
      <c r="T1739" s="111">
        <f>Audit[[#This Row],[Audit Winning Candidate]]-Audit[[#This Row],[Winning Candidate]]</f>
        <v>-10</v>
      </c>
      <c r="U1739" s="111">
        <f>Audit[[#This Row],[Audit Candidate 3]]-Audit[[#This Row],[Candidate 3]]</f>
        <v>-2</v>
      </c>
      <c r="V1739" s="111">
        <f>Audit[[#This Row],[Audit Candidate 4]]-Audit[[#This Row],[Candidate 4]]</f>
        <v>-2</v>
      </c>
      <c r="W1739" s="111">
        <f>Audit[[#This Row],[Audit Candidate 5]]-Audit[[#This Row],[Candidate 5]]</f>
        <v>0</v>
      </c>
      <c r="X1739" s="111">
        <f>Audit[[#This Row],[Audit Candidate 6]]-Audit[[#This Row],[Candidate 6]]</f>
        <v>-1</v>
      </c>
      <c r="Y1739" s="111">
        <f>SUMIF(Audit[[#This Row],[Difference Loser]:[Difference Candidate 6]], "&gt;0")</f>
        <v>0</v>
      </c>
      <c r="Z1739" s="111">
        <f>SUM(Audit[[#This Row],[Difference Loser]:[Difference Candidate 6]])</f>
        <v>-24</v>
      </c>
      <c r="AA1739" s="111">
        <f>IF(Audit[[#This Row],[Times p Drawn - With Replacement]]&gt;0, IF(Audit[[#This Row],[Canceled Differences]]&lt;0, Audit[[#This Row],[Max Differences]]+ABS(Audit[[#This Row],[Canceled Differences]]), Audit[[#This Row],[Max Differences]]), 0)</f>
        <v>0</v>
      </c>
      <c r="AB1739" s="111">
        <f>'Sampling Data'!P1734</f>
        <v>1.5311121999020088E-3</v>
      </c>
      <c r="AC1739" s="111">
        <f>IF(
      SUM(Audit[[#This Row],[Audit Losing Candidate]:[Audit Candidate 6]])
      &lt;&gt;0,
      (Audit[[#This Row],[Winning Candidate]]-Audit[[#This Row],[Losing Candidate]]-(Audit[[#This Row],[Audit Winning Candidate]]-Audit[[#This Row],[Audit Losing Candidate]]))/(Audit[[#Totals],[Winning Candidate]]-Audit[[#Totals],[Losing Candidate]]),
      0
)</f>
        <v>0</v>
      </c>
      <c r="AD17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9" s="111">
        <f>IF(Audit[[#This Row],[Max Relative Error (ep)]] = 0, 0, Audit[[#This Row],[Max Relative Error (ep)]]/Audit[[#This Row],[Error Bound (up) - Max. possible relative overstatement]])</f>
        <v>0</v>
      </c>
      <c r="AJ17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39" s="111">
        <f t="shared" si="27"/>
        <v>1</v>
      </c>
      <c r="AL1739" s="111">
        <f>PRODUCT($AK$5:AK1739)</f>
        <v>8.962823818226312E-2</v>
      </c>
      <c r="AM1739" s="109">
        <f>1 - [K-M P Value]</f>
        <v>0.91037176181773694</v>
      </c>
      <c r="AN1739" s="111" t="str">
        <f>IF(Audit[[#This Row],[K-M P Value]]&gt;1-'General Info'!$B$16,"Continue", "Stop")</f>
        <v>Stop</v>
      </c>
      <c r="AO1739" s="110" t="b">
        <f>IF(Audit[[#This Row],[Status - Continue or stop audit]] = "Continue", TRUE, IF(AN1738 = "Continue", TRUE, FALSE))</f>
        <v>0</v>
      </c>
      <c r="AP1739" s="110"/>
    </row>
    <row r="1740" spans="1:42" ht="15" hidden="1" customHeight="1">
      <c r="A1740" s="111" t="str">
        <f>'Sampling Data'!W1735</f>
        <v/>
      </c>
      <c r="B1740" s="112" t="str">
        <f>'Sampling Data'!A1735</f>
        <v>PARMA -08-B</v>
      </c>
      <c r="C1740" s="112">
        <f>'Sampling Data'!B1735</f>
        <v>28</v>
      </c>
      <c r="D1740" s="112">
        <f>'Sampling Data'!C1735</f>
        <v>18</v>
      </c>
      <c r="E1740" s="113">
        <f>'Sampling Data'!D1735</f>
        <v>8</v>
      </c>
      <c r="F1740" s="113">
        <f>'Sampling Data'!E1735</f>
        <v>4</v>
      </c>
      <c r="G1740" s="113">
        <f>'Sampling Data'!F1735</f>
        <v>0</v>
      </c>
      <c r="H1740" s="113">
        <f>'Sampling Data'!G1735</f>
        <v>0</v>
      </c>
      <c r="I1740" s="112">
        <f>'Sampling Data'!H1735</f>
        <v>1</v>
      </c>
      <c r="J1740" s="112">
        <f>'Sampling Data'!I1735</f>
        <v>0</v>
      </c>
      <c r="K1740" s="112">
        <f>'Sampling Data'!J1735</f>
        <v>59</v>
      </c>
      <c r="L1740" s="111">
        <f>'Sampling Data'!X1735</f>
        <v>0</v>
      </c>
      <c r="M1740" s="114"/>
      <c r="N1740" s="114"/>
      <c r="O1740" s="115"/>
      <c r="P1740" s="115"/>
      <c r="Q1740" s="116"/>
      <c r="R1740" s="116"/>
      <c r="S1740" s="111">
        <f>Audit[[#This Row],[Audit Losing Candidate]]-Audit[[#This Row],[Losing Candidate]]</f>
        <v>-28</v>
      </c>
      <c r="T1740" s="111">
        <f>Audit[[#This Row],[Audit Winning Candidate]]-Audit[[#This Row],[Winning Candidate]]</f>
        <v>-18</v>
      </c>
      <c r="U1740" s="111">
        <f>Audit[[#This Row],[Audit Candidate 3]]-Audit[[#This Row],[Candidate 3]]</f>
        <v>-8</v>
      </c>
      <c r="V1740" s="111">
        <f>Audit[[#This Row],[Audit Candidate 4]]-Audit[[#This Row],[Candidate 4]]</f>
        <v>-4</v>
      </c>
      <c r="W1740" s="111">
        <f>Audit[[#This Row],[Audit Candidate 5]]-Audit[[#This Row],[Candidate 5]]</f>
        <v>0</v>
      </c>
      <c r="X1740" s="111">
        <f>Audit[[#This Row],[Audit Candidate 6]]-Audit[[#This Row],[Candidate 6]]</f>
        <v>0</v>
      </c>
      <c r="Y1740" s="111">
        <f>SUMIF(Audit[[#This Row],[Difference Loser]:[Difference Candidate 6]], "&gt;0")</f>
        <v>0</v>
      </c>
      <c r="Z1740" s="111">
        <f>SUM(Audit[[#This Row],[Difference Loser]:[Difference Candidate 6]])</f>
        <v>-58</v>
      </c>
      <c r="AA1740" s="111">
        <f>IF(Audit[[#This Row],[Times p Drawn - With Replacement]]&gt;0, IF(Audit[[#This Row],[Canceled Differences]]&lt;0, Audit[[#This Row],[Max Differences]]+ABS(Audit[[#This Row],[Canceled Differences]]), Audit[[#This Row],[Max Differences]]), 0)</f>
        <v>0</v>
      </c>
      <c r="AB1740" s="111">
        <f>'Sampling Data'!P1735</f>
        <v>3.0009799118079373E-3</v>
      </c>
      <c r="AC1740" s="111">
        <f>IF(
      SUM(Audit[[#This Row],[Audit Losing Candidate]:[Audit Candidate 6]])
      &lt;&gt;0,
      (Audit[[#This Row],[Winning Candidate]]-Audit[[#This Row],[Losing Candidate]]-(Audit[[#This Row],[Audit Winning Candidate]]-Audit[[#This Row],[Audit Losing Candidate]]))/(Audit[[#Totals],[Winning Candidate]]-Audit[[#Totals],[Losing Candidate]]),
      0
)</f>
        <v>0</v>
      </c>
      <c r="AD17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0" s="111">
        <f>IF(Audit[[#This Row],[Max Relative Error (ep)]] = 0, 0, Audit[[#This Row],[Max Relative Error (ep)]]/Audit[[#This Row],[Error Bound (up) - Max. possible relative overstatement]])</f>
        <v>0</v>
      </c>
      <c r="AJ17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40" s="111">
        <f t="shared" si="27"/>
        <v>1</v>
      </c>
      <c r="AL1740" s="111">
        <f>PRODUCT($AK$5:AK1740)</f>
        <v>8.962823818226312E-2</v>
      </c>
      <c r="AM1740" s="109">
        <f>1 - [K-M P Value]</f>
        <v>0.91037176181773694</v>
      </c>
      <c r="AN1740" s="111" t="str">
        <f>IF(Audit[[#This Row],[K-M P Value]]&gt;1-'General Info'!$B$16,"Continue", "Stop")</f>
        <v>Stop</v>
      </c>
      <c r="AO1740" s="110" t="b">
        <f>IF(Audit[[#This Row],[Status - Continue or stop audit]] = "Continue", TRUE, IF(AN1739 = "Continue", TRUE, FALSE))</f>
        <v>0</v>
      </c>
      <c r="AP1740" s="110"/>
    </row>
    <row r="1741" spans="1:42" ht="15" hidden="1" customHeight="1">
      <c r="A1741" s="111" t="str">
        <f>'Sampling Data'!W1736</f>
        <v/>
      </c>
      <c r="B1741" s="112" t="str">
        <f>'Sampling Data'!A1736</f>
        <v>PARMA -08-B - ABS</v>
      </c>
      <c r="C1741" s="112">
        <f>'Sampling Data'!B1736</f>
        <v>8</v>
      </c>
      <c r="D1741" s="112">
        <f>'Sampling Data'!C1736</f>
        <v>10</v>
      </c>
      <c r="E1741" s="113">
        <f>'Sampling Data'!D1736</f>
        <v>2</v>
      </c>
      <c r="F1741" s="113">
        <f>'Sampling Data'!E1736</f>
        <v>2</v>
      </c>
      <c r="G1741" s="113">
        <f>'Sampling Data'!F1736</f>
        <v>1</v>
      </c>
      <c r="H1741" s="113">
        <f>'Sampling Data'!G1736</f>
        <v>0</v>
      </c>
      <c r="I1741" s="112">
        <f>'Sampling Data'!H1736</f>
        <v>0</v>
      </c>
      <c r="J1741" s="112">
        <f>'Sampling Data'!I1736</f>
        <v>1</v>
      </c>
      <c r="K1741" s="112">
        <f>'Sampling Data'!J1736</f>
        <v>24</v>
      </c>
      <c r="L1741" s="111">
        <f>'Sampling Data'!X1736</f>
        <v>0</v>
      </c>
      <c r="M1741" s="114"/>
      <c r="N1741" s="114"/>
      <c r="O1741" s="115"/>
      <c r="P1741" s="115"/>
      <c r="Q1741" s="116"/>
      <c r="R1741" s="116"/>
      <c r="S1741" s="111">
        <f>Audit[[#This Row],[Audit Losing Candidate]]-Audit[[#This Row],[Losing Candidate]]</f>
        <v>-8</v>
      </c>
      <c r="T1741" s="111">
        <f>Audit[[#This Row],[Audit Winning Candidate]]-Audit[[#This Row],[Winning Candidate]]</f>
        <v>-10</v>
      </c>
      <c r="U1741" s="111">
        <f>Audit[[#This Row],[Audit Candidate 3]]-Audit[[#This Row],[Candidate 3]]</f>
        <v>-2</v>
      </c>
      <c r="V1741" s="111">
        <f>Audit[[#This Row],[Audit Candidate 4]]-Audit[[#This Row],[Candidate 4]]</f>
        <v>-2</v>
      </c>
      <c r="W1741" s="111">
        <f>Audit[[#This Row],[Audit Candidate 5]]-Audit[[#This Row],[Candidate 5]]</f>
        <v>-1</v>
      </c>
      <c r="X1741" s="111">
        <f>Audit[[#This Row],[Audit Candidate 6]]-Audit[[#This Row],[Candidate 6]]</f>
        <v>0</v>
      </c>
      <c r="Y1741" s="111">
        <f>SUMIF(Audit[[#This Row],[Difference Loser]:[Difference Candidate 6]], "&gt;0")</f>
        <v>0</v>
      </c>
      <c r="Z1741" s="111">
        <f>SUM(Audit[[#This Row],[Difference Loser]:[Difference Candidate 6]])</f>
        <v>-23</v>
      </c>
      <c r="AA1741" s="111">
        <f>IF(Audit[[#This Row],[Times p Drawn - With Replacement]]&gt;0, IF(Audit[[#This Row],[Canceled Differences]]&lt;0, Audit[[#This Row],[Max Differences]]+ABS(Audit[[#This Row],[Canceled Differences]]), Audit[[#This Row],[Max Differences]]), 0)</f>
        <v>0</v>
      </c>
      <c r="AB1741" s="111">
        <f>'Sampling Data'!P1736</f>
        <v>1.5923566878980893E-3</v>
      </c>
      <c r="AC1741" s="111">
        <f>IF(
      SUM(Audit[[#This Row],[Audit Losing Candidate]:[Audit Candidate 6]])
      &lt;&gt;0,
      (Audit[[#This Row],[Winning Candidate]]-Audit[[#This Row],[Losing Candidate]]-(Audit[[#This Row],[Audit Winning Candidate]]-Audit[[#This Row],[Audit Losing Candidate]]))/(Audit[[#Totals],[Winning Candidate]]-Audit[[#Totals],[Losing Candidate]]),
      0
)</f>
        <v>0</v>
      </c>
      <c r="AD17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1" s="111">
        <f>IF(Audit[[#This Row],[Max Relative Error (ep)]] = 0, 0, Audit[[#This Row],[Max Relative Error (ep)]]/Audit[[#This Row],[Error Bound (up) - Max. possible relative overstatement]])</f>
        <v>0</v>
      </c>
      <c r="AJ17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41" s="111">
        <f t="shared" si="27"/>
        <v>1</v>
      </c>
      <c r="AL1741" s="111">
        <f>PRODUCT($AK$5:AK1741)</f>
        <v>8.962823818226312E-2</v>
      </c>
      <c r="AM1741" s="109">
        <f>1 - [K-M P Value]</f>
        <v>0.91037176181773694</v>
      </c>
      <c r="AN1741" s="111" t="str">
        <f>IF(Audit[[#This Row],[K-M P Value]]&gt;1-'General Info'!$B$16,"Continue", "Stop")</f>
        <v>Stop</v>
      </c>
      <c r="AO1741" s="110" t="b">
        <f>IF(Audit[[#This Row],[Status - Continue or stop audit]] = "Continue", TRUE, IF(AN1740 = "Continue", TRUE, FALSE))</f>
        <v>0</v>
      </c>
      <c r="AP1741" s="110"/>
    </row>
    <row r="1742" spans="1:42" ht="15" hidden="1" customHeight="1">
      <c r="A1742" s="111" t="str">
        <f>'Sampling Data'!W1737</f>
        <v/>
      </c>
      <c r="B1742" s="112" t="str">
        <f>'Sampling Data'!A1737</f>
        <v>PARMA -08-C</v>
      </c>
      <c r="C1742" s="112">
        <f>'Sampling Data'!B1737</f>
        <v>21</v>
      </c>
      <c r="D1742" s="112">
        <f>'Sampling Data'!C1737</f>
        <v>22</v>
      </c>
      <c r="E1742" s="113">
        <f>'Sampling Data'!D1737</f>
        <v>10</v>
      </c>
      <c r="F1742" s="113">
        <f>'Sampling Data'!E1737</f>
        <v>3</v>
      </c>
      <c r="G1742" s="113">
        <f>'Sampling Data'!F1737</f>
        <v>0</v>
      </c>
      <c r="H1742" s="113">
        <f>'Sampling Data'!G1737</f>
        <v>0</v>
      </c>
      <c r="I1742" s="112">
        <f>'Sampling Data'!H1737</f>
        <v>0</v>
      </c>
      <c r="J1742" s="112">
        <f>'Sampling Data'!I1737</f>
        <v>1</v>
      </c>
      <c r="K1742" s="112">
        <f>'Sampling Data'!J1737</f>
        <v>57</v>
      </c>
      <c r="L1742" s="111">
        <f>'Sampling Data'!X1737</f>
        <v>0</v>
      </c>
      <c r="M1742" s="114"/>
      <c r="N1742" s="114"/>
      <c r="O1742" s="115"/>
      <c r="P1742" s="115"/>
      <c r="Q1742" s="116"/>
      <c r="R1742" s="116"/>
      <c r="S1742" s="111">
        <f>Audit[[#This Row],[Audit Losing Candidate]]-Audit[[#This Row],[Losing Candidate]]</f>
        <v>-21</v>
      </c>
      <c r="T1742" s="111">
        <f>Audit[[#This Row],[Audit Winning Candidate]]-Audit[[#This Row],[Winning Candidate]]</f>
        <v>-22</v>
      </c>
      <c r="U1742" s="111">
        <f>Audit[[#This Row],[Audit Candidate 3]]-Audit[[#This Row],[Candidate 3]]</f>
        <v>-10</v>
      </c>
      <c r="V1742" s="111">
        <f>Audit[[#This Row],[Audit Candidate 4]]-Audit[[#This Row],[Candidate 4]]</f>
        <v>-3</v>
      </c>
      <c r="W1742" s="111">
        <f>Audit[[#This Row],[Audit Candidate 5]]-Audit[[#This Row],[Candidate 5]]</f>
        <v>0</v>
      </c>
      <c r="X1742" s="111">
        <f>Audit[[#This Row],[Audit Candidate 6]]-Audit[[#This Row],[Candidate 6]]</f>
        <v>0</v>
      </c>
      <c r="Y1742" s="111">
        <f>SUMIF(Audit[[#This Row],[Difference Loser]:[Difference Candidate 6]], "&gt;0")</f>
        <v>0</v>
      </c>
      <c r="Z1742" s="111">
        <f>SUM(Audit[[#This Row],[Difference Loser]:[Difference Candidate 6]])</f>
        <v>-56</v>
      </c>
      <c r="AA1742" s="111">
        <f>IF(Audit[[#This Row],[Times p Drawn - With Replacement]]&gt;0, IF(Audit[[#This Row],[Canceled Differences]]&lt;0, Audit[[#This Row],[Max Differences]]+ABS(Audit[[#This Row],[Canceled Differences]]), Audit[[#This Row],[Max Differences]]), 0)</f>
        <v>0</v>
      </c>
      <c r="AB1742" s="111">
        <f>'Sampling Data'!P1737</f>
        <v>3.5521803037726605E-3</v>
      </c>
      <c r="AC1742" s="111">
        <f>IF(
      SUM(Audit[[#This Row],[Audit Losing Candidate]:[Audit Candidate 6]])
      &lt;&gt;0,
      (Audit[[#This Row],[Winning Candidate]]-Audit[[#This Row],[Losing Candidate]]-(Audit[[#This Row],[Audit Winning Candidate]]-Audit[[#This Row],[Audit Losing Candidate]]))/(Audit[[#Totals],[Winning Candidate]]-Audit[[#Totals],[Losing Candidate]]),
      0
)</f>
        <v>0</v>
      </c>
      <c r="AD17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2" s="111">
        <f>IF(Audit[[#This Row],[Max Relative Error (ep)]] = 0, 0, Audit[[#This Row],[Max Relative Error (ep)]]/Audit[[#This Row],[Error Bound (up) - Max. possible relative overstatement]])</f>
        <v>0</v>
      </c>
      <c r="AJ17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42" s="111">
        <f t="shared" si="27"/>
        <v>1</v>
      </c>
      <c r="AL1742" s="111">
        <f>PRODUCT($AK$5:AK1742)</f>
        <v>8.962823818226312E-2</v>
      </c>
      <c r="AM1742" s="109">
        <f>1 - [K-M P Value]</f>
        <v>0.91037176181773694</v>
      </c>
      <c r="AN1742" s="111" t="str">
        <f>IF(Audit[[#This Row],[K-M P Value]]&gt;1-'General Info'!$B$16,"Continue", "Stop")</f>
        <v>Stop</v>
      </c>
      <c r="AO1742" s="110" t="b">
        <f>IF(Audit[[#This Row],[Status - Continue or stop audit]] = "Continue", TRUE, IF(AN1741 = "Continue", TRUE, FALSE))</f>
        <v>0</v>
      </c>
      <c r="AP1742" s="110"/>
    </row>
    <row r="1743" spans="1:42" ht="15" hidden="1" customHeight="1">
      <c r="A1743" s="111" t="str">
        <f>'Sampling Data'!W1738</f>
        <v/>
      </c>
      <c r="B1743" s="112" t="str">
        <f>'Sampling Data'!A1738</f>
        <v>PARMA -08-C - ABS</v>
      </c>
      <c r="C1743" s="112">
        <f>'Sampling Data'!B1738</f>
        <v>1</v>
      </c>
      <c r="D1743" s="112">
        <f>'Sampling Data'!C1738</f>
        <v>7</v>
      </c>
      <c r="E1743" s="113">
        <f>'Sampling Data'!D1738</f>
        <v>1</v>
      </c>
      <c r="F1743" s="113">
        <f>'Sampling Data'!E1738</f>
        <v>2</v>
      </c>
      <c r="G1743" s="113">
        <f>'Sampling Data'!F1738</f>
        <v>0</v>
      </c>
      <c r="H1743" s="113">
        <f>'Sampling Data'!G1738</f>
        <v>0</v>
      </c>
      <c r="I1743" s="112">
        <f>'Sampling Data'!H1738</f>
        <v>0</v>
      </c>
      <c r="J1743" s="112">
        <f>'Sampling Data'!I1738</f>
        <v>0</v>
      </c>
      <c r="K1743" s="112">
        <f>'Sampling Data'!J1738</f>
        <v>11</v>
      </c>
      <c r="L1743" s="111">
        <f>'Sampling Data'!X1738</f>
        <v>0</v>
      </c>
      <c r="M1743" s="114"/>
      <c r="N1743" s="114"/>
      <c r="O1743" s="115"/>
      <c r="P1743" s="115"/>
      <c r="Q1743" s="116"/>
      <c r="R1743" s="116"/>
      <c r="S1743" s="111">
        <f>Audit[[#This Row],[Audit Losing Candidate]]-Audit[[#This Row],[Losing Candidate]]</f>
        <v>-1</v>
      </c>
      <c r="T1743" s="111">
        <f>Audit[[#This Row],[Audit Winning Candidate]]-Audit[[#This Row],[Winning Candidate]]</f>
        <v>-7</v>
      </c>
      <c r="U1743" s="111">
        <f>Audit[[#This Row],[Audit Candidate 3]]-Audit[[#This Row],[Candidate 3]]</f>
        <v>-1</v>
      </c>
      <c r="V1743" s="111">
        <f>Audit[[#This Row],[Audit Candidate 4]]-Audit[[#This Row],[Candidate 4]]</f>
        <v>-2</v>
      </c>
      <c r="W1743" s="111">
        <f>Audit[[#This Row],[Audit Candidate 5]]-Audit[[#This Row],[Candidate 5]]</f>
        <v>0</v>
      </c>
      <c r="X1743" s="111">
        <f>Audit[[#This Row],[Audit Candidate 6]]-Audit[[#This Row],[Candidate 6]]</f>
        <v>0</v>
      </c>
      <c r="Y1743" s="111">
        <f>SUMIF(Audit[[#This Row],[Difference Loser]:[Difference Candidate 6]], "&gt;0")</f>
        <v>0</v>
      </c>
      <c r="Z1743" s="111">
        <f>SUM(Audit[[#This Row],[Difference Loser]:[Difference Candidate 6]])</f>
        <v>-11</v>
      </c>
      <c r="AA1743" s="111">
        <f>IF(Audit[[#This Row],[Times p Drawn - With Replacement]]&gt;0, IF(Audit[[#This Row],[Canceled Differences]]&lt;0, Audit[[#This Row],[Max Differences]]+ABS(Audit[[#This Row],[Canceled Differences]]), Audit[[#This Row],[Max Differences]]), 0)</f>
        <v>0</v>
      </c>
      <c r="AB1743" s="111">
        <f>'Sampling Data'!P1738</f>
        <v>1.041156295933366E-3</v>
      </c>
      <c r="AC1743" s="111">
        <f>IF(
      SUM(Audit[[#This Row],[Audit Losing Candidate]:[Audit Candidate 6]])
      &lt;&gt;0,
      (Audit[[#This Row],[Winning Candidate]]-Audit[[#This Row],[Losing Candidate]]-(Audit[[#This Row],[Audit Winning Candidate]]-Audit[[#This Row],[Audit Losing Candidate]]))/(Audit[[#Totals],[Winning Candidate]]-Audit[[#Totals],[Losing Candidate]]),
      0
)</f>
        <v>0</v>
      </c>
      <c r="AD17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3" s="111">
        <f>IF(Audit[[#This Row],[Max Relative Error (ep)]] = 0, 0, Audit[[#This Row],[Max Relative Error (ep)]]/Audit[[#This Row],[Error Bound (up) - Max. possible relative overstatement]])</f>
        <v>0</v>
      </c>
      <c r="AJ17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43" s="111">
        <f t="shared" si="27"/>
        <v>1</v>
      </c>
      <c r="AL1743" s="111">
        <f>PRODUCT($AK$5:AK1743)</f>
        <v>8.962823818226312E-2</v>
      </c>
      <c r="AM1743" s="109">
        <f>1 - [K-M P Value]</f>
        <v>0.91037176181773694</v>
      </c>
      <c r="AN1743" s="111" t="str">
        <f>IF(Audit[[#This Row],[K-M P Value]]&gt;1-'General Info'!$B$16,"Continue", "Stop")</f>
        <v>Stop</v>
      </c>
      <c r="AO1743" s="110" t="b">
        <f>IF(Audit[[#This Row],[Status - Continue or stop audit]] = "Continue", TRUE, IF(AN1742 = "Continue", TRUE, FALSE))</f>
        <v>0</v>
      </c>
      <c r="AP1743" s="110"/>
    </row>
    <row r="1744" spans="1:42" ht="15" hidden="1" customHeight="1">
      <c r="A1744" s="111" t="str">
        <f>'Sampling Data'!W1739</f>
        <v/>
      </c>
      <c r="B1744" s="112" t="str">
        <f>'Sampling Data'!A1739</f>
        <v>PARMA -08-C.02</v>
      </c>
      <c r="C1744" s="112">
        <f>'Sampling Data'!B1739</f>
        <v>13</v>
      </c>
      <c r="D1744" s="112">
        <f>'Sampling Data'!C1739</f>
        <v>16</v>
      </c>
      <c r="E1744" s="113">
        <f>'Sampling Data'!D1739</f>
        <v>6</v>
      </c>
      <c r="F1744" s="113">
        <f>'Sampling Data'!E1739</f>
        <v>2</v>
      </c>
      <c r="G1744" s="113">
        <f>'Sampling Data'!F1739</f>
        <v>2</v>
      </c>
      <c r="H1744" s="113">
        <f>'Sampling Data'!G1739</f>
        <v>0</v>
      </c>
      <c r="I1744" s="112">
        <f>'Sampling Data'!H1739</f>
        <v>0</v>
      </c>
      <c r="J1744" s="112">
        <f>'Sampling Data'!I1739</f>
        <v>0</v>
      </c>
      <c r="K1744" s="112">
        <f>'Sampling Data'!J1739</f>
        <v>39</v>
      </c>
      <c r="L1744" s="111">
        <f>'Sampling Data'!X1739</f>
        <v>0</v>
      </c>
      <c r="M1744" s="114"/>
      <c r="N1744" s="114"/>
      <c r="O1744" s="115"/>
      <c r="P1744" s="115"/>
      <c r="Q1744" s="116"/>
      <c r="R1744" s="116"/>
      <c r="S1744" s="111">
        <f>Audit[[#This Row],[Audit Losing Candidate]]-Audit[[#This Row],[Losing Candidate]]</f>
        <v>-13</v>
      </c>
      <c r="T1744" s="111">
        <f>Audit[[#This Row],[Audit Winning Candidate]]-Audit[[#This Row],[Winning Candidate]]</f>
        <v>-16</v>
      </c>
      <c r="U1744" s="111">
        <f>Audit[[#This Row],[Audit Candidate 3]]-Audit[[#This Row],[Candidate 3]]</f>
        <v>-6</v>
      </c>
      <c r="V1744" s="111">
        <f>Audit[[#This Row],[Audit Candidate 4]]-Audit[[#This Row],[Candidate 4]]</f>
        <v>-2</v>
      </c>
      <c r="W1744" s="111">
        <f>Audit[[#This Row],[Audit Candidate 5]]-Audit[[#This Row],[Candidate 5]]</f>
        <v>-2</v>
      </c>
      <c r="X1744" s="111">
        <f>Audit[[#This Row],[Audit Candidate 6]]-Audit[[#This Row],[Candidate 6]]</f>
        <v>0</v>
      </c>
      <c r="Y1744" s="111">
        <f>SUMIF(Audit[[#This Row],[Difference Loser]:[Difference Candidate 6]], "&gt;0")</f>
        <v>0</v>
      </c>
      <c r="Z1744" s="111">
        <f>SUM(Audit[[#This Row],[Difference Loser]:[Difference Candidate 6]])</f>
        <v>-39</v>
      </c>
      <c r="AA1744" s="111">
        <f>IF(Audit[[#This Row],[Times p Drawn - With Replacement]]&gt;0, IF(Audit[[#This Row],[Canceled Differences]]&lt;0, Audit[[#This Row],[Max Differences]]+ABS(Audit[[#This Row],[Canceled Differences]]), Audit[[#This Row],[Max Differences]]), 0)</f>
        <v>0</v>
      </c>
      <c r="AB1744" s="111">
        <f>'Sampling Data'!P1739</f>
        <v>2.5722684958353749E-3</v>
      </c>
      <c r="AC1744" s="111">
        <f>IF(
      SUM(Audit[[#This Row],[Audit Losing Candidate]:[Audit Candidate 6]])
      &lt;&gt;0,
      (Audit[[#This Row],[Winning Candidate]]-Audit[[#This Row],[Losing Candidate]]-(Audit[[#This Row],[Audit Winning Candidate]]-Audit[[#This Row],[Audit Losing Candidate]]))/(Audit[[#Totals],[Winning Candidate]]-Audit[[#Totals],[Losing Candidate]]),
      0
)</f>
        <v>0</v>
      </c>
      <c r="AD17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4" s="111">
        <f>IF(Audit[[#This Row],[Max Relative Error (ep)]] = 0, 0, Audit[[#This Row],[Max Relative Error (ep)]]/Audit[[#This Row],[Error Bound (up) - Max. possible relative overstatement]])</f>
        <v>0</v>
      </c>
      <c r="AJ17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44" s="111">
        <f t="shared" si="27"/>
        <v>1</v>
      </c>
      <c r="AL1744" s="111">
        <f>PRODUCT($AK$5:AK1744)</f>
        <v>8.962823818226312E-2</v>
      </c>
      <c r="AM1744" s="109">
        <f>1 - [K-M P Value]</f>
        <v>0.91037176181773694</v>
      </c>
      <c r="AN1744" s="111" t="str">
        <f>IF(Audit[[#This Row],[K-M P Value]]&gt;1-'General Info'!$B$16,"Continue", "Stop")</f>
        <v>Stop</v>
      </c>
      <c r="AO1744" s="110" t="b">
        <f>IF(Audit[[#This Row],[Status - Continue or stop audit]] = "Continue", TRUE, IF(AN1743 = "Continue", TRUE, FALSE))</f>
        <v>0</v>
      </c>
      <c r="AP1744" s="110"/>
    </row>
    <row r="1745" spans="1:42" ht="15" hidden="1" customHeight="1">
      <c r="A1745" s="111" t="str">
        <f>'Sampling Data'!W1740</f>
        <v/>
      </c>
      <c r="B1745" s="112" t="str">
        <f>'Sampling Data'!A1740</f>
        <v>PARMA -08-C.02 - ABS</v>
      </c>
      <c r="C1745" s="112">
        <f>'Sampling Data'!B1740</f>
        <v>1</v>
      </c>
      <c r="D1745" s="112">
        <f>'Sampling Data'!C1740</f>
        <v>5</v>
      </c>
      <c r="E1745" s="113">
        <f>'Sampling Data'!D1740</f>
        <v>0</v>
      </c>
      <c r="F1745" s="113">
        <f>'Sampling Data'!E1740</f>
        <v>3</v>
      </c>
      <c r="G1745" s="113">
        <f>'Sampling Data'!F1740</f>
        <v>0</v>
      </c>
      <c r="H1745" s="113">
        <f>'Sampling Data'!G1740</f>
        <v>0</v>
      </c>
      <c r="I1745" s="112">
        <f>'Sampling Data'!H1740</f>
        <v>0</v>
      </c>
      <c r="J1745" s="112">
        <f>'Sampling Data'!I1740</f>
        <v>0</v>
      </c>
      <c r="K1745" s="112">
        <f>'Sampling Data'!J1740</f>
        <v>9</v>
      </c>
      <c r="L1745" s="111">
        <f>'Sampling Data'!X1740</f>
        <v>0</v>
      </c>
      <c r="M1745" s="114"/>
      <c r="N1745" s="114"/>
      <c r="O1745" s="115"/>
      <c r="P1745" s="115"/>
      <c r="Q1745" s="116"/>
      <c r="R1745" s="116"/>
      <c r="S1745" s="111">
        <f>Audit[[#This Row],[Audit Losing Candidate]]-Audit[[#This Row],[Losing Candidate]]</f>
        <v>-1</v>
      </c>
      <c r="T1745" s="111">
        <f>Audit[[#This Row],[Audit Winning Candidate]]-Audit[[#This Row],[Winning Candidate]]</f>
        <v>-5</v>
      </c>
      <c r="U1745" s="111">
        <f>Audit[[#This Row],[Audit Candidate 3]]-Audit[[#This Row],[Candidate 3]]</f>
        <v>0</v>
      </c>
      <c r="V1745" s="111">
        <f>Audit[[#This Row],[Audit Candidate 4]]-Audit[[#This Row],[Candidate 4]]</f>
        <v>-3</v>
      </c>
      <c r="W1745" s="111">
        <f>Audit[[#This Row],[Audit Candidate 5]]-Audit[[#This Row],[Candidate 5]]</f>
        <v>0</v>
      </c>
      <c r="X1745" s="111">
        <f>Audit[[#This Row],[Audit Candidate 6]]-Audit[[#This Row],[Candidate 6]]</f>
        <v>0</v>
      </c>
      <c r="Y1745" s="111">
        <f>SUMIF(Audit[[#This Row],[Difference Loser]:[Difference Candidate 6]], "&gt;0")</f>
        <v>0</v>
      </c>
      <c r="Z1745" s="111">
        <f>SUM(Audit[[#This Row],[Difference Loser]:[Difference Candidate 6]])</f>
        <v>-9</v>
      </c>
      <c r="AA1745" s="111">
        <f>IF(Audit[[#This Row],[Times p Drawn - With Replacement]]&gt;0, IF(Audit[[#This Row],[Canceled Differences]]&lt;0, Audit[[#This Row],[Max Differences]]+ABS(Audit[[#This Row],[Canceled Differences]]), Audit[[#This Row],[Max Differences]]), 0)</f>
        <v>0</v>
      </c>
      <c r="AB1745" s="111">
        <f>'Sampling Data'!P1740</f>
        <v>7.9617834394904463E-4</v>
      </c>
      <c r="AC1745" s="111">
        <f>IF(
      SUM(Audit[[#This Row],[Audit Losing Candidate]:[Audit Candidate 6]])
      &lt;&gt;0,
      (Audit[[#This Row],[Winning Candidate]]-Audit[[#This Row],[Losing Candidate]]-(Audit[[#This Row],[Audit Winning Candidate]]-Audit[[#This Row],[Audit Losing Candidate]]))/(Audit[[#Totals],[Winning Candidate]]-Audit[[#Totals],[Losing Candidate]]),
      0
)</f>
        <v>0</v>
      </c>
      <c r="AD17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5" s="111">
        <f>IF(Audit[[#This Row],[Max Relative Error (ep)]] = 0, 0, Audit[[#This Row],[Max Relative Error (ep)]]/Audit[[#This Row],[Error Bound (up) - Max. possible relative overstatement]])</f>
        <v>0</v>
      </c>
      <c r="AJ17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45" s="111">
        <f t="shared" si="27"/>
        <v>1</v>
      </c>
      <c r="AL1745" s="111">
        <f>PRODUCT($AK$5:AK1745)</f>
        <v>8.962823818226312E-2</v>
      </c>
      <c r="AM1745" s="109">
        <f>1 - [K-M P Value]</f>
        <v>0.91037176181773694</v>
      </c>
      <c r="AN1745" s="111" t="str">
        <f>IF(Audit[[#This Row],[K-M P Value]]&gt;1-'General Info'!$B$16,"Continue", "Stop")</f>
        <v>Stop</v>
      </c>
      <c r="AO1745" s="110" t="b">
        <f>IF(Audit[[#This Row],[Status - Continue or stop audit]] = "Continue", TRUE, IF(AN1744 = "Continue", TRUE, FALSE))</f>
        <v>0</v>
      </c>
      <c r="AP1745" s="110"/>
    </row>
    <row r="1746" spans="1:42" ht="15" hidden="1" customHeight="1">
      <c r="A1746" s="111" t="str">
        <f>'Sampling Data'!W1741</f>
        <v/>
      </c>
      <c r="B1746" s="112" t="str">
        <f>'Sampling Data'!A1741</f>
        <v>PARMA -08-D</v>
      </c>
      <c r="C1746" s="112">
        <f>'Sampling Data'!B1741</f>
        <v>29</v>
      </c>
      <c r="D1746" s="112">
        <f>'Sampling Data'!C1741</f>
        <v>38</v>
      </c>
      <c r="E1746" s="113">
        <f>'Sampling Data'!D1741</f>
        <v>7</v>
      </c>
      <c r="F1746" s="113">
        <f>'Sampling Data'!E1741</f>
        <v>10</v>
      </c>
      <c r="G1746" s="113">
        <f>'Sampling Data'!F1741</f>
        <v>0</v>
      </c>
      <c r="H1746" s="113">
        <f>'Sampling Data'!G1741</f>
        <v>0</v>
      </c>
      <c r="I1746" s="112">
        <f>'Sampling Data'!H1741</f>
        <v>1</v>
      </c>
      <c r="J1746" s="112">
        <f>'Sampling Data'!I1741</f>
        <v>0</v>
      </c>
      <c r="K1746" s="112">
        <f>'Sampling Data'!J1741</f>
        <v>85</v>
      </c>
      <c r="L1746" s="111">
        <f>'Sampling Data'!X1741</f>
        <v>0</v>
      </c>
      <c r="M1746" s="114"/>
      <c r="N1746" s="114"/>
      <c r="O1746" s="115"/>
      <c r="P1746" s="115"/>
      <c r="Q1746" s="116"/>
      <c r="R1746" s="116"/>
      <c r="S1746" s="111">
        <f>Audit[[#This Row],[Audit Losing Candidate]]-Audit[[#This Row],[Losing Candidate]]</f>
        <v>-29</v>
      </c>
      <c r="T1746" s="111">
        <f>Audit[[#This Row],[Audit Winning Candidate]]-Audit[[#This Row],[Winning Candidate]]</f>
        <v>-38</v>
      </c>
      <c r="U1746" s="111">
        <f>Audit[[#This Row],[Audit Candidate 3]]-Audit[[#This Row],[Candidate 3]]</f>
        <v>-7</v>
      </c>
      <c r="V1746" s="111">
        <f>Audit[[#This Row],[Audit Candidate 4]]-Audit[[#This Row],[Candidate 4]]</f>
        <v>-10</v>
      </c>
      <c r="W1746" s="111">
        <f>Audit[[#This Row],[Audit Candidate 5]]-Audit[[#This Row],[Candidate 5]]</f>
        <v>0</v>
      </c>
      <c r="X1746" s="111">
        <f>Audit[[#This Row],[Audit Candidate 6]]-Audit[[#This Row],[Candidate 6]]</f>
        <v>0</v>
      </c>
      <c r="Y1746" s="111">
        <f>SUMIF(Audit[[#This Row],[Difference Loser]:[Difference Candidate 6]], "&gt;0")</f>
        <v>0</v>
      </c>
      <c r="Z1746" s="111">
        <f>SUM(Audit[[#This Row],[Difference Loser]:[Difference Candidate 6]])</f>
        <v>-84</v>
      </c>
      <c r="AA1746" s="111">
        <f>IF(Audit[[#This Row],[Times p Drawn - With Replacement]]&gt;0, IF(Audit[[#This Row],[Canceled Differences]]&lt;0, Audit[[#This Row],[Max Differences]]+ABS(Audit[[#This Row],[Canceled Differences]]), Audit[[#This Row],[Max Differences]]), 0)</f>
        <v>0</v>
      </c>
      <c r="AB1746" s="111">
        <f>'Sampling Data'!P1741</f>
        <v>5.7569818716315529E-3</v>
      </c>
      <c r="AC1746" s="111">
        <f>IF(
      SUM(Audit[[#This Row],[Audit Losing Candidate]:[Audit Candidate 6]])
      &lt;&gt;0,
      (Audit[[#This Row],[Winning Candidate]]-Audit[[#This Row],[Losing Candidate]]-(Audit[[#This Row],[Audit Winning Candidate]]-Audit[[#This Row],[Audit Losing Candidate]]))/(Audit[[#Totals],[Winning Candidate]]-Audit[[#Totals],[Losing Candidate]]),
      0
)</f>
        <v>0</v>
      </c>
      <c r="AD17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6" s="111">
        <f>IF(Audit[[#This Row],[Max Relative Error (ep)]] = 0, 0, Audit[[#This Row],[Max Relative Error (ep)]]/Audit[[#This Row],[Error Bound (up) - Max. possible relative overstatement]])</f>
        <v>0</v>
      </c>
      <c r="AJ17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46" s="111">
        <f t="shared" si="27"/>
        <v>1</v>
      </c>
      <c r="AL1746" s="111">
        <f>PRODUCT($AK$5:AK1746)</f>
        <v>8.962823818226312E-2</v>
      </c>
      <c r="AM1746" s="109">
        <f>1 - [K-M P Value]</f>
        <v>0.91037176181773694</v>
      </c>
      <c r="AN1746" s="111" t="str">
        <f>IF(Audit[[#This Row],[K-M P Value]]&gt;1-'General Info'!$B$16,"Continue", "Stop")</f>
        <v>Stop</v>
      </c>
      <c r="AO1746" s="110" t="b">
        <f>IF(Audit[[#This Row],[Status - Continue or stop audit]] = "Continue", TRUE, IF(AN1745 = "Continue", TRUE, FALSE))</f>
        <v>0</v>
      </c>
      <c r="AP1746" s="110"/>
    </row>
    <row r="1747" spans="1:42" ht="15" hidden="1" customHeight="1">
      <c r="A1747" s="111" t="str">
        <f>'Sampling Data'!W1742</f>
        <v/>
      </c>
      <c r="B1747" s="112" t="str">
        <f>'Sampling Data'!A1742</f>
        <v>PARMA -08-D - ABS</v>
      </c>
      <c r="C1747" s="112">
        <f>'Sampling Data'!B1742</f>
        <v>12</v>
      </c>
      <c r="D1747" s="112">
        <f>'Sampling Data'!C1742</f>
        <v>20</v>
      </c>
      <c r="E1747" s="113">
        <f>'Sampling Data'!D1742</f>
        <v>4</v>
      </c>
      <c r="F1747" s="113">
        <f>'Sampling Data'!E1742</f>
        <v>3</v>
      </c>
      <c r="G1747" s="113">
        <f>'Sampling Data'!F1742</f>
        <v>0</v>
      </c>
      <c r="H1747" s="113">
        <f>'Sampling Data'!G1742</f>
        <v>0</v>
      </c>
      <c r="I1747" s="112">
        <f>'Sampling Data'!H1742</f>
        <v>0</v>
      </c>
      <c r="J1747" s="112">
        <f>'Sampling Data'!I1742</f>
        <v>0</v>
      </c>
      <c r="K1747" s="112">
        <f>'Sampling Data'!J1742</f>
        <v>39</v>
      </c>
      <c r="L1747" s="111">
        <f>'Sampling Data'!X1742</f>
        <v>0</v>
      </c>
      <c r="M1747" s="114"/>
      <c r="N1747" s="114"/>
      <c r="O1747" s="115"/>
      <c r="P1747" s="115"/>
      <c r="Q1747" s="116"/>
      <c r="R1747" s="116"/>
      <c r="S1747" s="111">
        <f>Audit[[#This Row],[Audit Losing Candidate]]-Audit[[#This Row],[Losing Candidate]]</f>
        <v>-12</v>
      </c>
      <c r="T1747" s="111">
        <f>Audit[[#This Row],[Audit Winning Candidate]]-Audit[[#This Row],[Winning Candidate]]</f>
        <v>-20</v>
      </c>
      <c r="U1747" s="111">
        <f>Audit[[#This Row],[Audit Candidate 3]]-Audit[[#This Row],[Candidate 3]]</f>
        <v>-4</v>
      </c>
      <c r="V1747" s="111">
        <f>Audit[[#This Row],[Audit Candidate 4]]-Audit[[#This Row],[Candidate 4]]</f>
        <v>-3</v>
      </c>
      <c r="W1747" s="111">
        <f>Audit[[#This Row],[Audit Candidate 5]]-Audit[[#This Row],[Candidate 5]]</f>
        <v>0</v>
      </c>
      <c r="X1747" s="111">
        <f>Audit[[#This Row],[Audit Candidate 6]]-Audit[[#This Row],[Candidate 6]]</f>
        <v>0</v>
      </c>
      <c r="Y1747" s="111">
        <f>SUMIF(Audit[[#This Row],[Difference Loser]:[Difference Candidate 6]], "&gt;0")</f>
        <v>0</v>
      </c>
      <c r="Z1747" s="111">
        <f>SUM(Audit[[#This Row],[Difference Loser]:[Difference Candidate 6]])</f>
        <v>-39</v>
      </c>
      <c r="AA1747" s="111">
        <f>IF(Audit[[#This Row],[Times p Drawn - With Replacement]]&gt;0, IF(Audit[[#This Row],[Canceled Differences]]&lt;0, Audit[[#This Row],[Max Differences]]+ABS(Audit[[#This Row],[Canceled Differences]]), Audit[[#This Row],[Max Differences]]), 0)</f>
        <v>0</v>
      </c>
      <c r="AB1747" s="111">
        <f>'Sampling Data'!P1742</f>
        <v>2.8784909358157765E-3</v>
      </c>
      <c r="AC1747" s="111">
        <f>IF(
      SUM(Audit[[#This Row],[Audit Losing Candidate]:[Audit Candidate 6]])
      &lt;&gt;0,
      (Audit[[#This Row],[Winning Candidate]]-Audit[[#This Row],[Losing Candidate]]-(Audit[[#This Row],[Audit Winning Candidate]]-Audit[[#This Row],[Audit Losing Candidate]]))/(Audit[[#Totals],[Winning Candidate]]-Audit[[#Totals],[Losing Candidate]]),
      0
)</f>
        <v>0</v>
      </c>
      <c r="AD17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7" s="111">
        <f>IF(Audit[[#This Row],[Max Relative Error (ep)]] = 0, 0, Audit[[#This Row],[Max Relative Error (ep)]]/Audit[[#This Row],[Error Bound (up) - Max. possible relative overstatement]])</f>
        <v>0</v>
      </c>
      <c r="AJ17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47" s="111">
        <f t="shared" si="27"/>
        <v>1</v>
      </c>
      <c r="AL1747" s="111">
        <f>PRODUCT($AK$5:AK1747)</f>
        <v>8.962823818226312E-2</v>
      </c>
      <c r="AM1747" s="109">
        <f>1 - [K-M P Value]</f>
        <v>0.91037176181773694</v>
      </c>
      <c r="AN1747" s="111" t="str">
        <f>IF(Audit[[#This Row],[K-M P Value]]&gt;1-'General Info'!$B$16,"Continue", "Stop")</f>
        <v>Stop</v>
      </c>
      <c r="AO1747" s="110" t="b">
        <f>IF(Audit[[#This Row],[Status - Continue or stop audit]] = "Continue", TRUE, IF(AN1746 = "Continue", TRUE, FALSE))</f>
        <v>0</v>
      </c>
      <c r="AP1747" s="110"/>
    </row>
    <row r="1748" spans="1:42" ht="15" hidden="1" customHeight="1">
      <c r="A1748" s="111" t="str">
        <f>'Sampling Data'!W1743</f>
        <v/>
      </c>
      <c r="B1748" s="112" t="str">
        <f>'Sampling Data'!A1743</f>
        <v>PARMA -08-E</v>
      </c>
      <c r="C1748" s="112">
        <f>'Sampling Data'!B1743</f>
        <v>6</v>
      </c>
      <c r="D1748" s="112">
        <f>'Sampling Data'!C1743</f>
        <v>20</v>
      </c>
      <c r="E1748" s="113">
        <f>'Sampling Data'!D1743</f>
        <v>8</v>
      </c>
      <c r="F1748" s="113">
        <f>'Sampling Data'!E1743</f>
        <v>3</v>
      </c>
      <c r="G1748" s="113">
        <f>'Sampling Data'!F1743</f>
        <v>0</v>
      </c>
      <c r="H1748" s="113">
        <f>'Sampling Data'!G1743</f>
        <v>0</v>
      </c>
      <c r="I1748" s="112">
        <f>'Sampling Data'!H1743</f>
        <v>0</v>
      </c>
      <c r="J1748" s="112">
        <f>'Sampling Data'!I1743</f>
        <v>1</v>
      </c>
      <c r="K1748" s="112">
        <f>'Sampling Data'!J1743</f>
        <v>38</v>
      </c>
      <c r="L1748" s="111">
        <f>'Sampling Data'!X1743</f>
        <v>0</v>
      </c>
      <c r="M1748" s="114"/>
      <c r="N1748" s="114"/>
      <c r="O1748" s="115"/>
      <c r="P1748" s="115"/>
      <c r="Q1748" s="116"/>
      <c r="R1748" s="116"/>
      <c r="S1748" s="111">
        <f>Audit[[#This Row],[Audit Losing Candidate]]-Audit[[#This Row],[Losing Candidate]]</f>
        <v>-6</v>
      </c>
      <c r="T1748" s="111">
        <f>Audit[[#This Row],[Audit Winning Candidate]]-Audit[[#This Row],[Winning Candidate]]</f>
        <v>-20</v>
      </c>
      <c r="U1748" s="111">
        <f>Audit[[#This Row],[Audit Candidate 3]]-Audit[[#This Row],[Candidate 3]]</f>
        <v>-8</v>
      </c>
      <c r="V1748" s="111">
        <f>Audit[[#This Row],[Audit Candidate 4]]-Audit[[#This Row],[Candidate 4]]</f>
        <v>-3</v>
      </c>
      <c r="W1748" s="111">
        <f>Audit[[#This Row],[Audit Candidate 5]]-Audit[[#This Row],[Candidate 5]]</f>
        <v>0</v>
      </c>
      <c r="X1748" s="111">
        <f>Audit[[#This Row],[Audit Candidate 6]]-Audit[[#This Row],[Candidate 6]]</f>
        <v>0</v>
      </c>
      <c r="Y1748" s="111">
        <f>SUMIF(Audit[[#This Row],[Difference Loser]:[Difference Candidate 6]], "&gt;0")</f>
        <v>0</v>
      </c>
      <c r="Z1748" s="111">
        <f>SUM(Audit[[#This Row],[Difference Loser]:[Difference Candidate 6]])</f>
        <v>-37</v>
      </c>
      <c r="AA1748" s="111">
        <f>IF(Audit[[#This Row],[Times p Drawn - With Replacement]]&gt;0, IF(Audit[[#This Row],[Canceled Differences]]&lt;0, Audit[[#This Row],[Max Differences]]+ABS(Audit[[#This Row],[Canceled Differences]]), Audit[[#This Row],[Max Differences]]), 0)</f>
        <v>0</v>
      </c>
      <c r="AB1748" s="111">
        <f>'Sampling Data'!P1743</f>
        <v>3.1847133757961785E-3</v>
      </c>
      <c r="AC1748" s="111">
        <f>IF(
      SUM(Audit[[#This Row],[Audit Losing Candidate]:[Audit Candidate 6]])
      &lt;&gt;0,
      (Audit[[#This Row],[Winning Candidate]]-Audit[[#This Row],[Losing Candidate]]-(Audit[[#This Row],[Audit Winning Candidate]]-Audit[[#This Row],[Audit Losing Candidate]]))/(Audit[[#Totals],[Winning Candidate]]-Audit[[#Totals],[Losing Candidate]]),
      0
)</f>
        <v>0</v>
      </c>
      <c r="AD17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8" s="111">
        <f>IF(Audit[[#This Row],[Max Relative Error (ep)]] = 0, 0, Audit[[#This Row],[Max Relative Error (ep)]]/Audit[[#This Row],[Error Bound (up) - Max. possible relative overstatement]])</f>
        <v>0</v>
      </c>
      <c r="AJ17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48" s="111">
        <f t="shared" si="27"/>
        <v>1</v>
      </c>
      <c r="AL1748" s="111">
        <f>PRODUCT($AK$5:AK1748)</f>
        <v>8.962823818226312E-2</v>
      </c>
      <c r="AM1748" s="109">
        <f>1 - [K-M P Value]</f>
        <v>0.91037176181773694</v>
      </c>
      <c r="AN1748" s="111" t="str">
        <f>IF(Audit[[#This Row],[K-M P Value]]&gt;1-'General Info'!$B$16,"Continue", "Stop")</f>
        <v>Stop</v>
      </c>
      <c r="AO1748" s="110" t="b">
        <f>IF(Audit[[#This Row],[Status - Continue or stop audit]] = "Continue", TRUE, IF(AN1747 = "Continue", TRUE, FALSE))</f>
        <v>0</v>
      </c>
      <c r="AP1748" s="110"/>
    </row>
    <row r="1749" spans="1:42" ht="15" hidden="1" customHeight="1">
      <c r="A1749" s="111" t="str">
        <f>'Sampling Data'!W1744</f>
        <v/>
      </c>
      <c r="B1749" s="112" t="str">
        <f>'Sampling Data'!A1744</f>
        <v>PARMA -08-E - ABS</v>
      </c>
      <c r="C1749" s="112">
        <f>'Sampling Data'!B1744</f>
        <v>9</v>
      </c>
      <c r="D1749" s="112">
        <f>'Sampling Data'!C1744</f>
        <v>15</v>
      </c>
      <c r="E1749" s="113">
        <f>'Sampling Data'!D1744</f>
        <v>2</v>
      </c>
      <c r="F1749" s="113">
        <f>'Sampling Data'!E1744</f>
        <v>2</v>
      </c>
      <c r="G1749" s="113">
        <f>'Sampling Data'!F1744</f>
        <v>0</v>
      </c>
      <c r="H1749" s="113">
        <f>'Sampling Data'!G1744</f>
        <v>1</v>
      </c>
      <c r="I1749" s="112">
        <f>'Sampling Data'!H1744</f>
        <v>0</v>
      </c>
      <c r="J1749" s="112">
        <f>'Sampling Data'!I1744</f>
        <v>0</v>
      </c>
      <c r="K1749" s="112">
        <f>'Sampling Data'!J1744</f>
        <v>29</v>
      </c>
      <c r="L1749" s="111">
        <f>'Sampling Data'!X1744</f>
        <v>0</v>
      </c>
      <c r="M1749" s="114"/>
      <c r="N1749" s="114"/>
      <c r="O1749" s="115"/>
      <c r="P1749" s="115"/>
      <c r="Q1749" s="116"/>
      <c r="R1749" s="116"/>
      <c r="S1749" s="111">
        <f>Audit[[#This Row],[Audit Losing Candidate]]-Audit[[#This Row],[Losing Candidate]]</f>
        <v>-9</v>
      </c>
      <c r="T1749" s="111">
        <f>Audit[[#This Row],[Audit Winning Candidate]]-Audit[[#This Row],[Winning Candidate]]</f>
        <v>-15</v>
      </c>
      <c r="U1749" s="111">
        <f>Audit[[#This Row],[Audit Candidate 3]]-Audit[[#This Row],[Candidate 3]]</f>
        <v>-2</v>
      </c>
      <c r="V1749" s="111">
        <f>Audit[[#This Row],[Audit Candidate 4]]-Audit[[#This Row],[Candidate 4]]</f>
        <v>-2</v>
      </c>
      <c r="W1749" s="111">
        <f>Audit[[#This Row],[Audit Candidate 5]]-Audit[[#This Row],[Candidate 5]]</f>
        <v>0</v>
      </c>
      <c r="X1749" s="111">
        <f>Audit[[#This Row],[Audit Candidate 6]]-Audit[[#This Row],[Candidate 6]]</f>
        <v>-1</v>
      </c>
      <c r="Y1749" s="111">
        <f>SUMIF(Audit[[#This Row],[Difference Loser]:[Difference Candidate 6]], "&gt;0")</f>
        <v>0</v>
      </c>
      <c r="Z1749" s="111">
        <f>SUM(Audit[[#This Row],[Difference Loser]:[Difference Candidate 6]])</f>
        <v>-29</v>
      </c>
      <c r="AA1749" s="111">
        <f>IF(Audit[[#This Row],[Times p Drawn - With Replacement]]&gt;0, IF(Audit[[#This Row],[Canceled Differences]]&lt;0, Audit[[#This Row],[Max Differences]]+ABS(Audit[[#This Row],[Canceled Differences]]), Audit[[#This Row],[Max Differences]]), 0)</f>
        <v>0</v>
      </c>
      <c r="AB1749" s="111">
        <f>'Sampling Data'!P1744</f>
        <v>2.1435570798628125E-3</v>
      </c>
      <c r="AC1749" s="111">
        <f>IF(
      SUM(Audit[[#This Row],[Audit Losing Candidate]:[Audit Candidate 6]])
      &lt;&gt;0,
      (Audit[[#This Row],[Winning Candidate]]-Audit[[#This Row],[Losing Candidate]]-(Audit[[#This Row],[Audit Winning Candidate]]-Audit[[#This Row],[Audit Losing Candidate]]))/(Audit[[#Totals],[Winning Candidate]]-Audit[[#Totals],[Losing Candidate]]),
      0
)</f>
        <v>0</v>
      </c>
      <c r="AD17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9" s="111">
        <f>IF(Audit[[#This Row],[Max Relative Error (ep)]] = 0, 0, Audit[[#This Row],[Max Relative Error (ep)]]/Audit[[#This Row],[Error Bound (up) - Max. possible relative overstatement]])</f>
        <v>0</v>
      </c>
      <c r="AJ17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49" s="111">
        <f t="shared" si="27"/>
        <v>1</v>
      </c>
      <c r="AL1749" s="111">
        <f>PRODUCT($AK$5:AK1749)</f>
        <v>8.962823818226312E-2</v>
      </c>
      <c r="AM1749" s="109">
        <f>1 - [K-M P Value]</f>
        <v>0.91037176181773694</v>
      </c>
      <c r="AN1749" s="111" t="str">
        <f>IF(Audit[[#This Row],[K-M P Value]]&gt;1-'General Info'!$B$16,"Continue", "Stop")</f>
        <v>Stop</v>
      </c>
      <c r="AO1749" s="110" t="b">
        <f>IF(Audit[[#This Row],[Status - Continue or stop audit]] = "Continue", TRUE, IF(AN1748 = "Continue", TRUE, FALSE))</f>
        <v>0</v>
      </c>
      <c r="AP1749" s="110"/>
    </row>
    <row r="1750" spans="1:42" ht="15" hidden="1" customHeight="1">
      <c r="A1750" s="111" t="str">
        <f>'Sampling Data'!W1745</f>
        <v/>
      </c>
      <c r="B1750" s="112" t="str">
        <f>'Sampling Data'!A1745</f>
        <v>PARMA -08-F</v>
      </c>
      <c r="C1750" s="112">
        <f>'Sampling Data'!B1745</f>
        <v>26</v>
      </c>
      <c r="D1750" s="112">
        <f>'Sampling Data'!C1745</f>
        <v>38</v>
      </c>
      <c r="E1750" s="113">
        <f>'Sampling Data'!D1745</f>
        <v>10</v>
      </c>
      <c r="F1750" s="113">
        <f>'Sampling Data'!E1745</f>
        <v>9</v>
      </c>
      <c r="G1750" s="113">
        <f>'Sampling Data'!F1745</f>
        <v>1</v>
      </c>
      <c r="H1750" s="113">
        <f>'Sampling Data'!G1745</f>
        <v>3</v>
      </c>
      <c r="I1750" s="112">
        <f>'Sampling Data'!H1745</f>
        <v>0</v>
      </c>
      <c r="J1750" s="112">
        <f>'Sampling Data'!I1745</f>
        <v>0</v>
      </c>
      <c r="K1750" s="112">
        <f>'Sampling Data'!J1745</f>
        <v>87</v>
      </c>
      <c r="L1750" s="111">
        <f>'Sampling Data'!X1745</f>
        <v>0</v>
      </c>
      <c r="M1750" s="114"/>
      <c r="N1750" s="114"/>
      <c r="O1750" s="115"/>
      <c r="P1750" s="115"/>
      <c r="Q1750" s="116"/>
      <c r="R1750" s="116"/>
      <c r="S1750" s="111">
        <f>Audit[[#This Row],[Audit Losing Candidate]]-Audit[[#This Row],[Losing Candidate]]</f>
        <v>-26</v>
      </c>
      <c r="T1750" s="111">
        <f>Audit[[#This Row],[Audit Winning Candidate]]-Audit[[#This Row],[Winning Candidate]]</f>
        <v>-38</v>
      </c>
      <c r="U1750" s="111">
        <f>Audit[[#This Row],[Audit Candidate 3]]-Audit[[#This Row],[Candidate 3]]</f>
        <v>-10</v>
      </c>
      <c r="V1750" s="111">
        <f>Audit[[#This Row],[Audit Candidate 4]]-Audit[[#This Row],[Candidate 4]]</f>
        <v>-9</v>
      </c>
      <c r="W1750" s="111">
        <f>Audit[[#This Row],[Audit Candidate 5]]-Audit[[#This Row],[Candidate 5]]</f>
        <v>-1</v>
      </c>
      <c r="X1750" s="111">
        <f>Audit[[#This Row],[Audit Candidate 6]]-Audit[[#This Row],[Candidate 6]]</f>
        <v>-3</v>
      </c>
      <c r="Y1750" s="111">
        <f>SUMIF(Audit[[#This Row],[Difference Loser]:[Difference Candidate 6]], "&gt;0")</f>
        <v>0</v>
      </c>
      <c r="Z1750" s="111">
        <f>SUM(Audit[[#This Row],[Difference Loser]:[Difference Candidate 6]])</f>
        <v>-87</v>
      </c>
      <c r="AA1750" s="111">
        <f>IF(Audit[[#This Row],[Times p Drawn - With Replacement]]&gt;0, IF(Audit[[#This Row],[Canceled Differences]]&lt;0, Audit[[#This Row],[Max Differences]]+ABS(Audit[[#This Row],[Canceled Differences]]), Audit[[#This Row],[Max Differences]]), 0)</f>
        <v>0</v>
      </c>
      <c r="AB1750" s="111">
        <f>'Sampling Data'!P1745</f>
        <v>6.063204311611955E-3</v>
      </c>
      <c r="AC1750" s="111">
        <f>IF(
      SUM(Audit[[#This Row],[Audit Losing Candidate]:[Audit Candidate 6]])
      &lt;&gt;0,
      (Audit[[#This Row],[Winning Candidate]]-Audit[[#This Row],[Losing Candidate]]-(Audit[[#This Row],[Audit Winning Candidate]]-Audit[[#This Row],[Audit Losing Candidate]]))/(Audit[[#Totals],[Winning Candidate]]-Audit[[#Totals],[Losing Candidate]]),
      0
)</f>
        <v>0</v>
      </c>
      <c r="AD17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0" s="111">
        <f>IF(Audit[[#This Row],[Max Relative Error (ep)]] = 0, 0, Audit[[#This Row],[Max Relative Error (ep)]]/Audit[[#This Row],[Error Bound (up) - Max. possible relative overstatement]])</f>
        <v>0</v>
      </c>
      <c r="AJ17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50" s="111">
        <f t="shared" si="27"/>
        <v>1</v>
      </c>
      <c r="AL1750" s="111">
        <f>PRODUCT($AK$5:AK1750)</f>
        <v>8.962823818226312E-2</v>
      </c>
      <c r="AM1750" s="109">
        <f>1 - [K-M P Value]</f>
        <v>0.91037176181773694</v>
      </c>
      <c r="AN1750" s="111" t="str">
        <f>IF(Audit[[#This Row],[K-M P Value]]&gt;1-'General Info'!$B$16,"Continue", "Stop")</f>
        <v>Stop</v>
      </c>
      <c r="AO1750" s="110" t="b">
        <f>IF(Audit[[#This Row],[Status - Continue or stop audit]] = "Continue", TRUE, IF(AN1749 = "Continue", TRUE, FALSE))</f>
        <v>0</v>
      </c>
      <c r="AP1750" s="110"/>
    </row>
    <row r="1751" spans="1:42" ht="15" hidden="1" customHeight="1">
      <c r="A1751" s="111" t="str">
        <f>'Sampling Data'!W1746</f>
        <v/>
      </c>
      <c r="B1751" s="112" t="str">
        <f>'Sampling Data'!A1746</f>
        <v>PARMA -08-F - ABS</v>
      </c>
      <c r="C1751" s="112">
        <f>'Sampling Data'!B1746</f>
        <v>5</v>
      </c>
      <c r="D1751" s="112">
        <f>'Sampling Data'!C1746</f>
        <v>11</v>
      </c>
      <c r="E1751" s="113">
        <f>'Sampling Data'!D1746</f>
        <v>3</v>
      </c>
      <c r="F1751" s="113">
        <f>'Sampling Data'!E1746</f>
        <v>0</v>
      </c>
      <c r="G1751" s="113">
        <f>'Sampling Data'!F1746</f>
        <v>0</v>
      </c>
      <c r="H1751" s="113">
        <f>'Sampling Data'!G1746</f>
        <v>0</v>
      </c>
      <c r="I1751" s="112">
        <f>'Sampling Data'!H1746</f>
        <v>0</v>
      </c>
      <c r="J1751" s="112">
        <f>'Sampling Data'!I1746</f>
        <v>0</v>
      </c>
      <c r="K1751" s="112">
        <f>'Sampling Data'!J1746</f>
        <v>19</v>
      </c>
      <c r="L1751" s="111">
        <f>'Sampling Data'!X1746</f>
        <v>0</v>
      </c>
      <c r="M1751" s="114"/>
      <c r="N1751" s="114"/>
      <c r="O1751" s="115"/>
      <c r="P1751" s="115"/>
      <c r="Q1751" s="116"/>
      <c r="R1751" s="116"/>
      <c r="S1751" s="111">
        <f>Audit[[#This Row],[Audit Losing Candidate]]-Audit[[#This Row],[Losing Candidate]]</f>
        <v>-5</v>
      </c>
      <c r="T1751" s="111">
        <f>Audit[[#This Row],[Audit Winning Candidate]]-Audit[[#This Row],[Winning Candidate]]</f>
        <v>-11</v>
      </c>
      <c r="U1751" s="111">
        <f>Audit[[#This Row],[Audit Candidate 3]]-Audit[[#This Row],[Candidate 3]]</f>
        <v>-3</v>
      </c>
      <c r="V1751" s="111">
        <f>Audit[[#This Row],[Audit Candidate 4]]-Audit[[#This Row],[Candidate 4]]</f>
        <v>0</v>
      </c>
      <c r="W1751" s="111">
        <f>Audit[[#This Row],[Audit Candidate 5]]-Audit[[#This Row],[Candidate 5]]</f>
        <v>0</v>
      </c>
      <c r="X1751" s="111">
        <f>Audit[[#This Row],[Audit Candidate 6]]-Audit[[#This Row],[Candidate 6]]</f>
        <v>0</v>
      </c>
      <c r="Y1751" s="111">
        <f>SUMIF(Audit[[#This Row],[Difference Loser]:[Difference Candidate 6]], "&gt;0")</f>
        <v>0</v>
      </c>
      <c r="Z1751" s="111">
        <f>SUM(Audit[[#This Row],[Difference Loser]:[Difference Candidate 6]])</f>
        <v>-19</v>
      </c>
      <c r="AA1751" s="111">
        <f>IF(Audit[[#This Row],[Times p Drawn - With Replacement]]&gt;0, IF(Audit[[#This Row],[Canceled Differences]]&lt;0, Audit[[#This Row],[Max Differences]]+ABS(Audit[[#This Row],[Canceled Differences]]), Audit[[#This Row],[Max Differences]]), 0)</f>
        <v>0</v>
      </c>
      <c r="AB1751" s="111">
        <f>'Sampling Data'!P1746</f>
        <v>1.5311121999020088E-3</v>
      </c>
      <c r="AC1751" s="111">
        <f>IF(
      SUM(Audit[[#This Row],[Audit Losing Candidate]:[Audit Candidate 6]])
      &lt;&gt;0,
      (Audit[[#This Row],[Winning Candidate]]-Audit[[#This Row],[Losing Candidate]]-(Audit[[#This Row],[Audit Winning Candidate]]-Audit[[#This Row],[Audit Losing Candidate]]))/(Audit[[#Totals],[Winning Candidate]]-Audit[[#Totals],[Losing Candidate]]),
      0
)</f>
        <v>0</v>
      </c>
      <c r="AD17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1" s="111">
        <f>IF(Audit[[#This Row],[Max Relative Error (ep)]] = 0, 0, Audit[[#This Row],[Max Relative Error (ep)]]/Audit[[#This Row],[Error Bound (up) - Max. possible relative overstatement]])</f>
        <v>0</v>
      </c>
      <c r="AJ17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51" s="111">
        <f t="shared" si="27"/>
        <v>1</v>
      </c>
      <c r="AL1751" s="111">
        <f>PRODUCT($AK$5:AK1751)</f>
        <v>8.962823818226312E-2</v>
      </c>
      <c r="AM1751" s="109">
        <f>1 - [K-M P Value]</f>
        <v>0.91037176181773694</v>
      </c>
      <c r="AN1751" s="111" t="str">
        <f>IF(Audit[[#This Row],[K-M P Value]]&gt;1-'General Info'!$B$16,"Continue", "Stop")</f>
        <v>Stop</v>
      </c>
      <c r="AO1751" s="110" t="b">
        <f>IF(Audit[[#This Row],[Status - Continue or stop audit]] = "Continue", TRUE, IF(AN1750 = "Continue", TRUE, FALSE))</f>
        <v>0</v>
      </c>
      <c r="AP1751" s="110"/>
    </row>
    <row r="1752" spans="1:42" ht="15" hidden="1" customHeight="1">
      <c r="A1752" s="111" t="str">
        <f>'Sampling Data'!W1747</f>
        <v/>
      </c>
      <c r="B1752" s="112" t="str">
        <f>'Sampling Data'!A1747</f>
        <v>PARMA -08-G</v>
      </c>
      <c r="C1752" s="112">
        <f>'Sampling Data'!B1747</f>
        <v>24</v>
      </c>
      <c r="D1752" s="112">
        <f>'Sampling Data'!C1747</f>
        <v>29</v>
      </c>
      <c r="E1752" s="113">
        <f>'Sampling Data'!D1747</f>
        <v>13</v>
      </c>
      <c r="F1752" s="113">
        <f>'Sampling Data'!E1747</f>
        <v>10</v>
      </c>
      <c r="G1752" s="113">
        <f>'Sampling Data'!F1747</f>
        <v>0</v>
      </c>
      <c r="H1752" s="113">
        <f>'Sampling Data'!G1747</f>
        <v>0</v>
      </c>
      <c r="I1752" s="112">
        <f>'Sampling Data'!H1747</f>
        <v>0</v>
      </c>
      <c r="J1752" s="112">
        <f>'Sampling Data'!I1747</f>
        <v>0</v>
      </c>
      <c r="K1752" s="112">
        <f>'Sampling Data'!J1747</f>
        <v>76</v>
      </c>
      <c r="L1752" s="111">
        <f>'Sampling Data'!X1747</f>
        <v>0</v>
      </c>
      <c r="M1752" s="114"/>
      <c r="N1752" s="114"/>
      <c r="O1752" s="115"/>
      <c r="P1752" s="115"/>
      <c r="Q1752" s="116"/>
      <c r="R1752" s="116"/>
      <c r="S1752" s="111">
        <f>Audit[[#This Row],[Audit Losing Candidate]]-Audit[[#This Row],[Losing Candidate]]</f>
        <v>-24</v>
      </c>
      <c r="T1752" s="111">
        <f>Audit[[#This Row],[Audit Winning Candidate]]-Audit[[#This Row],[Winning Candidate]]</f>
        <v>-29</v>
      </c>
      <c r="U1752" s="111">
        <f>Audit[[#This Row],[Audit Candidate 3]]-Audit[[#This Row],[Candidate 3]]</f>
        <v>-13</v>
      </c>
      <c r="V1752" s="111">
        <f>Audit[[#This Row],[Audit Candidate 4]]-Audit[[#This Row],[Candidate 4]]</f>
        <v>-10</v>
      </c>
      <c r="W1752" s="111">
        <f>Audit[[#This Row],[Audit Candidate 5]]-Audit[[#This Row],[Candidate 5]]</f>
        <v>0</v>
      </c>
      <c r="X1752" s="111">
        <f>Audit[[#This Row],[Audit Candidate 6]]-Audit[[#This Row],[Candidate 6]]</f>
        <v>0</v>
      </c>
      <c r="Y1752" s="111">
        <f>SUMIF(Audit[[#This Row],[Difference Loser]:[Difference Candidate 6]], "&gt;0")</f>
        <v>0</v>
      </c>
      <c r="Z1752" s="111">
        <f>SUM(Audit[[#This Row],[Difference Loser]:[Difference Candidate 6]])</f>
        <v>-76</v>
      </c>
      <c r="AA1752" s="111">
        <f>IF(Audit[[#This Row],[Times p Drawn - With Replacement]]&gt;0, IF(Audit[[#This Row],[Canceled Differences]]&lt;0, Audit[[#This Row],[Max Differences]]+ABS(Audit[[#This Row],[Canceled Differences]]), Audit[[#This Row],[Max Differences]]), 0)</f>
        <v>0</v>
      </c>
      <c r="AB1752" s="111">
        <f>'Sampling Data'!P1747</f>
        <v>4.9608035276825085E-3</v>
      </c>
      <c r="AC1752" s="111">
        <f>IF(
      SUM(Audit[[#This Row],[Audit Losing Candidate]:[Audit Candidate 6]])
      &lt;&gt;0,
      (Audit[[#This Row],[Winning Candidate]]-Audit[[#This Row],[Losing Candidate]]-(Audit[[#This Row],[Audit Winning Candidate]]-Audit[[#This Row],[Audit Losing Candidate]]))/(Audit[[#Totals],[Winning Candidate]]-Audit[[#Totals],[Losing Candidate]]),
      0
)</f>
        <v>0</v>
      </c>
      <c r="AD17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2" s="111">
        <f>IF(Audit[[#This Row],[Max Relative Error (ep)]] = 0, 0, Audit[[#This Row],[Max Relative Error (ep)]]/Audit[[#This Row],[Error Bound (up) - Max. possible relative overstatement]])</f>
        <v>0</v>
      </c>
      <c r="AJ17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52" s="111">
        <f t="shared" si="27"/>
        <v>1</v>
      </c>
      <c r="AL1752" s="111">
        <f>PRODUCT($AK$5:AK1752)</f>
        <v>8.962823818226312E-2</v>
      </c>
      <c r="AM1752" s="109">
        <f>1 - [K-M P Value]</f>
        <v>0.91037176181773694</v>
      </c>
      <c r="AN1752" s="111" t="str">
        <f>IF(Audit[[#This Row],[K-M P Value]]&gt;1-'General Info'!$B$16,"Continue", "Stop")</f>
        <v>Stop</v>
      </c>
      <c r="AO1752" s="110" t="b">
        <f>IF(Audit[[#This Row],[Status - Continue or stop audit]] = "Continue", TRUE, IF(AN1751 = "Continue", TRUE, FALSE))</f>
        <v>0</v>
      </c>
      <c r="AP1752" s="110"/>
    </row>
    <row r="1753" spans="1:42" ht="15" hidden="1" customHeight="1">
      <c r="A1753" s="111" t="str">
        <f>'Sampling Data'!W1748</f>
        <v/>
      </c>
      <c r="B1753" s="112" t="str">
        <f>'Sampling Data'!A1748</f>
        <v>PARMA -08-G - ABS</v>
      </c>
      <c r="C1753" s="112">
        <f>'Sampling Data'!B1748</f>
        <v>5</v>
      </c>
      <c r="D1753" s="112">
        <f>'Sampling Data'!C1748</f>
        <v>10</v>
      </c>
      <c r="E1753" s="113">
        <f>'Sampling Data'!D1748</f>
        <v>1</v>
      </c>
      <c r="F1753" s="113">
        <f>'Sampling Data'!E1748</f>
        <v>3</v>
      </c>
      <c r="G1753" s="113">
        <f>'Sampling Data'!F1748</f>
        <v>0</v>
      </c>
      <c r="H1753" s="113">
        <f>'Sampling Data'!G1748</f>
        <v>0</v>
      </c>
      <c r="I1753" s="112">
        <f>'Sampling Data'!H1748</f>
        <v>0</v>
      </c>
      <c r="J1753" s="112">
        <f>'Sampling Data'!I1748</f>
        <v>0</v>
      </c>
      <c r="K1753" s="112">
        <f>'Sampling Data'!J1748</f>
        <v>19</v>
      </c>
      <c r="L1753" s="111">
        <f>'Sampling Data'!X1748</f>
        <v>0</v>
      </c>
      <c r="M1753" s="114"/>
      <c r="N1753" s="114"/>
      <c r="O1753" s="115"/>
      <c r="P1753" s="115"/>
      <c r="Q1753" s="116"/>
      <c r="R1753" s="116"/>
      <c r="S1753" s="111">
        <f>Audit[[#This Row],[Audit Losing Candidate]]-Audit[[#This Row],[Losing Candidate]]</f>
        <v>-5</v>
      </c>
      <c r="T1753" s="111">
        <f>Audit[[#This Row],[Audit Winning Candidate]]-Audit[[#This Row],[Winning Candidate]]</f>
        <v>-10</v>
      </c>
      <c r="U1753" s="111">
        <f>Audit[[#This Row],[Audit Candidate 3]]-Audit[[#This Row],[Candidate 3]]</f>
        <v>-1</v>
      </c>
      <c r="V1753" s="111">
        <f>Audit[[#This Row],[Audit Candidate 4]]-Audit[[#This Row],[Candidate 4]]</f>
        <v>-3</v>
      </c>
      <c r="W1753" s="111">
        <f>Audit[[#This Row],[Audit Candidate 5]]-Audit[[#This Row],[Candidate 5]]</f>
        <v>0</v>
      </c>
      <c r="X1753" s="111">
        <f>Audit[[#This Row],[Audit Candidate 6]]-Audit[[#This Row],[Candidate 6]]</f>
        <v>0</v>
      </c>
      <c r="Y1753" s="111">
        <f>SUMIF(Audit[[#This Row],[Difference Loser]:[Difference Candidate 6]], "&gt;0")</f>
        <v>0</v>
      </c>
      <c r="Z1753" s="111">
        <f>SUM(Audit[[#This Row],[Difference Loser]:[Difference Candidate 6]])</f>
        <v>-19</v>
      </c>
      <c r="AA1753" s="111">
        <f>IF(Audit[[#This Row],[Times p Drawn - With Replacement]]&gt;0, IF(Audit[[#This Row],[Canceled Differences]]&lt;0, Audit[[#This Row],[Max Differences]]+ABS(Audit[[#This Row],[Canceled Differences]]), Audit[[#This Row],[Max Differences]]), 0)</f>
        <v>0</v>
      </c>
      <c r="AB1753" s="111">
        <f>'Sampling Data'!P1748</f>
        <v>1.4698677119059284E-3</v>
      </c>
      <c r="AC1753" s="111">
        <f>IF(
      SUM(Audit[[#This Row],[Audit Losing Candidate]:[Audit Candidate 6]])
      &lt;&gt;0,
      (Audit[[#This Row],[Winning Candidate]]-Audit[[#This Row],[Losing Candidate]]-(Audit[[#This Row],[Audit Winning Candidate]]-Audit[[#This Row],[Audit Losing Candidate]]))/(Audit[[#Totals],[Winning Candidate]]-Audit[[#Totals],[Losing Candidate]]),
      0
)</f>
        <v>0</v>
      </c>
      <c r="AD17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3" s="111">
        <f>IF(Audit[[#This Row],[Max Relative Error (ep)]] = 0, 0, Audit[[#This Row],[Max Relative Error (ep)]]/Audit[[#This Row],[Error Bound (up) - Max. possible relative overstatement]])</f>
        <v>0</v>
      </c>
      <c r="AJ17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53" s="111">
        <f t="shared" si="27"/>
        <v>1</v>
      </c>
      <c r="AL1753" s="111">
        <f>PRODUCT($AK$5:AK1753)</f>
        <v>8.962823818226312E-2</v>
      </c>
      <c r="AM1753" s="109">
        <f>1 - [K-M P Value]</f>
        <v>0.91037176181773694</v>
      </c>
      <c r="AN1753" s="111" t="str">
        <f>IF(Audit[[#This Row],[K-M P Value]]&gt;1-'General Info'!$B$16,"Continue", "Stop")</f>
        <v>Stop</v>
      </c>
      <c r="AO1753" s="110" t="b">
        <f>IF(Audit[[#This Row],[Status - Continue or stop audit]] = "Continue", TRUE, IF(AN1752 = "Continue", TRUE, FALSE))</f>
        <v>0</v>
      </c>
      <c r="AP1753" s="110"/>
    </row>
    <row r="1754" spans="1:42" ht="15" hidden="1" customHeight="1">
      <c r="A1754" s="111" t="str">
        <f>'Sampling Data'!W1749</f>
        <v/>
      </c>
      <c r="B1754" s="112" t="str">
        <f>'Sampling Data'!A1749</f>
        <v>PARMA -08-G.02</v>
      </c>
      <c r="C1754" s="112">
        <f>'Sampling Data'!B1749</f>
        <v>3</v>
      </c>
      <c r="D1754" s="112">
        <f>'Sampling Data'!C1749</f>
        <v>7</v>
      </c>
      <c r="E1754" s="113">
        <f>'Sampling Data'!D1749</f>
        <v>3</v>
      </c>
      <c r="F1754" s="113">
        <f>'Sampling Data'!E1749</f>
        <v>4</v>
      </c>
      <c r="G1754" s="113">
        <f>'Sampling Data'!F1749</f>
        <v>0</v>
      </c>
      <c r="H1754" s="113">
        <f>'Sampling Data'!G1749</f>
        <v>1</v>
      </c>
      <c r="I1754" s="112">
        <f>'Sampling Data'!H1749</f>
        <v>0</v>
      </c>
      <c r="J1754" s="112">
        <f>'Sampling Data'!I1749</f>
        <v>0</v>
      </c>
      <c r="K1754" s="112">
        <f>'Sampling Data'!J1749</f>
        <v>18</v>
      </c>
      <c r="L1754" s="111">
        <f>'Sampling Data'!X1749</f>
        <v>0</v>
      </c>
      <c r="M1754" s="114"/>
      <c r="N1754" s="114"/>
      <c r="O1754" s="115"/>
      <c r="P1754" s="115"/>
      <c r="Q1754" s="116"/>
      <c r="R1754" s="116"/>
      <c r="S1754" s="111">
        <f>Audit[[#This Row],[Audit Losing Candidate]]-Audit[[#This Row],[Losing Candidate]]</f>
        <v>-3</v>
      </c>
      <c r="T1754" s="111">
        <f>Audit[[#This Row],[Audit Winning Candidate]]-Audit[[#This Row],[Winning Candidate]]</f>
        <v>-7</v>
      </c>
      <c r="U1754" s="111">
        <f>Audit[[#This Row],[Audit Candidate 3]]-Audit[[#This Row],[Candidate 3]]</f>
        <v>-3</v>
      </c>
      <c r="V1754" s="111">
        <f>Audit[[#This Row],[Audit Candidate 4]]-Audit[[#This Row],[Candidate 4]]</f>
        <v>-4</v>
      </c>
      <c r="W1754" s="111">
        <f>Audit[[#This Row],[Audit Candidate 5]]-Audit[[#This Row],[Candidate 5]]</f>
        <v>0</v>
      </c>
      <c r="X1754" s="111">
        <f>Audit[[#This Row],[Audit Candidate 6]]-Audit[[#This Row],[Candidate 6]]</f>
        <v>-1</v>
      </c>
      <c r="Y1754" s="111">
        <f>SUMIF(Audit[[#This Row],[Difference Loser]:[Difference Candidate 6]], "&gt;0")</f>
        <v>0</v>
      </c>
      <c r="Z1754" s="111">
        <f>SUM(Audit[[#This Row],[Difference Loser]:[Difference Candidate 6]])</f>
        <v>-18</v>
      </c>
      <c r="AA1754" s="111">
        <f>IF(Audit[[#This Row],[Times p Drawn - With Replacement]]&gt;0, IF(Audit[[#This Row],[Canceled Differences]]&lt;0, Audit[[#This Row],[Max Differences]]+ABS(Audit[[#This Row],[Canceled Differences]]), Audit[[#This Row],[Max Differences]]), 0)</f>
        <v>0</v>
      </c>
      <c r="AB1754" s="111">
        <f>'Sampling Data'!P1749</f>
        <v>1.3473787359137678E-3</v>
      </c>
      <c r="AC1754" s="111">
        <f>IF(
      SUM(Audit[[#This Row],[Audit Losing Candidate]:[Audit Candidate 6]])
      &lt;&gt;0,
      (Audit[[#This Row],[Winning Candidate]]-Audit[[#This Row],[Losing Candidate]]-(Audit[[#This Row],[Audit Winning Candidate]]-Audit[[#This Row],[Audit Losing Candidate]]))/(Audit[[#Totals],[Winning Candidate]]-Audit[[#Totals],[Losing Candidate]]),
      0
)</f>
        <v>0</v>
      </c>
      <c r="AD17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4" s="111">
        <f>IF(Audit[[#This Row],[Max Relative Error (ep)]] = 0, 0, Audit[[#This Row],[Max Relative Error (ep)]]/Audit[[#This Row],[Error Bound (up) - Max. possible relative overstatement]])</f>
        <v>0</v>
      </c>
      <c r="AJ17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54" s="111">
        <f t="shared" si="27"/>
        <v>1</v>
      </c>
      <c r="AL1754" s="111">
        <f>PRODUCT($AK$5:AK1754)</f>
        <v>8.962823818226312E-2</v>
      </c>
      <c r="AM1754" s="109">
        <f>1 - [K-M P Value]</f>
        <v>0.91037176181773694</v>
      </c>
      <c r="AN1754" s="111" t="str">
        <f>IF(Audit[[#This Row],[K-M P Value]]&gt;1-'General Info'!$B$16,"Continue", "Stop")</f>
        <v>Stop</v>
      </c>
      <c r="AO1754" s="110" t="b">
        <f>IF(Audit[[#This Row],[Status - Continue or stop audit]] = "Continue", TRUE, IF(AN1753 = "Continue", TRUE, FALSE))</f>
        <v>0</v>
      </c>
      <c r="AP1754" s="110"/>
    </row>
    <row r="1755" spans="1:42" ht="15" hidden="1" customHeight="1">
      <c r="A1755" s="111" t="str">
        <f>'Sampling Data'!W1750</f>
        <v/>
      </c>
      <c r="B1755" s="112" t="str">
        <f>'Sampling Data'!A1750</f>
        <v>PARMA -08-G.02 - ABS</v>
      </c>
      <c r="C1755" s="112">
        <f>'Sampling Data'!B1750</f>
        <v>2</v>
      </c>
      <c r="D1755" s="112">
        <f>'Sampling Data'!C1750</f>
        <v>1</v>
      </c>
      <c r="E1755" s="113">
        <f>'Sampling Data'!D1750</f>
        <v>3</v>
      </c>
      <c r="F1755" s="113">
        <f>'Sampling Data'!E1750</f>
        <v>0</v>
      </c>
      <c r="G1755" s="113">
        <f>'Sampling Data'!F1750</f>
        <v>0</v>
      </c>
      <c r="H1755" s="113">
        <f>'Sampling Data'!G1750</f>
        <v>0</v>
      </c>
      <c r="I1755" s="112">
        <f>'Sampling Data'!H1750</f>
        <v>0</v>
      </c>
      <c r="J1755" s="112">
        <f>'Sampling Data'!I1750</f>
        <v>1</v>
      </c>
      <c r="K1755" s="112">
        <f>'Sampling Data'!J1750</f>
        <v>7</v>
      </c>
      <c r="L1755" s="111">
        <f>'Sampling Data'!X1750</f>
        <v>0</v>
      </c>
      <c r="M1755" s="114"/>
      <c r="N1755" s="114"/>
      <c r="O1755" s="115"/>
      <c r="P1755" s="115"/>
      <c r="Q1755" s="116"/>
      <c r="R1755" s="116"/>
      <c r="S1755" s="111">
        <f>Audit[[#This Row],[Audit Losing Candidate]]-Audit[[#This Row],[Losing Candidate]]</f>
        <v>-2</v>
      </c>
      <c r="T1755" s="111">
        <f>Audit[[#This Row],[Audit Winning Candidate]]-Audit[[#This Row],[Winning Candidate]]</f>
        <v>-1</v>
      </c>
      <c r="U1755" s="111">
        <f>Audit[[#This Row],[Audit Candidate 3]]-Audit[[#This Row],[Candidate 3]]</f>
        <v>-3</v>
      </c>
      <c r="V1755" s="111">
        <f>Audit[[#This Row],[Audit Candidate 4]]-Audit[[#This Row],[Candidate 4]]</f>
        <v>0</v>
      </c>
      <c r="W1755" s="111">
        <f>Audit[[#This Row],[Audit Candidate 5]]-Audit[[#This Row],[Candidate 5]]</f>
        <v>0</v>
      </c>
      <c r="X1755" s="111">
        <f>Audit[[#This Row],[Audit Candidate 6]]-Audit[[#This Row],[Candidate 6]]</f>
        <v>0</v>
      </c>
      <c r="Y1755" s="111">
        <f>SUMIF(Audit[[#This Row],[Difference Loser]:[Difference Candidate 6]], "&gt;0")</f>
        <v>0</v>
      </c>
      <c r="Z1755" s="111">
        <f>SUM(Audit[[#This Row],[Difference Loser]:[Difference Candidate 6]])</f>
        <v>-6</v>
      </c>
      <c r="AA1755" s="111">
        <f>IF(Audit[[#This Row],[Times p Drawn - With Replacement]]&gt;0, IF(Audit[[#This Row],[Canceled Differences]]&lt;0, Audit[[#This Row],[Max Differences]]+ABS(Audit[[#This Row],[Canceled Differences]]), Audit[[#This Row],[Max Differences]]), 0)</f>
        <v>0</v>
      </c>
      <c r="AB1755" s="111">
        <f>'Sampling Data'!P1750</f>
        <v>3.6746692797648211E-4</v>
      </c>
      <c r="AC1755" s="111">
        <f>IF(
      SUM(Audit[[#This Row],[Audit Losing Candidate]:[Audit Candidate 6]])
      &lt;&gt;0,
      (Audit[[#This Row],[Winning Candidate]]-Audit[[#This Row],[Losing Candidate]]-(Audit[[#This Row],[Audit Winning Candidate]]-Audit[[#This Row],[Audit Losing Candidate]]))/(Audit[[#Totals],[Winning Candidate]]-Audit[[#Totals],[Losing Candidate]]),
      0
)</f>
        <v>0</v>
      </c>
      <c r="AD17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5" s="111">
        <f>IF(Audit[[#This Row],[Max Relative Error (ep)]] = 0, 0, Audit[[#This Row],[Max Relative Error (ep)]]/Audit[[#This Row],[Error Bound (up) - Max. possible relative overstatement]])</f>
        <v>0</v>
      </c>
      <c r="AJ17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55" s="111">
        <f t="shared" si="27"/>
        <v>1</v>
      </c>
      <c r="AL1755" s="111">
        <f>PRODUCT($AK$5:AK1755)</f>
        <v>8.962823818226312E-2</v>
      </c>
      <c r="AM1755" s="109">
        <f>1 - [K-M P Value]</f>
        <v>0.91037176181773694</v>
      </c>
      <c r="AN1755" s="111" t="str">
        <f>IF(Audit[[#This Row],[K-M P Value]]&gt;1-'General Info'!$B$16,"Continue", "Stop")</f>
        <v>Stop</v>
      </c>
      <c r="AO1755" s="110" t="b">
        <f>IF(Audit[[#This Row],[Status - Continue or stop audit]] = "Continue", TRUE, IF(AN1754 = "Continue", TRUE, FALSE))</f>
        <v>0</v>
      </c>
      <c r="AP1755" s="110"/>
    </row>
    <row r="1756" spans="1:42" ht="15" hidden="1" customHeight="1">
      <c r="A1756" s="111" t="str">
        <f>'Sampling Data'!W1751</f>
        <v/>
      </c>
      <c r="B1756" s="112" t="str">
        <f>'Sampling Data'!A1751</f>
        <v>PARMA -09-A</v>
      </c>
      <c r="C1756" s="112">
        <f>'Sampling Data'!B1751</f>
        <v>12</v>
      </c>
      <c r="D1756" s="112">
        <f>'Sampling Data'!C1751</f>
        <v>35</v>
      </c>
      <c r="E1756" s="113">
        <f>'Sampling Data'!D1751</f>
        <v>5</v>
      </c>
      <c r="F1756" s="113">
        <f>'Sampling Data'!E1751</f>
        <v>6</v>
      </c>
      <c r="G1756" s="113">
        <f>'Sampling Data'!F1751</f>
        <v>0</v>
      </c>
      <c r="H1756" s="113">
        <f>'Sampling Data'!G1751</f>
        <v>0</v>
      </c>
      <c r="I1756" s="112">
        <f>'Sampling Data'!H1751</f>
        <v>0</v>
      </c>
      <c r="J1756" s="112">
        <f>'Sampling Data'!I1751</f>
        <v>1</v>
      </c>
      <c r="K1756" s="112">
        <f>'Sampling Data'!J1751</f>
        <v>59</v>
      </c>
      <c r="L1756" s="111">
        <f>'Sampling Data'!X1751</f>
        <v>0</v>
      </c>
      <c r="M1756" s="114"/>
      <c r="N1756" s="114"/>
      <c r="O1756" s="115"/>
      <c r="P1756" s="115"/>
      <c r="Q1756" s="116"/>
      <c r="R1756" s="116"/>
      <c r="S1756" s="111">
        <f>Audit[[#This Row],[Audit Losing Candidate]]-Audit[[#This Row],[Losing Candidate]]</f>
        <v>-12</v>
      </c>
      <c r="T1756" s="111">
        <f>Audit[[#This Row],[Audit Winning Candidate]]-Audit[[#This Row],[Winning Candidate]]</f>
        <v>-35</v>
      </c>
      <c r="U1756" s="111">
        <f>Audit[[#This Row],[Audit Candidate 3]]-Audit[[#This Row],[Candidate 3]]</f>
        <v>-5</v>
      </c>
      <c r="V1756" s="111">
        <f>Audit[[#This Row],[Audit Candidate 4]]-Audit[[#This Row],[Candidate 4]]</f>
        <v>-6</v>
      </c>
      <c r="W1756" s="111">
        <f>Audit[[#This Row],[Audit Candidate 5]]-Audit[[#This Row],[Candidate 5]]</f>
        <v>0</v>
      </c>
      <c r="X1756" s="111">
        <f>Audit[[#This Row],[Audit Candidate 6]]-Audit[[#This Row],[Candidate 6]]</f>
        <v>0</v>
      </c>
      <c r="Y1756" s="111">
        <f>SUMIF(Audit[[#This Row],[Difference Loser]:[Difference Candidate 6]], "&gt;0")</f>
        <v>0</v>
      </c>
      <c r="Z1756" s="111">
        <f>SUM(Audit[[#This Row],[Difference Loser]:[Difference Candidate 6]])</f>
        <v>-58</v>
      </c>
      <c r="AA1756" s="111">
        <f>IF(Audit[[#This Row],[Times p Drawn - With Replacement]]&gt;0, IF(Audit[[#This Row],[Canceled Differences]]&lt;0, Audit[[#This Row],[Max Differences]]+ABS(Audit[[#This Row],[Canceled Differences]]), Audit[[#This Row],[Max Differences]]), 0)</f>
        <v>0</v>
      </c>
      <c r="AB1756" s="111">
        <f>'Sampling Data'!P1751</f>
        <v>5.0220480156785889E-3</v>
      </c>
      <c r="AC1756" s="111">
        <f>IF(
      SUM(Audit[[#This Row],[Audit Losing Candidate]:[Audit Candidate 6]])
      &lt;&gt;0,
      (Audit[[#This Row],[Winning Candidate]]-Audit[[#This Row],[Losing Candidate]]-(Audit[[#This Row],[Audit Winning Candidate]]-Audit[[#This Row],[Audit Losing Candidate]]))/(Audit[[#Totals],[Winning Candidate]]-Audit[[#Totals],[Losing Candidate]]),
      0
)</f>
        <v>0</v>
      </c>
      <c r="AD17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6" s="111">
        <f>IF(Audit[[#This Row],[Max Relative Error (ep)]] = 0, 0, Audit[[#This Row],[Max Relative Error (ep)]]/Audit[[#This Row],[Error Bound (up) - Max. possible relative overstatement]])</f>
        <v>0</v>
      </c>
      <c r="AJ17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56" s="111">
        <f t="shared" si="27"/>
        <v>1</v>
      </c>
      <c r="AL1756" s="111">
        <f>PRODUCT($AK$5:AK1756)</f>
        <v>8.962823818226312E-2</v>
      </c>
      <c r="AM1756" s="109">
        <f>1 - [K-M P Value]</f>
        <v>0.91037176181773694</v>
      </c>
      <c r="AN1756" s="111" t="str">
        <f>IF(Audit[[#This Row],[K-M P Value]]&gt;1-'General Info'!$B$16,"Continue", "Stop")</f>
        <v>Stop</v>
      </c>
      <c r="AO1756" s="110" t="b">
        <f>IF(Audit[[#This Row],[Status - Continue or stop audit]] = "Continue", TRUE, IF(AN1755 = "Continue", TRUE, FALSE))</f>
        <v>0</v>
      </c>
      <c r="AP1756" s="110"/>
    </row>
    <row r="1757" spans="1:42" ht="15" hidden="1" customHeight="1">
      <c r="A1757" s="111" t="str">
        <f>'Sampling Data'!W1752</f>
        <v/>
      </c>
      <c r="B1757" s="112" t="str">
        <f>'Sampling Data'!A1752</f>
        <v>PARMA -09-A - ABS</v>
      </c>
      <c r="C1757" s="112">
        <f>'Sampling Data'!B1752</f>
        <v>4</v>
      </c>
      <c r="D1757" s="112">
        <f>'Sampling Data'!C1752</f>
        <v>5</v>
      </c>
      <c r="E1757" s="113">
        <f>'Sampling Data'!D1752</f>
        <v>1</v>
      </c>
      <c r="F1757" s="113">
        <f>'Sampling Data'!E1752</f>
        <v>3</v>
      </c>
      <c r="G1757" s="113">
        <f>'Sampling Data'!F1752</f>
        <v>1</v>
      </c>
      <c r="H1757" s="113">
        <f>'Sampling Data'!G1752</f>
        <v>0</v>
      </c>
      <c r="I1757" s="112">
        <f>'Sampling Data'!H1752</f>
        <v>0</v>
      </c>
      <c r="J1757" s="112">
        <f>'Sampling Data'!I1752</f>
        <v>0</v>
      </c>
      <c r="K1757" s="112">
        <f>'Sampling Data'!J1752</f>
        <v>14</v>
      </c>
      <c r="L1757" s="111">
        <f>'Sampling Data'!X1752</f>
        <v>0</v>
      </c>
      <c r="M1757" s="114"/>
      <c r="N1757" s="114"/>
      <c r="O1757" s="115"/>
      <c r="P1757" s="115"/>
      <c r="Q1757" s="116"/>
      <c r="R1757" s="116"/>
      <c r="S1757" s="111">
        <f>Audit[[#This Row],[Audit Losing Candidate]]-Audit[[#This Row],[Losing Candidate]]</f>
        <v>-4</v>
      </c>
      <c r="T1757" s="111">
        <f>Audit[[#This Row],[Audit Winning Candidate]]-Audit[[#This Row],[Winning Candidate]]</f>
        <v>-5</v>
      </c>
      <c r="U1757" s="111">
        <f>Audit[[#This Row],[Audit Candidate 3]]-Audit[[#This Row],[Candidate 3]]</f>
        <v>-1</v>
      </c>
      <c r="V1757" s="111">
        <f>Audit[[#This Row],[Audit Candidate 4]]-Audit[[#This Row],[Candidate 4]]</f>
        <v>-3</v>
      </c>
      <c r="W1757" s="111">
        <f>Audit[[#This Row],[Audit Candidate 5]]-Audit[[#This Row],[Candidate 5]]</f>
        <v>-1</v>
      </c>
      <c r="X1757" s="111">
        <f>Audit[[#This Row],[Audit Candidate 6]]-Audit[[#This Row],[Candidate 6]]</f>
        <v>0</v>
      </c>
      <c r="Y1757" s="111">
        <f>SUMIF(Audit[[#This Row],[Difference Loser]:[Difference Candidate 6]], "&gt;0")</f>
        <v>0</v>
      </c>
      <c r="Z1757" s="111">
        <f>SUM(Audit[[#This Row],[Difference Loser]:[Difference Candidate 6]])</f>
        <v>-14</v>
      </c>
      <c r="AA1757" s="111">
        <f>IF(Audit[[#This Row],[Times p Drawn - With Replacement]]&gt;0, IF(Audit[[#This Row],[Canceled Differences]]&lt;0, Audit[[#This Row],[Max Differences]]+ABS(Audit[[#This Row],[Canceled Differences]]), Audit[[#This Row],[Max Differences]]), 0)</f>
        <v>0</v>
      </c>
      <c r="AB1757" s="111">
        <f>'Sampling Data'!P1752</f>
        <v>9.1866731994120533E-4</v>
      </c>
      <c r="AC1757" s="111">
        <f>IF(
      SUM(Audit[[#This Row],[Audit Losing Candidate]:[Audit Candidate 6]])
      &lt;&gt;0,
      (Audit[[#This Row],[Winning Candidate]]-Audit[[#This Row],[Losing Candidate]]-(Audit[[#This Row],[Audit Winning Candidate]]-Audit[[#This Row],[Audit Losing Candidate]]))/(Audit[[#Totals],[Winning Candidate]]-Audit[[#Totals],[Losing Candidate]]),
      0
)</f>
        <v>0</v>
      </c>
      <c r="AD17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7" s="111">
        <f>IF(Audit[[#This Row],[Max Relative Error (ep)]] = 0, 0, Audit[[#This Row],[Max Relative Error (ep)]]/Audit[[#This Row],[Error Bound (up) - Max. possible relative overstatement]])</f>
        <v>0</v>
      </c>
      <c r="AJ17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57" s="111">
        <f t="shared" si="27"/>
        <v>1</v>
      </c>
      <c r="AL1757" s="111">
        <f>PRODUCT($AK$5:AK1757)</f>
        <v>8.962823818226312E-2</v>
      </c>
      <c r="AM1757" s="109">
        <f>1 - [K-M P Value]</f>
        <v>0.91037176181773694</v>
      </c>
      <c r="AN1757" s="111" t="str">
        <f>IF(Audit[[#This Row],[K-M P Value]]&gt;1-'General Info'!$B$16,"Continue", "Stop")</f>
        <v>Stop</v>
      </c>
      <c r="AO1757" s="110" t="b">
        <f>IF(Audit[[#This Row],[Status - Continue or stop audit]] = "Continue", TRUE, IF(AN1756 = "Continue", TRUE, FALSE))</f>
        <v>0</v>
      </c>
      <c r="AP1757" s="110"/>
    </row>
    <row r="1758" spans="1:42" ht="15" hidden="1" customHeight="1">
      <c r="A1758" s="111" t="str">
        <f>'Sampling Data'!W1753</f>
        <v/>
      </c>
      <c r="B1758" s="112" t="str">
        <f>'Sampling Data'!A1753</f>
        <v>PARMA -09-A.02</v>
      </c>
      <c r="C1758" s="112">
        <f>'Sampling Data'!B1753</f>
        <v>4</v>
      </c>
      <c r="D1758" s="112">
        <f>'Sampling Data'!C1753</f>
        <v>3</v>
      </c>
      <c r="E1758" s="113">
        <f>'Sampling Data'!D1753</f>
        <v>1</v>
      </c>
      <c r="F1758" s="113">
        <f>'Sampling Data'!E1753</f>
        <v>0</v>
      </c>
      <c r="G1758" s="113">
        <f>'Sampling Data'!F1753</f>
        <v>0</v>
      </c>
      <c r="H1758" s="113">
        <f>'Sampling Data'!G1753</f>
        <v>0</v>
      </c>
      <c r="I1758" s="112">
        <f>'Sampling Data'!H1753</f>
        <v>0</v>
      </c>
      <c r="J1758" s="112">
        <f>'Sampling Data'!I1753</f>
        <v>0</v>
      </c>
      <c r="K1758" s="112">
        <f>'Sampling Data'!J1753</f>
        <v>8</v>
      </c>
      <c r="L1758" s="111">
        <f>'Sampling Data'!X1753</f>
        <v>0</v>
      </c>
      <c r="M1758" s="114"/>
      <c r="N1758" s="114"/>
      <c r="O1758" s="115"/>
      <c r="P1758" s="115"/>
      <c r="Q1758" s="116"/>
      <c r="R1758" s="116"/>
      <c r="S1758" s="111">
        <f>Audit[[#This Row],[Audit Losing Candidate]]-Audit[[#This Row],[Losing Candidate]]</f>
        <v>-4</v>
      </c>
      <c r="T1758" s="111">
        <f>Audit[[#This Row],[Audit Winning Candidate]]-Audit[[#This Row],[Winning Candidate]]</f>
        <v>-3</v>
      </c>
      <c r="U1758" s="111">
        <f>Audit[[#This Row],[Audit Candidate 3]]-Audit[[#This Row],[Candidate 3]]</f>
        <v>-1</v>
      </c>
      <c r="V1758" s="111">
        <f>Audit[[#This Row],[Audit Candidate 4]]-Audit[[#This Row],[Candidate 4]]</f>
        <v>0</v>
      </c>
      <c r="W1758" s="111">
        <f>Audit[[#This Row],[Audit Candidate 5]]-Audit[[#This Row],[Candidate 5]]</f>
        <v>0</v>
      </c>
      <c r="X1758" s="111">
        <f>Audit[[#This Row],[Audit Candidate 6]]-Audit[[#This Row],[Candidate 6]]</f>
        <v>0</v>
      </c>
      <c r="Y1758" s="111">
        <f>SUMIF(Audit[[#This Row],[Difference Loser]:[Difference Candidate 6]], "&gt;0")</f>
        <v>0</v>
      </c>
      <c r="Z1758" s="111">
        <f>SUM(Audit[[#This Row],[Difference Loser]:[Difference Candidate 6]])</f>
        <v>-8</v>
      </c>
      <c r="AA1758" s="111">
        <f>IF(Audit[[#This Row],[Times p Drawn - With Replacement]]&gt;0, IF(Audit[[#This Row],[Canceled Differences]]&lt;0, Audit[[#This Row],[Max Differences]]+ABS(Audit[[#This Row],[Canceled Differences]]), Audit[[#This Row],[Max Differences]]), 0)</f>
        <v>0</v>
      </c>
      <c r="AB1758" s="111">
        <f>'Sampling Data'!P1753</f>
        <v>4.2871141597256246E-4</v>
      </c>
      <c r="AC1758" s="111">
        <f>IF(
      SUM(Audit[[#This Row],[Audit Losing Candidate]:[Audit Candidate 6]])
      &lt;&gt;0,
      (Audit[[#This Row],[Winning Candidate]]-Audit[[#This Row],[Losing Candidate]]-(Audit[[#This Row],[Audit Winning Candidate]]-Audit[[#This Row],[Audit Losing Candidate]]))/(Audit[[#Totals],[Winning Candidate]]-Audit[[#Totals],[Losing Candidate]]),
      0
)</f>
        <v>0</v>
      </c>
      <c r="AD17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8" s="111">
        <f>IF(Audit[[#This Row],[Max Relative Error (ep)]] = 0, 0, Audit[[#This Row],[Max Relative Error (ep)]]/Audit[[#This Row],[Error Bound (up) - Max. possible relative overstatement]])</f>
        <v>0</v>
      </c>
      <c r="AJ17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58" s="111">
        <f t="shared" si="27"/>
        <v>1</v>
      </c>
      <c r="AL1758" s="111">
        <f>PRODUCT($AK$5:AK1758)</f>
        <v>8.962823818226312E-2</v>
      </c>
      <c r="AM1758" s="109">
        <f>1 - [K-M P Value]</f>
        <v>0.91037176181773694</v>
      </c>
      <c r="AN1758" s="111" t="str">
        <f>IF(Audit[[#This Row],[K-M P Value]]&gt;1-'General Info'!$B$16,"Continue", "Stop")</f>
        <v>Stop</v>
      </c>
      <c r="AO1758" s="110" t="b">
        <f>IF(Audit[[#This Row],[Status - Continue or stop audit]] = "Continue", TRUE, IF(AN1757 = "Continue", TRUE, FALSE))</f>
        <v>0</v>
      </c>
      <c r="AP1758" s="110"/>
    </row>
    <row r="1759" spans="1:42" ht="15" hidden="1" customHeight="1">
      <c r="A1759" s="111" t="str">
        <f>'Sampling Data'!W1754</f>
        <v/>
      </c>
      <c r="B1759" s="112" t="str">
        <f>'Sampling Data'!A1754</f>
        <v>PARMA -09-A.02 - ABS</v>
      </c>
      <c r="C1759" s="112">
        <f>'Sampling Data'!B1754</f>
        <v>0</v>
      </c>
      <c r="D1759" s="112">
        <f>'Sampling Data'!C1754</f>
        <v>0</v>
      </c>
      <c r="E1759" s="113">
        <f>'Sampling Data'!D1754</f>
        <v>0</v>
      </c>
      <c r="F1759" s="113">
        <f>'Sampling Data'!E1754</f>
        <v>0</v>
      </c>
      <c r="G1759" s="113">
        <f>'Sampling Data'!F1754</f>
        <v>0</v>
      </c>
      <c r="H1759" s="113">
        <f>'Sampling Data'!G1754</f>
        <v>0</v>
      </c>
      <c r="I1759" s="112">
        <f>'Sampling Data'!H1754</f>
        <v>0</v>
      </c>
      <c r="J1759" s="112">
        <f>'Sampling Data'!I1754</f>
        <v>0</v>
      </c>
      <c r="K1759" s="112">
        <f>'Sampling Data'!J1754</f>
        <v>0</v>
      </c>
      <c r="L1759" s="111">
        <f>'Sampling Data'!X1754</f>
        <v>0</v>
      </c>
      <c r="M1759" s="114"/>
      <c r="N1759" s="114"/>
      <c r="O1759" s="115"/>
      <c r="P1759" s="115"/>
      <c r="Q1759" s="116"/>
      <c r="R1759" s="116"/>
      <c r="S1759" s="111">
        <f>Audit[[#This Row],[Audit Losing Candidate]]-Audit[[#This Row],[Losing Candidate]]</f>
        <v>0</v>
      </c>
      <c r="T1759" s="111">
        <f>Audit[[#This Row],[Audit Winning Candidate]]-Audit[[#This Row],[Winning Candidate]]</f>
        <v>0</v>
      </c>
      <c r="U1759" s="111">
        <f>Audit[[#This Row],[Audit Candidate 3]]-Audit[[#This Row],[Candidate 3]]</f>
        <v>0</v>
      </c>
      <c r="V1759" s="111">
        <f>Audit[[#This Row],[Audit Candidate 4]]-Audit[[#This Row],[Candidate 4]]</f>
        <v>0</v>
      </c>
      <c r="W1759" s="111">
        <f>Audit[[#This Row],[Audit Candidate 5]]-Audit[[#This Row],[Candidate 5]]</f>
        <v>0</v>
      </c>
      <c r="X1759" s="111">
        <f>Audit[[#This Row],[Audit Candidate 6]]-Audit[[#This Row],[Candidate 6]]</f>
        <v>0</v>
      </c>
      <c r="Y1759" s="111">
        <f>SUMIF(Audit[[#This Row],[Difference Loser]:[Difference Candidate 6]], "&gt;0")</f>
        <v>0</v>
      </c>
      <c r="Z1759" s="111">
        <f>SUM(Audit[[#This Row],[Difference Loser]:[Difference Candidate 6]])</f>
        <v>0</v>
      </c>
      <c r="AA1759" s="111">
        <f>IF(Audit[[#This Row],[Times p Drawn - With Replacement]]&gt;0, IF(Audit[[#This Row],[Canceled Differences]]&lt;0, Audit[[#This Row],[Max Differences]]+ABS(Audit[[#This Row],[Canceled Differences]]), Audit[[#This Row],[Max Differences]]), 0)</f>
        <v>0</v>
      </c>
      <c r="AB1759" s="111">
        <f>'Sampling Data'!P1754</f>
        <v>0</v>
      </c>
      <c r="AC1759" s="111">
        <f>IF(
      SUM(Audit[[#This Row],[Audit Losing Candidate]:[Audit Candidate 6]])
      &lt;&gt;0,
      (Audit[[#This Row],[Winning Candidate]]-Audit[[#This Row],[Losing Candidate]]-(Audit[[#This Row],[Audit Winning Candidate]]-Audit[[#This Row],[Audit Losing Candidate]]))/(Audit[[#Totals],[Winning Candidate]]-Audit[[#Totals],[Losing Candidate]]),
      0
)</f>
        <v>0</v>
      </c>
      <c r="AD17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9" s="111">
        <f>IF(Audit[[#This Row],[Max Relative Error (ep)]] = 0, 0, Audit[[#This Row],[Max Relative Error (ep)]]/Audit[[#This Row],[Error Bound (up) - Max. possible relative overstatement]])</f>
        <v>0</v>
      </c>
      <c r="AJ17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59" s="111">
        <f t="shared" si="27"/>
        <v>1</v>
      </c>
      <c r="AL1759" s="111">
        <f>PRODUCT($AK$5:AK1759)</f>
        <v>8.962823818226312E-2</v>
      </c>
      <c r="AM1759" s="109">
        <f>1 - [K-M P Value]</f>
        <v>0.91037176181773694</v>
      </c>
      <c r="AN1759" s="111" t="str">
        <f>IF(Audit[[#This Row],[K-M P Value]]&gt;1-'General Info'!$B$16,"Continue", "Stop")</f>
        <v>Stop</v>
      </c>
      <c r="AO1759" s="110" t="b">
        <f>IF(Audit[[#This Row],[Status - Continue or stop audit]] = "Continue", TRUE, IF(AN1758 = "Continue", TRUE, FALSE))</f>
        <v>0</v>
      </c>
      <c r="AP1759" s="110"/>
    </row>
    <row r="1760" spans="1:42" ht="15" hidden="1" customHeight="1">
      <c r="A1760" s="111" t="str">
        <f>'Sampling Data'!W1755</f>
        <v/>
      </c>
      <c r="B1760" s="112" t="str">
        <f>'Sampling Data'!A1755</f>
        <v>PARMA -09-B</v>
      </c>
      <c r="C1760" s="112">
        <f>'Sampling Data'!B1755</f>
        <v>21</v>
      </c>
      <c r="D1760" s="112">
        <f>'Sampling Data'!C1755</f>
        <v>29</v>
      </c>
      <c r="E1760" s="113">
        <f>'Sampling Data'!D1755</f>
        <v>3</v>
      </c>
      <c r="F1760" s="113">
        <f>'Sampling Data'!E1755</f>
        <v>11</v>
      </c>
      <c r="G1760" s="113">
        <f>'Sampling Data'!F1755</f>
        <v>0</v>
      </c>
      <c r="H1760" s="113">
        <f>'Sampling Data'!G1755</f>
        <v>0</v>
      </c>
      <c r="I1760" s="112">
        <f>'Sampling Data'!H1755</f>
        <v>0</v>
      </c>
      <c r="J1760" s="112">
        <f>'Sampling Data'!I1755</f>
        <v>1</v>
      </c>
      <c r="K1760" s="112">
        <f>'Sampling Data'!J1755</f>
        <v>65</v>
      </c>
      <c r="L1760" s="111">
        <f>'Sampling Data'!X1755</f>
        <v>0</v>
      </c>
      <c r="M1760" s="114"/>
      <c r="N1760" s="114"/>
      <c r="O1760" s="115"/>
      <c r="P1760" s="115"/>
      <c r="Q1760" s="116"/>
      <c r="R1760" s="116"/>
      <c r="S1760" s="111">
        <f>Audit[[#This Row],[Audit Losing Candidate]]-Audit[[#This Row],[Losing Candidate]]</f>
        <v>-21</v>
      </c>
      <c r="T1760" s="111">
        <f>Audit[[#This Row],[Audit Winning Candidate]]-Audit[[#This Row],[Winning Candidate]]</f>
        <v>-29</v>
      </c>
      <c r="U1760" s="111">
        <f>Audit[[#This Row],[Audit Candidate 3]]-Audit[[#This Row],[Candidate 3]]</f>
        <v>-3</v>
      </c>
      <c r="V1760" s="111">
        <f>Audit[[#This Row],[Audit Candidate 4]]-Audit[[#This Row],[Candidate 4]]</f>
        <v>-11</v>
      </c>
      <c r="W1760" s="111">
        <f>Audit[[#This Row],[Audit Candidate 5]]-Audit[[#This Row],[Candidate 5]]</f>
        <v>0</v>
      </c>
      <c r="X1760" s="111">
        <f>Audit[[#This Row],[Audit Candidate 6]]-Audit[[#This Row],[Candidate 6]]</f>
        <v>0</v>
      </c>
      <c r="Y1760" s="111">
        <f>SUMIF(Audit[[#This Row],[Difference Loser]:[Difference Candidate 6]], "&gt;0")</f>
        <v>0</v>
      </c>
      <c r="Z1760" s="111">
        <f>SUM(Audit[[#This Row],[Difference Loser]:[Difference Candidate 6]])</f>
        <v>-64</v>
      </c>
      <c r="AA1760" s="111">
        <f>IF(Audit[[#This Row],[Times p Drawn - With Replacement]]&gt;0, IF(Audit[[#This Row],[Canceled Differences]]&lt;0, Audit[[#This Row],[Max Differences]]+ABS(Audit[[#This Row],[Canceled Differences]]), Audit[[#This Row],[Max Differences]]), 0)</f>
        <v>0</v>
      </c>
      <c r="AB1760" s="111">
        <f>'Sampling Data'!P1755</f>
        <v>4.4708476237138662E-3</v>
      </c>
      <c r="AC1760" s="111">
        <f>IF(
      SUM(Audit[[#This Row],[Audit Losing Candidate]:[Audit Candidate 6]])
      &lt;&gt;0,
      (Audit[[#This Row],[Winning Candidate]]-Audit[[#This Row],[Losing Candidate]]-(Audit[[#This Row],[Audit Winning Candidate]]-Audit[[#This Row],[Audit Losing Candidate]]))/(Audit[[#Totals],[Winning Candidate]]-Audit[[#Totals],[Losing Candidate]]),
      0
)</f>
        <v>0</v>
      </c>
      <c r="AD17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0" s="111">
        <f>IF(Audit[[#This Row],[Max Relative Error (ep)]] = 0, 0, Audit[[#This Row],[Max Relative Error (ep)]]/Audit[[#This Row],[Error Bound (up) - Max. possible relative overstatement]])</f>
        <v>0</v>
      </c>
      <c r="AJ17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60" s="111">
        <f t="shared" si="27"/>
        <v>1</v>
      </c>
      <c r="AL1760" s="111">
        <f>PRODUCT($AK$5:AK1760)</f>
        <v>8.962823818226312E-2</v>
      </c>
      <c r="AM1760" s="109">
        <f>1 - [K-M P Value]</f>
        <v>0.91037176181773694</v>
      </c>
      <c r="AN1760" s="111" t="str">
        <f>IF(Audit[[#This Row],[K-M P Value]]&gt;1-'General Info'!$B$16,"Continue", "Stop")</f>
        <v>Stop</v>
      </c>
      <c r="AO1760" s="110" t="b">
        <f>IF(Audit[[#This Row],[Status - Continue or stop audit]] = "Continue", TRUE, IF(AN1759 = "Continue", TRUE, FALSE))</f>
        <v>0</v>
      </c>
      <c r="AP1760" s="110"/>
    </row>
    <row r="1761" spans="1:42" ht="15" hidden="1" customHeight="1">
      <c r="A1761" s="111" t="str">
        <f>'Sampling Data'!W1756</f>
        <v/>
      </c>
      <c r="B1761" s="112" t="str">
        <f>'Sampling Data'!A1756</f>
        <v>PARMA -09-B - ABS</v>
      </c>
      <c r="C1761" s="112">
        <f>'Sampling Data'!B1756</f>
        <v>3</v>
      </c>
      <c r="D1761" s="112">
        <f>'Sampling Data'!C1756</f>
        <v>7</v>
      </c>
      <c r="E1761" s="113">
        <f>'Sampling Data'!D1756</f>
        <v>2</v>
      </c>
      <c r="F1761" s="113">
        <f>'Sampling Data'!E1756</f>
        <v>1</v>
      </c>
      <c r="G1761" s="113">
        <f>'Sampling Data'!F1756</f>
        <v>0</v>
      </c>
      <c r="H1761" s="113">
        <f>'Sampling Data'!G1756</f>
        <v>0</v>
      </c>
      <c r="I1761" s="112">
        <f>'Sampling Data'!H1756</f>
        <v>0</v>
      </c>
      <c r="J1761" s="112">
        <f>'Sampling Data'!I1756</f>
        <v>0</v>
      </c>
      <c r="K1761" s="112">
        <f>'Sampling Data'!J1756</f>
        <v>13</v>
      </c>
      <c r="L1761" s="111">
        <f>'Sampling Data'!X1756</f>
        <v>0</v>
      </c>
      <c r="M1761" s="114"/>
      <c r="N1761" s="114"/>
      <c r="O1761" s="115"/>
      <c r="P1761" s="115"/>
      <c r="Q1761" s="116"/>
      <c r="R1761" s="116"/>
      <c r="S1761" s="111">
        <f>Audit[[#This Row],[Audit Losing Candidate]]-Audit[[#This Row],[Losing Candidate]]</f>
        <v>-3</v>
      </c>
      <c r="T1761" s="111">
        <f>Audit[[#This Row],[Audit Winning Candidate]]-Audit[[#This Row],[Winning Candidate]]</f>
        <v>-7</v>
      </c>
      <c r="U1761" s="111">
        <f>Audit[[#This Row],[Audit Candidate 3]]-Audit[[#This Row],[Candidate 3]]</f>
        <v>-2</v>
      </c>
      <c r="V1761" s="111">
        <f>Audit[[#This Row],[Audit Candidate 4]]-Audit[[#This Row],[Candidate 4]]</f>
        <v>-1</v>
      </c>
      <c r="W1761" s="111">
        <f>Audit[[#This Row],[Audit Candidate 5]]-Audit[[#This Row],[Candidate 5]]</f>
        <v>0</v>
      </c>
      <c r="X1761" s="111">
        <f>Audit[[#This Row],[Audit Candidate 6]]-Audit[[#This Row],[Candidate 6]]</f>
        <v>0</v>
      </c>
      <c r="Y1761" s="111">
        <f>SUMIF(Audit[[#This Row],[Difference Loser]:[Difference Candidate 6]], "&gt;0")</f>
        <v>0</v>
      </c>
      <c r="Z1761" s="111">
        <f>SUM(Audit[[#This Row],[Difference Loser]:[Difference Candidate 6]])</f>
        <v>-13</v>
      </c>
      <c r="AA1761" s="111">
        <f>IF(Audit[[#This Row],[Times p Drawn - With Replacement]]&gt;0, IF(Audit[[#This Row],[Canceled Differences]]&lt;0, Audit[[#This Row],[Max Differences]]+ABS(Audit[[#This Row],[Canceled Differences]]), Audit[[#This Row],[Max Differences]]), 0)</f>
        <v>0</v>
      </c>
      <c r="AB1761" s="111">
        <f>'Sampling Data'!P1756</f>
        <v>1.041156295933366E-3</v>
      </c>
      <c r="AC1761" s="111">
        <f>IF(
      SUM(Audit[[#This Row],[Audit Losing Candidate]:[Audit Candidate 6]])
      &lt;&gt;0,
      (Audit[[#This Row],[Winning Candidate]]-Audit[[#This Row],[Losing Candidate]]-(Audit[[#This Row],[Audit Winning Candidate]]-Audit[[#This Row],[Audit Losing Candidate]]))/(Audit[[#Totals],[Winning Candidate]]-Audit[[#Totals],[Losing Candidate]]),
      0
)</f>
        <v>0</v>
      </c>
      <c r="AD17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1" s="111">
        <f>IF(Audit[[#This Row],[Max Relative Error (ep)]] = 0, 0, Audit[[#This Row],[Max Relative Error (ep)]]/Audit[[#This Row],[Error Bound (up) - Max. possible relative overstatement]])</f>
        <v>0</v>
      </c>
      <c r="AJ17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61" s="111">
        <f t="shared" si="27"/>
        <v>1</v>
      </c>
      <c r="AL1761" s="111">
        <f>PRODUCT($AK$5:AK1761)</f>
        <v>8.962823818226312E-2</v>
      </c>
      <c r="AM1761" s="109">
        <f>1 - [K-M P Value]</f>
        <v>0.91037176181773694</v>
      </c>
      <c r="AN1761" s="111" t="str">
        <f>IF(Audit[[#This Row],[K-M P Value]]&gt;1-'General Info'!$B$16,"Continue", "Stop")</f>
        <v>Stop</v>
      </c>
      <c r="AO1761" s="110" t="b">
        <f>IF(Audit[[#This Row],[Status - Continue or stop audit]] = "Continue", TRUE, IF(AN1760 = "Continue", TRUE, FALSE))</f>
        <v>0</v>
      </c>
      <c r="AP1761" s="110"/>
    </row>
    <row r="1762" spans="1:42" ht="15" hidden="1" customHeight="1">
      <c r="A1762" s="111" t="str">
        <f>'Sampling Data'!W1757</f>
        <v/>
      </c>
      <c r="B1762" s="112" t="str">
        <f>'Sampling Data'!A1757</f>
        <v>PARMA -09-C</v>
      </c>
      <c r="C1762" s="112">
        <f>'Sampling Data'!B1757</f>
        <v>17</v>
      </c>
      <c r="D1762" s="112">
        <f>'Sampling Data'!C1757</f>
        <v>19</v>
      </c>
      <c r="E1762" s="113">
        <f>'Sampling Data'!D1757</f>
        <v>12</v>
      </c>
      <c r="F1762" s="113">
        <f>'Sampling Data'!E1757</f>
        <v>6</v>
      </c>
      <c r="G1762" s="113">
        <f>'Sampling Data'!F1757</f>
        <v>0</v>
      </c>
      <c r="H1762" s="113">
        <f>'Sampling Data'!G1757</f>
        <v>0</v>
      </c>
      <c r="I1762" s="112">
        <f>'Sampling Data'!H1757</f>
        <v>0</v>
      </c>
      <c r="J1762" s="112">
        <f>'Sampling Data'!I1757</f>
        <v>0</v>
      </c>
      <c r="K1762" s="112">
        <f>'Sampling Data'!J1757</f>
        <v>54</v>
      </c>
      <c r="L1762" s="111">
        <f>'Sampling Data'!X1757</f>
        <v>0</v>
      </c>
      <c r="M1762" s="114"/>
      <c r="N1762" s="114"/>
      <c r="O1762" s="115"/>
      <c r="P1762" s="115"/>
      <c r="Q1762" s="116"/>
      <c r="R1762" s="116"/>
      <c r="S1762" s="111">
        <f>Audit[[#This Row],[Audit Losing Candidate]]-Audit[[#This Row],[Losing Candidate]]</f>
        <v>-17</v>
      </c>
      <c r="T1762" s="111">
        <f>Audit[[#This Row],[Audit Winning Candidate]]-Audit[[#This Row],[Winning Candidate]]</f>
        <v>-19</v>
      </c>
      <c r="U1762" s="111">
        <f>Audit[[#This Row],[Audit Candidate 3]]-Audit[[#This Row],[Candidate 3]]</f>
        <v>-12</v>
      </c>
      <c r="V1762" s="111">
        <f>Audit[[#This Row],[Audit Candidate 4]]-Audit[[#This Row],[Candidate 4]]</f>
        <v>-6</v>
      </c>
      <c r="W1762" s="111">
        <f>Audit[[#This Row],[Audit Candidate 5]]-Audit[[#This Row],[Candidate 5]]</f>
        <v>0</v>
      </c>
      <c r="X1762" s="111">
        <f>Audit[[#This Row],[Audit Candidate 6]]-Audit[[#This Row],[Candidate 6]]</f>
        <v>0</v>
      </c>
      <c r="Y1762" s="111">
        <f>SUMIF(Audit[[#This Row],[Difference Loser]:[Difference Candidate 6]], "&gt;0")</f>
        <v>0</v>
      </c>
      <c r="Z1762" s="111">
        <f>SUM(Audit[[#This Row],[Difference Loser]:[Difference Candidate 6]])</f>
        <v>-54</v>
      </c>
      <c r="AA1762" s="111">
        <f>IF(Audit[[#This Row],[Times p Drawn - With Replacement]]&gt;0, IF(Audit[[#This Row],[Canceled Differences]]&lt;0, Audit[[#This Row],[Max Differences]]+ABS(Audit[[#This Row],[Canceled Differences]]), Audit[[#This Row],[Max Differences]]), 0)</f>
        <v>0</v>
      </c>
      <c r="AB1762" s="111">
        <f>'Sampling Data'!P1757</f>
        <v>3.4296913277804997E-3</v>
      </c>
      <c r="AC1762" s="111">
        <f>IF(
      SUM(Audit[[#This Row],[Audit Losing Candidate]:[Audit Candidate 6]])
      &lt;&gt;0,
      (Audit[[#This Row],[Winning Candidate]]-Audit[[#This Row],[Losing Candidate]]-(Audit[[#This Row],[Audit Winning Candidate]]-Audit[[#This Row],[Audit Losing Candidate]]))/(Audit[[#Totals],[Winning Candidate]]-Audit[[#Totals],[Losing Candidate]]),
      0
)</f>
        <v>0</v>
      </c>
      <c r="AD17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2" s="111">
        <f>IF(Audit[[#This Row],[Max Relative Error (ep)]] = 0, 0, Audit[[#This Row],[Max Relative Error (ep)]]/Audit[[#This Row],[Error Bound (up) - Max. possible relative overstatement]])</f>
        <v>0</v>
      </c>
      <c r="AJ17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62" s="111">
        <f t="shared" si="27"/>
        <v>1</v>
      </c>
      <c r="AL1762" s="111">
        <f>PRODUCT($AK$5:AK1762)</f>
        <v>8.962823818226312E-2</v>
      </c>
      <c r="AM1762" s="109">
        <f>1 - [K-M P Value]</f>
        <v>0.91037176181773694</v>
      </c>
      <c r="AN1762" s="111" t="str">
        <f>IF(Audit[[#This Row],[K-M P Value]]&gt;1-'General Info'!$B$16,"Continue", "Stop")</f>
        <v>Stop</v>
      </c>
      <c r="AO1762" s="110" t="b">
        <f>IF(Audit[[#This Row],[Status - Continue or stop audit]] = "Continue", TRUE, IF(AN1761 = "Continue", TRUE, FALSE))</f>
        <v>0</v>
      </c>
      <c r="AP1762" s="110"/>
    </row>
    <row r="1763" spans="1:42" ht="15" hidden="1" customHeight="1">
      <c r="A1763" s="111" t="str">
        <f>'Sampling Data'!W1758</f>
        <v/>
      </c>
      <c r="B1763" s="112" t="str">
        <f>'Sampling Data'!A1758</f>
        <v>PARMA -09-C - ABS</v>
      </c>
      <c r="C1763" s="112">
        <f>'Sampling Data'!B1758</f>
        <v>7</v>
      </c>
      <c r="D1763" s="112">
        <f>'Sampling Data'!C1758</f>
        <v>2</v>
      </c>
      <c r="E1763" s="113">
        <f>'Sampling Data'!D1758</f>
        <v>3</v>
      </c>
      <c r="F1763" s="113">
        <f>'Sampling Data'!E1758</f>
        <v>1</v>
      </c>
      <c r="G1763" s="113">
        <f>'Sampling Data'!F1758</f>
        <v>0</v>
      </c>
      <c r="H1763" s="113">
        <f>'Sampling Data'!G1758</f>
        <v>0</v>
      </c>
      <c r="I1763" s="112">
        <f>'Sampling Data'!H1758</f>
        <v>0</v>
      </c>
      <c r="J1763" s="112">
        <f>'Sampling Data'!I1758</f>
        <v>0</v>
      </c>
      <c r="K1763" s="112">
        <f>'Sampling Data'!J1758</f>
        <v>13</v>
      </c>
      <c r="L1763" s="111">
        <f>'Sampling Data'!X1758</f>
        <v>0</v>
      </c>
      <c r="M1763" s="114"/>
      <c r="N1763" s="114"/>
      <c r="O1763" s="115"/>
      <c r="P1763" s="115"/>
      <c r="Q1763" s="116"/>
      <c r="R1763" s="116"/>
      <c r="S1763" s="111">
        <f>Audit[[#This Row],[Audit Losing Candidate]]-Audit[[#This Row],[Losing Candidate]]</f>
        <v>-7</v>
      </c>
      <c r="T1763" s="111">
        <f>Audit[[#This Row],[Audit Winning Candidate]]-Audit[[#This Row],[Winning Candidate]]</f>
        <v>-2</v>
      </c>
      <c r="U1763" s="111">
        <f>Audit[[#This Row],[Audit Candidate 3]]-Audit[[#This Row],[Candidate 3]]</f>
        <v>-3</v>
      </c>
      <c r="V1763" s="111">
        <f>Audit[[#This Row],[Audit Candidate 4]]-Audit[[#This Row],[Candidate 4]]</f>
        <v>-1</v>
      </c>
      <c r="W1763" s="111">
        <f>Audit[[#This Row],[Audit Candidate 5]]-Audit[[#This Row],[Candidate 5]]</f>
        <v>0</v>
      </c>
      <c r="X1763" s="111">
        <f>Audit[[#This Row],[Audit Candidate 6]]-Audit[[#This Row],[Candidate 6]]</f>
        <v>0</v>
      </c>
      <c r="Y1763" s="111">
        <f>SUMIF(Audit[[#This Row],[Difference Loser]:[Difference Candidate 6]], "&gt;0")</f>
        <v>0</v>
      </c>
      <c r="Z1763" s="111">
        <f>SUM(Audit[[#This Row],[Difference Loser]:[Difference Candidate 6]])</f>
        <v>-13</v>
      </c>
      <c r="AA1763" s="111">
        <f>IF(Audit[[#This Row],[Times p Drawn - With Replacement]]&gt;0, IF(Audit[[#This Row],[Canceled Differences]]&lt;0, Audit[[#This Row],[Max Differences]]+ABS(Audit[[#This Row],[Canceled Differences]]), Audit[[#This Row],[Max Differences]]), 0)</f>
        <v>0</v>
      </c>
      <c r="AB1763" s="111">
        <f>'Sampling Data'!P1758</f>
        <v>4.8995590396864281E-4</v>
      </c>
      <c r="AC1763" s="111">
        <f>IF(
      SUM(Audit[[#This Row],[Audit Losing Candidate]:[Audit Candidate 6]])
      &lt;&gt;0,
      (Audit[[#This Row],[Winning Candidate]]-Audit[[#This Row],[Losing Candidate]]-(Audit[[#This Row],[Audit Winning Candidate]]-Audit[[#This Row],[Audit Losing Candidate]]))/(Audit[[#Totals],[Winning Candidate]]-Audit[[#Totals],[Losing Candidate]]),
      0
)</f>
        <v>0</v>
      </c>
      <c r="AD17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3" s="111">
        <f>IF(Audit[[#This Row],[Max Relative Error (ep)]] = 0, 0, Audit[[#This Row],[Max Relative Error (ep)]]/Audit[[#This Row],[Error Bound (up) - Max. possible relative overstatement]])</f>
        <v>0</v>
      </c>
      <c r="AJ17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63" s="111">
        <f t="shared" si="27"/>
        <v>1</v>
      </c>
      <c r="AL1763" s="111">
        <f>PRODUCT($AK$5:AK1763)</f>
        <v>8.962823818226312E-2</v>
      </c>
      <c r="AM1763" s="109">
        <f>1 - [K-M P Value]</f>
        <v>0.91037176181773694</v>
      </c>
      <c r="AN1763" s="111" t="str">
        <f>IF(Audit[[#This Row],[K-M P Value]]&gt;1-'General Info'!$B$16,"Continue", "Stop")</f>
        <v>Stop</v>
      </c>
      <c r="AO1763" s="110" t="b">
        <f>IF(Audit[[#This Row],[Status - Continue or stop audit]] = "Continue", TRUE, IF(AN1762 = "Continue", TRUE, FALSE))</f>
        <v>0</v>
      </c>
      <c r="AP1763" s="110"/>
    </row>
    <row r="1764" spans="1:42" ht="15" hidden="1" customHeight="1">
      <c r="A1764" s="111" t="str">
        <f>'Sampling Data'!W1759</f>
        <v/>
      </c>
      <c r="B1764" s="112" t="str">
        <f>'Sampling Data'!A1759</f>
        <v>PARMA -09-D</v>
      </c>
      <c r="C1764" s="112">
        <f>'Sampling Data'!B1759</f>
        <v>17</v>
      </c>
      <c r="D1764" s="112">
        <f>'Sampling Data'!C1759</f>
        <v>28</v>
      </c>
      <c r="E1764" s="113">
        <f>'Sampling Data'!D1759</f>
        <v>14</v>
      </c>
      <c r="F1764" s="113">
        <f>'Sampling Data'!E1759</f>
        <v>7</v>
      </c>
      <c r="G1764" s="113">
        <f>'Sampling Data'!F1759</f>
        <v>0</v>
      </c>
      <c r="H1764" s="113">
        <f>'Sampling Data'!G1759</f>
        <v>0</v>
      </c>
      <c r="I1764" s="112">
        <f>'Sampling Data'!H1759</f>
        <v>0</v>
      </c>
      <c r="J1764" s="112">
        <f>'Sampling Data'!I1759</f>
        <v>3</v>
      </c>
      <c r="K1764" s="112">
        <f>'Sampling Data'!J1759</f>
        <v>69</v>
      </c>
      <c r="L1764" s="111">
        <f>'Sampling Data'!X1759</f>
        <v>0</v>
      </c>
      <c r="M1764" s="114"/>
      <c r="N1764" s="114"/>
      <c r="O1764" s="115"/>
      <c r="P1764" s="115"/>
      <c r="Q1764" s="116"/>
      <c r="R1764" s="116"/>
      <c r="S1764" s="111">
        <f>Audit[[#This Row],[Audit Losing Candidate]]-Audit[[#This Row],[Losing Candidate]]</f>
        <v>-17</v>
      </c>
      <c r="T1764" s="111">
        <f>Audit[[#This Row],[Audit Winning Candidate]]-Audit[[#This Row],[Winning Candidate]]</f>
        <v>-28</v>
      </c>
      <c r="U1764" s="111">
        <f>Audit[[#This Row],[Audit Candidate 3]]-Audit[[#This Row],[Candidate 3]]</f>
        <v>-14</v>
      </c>
      <c r="V1764" s="111">
        <f>Audit[[#This Row],[Audit Candidate 4]]-Audit[[#This Row],[Candidate 4]]</f>
        <v>-7</v>
      </c>
      <c r="W1764" s="111">
        <f>Audit[[#This Row],[Audit Candidate 5]]-Audit[[#This Row],[Candidate 5]]</f>
        <v>0</v>
      </c>
      <c r="X1764" s="111">
        <f>Audit[[#This Row],[Audit Candidate 6]]-Audit[[#This Row],[Candidate 6]]</f>
        <v>0</v>
      </c>
      <c r="Y1764" s="111">
        <f>SUMIF(Audit[[#This Row],[Difference Loser]:[Difference Candidate 6]], "&gt;0")</f>
        <v>0</v>
      </c>
      <c r="Z1764" s="111">
        <f>SUM(Audit[[#This Row],[Difference Loser]:[Difference Candidate 6]])</f>
        <v>-66</v>
      </c>
      <c r="AA1764" s="111">
        <f>IF(Audit[[#This Row],[Times p Drawn - With Replacement]]&gt;0, IF(Audit[[#This Row],[Canceled Differences]]&lt;0, Audit[[#This Row],[Max Differences]]+ABS(Audit[[#This Row],[Canceled Differences]]), Audit[[#This Row],[Max Differences]]), 0)</f>
        <v>0</v>
      </c>
      <c r="AB1764" s="111">
        <f>'Sampling Data'!P1759</f>
        <v>4.8995590396864281E-3</v>
      </c>
      <c r="AC1764" s="111">
        <f>IF(
      SUM(Audit[[#This Row],[Audit Losing Candidate]:[Audit Candidate 6]])
      &lt;&gt;0,
      (Audit[[#This Row],[Winning Candidate]]-Audit[[#This Row],[Losing Candidate]]-(Audit[[#This Row],[Audit Winning Candidate]]-Audit[[#This Row],[Audit Losing Candidate]]))/(Audit[[#Totals],[Winning Candidate]]-Audit[[#Totals],[Losing Candidate]]),
      0
)</f>
        <v>0</v>
      </c>
      <c r="AD17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4" s="111">
        <f>IF(Audit[[#This Row],[Max Relative Error (ep)]] = 0, 0, Audit[[#This Row],[Max Relative Error (ep)]]/Audit[[#This Row],[Error Bound (up) - Max. possible relative overstatement]])</f>
        <v>0</v>
      </c>
      <c r="AJ17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64" s="111">
        <f t="shared" si="27"/>
        <v>1</v>
      </c>
      <c r="AL1764" s="111">
        <f>PRODUCT($AK$5:AK1764)</f>
        <v>8.962823818226312E-2</v>
      </c>
      <c r="AM1764" s="109">
        <f>1 - [K-M P Value]</f>
        <v>0.91037176181773694</v>
      </c>
      <c r="AN1764" s="111" t="str">
        <f>IF(Audit[[#This Row],[K-M P Value]]&gt;1-'General Info'!$B$16,"Continue", "Stop")</f>
        <v>Stop</v>
      </c>
      <c r="AO1764" s="110" t="b">
        <f>IF(Audit[[#This Row],[Status - Continue or stop audit]] = "Continue", TRUE, IF(AN1763 = "Continue", TRUE, FALSE))</f>
        <v>0</v>
      </c>
      <c r="AP1764" s="110"/>
    </row>
    <row r="1765" spans="1:42" ht="15" hidden="1" customHeight="1">
      <c r="A1765" s="111" t="str">
        <f>'Sampling Data'!W1760</f>
        <v/>
      </c>
      <c r="B1765" s="112" t="str">
        <f>'Sampling Data'!A1760</f>
        <v>PARMA -09-D - ABS</v>
      </c>
      <c r="C1765" s="112">
        <f>'Sampling Data'!B1760</f>
        <v>21</v>
      </c>
      <c r="D1765" s="112">
        <f>'Sampling Data'!C1760</f>
        <v>14</v>
      </c>
      <c r="E1765" s="113">
        <f>'Sampling Data'!D1760</f>
        <v>3</v>
      </c>
      <c r="F1765" s="113">
        <f>'Sampling Data'!E1760</f>
        <v>6</v>
      </c>
      <c r="G1765" s="113">
        <f>'Sampling Data'!F1760</f>
        <v>0</v>
      </c>
      <c r="H1765" s="113">
        <f>'Sampling Data'!G1760</f>
        <v>0</v>
      </c>
      <c r="I1765" s="112">
        <f>'Sampling Data'!H1760</f>
        <v>0</v>
      </c>
      <c r="J1765" s="112">
        <f>'Sampling Data'!I1760</f>
        <v>2</v>
      </c>
      <c r="K1765" s="112">
        <f>'Sampling Data'!J1760</f>
        <v>46</v>
      </c>
      <c r="L1765" s="111">
        <f>'Sampling Data'!X1760</f>
        <v>0</v>
      </c>
      <c r="M1765" s="114"/>
      <c r="N1765" s="114"/>
      <c r="O1765" s="115"/>
      <c r="P1765" s="115"/>
      <c r="Q1765" s="116"/>
      <c r="R1765" s="116"/>
      <c r="S1765" s="111">
        <f>Audit[[#This Row],[Audit Losing Candidate]]-Audit[[#This Row],[Losing Candidate]]</f>
        <v>-21</v>
      </c>
      <c r="T1765" s="111">
        <f>Audit[[#This Row],[Audit Winning Candidate]]-Audit[[#This Row],[Winning Candidate]]</f>
        <v>-14</v>
      </c>
      <c r="U1765" s="111">
        <f>Audit[[#This Row],[Audit Candidate 3]]-Audit[[#This Row],[Candidate 3]]</f>
        <v>-3</v>
      </c>
      <c r="V1765" s="111">
        <f>Audit[[#This Row],[Audit Candidate 4]]-Audit[[#This Row],[Candidate 4]]</f>
        <v>-6</v>
      </c>
      <c r="W1765" s="111">
        <f>Audit[[#This Row],[Audit Candidate 5]]-Audit[[#This Row],[Candidate 5]]</f>
        <v>0</v>
      </c>
      <c r="X1765" s="111">
        <f>Audit[[#This Row],[Audit Candidate 6]]-Audit[[#This Row],[Candidate 6]]</f>
        <v>0</v>
      </c>
      <c r="Y1765" s="111">
        <f>SUMIF(Audit[[#This Row],[Difference Loser]:[Difference Candidate 6]], "&gt;0")</f>
        <v>0</v>
      </c>
      <c r="Z1765" s="111">
        <f>SUM(Audit[[#This Row],[Difference Loser]:[Difference Candidate 6]])</f>
        <v>-44</v>
      </c>
      <c r="AA1765" s="111">
        <f>IF(Audit[[#This Row],[Times p Drawn - With Replacement]]&gt;0, IF(Audit[[#This Row],[Canceled Differences]]&lt;0, Audit[[#This Row],[Max Differences]]+ABS(Audit[[#This Row],[Canceled Differences]]), Audit[[#This Row],[Max Differences]]), 0)</f>
        <v>0</v>
      </c>
      <c r="AB1765" s="111">
        <f>'Sampling Data'!P1760</f>
        <v>2.3885350318471337E-3</v>
      </c>
      <c r="AC1765" s="111">
        <f>IF(
      SUM(Audit[[#This Row],[Audit Losing Candidate]:[Audit Candidate 6]])
      &lt;&gt;0,
      (Audit[[#This Row],[Winning Candidate]]-Audit[[#This Row],[Losing Candidate]]-(Audit[[#This Row],[Audit Winning Candidate]]-Audit[[#This Row],[Audit Losing Candidate]]))/(Audit[[#Totals],[Winning Candidate]]-Audit[[#Totals],[Losing Candidate]]),
      0
)</f>
        <v>0</v>
      </c>
      <c r="AD17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5" s="111">
        <f>IF(Audit[[#This Row],[Max Relative Error (ep)]] = 0, 0, Audit[[#This Row],[Max Relative Error (ep)]]/Audit[[#This Row],[Error Bound (up) - Max. possible relative overstatement]])</f>
        <v>0</v>
      </c>
      <c r="AJ17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65" s="111">
        <f t="shared" si="27"/>
        <v>1</v>
      </c>
      <c r="AL1765" s="111">
        <f>PRODUCT($AK$5:AK1765)</f>
        <v>8.962823818226312E-2</v>
      </c>
      <c r="AM1765" s="109">
        <f>1 - [K-M P Value]</f>
        <v>0.91037176181773694</v>
      </c>
      <c r="AN1765" s="111" t="str">
        <f>IF(Audit[[#This Row],[K-M P Value]]&gt;1-'General Info'!$B$16,"Continue", "Stop")</f>
        <v>Stop</v>
      </c>
      <c r="AO1765" s="110" t="b">
        <f>IF(Audit[[#This Row],[Status - Continue or stop audit]] = "Continue", TRUE, IF(AN1764 = "Continue", TRUE, FALSE))</f>
        <v>0</v>
      </c>
      <c r="AP1765" s="110"/>
    </row>
    <row r="1766" spans="1:42" ht="15" hidden="1" customHeight="1">
      <c r="A1766" s="111" t="str">
        <f>'Sampling Data'!W1761</f>
        <v/>
      </c>
      <c r="B1766" s="112" t="str">
        <f>'Sampling Data'!A1761</f>
        <v>PARMA -09-E</v>
      </c>
      <c r="C1766" s="112">
        <f>'Sampling Data'!B1761</f>
        <v>16</v>
      </c>
      <c r="D1766" s="112">
        <f>'Sampling Data'!C1761</f>
        <v>8</v>
      </c>
      <c r="E1766" s="113">
        <f>'Sampling Data'!D1761</f>
        <v>4</v>
      </c>
      <c r="F1766" s="113">
        <f>'Sampling Data'!E1761</f>
        <v>3</v>
      </c>
      <c r="G1766" s="113">
        <f>'Sampling Data'!F1761</f>
        <v>0</v>
      </c>
      <c r="H1766" s="113">
        <f>'Sampling Data'!G1761</f>
        <v>0</v>
      </c>
      <c r="I1766" s="112">
        <f>'Sampling Data'!H1761</f>
        <v>0</v>
      </c>
      <c r="J1766" s="112">
        <f>'Sampling Data'!I1761</f>
        <v>0</v>
      </c>
      <c r="K1766" s="112">
        <f>'Sampling Data'!J1761</f>
        <v>31</v>
      </c>
      <c r="L1766" s="111">
        <f>'Sampling Data'!X1761</f>
        <v>0</v>
      </c>
      <c r="M1766" s="114"/>
      <c r="N1766" s="114"/>
      <c r="O1766" s="115"/>
      <c r="P1766" s="115"/>
      <c r="Q1766" s="116"/>
      <c r="R1766" s="116"/>
      <c r="S1766" s="111">
        <f>Audit[[#This Row],[Audit Losing Candidate]]-Audit[[#This Row],[Losing Candidate]]</f>
        <v>-16</v>
      </c>
      <c r="T1766" s="111">
        <f>Audit[[#This Row],[Audit Winning Candidate]]-Audit[[#This Row],[Winning Candidate]]</f>
        <v>-8</v>
      </c>
      <c r="U1766" s="111">
        <f>Audit[[#This Row],[Audit Candidate 3]]-Audit[[#This Row],[Candidate 3]]</f>
        <v>-4</v>
      </c>
      <c r="V1766" s="111">
        <f>Audit[[#This Row],[Audit Candidate 4]]-Audit[[#This Row],[Candidate 4]]</f>
        <v>-3</v>
      </c>
      <c r="W1766" s="111">
        <f>Audit[[#This Row],[Audit Candidate 5]]-Audit[[#This Row],[Candidate 5]]</f>
        <v>0</v>
      </c>
      <c r="X1766" s="111">
        <f>Audit[[#This Row],[Audit Candidate 6]]-Audit[[#This Row],[Candidate 6]]</f>
        <v>0</v>
      </c>
      <c r="Y1766" s="111">
        <f>SUMIF(Audit[[#This Row],[Difference Loser]:[Difference Candidate 6]], "&gt;0")</f>
        <v>0</v>
      </c>
      <c r="Z1766" s="111">
        <f>SUM(Audit[[#This Row],[Difference Loser]:[Difference Candidate 6]])</f>
        <v>-31</v>
      </c>
      <c r="AA1766" s="111">
        <f>IF(Audit[[#This Row],[Times p Drawn - With Replacement]]&gt;0, IF(Audit[[#This Row],[Canceled Differences]]&lt;0, Audit[[#This Row],[Max Differences]]+ABS(Audit[[#This Row],[Canceled Differences]]), Audit[[#This Row],[Max Differences]]), 0)</f>
        <v>0</v>
      </c>
      <c r="AB1766" s="111">
        <f>'Sampling Data'!P1761</f>
        <v>1.408623223909848E-3</v>
      </c>
      <c r="AC1766" s="111">
        <f>IF(
      SUM(Audit[[#This Row],[Audit Losing Candidate]:[Audit Candidate 6]])
      &lt;&gt;0,
      (Audit[[#This Row],[Winning Candidate]]-Audit[[#This Row],[Losing Candidate]]-(Audit[[#This Row],[Audit Winning Candidate]]-Audit[[#This Row],[Audit Losing Candidate]]))/(Audit[[#Totals],[Winning Candidate]]-Audit[[#Totals],[Losing Candidate]]),
      0
)</f>
        <v>0</v>
      </c>
      <c r="AD17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6" s="111">
        <f>IF(Audit[[#This Row],[Max Relative Error (ep)]] = 0, 0, Audit[[#This Row],[Max Relative Error (ep)]]/Audit[[#This Row],[Error Bound (up) - Max. possible relative overstatement]])</f>
        <v>0</v>
      </c>
      <c r="AJ17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66" s="111">
        <f t="shared" si="27"/>
        <v>1</v>
      </c>
      <c r="AL1766" s="111">
        <f>PRODUCT($AK$5:AK1766)</f>
        <v>8.962823818226312E-2</v>
      </c>
      <c r="AM1766" s="109">
        <f>1 - [K-M P Value]</f>
        <v>0.91037176181773694</v>
      </c>
      <c r="AN1766" s="111" t="str">
        <f>IF(Audit[[#This Row],[K-M P Value]]&gt;1-'General Info'!$B$16,"Continue", "Stop")</f>
        <v>Stop</v>
      </c>
      <c r="AO1766" s="110" t="b">
        <f>IF(Audit[[#This Row],[Status - Continue or stop audit]] = "Continue", TRUE, IF(AN1765 = "Continue", TRUE, FALSE))</f>
        <v>0</v>
      </c>
      <c r="AP1766" s="110"/>
    </row>
    <row r="1767" spans="1:42" ht="15" hidden="1" customHeight="1">
      <c r="A1767" s="111" t="str">
        <f>'Sampling Data'!W1762</f>
        <v/>
      </c>
      <c r="B1767" s="112" t="str">
        <f>'Sampling Data'!A1762</f>
        <v>PARMA -09-E - ABS</v>
      </c>
      <c r="C1767" s="112">
        <f>'Sampling Data'!B1762</f>
        <v>9</v>
      </c>
      <c r="D1767" s="112">
        <f>'Sampling Data'!C1762</f>
        <v>6</v>
      </c>
      <c r="E1767" s="113">
        <f>'Sampling Data'!D1762</f>
        <v>0</v>
      </c>
      <c r="F1767" s="113">
        <f>'Sampling Data'!E1762</f>
        <v>0</v>
      </c>
      <c r="G1767" s="113">
        <f>'Sampling Data'!F1762</f>
        <v>0</v>
      </c>
      <c r="H1767" s="113">
        <f>'Sampling Data'!G1762</f>
        <v>0</v>
      </c>
      <c r="I1767" s="112">
        <f>'Sampling Data'!H1762</f>
        <v>0</v>
      </c>
      <c r="J1767" s="112">
        <f>'Sampling Data'!I1762</f>
        <v>0</v>
      </c>
      <c r="K1767" s="112">
        <f>'Sampling Data'!J1762</f>
        <v>15</v>
      </c>
      <c r="L1767" s="111">
        <f>'Sampling Data'!X1762</f>
        <v>0</v>
      </c>
      <c r="M1767" s="114"/>
      <c r="N1767" s="114"/>
      <c r="O1767" s="115"/>
      <c r="P1767" s="115"/>
      <c r="Q1767" s="116"/>
      <c r="R1767" s="116"/>
      <c r="S1767" s="111">
        <f>Audit[[#This Row],[Audit Losing Candidate]]-Audit[[#This Row],[Losing Candidate]]</f>
        <v>-9</v>
      </c>
      <c r="T1767" s="111">
        <f>Audit[[#This Row],[Audit Winning Candidate]]-Audit[[#This Row],[Winning Candidate]]</f>
        <v>-6</v>
      </c>
      <c r="U1767" s="111">
        <f>Audit[[#This Row],[Audit Candidate 3]]-Audit[[#This Row],[Candidate 3]]</f>
        <v>0</v>
      </c>
      <c r="V1767" s="111">
        <f>Audit[[#This Row],[Audit Candidate 4]]-Audit[[#This Row],[Candidate 4]]</f>
        <v>0</v>
      </c>
      <c r="W1767" s="111">
        <f>Audit[[#This Row],[Audit Candidate 5]]-Audit[[#This Row],[Candidate 5]]</f>
        <v>0</v>
      </c>
      <c r="X1767" s="111">
        <f>Audit[[#This Row],[Audit Candidate 6]]-Audit[[#This Row],[Candidate 6]]</f>
        <v>0</v>
      </c>
      <c r="Y1767" s="111">
        <f>SUMIF(Audit[[#This Row],[Difference Loser]:[Difference Candidate 6]], "&gt;0")</f>
        <v>0</v>
      </c>
      <c r="Z1767" s="111">
        <f>SUM(Audit[[#This Row],[Difference Loser]:[Difference Candidate 6]])</f>
        <v>-15</v>
      </c>
      <c r="AA1767" s="111">
        <f>IF(Audit[[#This Row],[Times p Drawn - With Replacement]]&gt;0, IF(Audit[[#This Row],[Canceled Differences]]&lt;0, Audit[[#This Row],[Max Differences]]+ABS(Audit[[#This Row],[Canceled Differences]]), Audit[[#This Row],[Max Differences]]), 0)</f>
        <v>0</v>
      </c>
      <c r="AB1767" s="111">
        <f>'Sampling Data'!P1762</f>
        <v>7.3493385595296422E-4</v>
      </c>
      <c r="AC1767" s="111">
        <f>IF(
      SUM(Audit[[#This Row],[Audit Losing Candidate]:[Audit Candidate 6]])
      &lt;&gt;0,
      (Audit[[#This Row],[Winning Candidate]]-Audit[[#This Row],[Losing Candidate]]-(Audit[[#This Row],[Audit Winning Candidate]]-Audit[[#This Row],[Audit Losing Candidate]]))/(Audit[[#Totals],[Winning Candidate]]-Audit[[#Totals],[Losing Candidate]]),
      0
)</f>
        <v>0</v>
      </c>
      <c r="AD17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7" s="111">
        <f>IF(Audit[[#This Row],[Max Relative Error (ep)]] = 0, 0, Audit[[#This Row],[Max Relative Error (ep)]]/Audit[[#This Row],[Error Bound (up) - Max. possible relative overstatement]])</f>
        <v>0</v>
      </c>
      <c r="AJ17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67" s="111">
        <f t="shared" si="27"/>
        <v>1</v>
      </c>
      <c r="AL1767" s="111">
        <f>PRODUCT($AK$5:AK1767)</f>
        <v>8.962823818226312E-2</v>
      </c>
      <c r="AM1767" s="109">
        <f>1 - [K-M P Value]</f>
        <v>0.91037176181773694</v>
      </c>
      <c r="AN1767" s="111" t="str">
        <f>IF(Audit[[#This Row],[K-M P Value]]&gt;1-'General Info'!$B$16,"Continue", "Stop")</f>
        <v>Stop</v>
      </c>
      <c r="AO1767" s="110" t="b">
        <f>IF(Audit[[#This Row],[Status - Continue or stop audit]] = "Continue", TRUE, IF(AN1766 = "Continue", TRUE, FALSE))</f>
        <v>0</v>
      </c>
      <c r="AP1767" s="110"/>
    </row>
    <row r="1768" spans="1:42" ht="15" hidden="1" customHeight="1">
      <c r="A1768" s="111" t="str">
        <f>'Sampling Data'!W1763</f>
        <v/>
      </c>
      <c r="B1768" s="112" t="str">
        <f>'Sampling Data'!A1763</f>
        <v>PARMA -09-E.02</v>
      </c>
      <c r="C1768" s="112">
        <f>'Sampling Data'!B1763</f>
        <v>15</v>
      </c>
      <c r="D1768" s="112">
        <f>'Sampling Data'!C1763</f>
        <v>14</v>
      </c>
      <c r="E1768" s="113">
        <f>'Sampling Data'!D1763</f>
        <v>6</v>
      </c>
      <c r="F1768" s="113">
        <f>'Sampling Data'!E1763</f>
        <v>2</v>
      </c>
      <c r="G1768" s="113">
        <f>'Sampling Data'!F1763</f>
        <v>0</v>
      </c>
      <c r="H1768" s="113">
        <f>'Sampling Data'!G1763</f>
        <v>0</v>
      </c>
      <c r="I1768" s="112">
        <f>'Sampling Data'!H1763</f>
        <v>0</v>
      </c>
      <c r="J1768" s="112">
        <f>'Sampling Data'!I1763</f>
        <v>0</v>
      </c>
      <c r="K1768" s="112">
        <f>'Sampling Data'!J1763</f>
        <v>37</v>
      </c>
      <c r="L1768" s="111">
        <f>'Sampling Data'!X1763</f>
        <v>0</v>
      </c>
      <c r="M1768" s="114"/>
      <c r="N1768" s="114"/>
      <c r="O1768" s="115"/>
      <c r="P1768" s="115"/>
      <c r="Q1768" s="116"/>
      <c r="R1768" s="116"/>
      <c r="S1768" s="111">
        <f>Audit[[#This Row],[Audit Losing Candidate]]-Audit[[#This Row],[Losing Candidate]]</f>
        <v>-15</v>
      </c>
      <c r="T1768" s="111">
        <f>Audit[[#This Row],[Audit Winning Candidate]]-Audit[[#This Row],[Winning Candidate]]</f>
        <v>-14</v>
      </c>
      <c r="U1768" s="111">
        <f>Audit[[#This Row],[Audit Candidate 3]]-Audit[[#This Row],[Candidate 3]]</f>
        <v>-6</v>
      </c>
      <c r="V1768" s="111">
        <f>Audit[[#This Row],[Audit Candidate 4]]-Audit[[#This Row],[Candidate 4]]</f>
        <v>-2</v>
      </c>
      <c r="W1768" s="111">
        <f>Audit[[#This Row],[Audit Candidate 5]]-Audit[[#This Row],[Candidate 5]]</f>
        <v>0</v>
      </c>
      <c r="X1768" s="111">
        <f>Audit[[#This Row],[Audit Candidate 6]]-Audit[[#This Row],[Candidate 6]]</f>
        <v>0</v>
      </c>
      <c r="Y1768" s="111">
        <f>SUMIF(Audit[[#This Row],[Difference Loser]:[Difference Candidate 6]], "&gt;0")</f>
        <v>0</v>
      </c>
      <c r="Z1768" s="111">
        <f>SUM(Audit[[#This Row],[Difference Loser]:[Difference Candidate 6]])</f>
        <v>-37</v>
      </c>
      <c r="AA1768" s="111">
        <f>IF(Audit[[#This Row],[Times p Drawn - With Replacement]]&gt;0, IF(Audit[[#This Row],[Canceled Differences]]&lt;0, Audit[[#This Row],[Max Differences]]+ABS(Audit[[#This Row],[Canceled Differences]]), Audit[[#This Row],[Max Differences]]), 0)</f>
        <v>0</v>
      </c>
      <c r="AB1768" s="111">
        <f>'Sampling Data'!P1763</f>
        <v>2.2048015678588929E-3</v>
      </c>
      <c r="AC1768" s="111">
        <f>IF(
      SUM(Audit[[#This Row],[Audit Losing Candidate]:[Audit Candidate 6]])
      &lt;&gt;0,
      (Audit[[#This Row],[Winning Candidate]]-Audit[[#This Row],[Losing Candidate]]-(Audit[[#This Row],[Audit Winning Candidate]]-Audit[[#This Row],[Audit Losing Candidate]]))/(Audit[[#Totals],[Winning Candidate]]-Audit[[#Totals],[Losing Candidate]]),
      0
)</f>
        <v>0</v>
      </c>
      <c r="AD17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8" s="111">
        <f>IF(Audit[[#This Row],[Max Relative Error (ep)]] = 0, 0, Audit[[#This Row],[Max Relative Error (ep)]]/Audit[[#This Row],[Error Bound (up) - Max. possible relative overstatement]])</f>
        <v>0</v>
      </c>
      <c r="AJ17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68" s="111">
        <f t="shared" si="27"/>
        <v>1</v>
      </c>
      <c r="AL1768" s="111">
        <f>PRODUCT($AK$5:AK1768)</f>
        <v>8.962823818226312E-2</v>
      </c>
      <c r="AM1768" s="109">
        <f>1 - [K-M P Value]</f>
        <v>0.91037176181773694</v>
      </c>
      <c r="AN1768" s="111" t="str">
        <f>IF(Audit[[#This Row],[K-M P Value]]&gt;1-'General Info'!$B$16,"Continue", "Stop")</f>
        <v>Stop</v>
      </c>
      <c r="AO1768" s="110" t="b">
        <f>IF(Audit[[#This Row],[Status - Continue or stop audit]] = "Continue", TRUE, IF(AN1767 = "Continue", TRUE, FALSE))</f>
        <v>0</v>
      </c>
      <c r="AP1768" s="110"/>
    </row>
    <row r="1769" spans="1:42" ht="15" hidden="1" customHeight="1">
      <c r="A1769" s="111" t="str">
        <f>'Sampling Data'!W1764</f>
        <v/>
      </c>
      <c r="B1769" s="112" t="str">
        <f>'Sampling Data'!A1764</f>
        <v>PARMA -09-E.02 - ABS</v>
      </c>
      <c r="C1769" s="112">
        <f>'Sampling Data'!B1764</f>
        <v>8</v>
      </c>
      <c r="D1769" s="112">
        <f>'Sampling Data'!C1764</f>
        <v>8</v>
      </c>
      <c r="E1769" s="113">
        <f>'Sampling Data'!D1764</f>
        <v>0</v>
      </c>
      <c r="F1769" s="113">
        <f>'Sampling Data'!E1764</f>
        <v>0</v>
      </c>
      <c r="G1769" s="113">
        <f>'Sampling Data'!F1764</f>
        <v>0</v>
      </c>
      <c r="H1769" s="113">
        <f>'Sampling Data'!G1764</f>
        <v>0</v>
      </c>
      <c r="I1769" s="112">
        <f>'Sampling Data'!H1764</f>
        <v>0</v>
      </c>
      <c r="J1769" s="112">
        <f>'Sampling Data'!I1764</f>
        <v>0</v>
      </c>
      <c r="K1769" s="112">
        <f>'Sampling Data'!J1764</f>
        <v>16</v>
      </c>
      <c r="L1769" s="111">
        <f>'Sampling Data'!X1764</f>
        <v>0</v>
      </c>
      <c r="M1769" s="114"/>
      <c r="N1769" s="114"/>
      <c r="O1769" s="115"/>
      <c r="P1769" s="115"/>
      <c r="Q1769" s="116"/>
      <c r="R1769" s="116"/>
      <c r="S1769" s="111">
        <f>Audit[[#This Row],[Audit Losing Candidate]]-Audit[[#This Row],[Losing Candidate]]</f>
        <v>-8</v>
      </c>
      <c r="T1769" s="111">
        <f>Audit[[#This Row],[Audit Winning Candidate]]-Audit[[#This Row],[Winning Candidate]]</f>
        <v>-8</v>
      </c>
      <c r="U1769" s="111">
        <f>Audit[[#This Row],[Audit Candidate 3]]-Audit[[#This Row],[Candidate 3]]</f>
        <v>0</v>
      </c>
      <c r="V1769" s="111">
        <f>Audit[[#This Row],[Audit Candidate 4]]-Audit[[#This Row],[Candidate 4]]</f>
        <v>0</v>
      </c>
      <c r="W1769" s="111">
        <f>Audit[[#This Row],[Audit Candidate 5]]-Audit[[#This Row],[Candidate 5]]</f>
        <v>0</v>
      </c>
      <c r="X1769" s="111">
        <f>Audit[[#This Row],[Audit Candidate 6]]-Audit[[#This Row],[Candidate 6]]</f>
        <v>0</v>
      </c>
      <c r="Y1769" s="111">
        <f>SUMIF(Audit[[#This Row],[Difference Loser]:[Difference Candidate 6]], "&gt;0")</f>
        <v>0</v>
      </c>
      <c r="Z1769" s="111">
        <f>SUM(Audit[[#This Row],[Difference Loser]:[Difference Candidate 6]])</f>
        <v>-16</v>
      </c>
      <c r="AA1769" s="111">
        <f>IF(Audit[[#This Row],[Times p Drawn - With Replacement]]&gt;0, IF(Audit[[#This Row],[Canceled Differences]]&lt;0, Audit[[#This Row],[Max Differences]]+ABS(Audit[[#This Row],[Canceled Differences]]), Audit[[#This Row],[Max Differences]]), 0)</f>
        <v>0</v>
      </c>
      <c r="AB1769" s="111">
        <f>'Sampling Data'!P1764</f>
        <v>9.7991180793728563E-4</v>
      </c>
      <c r="AC1769" s="111">
        <f>IF(
      SUM(Audit[[#This Row],[Audit Losing Candidate]:[Audit Candidate 6]])
      &lt;&gt;0,
      (Audit[[#This Row],[Winning Candidate]]-Audit[[#This Row],[Losing Candidate]]-(Audit[[#This Row],[Audit Winning Candidate]]-Audit[[#This Row],[Audit Losing Candidate]]))/(Audit[[#Totals],[Winning Candidate]]-Audit[[#Totals],[Losing Candidate]]),
      0
)</f>
        <v>0</v>
      </c>
      <c r="AD17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9" s="111">
        <f>IF(Audit[[#This Row],[Max Relative Error (ep)]] = 0, 0, Audit[[#This Row],[Max Relative Error (ep)]]/Audit[[#This Row],[Error Bound (up) - Max. possible relative overstatement]])</f>
        <v>0</v>
      </c>
      <c r="AJ17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69" s="111">
        <f t="shared" si="27"/>
        <v>1</v>
      </c>
      <c r="AL1769" s="111">
        <f>PRODUCT($AK$5:AK1769)</f>
        <v>8.962823818226312E-2</v>
      </c>
      <c r="AM1769" s="109">
        <f>1 - [K-M P Value]</f>
        <v>0.91037176181773694</v>
      </c>
      <c r="AN1769" s="111" t="str">
        <f>IF(Audit[[#This Row],[K-M P Value]]&gt;1-'General Info'!$B$16,"Continue", "Stop")</f>
        <v>Stop</v>
      </c>
      <c r="AO1769" s="110" t="b">
        <f>IF(Audit[[#This Row],[Status - Continue or stop audit]] = "Continue", TRUE, IF(AN1768 = "Continue", TRUE, FALSE))</f>
        <v>0</v>
      </c>
      <c r="AP1769" s="110"/>
    </row>
    <row r="1770" spans="1:42" ht="15" hidden="1" customHeight="1">
      <c r="A1770" s="111" t="str">
        <f>'Sampling Data'!W1765</f>
        <v/>
      </c>
      <c r="B1770" s="112" t="str">
        <f>'Sampling Data'!A1765</f>
        <v>PARMA -09-F</v>
      </c>
      <c r="C1770" s="112">
        <f>'Sampling Data'!B1765</f>
        <v>26</v>
      </c>
      <c r="D1770" s="112">
        <f>'Sampling Data'!C1765</f>
        <v>27</v>
      </c>
      <c r="E1770" s="113">
        <f>'Sampling Data'!D1765</f>
        <v>7</v>
      </c>
      <c r="F1770" s="113">
        <f>'Sampling Data'!E1765</f>
        <v>6</v>
      </c>
      <c r="G1770" s="113">
        <f>'Sampling Data'!F1765</f>
        <v>0</v>
      </c>
      <c r="H1770" s="113">
        <f>'Sampling Data'!G1765</f>
        <v>0</v>
      </c>
      <c r="I1770" s="112">
        <f>'Sampling Data'!H1765</f>
        <v>0</v>
      </c>
      <c r="J1770" s="112">
        <f>'Sampling Data'!I1765</f>
        <v>0</v>
      </c>
      <c r="K1770" s="112">
        <f>'Sampling Data'!J1765</f>
        <v>66</v>
      </c>
      <c r="L1770" s="111">
        <f>'Sampling Data'!X1765</f>
        <v>0</v>
      </c>
      <c r="M1770" s="114"/>
      <c r="N1770" s="114"/>
      <c r="O1770" s="115"/>
      <c r="P1770" s="115"/>
      <c r="Q1770" s="116"/>
      <c r="R1770" s="116"/>
      <c r="S1770" s="111">
        <f>Audit[[#This Row],[Audit Losing Candidate]]-Audit[[#This Row],[Losing Candidate]]</f>
        <v>-26</v>
      </c>
      <c r="T1770" s="111">
        <f>Audit[[#This Row],[Audit Winning Candidate]]-Audit[[#This Row],[Winning Candidate]]</f>
        <v>-27</v>
      </c>
      <c r="U1770" s="111">
        <f>Audit[[#This Row],[Audit Candidate 3]]-Audit[[#This Row],[Candidate 3]]</f>
        <v>-7</v>
      </c>
      <c r="V1770" s="111">
        <f>Audit[[#This Row],[Audit Candidate 4]]-Audit[[#This Row],[Candidate 4]]</f>
        <v>-6</v>
      </c>
      <c r="W1770" s="111">
        <f>Audit[[#This Row],[Audit Candidate 5]]-Audit[[#This Row],[Candidate 5]]</f>
        <v>0</v>
      </c>
      <c r="X1770" s="111">
        <f>Audit[[#This Row],[Audit Candidate 6]]-Audit[[#This Row],[Candidate 6]]</f>
        <v>0</v>
      </c>
      <c r="Y1770" s="111">
        <f>SUMIF(Audit[[#This Row],[Difference Loser]:[Difference Candidate 6]], "&gt;0")</f>
        <v>0</v>
      </c>
      <c r="Z1770" s="111">
        <f>SUM(Audit[[#This Row],[Difference Loser]:[Difference Candidate 6]])</f>
        <v>-66</v>
      </c>
      <c r="AA1770" s="111">
        <f>IF(Audit[[#This Row],[Times p Drawn - With Replacement]]&gt;0, IF(Audit[[#This Row],[Canceled Differences]]&lt;0, Audit[[#This Row],[Max Differences]]+ABS(Audit[[#This Row],[Canceled Differences]]), Audit[[#This Row],[Max Differences]]), 0)</f>
        <v>0</v>
      </c>
      <c r="AB1770" s="111">
        <f>'Sampling Data'!P1765</f>
        <v>4.1033806957373837E-3</v>
      </c>
      <c r="AC1770" s="111">
        <f>IF(
      SUM(Audit[[#This Row],[Audit Losing Candidate]:[Audit Candidate 6]])
      &lt;&gt;0,
      (Audit[[#This Row],[Winning Candidate]]-Audit[[#This Row],[Losing Candidate]]-(Audit[[#This Row],[Audit Winning Candidate]]-Audit[[#This Row],[Audit Losing Candidate]]))/(Audit[[#Totals],[Winning Candidate]]-Audit[[#Totals],[Losing Candidate]]),
      0
)</f>
        <v>0</v>
      </c>
      <c r="AD17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0" s="111">
        <f>IF(Audit[[#This Row],[Max Relative Error (ep)]] = 0, 0, Audit[[#This Row],[Max Relative Error (ep)]]/Audit[[#This Row],[Error Bound (up) - Max. possible relative overstatement]])</f>
        <v>0</v>
      </c>
      <c r="AJ17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70" s="111">
        <f t="shared" si="27"/>
        <v>1</v>
      </c>
      <c r="AL1770" s="111">
        <f>PRODUCT($AK$5:AK1770)</f>
        <v>8.962823818226312E-2</v>
      </c>
      <c r="AM1770" s="109">
        <f>1 - [K-M P Value]</f>
        <v>0.91037176181773694</v>
      </c>
      <c r="AN1770" s="111" t="str">
        <f>IF(Audit[[#This Row],[K-M P Value]]&gt;1-'General Info'!$B$16,"Continue", "Stop")</f>
        <v>Stop</v>
      </c>
      <c r="AO1770" s="110" t="b">
        <f>IF(Audit[[#This Row],[Status - Continue or stop audit]] = "Continue", TRUE, IF(AN1769 = "Continue", TRUE, FALSE))</f>
        <v>0</v>
      </c>
      <c r="AP1770" s="110"/>
    </row>
    <row r="1771" spans="1:42" ht="15" hidden="1" customHeight="1">
      <c r="A1771" s="111" t="str">
        <f>'Sampling Data'!W1766</f>
        <v/>
      </c>
      <c r="B1771" s="112" t="str">
        <f>'Sampling Data'!A1766</f>
        <v>PARMA -09-F - ABS</v>
      </c>
      <c r="C1771" s="112">
        <f>'Sampling Data'!B1766</f>
        <v>12</v>
      </c>
      <c r="D1771" s="112">
        <f>'Sampling Data'!C1766</f>
        <v>8</v>
      </c>
      <c r="E1771" s="113">
        <f>'Sampling Data'!D1766</f>
        <v>5</v>
      </c>
      <c r="F1771" s="113">
        <f>'Sampling Data'!E1766</f>
        <v>2</v>
      </c>
      <c r="G1771" s="113">
        <f>'Sampling Data'!F1766</f>
        <v>0</v>
      </c>
      <c r="H1771" s="113">
        <f>'Sampling Data'!G1766</f>
        <v>0</v>
      </c>
      <c r="I1771" s="112">
        <f>'Sampling Data'!H1766</f>
        <v>0</v>
      </c>
      <c r="J1771" s="112">
        <f>'Sampling Data'!I1766</f>
        <v>2</v>
      </c>
      <c r="K1771" s="112">
        <f>'Sampling Data'!J1766</f>
        <v>29</v>
      </c>
      <c r="L1771" s="111">
        <f>'Sampling Data'!X1766</f>
        <v>0</v>
      </c>
      <c r="M1771" s="114"/>
      <c r="N1771" s="114"/>
      <c r="O1771" s="115"/>
      <c r="P1771" s="115"/>
      <c r="Q1771" s="116"/>
      <c r="R1771" s="116"/>
      <c r="S1771" s="111">
        <f>Audit[[#This Row],[Audit Losing Candidate]]-Audit[[#This Row],[Losing Candidate]]</f>
        <v>-12</v>
      </c>
      <c r="T1771" s="111">
        <f>Audit[[#This Row],[Audit Winning Candidate]]-Audit[[#This Row],[Winning Candidate]]</f>
        <v>-8</v>
      </c>
      <c r="U1771" s="111">
        <f>Audit[[#This Row],[Audit Candidate 3]]-Audit[[#This Row],[Candidate 3]]</f>
        <v>-5</v>
      </c>
      <c r="V1771" s="111">
        <f>Audit[[#This Row],[Audit Candidate 4]]-Audit[[#This Row],[Candidate 4]]</f>
        <v>-2</v>
      </c>
      <c r="W1771" s="111">
        <f>Audit[[#This Row],[Audit Candidate 5]]-Audit[[#This Row],[Candidate 5]]</f>
        <v>0</v>
      </c>
      <c r="X1771" s="111">
        <f>Audit[[#This Row],[Audit Candidate 6]]-Audit[[#This Row],[Candidate 6]]</f>
        <v>0</v>
      </c>
      <c r="Y1771" s="111">
        <f>SUMIF(Audit[[#This Row],[Difference Loser]:[Difference Candidate 6]], "&gt;0")</f>
        <v>0</v>
      </c>
      <c r="Z1771" s="111">
        <f>SUM(Audit[[#This Row],[Difference Loser]:[Difference Candidate 6]])</f>
        <v>-27</v>
      </c>
      <c r="AA1771" s="111">
        <f>IF(Audit[[#This Row],[Times p Drawn - With Replacement]]&gt;0, IF(Audit[[#This Row],[Canceled Differences]]&lt;0, Audit[[#This Row],[Max Differences]]+ABS(Audit[[#This Row],[Canceled Differences]]), Audit[[#This Row],[Max Differences]]), 0)</f>
        <v>0</v>
      </c>
      <c r="AB1771" s="111">
        <f>'Sampling Data'!P1766</f>
        <v>1.5311121999020088E-3</v>
      </c>
      <c r="AC1771" s="111">
        <f>IF(
      SUM(Audit[[#This Row],[Audit Losing Candidate]:[Audit Candidate 6]])
      &lt;&gt;0,
      (Audit[[#This Row],[Winning Candidate]]-Audit[[#This Row],[Losing Candidate]]-(Audit[[#This Row],[Audit Winning Candidate]]-Audit[[#This Row],[Audit Losing Candidate]]))/(Audit[[#Totals],[Winning Candidate]]-Audit[[#Totals],[Losing Candidate]]),
      0
)</f>
        <v>0</v>
      </c>
      <c r="AD17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1" s="111">
        <f>IF(Audit[[#This Row],[Max Relative Error (ep)]] = 0, 0, Audit[[#This Row],[Max Relative Error (ep)]]/Audit[[#This Row],[Error Bound (up) - Max. possible relative overstatement]])</f>
        <v>0</v>
      </c>
      <c r="AJ17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71" s="111">
        <f t="shared" si="27"/>
        <v>1</v>
      </c>
      <c r="AL1771" s="111">
        <f>PRODUCT($AK$5:AK1771)</f>
        <v>8.962823818226312E-2</v>
      </c>
      <c r="AM1771" s="109">
        <f>1 - [K-M P Value]</f>
        <v>0.91037176181773694</v>
      </c>
      <c r="AN1771" s="111" t="str">
        <f>IF(Audit[[#This Row],[K-M P Value]]&gt;1-'General Info'!$B$16,"Continue", "Stop")</f>
        <v>Stop</v>
      </c>
      <c r="AO1771" s="110" t="b">
        <f>IF(Audit[[#This Row],[Status - Continue or stop audit]] = "Continue", TRUE, IF(AN1770 = "Continue", TRUE, FALSE))</f>
        <v>0</v>
      </c>
      <c r="AP1771" s="110"/>
    </row>
    <row r="1772" spans="1:42" ht="15" hidden="1" customHeight="1">
      <c r="A1772" s="111" t="str">
        <f>'Sampling Data'!W1767</f>
        <v/>
      </c>
      <c r="B1772" s="112" t="str">
        <f>'Sampling Data'!A1767</f>
        <v>PARMA -09-G</v>
      </c>
      <c r="C1772" s="112">
        <f>'Sampling Data'!B1767</f>
        <v>23</v>
      </c>
      <c r="D1772" s="112">
        <f>'Sampling Data'!C1767</f>
        <v>26</v>
      </c>
      <c r="E1772" s="113">
        <f>'Sampling Data'!D1767</f>
        <v>8</v>
      </c>
      <c r="F1772" s="113">
        <f>'Sampling Data'!E1767</f>
        <v>5</v>
      </c>
      <c r="G1772" s="113">
        <f>'Sampling Data'!F1767</f>
        <v>0</v>
      </c>
      <c r="H1772" s="113">
        <f>'Sampling Data'!G1767</f>
        <v>0</v>
      </c>
      <c r="I1772" s="112">
        <f>'Sampling Data'!H1767</f>
        <v>0</v>
      </c>
      <c r="J1772" s="112">
        <f>'Sampling Data'!I1767</f>
        <v>0</v>
      </c>
      <c r="K1772" s="112">
        <f>'Sampling Data'!J1767</f>
        <v>62</v>
      </c>
      <c r="L1772" s="111">
        <f>'Sampling Data'!X1767</f>
        <v>0</v>
      </c>
      <c r="M1772" s="114"/>
      <c r="N1772" s="114"/>
      <c r="O1772" s="115"/>
      <c r="P1772" s="115"/>
      <c r="Q1772" s="116"/>
      <c r="R1772" s="116"/>
      <c r="S1772" s="111">
        <f>Audit[[#This Row],[Audit Losing Candidate]]-Audit[[#This Row],[Losing Candidate]]</f>
        <v>-23</v>
      </c>
      <c r="T1772" s="111">
        <f>Audit[[#This Row],[Audit Winning Candidate]]-Audit[[#This Row],[Winning Candidate]]</f>
        <v>-26</v>
      </c>
      <c r="U1772" s="111">
        <f>Audit[[#This Row],[Audit Candidate 3]]-Audit[[#This Row],[Candidate 3]]</f>
        <v>-8</v>
      </c>
      <c r="V1772" s="111">
        <f>Audit[[#This Row],[Audit Candidate 4]]-Audit[[#This Row],[Candidate 4]]</f>
        <v>-5</v>
      </c>
      <c r="W1772" s="111">
        <f>Audit[[#This Row],[Audit Candidate 5]]-Audit[[#This Row],[Candidate 5]]</f>
        <v>0</v>
      </c>
      <c r="X1772" s="111">
        <f>Audit[[#This Row],[Audit Candidate 6]]-Audit[[#This Row],[Candidate 6]]</f>
        <v>0</v>
      </c>
      <c r="Y1772" s="111">
        <f>SUMIF(Audit[[#This Row],[Difference Loser]:[Difference Candidate 6]], "&gt;0")</f>
        <v>0</v>
      </c>
      <c r="Z1772" s="111">
        <f>SUM(Audit[[#This Row],[Difference Loser]:[Difference Candidate 6]])</f>
        <v>-62</v>
      </c>
      <c r="AA1772" s="111">
        <f>IF(Audit[[#This Row],[Times p Drawn - With Replacement]]&gt;0, IF(Audit[[#This Row],[Canceled Differences]]&lt;0, Audit[[#This Row],[Max Differences]]+ABS(Audit[[#This Row],[Canceled Differences]]), Audit[[#This Row],[Max Differences]]), 0)</f>
        <v>0</v>
      </c>
      <c r="AB1772" s="111">
        <f>'Sampling Data'!P1767</f>
        <v>3.9808917197452229E-3</v>
      </c>
      <c r="AC1772" s="111">
        <f>IF(
      SUM(Audit[[#This Row],[Audit Losing Candidate]:[Audit Candidate 6]])
      &lt;&gt;0,
      (Audit[[#This Row],[Winning Candidate]]-Audit[[#This Row],[Losing Candidate]]-(Audit[[#This Row],[Audit Winning Candidate]]-Audit[[#This Row],[Audit Losing Candidate]]))/(Audit[[#Totals],[Winning Candidate]]-Audit[[#Totals],[Losing Candidate]]),
      0
)</f>
        <v>0</v>
      </c>
      <c r="AD17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2" s="111">
        <f>IF(Audit[[#This Row],[Max Relative Error (ep)]] = 0, 0, Audit[[#This Row],[Max Relative Error (ep)]]/Audit[[#This Row],[Error Bound (up) - Max. possible relative overstatement]])</f>
        <v>0</v>
      </c>
      <c r="AJ17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72" s="111">
        <f t="shared" si="27"/>
        <v>1</v>
      </c>
      <c r="AL1772" s="111">
        <f>PRODUCT($AK$5:AK1772)</f>
        <v>8.962823818226312E-2</v>
      </c>
      <c r="AM1772" s="109">
        <f>1 - [K-M P Value]</f>
        <v>0.91037176181773694</v>
      </c>
      <c r="AN1772" s="111" t="str">
        <f>IF(Audit[[#This Row],[K-M P Value]]&gt;1-'General Info'!$B$16,"Continue", "Stop")</f>
        <v>Stop</v>
      </c>
      <c r="AO1772" s="110" t="b">
        <f>IF(Audit[[#This Row],[Status - Continue or stop audit]] = "Continue", TRUE, IF(AN1771 = "Continue", TRUE, FALSE))</f>
        <v>0</v>
      </c>
      <c r="AP1772" s="110"/>
    </row>
    <row r="1773" spans="1:42" ht="15" hidden="1" customHeight="1">
      <c r="A1773" s="111" t="str">
        <f>'Sampling Data'!W1768</f>
        <v/>
      </c>
      <c r="B1773" s="112" t="str">
        <f>'Sampling Data'!A1768</f>
        <v>PARMA -09-G - ABS</v>
      </c>
      <c r="C1773" s="112">
        <f>'Sampling Data'!B1768</f>
        <v>15</v>
      </c>
      <c r="D1773" s="112">
        <f>'Sampling Data'!C1768</f>
        <v>11</v>
      </c>
      <c r="E1773" s="113">
        <f>'Sampling Data'!D1768</f>
        <v>9</v>
      </c>
      <c r="F1773" s="113">
        <f>'Sampling Data'!E1768</f>
        <v>0</v>
      </c>
      <c r="G1773" s="113">
        <f>'Sampling Data'!F1768</f>
        <v>0</v>
      </c>
      <c r="H1773" s="113">
        <f>'Sampling Data'!G1768</f>
        <v>0</v>
      </c>
      <c r="I1773" s="112">
        <f>'Sampling Data'!H1768</f>
        <v>0</v>
      </c>
      <c r="J1773" s="112">
        <f>'Sampling Data'!I1768</f>
        <v>0</v>
      </c>
      <c r="K1773" s="112">
        <f>'Sampling Data'!J1768</f>
        <v>35</v>
      </c>
      <c r="L1773" s="111">
        <f>'Sampling Data'!X1768</f>
        <v>0</v>
      </c>
      <c r="M1773" s="114"/>
      <c r="N1773" s="114"/>
      <c r="O1773" s="115"/>
      <c r="P1773" s="115"/>
      <c r="Q1773" s="116"/>
      <c r="R1773" s="116"/>
      <c r="S1773" s="111">
        <f>Audit[[#This Row],[Audit Losing Candidate]]-Audit[[#This Row],[Losing Candidate]]</f>
        <v>-15</v>
      </c>
      <c r="T1773" s="111">
        <f>Audit[[#This Row],[Audit Winning Candidate]]-Audit[[#This Row],[Winning Candidate]]</f>
        <v>-11</v>
      </c>
      <c r="U1773" s="111">
        <f>Audit[[#This Row],[Audit Candidate 3]]-Audit[[#This Row],[Candidate 3]]</f>
        <v>-9</v>
      </c>
      <c r="V1773" s="111">
        <f>Audit[[#This Row],[Audit Candidate 4]]-Audit[[#This Row],[Candidate 4]]</f>
        <v>0</v>
      </c>
      <c r="W1773" s="111">
        <f>Audit[[#This Row],[Audit Candidate 5]]-Audit[[#This Row],[Candidate 5]]</f>
        <v>0</v>
      </c>
      <c r="X1773" s="111">
        <f>Audit[[#This Row],[Audit Candidate 6]]-Audit[[#This Row],[Candidate 6]]</f>
        <v>0</v>
      </c>
      <c r="Y1773" s="111">
        <f>SUMIF(Audit[[#This Row],[Difference Loser]:[Difference Candidate 6]], "&gt;0")</f>
        <v>0</v>
      </c>
      <c r="Z1773" s="111">
        <f>SUM(Audit[[#This Row],[Difference Loser]:[Difference Candidate 6]])</f>
        <v>-35</v>
      </c>
      <c r="AA1773" s="111">
        <f>IF(Audit[[#This Row],[Times p Drawn - With Replacement]]&gt;0, IF(Audit[[#This Row],[Canceled Differences]]&lt;0, Audit[[#This Row],[Max Differences]]+ABS(Audit[[#This Row],[Canceled Differences]]), Audit[[#This Row],[Max Differences]]), 0)</f>
        <v>0</v>
      </c>
      <c r="AB1773" s="111">
        <f>'Sampling Data'!P1768</f>
        <v>1.8985791278784908E-3</v>
      </c>
      <c r="AC1773" s="111">
        <f>IF(
      SUM(Audit[[#This Row],[Audit Losing Candidate]:[Audit Candidate 6]])
      &lt;&gt;0,
      (Audit[[#This Row],[Winning Candidate]]-Audit[[#This Row],[Losing Candidate]]-(Audit[[#This Row],[Audit Winning Candidate]]-Audit[[#This Row],[Audit Losing Candidate]]))/(Audit[[#Totals],[Winning Candidate]]-Audit[[#Totals],[Losing Candidate]]),
      0
)</f>
        <v>0</v>
      </c>
      <c r="AD17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3" s="111">
        <f>IF(Audit[[#This Row],[Max Relative Error (ep)]] = 0, 0, Audit[[#This Row],[Max Relative Error (ep)]]/Audit[[#This Row],[Error Bound (up) - Max. possible relative overstatement]])</f>
        <v>0</v>
      </c>
      <c r="AJ17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73" s="111">
        <f t="shared" si="27"/>
        <v>1</v>
      </c>
      <c r="AL1773" s="111">
        <f>PRODUCT($AK$5:AK1773)</f>
        <v>8.962823818226312E-2</v>
      </c>
      <c r="AM1773" s="109">
        <f>1 - [K-M P Value]</f>
        <v>0.91037176181773694</v>
      </c>
      <c r="AN1773" s="111" t="str">
        <f>IF(Audit[[#This Row],[K-M P Value]]&gt;1-'General Info'!$B$16,"Continue", "Stop")</f>
        <v>Stop</v>
      </c>
      <c r="AO1773" s="110" t="b">
        <f>IF(Audit[[#This Row],[Status - Continue or stop audit]] = "Continue", TRUE, IF(AN1772 = "Continue", TRUE, FALSE))</f>
        <v>0</v>
      </c>
      <c r="AP1773" s="110"/>
    </row>
    <row r="1774" spans="1:42" ht="15" hidden="1" customHeight="1">
      <c r="A1774" s="111" t="str">
        <f>'Sampling Data'!W1769</f>
        <v/>
      </c>
      <c r="B1774" s="112" t="str">
        <f>'Sampling Data'!A1769</f>
        <v>PARMA HEIGHTS -01-A</v>
      </c>
      <c r="C1774" s="112">
        <f>'Sampling Data'!B1769</f>
        <v>22</v>
      </c>
      <c r="D1774" s="112">
        <f>'Sampling Data'!C1769</f>
        <v>18</v>
      </c>
      <c r="E1774" s="113">
        <f>'Sampling Data'!D1769</f>
        <v>3</v>
      </c>
      <c r="F1774" s="113">
        <f>'Sampling Data'!E1769</f>
        <v>11</v>
      </c>
      <c r="G1774" s="113">
        <f>'Sampling Data'!F1769</f>
        <v>0</v>
      </c>
      <c r="H1774" s="113">
        <f>'Sampling Data'!G1769</f>
        <v>1</v>
      </c>
      <c r="I1774" s="112">
        <f>'Sampling Data'!H1769</f>
        <v>0</v>
      </c>
      <c r="J1774" s="112">
        <f>'Sampling Data'!I1769</f>
        <v>0</v>
      </c>
      <c r="K1774" s="112">
        <f>'Sampling Data'!J1769</f>
        <v>55</v>
      </c>
      <c r="L1774" s="111">
        <f>'Sampling Data'!X1769</f>
        <v>0</v>
      </c>
      <c r="M1774" s="114"/>
      <c r="N1774" s="114"/>
      <c r="O1774" s="115"/>
      <c r="P1774" s="115"/>
      <c r="Q1774" s="116"/>
      <c r="R1774" s="116"/>
      <c r="S1774" s="111">
        <f>Audit[[#This Row],[Audit Losing Candidate]]-Audit[[#This Row],[Losing Candidate]]</f>
        <v>-22</v>
      </c>
      <c r="T1774" s="111">
        <f>Audit[[#This Row],[Audit Winning Candidate]]-Audit[[#This Row],[Winning Candidate]]</f>
        <v>-18</v>
      </c>
      <c r="U1774" s="111">
        <f>Audit[[#This Row],[Audit Candidate 3]]-Audit[[#This Row],[Candidate 3]]</f>
        <v>-3</v>
      </c>
      <c r="V1774" s="111">
        <f>Audit[[#This Row],[Audit Candidate 4]]-Audit[[#This Row],[Candidate 4]]</f>
        <v>-11</v>
      </c>
      <c r="W1774" s="111">
        <f>Audit[[#This Row],[Audit Candidate 5]]-Audit[[#This Row],[Candidate 5]]</f>
        <v>0</v>
      </c>
      <c r="X1774" s="111">
        <f>Audit[[#This Row],[Audit Candidate 6]]-Audit[[#This Row],[Candidate 6]]</f>
        <v>-1</v>
      </c>
      <c r="Y1774" s="111">
        <f>SUMIF(Audit[[#This Row],[Difference Loser]:[Difference Candidate 6]], "&gt;0")</f>
        <v>0</v>
      </c>
      <c r="Z1774" s="111">
        <f>SUM(Audit[[#This Row],[Difference Loser]:[Difference Candidate 6]])</f>
        <v>-55</v>
      </c>
      <c r="AA1774" s="111">
        <f>IF(Audit[[#This Row],[Times p Drawn - With Replacement]]&gt;0, IF(Audit[[#This Row],[Canceled Differences]]&lt;0, Audit[[#This Row],[Max Differences]]+ABS(Audit[[#This Row],[Canceled Differences]]), Audit[[#This Row],[Max Differences]]), 0)</f>
        <v>0</v>
      </c>
      <c r="AB1774" s="111">
        <f>'Sampling Data'!P1769</f>
        <v>3.1234688878000981E-3</v>
      </c>
      <c r="AC1774" s="111">
        <f>IF(
      SUM(Audit[[#This Row],[Audit Losing Candidate]:[Audit Candidate 6]])
      &lt;&gt;0,
      (Audit[[#This Row],[Winning Candidate]]-Audit[[#This Row],[Losing Candidate]]-(Audit[[#This Row],[Audit Winning Candidate]]-Audit[[#This Row],[Audit Losing Candidate]]))/(Audit[[#Totals],[Winning Candidate]]-Audit[[#Totals],[Losing Candidate]]),
      0
)</f>
        <v>0</v>
      </c>
      <c r="AD17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4" s="111">
        <f>IF(Audit[[#This Row],[Max Relative Error (ep)]] = 0, 0, Audit[[#This Row],[Max Relative Error (ep)]]/Audit[[#This Row],[Error Bound (up) - Max. possible relative overstatement]])</f>
        <v>0</v>
      </c>
      <c r="AJ17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74" s="111">
        <f t="shared" si="27"/>
        <v>1</v>
      </c>
      <c r="AL1774" s="111">
        <f>PRODUCT($AK$5:AK1774)</f>
        <v>8.962823818226312E-2</v>
      </c>
      <c r="AM1774" s="109">
        <f>1 - [K-M P Value]</f>
        <v>0.91037176181773694</v>
      </c>
      <c r="AN1774" s="111" t="str">
        <f>IF(Audit[[#This Row],[K-M P Value]]&gt;1-'General Info'!$B$16,"Continue", "Stop")</f>
        <v>Stop</v>
      </c>
      <c r="AO1774" s="110" t="b">
        <f>IF(Audit[[#This Row],[Status - Continue or stop audit]] = "Continue", TRUE, IF(AN1773 = "Continue", TRUE, FALSE))</f>
        <v>0</v>
      </c>
      <c r="AP1774" s="110"/>
    </row>
    <row r="1775" spans="1:42" ht="15" hidden="1" customHeight="1">
      <c r="A1775" s="111" t="str">
        <f>'Sampling Data'!W1770</f>
        <v/>
      </c>
      <c r="B1775" s="112" t="str">
        <f>'Sampling Data'!A1770</f>
        <v>PARMA HEIGHTS -01-A - ABS</v>
      </c>
      <c r="C1775" s="112">
        <f>'Sampling Data'!B1770</f>
        <v>18</v>
      </c>
      <c r="D1775" s="112">
        <f>'Sampling Data'!C1770</f>
        <v>13</v>
      </c>
      <c r="E1775" s="113">
        <f>'Sampling Data'!D1770</f>
        <v>7</v>
      </c>
      <c r="F1775" s="113">
        <f>'Sampling Data'!E1770</f>
        <v>6</v>
      </c>
      <c r="G1775" s="113">
        <f>'Sampling Data'!F1770</f>
        <v>0</v>
      </c>
      <c r="H1775" s="113">
        <f>'Sampling Data'!G1770</f>
        <v>0</v>
      </c>
      <c r="I1775" s="112">
        <f>'Sampling Data'!H1770</f>
        <v>0</v>
      </c>
      <c r="J1775" s="112">
        <f>'Sampling Data'!I1770</f>
        <v>3</v>
      </c>
      <c r="K1775" s="112">
        <f>'Sampling Data'!J1770</f>
        <v>47</v>
      </c>
      <c r="L1775" s="111">
        <f>'Sampling Data'!X1770</f>
        <v>0</v>
      </c>
      <c r="M1775" s="114"/>
      <c r="N1775" s="114"/>
      <c r="O1775" s="115"/>
      <c r="P1775" s="115"/>
      <c r="Q1775" s="116"/>
      <c r="R1775" s="116"/>
      <c r="S1775" s="111">
        <f>Audit[[#This Row],[Audit Losing Candidate]]-Audit[[#This Row],[Losing Candidate]]</f>
        <v>-18</v>
      </c>
      <c r="T1775" s="111">
        <f>Audit[[#This Row],[Audit Winning Candidate]]-Audit[[#This Row],[Winning Candidate]]</f>
        <v>-13</v>
      </c>
      <c r="U1775" s="111">
        <f>Audit[[#This Row],[Audit Candidate 3]]-Audit[[#This Row],[Candidate 3]]</f>
        <v>-7</v>
      </c>
      <c r="V1775" s="111">
        <f>Audit[[#This Row],[Audit Candidate 4]]-Audit[[#This Row],[Candidate 4]]</f>
        <v>-6</v>
      </c>
      <c r="W1775" s="111">
        <f>Audit[[#This Row],[Audit Candidate 5]]-Audit[[#This Row],[Candidate 5]]</f>
        <v>0</v>
      </c>
      <c r="X1775" s="111">
        <f>Audit[[#This Row],[Audit Candidate 6]]-Audit[[#This Row],[Candidate 6]]</f>
        <v>0</v>
      </c>
      <c r="Y1775" s="111">
        <f>SUMIF(Audit[[#This Row],[Difference Loser]:[Difference Candidate 6]], "&gt;0")</f>
        <v>0</v>
      </c>
      <c r="Z1775" s="111">
        <f>SUM(Audit[[#This Row],[Difference Loser]:[Difference Candidate 6]])</f>
        <v>-44</v>
      </c>
      <c r="AA1775" s="111">
        <f>IF(Audit[[#This Row],[Times p Drawn - With Replacement]]&gt;0, IF(Audit[[#This Row],[Canceled Differences]]&lt;0, Audit[[#This Row],[Max Differences]]+ABS(Audit[[#This Row],[Canceled Differences]]), Audit[[#This Row],[Max Differences]]), 0)</f>
        <v>0</v>
      </c>
      <c r="AB1775" s="111">
        <f>'Sampling Data'!P1770</f>
        <v>2.5722684958353749E-3</v>
      </c>
      <c r="AC1775" s="111">
        <f>IF(
      SUM(Audit[[#This Row],[Audit Losing Candidate]:[Audit Candidate 6]])
      &lt;&gt;0,
      (Audit[[#This Row],[Winning Candidate]]-Audit[[#This Row],[Losing Candidate]]-(Audit[[#This Row],[Audit Winning Candidate]]-Audit[[#This Row],[Audit Losing Candidate]]))/(Audit[[#Totals],[Winning Candidate]]-Audit[[#Totals],[Losing Candidate]]),
      0
)</f>
        <v>0</v>
      </c>
      <c r="AD17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5" s="111">
        <f>IF(Audit[[#This Row],[Max Relative Error (ep)]] = 0, 0, Audit[[#This Row],[Max Relative Error (ep)]]/Audit[[#This Row],[Error Bound (up) - Max. possible relative overstatement]])</f>
        <v>0</v>
      </c>
      <c r="AJ17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75" s="111">
        <f t="shared" si="27"/>
        <v>1</v>
      </c>
      <c r="AL1775" s="111">
        <f>PRODUCT($AK$5:AK1775)</f>
        <v>8.962823818226312E-2</v>
      </c>
      <c r="AM1775" s="109">
        <f>1 - [K-M P Value]</f>
        <v>0.91037176181773694</v>
      </c>
      <c r="AN1775" s="111" t="str">
        <f>IF(Audit[[#This Row],[K-M P Value]]&gt;1-'General Info'!$B$16,"Continue", "Stop")</f>
        <v>Stop</v>
      </c>
      <c r="AO1775" s="110" t="b">
        <f>IF(Audit[[#This Row],[Status - Continue or stop audit]] = "Continue", TRUE, IF(AN1774 = "Continue", TRUE, FALSE))</f>
        <v>0</v>
      </c>
      <c r="AP1775" s="110"/>
    </row>
    <row r="1776" spans="1:42" ht="15" hidden="1" customHeight="1">
      <c r="A1776" s="111" t="str">
        <f>'Sampling Data'!W1771</f>
        <v/>
      </c>
      <c r="B1776" s="112" t="str">
        <f>'Sampling Data'!A1771</f>
        <v>PARMA HEIGHTS -01-B</v>
      </c>
      <c r="C1776" s="112">
        <f>'Sampling Data'!B1771</f>
        <v>48</v>
      </c>
      <c r="D1776" s="112">
        <f>'Sampling Data'!C1771</f>
        <v>55</v>
      </c>
      <c r="E1776" s="113">
        <f>'Sampling Data'!D1771</f>
        <v>14</v>
      </c>
      <c r="F1776" s="113">
        <f>'Sampling Data'!E1771</f>
        <v>11</v>
      </c>
      <c r="G1776" s="113">
        <f>'Sampling Data'!F1771</f>
        <v>1</v>
      </c>
      <c r="H1776" s="113">
        <f>'Sampling Data'!G1771</f>
        <v>1</v>
      </c>
      <c r="I1776" s="112">
        <f>'Sampling Data'!H1771</f>
        <v>0</v>
      </c>
      <c r="J1776" s="112">
        <f>'Sampling Data'!I1771</f>
        <v>1</v>
      </c>
      <c r="K1776" s="112">
        <f>'Sampling Data'!J1771</f>
        <v>131</v>
      </c>
      <c r="L1776" s="111">
        <f>'Sampling Data'!X1771</f>
        <v>0</v>
      </c>
      <c r="M1776" s="114"/>
      <c r="N1776" s="114"/>
      <c r="O1776" s="115"/>
      <c r="P1776" s="115"/>
      <c r="Q1776" s="116"/>
      <c r="R1776" s="116"/>
      <c r="S1776" s="111">
        <f>Audit[[#This Row],[Audit Losing Candidate]]-Audit[[#This Row],[Losing Candidate]]</f>
        <v>-48</v>
      </c>
      <c r="T1776" s="111">
        <f>Audit[[#This Row],[Audit Winning Candidate]]-Audit[[#This Row],[Winning Candidate]]</f>
        <v>-55</v>
      </c>
      <c r="U1776" s="111">
        <f>Audit[[#This Row],[Audit Candidate 3]]-Audit[[#This Row],[Candidate 3]]</f>
        <v>-14</v>
      </c>
      <c r="V1776" s="111">
        <f>Audit[[#This Row],[Audit Candidate 4]]-Audit[[#This Row],[Candidate 4]]</f>
        <v>-11</v>
      </c>
      <c r="W1776" s="111">
        <f>Audit[[#This Row],[Audit Candidate 5]]-Audit[[#This Row],[Candidate 5]]</f>
        <v>-1</v>
      </c>
      <c r="X1776" s="111">
        <f>Audit[[#This Row],[Audit Candidate 6]]-Audit[[#This Row],[Candidate 6]]</f>
        <v>-1</v>
      </c>
      <c r="Y1776" s="111">
        <f>SUMIF(Audit[[#This Row],[Difference Loser]:[Difference Candidate 6]], "&gt;0")</f>
        <v>0</v>
      </c>
      <c r="Z1776" s="111">
        <f>SUM(Audit[[#This Row],[Difference Loser]:[Difference Candidate 6]])</f>
        <v>-130</v>
      </c>
      <c r="AA1776" s="111">
        <f>IF(Audit[[#This Row],[Times p Drawn - With Replacement]]&gt;0, IF(Audit[[#This Row],[Canceled Differences]]&lt;0, Audit[[#This Row],[Max Differences]]+ABS(Audit[[#This Row],[Canceled Differences]]), Audit[[#This Row],[Max Differences]]), 0)</f>
        <v>0</v>
      </c>
      <c r="AB1776" s="111">
        <f>'Sampling Data'!P1771</f>
        <v>8.4517393434590891E-3</v>
      </c>
      <c r="AC1776" s="111">
        <f>IF(
      SUM(Audit[[#This Row],[Audit Losing Candidate]:[Audit Candidate 6]])
      &lt;&gt;0,
      (Audit[[#This Row],[Winning Candidate]]-Audit[[#This Row],[Losing Candidate]]-(Audit[[#This Row],[Audit Winning Candidate]]-Audit[[#This Row],[Audit Losing Candidate]]))/(Audit[[#Totals],[Winning Candidate]]-Audit[[#Totals],[Losing Candidate]]),
      0
)</f>
        <v>0</v>
      </c>
      <c r="AD17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6" s="111">
        <f>IF(Audit[[#This Row],[Max Relative Error (ep)]] = 0, 0, Audit[[#This Row],[Max Relative Error (ep)]]/Audit[[#This Row],[Error Bound (up) - Max. possible relative overstatement]])</f>
        <v>0</v>
      </c>
      <c r="AJ17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76" s="111">
        <f t="shared" si="27"/>
        <v>1</v>
      </c>
      <c r="AL1776" s="111">
        <f>PRODUCT($AK$5:AK1776)</f>
        <v>8.962823818226312E-2</v>
      </c>
      <c r="AM1776" s="109">
        <f>1 - [K-M P Value]</f>
        <v>0.91037176181773694</v>
      </c>
      <c r="AN1776" s="111" t="str">
        <f>IF(Audit[[#This Row],[K-M P Value]]&gt;1-'General Info'!$B$16,"Continue", "Stop")</f>
        <v>Stop</v>
      </c>
      <c r="AO1776" s="110" t="b">
        <f>IF(Audit[[#This Row],[Status - Continue or stop audit]] = "Continue", TRUE, IF(AN1775 = "Continue", TRUE, FALSE))</f>
        <v>0</v>
      </c>
      <c r="AP1776" s="110"/>
    </row>
    <row r="1777" spans="1:42" ht="15" hidden="1" customHeight="1">
      <c r="A1777" s="111" t="str">
        <f>'Sampling Data'!W1772</f>
        <v/>
      </c>
      <c r="B1777" s="112" t="str">
        <f>'Sampling Data'!A1772</f>
        <v>PARMA HEIGHTS -01-B - ABS</v>
      </c>
      <c r="C1777" s="112">
        <f>'Sampling Data'!B1772</f>
        <v>20</v>
      </c>
      <c r="D1777" s="112">
        <f>'Sampling Data'!C1772</f>
        <v>16</v>
      </c>
      <c r="E1777" s="113">
        <f>'Sampling Data'!D1772</f>
        <v>5</v>
      </c>
      <c r="F1777" s="113">
        <f>'Sampling Data'!E1772</f>
        <v>6</v>
      </c>
      <c r="G1777" s="113">
        <f>'Sampling Data'!F1772</f>
        <v>0</v>
      </c>
      <c r="H1777" s="113">
        <f>'Sampling Data'!G1772</f>
        <v>2</v>
      </c>
      <c r="I1777" s="112">
        <f>'Sampling Data'!H1772</f>
        <v>0</v>
      </c>
      <c r="J1777" s="112">
        <f>'Sampling Data'!I1772</f>
        <v>3</v>
      </c>
      <c r="K1777" s="112">
        <f>'Sampling Data'!J1772</f>
        <v>52</v>
      </c>
      <c r="L1777" s="111">
        <f>'Sampling Data'!X1772</f>
        <v>0</v>
      </c>
      <c r="M1777" s="114"/>
      <c r="N1777" s="114"/>
      <c r="O1777" s="115"/>
      <c r="P1777" s="115"/>
      <c r="Q1777" s="116"/>
      <c r="R1777" s="116"/>
      <c r="S1777" s="111">
        <f>Audit[[#This Row],[Audit Losing Candidate]]-Audit[[#This Row],[Losing Candidate]]</f>
        <v>-20</v>
      </c>
      <c r="T1777" s="111">
        <f>Audit[[#This Row],[Audit Winning Candidate]]-Audit[[#This Row],[Winning Candidate]]</f>
        <v>-16</v>
      </c>
      <c r="U1777" s="111">
        <f>Audit[[#This Row],[Audit Candidate 3]]-Audit[[#This Row],[Candidate 3]]</f>
        <v>-5</v>
      </c>
      <c r="V1777" s="111">
        <f>Audit[[#This Row],[Audit Candidate 4]]-Audit[[#This Row],[Candidate 4]]</f>
        <v>-6</v>
      </c>
      <c r="W1777" s="111">
        <f>Audit[[#This Row],[Audit Candidate 5]]-Audit[[#This Row],[Candidate 5]]</f>
        <v>0</v>
      </c>
      <c r="X1777" s="111">
        <f>Audit[[#This Row],[Audit Candidate 6]]-Audit[[#This Row],[Candidate 6]]</f>
        <v>-2</v>
      </c>
      <c r="Y1777" s="111">
        <f>SUMIF(Audit[[#This Row],[Difference Loser]:[Difference Candidate 6]], "&gt;0")</f>
        <v>0</v>
      </c>
      <c r="Z1777" s="111">
        <f>SUM(Audit[[#This Row],[Difference Loser]:[Difference Candidate 6]])</f>
        <v>-49</v>
      </c>
      <c r="AA1777" s="111">
        <f>IF(Audit[[#This Row],[Times p Drawn - With Replacement]]&gt;0, IF(Audit[[#This Row],[Canceled Differences]]&lt;0, Audit[[#This Row],[Max Differences]]+ABS(Audit[[#This Row],[Canceled Differences]]), Audit[[#This Row],[Max Differences]]), 0)</f>
        <v>0</v>
      </c>
      <c r="AB1777" s="111">
        <f>'Sampling Data'!P1772</f>
        <v>2.9397354238118569E-3</v>
      </c>
      <c r="AC1777" s="111">
        <f>IF(
      SUM(Audit[[#This Row],[Audit Losing Candidate]:[Audit Candidate 6]])
      &lt;&gt;0,
      (Audit[[#This Row],[Winning Candidate]]-Audit[[#This Row],[Losing Candidate]]-(Audit[[#This Row],[Audit Winning Candidate]]-Audit[[#This Row],[Audit Losing Candidate]]))/(Audit[[#Totals],[Winning Candidate]]-Audit[[#Totals],[Losing Candidate]]),
      0
)</f>
        <v>0</v>
      </c>
      <c r="AD17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7" s="111">
        <f>IF(Audit[[#This Row],[Max Relative Error (ep)]] = 0, 0, Audit[[#This Row],[Max Relative Error (ep)]]/Audit[[#This Row],[Error Bound (up) - Max. possible relative overstatement]])</f>
        <v>0</v>
      </c>
      <c r="AJ17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77" s="111">
        <f t="shared" si="27"/>
        <v>1</v>
      </c>
      <c r="AL1777" s="111">
        <f>PRODUCT($AK$5:AK1777)</f>
        <v>8.962823818226312E-2</v>
      </c>
      <c r="AM1777" s="109">
        <f>1 - [K-M P Value]</f>
        <v>0.91037176181773694</v>
      </c>
      <c r="AN1777" s="111" t="str">
        <f>IF(Audit[[#This Row],[K-M P Value]]&gt;1-'General Info'!$B$16,"Continue", "Stop")</f>
        <v>Stop</v>
      </c>
      <c r="AO1777" s="110" t="b">
        <f>IF(Audit[[#This Row],[Status - Continue or stop audit]] = "Continue", TRUE, IF(AN1776 = "Continue", TRUE, FALSE))</f>
        <v>0</v>
      </c>
      <c r="AP1777" s="110"/>
    </row>
    <row r="1778" spans="1:42" ht="15" hidden="1" customHeight="1">
      <c r="A1778" s="111" t="str">
        <f>'Sampling Data'!W1773</f>
        <v/>
      </c>
      <c r="B1778" s="112" t="str">
        <f>'Sampling Data'!A1773</f>
        <v>PARMA HEIGHTS -01-C</v>
      </c>
      <c r="C1778" s="112">
        <f>'Sampling Data'!B1773</f>
        <v>40</v>
      </c>
      <c r="D1778" s="112">
        <f>'Sampling Data'!C1773</f>
        <v>38</v>
      </c>
      <c r="E1778" s="113">
        <f>'Sampling Data'!D1773</f>
        <v>8</v>
      </c>
      <c r="F1778" s="113">
        <f>'Sampling Data'!E1773</f>
        <v>13</v>
      </c>
      <c r="G1778" s="113">
        <f>'Sampling Data'!F1773</f>
        <v>0</v>
      </c>
      <c r="H1778" s="113">
        <f>'Sampling Data'!G1773</f>
        <v>0</v>
      </c>
      <c r="I1778" s="112">
        <f>'Sampling Data'!H1773</f>
        <v>0</v>
      </c>
      <c r="J1778" s="112">
        <f>'Sampling Data'!I1773</f>
        <v>1</v>
      </c>
      <c r="K1778" s="112">
        <f>'Sampling Data'!J1773</f>
        <v>100</v>
      </c>
      <c r="L1778" s="111">
        <f>'Sampling Data'!X1773</f>
        <v>0</v>
      </c>
      <c r="M1778" s="114"/>
      <c r="N1778" s="114"/>
      <c r="O1778" s="115"/>
      <c r="P1778" s="115"/>
      <c r="Q1778" s="116"/>
      <c r="R1778" s="116"/>
      <c r="S1778" s="111">
        <f>Audit[[#This Row],[Audit Losing Candidate]]-Audit[[#This Row],[Losing Candidate]]</f>
        <v>-40</v>
      </c>
      <c r="T1778" s="111">
        <f>Audit[[#This Row],[Audit Winning Candidate]]-Audit[[#This Row],[Winning Candidate]]</f>
        <v>-38</v>
      </c>
      <c r="U1778" s="111">
        <f>Audit[[#This Row],[Audit Candidate 3]]-Audit[[#This Row],[Candidate 3]]</f>
        <v>-8</v>
      </c>
      <c r="V1778" s="111">
        <f>Audit[[#This Row],[Audit Candidate 4]]-Audit[[#This Row],[Candidate 4]]</f>
        <v>-13</v>
      </c>
      <c r="W1778" s="111">
        <f>Audit[[#This Row],[Audit Candidate 5]]-Audit[[#This Row],[Candidate 5]]</f>
        <v>0</v>
      </c>
      <c r="X1778" s="111">
        <f>Audit[[#This Row],[Audit Candidate 6]]-Audit[[#This Row],[Candidate 6]]</f>
        <v>0</v>
      </c>
      <c r="Y1778" s="111">
        <f>SUMIF(Audit[[#This Row],[Difference Loser]:[Difference Candidate 6]], "&gt;0")</f>
        <v>0</v>
      </c>
      <c r="Z1778" s="111">
        <f>SUM(Audit[[#This Row],[Difference Loser]:[Difference Candidate 6]])</f>
        <v>-99</v>
      </c>
      <c r="AA1778" s="111">
        <f>IF(Audit[[#This Row],[Times p Drawn - With Replacement]]&gt;0, IF(Audit[[#This Row],[Canceled Differences]]&lt;0, Audit[[#This Row],[Max Differences]]+ABS(Audit[[#This Row],[Canceled Differences]]), Audit[[#This Row],[Max Differences]]), 0)</f>
        <v>0</v>
      </c>
      <c r="AB1778" s="111">
        <f>'Sampling Data'!P1773</f>
        <v>6.0019598236158746E-3</v>
      </c>
      <c r="AC1778" s="111">
        <f>IF(
      SUM(Audit[[#This Row],[Audit Losing Candidate]:[Audit Candidate 6]])
      &lt;&gt;0,
      (Audit[[#This Row],[Winning Candidate]]-Audit[[#This Row],[Losing Candidate]]-(Audit[[#This Row],[Audit Winning Candidate]]-Audit[[#This Row],[Audit Losing Candidate]]))/(Audit[[#Totals],[Winning Candidate]]-Audit[[#Totals],[Losing Candidate]]),
      0
)</f>
        <v>0</v>
      </c>
      <c r="AD17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8" s="111">
        <f>IF(Audit[[#This Row],[Max Relative Error (ep)]] = 0, 0, Audit[[#This Row],[Max Relative Error (ep)]]/Audit[[#This Row],[Error Bound (up) - Max. possible relative overstatement]])</f>
        <v>0</v>
      </c>
      <c r="AJ17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78" s="111">
        <f t="shared" si="27"/>
        <v>1</v>
      </c>
      <c r="AL1778" s="111">
        <f>PRODUCT($AK$5:AK1778)</f>
        <v>8.962823818226312E-2</v>
      </c>
      <c r="AM1778" s="109">
        <f>1 - [K-M P Value]</f>
        <v>0.91037176181773694</v>
      </c>
      <c r="AN1778" s="111" t="str">
        <f>IF(Audit[[#This Row],[K-M P Value]]&gt;1-'General Info'!$B$16,"Continue", "Stop")</f>
        <v>Stop</v>
      </c>
      <c r="AO1778" s="110" t="b">
        <f>IF(Audit[[#This Row],[Status - Continue or stop audit]] = "Continue", TRUE, IF(AN1777 = "Continue", TRUE, FALSE))</f>
        <v>0</v>
      </c>
      <c r="AP1778" s="110"/>
    </row>
    <row r="1779" spans="1:42" ht="15" hidden="1" customHeight="1">
      <c r="A1779" s="111" t="str">
        <f>'Sampling Data'!W1774</f>
        <v/>
      </c>
      <c r="B1779" s="112" t="str">
        <f>'Sampling Data'!A1774</f>
        <v>PARMA HEIGHTS -01-C - ABS</v>
      </c>
      <c r="C1779" s="112">
        <f>'Sampling Data'!B1774</f>
        <v>29</v>
      </c>
      <c r="D1779" s="112">
        <f>'Sampling Data'!C1774</f>
        <v>25</v>
      </c>
      <c r="E1779" s="113">
        <f>'Sampling Data'!D1774</f>
        <v>4</v>
      </c>
      <c r="F1779" s="113">
        <f>'Sampling Data'!E1774</f>
        <v>2</v>
      </c>
      <c r="G1779" s="113">
        <f>'Sampling Data'!F1774</f>
        <v>0</v>
      </c>
      <c r="H1779" s="113">
        <f>'Sampling Data'!G1774</f>
        <v>1</v>
      </c>
      <c r="I1779" s="112">
        <f>'Sampling Data'!H1774</f>
        <v>0</v>
      </c>
      <c r="J1779" s="112">
        <f>'Sampling Data'!I1774</f>
        <v>0</v>
      </c>
      <c r="K1779" s="112">
        <f>'Sampling Data'!J1774</f>
        <v>61</v>
      </c>
      <c r="L1779" s="111">
        <f>'Sampling Data'!X1774</f>
        <v>0</v>
      </c>
      <c r="M1779" s="114"/>
      <c r="N1779" s="114"/>
      <c r="O1779" s="115"/>
      <c r="P1779" s="115"/>
      <c r="Q1779" s="116"/>
      <c r="R1779" s="116"/>
      <c r="S1779" s="111">
        <f>Audit[[#This Row],[Audit Losing Candidate]]-Audit[[#This Row],[Losing Candidate]]</f>
        <v>-29</v>
      </c>
      <c r="T1779" s="111">
        <f>Audit[[#This Row],[Audit Winning Candidate]]-Audit[[#This Row],[Winning Candidate]]</f>
        <v>-25</v>
      </c>
      <c r="U1779" s="111">
        <f>Audit[[#This Row],[Audit Candidate 3]]-Audit[[#This Row],[Candidate 3]]</f>
        <v>-4</v>
      </c>
      <c r="V1779" s="111">
        <f>Audit[[#This Row],[Audit Candidate 4]]-Audit[[#This Row],[Candidate 4]]</f>
        <v>-2</v>
      </c>
      <c r="W1779" s="111">
        <f>Audit[[#This Row],[Audit Candidate 5]]-Audit[[#This Row],[Candidate 5]]</f>
        <v>0</v>
      </c>
      <c r="X1779" s="111">
        <f>Audit[[#This Row],[Audit Candidate 6]]-Audit[[#This Row],[Candidate 6]]</f>
        <v>-1</v>
      </c>
      <c r="Y1779" s="111">
        <f>SUMIF(Audit[[#This Row],[Difference Loser]:[Difference Candidate 6]], "&gt;0")</f>
        <v>0</v>
      </c>
      <c r="Z1779" s="111">
        <f>SUM(Audit[[#This Row],[Difference Loser]:[Difference Candidate 6]])</f>
        <v>-61</v>
      </c>
      <c r="AA1779" s="111">
        <f>IF(Audit[[#This Row],[Times p Drawn - With Replacement]]&gt;0, IF(Audit[[#This Row],[Canceled Differences]]&lt;0, Audit[[#This Row],[Max Differences]]+ABS(Audit[[#This Row],[Canceled Differences]]), Audit[[#This Row],[Max Differences]]), 0)</f>
        <v>0</v>
      </c>
      <c r="AB1779" s="111">
        <f>'Sampling Data'!P1774</f>
        <v>3.4909358157765801E-3</v>
      </c>
      <c r="AC1779" s="111">
        <f>IF(
      SUM(Audit[[#This Row],[Audit Losing Candidate]:[Audit Candidate 6]])
      &lt;&gt;0,
      (Audit[[#This Row],[Winning Candidate]]-Audit[[#This Row],[Losing Candidate]]-(Audit[[#This Row],[Audit Winning Candidate]]-Audit[[#This Row],[Audit Losing Candidate]]))/(Audit[[#Totals],[Winning Candidate]]-Audit[[#Totals],[Losing Candidate]]),
      0
)</f>
        <v>0</v>
      </c>
      <c r="AD17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9" s="111">
        <f>IF(Audit[[#This Row],[Max Relative Error (ep)]] = 0, 0, Audit[[#This Row],[Max Relative Error (ep)]]/Audit[[#This Row],[Error Bound (up) - Max. possible relative overstatement]])</f>
        <v>0</v>
      </c>
      <c r="AJ17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79" s="111">
        <f t="shared" si="27"/>
        <v>1</v>
      </c>
      <c r="AL1779" s="111">
        <f>PRODUCT($AK$5:AK1779)</f>
        <v>8.962823818226312E-2</v>
      </c>
      <c r="AM1779" s="109">
        <f>1 - [K-M P Value]</f>
        <v>0.91037176181773694</v>
      </c>
      <c r="AN1779" s="111" t="str">
        <f>IF(Audit[[#This Row],[K-M P Value]]&gt;1-'General Info'!$B$16,"Continue", "Stop")</f>
        <v>Stop</v>
      </c>
      <c r="AO1779" s="110" t="b">
        <f>IF(Audit[[#This Row],[Status - Continue or stop audit]] = "Continue", TRUE, IF(AN1778 = "Continue", TRUE, FALSE))</f>
        <v>0</v>
      </c>
      <c r="AP1779" s="110"/>
    </row>
    <row r="1780" spans="1:42" ht="15" hidden="1" customHeight="1">
      <c r="A1780" s="111" t="str">
        <f>'Sampling Data'!W1775</f>
        <v/>
      </c>
      <c r="B1780" s="112" t="str">
        <f>'Sampling Data'!A1775</f>
        <v>PARMA HEIGHTS -02-A</v>
      </c>
      <c r="C1780" s="112">
        <f>'Sampling Data'!B1775</f>
        <v>39</v>
      </c>
      <c r="D1780" s="112">
        <f>'Sampling Data'!C1775</f>
        <v>47</v>
      </c>
      <c r="E1780" s="113">
        <f>'Sampling Data'!D1775</f>
        <v>16</v>
      </c>
      <c r="F1780" s="113">
        <f>'Sampling Data'!E1775</f>
        <v>7</v>
      </c>
      <c r="G1780" s="113">
        <f>'Sampling Data'!F1775</f>
        <v>1</v>
      </c>
      <c r="H1780" s="113">
        <f>'Sampling Data'!G1775</f>
        <v>2</v>
      </c>
      <c r="I1780" s="112">
        <f>'Sampling Data'!H1775</f>
        <v>0</v>
      </c>
      <c r="J1780" s="112">
        <f>'Sampling Data'!I1775</f>
        <v>4</v>
      </c>
      <c r="K1780" s="112">
        <f>'Sampling Data'!J1775</f>
        <v>116</v>
      </c>
      <c r="L1780" s="111">
        <f>'Sampling Data'!X1775</f>
        <v>0</v>
      </c>
      <c r="M1780" s="114"/>
      <c r="N1780" s="114"/>
      <c r="O1780" s="115"/>
      <c r="P1780" s="115"/>
      <c r="Q1780" s="116"/>
      <c r="R1780" s="116"/>
      <c r="S1780" s="111">
        <f>Audit[[#This Row],[Audit Losing Candidate]]-Audit[[#This Row],[Losing Candidate]]</f>
        <v>-39</v>
      </c>
      <c r="T1780" s="111">
        <f>Audit[[#This Row],[Audit Winning Candidate]]-Audit[[#This Row],[Winning Candidate]]</f>
        <v>-47</v>
      </c>
      <c r="U1780" s="111">
        <f>Audit[[#This Row],[Audit Candidate 3]]-Audit[[#This Row],[Candidate 3]]</f>
        <v>-16</v>
      </c>
      <c r="V1780" s="111">
        <f>Audit[[#This Row],[Audit Candidate 4]]-Audit[[#This Row],[Candidate 4]]</f>
        <v>-7</v>
      </c>
      <c r="W1780" s="111">
        <f>Audit[[#This Row],[Audit Candidate 5]]-Audit[[#This Row],[Candidate 5]]</f>
        <v>-1</v>
      </c>
      <c r="X1780" s="111">
        <f>Audit[[#This Row],[Audit Candidate 6]]-Audit[[#This Row],[Candidate 6]]</f>
        <v>-2</v>
      </c>
      <c r="Y1780" s="111">
        <f>SUMIF(Audit[[#This Row],[Difference Loser]:[Difference Candidate 6]], "&gt;0")</f>
        <v>0</v>
      </c>
      <c r="Z1780" s="111">
        <f>SUM(Audit[[#This Row],[Difference Loser]:[Difference Candidate 6]])</f>
        <v>-112</v>
      </c>
      <c r="AA1780" s="111">
        <f>IF(Audit[[#This Row],[Times p Drawn - With Replacement]]&gt;0, IF(Audit[[#This Row],[Canceled Differences]]&lt;0, Audit[[#This Row],[Max Differences]]+ABS(Audit[[#This Row],[Canceled Differences]]), Audit[[#This Row],[Max Differences]]), 0)</f>
        <v>0</v>
      </c>
      <c r="AB1780" s="111">
        <f>'Sampling Data'!P1775</f>
        <v>7.5943165115139634E-3</v>
      </c>
      <c r="AC1780" s="111">
        <f>IF(
      SUM(Audit[[#This Row],[Audit Losing Candidate]:[Audit Candidate 6]])
      &lt;&gt;0,
      (Audit[[#This Row],[Winning Candidate]]-Audit[[#This Row],[Losing Candidate]]-(Audit[[#This Row],[Audit Winning Candidate]]-Audit[[#This Row],[Audit Losing Candidate]]))/(Audit[[#Totals],[Winning Candidate]]-Audit[[#Totals],[Losing Candidate]]),
      0
)</f>
        <v>0</v>
      </c>
      <c r="AD17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0" s="111">
        <f>IF(Audit[[#This Row],[Max Relative Error (ep)]] = 0, 0, Audit[[#This Row],[Max Relative Error (ep)]]/Audit[[#This Row],[Error Bound (up) - Max. possible relative overstatement]])</f>
        <v>0</v>
      </c>
      <c r="AJ17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80" s="111">
        <f t="shared" si="27"/>
        <v>1</v>
      </c>
      <c r="AL1780" s="111">
        <f>PRODUCT($AK$5:AK1780)</f>
        <v>8.962823818226312E-2</v>
      </c>
      <c r="AM1780" s="109">
        <f>1 - [K-M P Value]</f>
        <v>0.91037176181773694</v>
      </c>
      <c r="AN1780" s="111" t="str">
        <f>IF(Audit[[#This Row],[K-M P Value]]&gt;1-'General Info'!$B$16,"Continue", "Stop")</f>
        <v>Stop</v>
      </c>
      <c r="AO1780" s="110" t="b">
        <f>IF(Audit[[#This Row],[Status - Continue or stop audit]] = "Continue", TRUE, IF(AN1779 = "Continue", TRUE, FALSE))</f>
        <v>0</v>
      </c>
      <c r="AP1780" s="110"/>
    </row>
    <row r="1781" spans="1:42" ht="15" hidden="1" customHeight="1">
      <c r="A1781" s="111" t="str">
        <f>'Sampling Data'!W1776</f>
        <v/>
      </c>
      <c r="B1781" s="112" t="str">
        <f>'Sampling Data'!A1776</f>
        <v>PARMA HEIGHTS -02-A - ABS</v>
      </c>
      <c r="C1781" s="112">
        <f>'Sampling Data'!B1776</f>
        <v>15</v>
      </c>
      <c r="D1781" s="112">
        <f>'Sampling Data'!C1776</f>
        <v>23</v>
      </c>
      <c r="E1781" s="113">
        <f>'Sampling Data'!D1776</f>
        <v>7</v>
      </c>
      <c r="F1781" s="113">
        <f>'Sampling Data'!E1776</f>
        <v>6</v>
      </c>
      <c r="G1781" s="113">
        <f>'Sampling Data'!F1776</f>
        <v>0</v>
      </c>
      <c r="H1781" s="113">
        <f>'Sampling Data'!G1776</f>
        <v>0</v>
      </c>
      <c r="I1781" s="112">
        <f>'Sampling Data'!H1776</f>
        <v>0</v>
      </c>
      <c r="J1781" s="112">
        <f>'Sampling Data'!I1776</f>
        <v>1</v>
      </c>
      <c r="K1781" s="112">
        <f>'Sampling Data'!J1776</f>
        <v>52</v>
      </c>
      <c r="L1781" s="111">
        <f>'Sampling Data'!X1776</f>
        <v>0</v>
      </c>
      <c r="M1781" s="114"/>
      <c r="N1781" s="114"/>
      <c r="O1781" s="115"/>
      <c r="P1781" s="115"/>
      <c r="Q1781" s="116"/>
      <c r="R1781" s="116"/>
      <c r="S1781" s="111">
        <f>Audit[[#This Row],[Audit Losing Candidate]]-Audit[[#This Row],[Losing Candidate]]</f>
        <v>-15</v>
      </c>
      <c r="T1781" s="111">
        <f>Audit[[#This Row],[Audit Winning Candidate]]-Audit[[#This Row],[Winning Candidate]]</f>
        <v>-23</v>
      </c>
      <c r="U1781" s="111">
        <f>Audit[[#This Row],[Audit Candidate 3]]-Audit[[#This Row],[Candidate 3]]</f>
        <v>-7</v>
      </c>
      <c r="V1781" s="111">
        <f>Audit[[#This Row],[Audit Candidate 4]]-Audit[[#This Row],[Candidate 4]]</f>
        <v>-6</v>
      </c>
      <c r="W1781" s="111">
        <f>Audit[[#This Row],[Audit Candidate 5]]-Audit[[#This Row],[Candidate 5]]</f>
        <v>0</v>
      </c>
      <c r="X1781" s="111">
        <f>Audit[[#This Row],[Audit Candidate 6]]-Audit[[#This Row],[Candidate 6]]</f>
        <v>0</v>
      </c>
      <c r="Y1781" s="111">
        <f>SUMIF(Audit[[#This Row],[Difference Loser]:[Difference Candidate 6]], "&gt;0")</f>
        <v>0</v>
      </c>
      <c r="Z1781" s="111">
        <f>SUM(Audit[[#This Row],[Difference Loser]:[Difference Candidate 6]])</f>
        <v>-51</v>
      </c>
      <c r="AA1781" s="111">
        <f>IF(Audit[[#This Row],[Times p Drawn - With Replacement]]&gt;0, IF(Audit[[#This Row],[Canceled Differences]]&lt;0, Audit[[#This Row],[Max Differences]]+ABS(Audit[[#This Row],[Canceled Differences]]), Audit[[#This Row],[Max Differences]]), 0)</f>
        <v>0</v>
      </c>
      <c r="AB1781" s="111">
        <f>'Sampling Data'!P1776</f>
        <v>3.6746692797648213E-3</v>
      </c>
      <c r="AC1781" s="111">
        <f>IF(
      SUM(Audit[[#This Row],[Audit Losing Candidate]:[Audit Candidate 6]])
      &lt;&gt;0,
      (Audit[[#This Row],[Winning Candidate]]-Audit[[#This Row],[Losing Candidate]]-(Audit[[#This Row],[Audit Winning Candidate]]-Audit[[#This Row],[Audit Losing Candidate]]))/(Audit[[#Totals],[Winning Candidate]]-Audit[[#Totals],[Losing Candidate]]),
      0
)</f>
        <v>0</v>
      </c>
      <c r="AD17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1" s="111">
        <f>IF(Audit[[#This Row],[Max Relative Error (ep)]] = 0, 0, Audit[[#This Row],[Max Relative Error (ep)]]/Audit[[#This Row],[Error Bound (up) - Max. possible relative overstatement]])</f>
        <v>0</v>
      </c>
      <c r="AJ17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81" s="111">
        <f t="shared" si="27"/>
        <v>1</v>
      </c>
      <c r="AL1781" s="111">
        <f>PRODUCT($AK$5:AK1781)</f>
        <v>8.962823818226312E-2</v>
      </c>
      <c r="AM1781" s="109">
        <f>1 - [K-M P Value]</f>
        <v>0.91037176181773694</v>
      </c>
      <c r="AN1781" s="111" t="str">
        <f>IF(Audit[[#This Row],[K-M P Value]]&gt;1-'General Info'!$B$16,"Continue", "Stop")</f>
        <v>Stop</v>
      </c>
      <c r="AO1781" s="110" t="b">
        <f>IF(Audit[[#This Row],[Status - Continue or stop audit]] = "Continue", TRUE, IF(AN1780 = "Continue", TRUE, FALSE))</f>
        <v>0</v>
      </c>
      <c r="AP1781" s="110"/>
    </row>
    <row r="1782" spans="1:42" ht="15" hidden="1" customHeight="1">
      <c r="A1782" s="111" t="str">
        <f>'Sampling Data'!W1777</f>
        <v/>
      </c>
      <c r="B1782" s="112" t="str">
        <f>'Sampling Data'!A1777</f>
        <v>PARMA HEIGHTS -02-B</v>
      </c>
      <c r="C1782" s="112">
        <f>'Sampling Data'!B1777</f>
        <v>46</v>
      </c>
      <c r="D1782" s="112">
        <f>'Sampling Data'!C1777</f>
        <v>70</v>
      </c>
      <c r="E1782" s="113">
        <f>'Sampling Data'!D1777</f>
        <v>9</v>
      </c>
      <c r="F1782" s="113">
        <f>'Sampling Data'!E1777</f>
        <v>9</v>
      </c>
      <c r="G1782" s="113">
        <f>'Sampling Data'!F1777</f>
        <v>0</v>
      </c>
      <c r="H1782" s="113">
        <f>'Sampling Data'!G1777</f>
        <v>0</v>
      </c>
      <c r="I1782" s="112">
        <f>'Sampling Data'!H1777</f>
        <v>0</v>
      </c>
      <c r="J1782" s="112">
        <f>'Sampling Data'!I1777</f>
        <v>0</v>
      </c>
      <c r="K1782" s="112">
        <f>'Sampling Data'!J1777</f>
        <v>134</v>
      </c>
      <c r="L1782" s="111">
        <f>'Sampling Data'!X1777</f>
        <v>0</v>
      </c>
      <c r="M1782" s="114"/>
      <c r="N1782" s="114"/>
      <c r="O1782" s="115"/>
      <c r="P1782" s="115"/>
      <c r="Q1782" s="116"/>
      <c r="R1782" s="116"/>
      <c r="S1782" s="111">
        <f>Audit[[#This Row],[Audit Losing Candidate]]-Audit[[#This Row],[Losing Candidate]]</f>
        <v>-46</v>
      </c>
      <c r="T1782" s="111">
        <f>Audit[[#This Row],[Audit Winning Candidate]]-Audit[[#This Row],[Winning Candidate]]</f>
        <v>-70</v>
      </c>
      <c r="U1782" s="111">
        <f>Audit[[#This Row],[Audit Candidate 3]]-Audit[[#This Row],[Candidate 3]]</f>
        <v>-9</v>
      </c>
      <c r="V1782" s="111">
        <f>Audit[[#This Row],[Audit Candidate 4]]-Audit[[#This Row],[Candidate 4]]</f>
        <v>-9</v>
      </c>
      <c r="W1782" s="111">
        <f>Audit[[#This Row],[Audit Candidate 5]]-Audit[[#This Row],[Candidate 5]]</f>
        <v>0</v>
      </c>
      <c r="X1782" s="111">
        <f>Audit[[#This Row],[Audit Candidate 6]]-Audit[[#This Row],[Candidate 6]]</f>
        <v>0</v>
      </c>
      <c r="Y1782" s="111">
        <f>SUMIF(Audit[[#This Row],[Difference Loser]:[Difference Candidate 6]], "&gt;0")</f>
        <v>0</v>
      </c>
      <c r="Z1782" s="111">
        <f>SUM(Audit[[#This Row],[Difference Loser]:[Difference Candidate 6]])</f>
        <v>-134</v>
      </c>
      <c r="AA1782" s="111">
        <f>IF(Audit[[#This Row],[Times p Drawn - With Replacement]]&gt;0, IF(Audit[[#This Row],[Canceled Differences]]&lt;0, Audit[[#This Row],[Max Differences]]+ABS(Audit[[#This Row],[Canceled Differences]]), Audit[[#This Row],[Max Differences]]), 0)</f>
        <v>0</v>
      </c>
      <c r="AB1782" s="111">
        <f>'Sampling Data'!P1777</f>
        <v>9.6766291033806955E-3</v>
      </c>
      <c r="AC1782" s="111">
        <f>IF(
      SUM(Audit[[#This Row],[Audit Losing Candidate]:[Audit Candidate 6]])
      &lt;&gt;0,
      (Audit[[#This Row],[Winning Candidate]]-Audit[[#This Row],[Losing Candidate]]-(Audit[[#This Row],[Audit Winning Candidate]]-Audit[[#This Row],[Audit Losing Candidate]]))/(Audit[[#Totals],[Winning Candidate]]-Audit[[#Totals],[Losing Candidate]]),
      0
)</f>
        <v>0</v>
      </c>
      <c r="AD17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2" s="111">
        <f>IF(Audit[[#This Row],[Max Relative Error (ep)]] = 0, 0, Audit[[#This Row],[Max Relative Error (ep)]]/Audit[[#This Row],[Error Bound (up) - Max. possible relative overstatement]])</f>
        <v>0</v>
      </c>
      <c r="AJ17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82" s="111">
        <f t="shared" si="27"/>
        <v>1</v>
      </c>
      <c r="AL1782" s="111">
        <f>PRODUCT($AK$5:AK1782)</f>
        <v>8.962823818226312E-2</v>
      </c>
      <c r="AM1782" s="109">
        <f>1 - [K-M P Value]</f>
        <v>0.91037176181773694</v>
      </c>
      <c r="AN1782" s="111" t="str">
        <f>IF(Audit[[#This Row],[K-M P Value]]&gt;1-'General Info'!$B$16,"Continue", "Stop")</f>
        <v>Stop</v>
      </c>
      <c r="AO1782" s="110" t="b">
        <f>IF(Audit[[#This Row],[Status - Continue or stop audit]] = "Continue", TRUE, IF(AN1781 = "Continue", TRUE, FALSE))</f>
        <v>0</v>
      </c>
      <c r="AP1782" s="110"/>
    </row>
    <row r="1783" spans="1:42" ht="15" hidden="1" customHeight="1">
      <c r="A1783" s="111" t="str">
        <f>'Sampling Data'!W1778</f>
        <v/>
      </c>
      <c r="B1783" s="112" t="str">
        <f>'Sampling Data'!A1778</f>
        <v>PARMA HEIGHTS -02-B - ABS</v>
      </c>
      <c r="C1783" s="112">
        <f>'Sampling Data'!B1778</f>
        <v>14</v>
      </c>
      <c r="D1783" s="112">
        <f>'Sampling Data'!C1778</f>
        <v>30</v>
      </c>
      <c r="E1783" s="113">
        <f>'Sampling Data'!D1778</f>
        <v>4</v>
      </c>
      <c r="F1783" s="113">
        <f>'Sampling Data'!E1778</f>
        <v>1</v>
      </c>
      <c r="G1783" s="113">
        <f>'Sampling Data'!F1778</f>
        <v>0</v>
      </c>
      <c r="H1783" s="113">
        <f>'Sampling Data'!G1778</f>
        <v>0</v>
      </c>
      <c r="I1783" s="112">
        <f>'Sampling Data'!H1778</f>
        <v>0</v>
      </c>
      <c r="J1783" s="112">
        <f>'Sampling Data'!I1778</f>
        <v>0</v>
      </c>
      <c r="K1783" s="112">
        <f>'Sampling Data'!J1778</f>
        <v>49</v>
      </c>
      <c r="L1783" s="111">
        <f>'Sampling Data'!X1778</f>
        <v>0</v>
      </c>
      <c r="M1783" s="114"/>
      <c r="N1783" s="114"/>
      <c r="O1783" s="115"/>
      <c r="P1783" s="115"/>
      <c r="Q1783" s="116"/>
      <c r="R1783" s="116"/>
      <c r="S1783" s="111">
        <f>Audit[[#This Row],[Audit Losing Candidate]]-Audit[[#This Row],[Losing Candidate]]</f>
        <v>-14</v>
      </c>
      <c r="T1783" s="111">
        <f>Audit[[#This Row],[Audit Winning Candidate]]-Audit[[#This Row],[Winning Candidate]]</f>
        <v>-30</v>
      </c>
      <c r="U1783" s="111">
        <f>Audit[[#This Row],[Audit Candidate 3]]-Audit[[#This Row],[Candidate 3]]</f>
        <v>-4</v>
      </c>
      <c r="V1783" s="111">
        <f>Audit[[#This Row],[Audit Candidate 4]]-Audit[[#This Row],[Candidate 4]]</f>
        <v>-1</v>
      </c>
      <c r="W1783" s="111">
        <f>Audit[[#This Row],[Audit Candidate 5]]-Audit[[#This Row],[Candidate 5]]</f>
        <v>0</v>
      </c>
      <c r="X1783" s="111">
        <f>Audit[[#This Row],[Audit Candidate 6]]-Audit[[#This Row],[Candidate 6]]</f>
        <v>0</v>
      </c>
      <c r="Y1783" s="111">
        <f>SUMIF(Audit[[#This Row],[Difference Loser]:[Difference Candidate 6]], "&gt;0")</f>
        <v>0</v>
      </c>
      <c r="Z1783" s="111">
        <f>SUM(Audit[[#This Row],[Difference Loser]:[Difference Candidate 6]])</f>
        <v>-49</v>
      </c>
      <c r="AA1783" s="111">
        <f>IF(Audit[[#This Row],[Times p Drawn - With Replacement]]&gt;0, IF(Audit[[#This Row],[Canceled Differences]]&lt;0, Audit[[#This Row],[Max Differences]]+ABS(Audit[[#This Row],[Canceled Differences]]), Audit[[#This Row],[Max Differences]]), 0)</f>
        <v>0</v>
      </c>
      <c r="AB1783" s="111">
        <f>'Sampling Data'!P1778</f>
        <v>3.9808917197452229E-3</v>
      </c>
      <c r="AC1783" s="111">
        <f>IF(
      SUM(Audit[[#This Row],[Audit Losing Candidate]:[Audit Candidate 6]])
      &lt;&gt;0,
      (Audit[[#This Row],[Winning Candidate]]-Audit[[#This Row],[Losing Candidate]]-(Audit[[#This Row],[Audit Winning Candidate]]-Audit[[#This Row],[Audit Losing Candidate]]))/(Audit[[#Totals],[Winning Candidate]]-Audit[[#Totals],[Losing Candidate]]),
      0
)</f>
        <v>0</v>
      </c>
      <c r="AD17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3" s="111">
        <f>IF(Audit[[#This Row],[Max Relative Error (ep)]] = 0, 0, Audit[[#This Row],[Max Relative Error (ep)]]/Audit[[#This Row],[Error Bound (up) - Max. possible relative overstatement]])</f>
        <v>0</v>
      </c>
      <c r="AJ17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83" s="111">
        <f t="shared" si="27"/>
        <v>1</v>
      </c>
      <c r="AL1783" s="111">
        <f>PRODUCT($AK$5:AK1783)</f>
        <v>8.962823818226312E-2</v>
      </c>
      <c r="AM1783" s="109">
        <f>1 - [K-M P Value]</f>
        <v>0.91037176181773694</v>
      </c>
      <c r="AN1783" s="111" t="str">
        <f>IF(Audit[[#This Row],[K-M P Value]]&gt;1-'General Info'!$B$16,"Continue", "Stop")</f>
        <v>Stop</v>
      </c>
      <c r="AO1783" s="110" t="b">
        <f>IF(Audit[[#This Row],[Status - Continue or stop audit]] = "Continue", TRUE, IF(AN1782 = "Continue", TRUE, FALSE))</f>
        <v>0</v>
      </c>
      <c r="AP1783" s="110"/>
    </row>
    <row r="1784" spans="1:42" ht="15" hidden="1" customHeight="1">
      <c r="A1784" s="111" t="str">
        <f>'Sampling Data'!W1779</f>
        <v/>
      </c>
      <c r="B1784" s="112" t="str">
        <f>'Sampling Data'!A1779</f>
        <v>PARMA HEIGHTS -02-C</v>
      </c>
      <c r="C1784" s="112">
        <f>'Sampling Data'!B1779</f>
        <v>12</v>
      </c>
      <c r="D1784" s="112">
        <f>'Sampling Data'!C1779</f>
        <v>18</v>
      </c>
      <c r="E1784" s="113">
        <f>'Sampling Data'!D1779</f>
        <v>4</v>
      </c>
      <c r="F1784" s="113">
        <f>'Sampling Data'!E1779</f>
        <v>5</v>
      </c>
      <c r="G1784" s="113">
        <f>'Sampling Data'!F1779</f>
        <v>0</v>
      </c>
      <c r="H1784" s="113">
        <f>'Sampling Data'!G1779</f>
        <v>0</v>
      </c>
      <c r="I1784" s="112">
        <f>'Sampling Data'!H1779</f>
        <v>0</v>
      </c>
      <c r="J1784" s="112">
        <f>'Sampling Data'!I1779</f>
        <v>0</v>
      </c>
      <c r="K1784" s="112">
        <f>'Sampling Data'!J1779</f>
        <v>39</v>
      </c>
      <c r="L1784" s="111">
        <f>'Sampling Data'!X1779</f>
        <v>0</v>
      </c>
      <c r="M1784" s="114"/>
      <c r="N1784" s="114"/>
      <c r="O1784" s="115"/>
      <c r="P1784" s="115"/>
      <c r="Q1784" s="116"/>
      <c r="R1784" s="116"/>
      <c r="S1784" s="111">
        <f>Audit[[#This Row],[Audit Losing Candidate]]-Audit[[#This Row],[Losing Candidate]]</f>
        <v>-12</v>
      </c>
      <c r="T1784" s="111">
        <f>Audit[[#This Row],[Audit Winning Candidate]]-Audit[[#This Row],[Winning Candidate]]</f>
        <v>-18</v>
      </c>
      <c r="U1784" s="111">
        <f>Audit[[#This Row],[Audit Candidate 3]]-Audit[[#This Row],[Candidate 3]]</f>
        <v>-4</v>
      </c>
      <c r="V1784" s="111">
        <f>Audit[[#This Row],[Audit Candidate 4]]-Audit[[#This Row],[Candidate 4]]</f>
        <v>-5</v>
      </c>
      <c r="W1784" s="111">
        <f>Audit[[#This Row],[Audit Candidate 5]]-Audit[[#This Row],[Candidate 5]]</f>
        <v>0</v>
      </c>
      <c r="X1784" s="111">
        <f>Audit[[#This Row],[Audit Candidate 6]]-Audit[[#This Row],[Candidate 6]]</f>
        <v>0</v>
      </c>
      <c r="Y1784" s="111">
        <f>SUMIF(Audit[[#This Row],[Difference Loser]:[Difference Candidate 6]], "&gt;0")</f>
        <v>0</v>
      </c>
      <c r="Z1784" s="111">
        <f>SUM(Audit[[#This Row],[Difference Loser]:[Difference Candidate 6]])</f>
        <v>-39</v>
      </c>
      <c r="AA1784" s="111">
        <f>IF(Audit[[#This Row],[Times p Drawn - With Replacement]]&gt;0, IF(Audit[[#This Row],[Canceled Differences]]&lt;0, Audit[[#This Row],[Max Differences]]+ABS(Audit[[#This Row],[Canceled Differences]]), Audit[[#This Row],[Max Differences]]), 0)</f>
        <v>0</v>
      </c>
      <c r="AB1784" s="111">
        <f>'Sampling Data'!P1779</f>
        <v>2.7560019598236157E-3</v>
      </c>
      <c r="AC1784" s="111">
        <f>IF(
      SUM(Audit[[#This Row],[Audit Losing Candidate]:[Audit Candidate 6]])
      &lt;&gt;0,
      (Audit[[#This Row],[Winning Candidate]]-Audit[[#This Row],[Losing Candidate]]-(Audit[[#This Row],[Audit Winning Candidate]]-Audit[[#This Row],[Audit Losing Candidate]]))/(Audit[[#Totals],[Winning Candidate]]-Audit[[#Totals],[Losing Candidate]]),
      0
)</f>
        <v>0</v>
      </c>
      <c r="AD17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4" s="111">
        <f>IF(Audit[[#This Row],[Max Relative Error (ep)]] = 0, 0, Audit[[#This Row],[Max Relative Error (ep)]]/Audit[[#This Row],[Error Bound (up) - Max. possible relative overstatement]])</f>
        <v>0</v>
      </c>
      <c r="AJ17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84" s="111">
        <f t="shared" si="27"/>
        <v>1</v>
      </c>
      <c r="AL1784" s="111">
        <f>PRODUCT($AK$5:AK1784)</f>
        <v>8.962823818226312E-2</v>
      </c>
      <c r="AM1784" s="109">
        <f>1 - [K-M P Value]</f>
        <v>0.91037176181773694</v>
      </c>
      <c r="AN1784" s="111" t="str">
        <f>IF(Audit[[#This Row],[K-M P Value]]&gt;1-'General Info'!$B$16,"Continue", "Stop")</f>
        <v>Stop</v>
      </c>
      <c r="AO1784" s="110" t="b">
        <f>IF(Audit[[#This Row],[Status - Continue or stop audit]] = "Continue", TRUE, IF(AN1783 = "Continue", TRUE, FALSE))</f>
        <v>0</v>
      </c>
      <c r="AP1784" s="110"/>
    </row>
    <row r="1785" spans="1:42" ht="15" hidden="1" customHeight="1">
      <c r="A1785" s="111" t="str">
        <f>'Sampling Data'!W1780</f>
        <v/>
      </c>
      <c r="B1785" s="112" t="str">
        <f>'Sampling Data'!A1780</f>
        <v>PARMA HEIGHTS -02-C - ABS</v>
      </c>
      <c r="C1785" s="112">
        <f>'Sampling Data'!B1780</f>
        <v>14</v>
      </c>
      <c r="D1785" s="112">
        <f>'Sampling Data'!C1780</f>
        <v>18</v>
      </c>
      <c r="E1785" s="113">
        <f>'Sampling Data'!D1780</f>
        <v>4</v>
      </c>
      <c r="F1785" s="113">
        <f>'Sampling Data'!E1780</f>
        <v>0</v>
      </c>
      <c r="G1785" s="113">
        <f>'Sampling Data'!F1780</f>
        <v>1</v>
      </c>
      <c r="H1785" s="113">
        <f>'Sampling Data'!G1780</f>
        <v>0</v>
      </c>
      <c r="I1785" s="112">
        <f>'Sampling Data'!H1780</f>
        <v>0</v>
      </c>
      <c r="J1785" s="112">
        <f>'Sampling Data'!I1780</f>
        <v>0</v>
      </c>
      <c r="K1785" s="112">
        <f>'Sampling Data'!J1780</f>
        <v>37</v>
      </c>
      <c r="L1785" s="111">
        <f>'Sampling Data'!X1780</f>
        <v>0</v>
      </c>
      <c r="M1785" s="114"/>
      <c r="N1785" s="114"/>
      <c r="O1785" s="115"/>
      <c r="P1785" s="115"/>
      <c r="Q1785" s="116"/>
      <c r="R1785" s="116"/>
      <c r="S1785" s="111">
        <f>Audit[[#This Row],[Audit Losing Candidate]]-Audit[[#This Row],[Losing Candidate]]</f>
        <v>-14</v>
      </c>
      <c r="T1785" s="111">
        <f>Audit[[#This Row],[Audit Winning Candidate]]-Audit[[#This Row],[Winning Candidate]]</f>
        <v>-18</v>
      </c>
      <c r="U1785" s="111">
        <f>Audit[[#This Row],[Audit Candidate 3]]-Audit[[#This Row],[Candidate 3]]</f>
        <v>-4</v>
      </c>
      <c r="V1785" s="111">
        <f>Audit[[#This Row],[Audit Candidate 4]]-Audit[[#This Row],[Candidate 4]]</f>
        <v>0</v>
      </c>
      <c r="W1785" s="111">
        <f>Audit[[#This Row],[Audit Candidate 5]]-Audit[[#This Row],[Candidate 5]]</f>
        <v>-1</v>
      </c>
      <c r="X1785" s="111">
        <f>Audit[[#This Row],[Audit Candidate 6]]-Audit[[#This Row],[Candidate 6]]</f>
        <v>0</v>
      </c>
      <c r="Y1785" s="111">
        <f>SUMIF(Audit[[#This Row],[Difference Loser]:[Difference Candidate 6]], "&gt;0")</f>
        <v>0</v>
      </c>
      <c r="Z1785" s="111">
        <f>SUM(Audit[[#This Row],[Difference Loser]:[Difference Candidate 6]])</f>
        <v>-37</v>
      </c>
      <c r="AA1785" s="111">
        <f>IF(Audit[[#This Row],[Times p Drawn - With Replacement]]&gt;0, IF(Audit[[#This Row],[Canceled Differences]]&lt;0, Audit[[#This Row],[Max Differences]]+ABS(Audit[[#This Row],[Canceled Differences]]), Audit[[#This Row],[Max Differences]]), 0)</f>
        <v>0</v>
      </c>
      <c r="AB1785" s="111">
        <f>'Sampling Data'!P1780</f>
        <v>2.5110240078392945E-3</v>
      </c>
      <c r="AC1785" s="111">
        <f>IF(
      SUM(Audit[[#This Row],[Audit Losing Candidate]:[Audit Candidate 6]])
      &lt;&gt;0,
      (Audit[[#This Row],[Winning Candidate]]-Audit[[#This Row],[Losing Candidate]]-(Audit[[#This Row],[Audit Winning Candidate]]-Audit[[#This Row],[Audit Losing Candidate]]))/(Audit[[#Totals],[Winning Candidate]]-Audit[[#Totals],[Losing Candidate]]),
      0
)</f>
        <v>0</v>
      </c>
      <c r="AD17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5" s="111">
        <f>IF(Audit[[#This Row],[Max Relative Error (ep)]] = 0, 0, Audit[[#This Row],[Max Relative Error (ep)]]/Audit[[#This Row],[Error Bound (up) - Max. possible relative overstatement]])</f>
        <v>0</v>
      </c>
      <c r="AJ17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85" s="111">
        <f t="shared" si="27"/>
        <v>1</v>
      </c>
      <c r="AL1785" s="111">
        <f>PRODUCT($AK$5:AK1785)</f>
        <v>8.962823818226312E-2</v>
      </c>
      <c r="AM1785" s="109">
        <f>1 - [K-M P Value]</f>
        <v>0.91037176181773694</v>
      </c>
      <c r="AN1785" s="111" t="str">
        <f>IF(Audit[[#This Row],[K-M P Value]]&gt;1-'General Info'!$B$16,"Continue", "Stop")</f>
        <v>Stop</v>
      </c>
      <c r="AO1785" s="110" t="b">
        <f>IF(Audit[[#This Row],[Status - Continue or stop audit]] = "Continue", TRUE, IF(AN1784 = "Continue", TRUE, FALSE))</f>
        <v>0</v>
      </c>
      <c r="AP1785" s="110"/>
    </row>
    <row r="1786" spans="1:42" ht="15" hidden="1" customHeight="1">
      <c r="A1786" s="111" t="str">
        <f>'Sampling Data'!W1781</f>
        <v/>
      </c>
      <c r="B1786" s="112" t="str">
        <f>'Sampling Data'!A1781</f>
        <v>PARMA HEIGHTS -03-A</v>
      </c>
      <c r="C1786" s="112">
        <f>'Sampling Data'!B1781</f>
        <v>40</v>
      </c>
      <c r="D1786" s="112">
        <f>'Sampling Data'!C1781</f>
        <v>42</v>
      </c>
      <c r="E1786" s="113">
        <f>'Sampling Data'!D1781</f>
        <v>9</v>
      </c>
      <c r="F1786" s="113">
        <f>'Sampling Data'!E1781</f>
        <v>18</v>
      </c>
      <c r="G1786" s="113">
        <f>'Sampling Data'!F1781</f>
        <v>0</v>
      </c>
      <c r="H1786" s="113">
        <f>'Sampling Data'!G1781</f>
        <v>1</v>
      </c>
      <c r="I1786" s="112">
        <f>'Sampling Data'!H1781</f>
        <v>1</v>
      </c>
      <c r="J1786" s="112">
        <f>'Sampling Data'!I1781</f>
        <v>1</v>
      </c>
      <c r="K1786" s="112">
        <f>'Sampling Data'!J1781</f>
        <v>112</v>
      </c>
      <c r="L1786" s="111">
        <f>'Sampling Data'!X1781</f>
        <v>0</v>
      </c>
      <c r="M1786" s="114"/>
      <c r="N1786" s="114"/>
      <c r="O1786" s="115"/>
      <c r="P1786" s="115"/>
      <c r="Q1786" s="116"/>
      <c r="R1786" s="116"/>
      <c r="S1786" s="111">
        <f>Audit[[#This Row],[Audit Losing Candidate]]-Audit[[#This Row],[Losing Candidate]]</f>
        <v>-40</v>
      </c>
      <c r="T1786" s="111">
        <f>Audit[[#This Row],[Audit Winning Candidate]]-Audit[[#This Row],[Winning Candidate]]</f>
        <v>-42</v>
      </c>
      <c r="U1786" s="111">
        <f>Audit[[#This Row],[Audit Candidate 3]]-Audit[[#This Row],[Candidate 3]]</f>
        <v>-9</v>
      </c>
      <c r="V1786" s="111">
        <f>Audit[[#This Row],[Audit Candidate 4]]-Audit[[#This Row],[Candidate 4]]</f>
        <v>-18</v>
      </c>
      <c r="W1786" s="111">
        <f>Audit[[#This Row],[Audit Candidate 5]]-Audit[[#This Row],[Candidate 5]]</f>
        <v>0</v>
      </c>
      <c r="X1786" s="111">
        <f>Audit[[#This Row],[Audit Candidate 6]]-Audit[[#This Row],[Candidate 6]]</f>
        <v>-1</v>
      </c>
      <c r="Y1786" s="111">
        <f>SUMIF(Audit[[#This Row],[Difference Loser]:[Difference Candidate 6]], "&gt;0")</f>
        <v>0</v>
      </c>
      <c r="Z1786" s="111">
        <f>SUM(Audit[[#This Row],[Difference Loser]:[Difference Candidate 6]])</f>
        <v>-110</v>
      </c>
      <c r="AA1786" s="111">
        <f>IF(Audit[[#This Row],[Times p Drawn - With Replacement]]&gt;0, IF(Audit[[#This Row],[Canceled Differences]]&lt;0, Audit[[#This Row],[Max Differences]]+ABS(Audit[[#This Row],[Canceled Differences]]), Audit[[#This Row],[Max Differences]]), 0)</f>
        <v>0</v>
      </c>
      <c r="AB1786" s="111">
        <f>'Sampling Data'!P1781</f>
        <v>6.9818716315531602E-3</v>
      </c>
      <c r="AC1786" s="111">
        <f>IF(
      SUM(Audit[[#This Row],[Audit Losing Candidate]:[Audit Candidate 6]])
      &lt;&gt;0,
      (Audit[[#This Row],[Winning Candidate]]-Audit[[#This Row],[Losing Candidate]]-(Audit[[#This Row],[Audit Winning Candidate]]-Audit[[#This Row],[Audit Losing Candidate]]))/(Audit[[#Totals],[Winning Candidate]]-Audit[[#Totals],[Losing Candidate]]),
      0
)</f>
        <v>0</v>
      </c>
      <c r="AD17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6" s="111">
        <f>IF(Audit[[#This Row],[Max Relative Error (ep)]] = 0, 0, Audit[[#This Row],[Max Relative Error (ep)]]/Audit[[#This Row],[Error Bound (up) - Max. possible relative overstatement]])</f>
        <v>0</v>
      </c>
      <c r="AJ17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86" s="111">
        <f t="shared" si="27"/>
        <v>1</v>
      </c>
      <c r="AL1786" s="111">
        <f>PRODUCT($AK$5:AK1786)</f>
        <v>8.962823818226312E-2</v>
      </c>
      <c r="AM1786" s="109">
        <f>1 - [K-M P Value]</f>
        <v>0.91037176181773694</v>
      </c>
      <c r="AN1786" s="111" t="str">
        <f>IF(Audit[[#This Row],[K-M P Value]]&gt;1-'General Info'!$B$16,"Continue", "Stop")</f>
        <v>Stop</v>
      </c>
      <c r="AO1786" s="110" t="b">
        <f>IF(Audit[[#This Row],[Status - Continue or stop audit]] = "Continue", TRUE, IF(AN1785 = "Continue", TRUE, FALSE))</f>
        <v>0</v>
      </c>
      <c r="AP1786" s="110"/>
    </row>
    <row r="1787" spans="1:42" ht="15" hidden="1" customHeight="1">
      <c r="A1787" s="111" t="str">
        <f>'Sampling Data'!W1782</f>
        <v/>
      </c>
      <c r="B1787" s="112" t="str">
        <f>'Sampling Data'!A1782</f>
        <v>PARMA HEIGHTS -03-A - ABS</v>
      </c>
      <c r="C1787" s="112">
        <f>'Sampling Data'!B1782</f>
        <v>15</v>
      </c>
      <c r="D1787" s="112">
        <f>'Sampling Data'!C1782</f>
        <v>16</v>
      </c>
      <c r="E1787" s="113">
        <f>'Sampling Data'!D1782</f>
        <v>1</v>
      </c>
      <c r="F1787" s="113">
        <f>'Sampling Data'!E1782</f>
        <v>0</v>
      </c>
      <c r="G1787" s="113">
        <f>'Sampling Data'!F1782</f>
        <v>0</v>
      </c>
      <c r="H1787" s="113">
        <f>'Sampling Data'!G1782</f>
        <v>0</v>
      </c>
      <c r="I1787" s="112">
        <f>'Sampling Data'!H1782</f>
        <v>0</v>
      </c>
      <c r="J1787" s="112">
        <f>'Sampling Data'!I1782</f>
        <v>0</v>
      </c>
      <c r="K1787" s="112">
        <f>'Sampling Data'!J1782</f>
        <v>32</v>
      </c>
      <c r="L1787" s="111">
        <f>'Sampling Data'!X1782</f>
        <v>0</v>
      </c>
      <c r="M1787" s="114"/>
      <c r="N1787" s="114"/>
      <c r="O1787" s="115"/>
      <c r="P1787" s="115"/>
      <c r="Q1787" s="116"/>
      <c r="R1787" s="116"/>
      <c r="S1787" s="111">
        <f>Audit[[#This Row],[Audit Losing Candidate]]-Audit[[#This Row],[Losing Candidate]]</f>
        <v>-15</v>
      </c>
      <c r="T1787" s="111">
        <f>Audit[[#This Row],[Audit Winning Candidate]]-Audit[[#This Row],[Winning Candidate]]</f>
        <v>-16</v>
      </c>
      <c r="U1787" s="111">
        <f>Audit[[#This Row],[Audit Candidate 3]]-Audit[[#This Row],[Candidate 3]]</f>
        <v>-1</v>
      </c>
      <c r="V1787" s="111">
        <f>Audit[[#This Row],[Audit Candidate 4]]-Audit[[#This Row],[Candidate 4]]</f>
        <v>0</v>
      </c>
      <c r="W1787" s="111">
        <f>Audit[[#This Row],[Audit Candidate 5]]-Audit[[#This Row],[Candidate 5]]</f>
        <v>0</v>
      </c>
      <c r="X1787" s="111">
        <f>Audit[[#This Row],[Audit Candidate 6]]-Audit[[#This Row],[Candidate 6]]</f>
        <v>0</v>
      </c>
      <c r="Y1787" s="111">
        <f>SUMIF(Audit[[#This Row],[Difference Loser]:[Difference Candidate 6]], "&gt;0")</f>
        <v>0</v>
      </c>
      <c r="Z1787" s="111">
        <f>SUM(Audit[[#This Row],[Difference Loser]:[Difference Candidate 6]])</f>
        <v>-32</v>
      </c>
      <c r="AA1787" s="111">
        <f>IF(Audit[[#This Row],[Times p Drawn - With Replacement]]&gt;0, IF(Audit[[#This Row],[Canceled Differences]]&lt;0, Audit[[#This Row],[Max Differences]]+ABS(Audit[[#This Row],[Canceled Differences]]), Audit[[#This Row],[Max Differences]]), 0)</f>
        <v>0</v>
      </c>
      <c r="AB1787" s="111">
        <f>'Sampling Data'!P1782</f>
        <v>2.0210681038706517E-3</v>
      </c>
      <c r="AC1787" s="111">
        <f>IF(
      SUM(Audit[[#This Row],[Audit Losing Candidate]:[Audit Candidate 6]])
      &lt;&gt;0,
      (Audit[[#This Row],[Winning Candidate]]-Audit[[#This Row],[Losing Candidate]]-(Audit[[#This Row],[Audit Winning Candidate]]-Audit[[#This Row],[Audit Losing Candidate]]))/(Audit[[#Totals],[Winning Candidate]]-Audit[[#Totals],[Losing Candidate]]),
      0
)</f>
        <v>0</v>
      </c>
      <c r="AD17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7" s="111">
        <f>IF(Audit[[#This Row],[Max Relative Error (ep)]] = 0, 0, Audit[[#This Row],[Max Relative Error (ep)]]/Audit[[#This Row],[Error Bound (up) - Max. possible relative overstatement]])</f>
        <v>0</v>
      </c>
      <c r="AJ17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87" s="111">
        <f t="shared" si="27"/>
        <v>1</v>
      </c>
      <c r="AL1787" s="111">
        <f>PRODUCT($AK$5:AK1787)</f>
        <v>8.962823818226312E-2</v>
      </c>
      <c r="AM1787" s="109">
        <f>1 - [K-M P Value]</f>
        <v>0.91037176181773694</v>
      </c>
      <c r="AN1787" s="111" t="str">
        <f>IF(Audit[[#This Row],[K-M P Value]]&gt;1-'General Info'!$B$16,"Continue", "Stop")</f>
        <v>Stop</v>
      </c>
      <c r="AO1787" s="110" t="b">
        <f>IF(Audit[[#This Row],[Status - Continue or stop audit]] = "Continue", TRUE, IF(AN1786 = "Continue", TRUE, FALSE))</f>
        <v>0</v>
      </c>
      <c r="AP1787" s="110"/>
    </row>
    <row r="1788" spans="1:42" ht="15" hidden="1" customHeight="1">
      <c r="A1788" s="111" t="str">
        <f>'Sampling Data'!W1783</f>
        <v/>
      </c>
      <c r="B1788" s="112" t="str">
        <f>'Sampling Data'!A1783</f>
        <v>PARMA HEIGHTS -03-B</v>
      </c>
      <c r="C1788" s="112">
        <f>'Sampling Data'!B1783</f>
        <v>51</v>
      </c>
      <c r="D1788" s="112">
        <f>'Sampling Data'!C1783</f>
        <v>51</v>
      </c>
      <c r="E1788" s="113">
        <f>'Sampling Data'!D1783</f>
        <v>33</v>
      </c>
      <c r="F1788" s="113">
        <f>'Sampling Data'!E1783</f>
        <v>8</v>
      </c>
      <c r="G1788" s="113">
        <f>'Sampling Data'!F1783</f>
        <v>0</v>
      </c>
      <c r="H1788" s="113">
        <f>'Sampling Data'!G1783</f>
        <v>1</v>
      </c>
      <c r="I1788" s="112">
        <f>'Sampling Data'!H1783</f>
        <v>0</v>
      </c>
      <c r="J1788" s="112">
        <f>'Sampling Data'!I1783</f>
        <v>3</v>
      </c>
      <c r="K1788" s="112">
        <f>'Sampling Data'!J1783</f>
        <v>147</v>
      </c>
      <c r="L1788" s="111">
        <f>'Sampling Data'!X1783</f>
        <v>0</v>
      </c>
      <c r="M1788" s="114"/>
      <c r="N1788" s="114"/>
      <c r="O1788" s="115"/>
      <c r="P1788" s="115"/>
      <c r="Q1788" s="116"/>
      <c r="R1788" s="116"/>
      <c r="S1788" s="111">
        <f>Audit[[#This Row],[Audit Losing Candidate]]-Audit[[#This Row],[Losing Candidate]]</f>
        <v>-51</v>
      </c>
      <c r="T1788" s="111">
        <f>Audit[[#This Row],[Audit Winning Candidate]]-Audit[[#This Row],[Winning Candidate]]</f>
        <v>-51</v>
      </c>
      <c r="U1788" s="111">
        <f>Audit[[#This Row],[Audit Candidate 3]]-Audit[[#This Row],[Candidate 3]]</f>
        <v>-33</v>
      </c>
      <c r="V1788" s="111">
        <f>Audit[[#This Row],[Audit Candidate 4]]-Audit[[#This Row],[Candidate 4]]</f>
        <v>-8</v>
      </c>
      <c r="W1788" s="111">
        <f>Audit[[#This Row],[Audit Candidate 5]]-Audit[[#This Row],[Candidate 5]]</f>
        <v>0</v>
      </c>
      <c r="X1788" s="111">
        <f>Audit[[#This Row],[Audit Candidate 6]]-Audit[[#This Row],[Candidate 6]]</f>
        <v>-1</v>
      </c>
      <c r="Y1788" s="111">
        <f>SUMIF(Audit[[#This Row],[Difference Loser]:[Difference Candidate 6]], "&gt;0")</f>
        <v>0</v>
      </c>
      <c r="Z1788" s="111">
        <f>SUM(Audit[[#This Row],[Difference Loser]:[Difference Candidate 6]])</f>
        <v>-144</v>
      </c>
      <c r="AA1788" s="111">
        <f>IF(Audit[[#This Row],[Times p Drawn - With Replacement]]&gt;0, IF(Audit[[#This Row],[Canceled Differences]]&lt;0, Audit[[#This Row],[Max Differences]]+ABS(Audit[[#This Row],[Canceled Differences]]), Audit[[#This Row],[Max Differences]]), 0)</f>
        <v>0</v>
      </c>
      <c r="AB1788" s="111">
        <f>'Sampling Data'!P1783</f>
        <v>9.0029397354238119E-3</v>
      </c>
      <c r="AC1788" s="111">
        <f>IF(
      SUM(Audit[[#This Row],[Audit Losing Candidate]:[Audit Candidate 6]])
      &lt;&gt;0,
      (Audit[[#This Row],[Winning Candidate]]-Audit[[#This Row],[Losing Candidate]]-(Audit[[#This Row],[Audit Winning Candidate]]-Audit[[#This Row],[Audit Losing Candidate]]))/(Audit[[#Totals],[Winning Candidate]]-Audit[[#Totals],[Losing Candidate]]),
      0
)</f>
        <v>0</v>
      </c>
      <c r="AD17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8" s="111">
        <f>IF(Audit[[#This Row],[Max Relative Error (ep)]] = 0, 0, Audit[[#This Row],[Max Relative Error (ep)]]/Audit[[#This Row],[Error Bound (up) - Max. possible relative overstatement]])</f>
        <v>0</v>
      </c>
      <c r="AJ17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88" s="111">
        <f t="shared" si="27"/>
        <v>1</v>
      </c>
      <c r="AL1788" s="111">
        <f>PRODUCT($AK$5:AK1788)</f>
        <v>8.962823818226312E-2</v>
      </c>
      <c r="AM1788" s="109">
        <f>1 - [K-M P Value]</f>
        <v>0.91037176181773694</v>
      </c>
      <c r="AN1788" s="111" t="str">
        <f>IF(Audit[[#This Row],[K-M P Value]]&gt;1-'General Info'!$B$16,"Continue", "Stop")</f>
        <v>Stop</v>
      </c>
      <c r="AO1788" s="110" t="b">
        <f>IF(Audit[[#This Row],[Status - Continue or stop audit]] = "Continue", TRUE, IF(AN1787 = "Continue", TRUE, FALSE))</f>
        <v>0</v>
      </c>
      <c r="AP1788" s="110"/>
    </row>
    <row r="1789" spans="1:42" ht="15" hidden="1" customHeight="1">
      <c r="A1789" s="111" t="str">
        <f>'Sampling Data'!W1784</f>
        <v/>
      </c>
      <c r="B1789" s="112" t="str">
        <f>'Sampling Data'!A1784</f>
        <v>PARMA HEIGHTS -03-B - ABS</v>
      </c>
      <c r="C1789" s="112">
        <f>'Sampling Data'!B1784</f>
        <v>16</v>
      </c>
      <c r="D1789" s="112">
        <f>'Sampling Data'!C1784</f>
        <v>14</v>
      </c>
      <c r="E1789" s="113">
        <f>'Sampling Data'!D1784</f>
        <v>4</v>
      </c>
      <c r="F1789" s="113">
        <f>'Sampling Data'!E1784</f>
        <v>1</v>
      </c>
      <c r="G1789" s="113">
        <f>'Sampling Data'!F1784</f>
        <v>0</v>
      </c>
      <c r="H1789" s="113">
        <f>'Sampling Data'!G1784</f>
        <v>0</v>
      </c>
      <c r="I1789" s="112">
        <f>'Sampling Data'!H1784</f>
        <v>0</v>
      </c>
      <c r="J1789" s="112">
        <f>'Sampling Data'!I1784</f>
        <v>2</v>
      </c>
      <c r="K1789" s="112">
        <f>'Sampling Data'!J1784</f>
        <v>37</v>
      </c>
      <c r="L1789" s="111">
        <f>'Sampling Data'!X1784</f>
        <v>0</v>
      </c>
      <c r="M1789" s="114"/>
      <c r="N1789" s="114"/>
      <c r="O1789" s="115"/>
      <c r="P1789" s="115"/>
      <c r="Q1789" s="116"/>
      <c r="R1789" s="116"/>
      <c r="S1789" s="111">
        <f>Audit[[#This Row],[Audit Losing Candidate]]-Audit[[#This Row],[Losing Candidate]]</f>
        <v>-16</v>
      </c>
      <c r="T1789" s="111">
        <f>Audit[[#This Row],[Audit Winning Candidate]]-Audit[[#This Row],[Winning Candidate]]</f>
        <v>-14</v>
      </c>
      <c r="U1789" s="111">
        <f>Audit[[#This Row],[Audit Candidate 3]]-Audit[[#This Row],[Candidate 3]]</f>
        <v>-4</v>
      </c>
      <c r="V1789" s="111">
        <f>Audit[[#This Row],[Audit Candidate 4]]-Audit[[#This Row],[Candidate 4]]</f>
        <v>-1</v>
      </c>
      <c r="W1789" s="111">
        <f>Audit[[#This Row],[Audit Candidate 5]]-Audit[[#This Row],[Candidate 5]]</f>
        <v>0</v>
      </c>
      <c r="X1789" s="111">
        <f>Audit[[#This Row],[Audit Candidate 6]]-Audit[[#This Row],[Candidate 6]]</f>
        <v>0</v>
      </c>
      <c r="Y1789" s="111">
        <f>SUMIF(Audit[[#This Row],[Difference Loser]:[Difference Candidate 6]], "&gt;0")</f>
        <v>0</v>
      </c>
      <c r="Z1789" s="111">
        <f>SUM(Audit[[#This Row],[Difference Loser]:[Difference Candidate 6]])</f>
        <v>-35</v>
      </c>
      <c r="AA1789" s="111">
        <f>IF(Audit[[#This Row],[Times p Drawn - With Replacement]]&gt;0, IF(Audit[[#This Row],[Canceled Differences]]&lt;0, Audit[[#This Row],[Max Differences]]+ABS(Audit[[#This Row],[Canceled Differences]]), Audit[[#This Row],[Max Differences]]), 0)</f>
        <v>0</v>
      </c>
      <c r="AB1789" s="111">
        <f>'Sampling Data'!P1784</f>
        <v>2.1435570798628125E-3</v>
      </c>
      <c r="AC1789" s="111">
        <f>IF(
      SUM(Audit[[#This Row],[Audit Losing Candidate]:[Audit Candidate 6]])
      &lt;&gt;0,
      (Audit[[#This Row],[Winning Candidate]]-Audit[[#This Row],[Losing Candidate]]-(Audit[[#This Row],[Audit Winning Candidate]]-Audit[[#This Row],[Audit Losing Candidate]]))/(Audit[[#Totals],[Winning Candidate]]-Audit[[#Totals],[Losing Candidate]]),
      0
)</f>
        <v>0</v>
      </c>
      <c r="AD17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9" s="111">
        <f>IF(Audit[[#This Row],[Max Relative Error (ep)]] = 0, 0, Audit[[#This Row],[Max Relative Error (ep)]]/Audit[[#This Row],[Error Bound (up) - Max. possible relative overstatement]])</f>
        <v>0</v>
      </c>
      <c r="AJ17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89" s="111">
        <f t="shared" si="27"/>
        <v>1</v>
      </c>
      <c r="AL1789" s="111">
        <f>PRODUCT($AK$5:AK1789)</f>
        <v>8.962823818226312E-2</v>
      </c>
      <c r="AM1789" s="109">
        <f>1 - [K-M P Value]</f>
        <v>0.91037176181773694</v>
      </c>
      <c r="AN1789" s="111" t="str">
        <f>IF(Audit[[#This Row],[K-M P Value]]&gt;1-'General Info'!$B$16,"Continue", "Stop")</f>
        <v>Stop</v>
      </c>
      <c r="AO1789" s="110" t="b">
        <f>IF(Audit[[#This Row],[Status - Continue or stop audit]] = "Continue", TRUE, IF(AN1788 = "Continue", TRUE, FALSE))</f>
        <v>0</v>
      </c>
      <c r="AP1789" s="110"/>
    </row>
    <row r="1790" spans="1:42" ht="15" hidden="1" customHeight="1">
      <c r="A1790" s="111" t="str">
        <f>'Sampling Data'!W1785</f>
        <v/>
      </c>
      <c r="B1790" s="112" t="str">
        <f>'Sampling Data'!A1785</f>
        <v>PARMA HEIGHTS -03-C</v>
      </c>
      <c r="C1790" s="112">
        <f>'Sampling Data'!B1785</f>
        <v>17</v>
      </c>
      <c r="D1790" s="112">
        <f>'Sampling Data'!C1785</f>
        <v>13</v>
      </c>
      <c r="E1790" s="113">
        <f>'Sampling Data'!D1785</f>
        <v>8</v>
      </c>
      <c r="F1790" s="113">
        <f>'Sampling Data'!E1785</f>
        <v>4</v>
      </c>
      <c r="G1790" s="113">
        <f>'Sampling Data'!F1785</f>
        <v>0</v>
      </c>
      <c r="H1790" s="113">
        <f>'Sampling Data'!G1785</f>
        <v>0</v>
      </c>
      <c r="I1790" s="112">
        <f>'Sampling Data'!H1785</f>
        <v>0</v>
      </c>
      <c r="J1790" s="112">
        <f>'Sampling Data'!I1785</f>
        <v>0</v>
      </c>
      <c r="K1790" s="112">
        <f>'Sampling Data'!J1785</f>
        <v>42</v>
      </c>
      <c r="L1790" s="111">
        <f>'Sampling Data'!X1785</f>
        <v>0</v>
      </c>
      <c r="M1790" s="114"/>
      <c r="N1790" s="114"/>
      <c r="O1790" s="115"/>
      <c r="P1790" s="115"/>
      <c r="Q1790" s="116"/>
      <c r="R1790" s="116"/>
      <c r="S1790" s="111">
        <f>Audit[[#This Row],[Audit Losing Candidate]]-Audit[[#This Row],[Losing Candidate]]</f>
        <v>-17</v>
      </c>
      <c r="T1790" s="111">
        <f>Audit[[#This Row],[Audit Winning Candidate]]-Audit[[#This Row],[Winning Candidate]]</f>
        <v>-13</v>
      </c>
      <c r="U1790" s="111">
        <f>Audit[[#This Row],[Audit Candidate 3]]-Audit[[#This Row],[Candidate 3]]</f>
        <v>-8</v>
      </c>
      <c r="V1790" s="111">
        <f>Audit[[#This Row],[Audit Candidate 4]]-Audit[[#This Row],[Candidate 4]]</f>
        <v>-4</v>
      </c>
      <c r="W1790" s="111">
        <f>Audit[[#This Row],[Audit Candidate 5]]-Audit[[#This Row],[Candidate 5]]</f>
        <v>0</v>
      </c>
      <c r="X1790" s="111">
        <f>Audit[[#This Row],[Audit Candidate 6]]-Audit[[#This Row],[Candidate 6]]</f>
        <v>0</v>
      </c>
      <c r="Y1790" s="111">
        <f>SUMIF(Audit[[#This Row],[Difference Loser]:[Difference Candidate 6]], "&gt;0")</f>
        <v>0</v>
      </c>
      <c r="Z1790" s="111">
        <f>SUM(Audit[[#This Row],[Difference Loser]:[Difference Candidate 6]])</f>
        <v>-42</v>
      </c>
      <c r="AA1790" s="111">
        <f>IF(Audit[[#This Row],[Times p Drawn - With Replacement]]&gt;0, IF(Audit[[#This Row],[Canceled Differences]]&lt;0, Audit[[#This Row],[Max Differences]]+ABS(Audit[[#This Row],[Canceled Differences]]), Audit[[#This Row],[Max Differences]]), 0)</f>
        <v>0</v>
      </c>
      <c r="AB1790" s="111">
        <f>'Sampling Data'!P1785</f>
        <v>2.3272905438510533E-3</v>
      </c>
      <c r="AC1790" s="111">
        <f>IF(
      SUM(Audit[[#This Row],[Audit Losing Candidate]:[Audit Candidate 6]])
      &lt;&gt;0,
      (Audit[[#This Row],[Winning Candidate]]-Audit[[#This Row],[Losing Candidate]]-(Audit[[#This Row],[Audit Winning Candidate]]-Audit[[#This Row],[Audit Losing Candidate]]))/(Audit[[#Totals],[Winning Candidate]]-Audit[[#Totals],[Losing Candidate]]),
      0
)</f>
        <v>0</v>
      </c>
      <c r="AD17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0" s="111">
        <f>IF(Audit[[#This Row],[Max Relative Error (ep)]] = 0, 0, Audit[[#This Row],[Max Relative Error (ep)]]/Audit[[#This Row],[Error Bound (up) - Max. possible relative overstatement]])</f>
        <v>0</v>
      </c>
      <c r="AJ17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90" s="111">
        <f t="shared" si="27"/>
        <v>1</v>
      </c>
      <c r="AL1790" s="111">
        <f>PRODUCT($AK$5:AK1790)</f>
        <v>8.962823818226312E-2</v>
      </c>
      <c r="AM1790" s="109">
        <f>1 - [K-M P Value]</f>
        <v>0.91037176181773694</v>
      </c>
      <c r="AN1790" s="111" t="str">
        <f>IF(Audit[[#This Row],[K-M P Value]]&gt;1-'General Info'!$B$16,"Continue", "Stop")</f>
        <v>Stop</v>
      </c>
      <c r="AO1790" s="110" t="b">
        <f>IF(Audit[[#This Row],[Status - Continue or stop audit]] = "Continue", TRUE, IF(AN1789 = "Continue", TRUE, FALSE))</f>
        <v>0</v>
      </c>
      <c r="AP1790" s="110"/>
    </row>
    <row r="1791" spans="1:42" ht="15" hidden="1" customHeight="1">
      <c r="A1791" s="111" t="str">
        <f>'Sampling Data'!W1786</f>
        <v/>
      </c>
      <c r="B1791" s="112" t="str">
        <f>'Sampling Data'!A1786</f>
        <v>PARMA HEIGHTS -03-C - ABS</v>
      </c>
      <c r="C1791" s="112">
        <f>'Sampling Data'!B1786</f>
        <v>3</v>
      </c>
      <c r="D1791" s="112">
        <f>'Sampling Data'!C1786</f>
        <v>4</v>
      </c>
      <c r="E1791" s="113">
        <f>'Sampling Data'!D1786</f>
        <v>2</v>
      </c>
      <c r="F1791" s="113">
        <f>'Sampling Data'!E1786</f>
        <v>0</v>
      </c>
      <c r="G1791" s="113">
        <f>'Sampling Data'!F1786</f>
        <v>0</v>
      </c>
      <c r="H1791" s="113">
        <f>'Sampling Data'!G1786</f>
        <v>0</v>
      </c>
      <c r="I1791" s="112">
        <f>'Sampling Data'!H1786</f>
        <v>0</v>
      </c>
      <c r="J1791" s="112">
        <f>'Sampling Data'!I1786</f>
        <v>0</v>
      </c>
      <c r="K1791" s="112">
        <f>'Sampling Data'!J1786</f>
        <v>9</v>
      </c>
      <c r="L1791" s="111">
        <f>'Sampling Data'!X1786</f>
        <v>0</v>
      </c>
      <c r="M1791" s="114"/>
      <c r="N1791" s="114"/>
      <c r="O1791" s="115"/>
      <c r="P1791" s="115"/>
      <c r="Q1791" s="116"/>
      <c r="R1791" s="116"/>
      <c r="S1791" s="111">
        <f>Audit[[#This Row],[Audit Losing Candidate]]-Audit[[#This Row],[Losing Candidate]]</f>
        <v>-3</v>
      </c>
      <c r="T1791" s="111">
        <f>Audit[[#This Row],[Audit Winning Candidate]]-Audit[[#This Row],[Winning Candidate]]</f>
        <v>-4</v>
      </c>
      <c r="U1791" s="111">
        <f>Audit[[#This Row],[Audit Candidate 3]]-Audit[[#This Row],[Candidate 3]]</f>
        <v>-2</v>
      </c>
      <c r="V1791" s="111">
        <f>Audit[[#This Row],[Audit Candidate 4]]-Audit[[#This Row],[Candidate 4]]</f>
        <v>0</v>
      </c>
      <c r="W1791" s="111">
        <f>Audit[[#This Row],[Audit Candidate 5]]-Audit[[#This Row],[Candidate 5]]</f>
        <v>0</v>
      </c>
      <c r="X1791" s="111">
        <f>Audit[[#This Row],[Audit Candidate 6]]-Audit[[#This Row],[Candidate 6]]</f>
        <v>0</v>
      </c>
      <c r="Y1791" s="111">
        <f>SUMIF(Audit[[#This Row],[Difference Loser]:[Difference Candidate 6]], "&gt;0")</f>
        <v>0</v>
      </c>
      <c r="Z1791" s="111">
        <f>SUM(Audit[[#This Row],[Difference Loser]:[Difference Candidate 6]])</f>
        <v>-9</v>
      </c>
      <c r="AA1791" s="111">
        <f>IF(Audit[[#This Row],[Times p Drawn - With Replacement]]&gt;0, IF(Audit[[#This Row],[Canceled Differences]]&lt;0, Audit[[#This Row],[Max Differences]]+ABS(Audit[[#This Row],[Canceled Differences]]), Audit[[#This Row],[Max Differences]]), 0)</f>
        <v>0</v>
      </c>
      <c r="AB1791" s="111">
        <f>'Sampling Data'!P1786</f>
        <v>6.1244487996080352E-4</v>
      </c>
      <c r="AC1791" s="111">
        <f>IF(
      SUM(Audit[[#This Row],[Audit Losing Candidate]:[Audit Candidate 6]])
      &lt;&gt;0,
      (Audit[[#This Row],[Winning Candidate]]-Audit[[#This Row],[Losing Candidate]]-(Audit[[#This Row],[Audit Winning Candidate]]-Audit[[#This Row],[Audit Losing Candidate]]))/(Audit[[#Totals],[Winning Candidate]]-Audit[[#Totals],[Losing Candidate]]),
      0
)</f>
        <v>0</v>
      </c>
      <c r="AD17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1" s="111">
        <f>IF(Audit[[#This Row],[Max Relative Error (ep)]] = 0, 0, Audit[[#This Row],[Max Relative Error (ep)]]/Audit[[#This Row],[Error Bound (up) - Max. possible relative overstatement]])</f>
        <v>0</v>
      </c>
      <c r="AJ17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91" s="111">
        <f t="shared" si="27"/>
        <v>1</v>
      </c>
      <c r="AL1791" s="111">
        <f>PRODUCT($AK$5:AK1791)</f>
        <v>8.962823818226312E-2</v>
      </c>
      <c r="AM1791" s="109">
        <f>1 - [K-M P Value]</f>
        <v>0.91037176181773694</v>
      </c>
      <c r="AN1791" s="111" t="str">
        <f>IF(Audit[[#This Row],[K-M P Value]]&gt;1-'General Info'!$B$16,"Continue", "Stop")</f>
        <v>Stop</v>
      </c>
      <c r="AO1791" s="110" t="b">
        <f>IF(Audit[[#This Row],[Status - Continue or stop audit]] = "Continue", TRUE, IF(AN1790 = "Continue", TRUE, FALSE))</f>
        <v>0</v>
      </c>
      <c r="AP1791" s="110"/>
    </row>
    <row r="1792" spans="1:42" ht="15" hidden="1" customHeight="1">
      <c r="A1792" s="111" t="str">
        <f>'Sampling Data'!W1787</f>
        <v/>
      </c>
      <c r="B1792" s="112" t="str">
        <f>'Sampling Data'!A1787</f>
        <v>PARMA HEIGHTS -04-A</v>
      </c>
      <c r="C1792" s="112">
        <f>'Sampling Data'!B1787</f>
        <v>25</v>
      </c>
      <c r="D1792" s="112">
        <f>'Sampling Data'!C1787</f>
        <v>57</v>
      </c>
      <c r="E1792" s="113">
        <f>'Sampling Data'!D1787</f>
        <v>6</v>
      </c>
      <c r="F1792" s="113">
        <f>'Sampling Data'!E1787</f>
        <v>13</v>
      </c>
      <c r="G1792" s="113">
        <f>'Sampling Data'!F1787</f>
        <v>1</v>
      </c>
      <c r="H1792" s="113">
        <f>'Sampling Data'!G1787</f>
        <v>0</v>
      </c>
      <c r="I1792" s="112">
        <f>'Sampling Data'!H1787</f>
        <v>0</v>
      </c>
      <c r="J1792" s="112">
        <f>'Sampling Data'!I1787</f>
        <v>2</v>
      </c>
      <c r="K1792" s="112">
        <f>'Sampling Data'!J1787</f>
        <v>104</v>
      </c>
      <c r="L1792" s="111">
        <f>'Sampling Data'!X1787</f>
        <v>0</v>
      </c>
      <c r="M1792" s="114"/>
      <c r="N1792" s="114"/>
      <c r="O1792" s="115"/>
      <c r="P1792" s="115"/>
      <c r="Q1792" s="116"/>
      <c r="R1792" s="116"/>
      <c r="S1792" s="111">
        <f>Audit[[#This Row],[Audit Losing Candidate]]-Audit[[#This Row],[Losing Candidate]]</f>
        <v>-25</v>
      </c>
      <c r="T1792" s="111">
        <f>Audit[[#This Row],[Audit Winning Candidate]]-Audit[[#This Row],[Winning Candidate]]</f>
        <v>-57</v>
      </c>
      <c r="U1792" s="111">
        <f>Audit[[#This Row],[Audit Candidate 3]]-Audit[[#This Row],[Candidate 3]]</f>
        <v>-6</v>
      </c>
      <c r="V1792" s="111">
        <f>Audit[[#This Row],[Audit Candidate 4]]-Audit[[#This Row],[Candidate 4]]</f>
        <v>-13</v>
      </c>
      <c r="W1792" s="111">
        <f>Audit[[#This Row],[Audit Candidate 5]]-Audit[[#This Row],[Candidate 5]]</f>
        <v>-1</v>
      </c>
      <c r="X1792" s="111">
        <f>Audit[[#This Row],[Audit Candidate 6]]-Audit[[#This Row],[Candidate 6]]</f>
        <v>0</v>
      </c>
      <c r="Y1792" s="111">
        <f>SUMIF(Audit[[#This Row],[Difference Loser]:[Difference Candidate 6]], "&gt;0")</f>
        <v>0</v>
      </c>
      <c r="Z1792" s="111">
        <f>SUM(Audit[[#This Row],[Difference Loser]:[Difference Candidate 6]])</f>
        <v>-102</v>
      </c>
      <c r="AA1792" s="111">
        <f>IF(Audit[[#This Row],[Times p Drawn - With Replacement]]&gt;0, IF(Audit[[#This Row],[Canceled Differences]]&lt;0, Audit[[#This Row],[Max Differences]]+ABS(Audit[[#This Row],[Canceled Differences]]), Audit[[#This Row],[Max Differences]]), 0)</f>
        <v>0</v>
      </c>
      <c r="AB1792" s="111">
        <f>'Sampling Data'!P1787</f>
        <v>8.3292503674669283E-3</v>
      </c>
      <c r="AC1792" s="111">
        <f>IF(
      SUM(Audit[[#This Row],[Audit Losing Candidate]:[Audit Candidate 6]])
      &lt;&gt;0,
      (Audit[[#This Row],[Winning Candidate]]-Audit[[#This Row],[Losing Candidate]]-(Audit[[#This Row],[Audit Winning Candidate]]-Audit[[#This Row],[Audit Losing Candidate]]))/(Audit[[#Totals],[Winning Candidate]]-Audit[[#Totals],[Losing Candidate]]),
      0
)</f>
        <v>0</v>
      </c>
      <c r="AD17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2" s="111">
        <f>IF(Audit[[#This Row],[Max Relative Error (ep)]] = 0, 0, Audit[[#This Row],[Max Relative Error (ep)]]/Audit[[#This Row],[Error Bound (up) - Max. possible relative overstatement]])</f>
        <v>0</v>
      </c>
      <c r="AJ17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92" s="111">
        <f t="shared" si="27"/>
        <v>1</v>
      </c>
      <c r="AL1792" s="111">
        <f>PRODUCT($AK$5:AK1792)</f>
        <v>8.962823818226312E-2</v>
      </c>
      <c r="AM1792" s="109">
        <f>1 - [K-M P Value]</f>
        <v>0.91037176181773694</v>
      </c>
      <c r="AN1792" s="111" t="str">
        <f>IF(Audit[[#This Row],[K-M P Value]]&gt;1-'General Info'!$B$16,"Continue", "Stop")</f>
        <v>Stop</v>
      </c>
      <c r="AO1792" s="110" t="b">
        <f>IF(Audit[[#This Row],[Status - Continue or stop audit]] = "Continue", TRUE, IF(AN1791 = "Continue", TRUE, FALSE))</f>
        <v>0</v>
      </c>
      <c r="AP1792" s="110"/>
    </row>
    <row r="1793" spans="1:42" ht="15" hidden="1" customHeight="1">
      <c r="A1793" s="111" t="str">
        <f>'Sampling Data'!W1788</f>
        <v/>
      </c>
      <c r="B1793" s="112" t="str">
        <f>'Sampling Data'!A1788</f>
        <v>PARMA HEIGHTS -04-A - ABS</v>
      </c>
      <c r="C1793" s="112">
        <f>'Sampling Data'!B1788</f>
        <v>23</v>
      </c>
      <c r="D1793" s="112">
        <f>'Sampling Data'!C1788</f>
        <v>25</v>
      </c>
      <c r="E1793" s="113">
        <f>'Sampling Data'!D1788</f>
        <v>6</v>
      </c>
      <c r="F1793" s="113">
        <f>'Sampling Data'!E1788</f>
        <v>2</v>
      </c>
      <c r="G1793" s="113">
        <f>'Sampling Data'!F1788</f>
        <v>0</v>
      </c>
      <c r="H1793" s="113">
        <f>'Sampling Data'!G1788</f>
        <v>1</v>
      </c>
      <c r="I1793" s="112">
        <f>'Sampling Data'!H1788</f>
        <v>0</v>
      </c>
      <c r="J1793" s="112">
        <f>'Sampling Data'!I1788</f>
        <v>0</v>
      </c>
      <c r="K1793" s="112">
        <f>'Sampling Data'!J1788</f>
        <v>57</v>
      </c>
      <c r="L1793" s="111">
        <f>'Sampling Data'!X1788</f>
        <v>0</v>
      </c>
      <c r="M1793" s="114"/>
      <c r="N1793" s="114"/>
      <c r="O1793" s="115"/>
      <c r="P1793" s="115"/>
      <c r="Q1793" s="116"/>
      <c r="R1793" s="116"/>
      <c r="S1793" s="111">
        <f>Audit[[#This Row],[Audit Losing Candidate]]-Audit[[#This Row],[Losing Candidate]]</f>
        <v>-23</v>
      </c>
      <c r="T1793" s="111">
        <f>Audit[[#This Row],[Audit Winning Candidate]]-Audit[[#This Row],[Winning Candidate]]</f>
        <v>-25</v>
      </c>
      <c r="U1793" s="111">
        <f>Audit[[#This Row],[Audit Candidate 3]]-Audit[[#This Row],[Candidate 3]]</f>
        <v>-6</v>
      </c>
      <c r="V1793" s="111">
        <f>Audit[[#This Row],[Audit Candidate 4]]-Audit[[#This Row],[Candidate 4]]</f>
        <v>-2</v>
      </c>
      <c r="W1793" s="111">
        <f>Audit[[#This Row],[Audit Candidate 5]]-Audit[[#This Row],[Candidate 5]]</f>
        <v>0</v>
      </c>
      <c r="X1793" s="111">
        <f>Audit[[#This Row],[Audit Candidate 6]]-Audit[[#This Row],[Candidate 6]]</f>
        <v>-1</v>
      </c>
      <c r="Y1793" s="111">
        <f>SUMIF(Audit[[#This Row],[Difference Loser]:[Difference Candidate 6]], "&gt;0")</f>
        <v>0</v>
      </c>
      <c r="Z1793" s="111">
        <f>SUM(Audit[[#This Row],[Difference Loser]:[Difference Candidate 6]])</f>
        <v>-57</v>
      </c>
      <c r="AA1793" s="111">
        <f>IF(Audit[[#This Row],[Times p Drawn - With Replacement]]&gt;0, IF(Audit[[#This Row],[Canceled Differences]]&lt;0, Audit[[#This Row],[Max Differences]]+ABS(Audit[[#This Row],[Canceled Differences]]), Audit[[#This Row],[Max Differences]]), 0)</f>
        <v>0</v>
      </c>
      <c r="AB1793" s="111">
        <f>'Sampling Data'!P1788</f>
        <v>3.6134247917687409E-3</v>
      </c>
      <c r="AC1793" s="111">
        <f>IF(
      SUM(Audit[[#This Row],[Audit Losing Candidate]:[Audit Candidate 6]])
      &lt;&gt;0,
      (Audit[[#This Row],[Winning Candidate]]-Audit[[#This Row],[Losing Candidate]]-(Audit[[#This Row],[Audit Winning Candidate]]-Audit[[#This Row],[Audit Losing Candidate]]))/(Audit[[#Totals],[Winning Candidate]]-Audit[[#Totals],[Losing Candidate]]),
      0
)</f>
        <v>0</v>
      </c>
      <c r="AD17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3" s="111">
        <f>IF(Audit[[#This Row],[Max Relative Error (ep)]] = 0, 0, Audit[[#This Row],[Max Relative Error (ep)]]/Audit[[#This Row],[Error Bound (up) - Max. possible relative overstatement]])</f>
        <v>0</v>
      </c>
      <c r="AJ17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93" s="111">
        <f t="shared" si="27"/>
        <v>1</v>
      </c>
      <c r="AL1793" s="111">
        <f>PRODUCT($AK$5:AK1793)</f>
        <v>8.962823818226312E-2</v>
      </c>
      <c r="AM1793" s="109">
        <f>1 - [K-M P Value]</f>
        <v>0.91037176181773694</v>
      </c>
      <c r="AN1793" s="111" t="str">
        <f>IF(Audit[[#This Row],[K-M P Value]]&gt;1-'General Info'!$B$16,"Continue", "Stop")</f>
        <v>Stop</v>
      </c>
      <c r="AO1793" s="110" t="b">
        <f>IF(Audit[[#This Row],[Status - Continue or stop audit]] = "Continue", TRUE, IF(AN1792 = "Continue", TRUE, FALSE))</f>
        <v>0</v>
      </c>
      <c r="AP1793" s="110"/>
    </row>
    <row r="1794" spans="1:42" ht="15" hidden="1" customHeight="1">
      <c r="A1794" s="111" t="str">
        <f>'Sampling Data'!W1789</f>
        <v/>
      </c>
      <c r="B1794" s="112" t="str">
        <f>'Sampling Data'!A1789</f>
        <v>PARMA HEIGHTS -04-B</v>
      </c>
      <c r="C1794" s="112">
        <f>'Sampling Data'!B1789</f>
        <v>30</v>
      </c>
      <c r="D1794" s="112">
        <f>'Sampling Data'!C1789</f>
        <v>30</v>
      </c>
      <c r="E1794" s="113">
        <f>'Sampling Data'!D1789</f>
        <v>10</v>
      </c>
      <c r="F1794" s="113">
        <f>'Sampling Data'!E1789</f>
        <v>5</v>
      </c>
      <c r="G1794" s="113">
        <f>'Sampling Data'!F1789</f>
        <v>1</v>
      </c>
      <c r="H1794" s="113">
        <f>'Sampling Data'!G1789</f>
        <v>0</v>
      </c>
      <c r="I1794" s="112">
        <f>'Sampling Data'!H1789</f>
        <v>0</v>
      </c>
      <c r="J1794" s="112">
        <f>'Sampling Data'!I1789</f>
        <v>1</v>
      </c>
      <c r="K1794" s="112">
        <f>'Sampling Data'!J1789</f>
        <v>77</v>
      </c>
      <c r="L1794" s="111">
        <f>'Sampling Data'!X1789</f>
        <v>0</v>
      </c>
      <c r="M1794" s="114"/>
      <c r="N1794" s="114"/>
      <c r="O1794" s="115"/>
      <c r="P1794" s="115"/>
      <c r="Q1794" s="116"/>
      <c r="R1794" s="116"/>
      <c r="S1794" s="111">
        <f>Audit[[#This Row],[Audit Losing Candidate]]-Audit[[#This Row],[Losing Candidate]]</f>
        <v>-30</v>
      </c>
      <c r="T1794" s="111">
        <f>Audit[[#This Row],[Audit Winning Candidate]]-Audit[[#This Row],[Winning Candidate]]</f>
        <v>-30</v>
      </c>
      <c r="U1794" s="111">
        <f>Audit[[#This Row],[Audit Candidate 3]]-Audit[[#This Row],[Candidate 3]]</f>
        <v>-10</v>
      </c>
      <c r="V1794" s="111">
        <f>Audit[[#This Row],[Audit Candidate 4]]-Audit[[#This Row],[Candidate 4]]</f>
        <v>-5</v>
      </c>
      <c r="W1794" s="111">
        <f>Audit[[#This Row],[Audit Candidate 5]]-Audit[[#This Row],[Candidate 5]]</f>
        <v>-1</v>
      </c>
      <c r="X1794" s="111">
        <f>Audit[[#This Row],[Audit Candidate 6]]-Audit[[#This Row],[Candidate 6]]</f>
        <v>0</v>
      </c>
      <c r="Y1794" s="111">
        <f>SUMIF(Audit[[#This Row],[Difference Loser]:[Difference Candidate 6]], "&gt;0")</f>
        <v>0</v>
      </c>
      <c r="Z1794" s="111">
        <f>SUM(Audit[[#This Row],[Difference Loser]:[Difference Candidate 6]])</f>
        <v>-76</v>
      </c>
      <c r="AA1794" s="111">
        <f>IF(Audit[[#This Row],[Times p Drawn - With Replacement]]&gt;0, IF(Audit[[#This Row],[Canceled Differences]]&lt;0, Audit[[#This Row],[Max Differences]]+ABS(Audit[[#This Row],[Canceled Differences]]), Audit[[#This Row],[Max Differences]]), 0)</f>
        <v>0</v>
      </c>
      <c r="AB1794" s="111">
        <f>'Sampling Data'!P1789</f>
        <v>4.7158255756981869E-3</v>
      </c>
      <c r="AC1794" s="111">
        <f>IF(
      SUM(Audit[[#This Row],[Audit Losing Candidate]:[Audit Candidate 6]])
      &lt;&gt;0,
      (Audit[[#This Row],[Winning Candidate]]-Audit[[#This Row],[Losing Candidate]]-(Audit[[#This Row],[Audit Winning Candidate]]-Audit[[#This Row],[Audit Losing Candidate]]))/(Audit[[#Totals],[Winning Candidate]]-Audit[[#Totals],[Losing Candidate]]),
      0
)</f>
        <v>0</v>
      </c>
      <c r="AD17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4" s="111">
        <f>IF(Audit[[#This Row],[Max Relative Error (ep)]] = 0, 0, Audit[[#This Row],[Max Relative Error (ep)]]/Audit[[#This Row],[Error Bound (up) - Max. possible relative overstatement]])</f>
        <v>0</v>
      </c>
      <c r="AJ17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94" s="111">
        <f t="shared" si="27"/>
        <v>1</v>
      </c>
      <c r="AL1794" s="111">
        <f>PRODUCT($AK$5:AK1794)</f>
        <v>8.962823818226312E-2</v>
      </c>
      <c r="AM1794" s="109">
        <f>1 - [K-M P Value]</f>
        <v>0.91037176181773694</v>
      </c>
      <c r="AN1794" s="111" t="str">
        <f>IF(Audit[[#This Row],[K-M P Value]]&gt;1-'General Info'!$B$16,"Continue", "Stop")</f>
        <v>Stop</v>
      </c>
      <c r="AO1794" s="110" t="b">
        <f>IF(Audit[[#This Row],[Status - Continue or stop audit]] = "Continue", TRUE, IF(AN1793 = "Continue", TRUE, FALSE))</f>
        <v>0</v>
      </c>
      <c r="AP1794" s="110"/>
    </row>
    <row r="1795" spans="1:42" ht="15" hidden="1" customHeight="1">
      <c r="A1795" s="111" t="str">
        <f>'Sampling Data'!W1790</f>
        <v/>
      </c>
      <c r="B1795" s="112" t="str">
        <f>'Sampling Data'!A1790</f>
        <v>PARMA HEIGHTS -04-B - ABS</v>
      </c>
      <c r="C1795" s="112">
        <f>'Sampling Data'!B1790</f>
        <v>12</v>
      </c>
      <c r="D1795" s="112">
        <f>'Sampling Data'!C1790</f>
        <v>11</v>
      </c>
      <c r="E1795" s="113">
        <f>'Sampling Data'!D1790</f>
        <v>7</v>
      </c>
      <c r="F1795" s="113">
        <f>'Sampling Data'!E1790</f>
        <v>3</v>
      </c>
      <c r="G1795" s="113">
        <f>'Sampling Data'!F1790</f>
        <v>0</v>
      </c>
      <c r="H1795" s="113">
        <f>'Sampling Data'!G1790</f>
        <v>0</v>
      </c>
      <c r="I1795" s="112">
        <f>'Sampling Data'!H1790</f>
        <v>0</v>
      </c>
      <c r="J1795" s="112">
        <f>'Sampling Data'!I1790</f>
        <v>0</v>
      </c>
      <c r="K1795" s="112">
        <f>'Sampling Data'!J1790</f>
        <v>33</v>
      </c>
      <c r="L1795" s="111">
        <f>'Sampling Data'!X1790</f>
        <v>0</v>
      </c>
      <c r="M1795" s="114"/>
      <c r="N1795" s="114"/>
      <c r="O1795" s="115"/>
      <c r="P1795" s="115"/>
      <c r="Q1795" s="116"/>
      <c r="R1795" s="116"/>
      <c r="S1795" s="111">
        <f>Audit[[#This Row],[Audit Losing Candidate]]-Audit[[#This Row],[Losing Candidate]]</f>
        <v>-12</v>
      </c>
      <c r="T1795" s="111">
        <f>Audit[[#This Row],[Audit Winning Candidate]]-Audit[[#This Row],[Winning Candidate]]</f>
        <v>-11</v>
      </c>
      <c r="U1795" s="111">
        <f>Audit[[#This Row],[Audit Candidate 3]]-Audit[[#This Row],[Candidate 3]]</f>
        <v>-7</v>
      </c>
      <c r="V1795" s="111">
        <f>Audit[[#This Row],[Audit Candidate 4]]-Audit[[#This Row],[Candidate 4]]</f>
        <v>-3</v>
      </c>
      <c r="W1795" s="111">
        <f>Audit[[#This Row],[Audit Candidate 5]]-Audit[[#This Row],[Candidate 5]]</f>
        <v>0</v>
      </c>
      <c r="X1795" s="111">
        <f>Audit[[#This Row],[Audit Candidate 6]]-Audit[[#This Row],[Candidate 6]]</f>
        <v>0</v>
      </c>
      <c r="Y1795" s="111">
        <f>SUMIF(Audit[[#This Row],[Difference Loser]:[Difference Candidate 6]], "&gt;0")</f>
        <v>0</v>
      </c>
      <c r="Z1795" s="111">
        <f>SUM(Audit[[#This Row],[Difference Loser]:[Difference Candidate 6]])</f>
        <v>-33</v>
      </c>
      <c r="AA1795" s="111">
        <f>IF(Audit[[#This Row],[Times p Drawn - With Replacement]]&gt;0, IF(Audit[[#This Row],[Canceled Differences]]&lt;0, Audit[[#This Row],[Max Differences]]+ABS(Audit[[#This Row],[Canceled Differences]]), Audit[[#This Row],[Max Differences]]), 0)</f>
        <v>0</v>
      </c>
      <c r="AB1795" s="111">
        <f>'Sampling Data'!P1790</f>
        <v>1.9598236158745713E-3</v>
      </c>
      <c r="AC1795" s="111">
        <f>IF(
      SUM(Audit[[#This Row],[Audit Losing Candidate]:[Audit Candidate 6]])
      &lt;&gt;0,
      (Audit[[#This Row],[Winning Candidate]]-Audit[[#This Row],[Losing Candidate]]-(Audit[[#This Row],[Audit Winning Candidate]]-Audit[[#This Row],[Audit Losing Candidate]]))/(Audit[[#Totals],[Winning Candidate]]-Audit[[#Totals],[Losing Candidate]]),
      0
)</f>
        <v>0</v>
      </c>
      <c r="AD17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5" s="111">
        <f>IF(Audit[[#This Row],[Max Relative Error (ep)]] = 0, 0, Audit[[#This Row],[Max Relative Error (ep)]]/Audit[[#This Row],[Error Bound (up) - Max. possible relative overstatement]])</f>
        <v>0</v>
      </c>
      <c r="AJ17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95" s="111">
        <f t="shared" si="27"/>
        <v>1</v>
      </c>
      <c r="AL1795" s="111">
        <f>PRODUCT($AK$5:AK1795)</f>
        <v>8.962823818226312E-2</v>
      </c>
      <c r="AM1795" s="109">
        <f>1 - [K-M P Value]</f>
        <v>0.91037176181773694</v>
      </c>
      <c r="AN1795" s="111" t="str">
        <f>IF(Audit[[#This Row],[K-M P Value]]&gt;1-'General Info'!$B$16,"Continue", "Stop")</f>
        <v>Stop</v>
      </c>
      <c r="AO1795" s="110" t="b">
        <f>IF(Audit[[#This Row],[Status - Continue or stop audit]] = "Continue", TRUE, IF(AN1794 = "Continue", TRUE, FALSE))</f>
        <v>0</v>
      </c>
      <c r="AP1795" s="110"/>
    </row>
    <row r="1796" spans="1:42" ht="15" hidden="1" customHeight="1">
      <c r="A1796" s="111" t="str">
        <f>'Sampling Data'!W1791</f>
        <v/>
      </c>
      <c r="B1796" s="112" t="str">
        <f>'Sampling Data'!A1791</f>
        <v>PARMA HEIGHTS -04-C</v>
      </c>
      <c r="C1796" s="112">
        <f>'Sampling Data'!B1791</f>
        <v>18</v>
      </c>
      <c r="D1796" s="112">
        <f>'Sampling Data'!C1791</f>
        <v>40</v>
      </c>
      <c r="E1796" s="113">
        <f>'Sampling Data'!D1791</f>
        <v>14</v>
      </c>
      <c r="F1796" s="113">
        <f>'Sampling Data'!E1791</f>
        <v>9</v>
      </c>
      <c r="G1796" s="113">
        <f>'Sampling Data'!F1791</f>
        <v>2</v>
      </c>
      <c r="H1796" s="113">
        <f>'Sampling Data'!G1791</f>
        <v>0</v>
      </c>
      <c r="I1796" s="112">
        <f>'Sampling Data'!H1791</f>
        <v>0</v>
      </c>
      <c r="J1796" s="112">
        <f>'Sampling Data'!I1791</f>
        <v>0</v>
      </c>
      <c r="K1796" s="112">
        <f>'Sampling Data'!J1791</f>
        <v>83</v>
      </c>
      <c r="L1796" s="111">
        <f>'Sampling Data'!X1791</f>
        <v>0</v>
      </c>
      <c r="M1796" s="114"/>
      <c r="N1796" s="114"/>
      <c r="O1796" s="115"/>
      <c r="P1796" s="115"/>
      <c r="Q1796" s="116"/>
      <c r="R1796" s="116"/>
      <c r="S1796" s="111">
        <f>Audit[[#This Row],[Audit Losing Candidate]]-Audit[[#This Row],[Losing Candidate]]</f>
        <v>-18</v>
      </c>
      <c r="T1796" s="111">
        <f>Audit[[#This Row],[Audit Winning Candidate]]-Audit[[#This Row],[Winning Candidate]]</f>
        <v>-40</v>
      </c>
      <c r="U1796" s="111">
        <f>Audit[[#This Row],[Audit Candidate 3]]-Audit[[#This Row],[Candidate 3]]</f>
        <v>-14</v>
      </c>
      <c r="V1796" s="111">
        <f>Audit[[#This Row],[Audit Candidate 4]]-Audit[[#This Row],[Candidate 4]]</f>
        <v>-9</v>
      </c>
      <c r="W1796" s="111">
        <f>Audit[[#This Row],[Audit Candidate 5]]-Audit[[#This Row],[Candidate 5]]</f>
        <v>-2</v>
      </c>
      <c r="X1796" s="111">
        <f>Audit[[#This Row],[Audit Candidate 6]]-Audit[[#This Row],[Candidate 6]]</f>
        <v>0</v>
      </c>
      <c r="Y1796" s="111">
        <f>SUMIF(Audit[[#This Row],[Difference Loser]:[Difference Candidate 6]], "&gt;0")</f>
        <v>0</v>
      </c>
      <c r="Z1796" s="111">
        <f>SUM(Audit[[#This Row],[Difference Loser]:[Difference Candidate 6]])</f>
        <v>-83</v>
      </c>
      <c r="AA1796" s="111">
        <f>IF(Audit[[#This Row],[Times p Drawn - With Replacement]]&gt;0, IF(Audit[[#This Row],[Canceled Differences]]&lt;0, Audit[[#This Row],[Max Differences]]+ABS(Audit[[#This Row],[Canceled Differences]]), Audit[[#This Row],[Max Differences]]), 0)</f>
        <v>0</v>
      </c>
      <c r="AB1796" s="111">
        <f>'Sampling Data'!P1791</f>
        <v>6.4306712395884374E-3</v>
      </c>
      <c r="AC1796" s="111">
        <f>IF(
      SUM(Audit[[#This Row],[Audit Losing Candidate]:[Audit Candidate 6]])
      &lt;&gt;0,
      (Audit[[#This Row],[Winning Candidate]]-Audit[[#This Row],[Losing Candidate]]-(Audit[[#This Row],[Audit Winning Candidate]]-Audit[[#This Row],[Audit Losing Candidate]]))/(Audit[[#Totals],[Winning Candidate]]-Audit[[#Totals],[Losing Candidate]]),
      0
)</f>
        <v>0</v>
      </c>
      <c r="AD17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6" s="111">
        <f>IF(Audit[[#This Row],[Max Relative Error (ep)]] = 0, 0, Audit[[#This Row],[Max Relative Error (ep)]]/Audit[[#This Row],[Error Bound (up) - Max. possible relative overstatement]])</f>
        <v>0</v>
      </c>
      <c r="AJ17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96" s="111">
        <f t="shared" si="27"/>
        <v>1</v>
      </c>
      <c r="AL1796" s="111">
        <f>PRODUCT($AK$5:AK1796)</f>
        <v>8.962823818226312E-2</v>
      </c>
      <c r="AM1796" s="109">
        <f>1 - [K-M P Value]</f>
        <v>0.91037176181773694</v>
      </c>
      <c r="AN1796" s="111" t="str">
        <f>IF(Audit[[#This Row],[K-M P Value]]&gt;1-'General Info'!$B$16,"Continue", "Stop")</f>
        <v>Stop</v>
      </c>
      <c r="AO1796" s="110" t="b">
        <f>IF(Audit[[#This Row],[Status - Continue or stop audit]] = "Continue", TRUE, IF(AN1795 = "Continue", TRUE, FALSE))</f>
        <v>0</v>
      </c>
      <c r="AP1796" s="110"/>
    </row>
    <row r="1797" spans="1:42" ht="15" hidden="1" customHeight="1">
      <c r="A1797" s="111" t="str">
        <f>'Sampling Data'!W1792</f>
        <v/>
      </c>
      <c r="B1797" s="112" t="str">
        <f>'Sampling Data'!A1792</f>
        <v>PARMA HEIGHTS -04-C - ABS</v>
      </c>
      <c r="C1797" s="112">
        <f>'Sampling Data'!B1792</f>
        <v>14</v>
      </c>
      <c r="D1797" s="112">
        <f>'Sampling Data'!C1792</f>
        <v>16</v>
      </c>
      <c r="E1797" s="113">
        <f>'Sampling Data'!D1792</f>
        <v>12</v>
      </c>
      <c r="F1797" s="113">
        <f>'Sampling Data'!E1792</f>
        <v>4</v>
      </c>
      <c r="G1797" s="113">
        <f>'Sampling Data'!F1792</f>
        <v>0</v>
      </c>
      <c r="H1797" s="113">
        <f>'Sampling Data'!G1792</f>
        <v>2</v>
      </c>
      <c r="I1797" s="112">
        <f>'Sampling Data'!H1792</f>
        <v>0</v>
      </c>
      <c r="J1797" s="112">
        <f>'Sampling Data'!I1792</f>
        <v>1</v>
      </c>
      <c r="K1797" s="112">
        <f>'Sampling Data'!J1792</f>
        <v>49</v>
      </c>
      <c r="L1797" s="111">
        <f>'Sampling Data'!X1792</f>
        <v>0</v>
      </c>
      <c r="M1797" s="114"/>
      <c r="N1797" s="114"/>
      <c r="O1797" s="115"/>
      <c r="P1797" s="115"/>
      <c r="Q1797" s="116"/>
      <c r="R1797" s="116"/>
      <c r="S1797" s="111">
        <f>Audit[[#This Row],[Audit Losing Candidate]]-Audit[[#This Row],[Losing Candidate]]</f>
        <v>-14</v>
      </c>
      <c r="T1797" s="111">
        <f>Audit[[#This Row],[Audit Winning Candidate]]-Audit[[#This Row],[Winning Candidate]]</f>
        <v>-16</v>
      </c>
      <c r="U1797" s="111">
        <f>Audit[[#This Row],[Audit Candidate 3]]-Audit[[#This Row],[Candidate 3]]</f>
        <v>-12</v>
      </c>
      <c r="V1797" s="111">
        <f>Audit[[#This Row],[Audit Candidate 4]]-Audit[[#This Row],[Candidate 4]]</f>
        <v>-4</v>
      </c>
      <c r="W1797" s="111">
        <f>Audit[[#This Row],[Audit Candidate 5]]-Audit[[#This Row],[Candidate 5]]</f>
        <v>0</v>
      </c>
      <c r="X1797" s="111">
        <f>Audit[[#This Row],[Audit Candidate 6]]-Audit[[#This Row],[Candidate 6]]</f>
        <v>-2</v>
      </c>
      <c r="Y1797" s="111">
        <f>SUMIF(Audit[[#This Row],[Difference Loser]:[Difference Candidate 6]], "&gt;0")</f>
        <v>0</v>
      </c>
      <c r="Z1797" s="111">
        <f>SUM(Audit[[#This Row],[Difference Loser]:[Difference Candidate 6]])</f>
        <v>-48</v>
      </c>
      <c r="AA1797" s="111">
        <f>IF(Audit[[#This Row],[Times p Drawn - With Replacement]]&gt;0, IF(Audit[[#This Row],[Canceled Differences]]&lt;0, Audit[[#This Row],[Max Differences]]+ABS(Audit[[#This Row],[Canceled Differences]]), Audit[[#This Row],[Max Differences]]), 0)</f>
        <v>0</v>
      </c>
      <c r="AB1797" s="111">
        <f>'Sampling Data'!P1792</f>
        <v>3.1234688878000981E-3</v>
      </c>
      <c r="AC1797" s="111">
        <f>IF(
      SUM(Audit[[#This Row],[Audit Losing Candidate]:[Audit Candidate 6]])
      &lt;&gt;0,
      (Audit[[#This Row],[Winning Candidate]]-Audit[[#This Row],[Losing Candidate]]-(Audit[[#This Row],[Audit Winning Candidate]]-Audit[[#This Row],[Audit Losing Candidate]]))/(Audit[[#Totals],[Winning Candidate]]-Audit[[#Totals],[Losing Candidate]]),
      0
)</f>
        <v>0</v>
      </c>
      <c r="AD17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7" s="111">
        <f>IF(Audit[[#This Row],[Max Relative Error (ep)]] = 0, 0, Audit[[#This Row],[Max Relative Error (ep)]]/Audit[[#This Row],[Error Bound (up) - Max. possible relative overstatement]])</f>
        <v>0</v>
      </c>
      <c r="AJ17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97" s="111">
        <f t="shared" ref="AK1797:AK1860" si="28">IF(ISERR(POWER(AJ1797,L1797)), 0, POWER(AJ1797,L1797))</f>
        <v>1</v>
      </c>
      <c r="AL1797" s="111">
        <f>PRODUCT($AK$5:AK1797)</f>
        <v>8.962823818226312E-2</v>
      </c>
      <c r="AM1797" s="109">
        <f>1 - [K-M P Value]</f>
        <v>0.91037176181773694</v>
      </c>
      <c r="AN1797" s="111" t="str">
        <f>IF(Audit[[#This Row],[K-M P Value]]&gt;1-'General Info'!$B$16,"Continue", "Stop")</f>
        <v>Stop</v>
      </c>
      <c r="AO1797" s="110" t="b">
        <f>IF(Audit[[#This Row],[Status - Continue or stop audit]] = "Continue", TRUE, IF(AN1796 = "Continue", TRUE, FALSE))</f>
        <v>0</v>
      </c>
      <c r="AP1797" s="110"/>
    </row>
    <row r="1798" spans="1:42" ht="15" hidden="1" customHeight="1">
      <c r="A1798" s="111" t="str">
        <f>'Sampling Data'!W1793</f>
        <v/>
      </c>
      <c r="B1798" s="112" t="str">
        <f>'Sampling Data'!A1793</f>
        <v>PEPPER PIKE -00-A</v>
      </c>
      <c r="C1798" s="112">
        <f>'Sampling Data'!B1793</f>
        <v>17</v>
      </c>
      <c r="D1798" s="112">
        <f>'Sampling Data'!C1793</f>
        <v>56</v>
      </c>
      <c r="E1798" s="113">
        <f>'Sampling Data'!D1793</f>
        <v>8</v>
      </c>
      <c r="F1798" s="113">
        <f>'Sampling Data'!E1793</f>
        <v>6</v>
      </c>
      <c r="G1798" s="113">
        <f>'Sampling Data'!F1793</f>
        <v>0</v>
      </c>
      <c r="H1798" s="113">
        <f>'Sampling Data'!G1793</f>
        <v>0</v>
      </c>
      <c r="I1798" s="112">
        <f>'Sampling Data'!H1793</f>
        <v>0</v>
      </c>
      <c r="J1798" s="112">
        <f>'Sampling Data'!I1793</f>
        <v>1</v>
      </c>
      <c r="K1798" s="112">
        <f>'Sampling Data'!J1793</f>
        <v>88</v>
      </c>
      <c r="L1798" s="111">
        <f>'Sampling Data'!X1793</f>
        <v>0</v>
      </c>
      <c r="M1798" s="114"/>
      <c r="N1798" s="114"/>
      <c r="O1798" s="115"/>
      <c r="P1798" s="115"/>
      <c r="Q1798" s="116"/>
      <c r="R1798" s="116"/>
      <c r="S1798" s="111">
        <f>Audit[[#This Row],[Audit Losing Candidate]]-Audit[[#This Row],[Losing Candidate]]</f>
        <v>-17</v>
      </c>
      <c r="T1798" s="111">
        <f>Audit[[#This Row],[Audit Winning Candidate]]-Audit[[#This Row],[Winning Candidate]]</f>
        <v>-56</v>
      </c>
      <c r="U1798" s="111">
        <f>Audit[[#This Row],[Audit Candidate 3]]-Audit[[#This Row],[Candidate 3]]</f>
        <v>-8</v>
      </c>
      <c r="V1798" s="111">
        <f>Audit[[#This Row],[Audit Candidate 4]]-Audit[[#This Row],[Candidate 4]]</f>
        <v>-6</v>
      </c>
      <c r="W1798" s="111">
        <f>Audit[[#This Row],[Audit Candidate 5]]-Audit[[#This Row],[Candidate 5]]</f>
        <v>0</v>
      </c>
      <c r="X1798" s="111">
        <f>Audit[[#This Row],[Audit Candidate 6]]-Audit[[#This Row],[Candidate 6]]</f>
        <v>0</v>
      </c>
      <c r="Y1798" s="111">
        <f>SUMIF(Audit[[#This Row],[Difference Loser]:[Difference Candidate 6]], "&gt;0")</f>
        <v>0</v>
      </c>
      <c r="Z1798" s="111">
        <f>SUM(Audit[[#This Row],[Difference Loser]:[Difference Candidate 6]])</f>
        <v>-87</v>
      </c>
      <c r="AA1798" s="111">
        <f>IF(Audit[[#This Row],[Times p Drawn - With Replacement]]&gt;0, IF(Audit[[#This Row],[Canceled Differences]]&lt;0, Audit[[#This Row],[Max Differences]]+ABS(Audit[[#This Row],[Canceled Differences]]), Audit[[#This Row],[Max Differences]]), 0)</f>
        <v>0</v>
      </c>
      <c r="AB1798" s="111">
        <f>'Sampling Data'!P1793</f>
        <v>7.7780499755022046E-3</v>
      </c>
      <c r="AC1798" s="111">
        <f>IF(
      SUM(Audit[[#This Row],[Audit Losing Candidate]:[Audit Candidate 6]])
      &lt;&gt;0,
      (Audit[[#This Row],[Winning Candidate]]-Audit[[#This Row],[Losing Candidate]]-(Audit[[#This Row],[Audit Winning Candidate]]-Audit[[#This Row],[Audit Losing Candidate]]))/(Audit[[#Totals],[Winning Candidate]]-Audit[[#Totals],[Losing Candidate]]),
      0
)</f>
        <v>0</v>
      </c>
      <c r="AD17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8" s="111">
        <f>IF(Audit[[#This Row],[Max Relative Error (ep)]] = 0, 0, Audit[[#This Row],[Max Relative Error (ep)]]/Audit[[#This Row],[Error Bound (up) - Max. possible relative overstatement]])</f>
        <v>0</v>
      </c>
      <c r="AJ17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98" s="111">
        <f t="shared" si="28"/>
        <v>1</v>
      </c>
      <c r="AL1798" s="111">
        <f>PRODUCT($AK$5:AK1798)</f>
        <v>8.962823818226312E-2</v>
      </c>
      <c r="AM1798" s="109">
        <f>1 - [K-M P Value]</f>
        <v>0.91037176181773694</v>
      </c>
      <c r="AN1798" s="111" t="str">
        <f>IF(Audit[[#This Row],[K-M P Value]]&gt;1-'General Info'!$B$16,"Continue", "Stop")</f>
        <v>Stop</v>
      </c>
      <c r="AO1798" s="110" t="b">
        <f>IF(Audit[[#This Row],[Status - Continue or stop audit]] = "Continue", TRUE, IF(AN1797 = "Continue", TRUE, FALSE))</f>
        <v>0</v>
      </c>
      <c r="AP1798" s="110"/>
    </row>
    <row r="1799" spans="1:42" ht="15" hidden="1" customHeight="1">
      <c r="A1799" s="111" t="str">
        <f>'Sampling Data'!W1794</f>
        <v/>
      </c>
      <c r="B1799" s="112" t="str">
        <f>'Sampling Data'!A1794</f>
        <v>PEPPER PIKE -00-A - ABS</v>
      </c>
      <c r="C1799" s="112">
        <f>'Sampling Data'!B1794</f>
        <v>14</v>
      </c>
      <c r="D1799" s="112">
        <f>'Sampling Data'!C1794</f>
        <v>40</v>
      </c>
      <c r="E1799" s="113">
        <f>'Sampling Data'!D1794</f>
        <v>2</v>
      </c>
      <c r="F1799" s="113">
        <f>'Sampling Data'!E1794</f>
        <v>1</v>
      </c>
      <c r="G1799" s="113">
        <f>'Sampling Data'!F1794</f>
        <v>1</v>
      </c>
      <c r="H1799" s="113">
        <f>'Sampling Data'!G1794</f>
        <v>0</v>
      </c>
      <c r="I1799" s="112">
        <f>'Sampling Data'!H1794</f>
        <v>0</v>
      </c>
      <c r="J1799" s="112">
        <f>'Sampling Data'!I1794</f>
        <v>0</v>
      </c>
      <c r="K1799" s="112">
        <f>'Sampling Data'!J1794</f>
        <v>58</v>
      </c>
      <c r="L1799" s="111">
        <f>'Sampling Data'!X1794</f>
        <v>0</v>
      </c>
      <c r="M1799" s="114"/>
      <c r="N1799" s="114"/>
      <c r="O1799" s="115"/>
      <c r="P1799" s="115"/>
      <c r="Q1799" s="116"/>
      <c r="R1799" s="116"/>
      <c r="S1799" s="111">
        <f>Audit[[#This Row],[Audit Losing Candidate]]-Audit[[#This Row],[Losing Candidate]]</f>
        <v>-14</v>
      </c>
      <c r="T1799" s="111">
        <f>Audit[[#This Row],[Audit Winning Candidate]]-Audit[[#This Row],[Winning Candidate]]</f>
        <v>-40</v>
      </c>
      <c r="U1799" s="111">
        <f>Audit[[#This Row],[Audit Candidate 3]]-Audit[[#This Row],[Candidate 3]]</f>
        <v>-2</v>
      </c>
      <c r="V1799" s="111">
        <f>Audit[[#This Row],[Audit Candidate 4]]-Audit[[#This Row],[Candidate 4]]</f>
        <v>-1</v>
      </c>
      <c r="W1799" s="111">
        <f>Audit[[#This Row],[Audit Candidate 5]]-Audit[[#This Row],[Candidate 5]]</f>
        <v>-1</v>
      </c>
      <c r="X1799" s="111">
        <f>Audit[[#This Row],[Audit Candidate 6]]-Audit[[#This Row],[Candidate 6]]</f>
        <v>0</v>
      </c>
      <c r="Y1799" s="111">
        <f>SUMIF(Audit[[#This Row],[Difference Loser]:[Difference Candidate 6]], "&gt;0")</f>
        <v>0</v>
      </c>
      <c r="Z1799" s="111">
        <f>SUM(Audit[[#This Row],[Difference Loser]:[Difference Candidate 6]])</f>
        <v>-58</v>
      </c>
      <c r="AA1799" s="111">
        <f>IF(Audit[[#This Row],[Times p Drawn - With Replacement]]&gt;0, IF(Audit[[#This Row],[Canceled Differences]]&lt;0, Audit[[#This Row],[Max Differences]]+ABS(Audit[[#This Row],[Canceled Differences]]), Audit[[#This Row],[Max Differences]]), 0)</f>
        <v>0</v>
      </c>
      <c r="AB1799" s="111">
        <f>'Sampling Data'!P1794</f>
        <v>5.1445369916707498E-3</v>
      </c>
      <c r="AC1799" s="111">
        <f>IF(
      SUM(Audit[[#This Row],[Audit Losing Candidate]:[Audit Candidate 6]])
      &lt;&gt;0,
      (Audit[[#This Row],[Winning Candidate]]-Audit[[#This Row],[Losing Candidate]]-(Audit[[#This Row],[Audit Winning Candidate]]-Audit[[#This Row],[Audit Losing Candidate]]))/(Audit[[#Totals],[Winning Candidate]]-Audit[[#Totals],[Losing Candidate]]),
      0
)</f>
        <v>0</v>
      </c>
      <c r="AD17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9" s="111">
        <f>IF(Audit[[#This Row],[Max Relative Error (ep)]] = 0, 0, Audit[[#This Row],[Max Relative Error (ep)]]/Audit[[#This Row],[Error Bound (up) - Max. possible relative overstatement]])</f>
        <v>0</v>
      </c>
      <c r="AJ17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799" s="111">
        <f t="shared" si="28"/>
        <v>1</v>
      </c>
      <c r="AL1799" s="111">
        <f>PRODUCT($AK$5:AK1799)</f>
        <v>8.962823818226312E-2</v>
      </c>
      <c r="AM1799" s="109">
        <f>1 - [K-M P Value]</f>
        <v>0.91037176181773694</v>
      </c>
      <c r="AN1799" s="111" t="str">
        <f>IF(Audit[[#This Row],[K-M P Value]]&gt;1-'General Info'!$B$16,"Continue", "Stop")</f>
        <v>Stop</v>
      </c>
      <c r="AO1799" s="110" t="b">
        <f>IF(Audit[[#This Row],[Status - Continue or stop audit]] = "Continue", TRUE, IF(AN1798 = "Continue", TRUE, FALSE))</f>
        <v>0</v>
      </c>
      <c r="AP1799" s="110"/>
    </row>
    <row r="1800" spans="1:42" ht="15" hidden="1" customHeight="1">
      <c r="A1800" s="111" t="str">
        <f>'Sampling Data'!W1795</f>
        <v/>
      </c>
      <c r="B1800" s="112" t="str">
        <f>'Sampling Data'!A1795</f>
        <v>PEPPER PIKE -00-B</v>
      </c>
      <c r="C1800" s="112">
        <f>'Sampling Data'!B1795</f>
        <v>16</v>
      </c>
      <c r="D1800" s="112">
        <f>'Sampling Data'!C1795</f>
        <v>87</v>
      </c>
      <c r="E1800" s="113">
        <f>'Sampling Data'!D1795</f>
        <v>5</v>
      </c>
      <c r="F1800" s="113">
        <f>'Sampling Data'!E1795</f>
        <v>5</v>
      </c>
      <c r="G1800" s="113">
        <f>'Sampling Data'!F1795</f>
        <v>1</v>
      </c>
      <c r="H1800" s="113">
        <f>'Sampling Data'!G1795</f>
        <v>0</v>
      </c>
      <c r="I1800" s="112">
        <f>'Sampling Data'!H1795</f>
        <v>0</v>
      </c>
      <c r="J1800" s="112">
        <f>'Sampling Data'!I1795</f>
        <v>1</v>
      </c>
      <c r="K1800" s="112">
        <f>'Sampling Data'!J1795</f>
        <v>115</v>
      </c>
      <c r="L1800" s="111">
        <f>'Sampling Data'!X1795</f>
        <v>0</v>
      </c>
      <c r="M1800" s="114"/>
      <c r="N1800" s="114"/>
      <c r="O1800" s="115"/>
      <c r="P1800" s="115"/>
      <c r="Q1800" s="116"/>
      <c r="R1800" s="116"/>
      <c r="S1800" s="111">
        <f>Audit[[#This Row],[Audit Losing Candidate]]-Audit[[#This Row],[Losing Candidate]]</f>
        <v>-16</v>
      </c>
      <c r="T1800" s="111">
        <f>Audit[[#This Row],[Audit Winning Candidate]]-Audit[[#This Row],[Winning Candidate]]</f>
        <v>-87</v>
      </c>
      <c r="U1800" s="111">
        <f>Audit[[#This Row],[Audit Candidate 3]]-Audit[[#This Row],[Candidate 3]]</f>
        <v>-5</v>
      </c>
      <c r="V1800" s="111">
        <f>Audit[[#This Row],[Audit Candidate 4]]-Audit[[#This Row],[Candidate 4]]</f>
        <v>-5</v>
      </c>
      <c r="W1800" s="111">
        <f>Audit[[#This Row],[Audit Candidate 5]]-Audit[[#This Row],[Candidate 5]]</f>
        <v>-1</v>
      </c>
      <c r="X1800" s="111">
        <f>Audit[[#This Row],[Audit Candidate 6]]-Audit[[#This Row],[Candidate 6]]</f>
        <v>0</v>
      </c>
      <c r="Y1800" s="111">
        <f>SUMIF(Audit[[#This Row],[Difference Loser]:[Difference Candidate 6]], "&gt;0")</f>
        <v>0</v>
      </c>
      <c r="Z1800" s="111">
        <f>SUM(Audit[[#This Row],[Difference Loser]:[Difference Candidate 6]])</f>
        <v>-114</v>
      </c>
      <c r="AA1800" s="111">
        <f>IF(Audit[[#This Row],[Times p Drawn - With Replacement]]&gt;0, IF(Audit[[#This Row],[Canceled Differences]]&lt;0, Audit[[#This Row],[Max Differences]]+ABS(Audit[[#This Row],[Canceled Differences]]), Audit[[#This Row],[Max Differences]]), 0)</f>
        <v>0</v>
      </c>
      <c r="AB1800" s="111">
        <f>'Sampling Data'!P1795</f>
        <v>1.1391474767270945E-2</v>
      </c>
      <c r="AC1800" s="111">
        <f>IF(
      SUM(Audit[[#This Row],[Audit Losing Candidate]:[Audit Candidate 6]])
      &lt;&gt;0,
      (Audit[[#This Row],[Winning Candidate]]-Audit[[#This Row],[Losing Candidate]]-(Audit[[#This Row],[Audit Winning Candidate]]-Audit[[#This Row],[Audit Losing Candidate]]))/(Audit[[#Totals],[Winning Candidate]]-Audit[[#Totals],[Losing Candidate]]),
      0
)</f>
        <v>0</v>
      </c>
      <c r="AD18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0" s="111">
        <f>IF(Audit[[#This Row],[Max Relative Error (ep)]] = 0, 0, Audit[[#This Row],[Max Relative Error (ep)]]/Audit[[#This Row],[Error Bound (up) - Max. possible relative overstatement]])</f>
        <v>0</v>
      </c>
      <c r="AJ18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00" s="111">
        <f t="shared" si="28"/>
        <v>1</v>
      </c>
      <c r="AL1800" s="111">
        <f>PRODUCT($AK$5:AK1800)</f>
        <v>8.962823818226312E-2</v>
      </c>
      <c r="AM1800" s="109">
        <f>1 - [K-M P Value]</f>
        <v>0.91037176181773694</v>
      </c>
      <c r="AN1800" s="111" t="str">
        <f>IF(Audit[[#This Row],[K-M P Value]]&gt;1-'General Info'!$B$16,"Continue", "Stop")</f>
        <v>Stop</v>
      </c>
      <c r="AO1800" s="110" t="b">
        <f>IF(Audit[[#This Row],[Status - Continue or stop audit]] = "Continue", TRUE, IF(AN1799 = "Continue", TRUE, FALSE))</f>
        <v>0</v>
      </c>
      <c r="AP1800" s="110"/>
    </row>
    <row r="1801" spans="1:42" ht="15" hidden="1" customHeight="1">
      <c r="A1801" s="111" t="str">
        <f>'Sampling Data'!W1796</f>
        <v/>
      </c>
      <c r="B1801" s="112" t="str">
        <f>'Sampling Data'!A1796</f>
        <v>PEPPER PIKE -00-B - ABS</v>
      </c>
      <c r="C1801" s="112">
        <f>'Sampling Data'!B1796</f>
        <v>11</v>
      </c>
      <c r="D1801" s="112">
        <f>'Sampling Data'!C1796</f>
        <v>37</v>
      </c>
      <c r="E1801" s="113">
        <f>'Sampling Data'!D1796</f>
        <v>6</v>
      </c>
      <c r="F1801" s="113">
        <f>'Sampling Data'!E1796</f>
        <v>4</v>
      </c>
      <c r="G1801" s="113">
        <f>'Sampling Data'!F1796</f>
        <v>1</v>
      </c>
      <c r="H1801" s="113">
        <f>'Sampling Data'!G1796</f>
        <v>0</v>
      </c>
      <c r="I1801" s="112">
        <f>'Sampling Data'!H1796</f>
        <v>0</v>
      </c>
      <c r="J1801" s="112">
        <f>'Sampling Data'!I1796</f>
        <v>0</v>
      </c>
      <c r="K1801" s="112">
        <f>'Sampling Data'!J1796</f>
        <v>59</v>
      </c>
      <c r="L1801" s="111">
        <f>'Sampling Data'!X1796</f>
        <v>0</v>
      </c>
      <c r="M1801" s="114"/>
      <c r="N1801" s="114"/>
      <c r="O1801" s="115"/>
      <c r="P1801" s="115"/>
      <c r="Q1801" s="116"/>
      <c r="R1801" s="116"/>
      <c r="S1801" s="111">
        <f>Audit[[#This Row],[Audit Losing Candidate]]-Audit[[#This Row],[Losing Candidate]]</f>
        <v>-11</v>
      </c>
      <c r="T1801" s="111">
        <f>Audit[[#This Row],[Audit Winning Candidate]]-Audit[[#This Row],[Winning Candidate]]</f>
        <v>-37</v>
      </c>
      <c r="U1801" s="111">
        <f>Audit[[#This Row],[Audit Candidate 3]]-Audit[[#This Row],[Candidate 3]]</f>
        <v>-6</v>
      </c>
      <c r="V1801" s="111">
        <f>Audit[[#This Row],[Audit Candidate 4]]-Audit[[#This Row],[Candidate 4]]</f>
        <v>-4</v>
      </c>
      <c r="W1801" s="111">
        <f>Audit[[#This Row],[Audit Candidate 5]]-Audit[[#This Row],[Candidate 5]]</f>
        <v>-1</v>
      </c>
      <c r="X1801" s="111">
        <f>Audit[[#This Row],[Audit Candidate 6]]-Audit[[#This Row],[Candidate 6]]</f>
        <v>0</v>
      </c>
      <c r="Y1801" s="111">
        <f>SUMIF(Audit[[#This Row],[Difference Loser]:[Difference Candidate 6]], "&gt;0")</f>
        <v>0</v>
      </c>
      <c r="Z1801" s="111">
        <f>SUM(Audit[[#This Row],[Difference Loser]:[Difference Candidate 6]])</f>
        <v>-59</v>
      </c>
      <c r="AA1801" s="111">
        <f>IF(Audit[[#This Row],[Times p Drawn - With Replacement]]&gt;0, IF(Audit[[#This Row],[Canceled Differences]]&lt;0, Audit[[#This Row],[Max Differences]]+ABS(Audit[[#This Row],[Canceled Differences]]), Audit[[#This Row],[Max Differences]]), 0)</f>
        <v>0</v>
      </c>
      <c r="AB1801" s="111">
        <f>'Sampling Data'!P1796</f>
        <v>5.2057814796668302E-3</v>
      </c>
      <c r="AC1801" s="111">
        <f>IF(
      SUM(Audit[[#This Row],[Audit Losing Candidate]:[Audit Candidate 6]])
      &lt;&gt;0,
      (Audit[[#This Row],[Winning Candidate]]-Audit[[#This Row],[Losing Candidate]]-(Audit[[#This Row],[Audit Winning Candidate]]-Audit[[#This Row],[Audit Losing Candidate]]))/(Audit[[#Totals],[Winning Candidate]]-Audit[[#Totals],[Losing Candidate]]),
      0
)</f>
        <v>0</v>
      </c>
      <c r="AD18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1" s="111">
        <f>IF(Audit[[#This Row],[Max Relative Error (ep)]] = 0, 0, Audit[[#This Row],[Max Relative Error (ep)]]/Audit[[#This Row],[Error Bound (up) - Max. possible relative overstatement]])</f>
        <v>0</v>
      </c>
      <c r="AJ18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01" s="111">
        <f t="shared" si="28"/>
        <v>1</v>
      </c>
      <c r="AL1801" s="111">
        <f>PRODUCT($AK$5:AK1801)</f>
        <v>8.962823818226312E-2</v>
      </c>
      <c r="AM1801" s="109">
        <f>1 - [K-M P Value]</f>
        <v>0.91037176181773694</v>
      </c>
      <c r="AN1801" s="111" t="str">
        <f>IF(Audit[[#This Row],[K-M P Value]]&gt;1-'General Info'!$B$16,"Continue", "Stop")</f>
        <v>Stop</v>
      </c>
      <c r="AO1801" s="110" t="b">
        <f>IF(Audit[[#This Row],[Status - Continue or stop audit]] = "Continue", TRUE, IF(AN1800 = "Continue", TRUE, FALSE))</f>
        <v>0</v>
      </c>
      <c r="AP1801" s="110"/>
    </row>
    <row r="1802" spans="1:42" ht="15" hidden="1" customHeight="1">
      <c r="A1802" s="111" t="str">
        <f>'Sampling Data'!W1797</f>
        <v/>
      </c>
      <c r="B1802" s="112" t="str">
        <f>'Sampling Data'!A1797</f>
        <v>PEPPER PIKE -00-C</v>
      </c>
      <c r="C1802" s="112">
        <f>'Sampling Data'!B1797</f>
        <v>8</v>
      </c>
      <c r="D1802" s="112">
        <f>'Sampling Data'!C1797</f>
        <v>78</v>
      </c>
      <c r="E1802" s="113">
        <f>'Sampling Data'!D1797</f>
        <v>9</v>
      </c>
      <c r="F1802" s="113">
        <f>'Sampling Data'!E1797</f>
        <v>7</v>
      </c>
      <c r="G1802" s="113">
        <f>'Sampling Data'!F1797</f>
        <v>0</v>
      </c>
      <c r="H1802" s="113">
        <f>'Sampling Data'!G1797</f>
        <v>1</v>
      </c>
      <c r="I1802" s="112">
        <f>'Sampling Data'!H1797</f>
        <v>0</v>
      </c>
      <c r="J1802" s="112">
        <f>'Sampling Data'!I1797</f>
        <v>0</v>
      </c>
      <c r="K1802" s="112">
        <f>'Sampling Data'!J1797</f>
        <v>103</v>
      </c>
      <c r="L1802" s="111">
        <f>'Sampling Data'!X1797</f>
        <v>0</v>
      </c>
      <c r="M1802" s="114"/>
      <c r="N1802" s="114"/>
      <c r="O1802" s="115"/>
      <c r="P1802" s="115"/>
      <c r="Q1802" s="116"/>
      <c r="R1802" s="116"/>
      <c r="S1802" s="111">
        <f>Audit[[#This Row],[Audit Losing Candidate]]-Audit[[#This Row],[Losing Candidate]]</f>
        <v>-8</v>
      </c>
      <c r="T1802" s="111">
        <f>Audit[[#This Row],[Audit Winning Candidate]]-Audit[[#This Row],[Winning Candidate]]</f>
        <v>-78</v>
      </c>
      <c r="U1802" s="111">
        <f>Audit[[#This Row],[Audit Candidate 3]]-Audit[[#This Row],[Candidate 3]]</f>
        <v>-9</v>
      </c>
      <c r="V1802" s="111">
        <f>Audit[[#This Row],[Audit Candidate 4]]-Audit[[#This Row],[Candidate 4]]</f>
        <v>-7</v>
      </c>
      <c r="W1802" s="111">
        <f>Audit[[#This Row],[Audit Candidate 5]]-Audit[[#This Row],[Candidate 5]]</f>
        <v>0</v>
      </c>
      <c r="X1802" s="111">
        <f>Audit[[#This Row],[Audit Candidate 6]]-Audit[[#This Row],[Candidate 6]]</f>
        <v>-1</v>
      </c>
      <c r="Y1802" s="111">
        <f>SUMIF(Audit[[#This Row],[Difference Loser]:[Difference Candidate 6]], "&gt;0")</f>
        <v>0</v>
      </c>
      <c r="Z1802" s="111">
        <f>SUM(Audit[[#This Row],[Difference Loser]:[Difference Candidate 6]])</f>
        <v>-103</v>
      </c>
      <c r="AA1802" s="111">
        <f>IF(Audit[[#This Row],[Times p Drawn - With Replacement]]&gt;0, IF(Audit[[#This Row],[Canceled Differences]]&lt;0, Audit[[#This Row],[Max Differences]]+ABS(Audit[[#This Row],[Canceled Differences]]), Audit[[#This Row],[Max Differences]]), 0)</f>
        <v>0</v>
      </c>
      <c r="AB1802" s="111">
        <f>'Sampling Data'!P1797</f>
        <v>1.0595296423321901E-2</v>
      </c>
      <c r="AC1802" s="111">
        <f>IF(
      SUM(Audit[[#This Row],[Audit Losing Candidate]:[Audit Candidate 6]])
      &lt;&gt;0,
      (Audit[[#This Row],[Winning Candidate]]-Audit[[#This Row],[Losing Candidate]]-(Audit[[#This Row],[Audit Winning Candidate]]-Audit[[#This Row],[Audit Losing Candidate]]))/(Audit[[#Totals],[Winning Candidate]]-Audit[[#Totals],[Losing Candidate]]),
      0
)</f>
        <v>0</v>
      </c>
      <c r="AD18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2" s="111">
        <f>IF(Audit[[#This Row],[Max Relative Error (ep)]] = 0, 0, Audit[[#This Row],[Max Relative Error (ep)]]/Audit[[#This Row],[Error Bound (up) - Max. possible relative overstatement]])</f>
        <v>0</v>
      </c>
      <c r="AJ18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02" s="111">
        <f t="shared" si="28"/>
        <v>1</v>
      </c>
      <c r="AL1802" s="111">
        <f>PRODUCT($AK$5:AK1802)</f>
        <v>8.962823818226312E-2</v>
      </c>
      <c r="AM1802" s="109">
        <f>1 - [K-M P Value]</f>
        <v>0.91037176181773694</v>
      </c>
      <c r="AN1802" s="111" t="str">
        <f>IF(Audit[[#This Row],[K-M P Value]]&gt;1-'General Info'!$B$16,"Continue", "Stop")</f>
        <v>Stop</v>
      </c>
      <c r="AO1802" s="110" t="b">
        <f>IF(Audit[[#This Row],[Status - Continue or stop audit]] = "Continue", TRUE, IF(AN1801 = "Continue", TRUE, FALSE))</f>
        <v>0</v>
      </c>
      <c r="AP1802" s="110"/>
    </row>
    <row r="1803" spans="1:42" ht="15" hidden="1" customHeight="1">
      <c r="A1803" s="111" t="str">
        <f>'Sampling Data'!W1798</f>
        <v/>
      </c>
      <c r="B1803" s="112" t="str">
        <f>'Sampling Data'!A1798</f>
        <v>PEPPER PIKE -00-C - ABS</v>
      </c>
      <c r="C1803" s="112">
        <f>'Sampling Data'!B1798</f>
        <v>5</v>
      </c>
      <c r="D1803" s="112">
        <f>'Sampling Data'!C1798</f>
        <v>28</v>
      </c>
      <c r="E1803" s="113">
        <f>'Sampling Data'!D1798</f>
        <v>2</v>
      </c>
      <c r="F1803" s="113">
        <f>'Sampling Data'!E1798</f>
        <v>4</v>
      </c>
      <c r="G1803" s="113">
        <f>'Sampling Data'!F1798</f>
        <v>0</v>
      </c>
      <c r="H1803" s="113">
        <f>'Sampling Data'!G1798</f>
        <v>0</v>
      </c>
      <c r="I1803" s="112">
        <f>'Sampling Data'!H1798</f>
        <v>0</v>
      </c>
      <c r="J1803" s="112">
        <f>'Sampling Data'!I1798</f>
        <v>2</v>
      </c>
      <c r="K1803" s="112">
        <f>'Sampling Data'!J1798</f>
        <v>41</v>
      </c>
      <c r="L1803" s="111">
        <f>'Sampling Data'!X1798</f>
        <v>0</v>
      </c>
      <c r="M1803" s="114"/>
      <c r="N1803" s="114"/>
      <c r="O1803" s="115"/>
      <c r="P1803" s="115"/>
      <c r="Q1803" s="116"/>
      <c r="R1803" s="116"/>
      <c r="S1803" s="111">
        <f>Audit[[#This Row],[Audit Losing Candidate]]-Audit[[#This Row],[Losing Candidate]]</f>
        <v>-5</v>
      </c>
      <c r="T1803" s="111">
        <f>Audit[[#This Row],[Audit Winning Candidate]]-Audit[[#This Row],[Winning Candidate]]</f>
        <v>-28</v>
      </c>
      <c r="U1803" s="111">
        <f>Audit[[#This Row],[Audit Candidate 3]]-Audit[[#This Row],[Candidate 3]]</f>
        <v>-2</v>
      </c>
      <c r="V1803" s="111">
        <f>Audit[[#This Row],[Audit Candidate 4]]-Audit[[#This Row],[Candidate 4]]</f>
        <v>-4</v>
      </c>
      <c r="W1803" s="111">
        <f>Audit[[#This Row],[Audit Candidate 5]]-Audit[[#This Row],[Candidate 5]]</f>
        <v>0</v>
      </c>
      <c r="X1803" s="111">
        <f>Audit[[#This Row],[Audit Candidate 6]]-Audit[[#This Row],[Candidate 6]]</f>
        <v>0</v>
      </c>
      <c r="Y1803" s="111">
        <f>SUMIF(Audit[[#This Row],[Difference Loser]:[Difference Candidate 6]], "&gt;0")</f>
        <v>0</v>
      </c>
      <c r="Z1803" s="111">
        <f>SUM(Audit[[#This Row],[Difference Loser]:[Difference Candidate 6]])</f>
        <v>-39</v>
      </c>
      <c r="AA1803" s="111">
        <f>IF(Audit[[#This Row],[Times p Drawn - With Replacement]]&gt;0, IF(Audit[[#This Row],[Canceled Differences]]&lt;0, Audit[[#This Row],[Max Differences]]+ABS(Audit[[#This Row],[Canceled Differences]]), Audit[[#This Row],[Max Differences]]), 0)</f>
        <v>0</v>
      </c>
      <c r="AB1803" s="111">
        <f>'Sampling Data'!P1798</f>
        <v>3.9196472317491425E-3</v>
      </c>
      <c r="AC1803" s="111">
        <f>IF(
      SUM(Audit[[#This Row],[Audit Losing Candidate]:[Audit Candidate 6]])
      &lt;&gt;0,
      (Audit[[#This Row],[Winning Candidate]]-Audit[[#This Row],[Losing Candidate]]-(Audit[[#This Row],[Audit Winning Candidate]]-Audit[[#This Row],[Audit Losing Candidate]]))/(Audit[[#Totals],[Winning Candidate]]-Audit[[#Totals],[Losing Candidate]]),
      0
)</f>
        <v>0</v>
      </c>
      <c r="AD18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3" s="111">
        <f>IF(Audit[[#This Row],[Max Relative Error (ep)]] = 0, 0, Audit[[#This Row],[Max Relative Error (ep)]]/Audit[[#This Row],[Error Bound (up) - Max. possible relative overstatement]])</f>
        <v>0</v>
      </c>
      <c r="AJ18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03" s="111">
        <f t="shared" si="28"/>
        <v>1</v>
      </c>
      <c r="AL1803" s="111">
        <f>PRODUCT($AK$5:AK1803)</f>
        <v>8.962823818226312E-2</v>
      </c>
      <c r="AM1803" s="109">
        <f>1 - [K-M P Value]</f>
        <v>0.91037176181773694</v>
      </c>
      <c r="AN1803" s="111" t="str">
        <f>IF(Audit[[#This Row],[K-M P Value]]&gt;1-'General Info'!$B$16,"Continue", "Stop")</f>
        <v>Stop</v>
      </c>
      <c r="AO1803" s="110" t="b">
        <f>IF(Audit[[#This Row],[Status - Continue or stop audit]] = "Continue", TRUE, IF(AN1802 = "Continue", TRUE, FALSE))</f>
        <v>0</v>
      </c>
      <c r="AP1803" s="110"/>
    </row>
    <row r="1804" spans="1:42" ht="15" hidden="1" customHeight="1">
      <c r="A1804" s="111" t="str">
        <f>'Sampling Data'!W1799</f>
        <v/>
      </c>
      <c r="B1804" s="112" t="str">
        <f>'Sampling Data'!A1799</f>
        <v>PEPPER PIKE -00-D</v>
      </c>
      <c r="C1804" s="112">
        <f>'Sampling Data'!B1799</f>
        <v>15</v>
      </c>
      <c r="D1804" s="112">
        <f>'Sampling Data'!C1799</f>
        <v>128</v>
      </c>
      <c r="E1804" s="113">
        <f>'Sampling Data'!D1799</f>
        <v>9</v>
      </c>
      <c r="F1804" s="113">
        <f>'Sampling Data'!E1799</f>
        <v>6</v>
      </c>
      <c r="G1804" s="113">
        <f>'Sampling Data'!F1799</f>
        <v>0</v>
      </c>
      <c r="H1804" s="113">
        <f>'Sampling Data'!G1799</f>
        <v>1</v>
      </c>
      <c r="I1804" s="112">
        <f>'Sampling Data'!H1799</f>
        <v>0</v>
      </c>
      <c r="J1804" s="112">
        <f>'Sampling Data'!I1799</f>
        <v>2</v>
      </c>
      <c r="K1804" s="112">
        <f>'Sampling Data'!J1799</f>
        <v>161</v>
      </c>
      <c r="L1804" s="111">
        <f>'Sampling Data'!X1799</f>
        <v>0</v>
      </c>
      <c r="M1804" s="114"/>
      <c r="N1804" s="114"/>
      <c r="O1804" s="115"/>
      <c r="P1804" s="115"/>
      <c r="Q1804" s="116"/>
      <c r="R1804" s="116"/>
      <c r="S1804" s="111">
        <f>Audit[[#This Row],[Audit Losing Candidate]]-Audit[[#This Row],[Losing Candidate]]</f>
        <v>-15</v>
      </c>
      <c r="T1804" s="111">
        <f>Audit[[#This Row],[Audit Winning Candidate]]-Audit[[#This Row],[Winning Candidate]]</f>
        <v>-128</v>
      </c>
      <c r="U1804" s="111">
        <f>Audit[[#This Row],[Audit Candidate 3]]-Audit[[#This Row],[Candidate 3]]</f>
        <v>-9</v>
      </c>
      <c r="V1804" s="111">
        <f>Audit[[#This Row],[Audit Candidate 4]]-Audit[[#This Row],[Candidate 4]]</f>
        <v>-6</v>
      </c>
      <c r="W1804" s="111">
        <f>Audit[[#This Row],[Audit Candidate 5]]-Audit[[#This Row],[Candidate 5]]</f>
        <v>0</v>
      </c>
      <c r="X1804" s="111">
        <f>Audit[[#This Row],[Audit Candidate 6]]-Audit[[#This Row],[Candidate 6]]</f>
        <v>-1</v>
      </c>
      <c r="Y1804" s="111">
        <f>SUMIF(Audit[[#This Row],[Difference Loser]:[Difference Candidate 6]], "&gt;0")</f>
        <v>0</v>
      </c>
      <c r="Z1804" s="111">
        <f>SUM(Audit[[#This Row],[Difference Loser]:[Difference Candidate 6]])</f>
        <v>-159</v>
      </c>
      <c r="AA1804" s="111">
        <f>IF(Audit[[#This Row],[Times p Drawn - With Replacement]]&gt;0, IF(Audit[[#This Row],[Canceled Differences]]&lt;0, Audit[[#This Row],[Max Differences]]+ABS(Audit[[#This Row],[Canceled Differences]]), Audit[[#This Row],[Max Differences]]), 0)</f>
        <v>0</v>
      </c>
      <c r="AB1804" s="111">
        <f>'Sampling Data'!P1799</f>
        <v>1.6780989710926016E-2</v>
      </c>
      <c r="AC1804" s="111">
        <f>IF(
      SUM(Audit[[#This Row],[Audit Losing Candidate]:[Audit Candidate 6]])
      &lt;&gt;0,
      (Audit[[#This Row],[Winning Candidate]]-Audit[[#This Row],[Losing Candidate]]-(Audit[[#This Row],[Audit Winning Candidate]]-Audit[[#This Row],[Audit Losing Candidate]]))/(Audit[[#Totals],[Winning Candidate]]-Audit[[#Totals],[Losing Candidate]]),
      0
)</f>
        <v>0</v>
      </c>
      <c r="AD18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4" s="111">
        <f>IF(Audit[[#This Row],[Max Relative Error (ep)]] = 0, 0, Audit[[#This Row],[Max Relative Error (ep)]]/Audit[[#This Row],[Error Bound (up) - Max. possible relative overstatement]])</f>
        <v>0</v>
      </c>
      <c r="AJ18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04" s="111">
        <f t="shared" si="28"/>
        <v>1</v>
      </c>
      <c r="AL1804" s="111">
        <f>PRODUCT($AK$5:AK1804)</f>
        <v>8.962823818226312E-2</v>
      </c>
      <c r="AM1804" s="109">
        <f>1 - [K-M P Value]</f>
        <v>0.91037176181773694</v>
      </c>
      <c r="AN1804" s="111" t="str">
        <f>IF(Audit[[#This Row],[K-M P Value]]&gt;1-'General Info'!$B$16,"Continue", "Stop")</f>
        <v>Stop</v>
      </c>
      <c r="AO1804" s="110" t="b">
        <f>IF(Audit[[#This Row],[Status - Continue or stop audit]] = "Continue", TRUE, IF(AN1803 = "Continue", TRUE, FALSE))</f>
        <v>0</v>
      </c>
      <c r="AP1804" s="110"/>
    </row>
    <row r="1805" spans="1:42" ht="15" hidden="1" customHeight="1">
      <c r="A1805" s="111" t="str">
        <f>'Sampling Data'!W1800</f>
        <v/>
      </c>
      <c r="B1805" s="112" t="str">
        <f>'Sampling Data'!A1800</f>
        <v>PEPPER PIKE -00-D - ABS</v>
      </c>
      <c r="C1805" s="112">
        <f>'Sampling Data'!B1800</f>
        <v>11</v>
      </c>
      <c r="D1805" s="112">
        <f>'Sampling Data'!C1800</f>
        <v>48</v>
      </c>
      <c r="E1805" s="113">
        <f>'Sampling Data'!D1800</f>
        <v>9</v>
      </c>
      <c r="F1805" s="113">
        <f>'Sampling Data'!E1800</f>
        <v>2</v>
      </c>
      <c r="G1805" s="113">
        <f>'Sampling Data'!F1800</f>
        <v>1</v>
      </c>
      <c r="H1805" s="113">
        <f>'Sampling Data'!G1800</f>
        <v>0</v>
      </c>
      <c r="I1805" s="112">
        <f>'Sampling Data'!H1800</f>
        <v>0</v>
      </c>
      <c r="J1805" s="112">
        <f>'Sampling Data'!I1800</f>
        <v>1</v>
      </c>
      <c r="K1805" s="112">
        <f>'Sampling Data'!J1800</f>
        <v>72</v>
      </c>
      <c r="L1805" s="111">
        <f>'Sampling Data'!X1800</f>
        <v>0</v>
      </c>
      <c r="M1805" s="114"/>
      <c r="N1805" s="114"/>
      <c r="O1805" s="115"/>
      <c r="P1805" s="115"/>
      <c r="Q1805" s="116"/>
      <c r="R1805" s="116"/>
      <c r="S1805" s="111">
        <f>Audit[[#This Row],[Audit Losing Candidate]]-Audit[[#This Row],[Losing Candidate]]</f>
        <v>-11</v>
      </c>
      <c r="T1805" s="111">
        <f>Audit[[#This Row],[Audit Winning Candidate]]-Audit[[#This Row],[Winning Candidate]]</f>
        <v>-48</v>
      </c>
      <c r="U1805" s="111">
        <f>Audit[[#This Row],[Audit Candidate 3]]-Audit[[#This Row],[Candidate 3]]</f>
        <v>-9</v>
      </c>
      <c r="V1805" s="111">
        <f>Audit[[#This Row],[Audit Candidate 4]]-Audit[[#This Row],[Candidate 4]]</f>
        <v>-2</v>
      </c>
      <c r="W1805" s="111">
        <f>Audit[[#This Row],[Audit Candidate 5]]-Audit[[#This Row],[Candidate 5]]</f>
        <v>-1</v>
      </c>
      <c r="X1805" s="111">
        <f>Audit[[#This Row],[Audit Candidate 6]]-Audit[[#This Row],[Candidate 6]]</f>
        <v>0</v>
      </c>
      <c r="Y1805" s="111">
        <f>SUMIF(Audit[[#This Row],[Difference Loser]:[Difference Candidate 6]], "&gt;0")</f>
        <v>0</v>
      </c>
      <c r="Z1805" s="111">
        <f>SUM(Audit[[#This Row],[Difference Loser]:[Difference Candidate 6]])</f>
        <v>-71</v>
      </c>
      <c r="AA1805" s="111">
        <f>IF(Audit[[#This Row],[Times p Drawn - With Replacement]]&gt;0, IF(Audit[[#This Row],[Canceled Differences]]&lt;0, Audit[[#This Row],[Max Differences]]+ABS(Audit[[#This Row],[Canceled Differences]]), Audit[[#This Row],[Max Differences]]), 0)</f>
        <v>0</v>
      </c>
      <c r="AB1805" s="111">
        <f>'Sampling Data'!P1800</f>
        <v>6.6756491915727582E-3</v>
      </c>
      <c r="AC1805" s="111">
        <f>IF(
      SUM(Audit[[#This Row],[Audit Losing Candidate]:[Audit Candidate 6]])
      &lt;&gt;0,
      (Audit[[#This Row],[Winning Candidate]]-Audit[[#This Row],[Losing Candidate]]-(Audit[[#This Row],[Audit Winning Candidate]]-Audit[[#This Row],[Audit Losing Candidate]]))/(Audit[[#Totals],[Winning Candidate]]-Audit[[#Totals],[Losing Candidate]]),
      0
)</f>
        <v>0</v>
      </c>
      <c r="AD18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5" s="111">
        <f>IF(Audit[[#This Row],[Max Relative Error (ep)]] = 0, 0, Audit[[#This Row],[Max Relative Error (ep)]]/Audit[[#This Row],[Error Bound (up) - Max. possible relative overstatement]])</f>
        <v>0</v>
      </c>
      <c r="AJ18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05" s="111">
        <f t="shared" si="28"/>
        <v>1</v>
      </c>
      <c r="AL1805" s="111">
        <f>PRODUCT($AK$5:AK1805)</f>
        <v>8.962823818226312E-2</v>
      </c>
      <c r="AM1805" s="109">
        <f>1 - [K-M P Value]</f>
        <v>0.91037176181773694</v>
      </c>
      <c r="AN1805" s="111" t="str">
        <f>IF(Audit[[#This Row],[K-M P Value]]&gt;1-'General Info'!$B$16,"Continue", "Stop")</f>
        <v>Stop</v>
      </c>
      <c r="AO1805" s="110" t="b">
        <f>IF(Audit[[#This Row],[Status - Continue or stop audit]] = "Continue", TRUE, IF(AN1804 = "Continue", TRUE, FALSE))</f>
        <v>0</v>
      </c>
      <c r="AP1805" s="110"/>
    </row>
    <row r="1806" spans="1:42" ht="15" hidden="1" customHeight="1">
      <c r="A1806" s="111" t="str">
        <f>'Sampling Data'!W1801</f>
        <v/>
      </c>
      <c r="B1806" s="112" t="str">
        <f>'Sampling Data'!A1801</f>
        <v>PEPPER PIKE -00-E</v>
      </c>
      <c r="C1806" s="112">
        <f>'Sampling Data'!B1801</f>
        <v>15</v>
      </c>
      <c r="D1806" s="112">
        <f>'Sampling Data'!C1801</f>
        <v>91</v>
      </c>
      <c r="E1806" s="113">
        <f>'Sampling Data'!D1801</f>
        <v>10</v>
      </c>
      <c r="F1806" s="113">
        <f>'Sampling Data'!E1801</f>
        <v>2</v>
      </c>
      <c r="G1806" s="113">
        <f>'Sampling Data'!F1801</f>
        <v>1</v>
      </c>
      <c r="H1806" s="113">
        <f>'Sampling Data'!G1801</f>
        <v>0</v>
      </c>
      <c r="I1806" s="112">
        <f>'Sampling Data'!H1801</f>
        <v>0</v>
      </c>
      <c r="J1806" s="112">
        <f>'Sampling Data'!I1801</f>
        <v>1</v>
      </c>
      <c r="K1806" s="112">
        <f>'Sampling Data'!J1801</f>
        <v>120</v>
      </c>
      <c r="L1806" s="111">
        <f>'Sampling Data'!X1801</f>
        <v>0</v>
      </c>
      <c r="M1806" s="114"/>
      <c r="N1806" s="114"/>
      <c r="O1806" s="115"/>
      <c r="P1806" s="115"/>
      <c r="Q1806" s="116"/>
      <c r="R1806" s="116"/>
      <c r="S1806" s="111">
        <f>Audit[[#This Row],[Audit Losing Candidate]]-Audit[[#This Row],[Losing Candidate]]</f>
        <v>-15</v>
      </c>
      <c r="T1806" s="111">
        <f>Audit[[#This Row],[Audit Winning Candidate]]-Audit[[#This Row],[Winning Candidate]]</f>
        <v>-91</v>
      </c>
      <c r="U1806" s="111">
        <f>Audit[[#This Row],[Audit Candidate 3]]-Audit[[#This Row],[Candidate 3]]</f>
        <v>-10</v>
      </c>
      <c r="V1806" s="111">
        <f>Audit[[#This Row],[Audit Candidate 4]]-Audit[[#This Row],[Candidate 4]]</f>
        <v>-2</v>
      </c>
      <c r="W1806" s="111">
        <f>Audit[[#This Row],[Audit Candidate 5]]-Audit[[#This Row],[Candidate 5]]</f>
        <v>-1</v>
      </c>
      <c r="X1806" s="111">
        <f>Audit[[#This Row],[Audit Candidate 6]]-Audit[[#This Row],[Candidate 6]]</f>
        <v>0</v>
      </c>
      <c r="Y1806" s="111">
        <f>SUMIF(Audit[[#This Row],[Difference Loser]:[Difference Candidate 6]], "&gt;0")</f>
        <v>0</v>
      </c>
      <c r="Z1806" s="111">
        <f>SUM(Audit[[#This Row],[Difference Loser]:[Difference Candidate 6]])</f>
        <v>-119</v>
      </c>
      <c r="AA1806" s="111">
        <f>IF(Audit[[#This Row],[Times p Drawn - With Replacement]]&gt;0, IF(Audit[[#This Row],[Canceled Differences]]&lt;0, Audit[[#This Row],[Max Differences]]+ABS(Audit[[#This Row],[Canceled Differences]]), Audit[[#This Row],[Max Differences]]), 0)</f>
        <v>0</v>
      </c>
      <c r="AB1806" s="111">
        <f>'Sampling Data'!P1801</f>
        <v>1.2003919647231749E-2</v>
      </c>
      <c r="AC1806" s="111">
        <f>IF(
      SUM(Audit[[#This Row],[Audit Losing Candidate]:[Audit Candidate 6]])
      &lt;&gt;0,
      (Audit[[#This Row],[Winning Candidate]]-Audit[[#This Row],[Losing Candidate]]-(Audit[[#This Row],[Audit Winning Candidate]]-Audit[[#This Row],[Audit Losing Candidate]]))/(Audit[[#Totals],[Winning Candidate]]-Audit[[#Totals],[Losing Candidate]]),
      0
)</f>
        <v>0</v>
      </c>
      <c r="AD18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6" s="111">
        <f>IF(Audit[[#This Row],[Max Relative Error (ep)]] = 0, 0, Audit[[#This Row],[Max Relative Error (ep)]]/Audit[[#This Row],[Error Bound (up) - Max. possible relative overstatement]])</f>
        <v>0</v>
      </c>
      <c r="AJ18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06" s="111">
        <f t="shared" si="28"/>
        <v>1</v>
      </c>
      <c r="AL1806" s="111">
        <f>PRODUCT($AK$5:AK1806)</f>
        <v>8.962823818226312E-2</v>
      </c>
      <c r="AM1806" s="109">
        <f>1 - [K-M P Value]</f>
        <v>0.91037176181773694</v>
      </c>
      <c r="AN1806" s="111" t="str">
        <f>IF(Audit[[#This Row],[K-M P Value]]&gt;1-'General Info'!$B$16,"Continue", "Stop")</f>
        <v>Stop</v>
      </c>
      <c r="AO1806" s="110" t="b">
        <f>IF(Audit[[#This Row],[Status - Continue or stop audit]] = "Continue", TRUE, IF(AN1805 = "Continue", TRUE, FALSE))</f>
        <v>0</v>
      </c>
      <c r="AP1806" s="110"/>
    </row>
    <row r="1807" spans="1:42" ht="15" hidden="1" customHeight="1">
      <c r="A1807" s="111" t="str">
        <f>'Sampling Data'!W1802</f>
        <v/>
      </c>
      <c r="B1807" s="112" t="str">
        <f>'Sampling Data'!A1802</f>
        <v>PEPPER PIKE -00-E - ABS</v>
      </c>
      <c r="C1807" s="112">
        <f>'Sampling Data'!B1802</f>
        <v>7</v>
      </c>
      <c r="D1807" s="112">
        <f>'Sampling Data'!C1802</f>
        <v>36</v>
      </c>
      <c r="E1807" s="113">
        <f>'Sampling Data'!D1802</f>
        <v>6</v>
      </c>
      <c r="F1807" s="113">
        <f>'Sampling Data'!E1802</f>
        <v>3</v>
      </c>
      <c r="G1807" s="113">
        <f>'Sampling Data'!F1802</f>
        <v>0</v>
      </c>
      <c r="H1807" s="113">
        <f>'Sampling Data'!G1802</f>
        <v>0</v>
      </c>
      <c r="I1807" s="112">
        <f>'Sampling Data'!H1802</f>
        <v>0</v>
      </c>
      <c r="J1807" s="112">
        <f>'Sampling Data'!I1802</f>
        <v>0</v>
      </c>
      <c r="K1807" s="112">
        <f>'Sampling Data'!J1802</f>
        <v>52</v>
      </c>
      <c r="L1807" s="111">
        <f>'Sampling Data'!X1802</f>
        <v>0</v>
      </c>
      <c r="M1807" s="114"/>
      <c r="N1807" s="114"/>
      <c r="O1807" s="115"/>
      <c r="P1807" s="115"/>
      <c r="Q1807" s="116"/>
      <c r="R1807" s="116"/>
      <c r="S1807" s="111">
        <f>Audit[[#This Row],[Audit Losing Candidate]]-Audit[[#This Row],[Losing Candidate]]</f>
        <v>-7</v>
      </c>
      <c r="T1807" s="111">
        <f>Audit[[#This Row],[Audit Winning Candidate]]-Audit[[#This Row],[Winning Candidate]]</f>
        <v>-36</v>
      </c>
      <c r="U1807" s="111">
        <f>Audit[[#This Row],[Audit Candidate 3]]-Audit[[#This Row],[Candidate 3]]</f>
        <v>-6</v>
      </c>
      <c r="V1807" s="111">
        <f>Audit[[#This Row],[Audit Candidate 4]]-Audit[[#This Row],[Candidate 4]]</f>
        <v>-3</v>
      </c>
      <c r="W1807" s="111">
        <f>Audit[[#This Row],[Audit Candidate 5]]-Audit[[#This Row],[Candidate 5]]</f>
        <v>0</v>
      </c>
      <c r="X1807" s="111">
        <f>Audit[[#This Row],[Audit Candidate 6]]-Audit[[#This Row],[Candidate 6]]</f>
        <v>0</v>
      </c>
      <c r="Y1807" s="111">
        <f>SUMIF(Audit[[#This Row],[Difference Loser]:[Difference Candidate 6]], "&gt;0")</f>
        <v>0</v>
      </c>
      <c r="Z1807" s="111">
        <f>SUM(Audit[[#This Row],[Difference Loser]:[Difference Candidate 6]])</f>
        <v>-52</v>
      </c>
      <c r="AA1807" s="111">
        <f>IF(Audit[[#This Row],[Times p Drawn - With Replacement]]&gt;0, IF(Audit[[#This Row],[Canceled Differences]]&lt;0, Audit[[#This Row],[Max Differences]]+ABS(Audit[[#This Row],[Canceled Differences]]), Audit[[#This Row],[Max Differences]]), 0)</f>
        <v>0</v>
      </c>
      <c r="AB1807" s="111">
        <f>'Sampling Data'!P1802</f>
        <v>4.9608035276825085E-3</v>
      </c>
      <c r="AC1807" s="111">
        <f>IF(
      SUM(Audit[[#This Row],[Audit Losing Candidate]:[Audit Candidate 6]])
      &lt;&gt;0,
      (Audit[[#This Row],[Winning Candidate]]-Audit[[#This Row],[Losing Candidate]]-(Audit[[#This Row],[Audit Winning Candidate]]-Audit[[#This Row],[Audit Losing Candidate]]))/(Audit[[#Totals],[Winning Candidate]]-Audit[[#Totals],[Losing Candidate]]),
      0
)</f>
        <v>0</v>
      </c>
      <c r="AD18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7" s="111">
        <f>IF(Audit[[#This Row],[Max Relative Error (ep)]] = 0, 0, Audit[[#This Row],[Max Relative Error (ep)]]/Audit[[#This Row],[Error Bound (up) - Max. possible relative overstatement]])</f>
        <v>0</v>
      </c>
      <c r="AJ18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07" s="111">
        <f t="shared" si="28"/>
        <v>1</v>
      </c>
      <c r="AL1807" s="111">
        <f>PRODUCT($AK$5:AK1807)</f>
        <v>8.962823818226312E-2</v>
      </c>
      <c r="AM1807" s="109">
        <f>1 - [K-M P Value]</f>
        <v>0.91037176181773694</v>
      </c>
      <c r="AN1807" s="111" t="str">
        <f>IF(Audit[[#This Row],[K-M P Value]]&gt;1-'General Info'!$B$16,"Continue", "Stop")</f>
        <v>Stop</v>
      </c>
      <c r="AO1807" s="110" t="b">
        <f>IF(Audit[[#This Row],[Status - Continue or stop audit]] = "Continue", TRUE, IF(AN1806 = "Continue", TRUE, FALSE))</f>
        <v>0</v>
      </c>
      <c r="AP1807" s="110"/>
    </row>
    <row r="1808" spans="1:42" ht="15" hidden="1" customHeight="1">
      <c r="A1808" s="111" t="str">
        <f>'Sampling Data'!W1803</f>
        <v/>
      </c>
      <c r="B1808" s="112" t="str">
        <f>'Sampling Data'!A1803</f>
        <v>RICHMOND HEIGHTS -01-A</v>
      </c>
      <c r="C1808" s="112">
        <f>'Sampling Data'!B1803</f>
        <v>40</v>
      </c>
      <c r="D1808" s="112">
        <f>'Sampling Data'!C1803</f>
        <v>45</v>
      </c>
      <c r="E1808" s="113">
        <f>'Sampling Data'!D1803</f>
        <v>7</v>
      </c>
      <c r="F1808" s="113">
        <f>'Sampling Data'!E1803</f>
        <v>7</v>
      </c>
      <c r="G1808" s="113">
        <f>'Sampling Data'!F1803</f>
        <v>1</v>
      </c>
      <c r="H1808" s="113">
        <f>'Sampling Data'!G1803</f>
        <v>0</v>
      </c>
      <c r="I1808" s="112">
        <f>'Sampling Data'!H1803</f>
        <v>0</v>
      </c>
      <c r="J1808" s="112">
        <f>'Sampling Data'!I1803</f>
        <v>1</v>
      </c>
      <c r="K1808" s="112">
        <f>'Sampling Data'!J1803</f>
        <v>101</v>
      </c>
      <c r="L1808" s="111">
        <f>'Sampling Data'!X1803</f>
        <v>0</v>
      </c>
      <c r="M1808" s="114"/>
      <c r="N1808" s="114"/>
      <c r="O1808" s="115"/>
      <c r="P1808" s="115"/>
      <c r="Q1808" s="116"/>
      <c r="R1808" s="116"/>
      <c r="S1808" s="111">
        <f>Audit[[#This Row],[Audit Losing Candidate]]-Audit[[#This Row],[Losing Candidate]]</f>
        <v>-40</v>
      </c>
      <c r="T1808" s="111">
        <f>Audit[[#This Row],[Audit Winning Candidate]]-Audit[[#This Row],[Winning Candidate]]</f>
        <v>-45</v>
      </c>
      <c r="U1808" s="111">
        <f>Audit[[#This Row],[Audit Candidate 3]]-Audit[[#This Row],[Candidate 3]]</f>
        <v>-7</v>
      </c>
      <c r="V1808" s="111">
        <f>Audit[[#This Row],[Audit Candidate 4]]-Audit[[#This Row],[Candidate 4]]</f>
        <v>-7</v>
      </c>
      <c r="W1808" s="111">
        <f>Audit[[#This Row],[Audit Candidate 5]]-Audit[[#This Row],[Candidate 5]]</f>
        <v>-1</v>
      </c>
      <c r="X1808" s="111">
        <f>Audit[[#This Row],[Audit Candidate 6]]-Audit[[#This Row],[Candidate 6]]</f>
        <v>0</v>
      </c>
      <c r="Y1808" s="111">
        <f>SUMIF(Audit[[#This Row],[Difference Loser]:[Difference Candidate 6]], "&gt;0")</f>
        <v>0</v>
      </c>
      <c r="Z1808" s="111">
        <f>SUM(Audit[[#This Row],[Difference Loser]:[Difference Candidate 6]])</f>
        <v>-100</v>
      </c>
      <c r="AA1808" s="111">
        <f>IF(Audit[[#This Row],[Times p Drawn - With Replacement]]&gt;0, IF(Audit[[#This Row],[Canceled Differences]]&lt;0, Audit[[#This Row],[Max Differences]]+ABS(Audit[[#This Row],[Canceled Differences]]), Audit[[#This Row],[Max Differences]]), 0)</f>
        <v>0</v>
      </c>
      <c r="AB1808" s="111">
        <f>'Sampling Data'!P1803</f>
        <v>6.4919157275845178E-3</v>
      </c>
      <c r="AC1808" s="111">
        <f>IF(
      SUM(Audit[[#This Row],[Audit Losing Candidate]:[Audit Candidate 6]])
      &lt;&gt;0,
      (Audit[[#This Row],[Winning Candidate]]-Audit[[#This Row],[Losing Candidate]]-(Audit[[#This Row],[Audit Winning Candidate]]-Audit[[#This Row],[Audit Losing Candidate]]))/(Audit[[#Totals],[Winning Candidate]]-Audit[[#Totals],[Losing Candidate]]),
      0
)</f>
        <v>0</v>
      </c>
      <c r="AD18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8" s="111">
        <f>IF(Audit[[#This Row],[Max Relative Error (ep)]] = 0, 0, Audit[[#This Row],[Max Relative Error (ep)]]/Audit[[#This Row],[Error Bound (up) - Max. possible relative overstatement]])</f>
        <v>0</v>
      </c>
      <c r="AJ18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08" s="111">
        <f t="shared" si="28"/>
        <v>1</v>
      </c>
      <c r="AL1808" s="111">
        <f>PRODUCT($AK$5:AK1808)</f>
        <v>8.962823818226312E-2</v>
      </c>
      <c r="AM1808" s="109">
        <f>1 - [K-M P Value]</f>
        <v>0.91037176181773694</v>
      </c>
      <c r="AN1808" s="111" t="str">
        <f>IF(Audit[[#This Row],[K-M P Value]]&gt;1-'General Info'!$B$16,"Continue", "Stop")</f>
        <v>Stop</v>
      </c>
      <c r="AO1808" s="110" t="b">
        <f>IF(Audit[[#This Row],[Status - Continue or stop audit]] = "Continue", TRUE, IF(AN1807 = "Continue", TRUE, FALSE))</f>
        <v>0</v>
      </c>
      <c r="AP1808" s="110"/>
    </row>
    <row r="1809" spans="1:42" ht="15" hidden="1" customHeight="1">
      <c r="A1809" s="111" t="str">
        <f>'Sampling Data'!W1804</f>
        <v/>
      </c>
      <c r="B1809" s="112" t="str">
        <f>'Sampling Data'!A1804</f>
        <v>RICHMOND HEIGHTS -01-A - ABS</v>
      </c>
      <c r="C1809" s="112">
        <f>'Sampling Data'!B1804</f>
        <v>13</v>
      </c>
      <c r="D1809" s="112">
        <f>'Sampling Data'!C1804</f>
        <v>19</v>
      </c>
      <c r="E1809" s="113">
        <f>'Sampling Data'!D1804</f>
        <v>5</v>
      </c>
      <c r="F1809" s="113">
        <f>'Sampling Data'!E1804</f>
        <v>2</v>
      </c>
      <c r="G1809" s="113">
        <f>'Sampling Data'!F1804</f>
        <v>0</v>
      </c>
      <c r="H1809" s="113">
        <f>'Sampling Data'!G1804</f>
        <v>0</v>
      </c>
      <c r="I1809" s="112">
        <f>'Sampling Data'!H1804</f>
        <v>0</v>
      </c>
      <c r="J1809" s="112">
        <f>'Sampling Data'!I1804</f>
        <v>0</v>
      </c>
      <c r="K1809" s="112">
        <f>'Sampling Data'!J1804</f>
        <v>39</v>
      </c>
      <c r="L1809" s="111">
        <f>'Sampling Data'!X1804</f>
        <v>0</v>
      </c>
      <c r="M1809" s="114"/>
      <c r="N1809" s="114"/>
      <c r="O1809" s="115"/>
      <c r="P1809" s="115"/>
      <c r="Q1809" s="116"/>
      <c r="R1809" s="116"/>
      <c r="S1809" s="111">
        <f>Audit[[#This Row],[Audit Losing Candidate]]-Audit[[#This Row],[Losing Candidate]]</f>
        <v>-13</v>
      </c>
      <c r="T1809" s="111">
        <f>Audit[[#This Row],[Audit Winning Candidate]]-Audit[[#This Row],[Winning Candidate]]</f>
        <v>-19</v>
      </c>
      <c r="U1809" s="111">
        <f>Audit[[#This Row],[Audit Candidate 3]]-Audit[[#This Row],[Candidate 3]]</f>
        <v>-5</v>
      </c>
      <c r="V1809" s="111">
        <f>Audit[[#This Row],[Audit Candidate 4]]-Audit[[#This Row],[Candidate 4]]</f>
        <v>-2</v>
      </c>
      <c r="W1809" s="111">
        <f>Audit[[#This Row],[Audit Candidate 5]]-Audit[[#This Row],[Candidate 5]]</f>
        <v>0</v>
      </c>
      <c r="X1809" s="111">
        <f>Audit[[#This Row],[Audit Candidate 6]]-Audit[[#This Row],[Candidate 6]]</f>
        <v>0</v>
      </c>
      <c r="Y1809" s="111">
        <f>SUMIF(Audit[[#This Row],[Difference Loser]:[Difference Candidate 6]], "&gt;0")</f>
        <v>0</v>
      </c>
      <c r="Z1809" s="111">
        <f>SUM(Audit[[#This Row],[Difference Loser]:[Difference Candidate 6]])</f>
        <v>-39</v>
      </c>
      <c r="AA1809" s="111">
        <f>IF(Audit[[#This Row],[Times p Drawn - With Replacement]]&gt;0, IF(Audit[[#This Row],[Canceled Differences]]&lt;0, Audit[[#This Row],[Max Differences]]+ABS(Audit[[#This Row],[Canceled Differences]]), Audit[[#This Row],[Max Differences]]), 0)</f>
        <v>0</v>
      </c>
      <c r="AB1809" s="111">
        <f>'Sampling Data'!P1804</f>
        <v>2.7560019598236157E-3</v>
      </c>
      <c r="AC1809" s="111">
        <f>IF(
      SUM(Audit[[#This Row],[Audit Losing Candidate]:[Audit Candidate 6]])
      &lt;&gt;0,
      (Audit[[#This Row],[Winning Candidate]]-Audit[[#This Row],[Losing Candidate]]-(Audit[[#This Row],[Audit Winning Candidate]]-Audit[[#This Row],[Audit Losing Candidate]]))/(Audit[[#Totals],[Winning Candidate]]-Audit[[#Totals],[Losing Candidate]]),
      0
)</f>
        <v>0</v>
      </c>
      <c r="AD18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9" s="111">
        <f>IF(Audit[[#This Row],[Max Relative Error (ep)]] = 0, 0, Audit[[#This Row],[Max Relative Error (ep)]]/Audit[[#This Row],[Error Bound (up) - Max. possible relative overstatement]])</f>
        <v>0</v>
      </c>
      <c r="AJ18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09" s="111">
        <f t="shared" si="28"/>
        <v>1</v>
      </c>
      <c r="AL1809" s="111">
        <f>PRODUCT($AK$5:AK1809)</f>
        <v>8.962823818226312E-2</v>
      </c>
      <c r="AM1809" s="109">
        <f>1 - [K-M P Value]</f>
        <v>0.91037176181773694</v>
      </c>
      <c r="AN1809" s="111" t="str">
        <f>IF(Audit[[#This Row],[K-M P Value]]&gt;1-'General Info'!$B$16,"Continue", "Stop")</f>
        <v>Stop</v>
      </c>
      <c r="AO1809" s="110" t="b">
        <f>IF(Audit[[#This Row],[Status - Continue or stop audit]] = "Continue", TRUE, IF(AN1808 = "Continue", TRUE, FALSE))</f>
        <v>0</v>
      </c>
      <c r="AP1809" s="110"/>
    </row>
    <row r="1810" spans="1:42" ht="15" hidden="1" customHeight="1">
      <c r="A1810" s="111" t="str">
        <f>'Sampling Data'!W1805</f>
        <v/>
      </c>
      <c r="B1810" s="112" t="str">
        <f>'Sampling Data'!A1805</f>
        <v>RICHMOND HEIGHTS -01-B</v>
      </c>
      <c r="C1810" s="112">
        <f>'Sampling Data'!B1805</f>
        <v>3</v>
      </c>
      <c r="D1810" s="112">
        <f>'Sampling Data'!C1805</f>
        <v>0</v>
      </c>
      <c r="E1810" s="113">
        <f>'Sampling Data'!D1805</f>
        <v>2</v>
      </c>
      <c r="F1810" s="113">
        <f>'Sampling Data'!E1805</f>
        <v>3</v>
      </c>
      <c r="G1810" s="113">
        <f>'Sampling Data'!F1805</f>
        <v>0</v>
      </c>
      <c r="H1810" s="113">
        <f>'Sampling Data'!G1805</f>
        <v>0</v>
      </c>
      <c r="I1810" s="112">
        <f>'Sampling Data'!H1805</f>
        <v>0</v>
      </c>
      <c r="J1810" s="112">
        <f>'Sampling Data'!I1805</f>
        <v>0</v>
      </c>
      <c r="K1810" s="112">
        <f>'Sampling Data'!J1805</f>
        <v>8</v>
      </c>
      <c r="L1810" s="111">
        <f>'Sampling Data'!X1805</f>
        <v>0</v>
      </c>
      <c r="M1810" s="114"/>
      <c r="N1810" s="114"/>
      <c r="O1810" s="115"/>
      <c r="P1810" s="115"/>
      <c r="Q1810" s="116"/>
      <c r="R1810" s="116"/>
      <c r="S1810" s="111">
        <f>Audit[[#This Row],[Audit Losing Candidate]]-Audit[[#This Row],[Losing Candidate]]</f>
        <v>-3</v>
      </c>
      <c r="T1810" s="111">
        <f>Audit[[#This Row],[Audit Winning Candidate]]-Audit[[#This Row],[Winning Candidate]]</f>
        <v>0</v>
      </c>
      <c r="U1810" s="111">
        <f>Audit[[#This Row],[Audit Candidate 3]]-Audit[[#This Row],[Candidate 3]]</f>
        <v>-2</v>
      </c>
      <c r="V1810" s="111">
        <f>Audit[[#This Row],[Audit Candidate 4]]-Audit[[#This Row],[Candidate 4]]</f>
        <v>-3</v>
      </c>
      <c r="W1810" s="111">
        <f>Audit[[#This Row],[Audit Candidate 5]]-Audit[[#This Row],[Candidate 5]]</f>
        <v>0</v>
      </c>
      <c r="X1810" s="111">
        <f>Audit[[#This Row],[Audit Candidate 6]]-Audit[[#This Row],[Candidate 6]]</f>
        <v>0</v>
      </c>
      <c r="Y1810" s="111">
        <f>SUMIF(Audit[[#This Row],[Difference Loser]:[Difference Candidate 6]], "&gt;0")</f>
        <v>0</v>
      </c>
      <c r="Z1810" s="111">
        <f>SUM(Audit[[#This Row],[Difference Loser]:[Difference Candidate 6]])</f>
        <v>-8</v>
      </c>
      <c r="AA1810" s="111">
        <f>IF(Audit[[#This Row],[Times p Drawn - With Replacement]]&gt;0, IF(Audit[[#This Row],[Canceled Differences]]&lt;0, Audit[[#This Row],[Max Differences]]+ABS(Audit[[#This Row],[Canceled Differences]]), Audit[[#This Row],[Max Differences]]), 0)</f>
        <v>0</v>
      </c>
      <c r="AB1810" s="111">
        <f>'Sampling Data'!P1805</f>
        <v>3.0622243998040176E-4</v>
      </c>
      <c r="AC1810" s="111">
        <f>IF(
      SUM(Audit[[#This Row],[Audit Losing Candidate]:[Audit Candidate 6]])
      &lt;&gt;0,
      (Audit[[#This Row],[Winning Candidate]]-Audit[[#This Row],[Losing Candidate]]-(Audit[[#This Row],[Audit Winning Candidate]]-Audit[[#This Row],[Audit Losing Candidate]]))/(Audit[[#Totals],[Winning Candidate]]-Audit[[#Totals],[Losing Candidate]]),
      0
)</f>
        <v>0</v>
      </c>
      <c r="AD18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0" s="111">
        <f>IF(Audit[[#This Row],[Max Relative Error (ep)]] = 0, 0, Audit[[#This Row],[Max Relative Error (ep)]]/Audit[[#This Row],[Error Bound (up) - Max. possible relative overstatement]])</f>
        <v>0</v>
      </c>
      <c r="AJ18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10" s="111">
        <f t="shared" si="28"/>
        <v>1</v>
      </c>
      <c r="AL1810" s="111">
        <f>PRODUCT($AK$5:AK1810)</f>
        <v>8.962823818226312E-2</v>
      </c>
      <c r="AM1810" s="109">
        <f>1 - [K-M P Value]</f>
        <v>0.91037176181773694</v>
      </c>
      <c r="AN1810" s="111" t="str">
        <f>IF(Audit[[#This Row],[K-M P Value]]&gt;1-'General Info'!$B$16,"Continue", "Stop")</f>
        <v>Stop</v>
      </c>
      <c r="AO1810" s="110" t="b">
        <f>IF(Audit[[#This Row],[Status - Continue or stop audit]] = "Continue", TRUE, IF(AN1809 = "Continue", TRUE, FALSE))</f>
        <v>0</v>
      </c>
      <c r="AP1810" s="110"/>
    </row>
    <row r="1811" spans="1:42" ht="15" hidden="1" customHeight="1">
      <c r="A1811" s="111" t="str">
        <f>'Sampling Data'!W1806</f>
        <v/>
      </c>
      <c r="B1811" s="112" t="str">
        <f>'Sampling Data'!A1806</f>
        <v>RICHMOND HEIGHTS -01-B - ABS</v>
      </c>
      <c r="C1811" s="112">
        <f>'Sampling Data'!B1806</f>
        <v>0</v>
      </c>
      <c r="D1811" s="112">
        <f>'Sampling Data'!C1806</f>
        <v>0</v>
      </c>
      <c r="E1811" s="113">
        <f>'Sampling Data'!D1806</f>
        <v>0</v>
      </c>
      <c r="F1811" s="113">
        <f>'Sampling Data'!E1806</f>
        <v>0</v>
      </c>
      <c r="G1811" s="113">
        <f>'Sampling Data'!F1806</f>
        <v>0</v>
      </c>
      <c r="H1811" s="113">
        <f>'Sampling Data'!G1806</f>
        <v>0</v>
      </c>
      <c r="I1811" s="112">
        <f>'Sampling Data'!H1806</f>
        <v>0</v>
      </c>
      <c r="J1811" s="112">
        <f>'Sampling Data'!I1806</f>
        <v>0</v>
      </c>
      <c r="K1811" s="112">
        <f>'Sampling Data'!J1806</f>
        <v>0</v>
      </c>
      <c r="L1811" s="111">
        <f>'Sampling Data'!X1806</f>
        <v>0</v>
      </c>
      <c r="M1811" s="114"/>
      <c r="N1811" s="114"/>
      <c r="O1811" s="115"/>
      <c r="P1811" s="115"/>
      <c r="Q1811" s="116"/>
      <c r="R1811" s="116"/>
      <c r="S1811" s="111">
        <f>Audit[[#This Row],[Audit Losing Candidate]]-Audit[[#This Row],[Losing Candidate]]</f>
        <v>0</v>
      </c>
      <c r="T1811" s="111">
        <f>Audit[[#This Row],[Audit Winning Candidate]]-Audit[[#This Row],[Winning Candidate]]</f>
        <v>0</v>
      </c>
      <c r="U1811" s="111">
        <f>Audit[[#This Row],[Audit Candidate 3]]-Audit[[#This Row],[Candidate 3]]</f>
        <v>0</v>
      </c>
      <c r="V1811" s="111">
        <f>Audit[[#This Row],[Audit Candidate 4]]-Audit[[#This Row],[Candidate 4]]</f>
        <v>0</v>
      </c>
      <c r="W1811" s="111">
        <f>Audit[[#This Row],[Audit Candidate 5]]-Audit[[#This Row],[Candidate 5]]</f>
        <v>0</v>
      </c>
      <c r="X1811" s="111">
        <f>Audit[[#This Row],[Audit Candidate 6]]-Audit[[#This Row],[Candidate 6]]</f>
        <v>0</v>
      </c>
      <c r="Y1811" s="111">
        <f>SUMIF(Audit[[#This Row],[Difference Loser]:[Difference Candidate 6]], "&gt;0")</f>
        <v>0</v>
      </c>
      <c r="Z1811" s="111">
        <f>SUM(Audit[[#This Row],[Difference Loser]:[Difference Candidate 6]])</f>
        <v>0</v>
      </c>
      <c r="AA1811" s="111">
        <f>IF(Audit[[#This Row],[Times p Drawn - With Replacement]]&gt;0, IF(Audit[[#This Row],[Canceled Differences]]&lt;0, Audit[[#This Row],[Max Differences]]+ABS(Audit[[#This Row],[Canceled Differences]]), Audit[[#This Row],[Max Differences]]), 0)</f>
        <v>0</v>
      </c>
      <c r="AB1811" s="111">
        <f>'Sampling Data'!P1806</f>
        <v>0</v>
      </c>
      <c r="AC1811" s="111">
        <f>IF(
      SUM(Audit[[#This Row],[Audit Losing Candidate]:[Audit Candidate 6]])
      &lt;&gt;0,
      (Audit[[#This Row],[Winning Candidate]]-Audit[[#This Row],[Losing Candidate]]-(Audit[[#This Row],[Audit Winning Candidate]]-Audit[[#This Row],[Audit Losing Candidate]]))/(Audit[[#Totals],[Winning Candidate]]-Audit[[#Totals],[Losing Candidate]]),
      0
)</f>
        <v>0</v>
      </c>
      <c r="AD18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1" s="111">
        <f>IF(Audit[[#This Row],[Max Relative Error (ep)]] = 0, 0, Audit[[#This Row],[Max Relative Error (ep)]]/Audit[[#This Row],[Error Bound (up) - Max. possible relative overstatement]])</f>
        <v>0</v>
      </c>
      <c r="AJ18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11" s="111">
        <f t="shared" si="28"/>
        <v>1</v>
      </c>
      <c r="AL1811" s="111">
        <f>PRODUCT($AK$5:AK1811)</f>
        <v>8.962823818226312E-2</v>
      </c>
      <c r="AM1811" s="109">
        <f>1 - [K-M P Value]</f>
        <v>0.91037176181773694</v>
      </c>
      <c r="AN1811" s="111" t="str">
        <f>IF(Audit[[#This Row],[K-M P Value]]&gt;1-'General Info'!$B$16,"Continue", "Stop")</f>
        <v>Stop</v>
      </c>
      <c r="AO1811" s="110" t="b">
        <f>IF(Audit[[#This Row],[Status - Continue or stop audit]] = "Continue", TRUE, IF(AN1810 = "Continue", TRUE, FALSE))</f>
        <v>0</v>
      </c>
      <c r="AP1811" s="110"/>
    </row>
    <row r="1812" spans="1:42" ht="15" hidden="1" customHeight="1">
      <c r="A1812" s="111" t="str">
        <f>'Sampling Data'!W1807</f>
        <v/>
      </c>
      <c r="B1812" s="112" t="str">
        <f>'Sampling Data'!A1807</f>
        <v>RICHMOND HEIGHTS -02-A</v>
      </c>
      <c r="C1812" s="112">
        <f>'Sampling Data'!B1807</f>
        <v>13</v>
      </c>
      <c r="D1812" s="112">
        <f>'Sampling Data'!C1807</f>
        <v>10</v>
      </c>
      <c r="E1812" s="113">
        <f>'Sampling Data'!D1807</f>
        <v>3</v>
      </c>
      <c r="F1812" s="113">
        <f>'Sampling Data'!E1807</f>
        <v>4</v>
      </c>
      <c r="G1812" s="113">
        <f>'Sampling Data'!F1807</f>
        <v>0</v>
      </c>
      <c r="H1812" s="113">
        <f>'Sampling Data'!G1807</f>
        <v>0</v>
      </c>
      <c r="I1812" s="112">
        <f>'Sampling Data'!H1807</f>
        <v>0</v>
      </c>
      <c r="J1812" s="112">
        <f>'Sampling Data'!I1807</f>
        <v>0</v>
      </c>
      <c r="K1812" s="112">
        <f>'Sampling Data'!J1807</f>
        <v>30</v>
      </c>
      <c r="L1812" s="111">
        <f>'Sampling Data'!X1807</f>
        <v>0</v>
      </c>
      <c r="M1812" s="114"/>
      <c r="N1812" s="114"/>
      <c r="O1812" s="115"/>
      <c r="P1812" s="115"/>
      <c r="Q1812" s="116"/>
      <c r="R1812" s="116"/>
      <c r="S1812" s="111">
        <f>Audit[[#This Row],[Audit Losing Candidate]]-Audit[[#This Row],[Losing Candidate]]</f>
        <v>-13</v>
      </c>
      <c r="T1812" s="111">
        <f>Audit[[#This Row],[Audit Winning Candidate]]-Audit[[#This Row],[Winning Candidate]]</f>
        <v>-10</v>
      </c>
      <c r="U1812" s="111">
        <f>Audit[[#This Row],[Audit Candidate 3]]-Audit[[#This Row],[Candidate 3]]</f>
        <v>-3</v>
      </c>
      <c r="V1812" s="111">
        <f>Audit[[#This Row],[Audit Candidate 4]]-Audit[[#This Row],[Candidate 4]]</f>
        <v>-4</v>
      </c>
      <c r="W1812" s="111">
        <f>Audit[[#This Row],[Audit Candidate 5]]-Audit[[#This Row],[Candidate 5]]</f>
        <v>0</v>
      </c>
      <c r="X1812" s="111">
        <f>Audit[[#This Row],[Audit Candidate 6]]-Audit[[#This Row],[Candidate 6]]</f>
        <v>0</v>
      </c>
      <c r="Y1812" s="111">
        <f>SUMIF(Audit[[#This Row],[Difference Loser]:[Difference Candidate 6]], "&gt;0")</f>
        <v>0</v>
      </c>
      <c r="Z1812" s="111">
        <f>SUM(Audit[[#This Row],[Difference Loser]:[Difference Candidate 6]])</f>
        <v>-30</v>
      </c>
      <c r="AA1812" s="111">
        <f>IF(Audit[[#This Row],[Times p Drawn - With Replacement]]&gt;0, IF(Audit[[#This Row],[Canceled Differences]]&lt;0, Audit[[#This Row],[Max Differences]]+ABS(Audit[[#This Row],[Canceled Differences]]), Audit[[#This Row],[Max Differences]]), 0)</f>
        <v>0</v>
      </c>
      <c r="AB1812" s="111">
        <f>'Sampling Data'!P1807</f>
        <v>1.6536011758941694E-3</v>
      </c>
      <c r="AC1812" s="111">
        <f>IF(
      SUM(Audit[[#This Row],[Audit Losing Candidate]:[Audit Candidate 6]])
      &lt;&gt;0,
      (Audit[[#This Row],[Winning Candidate]]-Audit[[#This Row],[Losing Candidate]]-(Audit[[#This Row],[Audit Winning Candidate]]-Audit[[#This Row],[Audit Losing Candidate]]))/(Audit[[#Totals],[Winning Candidate]]-Audit[[#Totals],[Losing Candidate]]),
      0
)</f>
        <v>0</v>
      </c>
      <c r="AD18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2" s="111">
        <f>IF(Audit[[#This Row],[Max Relative Error (ep)]] = 0, 0, Audit[[#This Row],[Max Relative Error (ep)]]/Audit[[#This Row],[Error Bound (up) - Max. possible relative overstatement]])</f>
        <v>0</v>
      </c>
      <c r="AJ18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12" s="111">
        <f t="shared" si="28"/>
        <v>1</v>
      </c>
      <c r="AL1812" s="111">
        <f>PRODUCT($AK$5:AK1812)</f>
        <v>8.962823818226312E-2</v>
      </c>
      <c r="AM1812" s="109">
        <f>1 - [K-M P Value]</f>
        <v>0.91037176181773694</v>
      </c>
      <c r="AN1812" s="111" t="str">
        <f>IF(Audit[[#This Row],[K-M P Value]]&gt;1-'General Info'!$B$16,"Continue", "Stop")</f>
        <v>Stop</v>
      </c>
      <c r="AO1812" s="110" t="b">
        <f>IF(Audit[[#This Row],[Status - Continue or stop audit]] = "Continue", TRUE, IF(AN1811 = "Continue", TRUE, FALSE))</f>
        <v>0</v>
      </c>
      <c r="AP1812" s="110"/>
    </row>
    <row r="1813" spans="1:42" ht="15" hidden="1" customHeight="1">
      <c r="A1813" s="111" t="str">
        <f>'Sampling Data'!W1808</f>
        <v/>
      </c>
      <c r="B1813" s="112" t="str">
        <f>'Sampling Data'!A1808</f>
        <v>RICHMOND HEIGHTS -02-A - ABS</v>
      </c>
      <c r="C1813" s="112">
        <f>'Sampling Data'!B1808</f>
        <v>14</v>
      </c>
      <c r="D1813" s="112">
        <f>'Sampling Data'!C1808</f>
        <v>6</v>
      </c>
      <c r="E1813" s="113">
        <f>'Sampling Data'!D1808</f>
        <v>5</v>
      </c>
      <c r="F1813" s="113">
        <f>'Sampling Data'!E1808</f>
        <v>0</v>
      </c>
      <c r="G1813" s="113">
        <f>'Sampling Data'!F1808</f>
        <v>0</v>
      </c>
      <c r="H1813" s="113">
        <f>'Sampling Data'!G1808</f>
        <v>0</v>
      </c>
      <c r="I1813" s="112">
        <f>'Sampling Data'!H1808</f>
        <v>0</v>
      </c>
      <c r="J1813" s="112">
        <f>'Sampling Data'!I1808</f>
        <v>0</v>
      </c>
      <c r="K1813" s="112">
        <f>'Sampling Data'!J1808</f>
        <v>25</v>
      </c>
      <c r="L1813" s="111">
        <f>'Sampling Data'!X1808</f>
        <v>0</v>
      </c>
      <c r="M1813" s="114"/>
      <c r="N1813" s="114"/>
      <c r="O1813" s="115"/>
      <c r="P1813" s="115"/>
      <c r="Q1813" s="116"/>
      <c r="R1813" s="116"/>
      <c r="S1813" s="111">
        <f>Audit[[#This Row],[Audit Losing Candidate]]-Audit[[#This Row],[Losing Candidate]]</f>
        <v>-14</v>
      </c>
      <c r="T1813" s="111">
        <f>Audit[[#This Row],[Audit Winning Candidate]]-Audit[[#This Row],[Winning Candidate]]</f>
        <v>-6</v>
      </c>
      <c r="U1813" s="111">
        <f>Audit[[#This Row],[Audit Candidate 3]]-Audit[[#This Row],[Candidate 3]]</f>
        <v>-5</v>
      </c>
      <c r="V1813" s="111">
        <f>Audit[[#This Row],[Audit Candidate 4]]-Audit[[#This Row],[Candidate 4]]</f>
        <v>0</v>
      </c>
      <c r="W1813" s="111">
        <f>Audit[[#This Row],[Audit Candidate 5]]-Audit[[#This Row],[Candidate 5]]</f>
        <v>0</v>
      </c>
      <c r="X1813" s="111">
        <f>Audit[[#This Row],[Audit Candidate 6]]-Audit[[#This Row],[Candidate 6]]</f>
        <v>0</v>
      </c>
      <c r="Y1813" s="111">
        <f>SUMIF(Audit[[#This Row],[Difference Loser]:[Difference Candidate 6]], "&gt;0")</f>
        <v>0</v>
      </c>
      <c r="Z1813" s="111">
        <f>SUM(Audit[[#This Row],[Difference Loser]:[Difference Candidate 6]])</f>
        <v>-25</v>
      </c>
      <c r="AA1813" s="111">
        <f>IF(Audit[[#This Row],[Times p Drawn - With Replacement]]&gt;0, IF(Audit[[#This Row],[Canceled Differences]]&lt;0, Audit[[#This Row],[Max Differences]]+ABS(Audit[[#This Row],[Canceled Differences]]), Audit[[#This Row],[Max Differences]]), 0)</f>
        <v>0</v>
      </c>
      <c r="AB1813" s="111">
        <f>'Sampling Data'!P1808</f>
        <v>1.041156295933366E-3</v>
      </c>
      <c r="AC1813" s="111">
        <f>IF(
      SUM(Audit[[#This Row],[Audit Losing Candidate]:[Audit Candidate 6]])
      &lt;&gt;0,
      (Audit[[#This Row],[Winning Candidate]]-Audit[[#This Row],[Losing Candidate]]-(Audit[[#This Row],[Audit Winning Candidate]]-Audit[[#This Row],[Audit Losing Candidate]]))/(Audit[[#Totals],[Winning Candidate]]-Audit[[#Totals],[Losing Candidate]]),
      0
)</f>
        <v>0</v>
      </c>
      <c r="AD18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3" s="111">
        <f>IF(Audit[[#This Row],[Max Relative Error (ep)]] = 0, 0, Audit[[#This Row],[Max Relative Error (ep)]]/Audit[[#This Row],[Error Bound (up) - Max. possible relative overstatement]])</f>
        <v>0</v>
      </c>
      <c r="AJ18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13" s="111">
        <f t="shared" si="28"/>
        <v>1</v>
      </c>
      <c r="AL1813" s="111">
        <f>PRODUCT($AK$5:AK1813)</f>
        <v>8.962823818226312E-2</v>
      </c>
      <c r="AM1813" s="109">
        <f>1 - [K-M P Value]</f>
        <v>0.91037176181773694</v>
      </c>
      <c r="AN1813" s="111" t="str">
        <f>IF(Audit[[#This Row],[K-M P Value]]&gt;1-'General Info'!$B$16,"Continue", "Stop")</f>
        <v>Stop</v>
      </c>
      <c r="AO1813" s="110" t="b">
        <f>IF(Audit[[#This Row],[Status - Continue or stop audit]] = "Continue", TRUE, IF(AN1812 = "Continue", TRUE, FALSE))</f>
        <v>0</v>
      </c>
      <c r="AP1813" s="110"/>
    </row>
    <row r="1814" spans="1:42" ht="15" hidden="1" customHeight="1">
      <c r="A1814" s="111" t="str">
        <f>'Sampling Data'!W1809</f>
        <v/>
      </c>
      <c r="B1814" s="112" t="str">
        <f>'Sampling Data'!A1809</f>
        <v>RICHMOND HEIGHTS -02-B</v>
      </c>
      <c r="C1814" s="112">
        <f>'Sampling Data'!B1809</f>
        <v>22</v>
      </c>
      <c r="D1814" s="112">
        <f>'Sampling Data'!C1809</f>
        <v>29</v>
      </c>
      <c r="E1814" s="113">
        <f>'Sampling Data'!D1809</f>
        <v>6</v>
      </c>
      <c r="F1814" s="113">
        <f>'Sampling Data'!E1809</f>
        <v>1</v>
      </c>
      <c r="G1814" s="113">
        <f>'Sampling Data'!F1809</f>
        <v>0</v>
      </c>
      <c r="H1814" s="113">
        <f>'Sampling Data'!G1809</f>
        <v>0</v>
      </c>
      <c r="I1814" s="112">
        <f>'Sampling Data'!H1809</f>
        <v>0</v>
      </c>
      <c r="J1814" s="112">
        <f>'Sampling Data'!I1809</f>
        <v>0</v>
      </c>
      <c r="K1814" s="112">
        <f>'Sampling Data'!J1809</f>
        <v>58</v>
      </c>
      <c r="L1814" s="111">
        <f>'Sampling Data'!X1809</f>
        <v>0</v>
      </c>
      <c r="M1814" s="114"/>
      <c r="N1814" s="114"/>
      <c r="O1814" s="115"/>
      <c r="P1814" s="115"/>
      <c r="Q1814" s="116"/>
      <c r="R1814" s="116"/>
      <c r="S1814" s="111">
        <f>Audit[[#This Row],[Audit Losing Candidate]]-Audit[[#This Row],[Losing Candidate]]</f>
        <v>-22</v>
      </c>
      <c r="T1814" s="111">
        <f>Audit[[#This Row],[Audit Winning Candidate]]-Audit[[#This Row],[Winning Candidate]]</f>
        <v>-29</v>
      </c>
      <c r="U1814" s="111">
        <f>Audit[[#This Row],[Audit Candidate 3]]-Audit[[#This Row],[Candidate 3]]</f>
        <v>-6</v>
      </c>
      <c r="V1814" s="111">
        <f>Audit[[#This Row],[Audit Candidate 4]]-Audit[[#This Row],[Candidate 4]]</f>
        <v>-1</v>
      </c>
      <c r="W1814" s="111">
        <f>Audit[[#This Row],[Audit Candidate 5]]-Audit[[#This Row],[Candidate 5]]</f>
        <v>0</v>
      </c>
      <c r="X1814" s="111">
        <f>Audit[[#This Row],[Audit Candidate 6]]-Audit[[#This Row],[Candidate 6]]</f>
        <v>0</v>
      </c>
      <c r="Y1814" s="111">
        <f>SUMIF(Audit[[#This Row],[Difference Loser]:[Difference Candidate 6]], "&gt;0")</f>
        <v>0</v>
      </c>
      <c r="Z1814" s="111">
        <f>SUM(Audit[[#This Row],[Difference Loser]:[Difference Candidate 6]])</f>
        <v>-58</v>
      </c>
      <c r="AA1814" s="111">
        <f>IF(Audit[[#This Row],[Times p Drawn - With Replacement]]&gt;0, IF(Audit[[#This Row],[Canceled Differences]]&lt;0, Audit[[#This Row],[Max Differences]]+ABS(Audit[[#This Row],[Canceled Differences]]), Audit[[#This Row],[Max Differences]]), 0)</f>
        <v>0</v>
      </c>
      <c r="AB1814" s="111">
        <f>'Sampling Data'!P1809</f>
        <v>3.9808917197452229E-3</v>
      </c>
      <c r="AC1814" s="111">
        <f>IF(
      SUM(Audit[[#This Row],[Audit Losing Candidate]:[Audit Candidate 6]])
      &lt;&gt;0,
      (Audit[[#This Row],[Winning Candidate]]-Audit[[#This Row],[Losing Candidate]]-(Audit[[#This Row],[Audit Winning Candidate]]-Audit[[#This Row],[Audit Losing Candidate]]))/(Audit[[#Totals],[Winning Candidate]]-Audit[[#Totals],[Losing Candidate]]),
      0
)</f>
        <v>0</v>
      </c>
      <c r="AD18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4" s="111">
        <f>IF(Audit[[#This Row],[Max Relative Error (ep)]] = 0, 0, Audit[[#This Row],[Max Relative Error (ep)]]/Audit[[#This Row],[Error Bound (up) - Max. possible relative overstatement]])</f>
        <v>0</v>
      </c>
      <c r="AJ18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14" s="111">
        <f t="shared" si="28"/>
        <v>1</v>
      </c>
      <c r="AL1814" s="111">
        <f>PRODUCT($AK$5:AK1814)</f>
        <v>8.962823818226312E-2</v>
      </c>
      <c r="AM1814" s="109">
        <f>1 - [K-M P Value]</f>
        <v>0.91037176181773694</v>
      </c>
      <c r="AN1814" s="111" t="str">
        <f>IF(Audit[[#This Row],[K-M P Value]]&gt;1-'General Info'!$B$16,"Continue", "Stop")</f>
        <v>Stop</v>
      </c>
      <c r="AO1814" s="110" t="b">
        <f>IF(Audit[[#This Row],[Status - Continue or stop audit]] = "Continue", TRUE, IF(AN1813 = "Continue", TRUE, FALSE))</f>
        <v>0</v>
      </c>
      <c r="AP1814" s="110"/>
    </row>
    <row r="1815" spans="1:42" ht="15" hidden="1" customHeight="1">
      <c r="A1815" s="111" t="str">
        <f>'Sampling Data'!W1810</f>
        <v/>
      </c>
      <c r="B1815" s="112" t="str">
        <f>'Sampling Data'!A1810</f>
        <v>RICHMOND HEIGHTS -02-B - ABS</v>
      </c>
      <c r="C1815" s="112">
        <f>'Sampling Data'!B1810</f>
        <v>11</v>
      </c>
      <c r="D1815" s="112">
        <f>'Sampling Data'!C1810</f>
        <v>12</v>
      </c>
      <c r="E1815" s="113">
        <f>'Sampling Data'!D1810</f>
        <v>7</v>
      </c>
      <c r="F1815" s="113">
        <f>'Sampling Data'!E1810</f>
        <v>2</v>
      </c>
      <c r="G1815" s="113">
        <f>'Sampling Data'!F1810</f>
        <v>0</v>
      </c>
      <c r="H1815" s="113">
        <f>'Sampling Data'!G1810</f>
        <v>0</v>
      </c>
      <c r="I1815" s="112">
        <f>'Sampling Data'!H1810</f>
        <v>0</v>
      </c>
      <c r="J1815" s="112">
        <f>'Sampling Data'!I1810</f>
        <v>1</v>
      </c>
      <c r="K1815" s="112">
        <f>'Sampling Data'!J1810</f>
        <v>33</v>
      </c>
      <c r="L1815" s="111">
        <f>'Sampling Data'!X1810</f>
        <v>0</v>
      </c>
      <c r="M1815" s="114"/>
      <c r="N1815" s="114"/>
      <c r="O1815" s="115"/>
      <c r="P1815" s="115"/>
      <c r="Q1815" s="116"/>
      <c r="R1815" s="116"/>
      <c r="S1815" s="111">
        <f>Audit[[#This Row],[Audit Losing Candidate]]-Audit[[#This Row],[Losing Candidate]]</f>
        <v>-11</v>
      </c>
      <c r="T1815" s="111">
        <f>Audit[[#This Row],[Audit Winning Candidate]]-Audit[[#This Row],[Winning Candidate]]</f>
        <v>-12</v>
      </c>
      <c r="U1815" s="111">
        <f>Audit[[#This Row],[Audit Candidate 3]]-Audit[[#This Row],[Candidate 3]]</f>
        <v>-7</v>
      </c>
      <c r="V1815" s="111">
        <f>Audit[[#This Row],[Audit Candidate 4]]-Audit[[#This Row],[Candidate 4]]</f>
        <v>-2</v>
      </c>
      <c r="W1815" s="111">
        <f>Audit[[#This Row],[Audit Candidate 5]]-Audit[[#This Row],[Candidate 5]]</f>
        <v>0</v>
      </c>
      <c r="X1815" s="111">
        <f>Audit[[#This Row],[Audit Candidate 6]]-Audit[[#This Row],[Candidate 6]]</f>
        <v>0</v>
      </c>
      <c r="Y1815" s="111">
        <f>SUMIF(Audit[[#This Row],[Difference Loser]:[Difference Candidate 6]], "&gt;0")</f>
        <v>0</v>
      </c>
      <c r="Z1815" s="111">
        <f>SUM(Audit[[#This Row],[Difference Loser]:[Difference Candidate 6]])</f>
        <v>-32</v>
      </c>
      <c r="AA1815" s="111">
        <f>IF(Audit[[#This Row],[Times p Drawn - With Replacement]]&gt;0, IF(Audit[[#This Row],[Canceled Differences]]&lt;0, Audit[[#This Row],[Max Differences]]+ABS(Audit[[#This Row],[Canceled Differences]]), Audit[[#This Row],[Max Differences]]), 0)</f>
        <v>0</v>
      </c>
      <c r="AB1815" s="111">
        <f>'Sampling Data'!P1810</f>
        <v>2.0823125918667321E-3</v>
      </c>
      <c r="AC1815" s="111">
        <f>IF(
      SUM(Audit[[#This Row],[Audit Losing Candidate]:[Audit Candidate 6]])
      &lt;&gt;0,
      (Audit[[#This Row],[Winning Candidate]]-Audit[[#This Row],[Losing Candidate]]-(Audit[[#This Row],[Audit Winning Candidate]]-Audit[[#This Row],[Audit Losing Candidate]]))/(Audit[[#Totals],[Winning Candidate]]-Audit[[#Totals],[Losing Candidate]]),
      0
)</f>
        <v>0</v>
      </c>
      <c r="AD18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5" s="111">
        <f>IF(Audit[[#This Row],[Max Relative Error (ep)]] = 0, 0, Audit[[#This Row],[Max Relative Error (ep)]]/Audit[[#This Row],[Error Bound (up) - Max. possible relative overstatement]])</f>
        <v>0</v>
      </c>
      <c r="AJ18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15" s="111">
        <f t="shared" si="28"/>
        <v>1</v>
      </c>
      <c r="AL1815" s="111">
        <f>PRODUCT($AK$5:AK1815)</f>
        <v>8.962823818226312E-2</v>
      </c>
      <c r="AM1815" s="109">
        <f>1 - [K-M P Value]</f>
        <v>0.91037176181773694</v>
      </c>
      <c r="AN1815" s="111" t="str">
        <f>IF(Audit[[#This Row],[K-M P Value]]&gt;1-'General Info'!$B$16,"Continue", "Stop")</f>
        <v>Stop</v>
      </c>
      <c r="AO1815" s="110" t="b">
        <f>IF(Audit[[#This Row],[Status - Continue or stop audit]] = "Continue", TRUE, IF(AN1814 = "Continue", TRUE, FALSE))</f>
        <v>0</v>
      </c>
      <c r="AP1815" s="110"/>
    </row>
    <row r="1816" spans="1:42" ht="15" hidden="1" customHeight="1">
      <c r="A1816" s="111" t="str">
        <f>'Sampling Data'!W1811</f>
        <v/>
      </c>
      <c r="B1816" s="112" t="str">
        <f>'Sampling Data'!A1811</f>
        <v>RICHMOND HEIGHTS -03-A</v>
      </c>
      <c r="C1816" s="112">
        <f>'Sampling Data'!B1811</f>
        <v>18</v>
      </c>
      <c r="D1816" s="112">
        <f>'Sampling Data'!C1811</f>
        <v>34</v>
      </c>
      <c r="E1816" s="113">
        <f>'Sampling Data'!D1811</f>
        <v>6</v>
      </c>
      <c r="F1816" s="113">
        <f>'Sampling Data'!E1811</f>
        <v>4</v>
      </c>
      <c r="G1816" s="113">
        <f>'Sampling Data'!F1811</f>
        <v>0</v>
      </c>
      <c r="H1816" s="113">
        <f>'Sampling Data'!G1811</f>
        <v>0</v>
      </c>
      <c r="I1816" s="112">
        <f>'Sampling Data'!H1811</f>
        <v>0</v>
      </c>
      <c r="J1816" s="112">
        <f>'Sampling Data'!I1811</f>
        <v>0</v>
      </c>
      <c r="K1816" s="112">
        <f>'Sampling Data'!J1811</f>
        <v>62</v>
      </c>
      <c r="L1816" s="111">
        <f>'Sampling Data'!X1811</f>
        <v>0</v>
      </c>
      <c r="M1816" s="114"/>
      <c r="N1816" s="114"/>
      <c r="O1816" s="115"/>
      <c r="P1816" s="115"/>
      <c r="Q1816" s="116"/>
      <c r="R1816" s="116"/>
      <c r="S1816" s="111">
        <f>Audit[[#This Row],[Audit Losing Candidate]]-Audit[[#This Row],[Losing Candidate]]</f>
        <v>-18</v>
      </c>
      <c r="T1816" s="111">
        <f>Audit[[#This Row],[Audit Winning Candidate]]-Audit[[#This Row],[Winning Candidate]]</f>
        <v>-34</v>
      </c>
      <c r="U1816" s="111">
        <f>Audit[[#This Row],[Audit Candidate 3]]-Audit[[#This Row],[Candidate 3]]</f>
        <v>-6</v>
      </c>
      <c r="V1816" s="111">
        <f>Audit[[#This Row],[Audit Candidate 4]]-Audit[[#This Row],[Candidate 4]]</f>
        <v>-4</v>
      </c>
      <c r="W1816" s="111">
        <f>Audit[[#This Row],[Audit Candidate 5]]-Audit[[#This Row],[Candidate 5]]</f>
        <v>0</v>
      </c>
      <c r="X1816" s="111">
        <f>Audit[[#This Row],[Audit Candidate 6]]-Audit[[#This Row],[Candidate 6]]</f>
        <v>0</v>
      </c>
      <c r="Y1816" s="111">
        <f>SUMIF(Audit[[#This Row],[Difference Loser]:[Difference Candidate 6]], "&gt;0")</f>
        <v>0</v>
      </c>
      <c r="Z1816" s="111">
        <f>SUM(Audit[[#This Row],[Difference Loser]:[Difference Candidate 6]])</f>
        <v>-62</v>
      </c>
      <c r="AA1816" s="111">
        <f>IF(Audit[[#This Row],[Times p Drawn - With Replacement]]&gt;0, IF(Audit[[#This Row],[Canceled Differences]]&lt;0, Audit[[#This Row],[Max Differences]]+ABS(Audit[[#This Row],[Canceled Differences]]), Audit[[#This Row],[Max Differences]]), 0)</f>
        <v>0</v>
      </c>
      <c r="AB1816" s="111">
        <f>'Sampling Data'!P1811</f>
        <v>4.7770700636942673E-3</v>
      </c>
      <c r="AC1816" s="111">
        <f>IF(
      SUM(Audit[[#This Row],[Audit Losing Candidate]:[Audit Candidate 6]])
      &lt;&gt;0,
      (Audit[[#This Row],[Winning Candidate]]-Audit[[#This Row],[Losing Candidate]]-(Audit[[#This Row],[Audit Winning Candidate]]-Audit[[#This Row],[Audit Losing Candidate]]))/(Audit[[#Totals],[Winning Candidate]]-Audit[[#Totals],[Losing Candidate]]),
      0
)</f>
        <v>0</v>
      </c>
      <c r="AD18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6" s="111">
        <f>IF(Audit[[#This Row],[Max Relative Error (ep)]] = 0, 0, Audit[[#This Row],[Max Relative Error (ep)]]/Audit[[#This Row],[Error Bound (up) - Max. possible relative overstatement]])</f>
        <v>0</v>
      </c>
      <c r="AJ18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16" s="111">
        <f t="shared" si="28"/>
        <v>1</v>
      </c>
      <c r="AL1816" s="111">
        <f>PRODUCT($AK$5:AK1816)</f>
        <v>8.962823818226312E-2</v>
      </c>
      <c r="AM1816" s="109">
        <f>1 - [K-M P Value]</f>
        <v>0.91037176181773694</v>
      </c>
      <c r="AN1816" s="111" t="str">
        <f>IF(Audit[[#This Row],[K-M P Value]]&gt;1-'General Info'!$B$16,"Continue", "Stop")</f>
        <v>Stop</v>
      </c>
      <c r="AO1816" s="110" t="b">
        <f>IF(Audit[[#This Row],[Status - Continue or stop audit]] = "Continue", TRUE, IF(AN1815 = "Continue", TRUE, FALSE))</f>
        <v>0</v>
      </c>
      <c r="AP1816" s="110"/>
    </row>
    <row r="1817" spans="1:42" ht="15" hidden="1" customHeight="1">
      <c r="A1817" s="111" t="str">
        <f>'Sampling Data'!W1812</f>
        <v/>
      </c>
      <c r="B1817" s="112" t="str">
        <f>'Sampling Data'!A1812</f>
        <v>RICHMOND HEIGHTS -03-A - ABS</v>
      </c>
      <c r="C1817" s="112">
        <f>'Sampling Data'!B1812</f>
        <v>10</v>
      </c>
      <c r="D1817" s="112">
        <f>'Sampling Data'!C1812</f>
        <v>7</v>
      </c>
      <c r="E1817" s="113">
        <f>'Sampling Data'!D1812</f>
        <v>2</v>
      </c>
      <c r="F1817" s="113">
        <f>'Sampling Data'!E1812</f>
        <v>3</v>
      </c>
      <c r="G1817" s="113">
        <f>'Sampling Data'!F1812</f>
        <v>0</v>
      </c>
      <c r="H1817" s="113">
        <f>'Sampling Data'!G1812</f>
        <v>0</v>
      </c>
      <c r="I1817" s="112">
        <f>'Sampling Data'!H1812</f>
        <v>0</v>
      </c>
      <c r="J1817" s="112">
        <f>'Sampling Data'!I1812</f>
        <v>1</v>
      </c>
      <c r="K1817" s="112">
        <f>'Sampling Data'!J1812</f>
        <v>23</v>
      </c>
      <c r="L1817" s="111">
        <f>'Sampling Data'!X1812</f>
        <v>0</v>
      </c>
      <c r="M1817" s="114"/>
      <c r="N1817" s="114"/>
      <c r="O1817" s="115"/>
      <c r="P1817" s="115"/>
      <c r="Q1817" s="116"/>
      <c r="R1817" s="116"/>
      <c r="S1817" s="111">
        <f>Audit[[#This Row],[Audit Losing Candidate]]-Audit[[#This Row],[Losing Candidate]]</f>
        <v>-10</v>
      </c>
      <c r="T1817" s="111">
        <f>Audit[[#This Row],[Audit Winning Candidate]]-Audit[[#This Row],[Winning Candidate]]</f>
        <v>-7</v>
      </c>
      <c r="U1817" s="111">
        <f>Audit[[#This Row],[Audit Candidate 3]]-Audit[[#This Row],[Candidate 3]]</f>
        <v>-2</v>
      </c>
      <c r="V1817" s="111">
        <f>Audit[[#This Row],[Audit Candidate 4]]-Audit[[#This Row],[Candidate 4]]</f>
        <v>-3</v>
      </c>
      <c r="W1817" s="111">
        <f>Audit[[#This Row],[Audit Candidate 5]]-Audit[[#This Row],[Candidate 5]]</f>
        <v>0</v>
      </c>
      <c r="X1817" s="111">
        <f>Audit[[#This Row],[Audit Candidate 6]]-Audit[[#This Row],[Candidate 6]]</f>
        <v>0</v>
      </c>
      <c r="Y1817" s="111">
        <f>SUMIF(Audit[[#This Row],[Difference Loser]:[Difference Candidate 6]], "&gt;0")</f>
        <v>0</v>
      </c>
      <c r="Z1817" s="111">
        <f>SUM(Audit[[#This Row],[Difference Loser]:[Difference Candidate 6]])</f>
        <v>-22</v>
      </c>
      <c r="AA1817" s="111">
        <f>IF(Audit[[#This Row],[Times p Drawn - With Replacement]]&gt;0, IF(Audit[[#This Row],[Canceled Differences]]&lt;0, Audit[[#This Row],[Max Differences]]+ABS(Audit[[#This Row],[Canceled Differences]]), Audit[[#This Row],[Max Differences]]), 0)</f>
        <v>0</v>
      </c>
      <c r="AB1817" s="111">
        <f>'Sampling Data'!P1812</f>
        <v>1.224889759921607E-3</v>
      </c>
      <c r="AC1817" s="111">
        <f>IF(
      SUM(Audit[[#This Row],[Audit Losing Candidate]:[Audit Candidate 6]])
      &lt;&gt;0,
      (Audit[[#This Row],[Winning Candidate]]-Audit[[#This Row],[Losing Candidate]]-(Audit[[#This Row],[Audit Winning Candidate]]-Audit[[#This Row],[Audit Losing Candidate]]))/(Audit[[#Totals],[Winning Candidate]]-Audit[[#Totals],[Losing Candidate]]),
      0
)</f>
        <v>0</v>
      </c>
      <c r="AD18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7" s="111">
        <f>IF(Audit[[#This Row],[Max Relative Error (ep)]] = 0, 0, Audit[[#This Row],[Max Relative Error (ep)]]/Audit[[#This Row],[Error Bound (up) - Max. possible relative overstatement]])</f>
        <v>0</v>
      </c>
      <c r="AJ18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17" s="111">
        <f t="shared" si="28"/>
        <v>1</v>
      </c>
      <c r="AL1817" s="111">
        <f>PRODUCT($AK$5:AK1817)</f>
        <v>8.962823818226312E-2</v>
      </c>
      <c r="AM1817" s="109">
        <f>1 - [K-M P Value]</f>
        <v>0.91037176181773694</v>
      </c>
      <c r="AN1817" s="111" t="str">
        <f>IF(Audit[[#This Row],[K-M P Value]]&gt;1-'General Info'!$B$16,"Continue", "Stop")</f>
        <v>Stop</v>
      </c>
      <c r="AO1817" s="110" t="b">
        <f>IF(Audit[[#This Row],[Status - Continue or stop audit]] = "Continue", TRUE, IF(AN1816 = "Continue", TRUE, FALSE))</f>
        <v>0</v>
      </c>
      <c r="AP1817" s="110"/>
    </row>
    <row r="1818" spans="1:42" ht="15" hidden="1" customHeight="1">
      <c r="A1818" s="111" t="str">
        <f>'Sampling Data'!W1813</f>
        <v/>
      </c>
      <c r="B1818" s="112" t="str">
        <f>'Sampling Data'!A1813</f>
        <v>RICHMOND HEIGHTS -03-B</v>
      </c>
      <c r="C1818" s="112">
        <f>'Sampling Data'!B1813</f>
        <v>15</v>
      </c>
      <c r="D1818" s="112">
        <f>'Sampling Data'!C1813</f>
        <v>23</v>
      </c>
      <c r="E1818" s="113">
        <f>'Sampling Data'!D1813</f>
        <v>9</v>
      </c>
      <c r="F1818" s="113">
        <f>'Sampling Data'!E1813</f>
        <v>2</v>
      </c>
      <c r="G1818" s="113">
        <f>'Sampling Data'!F1813</f>
        <v>1</v>
      </c>
      <c r="H1818" s="113">
        <f>'Sampling Data'!G1813</f>
        <v>0</v>
      </c>
      <c r="I1818" s="112">
        <f>'Sampling Data'!H1813</f>
        <v>0</v>
      </c>
      <c r="J1818" s="112">
        <f>'Sampling Data'!I1813</f>
        <v>0</v>
      </c>
      <c r="K1818" s="112">
        <f>'Sampling Data'!J1813</f>
        <v>50</v>
      </c>
      <c r="L1818" s="111">
        <f>'Sampling Data'!X1813</f>
        <v>0</v>
      </c>
      <c r="M1818" s="114"/>
      <c r="N1818" s="114"/>
      <c r="O1818" s="115"/>
      <c r="P1818" s="115"/>
      <c r="Q1818" s="116"/>
      <c r="R1818" s="116"/>
      <c r="S1818" s="111">
        <f>Audit[[#This Row],[Audit Losing Candidate]]-Audit[[#This Row],[Losing Candidate]]</f>
        <v>-15</v>
      </c>
      <c r="T1818" s="111">
        <f>Audit[[#This Row],[Audit Winning Candidate]]-Audit[[#This Row],[Winning Candidate]]</f>
        <v>-23</v>
      </c>
      <c r="U1818" s="111">
        <f>Audit[[#This Row],[Audit Candidate 3]]-Audit[[#This Row],[Candidate 3]]</f>
        <v>-9</v>
      </c>
      <c r="V1818" s="111">
        <f>Audit[[#This Row],[Audit Candidate 4]]-Audit[[#This Row],[Candidate 4]]</f>
        <v>-2</v>
      </c>
      <c r="W1818" s="111">
        <f>Audit[[#This Row],[Audit Candidate 5]]-Audit[[#This Row],[Candidate 5]]</f>
        <v>-1</v>
      </c>
      <c r="X1818" s="111">
        <f>Audit[[#This Row],[Audit Candidate 6]]-Audit[[#This Row],[Candidate 6]]</f>
        <v>0</v>
      </c>
      <c r="Y1818" s="111">
        <f>SUMIF(Audit[[#This Row],[Difference Loser]:[Difference Candidate 6]], "&gt;0")</f>
        <v>0</v>
      </c>
      <c r="Z1818" s="111">
        <f>SUM(Audit[[#This Row],[Difference Loser]:[Difference Candidate 6]])</f>
        <v>-50</v>
      </c>
      <c r="AA1818" s="111">
        <f>IF(Audit[[#This Row],[Times p Drawn - With Replacement]]&gt;0, IF(Audit[[#This Row],[Canceled Differences]]&lt;0, Audit[[#This Row],[Max Differences]]+ABS(Audit[[#This Row],[Canceled Differences]]), Audit[[#This Row],[Max Differences]]), 0)</f>
        <v>0</v>
      </c>
      <c r="AB1818" s="111">
        <f>'Sampling Data'!P1813</f>
        <v>3.5521803037726605E-3</v>
      </c>
      <c r="AC1818" s="111">
        <f>IF(
      SUM(Audit[[#This Row],[Audit Losing Candidate]:[Audit Candidate 6]])
      &lt;&gt;0,
      (Audit[[#This Row],[Winning Candidate]]-Audit[[#This Row],[Losing Candidate]]-(Audit[[#This Row],[Audit Winning Candidate]]-Audit[[#This Row],[Audit Losing Candidate]]))/(Audit[[#Totals],[Winning Candidate]]-Audit[[#Totals],[Losing Candidate]]),
      0
)</f>
        <v>0</v>
      </c>
      <c r="AD18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8" s="111">
        <f>IF(Audit[[#This Row],[Max Relative Error (ep)]] = 0, 0, Audit[[#This Row],[Max Relative Error (ep)]]/Audit[[#This Row],[Error Bound (up) - Max. possible relative overstatement]])</f>
        <v>0</v>
      </c>
      <c r="AJ18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18" s="111">
        <f t="shared" si="28"/>
        <v>1</v>
      </c>
      <c r="AL1818" s="111">
        <f>PRODUCT($AK$5:AK1818)</f>
        <v>8.962823818226312E-2</v>
      </c>
      <c r="AM1818" s="109">
        <f>1 - [K-M P Value]</f>
        <v>0.91037176181773694</v>
      </c>
      <c r="AN1818" s="111" t="str">
        <f>IF(Audit[[#This Row],[K-M P Value]]&gt;1-'General Info'!$B$16,"Continue", "Stop")</f>
        <v>Stop</v>
      </c>
      <c r="AO1818" s="110" t="b">
        <f>IF(Audit[[#This Row],[Status - Continue or stop audit]] = "Continue", TRUE, IF(AN1817 = "Continue", TRUE, FALSE))</f>
        <v>0</v>
      </c>
      <c r="AP1818" s="110"/>
    </row>
    <row r="1819" spans="1:42" ht="15" hidden="1" customHeight="1">
      <c r="A1819" s="111" t="str">
        <f>'Sampling Data'!W1814</f>
        <v/>
      </c>
      <c r="B1819" s="112" t="str">
        <f>'Sampling Data'!A1814</f>
        <v>RICHMOND HEIGHTS -03-B - ABS</v>
      </c>
      <c r="C1819" s="112">
        <f>'Sampling Data'!B1814</f>
        <v>4</v>
      </c>
      <c r="D1819" s="112">
        <f>'Sampling Data'!C1814</f>
        <v>13</v>
      </c>
      <c r="E1819" s="113">
        <f>'Sampling Data'!D1814</f>
        <v>1</v>
      </c>
      <c r="F1819" s="113">
        <f>'Sampling Data'!E1814</f>
        <v>0</v>
      </c>
      <c r="G1819" s="113">
        <f>'Sampling Data'!F1814</f>
        <v>0</v>
      </c>
      <c r="H1819" s="113">
        <f>'Sampling Data'!G1814</f>
        <v>0</v>
      </c>
      <c r="I1819" s="112">
        <f>'Sampling Data'!H1814</f>
        <v>0</v>
      </c>
      <c r="J1819" s="112">
        <f>'Sampling Data'!I1814</f>
        <v>0</v>
      </c>
      <c r="K1819" s="112">
        <f>'Sampling Data'!J1814</f>
        <v>18</v>
      </c>
      <c r="L1819" s="111">
        <f>'Sampling Data'!X1814</f>
        <v>0</v>
      </c>
      <c r="M1819" s="114"/>
      <c r="N1819" s="114"/>
      <c r="O1819" s="115"/>
      <c r="P1819" s="115"/>
      <c r="Q1819" s="116"/>
      <c r="R1819" s="116"/>
      <c r="S1819" s="111">
        <f>Audit[[#This Row],[Audit Losing Candidate]]-Audit[[#This Row],[Losing Candidate]]</f>
        <v>-4</v>
      </c>
      <c r="T1819" s="111">
        <f>Audit[[#This Row],[Audit Winning Candidate]]-Audit[[#This Row],[Winning Candidate]]</f>
        <v>-13</v>
      </c>
      <c r="U1819" s="111">
        <f>Audit[[#This Row],[Audit Candidate 3]]-Audit[[#This Row],[Candidate 3]]</f>
        <v>-1</v>
      </c>
      <c r="V1819" s="111">
        <f>Audit[[#This Row],[Audit Candidate 4]]-Audit[[#This Row],[Candidate 4]]</f>
        <v>0</v>
      </c>
      <c r="W1819" s="111">
        <f>Audit[[#This Row],[Audit Candidate 5]]-Audit[[#This Row],[Candidate 5]]</f>
        <v>0</v>
      </c>
      <c r="X1819" s="111">
        <f>Audit[[#This Row],[Audit Candidate 6]]-Audit[[#This Row],[Candidate 6]]</f>
        <v>0</v>
      </c>
      <c r="Y1819" s="111">
        <f>SUMIF(Audit[[#This Row],[Difference Loser]:[Difference Candidate 6]], "&gt;0")</f>
        <v>0</v>
      </c>
      <c r="Z1819" s="111">
        <f>SUM(Audit[[#This Row],[Difference Loser]:[Difference Candidate 6]])</f>
        <v>-18</v>
      </c>
      <c r="AA1819" s="111">
        <f>IF(Audit[[#This Row],[Times p Drawn - With Replacement]]&gt;0, IF(Audit[[#This Row],[Canceled Differences]]&lt;0, Audit[[#This Row],[Max Differences]]+ABS(Audit[[#This Row],[Canceled Differences]]), Audit[[#This Row],[Max Differences]]), 0)</f>
        <v>0</v>
      </c>
      <c r="AB1819" s="111">
        <f>'Sampling Data'!P1814</f>
        <v>1.6536011758941694E-3</v>
      </c>
      <c r="AC1819" s="111">
        <f>IF(
      SUM(Audit[[#This Row],[Audit Losing Candidate]:[Audit Candidate 6]])
      &lt;&gt;0,
      (Audit[[#This Row],[Winning Candidate]]-Audit[[#This Row],[Losing Candidate]]-(Audit[[#This Row],[Audit Winning Candidate]]-Audit[[#This Row],[Audit Losing Candidate]]))/(Audit[[#Totals],[Winning Candidate]]-Audit[[#Totals],[Losing Candidate]]),
      0
)</f>
        <v>0</v>
      </c>
      <c r="AD18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9" s="111">
        <f>IF(Audit[[#This Row],[Max Relative Error (ep)]] = 0, 0, Audit[[#This Row],[Max Relative Error (ep)]]/Audit[[#This Row],[Error Bound (up) - Max. possible relative overstatement]])</f>
        <v>0</v>
      </c>
      <c r="AJ18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19" s="111">
        <f t="shared" si="28"/>
        <v>1</v>
      </c>
      <c r="AL1819" s="111">
        <f>PRODUCT($AK$5:AK1819)</f>
        <v>8.962823818226312E-2</v>
      </c>
      <c r="AM1819" s="109">
        <f>1 - [K-M P Value]</f>
        <v>0.91037176181773694</v>
      </c>
      <c r="AN1819" s="111" t="str">
        <f>IF(Audit[[#This Row],[K-M P Value]]&gt;1-'General Info'!$B$16,"Continue", "Stop")</f>
        <v>Stop</v>
      </c>
      <c r="AO1819" s="110" t="b">
        <f>IF(Audit[[#This Row],[Status - Continue or stop audit]] = "Continue", TRUE, IF(AN1818 = "Continue", TRUE, FALSE))</f>
        <v>0</v>
      </c>
      <c r="AP1819" s="110"/>
    </row>
    <row r="1820" spans="1:42" ht="15" hidden="1" customHeight="1">
      <c r="A1820" s="111" t="str">
        <f>'Sampling Data'!W1815</f>
        <v/>
      </c>
      <c r="B1820" s="112" t="str">
        <f>'Sampling Data'!A1815</f>
        <v>RICHMOND HEIGHTS -03-C</v>
      </c>
      <c r="C1820" s="112">
        <f>'Sampling Data'!B1815</f>
        <v>17</v>
      </c>
      <c r="D1820" s="112">
        <f>'Sampling Data'!C1815</f>
        <v>13</v>
      </c>
      <c r="E1820" s="113">
        <f>'Sampling Data'!D1815</f>
        <v>0</v>
      </c>
      <c r="F1820" s="113">
        <f>'Sampling Data'!E1815</f>
        <v>1</v>
      </c>
      <c r="G1820" s="113">
        <f>'Sampling Data'!F1815</f>
        <v>1</v>
      </c>
      <c r="H1820" s="113">
        <f>'Sampling Data'!G1815</f>
        <v>0</v>
      </c>
      <c r="I1820" s="112">
        <f>'Sampling Data'!H1815</f>
        <v>0</v>
      </c>
      <c r="J1820" s="112">
        <f>'Sampling Data'!I1815</f>
        <v>0</v>
      </c>
      <c r="K1820" s="112">
        <f>'Sampling Data'!J1815</f>
        <v>32</v>
      </c>
      <c r="L1820" s="111">
        <f>'Sampling Data'!X1815</f>
        <v>0</v>
      </c>
      <c r="M1820" s="114"/>
      <c r="N1820" s="114"/>
      <c r="O1820" s="115"/>
      <c r="P1820" s="115"/>
      <c r="Q1820" s="116"/>
      <c r="R1820" s="116"/>
      <c r="S1820" s="111">
        <f>Audit[[#This Row],[Audit Losing Candidate]]-Audit[[#This Row],[Losing Candidate]]</f>
        <v>-17</v>
      </c>
      <c r="T1820" s="111">
        <f>Audit[[#This Row],[Audit Winning Candidate]]-Audit[[#This Row],[Winning Candidate]]</f>
        <v>-13</v>
      </c>
      <c r="U1820" s="111">
        <f>Audit[[#This Row],[Audit Candidate 3]]-Audit[[#This Row],[Candidate 3]]</f>
        <v>0</v>
      </c>
      <c r="V1820" s="111">
        <f>Audit[[#This Row],[Audit Candidate 4]]-Audit[[#This Row],[Candidate 4]]</f>
        <v>-1</v>
      </c>
      <c r="W1820" s="111">
        <f>Audit[[#This Row],[Audit Candidate 5]]-Audit[[#This Row],[Candidate 5]]</f>
        <v>-1</v>
      </c>
      <c r="X1820" s="111">
        <f>Audit[[#This Row],[Audit Candidate 6]]-Audit[[#This Row],[Candidate 6]]</f>
        <v>0</v>
      </c>
      <c r="Y1820" s="111">
        <f>SUMIF(Audit[[#This Row],[Difference Loser]:[Difference Candidate 6]], "&gt;0")</f>
        <v>0</v>
      </c>
      <c r="Z1820" s="111">
        <f>SUM(Audit[[#This Row],[Difference Loser]:[Difference Candidate 6]])</f>
        <v>-32</v>
      </c>
      <c r="AA1820" s="111">
        <f>IF(Audit[[#This Row],[Times p Drawn - With Replacement]]&gt;0, IF(Audit[[#This Row],[Canceled Differences]]&lt;0, Audit[[#This Row],[Max Differences]]+ABS(Audit[[#This Row],[Canceled Differences]]), Audit[[#This Row],[Max Differences]]), 0)</f>
        <v>0</v>
      </c>
      <c r="AB1820" s="111">
        <f>'Sampling Data'!P1815</f>
        <v>1.7148456638902498E-3</v>
      </c>
      <c r="AC1820" s="111">
        <f>IF(
      SUM(Audit[[#This Row],[Audit Losing Candidate]:[Audit Candidate 6]])
      &lt;&gt;0,
      (Audit[[#This Row],[Winning Candidate]]-Audit[[#This Row],[Losing Candidate]]-(Audit[[#This Row],[Audit Winning Candidate]]-Audit[[#This Row],[Audit Losing Candidate]]))/(Audit[[#Totals],[Winning Candidate]]-Audit[[#Totals],[Losing Candidate]]),
      0
)</f>
        <v>0</v>
      </c>
      <c r="AD18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0" s="111">
        <f>IF(Audit[[#This Row],[Max Relative Error (ep)]] = 0, 0, Audit[[#This Row],[Max Relative Error (ep)]]/Audit[[#This Row],[Error Bound (up) - Max. possible relative overstatement]])</f>
        <v>0</v>
      </c>
      <c r="AJ18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20" s="111">
        <f t="shared" si="28"/>
        <v>1</v>
      </c>
      <c r="AL1820" s="111">
        <f>PRODUCT($AK$5:AK1820)</f>
        <v>8.962823818226312E-2</v>
      </c>
      <c r="AM1820" s="109">
        <f>1 - [K-M P Value]</f>
        <v>0.91037176181773694</v>
      </c>
      <c r="AN1820" s="111" t="str">
        <f>IF(Audit[[#This Row],[K-M P Value]]&gt;1-'General Info'!$B$16,"Continue", "Stop")</f>
        <v>Stop</v>
      </c>
      <c r="AO1820" s="110" t="b">
        <f>IF(Audit[[#This Row],[Status - Continue or stop audit]] = "Continue", TRUE, IF(AN1819 = "Continue", TRUE, FALSE))</f>
        <v>0</v>
      </c>
      <c r="AP1820" s="110"/>
    </row>
    <row r="1821" spans="1:42" ht="15" hidden="1" customHeight="1">
      <c r="A1821" s="111" t="str">
        <f>'Sampling Data'!W1816</f>
        <v/>
      </c>
      <c r="B1821" s="112" t="str">
        <f>'Sampling Data'!A1816</f>
        <v>RICHMOND HEIGHTS -03-C - ABS</v>
      </c>
      <c r="C1821" s="112">
        <f>'Sampling Data'!B1816</f>
        <v>5</v>
      </c>
      <c r="D1821" s="112">
        <f>'Sampling Data'!C1816</f>
        <v>8</v>
      </c>
      <c r="E1821" s="113">
        <f>'Sampling Data'!D1816</f>
        <v>3</v>
      </c>
      <c r="F1821" s="113">
        <f>'Sampling Data'!E1816</f>
        <v>1</v>
      </c>
      <c r="G1821" s="113">
        <f>'Sampling Data'!F1816</f>
        <v>0</v>
      </c>
      <c r="H1821" s="113">
        <f>'Sampling Data'!G1816</f>
        <v>0</v>
      </c>
      <c r="I1821" s="112">
        <f>'Sampling Data'!H1816</f>
        <v>0</v>
      </c>
      <c r="J1821" s="112">
        <f>'Sampling Data'!I1816</f>
        <v>0</v>
      </c>
      <c r="K1821" s="112">
        <f>'Sampling Data'!J1816</f>
        <v>17</v>
      </c>
      <c r="L1821" s="111">
        <f>'Sampling Data'!X1816</f>
        <v>0</v>
      </c>
      <c r="M1821" s="114"/>
      <c r="N1821" s="114"/>
      <c r="O1821" s="115"/>
      <c r="P1821" s="115"/>
      <c r="Q1821" s="116"/>
      <c r="R1821" s="116"/>
      <c r="S1821" s="111">
        <f>Audit[[#This Row],[Audit Losing Candidate]]-Audit[[#This Row],[Losing Candidate]]</f>
        <v>-5</v>
      </c>
      <c r="T1821" s="111">
        <f>Audit[[#This Row],[Audit Winning Candidate]]-Audit[[#This Row],[Winning Candidate]]</f>
        <v>-8</v>
      </c>
      <c r="U1821" s="111">
        <f>Audit[[#This Row],[Audit Candidate 3]]-Audit[[#This Row],[Candidate 3]]</f>
        <v>-3</v>
      </c>
      <c r="V1821" s="111">
        <f>Audit[[#This Row],[Audit Candidate 4]]-Audit[[#This Row],[Candidate 4]]</f>
        <v>-1</v>
      </c>
      <c r="W1821" s="111">
        <f>Audit[[#This Row],[Audit Candidate 5]]-Audit[[#This Row],[Candidate 5]]</f>
        <v>0</v>
      </c>
      <c r="X1821" s="111">
        <f>Audit[[#This Row],[Audit Candidate 6]]-Audit[[#This Row],[Candidate 6]]</f>
        <v>0</v>
      </c>
      <c r="Y1821" s="111">
        <f>SUMIF(Audit[[#This Row],[Difference Loser]:[Difference Candidate 6]], "&gt;0")</f>
        <v>0</v>
      </c>
      <c r="Z1821" s="111">
        <f>SUM(Audit[[#This Row],[Difference Loser]:[Difference Candidate 6]])</f>
        <v>-17</v>
      </c>
      <c r="AA1821" s="111">
        <f>IF(Audit[[#This Row],[Times p Drawn - With Replacement]]&gt;0, IF(Audit[[#This Row],[Canceled Differences]]&lt;0, Audit[[#This Row],[Max Differences]]+ABS(Audit[[#This Row],[Canceled Differences]]), Audit[[#This Row],[Max Differences]]), 0)</f>
        <v>0</v>
      </c>
      <c r="AB1821" s="111">
        <f>'Sampling Data'!P1816</f>
        <v>1.224889759921607E-3</v>
      </c>
      <c r="AC1821" s="111">
        <f>IF(
      SUM(Audit[[#This Row],[Audit Losing Candidate]:[Audit Candidate 6]])
      &lt;&gt;0,
      (Audit[[#This Row],[Winning Candidate]]-Audit[[#This Row],[Losing Candidate]]-(Audit[[#This Row],[Audit Winning Candidate]]-Audit[[#This Row],[Audit Losing Candidate]]))/(Audit[[#Totals],[Winning Candidate]]-Audit[[#Totals],[Losing Candidate]]),
      0
)</f>
        <v>0</v>
      </c>
      <c r="AD18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1" s="111">
        <f>IF(Audit[[#This Row],[Max Relative Error (ep)]] = 0, 0, Audit[[#This Row],[Max Relative Error (ep)]]/Audit[[#This Row],[Error Bound (up) - Max. possible relative overstatement]])</f>
        <v>0</v>
      </c>
      <c r="AJ18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21" s="111">
        <f t="shared" si="28"/>
        <v>1</v>
      </c>
      <c r="AL1821" s="111">
        <f>PRODUCT($AK$5:AK1821)</f>
        <v>8.962823818226312E-2</v>
      </c>
      <c r="AM1821" s="109">
        <f>1 - [K-M P Value]</f>
        <v>0.91037176181773694</v>
      </c>
      <c r="AN1821" s="111" t="str">
        <f>IF(Audit[[#This Row],[K-M P Value]]&gt;1-'General Info'!$B$16,"Continue", "Stop")</f>
        <v>Stop</v>
      </c>
      <c r="AO1821" s="110" t="b">
        <f>IF(Audit[[#This Row],[Status - Continue or stop audit]] = "Continue", TRUE, IF(AN1820 = "Continue", TRUE, FALSE))</f>
        <v>0</v>
      </c>
      <c r="AP1821" s="110"/>
    </row>
    <row r="1822" spans="1:42" ht="15" hidden="1" customHeight="1">
      <c r="A1822" s="111" t="str">
        <f>'Sampling Data'!W1817</f>
        <v/>
      </c>
      <c r="B1822" s="112" t="str">
        <f>'Sampling Data'!A1817</f>
        <v>RICHMOND HEIGHTS -04-A</v>
      </c>
      <c r="C1822" s="112">
        <f>'Sampling Data'!B1817</f>
        <v>21</v>
      </c>
      <c r="D1822" s="112">
        <f>'Sampling Data'!C1817</f>
        <v>27</v>
      </c>
      <c r="E1822" s="113">
        <f>'Sampling Data'!D1817</f>
        <v>8</v>
      </c>
      <c r="F1822" s="113">
        <f>'Sampling Data'!E1817</f>
        <v>5</v>
      </c>
      <c r="G1822" s="113">
        <f>'Sampling Data'!F1817</f>
        <v>0</v>
      </c>
      <c r="H1822" s="113">
        <f>'Sampling Data'!G1817</f>
        <v>0</v>
      </c>
      <c r="I1822" s="112">
        <f>'Sampling Data'!H1817</f>
        <v>0</v>
      </c>
      <c r="J1822" s="112">
        <f>'Sampling Data'!I1817</f>
        <v>0</v>
      </c>
      <c r="K1822" s="112">
        <f>'Sampling Data'!J1817</f>
        <v>61</v>
      </c>
      <c r="L1822" s="111">
        <f>'Sampling Data'!X1817</f>
        <v>0</v>
      </c>
      <c r="M1822" s="114"/>
      <c r="N1822" s="114"/>
      <c r="O1822" s="115"/>
      <c r="P1822" s="115"/>
      <c r="Q1822" s="116"/>
      <c r="R1822" s="116"/>
      <c r="S1822" s="111">
        <f>Audit[[#This Row],[Audit Losing Candidate]]-Audit[[#This Row],[Losing Candidate]]</f>
        <v>-21</v>
      </c>
      <c r="T1822" s="111">
        <f>Audit[[#This Row],[Audit Winning Candidate]]-Audit[[#This Row],[Winning Candidate]]</f>
        <v>-27</v>
      </c>
      <c r="U1822" s="111">
        <f>Audit[[#This Row],[Audit Candidate 3]]-Audit[[#This Row],[Candidate 3]]</f>
        <v>-8</v>
      </c>
      <c r="V1822" s="111">
        <f>Audit[[#This Row],[Audit Candidate 4]]-Audit[[#This Row],[Candidate 4]]</f>
        <v>-5</v>
      </c>
      <c r="W1822" s="111">
        <f>Audit[[#This Row],[Audit Candidate 5]]-Audit[[#This Row],[Candidate 5]]</f>
        <v>0</v>
      </c>
      <c r="X1822" s="111">
        <f>Audit[[#This Row],[Audit Candidate 6]]-Audit[[#This Row],[Candidate 6]]</f>
        <v>0</v>
      </c>
      <c r="Y1822" s="111">
        <f>SUMIF(Audit[[#This Row],[Difference Loser]:[Difference Candidate 6]], "&gt;0")</f>
        <v>0</v>
      </c>
      <c r="Z1822" s="111">
        <f>SUM(Audit[[#This Row],[Difference Loser]:[Difference Candidate 6]])</f>
        <v>-61</v>
      </c>
      <c r="AA1822" s="111">
        <f>IF(Audit[[#This Row],[Times p Drawn - With Replacement]]&gt;0, IF(Audit[[#This Row],[Canceled Differences]]&lt;0, Audit[[#This Row],[Max Differences]]+ABS(Audit[[#This Row],[Canceled Differences]]), Audit[[#This Row],[Max Differences]]), 0)</f>
        <v>0</v>
      </c>
      <c r="AB1822" s="111">
        <f>'Sampling Data'!P1817</f>
        <v>4.1033806957373837E-3</v>
      </c>
      <c r="AC1822" s="111">
        <f>IF(
      SUM(Audit[[#This Row],[Audit Losing Candidate]:[Audit Candidate 6]])
      &lt;&gt;0,
      (Audit[[#This Row],[Winning Candidate]]-Audit[[#This Row],[Losing Candidate]]-(Audit[[#This Row],[Audit Winning Candidate]]-Audit[[#This Row],[Audit Losing Candidate]]))/(Audit[[#Totals],[Winning Candidate]]-Audit[[#Totals],[Losing Candidate]]),
      0
)</f>
        <v>0</v>
      </c>
      <c r="AD18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2" s="111">
        <f>IF(Audit[[#This Row],[Max Relative Error (ep)]] = 0, 0, Audit[[#This Row],[Max Relative Error (ep)]]/Audit[[#This Row],[Error Bound (up) - Max. possible relative overstatement]])</f>
        <v>0</v>
      </c>
      <c r="AJ18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22" s="111">
        <f t="shared" si="28"/>
        <v>1</v>
      </c>
      <c r="AL1822" s="111">
        <f>PRODUCT($AK$5:AK1822)</f>
        <v>8.962823818226312E-2</v>
      </c>
      <c r="AM1822" s="109">
        <f>1 - [K-M P Value]</f>
        <v>0.91037176181773694</v>
      </c>
      <c r="AN1822" s="111" t="str">
        <f>IF(Audit[[#This Row],[K-M P Value]]&gt;1-'General Info'!$B$16,"Continue", "Stop")</f>
        <v>Stop</v>
      </c>
      <c r="AO1822" s="110" t="b">
        <f>IF(Audit[[#This Row],[Status - Continue or stop audit]] = "Continue", TRUE, IF(AN1821 = "Continue", TRUE, FALSE))</f>
        <v>0</v>
      </c>
      <c r="AP1822" s="110"/>
    </row>
    <row r="1823" spans="1:42" ht="15" hidden="1" customHeight="1">
      <c r="A1823" s="111" t="str">
        <f>'Sampling Data'!W1818</f>
        <v/>
      </c>
      <c r="B1823" s="112" t="str">
        <f>'Sampling Data'!A1818</f>
        <v>RICHMOND HEIGHTS -04-A - ABS</v>
      </c>
      <c r="C1823" s="112">
        <f>'Sampling Data'!B1818</f>
        <v>11</v>
      </c>
      <c r="D1823" s="112">
        <f>'Sampling Data'!C1818</f>
        <v>24</v>
      </c>
      <c r="E1823" s="113">
        <f>'Sampling Data'!D1818</f>
        <v>5</v>
      </c>
      <c r="F1823" s="113">
        <f>'Sampling Data'!E1818</f>
        <v>4</v>
      </c>
      <c r="G1823" s="113">
        <f>'Sampling Data'!F1818</f>
        <v>0</v>
      </c>
      <c r="H1823" s="113">
        <f>'Sampling Data'!G1818</f>
        <v>0</v>
      </c>
      <c r="I1823" s="112">
        <f>'Sampling Data'!H1818</f>
        <v>0</v>
      </c>
      <c r="J1823" s="112">
        <f>'Sampling Data'!I1818</f>
        <v>0</v>
      </c>
      <c r="K1823" s="112">
        <f>'Sampling Data'!J1818</f>
        <v>44</v>
      </c>
      <c r="L1823" s="111">
        <f>'Sampling Data'!X1818</f>
        <v>0</v>
      </c>
      <c r="M1823" s="114"/>
      <c r="N1823" s="114"/>
      <c r="O1823" s="115"/>
      <c r="P1823" s="115"/>
      <c r="Q1823" s="116"/>
      <c r="R1823" s="116"/>
      <c r="S1823" s="111">
        <f>Audit[[#This Row],[Audit Losing Candidate]]-Audit[[#This Row],[Losing Candidate]]</f>
        <v>-11</v>
      </c>
      <c r="T1823" s="111">
        <f>Audit[[#This Row],[Audit Winning Candidate]]-Audit[[#This Row],[Winning Candidate]]</f>
        <v>-24</v>
      </c>
      <c r="U1823" s="111">
        <f>Audit[[#This Row],[Audit Candidate 3]]-Audit[[#This Row],[Candidate 3]]</f>
        <v>-5</v>
      </c>
      <c r="V1823" s="111">
        <f>Audit[[#This Row],[Audit Candidate 4]]-Audit[[#This Row],[Candidate 4]]</f>
        <v>-4</v>
      </c>
      <c r="W1823" s="111">
        <f>Audit[[#This Row],[Audit Candidate 5]]-Audit[[#This Row],[Candidate 5]]</f>
        <v>0</v>
      </c>
      <c r="X1823" s="111">
        <f>Audit[[#This Row],[Audit Candidate 6]]-Audit[[#This Row],[Candidate 6]]</f>
        <v>0</v>
      </c>
      <c r="Y1823" s="111">
        <f>SUMIF(Audit[[#This Row],[Difference Loser]:[Difference Candidate 6]], "&gt;0")</f>
        <v>0</v>
      </c>
      <c r="Z1823" s="111">
        <f>SUM(Audit[[#This Row],[Difference Loser]:[Difference Candidate 6]])</f>
        <v>-44</v>
      </c>
      <c r="AA1823" s="111">
        <f>IF(Audit[[#This Row],[Times p Drawn - With Replacement]]&gt;0, IF(Audit[[#This Row],[Canceled Differences]]&lt;0, Audit[[#This Row],[Max Differences]]+ABS(Audit[[#This Row],[Canceled Differences]]), Audit[[#This Row],[Max Differences]]), 0)</f>
        <v>0</v>
      </c>
      <c r="AB1823" s="111">
        <f>'Sampling Data'!P1818</f>
        <v>3.4909358157765801E-3</v>
      </c>
      <c r="AC1823" s="111">
        <f>IF(
      SUM(Audit[[#This Row],[Audit Losing Candidate]:[Audit Candidate 6]])
      &lt;&gt;0,
      (Audit[[#This Row],[Winning Candidate]]-Audit[[#This Row],[Losing Candidate]]-(Audit[[#This Row],[Audit Winning Candidate]]-Audit[[#This Row],[Audit Losing Candidate]]))/(Audit[[#Totals],[Winning Candidate]]-Audit[[#Totals],[Losing Candidate]]),
      0
)</f>
        <v>0</v>
      </c>
      <c r="AD18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3" s="111">
        <f>IF(Audit[[#This Row],[Max Relative Error (ep)]] = 0, 0, Audit[[#This Row],[Max Relative Error (ep)]]/Audit[[#This Row],[Error Bound (up) - Max. possible relative overstatement]])</f>
        <v>0</v>
      </c>
      <c r="AJ18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23" s="111">
        <f t="shared" si="28"/>
        <v>1</v>
      </c>
      <c r="AL1823" s="111">
        <f>PRODUCT($AK$5:AK1823)</f>
        <v>8.962823818226312E-2</v>
      </c>
      <c r="AM1823" s="109">
        <f>1 - [K-M P Value]</f>
        <v>0.91037176181773694</v>
      </c>
      <c r="AN1823" s="111" t="str">
        <f>IF(Audit[[#This Row],[K-M P Value]]&gt;1-'General Info'!$B$16,"Continue", "Stop")</f>
        <v>Stop</v>
      </c>
      <c r="AO1823" s="110" t="b">
        <f>IF(Audit[[#This Row],[Status - Continue or stop audit]] = "Continue", TRUE, IF(AN1822 = "Continue", TRUE, FALSE))</f>
        <v>0</v>
      </c>
      <c r="AP1823" s="110"/>
    </row>
    <row r="1824" spans="1:42" ht="15" hidden="1" customHeight="1">
      <c r="A1824" s="111" t="str">
        <f>'Sampling Data'!W1819</f>
        <v/>
      </c>
      <c r="B1824" s="112" t="str">
        <f>'Sampling Data'!A1819</f>
        <v>RICHMOND HEIGHTS -04-B</v>
      </c>
      <c r="C1824" s="112">
        <f>'Sampling Data'!B1819</f>
        <v>16</v>
      </c>
      <c r="D1824" s="112">
        <f>'Sampling Data'!C1819</f>
        <v>34</v>
      </c>
      <c r="E1824" s="113">
        <f>'Sampling Data'!D1819</f>
        <v>11</v>
      </c>
      <c r="F1824" s="113">
        <f>'Sampling Data'!E1819</f>
        <v>11</v>
      </c>
      <c r="G1824" s="113">
        <f>'Sampling Data'!F1819</f>
        <v>0</v>
      </c>
      <c r="H1824" s="113">
        <f>'Sampling Data'!G1819</f>
        <v>1</v>
      </c>
      <c r="I1824" s="112">
        <f>'Sampling Data'!H1819</f>
        <v>0</v>
      </c>
      <c r="J1824" s="112">
        <f>'Sampling Data'!I1819</f>
        <v>2</v>
      </c>
      <c r="K1824" s="112">
        <f>'Sampling Data'!J1819</f>
        <v>75</v>
      </c>
      <c r="L1824" s="111">
        <f>'Sampling Data'!X1819</f>
        <v>0</v>
      </c>
      <c r="M1824" s="114"/>
      <c r="N1824" s="114"/>
      <c r="O1824" s="115"/>
      <c r="P1824" s="115"/>
      <c r="Q1824" s="116"/>
      <c r="R1824" s="116"/>
      <c r="S1824" s="111">
        <f>Audit[[#This Row],[Audit Losing Candidate]]-Audit[[#This Row],[Losing Candidate]]</f>
        <v>-16</v>
      </c>
      <c r="T1824" s="111">
        <f>Audit[[#This Row],[Audit Winning Candidate]]-Audit[[#This Row],[Winning Candidate]]</f>
        <v>-34</v>
      </c>
      <c r="U1824" s="111">
        <f>Audit[[#This Row],[Audit Candidate 3]]-Audit[[#This Row],[Candidate 3]]</f>
        <v>-11</v>
      </c>
      <c r="V1824" s="111">
        <f>Audit[[#This Row],[Audit Candidate 4]]-Audit[[#This Row],[Candidate 4]]</f>
        <v>-11</v>
      </c>
      <c r="W1824" s="111">
        <f>Audit[[#This Row],[Audit Candidate 5]]-Audit[[#This Row],[Candidate 5]]</f>
        <v>0</v>
      </c>
      <c r="X1824" s="111">
        <f>Audit[[#This Row],[Audit Candidate 6]]-Audit[[#This Row],[Candidate 6]]</f>
        <v>-1</v>
      </c>
      <c r="Y1824" s="111">
        <f>SUMIF(Audit[[#This Row],[Difference Loser]:[Difference Candidate 6]], "&gt;0")</f>
        <v>0</v>
      </c>
      <c r="Z1824" s="111">
        <f>SUM(Audit[[#This Row],[Difference Loser]:[Difference Candidate 6]])</f>
        <v>-73</v>
      </c>
      <c r="AA1824" s="111">
        <f>IF(Audit[[#This Row],[Times p Drawn - With Replacement]]&gt;0, IF(Audit[[#This Row],[Canceled Differences]]&lt;0, Audit[[#This Row],[Max Differences]]+ABS(Audit[[#This Row],[Canceled Differences]]), Audit[[#This Row],[Max Differences]]), 0)</f>
        <v>0</v>
      </c>
      <c r="AB1824" s="111">
        <f>'Sampling Data'!P1819</f>
        <v>5.6957373836354725E-3</v>
      </c>
      <c r="AC1824" s="111">
        <f>IF(
      SUM(Audit[[#This Row],[Audit Losing Candidate]:[Audit Candidate 6]])
      &lt;&gt;0,
      (Audit[[#This Row],[Winning Candidate]]-Audit[[#This Row],[Losing Candidate]]-(Audit[[#This Row],[Audit Winning Candidate]]-Audit[[#This Row],[Audit Losing Candidate]]))/(Audit[[#Totals],[Winning Candidate]]-Audit[[#Totals],[Losing Candidate]]),
      0
)</f>
        <v>0</v>
      </c>
      <c r="AD18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4" s="111">
        <f>IF(Audit[[#This Row],[Max Relative Error (ep)]] = 0, 0, Audit[[#This Row],[Max Relative Error (ep)]]/Audit[[#This Row],[Error Bound (up) - Max. possible relative overstatement]])</f>
        <v>0</v>
      </c>
      <c r="AJ18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24" s="111">
        <f t="shared" si="28"/>
        <v>1</v>
      </c>
      <c r="AL1824" s="111">
        <f>PRODUCT($AK$5:AK1824)</f>
        <v>8.962823818226312E-2</v>
      </c>
      <c r="AM1824" s="109">
        <f>1 - [K-M P Value]</f>
        <v>0.91037176181773694</v>
      </c>
      <c r="AN1824" s="111" t="str">
        <f>IF(Audit[[#This Row],[K-M P Value]]&gt;1-'General Info'!$B$16,"Continue", "Stop")</f>
        <v>Stop</v>
      </c>
      <c r="AO1824" s="110" t="b">
        <f>IF(Audit[[#This Row],[Status - Continue or stop audit]] = "Continue", TRUE, IF(AN1823 = "Continue", TRUE, FALSE))</f>
        <v>0</v>
      </c>
      <c r="AP1824" s="110"/>
    </row>
    <row r="1825" spans="1:42" ht="15" hidden="1" customHeight="1">
      <c r="A1825" s="111" t="str">
        <f>'Sampling Data'!W1820</f>
        <v/>
      </c>
      <c r="B1825" s="112" t="str">
        <f>'Sampling Data'!A1820</f>
        <v>RICHMOND HEIGHTS -04-B - ABS</v>
      </c>
      <c r="C1825" s="112">
        <f>'Sampling Data'!B1820</f>
        <v>7</v>
      </c>
      <c r="D1825" s="112">
        <f>'Sampling Data'!C1820</f>
        <v>14</v>
      </c>
      <c r="E1825" s="113">
        <f>'Sampling Data'!D1820</f>
        <v>2</v>
      </c>
      <c r="F1825" s="113">
        <f>'Sampling Data'!E1820</f>
        <v>1</v>
      </c>
      <c r="G1825" s="113">
        <f>'Sampling Data'!F1820</f>
        <v>0</v>
      </c>
      <c r="H1825" s="113">
        <f>'Sampling Data'!G1820</f>
        <v>0</v>
      </c>
      <c r="I1825" s="112">
        <f>'Sampling Data'!H1820</f>
        <v>0</v>
      </c>
      <c r="J1825" s="112">
        <f>'Sampling Data'!I1820</f>
        <v>0</v>
      </c>
      <c r="K1825" s="112">
        <f>'Sampling Data'!J1820</f>
        <v>24</v>
      </c>
      <c r="L1825" s="111">
        <f>'Sampling Data'!X1820</f>
        <v>0</v>
      </c>
      <c r="M1825" s="114"/>
      <c r="N1825" s="114"/>
      <c r="O1825" s="115"/>
      <c r="P1825" s="115"/>
      <c r="Q1825" s="116"/>
      <c r="R1825" s="116"/>
      <c r="S1825" s="111">
        <f>Audit[[#This Row],[Audit Losing Candidate]]-Audit[[#This Row],[Losing Candidate]]</f>
        <v>-7</v>
      </c>
      <c r="T1825" s="111">
        <f>Audit[[#This Row],[Audit Winning Candidate]]-Audit[[#This Row],[Winning Candidate]]</f>
        <v>-14</v>
      </c>
      <c r="U1825" s="111">
        <f>Audit[[#This Row],[Audit Candidate 3]]-Audit[[#This Row],[Candidate 3]]</f>
        <v>-2</v>
      </c>
      <c r="V1825" s="111">
        <f>Audit[[#This Row],[Audit Candidate 4]]-Audit[[#This Row],[Candidate 4]]</f>
        <v>-1</v>
      </c>
      <c r="W1825" s="111">
        <f>Audit[[#This Row],[Audit Candidate 5]]-Audit[[#This Row],[Candidate 5]]</f>
        <v>0</v>
      </c>
      <c r="X1825" s="111">
        <f>Audit[[#This Row],[Audit Candidate 6]]-Audit[[#This Row],[Candidate 6]]</f>
        <v>0</v>
      </c>
      <c r="Y1825" s="111">
        <f>SUMIF(Audit[[#This Row],[Difference Loser]:[Difference Candidate 6]], "&gt;0")</f>
        <v>0</v>
      </c>
      <c r="Z1825" s="111">
        <f>SUM(Audit[[#This Row],[Difference Loser]:[Difference Candidate 6]])</f>
        <v>-24</v>
      </c>
      <c r="AA1825" s="111">
        <f>IF(Audit[[#This Row],[Times p Drawn - With Replacement]]&gt;0, IF(Audit[[#This Row],[Canceled Differences]]&lt;0, Audit[[#This Row],[Max Differences]]+ABS(Audit[[#This Row],[Canceled Differences]]), Audit[[#This Row],[Max Differences]]), 0)</f>
        <v>0</v>
      </c>
      <c r="AB1825" s="111">
        <f>'Sampling Data'!P1820</f>
        <v>1.8985791278784908E-3</v>
      </c>
      <c r="AC1825" s="111">
        <f>IF(
      SUM(Audit[[#This Row],[Audit Losing Candidate]:[Audit Candidate 6]])
      &lt;&gt;0,
      (Audit[[#This Row],[Winning Candidate]]-Audit[[#This Row],[Losing Candidate]]-(Audit[[#This Row],[Audit Winning Candidate]]-Audit[[#This Row],[Audit Losing Candidate]]))/(Audit[[#Totals],[Winning Candidate]]-Audit[[#Totals],[Losing Candidate]]),
      0
)</f>
        <v>0</v>
      </c>
      <c r="AD18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5" s="111">
        <f>IF(Audit[[#This Row],[Max Relative Error (ep)]] = 0, 0, Audit[[#This Row],[Max Relative Error (ep)]]/Audit[[#This Row],[Error Bound (up) - Max. possible relative overstatement]])</f>
        <v>0</v>
      </c>
      <c r="AJ18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25" s="111">
        <f t="shared" si="28"/>
        <v>1</v>
      </c>
      <c r="AL1825" s="111">
        <f>PRODUCT($AK$5:AK1825)</f>
        <v>8.962823818226312E-2</v>
      </c>
      <c r="AM1825" s="109">
        <f>1 - [K-M P Value]</f>
        <v>0.91037176181773694</v>
      </c>
      <c r="AN1825" s="111" t="str">
        <f>IF(Audit[[#This Row],[K-M P Value]]&gt;1-'General Info'!$B$16,"Continue", "Stop")</f>
        <v>Stop</v>
      </c>
      <c r="AO1825" s="110" t="b">
        <f>IF(Audit[[#This Row],[Status - Continue or stop audit]] = "Continue", TRUE, IF(AN1824 = "Continue", TRUE, FALSE))</f>
        <v>0</v>
      </c>
      <c r="AP1825" s="110"/>
    </row>
    <row r="1826" spans="1:42" ht="15" hidden="1" customHeight="1">
      <c r="A1826" s="111" t="str">
        <f>'Sampling Data'!W1821</f>
        <v/>
      </c>
      <c r="B1826" s="112" t="str">
        <f>'Sampling Data'!A1821</f>
        <v>ROCKY RIVER -01-A</v>
      </c>
      <c r="C1826" s="112">
        <f>'Sampling Data'!B1821</f>
        <v>39</v>
      </c>
      <c r="D1826" s="112">
        <f>'Sampling Data'!C1821</f>
        <v>146</v>
      </c>
      <c r="E1826" s="113">
        <f>'Sampling Data'!D1821</f>
        <v>18</v>
      </c>
      <c r="F1826" s="113">
        <f>'Sampling Data'!E1821</f>
        <v>16</v>
      </c>
      <c r="G1826" s="113">
        <f>'Sampling Data'!F1821</f>
        <v>2</v>
      </c>
      <c r="H1826" s="113">
        <f>'Sampling Data'!G1821</f>
        <v>1</v>
      </c>
      <c r="I1826" s="112">
        <f>'Sampling Data'!H1821</f>
        <v>0</v>
      </c>
      <c r="J1826" s="112">
        <f>'Sampling Data'!I1821</f>
        <v>3</v>
      </c>
      <c r="K1826" s="112">
        <f>'Sampling Data'!J1821</f>
        <v>225</v>
      </c>
      <c r="L1826" s="111">
        <f>'Sampling Data'!X1821</f>
        <v>0</v>
      </c>
      <c r="M1826" s="114"/>
      <c r="N1826" s="114"/>
      <c r="O1826" s="115"/>
      <c r="P1826" s="115"/>
      <c r="Q1826" s="116"/>
      <c r="R1826" s="116"/>
      <c r="S1826" s="111">
        <f>Audit[[#This Row],[Audit Losing Candidate]]-Audit[[#This Row],[Losing Candidate]]</f>
        <v>-39</v>
      </c>
      <c r="T1826" s="111">
        <f>Audit[[#This Row],[Audit Winning Candidate]]-Audit[[#This Row],[Winning Candidate]]</f>
        <v>-146</v>
      </c>
      <c r="U1826" s="111">
        <f>Audit[[#This Row],[Audit Candidate 3]]-Audit[[#This Row],[Candidate 3]]</f>
        <v>-18</v>
      </c>
      <c r="V1826" s="111">
        <f>Audit[[#This Row],[Audit Candidate 4]]-Audit[[#This Row],[Candidate 4]]</f>
        <v>-16</v>
      </c>
      <c r="W1826" s="111">
        <f>Audit[[#This Row],[Audit Candidate 5]]-Audit[[#This Row],[Candidate 5]]</f>
        <v>-2</v>
      </c>
      <c r="X1826" s="111">
        <f>Audit[[#This Row],[Audit Candidate 6]]-Audit[[#This Row],[Candidate 6]]</f>
        <v>-1</v>
      </c>
      <c r="Y1826" s="111">
        <f>SUMIF(Audit[[#This Row],[Difference Loser]:[Difference Candidate 6]], "&gt;0")</f>
        <v>0</v>
      </c>
      <c r="Z1826" s="111">
        <f>SUM(Audit[[#This Row],[Difference Loser]:[Difference Candidate 6]])</f>
        <v>-222</v>
      </c>
      <c r="AA1826" s="111">
        <f>IF(Audit[[#This Row],[Times p Drawn - With Replacement]]&gt;0, IF(Audit[[#This Row],[Canceled Differences]]&lt;0, Audit[[#This Row],[Max Differences]]+ABS(Audit[[#This Row],[Canceled Differences]]), Audit[[#This Row],[Max Differences]]), 0)</f>
        <v>0</v>
      </c>
      <c r="AB1826" s="111">
        <f>'Sampling Data'!P1821</f>
        <v>2.0333170014698677E-2</v>
      </c>
      <c r="AC1826" s="111">
        <f>IF(
      SUM(Audit[[#This Row],[Audit Losing Candidate]:[Audit Candidate 6]])
      &lt;&gt;0,
      (Audit[[#This Row],[Winning Candidate]]-Audit[[#This Row],[Losing Candidate]]-(Audit[[#This Row],[Audit Winning Candidate]]-Audit[[#This Row],[Audit Losing Candidate]]))/(Audit[[#Totals],[Winning Candidate]]-Audit[[#Totals],[Losing Candidate]]),
      0
)</f>
        <v>0</v>
      </c>
      <c r="AD18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6" s="111">
        <f>IF(Audit[[#This Row],[Max Relative Error (ep)]] = 0, 0, Audit[[#This Row],[Max Relative Error (ep)]]/Audit[[#This Row],[Error Bound (up) - Max. possible relative overstatement]])</f>
        <v>0</v>
      </c>
      <c r="AJ18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26" s="111">
        <f t="shared" si="28"/>
        <v>1</v>
      </c>
      <c r="AL1826" s="111">
        <f>PRODUCT($AK$5:AK1826)</f>
        <v>8.962823818226312E-2</v>
      </c>
      <c r="AM1826" s="109">
        <f>1 - [K-M P Value]</f>
        <v>0.91037176181773694</v>
      </c>
      <c r="AN1826" s="111" t="str">
        <f>IF(Audit[[#This Row],[K-M P Value]]&gt;1-'General Info'!$B$16,"Continue", "Stop")</f>
        <v>Stop</v>
      </c>
      <c r="AO1826" s="110" t="b">
        <f>IF(Audit[[#This Row],[Status - Continue or stop audit]] = "Continue", TRUE, IF(AN1825 = "Continue", TRUE, FALSE))</f>
        <v>0</v>
      </c>
      <c r="AP1826" s="110"/>
    </row>
    <row r="1827" spans="1:42" ht="15" hidden="1" customHeight="1">
      <c r="A1827" s="111" t="str">
        <f>'Sampling Data'!W1822</f>
        <v/>
      </c>
      <c r="B1827" s="112" t="str">
        <f>'Sampling Data'!A1822</f>
        <v>ROCKY RIVER -01-A - ABS</v>
      </c>
      <c r="C1827" s="112">
        <f>'Sampling Data'!B1822</f>
        <v>14</v>
      </c>
      <c r="D1827" s="112">
        <f>'Sampling Data'!C1822</f>
        <v>50</v>
      </c>
      <c r="E1827" s="113">
        <f>'Sampling Data'!D1822</f>
        <v>7</v>
      </c>
      <c r="F1827" s="113">
        <f>'Sampling Data'!E1822</f>
        <v>5</v>
      </c>
      <c r="G1827" s="113">
        <f>'Sampling Data'!F1822</f>
        <v>0</v>
      </c>
      <c r="H1827" s="113">
        <f>'Sampling Data'!G1822</f>
        <v>1</v>
      </c>
      <c r="I1827" s="112">
        <f>'Sampling Data'!H1822</f>
        <v>0</v>
      </c>
      <c r="J1827" s="112">
        <f>'Sampling Data'!I1822</f>
        <v>6</v>
      </c>
      <c r="K1827" s="112">
        <f>'Sampling Data'!J1822</f>
        <v>83</v>
      </c>
      <c r="L1827" s="111">
        <f>'Sampling Data'!X1822</f>
        <v>0</v>
      </c>
      <c r="M1827" s="114"/>
      <c r="N1827" s="114"/>
      <c r="O1827" s="115"/>
      <c r="P1827" s="115"/>
      <c r="Q1827" s="116"/>
      <c r="R1827" s="116"/>
      <c r="S1827" s="111">
        <f>Audit[[#This Row],[Audit Losing Candidate]]-Audit[[#This Row],[Losing Candidate]]</f>
        <v>-14</v>
      </c>
      <c r="T1827" s="111">
        <f>Audit[[#This Row],[Audit Winning Candidate]]-Audit[[#This Row],[Winning Candidate]]</f>
        <v>-50</v>
      </c>
      <c r="U1827" s="111">
        <f>Audit[[#This Row],[Audit Candidate 3]]-Audit[[#This Row],[Candidate 3]]</f>
        <v>-7</v>
      </c>
      <c r="V1827" s="111">
        <f>Audit[[#This Row],[Audit Candidate 4]]-Audit[[#This Row],[Candidate 4]]</f>
        <v>-5</v>
      </c>
      <c r="W1827" s="111">
        <f>Audit[[#This Row],[Audit Candidate 5]]-Audit[[#This Row],[Candidate 5]]</f>
        <v>0</v>
      </c>
      <c r="X1827" s="111">
        <f>Audit[[#This Row],[Audit Candidate 6]]-Audit[[#This Row],[Candidate 6]]</f>
        <v>-1</v>
      </c>
      <c r="Y1827" s="111">
        <f>SUMIF(Audit[[#This Row],[Difference Loser]:[Difference Candidate 6]], "&gt;0")</f>
        <v>0</v>
      </c>
      <c r="Z1827" s="111">
        <f>SUM(Audit[[#This Row],[Difference Loser]:[Difference Candidate 6]])</f>
        <v>-77</v>
      </c>
      <c r="AA1827" s="111">
        <f>IF(Audit[[#This Row],[Times p Drawn - With Replacement]]&gt;0, IF(Audit[[#This Row],[Canceled Differences]]&lt;0, Audit[[#This Row],[Max Differences]]+ABS(Audit[[#This Row],[Canceled Differences]]), Audit[[#This Row],[Max Differences]]), 0)</f>
        <v>0</v>
      </c>
      <c r="AB1827" s="111">
        <f>'Sampling Data'!P1822</f>
        <v>7.2880940715335622E-3</v>
      </c>
      <c r="AC1827" s="111">
        <f>IF(
      SUM(Audit[[#This Row],[Audit Losing Candidate]:[Audit Candidate 6]])
      &lt;&gt;0,
      (Audit[[#This Row],[Winning Candidate]]-Audit[[#This Row],[Losing Candidate]]-(Audit[[#This Row],[Audit Winning Candidate]]-Audit[[#This Row],[Audit Losing Candidate]]))/(Audit[[#Totals],[Winning Candidate]]-Audit[[#Totals],[Losing Candidate]]),
      0
)</f>
        <v>0</v>
      </c>
      <c r="AD18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7" s="111">
        <f>IF(Audit[[#This Row],[Max Relative Error (ep)]] = 0, 0, Audit[[#This Row],[Max Relative Error (ep)]]/Audit[[#This Row],[Error Bound (up) - Max. possible relative overstatement]])</f>
        <v>0</v>
      </c>
      <c r="AJ18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27" s="111">
        <f t="shared" si="28"/>
        <v>1</v>
      </c>
      <c r="AL1827" s="111">
        <f>PRODUCT($AK$5:AK1827)</f>
        <v>8.962823818226312E-2</v>
      </c>
      <c r="AM1827" s="109">
        <f>1 - [K-M P Value]</f>
        <v>0.91037176181773694</v>
      </c>
      <c r="AN1827" s="111" t="str">
        <f>IF(Audit[[#This Row],[K-M P Value]]&gt;1-'General Info'!$B$16,"Continue", "Stop")</f>
        <v>Stop</v>
      </c>
      <c r="AO1827" s="110" t="b">
        <f>IF(Audit[[#This Row],[Status - Continue or stop audit]] = "Continue", TRUE, IF(AN1826 = "Continue", TRUE, FALSE))</f>
        <v>0</v>
      </c>
      <c r="AP1827" s="110"/>
    </row>
    <row r="1828" spans="1:42" ht="15" hidden="1" customHeight="1">
      <c r="A1828" s="111" t="str">
        <f>'Sampling Data'!W1823</f>
        <v/>
      </c>
      <c r="B1828" s="112" t="str">
        <f>'Sampling Data'!A1823</f>
        <v>ROCKY RIVER -01-B</v>
      </c>
      <c r="C1828" s="112">
        <f>'Sampling Data'!B1823</f>
        <v>40</v>
      </c>
      <c r="D1828" s="112">
        <f>'Sampling Data'!C1823</f>
        <v>158</v>
      </c>
      <c r="E1828" s="113">
        <f>'Sampling Data'!D1823</f>
        <v>26</v>
      </c>
      <c r="F1828" s="113">
        <f>'Sampling Data'!E1823</f>
        <v>18</v>
      </c>
      <c r="G1828" s="113">
        <f>'Sampling Data'!F1823</f>
        <v>0</v>
      </c>
      <c r="H1828" s="113">
        <f>'Sampling Data'!G1823</f>
        <v>1</v>
      </c>
      <c r="I1828" s="112">
        <f>'Sampling Data'!H1823</f>
        <v>0</v>
      </c>
      <c r="J1828" s="112">
        <f>'Sampling Data'!I1823</f>
        <v>1</v>
      </c>
      <c r="K1828" s="112">
        <f>'Sampling Data'!J1823</f>
        <v>244</v>
      </c>
      <c r="L1828" s="111">
        <f>'Sampling Data'!X1823</f>
        <v>0</v>
      </c>
      <c r="M1828" s="114"/>
      <c r="N1828" s="114"/>
      <c r="O1828" s="115"/>
      <c r="P1828" s="115"/>
      <c r="Q1828" s="116"/>
      <c r="R1828" s="116"/>
      <c r="S1828" s="111">
        <f>Audit[[#This Row],[Audit Losing Candidate]]-Audit[[#This Row],[Losing Candidate]]</f>
        <v>-40</v>
      </c>
      <c r="T1828" s="111">
        <f>Audit[[#This Row],[Audit Winning Candidate]]-Audit[[#This Row],[Winning Candidate]]</f>
        <v>-158</v>
      </c>
      <c r="U1828" s="111">
        <f>Audit[[#This Row],[Audit Candidate 3]]-Audit[[#This Row],[Candidate 3]]</f>
        <v>-26</v>
      </c>
      <c r="V1828" s="111">
        <f>Audit[[#This Row],[Audit Candidate 4]]-Audit[[#This Row],[Candidate 4]]</f>
        <v>-18</v>
      </c>
      <c r="W1828" s="111">
        <f>Audit[[#This Row],[Audit Candidate 5]]-Audit[[#This Row],[Candidate 5]]</f>
        <v>0</v>
      </c>
      <c r="X1828" s="111">
        <f>Audit[[#This Row],[Audit Candidate 6]]-Audit[[#This Row],[Candidate 6]]</f>
        <v>-1</v>
      </c>
      <c r="Y1828" s="111">
        <f>SUMIF(Audit[[#This Row],[Difference Loser]:[Difference Candidate 6]], "&gt;0")</f>
        <v>0</v>
      </c>
      <c r="Z1828" s="111">
        <f>SUM(Audit[[#This Row],[Difference Loser]:[Difference Candidate 6]])</f>
        <v>-243</v>
      </c>
      <c r="AA1828" s="111">
        <f>IF(Audit[[#This Row],[Times p Drawn - With Replacement]]&gt;0, IF(Audit[[#This Row],[Canceled Differences]]&lt;0, Audit[[#This Row],[Max Differences]]+ABS(Audit[[#This Row],[Canceled Differences]]), Audit[[#This Row],[Max Differences]]), 0)</f>
        <v>0</v>
      </c>
      <c r="AB1828" s="111">
        <f>'Sampling Data'!P1823</f>
        <v>2.2170504654581088E-2</v>
      </c>
      <c r="AC1828" s="111">
        <f>IF(
      SUM(Audit[[#This Row],[Audit Losing Candidate]:[Audit Candidate 6]])
      &lt;&gt;0,
      (Audit[[#This Row],[Winning Candidate]]-Audit[[#This Row],[Losing Candidate]]-(Audit[[#This Row],[Audit Winning Candidate]]-Audit[[#This Row],[Audit Losing Candidate]]))/(Audit[[#Totals],[Winning Candidate]]-Audit[[#Totals],[Losing Candidate]]),
      0
)</f>
        <v>0</v>
      </c>
      <c r="AD18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8" s="111">
        <f>IF(Audit[[#This Row],[Max Relative Error (ep)]] = 0, 0, Audit[[#This Row],[Max Relative Error (ep)]]/Audit[[#This Row],[Error Bound (up) - Max. possible relative overstatement]])</f>
        <v>0</v>
      </c>
      <c r="AJ18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28" s="111">
        <f t="shared" si="28"/>
        <v>1</v>
      </c>
      <c r="AL1828" s="111">
        <f>PRODUCT($AK$5:AK1828)</f>
        <v>8.962823818226312E-2</v>
      </c>
      <c r="AM1828" s="109">
        <f>1 - [K-M P Value]</f>
        <v>0.91037176181773694</v>
      </c>
      <c r="AN1828" s="111" t="str">
        <f>IF(Audit[[#This Row],[K-M P Value]]&gt;1-'General Info'!$B$16,"Continue", "Stop")</f>
        <v>Stop</v>
      </c>
      <c r="AO1828" s="110" t="b">
        <f>IF(Audit[[#This Row],[Status - Continue or stop audit]] = "Continue", TRUE, IF(AN1827 = "Continue", TRUE, FALSE))</f>
        <v>0</v>
      </c>
      <c r="AP1828" s="110"/>
    </row>
    <row r="1829" spans="1:42" ht="15" hidden="1" customHeight="1">
      <c r="A1829" s="111" t="str">
        <f>'Sampling Data'!W1824</f>
        <v/>
      </c>
      <c r="B1829" s="112" t="str">
        <f>'Sampling Data'!A1824</f>
        <v>ROCKY RIVER -01-B - ABS</v>
      </c>
      <c r="C1829" s="112">
        <f>'Sampling Data'!B1824</f>
        <v>22</v>
      </c>
      <c r="D1829" s="112">
        <f>'Sampling Data'!C1824</f>
        <v>48</v>
      </c>
      <c r="E1829" s="113">
        <f>'Sampling Data'!D1824</f>
        <v>4</v>
      </c>
      <c r="F1829" s="113">
        <f>'Sampling Data'!E1824</f>
        <v>3</v>
      </c>
      <c r="G1829" s="113">
        <f>'Sampling Data'!F1824</f>
        <v>0</v>
      </c>
      <c r="H1829" s="113">
        <f>'Sampling Data'!G1824</f>
        <v>0</v>
      </c>
      <c r="I1829" s="112">
        <f>'Sampling Data'!H1824</f>
        <v>0</v>
      </c>
      <c r="J1829" s="112">
        <f>'Sampling Data'!I1824</f>
        <v>2</v>
      </c>
      <c r="K1829" s="112">
        <f>'Sampling Data'!J1824</f>
        <v>79</v>
      </c>
      <c r="L1829" s="111">
        <f>'Sampling Data'!X1824</f>
        <v>0</v>
      </c>
      <c r="M1829" s="114"/>
      <c r="N1829" s="114"/>
      <c r="O1829" s="115"/>
      <c r="P1829" s="115"/>
      <c r="Q1829" s="116"/>
      <c r="R1829" s="116"/>
      <c r="S1829" s="111">
        <f>Audit[[#This Row],[Audit Losing Candidate]]-Audit[[#This Row],[Losing Candidate]]</f>
        <v>-22</v>
      </c>
      <c r="T1829" s="111">
        <f>Audit[[#This Row],[Audit Winning Candidate]]-Audit[[#This Row],[Winning Candidate]]</f>
        <v>-48</v>
      </c>
      <c r="U1829" s="111">
        <f>Audit[[#This Row],[Audit Candidate 3]]-Audit[[#This Row],[Candidate 3]]</f>
        <v>-4</v>
      </c>
      <c r="V1829" s="111">
        <f>Audit[[#This Row],[Audit Candidate 4]]-Audit[[#This Row],[Candidate 4]]</f>
        <v>-3</v>
      </c>
      <c r="W1829" s="111">
        <f>Audit[[#This Row],[Audit Candidate 5]]-Audit[[#This Row],[Candidate 5]]</f>
        <v>0</v>
      </c>
      <c r="X1829" s="111">
        <f>Audit[[#This Row],[Audit Candidate 6]]-Audit[[#This Row],[Candidate 6]]</f>
        <v>0</v>
      </c>
      <c r="Y1829" s="111">
        <f>SUMIF(Audit[[#This Row],[Difference Loser]:[Difference Candidate 6]], "&gt;0")</f>
        <v>0</v>
      </c>
      <c r="Z1829" s="111">
        <f>SUM(Audit[[#This Row],[Difference Loser]:[Difference Candidate 6]])</f>
        <v>-77</v>
      </c>
      <c r="AA1829" s="111">
        <f>IF(Audit[[#This Row],[Times p Drawn - With Replacement]]&gt;0, IF(Audit[[#This Row],[Canceled Differences]]&lt;0, Audit[[#This Row],[Max Differences]]+ABS(Audit[[#This Row],[Canceled Differences]]), Audit[[#This Row],[Max Differences]]), 0)</f>
        <v>0</v>
      </c>
      <c r="AB1829" s="111">
        <f>'Sampling Data'!P1824</f>
        <v>6.4306712395884374E-3</v>
      </c>
      <c r="AC1829" s="111">
        <f>IF(
      SUM(Audit[[#This Row],[Audit Losing Candidate]:[Audit Candidate 6]])
      &lt;&gt;0,
      (Audit[[#This Row],[Winning Candidate]]-Audit[[#This Row],[Losing Candidate]]-(Audit[[#This Row],[Audit Winning Candidate]]-Audit[[#This Row],[Audit Losing Candidate]]))/(Audit[[#Totals],[Winning Candidate]]-Audit[[#Totals],[Losing Candidate]]),
      0
)</f>
        <v>0</v>
      </c>
      <c r="AD18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9" s="111">
        <f>IF(Audit[[#This Row],[Max Relative Error (ep)]] = 0, 0, Audit[[#This Row],[Max Relative Error (ep)]]/Audit[[#This Row],[Error Bound (up) - Max. possible relative overstatement]])</f>
        <v>0</v>
      </c>
      <c r="AJ18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29" s="111">
        <f t="shared" si="28"/>
        <v>1</v>
      </c>
      <c r="AL1829" s="111">
        <f>PRODUCT($AK$5:AK1829)</f>
        <v>8.962823818226312E-2</v>
      </c>
      <c r="AM1829" s="109">
        <f>1 - [K-M P Value]</f>
        <v>0.91037176181773694</v>
      </c>
      <c r="AN1829" s="111" t="str">
        <f>IF(Audit[[#This Row],[K-M P Value]]&gt;1-'General Info'!$B$16,"Continue", "Stop")</f>
        <v>Stop</v>
      </c>
      <c r="AO1829" s="110" t="b">
        <f>IF(Audit[[#This Row],[Status - Continue or stop audit]] = "Continue", TRUE, IF(AN1828 = "Continue", TRUE, FALSE))</f>
        <v>0</v>
      </c>
      <c r="AP1829" s="110"/>
    </row>
    <row r="1830" spans="1:42" ht="15" hidden="1" customHeight="1">
      <c r="A1830" s="111" t="str">
        <f>'Sampling Data'!W1825</f>
        <v/>
      </c>
      <c r="B1830" s="112" t="str">
        <f>'Sampling Data'!A1825</f>
        <v>ROCKY RIVER -01-B.02</v>
      </c>
      <c r="C1830" s="112">
        <f>'Sampling Data'!B1825</f>
        <v>3</v>
      </c>
      <c r="D1830" s="112">
        <f>'Sampling Data'!C1825</f>
        <v>8</v>
      </c>
      <c r="E1830" s="113">
        <f>'Sampling Data'!D1825</f>
        <v>1</v>
      </c>
      <c r="F1830" s="113">
        <f>'Sampling Data'!E1825</f>
        <v>1</v>
      </c>
      <c r="G1830" s="113">
        <f>'Sampling Data'!F1825</f>
        <v>0</v>
      </c>
      <c r="H1830" s="113">
        <f>'Sampling Data'!G1825</f>
        <v>0</v>
      </c>
      <c r="I1830" s="112">
        <f>'Sampling Data'!H1825</f>
        <v>0</v>
      </c>
      <c r="J1830" s="112">
        <f>'Sampling Data'!I1825</f>
        <v>0</v>
      </c>
      <c r="K1830" s="112">
        <f>'Sampling Data'!J1825</f>
        <v>13</v>
      </c>
      <c r="L1830" s="111">
        <f>'Sampling Data'!X1825</f>
        <v>0</v>
      </c>
      <c r="M1830" s="114"/>
      <c r="N1830" s="114"/>
      <c r="O1830" s="115"/>
      <c r="P1830" s="115"/>
      <c r="Q1830" s="116"/>
      <c r="R1830" s="116"/>
      <c r="S1830" s="111">
        <f>Audit[[#This Row],[Audit Losing Candidate]]-Audit[[#This Row],[Losing Candidate]]</f>
        <v>-3</v>
      </c>
      <c r="T1830" s="111">
        <f>Audit[[#This Row],[Audit Winning Candidate]]-Audit[[#This Row],[Winning Candidate]]</f>
        <v>-8</v>
      </c>
      <c r="U1830" s="111">
        <f>Audit[[#This Row],[Audit Candidate 3]]-Audit[[#This Row],[Candidate 3]]</f>
        <v>-1</v>
      </c>
      <c r="V1830" s="111">
        <f>Audit[[#This Row],[Audit Candidate 4]]-Audit[[#This Row],[Candidate 4]]</f>
        <v>-1</v>
      </c>
      <c r="W1830" s="111">
        <f>Audit[[#This Row],[Audit Candidate 5]]-Audit[[#This Row],[Candidate 5]]</f>
        <v>0</v>
      </c>
      <c r="X1830" s="111">
        <f>Audit[[#This Row],[Audit Candidate 6]]-Audit[[#This Row],[Candidate 6]]</f>
        <v>0</v>
      </c>
      <c r="Y1830" s="111">
        <f>SUMIF(Audit[[#This Row],[Difference Loser]:[Difference Candidate 6]], "&gt;0")</f>
        <v>0</v>
      </c>
      <c r="Z1830" s="111">
        <f>SUM(Audit[[#This Row],[Difference Loser]:[Difference Candidate 6]])</f>
        <v>-13</v>
      </c>
      <c r="AA1830" s="111">
        <f>IF(Audit[[#This Row],[Times p Drawn - With Replacement]]&gt;0, IF(Audit[[#This Row],[Canceled Differences]]&lt;0, Audit[[#This Row],[Max Differences]]+ABS(Audit[[#This Row],[Canceled Differences]]), Audit[[#This Row],[Max Differences]]), 0)</f>
        <v>0</v>
      </c>
      <c r="AB1830" s="111">
        <f>'Sampling Data'!P1825</f>
        <v>1.1024007839294464E-3</v>
      </c>
      <c r="AC1830" s="111">
        <f>IF(
      SUM(Audit[[#This Row],[Audit Losing Candidate]:[Audit Candidate 6]])
      &lt;&gt;0,
      (Audit[[#This Row],[Winning Candidate]]-Audit[[#This Row],[Losing Candidate]]-(Audit[[#This Row],[Audit Winning Candidate]]-Audit[[#This Row],[Audit Losing Candidate]]))/(Audit[[#Totals],[Winning Candidate]]-Audit[[#Totals],[Losing Candidate]]),
      0
)</f>
        <v>0</v>
      </c>
      <c r="AD18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0" s="111">
        <f>IF(Audit[[#This Row],[Max Relative Error (ep)]] = 0, 0, Audit[[#This Row],[Max Relative Error (ep)]]/Audit[[#This Row],[Error Bound (up) - Max. possible relative overstatement]])</f>
        <v>0</v>
      </c>
      <c r="AJ18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30" s="111">
        <f t="shared" si="28"/>
        <v>1</v>
      </c>
      <c r="AL1830" s="111">
        <f>PRODUCT($AK$5:AK1830)</f>
        <v>8.962823818226312E-2</v>
      </c>
      <c r="AM1830" s="109">
        <f>1 - [K-M P Value]</f>
        <v>0.91037176181773694</v>
      </c>
      <c r="AN1830" s="111" t="str">
        <f>IF(Audit[[#This Row],[K-M P Value]]&gt;1-'General Info'!$B$16,"Continue", "Stop")</f>
        <v>Stop</v>
      </c>
      <c r="AO1830" s="110" t="b">
        <f>IF(Audit[[#This Row],[Status - Continue or stop audit]] = "Continue", TRUE, IF(AN1829 = "Continue", TRUE, FALSE))</f>
        <v>0</v>
      </c>
      <c r="AP1830" s="110"/>
    </row>
    <row r="1831" spans="1:42" ht="15" hidden="1" customHeight="1">
      <c r="A1831" s="111" t="str">
        <f>'Sampling Data'!W1826</f>
        <v/>
      </c>
      <c r="B1831" s="112" t="str">
        <f>'Sampling Data'!A1826</f>
        <v>ROCKY RIVER -01-B.02 - ABS</v>
      </c>
      <c r="C1831" s="112">
        <f>'Sampling Data'!B1826</f>
        <v>0</v>
      </c>
      <c r="D1831" s="112">
        <f>'Sampling Data'!C1826</f>
        <v>3</v>
      </c>
      <c r="E1831" s="113">
        <f>'Sampling Data'!D1826</f>
        <v>0</v>
      </c>
      <c r="F1831" s="113">
        <f>'Sampling Data'!E1826</f>
        <v>0</v>
      </c>
      <c r="G1831" s="113">
        <f>'Sampling Data'!F1826</f>
        <v>0</v>
      </c>
      <c r="H1831" s="113">
        <f>'Sampling Data'!G1826</f>
        <v>0</v>
      </c>
      <c r="I1831" s="112">
        <f>'Sampling Data'!H1826</f>
        <v>0</v>
      </c>
      <c r="J1831" s="112">
        <f>'Sampling Data'!I1826</f>
        <v>0</v>
      </c>
      <c r="K1831" s="112">
        <f>'Sampling Data'!J1826</f>
        <v>3</v>
      </c>
      <c r="L1831" s="111">
        <f>'Sampling Data'!X1826</f>
        <v>0</v>
      </c>
      <c r="M1831" s="114"/>
      <c r="N1831" s="114"/>
      <c r="O1831" s="115"/>
      <c r="P1831" s="115"/>
      <c r="Q1831" s="116"/>
      <c r="R1831" s="116"/>
      <c r="S1831" s="111">
        <f>Audit[[#This Row],[Audit Losing Candidate]]-Audit[[#This Row],[Losing Candidate]]</f>
        <v>0</v>
      </c>
      <c r="T1831" s="111">
        <f>Audit[[#This Row],[Audit Winning Candidate]]-Audit[[#This Row],[Winning Candidate]]</f>
        <v>-3</v>
      </c>
      <c r="U1831" s="111">
        <f>Audit[[#This Row],[Audit Candidate 3]]-Audit[[#This Row],[Candidate 3]]</f>
        <v>0</v>
      </c>
      <c r="V1831" s="111">
        <f>Audit[[#This Row],[Audit Candidate 4]]-Audit[[#This Row],[Candidate 4]]</f>
        <v>0</v>
      </c>
      <c r="W1831" s="111">
        <f>Audit[[#This Row],[Audit Candidate 5]]-Audit[[#This Row],[Candidate 5]]</f>
        <v>0</v>
      </c>
      <c r="X1831" s="111">
        <f>Audit[[#This Row],[Audit Candidate 6]]-Audit[[#This Row],[Candidate 6]]</f>
        <v>0</v>
      </c>
      <c r="Y1831" s="111">
        <f>SUMIF(Audit[[#This Row],[Difference Loser]:[Difference Candidate 6]], "&gt;0")</f>
        <v>0</v>
      </c>
      <c r="Z1831" s="111">
        <f>SUM(Audit[[#This Row],[Difference Loser]:[Difference Candidate 6]])</f>
        <v>-3</v>
      </c>
      <c r="AA1831" s="111">
        <f>IF(Audit[[#This Row],[Times p Drawn - With Replacement]]&gt;0, IF(Audit[[#This Row],[Canceled Differences]]&lt;0, Audit[[#This Row],[Max Differences]]+ABS(Audit[[#This Row],[Canceled Differences]]), Audit[[#This Row],[Max Differences]]), 0)</f>
        <v>0</v>
      </c>
      <c r="AB1831" s="111">
        <f>'Sampling Data'!P1826</f>
        <v>3.6746692797648211E-4</v>
      </c>
      <c r="AC1831" s="111">
        <f>IF(
      SUM(Audit[[#This Row],[Audit Losing Candidate]:[Audit Candidate 6]])
      &lt;&gt;0,
      (Audit[[#This Row],[Winning Candidate]]-Audit[[#This Row],[Losing Candidate]]-(Audit[[#This Row],[Audit Winning Candidate]]-Audit[[#This Row],[Audit Losing Candidate]]))/(Audit[[#Totals],[Winning Candidate]]-Audit[[#Totals],[Losing Candidate]]),
      0
)</f>
        <v>0</v>
      </c>
      <c r="AD18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1" s="111">
        <f>IF(Audit[[#This Row],[Max Relative Error (ep)]] = 0, 0, Audit[[#This Row],[Max Relative Error (ep)]]/Audit[[#This Row],[Error Bound (up) - Max. possible relative overstatement]])</f>
        <v>0</v>
      </c>
      <c r="AJ18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31" s="111">
        <f t="shared" si="28"/>
        <v>1</v>
      </c>
      <c r="AL1831" s="111">
        <f>PRODUCT($AK$5:AK1831)</f>
        <v>8.962823818226312E-2</v>
      </c>
      <c r="AM1831" s="109">
        <f>1 - [K-M P Value]</f>
        <v>0.91037176181773694</v>
      </c>
      <c r="AN1831" s="111" t="str">
        <f>IF(Audit[[#This Row],[K-M P Value]]&gt;1-'General Info'!$B$16,"Continue", "Stop")</f>
        <v>Stop</v>
      </c>
      <c r="AO1831" s="110" t="b">
        <f>IF(Audit[[#This Row],[Status - Continue or stop audit]] = "Continue", TRUE, IF(AN1830 = "Continue", TRUE, FALSE))</f>
        <v>0</v>
      </c>
      <c r="AP1831" s="110"/>
    </row>
    <row r="1832" spans="1:42" ht="15" hidden="1" customHeight="1">
      <c r="A1832" s="111" t="str">
        <f>'Sampling Data'!W1827</f>
        <v/>
      </c>
      <c r="B1832" s="112" t="str">
        <f>'Sampling Data'!A1827</f>
        <v>ROCKY RIVER -01-C</v>
      </c>
      <c r="C1832" s="112">
        <f>'Sampling Data'!B1827</f>
        <v>25</v>
      </c>
      <c r="D1832" s="112">
        <f>'Sampling Data'!C1827</f>
        <v>84</v>
      </c>
      <c r="E1832" s="113">
        <f>'Sampling Data'!D1827</f>
        <v>16</v>
      </c>
      <c r="F1832" s="113">
        <f>'Sampling Data'!E1827</f>
        <v>6</v>
      </c>
      <c r="G1832" s="113">
        <f>'Sampling Data'!F1827</f>
        <v>4</v>
      </c>
      <c r="H1832" s="113">
        <f>'Sampling Data'!G1827</f>
        <v>2</v>
      </c>
      <c r="I1832" s="112">
        <f>'Sampling Data'!H1827</f>
        <v>0</v>
      </c>
      <c r="J1832" s="112">
        <f>'Sampling Data'!I1827</f>
        <v>0</v>
      </c>
      <c r="K1832" s="112">
        <f>'Sampling Data'!J1827</f>
        <v>137</v>
      </c>
      <c r="L1832" s="111">
        <f>'Sampling Data'!X1827</f>
        <v>0</v>
      </c>
      <c r="M1832" s="114"/>
      <c r="N1832" s="114"/>
      <c r="O1832" s="115"/>
      <c r="P1832" s="115"/>
      <c r="Q1832" s="116"/>
      <c r="R1832" s="116"/>
      <c r="S1832" s="111">
        <f>Audit[[#This Row],[Audit Losing Candidate]]-Audit[[#This Row],[Losing Candidate]]</f>
        <v>-25</v>
      </c>
      <c r="T1832" s="111">
        <f>Audit[[#This Row],[Audit Winning Candidate]]-Audit[[#This Row],[Winning Candidate]]</f>
        <v>-84</v>
      </c>
      <c r="U1832" s="111">
        <f>Audit[[#This Row],[Audit Candidate 3]]-Audit[[#This Row],[Candidate 3]]</f>
        <v>-16</v>
      </c>
      <c r="V1832" s="111">
        <f>Audit[[#This Row],[Audit Candidate 4]]-Audit[[#This Row],[Candidate 4]]</f>
        <v>-6</v>
      </c>
      <c r="W1832" s="111">
        <f>Audit[[#This Row],[Audit Candidate 5]]-Audit[[#This Row],[Candidate 5]]</f>
        <v>-4</v>
      </c>
      <c r="X1832" s="111">
        <f>Audit[[#This Row],[Audit Candidate 6]]-Audit[[#This Row],[Candidate 6]]</f>
        <v>-2</v>
      </c>
      <c r="Y1832" s="111">
        <f>SUMIF(Audit[[#This Row],[Difference Loser]:[Difference Candidate 6]], "&gt;0")</f>
        <v>0</v>
      </c>
      <c r="Z1832" s="111">
        <f>SUM(Audit[[#This Row],[Difference Loser]:[Difference Candidate 6]])</f>
        <v>-137</v>
      </c>
      <c r="AA1832" s="111">
        <f>IF(Audit[[#This Row],[Times p Drawn - With Replacement]]&gt;0, IF(Audit[[#This Row],[Canceled Differences]]&lt;0, Audit[[#This Row],[Max Differences]]+ABS(Audit[[#This Row],[Canceled Differences]]), Audit[[#This Row],[Max Differences]]), 0)</f>
        <v>0</v>
      </c>
      <c r="AB1832" s="111">
        <f>'Sampling Data'!P1827</f>
        <v>1.2003919647231749E-2</v>
      </c>
      <c r="AC1832" s="111">
        <f>IF(
      SUM(Audit[[#This Row],[Audit Losing Candidate]:[Audit Candidate 6]])
      &lt;&gt;0,
      (Audit[[#This Row],[Winning Candidate]]-Audit[[#This Row],[Losing Candidate]]-(Audit[[#This Row],[Audit Winning Candidate]]-Audit[[#This Row],[Audit Losing Candidate]]))/(Audit[[#Totals],[Winning Candidate]]-Audit[[#Totals],[Losing Candidate]]),
      0
)</f>
        <v>0</v>
      </c>
      <c r="AD18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2" s="111">
        <f>IF(Audit[[#This Row],[Max Relative Error (ep)]] = 0, 0, Audit[[#This Row],[Max Relative Error (ep)]]/Audit[[#This Row],[Error Bound (up) - Max. possible relative overstatement]])</f>
        <v>0</v>
      </c>
      <c r="AJ18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32" s="111">
        <f t="shared" si="28"/>
        <v>1</v>
      </c>
      <c r="AL1832" s="111">
        <f>PRODUCT($AK$5:AK1832)</f>
        <v>8.962823818226312E-2</v>
      </c>
      <c r="AM1832" s="109">
        <f>1 - [K-M P Value]</f>
        <v>0.91037176181773694</v>
      </c>
      <c r="AN1832" s="111" t="str">
        <f>IF(Audit[[#This Row],[K-M P Value]]&gt;1-'General Info'!$B$16,"Continue", "Stop")</f>
        <v>Stop</v>
      </c>
      <c r="AO1832" s="110" t="b">
        <f>IF(Audit[[#This Row],[Status - Continue or stop audit]] = "Continue", TRUE, IF(AN1831 = "Continue", TRUE, FALSE))</f>
        <v>0</v>
      </c>
      <c r="AP1832" s="110"/>
    </row>
    <row r="1833" spans="1:42" ht="15" hidden="1" customHeight="1">
      <c r="A1833" s="111" t="str">
        <f>'Sampling Data'!W1828</f>
        <v/>
      </c>
      <c r="B1833" s="112" t="str">
        <f>'Sampling Data'!A1828</f>
        <v>ROCKY RIVER -01-C - ABS</v>
      </c>
      <c r="C1833" s="112">
        <f>'Sampling Data'!B1828</f>
        <v>18</v>
      </c>
      <c r="D1833" s="112">
        <f>'Sampling Data'!C1828</f>
        <v>55</v>
      </c>
      <c r="E1833" s="113">
        <f>'Sampling Data'!D1828</f>
        <v>4</v>
      </c>
      <c r="F1833" s="113">
        <f>'Sampling Data'!E1828</f>
        <v>4</v>
      </c>
      <c r="G1833" s="113">
        <f>'Sampling Data'!F1828</f>
        <v>1</v>
      </c>
      <c r="H1833" s="113">
        <f>'Sampling Data'!G1828</f>
        <v>1</v>
      </c>
      <c r="I1833" s="112">
        <f>'Sampling Data'!H1828</f>
        <v>0</v>
      </c>
      <c r="J1833" s="112">
        <f>'Sampling Data'!I1828</f>
        <v>8</v>
      </c>
      <c r="K1833" s="112">
        <f>'Sampling Data'!J1828</f>
        <v>91</v>
      </c>
      <c r="L1833" s="111">
        <f>'Sampling Data'!X1828</f>
        <v>0</v>
      </c>
      <c r="M1833" s="114"/>
      <c r="N1833" s="114"/>
      <c r="O1833" s="115"/>
      <c r="P1833" s="115"/>
      <c r="Q1833" s="116"/>
      <c r="R1833" s="116"/>
      <c r="S1833" s="111">
        <f>Audit[[#This Row],[Audit Losing Candidate]]-Audit[[#This Row],[Losing Candidate]]</f>
        <v>-18</v>
      </c>
      <c r="T1833" s="111">
        <f>Audit[[#This Row],[Audit Winning Candidate]]-Audit[[#This Row],[Winning Candidate]]</f>
        <v>-55</v>
      </c>
      <c r="U1833" s="111">
        <f>Audit[[#This Row],[Audit Candidate 3]]-Audit[[#This Row],[Candidate 3]]</f>
        <v>-4</v>
      </c>
      <c r="V1833" s="111">
        <f>Audit[[#This Row],[Audit Candidate 4]]-Audit[[#This Row],[Candidate 4]]</f>
        <v>-4</v>
      </c>
      <c r="W1833" s="111">
        <f>Audit[[#This Row],[Audit Candidate 5]]-Audit[[#This Row],[Candidate 5]]</f>
        <v>-1</v>
      </c>
      <c r="X1833" s="111">
        <f>Audit[[#This Row],[Audit Candidate 6]]-Audit[[#This Row],[Candidate 6]]</f>
        <v>-1</v>
      </c>
      <c r="Y1833" s="111">
        <f>SUMIF(Audit[[#This Row],[Difference Loser]:[Difference Candidate 6]], "&gt;0")</f>
        <v>0</v>
      </c>
      <c r="Z1833" s="111">
        <f>SUM(Audit[[#This Row],[Difference Loser]:[Difference Candidate 6]])</f>
        <v>-83</v>
      </c>
      <c r="AA1833" s="111">
        <f>IF(Audit[[#This Row],[Times p Drawn - With Replacement]]&gt;0, IF(Audit[[#This Row],[Canceled Differences]]&lt;0, Audit[[#This Row],[Max Differences]]+ABS(Audit[[#This Row],[Canceled Differences]]), Audit[[#This Row],[Max Differences]]), 0)</f>
        <v>0</v>
      </c>
      <c r="AB1833" s="111">
        <f>'Sampling Data'!P1828</f>
        <v>7.839294463498285E-3</v>
      </c>
      <c r="AC1833" s="111">
        <f>IF(
      SUM(Audit[[#This Row],[Audit Losing Candidate]:[Audit Candidate 6]])
      &lt;&gt;0,
      (Audit[[#This Row],[Winning Candidate]]-Audit[[#This Row],[Losing Candidate]]-(Audit[[#This Row],[Audit Winning Candidate]]-Audit[[#This Row],[Audit Losing Candidate]]))/(Audit[[#Totals],[Winning Candidate]]-Audit[[#Totals],[Losing Candidate]]),
      0
)</f>
        <v>0</v>
      </c>
      <c r="AD18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3" s="111">
        <f>IF(Audit[[#This Row],[Max Relative Error (ep)]] = 0, 0, Audit[[#This Row],[Max Relative Error (ep)]]/Audit[[#This Row],[Error Bound (up) - Max. possible relative overstatement]])</f>
        <v>0</v>
      </c>
      <c r="AJ18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33" s="111">
        <f t="shared" si="28"/>
        <v>1</v>
      </c>
      <c r="AL1833" s="111">
        <f>PRODUCT($AK$5:AK1833)</f>
        <v>8.962823818226312E-2</v>
      </c>
      <c r="AM1833" s="109">
        <f>1 - [K-M P Value]</f>
        <v>0.91037176181773694</v>
      </c>
      <c r="AN1833" s="111" t="str">
        <f>IF(Audit[[#This Row],[K-M P Value]]&gt;1-'General Info'!$B$16,"Continue", "Stop")</f>
        <v>Stop</v>
      </c>
      <c r="AO1833" s="110" t="b">
        <f>IF(Audit[[#This Row],[Status - Continue or stop audit]] = "Continue", TRUE, IF(AN1832 = "Continue", TRUE, FALSE))</f>
        <v>0</v>
      </c>
      <c r="AP1833" s="110"/>
    </row>
    <row r="1834" spans="1:42" ht="15" hidden="1" customHeight="1">
      <c r="A1834" s="111" t="str">
        <f>'Sampling Data'!W1829</f>
        <v/>
      </c>
      <c r="B1834" s="112" t="str">
        <f>'Sampling Data'!A1829</f>
        <v>ROCKY RIVER -01-D</v>
      </c>
      <c r="C1834" s="112">
        <f>'Sampling Data'!B1829</f>
        <v>36</v>
      </c>
      <c r="D1834" s="112">
        <f>'Sampling Data'!C1829</f>
        <v>112</v>
      </c>
      <c r="E1834" s="113">
        <f>'Sampling Data'!D1829</f>
        <v>21</v>
      </c>
      <c r="F1834" s="113">
        <f>'Sampling Data'!E1829</f>
        <v>13</v>
      </c>
      <c r="G1834" s="113">
        <f>'Sampling Data'!F1829</f>
        <v>0</v>
      </c>
      <c r="H1834" s="113">
        <f>'Sampling Data'!G1829</f>
        <v>1</v>
      </c>
      <c r="I1834" s="112">
        <f>'Sampling Data'!H1829</f>
        <v>0</v>
      </c>
      <c r="J1834" s="112">
        <f>'Sampling Data'!I1829</f>
        <v>0</v>
      </c>
      <c r="K1834" s="112">
        <f>'Sampling Data'!J1829</f>
        <v>183</v>
      </c>
      <c r="L1834" s="111">
        <f>'Sampling Data'!X1829</f>
        <v>0</v>
      </c>
      <c r="M1834" s="114"/>
      <c r="N1834" s="114"/>
      <c r="O1834" s="115"/>
      <c r="P1834" s="115"/>
      <c r="Q1834" s="116"/>
      <c r="R1834" s="116"/>
      <c r="S1834" s="111">
        <f>Audit[[#This Row],[Audit Losing Candidate]]-Audit[[#This Row],[Losing Candidate]]</f>
        <v>-36</v>
      </c>
      <c r="T1834" s="111">
        <f>Audit[[#This Row],[Audit Winning Candidate]]-Audit[[#This Row],[Winning Candidate]]</f>
        <v>-112</v>
      </c>
      <c r="U1834" s="111">
        <f>Audit[[#This Row],[Audit Candidate 3]]-Audit[[#This Row],[Candidate 3]]</f>
        <v>-21</v>
      </c>
      <c r="V1834" s="111">
        <f>Audit[[#This Row],[Audit Candidate 4]]-Audit[[#This Row],[Candidate 4]]</f>
        <v>-13</v>
      </c>
      <c r="W1834" s="111">
        <f>Audit[[#This Row],[Audit Candidate 5]]-Audit[[#This Row],[Candidate 5]]</f>
        <v>0</v>
      </c>
      <c r="X1834" s="111">
        <f>Audit[[#This Row],[Audit Candidate 6]]-Audit[[#This Row],[Candidate 6]]</f>
        <v>-1</v>
      </c>
      <c r="Y1834" s="111">
        <f>SUMIF(Audit[[#This Row],[Difference Loser]:[Difference Candidate 6]], "&gt;0")</f>
        <v>0</v>
      </c>
      <c r="Z1834" s="111">
        <f>SUM(Audit[[#This Row],[Difference Loser]:[Difference Candidate 6]])</f>
        <v>-183</v>
      </c>
      <c r="AA1834" s="111">
        <f>IF(Audit[[#This Row],[Times p Drawn - With Replacement]]&gt;0, IF(Audit[[#This Row],[Canceled Differences]]&lt;0, Audit[[#This Row],[Max Differences]]+ABS(Audit[[#This Row],[Canceled Differences]]), Audit[[#This Row],[Max Differences]]), 0)</f>
        <v>0</v>
      </c>
      <c r="AB1834" s="111">
        <f>'Sampling Data'!P1829</f>
        <v>1.5862322390984812E-2</v>
      </c>
      <c r="AC1834" s="111">
        <f>IF(
      SUM(Audit[[#This Row],[Audit Losing Candidate]:[Audit Candidate 6]])
      &lt;&gt;0,
      (Audit[[#This Row],[Winning Candidate]]-Audit[[#This Row],[Losing Candidate]]-(Audit[[#This Row],[Audit Winning Candidate]]-Audit[[#This Row],[Audit Losing Candidate]]))/(Audit[[#Totals],[Winning Candidate]]-Audit[[#Totals],[Losing Candidate]]),
      0
)</f>
        <v>0</v>
      </c>
      <c r="AD18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4" s="111">
        <f>IF(Audit[[#This Row],[Max Relative Error (ep)]] = 0, 0, Audit[[#This Row],[Max Relative Error (ep)]]/Audit[[#This Row],[Error Bound (up) - Max. possible relative overstatement]])</f>
        <v>0</v>
      </c>
      <c r="AJ18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34" s="111">
        <f t="shared" si="28"/>
        <v>1</v>
      </c>
      <c r="AL1834" s="111">
        <f>PRODUCT($AK$5:AK1834)</f>
        <v>8.962823818226312E-2</v>
      </c>
      <c r="AM1834" s="109">
        <f>1 - [K-M P Value]</f>
        <v>0.91037176181773694</v>
      </c>
      <c r="AN1834" s="111" t="str">
        <f>IF(Audit[[#This Row],[K-M P Value]]&gt;1-'General Info'!$B$16,"Continue", "Stop")</f>
        <v>Stop</v>
      </c>
      <c r="AO1834" s="110" t="b">
        <f>IF(Audit[[#This Row],[Status - Continue or stop audit]] = "Continue", TRUE, IF(AN1833 = "Continue", TRUE, FALSE))</f>
        <v>0</v>
      </c>
      <c r="AP1834" s="110"/>
    </row>
    <row r="1835" spans="1:42" ht="15" hidden="1" customHeight="1">
      <c r="A1835" s="111" t="str">
        <f>'Sampling Data'!W1830</f>
        <v/>
      </c>
      <c r="B1835" s="112" t="str">
        <f>'Sampling Data'!A1830</f>
        <v>ROCKY RIVER -01-D - ABS</v>
      </c>
      <c r="C1835" s="112">
        <f>'Sampling Data'!B1830</f>
        <v>24</v>
      </c>
      <c r="D1835" s="112">
        <f>'Sampling Data'!C1830</f>
        <v>23</v>
      </c>
      <c r="E1835" s="113">
        <f>'Sampling Data'!D1830</f>
        <v>7</v>
      </c>
      <c r="F1835" s="113">
        <f>'Sampling Data'!E1830</f>
        <v>1</v>
      </c>
      <c r="G1835" s="113">
        <f>'Sampling Data'!F1830</f>
        <v>0</v>
      </c>
      <c r="H1835" s="113">
        <f>'Sampling Data'!G1830</f>
        <v>0</v>
      </c>
      <c r="I1835" s="112">
        <f>'Sampling Data'!H1830</f>
        <v>0</v>
      </c>
      <c r="J1835" s="112">
        <f>'Sampling Data'!I1830</f>
        <v>0</v>
      </c>
      <c r="K1835" s="112">
        <f>'Sampling Data'!J1830</f>
        <v>55</v>
      </c>
      <c r="L1835" s="111">
        <f>'Sampling Data'!X1830</f>
        <v>0</v>
      </c>
      <c r="M1835" s="114"/>
      <c r="N1835" s="114"/>
      <c r="O1835" s="115"/>
      <c r="P1835" s="115"/>
      <c r="Q1835" s="116"/>
      <c r="R1835" s="116"/>
      <c r="S1835" s="111">
        <f>Audit[[#This Row],[Audit Losing Candidate]]-Audit[[#This Row],[Losing Candidate]]</f>
        <v>-24</v>
      </c>
      <c r="T1835" s="111">
        <f>Audit[[#This Row],[Audit Winning Candidate]]-Audit[[#This Row],[Winning Candidate]]</f>
        <v>-23</v>
      </c>
      <c r="U1835" s="111">
        <f>Audit[[#This Row],[Audit Candidate 3]]-Audit[[#This Row],[Candidate 3]]</f>
        <v>-7</v>
      </c>
      <c r="V1835" s="111">
        <f>Audit[[#This Row],[Audit Candidate 4]]-Audit[[#This Row],[Candidate 4]]</f>
        <v>-1</v>
      </c>
      <c r="W1835" s="111">
        <f>Audit[[#This Row],[Audit Candidate 5]]-Audit[[#This Row],[Candidate 5]]</f>
        <v>0</v>
      </c>
      <c r="X1835" s="111">
        <f>Audit[[#This Row],[Audit Candidate 6]]-Audit[[#This Row],[Candidate 6]]</f>
        <v>0</v>
      </c>
      <c r="Y1835" s="111">
        <f>SUMIF(Audit[[#This Row],[Difference Loser]:[Difference Candidate 6]], "&gt;0")</f>
        <v>0</v>
      </c>
      <c r="Z1835" s="111">
        <f>SUM(Audit[[#This Row],[Difference Loser]:[Difference Candidate 6]])</f>
        <v>-55</v>
      </c>
      <c r="AA1835" s="111">
        <f>IF(Audit[[#This Row],[Times p Drawn - With Replacement]]&gt;0, IF(Audit[[#This Row],[Canceled Differences]]&lt;0, Audit[[#This Row],[Max Differences]]+ABS(Audit[[#This Row],[Canceled Differences]]), Audit[[#This Row],[Max Differences]]), 0)</f>
        <v>0</v>
      </c>
      <c r="AB1835" s="111">
        <f>'Sampling Data'!P1830</f>
        <v>3.3072023517883389E-3</v>
      </c>
      <c r="AC1835" s="111">
        <f>IF(
      SUM(Audit[[#This Row],[Audit Losing Candidate]:[Audit Candidate 6]])
      &lt;&gt;0,
      (Audit[[#This Row],[Winning Candidate]]-Audit[[#This Row],[Losing Candidate]]-(Audit[[#This Row],[Audit Winning Candidate]]-Audit[[#This Row],[Audit Losing Candidate]]))/(Audit[[#Totals],[Winning Candidate]]-Audit[[#Totals],[Losing Candidate]]),
      0
)</f>
        <v>0</v>
      </c>
      <c r="AD18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5" s="111">
        <f>IF(Audit[[#This Row],[Max Relative Error (ep)]] = 0, 0, Audit[[#This Row],[Max Relative Error (ep)]]/Audit[[#This Row],[Error Bound (up) - Max. possible relative overstatement]])</f>
        <v>0</v>
      </c>
      <c r="AJ18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35" s="111">
        <f t="shared" si="28"/>
        <v>1</v>
      </c>
      <c r="AL1835" s="111">
        <f>PRODUCT($AK$5:AK1835)</f>
        <v>8.962823818226312E-2</v>
      </c>
      <c r="AM1835" s="109">
        <f>1 - [K-M P Value]</f>
        <v>0.91037176181773694</v>
      </c>
      <c r="AN1835" s="111" t="str">
        <f>IF(Audit[[#This Row],[K-M P Value]]&gt;1-'General Info'!$B$16,"Continue", "Stop")</f>
        <v>Stop</v>
      </c>
      <c r="AO1835" s="110" t="b">
        <f>IF(Audit[[#This Row],[Status - Continue or stop audit]] = "Continue", TRUE, IF(AN1834 = "Continue", TRUE, FALSE))</f>
        <v>0</v>
      </c>
      <c r="AP1835" s="110"/>
    </row>
    <row r="1836" spans="1:42" ht="15" hidden="1" customHeight="1">
      <c r="A1836" s="111" t="str">
        <f>'Sampling Data'!W1831</f>
        <v/>
      </c>
      <c r="B1836" s="112" t="str">
        <f>'Sampling Data'!A1831</f>
        <v>ROCKY RIVER -02-A</v>
      </c>
      <c r="C1836" s="112">
        <f>'Sampling Data'!B1831</f>
        <v>39</v>
      </c>
      <c r="D1836" s="112">
        <f>'Sampling Data'!C1831</f>
        <v>79</v>
      </c>
      <c r="E1836" s="113">
        <f>'Sampling Data'!D1831</f>
        <v>16</v>
      </c>
      <c r="F1836" s="113">
        <f>'Sampling Data'!E1831</f>
        <v>9</v>
      </c>
      <c r="G1836" s="113">
        <f>'Sampling Data'!F1831</f>
        <v>0</v>
      </c>
      <c r="H1836" s="113">
        <f>'Sampling Data'!G1831</f>
        <v>0</v>
      </c>
      <c r="I1836" s="112">
        <f>'Sampling Data'!H1831</f>
        <v>0</v>
      </c>
      <c r="J1836" s="112">
        <f>'Sampling Data'!I1831</f>
        <v>2</v>
      </c>
      <c r="K1836" s="112">
        <f>'Sampling Data'!J1831</f>
        <v>145</v>
      </c>
      <c r="L1836" s="111">
        <f>'Sampling Data'!X1831</f>
        <v>0</v>
      </c>
      <c r="M1836" s="114"/>
      <c r="N1836" s="114"/>
      <c r="O1836" s="115"/>
      <c r="P1836" s="115"/>
      <c r="Q1836" s="116"/>
      <c r="R1836" s="116"/>
      <c r="S1836" s="111">
        <f>Audit[[#This Row],[Audit Losing Candidate]]-Audit[[#This Row],[Losing Candidate]]</f>
        <v>-39</v>
      </c>
      <c r="T1836" s="111">
        <f>Audit[[#This Row],[Audit Winning Candidate]]-Audit[[#This Row],[Winning Candidate]]</f>
        <v>-79</v>
      </c>
      <c r="U1836" s="111">
        <f>Audit[[#This Row],[Audit Candidate 3]]-Audit[[#This Row],[Candidate 3]]</f>
        <v>-16</v>
      </c>
      <c r="V1836" s="111">
        <f>Audit[[#This Row],[Audit Candidate 4]]-Audit[[#This Row],[Candidate 4]]</f>
        <v>-9</v>
      </c>
      <c r="W1836" s="111">
        <f>Audit[[#This Row],[Audit Candidate 5]]-Audit[[#This Row],[Candidate 5]]</f>
        <v>0</v>
      </c>
      <c r="X1836" s="111">
        <f>Audit[[#This Row],[Audit Candidate 6]]-Audit[[#This Row],[Candidate 6]]</f>
        <v>0</v>
      </c>
      <c r="Y1836" s="111">
        <f>SUMIF(Audit[[#This Row],[Difference Loser]:[Difference Candidate 6]], "&gt;0")</f>
        <v>0</v>
      </c>
      <c r="Z1836" s="111">
        <f>SUM(Audit[[#This Row],[Difference Loser]:[Difference Candidate 6]])</f>
        <v>-143</v>
      </c>
      <c r="AA1836" s="111">
        <f>IF(Audit[[#This Row],[Times p Drawn - With Replacement]]&gt;0, IF(Audit[[#This Row],[Canceled Differences]]&lt;0, Audit[[#This Row],[Max Differences]]+ABS(Audit[[#This Row],[Canceled Differences]]), Audit[[#This Row],[Max Differences]]), 0)</f>
        <v>0</v>
      </c>
      <c r="AB1836" s="111">
        <f>'Sampling Data'!P1831</f>
        <v>1.1330230279274866E-2</v>
      </c>
      <c r="AC1836" s="111">
        <f>IF(
      SUM(Audit[[#This Row],[Audit Losing Candidate]:[Audit Candidate 6]])
      &lt;&gt;0,
      (Audit[[#This Row],[Winning Candidate]]-Audit[[#This Row],[Losing Candidate]]-(Audit[[#This Row],[Audit Winning Candidate]]-Audit[[#This Row],[Audit Losing Candidate]]))/(Audit[[#Totals],[Winning Candidate]]-Audit[[#Totals],[Losing Candidate]]),
      0
)</f>
        <v>0</v>
      </c>
      <c r="AD18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6" s="111">
        <f>IF(Audit[[#This Row],[Max Relative Error (ep)]] = 0, 0, Audit[[#This Row],[Max Relative Error (ep)]]/Audit[[#This Row],[Error Bound (up) - Max. possible relative overstatement]])</f>
        <v>0</v>
      </c>
      <c r="AJ18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36" s="111">
        <f t="shared" si="28"/>
        <v>1</v>
      </c>
      <c r="AL1836" s="111">
        <f>PRODUCT($AK$5:AK1836)</f>
        <v>8.962823818226312E-2</v>
      </c>
      <c r="AM1836" s="109">
        <f>1 - [K-M P Value]</f>
        <v>0.91037176181773694</v>
      </c>
      <c r="AN1836" s="111" t="str">
        <f>IF(Audit[[#This Row],[K-M P Value]]&gt;1-'General Info'!$B$16,"Continue", "Stop")</f>
        <v>Stop</v>
      </c>
      <c r="AO1836" s="110" t="b">
        <f>IF(Audit[[#This Row],[Status - Continue or stop audit]] = "Continue", TRUE, IF(AN1835 = "Continue", TRUE, FALSE))</f>
        <v>0</v>
      </c>
      <c r="AP1836" s="110"/>
    </row>
    <row r="1837" spans="1:42" ht="15" hidden="1" customHeight="1">
      <c r="A1837" s="111" t="str">
        <f>'Sampling Data'!W1832</f>
        <v/>
      </c>
      <c r="B1837" s="112" t="str">
        <f>'Sampling Data'!A1832</f>
        <v>ROCKY RIVER -02-A - ABS</v>
      </c>
      <c r="C1837" s="112">
        <f>'Sampling Data'!B1832</f>
        <v>30</v>
      </c>
      <c r="D1837" s="112">
        <f>'Sampling Data'!C1832</f>
        <v>36</v>
      </c>
      <c r="E1837" s="113">
        <f>'Sampling Data'!D1832</f>
        <v>7</v>
      </c>
      <c r="F1837" s="113">
        <f>'Sampling Data'!E1832</f>
        <v>3</v>
      </c>
      <c r="G1837" s="113">
        <f>'Sampling Data'!F1832</f>
        <v>1</v>
      </c>
      <c r="H1837" s="113">
        <f>'Sampling Data'!G1832</f>
        <v>0</v>
      </c>
      <c r="I1837" s="112">
        <f>'Sampling Data'!H1832</f>
        <v>0</v>
      </c>
      <c r="J1837" s="112">
        <f>'Sampling Data'!I1832</f>
        <v>2</v>
      </c>
      <c r="K1837" s="112">
        <f>'Sampling Data'!J1832</f>
        <v>79</v>
      </c>
      <c r="L1837" s="111">
        <f>'Sampling Data'!X1832</f>
        <v>0</v>
      </c>
      <c r="M1837" s="114"/>
      <c r="N1837" s="114"/>
      <c r="O1837" s="115"/>
      <c r="P1837" s="115"/>
      <c r="Q1837" s="116"/>
      <c r="R1837" s="116"/>
      <c r="S1837" s="111">
        <f>Audit[[#This Row],[Audit Losing Candidate]]-Audit[[#This Row],[Losing Candidate]]</f>
        <v>-30</v>
      </c>
      <c r="T1837" s="111">
        <f>Audit[[#This Row],[Audit Winning Candidate]]-Audit[[#This Row],[Winning Candidate]]</f>
        <v>-36</v>
      </c>
      <c r="U1837" s="111">
        <f>Audit[[#This Row],[Audit Candidate 3]]-Audit[[#This Row],[Candidate 3]]</f>
        <v>-7</v>
      </c>
      <c r="V1837" s="111">
        <f>Audit[[#This Row],[Audit Candidate 4]]-Audit[[#This Row],[Candidate 4]]</f>
        <v>-3</v>
      </c>
      <c r="W1837" s="111">
        <f>Audit[[#This Row],[Audit Candidate 5]]-Audit[[#This Row],[Candidate 5]]</f>
        <v>-1</v>
      </c>
      <c r="X1837" s="111">
        <f>Audit[[#This Row],[Audit Candidate 6]]-Audit[[#This Row],[Candidate 6]]</f>
        <v>0</v>
      </c>
      <c r="Y1837" s="111">
        <f>SUMIF(Audit[[#This Row],[Difference Loser]:[Difference Candidate 6]], "&gt;0")</f>
        <v>0</v>
      </c>
      <c r="Z1837" s="111">
        <f>SUM(Audit[[#This Row],[Difference Loser]:[Difference Candidate 6]])</f>
        <v>-77</v>
      </c>
      <c r="AA1837" s="111">
        <f>IF(Audit[[#This Row],[Times p Drawn - With Replacement]]&gt;0, IF(Audit[[#This Row],[Canceled Differences]]&lt;0, Audit[[#This Row],[Max Differences]]+ABS(Audit[[#This Row],[Canceled Differences]]), Audit[[#This Row],[Max Differences]]), 0)</f>
        <v>0</v>
      </c>
      <c r="AB1837" s="111">
        <f>'Sampling Data'!P1832</f>
        <v>5.2057814796668302E-3</v>
      </c>
      <c r="AC1837" s="111">
        <f>IF(
      SUM(Audit[[#This Row],[Audit Losing Candidate]:[Audit Candidate 6]])
      &lt;&gt;0,
      (Audit[[#This Row],[Winning Candidate]]-Audit[[#This Row],[Losing Candidate]]-(Audit[[#This Row],[Audit Winning Candidate]]-Audit[[#This Row],[Audit Losing Candidate]]))/(Audit[[#Totals],[Winning Candidate]]-Audit[[#Totals],[Losing Candidate]]),
      0
)</f>
        <v>0</v>
      </c>
      <c r="AD18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7" s="111">
        <f>IF(Audit[[#This Row],[Max Relative Error (ep)]] = 0, 0, Audit[[#This Row],[Max Relative Error (ep)]]/Audit[[#This Row],[Error Bound (up) - Max. possible relative overstatement]])</f>
        <v>0</v>
      </c>
      <c r="AJ18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37" s="111">
        <f t="shared" si="28"/>
        <v>1</v>
      </c>
      <c r="AL1837" s="111">
        <f>PRODUCT($AK$5:AK1837)</f>
        <v>8.962823818226312E-2</v>
      </c>
      <c r="AM1837" s="109">
        <f>1 - [K-M P Value]</f>
        <v>0.91037176181773694</v>
      </c>
      <c r="AN1837" s="111" t="str">
        <f>IF(Audit[[#This Row],[K-M P Value]]&gt;1-'General Info'!$B$16,"Continue", "Stop")</f>
        <v>Stop</v>
      </c>
      <c r="AO1837" s="110" t="b">
        <f>IF(Audit[[#This Row],[Status - Continue or stop audit]] = "Continue", TRUE, IF(AN1836 = "Continue", TRUE, FALSE))</f>
        <v>0</v>
      </c>
      <c r="AP1837" s="110"/>
    </row>
    <row r="1838" spans="1:42" ht="15" hidden="1" customHeight="1">
      <c r="A1838" s="111" t="str">
        <f>'Sampling Data'!W1833</f>
        <v/>
      </c>
      <c r="B1838" s="112" t="str">
        <f>'Sampling Data'!A1833</f>
        <v>ROCKY RIVER -02-B</v>
      </c>
      <c r="C1838" s="112">
        <f>'Sampling Data'!B1833</f>
        <v>41</v>
      </c>
      <c r="D1838" s="112">
        <f>'Sampling Data'!C1833</f>
        <v>100</v>
      </c>
      <c r="E1838" s="113">
        <f>'Sampling Data'!D1833</f>
        <v>13</v>
      </c>
      <c r="F1838" s="113">
        <f>'Sampling Data'!E1833</f>
        <v>9</v>
      </c>
      <c r="G1838" s="113">
        <f>'Sampling Data'!F1833</f>
        <v>0</v>
      </c>
      <c r="H1838" s="113">
        <f>'Sampling Data'!G1833</f>
        <v>1</v>
      </c>
      <c r="I1838" s="112">
        <f>'Sampling Data'!H1833</f>
        <v>0</v>
      </c>
      <c r="J1838" s="112">
        <f>'Sampling Data'!I1833</f>
        <v>3</v>
      </c>
      <c r="K1838" s="112">
        <f>'Sampling Data'!J1833</f>
        <v>167</v>
      </c>
      <c r="L1838" s="111">
        <f>'Sampling Data'!X1833</f>
        <v>0</v>
      </c>
      <c r="M1838" s="114"/>
      <c r="N1838" s="114"/>
      <c r="O1838" s="115"/>
      <c r="P1838" s="115"/>
      <c r="Q1838" s="116"/>
      <c r="R1838" s="116"/>
      <c r="S1838" s="111">
        <f>Audit[[#This Row],[Audit Losing Candidate]]-Audit[[#This Row],[Losing Candidate]]</f>
        <v>-41</v>
      </c>
      <c r="T1838" s="111">
        <f>Audit[[#This Row],[Audit Winning Candidate]]-Audit[[#This Row],[Winning Candidate]]</f>
        <v>-100</v>
      </c>
      <c r="U1838" s="111">
        <f>Audit[[#This Row],[Audit Candidate 3]]-Audit[[#This Row],[Candidate 3]]</f>
        <v>-13</v>
      </c>
      <c r="V1838" s="111">
        <f>Audit[[#This Row],[Audit Candidate 4]]-Audit[[#This Row],[Candidate 4]]</f>
        <v>-9</v>
      </c>
      <c r="W1838" s="111">
        <f>Audit[[#This Row],[Audit Candidate 5]]-Audit[[#This Row],[Candidate 5]]</f>
        <v>0</v>
      </c>
      <c r="X1838" s="111">
        <f>Audit[[#This Row],[Audit Candidate 6]]-Audit[[#This Row],[Candidate 6]]</f>
        <v>-1</v>
      </c>
      <c r="Y1838" s="111">
        <f>SUMIF(Audit[[#This Row],[Difference Loser]:[Difference Candidate 6]], "&gt;0")</f>
        <v>0</v>
      </c>
      <c r="Z1838" s="111">
        <f>SUM(Audit[[#This Row],[Difference Loser]:[Difference Candidate 6]])</f>
        <v>-164</v>
      </c>
      <c r="AA1838" s="111">
        <f>IF(Audit[[#This Row],[Times p Drawn - With Replacement]]&gt;0, IF(Audit[[#This Row],[Canceled Differences]]&lt;0, Audit[[#This Row],[Max Differences]]+ABS(Audit[[#This Row],[Canceled Differences]]), Audit[[#This Row],[Max Differences]]), 0)</f>
        <v>0</v>
      </c>
      <c r="AB1838" s="111">
        <f>'Sampling Data'!P1833</f>
        <v>1.384125428711416E-2</v>
      </c>
      <c r="AC1838" s="111">
        <f>IF(
      SUM(Audit[[#This Row],[Audit Losing Candidate]:[Audit Candidate 6]])
      &lt;&gt;0,
      (Audit[[#This Row],[Winning Candidate]]-Audit[[#This Row],[Losing Candidate]]-(Audit[[#This Row],[Audit Winning Candidate]]-Audit[[#This Row],[Audit Losing Candidate]]))/(Audit[[#Totals],[Winning Candidate]]-Audit[[#Totals],[Losing Candidate]]),
      0
)</f>
        <v>0</v>
      </c>
      <c r="AD18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8" s="111">
        <f>IF(Audit[[#This Row],[Max Relative Error (ep)]] = 0, 0, Audit[[#This Row],[Max Relative Error (ep)]]/Audit[[#This Row],[Error Bound (up) - Max. possible relative overstatement]])</f>
        <v>0</v>
      </c>
      <c r="AJ18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38" s="111">
        <f t="shared" si="28"/>
        <v>1</v>
      </c>
      <c r="AL1838" s="111">
        <f>PRODUCT($AK$5:AK1838)</f>
        <v>8.962823818226312E-2</v>
      </c>
      <c r="AM1838" s="109">
        <f>1 - [K-M P Value]</f>
        <v>0.91037176181773694</v>
      </c>
      <c r="AN1838" s="111" t="str">
        <f>IF(Audit[[#This Row],[K-M P Value]]&gt;1-'General Info'!$B$16,"Continue", "Stop")</f>
        <v>Stop</v>
      </c>
      <c r="AO1838" s="110" t="b">
        <f>IF(Audit[[#This Row],[Status - Continue or stop audit]] = "Continue", TRUE, IF(AN1837 = "Continue", TRUE, FALSE))</f>
        <v>0</v>
      </c>
      <c r="AP1838" s="110"/>
    </row>
    <row r="1839" spans="1:42" ht="15" hidden="1" customHeight="1">
      <c r="A1839" s="111" t="str">
        <f>'Sampling Data'!W1834</f>
        <v/>
      </c>
      <c r="B1839" s="112" t="str">
        <f>'Sampling Data'!A1834</f>
        <v>ROCKY RIVER -02-B - ABS</v>
      </c>
      <c r="C1839" s="112">
        <f>'Sampling Data'!B1834</f>
        <v>27</v>
      </c>
      <c r="D1839" s="112">
        <f>'Sampling Data'!C1834</f>
        <v>44</v>
      </c>
      <c r="E1839" s="113">
        <f>'Sampling Data'!D1834</f>
        <v>7</v>
      </c>
      <c r="F1839" s="113">
        <f>'Sampling Data'!E1834</f>
        <v>3</v>
      </c>
      <c r="G1839" s="113">
        <f>'Sampling Data'!F1834</f>
        <v>0</v>
      </c>
      <c r="H1839" s="113">
        <f>'Sampling Data'!G1834</f>
        <v>0</v>
      </c>
      <c r="I1839" s="112">
        <f>'Sampling Data'!H1834</f>
        <v>0</v>
      </c>
      <c r="J1839" s="112">
        <f>'Sampling Data'!I1834</f>
        <v>1</v>
      </c>
      <c r="K1839" s="112">
        <f>'Sampling Data'!J1834</f>
        <v>82</v>
      </c>
      <c r="L1839" s="111">
        <f>'Sampling Data'!X1834</f>
        <v>0</v>
      </c>
      <c r="M1839" s="114"/>
      <c r="N1839" s="114"/>
      <c r="O1839" s="115"/>
      <c r="P1839" s="115"/>
      <c r="Q1839" s="116"/>
      <c r="R1839" s="116"/>
      <c r="S1839" s="111">
        <f>Audit[[#This Row],[Audit Losing Candidate]]-Audit[[#This Row],[Losing Candidate]]</f>
        <v>-27</v>
      </c>
      <c r="T1839" s="111">
        <f>Audit[[#This Row],[Audit Winning Candidate]]-Audit[[#This Row],[Winning Candidate]]</f>
        <v>-44</v>
      </c>
      <c r="U1839" s="111">
        <f>Audit[[#This Row],[Audit Candidate 3]]-Audit[[#This Row],[Candidate 3]]</f>
        <v>-7</v>
      </c>
      <c r="V1839" s="111">
        <f>Audit[[#This Row],[Audit Candidate 4]]-Audit[[#This Row],[Candidate 4]]</f>
        <v>-3</v>
      </c>
      <c r="W1839" s="111">
        <f>Audit[[#This Row],[Audit Candidate 5]]-Audit[[#This Row],[Candidate 5]]</f>
        <v>0</v>
      </c>
      <c r="X1839" s="111">
        <f>Audit[[#This Row],[Audit Candidate 6]]-Audit[[#This Row],[Candidate 6]]</f>
        <v>0</v>
      </c>
      <c r="Y1839" s="111">
        <f>SUMIF(Audit[[#This Row],[Difference Loser]:[Difference Candidate 6]], "&gt;0")</f>
        <v>0</v>
      </c>
      <c r="Z1839" s="111">
        <f>SUM(Audit[[#This Row],[Difference Loser]:[Difference Candidate 6]])</f>
        <v>-81</v>
      </c>
      <c r="AA1839" s="111">
        <f>IF(Audit[[#This Row],[Times p Drawn - With Replacement]]&gt;0, IF(Audit[[#This Row],[Canceled Differences]]&lt;0, Audit[[#This Row],[Max Differences]]+ABS(Audit[[#This Row],[Canceled Differences]]), Audit[[#This Row],[Max Differences]]), 0)</f>
        <v>0</v>
      </c>
      <c r="AB1839" s="111">
        <f>'Sampling Data'!P1834</f>
        <v>6.063204311611955E-3</v>
      </c>
      <c r="AC1839" s="111">
        <f>IF(
      SUM(Audit[[#This Row],[Audit Losing Candidate]:[Audit Candidate 6]])
      &lt;&gt;0,
      (Audit[[#This Row],[Winning Candidate]]-Audit[[#This Row],[Losing Candidate]]-(Audit[[#This Row],[Audit Winning Candidate]]-Audit[[#This Row],[Audit Losing Candidate]]))/(Audit[[#Totals],[Winning Candidate]]-Audit[[#Totals],[Losing Candidate]]),
      0
)</f>
        <v>0</v>
      </c>
      <c r="AD18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9" s="111">
        <f>IF(Audit[[#This Row],[Max Relative Error (ep)]] = 0, 0, Audit[[#This Row],[Max Relative Error (ep)]]/Audit[[#This Row],[Error Bound (up) - Max. possible relative overstatement]])</f>
        <v>0</v>
      </c>
      <c r="AJ18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39" s="111">
        <f t="shared" si="28"/>
        <v>1</v>
      </c>
      <c r="AL1839" s="111">
        <f>PRODUCT($AK$5:AK1839)</f>
        <v>8.962823818226312E-2</v>
      </c>
      <c r="AM1839" s="109">
        <f>1 - [K-M P Value]</f>
        <v>0.91037176181773694</v>
      </c>
      <c r="AN1839" s="111" t="str">
        <f>IF(Audit[[#This Row],[K-M P Value]]&gt;1-'General Info'!$B$16,"Continue", "Stop")</f>
        <v>Stop</v>
      </c>
      <c r="AO1839" s="110" t="b">
        <f>IF(Audit[[#This Row],[Status - Continue or stop audit]] = "Continue", TRUE, IF(AN1838 = "Continue", TRUE, FALSE))</f>
        <v>0</v>
      </c>
      <c r="AP1839" s="110"/>
    </row>
    <row r="1840" spans="1:42" ht="15" hidden="1" customHeight="1">
      <c r="A1840" s="111" t="str">
        <f>'Sampling Data'!W1835</f>
        <v/>
      </c>
      <c r="B1840" s="112" t="str">
        <f>'Sampling Data'!A1835</f>
        <v>ROCKY RIVER -02-C</v>
      </c>
      <c r="C1840" s="112">
        <f>'Sampling Data'!B1835</f>
        <v>40</v>
      </c>
      <c r="D1840" s="112">
        <f>'Sampling Data'!C1835</f>
        <v>96</v>
      </c>
      <c r="E1840" s="113">
        <f>'Sampling Data'!D1835</f>
        <v>16</v>
      </c>
      <c r="F1840" s="113">
        <f>'Sampling Data'!E1835</f>
        <v>13</v>
      </c>
      <c r="G1840" s="113">
        <f>'Sampling Data'!F1835</f>
        <v>2</v>
      </c>
      <c r="H1840" s="113">
        <f>'Sampling Data'!G1835</f>
        <v>1</v>
      </c>
      <c r="I1840" s="112">
        <f>'Sampling Data'!H1835</f>
        <v>0</v>
      </c>
      <c r="J1840" s="112">
        <f>'Sampling Data'!I1835</f>
        <v>2</v>
      </c>
      <c r="K1840" s="112">
        <f>'Sampling Data'!J1835</f>
        <v>170</v>
      </c>
      <c r="L1840" s="111">
        <f>'Sampling Data'!X1835</f>
        <v>0</v>
      </c>
      <c r="M1840" s="114"/>
      <c r="N1840" s="114"/>
      <c r="O1840" s="115"/>
      <c r="P1840" s="115"/>
      <c r="Q1840" s="116"/>
      <c r="R1840" s="116"/>
      <c r="S1840" s="111">
        <f>Audit[[#This Row],[Audit Losing Candidate]]-Audit[[#This Row],[Losing Candidate]]</f>
        <v>-40</v>
      </c>
      <c r="T1840" s="111">
        <f>Audit[[#This Row],[Audit Winning Candidate]]-Audit[[#This Row],[Winning Candidate]]</f>
        <v>-96</v>
      </c>
      <c r="U1840" s="111">
        <f>Audit[[#This Row],[Audit Candidate 3]]-Audit[[#This Row],[Candidate 3]]</f>
        <v>-16</v>
      </c>
      <c r="V1840" s="111">
        <f>Audit[[#This Row],[Audit Candidate 4]]-Audit[[#This Row],[Candidate 4]]</f>
        <v>-13</v>
      </c>
      <c r="W1840" s="111">
        <f>Audit[[#This Row],[Audit Candidate 5]]-Audit[[#This Row],[Candidate 5]]</f>
        <v>-2</v>
      </c>
      <c r="X1840" s="111">
        <f>Audit[[#This Row],[Audit Candidate 6]]-Audit[[#This Row],[Candidate 6]]</f>
        <v>-1</v>
      </c>
      <c r="Y1840" s="111">
        <f>SUMIF(Audit[[#This Row],[Difference Loser]:[Difference Candidate 6]], "&gt;0")</f>
        <v>0</v>
      </c>
      <c r="Z1840" s="111">
        <f>SUM(Audit[[#This Row],[Difference Loser]:[Difference Candidate 6]])</f>
        <v>-168</v>
      </c>
      <c r="AA1840" s="111">
        <f>IF(Audit[[#This Row],[Times p Drawn - With Replacement]]&gt;0, IF(Audit[[#This Row],[Canceled Differences]]&lt;0, Audit[[#This Row],[Max Differences]]+ABS(Audit[[#This Row],[Canceled Differences]]), Audit[[#This Row],[Max Differences]]), 0)</f>
        <v>0</v>
      </c>
      <c r="AB1840" s="111">
        <f>'Sampling Data'!P1835</f>
        <v>1.384125428711416E-2</v>
      </c>
      <c r="AC1840" s="111">
        <f>IF(
      SUM(Audit[[#This Row],[Audit Losing Candidate]:[Audit Candidate 6]])
      &lt;&gt;0,
      (Audit[[#This Row],[Winning Candidate]]-Audit[[#This Row],[Losing Candidate]]-(Audit[[#This Row],[Audit Winning Candidate]]-Audit[[#This Row],[Audit Losing Candidate]]))/(Audit[[#Totals],[Winning Candidate]]-Audit[[#Totals],[Losing Candidate]]),
      0
)</f>
        <v>0</v>
      </c>
      <c r="AD18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0" s="111">
        <f>IF(Audit[[#This Row],[Max Relative Error (ep)]] = 0, 0, Audit[[#This Row],[Max Relative Error (ep)]]/Audit[[#This Row],[Error Bound (up) - Max. possible relative overstatement]])</f>
        <v>0</v>
      </c>
      <c r="AJ18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40" s="111">
        <f t="shared" si="28"/>
        <v>1</v>
      </c>
      <c r="AL1840" s="111">
        <f>PRODUCT($AK$5:AK1840)</f>
        <v>8.962823818226312E-2</v>
      </c>
      <c r="AM1840" s="109">
        <f>1 - [K-M P Value]</f>
        <v>0.91037176181773694</v>
      </c>
      <c r="AN1840" s="111" t="str">
        <f>IF(Audit[[#This Row],[K-M P Value]]&gt;1-'General Info'!$B$16,"Continue", "Stop")</f>
        <v>Stop</v>
      </c>
      <c r="AO1840" s="110" t="b">
        <f>IF(Audit[[#This Row],[Status - Continue or stop audit]] = "Continue", TRUE, IF(AN1839 = "Continue", TRUE, FALSE))</f>
        <v>0</v>
      </c>
      <c r="AP1840" s="110"/>
    </row>
    <row r="1841" spans="1:42" ht="15" hidden="1" customHeight="1">
      <c r="A1841" s="111" t="str">
        <f>'Sampling Data'!W1836</f>
        <v/>
      </c>
      <c r="B1841" s="112" t="str">
        <f>'Sampling Data'!A1836</f>
        <v>ROCKY RIVER -02-C - ABS</v>
      </c>
      <c r="C1841" s="112">
        <f>'Sampling Data'!B1836</f>
        <v>25</v>
      </c>
      <c r="D1841" s="112">
        <f>'Sampling Data'!C1836</f>
        <v>29</v>
      </c>
      <c r="E1841" s="113">
        <f>'Sampling Data'!D1836</f>
        <v>7</v>
      </c>
      <c r="F1841" s="113">
        <f>'Sampling Data'!E1836</f>
        <v>3</v>
      </c>
      <c r="G1841" s="113">
        <f>'Sampling Data'!F1836</f>
        <v>0</v>
      </c>
      <c r="H1841" s="113">
        <f>'Sampling Data'!G1836</f>
        <v>0</v>
      </c>
      <c r="I1841" s="112">
        <f>'Sampling Data'!H1836</f>
        <v>0</v>
      </c>
      <c r="J1841" s="112">
        <f>'Sampling Data'!I1836</f>
        <v>3</v>
      </c>
      <c r="K1841" s="112">
        <f>'Sampling Data'!J1836</f>
        <v>67</v>
      </c>
      <c r="L1841" s="111">
        <f>'Sampling Data'!X1836</f>
        <v>0</v>
      </c>
      <c r="M1841" s="114"/>
      <c r="N1841" s="114"/>
      <c r="O1841" s="115"/>
      <c r="P1841" s="115"/>
      <c r="Q1841" s="116"/>
      <c r="R1841" s="116"/>
      <c r="S1841" s="111">
        <f>Audit[[#This Row],[Audit Losing Candidate]]-Audit[[#This Row],[Losing Candidate]]</f>
        <v>-25</v>
      </c>
      <c r="T1841" s="111">
        <f>Audit[[#This Row],[Audit Winning Candidate]]-Audit[[#This Row],[Winning Candidate]]</f>
        <v>-29</v>
      </c>
      <c r="U1841" s="111">
        <f>Audit[[#This Row],[Audit Candidate 3]]-Audit[[#This Row],[Candidate 3]]</f>
        <v>-7</v>
      </c>
      <c r="V1841" s="111">
        <f>Audit[[#This Row],[Audit Candidate 4]]-Audit[[#This Row],[Candidate 4]]</f>
        <v>-3</v>
      </c>
      <c r="W1841" s="111">
        <f>Audit[[#This Row],[Audit Candidate 5]]-Audit[[#This Row],[Candidate 5]]</f>
        <v>0</v>
      </c>
      <c r="X1841" s="111">
        <f>Audit[[#This Row],[Audit Candidate 6]]-Audit[[#This Row],[Candidate 6]]</f>
        <v>0</v>
      </c>
      <c r="Y1841" s="111">
        <f>SUMIF(Audit[[#This Row],[Difference Loser]:[Difference Candidate 6]], "&gt;0")</f>
        <v>0</v>
      </c>
      <c r="Z1841" s="111">
        <f>SUM(Audit[[#This Row],[Difference Loser]:[Difference Candidate 6]])</f>
        <v>-64</v>
      </c>
      <c r="AA1841" s="111">
        <f>IF(Audit[[#This Row],[Times p Drawn - With Replacement]]&gt;0, IF(Audit[[#This Row],[Canceled Differences]]&lt;0, Audit[[#This Row],[Max Differences]]+ABS(Audit[[#This Row],[Canceled Differences]]), Audit[[#This Row],[Max Differences]]), 0)</f>
        <v>0</v>
      </c>
      <c r="AB1841" s="111">
        <f>'Sampling Data'!P1836</f>
        <v>4.3483586477217053E-3</v>
      </c>
      <c r="AC1841" s="111">
        <f>IF(
      SUM(Audit[[#This Row],[Audit Losing Candidate]:[Audit Candidate 6]])
      &lt;&gt;0,
      (Audit[[#This Row],[Winning Candidate]]-Audit[[#This Row],[Losing Candidate]]-(Audit[[#This Row],[Audit Winning Candidate]]-Audit[[#This Row],[Audit Losing Candidate]]))/(Audit[[#Totals],[Winning Candidate]]-Audit[[#Totals],[Losing Candidate]]),
      0
)</f>
        <v>0</v>
      </c>
      <c r="AD18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1" s="111">
        <f>IF(Audit[[#This Row],[Max Relative Error (ep)]] = 0, 0, Audit[[#This Row],[Max Relative Error (ep)]]/Audit[[#This Row],[Error Bound (up) - Max. possible relative overstatement]])</f>
        <v>0</v>
      </c>
      <c r="AJ18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41" s="111">
        <f t="shared" si="28"/>
        <v>1</v>
      </c>
      <c r="AL1841" s="111">
        <f>PRODUCT($AK$5:AK1841)</f>
        <v>8.962823818226312E-2</v>
      </c>
      <c r="AM1841" s="109">
        <f>1 - [K-M P Value]</f>
        <v>0.91037176181773694</v>
      </c>
      <c r="AN1841" s="111" t="str">
        <f>IF(Audit[[#This Row],[K-M P Value]]&gt;1-'General Info'!$B$16,"Continue", "Stop")</f>
        <v>Stop</v>
      </c>
      <c r="AO1841" s="110" t="b">
        <f>IF(Audit[[#This Row],[Status - Continue or stop audit]] = "Continue", TRUE, IF(AN1840 = "Continue", TRUE, FALSE))</f>
        <v>0</v>
      </c>
      <c r="AP1841" s="110"/>
    </row>
    <row r="1842" spans="1:42" ht="15" hidden="1" customHeight="1">
      <c r="A1842" s="111" t="str">
        <f>'Sampling Data'!W1838</f>
        <v/>
      </c>
      <c r="B1842" s="112" t="str">
        <f>'Sampling Data'!A1838</f>
        <v>ROCKY RIVER -02-D - ABS</v>
      </c>
      <c r="C1842" s="112">
        <f>'Sampling Data'!B1838</f>
        <v>17</v>
      </c>
      <c r="D1842" s="112">
        <f>'Sampling Data'!C1838</f>
        <v>40</v>
      </c>
      <c r="E1842" s="113">
        <f>'Sampling Data'!D1838</f>
        <v>14</v>
      </c>
      <c r="F1842" s="113">
        <f>'Sampling Data'!E1838</f>
        <v>2</v>
      </c>
      <c r="G1842" s="113">
        <f>'Sampling Data'!F1838</f>
        <v>0</v>
      </c>
      <c r="H1842" s="113">
        <f>'Sampling Data'!G1838</f>
        <v>1</v>
      </c>
      <c r="I1842" s="112">
        <f>'Sampling Data'!H1838</f>
        <v>0</v>
      </c>
      <c r="J1842" s="112">
        <f>'Sampling Data'!I1838</f>
        <v>2</v>
      </c>
      <c r="K1842" s="112">
        <f>'Sampling Data'!J1838</f>
        <v>76</v>
      </c>
      <c r="L1842" s="111">
        <f>'Sampling Data'!X1838</f>
        <v>0</v>
      </c>
      <c r="M1842" s="114"/>
      <c r="N1842" s="114"/>
      <c r="O1842" s="115"/>
      <c r="P1842" s="115"/>
      <c r="Q1842" s="116"/>
      <c r="R1842" s="116"/>
      <c r="S1842" s="111">
        <f>Audit[[#This Row],[Audit Losing Candidate]]-Audit[[#This Row],[Losing Candidate]]</f>
        <v>-17</v>
      </c>
      <c r="T1842" s="111">
        <f>Audit[[#This Row],[Audit Winning Candidate]]-Audit[[#This Row],[Winning Candidate]]</f>
        <v>-40</v>
      </c>
      <c r="U1842" s="111">
        <f>Audit[[#This Row],[Audit Candidate 3]]-Audit[[#This Row],[Candidate 3]]</f>
        <v>-14</v>
      </c>
      <c r="V1842" s="111">
        <f>Audit[[#This Row],[Audit Candidate 4]]-Audit[[#This Row],[Candidate 4]]</f>
        <v>-2</v>
      </c>
      <c r="W1842" s="111">
        <f>Audit[[#This Row],[Audit Candidate 5]]-Audit[[#This Row],[Candidate 5]]</f>
        <v>0</v>
      </c>
      <c r="X1842" s="111">
        <f>Audit[[#This Row],[Audit Candidate 6]]-Audit[[#This Row],[Candidate 6]]</f>
        <v>-1</v>
      </c>
      <c r="Y1842" s="111">
        <f>SUMIF(Audit[[#This Row],[Difference Loser]:[Difference Candidate 6]], "&gt;0")</f>
        <v>0</v>
      </c>
      <c r="Z1842" s="111">
        <f>SUM(Audit[[#This Row],[Difference Loser]:[Difference Candidate 6]])</f>
        <v>-74</v>
      </c>
      <c r="AA1842" s="111">
        <f>IF(Audit[[#This Row],[Times p Drawn - With Replacement]]&gt;0, IF(Audit[[#This Row],[Canceled Differences]]&lt;0, Audit[[#This Row],[Max Differences]]+ABS(Audit[[#This Row],[Canceled Differences]]), Audit[[#This Row],[Max Differences]]), 0)</f>
        <v>0</v>
      </c>
      <c r="AB1842" s="111">
        <f>'Sampling Data'!P1838</f>
        <v>6.063204311611955E-3</v>
      </c>
      <c r="AC1842" s="111">
        <f>IF(
      SUM(Audit[[#This Row],[Audit Losing Candidate]:[Audit Candidate 6]])
      &lt;&gt;0,
      (Audit[[#This Row],[Winning Candidate]]-Audit[[#This Row],[Losing Candidate]]-(Audit[[#This Row],[Audit Winning Candidate]]-Audit[[#This Row],[Audit Losing Candidate]]))/(Audit[[#Totals],[Winning Candidate]]-Audit[[#Totals],[Losing Candidate]]),
      0
)</f>
        <v>0</v>
      </c>
      <c r="AD18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2" s="111">
        <f>IF(Audit[[#This Row],[Max Relative Error (ep)]] = 0, 0, Audit[[#This Row],[Max Relative Error (ep)]]/Audit[[#This Row],[Error Bound (up) - Max. possible relative overstatement]])</f>
        <v>0</v>
      </c>
      <c r="AJ18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42" s="111">
        <f t="shared" si="28"/>
        <v>1</v>
      </c>
      <c r="AL1842" s="111">
        <f>PRODUCT($AK$5:AK1842)</f>
        <v>8.962823818226312E-2</v>
      </c>
      <c r="AM1842" s="109">
        <f>1 - [K-M P Value]</f>
        <v>0.91037176181773694</v>
      </c>
      <c r="AN1842" s="111" t="str">
        <f>IF(Audit[[#This Row],[K-M P Value]]&gt;1-'General Info'!$B$16,"Continue", "Stop")</f>
        <v>Stop</v>
      </c>
      <c r="AO1842" s="110" t="b">
        <f>IF(Audit[[#This Row],[Status - Continue or stop audit]] = "Continue", TRUE, IF(AN1841 = "Continue", TRUE, FALSE))</f>
        <v>0</v>
      </c>
      <c r="AP1842" s="110"/>
    </row>
    <row r="1843" spans="1:42" ht="15" hidden="1" customHeight="1">
      <c r="A1843" s="111" t="str">
        <f>'Sampling Data'!W1839</f>
        <v/>
      </c>
      <c r="B1843" s="112" t="str">
        <f>'Sampling Data'!A1839</f>
        <v>ROCKY RIVER -03-A</v>
      </c>
      <c r="C1843" s="112">
        <f>'Sampling Data'!B1839</f>
        <v>20</v>
      </c>
      <c r="D1843" s="112">
        <f>'Sampling Data'!C1839</f>
        <v>118</v>
      </c>
      <c r="E1843" s="113">
        <f>'Sampling Data'!D1839</f>
        <v>20</v>
      </c>
      <c r="F1843" s="113">
        <f>'Sampling Data'!E1839</f>
        <v>13</v>
      </c>
      <c r="G1843" s="113">
        <f>'Sampling Data'!F1839</f>
        <v>0</v>
      </c>
      <c r="H1843" s="113">
        <f>'Sampling Data'!G1839</f>
        <v>0</v>
      </c>
      <c r="I1843" s="112">
        <f>'Sampling Data'!H1839</f>
        <v>0</v>
      </c>
      <c r="J1843" s="112">
        <f>'Sampling Data'!I1839</f>
        <v>5</v>
      </c>
      <c r="K1843" s="112">
        <f>'Sampling Data'!J1839</f>
        <v>176</v>
      </c>
      <c r="L1843" s="111">
        <f>'Sampling Data'!X1839</f>
        <v>0</v>
      </c>
      <c r="M1843" s="114"/>
      <c r="N1843" s="114"/>
      <c r="O1843" s="115"/>
      <c r="P1843" s="115"/>
      <c r="Q1843" s="116"/>
      <c r="R1843" s="116"/>
      <c r="S1843" s="111">
        <f>Audit[[#This Row],[Audit Losing Candidate]]-Audit[[#This Row],[Losing Candidate]]</f>
        <v>-20</v>
      </c>
      <c r="T1843" s="111">
        <f>Audit[[#This Row],[Audit Winning Candidate]]-Audit[[#This Row],[Winning Candidate]]</f>
        <v>-118</v>
      </c>
      <c r="U1843" s="111">
        <f>Audit[[#This Row],[Audit Candidate 3]]-Audit[[#This Row],[Candidate 3]]</f>
        <v>-20</v>
      </c>
      <c r="V1843" s="111">
        <f>Audit[[#This Row],[Audit Candidate 4]]-Audit[[#This Row],[Candidate 4]]</f>
        <v>-13</v>
      </c>
      <c r="W1843" s="111">
        <f>Audit[[#This Row],[Audit Candidate 5]]-Audit[[#This Row],[Candidate 5]]</f>
        <v>0</v>
      </c>
      <c r="X1843" s="111">
        <f>Audit[[#This Row],[Audit Candidate 6]]-Audit[[#This Row],[Candidate 6]]</f>
        <v>0</v>
      </c>
      <c r="Y1843" s="111">
        <f>SUMIF(Audit[[#This Row],[Difference Loser]:[Difference Candidate 6]], "&gt;0")</f>
        <v>0</v>
      </c>
      <c r="Z1843" s="111">
        <f>SUM(Audit[[#This Row],[Difference Loser]:[Difference Candidate 6]])</f>
        <v>-171</v>
      </c>
      <c r="AA1843" s="111">
        <f>IF(Audit[[#This Row],[Times p Drawn - With Replacement]]&gt;0, IF(Audit[[#This Row],[Canceled Differences]]&lt;0, Audit[[#This Row],[Max Differences]]+ABS(Audit[[#This Row],[Canceled Differences]]), Audit[[#This Row],[Max Differences]]), 0)</f>
        <v>0</v>
      </c>
      <c r="AB1843" s="111">
        <f>'Sampling Data'!P1839</f>
        <v>1.6780989710926016E-2</v>
      </c>
      <c r="AC1843" s="111">
        <f>IF(
      SUM(Audit[[#This Row],[Audit Losing Candidate]:[Audit Candidate 6]])
      &lt;&gt;0,
      (Audit[[#This Row],[Winning Candidate]]-Audit[[#This Row],[Losing Candidate]]-(Audit[[#This Row],[Audit Winning Candidate]]-Audit[[#This Row],[Audit Losing Candidate]]))/(Audit[[#Totals],[Winning Candidate]]-Audit[[#Totals],[Losing Candidate]]),
      0
)</f>
        <v>0</v>
      </c>
      <c r="AD18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3" s="111">
        <f>IF(Audit[[#This Row],[Max Relative Error (ep)]] = 0, 0, Audit[[#This Row],[Max Relative Error (ep)]]/Audit[[#This Row],[Error Bound (up) - Max. possible relative overstatement]])</f>
        <v>0</v>
      </c>
      <c r="AJ18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43" s="111">
        <f t="shared" si="28"/>
        <v>1</v>
      </c>
      <c r="AL1843" s="111">
        <f>PRODUCT($AK$5:AK1843)</f>
        <v>8.962823818226312E-2</v>
      </c>
      <c r="AM1843" s="109">
        <f>1 - [K-M P Value]</f>
        <v>0.91037176181773694</v>
      </c>
      <c r="AN1843" s="111" t="str">
        <f>IF(Audit[[#This Row],[K-M P Value]]&gt;1-'General Info'!$B$16,"Continue", "Stop")</f>
        <v>Stop</v>
      </c>
      <c r="AO1843" s="110" t="b">
        <f>IF(Audit[[#This Row],[Status - Continue or stop audit]] = "Continue", TRUE, IF(AN1842 = "Continue", TRUE, FALSE))</f>
        <v>0</v>
      </c>
      <c r="AP1843" s="110"/>
    </row>
    <row r="1844" spans="1:42" ht="15" hidden="1" customHeight="1">
      <c r="A1844" s="111" t="str">
        <f>'Sampling Data'!W1840</f>
        <v/>
      </c>
      <c r="B1844" s="112" t="str">
        <f>'Sampling Data'!A1840</f>
        <v>ROCKY RIVER -03-A - ABS</v>
      </c>
      <c r="C1844" s="112">
        <f>'Sampling Data'!B1840</f>
        <v>8</v>
      </c>
      <c r="D1844" s="112">
        <f>'Sampling Data'!C1840</f>
        <v>24</v>
      </c>
      <c r="E1844" s="113">
        <f>'Sampling Data'!D1840</f>
        <v>4</v>
      </c>
      <c r="F1844" s="113">
        <f>'Sampling Data'!E1840</f>
        <v>1</v>
      </c>
      <c r="G1844" s="113">
        <f>'Sampling Data'!F1840</f>
        <v>0</v>
      </c>
      <c r="H1844" s="113">
        <f>'Sampling Data'!G1840</f>
        <v>0</v>
      </c>
      <c r="I1844" s="112">
        <f>'Sampling Data'!H1840</f>
        <v>0</v>
      </c>
      <c r="J1844" s="112">
        <f>'Sampling Data'!I1840</f>
        <v>1</v>
      </c>
      <c r="K1844" s="112">
        <f>'Sampling Data'!J1840</f>
        <v>38</v>
      </c>
      <c r="L1844" s="111">
        <f>'Sampling Data'!X1840</f>
        <v>0</v>
      </c>
      <c r="M1844" s="114"/>
      <c r="N1844" s="114"/>
      <c r="O1844" s="115"/>
      <c r="P1844" s="115"/>
      <c r="Q1844" s="116"/>
      <c r="R1844" s="116"/>
      <c r="S1844" s="111">
        <f>Audit[[#This Row],[Audit Losing Candidate]]-Audit[[#This Row],[Losing Candidate]]</f>
        <v>-8</v>
      </c>
      <c r="T1844" s="111">
        <f>Audit[[#This Row],[Audit Winning Candidate]]-Audit[[#This Row],[Winning Candidate]]</f>
        <v>-24</v>
      </c>
      <c r="U1844" s="111">
        <f>Audit[[#This Row],[Audit Candidate 3]]-Audit[[#This Row],[Candidate 3]]</f>
        <v>-4</v>
      </c>
      <c r="V1844" s="111">
        <f>Audit[[#This Row],[Audit Candidate 4]]-Audit[[#This Row],[Candidate 4]]</f>
        <v>-1</v>
      </c>
      <c r="W1844" s="111">
        <f>Audit[[#This Row],[Audit Candidate 5]]-Audit[[#This Row],[Candidate 5]]</f>
        <v>0</v>
      </c>
      <c r="X1844" s="111">
        <f>Audit[[#This Row],[Audit Candidate 6]]-Audit[[#This Row],[Candidate 6]]</f>
        <v>0</v>
      </c>
      <c r="Y1844" s="111">
        <f>SUMIF(Audit[[#This Row],[Difference Loser]:[Difference Candidate 6]], "&gt;0")</f>
        <v>0</v>
      </c>
      <c r="Z1844" s="111">
        <f>SUM(Audit[[#This Row],[Difference Loser]:[Difference Candidate 6]])</f>
        <v>-37</v>
      </c>
      <c r="AA1844" s="111">
        <f>IF(Audit[[#This Row],[Times p Drawn - With Replacement]]&gt;0, IF(Audit[[#This Row],[Canceled Differences]]&lt;0, Audit[[#This Row],[Max Differences]]+ABS(Audit[[#This Row],[Canceled Differences]]), Audit[[#This Row],[Max Differences]]), 0)</f>
        <v>0</v>
      </c>
      <c r="AB1844" s="111">
        <f>'Sampling Data'!P1840</f>
        <v>3.3072023517883389E-3</v>
      </c>
      <c r="AC1844" s="111">
        <f>IF(
      SUM(Audit[[#This Row],[Audit Losing Candidate]:[Audit Candidate 6]])
      &lt;&gt;0,
      (Audit[[#This Row],[Winning Candidate]]-Audit[[#This Row],[Losing Candidate]]-(Audit[[#This Row],[Audit Winning Candidate]]-Audit[[#This Row],[Audit Losing Candidate]]))/(Audit[[#Totals],[Winning Candidate]]-Audit[[#Totals],[Losing Candidate]]),
      0
)</f>
        <v>0</v>
      </c>
      <c r="AD18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4" s="111">
        <f>IF(Audit[[#This Row],[Max Relative Error (ep)]] = 0, 0, Audit[[#This Row],[Max Relative Error (ep)]]/Audit[[#This Row],[Error Bound (up) - Max. possible relative overstatement]])</f>
        <v>0</v>
      </c>
      <c r="AJ18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44" s="111">
        <f t="shared" si="28"/>
        <v>1</v>
      </c>
      <c r="AL1844" s="111">
        <f>PRODUCT($AK$5:AK1844)</f>
        <v>8.962823818226312E-2</v>
      </c>
      <c r="AM1844" s="109">
        <f>1 - [K-M P Value]</f>
        <v>0.91037176181773694</v>
      </c>
      <c r="AN1844" s="111" t="str">
        <f>IF(Audit[[#This Row],[K-M P Value]]&gt;1-'General Info'!$B$16,"Continue", "Stop")</f>
        <v>Stop</v>
      </c>
      <c r="AO1844" s="110" t="b">
        <f>IF(Audit[[#This Row],[Status - Continue or stop audit]] = "Continue", TRUE, IF(AN1843 = "Continue", TRUE, FALSE))</f>
        <v>0</v>
      </c>
      <c r="AP1844" s="110"/>
    </row>
    <row r="1845" spans="1:42" ht="15" hidden="1" customHeight="1">
      <c r="A1845" s="111" t="str">
        <f>'Sampling Data'!W1841</f>
        <v/>
      </c>
      <c r="B1845" s="112" t="str">
        <f>'Sampling Data'!A1841</f>
        <v>ROCKY RIVER -03-A.02</v>
      </c>
      <c r="C1845" s="112">
        <f>'Sampling Data'!B1841</f>
        <v>1</v>
      </c>
      <c r="D1845" s="112">
        <f>'Sampling Data'!C1841</f>
        <v>5</v>
      </c>
      <c r="E1845" s="113">
        <f>'Sampling Data'!D1841</f>
        <v>0</v>
      </c>
      <c r="F1845" s="113">
        <f>'Sampling Data'!E1841</f>
        <v>4</v>
      </c>
      <c r="G1845" s="113">
        <f>'Sampling Data'!F1841</f>
        <v>0</v>
      </c>
      <c r="H1845" s="113">
        <f>'Sampling Data'!G1841</f>
        <v>1</v>
      </c>
      <c r="I1845" s="112">
        <f>'Sampling Data'!H1841</f>
        <v>0</v>
      </c>
      <c r="J1845" s="112">
        <f>'Sampling Data'!I1841</f>
        <v>1</v>
      </c>
      <c r="K1845" s="112">
        <f>'Sampling Data'!J1841</f>
        <v>12</v>
      </c>
      <c r="L1845" s="111">
        <f>'Sampling Data'!X1841</f>
        <v>0</v>
      </c>
      <c r="M1845" s="114"/>
      <c r="N1845" s="114"/>
      <c r="O1845" s="115"/>
      <c r="P1845" s="115"/>
      <c r="Q1845" s="116"/>
      <c r="R1845" s="116"/>
      <c r="S1845" s="111">
        <f>Audit[[#This Row],[Audit Losing Candidate]]-Audit[[#This Row],[Losing Candidate]]</f>
        <v>-1</v>
      </c>
      <c r="T1845" s="111">
        <f>Audit[[#This Row],[Audit Winning Candidate]]-Audit[[#This Row],[Winning Candidate]]</f>
        <v>-5</v>
      </c>
      <c r="U1845" s="111">
        <f>Audit[[#This Row],[Audit Candidate 3]]-Audit[[#This Row],[Candidate 3]]</f>
        <v>0</v>
      </c>
      <c r="V1845" s="111">
        <f>Audit[[#This Row],[Audit Candidate 4]]-Audit[[#This Row],[Candidate 4]]</f>
        <v>-4</v>
      </c>
      <c r="W1845" s="111">
        <f>Audit[[#This Row],[Audit Candidate 5]]-Audit[[#This Row],[Candidate 5]]</f>
        <v>0</v>
      </c>
      <c r="X1845" s="111">
        <f>Audit[[#This Row],[Audit Candidate 6]]-Audit[[#This Row],[Candidate 6]]</f>
        <v>-1</v>
      </c>
      <c r="Y1845" s="111">
        <f>SUMIF(Audit[[#This Row],[Difference Loser]:[Difference Candidate 6]], "&gt;0")</f>
        <v>0</v>
      </c>
      <c r="Z1845" s="111">
        <f>SUM(Audit[[#This Row],[Difference Loser]:[Difference Candidate 6]])</f>
        <v>-11</v>
      </c>
      <c r="AA1845" s="111">
        <f>IF(Audit[[#This Row],[Times p Drawn - With Replacement]]&gt;0, IF(Audit[[#This Row],[Canceled Differences]]&lt;0, Audit[[#This Row],[Max Differences]]+ABS(Audit[[#This Row],[Canceled Differences]]), Audit[[#This Row],[Max Differences]]), 0)</f>
        <v>0</v>
      </c>
      <c r="AB1845" s="111">
        <f>'Sampling Data'!P1841</f>
        <v>9.7991180793728563E-4</v>
      </c>
      <c r="AC1845" s="111">
        <f>IF(
      SUM(Audit[[#This Row],[Audit Losing Candidate]:[Audit Candidate 6]])
      &lt;&gt;0,
      (Audit[[#This Row],[Winning Candidate]]-Audit[[#This Row],[Losing Candidate]]-(Audit[[#This Row],[Audit Winning Candidate]]-Audit[[#This Row],[Audit Losing Candidate]]))/(Audit[[#Totals],[Winning Candidate]]-Audit[[#Totals],[Losing Candidate]]),
      0
)</f>
        <v>0</v>
      </c>
      <c r="AD18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5" s="111">
        <f>IF(Audit[[#This Row],[Max Relative Error (ep)]] = 0, 0, Audit[[#This Row],[Max Relative Error (ep)]]/Audit[[#This Row],[Error Bound (up) - Max. possible relative overstatement]])</f>
        <v>0</v>
      </c>
      <c r="AJ18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45" s="111">
        <f t="shared" si="28"/>
        <v>1</v>
      </c>
      <c r="AL1845" s="111">
        <f>PRODUCT($AK$5:AK1845)</f>
        <v>8.962823818226312E-2</v>
      </c>
      <c r="AM1845" s="109">
        <f>1 - [K-M P Value]</f>
        <v>0.91037176181773694</v>
      </c>
      <c r="AN1845" s="111" t="str">
        <f>IF(Audit[[#This Row],[K-M P Value]]&gt;1-'General Info'!$B$16,"Continue", "Stop")</f>
        <v>Stop</v>
      </c>
      <c r="AO1845" s="110" t="b">
        <f>IF(Audit[[#This Row],[Status - Continue or stop audit]] = "Continue", TRUE, IF(AN1844 = "Continue", TRUE, FALSE))</f>
        <v>0</v>
      </c>
      <c r="AP1845" s="110"/>
    </row>
    <row r="1846" spans="1:42" ht="15" hidden="1" customHeight="1">
      <c r="A1846" s="111" t="str">
        <f>'Sampling Data'!W1842</f>
        <v/>
      </c>
      <c r="B1846" s="112" t="str">
        <f>'Sampling Data'!A1842</f>
        <v>ROCKY RIVER -03-A.02 - ABS</v>
      </c>
      <c r="C1846" s="112">
        <f>'Sampling Data'!B1842</f>
        <v>1</v>
      </c>
      <c r="D1846" s="112">
        <f>'Sampling Data'!C1842</f>
        <v>2</v>
      </c>
      <c r="E1846" s="113">
        <f>'Sampling Data'!D1842</f>
        <v>0</v>
      </c>
      <c r="F1846" s="113">
        <f>'Sampling Data'!E1842</f>
        <v>0</v>
      </c>
      <c r="G1846" s="113">
        <f>'Sampling Data'!F1842</f>
        <v>0</v>
      </c>
      <c r="H1846" s="113">
        <f>'Sampling Data'!G1842</f>
        <v>0</v>
      </c>
      <c r="I1846" s="112">
        <f>'Sampling Data'!H1842</f>
        <v>0</v>
      </c>
      <c r="J1846" s="112">
        <f>'Sampling Data'!I1842</f>
        <v>0</v>
      </c>
      <c r="K1846" s="112">
        <f>'Sampling Data'!J1842</f>
        <v>3</v>
      </c>
      <c r="L1846" s="111">
        <f>'Sampling Data'!X1842</f>
        <v>0</v>
      </c>
      <c r="M1846" s="114"/>
      <c r="N1846" s="114"/>
      <c r="O1846" s="115"/>
      <c r="P1846" s="115"/>
      <c r="Q1846" s="116"/>
      <c r="R1846" s="116"/>
      <c r="S1846" s="111">
        <f>Audit[[#This Row],[Audit Losing Candidate]]-Audit[[#This Row],[Losing Candidate]]</f>
        <v>-1</v>
      </c>
      <c r="T1846" s="111">
        <f>Audit[[#This Row],[Audit Winning Candidate]]-Audit[[#This Row],[Winning Candidate]]</f>
        <v>-2</v>
      </c>
      <c r="U1846" s="111">
        <f>Audit[[#This Row],[Audit Candidate 3]]-Audit[[#This Row],[Candidate 3]]</f>
        <v>0</v>
      </c>
      <c r="V1846" s="111">
        <f>Audit[[#This Row],[Audit Candidate 4]]-Audit[[#This Row],[Candidate 4]]</f>
        <v>0</v>
      </c>
      <c r="W1846" s="111">
        <f>Audit[[#This Row],[Audit Candidate 5]]-Audit[[#This Row],[Candidate 5]]</f>
        <v>0</v>
      </c>
      <c r="X1846" s="111">
        <f>Audit[[#This Row],[Audit Candidate 6]]-Audit[[#This Row],[Candidate 6]]</f>
        <v>0</v>
      </c>
      <c r="Y1846" s="111">
        <f>SUMIF(Audit[[#This Row],[Difference Loser]:[Difference Candidate 6]], "&gt;0")</f>
        <v>0</v>
      </c>
      <c r="Z1846" s="111">
        <f>SUM(Audit[[#This Row],[Difference Loser]:[Difference Candidate 6]])</f>
        <v>-3</v>
      </c>
      <c r="AA1846" s="111">
        <f>IF(Audit[[#This Row],[Times p Drawn - With Replacement]]&gt;0, IF(Audit[[#This Row],[Canceled Differences]]&lt;0, Audit[[#This Row],[Max Differences]]+ABS(Audit[[#This Row],[Canceled Differences]]), Audit[[#This Row],[Max Differences]]), 0)</f>
        <v>0</v>
      </c>
      <c r="AB1846" s="111">
        <f>'Sampling Data'!P1842</f>
        <v>2.4497795198432141E-4</v>
      </c>
      <c r="AC1846" s="111">
        <f>IF(
      SUM(Audit[[#This Row],[Audit Losing Candidate]:[Audit Candidate 6]])
      &lt;&gt;0,
      (Audit[[#This Row],[Winning Candidate]]-Audit[[#This Row],[Losing Candidate]]-(Audit[[#This Row],[Audit Winning Candidate]]-Audit[[#This Row],[Audit Losing Candidate]]))/(Audit[[#Totals],[Winning Candidate]]-Audit[[#Totals],[Losing Candidate]]),
      0
)</f>
        <v>0</v>
      </c>
      <c r="AD18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6" s="111">
        <f>IF(Audit[[#This Row],[Max Relative Error (ep)]] = 0, 0, Audit[[#This Row],[Max Relative Error (ep)]]/Audit[[#This Row],[Error Bound (up) - Max. possible relative overstatement]])</f>
        <v>0</v>
      </c>
      <c r="AJ18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46" s="111">
        <f t="shared" si="28"/>
        <v>1</v>
      </c>
      <c r="AL1846" s="111">
        <f>PRODUCT($AK$5:AK1846)</f>
        <v>8.962823818226312E-2</v>
      </c>
      <c r="AM1846" s="109">
        <f>1 - [K-M P Value]</f>
        <v>0.91037176181773694</v>
      </c>
      <c r="AN1846" s="111" t="str">
        <f>IF(Audit[[#This Row],[K-M P Value]]&gt;1-'General Info'!$B$16,"Continue", "Stop")</f>
        <v>Stop</v>
      </c>
      <c r="AO1846" s="110" t="b">
        <f>IF(Audit[[#This Row],[Status - Continue or stop audit]] = "Continue", TRUE, IF(AN1845 = "Continue", TRUE, FALSE))</f>
        <v>0</v>
      </c>
      <c r="AP1846" s="110"/>
    </row>
    <row r="1847" spans="1:42" ht="15" hidden="1" customHeight="1">
      <c r="A1847" s="111" t="str">
        <f>'Sampling Data'!W1843</f>
        <v/>
      </c>
      <c r="B1847" s="112" t="str">
        <f>'Sampling Data'!A1843</f>
        <v>ROCKY RIVER -03-B</v>
      </c>
      <c r="C1847" s="112">
        <f>'Sampling Data'!B1843</f>
        <v>22</v>
      </c>
      <c r="D1847" s="112">
        <f>'Sampling Data'!C1843</f>
        <v>66</v>
      </c>
      <c r="E1847" s="113">
        <f>'Sampling Data'!D1843</f>
        <v>12</v>
      </c>
      <c r="F1847" s="113">
        <f>'Sampling Data'!E1843</f>
        <v>5</v>
      </c>
      <c r="G1847" s="113">
        <f>'Sampling Data'!F1843</f>
        <v>0</v>
      </c>
      <c r="H1847" s="113">
        <f>'Sampling Data'!G1843</f>
        <v>0</v>
      </c>
      <c r="I1847" s="112">
        <f>'Sampling Data'!H1843</f>
        <v>1</v>
      </c>
      <c r="J1847" s="112">
        <f>'Sampling Data'!I1843</f>
        <v>3</v>
      </c>
      <c r="K1847" s="112">
        <f>'Sampling Data'!J1843</f>
        <v>109</v>
      </c>
      <c r="L1847" s="111">
        <f>'Sampling Data'!X1843</f>
        <v>0</v>
      </c>
      <c r="M1847" s="114"/>
      <c r="N1847" s="114"/>
      <c r="O1847" s="115"/>
      <c r="P1847" s="115"/>
      <c r="Q1847" s="116"/>
      <c r="R1847" s="116"/>
      <c r="S1847" s="111">
        <f>Audit[[#This Row],[Audit Losing Candidate]]-Audit[[#This Row],[Losing Candidate]]</f>
        <v>-22</v>
      </c>
      <c r="T1847" s="111">
        <f>Audit[[#This Row],[Audit Winning Candidate]]-Audit[[#This Row],[Winning Candidate]]</f>
        <v>-66</v>
      </c>
      <c r="U1847" s="111">
        <f>Audit[[#This Row],[Audit Candidate 3]]-Audit[[#This Row],[Candidate 3]]</f>
        <v>-12</v>
      </c>
      <c r="V1847" s="111">
        <f>Audit[[#This Row],[Audit Candidate 4]]-Audit[[#This Row],[Candidate 4]]</f>
        <v>-5</v>
      </c>
      <c r="W1847" s="111">
        <f>Audit[[#This Row],[Audit Candidate 5]]-Audit[[#This Row],[Candidate 5]]</f>
        <v>0</v>
      </c>
      <c r="X1847" s="111">
        <f>Audit[[#This Row],[Audit Candidate 6]]-Audit[[#This Row],[Candidate 6]]</f>
        <v>0</v>
      </c>
      <c r="Y1847" s="111">
        <f>SUMIF(Audit[[#This Row],[Difference Loser]:[Difference Candidate 6]], "&gt;0")</f>
        <v>0</v>
      </c>
      <c r="Z1847" s="111">
        <f>SUM(Audit[[#This Row],[Difference Loser]:[Difference Candidate 6]])</f>
        <v>-105</v>
      </c>
      <c r="AA1847" s="111">
        <f>IF(Audit[[#This Row],[Times p Drawn - With Replacement]]&gt;0, IF(Audit[[#This Row],[Canceled Differences]]&lt;0, Audit[[#This Row],[Max Differences]]+ABS(Audit[[#This Row],[Canceled Differences]]), Audit[[#This Row],[Max Differences]]), 0)</f>
        <v>0</v>
      </c>
      <c r="AB1847" s="111">
        <f>'Sampling Data'!P1843</f>
        <v>9.3704066634002943E-3</v>
      </c>
      <c r="AC1847" s="111">
        <f>IF(
      SUM(Audit[[#This Row],[Audit Losing Candidate]:[Audit Candidate 6]])
      &lt;&gt;0,
      (Audit[[#This Row],[Winning Candidate]]-Audit[[#This Row],[Losing Candidate]]-(Audit[[#This Row],[Audit Winning Candidate]]-Audit[[#This Row],[Audit Losing Candidate]]))/(Audit[[#Totals],[Winning Candidate]]-Audit[[#Totals],[Losing Candidate]]),
      0
)</f>
        <v>0</v>
      </c>
      <c r="AD18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7" s="111">
        <f>IF(Audit[[#This Row],[Max Relative Error (ep)]] = 0, 0, Audit[[#This Row],[Max Relative Error (ep)]]/Audit[[#This Row],[Error Bound (up) - Max. possible relative overstatement]])</f>
        <v>0</v>
      </c>
      <c r="AJ18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47" s="111">
        <f t="shared" si="28"/>
        <v>1</v>
      </c>
      <c r="AL1847" s="111">
        <f>PRODUCT($AK$5:AK1847)</f>
        <v>8.962823818226312E-2</v>
      </c>
      <c r="AM1847" s="109">
        <f>1 - [K-M P Value]</f>
        <v>0.91037176181773694</v>
      </c>
      <c r="AN1847" s="111" t="str">
        <f>IF(Audit[[#This Row],[K-M P Value]]&gt;1-'General Info'!$B$16,"Continue", "Stop")</f>
        <v>Stop</v>
      </c>
      <c r="AO1847" s="110" t="b">
        <f>IF(Audit[[#This Row],[Status - Continue or stop audit]] = "Continue", TRUE, IF(AN1846 = "Continue", TRUE, FALSE))</f>
        <v>0</v>
      </c>
      <c r="AP1847" s="110"/>
    </row>
    <row r="1848" spans="1:42" ht="15" hidden="1" customHeight="1">
      <c r="A1848" s="111" t="str">
        <f>'Sampling Data'!W1844</f>
        <v/>
      </c>
      <c r="B1848" s="112" t="str">
        <f>'Sampling Data'!A1844</f>
        <v>ROCKY RIVER -03-B - ABS</v>
      </c>
      <c r="C1848" s="112">
        <f>'Sampling Data'!B1844</f>
        <v>21</v>
      </c>
      <c r="D1848" s="112">
        <f>'Sampling Data'!C1844</f>
        <v>17</v>
      </c>
      <c r="E1848" s="113">
        <f>'Sampling Data'!D1844</f>
        <v>6</v>
      </c>
      <c r="F1848" s="113">
        <f>'Sampling Data'!E1844</f>
        <v>3</v>
      </c>
      <c r="G1848" s="113">
        <f>'Sampling Data'!F1844</f>
        <v>0</v>
      </c>
      <c r="H1848" s="113">
        <f>'Sampling Data'!G1844</f>
        <v>0</v>
      </c>
      <c r="I1848" s="112">
        <f>'Sampling Data'!H1844</f>
        <v>0</v>
      </c>
      <c r="J1848" s="112">
        <f>'Sampling Data'!I1844</f>
        <v>1</v>
      </c>
      <c r="K1848" s="112">
        <f>'Sampling Data'!J1844</f>
        <v>48</v>
      </c>
      <c r="L1848" s="111">
        <f>'Sampling Data'!X1844</f>
        <v>0</v>
      </c>
      <c r="M1848" s="114"/>
      <c r="N1848" s="114"/>
      <c r="O1848" s="115"/>
      <c r="P1848" s="115"/>
      <c r="Q1848" s="116"/>
      <c r="R1848" s="116"/>
      <c r="S1848" s="111">
        <f>Audit[[#This Row],[Audit Losing Candidate]]-Audit[[#This Row],[Losing Candidate]]</f>
        <v>-21</v>
      </c>
      <c r="T1848" s="111">
        <f>Audit[[#This Row],[Audit Winning Candidate]]-Audit[[#This Row],[Winning Candidate]]</f>
        <v>-17</v>
      </c>
      <c r="U1848" s="111">
        <f>Audit[[#This Row],[Audit Candidate 3]]-Audit[[#This Row],[Candidate 3]]</f>
        <v>-6</v>
      </c>
      <c r="V1848" s="111">
        <f>Audit[[#This Row],[Audit Candidate 4]]-Audit[[#This Row],[Candidate 4]]</f>
        <v>-3</v>
      </c>
      <c r="W1848" s="111">
        <f>Audit[[#This Row],[Audit Candidate 5]]-Audit[[#This Row],[Candidate 5]]</f>
        <v>0</v>
      </c>
      <c r="X1848" s="111">
        <f>Audit[[#This Row],[Audit Candidate 6]]-Audit[[#This Row],[Candidate 6]]</f>
        <v>0</v>
      </c>
      <c r="Y1848" s="111">
        <f>SUMIF(Audit[[#This Row],[Difference Loser]:[Difference Candidate 6]], "&gt;0")</f>
        <v>0</v>
      </c>
      <c r="Z1848" s="111">
        <f>SUM(Audit[[#This Row],[Difference Loser]:[Difference Candidate 6]])</f>
        <v>-47</v>
      </c>
      <c r="AA1848" s="111">
        <f>IF(Audit[[#This Row],[Times p Drawn - With Replacement]]&gt;0, IF(Audit[[#This Row],[Canceled Differences]]&lt;0, Audit[[#This Row],[Max Differences]]+ABS(Audit[[#This Row],[Canceled Differences]]), Audit[[#This Row],[Max Differences]]), 0)</f>
        <v>0</v>
      </c>
      <c r="AB1848" s="111">
        <f>'Sampling Data'!P1844</f>
        <v>2.6947574718275357E-3</v>
      </c>
      <c r="AC1848" s="111">
        <f>IF(
      SUM(Audit[[#This Row],[Audit Losing Candidate]:[Audit Candidate 6]])
      &lt;&gt;0,
      (Audit[[#This Row],[Winning Candidate]]-Audit[[#This Row],[Losing Candidate]]-(Audit[[#This Row],[Audit Winning Candidate]]-Audit[[#This Row],[Audit Losing Candidate]]))/(Audit[[#Totals],[Winning Candidate]]-Audit[[#Totals],[Losing Candidate]]),
      0
)</f>
        <v>0</v>
      </c>
      <c r="AD18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8" s="111">
        <f>IF(Audit[[#This Row],[Max Relative Error (ep)]] = 0, 0, Audit[[#This Row],[Max Relative Error (ep)]]/Audit[[#This Row],[Error Bound (up) - Max. possible relative overstatement]])</f>
        <v>0</v>
      </c>
      <c r="AJ18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48" s="111">
        <f t="shared" si="28"/>
        <v>1</v>
      </c>
      <c r="AL1848" s="111">
        <f>PRODUCT($AK$5:AK1848)</f>
        <v>8.962823818226312E-2</v>
      </c>
      <c r="AM1848" s="109">
        <f>1 - [K-M P Value]</f>
        <v>0.91037176181773694</v>
      </c>
      <c r="AN1848" s="111" t="str">
        <f>IF(Audit[[#This Row],[K-M P Value]]&gt;1-'General Info'!$B$16,"Continue", "Stop")</f>
        <v>Stop</v>
      </c>
      <c r="AO1848" s="110" t="b">
        <f>IF(Audit[[#This Row],[Status - Continue or stop audit]] = "Continue", TRUE, IF(AN1847 = "Continue", TRUE, FALSE))</f>
        <v>0</v>
      </c>
      <c r="AP1848" s="110"/>
    </row>
    <row r="1849" spans="1:42" ht="15" hidden="1" customHeight="1">
      <c r="A1849" s="111" t="str">
        <f>'Sampling Data'!W1845</f>
        <v/>
      </c>
      <c r="B1849" s="112" t="str">
        <f>'Sampling Data'!A1845</f>
        <v>ROCKY RIVER -03-B.02</v>
      </c>
      <c r="C1849" s="112">
        <f>'Sampling Data'!B1845</f>
        <v>10</v>
      </c>
      <c r="D1849" s="112">
        <f>'Sampling Data'!C1845</f>
        <v>46</v>
      </c>
      <c r="E1849" s="113">
        <f>'Sampling Data'!D1845</f>
        <v>6</v>
      </c>
      <c r="F1849" s="113">
        <f>'Sampling Data'!E1845</f>
        <v>6</v>
      </c>
      <c r="G1849" s="113">
        <f>'Sampling Data'!F1845</f>
        <v>0</v>
      </c>
      <c r="H1849" s="113">
        <f>'Sampling Data'!G1845</f>
        <v>1</v>
      </c>
      <c r="I1849" s="112">
        <f>'Sampling Data'!H1845</f>
        <v>1</v>
      </c>
      <c r="J1849" s="112">
        <f>'Sampling Data'!I1845</f>
        <v>0</v>
      </c>
      <c r="K1849" s="112">
        <f>'Sampling Data'!J1845</f>
        <v>70</v>
      </c>
      <c r="L1849" s="111">
        <f>'Sampling Data'!X1845</f>
        <v>0</v>
      </c>
      <c r="M1849" s="114"/>
      <c r="N1849" s="114"/>
      <c r="O1849" s="115"/>
      <c r="P1849" s="115"/>
      <c r="Q1849" s="116"/>
      <c r="R1849" s="116"/>
      <c r="S1849" s="111">
        <f>Audit[[#This Row],[Audit Losing Candidate]]-Audit[[#This Row],[Losing Candidate]]</f>
        <v>-10</v>
      </c>
      <c r="T1849" s="111">
        <f>Audit[[#This Row],[Audit Winning Candidate]]-Audit[[#This Row],[Winning Candidate]]</f>
        <v>-46</v>
      </c>
      <c r="U1849" s="111">
        <f>Audit[[#This Row],[Audit Candidate 3]]-Audit[[#This Row],[Candidate 3]]</f>
        <v>-6</v>
      </c>
      <c r="V1849" s="111">
        <f>Audit[[#This Row],[Audit Candidate 4]]-Audit[[#This Row],[Candidate 4]]</f>
        <v>-6</v>
      </c>
      <c r="W1849" s="111">
        <f>Audit[[#This Row],[Audit Candidate 5]]-Audit[[#This Row],[Candidate 5]]</f>
        <v>0</v>
      </c>
      <c r="X1849" s="111">
        <f>Audit[[#This Row],[Audit Candidate 6]]-Audit[[#This Row],[Candidate 6]]</f>
        <v>-1</v>
      </c>
      <c r="Y1849" s="111">
        <f>SUMIF(Audit[[#This Row],[Difference Loser]:[Difference Candidate 6]], "&gt;0")</f>
        <v>0</v>
      </c>
      <c r="Z1849" s="111">
        <f>SUM(Audit[[#This Row],[Difference Loser]:[Difference Candidate 6]])</f>
        <v>-69</v>
      </c>
      <c r="AA1849" s="111">
        <f>IF(Audit[[#This Row],[Times p Drawn - With Replacement]]&gt;0, IF(Audit[[#This Row],[Canceled Differences]]&lt;0, Audit[[#This Row],[Max Differences]]+ABS(Audit[[#This Row],[Canceled Differences]]), Audit[[#This Row],[Max Differences]]), 0)</f>
        <v>0</v>
      </c>
      <c r="AB1849" s="111">
        <f>'Sampling Data'!P1845</f>
        <v>6.4919157275845178E-3</v>
      </c>
      <c r="AC1849" s="111">
        <f>IF(
      SUM(Audit[[#This Row],[Audit Losing Candidate]:[Audit Candidate 6]])
      &lt;&gt;0,
      (Audit[[#This Row],[Winning Candidate]]-Audit[[#This Row],[Losing Candidate]]-(Audit[[#This Row],[Audit Winning Candidate]]-Audit[[#This Row],[Audit Losing Candidate]]))/(Audit[[#Totals],[Winning Candidate]]-Audit[[#Totals],[Losing Candidate]]),
      0
)</f>
        <v>0</v>
      </c>
      <c r="AD18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9" s="111">
        <f>IF(Audit[[#This Row],[Max Relative Error (ep)]] = 0, 0, Audit[[#This Row],[Max Relative Error (ep)]]/Audit[[#This Row],[Error Bound (up) - Max. possible relative overstatement]])</f>
        <v>0</v>
      </c>
      <c r="AJ18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49" s="111">
        <f t="shared" si="28"/>
        <v>1</v>
      </c>
      <c r="AL1849" s="111">
        <f>PRODUCT($AK$5:AK1849)</f>
        <v>8.962823818226312E-2</v>
      </c>
      <c r="AM1849" s="109">
        <f>1 - [K-M P Value]</f>
        <v>0.91037176181773694</v>
      </c>
      <c r="AN1849" s="111" t="str">
        <f>IF(Audit[[#This Row],[K-M P Value]]&gt;1-'General Info'!$B$16,"Continue", "Stop")</f>
        <v>Stop</v>
      </c>
      <c r="AO1849" s="110" t="b">
        <f>IF(Audit[[#This Row],[Status - Continue or stop audit]] = "Continue", TRUE, IF(AN1848 = "Continue", TRUE, FALSE))</f>
        <v>0</v>
      </c>
      <c r="AP1849" s="110"/>
    </row>
    <row r="1850" spans="1:42" ht="15" hidden="1" customHeight="1">
      <c r="A1850" s="111" t="str">
        <f>'Sampling Data'!W1846</f>
        <v/>
      </c>
      <c r="B1850" s="112" t="str">
        <f>'Sampling Data'!A1846</f>
        <v>ROCKY RIVER -03-B.02 - ABS</v>
      </c>
      <c r="C1850" s="112">
        <f>'Sampling Data'!B1846</f>
        <v>1</v>
      </c>
      <c r="D1850" s="112">
        <f>'Sampling Data'!C1846</f>
        <v>6</v>
      </c>
      <c r="E1850" s="113">
        <f>'Sampling Data'!D1846</f>
        <v>4</v>
      </c>
      <c r="F1850" s="113">
        <f>'Sampling Data'!E1846</f>
        <v>0</v>
      </c>
      <c r="G1850" s="113">
        <f>'Sampling Data'!F1846</f>
        <v>0</v>
      </c>
      <c r="H1850" s="113">
        <f>'Sampling Data'!G1846</f>
        <v>0</v>
      </c>
      <c r="I1850" s="112">
        <f>'Sampling Data'!H1846</f>
        <v>0</v>
      </c>
      <c r="J1850" s="112">
        <f>'Sampling Data'!I1846</f>
        <v>1</v>
      </c>
      <c r="K1850" s="112">
        <f>'Sampling Data'!J1846</f>
        <v>12</v>
      </c>
      <c r="L1850" s="111">
        <f>'Sampling Data'!X1846</f>
        <v>0</v>
      </c>
      <c r="M1850" s="114"/>
      <c r="N1850" s="114"/>
      <c r="O1850" s="115"/>
      <c r="P1850" s="115"/>
      <c r="Q1850" s="116"/>
      <c r="R1850" s="116"/>
      <c r="S1850" s="111">
        <f>Audit[[#This Row],[Audit Losing Candidate]]-Audit[[#This Row],[Losing Candidate]]</f>
        <v>-1</v>
      </c>
      <c r="T1850" s="111">
        <f>Audit[[#This Row],[Audit Winning Candidate]]-Audit[[#This Row],[Winning Candidate]]</f>
        <v>-6</v>
      </c>
      <c r="U1850" s="111">
        <f>Audit[[#This Row],[Audit Candidate 3]]-Audit[[#This Row],[Candidate 3]]</f>
        <v>-4</v>
      </c>
      <c r="V1850" s="111">
        <f>Audit[[#This Row],[Audit Candidate 4]]-Audit[[#This Row],[Candidate 4]]</f>
        <v>0</v>
      </c>
      <c r="W1850" s="111">
        <f>Audit[[#This Row],[Audit Candidate 5]]-Audit[[#This Row],[Candidate 5]]</f>
        <v>0</v>
      </c>
      <c r="X1850" s="111">
        <f>Audit[[#This Row],[Audit Candidate 6]]-Audit[[#This Row],[Candidate 6]]</f>
        <v>0</v>
      </c>
      <c r="Y1850" s="111">
        <f>SUMIF(Audit[[#This Row],[Difference Loser]:[Difference Candidate 6]], "&gt;0")</f>
        <v>0</v>
      </c>
      <c r="Z1850" s="111">
        <f>SUM(Audit[[#This Row],[Difference Loser]:[Difference Candidate 6]])</f>
        <v>-11</v>
      </c>
      <c r="AA1850" s="111">
        <f>IF(Audit[[#This Row],[Times p Drawn - With Replacement]]&gt;0, IF(Audit[[#This Row],[Canceled Differences]]&lt;0, Audit[[#This Row],[Max Differences]]+ABS(Audit[[#This Row],[Canceled Differences]]), Audit[[#This Row],[Max Differences]]), 0)</f>
        <v>0</v>
      </c>
      <c r="AB1850" s="111">
        <f>'Sampling Data'!P1846</f>
        <v>1.041156295933366E-3</v>
      </c>
      <c r="AC1850" s="111">
        <f>IF(
      SUM(Audit[[#This Row],[Audit Losing Candidate]:[Audit Candidate 6]])
      &lt;&gt;0,
      (Audit[[#This Row],[Winning Candidate]]-Audit[[#This Row],[Losing Candidate]]-(Audit[[#This Row],[Audit Winning Candidate]]-Audit[[#This Row],[Audit Losing Candidate]]))/(Audit[[#Totals],[Winning Candidate]]-Audit[[#Totals],[Losing Candidate]]),
      0
)</f>
        <v>0</v>
      </c>
      <c r="AD18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0" s="111">
        <f>IF(Audit[[#This Row],[Max Relative Error (ep)]] = 0, 0, Audit[[#This Row],[Max Relative Error (ep)]]/Audit[[#This Row],[Error Bound (up) - Max. possible relative overstatement]])</f>
        <v>0</v>
      </c>
      <c r="AJ18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50" s="111">
        <f t="shared" si="28"/>
        <v>1</v>
      </c>
      <c r="AL1850" s="111">
        <f>PRODUCT($AK$5:AK1850)</f>
        <v>8.962823818226312E-2</v>
      </c>
      <c r="AM1850" s="109">
        <f>1 - [K-M P Value]</f>
        <v>0.91037176181773694</v>
      </c>
      <c r="AN1850" s="111" t="str">
        <f>IF(Audit[[#This Row],[K-M P Value]]&gt;1-'General Info'!$B$16,"Continue", "Stop")</f>
        <v>Stop</v>
      </c>
      <c r="AO1850" s="110" t="b">
        <f>IF(Audit[[#This Row],[Status - Continue or stop audit]] = "Continue", TRUE, IF(AN1849 = "Continue", TRUE, FALSE))</f>
        <v>0</v>
      </c>
      <c r="AP1850" s="110"/>
    </row>
    <row r="1851" spans="1:42" ht="15" hidden="1" customHeight="1">
      <c r="A1851" s="111" t="str">
        <f>'Sampling Data'!W1847</f>
        <v/>
      </c>
      <c r="B1851" s="112" t="str">
        <f>'Sampling Data'!A1847</f>
        <v>ROCKY RIVER -03-C</v>
      </c>
      <c r="C1851" s="112">
        <f>'Sampling Data'!B1847</f>
        <v>28</v>
      </c>
      <c r="D1851" s="112">
        <f>'Sampling Data'!C1847</f>
        <v>86</v>
      </c>
      <c r="E1851" s="113">
        <f>'Sampling Data'!D1847</f>
        <v>10</v>
      </c>
      <c r="F1851" s="113">
        <f>'Sampling Data'!E1847</f>
        <v>7</v>
      </c>
      <c r="G1851" s="113">
        <f>'Sampling Data'!F1847</f>
        <v>0</v>
      </c>
      <c r="H1851" s="113">
        <f>'Sampling Data'!G1847</f>
        <v>0</v>
      </c>
      <c r="I1851" s="112">
        <f>'Sampling Data'!H1847</f>
        <v>0</v>
      </c>
      <c r="J1851" s="112">
        <f>'Sampling Data'!I1847</f>
        <v>3</v>
      </c>
      <c r="K1851" s="112">
        <f>'Sampling Data'!J1847</f>
        <v>134</v>
      </c>
      <c r="L1851" s="111">
        <f>'Sampling Data'!X1847</f>
        <v>0</v>
      </c>
      <c r="M1851" s="114"/>
      <c r="N1851" s="114"/>
      <c r="O1851" s="115"/>
      <c r="P1851" s="115"/>
      <c r="Q1851" s="116"/>
      <c r="R1851" s="116"/>
      <c r="S1851" s="111">
        <f>Audit[[#This Row],[Audit Losing Candidate]]-Audit[[#This Row],[Losing Candidate]]</f>
        <v>-28</v>
      </c>
      <c r="T1851" s="111">
        <f>Audit[[#This Row],[Audit Winning Candidate]]-Audit[[#This Row],[Winning Candidate]]</f>
        <v>-86</v>
      </c>
      <c r="U1851" s="111">
        <f>Audit[[#This Row],[Audit Candidate 3]]-Audit[[#This Row],[Candidate 3]]</f>
        <v>-10</v>
      </c>
      <c r="V1851" s="111">
        <f>Audit[[#This Row],[Audit Candidate 4]]-Audit[[#This Row],[Candidate 4]]</f>
        <v>-7</v>
      </c>
      <c r="W1851" s="111">
        <f>Audit[[#This Row],[Audit Candidate 5]]-Audit[[#This Row],[Candidate 5]]</f>
        <v>0</v>
      </c>
      <c r="X1851" s="111">
        <f>Audit[[#This Row],[Audit Candidate 6]]-Audit[[#This Row],[Candidate 6]]</f>
        <v>0</v>
      </c>
      <c r="Y1851" s="111">
        <f>SUMIF(Audit[[#This Row],[Difference Loser]:[Difference Candidate 6]], "&gt;0")</f>
        <v>0</v>
      </c>
      <c r="Z1851" s="111">
        <f>SUM(Audit[[#This Row],[Difference Loser]:[Difference Candidate 6]])</f>
        <v>-131</v>
      </c>
      <c r="AA1851" s="111">
        <f>IF(Audit[[#This Row],[Times p Drawn - With Replacement]]&gt;0, IF(Audit[[#This Row],[Canceled Differences]]&lt;0, Audit[[#This Row],[Max Differences]]+ABS(Audit[[#This Row],[Canceled Differences]]), Audit[[#This Row],[Max Differences]]), 0)</f>
        <v>0</v>
      </c>
      <c r="AB1851" s="111">
        <f>'Sampling Data'!P1847</f>
        <v>1.1758941695247428E-2</v>
      </c>
      <c r="AC1851" s="111">
        <f>IF(
      SUM(Audit[[#This Row],[Audit Losing Candidate]:[Audit Candidate 6]])
      &lt;&gt;0,
      (Audit[[#This Row],[Winning Candidate]]-Audit[[#This Row],[Losing Candidate]]-(Audit[[#This Row],[Audit Winning Candidate]]-Audit[[#This Row],[Audit Losing Candidate]]))/(Audit[[#Totals],[Winning Candidate]]-Audit[[#Totals],[Losing Candidate]]),
      0
)</f>
        <v>0</v>
      </c>
      <c r="AD18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1" s="111">
        <f>IF(Audit[[#This Row],[Max Relative Error (ep)]] = 0, 0, Audit[[#This Row],[Max Relative Error (ep)]]/Audit[[#This Row],[Error Bound (up) - Max. possible relative overstatement]])</f>
        <v>0</v>
      </c>
      <c r="AJ18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51" s="111">
        <f t="shared" si="28"/>
        <v>1</v>
      </c>
      <c r="AL1851" s="111">
        <f>PRODUCT($AK$5:AK1851)</f>
        <v>8.962823818226312E-2</v>
      </c>
      <c r="AM1851" s="109">
        <f>1 - [K-M P Value]</f>
        <v>0.91037176181773694</v>
      </c>
      <c r="AN1851" s="111" t="str">
        <f>IF(Audit[[#This Row],[K-M P Value]]&gt;1-'General Info'!$B$16,"Continue", "Stop")</f>
        <v>Stop</v>
      </c>
      <c r="AO1851" s="110" t="b">
        <f>IF(Audit[[#This Row],[Status - Continue or stop audit]] = "Continue", TRUE, IF(AN1850 = "Continue", TRUE, FALSE))</f>
        <v>0</v>
      </c>
      <c r="AP1851" s="110"/>
    </row>
    <row r="1852" spans="1:42" ht="15" hidden="1" customHeight="1">
      <c r="A1852" s="111" t="str">
        <f>'Sampling Data'!W1848</f>
        <v/>
      </c>
      <c r="B1852" s="112" t="str">
        <f>'Sampling Data'!A1848</f>
        <v>ROCKY RIVER -03-C - ABS</v>
      </c>
      <c r="C1852" s="112">
        <f>'Sampling Data'!B1848</f>
        <v>24</v>
      </c>
      <c r="D1852" s="112">
        <f>'Sampling Data'!C1848</f>
        <v>37</v>
      </c>
      <c r="E1852" s="113">
        <f>'Sampling Data'!D1848</f>
        <v>8</v>
      </c>
      <c r="F1852" s="113">
        <f>'Sampling Data'!E1848</f>
        <v>2</v>
      </c>
      <c r="G1852" s="113">
        <f>'Sampling Data'!F1848</f>
        <v>0</v>
      </c>
      <c r="H1852" s="113">
        <f>'Sampling Data'!G1848</f>
        <v>0</v>
      </c>
      <c r="I1852" s="112">
        <f>'Sampling Data'!H1848</f>
        <v>0</v>
      </c>
      <c r="J1852" s="112">
        <f>'Sampling Data'!I1848</f>
        <v>0</v>
      </c>
      <c r="K1852" s="112">
        <f>'Sampling Data'!J1848</f>
        <v>71</v>
      </c>
      <c r="L1852" s="111">
        <f>'Sampling Data'!X1848</f>
        <v>0</v>
      </c>
      <c r="M1852" s="114"/>
      <c r="N1852" s="114"/>
      <c r="O1852" s="115"/>
      <c r="P1852" s="115"/>
      <c r="Q1852" s="116"/>
      <c r="R1852" s="116"/>
      <c r="S1852" s="111">
        <f>Audit[[#This Row],[Audit Losing Candidate]]-Audit[[#This Row],[Losing Candidate]]</f>
        <v>-24</v>
      </c>
      <c r="T1852" s="111">
        <f>Audit[[#This Row],[Audit Winning Candidate]]-Audit[[#This Row],[Winning Candidate]]</f>
        <v>-37</v>
      </c>
      <c r="U1852" s="111">
        <f>Audit[[#This Row],[Audit Candidate 3]]-Audit[[#This Row],[Candidate 3]]</f>
        <v>-8</v>
      </c>
      <c r="V1852" s="111">
        <f>Audit[[#This Row],[Audit Candidate 4]]-Audit[[#This Row],[Candidate 4]]</f>
        <v>-2</v>
      </c>
      <c r="W1852" s="111">
        <f>Audit[[#This Row],[Audit Candidate 5]]-Audit[[#This Row],[Candidate 5]]</f>
        <v>0</v>
      </c>
      <c r="X1852" s="111">
        <f>Audit[[#This Row],[Audit Candidate 6]]-Audit[[#This Row],[Candidate 6]]</f>
        <v>0</v>
      </c>
      <c r="Y1852" s="111">
        <f>SUMIF(Audit[[#This Row],[Difference Loser]:[Difference Candidate 6]], "&gt;0")</f>
        <v>0</v>
      </c>
      <c r="Z1852" s="111">
        <f>SUM(Audit[[#This Row],[Difference Loser]:[Difference Candidate 6]])</f>
        <v>-71</v>
      </c>
      <c r="AA1852" s="111">
        <f>IF(Audit[[#This Row],[Times p Drawn - With Replacement]]&gt;0, IF(Audit[[#This Row],[Canceled Differences]]&lt;0, Audit[[#This Row],[Max Differences]]+ABS(Audit[[#This Row],[Canceled Differences]]), Audit[[#This Row],[Max Differences]]), 0)</f>
        <v>0</v>
      </c>
      <c r="AB1852" s="111">
        <f>'Sampling Data'!P1848</f>
        <v>5.1445369916707498E-3</v>
      </c>
      <c r="AC1852" s="111">
        <f>IF(
      SUM(Audit[[#This Row],[Audit Losing Candidate]:[Audit Candidate 6]])
      &lt;&gt;0,
      (Audit[[#This Row],[Winning Candidate]]-Audit[[#This Row],[Losing Candidate]]-(Audit[[#This Row],[Audit Winning Candidate]]-Audit[[#This Row],[Audit Losing Candidate]]))/(Audit[[#Totals],[Winning Candidate]]-Audit[[#Totals],[Losing Candidate]]),
      0
)</f>
        <v>0</v>
      </c>
      <c r="AD18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2" s="111">
        <f>IF(Audit[[#This Row],[Max Relative Error (ep)]] = 0, 0, Audit[[#This Row],[Max Relative Error (ep)]]/Audit[[#This Row],[Error Bound (up) - Max. possible relative overstatement]])</f>
        <v>0</v>
      </c>
      <c r="AJ18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52" s="111">
        <f t="shared" si="28"/>
        <v>1</v>
      </c>
      <c r="AL1852" s="111">
        <f>PRODUCT($AK$5:AK1852)</f>
        <v>8.962823818226312E-2</v>
      </c>
      <c r="AM1852" s="109">
        <f>1 - [K-M P Value]</f>
        <v>0.91037176181773694</v>
      </c>
      <c r="AN1852" s="111" t="str">
        <f>IF(Audit[[#This Row],[K-M P Value]]&gt;1-'General Info'!$B$16,"Continue", "Stop")</f>
        <v>Stop</v>
      </c>
      <c r="AO1852" s="110" t="b">
        <f>IF(Audit[[#This Row],[Status - Continue or stop audit]] = "Continue", TRUE, IF(AN1851 = "Continue", TRUE, FALSE))</f>
        <v>0</v>
      </c>
      <c r="AP1852" s="110"/>
    </row>
    <row r="1853" spans="1:42" ht="15" hidden="1" customHeight="1">
      <c r="A1853" s="111" t="str">
        <f>'Sampling Data'!W1849</f>
        <v/>
      </c>
      <c r="B1853" s="112" t="str">
        <f>'Sampling Data'!A1849</f>
        <v>ROCKY RIVER -03-D</v>
      </c>
      <c r="C1853" s="112">
        <f>'Sampling Data'!B1849</f>
        <v>42</v>
      </c>
      <c r="D1853" s="112">
        <f>'Sampling Data'!C1849</f>
        <v>72</v>
      </c>
      <c r="E1853" s="113">
        <f>'Sampling Data'!D1849</f>
        <v>10</v>
      </c>
      <c r="F1853" s="113">
        <f>'Sampling Data'!E1849</f>
        <v>28</v>
      </c>
      <c r="G1853" s="113">
        <f>'Sampling Data'!F1849</f>
        <v>2</v>
      </c>
      <c r="H1853" s="113">
        <f>'Sampling Data'!G1849</f>
        <v>1</v>
      </c>
      <c r="I1853" s="112">
        <f>'Sampling Data'!H1849</f>
        <v>1</v>
      </c>
      <c r="J1853" s="112">
        <f>'Sampling Data'!I1849</f>
        <v>3</v>
      </c>
      <c r="K1853" s="112">
        <f>'Sampling Data'!J1849</f>
        <v>159</v>
      </c>
      <c r="L1853" s="111">
        <f>'Sampling Data'!X1849</f>
        <v>0</v>
      </c>
      <c r="M1853" s="114"/>
      <c r="N1853" s="114"/>
      <c r="O1853" s="115"/>
      <c r="P1853" s="115"/>
      <c r="Q1853" s="116"/>
      <c r="R1853" s="116"/>
      <c r="S1853" s="111">
        <f>Audit[[#This Row],[Audit Losing Candidate]]-Audit[[#This Row],[Losing Candidate]]</f>
        <v>-42</v>
      </c>
      <c r="T1853" s="111">
        <f>Audit[[#This Row],[Audit Winning Candidate]]-Audit[[#This Row],[Winning Candidate]]</f>
        <v>-72</v>
      </c>
      <c r="U1853" s="111">
        <f>Audit[[#This Row],[Audit Candidate 3]]-Audit[[#This Row],[Candidate 3]]</f>
        <v>-10</v>
      </c>
      <c r="V1853" s="111">
        <f>Audit[[#This Row],[Audit Candidate 4]]-Audit[[#This Row],[Candidate 4]]</f>
        <v>-28</v>
      </c>
      <c r="W1853" s="111">
        <f>Audit[[#This Row],[Audit Candidate 5]]-Audit[[#This Row],[Candidate 5]]</f>
        <v>-2</v>
      </c>
      <c r="X1853" s="111">
        <f>Audit[[#This Row],[Audit Candidate 6]]-Audit[[#This Row],[Candidate 6]]</f>
        <v>-1</v>
      </c>
      <c r="Y1853" s="111">
        <f>SUMIF(Audit[[#This Row],[Difference Loser]:[Difference Candidate 6]], "&gt;0")</f>
        <v>0</v>
      </c>
      <c r="Z1853" s="111">
        <f>SUM(Audit[[#This Row],[Difference Loser]:[Difference Candidate 6]])</f>
        <v>-155</v>
      </c>
      <c r="AA1853" s="111">
        <f>IF(Audit[[#This Row],[Times p Drawn - With Replacement]]&gt;0, IF(Audit[[#This Row],[Canceled Differences]]&lt;0, Audit[[#This Row],[Max Differences]]+ABS(Audit[[#This Row],[Canceled Differences]]), Audit[[#This Row],[Max Differences]]), 0)</f>
        <v>0</v>
      </c>
      <c r="AB1853" s="111">
        <f>'Sampling Data'!P1849</f>
        <v>1.1575208231259187E-2</v>
      </c>
      <c r="AC1853" s="111">
        <f>IF(
      SUM(Audit[[#This Row],[Audit Losing Candidate]:[Audit Candidate 6]])
      &lt;&gt;0,
      (Audit[[#This Row],[Winning Candidate]]-Audit[[#This Row],[Losing Candidate]]-(Audit[[#This Row],[Audit Winning Candidate]]-Audit[[#This Row],[Audit Losing Candidate]]))/(Audit[[#Totals],[Winning Candidate]]-Audit[[#Totals],[Losing Candidate]]),
      0
)</f>
        <v>0</v>
      </c>
      <c r="AD18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3" s="111">
        <f>IF(Audit[[#This Row],[Max Relative Error (ep)]] = 0, 0, Audit[[#This Row],[Max Relative Error (ep)]]/Audit[[#This Row],[Error Bound (up) - Max. possible relative overstatement]])</f>
        <v>0</v>
      </c>
      <c r="AJ18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53" s="111">
        <f t="shared" si="28"/>
        <v>1</v>
      </c>
      <c r="AL1853" s="111">
        <f>PRODUCT($AK$5:AK1853)</f>
        <v>8.962823818226312E-2</v>
      </c>
      <c r="AM1853" s="109">
        <f>1 - [K-M P Value]</f>
        <v>0.91037176181773694</v>
      </c>
      <c r="AN1853" s="111" t="str">
        <f>IF(Audit[[#This Row],[K-M P Value]]&gt;1-'General Info'!$B$16,"Continue", "Stop")</f>
        <v>Stop</v>
      </c>
      <c r="AO1853" s="110" t="b">
        <f>IF(Audit[[#This Row],[Status - Continue or stop audit]] = "Continue", TRUE, IF(AN1852 = "Continue", TRUE, FALSE))</f>
        <v>0</v>
      </c>
      <c r="AP1853" s="110"/>
    </row>
    <row r="1854" spans="1:42" ht="15" hidden="1" customHeight="1">
      <c r="A1854" s="111" t="str">
        <f>'Sampling Data'!W1850</f>
        <v/>
      </c>
      <c r="B1854" s="112" t="str">
        <f>'Sampling Data'!A1850</f>
        <v>ROCKY RIVER -03-D - ABS</v>
      </c>
      <c r="C1854" s="112">
        <f>'Sampling Data'!B1850</f>
        <v>15</v>
      </c>
      <c r="D1854" s="112">
        <f>'Sampling Data'!C1850</f>
        <v>19</v>
      </c>
      <c r="E1854" s="113">
        <f>'Sampling Data'!D1850</f>
        <v>3</v>
      </c>
      <c r="F1854" s="113">
        <f>'Sampling Data'!E1850</f>
        <v>5</v>
      </c>
      <c r="G1854" s="113">
        <f>'Sampling Data'!F1850</f>
        <v>0</v>
      </c>
      <c r="H1854" s="113">
        <f>'Sampling Data'!G1850</f>
        <v>0</v>
      </c>
      <c r="I1854" s="112">
        <f>'Sampling Data'!H1850</f>
        <v>0</v>
      </c>
      <c r="J1854" s="112">
        <f>'Sampling Data'!I1850</f>
        <v>1</v>
      </c>
      <c r="K1854" s="112">
        <f>'Sampling Data'!J1850</f>
        <v>43</v>
      </c>
      <c r="L1854" s="111">
        <f>'Sampling Data'!X1850</f>
        <v>0</v>
      </c>
      <c r="M1854" s="114"/>
      <c r="N1854" s="114"/>
      <c r="O1854" s="115"/>
      <c r="P1854" s="115"/>
      <c r="Q1854" s="116"/>
      <c r="R1854" s="116"/>
      <c r="S1854" s="111">
        <f>Audit[[#This Row],[Audit Losing Candidate]]-Audit[[#This Row],[Losing Candidate]]</f>
        <v>-15</v>
      </c>
      <c r="T1854" s="111">
        <f>Audit[[#This Row],[Audit Winning Candidate]]-Audit[[#This Row],[Winning Candidate]]</f>
        <v>-19</v>
      </c>
      <c r="U1854" s="111">
        <f>Audit[[#This Row],[Audit Candidate 3]]-Audit[[#This Row],[Candidate 3]]</f>
        <v>-3</v>
      </c>
      <c r="V1854" s="111">
        <f>Audit[[#This Row],[Audit Candidate 4]]-Audit[[#This Row],[Candidate 4]]</f>
        <v>-5</v>
      </c>
      <c r="W1854" s="111">
        <f>Audit[[#This Row],[Audit Candidate 5]]-Audit[[#This Row],[Candidate 5]]</f>
        <v>0</v>
      </c>
      <c r="X1854" s="111">
        <f>Audit[[#This Row],[Audit Candidate 6]]-Audit[[#This Row],[Candidate 6]]</f>
        <v>0</v>
      </c>
      <c r="Y1854" s="111">
        <f>SUMIF(Audit[[#This Row],[Difference Loser]:[Difference Candidate 6]], "&gt;0")</f>
        <v>0</v>
      </c>
      <c r="Z1854" s="111">
        <f>SUM(Audit[[#This Row],[Difference Loser]:[Difference Candidate 6]])</f>
        <v>-42</v>
      </c>
      <c r="AA1854" s="111">
        <f>IF(Audit[[#This Row],[Times p Drawn - With Replacement]]&gt;0, IF(Audit[[#This Row],[Canceled Differences]]&lt;0, Audit[[#This Row],[Max Differences]]+ABS(Audit[[#This Row],[Canceled Differences]]), Audit[[#This Row],[Max Differences]]), 0)</f>
        <v>0</v>
      </c>
      <c r="AB1854" s="111">
        <f>'Sampling Data'!P1850</f>
        <v>2.8784909358157765E-3</v>
      </c>
      <c r="AC1854" s="111">
        <f>IF(
      SUM(Audit[[#This Row],[Audit Losing Candidate]:[Audit Candidate 6]])
      &lt;&gt;0,
      (Audit[[#This Row],[Winning Candidate]]-Audit[[#This Row],[Losing Candidate]]-(Audit[[#This Row],[Audit Winning Candidate]]-Audit[[#This Row],[Audit Losing Candidate]]))/(Audit[[#Totals],[Winning Candidate]]-Audit[[#Totals],[Losing Candidate]]),
      0
)</f>
        <v>0</v>
      </c>
      <c r="AD18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4" s="111">
        <f>IF(Audit[[#This Row],[Max Relative Error (ep)]] = 0, 0, Audit[[#This Row],[Max Relative Error (ep)]]/Audit[[#This Row],[Error Bound (up) - Max. possible relative overstatement]])</f>
        <v>0</v>
      </c>
      <c r="AJ18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54" s="111">
        <f t="shared" si="28"/>
        <v>1</v>
      </c>
      <c r="AL1854" s="111">
        <f>PRODUCT($AK$5:AK1854)</f>
        <v>8.962823818226312E-2</v>
      </c>
      <c r="AM1854" s="109">
        <f>1 - [K-M P Value]</f>
        <v>0.91037176181773694</v>
      </c>
      <c r="AN1854" s="111" t="str">
        <f>IF(Audit[[#This Row],[K-M P Value]]&gt;1-'General Info'!$B$16,"Continue", "Stop")</f>
        <v>Stop</v>
      </c>
      <c r="AO1854" s="110" t="b">
        <f>IF(Audit[[#This Row],[Status - Continue or stop audit]] = "Continue", TRUE, IF(AN1853 = "Continue", TRUE, FALSE))</f>
        <v>0</v>
      </c>
      <c r="AP1854" s="110"/>
    </row>
    <row r="1855" spans="1:42" ht="15" hidden="1" customHeight="1">
      <c r="A1855" s="111" t="str">
        <f>'Sampling Data'!W1851</f>
        <v/>
      </c>
      <c r="B1855" s="112" t="str">
        <f>'Sampling Data'!A1851</f>
        <v>ROCKY RIVER -04-A</v>
      </c>
      <c r="C1855" s="112">
        <f>'Sampling Data'!B1851</f>
        <v>24</v>
      </c>
      <c r="D1855" s="112">
        <f>'Sampling Data'!C1851</f>
        <v>63</v>
      </c>
      <c r="E1855" s="113">
        <f>'Sampling Data'!D1851</f>
        <v>16</v>
      </c>
      <c r="F1855" s="113">
        <f>'Sampling Data'!E1851</f>
        <v>10</v>
      </c>
      <c r="G1855" s="113">
        <f>'Sampling Data'!F1851</f>
        <v>1</v>
      </c>
      <c r="H1855" s="113">
        <f>'Sampling Data'!G1851</f>
        <v>0</v>
      </c>
      <c r="I1855" s="112">
        <f>'Sampling Data'!H1851</f>
        <v>0</v>
      </c>
      <c r="J1855" s="112">
        <f>'Sampling Data'!I1851</f>
        <v>3</v>
      </c>
      <c r="K1855" s="112">
        <f>'Sampling Data'!J1851</f>
        <v>117</v>
      </c>
      <c r="L1855" s="111">
        <f>'Sampling Data'!X1851</f>
        <v>0</v>
      </c>
      <c r="M1855" s="114"/>
      <c r="N1855" s="114"/>
      <c r="O1855" s="115"/>
      <c r="P1855" s="115"/>
      <c r="Q1855" s="116"/>
      <c r="R1855" s="116"/>
      <c r="S1855" s="111">
        <f>Audit[[#This Row],[Audit Losing Candidate]]-Audit[[#This Row],[Losing Candidate]]</f>
        <v>-24</v>
      </c>
      <c r="T1855" s="111">
        <f>Audit[[#This Row],[Audit Winning Candidate]]-Audit[[#This Row],[Winning Candidate]]</f>
        <v>-63</v>
      </c>
      <c r="U1855" s="111">
        <f>Audit[[#This Row],[Audit Candidate 3]]-Audit[[#This Row],[Candidate 3]]</f>
        <v>-16</v>
      </c>
      <c r="V1855" s="111">
        <f>Audit[[#This Row],[Audit Candidate 4]]-Audit[[#This Row],[Candidate 4]]</f>
        <v>-10</v>
      </c>
      <c r="W1855" s="111">
        <f>Audit[[#This Row],[Audit Candidate 5]]-Audit[[#This Row],[Candidate 5]]</f>
        <v>-1</v>
      </c>
      <c r="X1855" s="111">
        <f>Audit[[#This Row],[Audit Candidate 6]]-Audit[[#This Row],[Candidate 6]]</f>
        <v>0</v>
      </c>
      <c r="Y1855" s="111">
        <f>SUMIF(Audit[[#This Row],[Difference Loser]:[Difference Candidate 6]], "&gt;0")</f>
        <v>0</v>
      </c>
      <c r="Z1855" s="111">
        <f>SUM(Audit[[#This Row],[Difference Loser]:[Difference Candidate 6]])</f>
        <v>-114</v>
      </c>
      <c r="AA1855" s="111">
        <f>IF(Audit[[#This Row],[Times p Drawn - With Replacement]]&gt;0, IF(Audit[[#This Row],[Canceled Differences]]&lt;0, Audit[[#This Row],[Max Differences]]+ABS(Audit[[#This Row],[Canceled Differences]]), Audit[[#This Row],[Max Differences]]), 0)</f>
        <v>0</v>
      </c>
      <c r="AB1855" s="111">
        <f>'Sampling Data'!P1851</f>
        <v>9.5541401273885346E-3</v>
      </c>
      <c r="AC1855" s="111">
        <f>IF(
      SUM(Audit[[#This Row],[Audit Losing Candidate]:[Audit Candidate 6]])
      &lt;&gt;0,
      (Audit[[#This Row],[Winning Candidate]]-Audit[[#This Row],[Losing Candidate]]-(Audit[[#This Row],[Audit Winning Candidate]]-Audit[[#This Row],[Audit Losing Candidate]]))/(Audit[[#Totals],[Winning Candidate]]-Audit[[#Totals],[Losing Candidate]]),
      0
)</f>
        <v>0</v>
      </c>
      <c r="AD18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5" s="111">
        <f>IF(Audit[[#This Row],[Max Relative Error (ep)]] = 0, 0, Audit[[#This Row],[Max Relative Error (ep)]]/Audit[[#This Row],[Error Bound (up) - Max. possible relative overstatement]])</f>
        <v>0</v>
      </c>
      <c r="AJ18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55" s="111">
        <f t="shared" si="28"/>
        <v>1</v>
      </c>
      <c r="AL1855" s="111">
        <f>PRODUCT($AK$5:AK1855)</f>
        <v>8.962823818226312E-2</v>
      </c>
      <c r="AM1855" s="109">
        <f>1 - [K-M P Value]</f>
        <v>0.91037176181773694</v>
      </c>
      <c r="AN1855" s="111" t="str">
        <f>IF(Audit[[#This Row],[K-M P Value]]&gt;1-'General Info'!$B$16,"Continue", "Stop")</f>
        <v>Stop</v>
      </c>
      <c r="AO1855" s="110" t="b">
        <f>IF(Audit[[#This Row],[Status - Continue or stop audit]] = "Continue", TRUE, IF(AN1854 = "Continue", TRUE, FALSE))</f>
        <v>0</v>
      </c>
      <c r="AP1855" s="110"/>
    </row>
    <row r="1856" spans="1:42" ht="15" hidden="1" customHeight="1">
      <c r="A1856" s="111" t="str">
        <f>'Sampling Data'!W1852</f>
        <v/>
      </c>
      <c r="B1856" s="112" t="str">
        <f>'Sampling Data'!A1852</f>
        <v>ROCKY RIVER -04-A - ABS</v>
      </c>
      <c r="C1856" s="112">
        <f>'Sampling Data'!B1852</f>
        <v>11</v>
      </c>
      <c r="D1856" s="112">
        <f>'Sampling Data'!C1852</f>
        <v>21</v>
      </c>
      <c r="E1856" s="113">
        <f>'Sampling Data'!D1852</f>
        <v>3</v>
      </c>
      <c r="F1856" s="113">
        <f>'Sampling Data'!E1852</f>
        <v>0</v>
      </c>
      <c r="G1856" s="113">
        <f>'Sampling Data'!F1852</f>
        <v>0</v>
      </c>
      <c r="H1856" s="113">
        <f>'Sampling Data'!G1852</f>
        <v>0</v>
      </c>
      <c r="I1856" s="112">
        <f>'Sampling Data'!H1852</f>
        <v>0</v>
      </c>
      <c r="J1856" s="112">
        <f>'Sampling Data'!I1852</f>
        <v>4</v>
      </c>
      <c r="K1856" s="112">
        <f>'Sampling Data'!J1852</f>
        <v>39</v>
      </c>
      <c r="L1856" s="111">
        <f>'Sampling Data'!X1852</f>
        <v>0</v>
      </c>
      <c r="M1856" s="114"/>
      <c r="N1856" s="114"/>
      <c r="O1856" s="115"/>
      <c r="P1856" s="115"/>
      <c r="Q1856" s="116"/>
      <c r="R1856" s="116"/>
      <c r="S1856" s="111">
        <f>Audit[[#This Row],[Audit Losing Candidate]]-Audit[[#This Row],[Losing Candidate]]</f>
        <v>-11</v>
      </c>
      <c r="T1856" s="111">
        <f>Audit[[#This Row],[Audit Winning Candidate]]-Audit[[#This Row],[Winning Candidate]]</f>
        <v>-21</v>
      </c>
      <c r="U1856" s="111">
        <f>Audit[[#This Row],[Audit Candidate 3]]-Audit[[#This Row],[Candidate 3]]</f>
        <v>-3</v>
      </c>
      <c r="V1856" s="111">
        <f>Audit[[#This Row],[Audit Candidate 4]]-Audit[[#This Row],[Candidate 4]]</f>
        <v>0</v>
      </c>
      <c r="W1856" s="111">
        <f>Audit[[#This Row],[Audit Candidate 5]]-Audit[[#This Row],[Candidate 5]]</f>
        <v>0</v>
      </c>
      <c r="X1856" s="111">
        <f>Audit[[#This Row],[Audit Candidate 6]]-Audit[[#This Row],[Candidate 6]]</f>
        <v>0</v>
      </c>
      <c r="Y1856" s="111">
        <f>SUMIF(Audit[[#This Row],[Difference Loser]:[Difference Candidate 6]], "&gt;0")</f>
        <v>0</v>
      </c>
      <c r="Z1856" s="111">
        <f>SUM(Audit[[#This Row],[Difference Loser]:[Difference Candidate 6]])</f>
        <v>-35</v>
      </c>
      <c r="AA1856" s="111">
        <f>IF(Audit[[#This Row],[Times p Drawn - With Replacement]]&gt;0, IF(Audit[[#This Row],[Canceled Differences]]&lt;0, Audit[[#This Row],[Max Differences]]+ABS(Audit[[#This Row],[Canceled Differences]]), Audit[[#This Row],[Max Differences]]), 0)</f>
        <v>0</v>
      </c>
      <c r="AB1856" s="111">
        <f>'Sampling Data'!P1852</f>
        <v>3.0009799118079373E-3</v>
      </c>
      <c r="AC1856" s="111">
        <f>IF(
      SUM(Audit[[#This Row],[Audit Losing Candidate]:[Audit Candidate 6]])
      &lt;&gt;0,
      (Audit[[#This Row],[Winning Candidate]]-Audit[[#This Row],[Losing Candidate]]-(Audit[[#This Row],[Audit Winning Candidate]]-Audit[[#This Row],[Audit Losing Candidate]]))/(Audit[[#Totals],[Winning Candidate]]-Audit[[#Totals],[Losing Candidate]]),
      0
)</f>
        <v>0</v>
      </c>
      <c r="AD18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6" s="111">
        <f>IF(Audit[[#This Row],[Max Relative Error (ep)]] = 0, 0, Audit[[#This Row],[Max Relative Error (ep)]]/Audit[[#This Row],[Error Bound (up) - Max. possible relative overstatement]])</f>
        <v>0</v>
      </c>
      <c r="AJ18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56" s="111">
        <f t="shared" si="28"/>
        <v>1</v>
      </c>
      <c r="AL1856" s="111">
        <f>PRODUCT($AK$5:AK1856)</f>
        <v>8.962823818226312E-2</v>
      </c>
      <c r="AM1856" s="109">
        <f>1 - [K-M P Value]</f>
        <v>0.91037176181773694</v>
      </c>
      <c r="AN1856" s="111" t="str">
        <f>IF(Audit[[#This Row],[K-M P Value]]&gt;1-'General Info'!$B$16,"Continue", "Stop")</f>
        <v>Stop</v>
      </c>
      <c r="AO1856" s="110" t="b">
        <f>IF(Audit[[#This Row],[Status - Continue or stop audit]] = "Continue", TRUE, IF(AN1855 = "Continue", TRUE, FALSE))</f>
        <v>0</v>
      </c>
      <c r="AP1856" s="110"/>
    </row>
    <row r="1857" spans="1:42" ht="15" hidden="1" customHeight="1">
      <c r="A1857" s="111" t="str">
        <f>'Sampling Data'!W1853</f>
        <v/>
      </c>
      <c r="B1857" s="112" t="str">
        <f>'Sampling Data'!A1853</f>
        <v>ROCKY RIVER -04-B</v>
      </c>
      <c r="C1857" s="112">
        <f>'Sampling Data'!B1853</f>
        <v>30</v>
      </c>
      <c r="D1857" s="112">
        <f>'Sampling Data'!C1853</f>
        <v>67</v>
      </c>
      <c r="E1857" s="113">
        <f>'Sampling Data'!D1853</f>
        <v>15</v>
      </c>
      <c r="F1857" s="113">
        <f>'Sampling Data'!E1853</f>
        <v>14</v>
      </c>
      <c r="G1857" s="113">
        <f>'Sampling Data'!F1853</f>
        <v>1</v>
      </c>
      <c r="H1857" s="113">
        <f>'Sampling Data'!G1853</f>
        <v>0</v>
      </c>
      <c r="I1857" s="112">
        <f>'Sampling Data'!H1853</f>
        <v>1</v>
      </c>
      <c r="J1857" s="112">
        <f>'Sampling Data'!I1853</f>
        <v>2</v>
      </c>
      <c r="K1857" s="112">
        <f>'Sampling Data'!J1853</f>
        <v>130</v>
      </c>
      <c r="L1857" s="111">
        <f>'Sampling Data'!X1853</f>
        <v>0</v>
      </c>
      <c r="M1857" s="114"/>
      <c r="N1857" s="114"/>
      <c r="O1857" s="115"/>
      <c r="P1857" s="115"/>
      <c r="Q1857" s="116"/>
      <c r="R1857" s="116"/>
      <c r="S1857" s="111">
        <f>Audit[[#This Row],[Audit Losing Candidate]]-Audit[[#This Row],[Losing Candidate]]</f>
        <v>-30</v>
      </c>
      <c r="T1857" s="111">
        <f>Audit[[#This Row],[Audit Winning Candidate]]-Audit[[#This Row],[Winning Candidate]]</f>
        <v>-67</v>
      </c>
      <c r="U1857" s="111">
        <f>Audit[[#This Row],[Audit Candidate 3]]-Audit[[#This Row],[Candidate 3]]</f>
        <v>-15</v>
      </c>
      <c r="V1857" s="111">
        <f>Audit[[#This Row],[Audit Candidate 4]]-Audit[[#This Row],[Candidate 4]]</f>
        <v>-14</v>
      </c>
      <c r="W1857" s="111">
        <f>Audit[[#This Row],[Audit Candidate 5]]-Audit[[#This Row],[Candidate 5]]</f>
        <v>-1</v>
      </c>
      <c r="X1857" s="111">
        <f>Audit[[#This Row],[Audit Candidate 6]]-Audit[[#This Row],[Candidate 6]]</f>
        <v>0</v>
      </c>
      <c r="Y1857" s="111">
        <f>SUMIF(Audit[[#This Row],[Difference Loser]:[Difference Candidate 6]], "&gt;0")</f>
        <v>0</v>
      </c>
      <c r="Z1857" s="111">
        <f>SUM(Audit[[#This Row],[Difference Loser]:[Difference Candidate 6]])</f>
        <v>-127</v>
      </c>
      <c r="AA1857" s="111">
        <f>IF(Audit[[#This Row],[Times p Drawn - With Replacement]]&gt;0, IF(Audit[[#This Row],[Canceled Differences]]&lt;0, Audit[[#This Row],[Max Differences]]+ABS(Audit[[#This Row],[Canceled Differences]]), Audit[[#This Row],[Max Differences]]), 0)</f>
        <v>0</v>
      </c>
      <c r="AB1857" s="111">
        <f>'Sampling Data'!P1853</f>
        <v>1.0227829495345418E-2</v>
      </c>
      <c r="AC1857" s="111">
        <f>IF(
      SUM(Audit[[#This Row],[Audit Losing Candidate]:[Audit Candidate 6]])
      &lt;&gt;0,
      (Audit[[#This Row],[Winning Candidate]]-Audit[[#This Row],[Losing Candidate]]-(Audit[[#This Row],[Audit Winning Candidate]]-Audit[[#This Row],[Audit Losing Candidate]]))/(Audit[[#Totals],[Winning Candidate]]-Audit[[#Totals],[Losing Candidate]]),
      0
)</f>
        <v>0</v>
      </c>
      <c r="AD18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7" s="111">
        <f>IF(Audit[[#This Row],[Max Relative Error (ep)]] = 0, 0, Audit[[#This Row],[Max Relative Error (ep)]]/Audit[[#This Row],[Error Bound (up) - Max. possible relative overstatement]])</f>
        <v>0</v>
      </c>
      <c r="AJ18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57" s="111">
        <f t="shared" si="28"/>
        <v>1</v>
      </c>
      <c r="AL1857" s="111">
        <f>PRODUCT($AK$5:AK1857)</f>
        <v>8.962823818226312E-2</v>
      </c>
      <c r="AM1857" s="109">
        <f>1 - [K-M P Value]</f>
        <v>0.91037176181773694</v>
      </c>
      <c r="AN1857" s="111" t="str">
        <f>IF(Audit[[#This Row],[K-M P Value]]&gt;1-'General Info'!$B$16,"Continue", "Stop")</f>
        <v>Stop</v>
      </c>
      <c r="AO1857" s="110" t="b">
        <f>IF(Audit[[#This Row],[Status - Continue or stop audit]] = "Continue", TRUE, IF(AN1856 = "Continue", TRUE, FALSE))</f>
        <v>0</v>
      </c>
      <c r="AP1857" s="110"/>
    </row>
    <row r="1858" spans="1:42" ht="15" hidden="1" customHeight="1">
      <c r="A1858" s="111" t="str">
        <f>'Sampling Data'!W1854</f>
        <v/>
      </c>
      <c r="B1858" s="112" t="str">
        <f>'Sampling Data'!A1854</f>
        <v>ROCKY RIVER -04-B - ABS</v>
      </c>
      <c r="C1858" s="112">
        <f>'Sampling Data'!B1854</f>
        <v>10</v>
      </c>
      <c r="D1858" s="112">
        <f>'Sampling Data'!C1854</f>
        <v>18</v>
      </c>
      <c r="E1858" s="113">
        <f>'Sampling Data'!D1854</f>
        <v>7</v>
      </c>
      <c r="F1858" s="113">
        <f>'Sampling Data'!E1854</f>
        <v>2</v>
      </c>
      <c r="G1858" s="113">
        <f>'Sampling Data'!F1854</f>
        <v>0</v>
      </c>
      <c r="H1858" s="113">
        <f>'Sampling Data'!G1854</f>
        <v>0</v>
      </c>
      <c r="I1858" s="112">
        <f>'Sampling Data'!H1854</f>
        <v>0</v>
      </c>
      <c r="J1858" s="112">
        <f>'Sampling Data'!I1854</f>
        <v>3</v>
      </c>
      <c r="K1858" s="112">
        <f>'Sampling Data'!J1854</f>
        <v>40</v>
      </c>
      <c r="L1858" s="111">
        <f>'Sampling Data'!X1854</f>
        <v>0</v>
      </c>
      <c r="M1858" s="114"/>
      <c r="N1858" s="114"/>
      <c r="O1858" s="115"/>
      <c r="P1858" s="115"/>
      <c r="Q1858" s="116"/>
      <c r="R1858" s="116"/>
      <c r="S1858" s="111">
        <f>Audit[[#This Row],[Audit Losing Candidate]]-Audit[[#This Row],[Losing Candidate]]</f>
        <v>-10</v>
      </c>
      <c r="T1858" s="111">
        <f>Audit[[#This Row],[Audit Winning Candidate]]-Audit[[#This Row],[Winning Candidate]]</f>
        <v>-18</v>
      </c>
      <c r="U1858" s="111">
        <f>Audit[[#This Row],[Audit Candidate 3]]-Audit[[#This Row],[Candidate 3]]</f>
        <v>-7</v>
      </c>
      <c r="V1858" s="111">
        <f>Audit[[#This Row],[Audit Candidate 4]]-Audit[[#This Row],[Candidate 4]]</f>
        <v>-2</v>
      </c>
      <c r="W1858" s="111">
        <f>Audit[[#This Row],[Audit Candidate 5]]-Audit[[#This Row],[Candidate 5]]</f>
        <v>0</v>
      </c>
      <c r="X1858" s="111">
        <f>Audit[[#This Row],[Audit Candidate 6]]-Audit[[#This Row],[Candidate 6]]</f>
        <v>0</v>
      </c>
      <c r="Y1858" s="111">
        <f>SUMIF(Audit[[#This Row],[Difference Loser]:[Difference Candidate 6]], "&gt;0")</f>
        <v>0</v>
      </c>
      <c r="Z1858" s="111">
        <f>SUM(Audit[[#This Row],[Difference Loser]:[Difference Candidate 6]])</f>
        <v>-37</v>
      </c>
      <c r="AA1858" s="111">
        <f>IF(Audit[[#This Row],[Times p Drawn - With Replacement]]&gt;0, IF(Audit[[#This Row],[Canceled Differences]]&lt;0, Audit[[#This Row],[Max Differences]]+ABS(Audit[[#This Row],[Canceled Differences]]), Audit[[#This Row],[Max Differences]]), 0)</f>
        <v>0</v>
      </c>
      <c r="AB1858" s="111">
        <f>'Sampling Data'!P1854</f>
        <v>2.9397354238118569E-3</v>
      </c>
      <c r="AC1858" s="111">
        <f>IF(
      SUM(Audit[[#This Row],[Audit Losing Candidate]:[Audit Candidate 6]])
      &lt;&gt;0,
      (Audit[[#This Row],[Winning Candidate]]-Audit[[#This Row],[Losing Candidate]]-(Audit[[#This Row],[Audit Winning Candidate]]-Audit[[#This Row],[Audit Losing Candidate]]))/(Audit[[#Totals],[Winning Candidate]]-Audit[[#Totals],[Losing Candidate]]),
      0
)</f>
        <v>0</v>
      </c>
      <c r="AD18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8" s="111">
        <f>IF(Audit[[#This Row],[Max Relative Error (ep)]] = 0, 0, Audit[[#This Row],[Max Relative Error (ep)]]/Audit[[#This Row],[Error Bound (up) - Max. possible relative overstatement]])</f>
        <v>0</v>
      </c>
      <c r="AJ18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58" s="111">
        <f t="shared" si="28"/>
        <v>1</v>
      </c>
      <c r="AL1858" s="111">
        <f>PRODUCT($AK$5:AK1858)</f>
        <v>8.962823818226312E-2</v>
      </c>
      <c r="AM1858" s="109">
        <f>1 - [K-M P Value]</f>
        <v>0.91037176181773694</v>
      </c>
      <c r="AN1858" s="111" t="str">
        <f>IF(Audit[[#This Row],[K-M P Value]]&gt;1-'General Info'!$B$16,"Continue", "Stop")</f>
        <v>Stop</v>
      </c>
      <c r="AO1858" s="110" t="b">
        <f>IF(Audit[[#This Row],[Status - Continue or stop audit]] = "Continue", TRUE, IF(AN1857 = "Continue", TRUE, FALSE))</f>
        <v>0</v>
      </c>
      <c r="AP1858" s="110"/>
    </row>
    <row r="1859" spans="1:42" ht="15" hidden="1" customHeight="1">
      <c r="A1859" s="111" t="str">
        <f>'Sampling Data'!W1856</f>
        <v/>
      </c>
      <c r="B1859" s="112" t="str">
        <f>'Sampling Data'!A1856</f>
        <v>ROCKY RIVER -04-C - ABS</v>
      </c>
      <c r="C1859" s="112">
        <f>'Sampling Data'!B1856</f>
        <v>22</v>
      </c>
      <c r="D1859" s="112">
        <f>'Sampling Data'!C1856</f>
        <v>23</v>
      </c>
      <c r="E1859" s="113">
        <f>'Sampling Data'!D1856</f>
        <v>11</v>
      </c>
      <c r="F1859" s="113">
        <f>'Sampling Data'!E1856</f>
        <v>3</v>
      </c>
      <c r="G1859" s="113">
        <f>'Sampling Data'!F1856</f>
        <v>0</v>
      </c>
      <c r="H1859" s="113">
        <f>'Sampling Data'!G1856</f>
        <v>0</v>
      </c>
      <c r="I1859" s="112">
        <f>'Sampling Data'!H1856</f>
        <v>0</v>
      </c>
      <c r="J1859" s="112">
        <f>'Sampling Data'!I1856</f>
        <v>1</v>
      </c>
      <c r="K1859" s="112">
        <f>'Sampling Data'!J1856</f>
        <v>60</v>
      </c>
      <c r="L1859" s="111">
        <f>'Sampling Data'!X1856</f>
        <v>0</v>
      </c>
      <c r="M1859" s="114"/>
      <c r="N1859" s="114"/>
      <c r="O1859" s="115"/>
      <c r="P1859" s="115"/>
      <c r="Q1859" s="116"/>
      <c r="R1859" s="116"/>
      <c r="S1859" s="111">
        <f>Audit[[#This Row],[Audit Losing Candidate]]-Audit[[#This Row],[Losing Candidate]]</f>
        <v>-22</v>
      </c>
      <c r="T1859" s="111">
        <f>Audit[[#This Row],[Audit Winning Candidate]]-Audit[[#This Row],[Winning Candidate]]</f>
        <v>-23</v>
      </c>
      <c r="U1859" s="111">
        <f>Audit[[#This Row],[Audit Candidate 3]]-Audit[[#This Row],[Candidate 3]]</f>
        <v>-11</v>
      </c>
      <c r="V1859" s="111">
        <f>Audit[[#This Row],[Audit Candidate 4]]-Audit[[#This Row],[Candidate 4]]</f>
        <v>-3</v>
      </c>
      <c r="W1859" s="111">
        <f>Audit[[#This Row],[Audit Candidate 5]]-Audit[[#This Row],[Candidate 5]]</f>
        <v>0</v>
      </c>
      <c r="X1859" s="111">
        <f>Audit[[#This Row],[Audit Candidate 6]]-Audit[[#This Row],[Candidate 6]]</f>
        <v>0</v>
      </c>
      <c r="Y1859" s="111">
        <f>SUMIF(Audit[[#This Row],[Difference Loser]:[Difference Candidate 6]], "&gt;0")</f>
        <v>0</v>
      </c>
      <c r="Z1859" s="111">
        <f>SUM(Audit[[#This Row],[Difference Loser]:[Difference Candidate 6]])</f>
        <v>-59</v>
      </c>
      <c r="AA1859" s="111">
        <f>IF(Audit[[#This Row],[Times p Drawn - With Replacement]]&gt;0, IF(Audit[[#This Row],[Canceled Differences]]&lt;0, Audit[[#This Row],[Max Differences]]+ABS(Audit[[#This Row],[Canceled Differences]]), Audit[[#This Row],[Max Differences]]), 0)</f>
        <v>0</v>
      </c>
      <c r="AB1859" s="111">
        <f>'Sampling Data'!P1856</f>
        <v>3.7359137677609017E-3</v>
      </c>
      <c r="AC1859" s="111">
        <f>IF(
      SUM(Audit[[#This Row],[Audit Losing Candidate]:[Audit Candidate 6]])
      &lt;&gt;0,
      (Audit[[#This Row],[Winning Candidate]]-Audit[[#This Row],[Losing Candidate]]-(Audit[[#This Row],[Audit Winning Candidate]]-Audit[[#This Row],[Audit Losing Candidate]]))/(Audit[[#Totals],[Winning Candidate]]-Audit[[#Totals],[Losing Candidate]]),
      0
)</f>
        <v>0</v>
      </c>
      <c r="AD18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9" s="111">
        <f>IF(Audit[[#This Row],[Max Relative Error (ep)]] = 0, 0, Audit[[#This Row],[Max Relative Error (ep)]]/Audit[[#This Row],[Error Bound (up) - Max. possible relative overstatement]])</f>
        <v>0</v>
      </c>
      <c r="AJ18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59" s="111">
        <f t="shared" si="28"/>
        <v>1</v>
      </c>
      <c r="AL1859" s="111">
        <f>PRODUCT($AK$5:AK1859)</f>
        <v>8.962823818226312E-2</v>
      </c>
      <c r="AM1859" s="109">
        <f>1 - [K-M P Value]</f>
        <v>0.91037176181773694</v>
      </c>
      <c r="AN1859" s="111" t="str">
        <f>IF(Audit[[#This Row],[K-M P Value]]&gt;1-'General Info'!$B$16,"Continue", "Stop")</f>
        <v>Stop</v>
      </c>
      <c r="AO1859" s="110" t="b">
        <f>IF(Audit[[#This Row],[Status - Continue or stop audit]] = "Continue", TRUE, IF(AN1858 = "Continue", TRUE, FALSE))</f>
        <v>0</v>
      </c>
      <c r="AP1859" s="110"/>
    </row>
    <row r="1860" spans="1:42" ht="15" hidden="1" customHeight="1">
      <c r="A1860" s="111" t="str">
        <f>'Sampling Data'!W1857</f>
        <v/>
      </c>
      <c r="B1860" s="112" t="str">
        <f>'Sampling Data'!A1857</f>
        <v>ROCKY RIVER -04-D</v>
      </c>
      <c r="C1860" s="112">
        <f>'Sampling Data'!B1857</f>
        <v>28</v>
      </c>
      <c r="D1860" s="112">
        <f>'Sampling Data'!C1857</f>
        <v>91</v>
      </c>
      <c r="E1860" s="113">
        <f>'Sampling Data'!D1857</f>
        <v>20</v>
      </c>
      <c r="F1860" s="113">
        <f>'Sampling Data'!E1857</f>
        <v>16</v>
      </c>
      <c r="G1860" s="113">
        <f>'Sampling Data'!F1857</f>
        <v>1</v>
      </c>
      <c r="H1860" s="113">
        <f>'Sampling Data'!G1857</f>
        <v>1</v>
      </c>
      <c r="I1860" s="112">
        <f>'Sampling Data'!H1857</f>
        <v>0</v>
      </c>
      <c r="J1860" s="112">
        <f>'Sampling Data'!I1857</f>
        <v>2</v>
      </c>
      <c r="K1860" s="112">
        <f>'Sampling Data'!J1857</f>
        <v>159</v>
      </c>
      <c r="L1860" s="111">
        <f>'Sampling Data'!X1857</f>
        <v>0</v>
      </c>
      <c r="M1860" s="114"/>
      <c r="N1860" s="114"/>
      <c r="O1860" s="115"/>
      <c r="P1860" s="115"/>
      <c r="Q1860" s="116"/>
      <c r="R1860" s="116"/>
      <c r="S1860" s="111">
        <f>Audit[[#This Row],[Audit Losing Candidate]]-Audit[[#This Row],[Losing Candidate]]</f>
        <v>-28</v>
      </c>
      <c r="T1860" s="111">
        <f>Audit[[#This Row],[Audit Winning Candidate]]-Audit[[#This Row],[Winning Candidate]]</f>
        <v>-91</v>
      </c>
      <c r="U1860" s="111">
        <f>Audit[[#This Row],[Audit Candidate 3]]-Audit[[#This Row],[Candidate 3]]</f>
        <v>-20</v>
      </c>
      <c r="V1860" s="111">
        <f>Audit[[#This Row],[Audit Candidate 4]]-Audit[[#This Row],[Candidate 4]]</f>
        <v>-16</v>
      </c>
      <c r="W1860" s="111">
        <f>Audit[[#This Row],[Audit Candidate 5]]-Audit[[#This Row],[Candidate 5]]</f>
        <v>-1</v>
      </c>
      <c r="X1860" s="111">
        <f>Audit[[#This Row],[Audit Candidate 6]]-Audit[[#This Row],[Candidate 6]]</f>
        <v>-1</v>
      </c>
      <c r="Y1860" s="111">
        <f>SUMIF(Audit[[#This Row],[Difference Loser]:[Difference Candidate 6]], "&gt;0")</f>
        <v>0</v>
      </c>
      <c r="Z1860" s="111">
        <f>SUM(Audit[[#This Row],[Difference Loser]:[Difference Candidate 6]])</f>
        <v>-157</v>
      </c>
      <c r="AA1860" s="111">
        <f>IF(Audit[[#This Row],[Times p Drawn - With Replacement]]&gt;0, IF(Audit[[#This Row],[Canceled Differences]]&lt;0, Audit[[#This Row],[Max Differences]]+ABS(Audit[[#This Row],[Canceled Differences]]), Audit[[#This Row],[Max Differences]]), 0)</f>
        <v>0</v>
      </c>
      <c r="AB1860" s="111">
        <f>'Sampling Data'!P1857</f>
        <v>1.3596276335129838E-2</v>
      </c>
      <c r="AC1860" s="111">
        <f>IF(
      SUM(Audit[[#This Row],[Audit Losing Candidate]:[Audit Candidate 6]])
      &lt;&gt;0,
      (Audit[[#This Row],[Winning Candidate]]-Audit[[#This Row],[Losing Candidate]]-(Audit[[#This Row],[Audit Winning Candidate]]-Audit[[#This Row],[Audit Losing Candidate]]))/(Audit[[#Totals],[Winning Candidate]]-Audit[[#Totals],[Losing Candidate]]),
      0
)</f>
        <v>0</v>
      </c>
      <c r="AD18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0" s="111">
        <f>IF(Audit[[#This Row],[Max Relative Error (ep)]] = 0, 0, Audit[[#This Row],[Max Relative Error (ep)]]/Audit[[#This Row],[Error Bound (up) - Max. possible relative overstatement]])</f>
        <v>0</v>
      </c>
      <c r="AJ18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60" s="111">
        <f t="shared" si="28"/>
        <v>1</v>
      </c>
      <c r="AL1860" s="111">
        <f>PRODUCT($AK$5:AK1860)</f>
        <v>8.962823818226312E-2</v>
      </c>
      <c r="AM1860" s="109">
        <f>1 - [K-M P Value]</f>
        <v>0.91037176181773694</v>
      </c>
      <c r="AN1860" s="111" t="str">
        <f>IF(Audit[[#This Row],[K-M P Value]]&gt;1-'General Info'!$B$16,"Continue", "Stop")</f>
        <v>Stop</v>
      </c>
      <c r="AO1860" s="110" t="b">
        <f>IF(Audit[[#This Row],[Status - Continue or stop audit]] = "Continue", TRUE, IF(AN1859 = "Continue", TRUE, FALSE))</f>
        <v>0</v>
      </c>
      <c r="AP1860" s="110"/>
    </row>
    <row r="1861" spans="1:42" ht="15" hidden="1" customHeight="1">
      <c r="A1861" s="111" t="str">
        <f>'Sampling Data'!W1858</f>
        <v/>
      </c>
      <c r="B1861" s="112" t="str">
        <f>'Sampling Data'!A1858</f>
        <v>ROCKY RIVER -04-D - ABS</v>
      </c>
      <c r="C1861" s="112">
        <f>'Sampling Data'!B1858</f>
        <v>23</v>
      </c>
      <c r="D1861" s="112">
        <f>'Sampling Data'!C1858</f>
        <v>44</v>
      </c>
      <c r="E1861" s="113">
        <f>'Sampling Data'!D1858</f>
        <v>11</v>
      </c>
      <c r="F1861" s="113">
        <f>'Sampling Data'!E1858</f>
        <v>8</v>
      </c>
      <c r="G1861" s="113">
        <f>'Sampling Data'!F1858</f>
        <v>0</v>
      </c>
      <c r="H1861" s="113">
        <f>'Sampling Data'!G1858</f>
        <v>0</v>
      </c>
      <c r="I1861" s="112">
        <f>'Sampling Data'!H1858</f>
        <v>0</v>
      </c>
      <c r="J1861" s="112">
        <f>'Sampling Data'!I1858</f>
        <v>0</v>
      </c>
      <c r="K1861" s="112">
        <f>'Sampling Data'!J1858</f>
        <v>86</v>
      </c>
      <c r="L1861" s="111">
        <f>'Sampling Data'!X1858</f>
        <v>0</v>
      </c>
      <c r="M1861" s="114"/>
      <c r="N1861" s="114"/>
      <c r="O1861" s="115"/>
      <c r="P1861" s="115"/>
      <c r="Q1861" s="116"/>
      <c r="R1861" s="116"/>
      <c r="S1861" s="111">
        <f>Audit[[#This Row],[Audit Losing Candidate]]-Audit[[#This Row],[Losing Candidate]]</f>
        <v>-23</v>
      </c>
      <c r="T1861" s="111">
        <f>Audit[[#This Row],[Audit Winning Candidate]]-Audit[[#This Row],[Winning Candidate]]</f>
        <v>-44</v>
      </c>
      <c r="U1861" s="111">
        <f>Audit[[#This Row],[Audit Candidate 3]]-Audit[[#This Row],[Candidate 3]]</f>
        <v>-11</v>
      </c>
      <c r="V1861" s="111">
        <f>Audit[[#This Row],[Audit Candidate 4]]-Audit[[#This Row],[Candidate 4]]</f>
        <v>-8</v>
      </c>
      <c r="W1861" s="111">
        <f>Audit[[#This Row],[Audit Candidate 5]]-Audit[[#This Row],[Candidate 5]]</f>
        <v>0</v>
      </c>
      <c r="X1861" s="111">
        <f>Audit[[#This Row],[Audit Candidate 6]]-Audit[[#This Row],[Candidate 6]]</f>
        <v>0</v>
      </c>
      <c r="Y1861" s="111">
        <f>SUMIF(Audit[[#This Row],[Difference Loser]:[Difference Candidate 6]], "&gt;0")</f>
        <v>0</v>
      </c>
      <c r="Z1861" s="111">
        <f>SUM(Audit[[#This Row],[Difference Loser]:[Difference Candidate 6]])</f>
        <v>-86</v>
      </c>
      <c r="AA1861" s="111">
        <f>IF(Audit[[#This Row],[Times p Drawn - With Replacement]]&gt;0, IF(Audit[[#This Row],[Canceled Differences]]&lt;0, Audit[[#This Row],[Max Differences]]+ABS(Audit[[#This Row],[Canceled Differences]]), Audit[[#This Row],[Max Differences]]), 0)</f>
        <v>0</v>
      </c>
      <c r="AB1861" s="111">
        <f>'Sampling Data'!P1858</f>
        <v>6.5531602155805974E-3</v>
      </c>
      <c r="AC1861" s="111">
        <f>IF(
      SUM(Audit[[#This Row],[Audit Losing Candidate]:[Audit Candidate 6]])
      &lt;&gt;0,
      (Audit[[#This Row],[Winning Candidate]]-Audit[[#This Row],[Losing Candidate]]-(Audit[[#This Row],[Audit Winning Candidate]]-Audit[[#This Row],[Audit Losing Candidate]]))/(Audit[[#Totals],[Winning Candidate]]-Audit[[#Totals],[Losing Candidate]]),
      0
)</f>
        <v>0</v>
      </c>
      <c r="AD18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1" s="111">
        <f>IF(Audit[[#This Row],[Max Relative Error (ep)]] = 0, 0, Audit[[#This Row],[Max Relative Error (ep)]]/Audit[[#This Row],[Error Bound (up) - Max. possible relative overstatement]])</f>
        <v>0</v>
      </c>
      <c r="AJ18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61" s="111">
        <f t="shared" ref="AK1861:AK1924" si="29">IF(ISERR(POWER(AJ1861,L1861)), 0, POWER(AJ1861,L1861))</f>
        <v>1</v>
      </c>
      <c r="AL1861" s="111">
        <f>PRODUCT($AK$5:AK1861)</f>
        <v>8.962823818226312E-2</v>
      </c>
      <c r="AM1861" s="109">
        <f>1 - [K-M P Value]</f>
        <v>0.91037176181773694</v>
      </c>
      <c r="AN1861" s="111" t="str">
        <f>IF(Audit[[#This Row],[K-M P Value]]&gt;1-'General Info'!$B$16,"Continue", "Stop")</f>
        <v>Stop</v>
      </c>
      <c r="AO1861" s="110" t="b">
        <f>IF(Audit[[#This Row],[Status - Continue or stop audit]] = "Continue", TRUE, IF(AN1860 = "Continue", TRUE, FALSE))</f>
        <v>0</v>
      </c>
      <c r="AP1861" s="110"/>
    </row>
    <row r="1862" spans="1:42" ht="15" hidden="1" customHeight="1">
      <c r="A1862" s="111" t="str">
        <f>'Sampling Data'!W1859</f>
        <v/>
      </c>
      <c r="B1862" s="112" t="str">
        <f>'Sampling Data'!A1859</f>
        <v>SEVEN HILLS -01-A</v>
      </c>
      <c r="C1862" s="112">
        <f>'Sampling Data'!B1859</f>
        <v>34</v>
      </c>
      <c r="D1862" s="112">
        <f>'Sampling Data'!C1859</f>
        <v>74</v>
      </c>
      <c r="E1862" s="113">
        <f>'Sampling Data'!D1859</f>
        <v>11</v>
      </c>
      <c r="F1862" s="113">
        <f>'Sampling Data'!E1859</f>
        <v>14</v>
      </c>
      <c r="G1862" s="113">
        <f>'Sampling Data'!F1859</f>
        <v>1</v>
      </c>
      <c r="H1862" s="113">
        <f>'Sampling Data'!G1859</f>
        <v>0</v>
      </c>
      <c r="I1862" s="112">
        <f>'Sampling Data'!H1859</f>
        <v>2</v>
      </c>
      <c r="J1862" s="112">
        <f>'Sampling Data'!I1859</f>
        <v>1</v>
      </c>
      <c r="K1862" s="112">
        <f>'Sampling Data'!J1859</f>
        <v>137</v>
      </c>
      <c r="L1862" s="111">
        <f>'Sampling Data'!X1859</f>
        <v>0</v>
      </c>
      <c r="M1862" s="114"/>
      <c r="N1862" s="114"/>
      <c r="O1862" s="115"/>
      <c r="P1862" s="115"/>
      <c r="Q1862" s="116"/>
      <c r="R1862" s="116"/>
      <c r="S1862" s="111">
        <f>Audit[[#This Row],[Audit Losing Candidate]]-Audit[[#This Row],[Losing Candidate]]</f>
        <v>-34</v>
      </c>
      <c r="T1862" s="111">
        <f>Audit[[#This Row],[Audit Winning Candidate]]-Audit[[#This Row],[Winning Candidate]]</f>
        <v>-74</v>
      </c>
      <c r="U1862" s="111">
        <f>Audit[[#This Row],[Audit Candidate 3]]-Audit[[#This Row],[Candidate 3]]</f>
        <v>-11</v>
      </c>
      <c r="V1862" s="111">
        <f>Audit[[#This Row],[Audit Candidate 4]]-Audit[[#This Row],[Candidate 4]]</f>
        <v>-14</v>
      </c>
      <c r="W1862" s="111">
        <f>Audit[[#This Row],[Audit Candidate 5]]-Audit[[#This Row],[Candidate 5]]</f>
        <v>-1</v>
      </c>
      <c r="X1862" s="111">
        <f>Audit[[#This Row],[Audit Candidate 6]]-Audit[[#This Row],[Candidate 6]]</f>
        <v>0</v>
      </c>
      <c r="Y1862" s="111">
        <f>SUMIF(Audit[[#This Row],[Difference Loser]:[Difference Candidate 6]], "&gt;0")</f>
        <v>0</v>
      </c>
      <c r="Z1862" s="111">
        <f>SUM(Audit[[#This Row],[Difference Loser]:[Difference Candidate 6]])</f>
        <v>-134</v>
      </c>
      <c r="AA1862" s="111">
        <f>IF(Audit[[#This Row],[Times p Drawn - With Replacement]]&gt;0, IF(Audit[[#This Row],[Canceled Differences]]&lt;0, Audit[[#This Row],[Max Differences]]+ABS(Audit[[#This Row],[Canceled Differences]]), Audit[[#This Row],[Max Differences]]), 0)</f>
        <v>0</v>
      </c>
      <c r="AB1862" s="111">
        <f>'Sampling Data'!P1859</f>
        <v>1.0840274375306222E-2</v>
      </c>
      <c r="AC1862" s="111">
        <f>IF(
      SUM(Audit[[#This Row],[Audit Losing Candidate]:[Audit Candidate 6]])
      &lt;&gt;0,
      (Audit[[#This Row],[Winning Candidate]]-Audit[[#This Row],[Losing Candidate]]-(Audit[[#This Row],[Audit Winning Candidate]]-Audit[[#This Row],[Audit Losing Candidate]]))/(Audit[[#Totals],[Winning Candidate]]-Audit[[#Totals],[Losing Candidate]]),
      0
)</f>
        <v>0</v>
      </c>
      <c r="AD18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2" s="111">
        <f>IF(Audit[[#This Row],[Max Relative Error (ep)]] = 0, 0, Audit[[#This Row],[Max Relative Error (ep)]]/Audit[[#This Row],[Error Bound (up) - Max. possible relative overstatement]])</f>
        <v>0</v>
      </c>
      <c r="AJ18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62" s="111">
        <f t="shared" si="29"/>
        <v>1</v>
      </c>
      <c r="AL1862" s="111">
        <f>PRODUCT($AK$5:AK1862)</f>
        <v>8.962823818226312E-2</v>
      </c>
      <c r="AM1862" s="109">
        <f>1 - [K-M P Value]</f>
        <v>0.91037176181773694</v>
      </c>
      <c r="AN1862" s="111" t="str">
        <f>IF(Audit[[#This Row],[K-M P Value]]&gt;1-'General Info'!$B$16,"Continue", "Stop")</f>
        <v>Stop</v>
      </c>
      <c r="AO1862" s="110" t="b">
        <f>IF(Audit[[#This Row],[Status - Continue or stop audit]] = "Continue", TRUE, IF(AN1861 = "Continue", TRUE, FALSE))</f>
        <v>0</v>
      </c>
      <c r="AP1862" s="110"/>
    </row>
    <row r="1863" spans="1:42" ht="15" hidden="1" customHeight="1">
      <c r="A1863" s="111" t="str">
        <f>'Sampling Data'!W1860</f>
        <v/>
      </c>
      <c r="B1863" s="112" t="str">
        <f>'Sampling Data'!A1860</f>
        <v>SEVEN HILLS -01-A - ABS</v>
      </c>
      <c r="C1863" s="112">
        <f>'Sampling Data'!B1860</f>
        <v>37</v>
      </c>
      <c r="D1863" s="112">
        <f>'Sampling Data'!C1860</f>
        <v>36</v>
      </c>
      <c r="E1863" s="113">
        <f>'Sampling Data'!D1860</f>
        <v>8</v>
      </c>
      <c r="F1863" s="113">
        <f>'Sampling Data'!E1860</f>
        <v>4</v>
      </c>
      <c r="G1863" s="113">
        <f>'Sampling Data'!F1860</f>
        <v>0</v>
      </c>
      <c r="H1863" s="113">
        <f>'Sampling Data'!G1860</f>
        <v>0</v>
      </c>
      <c r="I1863" s="112">
        <f>'Sampling Data'!H1860</f>
        <v>0</v>
      </c>
      <c r="J1863" s="112">
        <f>'Sampling Data'!I1860</f>
        <v>2</v>
      </c>
      <c r="K1863" s="112">
        <f>'Sampling Data'!J1860</f>
        <v>87</v>
      </c>
      <c r="L1863" s="111">
        <f>'Sampling Data'!X1860</f>
        <v>0</v>
      </c>
      <c r="M1863" s="114"/>
      <c r="N1863" s="114"/>
      <c r="O1863" s="115"/>
      <c r="P1863" s="115"/>
      <c r="Q1863" s="116"/>
      <c r="R1863" s="116"/>
      <c r="S1863" s="111">
        <f>Audit[[#This Row],[Audit Losing Candidate]]-Audit[[#This Row],[Losing Candidate]]</f>
        <v>-37</v>
      </c>
      <c r="T1863" s="111">
        <f>Audit[[#This Row],[Audit Winning Candidate]]-Audit[[#This Row],[Winning Candidate]]</f>
        <v>-36</v>
      </c>
      <c r="U1863" s="111">
        <f>Audit[[#This Row],[Audit Candidate 3]]-Audit[[#This Row],[Candidate 3]]</f>
        <v>-8</v>
      </c>
      <c r="V1863" s="111">
        <f>Audit[[#This Row],[Audit Candidate 4]]-Audit[[#This Row],[Candidate 4]]</f>
        <v>-4</v>
      </c>
      <c r="W1863" s="111">
        <f>Audit[[#This Row],[Audit Candidate 5]]-Audit[[#This Row],[Candidate 5]]</f>
        <v>0</v>
      </c>
      <c r="X1863" s="111">
        <f>Audit[[#This Row],[Audit Candidate 6]]-Audit[[#This Row],[Candidate 6]]</f>
        <v>0</v>
      </c>
      <c r="Y1863" s="111">
        <f>SUMIF(Audit[[#This Row],[Difference Loser]:[Difference Candidate 6]], "&gt;0")</f>
        <v>0</v>
      </c>
      <c r="Z1863" s="111">
        <f>SUM(Audit[[#This Row],[Difference Loser]:[Difference Candidate 6]])</f>
        <v>-85</v>
      </c>
      <c r="AA1863" s="111">
        <f>IF(Audit[[#This Row],[Times p Drawn - With Replacement]]&gt;0, IF(Audit[[#This Row],[Canceled Differences]]&lt;0, Audit[[#This Row],[Max Differences]]+ABS(Audit[[#This Row],[Canceled Differences]]), Audit[[#This Row],[Max Differences]]), 0)</f>
        <v>0</v>
      </c>
      <c r="AB1863" s="111">
        <f>'Sampling Data'!P1860</f>
        <v>5.2670259676629106E-3</v>
      </c>
      <c r="AC1863" s="111">
        <f>IF(
      SUM(Audit[[#This Row],[Audit Losing Candidate]:[Audit Candidate 6]])
      &lt;&gt;0,
      (Audit[[#This Row],[Winning Candidate]]-Audit[[#This Row],[Losing Candidate]]-(Audit[[#This Row],[Audit Winning Candidate]]-Audit[[#This Row],[Audit Losing Candidate]]))/(Audit[[#Totals],[Winning Candidate]]-Audit[[#Totals],[Losing Candidate]]),
      0
)</f>
        <v>0</v>
      </c>
      <c r="AD18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3" s="111">
        <f>IF(Audit[[#This Row],[Max Relative Error (ep)]] = 0, 0, Audit[[#This Row],[Max Relative Error (ep)]]/Audit[[#This Row],[Error Bound (up) - Max. possible relative overstatement]])</f>
        <v>0</v>
      </c>
      <c r="AJ18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63" s="111">
        <f t="shared" si="29"/>
        <v>1</v>
      </c>
      <c r="AL1863" s="111">
        <f>PRODUCT($AK$5:AK1863)</f>
        <v>8.962823818226312E-2</v>
      </c>
      <c r="AM1863" s="109">
        <f>1 - [K-M P Value]</f>
        <v>0.91037176181773694</v>
      </c>
      <c r="AN1863" s="111" t="str">
        <f>IF(Audit[[#This Row],[K-M P Value]]&gt;1-'General Info'!$B$16,"Continue", "Stop")</f>
        <v>Stop</v>
      </c>
      <c r="AO1863" s="110" t="b">
        <f>IF(Audit[[#This Row],[Status - Continue or stop audit]] = "Continue", TRUE, IF(AN1862 = "Continue", TRUE, FALSE))</f>
        <v>0</v>
      </c>
      <c r="AP1863" s="110"/>
    </row>
    <row r="1864" spans="1:42" ht="15" hidden="1" customHeight="1">
      <c r="A1864" s="111" t="str">
        <f>'Sampling Data'!W1861</f>
        <v/>
      </c>
      <c r="B1864" s="112" t="str">
        <f>'Sampling Data'!A1861</f>
        <v>SEVEN HILLS -01-B</v>
      </c>
      <c r="C1864" s="112">
        <f>'Sampling Data'!B1861</f>
        <v>40</v>
      </c>
      <c r="D1864" s="112">
        <f>'Sampling Data'!C1861</f>
        <v>65</v>
      </c>
      <c r="E1864" s="113">
        <f>'Sampling Data'!D1861</f>
        <v>17</v>
      </c>
      <c r="F1864" s="113">
        <f>'Sampling Data'!E1861</f>
        <v>11</v>
      </c>
      <c r="G1864" s="113">
        <f>'Sampling Data'!F1861</f>
        <v>0</v>
      </c>
      <c r="H1864" s="113">
        <f>'Sampling Data'!G1861</f>
        <v>1</v>
      </c>
      <c r="I1864" s="112">
        <f>'Sampling Data'!H1861</f>
        <v>0</v>
      </c>
      <c r="J1864" s="112">
        <f>'Sampling Data'!I1861</f>
        <v>0</v>
      </c>
      <c r="K1864" s="112">
        <f>'Sampling Data'!J1861</f>
        <v>134</v>
      </c>
      <c r="L1864" s="111">
        <f>'Sampling Data'!X1861</f>
        <v>0</v>
      </c>
      <c r="M1864" s="114"/>
      <c r="N1864" s="114"/>
      <c r="O1864" s="115"/>
      <c r="P1864" s="115"/>
      <c r="Q1864" s="116"/>
      <c r="R1864" s="116"/>
      <c r="S1864" s="111">
        <f>Audit[[#This Row],[Audit Losing Candidate]]-Audit[[#This Row],[Losing Candidate]]</f>
        <v>-40</v>
      </c>
      <c r="T1864" s="111">
        <f>Audit[[#This Row],[Audit Winning Candidate]]-Audit[[#This Row],[Winning Candidate]]</f>
        <v>-65</v>
      </c>
      <c r="U1864" s="111">
        <f>Audit[[#This Row],[Audit Candidate 3]]-Audit[[#This Row],[Candidate 3]]</f>
        <v>-17</v>
      </c>
      <c r="V1864" s="111">
        <f>Audit[[#This Row],[Audit Candidate 4]]-Audit[[#This Row],[Candidate 4]]</f>
        <v>-11</v>
      </c>
      <c r="W1864" s="111">
        <f>Audit[[#This Row],[Audit Candidate 5]]-Audit[[#This Row],[Candidate 5]]</f>
        <v>0</v>
      </c>
      <c r="X1864" s="111">
        <f>Audit[[#This Row],[Audit Candidate 6]]-Audit[[#This Row],[Candidate 6]]</f>
        <v>-1</v>
      </c>
      <c r="Y1864" s="111">
        <f>SUMIF(Audit[[#This Row],[Difference Loser]:[Difference Candidate 6]], "&gt;0")</f>
        <v>0</v>
      </c>
      <c r="Z1864" s="111">
        <f>SUM(Audit[[#This Row],[Difference Loser]:[Difference Candidate 6]])</f>
        <v>-134</v>
      </c>
      <c r="AA1864" s="111">
        <f>IF(Audit[[#This Row],[Times p Drawn - With Replacement]]&gt;0, IF(Audit[[#This Row],[Canceled Differences]]&lt;0, Audit[[#This Row],[Max Differences]]+ABS(Audit[[#This Row],[Canceled Differences]]), Audit[[#This Row],[Max Differences]]), 0)</f>
        <v>0</v>
      </c>
      <c r="AB1864" s="111">
        <f>'Sampling Data'!P1861</f>
        <v>9.7378735913767767E-3</v>
      </c>
      <c r="AC1864" s="111">
        <f>IF(
      SUM(Audit[[#This Row],[Audit Losing Candidate]:[Audit Candidate 6]])
      &lt;&gt;0,
      (Audit[[#This Row],[Winning Candidate]]-Audit[[#This Row],[Losing Candidate]]-(Audit[[#This Row],[Audit Winning Candidate]]-Audit[[#This Row],[Audit Losing Candidate]]))/(Audit[[#Totals],[Winning Candidate]]-Audit[[#Totals],[Losing Candidate]]),
      0
)</f>
        <v>0</v>
      </c>
      <c r="AD18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4" s="111">
        <f>IF(Audit[[#This Row],[Max Relative Error (ep)]] = 0, 0, Audit[[#This Row],[Max Relative Error (ep)]]/Audit[[#This Row],[Error Bound (up) - Max. possible relative overstatement]])</f>
        <v>0</v>
      </c>
      <c r="AJ18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64" s="111">
        <f t="shared" si="29"/>
        <v>1</v>
      </c>
      <c r="AL1864" s="111">
        <f>PRODUCT($AK$5:AK1864)</f>
        <v>8.962823818226312E-2</v>
      </c>
      <c r="AM1864" s="109">
        <f>1 - [K-M P Value]</f>
        <v>0.91037176181773694</v>
      </c>
      <c r="AN1864" s="111" t="str">
        <f>IF(Audit[[#This Row],[K-M P Value]]&gt;1-'General Info'!$B$16,"Continue", "Stop")</f>
        <v>Stop</v>
      </c>
      <c r="AO1864" s="110" t="b">
        <f>IF(Audit[[#This Row],[Status - Continue or stop audit]] = "Continue", TRUE, IF(AN1863 = "Continue", TRUE, FALSE))</f>
        <v>0</v>
      </c>
      <c r="AP1864" s="110"/>
    </row>
    <row r="1865" spans="1:42" ht="15" hidden="1" customHeight="1">
      <c r="A1865" s="111" t="str">
        <f>'Sampling Data'!W1862</f>
        <v/>
      </c>
      <c r="B1865" s="112" t="str">
        <f>'Sampling Data'!A1862</f>
        <v>SEVEN HILLS -01-B - ABS</v>
      </c>
      <c r="C1865" s="112">
        <f>'Sampling Data'!B1862</f>
        <v>25</v>
      </c>
      <c r="D1865" s="112">
        <f>'Sampling Data'!C1862</f>
        <v>32</v>
      </c>
      <c r="E1865" s="113">
        <f>'Sampling Data'!D1862</f>
        <v>9</v>
      </c>
      <c r="F1865" s="113">
        <f>'Sampling Data'!E1862</f>
        <v>1</v>
      </c>
      <c r="G1865" s="113">
        <f>'Sampling Data'!F1862</f>
        <v>1</v>
      </c>
      <c r="H1865" s="113">
        <f>'Sampling Data'!G1862</f>
        <v>0</v>
      </c>
      <c r="I1865" s="112">
        <f>'Sampling Data'!H1862</f>
        <v>0</v>
      </c>
      <c r="J1865" s="112">
        <f>'Sampling Data'!I1862</f>
        <v>0</v>
      </c>
      <c r="K1865" s="112">
        <f>'Sampling Data'!J1862</f>
        <v>68</v>
      </c>
      <c r="L1865" s="111">
        <f>'Sampling Data'!X1862</f>
        <v>0</v>
      </c>
      <c r="M1865" s="114"/>
      <c r="N1865" s="114"/>
      <c r="O1865" s="115"/>
      <c r="P1865" s="115"/>
      <c r="Q1865" s="116"/>
      <c r="R1865" s="116"/>
      <c r="S1865" s="111">
        <f>Audit[[#This Row],[Audit Losing Candidate]]-Audit[[#This Row],[Losing Candidate]]</f>
        <v>-25</v>
      </c>
      <c r="T1865" s="111">
        <f>Audit[[#This Row],[Audit Winning Candidate]]-Audit[[#This Row],[Winning Candidate]]</f>
        <v>-32</v>
      </c>
      <c r="U1865" s="111">
        <f>Audit[[#This Row],[Audit Candidate 3]]-Audit[[#This Row],[Candidate 3]]</f>
        <v>-9</v>
      </c>
      <c r="V1865" s="111">
        <f>Audit[[#This Row],[Audit Candidate 4]]-Audit[[#This Row],[Candidate 4]]</f>
        <v>-1</v>
      </c>
      <c r="W1865" s="111">
        <f>Audit[[#This Row],[Audit Candidate 5]]-Audit[[#This Row],[Candidate 5]]</f>
        <v>-1</v>
      </c>
      <c r="X1865" s="111">
        <f>Audit[[#This Row],[Audit Candidate 6]]-Audit[[#This Row],[Candidate 6]]</f>
        <v>0</v>
      </c>
      <c r="Y1865" s="111">
        <f>SUMIF(Audit[[#This Row],[Difference Loser]:[Difference Candidate 6]], "&gt;0")</f>
        <v>0</v>
      </c>
      <c r="Z1865" s="111">
        <f>SUM(Audit[[#This Row],[Difference Loser]:[Difference Candidate 6]])</f>
        <v>-68</v>
      </c>
      <c r="AA1865" s="111">
        <f>IF(Audit[[#This Row],[Times p Drawn - With Replacement]]&gt;0, IF(Audit[[#This Row],[Canceled Differences]]&lt;0, Audit[[#This Row],[Max Differences]]+ABS(Audit[[#This Row],[Canceled Differences]]), Audit[[#This Row],[Max Differences]]), 0)</f>
        <v>0</v>
      </c>
      <c r="AB1865" s="111">
        <f>'Sampling Data'!P1862</f>
        <v>4.5933365997060261E-3</v>
      </c>
      <c r="AC1865" s="111">
        <f>IF(
      SUM(Audit[[#This Row],[Audit Losing Candidate]:[Audit Candidate 6]])
      &lt;&gt;0,
      (Audit[[#This Row],[Winning Candidate]]-Audit[[#This Row],[Losing Candidate]]-(Audit[[#This Row],[Audit Winning Candidate]]-Audit[[#This Row],[Audit Losing Candidate]]))/(Audit[[#Totals],[Winning Candidate]]-Audit[[#Totals],[Losing Candidate]]),
      0
)</f>
        <v>0</v>
      </c>
      <c r="AD18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5" s="111">
        <f>IF(Audit[[#This Row],[Max Relative Error (ep)]] = 0, 0, Audit[[#This Row],[Max Relative Error (ep)]]/Audit[[#This Row],[Error Bound (up) - Max. possible relative overstatement]])</f>
        <v>0</v>
      </c>
      <c r="AJ18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65" s="111">
        <f t="shared" si="29"/>
        <v>1</v>
      </c>
      <c r="AL1865" s="111">
        <f>PRODUCT($AK$5:AK1865)</f>
        <v>8.962823818226312E-2</v>
      </c>
      <c r="AM1865" s="109">
        <f>1 - [K-M P Value]</f>
        <v>0.91037176181773694</v>
      </c>
      <c r="AN1865" s="111" t="str">
        <f>IF(Audit[[#This Row],[K-M P Value]]&gt;1-'General Info'!$B$16,"Continue", "Stop")</f>
        <v>Stop</v>
      </c>
      <c r="AO1865" s="110" t="b">
        <f>IF(Audit[[#This Row],[Status - Continue or stop audit]] = "Continue", TRUE, IF(AN1864 = "Continue", TRUE, FALSE))</f>
        <v>0</v>
      </c>
      <c r="AP1865" s="110"/>
    </row>
    <row r="1866" spans="1:42" ht="15" hidden="1" customHeight="1">
      <c r="A1866" s="111" t="str">
        <f>'Sampling Data'!W1863</f>
        <v/>
      </c>
      <c r="B1866" s="112" t="str">
        <f>'Sampling Data'!A1863</f>
        <v>SEVEN HILLS -02-A</v>
      </c>
      <c r="C1866" s="112">
        <f>'Sampling Data'!B1863</f>
        <v>29</v>
      </c>
      <c r="D1866" s="112">
        <f>'Sampling Data'!C1863</f>
        <v>50</v>
      </c>
      <c r="E1866" s="113">
        <f>'Sampling Data'!D1863</f>
        <v>13</v>
      </c>
      <c r="F1866" s="113">
        <f>'Sampling Data'!E1863</f>
        <v>21</v>
      </c>
      <c r="G1866" s="113">
        <f>'Sampling Data'!F1863</f>
        <v>1</v>
      </c>
      <c r="H1866" s="113">
        <f>'Sampling Data'!G1863</f>
        <v>0</v>
      </c>
      <c r="I1866" s="112">
        <f>'Sampling Data'!H1863</f>
        <v>0</v>
      </c>
      <c r="J1866" s="112">
        <f>'Sampling Data'!I1863</f>
        <v>1</v>
      </c>
      <c r="K1866" s="112">
        <f>'Sampling Data'!J1863</f>
        <v>115</v>
      </c>
      <c r="L1866" s="111">
        <f>'Sampling Data'!X1863</f>
        <v>0</v>
      </c>
      <c r="M1866" s="114"/>
      <c r="N1866" s="114"/>
      <c r="O1866" s="115"/>
      <c r="P1866" s="115"/>
      <c r="Q1866" s="116"/>
      <c r="R1866" s="116"/>
      <c r="S1866" s="111">
        <f>Audit[[#This Row],[Audit Losing Candidate]]-Audit[[#This Row],[Losing Candidate]]</f>
        <v>-29</v>
      </c>
      <c r="T1866" s="111">
        <f>Audit[[#This Row],[Audit Winning Candidate]]-Audit[[#This Row],[Winning Candidate]]</f>
        <v>-50</v>
      </c>
      <c r="U1866" s="111">
        <f>Audit[[#This Row],[Audit Candidate 3]]-Audit[[#This Row],[Candidate 3]]</f>
        <v>-13</v>
      </c>
      <c r="V1866" s="111">
        <f>Audit[[#This Row],[Audit Candidate 4]]-Audit[[#This Row],[Candidate 4]]</f>
        <v>-21</v>
      </c>
      <c r="W1866" s="111">
        <f>Audit[[#This Row],[Audit Candidate 5]]-Audit[[#This Row],[Candidate 5]]</f>
        <v>-1</v>
      </c>
      <c r="X1866" s="111">
        <f>Audit[[#This Row],[Audit Candidate 6]]-Audit[[#This Row],[Candidate 6]]</f>
        <v>0</v>
      </c>
      <c r="Y1866" s="111">
        <f>SUMIF(Audit[[#This Row],[Difference Loser]:[Difference Candidate 6]], "&gt;0")</f>
        <v>0</v>
      </c>
      <c r="Z1866" s="111">
        <f>SUM(Audit[[#This Row],[Difference Loser]:[Difference Candidate 6]])</f>
        <v>-114</v>
      </c>
      <c r="AA1866" s="111">
        <f>IF(Audit[[#This Row],[Times p Drawn - With Replacement]]&gt;0, IF(Audit[[#This Row],[Canceled Differences]]&lt;0, Audit[[#This Row],[Max Differences]]+ABS(Audit[[#This Row],[Canceled Differences]]), Audit[[#This Row],[Max Differences]]), 0)</f>
        <v>0</v>
      </c>
      <c r="AB1866" s="111">
        <f>'Sampling Data'!P1863</f>
        <v>8.3292503674669283E-3</v>
      </c>
      <c r="AC1866" s="111">
        <f>IF(
      SUM(Audit[[#This Row],[Audit Losing Candidate]:[Audit Candidate 6]])
      &lt;&gt;0,
      (Audit[[#This Row],[Winning Candidate]]-Audit[[#This Row],[Losing Candidate]]-(Audit[[#This Row],[Audit Winning Candidate]]-Audit[[#This Row],[Audit Losing Candidate]]))/(Audit[[#Totals],[Winning Candidate]]-Audit[[#Totals],[Losing Candidate]]),
      0
)</f>
        <v>0</v>
      </c>
      <c r="AD18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6" s="111">
        <f>IF(Audit[[#This Row],[Max Relative Error (ep)]] = 0, 0, Audit[[#This Row],[Max Relative Error (ep)]]/Audit[[#This Row],[Error Bound (up) - Max. possible relative overstatement]])</f>
        <v>0</v>
      </c>
      <c r="AJ18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66" s="111">
        <f t="shared" si="29"/>
        <v>1</v>
      </c>
      <c r="AL1866" s="111">
        <f>PRODUCT($AK$5:AK1866)</f>
        <v>8.962823818226312E-2</v>
      </c>
      <c r="AM1866" s="109">
        <f>1 - [K-M P Value]</f>
        <v>0.91037176181773694</v>
      </c>
      <c r="AN1866" s="111" t="str">
        <f>IF(Audit[[#This Row],[K-M P Value]]&gt;1-'General Info'!$B$16,"Continue", "Stop")</f>
        <v>Stop</v>
      </c>
      <c r="AO1866" s="110" t="b">
        <f>IF(Audit[[#This Row],[Status - Continue or stop audit]] = "Continue", TRUE, IF(AN1865 = "Continue", TRUE, FALSE))</f>
        <v>0</v>
      </c>
      <c r="AP1866" s="110"/>
    </row>
    <row r="1867" spans="1:42" ht="15" hidden="1" customHeight="1">
      <c r="A1867" s="111" t="str">
        <f>'Sampling Data'!W1864</f>
        <v/>
      </c>
      <c r="B1867" s="112" t="str">
        <f>'Sampling Data'!A1864</f>
        <v>SEVEN HILLS -02-A - ABS</v>
      </c>
      <c r="C1867" s="112">
        <f>'Sampling Data'!B1864</f>
        <v>38</v>
      </c>
      <c r="D1867" s="112">
        <f>'Sampling Data'!C1864</f>
        <v>25</v>
      </c>
      <c r="E1867" s="113">
        <f>'Sampling Data'!D1864</f>
        <v>10</v>
      </c>
      <c r="F1867" s="113">
        <f>'Sampling Data'!E1864</f>
        <v>2</v>
      </c>
      <c r="G1867" s="113">
        <f>'Sampling Data'!F1864</f>
        <v>0</v>
      </c>
      <c r="H1867" s="113">
        <f>'Sampling Data'!G1864</f>
        <v>0</v>
      </c>
      <c r="I1867" s="112">
        <f>'Sampling Data'!H1864</f>
        <v>0</v>
      </c>
      <c r="J1867" s="112">
        <f>'Sampling Data'!I1864</f>
        <v>0</v>
      </c>
      <c r="K1867" s="112">
        <f>'Sampling Data'!J1864</f>
        <v>75</v>
      </c>
      <c r="L1867" s="111">
        <f>'Sampling Data'!X1864</f>
        <v>0</v>
      </c>
      <c r="M1867" s="114"/>
      <c r="N1867" s="114"/>
      <c r="O1867" s="115"/>
      <c r="P1867" s="115"/>
      <c r="Q1867" s="116"/>
      <c r="R1867" s="116"/>
      <c r="S1867" s="111">
        <f>Audit[[#This Row],[Audit Losing Candidate]]-Audit[[#This Row],[Losing Candidate]]</f>
        <v>-38</v>
      </c>
      <c r="T1867" s="111">
        <f>Audit[[#This Row],[Audit Winning Candidate]]-Audit[[#This Row],[Winning Candidate]]</f>
        <v>-25</v>
      </c>
      <c r="U1867" s="111">
        <f>Audit[[#This Row],[Audit Candidate 3]]-Audit[[#This Row],[Candidate 3]]</f>
        <v>-10</v>
      </c>
      <c r="V1867" s="111">
        <f>Audit[[#This Row],[Audit Candidate 4]]-Audit[[#This Row],[Candidate 4]]</f>
        <v>-2</v>
      </c>
      <c r="W1867" s="111">
        <f>Audit[[#This Row],[Audit Candidate 5]]-Audit[[#This Row],[Candidate 5]]</f>
        <v>0</v>
      </c>
      <c r="X1867" s="111">
        <f>Audit[[#This Row],[Audit Candidate 6]]-Audit[[#This Row],[Candidate 6]]</f>
        <v>0</v>
      </c>
      <c r="Y1867" s="111">
        <f>SUMIF(Audit[[#This Row],[Difference Loser]:[Difference Candidate 6]], "&gt;0")</f>
        <v>0</v>
      </c>
      <c r="Z1867" s="111">
        <f>SUM(Audit[[#This Row],[Difference Loser]:[Difference Candidate 6]])</f>
        <v>-75</v>
      </c>
      <c r="AA1867" s="111">
        <f>IF(Audit[[#This Row],[Times p Drawn - With Replacement]]&gt;0, IF(Audit[[#This Row],[Canceled Differences]]&lt;0, Audit[[#This Row],[Max Differences]]+ABS(Audit[[#This Row],[Canceled Differences]]), Audit[[#This Row],[Max Differences]]), 0)</f>
        <v>0</v>
      </c>
      <c r="AB1867" s="111">
        <f>'Sampling Data'!P1864</f>
        <v>3.7971582557569817E-3</v>
      </c>
      <c r="AC1867" s="111">
        <f>IF(
      SUM(Audit[[#This Row],[Audit Losing Candidate]:[Audit Candidate 6]])
      &lt;&gt;0,
      (Audit[[#This Row],[Winning Candidate]]-Audit[[#This Row],[Losing Candidate]]-(Audit[[#This Row],[Audit Winning Candidate]]-Audit[[#This Row],[Audit Losing Candidate]]))/(Audit[[#Totals],[Winning Candidate]]-Audit[[#Totals],[Losing Candidate]]),
      0
)</f>
        <v>0</v>
      </c>
      <c r="AD18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7" s="111">
        <f>IF(Audit[[#This Row],[Max Relative Error (ep)]] = 0, 0, Audit[[#This Row],[Max Relative Error (ep)]]/Audit[[#This Row],[Error Bound (up) - Max. possible relative overstatement]])</f>
        <v>0</v>
      </c>
      <c r="AJ18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67" s="111">
        <f t="shared" si="29"/>
        <v>1</v>
      </c>
      <c r="AL1867" s="111">
        <f>PRODUCT($AK$5:AK1867)</f>
        <v>8.962823818226312E-2</v>
      </c>
      <c r="AM1867" s="109">
        <f>1 - [K-M P Value]</f>
        <v>0.91037176181773694</v>
      </c>
      <c r="AN1867" s="111" t="str">
        <f>IF(Audit[[#This Row],[K-M P Value]]&gt;1-'General Info'!$B$16,"Continue", "Stop")</f>
        <v>Stop</v>
      </c>
      <c r="AO1867" s="110" t="b">
        <f>IF(Audit[[#This Row],[Status - Continue or stop audit]] = "Continue", TRUE, IF(AN1866 = "Continue", TRUE, FALSE))</f>
        <v>0</v>
      </c>
      <c r="AP1867" s="110"/>
    </row>
    <row r="1868" spans="1:42" ht="15" hidden="1" customHeight="1">
      <c r="A1868" s="111" t="str">
        <f>'Sampling Data'!W1865</f>
        <v/>
      </c>
      <c r="B1868" s="112" t="str">
        <f>'Sampling Data'!A1865</f>
        <v>SEVEN HILLS -02-B</v>
      </c>
      <c r="C1868" s="112">
        <f>'Sampling Data'!B1865</f>
        <v>46</v>
      </c>
      <c r="D1868" s="112">
        <f>'Sampling Data'!C1865</f>
        <v>60</v>
      </c>
      <c r="E1868" s="113">
        <f>'Sampling Data'!D1865</f>
        <v>13</v>
      </c>
      <c r="F1868" s="113">
        <f>'Sampling Data'!E1865</f>
        <v>13</v>
      </c>
      <c r="G1868" s="113">
        <f>'Sampling Data'!F1865</f>
        <v>0</v>
      </c>
      <c r="H1868" s="113">
        <f>'Sampling Data'!G1865</f>
        <v>1</v>
      </c>
      <c r="I1868" s="112">
        <f>'Sampling Data'!H1865</f>
        <v>0</v>
      </c>
      <c r="J1868" s="112">
        <f>'Sampling Data'!I1865</f>
        <v>1</v>
      </c>
      <c r="K1868" s="112">
        <f>'Sampling Data'!J1865</f>
        <v>134</v>
      </c>
      <c r="L1868" s="111">
        <f>'Sampling Data'!X1865</f>
        <v>0</v>
      </c>
      <c r="M1868" s="114"/>
      <c r="N1868" s="114"/>
      <c r="O1868" s="115"/>
      <c r="P1868" s="115"/>
      <c r="Q1868" s="116"/>
      <c r="R1868" s="116"/>
      <c r="S1868" s="111">
        <f>Audit[[#This Row],[Audit Losing Candidate]]-Audit[[#This Row],[Losing Candidate]]</f>
        <v>-46</v>
      </c>
      <c r="T1868" s="111">
        <f>Audit[[#This Row],[Audit Winning Candidate]]-Audit[[#This Row],[Winning Candidate]]</f>
        <v>-60</v>
      </c>
      <c r="U1868" s="111">
        <f>Audit[[#This Row],[Audit Candidate 3]]-Audit[[#This Row],[Candidate 3]]</f>
        <v>-13</v>
      </c>
      <c r="V1868" s="111">
        <f>Audit[[#This Row],[Audit Candidate 4]]-Audit[[#This Row],[Candidate 4]]</f>
        <v>-13</v>
      </c>
      <c r="W1868" s="111">
        <f>Audit[[#This Row],[Audit Candidate 5]]-Audit[[#This Row],[Candidate 5]]</f>
        <v>0</v>
      </c>
      <c r="X1868" s="111">
        <f>Audit[[#This Row],[Audit Candidate 6]]-Audit[[#This Row],[Candidate 6]]</f>
        <v>-1</v>
      </c>
      <c r="Y1868" s="111">
        <f>SUMIF(Audit[[#This Row],[Difference Loser]:[Difference Candidate 6]], "&gt;0")</f>
        <v>0</v>
      </c>
      <c r="Z1868" s="111">
        <f>SUM(Audit[[#This Row],[Difference Loser]:[Difference Candidate 6]])</f>
        <v>-133</v>
      </c>
      <c r="AA1868" s="111">
        <f>IF(Audit[[#This Row],[Times p Drawn - With Replacement]]&gt;0, IF(Audit[[#This Row],[Canceled Differences]]&lt;0, Audit[[#This Row],[Max Differences]]+ABS(Audit[[#This Row],[Canceled Differences]]), Audit[[#This Row],[Max Differences]]), 0)</f>
        <v>0</v>
      </c>
      <c r="AB1868" s="111">
        <f>'Sampling Data'!P1865</f>
        <v>9.0641842234198914E-3</v>
      </c>
      <c r="AC1868" s="111">
        <f>IF(
      SUM(Audit[[#This Row],[Audit Losing Candidate]:[Audit Candidate 6]])
      &lt;&gt;0,
      (Audit[[#This Row],[Winning Candidate]]-Audit[[#This Row],[Losing Candidate]]-(Audit[[#This Row],[Audit Winning Candidate]]-Audit[[#This Row],[Audit Losing Candidate]]))/(Audit[[#Totals],[Winning Candidate]]-Audit[[#Totals],[Losing Candidate]]),
      0
)</f>
        <v>0</v>
      </c>
      <c r="AD18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8" s="111">
        <f>IF(Audit[[#This Row],[Max Relative Error (ep)]] = 0, 0, Audit[[#This Row],[Max Relative Error (ep)]]/Audit[[#This Row],[Error Bound (up) - Max. possible relative overstatement]])</f>
        <v>0</v>
      </c>
      <c r="AJ18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68" s="111">
        <f t="shared" si="29"/>
        <v>1</v>
      </c>
      <c r="AL1868" s="111">
        <f>PRODUCT($AK$5:AK1868)</f>
        <v>8.962823818226312E-2</v>
      </c>
      <c r="AM1868" s="109">
        <f>1 - [K-M P Value]</f>
        <v>0.91037176181773694</v>
      </c>
      <c r="AN1868" s="111" t="str">
        <f>IF(Audit[[#This Row],[K-M P Value]]&gt;1-'General Info'!$B$16,"Continue", "Stop")</f>
        <v>Stop</v>
      </c>
      <c r="AO1868" s="110" t="b">
        <f>IF(Audit[[#This Row],[Status - Continue or stop audit]] = "Continue", TRUE, IF(AN1867 = "Continue", TRUE, FALSE))</f>
        <v>0</v>
      </c>
      <c r="AP1868" s="110"/>
    </row>
    <row r="1869" spans="1:42" ht="15" hidden="1" customHeight="1">
      <c r="A1869" s="111" t="str">
        <f>'Sampling Data'!W1866</f>
        <v/>
      </c>
      <c r="B1869" s="112" t="str">
        <f>'Sampling Data'!A1866</f>
        <v>SEVEN HILLS -02-B - ABS</v>
      </c>
      <c r="C1869" s="112">
        <f>'Sampling Data'!B1866</f>
        <v>33</v>
      </c>
      <c r="D1869" s="112">
        <f>'Sampling Data'!C1866</f>
        <v>38</v>
      </c>
      <c r="E1869" s="113">
        <f>'Sampling Data'!D1866</f>
        <v>9</v>
      </c>
      <c r="F1869" s="113">
        <f>'Sampling Data'!E1866</f>
        <v>1</v>
      </c>
      <c r="G1869" s="113">
        <f>'Sampling Data'!F1866</f>
        <v>0</v>
      </c>
      <c r="H1869" s="113">
        <f>'Sampling Data'!G1866</f>
        <v>0</v>
      </c>
      <c r="I1869" s="112">
        <f>'Sampling Data'!H1866</f>
        <v>0</v>
      </c>
      <c r="J1869" s="112">
        <f>'Sampling Data'!I1866</f>
        <v>0</v>
      </c>
      <c r="K1869" s="112">
        <f>'Sampling Data'!J1866</f>
        <v>81</v>
      </c>
      <c r="L1869" s="111">
        <f>'Sampling Data'!X1866</f>
        <v>0</v>
      </c>
      <c r="M1869" s="114"/>
      <c r="N1869" s="114"/>
      <c r="O1869" s="115"/>
      <c r="P1869" s="115"/>
      <c r="Q1869" s="116"/>
      <c r="R1869" s="116"/>
      <c r="S1869" s="111">
        <f>Audit[[#This Row],[Audit Losing Candidate]]-Audit[[#This Row],[Losing Candidate]]</f>
        <v>-33</v>
      </c>
      <c r="T1869" s="111">
        <f>Audit[[#This Row],[Audit Winning Candidate]]-Audit[[#This Row],[Winning Candidate]]</f>
        <v>-38</v>
      </c>
      <c r="U1869" s="111">
        <f>Audit[[#This Row],[Audit Candidate 3]]-Audit[[#This Row],[Candidate 3]]</f>
        <v>-9</v>
      </c>
      <c r="V1869" s="111">
        <f>Audit[[#This Row],[Audit Candidate 4]]-Audit[[#This Row],[Candidate 4]]</f>
        <v>-1</v>
      </c>
      <c r="W1869" s="111">
        <f>Audit[[#This Row],[Audit Candidate 5]]-Audit[[#This Row],[Candidate 5]]</f>
        <v>0</v>
      </c>
      <c r="X1869" s="111">
        <f>Audit[[#This Row],[Audit Candidate 6]]-Audit[[#This Row],[Candidate 6]]</f>
        <v>0</v>
      </c>
      <c r="Y1869" s="111">
        <f>SUMIF(Audit[[#This Row],[Difference Loser]:[Difference Candidate 6]], "&gt;0")</f>
        <v>0</v>
      </c>
      <c r="Z1869" s="111">
        <f>SUM(Audit[[#This Row],[Difference Loser]:[Difference Candidate 6]])</f>
        <v>-81</v>
      </c>
      <c r="AA1869" s="111">
        <f>IF(Audit[[#This Row],[Times p Drawn - With Replacement]]&gt;0, IF(Audit[[#This Row],[Canceled Differences]]&lt;0, Audit[[#This Row],[Max Differences]]+ABS(Audit[[#This Row],[Canceled Differences]]), Audit[[#This Row],[Max Differences]]), 0)</f>
        <v>0</v>
      </c>
      <c r="AB1869" s="111">
        <f>'Sampling Data'!P1866</f>
        <v>5.2670259676629106E-3</v>
      </c>
      <c r="AC1869" s="111">
        <f>IF(
      SUM(Audit[[#This Row],[Audit Losing Candidate]:[Audit Candidate 6]])
      &lt;&gt;0,
      (Audit[[#This Row],[Winning Candidate]]-Audit[[#This Row],[Losing Candidate]]-(Audit[[#This Row],[Audit Winning Candidate]]-Audit[[#This Row],[Audit Losing Candidate]]))/(Audit[[#Totals],[Winning Candidate]]-Audit[[#Totals],[Losing Candidate]]),
      0
)</f>
        <v>0</v>
      </c>
      <c r="AD18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9" s="111">
        <f>IF(Audit[[#This Row],[Max Relative Error (ep)]] = 0, 0, Audit[[#This Row],[Max Relative Error (ep)]]/Audit[[#This Row],[Error Bound (up) - Max. possible relative overstatement]])</f>
        <v>0</v>
      </c>
      <c r="AJ18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69" s="111">
        <f t="shared" si="29"/>
        <v>1</v>
      </c>
      <c r="AL1869" s="111">
        <f>PRODUCT($AK$5:AK1869)</f>
        <v>8.962823818226312E-2</v>
      </c>
      <c r="AM1869" s="109">
        <f>1 - [K-M P Value]</f>
        <v>0.91037176181773694</v>
      </c>
      <c r="AN1869" s="111" t="str">
        <f>IF(Audit[[#This Row],[K-M P Value]]&gt;1-'General Info'!$B$16,"Continue", "Stop")</f>
        <v>Stop</v>
      </c>
      <c r="AO1869" s="110" t="b">
        <f>IF(Audit[[#This Row],[Status - Continue or stop audit]] = "Continue", TRUE, IF(AN1868 = "Continue", TRUE, FALSE))</f>
        <v>0</v>
      </c>
      <c r="AP1869" s="110"/>
    </row>
    <row r="1870" spans="1:42" ht="15" hidden="1" customHeight="1">
      <c r="A1870" s="111" t="str">
        <f>'Sampling Data'!W1867</f>
        <v/>
      </c>
      <c r="B1870" s="112" t="str">
        <f>'Sampling Data'!A1867</f>
        <v>SEVEN HILLS -03-A</v>
      </c>
      <c r="C1870" s="112">
        <f>'Sampling Data'!B1867</f>
        <v>41</v>
      </c>
      <c r="D1870" s="112">
        <f>'Sampling Data'!C1867</f>
        <v>67</v>
      </c>
      <c r="E1870" s="113">
        <f>'Sampling Data'!D1867</f>
        <v>15</v>
      </c>
      <c r="F1870" s="113">
        <f>'Sampling Data'!E1867</f>
        <v>9</v>
      </c>
      <c r="G1870" s="113">
        <f>'Sampling Data'!F1867</f>
        <v>0</v>
      </c>
      <c r="H1870" s="113">
        <f>'Sampling Data'!G1867</f>
        <v>0</v>
      </c>
      <c r="I1870" s="112">
        <f>'Sampling Data'!H1867</f>
        <v>1</v>
      </c>
      <c r="J1870" s="112">
        <f>'Sampling Data'!I1867</f>
        <v>1</v>
      </c>
      <c r="K1870" s="112">
        <f>'Sampling Data'!J1867</f>
        <v>134</v>
      </c>
      <c r="L1870" s="111">
        <f>'Sampling Data'!X1867</f>
        <v>0</v>
      </c>
      <c r="M1870" s="114"/>
      <c r="N1870" s="114"/>
      <c r="O1870" s="115"/>
      <c r="P1870" s="115"/>
      <c r="Q1870" s="116"/>
      <c r="R1870" s="116"/>
      <c r="S1870" s="111">
        <f>Audit[[#This Row],[Audit Losing Candidate]]-Audit[[#This Row],[Losing Candidate]]</f>
        <v>-41</v>
      </c>
      <c r="T1870" s="111">
        <f>Audit[[#This Row],[Audit Winning Candidate]]-Audit[[#This Row],[Winning Candidate]]</f>
        <v>-67</v>
      </c>
      <c r="U1870" s="111">
        <f>Audit[[#This Row],[Audit Candidate 3]]-Audit[[#This Row],[Candidate 3]]</f>
        <v>-15</v>
      </c>
      <c r="V1870" s="111">
        <f>Audit[[#This Row],[Audit Candidate 4]]-Audit[[#This Row],[Candidate 4]]</f>
        <v>-9</v>
      </c>
      <c r="W1870" s="111">
        <f>Audit[[#This Row],[Audit Candidate 5]]-Audit[[#This Row],[Candidate 5]]</f>
        <v>0</v>
      </c>
      <c r="X1870" s="111">
        <f>Audit[[#This Row],[Audit Candidate 6]]-Audit[[#This Row],[Candidate 6]]</f>
        <v>0</v>
      </c>
      <c r="Y1870" s="111">
        <f>SUMIF(Audit[[#This Row],[Difference Loser]:[Difference Candidate 6]], "&gt;0")</f>
        <v>0</v>
      </c>
      <c r="Z1870" s="111">
        <f>SUM(Audit[[#This Row],[Difference Loser]:[Difference Candidate 6]])</f>
        <v>-132</v>
      </c>
      <c r="AA1870" s="111">
        <f>IF(Audit[[#This Row],[Times p Drawn - With Replacement]]&gt;0, IF(Audit[[#This Row],[Canceled Differences]]&lt;0, Audit[[#This Row],[Max Differences]]+ABS(Audit[[#This Row],[Canceled Differences]]), Audit[[#This Row],[Max Differences]]), 0)</f>
        <v>0</v>
      </c>
      <c r="AB1870" s="111">
        <f>'Sampling Data'!P1867</f>
        <v>9.7991180793728563E-3</v>
      </c>
      <c r="AC1870" s="111">
        <f>IF(
      SUM(Audit[[#This Row],[Audit Losing Candidate]:[Audit Candidate 6]])
      &lt;&gt;0,
      (Audit[[#This Row],[Winning Candidate]]-Audit[[#This Row],[Losing Candidate]]-(Audit[[#This Row],[Audit Winning Candidate]]-Audit[[#This Row],[Audit Losing Candidate]]))/(Audit[[#Totals],[Winning Candidate]]-Audit[[#Totals],[Losing Candidate]]),
      0
)</f>
        <v>0</v>
      </c>
      <c r="AD18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0" s="111">
        <f>IF(Audit[[#This Row],[Max Relative Error (ep)]] = 0, 0, Audit[[#This Row],[Max Relative Error (ep)]]/Audit[[#This Row],[Error Bound (up) - Max. possible relative overstatement]])</f>
        <v>0</v>
      </c>
      <c r="AJ18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70" s="111">
        <f t="shared" si="29"/>
        <v>1</v>
      </c>
      <c r="AL1870" s="111">
        <f>PRODUCT($AK$5:AK1870)</f>
        <v>8.962823818226312E-2</v>
      </c>
      <c r="AM1870" s="109">
        <f>1 - [K-M P Value]</f>
        <v>0.91037176181773694</v>
      </c>
      <c r="AN1870" s="111" t="str">
        <f>IF(Audit[[#This Row],[K-M P Value]]&gt;1-'General Info'!$B$16,"Continue", "Stop")</f>
        <v>Stop</v>
      </c>
      <c r="AO1870" s="110" t="b">
        <f>IF(Audit[[#This Row],[Status - Continue or stop audit]] = "Continue", TRUE, IF(AN1869 = "Continue", TRUE, FALSE))</f>
        <v>0</v>
      </c>
      <c r="AP1870" s="110"/>
    </row>
    <row r="1871" spans="1:42" ht="15" hidden="1" customHeight="1">
      <c r="A1871" s="111" t="str">
        <f>'Sampling Data'!W1868</f>
        <v/>
      </c>
      <c r="B1871" s="112" t="str">
        <f>'Sampling Data'!A1868</f>
        <v>SEVEN HILLS -03-A - ABS</v>
      </c>
      <c r="C1871" s="112">
        <f>'Sampling Data'!B1868</f>
        <v>33</v>
      </c>
      <c r="D1871" s="112">
        <f>'Sampling Data'!C1868</f>
        <v>35</v>
      </c>
      <c r="E1871" s="113">
        <f>'Sampling Data'!D1868</f>
        <v>12</v>
      </c>
      <c r="F1871" s="113">
        <f>'Sampling Data'!E1868</f>
        <v>6</v>
      </c>
      <c r="G1871" s="113">
        <f>'Sampling Data'!F1868</f>
        <v>1</v>
      </c>
      <c r="H1871" s="113">
        <f>'Sampling Data'!G1868</f>
        <v>1</v>
      </c>
      <c r="I1871" s="112">
        <f>'Sampling Data'!H1868</f>
        <v>0</v>
      </c>
      <c r="J1871" s="112">
        <f>'Sampling Data'!I1868</f>
        <v>0</v>
      </c>
      <c r="K1871" s="112">
        <f>'Sampling Data'!J1868</f>
        <v>88</v>
      </c>
      <c r="L1871" s="111">
        <f>'Sampling Data'!X1868</f>
        <v>0</v>
      </c>
      <c r="M1871" s="114"/>
      <c r="N1871" s="114"/>
      <c r="O1871" s="115"/>
      <c r="P1871" s="115"/>
      <c r="Q1871" s="116"/>
      <c r="R1871" s="116"/>
      <c r="S1871" s="111">
        <f>Audit[[#This Row],[Audit Losing Candidate]]-Audit[[#This Row],[Losing Candidate]]</f>
        <v>-33</v>
      </c>
      <c r="T1871" s="111">
        <f>Audit[[#This Row],[Audit Winning Candidate]]-Audit[[#This Row],[Winning Candidate]]</f>
        <v>-35</v>
      </c>
      <c r="U1871" s="111">
        <f>Audit[[#This Row],[Audit Candidate 3]]-Audit[[#This Row],[Candidate 3]]</f>
        <v>-12</v>
      </c>
      <c r="V1871" s="111">
        <f>Audit[[#This Row],[Audit Candidate 4]]-Audit[[#This Row],[Candidate 4]]</f>
        <v>-6</v>
      </c>
      <c r="W1871" s="111">
        <f>Audit[[#This Row],[Audit Candidate 5]]-Audit[[#This Row],[Candidate 5]]</f>
        <v>-1</v>
      </c>
      <c r="X1871" s="111">
        <f>Audit[[#This Row],[Audit Candidate 6]]-Audit[[#This Row],[Candidate 6]]</f>
        <v>-1</v>
      </c>
      <c r="Y1871" s="111">
        <f>SUMIF(Audit[[#This Row],[Difference Loser]:[Difference Candidate 6]], "&gt;0")</f>
        <v>0</v>
      </c>
      <c r="Z1871" s="111">
        <f>SUM(Audit[[#This Row],[Difference Loser]:[Difference Candidate 6]])</f>
        <v>-88</v>
      </c>
      <c r="AA1871" s="111">
        <f>IF(Audit[[#This Row],[Times p Drawn - With Replacement]]&gt;0, IF(Audit[[#This Row],[Canceled Differences]]&lt;0, Audit[[#This Row],[Max Differences]]+ABS(Audit[[#This Row],[Canceled Differences]]), Audit[[#This Row],[Max Differences]]), 0)</f>
        <v>0</v>
      </c>
      <c r="AB1871" s="111">
        <f>'Sampling Data'!P1868</f>
        <v>5.5120039196472313E-3</v>
      </c>
      <c r="AC1871" s="111">
        <f>IF(
      SUM(Audit[[#This Row],[Audit Losing Candidate]:[Audit Candidate 6]])
      &lt;&gt;0,
      (Audit[[#This Row],[Winning Candidate]]-Audit[[#This Row],[Losing Candidate]]-(Audit[[#This Row],[Audit Winning Candidate]]-Audit[[#This Row],[Audit Losing Candidate]]))/(Audit[[#Totals],[Winning Candidate]]-Audit[[#Totals],[Losing Candidate]]),
      0
)</f>
        <v>0</v>
      </c>
      <c r="AD18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1" s="111">
        <f>IF(Audit[[#This Row],[Max Relative Error (ep)]] = 0, 0, Audit[[#This Row],[Max Relative Error (ep)]]/Audit[[#This Row],[Error Bound (up) - Max. possible relative overstatement]])</f>
        <v>0</v>
      </c>
      <c r="AJ18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71" s="111">
        <f t="shared" si="29"/>
        <v>1</v>
      </c>
      <c r="AL1871" s="111">
        <f>PRODUCT($AK$5:AK1871)</f>
        <v>8.962823818226312E-2</v>
      </c>
      <c r="AM1871" s="109">
        <f>1 - [K-M P Value]</f>
        <v>0.91037176181773694</v>
      </c>
      <c r="AN1871" s="111" t="str">
        <f>IF(Audit[[#This Row],[K-M P Value]]&gt;1-'General Info'!$B$16,"Continue", "Stop")</f>
        <v>Stop</v>
      </c>
      <c r="AO1871" s="110" t="b">
        <f>IF(Audit[[#This Row],[Status - Continue or stop audit]] = "Continue", TRUE, IF(AN1870 = "Continue", TRUE, FALSE))</f>
        <v>0</v>
      </c>
      <c r="AP1871" s="110"/>
    </row>
    <row r="1872" spans="1:42" ht="15" hidden="1" customHeight="1">
      <c r="A1872" s="111" t="str">
        <f>'Sampling Data'!W1869</f>
        <v/>
      </c>
      <c r="B1872" s="112" t="str">
        <f>'Sampling Data'!A1869</f>
        <v>SEVEN HILLS -03-B</v>
      </c>
      <c r="C1872" s="112">
        <f>'Sampling Data'!B1869</f>
        <v>49</v>
      </c>
      <c r="D1872" s="112">
        <f>'Sampling Data'!C1869</f>
        <v>66</v>
      </c>
      <c r="E1872" s="113">
        <f>'Sampling Data'!D1869</f>
        <v>6</v>
      </c>
      <c r="F1872" s="113">
        <f>'Sampling Data'!E1869</f>
        <v>10</v>
      </c>
      <c r="G1872" s="113">
        <f>'Sampling Data'!F1869</f>
        <v>0</v>
      </c>
      <c r="H1872" s="113">
        <f>'Sampling Data'!G1869</f>
        <v>0</v>
      </c>
      <c r="I1872" s="112">
        <f>'Sampling Data'!H1869</f>
        <v>0</v>
      </c>
      <c r="J1872" s="112">
        <f>'Sampling Data'!I1869</f>
        <v>1</v>
      </c>
      <c r="K1872" s="112">
        <f>'Sampling Data'!J1869</f>
        <v>132</v>
      </c>
      <c r="L1872" s="111">
        <f>'Sampling Data'!X1869</f>
        <v>0</v>
      </c>
      <c r="M1872" s="114"/>
      <c r="N1872" s="114"/>
      <c r="O1872" s="115"/>
      <c r="P1872" s="115"/>
      <c r="Q1872" s="116"/>
      <c r="R1872" s="116"/>
      <c r="S1872" s="111">
        <f>Audit[[#This Row],[Audit Losing Candidate]]-Audit[[#This Row],[Losing Candidate]]</f>
        <v>-49</v>
      </c>
      <c r="T1872" s="111">
        <f>Audit[[#This Row],[Audit Winning Candidate]]-Audit[[#This Row],[Winning Candidate]]</f>
        <v>-66</v>
      </c>
      <c r="U1872" s="111">
        <f>Audit[[#This Row],[Audit Candidate 3]]-Audit[[#This Row],[Candidate 3]]</f>
        <v>-6</v>
      </c>
      <c r="V1872" s="111">
        <f>Audit[[#This Row],[Audit Candidate 4]]-Audit[[#This Row],[Candidate 4]]</f>
        <v>-10</v>
      </c>
      <c r="W1872" s="111">
        <f>Audit[[#This Row],[Audit Candidate 5]]-Audit[[#This Row],[Candidate 5]]</f>
        <v>0</v>
      </c>
      <c r="X1872" s="111">
        <f>Audit[[#This Row],[Audit Candidate 6]]-Audit[[#This Row],[Candidate 6]]</f>
        <v>0</v>
      </c>
      <c r="Y1872" s="111">
        <f>SUMIF(Audit[[#This Row],[Difference Loser]:[Difference Candidate 6]], "&gt;0")</f>
        <v>0</v>
      </c>
      <c r="Z1872" s="111">
        <f>SUM(Audit[[#This Row],[Difference Loser]:[Difference Candidate 6]])</f>
        <v>-131</v>
      </c>
      <c r="AA1872" s="111">
        <f>IF(Audit[[#This Row],[Times p Drawn - With Replacement]]&gt;0, IF(Audit[[#This Row],[Canceled Differences]]&lt;0, Audit[[#This Row],[Max Differences]]+ABS(Audit[[#This Row],[Canceled Differences]]), Audit[[#This Row],[Max Differences]]), 0)</f>
        <v>0</v>
      </c>
      <c r="AB1872" s="111">
        <f>'Sampling Data'!P1869</f>
        <v>9.1254287114159727E-3</v>
      </c>
      <c r="AC1872" s="111">
        <f>IF(
      SUM(Audit[[#This Row],[Audit Losing Candidate]:[Audit Candidate 6]])
      &lt;&gt;0,
      (Audit[[#This Row],[Winning Candidate]]-Audit[[#This Row],[Losing Candidate]]-(Audit[[#This Row],[Audit Winning Candidate]]-Audit[[#This Row],[Audit Losing Candidate]]))/(Audit[[#Totals],[Winning Candidate]]-Audit[[#Totals],[Losing Candidate]]),
      0
)</f>
        <v>0</v>
      </c>
      <c r="AD18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2" s="111">
        <f>IF(Audit[[#This Row],[Max Relative Error (ep)]] = 0, 0, Audit[[#This Row],[Max Relative Error (ep)]]/Audit[[#This Row],[Error Bound (up) - Max. possible relative overstatement]])</f>
        <v>0</v>
      </c>
      <c r="AJ18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72" s="111">
        <f t="shared" si="29"/>
        <v>1</v>
      </c>
      <c r="AL1872" s="111">
        <f>PRODUCT($AK$5:AK1872)</f>
        <v>8.962823818226312E-2</v>
      </c>
      <c r="AM1872" s="109">
        <f>1 - [K-M P Value]</f>
        <v>0.91037176181773694</v>
      </c>
      <c r="AN1872" s="111" t="str">
        <f>IF(Audit[[#This Row],[K-M P Value]]&gt;1-'General Info'!$B$16,"Continue", "Stop")</f>
        <v>Stop</v>
      </c>
      <c r="AO1872" s="110" t="b">
        <f>IF(Audit[[#This Row],[Status - Continue or stop audit]] = "Continue", TRUE, IF(AN1871 = "Continue", TRUE, FALSE))</f>
        <v>0</v>
      </c>
      <c r="AP1872" s="110"/>
    </row>
    <row r="1873" spans="1:42" ht="15" hidden="1" customHeight="1">
      <c r="A1873" s="111" t="str">
        <f>'Sampling Data'!W1870</f>
        <v/>
      </c>
      <c r="B1873" s="112" t="str">
        <f>'Sampling Data'!A1870</f>
        <v>SEVEN HILLS -03-B - ABS</v>
      </c>
      <c r="C1873" s="112">
        <f>'Sampling Data'!B1870</f>
        <v>25</v>
      </c>
      <c r="D1873" s="112">
        <f>'Sampling Data'!C1870</f>
        <v>45</v>
      </c>
      <c r="E1873" s="113">
        <f>'Sampling Data'!D1870</f>
        <v>11</v>
      </c>
      <c r="F1873" s="113">
        <f>'Sampling Data'!E1870</f>
        <v>5</v>
      </c>
      <c r="G1873" s="113">
        <f>'Sampling Data'!F1870</f>
        <v>0</v>
      </c>
      <c r="H1873" s="113">
        <f>'Sampling Data'!G1870</f>
        <v>0</v>
      </c>
      <c r="I1873" s="112">
        <f>'Sampling Data'!H1870</f>
        <v>0</v>
      </c>
      <c r="J1873" s="112">
        <f>'Sampling Data'!I1870</f>
        <v>1</v>
      </c>
      <c r="K1873" s="112">
        <f>'Sampling Data'!J1870</f>
        <v>87</v>
      </c>
      <c r="L1873" s="111">
        <f>'Sampling Data'!X1870</f>
        <v>0</v>
      </c>
      <c r="M1873" s="114"/>
      <c r="N1873" s="114"/>
      <c r="O1873" s="115"/>
      <c r="P1873" s="115"/>
      <c r="Q1873" s="116"/>
      <c r="R1873" s="116"/>
      <c r="S1873" s="111">
        <f>Audit[[#This Row],[Audit Losing Candidate]]-Audit[[#This Row],[Losing Candidate]]</f>
        <v>-25</v>
      </c>
      <c r="T1873" s="111">
        <f>Audit[[#This Row],[Audit Winning Candidate]]-Audit[[#This Row],[Winning Candidate]]</f>
        <v>-45</v>
      </c>
      <c r="U1873" s="111">
        <f>Audit[[#This Row],[Audit Candidate 3]]-Audit[[#This Row],[Candidate 3]]</f>
        <v>-11</v>
      </c>
      <c r="V1873" s="111">
        <f>Audit[[#This Row],[Audit Candidate 4]]-Audit[[#This Row],[Candidate 4]]</f>
        <v>-5</v>
      </c>
      <c r="W1873" s="111">
        <f>Audit[[#This Row],[Audit Candidate 5]]-Audit[[#This Row],[Candidate 5]]</f>
        <v>0</v>
      </c>
      <c r="X1873" s="111">
        <f>Audit[[#This Row],[Audit Candidate 6]]-Audit[[#This Row],[Candidate 6]]</f>
        <v>0</v>
      </c>
      <c r="Y1873" s="111">
        <f>SUMIF(Audit[[#This Row],[Difference Loser]:[Difference Candidate 6]], "&gt;0")</f>
        <v>0</v>
      </c>
      <c r="Z1873" s="111">
        <f>SUM(Audit[[#This Row],[Difference Loser]:[Difference Candidate 6]])</f>
        <v>-86</v>
      </c>
      <c r="AA1873" s="111">
        <f>IF(Audit[[#This Row],[Times p Drawn - With Replacement]]&gt;0, IF(Audit[[#This Row],[Canceled Differences]]&lt;0, Audit[[#This Row],[Max Differences]]+ABS(Audit[[#This Row],[Canceled Differences]]), Audit[[#This Row],[Max Differences]]), 0)</f>
        <v>0</v>
      </c>
      <c r="AB1873" s="111">
        <f>'Sampling Data'!P1870</f>
        <v>6.5531602155805974E-3</v>
      </c>
      <c r="AC1873" s="111">
        <f>IF(
      SUM(Audit[[#This Row],[Audit Losing Candidate]:[Audit Candidate 6]])
      &lt;&gt;0,
      (Audit[[#This Row],[Winning Candidate]]-Audit[[#This Row],[Losing Candidate]]-(Audit[[#This Row],[Audit Winning Candidate]]-Audit[[#This Row],[Audit Losing Candidate]]))/(Audit[[#Totals],[Winning Candidate]]-Audit[[#Totals],[Losing Candidate]]),
      0
)</f>
        <v>0</v>
      </c>
      <c r="AD18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3" s="111">
        <f>IF(Audit[[#This Row],[Max Relative Error (ep)]] = 0, 0, Audit[[#This Row],[Max Relative Error (ep)]]/Audit[[#This Row],[Error Bound (up) - Max. possible relative overstatement]])</f>
        <v>0</v>
      </c>
      <c r="AJ18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73" s="111">
        <f t="shared" si="29"/>
        <v>1</v>
      </c>
      <c r="AL1873" s="111">
        <f>PRODUCT($AK$5:AK1873)</f>
        <v>8.962823818226312E-2</v>
      </c>
      <c r="AM1873" s="109">
        <f>1 - [K-M P Value]</f>
        <v>0.91037176181773694</v>
      </c>
      <c r="AN1873" s="111" t="str">
        <f>IF(Audit[[#This Row],[K-M P Value]]&gt;1-'General Info'!$B$16,"Continue", "Stop")</f>
        <v>Stop</v>
      </c>
      <c r="AO1873" s="110" t="b">
        <f>IF(Audit[[#This Row],[Status - Continue or stop audit]] = "Continue", TRUE, IF(AN1872 = "Continue", TRUE, FALSE))</f>
        <v>0</v>
      </c>
      <c r="AP1873" s="110"/>
    </row>
    <row r="1874" spans="1:42" ht="15" hidden="1" customHeight="1">
      <c r="A1874" s="111" t="str">
        <f>'Sampling Data'!W1871</f>
        <v/>
      </c>
      <c r="B1874" s="112" t="str">
        <f>'Sampling Data'!A1871</f>
        <v>SEVEN HILLS -04-A</v>
      </c>
      <c r="C1874" s="112">
        <f>'Sampling Data'!B1871</f>
        <v>42</v>
      </c>
      <c r="D1874" s="112">
        <f>'Sampling Data'!C1871</f>
        <v>89</v>
      </c>
      <c r="E1874" s="113">
        <f>'Sampling Data'!D1871</f>
        <v>23</v>
      </c>
      <c r="F1874" s="113">
        <f>'Sampling Data'!E1871</f>
        <v>5</v>
      </c>
      <c r="G1874" s="113">
        <f>'Sampling Data'!F1871</f>
        <v>1</v>
      </c>
      <c r="H1874" s="113">
        <f>'Sampling Data'!G1871</f>
        <v>1</v>
      </c>
      <c r="I1874" s="112">
        <f>'Sampling Data'!H1871</f>
        <v>0</v>
      </c>
      <c r="J1874" s="112">
        <f>'Sampling Data'!I1871</f>
        <v>2</v>
      </c>
      <c r="K1874" s="112">
        <f>'Sampling Data'!J1871</f>
        <v>163</v>
      </c>
      <c r="L1874" s="111">
        <f>'Sampling Data'!X1871</f>
        <v>0</v>
      </c>
      <c r="M1874" s="114"/>
      <c r="N1874" s="114"/>
      <c r="O1874" s="115"/>
      <c r="P1874" s="115"/>
      <c r="Q1874" s="116"/>
      <c r="R1874" s="116"/>
      <c r="S1874" s="111">
        <f>Audit[[#This Row],[Audit Losing Candidate]]-Audit[[#This Row],[Losing Candidate]]</f>
        <v>-42</v>
      </c>
      <c r="T1874" s="111">
        <f>Audit[[#This Row],[Audit Winning Candidate]]-Audit[[#This Row],[Winning Candidate]]</f>
        <v>-89</v>
      </c>
      <c r="U1874" s="111">
        <f>Audit[[#This Row],[Audit Candidate 3]]-Audit[[#This Row],[Candidate 3]]</f>
        <v>-23</v>
      </c>
      <c r="V1874" s="111">
        <f>Audit[[#This Row],[Audit Candidate 4]]-Audit[[#This Row],[Candidate 4]]</f>
        <v>-5</v>
      </c>
      <c r="W1874" s="111">
        <f>Audit[[#This Row],[Audit Candidate 5]]-Audit[[#This Row],[Candidate 5]]</f>
        <v>-1</v>
      </c>
      <c r="X1874" s="111">
        <f>Audit[[#This Row],[Audit Candidate 6]]-Audit[[#This Row],[Candidate 6]]</f>
        <v>-1</v>
      </c>
      <c r="Y1874" s="111">
        <f>SUMIF(Audit[[#This Row],[Difference Loser]:[Difference Candidate 6]], "&gt;0")</f>
        <v>0</v>
      </c>
      <c r="Z1874" s="111">
        <f>SUM(Audit[[#This Row],[Difference Loser]:[Difference Candidate 6]])</f>
        <v>-161</v>
      </c>
      <c r="AA1874" s="111">
        <f>IF(Audit[[#This Row],[Times p Drawn - With Replacement]]&gt;0, IF(Audit[[#This Row],[Canceled Differences]]&lt;0, Audit[[#This Row],[Max Differences]]+ABS(Audit[[#This Row],[Canceled Differences]]), Audit[[#This Row],[Max Differences]]), 0)</f>
        <v>0</v>
      </c>
      <c r="AB1874" s="111">
        <f>'Sampling Data'!P1871</f>
        <v>1.2861342479176875E-2</v>
      </c>
      <c r="AC1874" s="111">
        <f>IF(
      SUM(Audit[[#This Row],[Audit Losing Candidate]:[Audit Candidate 6]])
      &lt;&gt;0,
      (Audit[[#This Row],[Winning Candidate]]-Audit[[#This Row],[Losing Candidate]]-(Audit[[#This Row],[Audit Winning Candidate]]-Audit[[#This Row],[Audit Losing Candidate]]))/(Audit[[#Totals],[Winning Candidate]]-Audit[[#Totals],[Losing Candidate]]),
      0
)</f>
        <v>0</v>
      </c>
      <c r="AD18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4" s="111">
        <f>IF(Audit[[#This Row],[Max Relative Error (ep)]] = 0, 0, Audit[[#This Row],[Max Relative Error (ep)]]/Audit[[#This Row],[Error Bound (up) - Max. possible relative overstatement]])</f>
        <v>0</v>
      </c>
      <c r="AJ18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74" s="111">
        <f t="shared" si="29"/>
        <v>1</v>
      </c>
      <c r="AL1874" s="111">
        <f>PRODUCT($AK$5:AK1874)</f>
        <v>8.962823818226312E-2</v>
      </c>
      <c r="AM1874" s="109">
        <f>1 - [K-M P Value]</f>
        <v>0.91037176181773694</v>
      </c>
      <c r="AN1874" s="111" t="str">
        <f>IF(Audit[[#This Row],[K-M P Value]]&gt;1-'General Info'!$B$16,"Continue", "Stop")</f>
        <v>Stop</v>
      </c>
      <c r="AO1874" s="110" t="b">
        <f>IF(Audit[[#This Row],[Status - Continue or stop audit]] = "Continue", TRUE, IF(AN1873 = "Continue", TRUE, FALSE))</f>
        <v>0</v>
      </c>
      <c r="AP1874" s="110"/>
    </row>
    <row r="1875" spans="1:42" ht="15" hidden="1" customHeight="1">
      <c r="A1875" s="111" t="str">
        <f>'Sampling Data'!W1872</f>
        <v/>
      </c>
      <c r="B1875" s="112" t="str">
        <f>'Sampling Data'!A1872</f>
        <v>SEVEN HILLS -04-A - ABS</v>
      </c>
      <c r="C1875" s="112">
        <f>'Sampling Data'!B1872</f>
        <v>28</v>
      </c>
      <c r="D1875" s="112">
        <f>'Sampling Data'!C1872</f>
        <v>31</v>
      </c>
      <c r="E1875" s="113">
        <f>'Sampling Data'!D1872</f>
        <v>7</v>
      </c>
      <c r="F1875" s="113">
        <f>'Sampling Data'!E1872</f>
        <v>2</v>
      </c>
      <c r="G1875" s="113">
        <f>'Sampling Data'!F1872</f>
        <v>0</v>
      </c>
      <c r="H1875" s="113">
        <f>'Sampling Data'!G1872</f>
        <v>1</v>
      </c>
      <c r="I1875" s="112">
        <f>'Sampling Data'!H1872</f>
        <v>0</v>
      </c>
      <c r="J1875" s="112">
        <f>'Sampling Data'!I1872</f>
        <v>2</v>
      </c>
      <c r="K1875" s="112">
        <f>'Sampling Data'!J1872</f>
        <v>71</v>
      </c>
      <c r="L1875" s="111">
        <f>'Sampling Data'!X1872</f>
        <v>0</v>
      </c>
      <c r="M1875" s="114"/>
      <c r="N1875" s="114"/>
      <c r="O1875" s="115"/>
      <c r="P1875" s="115"/>
      <c r="Q1875" s="116"/>
      <c r="R1875" s="116"/>
      <c r="S1875" s="111">
        <f>Audit[[#This Row],[Audit Losing Candidate]]-Audit[[#This Row],[Losing Candidate]]</f>
        <v>-28</v>
      </c>
      <c r="T1875" s="111">
        <f>Audit[[#This Row],[Audit Winning Candidate]]-Audit[[#This Row],[Winning Candidate]]</f>
        <v>-31</v>
      </c>
      <c r="U1875" s="111">
        <f>Audit[[#This Row],[Audit Candidate 3]]-Audit[[#This Row],[Candidate 3]]</f>
        <v>-7</v>
      </c>
      <c r="V1875" s="111">
        <f>Audit[[#This Row],[Audit Candidate 4]]-Audit[[#This Row],[Candidate 4]]</f>
        <v>-2</v>
      </c>
      <c r="W1875" s="111">
        <f>Audit[[#This Row],[Audit Candidate 5]]-Audit[[#This Row],[Candidate 5]]</f>
        <v>0</v>
      </c>
      <c r="X1875" s="111">
        <f>Audit[[#This Row],[Audit Candidate 6]]-Audit[[#This Row],[Candidate 6]]</f>
        <v>-1</v>
      </c>
      <c r="Y1875" s="111">
        <f>SUMIF(Audit[[#This Row],[Difference Loser]:[Difference Candidate 6]], "&gt;0")</f>
        <v>0</v>
      </c>
      <c r="Z1875" s="111">
        <f>SUM(Audit[[#This Row],[Difference Loser]:[Difference Candidate 6]])</f>
        <v>-69</v>
      </c>
      <c r="AA1875" s="111">
        <f>IF(Audit[[#This Row],[Times p Drawn - With Replacement]]&gt;0, IF(Audit[[#This Row],[Canceled Differences]]&lt;0, Audit[[#This Row],[Max Differences]]+ABS(Audit[[#This Row],[Canceled Differences]]), Audit[[#This Row],[Max Differences]]), 0)</f>
        <v>0</v>
      </c>
      <c r="AB1875" s="111">
        <f>'Sampling Data'!P1872</f>
        <v>4.5320921117099457E-3</v>
      </c>
      <c r="AC1875" s="111">
        <f>IF(
      SUM(Audit[[#This Row],[Audit Losing Candidate]:[Audit Candidate 6]])
      &lt;&gt;0,
      (Audit[[#This Row],[Winning Candidate]]-Audit[[#This Row],[Losing Candidate]]-(Audit[[#This Row],[Audit Winning Candidate]]-Audit[[#This Row],[Audit Losing Candidate]]))/(Audit[[#Totals],[Winning Candidate]]-Audit[[#Totals],[Losing Candidate]]),
      0
)</f>
        <v>0</v>
      </c>
      <c r="AD18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5" s="111">
        <f>IF(Audit[[#This Row],[Max Relative Error (ep)]] = 0, 0, Audit[[#This Row],[Max Relative Error (ep)]]/Audit[[#This Row],[Error Bound (up) - Max. possible relative overstatement]])</f>
        <v>0</v>
      </c>
      <c r="AJ18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75" s="111">
        <f t="shared" si="29"/>
        <v>1</v>
      </c>
      <c r="AL1875" s="111">
        <f>PRODUCT($AK$5:AK1875)</f>
        <v>8.962823818226312E-2</v>
      </c>
      <c r="AM1875" s="109">
        <f>1 - [K-M P Value]</f>
        <v>0.91037176181773694</v>
      </c>
      <c r="AN1875" s="111" t="str">
        <f>IF(Audit[[#This Row],[K-M P Value]]&gt;1-'General Info'!$B$16,"Continue", "Stop")</f>
        <v>Stop</v>
      </c>
      <c r="AO1875" s="110" t="b">
        <f>IF(Audit[[#This Row],[Status - Continue or stop audit]] = "Continue", TRUE, IF(AN1874 = "Continue", TRUE, FALSE))</f>
        <v>0</v>
      </c>
      <c r="AP1875" s="110"/>
    </row>
    <row r="1876" spans="1:42" ht="15" hidden="1" customHeight="1">
      <c r="A1876" s="111" t="str">
        <f>'Sampling Data'!W1873</f>
        <v/>
      </c>
      <c r="B1876" s="112" t="str">
        <f>'Sampling Data'!A1873</f>
        <v>SEVEN HILLS -04-B</v>
      </c>
      <c r="C1876" s="112">
        <f>'Sampling Data'!B1873</f>
        <v>42</v>
      </c>
      <c r="D1876" s="112">
        <f>'Sampling Data'!C1873</f>
        <v>66</v>
      </c>
      <c r="E1876" s="113">
        <f>'Sampling Data'!D1873</f>
        <v>18</v>
      </c>
      <c r="F1876" s="113">
        <f>'Sampling Data'!E1873</f>
        <v>9</v>
      </c>
      <c r="G1876" s="113">
        <f>'Sampling Data'!F1873</f>
        <v>0</v>
      </c>
      <c r="H1876" s="113">
        <f>'Sampling Data'!G1873</f>
        <v>1</v>
      </c>
      <c r="I1876" s="112">
        <f>'Sampling Data'!H1873</f>
        <v>0</v>
      </c>
      <c r="J1876" s="112">
        <f>'Sampling Data'!I1873</f>
        <v>2</v>
      </c>
      <c r="K1876" s="112">
        <f>'Sampling Data'!J1873</f>
        <v>138</v>
      </c>
      <c r="L1876" s="111">
        <f>'Sampling Data'!X1873</f>
        <v>0</v>
      </c>
      <c r="M1876" s="114"/>
      <c r="N1876" s="114"/>
      <c r="O1876" s="115"/>
      <c r="P1876" s="115"/>
      <c r="Q1876" s="116"/>
      <c r="R1876" s="116"/>
      <c r="S1876" s="111">
        <f>Audit[[#This Row],[Audit Losing Candidate]]-Audit[[#This Row],[Losing Candidate]]</f>
        <v>-42</v>
      </c>
      <c r="T1876" s="111">
        <f>Audit[[#This Row],[Audit Winning Candidate]]-Audit[[#This Row],[Winning Candidate]]</f>
        <v>-66</v>
      </c>
      <c r="U1876" s="111">
        <f>Audit[[#This Row],[Audit Candidate 3]]-Audit[[#This Row],[Candidate 3]]</f>
        <v>-18</v>
      </c>
      <c r="V1876" s="111">
        <f>Audit[[#This Row],[Audit Candidate 4]]-Audit[[#This Row],[Candidate 4]]</f>
        <v>-9</v>
      </c>
      <c r="W1876" s="111">
        <f>Audit[[#This Row],[Audit Candidate 5]]-Audit[[#This Row],[Candidate 5]]</f>
        <v>0</v>
      </c>
      <c r="X1876" s="111">
        <f>Audit[[#This Row],[Audit Candidate 6]]-Audit[[#This Row],[Candidate 6]]</f>
        <v>-1</v>
      </c>
      <c r="Y1876" s="111">
        <f>SUMIF(Audit[[#This Row],[Difference Loser]:[Difference Candidate 6]], "&gt;0")</f>
        <v>0</v>
      </c>
      <c r="Z1876" s="111">
        <f>SUM(Audit[[#This Row],[Difference Loser]:[Difference Candidate 6]])</f>
        <v>-136</v>
      </c>
      <c r="AA1876" s="111">
        <f>IF(Audit[[#This Row],[Times p Drawn - With Replacement]]&gt;0, IF(Audit[[#This Row],[Canceled Differences]]&lt;0, Audit[[#This Row],[Max Differences]]+ABS(Audit[[#This Row],[Canceled Differences]]), Audit[[#This Row],[Max Differences]]), 0)</f>
        <v>0</v>
      </c>
      <c r="AB1876" s="111">
        <f>'Sampling Data'!P1873</f>
        <v>9.9216070553650171E-3</v>
      </c>
      <c r="AC1876" s="111">
        <f>IF(
      SUM(Audit[[#This Row],[Audit Losing Candidate]:[Audit Candidate 6]])
      &lt;&gt;0,
      (Audit[[#This Row],[Winning Candidate]]-Audit[[#This Row],[Losing Candidate]]-(Audit[[#This Row],[Audit Winning Candidate]]-Audit[[#This Row],[Audit Losing Candidate]]))/(Audit[[#Totals],[Winning Candidate]]-Audit[[#Totals],[Losing Candidate]]),
      0
)</f>
        <v>0</v>
      </c>
      <c r="AD18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6" s="111">
        <f>IF(Audit[[#This Row],[Max Relative Error (ep)]] = 0, 0, Audit[[#This Row],[Max Relative Error (ep)]]/Audit[[#This Row],[Error Bound (up) - Max. possible relative overstatement]])</f>
        <v>0</v>
      </c>
      <c r="AJ18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76" s="111">
        <f t="shared" si="29"/>
        <v>1</v>
      </c>
      <c r="AL1876" s="111">
        <f>PRODUCT($AK$5:AK1876)</f>
        <v>8.962823818226312E-2</v>
      </c>
      <c r="AM1876" s="109">
        <f>1 - [K-M P Value]</f>
        <v>0.91037176181773694</v>
      </c>
      <c r="AN1876" s="111" t="str">
        <f>IF(Audit[[#This Row],[K-M P Value]]&gt;1-'General Info'!$B$16,"Continue", "Stop")</f>
        <v>Stop</v>
      </c>
      <c r="AO1876" s="110" t="b">
        <f>IF(Audit[[#This Row],[Status - Continue or stop audit]] = "Continue", TRUE, IF(AN1875 = "Continue", TRUE, FALSE))</f>
        <v>0</v>
      </c>
      <c r="AP1876" s="110"/>
    </row>
    <row r="1877" spans="1:42" ht="15" hidden="1" customHeight="1">
      <c r="A1877" s="111" t="str">
        <f>'Sampling Data'!W1874</f>
        <v/>
      </c>
      <c r="B1877" s="112" t="str">
        <f>'Sampling Data'!A1874</f>
        <v>SEVEN HILLS -04-B - ABS</v>
      </c>
      <c r="C1877" s="112">
        <f>'Sampling Data'!B1874</f>
        <v>22</v>
      </c>
      <c r="D1877" s="112">
        <f>'Sampling Data'!C1874</f>
        <v>25</v>
      </c>
      <c r="E1877" s="113">
        <f>'Sampling Data'!D1874</f>
        <v>8</v>
      </c>
      <c r="F1877" s="113">
        <f>'Sampling Data'!E1874</f>
        <v>1</v>
      </c>
      <c r="G1877" s="113">
        <f>'Sampling Data'!F1874</f>
        <v>1</v>
      </c>
      <c r="H1877" s="113">
        <f>'Sampling Data'!G1874</f>
        <v>1</v>
      </c>
      <c r="I1877" s="112">
        <f>'Sampling Data'!H1874</f>
        <v>1</v>
      </c>
      <c r="J1877" s="112">
        <f>'Sampling Data'!I1874</f>
        <v>2</v>
      </c>
      <c r="K1877" s="112">
        <f>'Sampling Data'!J1874</f>
        <v>61</v>
      </c>
      <c r="L1877" s="111">
        <f>'Sampling Data'!X1874</f>
        <v>0</v>
      </c>
      <c r="M1877" s="114"/>
      <c r="N1877" s="114"/>
      <c r="O1877" s="115"/>
      <c r="P1877" s="115"/>
      <c r="Q1877" s="116"/>
      <c r="R1877" s="116"/>
      <c r="S1877" s="111">
        <f>Audit[[#This Row],[Audit Losing Candidate]]-Audit[[#This Row],[Losing Candidate]]</f>
        <v>-22</v>
      </c>
      <c r="T1877" s="111">
        <f>Audit[[#This Row],[Audit Winning Candidate]]-Audit[[#This Row],[Winning Candidate]]</f>
        <v>-25</v>
      </c>
      <c r="U1877" s="111">
        <f>Audit[[#This Row],[Audit Candidate 3]]-Audit[[#This Row],[Candidate 3]]</f>
        <v>-8</v>
      </c>
      <c r="V1877" s="111">
        <f>Audit[[#This Row],[Audit Candidate 4]]-Audit[[#This Row],[Candidate 4]]</f>
        <v>-1</v>
      </c>
      <c r="W1877" s="111">
        <f>Audit[[#This Row],[Audit Candidate 5]]-Audit[[#This Row],[Candidate 5]]</f>
        <v>-1</v>
      </c>
      <c r="X1877" s="111">
        <f>Audit[[#This Row],[Audit Candidate 6]]-Audit[[#This Row],[Candidate 6]]</f>
        <v>-1</v>
      </c>
      <c r="Y1877" s="111">
        <f>SUMIF(Audit[[#This Row],[Difference Loser]:[Difference Candidate 6]], "&gt;0")</f>
        <v>0</v>
      </c>
      <c r="Z1877" s="111">
        <f>SUM(Audit[[#This Row],[Difference Loser]:[Difference Candidate 6]])</f>
        <v>-58</v>
      </c>
      <c r="AA1877" s="111">
        <f>IF(Audit[[#This Row],[Times p Drawn - With Replacement]]&gt;0, IF(Audit[[#This Row],[Canceled Differences]]&lt;0, Audit[[#This Row],[Max Differences]]+ABS(Audit[[#This Row],[Canceled Differences]]), Audit[[#This Row],[Max Differences]]), 0)</f>
        <v>0</v>
      </c>
      <c r="AB1877" s="111">
        <f>'Sampling Data'!P1874</f>
        <v>3.9196472317491425E-3</v>
      </c>
      <c r="AC1877" s="111">
        <f>IF(
      SUM(Audit[[#This Row],[Audit Losing Candidate]:[Audit Candidate 6]])
      &lt;&gt;0,
      (Audit[[#This Row],[Winning Candidate]]-Audit[[#This Row],[Losing Candidate]]-(Audit[[#This Row],[Audit Winning Candidate]]-Audit[[#This Row],[Audit Losing Candidate]]))/(Audit[[#Totals],[Winning Candidate]]-Audit[[#Totals],[Losing Candidate]]),
      0
)</f>
        <v>0</v>
      </c>
      <c r="AD18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7" s="111">
        <f>IF(Audit[[#This Row],[Max Relative Error (ep)]] = 0, 0, Audit[[#This Row],[Max Relative Error (ep)]]/Audit[[#This Row],[Error Bound (up) - Max. possible relative overstatement]])</f>
        <v>0</v>
      </c>
      <c r="AJ18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77" s="111">
        <f t="shared" si="29"/>
        <v>1</v>
      </c>
      <c r="AL1877" s="111">
        <f>PRODUCT($AK$5:AK1877)</f>
        <v>8.962823818226312E-2</v>
      </c>
      <c r="AM1877" s="109">
        <f>1 - [K-M P Value]</f>
        <v>0.91037176181773694</v>
      </c>
      <c r="AN1877" s="111" t="str">
        <f>IF(Audit[[#This Row],[K-M P Value]]&gt;1-'General Info'!$B$16,"Continue", "Stop")</f>
        <v>Stop</v>
      </c>
      <c r="AO1877" s="110" t="b">
        <f>IF(Audit[[#This Row],[Status - Continue or stop audit]] = "Continue", TRUE, IF(AN1876 = "Continue", TRUE, FALSE))</f>
        <v>0</v>
      </c>
      <c r="AP1877" s="110"/>
    </row>
    <row r="1878" spans="1:42" ht="15" hidden="1" customHeight="1">
      <c r="A1878" s="111" t="str">
        <f>'Sampling Data'!W1875</f>
        <v/>
      </c>
      <c r="B1878" s="112" t="str">
        <f>'Sampling Data'!A1875</f>
        <v>SHAKER HEIGHTS -00-A</v>
      </c>
      <c r="C1878" s="112">
        <f>'Sampling Data'!B1875</f>
        <v>4</v>
      </c>
      <c r="D1878" s="112">
        <f>'Sampling Data'!C1875</f>
        <v>2</v>
      </c>
      <c r="E1878" s="113">
        <f>'Sampling Data'!D1875</f>
        <v>3</v>
      </c>
      <c r="F1878" s="113">
        <f>'Sampling Data'!E1875</f>
        <v>6</v>
      </c>
      <c r="G1878" s="113">
        <f>'Sampling Data'!F1875</f>
        <v>0</v>
      </c>
      <c r="H1878" s="113">
        <f>'Sampling Data'!G1875</f>
        <v>0</v>
      </c>
      <c r="I1878" s="112">
        <f>'Sampling Data'!H1875</f>
        <v>0</v>
      </c>
      <c r="J1878" s="112">
        <f>'Sampling Data'!I1875</f>
        <v>0</v>
      </c>
      <c r="K1878" s="112">
        <f>'Sampling Data'!J1875</f>
        <v>15</v>
      </c>
      <c r="L1878" s="111">
        <f>'Sampling Data'!X1875</f>
        <v>0</v>
      </c>
      <c r="M1878" s="114"/>
      <c r="N1878" s="114"/>
      <c r="O1878" s="115"/>
      <c r="P1878" s="115"/>
      <c r="Q1878" s="116"/>
      <c r="R1878" s="116"/>
      <c r="S1878" s="111">
        <f>Audit[[#This Row],[Audit Losing Candidate]]-Audit[[#This Row],[Losing Candidate]]</f>
        <v>-4</v>
      </c>
      <c r="T1878" s="111">
        <f>Audit[[#This Row],[Audit Winning Candidate]]-Audit[[#This Row],[Winning Candidate]]</f>
        <v>-2</v>
      </c>
      <c r="U1878" s="111">
        <f>Audit[[#This Row],[Audit Candidate 3]]-Audit[[#This Row],[Candidate 3]]</f>
        <v>-3</v>
      </c>
      <c r="V1878" s="111">
        <f>Audit[[#This Row],[Audit Candidate 4]]-Audit[[#This Row],[Candidate 4]]</f>
        <v>-6</v>
      </c>
      <c r="W1878" s="111">
        <f>Audit[[#This Row],[Audit Candidate 5]]-Audit[[#This Row],[Candidate 5]]</f>
        <v>0</v>
      </c>
      <c r="X1878" s="111">
        <f>Audit[[#This Row],[Audit Candidate 6]]-Audit[[#This Row],[Candidate 6]]</f>
        <v>0</v>
      </c>
      <c r="Y1878" s="111">
        <f>SUMIF(Audit[[#This Row],[Difference Loser]:[Difference Candidate 6]], "&gt;0")</f>
        <v>0</v>
      </c>
      <c r="Z1878" s="111">
        <f>SUM(Audit[[#This Row],[Difference Loser]:[Difference Candidate 6]])</f>
        <v>-15</v>
      </c>
      <c r="AA1878" s="111">
        <f>IF(Audit[[#This Row],[Times p Drawn - With Replacement]]&gt;0, IF(Audit[[#This Row],[Canceled Differences]]&lt;0, Audit[[#This Row],[Max Differences]]+ABS(Audit[[#This Row],[Canceled Differences]]), Audit[[#This Row],[Max Differences]]), 0)</f>
        <v>0</v>
      </c>
      <c r="AB1878" s="111">
        <f>'Sampling Data'!P1875</f>
        <v>7.9617834394904463E-4</v>
      </c>
      <c r="AC1878" s="111">
        <f>IF(
      SUM(Audit[[#This Row],[Audit Losing Candidate]:[Audit Candidate 6]])
      &lt;&gt;0,
      (Audit[[#This Row],[Winning Candidate]]-Audit[[#This Row],[Losing Candidate]]-(Audit[[#This Row],[Audit Winning Candidate]]-Audit[[#This Row],[Audit Losing Candidate]]))/(Audit[[#Totals],[Winning Candidate]]-Audit[[#Totals],[Losing Candidate]]),
      0
)</f>
        <v>0</v>
      </c>
      <c r="AD18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8" s="111">
        <f>IF(Audit[[#This Row],[Max Relative Error (ep)]] = 0, 0, Audit[[#This Row],[Max Relative Error (ep)]]/Audit[[#This Row],[Error Bound (up) - Max. possible relative overstatement]])</f>
        <v>0</v>
      </c>
      <c r="AJ18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78" s="111">
        <f t="shared" si="29"/>
        <v>1</v>
      </c>
      <c r="AL1878" s="111">
        <f>PRODUCT($AK$5:AK1878)</f>
        <v>8.962823818226312E-2</v>
      </c>
      <c r="AM1878" s="109">
        <f>1 - [K-M P Value]</f>
        <v>0.91037176181773694</v>
      </c>
      <c r="AN1878" s="111" t="str">
        <f>IF(Audit[[#This Row],[K-M P Value]]&gt;1-'General Info'!$B$16,"Continue", "Stop")</f>
        <v>Stop</v>
      </c>
      <c r="AO1878" s="110" t="b">
        <f>IF(Audit[[#This Row],[Status - Continue or stop audit]] = "Continue", TRUE, IF(AN1877 = "Continue", TRUE, FALSE))</f>
        <v>0</v>
      </c>
      <c r="AP1878" s="110"/>
    </row>
    <row r="1879" spans="1:42" ht="15" hidden="1" customHeight="1">
      <c r="A1879" s="111" t="str">
        <f>'Sampling Data'!W1876</f>
        <v/>
      </c>
      <c r="B1879" s="112" t="str">
        <f>'Sampling Data'!A1876</f>
        <v>SHAKER HEIGHTS -00-A - ABS</v>
      </c>
      <c r="C1879" s="112">
        <f>'Sampling Data'!B1876</f>
        <v>2</v>
      </c>
      <c r="D1879" s="112">
        <f>'Sampling Data'!C1876</f>
        <v>2</v>
      </c>
      <c r="E1879" s="113">
        <f>'Sampling Data'!D1876</f>
        <v>1</v>
      </c>
      <c r="F1879" s="113">
        <f>'Sampling Data'!E1876</f>
        <v>4</v>
      </c>
      <c r="G1879" s="113">
        <f>'Sampling Data'!F1876</f>
        <v>0</v>
      </c>
      <c r="H1879" s="113">
        <f>'Sampling Data'!G1876</f>
        <v>0</v>
      </c>
      <c r="I1879" s="112">
        <f>'Sampling Data'!H1876</f>
        <v>0</v>
      </c>
      <c r="J1879" s="112">
        <f>'Sampling Data'!I1876</f>
        <v>0</v>
      </c>
      <c r="K1879" s="112">
        <f>'Sampling Data'!J1876</f>
        <v>9</v>
      </c>
      <c r="L1879" s="111">
        <f>'Sampling Data'!X1876</f>
        <v>0</v>
      </c>
      <c r="M1879" s="114"/>
      <c r="N1879" s="114"/>
      <c r="O1879" s="115"/>
      <c r="P1879" s="115"/>
      <c r="Q1879" s="116"/>
      <c r="R1879" s="116"/>
      <c r="S1879" s="111">
        <f>Audit[[#This Row],[Audit Losing Candidate]]-Audit[[#This Row],[Losing Candidate]]</f>
        <v>-2</v>
      </c>
      <c r="T1879" s="111">
        <f>Audit[[#This Row],[Audit Winning Candidate]]-Audit[[#This Row],[Winning Candidate]]</f>
        <v>-2</v>
      </c>
      <c r="U1879" s="111">
        <f>Audit[[#This Row],[Audit Candidate 3]]-Audit[[#This Row],[Candidate 3]]</f>
        <v>-1</v>
      </c>
      <c r="V1879" s="111">
        <f>Audit[[#This Row],[Audit Candidate 4]]-Audit[[#This Row],[Candidate 4]]</f>
        <v>-4</v>
      </c>
      <c r="W1879" s="111">
        <f>Audit[[#This Row],[Audit Candidate 5]]-Audit[[#This Row],[Candidate 5]]</f>
        <v>0</v>
      </c>
      <c r="X1879" s="111">
        <f>Audit[[#This Row],[Audit Candidate 6]]-Audit[[#This Row],[Candidate 6]]</f>
        <v>0</v>
      </c>
      <c r="Y1879" s="111">
        <f>SUMIF(Audit[[#This Row],[Difference Loser]:[Difference Candidate 6]], "&gt;0")</f>
        <v>0</v>
      </c>
      <c r="Z1879" s="111">
        <f>SUM(Audit[[#This Row],[Difference Loser]:[Difference Candidate 6]])</f>
        <v>-9</v>
      </c>
      <c r="AA1879" s="111">
        <f>IF(Audit[[#This Row],[Times p Drawn - With Replacement]]&gt;0, IF(Audit[[#This Row],[Canceled Differences]]&lt;0, Audit[[#This Row],[Max Differences]]+ABS(Audit[[#This Row],[Canceled Differences]]), Audit[[#This Row],[Max Differences]]), 0)</f>
        <v>0</v>
      </c>
      <c r="AB1879" s="111">
        <f>'Sampling Data'!P1876</f>
        <v>5.5120039196472322E-4</v>
      </c>
      <c r="AC1879" s="111">
        <f>IF(
      SUM(Audit[[#This Row],[Audit Losing Candidate]:[Audit Candidate 6]])
      &lt;&gt;0,
      (Audit[[#This Row],[Winning Candidate]]-Audit[[#This Row],[Losing Candidate]]-(Audit[[#This Row],[Audit Winning Candidate]]-Audit[[#This Row],[Audit Losing Candidate]]))/(Audit[[#Totals],[Winning Candidate]]-Audit[[#Totals],[Losing Candidate]]),
      0
)</f>
        <v>0</v>
      </c>
      <c r="AD18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9" s="111">
        <f>IF(Audit[[#This Row],[Max Relative Error (ep)]] = 0, 0, Audit[[#This Row],[Max Relative Error (ep)]]/Audit[[#This Row],[Error Bound (up) - Max. possible relative overstatement]])</f>
        <v>0</v>
      </c>
      <c r="AJ18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79" s="111">
        <f t="shared" si="29"/>
        <v>1</v>
      </c>
      <c r="AL1879" s="111">
        <f>PRODUCT($AK$5:AK1879)</f>
        <v>8.962823818226312E-2</v>
      </c>
      <c r="AM1879" s="109">
        <f>1 - [K-M P Value]</f>
        <v>0.91037176181773694</v>
      </c>
      <c r="AN1879" s="111" t="str">
        <f>IF(Audit[[#This Row],[K-M P Value]]&gt;1-'General Info'!$B$16,"Continue", "Stop")</f>
        <v>Stop</v>
      </c>
      <c r="AO1879" s="110" t="b">
        <f>IF(Audit[[#This Row],[Status - Continue or stop audit]] = "Continue", TRUE, IF(AN1878 = "Continue", TRUE, FALSE))</f>
        <v>0</v>
      </c>
      <c r="AP1879" s="110"/>
    </row>
    <row r="1880" spans="1:42" ht="15" hidden="1" customHeight="1">
      <c r="A1880" s="111" t="str">
        <f>'Sampling Data'!W1877</f>
        <v/>
      </c>
      <c r="B1880" s="112" t="str">
        <f>'Sampling Data'!A1877</f>
        <v>SHAKER HEIGHTS -00-B</v>
      </c>
      <c r="C1880" s="112">
        <f>'Sampling Data'!B1877</f>
        <v>7</v>
      </c>
      <c r="D1880" s="112">
        <f>'Sampling Data'!C1877</f>
        <v>51</v>
      </c>
      <c r="E1880" s="113">
        <f>'Sampling Data'!D1877</f>
        <v>4</v>
      </c>
      <c r="F1880" s="113">
        <f>'Sampling Data'!E1877</f>
        <v>6</v>
      </c>
      <c r="G1880" s="113">
        <f>'Sampling Data'!F1877</f>
        <v>0</v>
      </c>
      <c r="H1880" s="113">
        <f>'Sampling Data'!G1877</f>
        <v>0</v>
      </c>
      <c r="I1880" s="112">
        <f>'Sampling Data'!H1877</f>
        <v>0</v>
      </c>
      <c r="J1880" s="112">
        <f>'Sampling Data'!I1877</f>
        <v>0</v>
      </c>
      <c r="K1880" s="112">
        <f>'Sampling Data'!J1877</f>
        <v>68</v>
      </c>
      <c r="L1880" s="111">
        <f>'Sampling Data'!X1877</f>
        <v>0</v>
      </c>
      <c r="M1880" s="114"/>
      <c r="N1880" s="114"/>
      <c r="O1880" s="115"/>
      <c r="P1880" s="115"/>
      <c r="Q1880" s="116"/>
      <c r="R1880" s="116"/>
      <c r="S1880" s="111">
        <f>Audit[[#This Row],[Audit Losing Candidate]]-Audit[[#This Row],[Losing Candidate]]</f>
        <v>-7</v>
      </c>
      <c r="T1880" s="111">
        <f>Audit[[#This Row],[Audit Winning Candidate]]-Audit[[#This Row],[Winning Candidate]]</f>
        <v>-51</v>
      </c>
      <c r="U1880" s="111">
        <f>Audit[[#This Row],[Audit Candidate 3]]-Audit[[#This Row],[Candidate 3]]</f>
        <v>-4</v>
      </c>
      <c r="V1880" s="111">
        <f>Audit[[#This Row],[Audit Candidate 4]]-Audit[[#This Row],[Candidate 4]]</f>
        <v>-6</v>
      </c>
      <c r="W1880" s="111">
        <f>Audit[[#This Row],[Audit Candidate 5]]-Audit[[#This Row],[Candidate 5]]</f>
        <v>0</v>
      </c>
      <c r="X1880" s="111">
        <f>Audit[[#This Row],[Audit Candidate 6]]-Audit[[#This Row],[Candidate 6]]</f>
        <v>0</v>
      </c>
      <c r="Y1880" s="111">
        <f>SUMIF(Audit[[#This Row],[Difference Loser]:[Difference Candidate 6]], "&gt;0")</f>
        <v>0</v>
      </c>
      <c r="Z1880" s="111">
        <f>SUM(Audit[[#This Row],[Difference Loser]:[Difference Candidate 6]])</f>
        <v>-68</v>
      </c>
      <c r="AA1880" s="111">
        <f>IF(Audit[[#This Row],[Times p Drawn - With Replacement]]&gt;0, IF(Audit[[#This Row],[Canceled Differences]]&lt;0, Audit[[#This Row],[Max Differences]]+ABS(Audit[[#This Row],[Canceled Differences]]), Audit[[#This Row],[Max Differences]]), 0)</f>
        <v>0</v>
      </c>
      <c r="AB1880" s="111">
        <f>'Sampling Data'!P1877</f>
        <v>6.8593826555609994E-3</v>
      </c>
      <c r="AC1880" s="111">
        <f>IF(
      SUM(Audit[[#This Row],[Audit Losing Candidate]:[Audit Candidate 6]])
      &lt;&gt;0,
      (Audit[[#This Row],[Winning Candidate]]-Audit[[#This Row],[Losing Candidate]]-(Audit[[#This Row],[Audit Winning Candidate]]-Audit[[#This Row],[Audit Losing Candidate]]))/(Audit[[#Totals],[Winning Candidate]]-Audit[[#Totals],[Losing Candidate]]),
      0
)</f>
        <v>0</v>
      </c>
      <c r="AD18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0" s="111">
        <f>IF(Audit[[#This Row],[Max Relative Error (ep)]] = 0, 0, Audit[[#This Row],[Max Relative Error (ep)]]/Audit[[#This Row],[Error Bound (up) - Max. possible relative overstatement]])</f>
        <v>0</v>
      </c>
      <c r="AJ18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80" s="111">
        <f t="shared" si="29"/>
        <v>1</v>
      </c>
      <c r="AL1880" s="111">
        <f>PRODUCT($AK$5:AK1880)</f>
        <v>8.962823818226312E-2</v>
      </c>
      <c r="AM1880" s="109">
        <f>1 - [K-M P Value]</f>
        <v>0.91037176181773694</v>
      </c>
      <c r="AN1880" s="111" t="str">
        <f>IF(Audit[[#This Row],[K-M P Value]]&gt;1-'General Info'!$B$16,"Continue", "Stop")</f>
        <v>Stop</v>
      </c>
      <c r="AO1880" s="110" t="b">
        <f>IF(Audit[[#This Row],[Status - Continue or stop audit]] = "Continue", TRUE, IF(AN1879 = "Continue", TRUE, FALSE))</f>
        <v>0</v>
      </c>
      <c r="AP1880" s="110"/>
    </row>
    <row r="1881" spans="1:42" ht="15" hidden="1" customHeight="1">
      <c r="A1881" s="111" t="str">
        <f>'Sampling Data'!W1878</f>
        <v/>
      </c>
      <c r="B1881" s="112" t="str">
        <f>'Sampling Data'!A1878</f>
        <v>SHAKER HEIGHTS -00-B - ABS</v>
      </c>
      <c r="C1881" s="112">
        <f>'Sampling Data'!B1878</f>
        <v>1</v>
      </c>
      <c r="D1881" s="112">
        <f>'Sampling Data'!C1878</f>
        <v>24</v>
      </c>
      <c r="E1881" s="113">
        <f>'Sampling Data'!D1878</f>
        <v>10</v>
      </c>
      <c r="F1881" s="113">
        <f>'Sampling Data'!E1878</f>
        <v>2</v>
      </c>
      <c r="G1881" s="113">
        <f>'Sampling Data'!F1878</f>
        <v>1</v>
      </c>
      <c r="H1881" s="113">
        <f>'Sampling Data'!G1878</f>
        <v>0</v>
      </c>
      <c r="I1881" s="112">
        <f>'Sampling Data'!H1878</f>
        <v>0</v>
      </c>
      <c r="J1881" s="112">
        <f>'Sampling Data'!I1878</f>
        <v>0</v>
      </c>
      <c r="K1881" s="112">
        <f>'Sampling Data'!J1878</f>
        <v>38</v>
      </c>
      <c r="L1881" s="111">
        <f>'Sampling Data'!X1878</f>
        <v>0</v>
      </c>
      <c r="M1881" s="114"/>
      <c r="N1881" s="114"/>
      <c r="O1881" s="115"/>
      <c r="P1881" s="115"/>
      <c r="Q1881" s="116"/>
      <c r="R1881" s="116"/>
      <c r="S1881" s="111">
        <f>Audit[[#This Row],[Audit Losing Candidate]]-Audit[[#This Row],[Losing Candidate]]</f>
        <v>-1</v>
      </c>
      <c r="T1881" s="111">
        <f>Audit[[#This Row],[Audit Winning Candidate]]-Audit[[#This Row],[Winning Candidate]]</f>
        <v>-24</v>
      </c>
      <c r="U1881" s="111">
        <f>Audit[[#This Row],[Audit Candidate 3]]-Audit[[#This Row],[Candidate 3]]</f>
        <v>-10</v>
      </c>
      <c r="V1881" s="111">
        <f>Audit[[#This Row],[Audit Candidate 4]]-Audit[[#This Row],[Candidate 4]]</f>
        <v>-2</v>
      </c>
      <c r="W1881" s="111">
        <f>Audit[[#This Row],[Audit Candidate 5]]-Audit[[#This Row],[Candidate 5]]</f>
        <v>-1</v>
      </c>
      <c r="X1881" s="111">
        <f>Audit[[#This Row],[Audit Candidate 6]]-Audit[[#This Row],[Candidate 6]]</f>
        <v>0</v>
      </c>
      <c r="Y1881" s="111">
        <f>SUMIF(Audit[[#This Row],[Difference Loser]:[Difference Candidate 6]], "&gt;0")</f>
        <v>0</v>
      </c>
      <c r="Z1881" s="111">
        <f>SUM(Audit[[#This Row],[Difference Loser]:[Difference Candidate 6]])</f>
        <v>-38</v>
      </c>
      <c r="AA1881" s="111">
        <f>IF(Audit[[#This Row],[Times p Drawn - With Replacement]]&gt;0, IF(Audit[[#This Row],[Canceled Differences]]&lt;0, Audit[[#This Row],[Max Differences]]+ABS(Audit[[#This Row],[Canceled Differences]]), Audit[[#This Row],[Max Differences]]), 0)</f>
        <v>0</v>
      </c>
      <c r="AB1881" s="111">
        <f>'Sampling Data'!P1878</f>
        <v>3.7359137677609017E-3</v>
      </c>
      <c r="AC1881" s="111">
        <f>IF(
      SUM(Audit[[#This Row],[Audit Losing Candidate]:[Audit Candidate 6]])
      &lt;&gt;0,
      (Audit[[#This Row],[Winning Candidate]]-Audit[[#This Row],[Losing Candidate]]-(Audit[[#This Row],[Audit Winning Candidate]]-Audit[[#This Row],[Audit Losing Candidate]]))/(Audit[[#Totals],[Winning Candidate]]-Audit[[#Totals],[Losing Candidate]]),
      0
)</f>
        <v>0</v>
      </c>
      <c r="AD18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1" s="111">
        <f>IF(Audit[[#This Row],[Max Relative Error (ep)]] = 0, 0, Audit[[#This Row],[Max Relative Error (ep)]]/Audit[[#This Row],[Error Bound (up) - Max. possible relative overstatement]])</f>
        <v>0</v>
      </c>
      <c r="AJ18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81" s="111">
        <f t="shared" si="29"/>
        <v>1</v>
      </c>
      <c r="AL1881" s="111">
        <f>PRODUCT($AK$5:AK1881)</f>
        <v>8.962823818226312E-2</v>
      </c>
      <c r="AM1881" s="109">
        <f>1 - [K-M P Value]</f>
        <v>0.91037176181773694</v>
      </c>
      <c r="AN1881" s="111" t="str">
        <f>IF(Audit[[#This Row],[K-M P Value]]&gt;1-'General Info'!$B$16,"Continue", "Stop")</f>
        <v>Stop</v>
      </c>
      <c r="AO1881" s="110" t="b">
        <f>IF(Audit[[#This Row],[Status - Continue or stop audit]] = "Continue", TRUE, IF(AN1880 = "Continue", TRUE, FALSE))</f>
        <v>0</v>
      </c>
      <c r="AP1881" s="110"/>
    </row>
    <row r="1882" spans="1:42" ht="15" hidden="1" customHeight="1">
      <c r="A1882" s="111" t="str">
        <f>'Sampling Data'!W1879</f>
        <v/>
      </c>
      <c r="B1882" s="112" t="str">
        <f>'Sampling Data'!A1879</f>
        <v>SHAKER HEIGHTS -00-C</v>
      </c>
      <c r="C1882" s="112">
        <f>'Sampling Data'!B1879</f>
        <v>12</v>
      </c>
      <c r="D1882" s="112">
        <f>'Sampling Data'!C1879</f>
        <v>25</v>
      </c>
      <c r="E1882" s="113">
        <f>'Sampling Data'!D1879</f>
        <v>5</v>
      </c>
      <c r="F1882" s="113">
        <f>'Sampling Data'!E1879</f>
        <v>4</v>
      </c>
      <c r="G1882" s="113">
        <f>'Sampling Data'!F1879</f>
        <v>1</v>
      </c>
      <c r="H1882" s="113">
        <f>'Sampling Data'!G1879</f>
        <v>0</v>
      </c>
      <c r="I1882" s="112">
        <f>'Sampling Data'!H1879</f>
        <v>0</v>
      </c>
      <c r="J1882" s="112">
        <f>'Sampling Data'!I1879</f>
        <v>0</v>
      </c>
      <c r="K1882" s="112">
        <f>'Sampling Data'!J1879</f>
        <v>47</v>
      </c>
      <c r="L1882" s="111">
        <f>'Sampling Data'!X1879</f>
        <v>0</v>
      </c>
      <c r="M1882" s="114"/>
      <c r="N1882" s="114"/>
      <c r="O1882" s="115"/>
      <c r="P1882" s="115"/>
      <c r="Q1882" s="116"/>
      <c r="R1882" s="116"/>
      <c r="S1882" s="111">
        <f>Audit[[#This Row],[Audit Losing Candidate]]-Audit[[#This Row],[Losing Candidate]]</f>
        <v>-12</v>
      </c>
      <c r="T1882" s="111">
        <f>Audit[[#This Row],[Audit Winning Candidate]]-Audit[[#This Row],[Winning Candidate]]</f>
        <v>-25</v>
      </c>
      <c r="U1882" s="111">
        <f>Audit[[#This Row],[Audit Candidate 3]]-Audit[[#This Row],[Candidate 3]]</f>
        <v>-5</v>
      </c>
      <c r="V1882" s="111">
        <f>Audit[[#This Row],[Audit Candidate 4]]-Audit[[#This Row],[Candidate 4]]</f>
        <v>-4</v>
      </c>
      <c r="W1882" s="111">
        <f>Audit[[#This Row],[Audit Candidate 5]]-Audit[[#This Row],[Candidate 5]]</f>
        <v>-1</v>
      </c>
      <c r="X1882" s="111">
        <f>Audit[[#This Row],[Audit Candidate 6]]-Audit[[#This Row],[Candidate 6]]</f>
        <v>0</v>
      </c>
      <c r="Y1882" s="111">
        <f>SUMIF(Audit[[#This Row],[Difference Loser]:[Difference Candidate 6]], "&gt;0")</f>
        <v>0</v>
      </c>
      <c r="Z1882" s="111">
        <f>SUM(Audit[[#This Row],[Difference Loser]:[Difference Candidate 6]])</f>
        <v>-47</v>
      </c>
      <c r="AA1882" s="111">
        <f>IF(Audit[[#This Row],[Times p Drawn - With Replacement]]&gt;0, IF(Audit[[#This Row],[Canceled Differences]]&lt;0, Audit[[#This Row],[Max Differences]]+ABS(Audit[[#This Row],[Canceled Differences]]), Audit[[#This Row],[Max Differences]]), 0)</f>
        <v>0</v>
      </c>
      <c r="AB1882" s="111">
        <f>'Sampling Data'!P1879</f>
        <v>3.6746692797648213E-3</v>
      </c>
      <c r="AC1882" s="111">
        <f>IF(
      SUM(Audit[[#This Row],[Audit Losing Candidate]:[Audit Candidate 6]])
      &lt;&gt;0,
      (Audit[[#This Row],[Winning Candidate]]-Audit[[#This Row],[Losing Candidate]]-(Audit[[#This Row],[Audit Winning Candidate]]-Audit[[#This Row],[Audit Losing Candidate]]))/(Audit[[#Totals],[Winning Candidate]]-Audit[[#Totals],[Losing Candidate]]),
      0
)</f>
        <v>0</v>
      </c>
      <c r="AD18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2" s="111">
        <f>IF(Audit[[#This Row],[Max Relative Error (ep)]] = 0, 0, Audit[[#This Row],[Max Relative Error (ep)]]/Audit[[#This Row],[Error Bound (up) - Max. possible relative overstatement]])</f>
        <v>0</v>
      </c>
      <c r="AJ18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82" s="111">
        <f t="shared" si="29"/>
        <v>1</v>
      </c>
      <c r="AL1882" s="111">
        <f>PRODUCT($AK$5:AK1882)</f>
        <v>8.962823818226312E-2</v>
      </c>
      <c r="AM1882" s="109">
        <f>1 - [K-M P Value]</f>
        <v>0.91037176181773694</v>
      </c>
      <c r="AN1882" s="111" t="str">
        <f>IF(Audit[[#This Row],[K-M P Value]]&gt;1-'General Info'!$B$16,"Continue", "Stop")</f>
        <v>Stop</v>
      </c>
      <c r="AO1882" s="110" t="b">
        <f>IF(Audit[[#This Row],[Status - Continue or stop audit]] = "Continue", TRUE, IF(AN1881 = "Continue", TRUE, FALSE))</f>
        <v>0</v>
      </c>
      <c r="AP1882" s="110"/>
    </row>
    <row r="1883" spans="1:42" ht="15" hidden="1" customHeight="1">
      <c r="A1883" s="111" t="str">
        <f>'Sampling Data'!W1880</f>
        <v/>
      </c>
      <c r="B1883" s="112" t="str">
        <f>'Sampling Data'!A1880</f>
        <v>SHAKER HEIGHTS -00-C - ABS</v>
      </c>
      <c r="C1883" s="112">
        <f>'Sampling Data'!B1880</f>
        <v>3</v>
      </c>
      <c r="D1883" s="112">
        <f>'Sampling Data'!C1880</f>
        <v>9</v>
      </c>
      <c r="E1883" s="113">
        <f>'Sampling Data'!D1880</f>
        <v>0</v>
      </c>
      <c r="F1883" s="113">
        <f>'Sampling Data'!E1880</f>
        <v>2</v>
      </c>
      <c r="G1883" s="113">
        <f>'Sampling Data'!F1880</f>
        <v>0</v>
      </c>
      <c r="H1883" s="113">
        <f>'Sampling Data'!G1880</f>
        <v>0</v>
      </c>
      <c r="I1883" s="112">
        <f>'Sampling Data'!H1880</f>
        <v>0</v>
      </c>
      <c r="J1883" s="112">
        <f>'Sampling Data'!I1880</f>
        <v>0</v>
      </c>
      <c r="K1883" s="112">
        <f>'Sampling Data'!J1880</f>
        <v>14</v>
      </c>
      <c r="L1883" s="111">
        <f>'Sampling Data'!X1880</f>
        <v>0</v>
      </c>
      <c r="M1883" s="114"/>
      <c r="N1883" s="114"/>
      <c r="O1883" s="115"/>
      <c r="P1883" s="115"/>
      <c r="Q1883" s="116"/>
      <c r="R1883" s="116"/>
      <c r="S1883" s="111">
        <f>Audit[[#This Row],[Audit Losing Candidate]]-Audit[[#This Row],[Losing Candidate]]</f>
        <v>-3</v>
      </c>
      <c r="T1883" s="111">
        <f>Audit[[#This Row],[Audit Winning Candidate]]-Audit[[#This Row],[Winning Candidate]]</f>
        <v>-9</v>
      </c>
      <c r="U1883" s="111">
        <f>Audit[[#This Row],[Audit Candidate 3]]-Audit[[#This Row],[Candidate 3]]</f>
        <v>0</v>
      </c>
      <c r="V1883" s="111">
        <f>Audit[[#This Row],[Audit Candidate 4]]-Audit[[#This Row],[Candidate 4]]</f>
        <v>-2</v>
      </c>
      <c r="W1883" s="111">
        <f>Audit[[#This Row],[Audit Candidate 5]]-Audit[[#This Row],[Candidate 5]]</f>
        <v>0</v>
      </c>
      <c r="X1883" s="111">
        <f>Audit[[#This Row],[Audit Candidate 6]]-Audit[[#This Row],[Candidate 6]]</f>
        <v>0</v>
      </c>
      <c r="Y1883" s="111">
        <f>SUMIF(Audit[[#This Row],[Difference Loser]:[Difference Candidate 6]], "&gt;0")</f>
        <v>0</v>
      </c>
      <c r="Z1883" s="111">
        <f>SUM(Audit[[#This Row],[Difference Loser]:[Difference Candidate 6]])</f>
        <v>-14</v>
      </c>
      <c r="AA1883" s="111">
        <f>IF(Audit[[#This Row],[Times p Drawn - With Replacement]]&gt;0, IF(Audit[[#This Row],[Canceled Differences]]&lt;0, Audit[[#This Row],[Max Differences]]+ABS(Audit[[#This Row],[Canceled Differences]]), Audit[[#This Row],[Max Differences]]), 0)</f>
        <v>0</v>
      </c>
      <c r="AB1883" s="111">
        <f>'Sampling Data'!P1880</f>
        <v>1.224889759921607E-3</v>
      </c>
      <c r="AC1883" s="111">
        <f>IF(
      SUM(Audit[[#This Row],[Audit Losing Candidate]:[Audit Candidate 6]])
      &lt;&gt;0,
      (Audit[[#This Row],[Winning Candidate]]-Audit[[#This Row],[Losing Candidate]]-(Audit[[#This Row],[Audit Winning Candidate]]-Audit[[#This Row],[Audit Losing Candidate]]))/(Audit[[#Totals],[Winning Candidate]]-Audit[[#Totals],[Losing Candidate]]),
      0
)</f>
        <v>0</v>
      </c>
      <c r="AD18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3" s="111">
        <f>IF(Audit[[#This Row],[Max Relative Error (ep)]] = 0, 0, Audit[[#This Row],[Max Relative Error (ep)]]/Audit[[#This Row],[Error Bound (up) - Max. possible relative overstatement]])</f>
        <v>0</v>
      </c>
      <c r="AJ18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83" s="111">
        <f t="shared" si="29"/>
        <v>1</v>
      </c>
      <c r="AL1883" s="111">
        <f>PRODUCT($AK$5:AK1883)</f>
        <v>8.962823818226312E-2</v>
      </c>
      <c r="AM1883" s="109">
        <f>1 - [K-M P Value]</f>
        <v>0.91037176181773694</v>
      </c>
      <c r="AN1883" s="111" t="str">
        <f>IF(Audit[[#This Row],[K-M P Value]]&gt;1-'General Info'!$B$16,"Continue", "Stop")</f>
        <v>Stop</v>
      </c>
      <c r="AO1883" s="110" t="b">
        <f>IF(Audit[[#This Row],[Status - Continue or stop audit]] = "Continue", TRUE, IF(AN1882 = "Continue", TRUE, FALSE))</f>
        <v>0</v>
      </c>
      <c r="AP1883" s="110"/>
    </row>
    <row r="1884" spans="1:42" ht="15" hidden="1" customHeight="1">
      <c r="A1884" s="111" t="str">
        <f>'Sampling Data'!W1881</f>
        <v/>
      </c>
      <c r="B1884" s="112" t="str">
        <f>'Sampling Data'!A1881</f>
        <v>SHAKER HEIGHTS -00-D</v>
      </c>
      <c r="C1884" s="112">
        <f>'Sampling Data'!B1881</f>
        <v>4</v>
      </c>
      <c r="D1884" s="112">
        <f>'Sampling Data'!C1881</f>
        <v>20</v>
      </c>
      <c r="E1884" s="113">
        <f>'Sampling Data'!D1881</f>
        <v>4</v>
      </c>
      <c r="F1884" s="113">
        <f>'Sampling Data'!E1881</f>
        <v>5</v>
      </c>
      <c r="G1884" s="113">
        <f>'Sampling Data'!F1881</f>
        <v>0</v>
      </c>
      <c r="H1884" s="113">
        <f>'Sampling Data'!G1881</f>
        <v>0</v>
      </c>
      <c r="I1884" s="112">
        <f>'Sampling Data'!H1881</f>
        <v>0</v>
      </c>
      <c r="J1884" s="112">
        <f>'Sampling Data'!I1881</f>
        <v>0</v>
      </c>
      <c r="K1884" s="112">
        <f>'Sampling Data'!J1881</f>
        <v>33</v>
      </c>
      <c r="L1884" s="111">
        <f>'Sampling Data'!X1881</f>
        <v>0</v>
      </c>
      <c r="M1884" s="114"/>
      <c r="N1884" s="114"/>
      <c r="O1884" s="115"/>
      <c r="P1884" s="115"/>
      <c r="Q1884" s="116"/>
      <c r="R1884" s="116"/>
      <c r="S1884" s="111">
        <f>Audit[[#This Row],[Audit Losing Candidate]]-Audit[[#This Row],[Losing Candidate]]</f>
        <v>-4</v>
      </c>
      <c r="T1884" s="111">
        <f>Audit[[#This Row],[Audit Winning Candidate]]-Audit[[#This Row],[Winning Candidate]]</f>
        <v>-20</v>
      </c>
      <c r="U1884" s="111">
        <f>Audit[[#This Row],[Audit Candidate 3]]-Audit[[#This Row],[Candidate 3]]</f>
        <v>-4</v>
      </c>
      <c r="V1884" s="111">
        <f>Audit[[#This Row],[Audit Candidate 4]]-Audit[[#This Row],[Candidate 4]]</f>
        <v>-5</v>
      </c>
      <c r="W1884" s="111">
        <f>Audit[[#This Row],[Audit Candidate 5]]-Audit[[#This Row],[Candidate 5]]</f>
        <v>0</v>
      </c>
      <c r="X1884" s="111">
        <f>Audit[[#This Row],[Audit Candidate 6]]-Audit[[#This Row],[Candidate 6]]</f>
        <v>0</v>
      </c>
      <c r="Y1884" s="111">
        <f>SUMIF(Audit[[#This Row],[Difference Loser]:[Difference Candidate 6]], "&gt;0")</f>
        <v>0</v>
      </c>
      <c r="Z1884" s="111">
        <f>SUM(Audit[[#This Row],[Difference Loser]:[Difference Candidate 6]])</f>
        <v>-33</v>
      </c>
      <c r="AA1884" s="111">
        <f>IF(Audit[[#This Row],[Times p Drawn - With Replacement]]&gt;0, IF(Audit[[#This Row],[Canceled Differences]]&lt;0, Audit[[#This Row],[Max Differences]]+ABS(Audit[[#This Row],[Canceled Differences]]), Audit[[#This Row],[Max Differences]]), 0)</f>
        <v>0</v>
      </c>
      <c r="AB1884" s="111">
        <f>'Sampling Data'!P1881</f>
        <v>3.0009799118079373E-3</v>
      </c>
      <c r="AC1884" s="111">
        <f>IF(
      SUM(Audit[[#This Row],[Audit Losing Candidate]:[Audit Candidate 6]])
      &lt;&gt;0,
      (Audit[[#This Row],[Winning Candidate]]-Audit[[#This Row],[Losing Candidate]]-(Audit[[#This Row],[Audit Winning Candidate]]-Audit[[#This Row],[Audit Losing Candidate]]))/(Audit[[#Totals],[Winning Candidate]]-Audit[[#Totals],[Losing Candidate]]),
      0
)</f>
        <v>0</v>
      </c>
      <c r="AD18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4" s="111">
        <f>IF(Audit[[#This Row],[Max Relative Error (ep)]] = 0, 0, Audit[[#This Row],[Max Relative Error (ep)]]/Audit[[#This Row],[Error Bound (up) - Max. possible relative overstatement]])</f>
        <v>0</v>
      </c>
      <c r="AJ18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84" s="111">
        <f t="shared" si="29"/>
        <v>1</v>
      </c>
      <c r="AL1884" s="111">
        <f>PRODUCT($AK$5:AK1884)</f>
        <v>8.962823818226312E-2</v>
      </c>
      <c r="AM1884" s="109">
        <f>1 - [K-M P Value]</f>
        <v>0.91037176181773694</v>
      </c>
      <c r="AN1884" s="111" t="str">
        <f>IF(Audit[[#This Row],[K-M P Value]]&gt;1-'General Info'!$B$16,"Continue", "Stop")</f>
        <v>Stop</v>
      </c>
      <c r="AO1884" s="110" t="b">
        <f>IF(Audit[[#This Row],[Status - Continue or stop audit]] = "Continue", TRUE, IF(AN1883 = "Continue", TRUE, FALSE))</f>
        <v>0</v>
      </c>
      <c r="AP1884" s="110"/>
    </row>
    <row r="1885" spans="1:42" ht="15" hidden="1" customHeight="1">
      <c r="A1885" s="111" t="str">
        <f>'Sampling Data'!W1882</f>
        <v/>
      </c>
      <c r="B1885" s="112" t="str">
        <f>'Sampling Data'!A1882</f>
        <v>SHAKER HEIGHTS -00-D - ABS</v>
      </c>
      <c r="C1885" s="112">
        <f>'Sampling Data'!B1882</f>
        <v>3</v>
      </c>
      <c r="D1885" s="112">
        <f>'Sampling Data'!C1882</f>
        <v>11</v>
      </c>
      <c r="E1885" s="113">
        <f>'Sampling Data'!D1882</f>
        <v>1</v>
      </c>
      <c r="F1885" s="113">
        <f>'Sampling Data'!E1882</f>
        <v>2</v>
      </c>
      <c r="G1885" s="113">
        <f>'Sampling Data'!F1882</f>
        <v>1</v>
      </c>
      <c r="H1885" s="113">
        <f>'Sampling Data'!G1882</f>
        <v>0</v>
      </c>
      <c r="I1885" s="112">
        <f>'Sampling Data'!H1882</f>
        <v>0</v>
      </c>
      <c r="J1885" s="112">
        <f>'Sampling Data'!I1882</f>
        <v>0</v>
      </c>
      <c r="K1885" s="112">
        <f>'Sampling Data'!J1882</f>
        <v>18</v>
      </c>
      <c r="L1885" s="111">
        <f>'Sampling Data'!X1882</f>
        <v>0</v>
      </c>
      <c r="M1885" s="114"/>
      <c r="N1885" s="114"/>
      <c r="O1885" s="115"/>
      <c r="P1885" s="115"/>
      <c r="Q1885" s="116"/>
      <c r="R1885" s="116"/>
      <c r="S1885" s="111">
        <f>Audit[[#This Row],[Audit Losing Candidate]]-Audit[[#This Row],[Losing Candidate]]</f>
        <v>-3</v>
      </c>
      <c r="T1885" s="111">
        <f>Audit[[#This Row],[Audit Winning Candidate]]-Audit[[#This Row],[Winning Candidate]]</f>
        <v>-11</v>
      </c>
      <c r="U1885" s="111">
        <f>Audit[[#This Row],[Audit Candidate 3]]-Audit[[#This Row],[Candidate 3]]</f>
        <v>-1</v>
      </c>
      <c r="V1885" s="111">
        <f>Audit[[#This Row],[Audit Candidate 4]]-Audit[[#This Row],[Candidate 4]]</f>
        <v>-2</v>
      </c>
      <c r="W1885" s="111">
        <f>Audit[[#This Row],[Audit Candidate 5]]-Audit[[#This Row],[Candidate 5]]</f>
        <v>-1</v>
      </c>
      <c r="X1885" s="111">
        <f>Audit[[#This Row],[Audit Candidate 6]]-Audit[[#This Row],[Candidate 6]]</f>
        <v>0</v>
      </c>
      <c r="Y1885" s="111">
        <f>SUMIF(Audit[[#This Row],[Difference Loser]:[Difference Candidate 6]], "&gt;0")</f>
        <v>0</v>
      </c>
      <c r="Z1885" s="111">
        <f>SUM(Audit[[#This Row],[Difference Loser]:[Difference Candidate 6]])</f>
        <v>-18</v>
      </c>
      <c r="AA1885" s="111">
        <f>IF(Audit[[#This Row],[Times p Drawn - With Replacement]]&gt;0, IF(Audit[[#This Row],[Canceled Differences]]&lt;0, Audit[[#This Row],[Max Differences]]+ABS(Audit[[#This Row],[Canceled Differences]]), Audit[[#This Row],[Max Differences]]), 0)</f>
        <v>0</v>
      </c>
      <c r="AB1885" s="111">
        <f>'Sampling Data'!P1882</f>
        <v>1.5923566878980893E-3</v>
      </c>
      <c r="AC1885" s="111">
        <f>IF(
      SUM(Audit[[#This Row],[Audit Losing Candidate]:[Audit Candidate 6]])
      &lt;&gt;0,
      (Audit[[#This Row],[Winning Candidate]]-Audit[[#This Row],[Losing Candidate]]-(Audit[[#This Row],[Audit Winning Candidate]]-Audit[[#This Row],[Audit Losing Candidate]]))/(Audit[[#Totals],[Winning Candidate]]-Audit[[#Totals],[Losing Candidate]]),
      0
)</f>
        <v>0</v>
      </c>
      <c r="AD18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5" s="111">
        <f>IF(Audit[[#This Row],[Max Relative Error (ep)]] = 0, 0, Audit[[#This Row],[Max Relative Error (ep)]]/Audit[[#This Row],[Error Bound (up) - Max. possible relative overstatement]])</f>
        <v>0</v>
      </c>
      <c r="AJ18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85" s="111">
        <f t="shared" si="29"/>
        <v>1</v>
      </c>
      <c r="AL1885" s="111">
        <f>PRODUCT($AK$5:AK1885)</f>
        <v>8.962823818226312E-2</v>
      </c>
      <c r="AM1885" s="109">
        <f>1 - [K-M P Value]</f>
        <v>0.91037176181773694</v>
      </c>
      <c r="AN1885" s="111" t="str">
        <f>IF(Audit[[#This Row],[K-M P Value]]&gt;1-'General Info'!$B$16,"Continue", "Stop")</f>
        <v>Stop</v>
      </c>
      <c r="AO1885" s="110" t="b">
        <f>IF(Audit[[#This Row],[Status - Continue or stop audit]] = "Continue", TRUE, IF(AN1884 = "Continue", TRUE, FALSE))</f>
        <v>0</v>
      </c>
      <c r="AP1885" s="110"/>
    </row>
    <row r="1886" spans="1:42" ht="15" hidden="1" customHeight="1">
      <c r="A1886" s="111" t="str">
        <f>'Sampling Data'!W1883</f>
        <v/>
      </c>
      <c r="B1886" s="112" t="str">
        <f>'Sampling Data'!A1883</f>
        <v>SHAKER HEIGHTS -00-E</v>
      </c>
      <c r="C1886" s="112">
        <f>'Sampling Data'!B1883</f>
        <v>8</v>
      </c>
      <c r="D1886" s="112">
        <f>'Sampling Data'!C1883</f>
        <v>28</v>
      </c>
      <c r="E1886" s="113">
        <f>'Sampling Data'!D1883</f>
        <v>4</v>
      </c>
      <c r="F1886" s="113">
        <f>'Sampling Data'!E1883</f>
        <v>1</v>
      </c>
      <c r="G1886" s="113">
        <f>'Sampling Data'!F1883</f>
        <v>0</v>
      </c>
      <c r="H1886" s="113">
        <f>'Sampling Data'!G1883</f>
        <v>0</v>
      </c>
      <c r="I1886" s="112">
        <f>'Sampling Data'!H1883</f>
        <v>0</v>
      </c>
      <c r="J1886" s="112">
        <f>'Sampling Data'!I1883</f>
        <v>0</v>
      </c>
      <c r="K1886" s="112">
        <f>'Sampling Data'!J1883</f>
        <v>41</v>
      </c>
      <c r="L1886" s="111">
        <f>'Sampling Data'!X1883</f>
        <v>0</v>
      </c>
      <c r="M1886" s="114"/>
      <c r="N1886" s="114"/>
      <c r="O1886" s="115"/>
      <c r="P1886" s="115"/>
      <c r="Q1886" s="116"/>
      <c r="R1886" s="116"/>
      <c r="S1886" s="111">
        <f>Audit[[#This Row],[Audit Losing Candidate]]-Audit[[#This Row],[Losing Candidate]]</f>
        <v>-8</v>
      </c>
      <c r="T1886" s="111">
        <f>Audit[[#This Row],[Audit Winning Candidate]]-Audit[[#This Row],[Winning Candidate]]</f>
        <v>-28</v>
      </c>
      <c r="U1886" s="111">
        <f>Audit[[#This Row],[Audit Candidate 3]]-Audit[[#This Row],[Candidate 3]]</f>
        <v>-4</v>
      </c>
      <c r="V1886" s="111">
        <f>Audit[[#This Row],[Audit Candidate 4]]-Audit[[#This Row],[Candidate 4]]</f>
        <v>-1</v>
      </c>
      <c r="W1886" s="111">
        <f>Audit[[#This Row],[Audit Candidate 5]]-Audit[[#This Row],[Candidate 5]]</f>
        <v>0</v>
      </c>
      <c r="X1886" s="111">
        <f>Audit[[#This Row],[Audit Candidate 6]]-Audit[[#This Row],[Candidate 6]]</f>
        <v>0</v>
      </c>
      <c r="Y1886" s="111">
        <f>SUMIF(Audit[[#This Row],[Difference Loser]:[Difference Candidate 6]], "&gt;0")</f>
        <v>0</v>
      </c>
      <c r="Z1886" s="111">
        <f>SUM(Audit[[#This Row],[Difference Loser]:[Difference Candidate 6]])</f>
        <v>-41</v>
      </c>
      <c r="AA1886" s="111">
        <f>IF(Audit[[#This Row],[Times p Drawn - With Replacement]]&gt;0, IF(Audit[[#This Row],[Canceled Differences]]&lt;0, Audit[[#This Row],[Max Differences]]+ABS(Audit[[#This Row],[Canceled Differences]]), Audit[[#This Row],[Max Differences]]), 0)</f>
        <v>0</v>
      </c>
      <c r="AB1886" s="111">
        <f>'Sampling Data'!P1883</f>
        <v>3.7359137677609017E-3</v>
      </c>
      <c r="AC1886" s="111">
        <f>IF(
      SUM(Audit[[#This Row],[Audit Losing Candidate]:[Audit Candidate 6]])
      &lt;&gt;0,
      (Audit[[#This Row],[Winning Candidate]]-Audit[[#This Row],[Losing Candidate]]-(Audit[[#This Row],[Audit Winning Candidate]]-Audit[[#This Row],[Audit Losing Candidate]]))/(Audit[[#Totals],[Winning Candidate]]-Audit[[#Totals],[Losing Candidate]]),
      0
)</f>
        <v>0</v>
      </c>
      <c r="AD18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6" s="111">
        <f>IF(Audit[[#This Row],[Max Relative Error (ep)]] = 0, 0, Audit[[#This Row],[Max Relative Error (ep)]]/Audit[[#This Row],[Error Bound (up) - Max. possible relative overstatement]])</f>
        <v>0</v>
      </c>
      <c r="AJ18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86" s="111">
        <f t="shared" si="29"/>
        <v>1</v>
      </c>
      <c r="AL1886" s="111">
        <f>PRODUCT($AK$5:AK1886)</f>
        <v>8.962823818226312E-2</v>
      </c>
      <c r="AM1886" s="109">
        <f>1 - [K-M P Value]</f>
        <v>0.91037176181773694</v>
      </c>
      <c r="AN1886" s="111" t="str">
        <f>IF(Audit[[#This Row],[K-M P Value]]&gt;1-'General Info'!$B$16,"Continue", "Stop")</f>
        <v>Stop</v>
      </c>
      <c r="AO1886" s="110" t="b">
        <f>IF(Audit[[#This Row],[Status - Continue or stop audit]] = "Continue", TRUE, IF(AN1885 = "Continue", TRUE, FALSE))</f>
        <v>0</v>
      </c>
      <c r="AP1886" s="110"/>
    </row>
    <row r="1887" spans="1:42" ht="15" hidden="1" customHeight="1">
      <c r="A1887" s="111" t="str">
        <f>'Sampling Data'!W1884</f>
        <v/>
      </c>
      <c r="B1887" s="112" t="str">
        <f>'Sampling Data'!A1884</f>
        <v>SHAKER HEIGHTS -00-E - ABS</v>
      </c>
      <c r="C1887" s="112">
        <f>'Sampling Data'!B1884</f>
        <v>1</v>
      </c>
      <c r="D1887" s="112">
        <f>'Sampling Data'!C1884</f>
        <v>14</v>
      </c>
      <c r="E1887" s="113">
        <f>'Sampling Data'!D1884</f>
        <v>3</v>
      </c>
      <c r="F1887" s="113">
        <f>'Sampling Data'!E1884</f>
        <v>1</v>
      </c>
      <c r="G1887" s="113">
        <f>'Sampling Data'!F1884</f>
        <v>0</v>
      </c>
      <c r="H1887" s="113">
        <f>'Sampling Data'!G1884</f>
        <v>0</v>
      </c>
      <c r="I1887" s="112">
        <f>'Sampling Data'!H1884</f>
        <v>0</v>
      </c>
      <c r="J1887" s="112">
        <f>'Sampling Data'!I1884</f>
        <v>0</v>
      </c>
      <c r="K1887" s="112">
        <f>'Sampling Data'!J1884</f>
        <v>19</v>
      </c>
      <c r="L1887" s="111">
        <f>'Sampling Data'!X1884</f>
        <v>0</v>
      </c>
      <c r="M1887" s="114"/>
      <c r="N1887" s="114"/>
      <c r="O1887" s="115"/>
      <c r="P1887" s="115"/>
      <c r="Q1887" s="116"/>
      <c r="R1887" s="116"/>
      <c r="S1887" s="111">
        <f>Audit[[#This Row],[Audit Losing Candidate]]-Audit[[#This Row],[Losing Candidate]]</f>
        <v>-1</v>
      </c>
      <c r="T1887" s="111">
        <f>Audit[[#This Row],[Audit Winning Candidate]]-Audit[[#This Row],[Winning Candidate]]</f>
        <v>-14</v>
      </c>
      <c r="U1887" s="111">
        <f>Audit[[#This Row],[Audit Candidate 3]]-Audit[[#This Row],[Candidate 3]]</f>
        <v>-3</v>
      </c>
      <c r="V1887" s="111">
        <f>Audit[[#This Row],[Audit Candidate 4]]-Audit[[#This Row],[Candidate 4]]</f>
        <v>-1</v>
      </c>
      <c r="W1887" s="111">
        <f>Audit[[#This Row],[Audit Candidate 5]]-Audit[[#This Row],[Candidate 5]]</f>
        <v>0</v>
      </c>
      <c r="X1887" s="111">
        <f>Audit[[#This Row],[Audit Candidate 6]]-Audit[[#This Row],[Candidate 6]]</f>
        <v>0</v>
      </c>
      <c r="Y1887" s="111">
        <f>SUMIF(Audit[[#This Row],[Difference Loser]:[Difference Candidate 6]], "&gt;0")</f>
        <v>0</v>
      </c>
      <c r="Z1887" s="111">
        <f>SUM(Audit[[#This Row],[Difference Loser]:[Difference Candidate 6]])</f>
        <v>-19</v>
      </c>
      <c r="AA1887" s="111">
        <f>IF(Audit[[#This Row],[Times p Drawn - With Replacement]]&gt;0, IF(Audit[[#This Row],[Canceled Differences]]&lt;0, Audit[[#This Row],[Max Differences]]+ABS(Audit[[#This Row],[Canceled Differences]]), Audit[[#This Row],[Max Differences]]), 0)</f>
        <v>0</v>
      </c>
      <c r="AB1887" s="111">
        <f>'Sampling Data'!P1884</f>
        <v>1.9598236158745713E-3</v>
      </c>
      <c r="AC1887" s="111">
        <f>IF(
      SUM(Audit[[#This Row],[Audit Losing Candidate]:[Audit Candidate 6]])
      &lt;&gt;0,
      (Audit[[#This Row],[Winning Candidate]]-Audit[[#This Row],[Losing Candidate]]-(Audit[[#This Row],[Audit Winning Candidate]]-Audit[[#This Row],[Audit Losing Candidate]]))/(Audit[[#Totals],[Winning Candidate]]-Audit[[#Totals],[Losing Candidate]]),
      0
)</f>
        <v>0</v>
      </c>
      <c r="AD18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7" s="111">
        <f>IF(Audit[[#This Row],[Max Relative Error (ep)]] = 0, 0, Audit[[#This Row],[Max Relative Error (ep)]]/Audit[[#This Row],[Error Bound (up) - Max. possible relative overstatement]])</f>
        <v>0</v>
      </c>
      <c r="AJ18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87" s="111">
        <f t="shared" si="29"/>
        <v>1</v>
      </c>
      <c r="AL1887" s="111">
        <f>PRODUCT($AK$5:AK1887)</f>
        <v>8.962823818226312E-2</v>
      </c>
      <c r="AM1887" s="109">
        <f>1 - [K-M P Value]</f>
        <v>0.91037176181773694</v>
      </c>
      <c r="AN1887" s="111" t="str">
        <f>IF(Audit[[#This Row],[K-M P Value]]&gt;1-'General Info'!$B$16,"Continue", "Stop")</f>
        <v>Stop</v>
      </c>
      <c r="AO1887" s="110" t="b">
        <f>IF(Audit[[#This Row],[Status - Continue or stop audit]] = "Continue", TRUE, IF(AN1886 = "Continue", TRUE, FALSE))</f>
        <v>0</v>
      </c>
      <c r="AP1887" s="110"/>
    </row>
    <row r="1888" spans="1:42" ht="15" hidden="1" customHeight="1">
      <c r="A1888" s="111" t="str">
        <f>'Sampling Data'!W1885</f>
        <v/>
      </c>
      <c r="B1888" s="112" t="str">
        <f>'Sampling Data'!A1885</f>
        <v>SHAKER HEIGHTS -00-F</v>
      </c>
      <c r="C1888" s="112">
        <f>'Sampling Data'!B1885</f>
        <v>1</v>
      </c>
      <c r="D1888" s="112">
        <f>'Sampling Data'!C1885</f>
        <v>2</v>
      </c>
      <c r="E1888" s="113">
        <f>'Sampling Data'!D1885</f>
        <v>0</v>
      </c>
      <c r="F1888" s="113">
        <f>'Sampling Data'!E1885</f>
        <v>2</v>
      </c>
      <c r="G1888" s="113">
        <f>'Sampling Data'!F1885</f>
        <v>0</v>
      </c>
      <c r="H1888" s="113">
        <f>'Sampling Data'!G1885</f>
        <v>0</v>
      </c>
      <c r="I1888" s="112">
        <f>'Sampling Data'!H1885</f>
        <v>0</v>
      </c>
      <c r="J1888" s="112">
        <f>'Sampling Data'!I1885</f>
        <v>0</v>
      </c>
      <c r="K1888" s="112">
        <f>'Sampling Data'!J1885</f>
        <v>5</v>
      </c>
      <c r="L1888" s="111">
        <f>'Sampling Data'!X1885</f>
        <v>0</v>
      </c>
      <c r="M1888" s="114"/>
      <c r="N1888" s="114"/>
      <c r="O1888" s="115"/>
      <c r="P1888" s="115"/>
      <c r="Q1888" s="116"/>
      <c r="R1888" s="116"/>
      <c r="S1888" s="111">
        <f>Audit[[#This Row],[Audit Losing Candidate]]-Audit[[#This Row],[Losing Candidate]]</f>
        <v>-1</v>
      </c>
      <c r="T1888" s="111">
        <f>Audit[[#This Row],[Audit Winning Candidate]]-Audit[[#This Row],[Winning Candidate]]</f>
        <v>-2</v>
      </c>
      <c r="U1888" s="111">
        <f>Audit[[#This Row],[Audit Candidate 3]]-Audit[[#This Row],[Candidate 3]]</f>
        <v>0</v>
      </c>
      <c r="V1888" s="111">
        <f>Audit[[#This Row],[Audit Candidate 4]]-Audit[[#This Row],[Candidate 4]]</f>
        <v>-2</v>
      </c>
      <c r="W1888" s="111">
        <f>Audit[[#This Row],[Audit Candidate 5]]-Audit[[#This Row],[Candidate 5]]</f>
        <v>0</v>
      </c>
      <c r="X1888" s="111">
        <f>Audit[[#This Row],[Audit Candidate 6]]-Audit[[#This Row],[Candidate 6]]</f>
        <v>0</v>
      </c>
      <c r="Y1888" s="111">
        <f>SUMIF(Audit[[#This Row],[Difference Loser]:[Difference Candidate 6]], "&gt;0")</f>
        <v>0</v>
      </c>
      <c r="Z1888" s="111">
        <f>SUM(Audit[[#This Row],[Difference Loser]:[Difference Candidate 6]])</f>
        <v>-5</v>
      </c>
      <c r="AA1888" s="111">
        <f>IF(Audit[[#This Row],[Times p Drawn - With Replacement]]&gt;0, IF(Audit[[#This Row],[Canceled Differences]]&lt;0, Audit[[#This Row],[Max Differences]]+ABS(Audit[[#This Row],[Canceled Differences]]), Audit[[#This Row],[Max Differences]]), 0)</f>
        <v>0</v>
      </c>
      <c r="AB1888" s="111">
        <f>'Sampling Data'!P1885</f>
        <v>3.6746692797648211E-4</v>
      </c>
      <c r="AC1888" s="111">
        <f>IF(
      SUM(Audit[[#This Row],[Audit Losing Candidate]:[Audit Candidate 6]])
      &lt;&gt;0,
      (Audit[[#This Row],[Winning Candidate]]-Audit[[#This Row],[Losing Candidate]]-(Audit[[#This Row],[Audit Winning Candidate]]-Audit[[#This Row],[Audit Losing Candidate]]))/(Audit[[#Totals],[Winning Candidate]]-Audit[[#Totals],[Losing Candidate]]),
      0
)</f>
        <v>0</v>
      </c>
      <c r="AD18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8" s="111">
        <f>IF(Audit[[#This Row],[Max Relative Error (ep)]] = 0, 0, Audit[[#This Row],[Max Relative Error (ep)]]/Audit[[#This Row],[Error Bound (up) - Max. possible relative overstatement]])</f>
        <v>0</v>
      </c>
      <c r="AJ18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88" s="111">
        <f t="shared" si="29"/>
        <v>1</v>
      </c>
      <c r="AL1888" s="111">
        <f>PRODUCT($AK$5:AK1888)</f>
        <v>8.962823818226312E-2</v>
      </c>
      <c r="AM1888" s="109">
        <f>1 - [K-M P Value]</f>
        <v>0.91037176181773694</v>
      </c>
      <c r="AN1888" s="111" t="str">
        <f>IF(Audit[[#This Row],[K-M P Value]]&gt;1-'General Info'!$B$16,"Continue", "Stop")</f>
        <v>Stop</v>
      </c>
      <c r="AO1888" s="110" t="b">
        <f>IF(Audit[[#This Row],[Status - Continue or stop audit]] = "Continue", TRUE, IF(AN1887 = "Continue", TRUE, FALSE))</f>
        <v>0</v>
      </c>
      <c r="AP1888" s="110"/>
    </row>
    <row r="1889" spans="1:42" ht="15" hidden="1" customHeight="1">
      <c r="A1889" s="111" t="str">
        <f>'Sampling Data'!W1886</f>
        <v/>
      </c>
      <c r="B1889" s="112" t="str">
        <f>'Sampling Data'!A1886</f>
        <v>SHAKER HEIGHTS -00-F - ABS</v>
      </c>
      <c r="C1889" s="112">
        <f>'Sampling Data'!B1886</f>
        <v>3</v>
      </c>
      <c r="D1889" s="112">
        <f>'Sampling Data'!C1886</f>
        <v>0</v>
      </c>
      <c r="E1889" s="113">
        <f>'Sampling Data'!D1886</f>
        <v>1</v>
      </c>
      <c r="F1889" s="113">
        <f>'Sampling Data'!E1886</f>
        <v>0</v>
      </c>
      <c r="G1889" s="113">
        <f>'Sampling Data'!F1886</f>
        <v>0</v>
      </c>
      <c r="H1889" s="113">
        <f>'Sampling Data'!G1886</f>
        <v>0</v>
      </c>
      <c r="I1889" s="112">
        <f>'Sampling Data'!H1886</f>
        <v>0</v>
      </c>
      <c r="J1889" s="112">
        <f>'Sampling Data'!I1886</f>
        <v>0</v>
      </c>
      <c r="K1889" s="112">
        <f>'Sampling Data'!J1886</f>
        <v>4</v>
      </c>
      <c r="L1889" s="111">
        <f>'Sampling Data'!X1886</f>
        <v>0</v>
      </c>
      <c r="M1889" s="114"/>
      <c r="N1889" s="114"/>
      <c r="O1889" s="115"/>
      <c r="P1889" s="115"/>
      <c r="Q1889" s="116"/>
      <c r="R1889" s="116"/>
      <c r="S1889" s="111">
        <f>Audit[[#This Row],[Audit Losing Candidate]]-Audit[[#This Row],[Losing Candidate]]</f>
        <v>-3</v>
      </c>
      <c r="T1889" s="111">
        <f>Audit[[#This Row],[Audit Winning Candidate]]-Audit[[#This Row],[Winning Candidate]]</f>
        <v>0</v>
      </c>
      <c r="U1889" s="111">
        <f>Audit[[#This Row],[Audit Candidate 3]]-Audit[[#This Row],[Candidate 3]]</f>
        <v>-1</v>
      </c>
      <c r="V1889" s="111">
        <f>Audit[[#This Row],[Audit Candidate 4]]-Audit[[#This Row],[Candidate 4]]</f>
        <v>0</v>
      </c>
      <c r="W1889" s="111">
        <f>Audit[[#This Row],[Audit Candidate 5]]-Audit[[#This Row],[Candidate 5]]</f>
        <v>0</v>
      </c>
      <c r="X1889" s="111">
        <f>Audit[[#This Row],[Audit Candidate 6]]-Audit[[#This Row],[Candidate 6]]</f>
        <v>0</v>
      </c>
      <c r="Y1889" s="111">
        <f>SUMIF(Audit[[#This Row],[Difference Loser]:[Difference Candidate 6]], "&gt;0")</f>
        <v>0</v>
      </c>
      <c r="Z1889" s="111">
        <f>SUM(Audit[[#This Row],[Difference Loser]:[Difference Candidate 6]])</f>
        <v>-4</v>
      </c>
      <c r="AA1889" s="111">
        <f>IF(Audit[[#This Row],[Times p Drawn - With Replacement]]&gt;0, IF(Audit[[#This Row],[Canceled Differences]]&lt;0, Audit[[#This Row],[Max Differences]]+ABS(Audit[[#This Row],[Canceled Differences]]), Audit[[#This Row],[Max Differences]]), 0)</f>
        <v>0</v>
      </c>
      <c r="AB1889" s="111">
        <f>'Sampling Data'!P1886</f>
        <v>1.1692829372387384E-4</v>
      </c>
      <c r="AC1889" s="111">
        <f>IF(
      SUM(Audit[[#This Row],[Audit Losing Candidate]:[Audit Candidate 6]])
      &lt;&gt;0,
      (Audit[[#This Row],[Winning Candidate]]-Audit[[#This Row],[Losing Candidate]]-(Audit[[#This Row],[Audit Winning Candidate]]-Audit[[#This Row],[Audit Losing Candidate]]))/(Audit[[#Totals],[Winning Candidate]]-Audit[[#Totals],[Losing Candidate]]),
      0
)</f>
        <v>0</v>
      </c>
      <c r="AD18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9" s="111">
        <f>IF(Audit[[#This Row],[Max Relative Error (ep)]] = 0, 0, Audit[[#This Row],[Max Relative Error (ep)]]/Audit[[#This Row],[Error Bound (up) - Max. possible relative overstatement]])</f>
        <v>0</v>
      </c>
      <c r="AJ18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89" s="111">
        <f t="shared" si="29"/>
        <v>1</v>
      </c>
      <c r="AL1889" s="111">
        <f>PRODUCT($AK$5:AK1889)</f>
        <v>8.962823818226312E-2</v>
      </c>
      <c r="AM1889" s="109">
        <f>1 - [K-M P Value]</f>
        <v>0.91037176181773694</v>
      </c>
      <c r="AN1889" s="111" t="str">
        <f>IF(Audit[[#This Row],[K-M P Value]]&gt;1-'General Info'!$B$16,"Continue", "Stop")</f>
        <v>Stop</v>
      </c>
      <c r="AO1889" s="110" t="b">
        <f>IF(Audit[[#This Row],[Status - Continue or stop audit]] = "Continue", TRUE, IF(AN1888 = "Continue", TRUE, FALSE))</f>
        <v>0</v>
      </c>
      <c r="AP1889" s="110"/>
    </row>
    <row r="1890" spans="1:42" ht="15" hidden="1" customHeight="1">
      <c r="A1890" s="111" t="str">
        <f>'Sampling Data'!W1887</f>
        <v/>
      </c>
      <c r="B1890" s="112" t="str">
        <f>'Sampling Data'!A1887</f>
        <v>SHAKER HEIGHTS -00-G</v>
      </c>
      <c r="C1890" s="112">
        <f>'Sampling Data'!B1887</f>
        <v>0</v>
      </c>
      <c r="D1890" s="112">
        <f>'Sampling Data'!C1887</f>
        <v>2</v>
      </c>
      <c r="E1890" s="113">
        <f>'Sampling Data'!D1887</f>
        <v>0</v>
      </c>
      <c r="F1890" s="113">
        <f>'Sampling Data'!E1887</f>
        <v>0</v>
      </c>
      <c r="G1890" s="113">
        <f>'Sampling Data'!F1887</f>
        <v>0</v>
      </c>
      <c r="H1890" s="113">
        <f>'Sampling Data'!G1887</f>
        <v>0</v>
      </c>
      <c r="I1890" s="112">
        <f>'Sampling Data'!H1887</f>
        <v>0</v>
      </c>
      <c r="J1890" s="112">
        <f>'Sampling Data'!I1887</f>
        <v>0</v>
      </c>
      <c r="K1890" s="112">
        <f>'Sampling Data'!J1887</f>
        <v>2</v>
      </c>
      <c r="L1890" s="111">
        <f>'Sampling Data'!X1887</f>
        <v>0</v>
      </c>
      <c r="M1890" s="114"/>
      <c r="N1890" s="114"/>
      <c r="O1890" s="115"/>
      <c r="P1890" s="115"/>
      <c r="Q1890" s="116"/>
      <c r="R1890" s="116"/>
      <c r="S1890" s="111">
        <f>Audit[[#This Row],[Audit Losing Candidate]]-Audit[[#This Row],[Losing Candidate]]</f>
        <v>0</v>
      </c>
      <c r="T1890" s="111">
        <f>Audit[[#This Row],[Audit Winning Candidate]]-Audit[[#This Row],[Winning Candidate]]</f>
        <v>-2</v>
      </c>
      <c r="U1890" s="111">
        <f>Audit[[#This Row],[Audit Candidate 3]]-Audit[[#This Row],[Candidate 3]]</f>
        <v>0</v>
      </c>
      <c r="V1890" s="111">
        <f>Audit[[#This Row],[Audit Candidate 4]]-Audit[[#This Row],[Candidate 4]]</f>
        <v>0</v>
      </c>
      <c r="W1890" s="111">
        <f>Audit[[#This Row],[Audit Candidate 5]]-Audit[[#This Row],[Candidate 5]]</f>
        <v>0</v>
      </c>
      <c r="X1890" s="111">
        <f>Audit[[#This Row],[Audit Candidate 6]]-Audit[[#This Row],[Candidate 6]]</f>
        <v>0</v>
      </c>
      <c r="Y1890" s="111">
        <f>SUMIF(Audit[[#This Row],[Difference Loser]:[Difference Candidate 6]], "&gt;0")</f>
        <v>0</v>
      </c>
      <c r="Z1890" s="111">
        <f>SUM(Audit[[#This Row],[Difference Loser]:[Difference Candidate 6]])</f>
        <v>-2</v>
      </c>
      <c r="AA1890" s="111">
        <f>IF(Audit[[#This Row],[Times p Drawn - With Replacement]]&gt;0, IF(Audit[[#This Row],[Canceled Differences]]&lt;0, Audit[[#This Row],[Max Differences]]+ABS(Audit[[#This Row],[Canceled Differences]]), Audit[[#This Row],[Max Differences]]), 0)</f>
        <v>0</v>
      </c>
      <c r="AB1890" s="111">
        <f>'Sampling Data'!P1887</f>
        <v>2.4497795198432141E-4</v>
      </c>
      <c r="AC1890" s="111">
        <f>IF(
      SUM(Audit[[#This Row],[Audit Losing Candidate]:[Audit Candidate 6]])
      &lt;&gt;0,
      (Audit[[#This Row],[Winning Candidate]]-Audit[[#This Row],[Losing Candidate]]-(Audit[[#This Row],[Audit Winning Candidate]]-Audit[[#This Row],[Audit Losing Candidate]]))/(Audit[[#Totals],[Winning Candidate]]-Audit[[#Totals],[Losing Candidate]]),
      0
)</f>
        <v>0</v>
      </c>
      <c r="AD18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0" s="111">
        <f>IF(Audit[[#This Row],[Max Relative Error (ep)]] = 0, 0, Audit[[#This Row],[Max Relative Error (ep)]]/Audit[[#This Row],[Error Bound (up) - Max. possible relative overstatement]])</f>
        <v>0</v>
      </c>
      <c r="AJ18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90" s="111">
        <f t="shared" si="29"/>
        <v>1</v>
      </c>
      <c r="AL1890" s="111">
        <f>PRODUCT($AK$5:AK1890)</f>
        <v>8.962823818226312E-2</v>
      </c>
      <c r="AM1890" s="109">
        <f>1 - [K-M P Value]</f>
        <v>0.91037176181773694</v>
      </c>
      <c r="AN1890" s="111" t="str">
        <f>IF(Audit[[#This Row],[K-M P Value]]&gt;1-'General Info'!$B$16,"Continue", "Stop")</f>
        <v>Stop</v>
      </c>
      <c r="AO1890" s="110" t="b">
        <f>IF(Audit[[#This Row],[Status - Continue or stop audit]] = "Continue", TRUE, IF(AN1889 = "Continue", TRUE, FALSE))</f>
        <v>0</v>
      </c>
      <c r="AP1890" s="110"/>
    </row>
    <row r="1891" spans="1:42" ht="15" hidden="1" customHeight="1">
      <c r="A1891" s="111" t="str">
        <f>'Sampling Data'!W1888</f>
        <v/>
      </c>
      <c r="B1891" s="112" t="str">
        <f>'Sampling Data'!A1888</f>
        <v>SHAKER HEIGHTS -00-G - ABS</v>
      </c>
      <c r="C1891" s="112">
        <f>'Sampling Data'!B1888</f>
        <v>1</v>
      </c>
      <c r="D1891" s="112">
        <f>'Sampling Data'!C1888</f>
        <v>1</v>
      </c>
      <c r="E1891" s="113">
        <f>'Sampling Data'!D1888</f>
        <v>0</v>
      </c>
      <c r="F1891" s="113">
        <f>'Sampling Data'!E1888</f>
        <v>0</v>
      </c>
      <c r="G1891" s="113">
        <f>'Sampling Data'!F1888</f>
        <v>0</v>
      </c>
      <c r="H1891" s="113">
        <f>'Sampling Data'!G1888</f>
        <v>0</v>
      </c>
      <c r="I1891" s="112">
        <f>'Sampling Data'!H1888</f>
        <v>0</v>
      </c>
      <c r="J1891" s="112">
        <f>'Sampling Data'!I1888</f>
        <v>0</v>
      </c>
      <c r="K1891" s="112">
        <f>'Sampling Data'!J1888</f>
        <v>2</v>
      </c>
      <c r="L1891" s="111">
        <f>'Sampling Data'!X1888</f>
        <v>0</v>
      </c>
      <c r="M1891" s="114"/>
      <c r="N1891" s="114"/>
      <c r="O1891" s="115"/>
      <c r="P1891" s="115"/>
      <c r="Q1891" s="116"/>
      <c r="R1891" s="116"/>
      <c r="S1891" s="111">
        <f>Audit[[#This Row],[Audit Losing Candidate]]-Audit[[#This Row],[Losing Candidate]]</f>
        <v>-1</v>
      </c>
      <c r="T1891" s="111">
        <f>Audit[[#This Row],[Audit Winning Candidate]]-Audit[[#This Row],[Winning Candidate]]</f>
        <v>-1</v>
      </c>
      <c r="U1891" s="111">
        <f>Audit[[#This Row],[Audit Candidate 3]]-Audit[[#This Row],[Candidate 3]]</f>
        <v>0</v>
      </c>
      <c r="V1891" s="111">
        <f>Audit[[#This Row],[Audit Candidate 4]]-Audit[[#This Row],[Candidate 4]]</f>
        <v>0</v>
      </c>
      <c r="W1891" s="111">
        <f>Audit[[#This Row],[Audit Candidate 5]]-Audit[[#This Row],[Candidate 5]]</f>
        <v>0</v>
      </c>
      <c r="X1891" s="111">
        <f>Audit[[#This Row],[Audit Candidate 6]]-Audit[[#This Row],[Candidate 6]]</f>
        <v>0</v>
      </c>
      <c r="Y1891" s="111">
        <f>SUMIF(Audit[[#This Row],[Difference Loser]:[Difference Candidate 6]], "&gt;0")</f>
        <v>0</v>
      </c>
      <c r="Z1891" s="111">
        <f>SUM(Audit[[#This Row],[Difference Loser]:[Difference Candidate 6]])</f>
        <v>-2</v>
      </c>
      <c r="AA1891" s="111">
        <f>IF(Audit[[#This Row],[Times p Drawn - With Replacement]]&gt;0, IF(Audit[[#This Row],[Canceled Differences]]&lt;0, Audit[[#This Row],[Max Differences]]+ABS(Audit[[#This Row],[Canceled Differences]]), Audit[[#This Row],[Max Differences]]), 0)</f>
        <v>0</v>
      </c>
      <c r="AB1891" s="111">
        <f>'Sampling Data'!P1888</f>
        <v>1.224889759921607E-4</v>
      </c>
      <c r="AC1891" s="111">
        <f>IF(
      SUM(Audit[[#This Row],[Audit Losing Candidate]:[Audit Candidate 6]])
      &lt;&gt;0,
      (Audit[[#This Row],[Winning Candidate]]-Audit[[#This Row],[Losing Candidate]]-(Audit[[#This Row],[Audit Winning Candidate]]-Audit[[#This Row],[Audit Losing Candidate]]))/(Audit[[#Totals],[Winning Candidate]]-Audit[[#Totals],[Losing Candidate]]),
      0
)</f>
        <v>0</v>
      </c>
      <c r="AD18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1" s="111">
        <f>IF(Audit[[#This Row],[Max Relative Error (ep)]] = 0, 0, Audit[[#This Row],[Max Relative Error (ep)]]/Audit[[#This Row],[Error Bound (up) - Max. possible relative overstatement]])</f>
        <v>0</v>
      </c>
      <c r="AJ18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91" s="111">
        <f t="shared" si="29"/>
        <v>1</v>
      </c>
      <c r="AL1891" s="111">
        <f>PRODUCT($AK$5:AK1891)</f>
        <v>8.962823818226312E-2</v>
      </c>
      <c r="AM1891" s="109">
        <f>1 - [K-M P Value]</f>
        <v>0.91037176181773694</v>
      </c>
      <c r="AN1891" s="111" t="str">
        <f>IF(Audit[[#This Row],[K-M P Value]]&gt;1-'General Info'!$B$16,"Continue", "Stop")</f>
        <v>Stop</v>
      </c>
      <c r="AO1891" s="110" t="b">
        <f>IF(Audit[[#This Row],[Status - Continue or stop audit]] = "Continue", TRUE, IF(AN1890 = "Continue", TRUE, FALSE))</f>
        <v>0</v>
      </c>
      <c r="AP1891" s="110"/>
    </row>
    <row r="1892" spans="1:42" ht="15" hidden="1" customHeight="1">
      <c r="A1892" s="111" t="str">
        <f>'Sampling Data'!W1889</f>
        <v/>
      </c>
      <c r="B1892" s="112" t="str">
        <f>'Sampling Data'!A1889</f>
        <v>SHAKER HEIGHTS -00-H</v>
      </c>
      <c r="C1892" s="112">
        <f>'Sampling Data'!B1889</f>
        <v>2</v>
      </c>
      <c r="D1892" s="112">
        <f>'Sampling Data'!C1889</f>
        <v>1</v>
      </c>
      <c r="E1892" s="113">
        <f>'Sampling Data'!D1889</f>
        <v>0</v>
      </c>
      <c r="F1892" s="113">
        <f>'Sampling Data'!E1889</f>
        <v>0</v>
      </c>
      <c r="G1892" s="113">
        <f>'Sampling Data'!F1889</f>
        <v>1</v>
      </c>
      <c r="H1892" s="113">
        <f>'Sampling Data'!G1889</f>
        <v>0</v>
      </c>
      <c r="I1892" s="112">
        <f>'Sampling Data'!H1889</f>
        <v>0</v>
      </c>
      <c r="J1892" s="112">
        <f>'Sampling Data'!I1889</f>
        <v>0</v>
      </c>
      <c r="K1892" s="112">
        <f>'Sampling Data'!J1889</f>
        <v>4</v>
      </c>
      <c r="L1892" s="111">
        <f>'Sampling Data'!X1889</f>
        <v>0</v>
      </c>
      <c r="M1892" s="114"/>
      <c r="N1892" s="114"/>
      <c r="O1892" s="115"/>
      <c r="P1892" s="115"/>
      <c r="Q1892" s="116"/>
      <c r="R1892" s="116"/>
      <c r="S1892" s="111">
        <f>Audit[[#This Row],[Audit Losing Candidate]]-Audit[[#This Row],[Losing Candidate]]</f>
        <v>-2</v>
      </c>
      <c r="T1892" s="111">
        <f>Audit[[#This Row],[Audit Winning Candidate]]-Audit[[#This Row],[Winning Candidate]]</f>
        <v>-1</v>
      </c>
      <c r="U1892" s="111">
        <f>Audit[[#This Row],[Audit Candidate 3]]-Audit[[#This Row],[Candidate 3]]</f>
        <v>0</v>
      </c>
      <c r="V1892" s="111">
        <f>Audit[[#This Row],[Audit Candidate 4]]-Audit[[#This Row],[Candidate 4]]</f>
        <v>0</v>
      </c>
      <c r="W1892" s="111">
        <f>Audit[[#This Row],[Audit Candidate 5]]-Audit[[#This Row],[Candidate 5]]</f>
        <v>-1</v>
      </c>
      <c r="X1892" s="111">
        <f>Audit[[#This Row],[Audit Candidate 6]]-Audit[[#This Row],[Candidate 6]]</f>
        <v>0</v>
      </c>
      <c r="Y1892" s="111">
        <f>SUMIF(Audit[[#This Row],[Difference Loser]:[Difference Candidate 6]], "&gt;0")</f>
        <v>0</v>
      </c>
      <c r="Z1892" s="111">
        <f>SUM(Audit[[#This Row],[Difference Loser]:[Difference Candidate 6]])</f>
        <v>-4</v>
      </c>
      <c r="AA1892" s="111">
        <f>IF(Audit[[#This Row],[Times p Drawn - With Replacement]]&gt;0, IF(Audit[[#This Row],[Canceled Differences]]&lt;0, Audit[[#This Row],[Max Differences]]+ABS(Audit[[#This Row],[Canceled Differences]]), Audit[[#This Row],[Max Differences]]), 0)</f>
        <v>0</v>
      </c>
      <c r="AB1892" s="111">
        <f>'Sampling Data'!P1889</f>
        <v>1.8373346398824106E-4</v>
      </c>
      <c r="AC1892" s="111">
        <f>IF(
      SUM(Audit[[#This Row],[Audit Losing Candidate]:[Audit Candidate 6]])
      &lt;&gt;0,
      (Audit[[#This Row],[Winning Candidate]]-Audit[[#This Row],[Losing Candidate]]-(Audit[[#This Row],[Audit Winning Candidate]]-Audit[[#This Row],[Audit Losing Candidate]]))/(Audit[[#Totals],[Winning Candidate]]-Audit[[#Totals],[Losing Candidate]]),
      0
)</f>
        <v>0</v>
      </c>
      <c r="AD18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2" s="111">
        <f>IF(Audit[[#This Row],[Max Relative Error (ep)]] = 0, 0, Audit[[#This Row],[Max Relative Error (ep)]]/Audit[[#This Row],[Error Bound (up) - Max. possible relative overstatement]])</f>
        <v>0</v>
      </c>
      <c r="AJ18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92" s="111">
        <f t="shared" si="29"/>
        <v>1</v>
      </c>
      <c r="AL1892" s="111">
        <f>PRODUCT($AK$5:AK1892)</f>
        <v>8.962823818226312E-2</v>
      </c>
      <c r="AM1892" s="109">
        <f>1 - [K-M P Value]</f>
        <v>0.91037176181773694</v>
      </c>
      <c r="AN1892" s="111" t="str">
        <f>IF(Audit[[#This Row],[K-M P Value]]&gt;1-'General Info'!$B$16,"Continue", "Stop")</f>
        <v>Stop</v>
      </c>
      <c r="AO1892" s="110" t="b">
        <f>IF(Audit[[#This Row],[Status - Continue or stop audit]] = "Continue", TRUE, IF(AN1891 = "Continue", TRUE, FALSE))</f>
        <v>0</v>
      </c>
      <c r="AP1892" s="110"/>
    </row>
    <row r="1893" spans="1:42" ht="15" hidden="1" customHeight="1">
      <c r="A1893" s="111" t="str">
        <f>'Sampling Data'!W1890</f>
        <v/>
      </c>
      <c r="B1893" s="112" t="str">
        <f>'Sampling Data'!A1890</f>
        <v>SHAKER HEIGHTS -00-H - ABS</v>
      </c>
      <c r="C1893" s="112">
        <f>'Sampling Data'!B1890</f>
        <v>2</v>
      </c>
      <c r="D1893" s="112">
        <f>'Sampling Data'!C1890</f>
        <v>3</v>
      </c>
      <c r="E1893" s="113">
        <f>'Sampling Data'!D1890</f>
        <v>0</v>
      </c>
      <c r="F1893" s="113">
        <f>'Sampling Data'!E1890</f>
        <v>0</v>
      </c>
      <c r="G1893" s="113">
        <f>'Sampling Data'!F1890</f>
        <v>0</v>
      </c>
      <c r="H1893" s="113">
        <f>'Sampling Data'!G1890</f>
        <v>0</v>
      </c>
      <c r="I1893" s="112">
        <f>'Sampling Data'!H1890</f>
        <v>0</v>
      </c>
      <c r="J1893" s="112">
        <f>'Sampling Data'!I1890</f>
        <v>0</v>
      </c>
      <c r="K1893" s="112">
        <f>'Sampling Data'!J1890</f>
        <v>5</v>
      </c>
      <c r="L1893" s="111">
        <f>'Sampling Data'!X1890</f>
        <v>0</v>
      </c>
      <c r="M1893" s="114"/>
      <c r="N1893" s="114"/>
      <c r="O1893" s="115"/>
      <c r="P1893" s="115"/>
      <c r="Q1893" s="116"/>
      <c r="R1893" s="116"/>
      <c r="S1893" s="111">
        <f>Audit[[#This Row],[Audit Losing Candidate]]-Audit[[#This Row],[Losing Candidate]]</f>
        <v>-2</v>
      </c>
      <c r="T1893" s="111">
        <f>Audit[[#This Row],[Audit Winning Candidate]]-Audit[[#This Row],[Winning Candidate]]</f>
        <v>-3</v>
      </c>
      <c r="U1893" s="111">
        <f>Audit[[#This Row],[Audit Candidate 3]]-Audit[[#This Row],[Candidate 3]]</f>
        <v>0</v>
      </c>
      <c r="V1893" s="111">
        <f>Audit[[#This Row],[Audit Candidate 4]]-Audit[[#This Row],[Candidate 4]]</f>
        <v>0</v>
      </c>
      <c r="W1893" s="111">
        <f>Audit[[#This Row],[Audit Candidate 5]]-Audit[[#This Row],[Candidate 5]]</f>
        <v>0</v>
      </c>
      <c r="X1893" s="111">
        <f>Audit[[#This Row],[Audit Candidate 6]]-Audit[[#This Row],[Candidate 6]]</f>
        <v>0</v>
      </c>
      <c r="Y1893" s="111">
        <f>SUMIF(Audit[[#This Row],[Difference Loser]:[Difference Candidate 6]], "&gt;0")</f>
        <v>0</v>
      </c>
      <c r="Z1893" s="111">
        <f>SUM(Audit[[#This Row],[Difference Loser]:[Difference Candidate 6]])</f>
        <v>-5</v>
      </c>
      <c r="AA1893" s="111">
        <f>IF(Audit[[#This Row],[Times p Drawn - With Replacement]]&gt;0, IF(Audit[[#This Row],[Canceled Differences]]&lt;0, Audit[[#This Row],[Max Differences]]+ABS(Audit[[#This Row],[Canceled Differences]]), Audit[[#This Row],[Max Differences]]), 0)</f>
        <v>0</v>
      </c>
      <c r="AB1893" s="111">
        <f>'Sampling Data'!P1890</f>
        <v>3.6746692797648211E-4</v>
      </c>
      <c r="AC1893" s="111">
        <f>IF(
      SUM(Audit[[#This Row],[Audit Losing Candidate]:[Audit Candidate 6]])
      &lt;&gt;0,
      (Audit[[#This Row],[Winning Candidate]]-Audit[[#This Row],[Losing Candidate]]-(Audit[[#This Row],[Audit Winning Candidate]]-Audit[[#This Row],[Audit Losing Candidate]]))/(Audit[[#Totals],[Winning Candidate]]-Audit[[#Totals],[Losing Candidate]]),
      0
)</f>
        <v>0</v>
      </c>
      <c r="AD18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3" s="111">
        <f>IF(Audit[[#This Row],[Max Relative Error (ep)]] = 0, 0, Audit[[#This Row],[Max Relative Error (ep)]]/Audit[[#This Row],[Error Bound (up) - Max. possible relative overstatement]])</f>
        <v>0</v>
      </c>
      <c r="AJ18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93" s="111">
        <f t="shared" si="29"/>
        <v>1</v>
      </c>
      <c r="AL1893" s="111">
        <f>PRODUCT($AK$5:AK1893)</f>
        <v>8.962823818226312E-2</v>
      </c>
      <c r="AM1893" s="109">
        <f>1 - [K-M P Value]</f>
        <v>0.91037176181773694</v>
      </c>
      <c r="AN1893" s="111" t="str">
        <f>IF(Audit[[#This Row],[K-M P Value]]&gt;1-'General Info'!$B$16,"Continue", "Stop")</f>
        <v>Stop</v>
      </c>
      <c r="AO1893" s="110" t="b">
        <f>IF(Audit[[#This Row],[Status - Continue or stop audit]] = "Continue", TRUE, IF(AN1892 = "Continue", TRUE, FALSE))</f>
        <v>0</v>
      </c>
      <c r="AP1893" s="110"/>
    </row>
    <row r="1894" spans="1:42" ht="15" hidden="1" customHeight="1">
      <c r="A1894" s="111" t="str">
        <f>'Sampling Data'!W1891</f>
        <v/>
      </c>
      <c r="B1894" s="112" t="str">
        <f>'Sampling Data'!A1891</f>
        <v>SHAKER HEIGHTS -00-I</v>
      </c>
      <c r="C1894" s="112">
        <f>'Sampling Data'!B1891</f>
        <v>2</v>
      </c>
      <c r="D1894" s="112">
        <f>'Sampling Data'!C1891</f>
        <v>8</v>
      </c>
      <c r="E1894" s="113">
        <f>'Sampling Data'!D1891</f>
        <v>4</v>
      </c>
      <c r="F1894" s="113">
        <f>'Sampling Data'!E1891</f>
        <v>1</v>
      </c>
      <c r="G1894" s="113">
        <f>'Sampling Data'!F1891</f>
        <v>0</v>
      </c>
      <c r="H1894" s="113">
        <f>'Sampling Data'!G1891</f>
        <v>0</v>
      </c>
      <c r="I1894" s="112">
        <f>'Sampling Data'!H1891</f>
        <v>0</v>
      </c>
      <c r="J1894" s="112">
        <f>'Sampling Data'!I1891</f>
        <v>0</v>
      </c>
      <c r="K1894" s="112">
        <f>'Sampling Data'!J1891</f>
        <v>15</v>
      </c>
      <c r="L1894" s="111">
        <f>'Sampling Data'!X1891</f>
        <v>0</v>
      </c>
      <c r="M1894" s="114"/>
      <c r="N1894" s="114"/>
      <c r="O1894" s="115"/>
      <c r="P1894" s="115"/>
      <c r="Q1894" s="116"/>
      <c r="R1894" s="116"/>
      <c r="S1894" s="111">
        <f>Audit[[#This Row],[Audit Losing Candidate]]-Audit[[#This Row],[Losing Candidate]]</f>
        <v>-2</v>
      </c>
      <c r="T1894" s="111">
        <f>Audit[[#This Row],[Audit Winning Candidate]]-Audit[[#This Row],[Winning Candidate]]</f>
        <v>-8</v>
      </c>
      <c r="U1894" s="111">
        <f>Audit[[#This Row],[Audit Candidate 3]]-Audit[[#This Row],[Candidate 3]]</f>
        <v>-4</v>
      </c>
      <c r="V1894" s="111">
        <f>Audit[[#This Row],[Audit Candidate 4]]-Audit[[#This Row],[Candidate 4]]</f>
        <v>-1</v>
      </c>
      <c r="W1894" s="111">
        <f>Audit[[#This Row],[Audit Candidate 5]]-Audit[[#This Row],[Candidate 5]]</f>
        <v>0</v>
      </c>
      <c r="X1894" s="111">
        <f>Audit[[#This Row],[Audit Candidate 6]]-Audit[[#This Row],[Candidate 6]]</f>
        <v>0</v>
      </c>
      <c r="Y1894" s="111">
        <f>SUMIF(Audit[[#This Row],[Difference Loser]:[Difference Candidate 6]], "&gt;0")</f>
        <v>0</v>
      </c>
      <c r="Z1894" s="111">
        <f>SUM(Audit[[#This Row],[Difference Loser]:[Difference Candidate 6]])</f>
        <v>-15</v>
      </c>
      <c r="AA1894" s="111">
        <f>IF(Audit[[#This Row],[Times p Drawn - With Replacement]]&gt;0, IF(Audit[[#This Row],[Canceled Differences]]&lt;0, Audit[[#This Row],[Max Differences]]+ABS(Audit[[#This Row],[Canceled Differences]]), Audit[[#This Row],[Max Differences]]), 0)</f>
        <v>0</v>
      </c>
      <c r="AB1894" s="111">
        <f>'Sampling Data'!P1891</f>
        <v>1.2861342479176874E-3</v>
      </c>
      <c r="AC1894" s="111">
        <f>IF(
      SUM(Audit[[#This Row],[Audit Losing Candidate]:[Audit Candidate 6]])
      &lt;&gt;0,
      (Audit[[#This Row],[Winning Candidate]]-Audit[[#This Row],[Losing Candidate]]-(Audit[[#This Row],[Audit Winning Candidate]]-Audit[[#This Row],[Audit Losing Candidate]]))/(Audit[[#Totals],[Winning Candidate]]-Audit[[#Totals],[Losing Candidate]]),
      0
)</f>
        <v>0</v>
      </c>
      <c r="AD18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4" s="111">
        <f>IF(Audit[[#This Row],[Max Relative Error (ep)]] = 0, 0, Audit[[#This Row],[Max Relative Error (ep)]]/Audit[[#This Row],[Error Bound (up) - Max. possible relative overstatement]])</f>
        <v>0</v>
      </c>
      <c r="AJ18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94" s="111">
        <f t="shared" si="29"/>
        <v>1</v>
      </c>
      <c r="AL1894" s="111">
        <f>PRODUCT($AK$5:AK1894)</f>
        <v>8.962823818226312E-2</v>
      </c>
      <c r="AM1894" s="109">
        <f>1 - [K-M P Value]</f>
        <v>0.91037176181773694</v>
      </c>
      <c r="AN1894" s="111" t="str">
        <f>IF(Audit[[#This Row],[K-M P Value]]&gt;1-'General Info'!$B$16,"Continue", "Stop")</f>
        <v>Stop</v>
      </c>
      <c r="AO1894" s="110" t="b">
        <f>IF(Audit[[#This Row],[Status - Continue or stop audit]] = "Continue", TRUE, IF(AN1893 = "Continue", TRUE, FALSE))</f>
        <v>0</v>
      </c>
      <c r="AP1894" s="110"/>
    </row>
    <row r="1895" spans="1:42" ht="15" hidden="1" customHeight="1">
      <c r="A1895" s="111" t="str">
        <f>'Sampling Data'!W1892</f>
        <v/>
      </c>
      <c r="B1895" s="112" t="str">
        <f>'Sampling Data'!A1892</f>
        <v>SHAKER HEIGHTS -00-I - ABS</v>
      </c>
      <c r="C1895" s="112">
        <f>'Sampling Data'!B1892</f>
        <v>4</v>
      </c>
      <c r="D1895" s="112">
        <f>'Sampling Data'!C1892</f>
        <v>2</v>
      </c>
      <c r="E1895" s="113">
        <f>'Sampling Data'!D1892</f>
        <v>1</v>
      </c>
      <c r="F1895" s="113">
        <f>'Sampling Data'!E1892</f>
        <v>0</v>
      </c>
      <c r="G1895" s="113">
        <f>'Sampling Data'!F1892</f>
        <v>0</v>
      </c>
      <c r="H1895" s="113">
        <f>'Sampling Data'!G1892</f>
        <v>0</v>
      </c>
      <c r="I1895" s="112">
        <f>'Sampling Data'!H1892</f>
        <v>0</v>
      </c>
      <c r="J1895" s="112">
        <f>'Sampling Data'!I1892</f>
        <v>0</v>
      </c>
      <c r="K1895" s="112">
        <f>'Sampling Data'!J1892</f>
        <v>7</v>
      </c>
      <c r="L1895" s="111">
        <f>'Sampling Data'!X1892</f>
        <v>0</v>
      </c>
      <c r="M1895" s="114"/>
      <c r="N1895" s="114"/>
      <c r="O1895" s="115"/>
      <c r="P1895" s="115"/>
      <c r="Q1895" s="116"/>
      <c r="R1895" s="116"/>
      <c r="S1895" s="111">
        <f>Audit[[#This Row],[Audit Losing Candidate]]-Audit[[#This Row],[Losing Candidate]]</f>
        <v>-4</v>
      </c>
      <c r="T1895" s="111">
        <f>Audit[[#This Row],[Audit Winning Candidate]]-Audit[[#This Row],[Winning Candidate]]</f>
        <v>-2</v>
      </c>
      <c r="U1895" s="111">
        <f>Audit[[#This Row],[Audit Candidate 3]]-Audit[[#This Row],[Candidate 3]]</f>
        <v>-1</v>
      </c>
      <c r="V1895" s="111">
        <f>Audit[[#This Row],[Audit Candidate 4]]-Audit[[#This Row],[Candidate 4]]</f>
        <v>0</v>
      </c>
      <c r="W1895" s="111">
        <f>Audit[[#This Row],[Audit Candidate 5]]-Audit[[#This Row],[Candidate 5]]</f>
        <v>0</v>
      </c>
      <c r="X1895" s="111">
        <f>Audit[[#This Row],[Audit Candidate 6]]-Audit[[#This Row],[Candidate 6]]</f>
        <v>0</v>
      </c>
      <c r="Y1895" s="111">
        <f>SUMIF(Audit[[#This Row],[Difference Loser]:[Difference Candidate 6]], "&gt;0")</f>
        <v>0</v>
      </c>
      <c r="Z1895" s="111">
        <f>SUM(Audit[[#This Row],[Difference Loser]:[Difference Candidate 6]])</f>
        <v>-7</v>
      </c>
      <c r="AA1895" s="111">
        <f>IF(Audit[[#This Row],[Times p Drawn - With Replacement]]&gt;0, IF(Audit[[#This Row],[Canceled Differences]]&lt;0, Audit[[#This Row],[Max Differences]]+ABS(Audit[[#This Row],[Canceled Differences]]), Audit[[#This Row],[Max Differences]]), 0)</f>
        <v>0</v>
      </c>
      <c r="AB1895" s="111">
        <f>'Sampling Data'!P1892</f>
        <v>3.0622243998040176E-4</v>
      </c>
      <c r="AC1895" s="111">
        <f>IF(
      SUM(Audit[[#This Row],[Audit Losing Candidate]:[Audit Candidate 6]])
      &lt;&gt;0,
      (Audit[[#This Row],[Winning Candidate]]-Audit[[#This Row],[Losing Candidate]]-(Audit[[#This Row],[Audit Winning Candidate]]-Audit[[#This Row],[Audit Losing Candidate]]))/(Audit[[#Totals],[Winning Candidate]]-Audit[[#Totals],[Losing Candidate]]),
      0
)</f>
        <v>0</v>
      </c>
      <c r="AD18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5" s="111">
        <f>IF(Audit[[#This Row],[Max Relative Error (ep)]] = 0, 0, Audit[[#This Row],[Max Relative Error (ep)]]/Audit[[#This Row],[Error Bound (up) - Max. possible relative overstatement]])</f>
        <v>0</v>
      </c>
      <c r="AJ18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95" s="111">
        <f t="shared" si="29"/>
        <v>1</v>
      </c>
      <c r="AL1895" s="111">
        <f>PRODUCT($AK$5:AK1895)</f>
        <v>8.962823818226312E-2</v>
      </c>
      <c r="AM1895" s="109">
        <f>1 - [K-M P Value]</f>
        <v>0.91037176181773694</v>
      </c>
      <c r="AN1895" s="111" t="str">
        <f>IF(Audit[[#This Row],[K-M P Value]]&gt;1-'General Info'!$B$16,"Continue", "Stop")</f>
        <v>Stop</v>
      </c>
      <c r="AO1895" s="110" t="b">
        <f>IF(Audit[[#This Row],[Status - Continue or stop audit]] = "Continue", TRUE, IF(AN1894 = "Continue", TRUE, FALSE))</f>
        <v>0</v>
      </c>
      <c r="AP1895" s="110"/>
    </row>
    <row r="1896" spans="1:42" ht="15" hidden="1" customHeight="1">
      <c r="A1896" s="111" t="str">
        <f>'Sampling Data'!W1893</f>
        <v/>
      </c>
      <c r="B1896" s="112" t="str">
        <f>'Sampling Data'!A1893</f>
        <v>SHAKER HEIGHTS -00-J</v>
      </c>
      <c r="C1896" s="112">
        <f>'Sampling Data'!B1893</f>
        <v>8</v>
      </c>
      <c r="D1896" s="112">
        <f>'Sampling Data'!C1893</f>
        <v>18</v>
      </c>
      <c r="E1896" s="113">
        <f>'Sampling Data'!D1893</f>
        <v>7</v>
      </c>
      <c r="F1896" s="113">
        <f>'Sampling Data'!E1893</f>
        <v>3</v>
      </c>
      <c r="G1896" s="113">
        <f>'Sampling Data'!F1893</f>
        <v>0</v>
      </c>
      <c r="H1896" s="113">
        <f>'Sampling Data'!G1893</f>
        <v>0</v>
      </c>
      <c r="I1896" s="112">
        <f>'Sampling Data'!H1893</f>
        <v>0</v>
      </c>
      <c r="J1896" s="112">
        <f>'Sampling Data'!I1893</f>
        <v>1</v>
      </c>
      <c r="K1896" s="112">
        <f>'Sampling Data'!J1893</f>
        <v>37</v>
      </c>
      <c r="L1896" s="111">
        <f>'Sampling Data'!X1893</f>
        <v>0</v>
      </c>
      <c r="M1896" s="114"/>
      <c r="N1896" s="114"/>
      <c r="O1896" s="115"/>
      <c r="P1896" s="115"/>
      <c r="Q1896" s="116"/>
      <c r="R1896" s="116"/>
      <c r="S1896" s="111">
        <f>Audit[[#This Row],[Audit Losing Candidate]]-Audit[[#This Row],[Losing Candidate]]</f>
        <v>-8</v>
      </c>
      <c r="T1896" s="111">
        <f>Audit[[#This Row],[Audit Winning Candidate]]-Audit[[#This Row],[Winning Candidate]]</f>
        <v>-18</v>
      </c>
      <c r="U1896" s="111">
        <f>Audit[[#This Row],[Audit Candidate 3]]-Audit[[#This Row],[Candidate 3]]</f>
        <v>-7</v>
      </c>
      <c r="V1896" s="111">
        <f>Audit[[#This Row],[Audit Candidate 4]]-Audit[[#This Row],[Candidate 4]]</f>
        <v>-3</v>
      </c>
      <c r="W1896" s="111">
        <f>Audit[[#This Row],[Audit Candidate 5]]-Audit[[#This Row],[Candidate 5]]</f>
        <v>0</v>
      </c>
      <c r="X1896" s="111">
        <f>Audit[[#This Row],[Audit Candidate 6]]-Audit[[#This Row],[Candidate 6]]</f>
        <v>0</v>
      </c>
      <c r="Y1896" s="111">
        <f>SUMIF(Audit[[#This Row],[Difference Loser]:[Difference Candidate 6]], "&gt;0")</f>
        <v>0</v>
      </c>
      <c r="Z1896" s="111">
        <f>SUM(Audit[[#This Row],[Difference Loser]:[Difference Candidate 6]])</f>
        <v>-36</v>
      </c>
      <c r="AA1896" s="111">
        <f>IF(Audit[[#This Row],[Times p Drawn - With Replacement]]&gt;0, IF(Audit[[#This Row],[Canceled Differences]]&lt;0, Audit[[#This Row],[Max Differences]]+ABS(Audit[[#This Row],[Canceled Differences]]), Audit[[#This Row],[Max Differences]]), 0)</f>
        <v>0</v>
      </c>
      <c r="AB1896" s="111">
        <f>'Sampling Data'!P1893</f>
        <v>2.8784909358157765E-3</v>
      </c>
      <c r="AC1896" s="111">
        <f>IF(
      SUM(Audit[[#This Row],[Audit Losing Candidate]:[Audit Candidate 6]])
      &lt;&gt;0,
      (Audit[[#This Row],[Winning Candidate]]-Audit[[#This Row],[Losing Candidate]]-(Audit[[#This Row],[Audit Winning Candidate]]-Audit[[#This Row],[Audit Losing Candidate]]))/(Audit[[#Totals],[Winning Candidate]]-Audit[[#Totals],[Losing Candidate]]),
      0
)</f>
        <v>0</v>
      </c>
      <c r="AD18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6" s="111">
        <f>IF(Audit[[#This Row],[Max Relative Error (ep)]] = 0, 0, Audit[[#This Row],[Max Relative Error (ep)]]/Audit[[#This Row],[Error Bound (up) - Max. possible relative overstatement]])</f>
        <v>0</v>
      </c>
      <c r="AJ18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96" s="111">
        <f t="shared" si="29"/>
        <v>1</v>
      </c>
      <c r="AL1896" s="111">
        <f>PRODUCT($AK$5:AK1896)</f>
        <v>8.962823818226312E-2</v>
      </c>
      <c r="AM1896" s="109">
        <f>1 - [K-M P Value]</f>
        <v>0.91037176181773694</v>
      </c>
      <c r="AN1896" s="111" t="str">
        <f>IF(Audit[[#This Row],[K-M P Value]]&gt;1-'General Info'!$B$16,"Continue", "Stop")</f>
        <v>Stop</v>
      </c>
      <c r="AO1896" s="110" t="b">
        <f>IF(Audit[[#This Row],[Status - Continue or stop audit]] = "Continue", TRUE, IF(AN1895 = "Continue", TRUE, FALSE))</f>
        <v>0</v>
      </c>
      <c r="AP1896" s="110"/>
    </row>
    <row r="1897" spans="1:42" ht="15" hidden="1" customHeight="1">
      <c r="A1897" s="111" t="str">
        <f>'Sampling Data'!W1894</f>
        <v/>
      </c>
      <c r="B1897" s="112" t="str">
        <f>'Sampling Data'!A1894</f>
        <v>SHAKER HEIGHTS -00-J - ABS</v>
      </c>
      <c r="C1897" s="112">
        <f>'Sampling Data'!B1894</f>
        <v>0</v>
      </c>
      <c r="D1897" s="112">
        <f>'Sampling Data'!C1894</f>
        <v>3</v>
      </c>
      <c r="E1897" s="113">
        <f>'Sampling Data'!D1894</f>
        <v>2</v>
      </c>
      <c r="F1897" s="113">
        <f>'Sampling Data'!E1894</f>
        <v>0</v>
      </c>
      <c r="G1897" s="113">
        <f>'Sampling Data'!F1894</f>
        <v>0</v>
      </c>
      <c r="H1897" s="113">
        <f>'Sampling Data'!G1894</f>
        <v>0</v>
      </c>
      <c r="I1897" s="112">
        <f>'Sampling Data'!H1894</f>
        <v>0</v>
      </c>
      <c r="J1897" s="112">
        <f>'Sampling Data'!I1894</f>
        <v>0</v>
      </c>
      <c r="K1897" s="112">
        <f>'Sampling Data'!J1894</f>
        <v>5</v>
      </c>
      <c r="L1897" s="111">
        <f>'Sampling Data'!X1894</f>
        <v>0</v>
      </c>
      <c r="M1897" s="114"/>
      <c r="N1897" s="114"/>
      <c r="O1897" s="115"/>
      <c r="P1897" s="115"/>
      <c r="Q1897" s="116"/>
      <c r="R1897" s="116"/>
      <c r="S1897" s="111">
        <f>Audit[[#This Row],[Audit Losing Candidate]]-Audit[[#This Row],[Losing Candidate]]</f>
        <v>0</v>
      </c>
      <c r="T1897" s="111">
        <f>Audit[[#This Row],[Audit Winning Candidate]]-Audit[[#This Row],[Winning Candidate]]</f>
        <v>-3</v>
      </c>
      <c r="U1897" s="111">
        <f>Audit[[#This Row],[Audit Candidate 3]]-Audit[[#This Row],[Candidate 3]]</f>
        <v>-2</v>
      </c>
      <c r="V1897" s="111">
        <f>Audit[[#This Row],[Audit Candidate 4]]-Audit[[#This Row],[Candidate 4]]</f>
        <v>0</v>
      </c>
      <c r="W1897" s="111">
        <f>Audit[[#This Row],[Audit Candidate 5]]-Audit[[#This Row],[Candidate 5]]</f>
        <v>0</v>
      </c>
      <c r="X1897" s="111">
        <f>Audit[[#This Row],[Audit Candidate 6]]-Audit[[#This Row],[Candidate 6]]</f>
        <v>0</v>
      </c>
      <c r="Y1897" s="111">
        <f>SUMIF(Audit[[#This Row],[Difference Loser]:[Difference Candidate 6]], "&gt;0")</f>
        <v>0</v>
      </c>
      <c r="Z1897" s="111">
        <f>SUM(Audit[[#This Row],[Difference Loser]:[Difference Candidate 6]])</f>
        <v>-5</v>
      </c>
      <c r="AA1897" s="111">
        <f>IF(Audit[[#This Row],[Times p Drawn - With Replacement]]&gt;0, IF(Audit[[#This Row],[Canceled Differences]]&lt;0, Audit[[#This Row],[Max Differences]]+ABS(Audit[[#This Row],[Canceled Differences]]), Audit[[#This Row],[Max Differences]]), 0)</f>
        <v>0</v>
      </c>
      <c r="AB1897" s="111">
        <f>'Sampling Data'!P1894</f>
        <v>4.8995590396864281E-4</v>
      </c>
      <c r="AC1897" s="111">
        <f>IF(
      SUM(Audit[[#This Row],[Audit Losing Candidate]:[Audit Candidate 6]])
      &lt;&gt;0,
      (Audit[[#This Row],[Winning Candidate]]-Audit[[#This Row],[Losing Candidate]]-(Audit[[#This Row],[Audit Winning Candidate]]-Audit[[#This Row],[Audit Losing Candidate]]))/(Audit[[#Totals],[Winning Candidate]]-Audit[[#Totals],[Losing Candidate]]),
      0
)</f>
        <v>0</v>
      </c>
      <c r="AD18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7" s="111">
        <f>IF(Audit[[#This Row],[Max Relative Error (ep)]] = 0, 0, Audit[[#This Row],[Max Relative Error (ep)]]/Audit[[#This Row],[Error Bound (up) - Max. possible relative overstatement]])</f>
        <v>0</v>
      </c>
      <c r="AJ18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97" s="111">
        <f t="shared" si="29"/>
        <v>1</v>
      </c>
      <c r="AL1897" s="111">
        <f>PRODUCT($AK$5:AK1897)</f>
        <v>8.962823818226312E-2</v>
      </c>
      <c r="AM1897" s="109">
        <f>1 - [K-M P Value]</f>
        <v>0.91037176181773694</v>
      </c>
      <c r="AN1897" s="111" t="str">
        <f>IF(Audit[[#This Row],[K-M P Value]]&gt;1-'General Info'!$B$16,"Continue", "Stop")</f>
        <v>Stop</v>
      </c>
      <c r="AO1897" s="110" t="b">
        <f>IF(Audit[[#This Row],[Status - Continue or stop audit]] = "Continue", TRUE, IF(AN1896 = "Continue", TRUE, FALSE))</f>
        <v>0</v>
      </c>
      <c r="AP1897" s="110"/>
    </row>
    <row r="1898" spans="1:42" ht="15" hidden="1" customHeight="1">
      <c r="A1898" s="111" t="str">
        <f>'Sampling Data'!W1895</f>
        <v/>
      </c>
      <c r="B1898" s="112" t="str">
        <f>'Sampling Data'!A1895</f>
        <v>SHAKER HEIGHTS -00-K</v>
      </c>
      <c r="C1898" s="112">
        <f>'Sampling Data'!B1895</f>
        <v>6</v>
      </c>
      <c r="D1898" s="112">
        <f>'Sampling Data'!C1895</f>
        <v>20</v>
      </c>
      <c r="E1898" s="113">
        <f>'Sampling Data'!D1895</f>
        <v>5</v>
      </c>
      <c r="F1898" s="113">
        <f>'Sampling Data'!E1895</f>
        <v>3</v>
      </c>
      <c r="G1898" s="113">
        <f>'Sampling Data'!F1895</f>
        <v>1</v>
      </c>
      <c r="H1898" s="113">
        <f>'Sampling Data'!G1895</f>
        <v>0</v>
      </c>
      <c r="I1898" s="112">
        <f>'Sampling Data'!H1895</f>
        <v>0</v>
      </c>
      <c r="J1898" s="112">
        <f>'Sampling Data'!I1895</f>
        <v>1</v>
      </c>
      <c r="K1898" s="112">
        <f>'Sampling Data'!J1895</f>
        <v>36</v>
      </c>
      <c r="L1898" s="111">
        <f>'Sampling Data'!X1895</f>
        <v>0</v>
      </c>
      <c r="M1898" s="114"/>
      <c r="N1898" s="114"/>
      <c r="O1898" s="115"/>
      <c r="P1898" s="115"/>
      <c r="Q1898" s="116"/>
      <c r="R1898" s="116"/>
      <c r="S1898" s="111">
        <f>Audit[[#This Row],[Audit Losing Candidate]]-Audit[[#This Row],[Losing Candidate]]</f>
        <v>-6</v>
      </c>
      <c r="T1898" s="111">
        <f>Audit[[#This Row],[Audit Winning Candidate]]-Audit[[#This Row],[Winning Candidate]]</f>
        <v>-20</v>
      </c>
      <c r="U1898" s="111">
        <f>Audit[[#This Row],[Audit Candidate 3]]-Audit[[#This Row],[Candidate 3]]</f>
        <v>-5</v>
      </c>
      <c r="V1898" s="111">
        <f>Audit[[#This Row],[Audit Candidate 4]]-Audit[[#This Row],[Candidate 4]]</f>
        <v>-3</v>
      </c>
      <c r="W1898" s="111">
        <f>Audit[[#This Row],[Audit Candidate 5]]-Audit[[#This Row],[Candidate 5]]</f>
        <v>-1</v>
      </c>
      <c r="X1898" s="111">
        <f>Audit[[#This Row],[Audit Candidate 6]]-Audit[[#This Row],[Candidate 6]]</f>
        <v>0</v>
      </c>
      <c r="Y1898" s="111">
        <f>SUMIF(Audit[[#This Row],[Difference Loser]:[Difference Candidate 6]], "&gt;0")</f>
        <v>0</v>
      </c>
      <c r="Z1898" s="111">
        <f>SUM(Audit[[#This Row],[Difference Loser]:[Difference Candidate 6]])</f>
        <v>-35</v>
      </c>
      <c r="AA1898" s="111">
        <f>IF(Audit[[#This Row],[Times p Drawn - With Replacement]]&gt;0, IF(Audit[[#This Row],[Canceled Differences]]&lt;0, Audit[[#This Row],[Max Differences]]+ABS(Audit[[#This Row],[Canceled Differences]]), Audit[[#This Row],[Max Differences]]), 0)</f>
        <v>0</v>
      </c>
      <c r="AB1898" s="111">
        <f>'Sampling Data'!P1895</f>
        <v>3.0622243998040177E-3</v>
      </c>
      <c r="AC1898" s="111">
        <f>IF(
      SUM(Audit[[#This Row],[Audit Losing Candidate]:[Audit Candidate 6]])
      &lt;&gt;0,
      (Audit[[#This Row],[Winning Candidate]]-Audit[[#This Row],[Losing Candidate]]-(Audit[[#This Row],[Audit Winning Candidate]]-Audit[[#This Row],[Audit Losing Candidate]]))/(Audit[[#Totals],[Winning Candidate]]-Audit[[#Totals],[Losing Candidate]]),
      0
)</f>
        <v>0</v>
      </c>
      <c r="AD18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8" s="111">
        <f>IF(Audit[[#This Row],[Max Relative Error (ep)]] = 0, 0, Audit[[#This Row],[Max Relative Error (ep)]]/Audit[[#This Row],[Error Bound (up) - Max. possible relative overstatement]])</f>
        <v>0</v>
      </c>
      <c r="AJ18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98" s="111">
        <f t="shared" si="29"/>
        <v>1</v>
      </c>
      <c r="AL1898" s="111">
        <f>PRODUCT($AK$5:AK1898)</f>
        <v>8.962823818226312E-2</v>
      </c>
      <c r="AM1898" s="109">
        <f>1 - [K-M P Value]</f>
        <v>0.91037176181773694</v>
      </c>
      <c r="AN1898" s="111" t="str">
        <f>IF(Audit[[#This Row],[K-M P Value]]&gt;1-'General Info'!$B$16,"Continue", "Stop")</f>
        <v>Stop</v>
      </c>
      <c r="AO1898" s="110" t="b">
        <f>IF(Audit[[#This Row],[Status - Continue or stop audit]] = "Continue", TRUE, IF(AN1897 = "Continue", TRUE, FALSE))</f>
        <v>0</v>
      </c>
      <c r="AP1898" s="110"/>
    </row>
    <row r="1899" spans="1:42" ht="15" hidden="1" customHeight="1">
      <c r="A1899" s="111" t="str">
        <f>'Sampling Data'!W1896</f>
        <v/>
      </c>
      <c r="B1899" s="112" t="str">
        <f>'Sampling Data'!A1896</f>
        <v>SHAKER HEIGHTS -00-K - ABS</v>
      </c>
      <c r="C1899" s="112">
        <f>'Sampling Data'!B1896</f>
        <v>3</v>
      </c>
      <c r="D1899" s="112">
        <f>'Sampling Data'!C1896</f>
        <v>6</v>
      </c>
      <c r="E1899" s="113">
        <f>'Sampling Data'!D1896</f>
        <v>0</v>
      </c>
      <c r="F1899" s="113">
        <f>'Sampling Data'!E1896</f>
        <v>3</v>
      </c>
      <c r="G1899" s="113">
        <f>'Sampling Data'!F1896</f>
        <v>0</v>
      </c>
      <c r="H1899" s="113">
        <f>'Sampling Data'!G1896</f>
        <v>0</v>
      </c>
      <c r="I1899" s="112">
        <f>'Sampling Data'!H1896</f>
        <v>0</v>
      </c>
      <c r="J1899" s="112">
        <f>'Sampling Data'!I1896</f>
        <v>0</v>
      </c>
      <c r="K1899" s="112">
        <f>'Sampling Data'!J1896</f>
        <v>12</v>
      </c>
      <c r="L1899" s="111">
        <f>'Sampling Data'!X1896</f>
        <v>0</v>
      </c>
      <c r="M1899" s="114"/>
      <c r="N1899" s="114"/>
      <c r="O1899" s="115"/>
      <c r="P1899" s="115"/>
      <c r="Q1899" s="116"/>
      <c r="R1899" s="116"/>
      <c r="S1899" s="111">
        <f>Audit[[#This Row],[Audit Losing Candidate]]-Audit[[#This Row],[Losing Candidate]]</f>
        <v>-3</v>
      </c>
      <c r="T1899" s="111">
        <f>Audit[[#This Row],[Audit Winning Candidate]]-Audit[[#This Row],[Winning Candidate]]</f>
        <v>-6</v>
      </c>
      <c r="U1899" s="111">
        <f>Audit[[#This Row],[Audit Candidate 3]]-Audit[[#This Row],[Candidate 3]]</f>
        <v>0</v>
      </c>
      <c r="V1899" s="111">
        <f>Audit[[#This Row],[Audit Candidate 4]]-Audit[[#This Row],[Candidate 4]]</f>
        <v>-3</v>
      </c>
      <c r="W1899" s="111">
        <f>Audit[[#This Row],[Audit Candidate 5]]-Audit[[#This Row],[Candidate 5]]</f>
        <v>0</v>
      </c>
      <c r="X1899" s="111">
        <f>Audit[[#This Row],[Audit Candidate 6]]-Audit[[#This Row],[Candidate 6]]</f>
        <v>0</v>
      </c>
      <c r="Y1899" s="111">
        <f>SUMIF(Audit[[#This Row],[Difference Loser]:[Difference Candidate 6]], "&gt;0")</f>
        <v>0</v>
      </c>
      <c r="Z1899" s="111">
        <f>SUM(Audit[[#This Row],[Difference Loser]:[Difference Candidate 6]])</f>
        <v>-12</v>
      </c>
      <c r="AA1899" s="111">
        <f>IF(Audit[[#This Row],[Times p Drawn - With Replacement]]&gt;0, IF(Audit[[#This Row],[Canceled Differences]]&lt;0, Audit[[#This Row],[Max Differences]]+ABS(Audit[[#This Row],[Canceled Differences]]), Audit[[#This Row],[Max Differences]]), 0)</f>
        <v>0</v>
      </c>
      <c r="AB1899" s="111">
        <f>'Sampling Data'!P1896</f>
        <v>9.1866731994120533E-4</v>
      </c>
      <c r="AC1899" s="111">
        <f>IF(
      SUM(Audit[[#This Row],[Audit Losing Candidate]:[Audit Candidate 6]])
      &lt;&gt;0,
      (Audit[[#This Row],[Winning Candidate]]-Audit[[#This Row],[Losing Candidate]]-(Audit[[#This Row],[Audit Winning Candidate]]-Audit[[#This Row],[Audit Losing Candidate]]))/(Audit[[#Totals],[Winning Candidate]]-Audit[[#Totals],[Losing Candidate]]),
      0
)</f>
        <v>0</v>
      </c>
      <c r="AD18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9" s="111">
        <f>IF(Audit[[#This Row],[Max Relative Error (ep)]] = 0, 0, Audit[[#This Row],[Max Relative Error (ep)]]/Audit[[#This Row],[Error Bound (up) - Max. possible relative overstatement]])</f>
        <v>0</v>
      </c>
      <c r="AJ18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899" s="111">
        <f t="shared" si="29"/>
        <v>1</v>
      </c>
      <c r="AL1899" s="111">
        <f>PRODUCT($AK$5:AK1899)</f>
        <v>8.962823818226312E-2</v>
      </c>
      <c r="AM1899" s="109">
        <f>1 - [K-M P Value]</f>
        <v>0.91037176181773694</v>
      </c>
      <c r="AN1899" s="111" t="str">
        <f>IF(Audit[[#This Row],[K-M P Value]]&gt;1-'General Info'!$B$16,"Continue", "Stop")</f>
        <v>Stop</v>
      </c>
      <c r="AO1899" s="110" t="b">
        <f>IF(Audit[[#This Row],[Status - Continue or stop audit]] = "Continue", TRUE, IF(AN1898 = "Continue", TRUE, FALSE))</f>
        <v>0</v>
      </c>
      <c r="AP1899" s="110"/>
    </row>
    <row r="1900" spans="1:42" ht="15" hidden="1" customHeight="1">
      <c r="A1900" s="111" t="str">
        <f>'Sampling Data'!W1897</f>
        <v/>
      </c>
      <c r="B1900" s="112" t="str">
        <f>'Sampling Data'!A1897</f>
        <v>SHAKER HEIGHTS -00-L</v>
      </c>
      <c r="C1900" s="112">
        <f>'Sampling Data'!B1897</f>
        <v>5</v>
      </c>
      <c r="D1900" s="112">
        <f>'Sampling Data'!C1897</f>
        <v>14</v>
      </c>
      <c r="E1900" s="113">
        <f>'Sampling Data'!D1897</f>
        <v>0</v>
      </c>
      <c r="F1900" s="113">
        <f>'Sampling Data'!E1897</f>
        <v>2</v>
      </c>
      <c r="G1900" s="113">
        <f>'Sampling Data'!F1897</f>
        <v>0</v>
      </c>
      <c r="H1900" s="113">
        <f>'Sampling Data'!G1897</f>
        <v>0</v>
      </c>
      <c r="I1900" s="112">
        <f>'Sampling Data'!H1897</f>
        <v>0</v>
      </c>
      <c r="J1900" s="112">
        <f>'Sampling Data'!I1897</f>
        <v>0</v>
      </c>
      <c r="K1900" s="112">
        <f>'Sampling Data'!J1897</f>
        <v>21</v>
      </c>
      <c r="L1900" s="111">
        <f>'Sampling Data'!X1897</f>
        <v>0</v>
      </c>
      <c r="M1900" s="114"/>
      <c r="N1900" s="114"/>
      <c r="O1900" s="115"/>
      <c r="P1900" s="115"/>
      <c r="Q1900" s="116"/>
      <c r="R1900" s="116"/>
      <c r="S1900" s="111">
        <f>Audit[[#This Row],[Audit Losing Candidate]]-Audit[[#This Row],[Losing Candidate]]</f>
        <v>-5</v>
      </c>
      <c r="T1900" s="111">
        <f>Audit[[#This Row],[Audit Winning Candidate]]-Audit[[#This Row],[Winning Candidate]]</f>
        <v>-14</v>
      </c>
      <c r="U1900" s="111">
        <f>Audit[[#This Row],[Audit Candidate 3]]-Audit[[#This Row],[Candidate 3]]</f>
        <v>0</v>
      </c>
      <c r="V1900" s="111">
        <f>Audit[[#This Row],[Audit Candidate 4]]-Audit[[#This Row],[Candidate 4]]</f>
        <v>-2</v>
      </c>
      <c r="W1900" s="111">
        <f>Audit[[#This Row],[Audit Candidate 5]]-Audit[[#This Row],[Candidate 5]]</f>
        <v>0</v>
      </c>
      <c r="X1900" s="111">
        <f>Audit[[#This Row],[Audit Candidate 6]]-Audit[[#This Row],[Candidate 6]]</f>
        <v>0</v>
      </c>
      <c r="Y1900" s="111">
        <f>SUMIF(Audit[[#This Row],[Difference Loser]:[Difference Candidate 6]], "&gt;0")</f>
        <v>0</v>
      </c>
      <c r="Z1900" s="111">
        <f>SUM(Audit[[#This Row],[Difference Loser]:[Difference Candidate 6]])</f>
        <v>-21</v>
      </c>
      <c r="AA1900" s="111">
        <f>IF(Audit[[#This Row],[Times p Drawn - With Replacement]]&gt;0, IF(Audit[[#This Row],[Canceled Differences]]&lt;0, Audit[[#This Row],[Max Differences]]+ABS(Audit[[#This Row],[Canceled Differences]]), Audit[[#This Row],[Max Differences]]), 0)</f>
        <v>0</v>
      </c>
      <c r="AB1900" s="111">
        <f>'Sampling Data'!P1897</f>
        <v>1.8373346398824107E-3</v>
      </c>
      <c r="AC1900" s="111">
        <f>IF(
      SUM(Audit[[#This Row],[Audit Losing Candidate]:[Audit Candidate 6]])
      &lt;&gt;0,
      (Audit[[#This Row],[Winning Candidate]]-Audit[[#This Row],[Losing Candidate]]-(Audit[[#This Row],[Audit Winning Candidate]]-Audit[[#This Row],[Audit Losing Candidate]]))/(Audit[[#Totals],[Winning Candidate]]-Audit[[#Totals],[Losing Candidate]]),
      0
)</f>
        <v>0</v>
      </c>
      <c r="AD19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0" s="111">
        <f>IF(Audit[[#This Row],[Max Relative Error (ep)]] = 0, 0, Audit[[#This Row],[Max Relative Error (ep)]]/Audit[[#This Row],[Error Bound (up) - Max. possible relative overstatement]])</f>
        <v>0</v>
      </c>
      <c r="AJ19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00" s="111">
        <f t="shared" si="29"/>
        <v>1</v>
      </c>
      <c r="AL1900" s="111">
        <f>PRODUCT($AK$5:AK1900)</f>
        <v>8.962823818226312E-2</v>
      </c>
      <c r="AM1900" s="109">
        <f>1 - [K-M P Value]</f>
        <v>0.91037176181773694</v>
      </c>
      <c r="AN1900" s="111" t="str">
        <f>IF(Audit[[#This Row],[K-M P Value]]&gt;1-'General Info'!$B$16,"Continue", "Stop")</f>
        <v>Stop</v>
      </c>
      <c r="AO1900" s="110" t="b">
        <f>IF(Audit[[#This Row],[Status - Continue or stop audit]] = "Continue", TRUE, IF(AN1899 = "Continue", TRUE, FALSE))</f>
        <v>0</v>
      </c>
      <c r="AP1900" s="110"/>
    </row>
    <row r="1901" spans="1:42" ht="15" hidden="1" customHeight="1">
      <c r="A1901" s="111" t="str">
        <f>'Sampling Data'!W1898</f>
        <v/>
      </c>
      <c r="B1901" s="112" t="str">
        <f>'Sampling Data'!A1898</f>
        <v>SHAKER HEIGHTS -00-L - ABS</v>
      </c>
      <c r="C1901" s="112">
        <f>'Sampling Data'!B1898</f>
        <v>2</v>
      </c>
      <c r="D1901" s="112">
        <f>'Sampling Data'!C1898</f>
        <v>4</v>
      </c>
      <c r="E1901" s="113">
        <f>'Sampling Data'!D1898</f>
        <v>1</v>
      </c>
      <c r="F1901" s="113">
        <f>'Sampling Data'!E1898</f>
        <v>1</v>
      </c>
      <c r="G1901" s="113">
        <f>'Sampling Data'!F1898</f>
        <v>1</v>
      </c>
      <c r="H1901" s="113">
        <f>'Sampling Data'!G1898</f>
        <v>0</v>
      </c>
      <c r="I1901" s="112">
        <f>'Sampling Data'!H1898</f>
        <v>0</v>
      </c>
      <c r="J1901" s="112">
        <f>'Sampling Data'!I1898</f>
        <v>1</v>
      </c>
      <c r="K1901" s="112">
        <f>'Sampling Data'!J1898</f>
        <v>10</v>
      </c>
      <c r="L1901" s="111">
        <f>'Sampling Data'!X1898</f>
        <v>0</v>
      </c>
      <c r="M1901" s="114"/>
      <c r="N1901" s="114"/>
      <c r="O1901" s="115"/>
      <c r="P1901" s="115"/>
      <c r="Q1901" s="116"/>
      <c r="R1901" s="116"/>
      <c r="S1901" s="111">
        <f>Audit[[#This Row],[Audit Losing Candidate]]-Audit[[#This Row],[Losing Candidate]]</f>
        <v>-2</v>
      </c>
      <c r="T1901" s="111">
        <f>Audit[[#This Row],[Audit Winning Candidate]]-Audit[[#This Row],[Winning Candidate]]</f>
        <v>-4</v>
      </c>
      <c r="U1901" s="111">
        <f>Audit[[#This Row],[Audit Candidate 3]]-Audit[[#This Row],[Candidate 3]]</f>
        <v>-1</v>
      </c>
      <c r="V1901" s="111">
        <f>Audit[[#This Row],[Audit Candidate 4]]-Audit[[#This Row],[Candidate 4]]</f>
        <v>-1</v>
      </c>
      <c r="W1901" s="111">
        <f>Audit[[#This Row],[Audit Candidate 5]]-Audit[[#This Row],[Candidate 5]]</f>
        <v>-1</v>
      </c>
      <c r="X1901" s="111">
        <f>Audit[[#This Row],[Audit Candidate 6]]-Audit[[#This Row],[Candidate 6]]</f>
        <v>0</v>
      </c>
      <c r="Y1901" s="111">
        <f>SUMIF(Audit[[#This Row],[Difference Loser]:[Difference Candidate 6]], "&gt;0")</f>
        <v>0</v>
      </c>
      <c r="Z1901" s="111">
        <f>SUM(Audit[[#This Row],[Difference Loser]:[Difference Candidate 6]])</f>
        <v>-9</v>
      </c>
      <c r="AA1901" s="111">
        <f>IF(Audit[[#This Row],[Times p Drawn - With Replacement]]&gt;0, IF(Audit[[#This Row],[Canceled Differences]]&lt;0, Audit[[#This Row],[Max Differences]]+ABS(Audit[[#This Row],[Canceled Differences]]), Audit[[#This Row],[Max Differences]]), 0)</f>
        <v>0</v>
      </c>
      <c r="AB1901" s="111">
        <f>'Sampling Data'!P1898</f>
        <v>7.3493385595296422E-4</v>
      </c>
      <c r="AC1901" s="111">
        <f>IF(
      SUM(Audit[[#This Row],[Audit Losing Candidate]:[Audit Candidate 6]])
      &lt;&gt;0,
      (Audit[[#This Row],[Winning Candidate]]-Audit[[#This Row],[Losing Candidate]]-(Audit[[#This Row],[Audit Winning Candidate]]-Audit[[#This Row],[Audit Losing Candidate]]))/(Audit[[#Totals],[Winning Candidate]]-Audit[[#Totals],[Losing Candidate]]),
      0
)</f>
        <v>0</v>
      </c>
      <c r="AD19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1" s="111">
        <f>IF(Audit[[#This Row],[Max Relative Error (ep)]] = 0, 0, Audit[[#This Row],[Max Relative Error (ep)]]/Audit[[#This Row],[Error Bound (up) - Max. possible relative overstatement]])</f>
        <v>0</v>
      </c>
      <c r="AJ19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01" s="111">
        <f t="shared" si="29"/>
        <v>1</v>
      </c>
      <c r="AL1901" s="111">
        <f>PRODUCT($AK$5:AK1901)</f>
        <v>8.962823818226312E-2</v>
      </c>
      <c r="AM1901" s="109">
        <f>1 - [K-M P Value]</f>
        <v>0.91037176181773694</v>
      </c>
      <c r="AN1901" s="111" t="str">
        <f>IF(Audit[[#This Row],[K-M P Value]]&gt;1-'General Info'!$B$16,"Continue", "Stop")</f>
        <v>Stop</v>
      </c>
      <c r="AO1901" s="110" t="b">
        <f>IF(Audit[[#This Row],[Status - Continue or stop audit]] = "Continue", TRUE, IF(AN1900 = "Continue", TRUE, FALSE))</f>
        <v>0</v>
      </c>
      <c r="AP1901" s="110"/>
    </row>
    <row r="1902" spans="1:42" ht="15" hidden="1" customHeight="1">
      <c r="A1902" s="111" t="str">
        <f>'Sampling Data'!W1899</f>
        <v/>
      </c>
      <c r="B1902" s="112" t="str">
        <f>'Sampling Data'!A1899</f>
        <v>SHAKER HEIGHTS -00-M</v>
      </c>
      <c r="C1902" s="112">
        <f>'Sampling Data'!B1899</f>
        <v>11</v>
      </c>
      <c r="D1902" s="112">
        <f>'Sampling Data'!C1899</f>
        <v>35</v>
      </c>
      <c r="E1902" s="113">
        <f>'Sampling Data'!D1899</f>
        <v>4</v>
      </c>
      <c r="F1902" s="113">
        <f>'Sampling Data'!E1899</f>
        <v>3</v>
      </c>
      <c r="G1902" s="113">
        <f>'Sampling Data'!F1899</f>
        <v>0</v>
      </c>
      <c r="H1902" s="113">
        <f>'Sampling Data'!G1899</f>
        <v>0</v>
      </c>
      <c r="I1902" s="112">
        <f>'Sampling Data'!H1899</f>
        <v>0</v>
      </c>
      <c r="J1902" s="112">
        <f>'Sampling Data'!I1899</f>
        <v>0</v>
      </c>
      <c r="K1902" s="112">
        <f>'Sampling Data'!J1899</f>
        <v>53</v>
      </c>
      <c r="L1902" s="111">
        <f>'Sampling Data'!X1899</f>
        <v>0</v>
      </c>
      <c r="M1902" s="114"/>
      <c r="N1902" s="114"/>
      <c r="O1902" s="115"/>
      <c r="P1902" s="115"/>
      <c r="Q1902" s="116"/>
      <c r="R1902" s="116"/>
      <c r="S1902" s="111">
        <f>Audit[[#This Row],[Audit Losing Candidate]]-Audit[[#This Row],[Losing Candidate]]</f>
        <v>-11</v>
      </c>
      <c r="T1902" s="111">
        <f>Audit[[#This Row],[Audit Winning Candidate]]-Audit[[#This Row],[Winning Candidate]]</f>
        <v>-35</v>
      </c>
      <c r="U1902" s="111">
        <f>Audit[[#This Row],[Audit Candidate 3]]-Audit[[#This Row],[Candidate 3]]</f>
        <v>-4</v>
      </c>
      <c r="V1902" s="111">
        <f>Audit[[#This Row],[Audit Candidate 4]]-Audit[[#This Row],[Candidate 4]]</f>
        <v>-3</v>
      </c>
      <c r="W1902" s="111">
        <f>Audit[[#This Row],[Audit Candidate 5]]-Audit[[#This Row],[Candidate 5]]</f>
        <v>0</v>
      </c>
      <c r="X1902" s="111">
        <f>Audit[[#This Row],[Audit Candidate 6]]-Audit[[#This Row],[Candidate 6]]</f>
        <v>0</v>
      </c>
      <c r="Y1902" s="111">
        <f>SUMIF(Audit[[#This Row],[Difference Loser]:[Difference Candidate 6]], "&gt;0")</f>
        <v>0</v>
      </c>
      <c r="Z1902" s="111">
        <f>SUM(Audit[[#This Row],[Difference Loser]:[Difference Candidate 6]])</f>
        <v>-53</v>
      </c>
      <c r="AA1902" s="111">
        <f>IF(Audit[[#This Row],[Times p Drawn - With Replacement]]&gt;0, IF(Audit[[#This Row],[Canceled Differences]]&lt;0, Audit[[#This Row],[Max Differences]]+ABS(Audit[[#This Row],[Canceled Differences]]), Audit[[#This Row],[Max Differences]]), 0)</f>
        <v>0</v>
      </c>
      <c r="AB1902" s="111">
        <f>'Sampling Data'!P1899</f>
        <v>4.7158255756981869E-3</v>
      </c>
      <c r="AC1902" s="111">
        <f>IF(
      SUM(Audit[[#This Row],[Audit Losing Candidate]:[Audit Candidate 6]])
      &lt;&gt;0,
      (Audit[[#This Row],[Winning Candidate]]-Audit[[#This Row],[Losing Candidate]]-(Audit[[#This Row],[Audit Winning Candidate]]-Audit[[#This Row],[Audit Losing Candidate]]))/(Audit[[#Totals],[Winning Candidate]]-Audit[[#Totals],[Losing Candidate]]),
      0
)</f>
        <v>0</v>
      </c>
      <c r="AD19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2" s="111">
        <f>IF(Audit[[#This Row],[Max Relative Error (ep)]] = 0, 0, Audit[[#This Row],[Max Relative Error (ep)]]/Audit[[#This Row],[Error Bound (up) - Max. possible relative overstatement]])</f>
        <v>0</v>
      </c>
      <c r="AJ19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02" s="111">
        <f t="shared" si="29"/>
        <v>1</v>
      </c>
      <c r="AL1902" s="111">
        <f>PRODUCT($AK$5:AK1902)</f>
        <v>8.962823818226312E-2</v>
      </c>
      <c r="AM1902" s="109">
        <f>1 - [K-M P Value]</f>
        <v>0.91037176181773694</v>
      </c>
      <c r="AN1902" s="111" t="str">
        <f>IF(Audit[[#This Row],[K-M P Value]]&gt;1-'General Info'!$B$16,"Continue", "Stop")</f>
        <v>Stop</v>
      </c>
      <c r="AO1902" s="110" t="b">
        <f>IF(Audit[[#This Row],[Status - Continue or stop audit]] = "Continue", TRUE, IF(AN1901 = "Continue", TRUE, FALSE))</f>
        <v>0</v>
      </c>
      <c r="AP1902" s="110"/>
    </row>
    <row r="1903" spans="1:42" ht="15" hidden="1" customHeight="1">
      <c r="A1903" s="111" t="str">
        <f>'Sampling Data'!W1900</f>
        <v/>
      </c>
      <c r="B1903" s="112" t="str">
        <f>'Sampling Data'!A1900</f>
        <v>SHAKER HEIGHTS -00-M - ABS</v>
      </c>
      <c r="C1903" s="112">
        <f>'Sampling Data'!B1900</f>
        <v>1</v>
      </c>
      <c r="D1903" s="112">
        <f>'Sampling Data'!C1900</f>
        <v>7</v>
      </c>
      <c r="E1903" s="113">
        <f>'Sampling Data'!D1900</f>
        <v>5</v>
      </c>
      <c r="F1903" s="113">
        <f>'Sampling Data'!E1900</f>
        <v>0</v>
      </c>
      <c r="G1903" s="113">
        <f>'Sampling Data'!F1900</f>
        <v>0</v>
      </c>
      <c r="H1903" s="113">
        <f>'Sampling Data'!G1900</f>
        <v>0</v>
      </c>
      <c r="I1903" s="112">
        <f>'Sampling Data'!H1900</f>
        <v>0</v>
      </c>
      <c r="J1903" s="112">
        <f>'Sampling Data'!I1900</f>
        <v>0</v>
      </c>
      <c r="K1903" s="112">
        <f>'Sampling Data'!J1900</f>
        <v>13</v>
      </c>
      <c r="L1903" s="111">
        <f>'Sampling Data'!X1900</f>
        <v>0</v>
      </c>
      <c r="M1903" s="114"/>
      <c r="N1903" s="114"/>
      <c r="O1903" s="115"/>
      <c r="P1903" s="115"/>
      <c r="Q1903" s="116"/>
      <c r="R1903" s="116"/>
      <c r="S1903" s="111">
        <f>Audit[[#This Row],[Audit Losing Candidate]]-Audit[[#This Row],[Losing Candidate]]</f>
        <v>-1</v>
      </c>
      <c r="T1903" s="111">
        <f>Audit[[#This Row],[Audit Winning Candidate]]-Audit[[#This Row],[Winning Candidate]]</f>
        <v>-7</v>
      </c>
      <c r="U1903" s="111">
        <f>Audit[[#This Row],[Audit Candidate 3]]-Audit[[#This Row],[Candidate 3]]</f>
        <v>-5</v>
      </c>
      <c r="V1903" s="111">
        <f>Audit[[#This Row],[Audit Candidate 4]]-Audit[[#This Row],[Candidate 4]]</f>
        <v>0</v>
      </c>
      <c r="W1903" s="111">
        <f>Audit[[#This Row],[Audit Candidate 5]]-Audit[[#This Row],[Candidate 5]]</f>
        <v>0</v>
      </c>
      <c r="X1903" s="111">
        <f>Audit[[#This Row],[Audit Candidate 6]]-Audit[[#This Row],[Candidate 6]]</f>
        <v>0</v>
      </c>
      <c r="Y1903" s="111">
        <f>SUMIF(Audit[[#This Row],[Difference Loser]:[Difference Candidate 6]], "&gt;0")</f>
        <v>0</v>
      </c>
      <c r="Z1903" s="111">
        <f>SUM(Audit[[#This Row],[Difference Loser]:[Difference Candidate 6]])</f>
        <v>-13</v>
      </c>
      <c r="AA1903" s="111">
        <f>IF(Audit[[#This Row],[Times p Drawn - With Replacement]]&gt;0, IF(Audit[[#This Row],[Canceled Differences]]&lt;0, Audit[[#This Row],[Max Differences]]+ABS(Audit[[#This Row],[Canceled Differences]]), Audit[[#This Row],[Max Differences]]), 0)</f>
        <v>0</v>
      </c>
      <c r="AB1903" s="111">
        <f>'Sampling Data'!P1900</f>
        <v>1.1636452719255266E-3</v>
      </c>
      <c r="AC1903" s="111">
        <f>IF(
      SUM(Audit[[#This Row],[Audit Losing Candidate]:[Audit Candidate 6]])
      &lt;&gt;0,
      (Audit[[#This Row],[Winning Candidate]]-Audit[[#This Row],[Losing Candidate]]-(Audit[[#This Row],[Audit Winning Candidate]]-Audit[[#This Row],[Audit Losing Candidate]]))/(Audit[[#Totals],[Winning Candidate]]-Audit[[#Totals],[Losing Candidate]]),
      0
)</f>
        <v>0</v>
      </c>
      <c r="AD19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3" s="111">
        <f>IF(Audit[[#This Row],[Max Relative Error (ep)]] = 0, 0, Audit[[#This Row],[Max Relative Error (ep)]]/Audit[[#This Row],[Error Bound (up) - Max. possible relative overstatement]])</f>
        <v>0</v>
      </c>
      <c r="AJ19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03" s="111">
        <f t="shared" si="29"/>
        <v>1</v>
      </c>
      <c r="AL1903" s="111">
        <f>PRODUCT($AK$5:AK1903)</f>
        <v>8.962823818226312E-2</v>
      </c>
      <c r="AM1903" s="109">
        <f>1 - [K-M P Value]</f>
        <v>0.91037176181773694</v>
      </c>
      <c r="AN1903" s="111" t="str">
        <f>IF(Audit[[#This Row],[K-M P Value]]&gt;1-'General Info'!$B$16,"Continue", "Stop")</f>
        <v>Stop</v>
      </c>
      <c r="AO1903" s="110" t="b">
        <f>IF(Audit[[#This Row],[Status - Continue or stop audit]] = "Continue", TRUE, IF(AN1902 = "Continue", TRUE, FALSE))</f>
        <v>0</v>
      </c>
      <c r="AP1903" s="110"/>
    </row>
    <row r="1904" spans="1:42" ht="15" hidden="1" customHeight="1">
      <c r="A1904" s="111" t="str">
        <f>'Sampling Data'!W1901</f>
        <v/>
      </c>
      <c r="B1904" s="112" t="str">
        <f>'Sampling Data'!A1901</f>
        <v>SHAKER HEIGHTS -00-N</v>
      </c>
      <c r="C1904" s="112">
        <f>'Sampling Data'!B1901</f>
        <v>10</v>
      </c>
      <c r="D1904" s="112">
        <f>'Sampling Data'!C1901</f>
        <v>11</v>
      </c>
      <c r="E1904" s="113">
        <f>'Sampling Data'!D1901</f>
        <v>0</v>
      </c>
      <c r="F1904" s="113">
        <f>'Sampling Data'!E1901</f>
        <v>0</v>
      </c>
      <c r="G1904" s="113">
        <f>'Sampling Data'!F1901</f>
        <v>0</v>
      </c>
      <c r="H1904" s="113">
        <f>'Sampling Data'!G1901</f>
        <v>0</v>
      </c>
      <c r="I1904" s="112">
        <f>'Sampling Data'!H1901</f>
        <v>0</v>
      </c>
      <c r="J1904" s="112">
        <f>'Sampling Data'!I1901</f>
        <v>1</v>
      </c>
      <c r="K1904" s="112">
        <f>'Sampling Data'!J1901</f>
        <v>22</v>
      </c>
      <c r="L1904" s="111">
        <f>'Sampling Data'!X1901</f>
        <v>0</v>
      </c>
      <c r="M1904" s="114"/>
      <c r="N1904" s="114"/>
      <c r="O1904" s="115"/>
      <c r="P1904" s="115"/>
      <c r="Q1904" s="116"/>
      <c r="R1904" s="116"/>
      <c r="S1904" s="111">
        <f>Audit[[#This Row],[Audit Losing Candidate]]-Audit[[#This Row],[Losing Candidate]]</f>
        <v>-10</v>
      </c>
      <c r="T1904" s="111">
        <f>Audit[[#This Row],[Audit Winning Candidate]]-Audit[[#This Row],[Winning Candidate]]</f>
        <v>-11</v>
      </c>
      <c r="U1904" s="111">
        <f>Audit[[#This Row],[Audit Candidate 3]]-Audit[[#This Row],[Candidate 3]]</f>
        <v>0</v>
      </c>
      <c r="V1904" s="111">
        <f>Audit[[#This Row],[Audit Candidate 4]]-Audit[[#This Row],[Candidate 4]]</f>
        <v>0</v>
      </c>
      <c r="W1904" s="111">
        <f>Audit[[#This Row],[Audit Candidate 5]]-Audit[[#This Row],[Candidate 5]]</f>
        <v>0</v>
      </c>
      <c r="X1904" s="111">
        <f>Audit[[#This Row],[Audit Candidate 6]]-Audit[[#This Row],[Candidate 6]]</f>
        <v>0</v>
      </c>
      <c r="Y1904" s="111">
        <f>SUMIF(Audit[[#This Row],[Difference Loser]:[Difference Candidate 6]], "&gt;0")</f>
        <v>0</v>
      </c>
      <c r="Z1904" s="111">
        <f>SUM(Audit[[#This Row],[Difference Loser]:[Difference Candidate 6]])</f>
        <v>-21</v>
      </c>
      <c r="AA1904" s="111">
        <f>IF(Audit[[#This Row],[Times p Drawn - With Replacement]]&gt;0, IF(Audit[[#This Row],[Canceled Differences]]&lt;0, Audit[[#This Row],[Max Differences]]+ABS(Audit[[#This Row],[Canceled Differences]]), Audit[[#This Row],[Max Differences]]), 0)</f>
        <v>0</v>
      </c>
      <c r="AB1904" s="111">
        <f>'Sampling Data'!P1901</f>
        <v>1.408623223909848E-3</v>
      </c>
      <c r="AC1904" s="111">
        <f>IF(
      SUM(Audit[[#This Row],[Audit Losing Candidate]:[Audit Candidate 6]])
      &lt;&gt;0,
      (Audit[[#This Row],[Winning Candidate]]-Audit[[#This Row],[Losing Candidate]]-(Audit[[#This Row],[Audit Winning Candidate]]-Audit[[#This Row],[Audit Losing Candidate]]))/(Audit[[#Totals],[Winning Candidate]]-Audit[[#Totals],[Losing Candidate]]),
      0
)</f>
        <v>0</v>
      </c>
      <c r="AD19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4" s="111">
        <f>IF(Audit[[#This Row],[Max Relative Error (ep)]] = 0, 0, Audit[[#This Row],[Max Relative Error (ep)]]/Audit[[#This Row],[Error Bound (up) - Max. possible relative overstatement]])</f>
        <v>0</v>
      </c>
      <c r="AJ19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04" s="111">
        <f t="shared" si="29"/>
        <v>1</v>
      </c>
      <c r="AL1904" s="111">
        <f>PRODUCT($AK$5:AK1904)</f>
        <v>8.962823818226312E-2</v>
      </c>
      <c r="AM1904" s="109">
        <f>1 - [K-M P Value]</f>
        <v>0.91037176181773694</v>
      </c>
      <c r="AN1904" s="111" t="str">
        <f>IF(Audit[[#This Row],[K-M P Value]]&gt;1-'General Info'!$B$16,"Continue", "Stop")</f>
        <v>Stop</v>
      </c>
      <c r="AO1904" s="110" t="b">
        <f>IF(Audit[[#This Row],[Status - Continue or stop audit]] = "Continue", TRUE, IF(AN1903 = "Continue", TRUE, FALSE))</f>
        <v>0</v>
      </c>
      <c r="AP1904" s="110"/>
    </row>
    <row r="1905" spans="1:42" ht="15" hidden="1" customHeight="1">
      <c r="A1905" s="111" t="str">
        <f>'Sampling Data'!W1902</f>
        <v/>
      </c>
      <c r="B1905" s="112" t="str">
        <f>'Sampling Data'!A1902</f>
        <v>SHAKER HEIGHTS -00-N - ABS</v>
      </c>
      <c r="C1905" s="112">
        <f>'Sampling Data'!B1902</f>
        <v>3</v>
      </c>
      <c r="D1905" s="112">
        <f>'Sampling Data'!C1902</f>
        <v>2</v>
      </c>
      <c r="E1905" s="113">
        <f>'Sampling Data'!D1902</f>
        <v>3</v>
      </c>
      <c r="F1905" s="113">
        <f>'Sampling Data'!E1902</f>
        <v>0</v>
      </c>
      <c r="G1905" s="113">
        <f>'Sampling Data'!F1902</f>
        <v>0</v>
      </c>
      <c r="H1905" s="113">
        <f>'Sampling Data'!G1902</f>
        <v>0</v>
      </c>
      <c r="I1905" s="112">
        <f>'Sampling Data'!H1902</f>
        <v>0</v>
      </c>
      <c r="J1905" s="112">
        <f>'Sampling Data'!I1902</f>
        <v>1</v>
      </c>
      <c r="K1905" s="112">
        <f>'Sampling Data'!J1902</f>
        <v>9</v>
      </c>
      <c r="L1905" s="111">
        <f>'Sampling Data'!X1902</f>
        <v>0</v>
      </c>
      <c r="M1905" s="114"/>
      <c r="N1905" s="114"/>
      <c r="O1905" s="115"/>
      <c r="P1905" s="115"/>
      <c r="Q1905" s="116"/>
      <c r="R1905" s="116"/>
      <c r="S1905" s="111">
        <f>Audit[[#This Row],[Audit Losing Candidate]]-Audit[[#This Row],[Losing Candidate]]</f>
        <v>-3</v>
      </c>
      <c r="T1905" s="111">
        <f>Audit[[#This Row],[Audit Winning Candidate]]-Audit[[#This Row],[Winning Candidate]]</f>
        <v>-2</v>
      </c>
      <c r="U1905" s="111">
        <f>Audit[[#This Row],[Audit Candidate 3]]-Audit[[#This Row],[Candidate 3]]</f>
        <v>-3</v>
      </c>
      <c r="V1905" s="111">
        <f>Audit[[#This Row],[Audit Candidate 4]]-Audit[[#This Row],[Candidate 4]]</f>
        <v>0</v>
      </c>
      <c r="W1905" s="111">
        <f>Audit[[#This Row],[Audit Candidate 5]]-Audit[[#This Row],[Candidate 5]]</f>
        <v>0</v>
      </c>
      <c r="X1905" s="111">
        <f>Audit[[#This Row],[Audit Candidate 6]]-Audit[[#This Row],[Candidate 6]]</f>
        <v>0</v>
      </c>
      <c r="Y1905" s="111">
        <f>SUMIF(Audit[[#This Row],[Difference Loser]:[Difference Candidate 6]], "&gt;0")</f>
        <v>0</v>
      </c>
      <c r="Z1905" s="111">
        <f>SUM(Audit[[#This Row],[Difference Loser]:[Difference Candidate 6]])</f>
        <v>-8</v>
      </c>
      <c r="AA1905" s="111">
        <f>IF(Audit[[#This Row],[Times p Drawn - With Replacement]]&gt;0, IF(Audit[[#This Row],[Canceled Differences]]&lt;0, Audit[[#This Row],[Max Differences]]+ABS(Audit[[#This Row],[Canceled Differences]]), Audit[[#This Row],[Max Differences]]), 0)</f>
        <v>0</v>
      </c>
      <c r="AB1905" s="111">
        <f>'Sampling Data'!P1902</f>
        <v>4.8995590396864281E-4</v>
      </c>
      <c r="AC1905" s="111">
        <f>IF(
      SUM(Audit[[#This Row],[Audit Losing Candidate]:[Audit Candidate 6]])
      &lt;&gt;0,
      (Audit[[#This Row],[Winning Candidate]]-Audit[[#This Row],[Losing Candidate]]-(Audit[[#This Row],[Audit Winning Candidate]]-Audit[[#This Row],[Audit Losing Candidate]]))/(Audit[[#Totals],[Winning Candidate]]-Audit[[#Totals],[Losing Candidate]]),
      0
)</f>
        <v>0</v>
      </c>
      <c r="AD19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5" s="111">
        <f>IF(Audit[[#This Row],[Max Relative Error (ep)]] = 0, 0, Audit[[#This Row],[Max Relative Error (ep)]]/Audit[[#This Row],[Error Bound (up) - Max. possible relative overstatement]])</f>
        <v>0</v>
      </c>
      <c r="AJ19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05" s="111">
        <f t="shared" si="29"/>
        <v>1</v>
      </c>
      <c r="AL1905" s="111">
        <f>PRODUCT($AK$5:AK1905)</f>
        <v>8.962823818226312E-2</v>
      </c>
      <c r="AM1905" s="109">
        <f>1 - [K-M P Value]</f>
        <v>0.91037176181773694</v>
      </c>
      <c r="AN1905" s="111" t="str">
        <f>IF(Audit[[#This Row],[K-M P Value]]&gt;1-'General Info'!$B$16,"Continue", "Stop")</f>
        <v>Stop</v>
      </c>
      <c r="AO1905" s="110" t="b">
        <f>IF(Audit[[#This Row],[Status - Continue or stop audit]] = "Continue", TRUE, IF(AN1904 = "Continue", TRUE, FALSE))</f>
        <v>0</v>
      </c>
      <c r="AP1905" s="110"/>
    </row>
    <row r="1906" spans="1:42" ht="15" hidden="1" customHeight="1">
      <c r="A1906" s="111" t="str">
        <f>'Sampling Data'!W1903</f>
        <v/>
      </c>
      <c r="B1906" s="112" t="str">
        <f>'Sampling Data'!A1903</f>
        <v>SHAKER HEIGHTS -00-O</v>
      </c>
      <c r="C1906" s="112">
        <f>'Sampling Data'!B1903</f>
        <v>13</v>
      </c>
      <c r="D1906" s="112">
        <f>'Sampling Data'!C1903</f>
        <v>35</v>
      </c>
      <c r="E1906" s="113">
        <f>'Sampling Data'!D1903</f>
        <v>3</v>
      </c>
      <c r="F1906" s="113">
        <f>'Sampling Data'!E1903</f>
        <v>4</v>
      </c>
      <c r="G1906" s="113">
        <f>'Sampling Data'!F1903</f>
        <v>0</v>
      </c>
      <c r="H1906" s="113">
        <f>'Sampling Data'!G1903</f>
        <v>0</v>
      </c>
      <c r="I1906" s="112">
        <f>'Sampling Data'!H1903</f>
        <v>0</v>
      </c>
      <c r="J1906" s="112">
        <f>'Sampling Data'!I1903</f>
        <v>1</v>
      </c>
      <c r="K1906" s="112">
        <f>'Sampling Data'!J1903</f>
        <v>56</v>
      </c>
      <c r="L1906" s="111">
        <f>'Sampling Data'!X1903</f>
        <v>0</v>
      </c>
      <c r="M1906" s="114"/>
      <c r="N1906" s="114"/>
      <c r="O1906" s="115"/>
      <c r="P1906" s="115"/>
      <c r="Q1906" s="116"/>
      <c r="R1906" s="116"/>
      <c r="S1906" s="111">
        <f>Audit[[#This Row],[Audit Losing Candidate]]-Audit[[#This Row],[Losing Candidate]]</f>
        <v>-13</v>
      </c>
      <c r="T1906" s="111">
        <f>Audit[[#This Row],[Audit Winning Candidate]]-Audit[[#This Row],[Winning Candidate]]</f>
        <v>-35</v>
      </c>
      <c r="U1906" s="111">
        <f>Audit[[#This Row],[Audit Candidate 3]]-Audit[[#This Row],[Candidate 3]]</f>
        <v>-3</v>
      </c>
      <c r="V1906" s="111">
        <f>Audit[[#This Row],[Audit Candidate 4]]-Audit[[#This Row],[Candidate 4]]</f>
        <v>-4</v>
      </c>
      <c r="W1906" s="111">
        <f>Audit[[#This Row],[Audit Candidate 5]]-Audit[[#This Row],[Candidate 5]]</f>
        <v>0</v>
      </c>
      <c r="X1906" s="111">
        <f>Audit[[#This Row],[Audit Candidate 6]]-Audit[[#This Row],[Candidate 6]]</f>
        <v>0</v>
      </c>
      <c r="Y1906" s="111">
        <f>SUMIF(Audit[[#This Row],[Difference Loser]:[Difference Candidate 6]], "&gt;0")</f>
        <v>0</v>
      </c>
      <c r="Z1906" s="111">
        <f>SUM(Audit[[#This Row],[Difference Loser]:[Difference Candidate 6]])</f>
        <v>-55</v>
      </c>
      <c r="AA1906" s="111">
        <f>IF(Audit[[#This Row],[Times p Drawn - With Replacement]]&gt;0, IF(Audit[[#This Row],[Canceled Differences]]&lt;0, Audit[[#This Row],[Max Differences]]+ABS(Audit[[#This Row],[Canceled Differences]]), Audit[[#This Row],[Max Differences]]), 0)</f>
        <v>0</v>
      </c>
      <c r="AB1906" s="111">
        <f>'Sampling Data'!P1903</f>
        <v>4.7770700636942673E-3</v>
      </c>
      <c r="AC1906" s="111">
        <f>IF(
      SUM(Audit[[#This Row],[Audit Losing Candidate]:[Audit Candidate 6]])
      &lt;&gt;0,
      (Audit[[#This Row],[Winning Candidate]]-Audit[[#This Row],[Losing Candidate]]-(Audit[[#This Row],[Audit Winning Candidate]]-Audit[[#This Row],[Audit Losing Candidate]]))/(Audit[[#Totals],[Winning Candidate]]-Audit[[#Totals],[Losing Candidate]]),
      0
)</f>
        <v>0</v>
      </c>
      <c r="AD19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6" s="111">
        <f>IF(Audit[[#This Row],[Max Relative Error (ep)]] = 0, 0, Audit[[#This Row],[Max Relative Error (ep)]]/Audit[[#This Row],[Error Bound (up) - Max. possible relative overstatement]])</f>
        <v>0</v>
      </c>
      <c r="AJ19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06" s="111">
        <f t="shared" si="29"/>
        <v>1</v>
      </c>
      <c r="AL1906" s="111">
        <f>PRODUCT($AK$5:AK1906)</f>
        <v>8.962823818226312E-2</v>
      </c>
      <c r="AM1906" s="109">
        <f>1 - [K-M P Value]</f>
        <v>0.91037176181773694</v>
      </c>
      <c r="AN1906" s="111" t="str">
        <f>IF(Audit[[#This Row],[K-M P Value]]&gt;1-'General Info'!$B$16,"Continue", "Stop")</f>
        <v>Stop</v>
      </c>
      <c r="AO1906" s="110" t="b">
        <f>IF(Audit[[#This Row],[Status - Continue or stop audit]] = "Continue", TRUE, IF(AN1905 = "Continue", TRUE, FALSE))</f>
        <v>0</v>
      </c>
      <c r="AP1906" s="110"/>
    </row>
    <row r="1907" spans="1:42" ht="15" hidden="1" customHeight="1">
      <c r="A1907" s="111" t="str">
        <f>'Sampling Data'!W1904</f>
        <v/>
      </c>
      <c r="B1907" s="112" t="str">
        <f>'Sampling Data'!A1904</f>
        <v>SHAKER HEIGHTS -00-O - ABS</v>
      </c>
      <c r="C1907" s="112">
        <f>'Sampling Data'!B1904</f>
        <v>6</v>
      </c>
      <c r="D1907" s="112">
        <f>'Sampling Data'!C1904</f>
        <v>20</v>
      </c>
      <c r="E1907" s="113">
        <f>'Sampling Data'!D1904</f>
        <v>1</v>
      </c>
      <c r="F1907" s="113">
        <f>'Sampling Data'!E1904</f>
        <v>3</v>
      </c>
      <c r="G1907" s="113">
        <f>'Sampling Data'!F1904</f>
        <v>0</v>
      </c>
      <c r="H1907" s="113">
        <f>'Sampling Data'!G1904</f>
        <v>0</v>
      </c>
      <c r="I1907" s="112">
        <f>'Sampling Data'!H1904</f>
        <v>0</v>
      </c>
      <c r="J1907" s="112">
        <f>'Sampling Data'!I1904</f>
        <v>0</v>
      </c>
      <c r="K1907" s="112">
        <f>'Sampling Data'!J1904</f>
        <v>30</v>
      </c>
      <c r="L1907" s="111">
        <f>'Sampling Data'!X1904</f>
        <v>0</v>
      </c>
      <c r="M1907" s="114"/>
      <c r="N1907" s="114"/>
      <c r="O1907" s="115"/>
      <c r="P1907" s="115"/>
      <c r="Q1907" s="116"/>
      <c r="R1907" s="116"/>
      <c r="S1907" s="111">
        <f>Audit[[#This Row],[Audit Losing Candidate]]-Audit[[#This Row],[Losing Candidate]]</f>
        <v>-6</v>
      </c>
      <c r="T1907" s="111">
        <f>Audit[[#This Row],[Audit Winning Candidate]]-Audit[[#This Row],[Winning Candidate]]</f>
        <v>-20</v>
      </c>
      <c r="U1907" s="111">
        <f>Audit[[#This Row],[Audit Candidate 3]]-Audit[[#This Row],[Candidate 3]]</f>
        <v>-1</v>
      </c>
      <c r="V1907" s="111">
        <f>Audit[[#This Row],[Audit Candidate 4]]-Audit[[#This Row],[Candidate 4]]</f>
        <v>-3</v>
      </c>
      <c r="W1907" s="111">
        <f>Audit[[#This Row],[Audit Candidate 5]]-Audit[[#This Row],[Candidate 5]]</f>
        <v>0</v>
      </c>
      <c r="X1907" s="111">
        <f>Audit[[#This Row],[Audit Candidate 6]]-Audit[[#This Row],[Candidate 6]]</f>
        <v>0</v>
      </c>
      <c r="Y1907" s="111">
        <f>SUMIF(Audit[[#This Row],[Difference Loser]:[Difference Candidate 6]], "&gt;0")</f>
        <v>0</v>
      </c>
      <c r="Z1907" s="111">
        <f>SUM(Audit[[#This Row],[Difference Loser]:[Difference Candidate 6]])</f>
        <v>-30</v>
      </c>
      <c r="AA1907" s="111">
        <f>IF(Audit[[#This Row],[Times p Drawn - With Replacement]]&gt;0, IF(Audit[[#This Row],[Canceled Differences]]&lt;0, Audit[[#This Row],[Max Differences]]+ABS(Audit[[#This Row],[Canceled Differences]]), Audit[[#This Row],[Max Differences]]), 0)</f>
        <v>0</v>
      </c>
      <c r="AB1907" s="111">
        <f>'Sampling Data'!P1904</f>
        <v>2.6947574718275357E-3</v>
      </c>
      <c r="AC1907" s="111">
        <f>IF(
      SUM(Audit[[#This Row],[Audit Losing Candidate]:[Audit Candidate 6]])
      &lt;&gt;0,
      (Audit[[#This Row],[Winning Candidate]]-Audit[[#This Row],[Losing Candidate]]-(Audit[[#This Row],[Audit Winning Candidate]]-Audit[[#This Row],[Audit Losing Candidate]]))/(Audit[[#Totals],[Winning Candidate]]-Audit[[#Totals],[Losing Candidate]]),
      0
)</f>
        <v>0</v>
      </c>
      <c r="AD19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7" s="111">
        <f>IF(Audit[[#This Row],[Max Relative Error (ep)]] = 0, 0, Audit[[#This Row],[Max Relative Error (ep)]]/Audit[[#This Row],[Error Bound (up) - Max. possible relative overstatement]])</f>
        <v>0</v>
      </c>
      <c r="AJ19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07" s="111">
        <f t="shared" si="29"/>
        <v>1</v>
      </c>
      <c r="AL1907" s="111">
        <f>PRODUCT($AK$5:AK1907)</f>
        <v>8.962823818226312E-2</v>
      </c>
      <c r="AM1907" s="109">
        <f>1 - [K-M P Value]</f>
        <v>0.91037176181773694</v>
      </c>
      <c r="AN1907" s="111" t="str">
        <f>IF(Audit[[#This Row],[K-M P Value]]&gt;1-'General Info'!$B$16,"Continue", "Stop")</f>
        <v>Stop</v>
      </c>
      <c r="AO1907" s="110" t="b">
        <f>IF(Audit[[#This Row],[Status - Continue or stop audit]] = "Continue", TRUE, IF(AN1906 = "Continue", TRUE, FALSE))</f>
        <v>0</v>
      </c>
      <c r="AP1907" s="110"/>
    </row>
    <row r="1908" spans="1:42" ht="15" hidden="1" customHeight="1">
      <c r="A1908" s="111" t="str">
        <f>'Sampling Data'!W1905</f>
        <v/>
      </c>
      <c r="B1908" s="112" t="str">
        <f>'Sampling Data'!A1905</f>
        <v>SHAKER HEIGHTS -00-P</v>
      </c>
      <c r="C1908" s="112">
        <f>'Sampling Data'!B1905</f>
        <v>5</v>
      </c>
      <c r="D1908" s="112">
        <f>'Sampling Data'!C1905</f>
        <v>36</v>
      </c>
      <c r="E1908" s="113">
        <f>'Sampling Data'!D1905</f>
        <v>3</v>
      </c>
      <c r="F1908" s="113">
        <f>'Sampling Data'!E1905</f>
        <v>5</v>
      </c>
      <c r="G1908" s="113">
        <f>'Sampling Data'!F1905</f>
        <v>0</v>
      </c>
      <c r="H1908" s="113">
        <f>'Sampling Data'!G1905</f>
        <v>0</v>
      </c>
      <c r="I1908" s="112">
        <f>'Sampling Data'!H1905</f>
        <v>0</v>
      </c>
      <c r="J1908" s="112">
        <f>'Sampling Data'!I1905</f>
        <v>0</v>
      </c>
      <c r="K1908" s="112">
        <f>'Sampling Data'!J1905</f>
        <v>49</v>
      </c>
      <c r="L1908" s="111">
        <f>'Sampling Data'!X1905</f>
        <v>0</v>
      </c>
      <c r="M1908" s="114"/>
      <c r="N1908" s="114"/>
      <c r="O1908" s="115"/>
      <c r="P1908" s="115"/>
      <c r="Q1908" s="116"/>
      <c r="R1908" s="116"/>
      <c r="S1908" s="111">
        <f>Audit[[#This Row],[Audit Losing Candidate]]-Audit[[#This Row],[Losing Candidate]]</f>
        <v>-5</v>
      </c>
      <c r="T1908" s="111">
        <f>Audit[[#This Row],[Audit Winning Candidate]]-Audit[[#This Row],[Winning Candidate]]</f>
        <v>-36</v>
      </c>
      <c r="U1908" s="111">
        <f>Audit[[#This Row],[Audit Candidate 3]]-Audit[[#This Row],[Candidate 3]]</f>
        <v>-3</v>
      </c>
      <c r="V1908" s="111">
        <f>Audit[[#This Row],[Audit Candidate 4]]-Audit[[#This Row],[Candidate 4]]</f>
        <v>-5</v>
      </c>
      <c r="W1908" s="111">
        <f>Audit[[#This Row],[Audit Candidate 5]]-Audit[[#This Row],[Candidate 5]]</f>
        <v>0</v>
      </c>
      <c r="X1908" s="111">
        <f>Audit[[#This Row],[Audit Candidate 6]]-Audit[[#This Row],[Candidate 6]]</f>
        <v>0</v>
      </c>
      <c r="Y1908" s="111">
        <f>SUMIF(Audit[[#This Row],[Difference Loser]:[Difference Candidate 6]], "&gt;0")</f>
        <v>0</v>
      </c>
      <c r="Z1908" s="111">
        <f>SUM(Audit[[#This Row],[Difference Loser]:[Difference Candidate 6]])</f>
        <v>-49</v>
      </c>
      <c r="AA1908" s="111">
        <f>IF(Audit[[#This Row],[Times p Drawn - With Replacement]]&gt;0, IF(Audit[[#This Row],[Canceled Differences]]&lt;0, Audit[[#This Row],[Max Differences]]+ABS(Audit[[#This Row],[Canceled Differences]]), Audit[[#This Row],[Max Differences]]), 0)</f>
        <v>0</v>
      </c>
      <c r="AB1908" s="111">
        <f>'Sampling Data'!P1905</f>
        <v>4.8995590396864281E-3</v>
      </c>
      <c r="AC1908" s="111">
        <f>IF(
      SUM(Audit[[#This Row],[Audit Losing Candidate]:[Audit Candidate 6]])
      &lt;&gt;0,
      (Audit[[#This Row],[Winning Candidate]]-Audit[[#This Row],[Losing Candidate]]-(Audit[[#This Row],[Audit Winning Candidate]]-Audit[[#This Row],[Audit Losing Candidate]]))/(Audit[[#Totals],[Winning Candidate]]-Audit[[#Totals],[Losing Candidate]]),
      0
)</f>
        <v>0</v>
      </c>
      <c r="AD19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8" s="111">
        <f>IF(Audit[[#This Row],[Max Relative Error (ep)]] = 0, 0, Audit[[#This Row],[Max Relative Error (ep)]]/Audit[[#This Row],[Error Bound (up) - Max. possible relative overstatement]])</f>
        <v>0</v>
      </c>
      <c r="AJ19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08" s="111">
        <f t="shared" si="29"/>
        <v>1</v>
      </c>
      <c r="AL1908" s="111">
        <f>PRODUCT($AK$5:AK1908)</f>
        <v>8.962823818226312E-2</v>
      </c>
      <c r="AM1908" s="109">
        <f>1 - [K-M P Value]</f>
        <v>0.91037176181773694</v>
      </c>
      <c r="AN1908" s="111" t="str">
        <f>IF(Audit[[#This Row],[K-M P Value]]&gt;1-'General Info'!$B$16,"Continue", "Stop")</f>
        <v>Stop</v>
      </c>
      <c r="AO1908" s="110" t="b">
        <f>IF(Audit[[#This Row],[Status - Continue or stop audit]] = "Continue", TRUE, IF(AN1907 = "Continue", TRUE, FALSE))</f>
        <v>0</v>
      </c>
      <c r="AP1908" s="110"/>
    </row>
    <row r="1909" spans="1:42" ht="15" hidden="1" customHeight="1">
      <c r="A1909" s="111" t="str">
        <f>'Sampling Data'!W1906</f>
        <v/>
      </c>
      <c r="B1909" s="112" t="str">
        <f>'Sampling Data'!A1906</f>
        <v>SHAKER HEIGHTS -00-P - ABS</v>
      </c>
      <c r="C1909" s="112">
        <f>'Sampling Data'!B1906</f>
        <v>5</v>
      </c>
      <c r="D1909" s="112">
        <f>'Sampling Data'!C1906</f>
        <v>13</v>
      </c>
      <c r="E1909" s="113">
        <f>'Sampling Data'!D1906</f>
        <v>1</v>
      </c>
      <c r="F1909" s="113">
        <f>'Sampling Data'!E1906</f>
        <v>2</v>
      </c>
      <c r="G1909" s="113">
        <f>'Sampling Data'!F1906</f>
        <v>0</v>
      </c>
      <c r="H1909" s="113">
        <f>'Sampling Data'!G1906</f>
        <v>0</v>
      </c>
      <c r="I1909" s="112">
        <f>'Sampling Data'!H1906</f>
        <v>0</v>
      </c>
      <c r="J1909" s="112">
        <f>'Sampling Data'!I1906</f>
        <v>0</v>
      </c>
      <c r="K1909" s="112">
        <f>'Sampling Data'!J1906</f>
        <v>21</v>
      </c>
      <c r="L1909" s="111">
        <f>'Sampling Data'!X1906</f>
        <v>0</v>
      </c>
      <c r="M1909" s="114"/>
      <c r="N1909" s="114"/>
      <c r="O1909" s="115"/>
      <c r="P1909" s="115"/>
      <c r="Q1909" s="116"/>
      <c r="R1909" s="116"/>
      <c r="S1909" s="111">
        <f>Audit[[#This Row],[Audit Losing Candidate]]-Audit[[#This Row],[Losing Candidate]]</f>
        <v>-5</v>
      </c>
      <c r="T1909" s="111">
        <f>Audit[[#This Row],[Audit Winning Candidate]]-Audit[[#This Row],[Winning Candidate]]</f>
        <v>-13</v>
      </c>
      <c r="U1909" s="111">
        <f>Audit[[#This Row],[Audit Candidate 3]]-Audit[[#This Row],[Candidate 3]]</f>
        <v>-1</v>
      </c>
      <c r="V1909" s="111">
        <f>Audit[[#This Row],[Audit Candidate 4]]-Audit[[#This Row],[Candidate 4]]</f>
        <v>-2</v>
      </c>
      <c r="W1909" s="111">
        <f>Audit[[#This Row],[Audit Candidate 5]]-Audit[[#This Row],[Candidate 5]]</f>
        <v>0</v>
      </c>
      <c r="X1909" s="111">
        <f>Audit[[#This Row],[Audit Candidate 6]]-Audit[[#This Row],[Candidate 6]]</f>
        <v>0</v>
      </c>
      <c r="Y1909" s="111">
        <f>SUMIF(Audit[[#This Row],[Difference Loser]:[Difference Candidate 6]], "&gt;0")</f>
        <v>0</v>
      </c>
      <c r="Z1909" s="111">
        <f>SUM(Audit[[#This Row],[Difference Loser]:[Difference Candidate 6]])</f>
        <v>-21</v>
      </c>
      <c r="AA1909" s="111">
        <f>IF(Audit[[#This Row],[Times p Drawn - With Replacement]]&gt;0, IF(Audit[[#This Row],[Canceled Differences]]&lt;0, Audit[[#This Row],[Max Differences]]+ABS(Audit[[#This Row],[Canceled Differences]]), Audit[[#This Row],[Max Differences]]), 0)</f>
        <v>0</v>
      </c>
      <c r="AB1909" s="111">
        <f>'Sampling Data'!P1906</f>
        <v>1.7760901518863303E-3</v>
      </c>
      <c r="AC1909" s="111">
        <f>IF(
      SUM(Audit[[#This Row],[Audit Losing Candidate]:[Audit Candidate 6]])
      &lt;&gt;0,
      (Audit[[#This Row],[Winning Candidate]]-Audit[[#This Row],[Losing Candidate]]-(Audit[[#This Row],[Audit Winning Candidate]]-Audit[[#This Row],[Audit Losing Candidate]]))/(Audit[[#Totals],[Winning Candidate]]-Audit[[#Totals],[Losing Candidate]]),
      0
)</f>
        <v>0</v>
      </c>
      <c r="AD19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9" s="111">
        <f>IF(Audit[[#This Row],[Max Relative Error (ep)]] = 0, 0, Audit[[#This Row],[Max Relative Error (ep)]]/Audit[[#This Row],[Error Bound (up) - Max. possible relative overstatement]])</f>
        <v>0</v>
      </c>
      <c r="AJ19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09" s="111">
        <f t="shared" si="29"/>
        <v>1</v>
      </c>
      <c r="AL1909" s="111">
        <f>PRODUCT($AK$5:AK1909)</f>
        <v>8.962823818226312E-2</v>
      </c>
      <c r="AM1909" s="109">
        <f>1 - [K-M P Value]</f>
        <v>0.91037176181773694</v>
      </c>
      <c r="AN1909" s="111" t="str">
        <f>IF(Audit[[#This Row],[K-M P Value]]&gt;1-'General Info'!$B$16,"Continue", "Stop")</f>
        <v>Stop</v>
      </c>
      <c r="AO1909" s="110" t="b">
        <f>IF(Audit[[#This Row],[Status - Continue or stop audit]] = "Continue", TRUE, IF(AN1908 = "Continue", TRUE, FALSE))</f>
        <v>0</v>
      </c>
      <c r="AP1909" s="110"/>
    </row>
    <row r="1910" spans="1:42" ht="15" hidden="1" customHeight="1">
      <c r="A1910" s="111" t="str">
        <f>'Sampling Data'!W1907</f>
        <v/>
      </c>
      <c r="B1910" s="112" t="str">
        <f>'Sampling Data'!A1907</f>
        <v>SHAKER HEIGHTS -00-Q</v>
      </c>
      <c r="C1910" s="112">
        <f>'Sampling Data'!B1907</f>
        <v>15</v>
      </c>
      <c r="D1910" s="112">
        <f>'Sampling Data'!C1907</f>
        <v>35</v>
      </c>
      <c r="E1910" s="113">
        <f>'Sampling Data'!D1907</f>
        <v>10</v>
      </c>
      <c r="F1910" s="113">
        <f>'Sampling Data'!E1907</f>
        <v>4</v>
      </c>
      <c r="G1910" s="113">
        <f>'Sampling Data'!F1907</f>
        <v>1</v>
      </c>
      <c r="H1910" s="113">
        <f>'Sampling Data'!G1907</f>
        <v>0</v>
      </c>
      <c r="I1910" s="112">
        <f>'Sampling Data'!H1907</f>
        <v>0</v>
      </c>
      <c r="J1910" s="112">
        <f>'Sampling Data'!I1907</f>
        <v>0</v>
      </c>
      <c r="K1910" s="112">
        <f>'Sampling Data'!J1907</f>
        <v>65</v>
      </c>
      <c r="L1910" s="111">
        <f>'Sampling Data'!X1907</f>
        <v>0</v>
      </c>
      <c r="M1910" s="114"/>
      <c r="N1910" s="114"/>
      <c r="O1910" s="115"/>
      <c r="P1910" s="115"/>
      <c r="Q1910" s="116"/>
      <c r="R1910" s="116"/>
      <c r="S1910" s="111">
        <f>Audit[[#This Row],[Audit Losing Candidate]]-Audit[[#This Row],[Losing Candidate]]</f>
        <v>-15</v>
      </c>
      <c r="T1910" s="111">
        <f>Audit[[#This Row],[Audit Winning Candidate]]-Audit[[#This Row],[Winning Candidate]]</f>
        <v>-35</v>
      </c>
      <c r="U1910" s="111">
        <f>Audit[[#This Row],[Audit Candidate 3]]-Audit[[#This Row],[Candidate 3]]</f>
        <v>-10</v>
      </c>
      <c r="V1910" s="111">
        <f>Audit[[#This Row],[Audit Candidate 4]]-Audit[[#This Row],[Candidate 4]]</f>
        <v>-4</v>
      </c>
      <c r="W1910" s="111">
        <f>Audit[[#This Row],[Audit Candidate 5]]-Audit[[#This Row],[Candidate 5]]</f>
        <v>-1</v>
      </c>
      <c r="X1910" s="111">
        <f>Audit[[#This Row],[Audit Candidate 6]]-Audit[[#This Row],[Candidate 6]]</f>
        <v>0</v>
      </c>
      <c r="Y1910" s="111">
        <f>SUMIF(Audit[[#This Row],[Difference Loser]:[Difference Candidate 6]], "&gt;0")</f>
        <v>0</v>
      </c>
      <c r="Z1910" s="111">
        <f>SUM(Audit[[#This Row],[Difference Loser]:[Difference Candidate 6]])</f>
        <v>-65</v>
      </c>
      <c r="AA1910" s="111">
        <f>IF(Audit[[#This Row],[Times p Drawn - With Replacement]]&gt;0, IF(Audit[[#This Row],[Canceled Differences]]&lt;0, Audit[[#This Row],[Max Differences]]+ABS(Audit[[#This Row],[Canceled Differences]]), Audit[[#This Row],[Max Differences]]), 0)</f>
        <v>0</v>
      </c>
      <c r="AB1910" s="111">
        <f>'Sampling Data'!P1907</f>
        <v>5.2057814796668302E-3</v>
      </c>
      <c r="AC1910" s="111">
        <f>IF(
      SUM(Audit[[#This Row],[Audit Losing Candidate]:[Audit Candidate 6]])
      &lt;&gt;0,
      (Audit[[#This Row],[Winning Candidate]]-Audit[[#This Row],[Losing Candidate]]-(Audit[[#This Row],[Audit Winning Candidate]]-Audit[[#This Row],[Audit Losing Candidate]]))/(Audit[[#Totals],[Winning Candidate]]-Audit[[#Totals],[Losing Candidate]]),
      0
)</f>
        <v>0</v>
      </c>
      <c r="AD19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0" s="111">
        <f>IF(Audit[[#This Row],[Max Relative Error (ep)]] = 0, 0, Audit[[#This Row],[Max Relative Error (ep)]]/Audit[[#This Row],[Error Bound (up) - Max. possible relative overstatement]])</f>
        <v>0</v>
      </c>
      <c r="AJ19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10" s="111">
        <f t="shared" si="29"/>
        <v>1</v>
      </c>
      <c r="AL1910" s="111">
        <f>PRODUCT($AK$5:AK1910)</f>
        <v>8.962823818226312E-2</v>
      </c>
      <c r="AM1910" s="109">
        <f>1 - [K-M P Value]</f>
        <v>0.91037176181773694</v>
      </c>
      <c r="AN1910" s="111" t="str">
        <f>IF(Audit[[#This Row],[K-M P Value]]&gt;1-'General Info'!$B$16,"Continue", "Stop")</f>
        <v>Stop</v>
      </c>
      <c r="AO1910" s="110" t="b">
        <f>IF(Audit[[#This Row],[Status - Continue or stop audit]] = "Continue", TRUE, IF(AN1909 = "Continue", TRUE, FALSE))</f>
        <v>0</v>
      </c>
      <c r="AP1910" s="110"/>
    </row>
    <row r="1911" spans="1:42" ht="15" hidden="1" customHeight="1">
      <c r="A1911" s="111" t="str">
        <f>'Sampling Data'!W1908</f>
        <v/>
      </c>
      <c r="B1911" s="112" t="str">
        <f>'Sampling Data'!A1908</f>
        <v>SHAKER HEIGHTS -00-Q - ABS</v>
      </c>
      <c r="C1911" s="112">
        <f>'Sampling Data'!B1908</f>
        <v>3</v>
      </c>
      <c r="D1911" s="112">
        <f>'Sampling Data'!C1908</f>
        <v>14</v>
      </c>
      <c r="E1911" s="113">
        <f>'Sampling Data'!D1908</f>
        <v>2</v>
      </c>
      <c r="F1911" s="113">
        <f>'Sampling Data'!E1908</f>
        <v>3</v>
      </c>
      <c r="G1911" s="113">
        <f>'Sampling Data'!F1908</f>
        <v>0</v>
      </c>
      <c r="H1911" s="113">
        <f>'Sampling Data'!G1908</f>
        <v>0</v>
      </c>
      <c r="I1911" s="112">
        <f>'Sampling Data'!H1908</f>
        <v>0</v>
      </c>
      <c r="J1911" s="112">
        <f>'Sampling Data'!I1908</f>
        <v>0</v>
      </c>
      <c r="K1911" s="112">
        <f>'Sampling Data'!J1908</f>
        <v>22</v>
      </c>
      <c r="L1911" s="111">
        <f>'Sampling Data'!X1908</f>
        <v>0</v>
      </c>
      <c r="M1911" s="114"/>
      <c r="N1911" s="114"/>
      <c r="O1911" s="115"/>
      <c r="P1911" s="115"/>
      <c r="Q1911" s="116"/>
      <c r="R1911" s="116"/>
      <c r="S1911" s="111">
        <f>Audit[[#This Row],[Audit Losing Candidate]]-Audit[[#This Row],[Losing Candidate]]</f>
        <v>-3</v>
      </c>
      <c r="T1911" s="111">
        <f>Audit[[#This Row],[Audit Winning Candidate]]-Audit[[#This Row],[Winning Candidate]]</f>
        <v>-14</v>
      </c>
      <c r="U1911" s="111">
        <f>Audit[[#This Row],[Audit Candidate 3]]-Audit[[#This Row],[Candidate 3]]</f>
        <v>-2</v>
      </c>
      <c r="V1911" s="111">
        <f>Audit[[#This Row],[Audit Candidate 4]]-Audit[[#This Row],[Candidate 4]]</f>
        <v>-3</v>
      </c>
      <c r="W1911" s="111">
        <f>Audit[[#This Row],[Audit Candidate 5]]-Audit[[#This Row],[Candidate 5]]</f>
        <v>0</v>
      </c>
      <c r="X1911" s="111">
        <f>Audit[[#This Row],[Audit Candidate 6]]-Audit[[#This Row],[Candidate 6]]</f>
        <v>0</v>
      </c>
      <c r="Y1911" s="111">
        <f>SUMIF(Audit[[#This Row],[Difference Loser]:[Difference Candidate 6]], "&gt;0")</f>
        <v>0</v>
      </c>
      <c r="Z1911" s="111">
        <f>SUM(Audit[[#This Row],[Difference Loser]:[Difference Candidate 6]])</f>
        <v>-22</v>
      </c>
      <c r="AA1911" s="111">
        <f>IF(Audit[[#This Row],[Times p Drawn - With Replacement]]&gt;0, IF(Audit[[#This Row],[Canceled Differences]]&lt;0, Audit[[#This Row],[Max Differences]]+ABS(Audit[[#This Row],[Canceled Differences]]), Audit[[#This Row],[Max Differences]]), 0)</f>
        <v>0</v>
      </c>
      <c r="AB1911" s="111">
        <f>'Sampling Data'!P1908</f>
        <v>2.0210681038706517E-3</v>
      </c>
      <c r="AC1911" s="111">
        <f>IF(
      SUM(Audit[[#This Row],[Audit Losing Candidate]:[Audit Candidate 6]])
      &lt;&gt;0,
      (Audit[[#This Row],[Winning Candidate]]-Audit[[#This Row],[Losing Candidate]]-(Audit[[#This Row],[Audit Winning Candidate]]-Audit[[#This Row],[Audit Losing Candidate]]))/(Audit[[#Totals],[Winning Candidate]]-Audit[[#Totals],[Losing Candidate]]),
      0
)</f>
        <v>0</v>
      </c>
      <c r="AD19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1" s="111">
        <f>IF(Audit[[#This Row],[Max Relative Error (ep)]] = 0, 0, Audit[[#This Row],[Max Relative Error (ep)]]/Audit[[#This Row],[Error Bound (up) - Max. possible relative overstatement]])</f>
        <v>0</v>
      </c>
      <c r="AJ19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11" s="111">
        <f t="shared" si="29"/>
        <v>1</v>
      </c>
      <c r="AL1911" s="111">
        <f>PRODUCT($AK$5:AK1911)</f>
        <v>8.962823818226312E-2</v>
      </c>
      <c r="AM1911" s="109">
        <f>1 - [K-M P Value]</f>
        <v>0.91037176181773694</v>
      </c>
      <c r="AN1911" s="111" t="str">
        <f>IF(Audit[[#This Row],[K-M P Value]]&gt;1-'General Info'!$B$16,"Continue", "Stop")</f>
        <v>Stop</v>
      </c>
      <c r="AO1911" s="110" t="b">
        <f>IF(Audit[[#This Row],[Status - Continue or stop audit]] = "Continue", TRUE, IF(AN1910 = "Continue", TRUE, FALSE))</f>
        <v>0</v>
      </c>
      <c r="AP1911" s="110"/>
    </row>
    <row r="1912" spans="1:42" ht="15" hidden="1" customHeight="1">
      <c r="A1912" s="111" t="str">
        <f>'Sampling Data'!W1909</f>
        <v/>
      </c>
      <c r="B1912" s="112" t="str">
        <f>'Sampling Data'!A1909</f>
        <v>SHAKER HEIGHTS -00-R</v>
      </c>
      <c r="C1912" s="112">
        <f>'Sampling Data'!B1909</f>
        <v>13</v>
      </c>
      <c r="D1912" s="112">
        <f>'Sampling Data'!C1909</f>
        <v>40</v>
      </c>
      <c r="E1912" s="113">
        <f>'Sampling Data'!D1909</f>
        <v>3</v>
      </c>
      <c r="F1912" s="113">
        <f>'Sampling Data'!E1909</f>
        <v>2</v>
      </c>
      <c r="G1912" s="113">
        <f>'Sampling Data'!F1909</f>
        <v>0</v>
      </c>
      <c r="H1912" s="113">
        <f>'Sampling Data'!G1909</f>
        <v>0</v>
      </c>
      <c r="I1912" s="112">
        <f>'Sampling Data'!H1909</f>
        <v>0</v>
      </c>
      <c r="J1912" s="112">
        <f>'Sampling Data'!I1909</f>
        <v>0</v>
      </c>
      <c r="K1912" s="112">
        <f>'Sampling Data'!J1909</f>
        <v>58</v>
      </c>
      <c r="L1912" s="111">
        <f>'Sampling Data'!X1909</f>
        <v>0</v>
      </c>
      <c r="M1912" s="114"/>
      <c r="N1912" s="114"/>
      <c r="O1912" s="115"/>
      <c r="P1912" s="115"/>
      <c r="Q1912" s="116"/>
      <c r="R1912" s="116"/>
      <c r="S1912" s="111">
        <f>Audit[[#This Row],[Audit Losing Candidate]]-Audit[[#This Row],[Losing Candidate]]</f>
        <v>-13</v>
      </c>
      <c r="T1912" s="111">
        <f>Audit[[#This Row],[Audit Winning Candidate]]-Audit[[#This Row],[Winning Candidate]]</f>
        <v>-40</v>
      </c>
      <c r="U1912" s="111">
        <f>Audit[[#This Row],[Audit Candidate 3]]-Audit[[#This Row],[Candidate 3]]</f>
        <v>-3</v>
      </c>
      <c r="V1912" s="111">
        <f>Audit[[#This Row],[Audit Candidate 4]]-Audit[[#This Row],[Candidate 4]]</f>
        <v>-2</v>
      </c>
      <c r="W1912" s="111">
        <f>Audit[[#This Row],[Audit Candidate 5]]-Audit[[#This Row],[Candidate 5]]</f>
        <v>0</v>
      </c>
      <c r="X1912" s="111">
        <f>Audit[[#This Row],[Audit Candidate 6]]-Audit[[#This Row],[Candidate 6]]</f>
        <v>0</v>
      </c>
      <c r="Y1912" s="111">
        <f>SUMIF(Audit[[#This Row],[Difference Loser]:[Difference Candidate 6]], "&gt;0")</f>
        <v>0</v>
      </c>
      <c r="Z1912" s="111">
        <f>SUM(Audit[[#This Row],[Difference Loser]:[Difference Candidate 6]])</f>
        <v>-58</v>
      </c>
      <c r="AA1912" s="111">
        <f>IF(Audit[[#This Row],[Times p Drawn - With Replacement]]&gt;0, IF(Audit[[#This Row],[Canceled Differences]]&lt;0, Audit[[#This Row],[Max Differences]]+ABS(Audit[[#This Row],[Canceled Differences]]), Audit[[#This Row],[Max Differences]]), 0)</f>
        <v>0</v>
      </c>
      <c r="AB1912" s="111">
        <f>'Sampling Data'!P1909</f>
        <v>5.2057814796668302E-3</v>
      </c>
      <c r="AC1912" s="111">
        <f>IF(
      SUM(Audit[[#This Row],[Audit Losing Candidate]:[Audit Candidate 6]])
      &lt;&gt;0,
      (Audit[[#This Row],[Winning Candidate]]-Audit[[#This Row],[Losing Candidate]]-(Audit[[#This Row],[Audit Winning Candidate]]-Audit[[#This Row],[Audit Losing Candidate]]))/(Audit[[#Totals],[Winning Candidate]]-Audit[[#Totals],[Losing Candidate]]),
      0
)</f>
        <v>0</v>
      </c>
      <c r="AD19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2" s="111">
        <f>IF(Audit[[#This Row],[Max Relative Error (ep)]] = 0, 0, Audit[[#This Row],[Max Relative Error (ep)]]/Audit[[#This Row],[Error Bound (up) - Max. possible relative overstatement]])</f>
        <v>0</v>
      </c>
      <c r="AJ19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12" s="111">
        <f t="shared" si="29"/>
        <v>1</v>
      </c>
      <c r="AL1912" s="111">
        <f>PRODUCT($AK$5:AK1912)</f>
        <v>8.962823818226312E-2</v>
      </c>
      <c r="AM1912" s="109">
        <f>1 - [K-M P Value]</f>
        <v>0.91037176181773694</v>
      </c>
      <c r="AN1912" s="111" t="str">
        <f>IF(Audit[[#This Row],[K-M P Value]]&gt;1-'General Info'!$B$16,"Continue", "Stop")</f>
        <v>Stop</v>
      </c>
      <c r="AO1912" s="110" t="b">
        <f>IF(Audit[[#This Row],[Status - Continue or stop audit]] = "Continue", TRUE, IF(AN1911 = "Continue", TRUE, FALSE))</f>
        <v>0</v>
      </c>
      <c r="AP1912" s="110"/>
    </row>
    <row r="1913" spans="1:42" ht="15" hidden="1" customHeight="1">
      <c r="A1913" s="111" t="str">
        <f>'Sampling Data'!W1910</f>
        <v/>
      </c>
      <c r="B1913" s="112" t="str">
        <f>'Sampling Data'!A1910</f>
        <v>SHAKER HEIGHTS -00-R - ABS</v>
      </c>
      <c r="C1913" s="112">
        <f>'Sampling Data'!B1910</f>
        <v>5</v>
      </c>
      <c r="D1913" s="112">
        <f>'Sampling Data'!C1910</f>
        <v>9</v>
      </c>
      <c r="E1913" s="113">
        <f>'Sampling Data'!D1910</f>
        <v>1</v>
      </c>
      <c r="F1913" s="113">
        <f>'Sampling Data'!E1910</f>
        <v>2</v>
      </c>
      <c r="G1913" s="113">
        <f>'Sampling Data'!F1910</f>
        <v>0</v>
      </c>
      <c r="H1913" s="113">
        <f>'Sampling Data'!G1910</f>
        <v>0</v>
      </c>
      <c r="I1913" s="112">
        <f>'Sampling Data'!H1910</f>
        <v>0</v>
      </c>
      <c r="J1913" s="112">
        <f>'Sampling Data'!I1910</f>
        <v>0</v>
      </c>
      <c r="K1913" s="112">
        <f>'Sampling Data'!J1910</f>
        <v>17</v>
      </c>
      <c r="L1913" s="111">
        <f>'Sampling Data'!X1910</f>
        <v>0</v>
      </c>
      <c r="M1913" s="114"/>
      <c r="N1913" s="114"/>
      <c r="O1913" s="115"/>
      <c r="P1913" s="115"/>
      <c r="Q1913" s="116"/>
      <c r="R1913" s="116"/>
      <c r="S1913" s="111">
        <f>Audit[[#This Row],[Audit Losing Candidate]]-Audit[[#This Row],[Losing Candidate]]</f>
        <v>-5</v>
      </c>
      <c r="T1913" s="111">
        <f>Audit[[#This Row],[Audit Winning Candidate]]-Audit[[#This Row],[Winning Candidate]]</f>
        <v>-9</v>
      </c>
      <c r="U1913" s="111">
        <f>Audit[[#This Row],[Audit Candidate 3]]-Audit[[#This Row],[Candidate 3]]</f>
        <v>-1</v>
      </c>
      <c r="V1913" s="111">
        <f>Audit[[#This Row],[Audit Candidate 4]]-Audit[[#This Row],[Candidate 4]]</f>
        <v>-2</v>
      </c>
      <c r="W1913" s="111">
        <f>Audit[[#This Row],[Audit Candidate 5]]-Audit[[#This Row],[Candidate 5]]</f>
        <v>0</v>
      </c>
      <c r="X1913" s="111">
        <f>Audit[[#This Row],[Audit Candidate 6]]-Audit[[#This Row],[Candidate 6]]</f>
        <v>0</v>
      </c>
      <c r="Y1913" s="111">
        <f>SUMIF(Audit[[#This Row],[Difference Loser]:[Difference Candidate 6]], "&gt;0")</f>
        <v>0</v>
      </c>
      <c r="Z1913" s="111">
        <f>SUM(Audit[[#This Row],[Difference Loser]:[Difference Candidate 6]])</f>
        <v>-17</v>
      </c>
      <c r="AA1913" s="111">
        <f>IF(Audit[[#This Row],[Times p Drawn - With Replacement]]&gt;0, IF(Audit[[#This Row],[Canceled Differences]]&lt;0, Audit[[#This Row],[Max Differences]]+ABS(Audit[[#This Row],[Canceled Differences]]), Audit[[#This Row],[Max Differences]]), 0)</f>
        <v>0</v>
      </c>
      <c r="AB1913" s="111">
        <f>'Sampling Data'!P1910</f>
        <v>1.2861342479176874E-3</v>
      </c>
      <c r="AC1913" s="111">
        <f>IF(
      SUM(Audit[[#This Row],[Audit Losing Candidate]:[Audit Candidate 6]])
      &lt;&gt;0,
      (Audit[[#This Row],[Winning Candidate]]-Audit[[#This Row],[Losing Candidate]]-(Audit[[#This Row],[Audit Winning Candidate]]-Audit[[#This Row],[Audit Losing Candidate]]))/(Audit[[#Totals],[Winning Candidate]]-Audit[[#Totals],[Losing Candidate]]),
      0
)</f>
        <v>0</v>
      </c>
      <c r="AD19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3" s="111">
        <f>IF(Audit[[#This Row],[Max Relative Error (ep)]] = 0, 0, Audit[[#This Row],[Max Relative Error (ep)]]/Audit[[#This Row],[Error Bound (up) - Max. possible relative overstatement]])</f>
        <v>0</v>
      </c>
      <c r="AJ19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13" s="111">
        <f t="shared" si="29"/>
        <v>1</v>
      </c>
      <c r="AL1913" s="111">
        <f>PRODUCT($AK$5:AK1913)</f>
        <v>8.962823818226312E-2</v>
      </c>
      <c r="AM1913" s="109">
        <f>1 - [K-M P Value]</f>
        <v>0.91037176181773694</v>
      </c>
      <c r="AN1913" s="111" t="str">
        <f>IF(Audit[[#This Row],[K-M P Value]]&gt;1-'General Info'!$B$16,"Continue", "Stop")</f>
        <v>Stop</v>
      </c>
      <c r="AO1913" s="110" t="b">
        <f>IF(Audit[[#This Row],[Status - Continue or stop audit]] = "Continue", TRUE, IF(AN1912 = "Continue", TRUE, FALSE))</f>
        <v>0</v>
      </c>
      <c r="AP1913" s="110"/>
    </row>
    <row r="1914" spans="1:42" ht="15" hidden="1" customHeight="1">
      <c r="A1914" s="111" t="str">
        <f>'Sampling Data'!W1911</f>
        <v/>
      </c>
      <c r="B1914" s="112" t="str">
        <f>'Sampling Data'!A1911</f>
        <v>SHAKER HEIGHTS -00-S</v>
      </c>
      <c r="C1914" s="112">
        <f>'Sampling Data'!B1911</f>
        <v>11</v>
      </c>
      <c r="D1914" s="112">
        <f>'Sampling Data'!C1911</f>
        <v>60</v>
      </c>
      <c r="E1914" s="113">
        <f>'Sampling Data'!D1911</f>
        <v>4</v>
      </c>
      <c r="F1914" s="113">
        <f>'Sampling Data'!E1911</f>
        <v>5</v>
      </c>
      <c r="G1914" s="113">
        <f>'Sampling Data'!F1911</f>
        <v>1</v>
      </c>
      <c r="H1914" s="113">
        <f>'Sampling Data'!G1911</f>
        <v>0</v>
      </c>
      <c r="I1914" s="112">
        <f>'Sampling Data'!H1911</f>
        <v>0</v>
      </c>
      <c r="J1914" s="112">
        <f>'Sampling Data'!I1911</f>
        <v>1</v>
      </c>
      <c r="K1914" s="112">
        <f>'Sampling Data'!J1911</f>
        <v>82</v>
      </c>
      <c r="L1914" s="111">
        <f>'Sampling Data'!X1911</f>
        <v>0</v>
      </c>
      <c r="M1914" s="114"/>
      <c r="N1914" s="114"/>
      <c r="O1914" s="115"/>
      <c r="P1914" s="115"/>
      <c r="Q1914" s="116"/>
      <c r="R1914" s="116"/>
      <c r="S1914" s="111">
        <f>Audit[[#This Row],[Audit Losing Candidate]]-Audit[[#This Row],[Losing Candidate]]</f>
        <v>-11</v>
      </c>
      <c r="T1914" s="111">
        <f>Audit[[#This Row],[Audit Winning Candidate]]-Audit[[#This Row],[Winning Candidate]]</f>
        <v>-60</v>
      </c>
      <c r="U1914" s="111">
        <f>Audit[[#This Row],[Audit Candidate 3]]-Audit[[#This Row],[Candidate 3]]</f>
        <v>-4</v>
      </c>
      <c r="V1914" s="111">
        <f>Audit[[#This Row],[Audit Candidate 4]]-Audit[[#This Row],[Candidate 4]]</f>
        <v>-5</v>
      </c>
      <c r="W1914" s="111">
        <f>Audit[[#This Row],[Audit Candidate 5]]-Audit[[#This Row],[Candidate 5]]</f>
        <v>-1</v>
      </c>
      <c r="X1914" s="111">
        <f>Audit[[#This Row],[Audit Candidate 6]]-Audit[[#This Row],[Candidate 6]]</f>
        <v>0</v>
      </c>
      <c r="Y1914" s="111">
        <f>SUMIF(Audit[[#This Row],[Difference Loser]:[Difference Candidate 6]], "&gt;0")</f>
        <v>0</v>
      </c>
      <c r="Z1914" s="111">
        <f>SUM(Audit[[#This Row],[Difference Loser]:[Difference Candidate 6]])</f>
        <v>-81</v>
      </c>
      <c r="AA1914" s="111">
        <f>IF(Audit[[#This Row],[Times p Drawn - With Replacement]]&gt;0, IF(Audit[[#This Row],[Canceled Differences]]&lt;0, Audit[[#This Row],[Max Differences]]+ABS(Audit[[#This Row],[Canceled Differences]]), Audit[[#This Row],[Max Differences]]), 0)</f>
        <v>0</v>
      </c>
      <c r="AB1914" s="111">
        <f>'Sampling Data'!P1911</f>
        <v>8.0230279274865254E-3</v>
      </c>
      <c r="AC1914" s="111">
        <f>IF(
      SUM(Audit[[#This Row],[Audit Losing Candidate]:[Audit Candidate 6]])
      &lt;&gt;0,
      (Audit[[#This Row],[Winning Candidate]]-Audit[[#This Row],[Losing Candidate]]-(Audit[[#This Row],[Audit Winning Candidate]]-Audit[[#This Row],[Audit Losing Candidate]]))/(Audit[[#Totals],[Winning Candidate]]-Audit[[#Totals],[Losing Candidate]]),
      0
)</f>
        <v>0</v>
      </c>
      <c r="AD19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4" s="111">
        <f>IF(Audit[[#This Row],[Max Relative Error (ep)]] = 0, 0, Audit[[#This Row],[Max Relative Error (ep)]]/Audit[[#This Row],[Error Bound (up) - Max. possible relative overstatement]])</f>
        <v>0</v>
      </c>
      <c r="AJ19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14" s="111">
        <f t="shared" si="29"/>
        <v>1</v>
      </c>
      <c r="AL1914" s="111">
        <f>PRODUCT($AK$5:AK1914)</f>
        <v>8.962823818226312E-2</v>
      </c>
      <c r="AM1914" s="109">
        <f>1 - [K-M P Value]</f>
        <v>0.91037176181773694</v>
      </c>
      <c r="AN1914" s="111" t="str">
        <f>IF(Audit[[#This Row],[K-M P Value]]&gt;1-'General Info'!$B$16,"Continue", "Stop")</f>
        <v>Stop</v>
      </c>
      <c r="AO1914" s="110" t="b">
        <f>IF(Audit[[#This Row],[Status - Continue or stop audit]] = "Continue", TRUE, IF(AN1913 = "Continue", TRUE, FALSE))</f>
        <v>0</v>
      </c>
      <c r="AP1914" s="110"/>
    </row>
    <row r="1915" spans="1:42" ht="15" hidden="1" customHeight="1">
      <c r="A1915" s="111" t="str">
        <f>'Sampling Data'!W1912</f>
        <v/>
      </c>
      <c r="B1915" s="112" t="str">
        <f>'Sampling Data'!A1912</f>
        <v>SHAKER HEIGHTS -00-S - ABS</v>
      </c>
      <c r="C1915" s="112">
        <f>'Sampling Data'!B1912</f>
        <v>3</v>
      </c>
      <c r="D1915" s="112">
        <f>'Sampling Data'!C1912</f>
        <v>17</v>
      </c>
      <c r="E1915" s="113">
        <f>'Sampling Data'!D1912</f>
        <v>2</v>
      </c>
      <c r="F1915" s="113">
        <f>'Sampling Data'!E1912</f>
        <v>1</v>
      </c>
      <c r="G1915" s="113">
        <f>'Sampling Data'!F1912</f>
        <v>0</v>
      </c>
      <c r="H1915" s="113">
        <f>'Sampling Data'!G1912</f>
        <v>0</v>
      </c>
      <c r="I1915" s="112">
        <f>'Sampling Data'!H1912</f>
        <v>0</v>
      </c>
      <c r="J1915" s="112">
        <f>'Sampling Data'!I1912</f>
        <v>0</v>
      </c>
      <c r="K1915" s="112">
        <f>'Sampling Data'!J1912</f>
        <v>23</v>
      </c>
      <c r="L1915" s="111">
        <f>'Sampling Data'!X1912</f>
        <v>0</v>
      </c>
      <c r="M1915" s="114"/>
      <c r="N1915" s="114"/>
      <c r="O1915" s="115"/>
      <c r="P1915" s="115"/>
      <c r="Q1915" s="116"/>
      <c r="R1915" s="116"/>
      <c r="S1915" s="111">
        <f>Audit[[#This Row],[Audit Losing Candidate]]-Audit[[#This Row],[Losing Candidate]]</f>
        <v>-3</v>
      </c>
      <c r="T1915" s="111">
        <f>Audit[[#This Row],[Audit Winning Candidate]]-Audit[[#This Row],[Winning Candidate]]</f>
        <v>-17</v>
      </c>
      <c r="U1915" s="111">
        <f>Audit[[#This Row],[Audit Candidate 3]]-Audit[[#This Row],[Candidate 3]]</f>
        <v>-2</v>
      </c>
      <c r="V1915" s="111">
        <f>Audit[[#This Row],[Audit Candidate 4]]-Audit[[#This Row],[Candidate 4]]</f>
        <v>-1</v>
      </c>
      <c r="W1915" s="111">
        <f>Audit[[#This Row],[Audit Candidate 5]]-Audit[[#This Row],[Candidate 5]]</f>
        <v>0</v>
      </c>
      <c r="X1915" s="111">
        <f>Audit[[#This Row],[Audit Candidate 6]]-Audit[[#This Row],[Candidate 6]]</f>
        <v>0</v>
      </c>
      <c r="Y1915" s="111">
        <f>SUMIF(Audit[[#This Row],[Difference Loser]:[Difference Candidate 6]], "&gt;0")</f>
        <v>0</v>
      </c>
      <c r="Z1915" s="111">
        <f>SUM(Audit[[#This Row],[Difference Loser]:[Difference Candidate 6]])</f>
        <v>-23</v>
      </c>
      <c r="AA1915" s="111">
        <f>IF(Audit[[#This Row],[Times p Drawn - With Replacement]]&gt;0, IF(Audit[[#This Row],[Canceled Differences]]&lt;0, Audit[[#This Row],[Max Differences]]+ABS(Audit[[#This Row],[Canceled Differences]]), Audit[[#This Row],[Max Differences]]), 0)</f>
        <v>0</v>
      </c>
      <c r="AB1915" s="111">
        <f>'Sampling Data'!P1912</f>
        <v>2.2660460558549728E-3</v>
      </c>
      <c r="AC1915" s="111">
        <f>IF(
      SUM(Audit[[#This Row],[Audit Losing Candidate]:[Audit Candidate 6]])
      &lt;&gt;0,
      (Audit[[#This Row],[Winning Candidate]]-Audit[[#This Row],[Losing Candidate]]-(Audit[[#This Row],[Audit Winning Candidate]]-Audit[[#This Row],[Audit Losing Candidate]]))/(Audit[[#Totals],[Winning Candidate]]-Audit[[#Totals],[Losing Candidate]]),
      0
)</f>
        <v>0</v>
      </c>
      <c r="AD19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5" s="111">
        <f>IF(Audit[[#This Row],[Max Relative Error (ep)]] = 0, 0, Audit[[#This Row],[Max Relative Error (ep)]]/Audit[[#This Row],[Error Bound (up) - Max. possible relative overstatement]])</f>
        <v>0</v>
      </c>
      <c r="AJ19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15" s="111">
        <f t="shared" si="29"/>
        <v>1</v>
      </c>
      <c r="AL1915" s="111">
        <f>PRODUCT($AK$5:AK1915)</f>
        <v>8.962823818226312E-2</v>
      </c>
      <c r="AM1915" s="109">
        <f>1 - [K-M P Value]</f>
        <v>0.91037176181773694</v>
      </c>
      <c r="AN1915" s="111" t="str">
        <f>IF(Audit[[#This Row],[K-M P Value]]&gt;1-'General Info'!$B$16,"Continue", "Stop")</f>
        <v>Stop</v>
      </c>
      <c r="AO1915" s="110" t="b">
        <f>IF(Audit[[#This Row],[Status - Continue or stop audit]] = "Continue", TRUE, IF(AN1914 = "Continue", TRUE, FALSE))</f>
        <v>0</v>
      </c>
      <c r="AP1915" s="110"/>
    </row>
    <row r="1916" spans="1:42" ht="15" hidden="1" customHeight="1">
      <c r="A1916" s="111" t="str">
        <f>'Sampling Data'!W1913</f>
        <v/>
      </c>
      <c r="B1916" s="112" t="str">
        <f>'Sampling Data'!A1913</f>
        <v>SHAKER HEIGHTS -00-T</v>
      </c>
      <c r="C1916" s="112">
        <f>'Sampling Data'!B1913</f>
        <v>5</v>
      </c>
      <c r="D1916" s="112">
        <f>'Sampling Data'!C1913</f>
        <v>64</v>
      </c>
      <c r="E1916" s="113">
        <f>'Sampling Data'!D1913</f>
        <v>7</v>
      </c>
      <c r="F1916" s="113">
        <f>'Sampling Data'!E1913</f>
        <v>2</v>
      </c>
      <c r="G1916" s="113">
        <f>'Sampling Data'!F1913</f>
        <v>0</v>
      </c>
      <c r="H1916" s="113">
        <f>'Sampling Data'!G1913</f>
        <v>0</v>
      </c>
      <c r="I1916" s="112">
        <f>'Sampling Data'!H1913</f>
        <v>0</v>
      </c>
      <c r="J1916" s="112">
        <f>'Sampling Data'!I1913</f>
        <v>1</v>
      </c>
      <c r="K1916" s="112">
        <f>'Sampling Data'!J1913</f>
        <v>79</v>
      </c>
      <c r="L1916" s="111">
        <f>'Sampling Data'!X1913</f>
        <v>0</v>
      </c>
      <c r="M1916" s="114"/>
      <c r="N1916" s="114"/>
      <c r="O1916" s="115"/>
      <c r="P1916" s="115"/>
      <c r="Q1916" s="116"/>
      <c r="R1916" s="116"/>
      <c r="S1916" s="111">
        <f>Audit[[#This Row],[Audit Losing Candidate]]-Audit[[#This Row],[Losing Candidate]]</f>
        <v>-5</v>
      </c>
      <c r="T1916" s="111">
        <f>Audit[[#This Row],[Audit Winning Candidate]]-Audit[[#This Row],[Winning Candidate]]</f>
        <v>-64</v>
      </c>
      <c r="U1916" s="111">
        <f>Audit[[#This Row],[Audit Candidate 3]]-Audit[[#This Row],[Candidate 3]]</f>
        <v>-7</v>
      </c>
      <c r="V1916" s="111">
        <f>Audit[[#This Row],[Audit Candidate 4]]-Audit[[#This Row],[Candidate 4]]</f>
        <v>-2</v>
      </c>
      <c r="W1916" s="111">
        <f>Audit[[#This Row],[Audit Candidate 5]]-Audit[[#This Row],[Candidate 5]]</f>
        <v>0</v>
      </c>
      <c r="X1916" s="111">
        <f>Audit[[#This Row],[Audit Candidate 6]]-Audit[[#This Row],[Candidate 6]]</f>
        <v>0</v>
      </c>
      <c r="Y1916" s="111">
        <f>SUMIF(Audit[[#This Row],[Difference Loser]:[Difference Candidate 6]], "&gt;0")</f>
        <v>0</v>
      </c>
      <c r="Z1916" s="111">
        <f>SUM(Audit[[#This Row],[Difference Loser]:[Difference Candidate 6]])</f>
        <v>-78</v>
      </c>
      <c r="AA1916" s="111">
        <f>IF(Audit[[#This Row],[Times p Drawn - With Replacement]]&gt;0, IF(Audit[[#This Row],[Canceled Differences]]&lt;0, Audit[[#This Row],[Max Differences]]+ABS(Audit[[#This Row],[Canceled Differences]]), Audit[[#This Row],[Max Differences]]), 0)</f>
        <v>0</v>
      </c>
      <c r="AB1916" s="111">
        <f>'Sampling Data'!P1913</f>
        <v>8.4517393434590891E-3</v>
      </c>
      <c r="AC1916" s="111">
        <f>IF(
      SUM(Audit[[#This Row],[Audit Losing Candidate]:[Audit Candidate 6]])
      &lt;&gt;0,
      (Audit[[#This Row],[Winning Candidate]]-Audit[[#This Row],[Losing Candidate]]-(Audit[[#This Row],[Audit Winning Candidate]]-Audit[[#This Row],[Audit Losing Candidate]]))/(Audit[[#Totals],[Winning Candidate]]-Audit[[#Totals],[Losing Candidate]]),
      0
)</f>
        <v>0</v>
      </c>
      <c r="AD19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6" s="111">
        <f>IF(Audit[[#This Row],[Max Relative Error (ep)]] = 0, 0, Audit[[#This Row],[Max Relative Error (ep)]]/Audit[[#This Row],[Error Bound (up) - Max. possible relative overstatement]])</f>
        <v>0</v>
      </c>
      <c r="AJ19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16" s="111">
        <f t="shared" si="29"/>
        <v>1</v>
      </c>
      <c r="AL1916" s="111">
        <f>PRODUCT($AK$5:AK1916)</f>
        <v>8.962823818226312E-2</v>
      </c>
      <c r="AM1916" s="109">
        <f>1 - [K-M P Value]</f>
        <v>0.91037176181773694</v>
      </c>
      <c r="AN1916" s="111" t="str">
        <f>IF(Audit[[#This Row],[K-M P Value]]&gt;1-'General Info'!$B$16,"Continue", "Stop")</f>
        <v>Stop</v>
      </c>
      <c r="AO1916" s="110" t="b">
        <f>IF(Audit[[#This Row],[Status - Continue or stop audit]] = "Continue", TRUE, IF(AN1915 = "Continue", TRUE, FALSE))</f>
        <v>0</v>
      </c>
      <c r="AP1916" s="110"/>
    </row>
    <row r="1917" spans="1:42" ht="15" hidden="1" customHeight="1">
      <c r="A1917" s="111" t="str">
        <f>'Sampling Data'!W1914</f>
        <v/>
      </c>
      <c r="B1917" s="112" t="str">
        <f>'Sampling Data'!A1914</f>
        <v>SHAKER HEIGHTS -00-T - ABS</v>
      </c>
      <c r="C1917" s="112">
        <f>'Sampling Data'!B1914</f>
        <v>4</v>
      </c>
      <c r="D1917" s="112">
        <f>'Sampling Data'!C1914</f>
        <v>25</v>
      </c>
      <c r="E1917" s="113">
        <f>'Sampling Data'!D1914</f>
        <v>2</v>
      </c>
      <c r="F1917" s="113">
        <f>'Sampling Data'!E1914</f>
        <v>1</v>
      </c>
      <c r="G1917" s="113">
        <f>'Sampling Data'!F1914</f>
        <v>0</v>
      </c>
      <c r="H1917" s="113">
        <f>'Sampling Data'!G1914</f>
        <v>0</v>
      </c>
      <c r="I1917" s="112">
        <f>'Sampling Data'!H1914</f>
        <v>0</v>
      </c>
      <c r="J1917" s="112">
        <f>'Sampling Data'!I1914</f>
        <v>1</v>
      </c>
      <c r="K1917" s="112">
        <f>'Sampling Data'!J1914</f>
        <v>33</v>
      </c>
      <c r="L1917" s="111">
        <f>'Sampling Data'!X1914</f>
        <v>0</v>
      </c>
      <c r="M1917" s="114"/>
      <c r="N1917" s="114"/>
      <c r="O1917" s="115"/>
      <c r="P1917" s="115"/>
      <c r="Q1917" s="116"/>
      <c r="R1917" s="116"/>
      <c r="S1917" s="111">
        <f>Audit[[#This Row],[Audit Losing Candidate]]-Audit[[#This Row],[Losing Candidate]]</f>
        <v>-4</v>
      </c>
      <c r="T1917" s="111">
        <f>Audit[[#This Row],[Audit Winning Candidate]]-Audit[[#This Row],[Winning Candidate]]</f>
        <v>-25</v>
      </c>
      <c r="U1917" s="111">
        <f>Audit[[#This Row],[Audit Candidate 3]]-Audit[[#This Row],[Candidate 3]]</f>
        <v>-2</v>
      </c>
      <c r="V1917" s="111">
        <f>Audit[[#This Row],[Audit Candidate 4]]-Audit[[#This Row],[Candidate 4]]</f>
        <v>-1</v>
      </c>
      <c r="W1917" s="111">
        <f>Audit[[#This Row],[Audit Candidate 5]]-Audit[[#This Row],[Candidate 5]]</f>
        <v>0</v>
      </c>
      <c r="X1917" s="111">
        <f>Audit[[#This Row],[Audit Candidate 6]]-Audit[[#This Row],[Candidate 6]]</f>
        <v>0</v>
      </c>
      <c r="Y1917" s="111">
        <f>SUMIF(Audit[[#This Row],[Difference Loser]:[Difference Candidate 6]], "&gt;0")</f>
        <v>0</v>
      </c>
      <c r="Z1917" s="111">
        <f>SUM(Audit[[#This Row],[Difference Loser]:[Difference Candidate 6]])</f>
        <v>-32</v>
      </c>
      <c r="AA1917" s="111">
        <f>IF(Audit[[#This Row],[Times p Drawn - With Replacement]]&gt;0, IF(Audit[[#This Row],[Canceled Differences]]&lt;0, Audit[[#This Row],[Max Differences]]+ABS(Audit[[#This Row],[Canceled Differences]]), Audit[[#This Row],[Max Differences]]), 0)</f>
        <v>0</v>
      </c>
      <c r="AB1917" s="111">
        <f>'Sampling Data'!P1914</f>
        <v>3.3072023517883389E-3</v>
      </c>
      <c r="AC1917" s="111">
        <f>IF(
      SUM(Audit[[#This Row],[Audit Losing Candidate]:[Audit Candidate 6]])
      &lt;&gt;0,
      (Audit[[#This Row],[Winning Candidate]]-Audit[[#This Row],[Losing Candidate]]-(Audit[[#This Row],[Audit Winning Candidate]]-Audit[[#This Row],[Audit Losing Candidate]]))/(Audit[[#Totals],[Winning Candidate]]-Audit[[#Totals],[Losing Candidate]]),
      0
)</f>
        <v>0</v>
      </c>
      <c r="AD19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7" s="111">
        <f>IF(Audit[[#This Row],[Max Relative Error (ep)]] = 0, 0, Audit[[#This Row],[Max Relative Error (ep)]]/Audit[[#This Row],[Error Bound (up) - Max. possible relative overstatement]])</f>
        <v>0</v>
      </c>
      <c r="AJ19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17" s="111">
        <f t="shared" si="29"/>
        <v>1</v>
      </c>
      <c r="AL1917" s="111">
        <f>PRODUCT($AK$5:AK1917)</f>
        <v>8.962823818226312E-2</v>
      </c>
      <c r="AM1917" s="109">
        <f>1 - [K-M P Value]</f>
        <v>0.91037176181773694</v>
      </c>
      <c r="AN1917" s="111" t="str">
        <f>IF(Audit[[#This Row],[K-M P Value]]&gt;1-'General Info'!$B$16,"Continue", "Stop")</f>
        <v>Stop</v>
      </c>
      <c r="AO1917" s="110" t="b">
        <f>IF(Audit[[#This Row],[Status - Continue or stop audit]] = "Continue", TRUE, IF(AN1916 = "Continue", TRUE, FALSE))</f>
        <v>0</v>
      </c>
      <c r="AP1917" s="110"/>
    </row>
    <row r="1918" spans="1:42" ht="15" hidden="1" customHeight="1">
      <c r="A1918" s="111" t="str">
        <f>'Sampling Data'!W1915</f>
        <v/>
      </c>
      <c r="B1918" s="112" t="str">
        <f>'Sampling Data'!A1915</f>
        <v>SHAKER HEIGHTS -00-U</v>
      </c>
      <c r="C1918" s="112">
        <f>'Sampling Data'!B1915</f>
        <v>12</v>
      </c>
      <c r="D1918" s="112">
        <f>'Sampling Data'!C1915</f>
        <v>60</v>
      </c>
      <c r="E1918" s="113">
        <f>'Sampling Data'!D1915</f>
        <v>6</v>
      </c>
      <c r="F1918" s="113">
        <f>'Sampling Data'!E1915</f>
        <v>8</v>
      </c>
      <c r="G1918" s="113">
        <f>'Sampling Data'!F1915</f>
        <v>0</v>
      </c>
      <c r="H1918" s="113">
        <f>'Sampling Data'!G1915</f>
        <v>0</v>
      </c>
      <c r="I1918" s="112">
        <f>'Sampling Data'!H1915</f>
        <v>0</v>
      </c>
      <c r="J1918" s="112">
        <f>'Sampling Data'!I1915</f>
        <v>3</v>
      </c>
      <c r="K1918" s="112">
        <f>'Sampling Data'!J1915</f>
        <v>89</v>
      </c>
      <c r="L1918" s="111">
        <f>'Sampling Data'!X1915</f>
        <v>0</v>
      </c>
      <c r="M1918" s="114"/>
      <c r="N1918" s="114"/>
      <c r="O1918" s="115"/>
      <c r="P1918" s="115"/>
      <c r="Q1918" s="116"/>
      <c r="R1918" s="116"/>
      <c r="S1918" s="111">
        <f>Audit[[#This Row],[Audit Losing Candidate]]-Audit[[#This Row],[Losing Candidate]]</f>
        <v>-12</v>
      </c>
      <c r="T1918" s="111">
        <f>Audit[[#This Row],[Audit Winning Candidate]]-Audit[[#This Row],[Winning Candidate]]</f>
        <v>-60</v>
      </c>
      <c r="U1918" s="111">
        <f>Audit[[#This Row],[Audit Candidate 3]]-Audit[[#This Row],[Candidate 3]]</f>
        <v>-6</v>
      </c>
      <c r="V1918" s="111">
        <f>Audit[[#This Row],[Audit Candidate 4]]-Audit[[#This Row],[Candidate 4]]</f>
        <v>-8</v>
      </c>
      <c r="W1918" s="111">
        <f>Audit[[#This Row],[Audit Candidate 5]]-Audit[[#This Row],[Candidate 5]]</f>
        <v>0</v>
      </c>
      <c r="X1918" s="111">
        <f>Audit[[#This Row],[Audit Candidate 6]]-Audit[[#This Row],[Candidate 6]]</f>
        <v>0</v>
      </c>
      <c r="Y1918" s="111">
        <f>SUMIF(Audit[[#This Row],[Difference Loser]:[Difference Candidate 6]], "&gt;0")</f>
        <v>0</v>
      </c>
      <c r="Z1918" s="111">
        <f>SUM(Audit[[#This Row],[Difference Loser]:[Difference Candidate 6]])</f>
        <v>-86</v>
      </c>
      <c r="AA1918" s="111">
        <f>IF(Audit[[#This Row],[Times p Drawn - With Replacement]]&gt;0, IF(Audit[[#This Row],[Canceled Differences]]&lt;0, Audit[[#This Row],[Max Differences]]+ABS(Audit[[#This Row],[Canceled Differences]]), Audit[[#This Row],[Max Differences]]), 0)</f>
        <v>0</v>
      </c>
      <c r="AB1918" s="111">
        <f>'Sampling Data'!P1915</f>
        <v>8.3904948554630078E-3</v>
      </c>
      <c r="AC1918" s="111">
        <f>IF(
      SUM(Audit[[#This Row],[Audit Losing Candidate]:[Audit Candidate 6]])
      &lt;&gt;0,
      (Audit[[#This Row],[Winning Candidate]]-Audit[[#This Row],[Losing Candidate]]-(Audit[[#This Row],[Audit Winning Candidate]]-Audit[[#This Row],[Audit Losing Candidate]]))/(Audit[[#Totals],[Winning Candidate]]-Audit[[#Totals],[Losing Candidate]]),
      0
)</f>
        <v>0</v>
      </c>
      <c r="AD19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8" s="111">
        <f>IF(Audit[[#This Row],[Max Relative Error (ep)]] = 0, 0, Audit[[#This Row],[Max Relative Error (ep)]]/Audit[[#This Row],[Error Bound (up) - Max. possible relative overstatement]])</f>
        <v>0</v>
      </c>
      <c r="AJ19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18" s="111">
        <f t="shared" si="29"/>
        <v>1</v>
      </c>
      <c r="AL1918" s="111">
        <f>PRODUCT($AK$5:AK1918)</f>
        <v>8.962823818226312E-2</v>
      </c>
      <c r="AM1918" s="109">
        <f>1 - [K-M P Value]</f>
        <v>0.91037176181773694</v>
      </c>
      <c r="AN1918" s="111" t="str">
        <f>IF(Audit[[#This Row],[K-M P Value]]&gt;1-'General Info'!$B$16,"Continue", "Stop")</f>
        <v>Stop</v>
      </c>
      <c r="AO1918" s="110" t="b">
        <f>IF(Audit[[#This Row],[Status - Continue or stop audit]] = "Continue", TRUE, IF(AN1917 = "Continue", TRUE, FALSE))</f>
        <v>0</v>
      </c>
      <c r="AP1918" s="110"/>
    </row>
    <row r="1919" spans="1:42" ht="15" hidden="1" customHeight="1">
      <c r="A1919" s="111" t="str">
        <f>'Sampling Data'!W1916</f>
        <v/>
      </c>
      <c r="B1919" s="112" t="str">
        <f>'Sampling Data'!A1916</f>
        <v>SHAKER HEIGHTS -00-U - ABS</v>
      </c>
      <c r="C1919" s="112">
        <f>'Sampling Data'!B1916</f>
        <v>2</v>
      </c>
      <c r="D1919" s="112">
        <f>'Sampling Data'!C1916</f>
        <v>34</v>
      </c>
      <c r="E1919" s="113">
        <f>'Sampling Data'!D1916</f>
        <v>2</v>
      </c>
      <c r="F1919" s="113">
        <f>'Sampling Data'!E1916</f>
        <v>0</v>
      </c>
      <c r="G1919" s="113">
        <f>'Sampling Data'!F1916</f>
        <v>4</v>
      </c>
      <c r="H1919" s="113">
        <f>'Sampling Data'!G1916</f>
        <v>0</v>
      </c>
      <c r="I1919" s="112">
        <f>'Sampling Data'!H1916</f>
        <v>0</v>
      </c>
      <c r="J1919" s="112">
        <f>'Sampling Data'!I1916</f>
        <v>1</v>
      </c>
      <c r="K1919" s="112">
        <f>'Sampling Data'!J1916</f>
        <v>43</v>
      </c>
      <c r="L1919" s="111">
        <f>'Sampling Data'!X1916</f>
        <v>0</v>
      </c>
      <c r="M1919" s="114"/>
      <c r="N1919" s="114"/>
      <c r="O1919" s="115"/>
      <c r="P1919" s="115"/>
      <c r="Q1919" s="116"/>
      <c r="R1919" s="116"/>
      <c r="S1919" s="111">
        <f>Audit[[#This Row],[Audit Losing Candidate]]-Audit[[#This Row],[Losing Candidate]]</f>
        <v>-2</v>
      </c>
      <c r="T1919" s="111">
        <f>Audit[[#This Row],[Audit Winning Candidate]]-Audit[[#This Row],[Winning Candidate]]</f>
        <v>-34</v>
      </c>
      <c r="U1919" s="111">
        <f>Audit[[#This Row],[Audit Candidate 3]]-Audit[[#This Row],[Candidate 3]]</f>
        <v>-2</v>
      </c>
      <c r="V1919" s="111">
        <f>Audit[[#This Row],[Audit Candidate 4]]-Audit[[#This Row],[Candidate 4]]</f>
        <v>0</v>
      </c>
      <c r="W1919" s="111">
        <f>Audit[[#This Row],[Audit Candidate 5]]-Audit[[#This Row],[Candidate 5]]</f>
        <v>-4</v>
      </c>
      <c r="X1919" s="111">
        <f>Audit[[#This Row],[Audit Candidate 6]]-Audit[[#This Row],[Candidate 6]]</f>
        <v>0</v>
      </c>
      <c r="Y1919" s="111">
        <f>SUMIF(Audit[[#This Row],[Difference Loser]:[Difference Candidate 6]], "&gt;0")</f>
        <v>0</v>
      </c>
      <c r="Z1919" s="111">
        <f>SUM(Audit[[#This Row],[Difference Loser]:[Difference Candidate 6]])</f>
        <v>-42</v>
      </c>
      <c r="AA1919" s="111">
        <f>IF(Audit[[#This Row],[Times p Drawn - With Replacement]]&gt;0, IF(Audit[[#This Row],[Canceled Differences]]&lt;0, Audit[[#This Row],[Max Differences]]+ABS(Audit[[#This Row],[Canceled Differences]]), Audit[[#This Row],[Max Differences]]), 0)</f>
        <v>0</v>
      </c>
      <c r="AB1919" s="111">
        <f>'Sampling Data'!P1916</f>
        <v>4.5933365997060261E-3</v>
      </c>
      <c r="AC1919" s="111">
        <f>IF(
      SUM(Audit[[#This Row],[Audit Losing Candidate]:[Audit Candidate 6]])
      &lt;&gt;0,
      (Audit[[#This Row],[Winning Candidate]]-Audit[[#This Row],[Losing Candidate]]-(Audit[[#This Row],[Audit Winning Candidate]]-Audit[[#This Row],[Audit Losing Candidate]]))/(Audit[[#Totals],[Winning Candidate]]-Audit[[#Totals],[Losing Candidate]]),
      0
)</f>
        <v>0</v>
      </c>
      <c r="AD19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9" s="111">
        <f>IF(Audit[[#This Row],[Max Relative Error (ep)]] = 0, 0, Audit[[#This Row],[Max Relative Error (ep)]]/Audit[[#This Row],[Error Bound (up) - Max. possible relative overstatement]])</f>
        <v>0</v>
      </c>
      <c r="AJ19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19" s="111">
        <f t="shared" si="29"/>
        <v>1</v>
      </c>
      <c r="AL1919" s="111">
        <f>PRODUCT($AK$5:AK1919)</f>
        <v>8.962823818226312E-2</v>
      </c>
      <c r="AM1919" s="109">
        <f>1 - [K-M P Value]</f>
        <v>0.91037176181773694</v>
      </c>
      <c r="AN1919" s="111" t="str">
        <f>IF(Audit[[#This Row],[K-M P Value]]&gt;1-'General Info'!$B$16,"Continue", "Stop")</f>
        <v>Stop</v>
      </c>
      <c r="AO1919" s="110" t="b">
        <f>IF(Audit[[#This Row],[Status - Continue or stop audit]] = "Continue", TRUE, IF(AN1918 = "Continue", TRUE, FALSE))</f>
        <v>0</v>
      </c>
      <c r="AP1919" s="110"/>
    </row>
    <row r="1920" spans="1:42" ht="15" hidden="1" customHeight="1">
      <c r="A1920" s="111" t="str">
        <f>'Sampling Data'!W1917</f>
        <v/>
      </c>
      <c r="B1920" s="112" t="str">
        <f>'Sampling Data'!A1917</f>
        <v>SHAKER HEIGHTS -00-V</v>
      </c>
      <c r="C1920" s="112">
        <f>'Sampling Data'!B1917</f>
        <v>20</v>
      </c>
      <c r="D1920" s="112">
        <f>'Sampling Data'!C1917</f>
        <v>61</v>
      </c>
      <c r="E1920" s="113">
        <f>'Sampling Data'!D1917</f>
        <v>7</v>
      </c>
      <c r="F1920" s="113">
        <f>'Sampling Data'!E1917</f>
        <v>8</v>
      </c>
      <c r="G1920" s="113">
        <f>'Sampling Data'!F1917</f>
        <v>2</v>
      </c>
      <c r="H1920" s="113">
        <f>'Sampling Data'!G1917</f>
        <v>0</v>
      </c>
      <c r="I1920" s="112">
        <f>'Sampling Data'!H1917</f>
        <v>0</v>
      </c>
      <c r="J1920" s="112">
        <f>'Sampling Data'!I1917</f>
        <v>1</v>
      </c>
      <c r="K1920" s="112">
        <f>'Sampling Data'!J1917</f>
        <v>99</v>
      </c>
      <c r="L1920" s="111">
        <f>'Sampling Data'!X1917</f>
        <v>0</v>
      </c>
      <c r="M1920" s="114"/>
      <c r="N1920" s="114"/>
      <c r="O1920" s="115"/>
      <c r="P1920" s="115"/>
      <c r="Q1920" s="116"/>
      <c r="R1920" s="116"/>
      <c r="S1920" s="111">
        <f>Audit[[#This Row],[Audit Losing Candidate]]-Audit[[#This Row],[Losing Candidate]]</f>
        <v>-20</v>
      </c>
      <c r="T1920" s="111">
        <f>Audit[[#This Row],[Audit Winning Candidate]]-Audit[[#This Row],[Winning Candidate]]</f>
        <v>-61</v>
      </c>
      <c r="U1920" s="111">
        <f>Audit[[#This Row],[Audit Candidate 3]]-Audit[[#This Row],[Candidate 3]]</f>
        <v>-7</v>
      </c>
      <c r="V1920" s="111">
        <f>Audit[[#This Row],[Audit Candidate 4]]-Audit[[#This Row],[Candidate 4]]</f>
        <v>-8</v>
      </c>
      <c r="W1920" s="111">
        <f>Audit[[#This Row],[Audit Candidate 5]]-Audit[[#This Row],[Candidate 5]]</f>
        <v>-2</v>
      </c>
      <c r="X1920" s="111">
        <f>Audit[[#This Row],[Audit Candidate 6]]-Audit[[#This Row],[Candidate 6]]</f>
        <v>0</v>
      </c>
      <c r="Y1920" s="111">
        <f>SUMIF(Audit[[#This Row],[Difference Loser]:[Difference Candidate 6]], "&gt;0")</f>
        <v>0</v>
      </c>
      <c r="Z1920" s="111">
        <f>SUM(Audit[[#This Row],[Difference Loser]:[Difference Candidate 6]])</f>
        <v>-98</v>
      </c>
      <c r="AA1920" s="111">
        <f>IF(Audit[[#This Row],[Times p Drawn - With Replacement]]&gt;0, IF(Audit[[#This Row],[Canceled Differences]]&lt;0, Audit[[#This Row],[Max Differences]]+ABS(Audit[[#This Row],[Canceled Differences]]), Audit[[#This Row],[Max Differences]]), 0)</f>
        <v>0</v>
      </c>
      <c r="AB1920" s="111">
        <f>'Sampling Data'!P1917</f>
        <v>8.5742283194512499E-3</v>
      </c>
      <c r="AC1920" s="111">
        <f>IF(
      SUM(Audit[[#This Row],[Audit Losing Candidate]:[Audit Candidate 6]])
      &lt;&gt;0,
      (Audit[[#This Row],[Winning Candidate]]-Audit[[#This Row],[Losing Candidate]]-(Audit[[#This Row],[Audit Winning Candidate]]-Audit[[#This Row],[Audit Losing Candidate]]))/(Audit[[#Totals],[Winning Candidate]]-Audit[[#Totals],[Losing Candidate]]),
      0
)</f>
        <v>0</v>
      </c>
      <c r="AD19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0" s="111">
        <f>IF(Audit[[#This Row],[Max Relative Error (ep)]] = 0, 0, Audit[[#This Row],[Max Relative Error (ep)]]/Audit[[#This Row],[Error Bound (up) - Max. possible relative overstatement]])</f>
        <v>0</v>
      </c>
      <c r="AJ19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20" s="111">
        <f t="shared" si="29"/>
        <v>1</v>
      </c>
      <c r="AL1920" s="111">
        <f>PRODUCT($AK$5:AK1920)</f>
        <v>8.962823818226312E-2</v>
      </c>
      <c r="AM1920" s="109">
        <f>1 - [K-M P Value]</f>
        <v>0.91037176181773694</v>
      </c>
      <c r="AN1920" s="111" t="str">
        <f>IF(Audit[[#This Row],[K-M P Value]]&gt;1-'General Info'!$B$16,"Continue", "Stop")</f>
        <v>Stop</v>
      </c>
      <c r="AO1920" s="110" t="b">
        <f>IF(Audit[[#This Row],[Status - Continue or stop audit]] = "Continue", TRUE, IF(AN1919 = "Continue", TRUE, FALSE))</f>
        <v>0</v>
      </c>
      <c r="AP1920" s="110"/>
    </row>
    <row r="1921" spans="1:42" ht="15" hidden="1" customHeight="1">
      <c r="A1921" s="111" t="str">
        <f>'Sampling Data'!W1918</f>
        <v/>
      </c>
      <c r="B1921" s="112" t="str">
        <f>'Sampling Data'!A1918</f>
        <v>SHAKER HEIGHTS -00-V - ABS</v>
      </c>
      <c r="C1921" s="112">
        <f>'Sampling Data'!B1918</f>
        <v>7</v>
      </c>
      <c r="D1921" s="112">
        <f>'Sampling Data'!C1918</f>
        <v>33</v>
      </c>
      <c r="E1921" s="113">
        <f>'Sampling Data'!D1918</f>
        <v>7</v>
      </c>
      <c r="F1921" s="113">
        <f>'Sampling Data'!E1918</f>
        <v>1</v>
      </c>
      <c r="G1921" s="113">
        <f>'Sampling Data'!F1918</f>
        <v>0</v>
      </c>
      <c r="H1921" s="113">
        <f>'Sampling Data'!G1918</f>
        <v>0</v>
      </c>
      <c r="I1921" s="112">
        <f>'Sampling Data'!H1918</f>
        <v>0</v>
      </c>
      <c r="J1921" s="112">
        <f>'Sampling Data'!I1918</f>
        <v>0</v>
      </c>
      <c r="K1921" s="112">
        <f>'Sampling Data'!J1918</f>
        <v>48</v>
      </c>
      <c r="L1921" s="111">
        <f>'Sampling Data'!X1918</f>
        <v>0</v>
      </c>
      <c r="M1921" s="114"/>
      <c r="N1921" s="114"/>
      <c r="O1921" s="115"/>
      <c r="P1921" s="115"/>
      <c r="Q1921" s="116"/>
      <c r="R1921" s="116"/>
      <c r="S1921" s="111">
        <f>Audit[[#This Row],[Audit Losing Candidate]]-Audit[[#This Row],[Losing Candidate]]</f>
        <v>-7</v>
      </c>
      <c r="T1921" s="111">
        <f>Audit[[#This Row],[Audit Winning Candidate]]-Audit[[#This Row],[Winning Candidate]]</f>
        <v>-33</v>
      </c>
      <c r="U1921" s="111">
        <f>Audit[[#This Row],[Audit Candidate 3]]-Audit[[#This Row],[Candidate 3]]</f>
        <v>-7</v>
      </c>
      <c r="V1921" s="111">
        <f>Audit[[#This Row],[Audit Candidate 4]]-Audit[[#This Row],[Candidate 4]]</f>
        <v>-1</v>
      </c>
      <c r="W1921" s="111">
        <f>Audit[[#This Row],[Audit Candidate 5]]-Audit[[#This Row],[Candidate 5]]</f>
        <v>0</v>
      </c>
      <c r="X1921" s="111">
        <f>Audit[[#This Row],[Audit Candidate 6]]-Audit[[#This Row],[Candidate 6]]</f>
        <v>0</v>
      </c>
      <c r="Y1921" s="111">
        <f>SUMIF(Audit[[#This Row],[Difference Loser]:[Difference Candidate 6]], "&gt;0")</f>
        <v>0</v>
      </c>
      <c r="Z1921" s="111">
        <f>SUM(Audit[[#This Row],[Difference Loser]:[Difference Candidate 6]])</f>
        <v>-48</v>
      </c>
      <c r="AA1921" s="111">
        <f>IF(Audit[[#This Row],[Times p Drawn - With Replacement]]&gt;0, IF(Audit[[#This Row],[Canceled Differences]]&lt;0, Audit[[#This Row],[Max Differences]]+ABS(Audit[[#This Row],[Canceled Differences]]), Audit[[#This Row],[Max Differences]]), 0)</f>
        <v>0</v>
      </c>
      <c r="AB1921" s="111">
        <f>'Sampling Data'!P1918</f>
        <v>4.5320921117099457E-3</v>
      </c>
      <c r="AC1921" s="111">
        <f>IF(
      SUM(Audit[[#This Row],[Audit Losing Candidate]:[Audit Candidate 6]])
      &lt;&gt;0,
      (Audit[[#This Row],[Winning Candidate]]-Audit[[#This Row],[Losing Candidate]]-(Audit[[#This Row],[Audit Winning Candidate]]-Audit[[#This Row],[Audit Losing Candidate]]))/(Audit[[#Totals],[Winning Candidate]]-Audit[[#Totals],[Losing Candidate]]),
      0
)</f>
        <v>0</v>
      </c>
      <c r="AD19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1" s="111">
        <f>IF(Audit[[#This Row],[Max Relative Error (ep)]] = 0, 0, Audit[[#This Row],[Max Relative Error (ep)]]/Audit[[#This Row],[Error Bound (up) - Max. possible relative overstatement]])</f>
        <v>0</v>
      </c>
      <c r="AJ19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21" s="111">
        <f t="shared" si="29"/>
        <v>1</v>
      </c>
      <c r="AL1921" s="111">
        <f>PRODUCT($AK$5:AK1921)</f>
        <v>8.962823818226312E-2</v>
      </c>
      <c r="AM1921" s="109">
        <f>1 - [K-M P Value]</f>
        <v>0.91037176181773694</v>
      </c>
      <c r="AN1921" s="111" t="str">
        <f>IF(Audit[[#This Row],[K-M P Value]]&gt;1-'General Info'!$B$16,"Continue", "Stop")</f>
        <v>Stop</v>
      </c>
      <c r="AO1921" s="110" t="b">
        <f>IF(Audit[[#This Row],[Status - Continue or stop audit]] = "Continue", TRUE, IF(AN1920 = "Continue", TRUE, FALSE))</f>
        <v>0</v>
      </c>
      <c r="AP1921" s="110"/>
    </row>
    <row r="1922" spans="1:42" ht="15" hidden="1" customHeight="1">
      <c r="A1922" s="111" t="str">
        <f>'Sampling Data'!W1919</f>
        <v/>
      </c>
      <c r="B1922" s="112" t="str">
        <f>'Sampling Data'!A1919</f>
        <v>SHAKER HEIGHTS -00-W</v>
      </c>
      <c r="C1922" s="112">
        <f>'Sampling Data'!B1919</f>
        <v>5</v>
      </c>
      <c r="D1922" s="112">
        <f>'Sampling Data'!C1919</f>
        <v>50</v>
      </c>
      <c r="E1922" s="113">
        <f>'Sampling Data'!D1919</f>
        <v>5</v>
      </c>
      <c r="F1922" s="113">
        <f>'Sampling Data'!E1919</f>
        <v>4</v>
      </c>
      <c r="G1922" s="113">
        <f>'Sampling Data'!F1919</f>
        <v>1</v>
      </c>
      <c r="H1922" s="113">
        <f>'Sampling Data'!G1919</f>
        <v>0</v>
      </c>
      <c r="I1922" s="112">
        <f>'Sampling Data'!H1919</f>
        <v>0</v>
      </c>
      <c r="J1922" s="112">
        <f>'Sampling Data'!I1919</f>
        <v>1</v>
      </c>
      <c r="K1922" s="112">
        <f>'Sampling Data'!J1919</f>
        <v>66</v>
      </c>
      <c r="L1922" s="111">
        <f>'Sampling Data'!X1919</f>
        <v>0</v>
      </c>
      <c r="M1922" s="114"/>
      <c r="N1922" s="114"/>
      <c r="O1922" s="115"/>
      <c r="P1922" s="115"/>
      <c r="Q1922" s="116"/>
      <c r="R1922" s="116"/>
      <c r="S1922" s="111">
        <f>Audit[[#This Row],[Audit Losing Candidate]]-Audit[[#This Row],[Losing Candidate]]</f>
        <v>-5</v>
      </c>
      <c r="T1922" s="111">
        <f>Audit[[#This Row],[Audit Winning Candidate]]-Audit[[#This Row],[Winning Candidate]]</f>
        <v>-50</v>
      </c>
      <c r="U1922" s="111">
        <f>Audit[[#This Row],[Audit Candidate 3]]-Audit[[#This Row],[Candidate 3]]</f>
        <v>-5</v>
      </c>
      <c r="V1922" s="111">
        <f>Audit[[#This Row],[Audit Candidate 4]]-Audit[[#This Row],[Candidate 4]]</f>
        <v>-4</v>
      </c>
      <c r="W1922" s="111">
        <f>Audit[[#This Row],[Audit Candidate 5]]-Audit[[#This Row],[Candidate 5]]</f>
        <v>-1</v>
      </c>
      <c r="X1922" s="111">
        <f>Audit[[#This Row],[Audit Candidate 6]]-Audit[[#This Row],[Candidate 6]]</f>
        <v>0</v>
      </c>
      <c r="Y1922" s="111">
        <f>SUMIF(Audit[[#This Row],[Difference Loser]:[Difference Candidate 6]], "&gt;0")</f>
        <v>0</v>
      </c>
      <c r="Z1922" s="111">
        <f>SUM(Audit[[#This Row],[Difference Loser]:[Difference Candidate 6]])</f>
        <v>-65</v>
      </c>
      <c r="AA1922" s="111">
        <f>IF(Audit[[#This Row],[Times p Drawn - With Replacement]]&gt;0, IF(Audit[[#This Row],[Canceled Differences]]&lt;0, Audit[[#This Row],[Max Differences]]+ABS(Audit[[#This Row],[Canceled Differences]]), Audit[[#This Row],[Max Differences]]), 0)</f>
        <v>0</v>
      </c>
      <c r="AB1922" s="111">
        <f>'Sampling Data'!P1919</f>
        <v>6.798138167564919E-3</v>
      </c>
      <c r="AC1922" s="111">
        <f>IF(
      SUM(Audit[[#This Row],[Audit Losing Candidate]:[Audit Candidate 6]])
      &lt;&gt;0,
      (Audit[[#This Row],[Winning Candidate]]-Audit[[#This Row],[Losing Candidate]]-(Audit[[#This Row],[Audit Winning Candidate]]-Audit[[#This Row],[Audit Losing Candidate]]))/(Audit[[#Totals],[Winning Candidate]]-Audit[[#Totals],[Losing Candidate]]),
      0
)</f>
        <v>0</v>
      </c>
      <c r="AD19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2" s="111">
        <f>IF(Audit[[#This Row],[Max Relative Error (ep)]] = 0, 0, Audit[[#This Row],[Max Relative Error (ep)]]/Audit[[#This Row],[Error Bound (up) - Max. possible relative overstatement]])</f>
        <v>0</v>
      </c>
      <c r="AJ19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22" s="111">
        <f t="shared" si="29"/>
        <v>1</v>
      </c>
      <c r="AL1922" s="111">
        <f>PRODUCT($AK$5:AK1922)</f>
        <v>8.962823818226312E-2</v>
      </c>
      <c r="AM1922" s="109">
        <f>1 - [K-M P Value]</f>
        <v>0.91037176181773694</v>
      </c>
      <c r="AN1922" s="111" t="str">
        <f>IF(Audit[[#This Row],[K-M P Value]]&gt;1-'General Info'!$B$16,"Continue", "Stop")</f>
        <v>Stop</v>
      </c>
      <c r="AO1922" s="110" t="b">
        <f>IF(Audit[[#This Row],[Status - Continue or stop audit]] = "Continue", TRUE, IF(AN1921 = "Continue", TRUE, FALSE))</f>
        <v>0</v>
      </c>
      <c r="AP1922" s="110"/>
    </row>
    <row r="1923" spans="1:42" ht="15" hidden="1" customHeight="1">
      <c r="A1923" s="111" t="str">
        <f>'Sampling Data'!W1920</f>
        <v/>
      </c>
      <c r="B1923" s="112" t="str">
        <f>'Sampling Data'!A1920</f>
        <v>SHAKER HEIGHTS -00-W - ABS</v>
      </c>
      <c r="C1923" s="112">
        <f>'Sampling Data'!B1920</f>
        <v>7</v>
      </c>
      <c r="D1923" s="112">
        <f>'Sampling Data'!C1920</f>
        <v>34</v>
      </c>
      <c r="E1923" s="113">
        <f>'Sampling Data'!D1920</f>
        <v>5</v>
      </c>
      <c r="F1923" s="113">
        <f>'Sampling Data'!E1920</f>
        <v>2</v>
      </c>
      <c r="G1923" s="113">
        <f>'Sampling Data'!F1920</f>
        <v>0</v>
      </c>
      <c r="H1923" s="113">
        <f>'Sampling Data'!G1920</f>
        <v>0</v>
      </c>
      <c r="I1923" s="112">
        <f>'Sampling Data'!H1920</f>
        <v>0</v>
      </c>
      <c r="J1923" s="112">
        <f>'Sampling Data'!I1920</f>
        <v>0</v>
      </c>
      <c r="K1923" s="112">
        <f>'Sampling Data'!J1920</f>
        <v>48</v>
      </c>
      <c r="L1923" s="111">
        <f>'Sampling Data'!X1920</f>
        <v>0</v>
      </c>
      <c r="M1923" s="114"/>
      <c r="N1923" s="114"/>
      <c r="O1923" s="115"/>
      <c r="P1923" s="115"/>
      <c r="Q1923" s="116"/>
      <c r="R1923" s="116"/>
      <c r="S1923" s="111">
        <f>Audit[[#This Row],[Audit Losing Candidate]]-Audit[[#This Row],[Losing Candidate]]</f>
        <v>-7</v>
      </c>
      <c r="T1923" s="111">
        <f>Audit[[#This Row],[Audit Winning Candidate]]-Audit[[#This Row],[Winning Candidate]]</f>
        <v>-34</v>
      </c>
      <c r="U1923" s="111">
        <f>Audit[[#This Row],[Audit Candidate 3]]-Audit[[#This Row],[Candidate 3]]</f>
        <v>-5</v>
      </c>
      <c r="V1923" s="111">
        <f>Audit[[#This Row],[Audit Candidate 4]]-Audit[[#This Row],[Candidate 4]]</f>
        <v>-2</v>
      </c>
      <c r="W1923" s="111">
        <f>Audit[[#This Row],[Audit Candidate 5]]-Audit[[#This Row],[Candidate 5]]</f>
        <v>0</v>
      </c>
      <c r="X1923" s="111">
        <f>Audit[[#This Row],[Audit Candidate 6]]-Audit[[#This Row],[Candidate 6]]</f>
        <v>0</v>
      </c>
      <c r="Y1923" s="111">
        <f>SUMIF(Audit[[#This Row],[Difference Loser]:[Difference Candidate 6]], "&gt;0")</f>
        <v>0</v>
      </c>
      <c r="Z1923" s="111">
        <f>SUM(Audit[[#This Row],[Difference Loser]:[Difference Candidate 6]])</f>
        <v>-48</v>
      </c>
      <c r="AA1923" s="111">
        <f>IF(Audit[[#This Row],[Times p Drawn - With Replacement]]&gt;0, IF(Audit[[#This Row],[Canceled Differences]]&lt;0, Audit[[#This Row],[Max Differences]]+ABS(Audit[[#This Row],[Canceled Differences]]), Audit[[#This Row],[Max Differences]]), 0)</f>
        <v>0</v>
      </c>
      <c r="AB1923" s="111">
        <f>'Sampling Data'!P1920</f>
        <v>4.5933365997060261E-3</v>
      </c>
      <c r="AC1923" s="111">
        <f>IF(
      SUM(Audit[[#This Row],[Audit Losing Candidate]:[Audit Candidate 6]])
      &lt;&gt;0,
      (Audit[[#This Row],[Winning Candidate]]-Audit[[#This Row],[Losing Candidate]]-(Audit[[#This Row],[Audit Winning Candidate]]-Audit[[#This Row],[Audit Losing Candidate]]))/(Audit[[#Totals],[Winning Candidate]]-Audit[[#Totals],[Losing Candidate]]),
      0
)</f>
        <v>0</v>
      </c>
      <c r="AD19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3" s="111">
        <f>IF(Audit[[#This Row],[Max Relative Error (ep)]] = 0, 0, Audit[[#This Row],[Max Relative Error (ep)]]/Audit[[#This Row],[Error Bound (up) - Max. possible relative overstatement]])</f>
        <v>0</v>
      </c>
      <c r="AJ19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23" s="111">
        <f t="shared" si="29"/>
        <v>1</v>
      </c>
      <c r="AL1923" s="111">
        <f>PRODUCT($AK$5:AK1923)</f>
        <v>8.962823818226312E-2</v>
      </c>
      <c r="AM1923" s="109">
        <f>1 - [K-M P Value]</f>
        <v>0.91037176181773694</v>
      </c>
      <c r="AN1923" s="111" t="str">
        <f>IF(Audit[[#This Row],[K-M P Value]]&gt;1-'General Info'!$B$16,"Continue", "Stop")</f>
        <v>Stop</v>
      </c>
      <c r="AO1923" s="110" t="b">
        <f>IF(Audit[[#This Row],[Status - Continue or stop audit]] = "Continue", TRUE, IF(AN1922 = "Continue", TRUE, FALSE))</f>
        <v>0</v>
      </c>
      <c r="AP1923" s="110"/>
    </row>
    <row r="1924" spans="1:42" ht="15" hidden="1" customHeight="1">
      <c r="A1924" s="111" t="str">
        <f>'Sampling Data'!W1921</f>
        <v/>
      </c>
      <c r="B1924" s="112" t="str">
        <f>'Sampling Data'!A1921</f>
        <v>SHAKER HEIGHTS -00-X</v>
      </c>
      <c r="C1924" s="112">
        <f>'Sampling Data'!B1921</f>
        <v>10</v>
      </c>
      <c r="D1924" s="112">
        <f>'Sampling Data'!C1921</f>
        <v>57</v>
      </c>
      <c r="E1924" s="113">
        <f>'Sampling Data'!D1921</f>
        <v>8</v>
      </c>
      <c r="F1924" s="113">
        <f>'Sampling Data'!E1921</f>
        <v>5</v>
      </c>
      <c r="G1924" s="113">
        <f>'Sampling Data'!F1921</f>
        <v>0</v>
      </c>
      <c r="H1924" s="113">
        <f>'Sampling Data'!G1921</f>
        <v>0</v>
      </c>
      <c r="I1924" s="112">
        <f>'Sampling Data'!H1921</f>
        <v>0</v>
      </c>
      <c r="J1924" s="112">
        <f>'Sampling Data'!I1921</f>
        <v>1</v>
      </c>
      <c r="K1924" s="112">
        <f>'Sampling Data'!J1921</f>
        <v>81</v>
      </c>
      <c r="L1924" s="111">
        <f>'Sampling Data'!X1921</f>
        <v>0</v>
      </c>
      <c r="M1924" s="114"/>
      <c r="N1924" s="114"/>
      <c r="O1924" s="115"/>
      <c r="P1924" s="115"/>
      <c r="Q1924" s="116"/>
      <c r="R1924" s="116"/>
      <c r="S1924" s="111">
        <f>Audit[[#This Row],[Audit Losing Candidate]]-Audit[[#This Row],[Losing Candidate]]</f>
        <v>-10</v>
      </c>
      <c r="T1924" s="111">
        <f>Audit[[#This Row],[Audit Winning Candidate]]-Audit[[#This Row],[Winning Candidate]]</f>
        <v>-57</v>
      </c>
      <c r="U1924" s="111">
        <f>Audit[[#This Row],[Audit Candidate 3]]-Audit[[#This Row],[Candidate 3]]</f>
        <v>-8</v>
      </c>
      <c r="V1924" s="111">
        <f>Audit[[#This Row],[Audit Candidate 4]]-Audit[[#This Row],[Candidate 4]]</f>
        <v>-5</v>
      </c>
      <c r="W1924" s="111">
        <f>Audit[[#This Row],[Audit Candidate 5]]-Audit[[#This Row],[Candidate 5]]</f>
        <v>0</v>
      </c>
      <c r="X1924" s="111">
        <f>Audit[[#This Row],[Audit Candidate 6]]-Audit[[#This Row],[Candidate 6]]</f>
        <v>0</v>
      </c>
      <c r="Y1924" s="111">
        <f>SUMIF(Audit[[#This Row],[Difference Loser]:[Difference Candidate 6]], "&gt;0")</f>
        <v>0</v>
      </c>
      <c r="Z1924" s="111">
        <f>SUM(Audit[[#This Row],[Difference Loser]:[Difference Candidate 6]])</f>
        <v>-80</v>
      </c>
      <c r="AA1924" s="111">
        <f>IF(Audit[[#This Row],[Times p Drawn - With Replacement]]&gt;0, IF(Audit[[#This Row],[Canceled Differences]]&lt;0, Audit[[#This Row],[Max Differences]]+ABS(Audit[[#This Row],[Canceled Differences]]), Audit[[#This Row],[Max Differences]]), 0)</f>
        <v>0</v>
      </c>
      <c r="AB1924" s="111">
        <f>'Sampling Data'!P1921</f>
        <v>7.839294463498285E-3</v>
      </c>
      <c r="AC1924" s="111">
        <f>IF(
      SUM(Audit[[#This Row],[Audit Losing Candidate]:[Audit Candidate 6]])
      &lt;&gt;0,
      (Audit[[#This Row],[Winning Candidate]]-Audit[[#This Row],[Losing Candidate]]-(Audit[[#This Row],[Audit Winning Candidate]]-Audit[[#This Row],[Audit Losing Candidate]]))/(Audit[[#Totals],[Winning Candidate]]-Audit[[#Totals],[Losing Candidate]]),
      0
)</f>
        <v>0</v>
      </c>
      <c r="AD19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4" s="111">
        <f>IF(Audit[[#This Row],[Max Relative Error (ep)]] = 0, 0, Audit[[#This Row],[Max Relative Error (ep)]]/Audit[[#This Row],[Error Bound (up) - Max. possible relative overstatement]])</f>
        <v>0</v>
      </c>
      <c r="AJ19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24" s="111">
        <f t="shared" si="29"/>
        <v>1</v>
      </c>
      <c r="AL1924" s="111">
        <f>PRODUCT($AK$5:AK1924)</f>
        <v>8.962823818226312E-2</v>
      </c>
      <c r="AM1924" s="109">
        <f>1 - [K-M P Value]</f>
        <v>0.91037176181773694</v>
      </c>
      <c r="AN1924" s="111" t="str">
        <f>IF(Audit[[#This Row],[K-M P Value]]&gt;1-'General Info'!$B$16,"Continue", "Stop")</f>
        <v>Stop</v>
      </c>
      <c r="AO1924" s="110" t="b">
        <f>IF(Audit[[#This Row],[Status - Continue or stop audit]] = "Continue", TRUE, IF(AN1923 = "Continue", TRUE, FALSE))</f>
        <v>0</v>
      </c>
      <c r="AP1924" s="110"/>
    </row>
    <row r="1925" spans="1:42" ht="15" hidden="1" customHeight="1">
      <c r="A1925" s="111" t="str">
        <f>'Sampling Data'!W1922</f>
        <v/>
      </c>
      <c r="B1925" s="112" t="str">
        <f>'Sampling Data'!A1922</f>
        <v>SHAKER HEIGHTS -00-X - ABS</v>
      </c>
      <c r="C1925" s="112">
        <f>'Sampling Data'!B1922</f>
        <v>5</v>
      </c>
      <c r="D1925" s="112">
        <f>'Sampling Data'!C1922</f>
        <v>21</v>
      </c>
      <c r="E1925" s="113">
        <f>'Sampling Data'!D1922</f>
        <v>2</v>
      </c>
      <c r="F1925" s="113">
        <f>'Sampling Data'!E1922</f>
        <v>3</v>
      </c>
      <c r="G1925" s="113">
        <f>'Sampling Data'!F1922</f>
        <v>0</v>
      </c>
      <c r="H1925" s="113">
        <f>'Sampling Data'!G1922</f>
        <v>0</v>
      </c>
      <c r="I1925" s="112">
        <f>'Sampling Data'!H1922</f>
        <v>0</v>
      </c>
      <c r="J1925" s="112">
        <f>'Sampling Data'!I1922</f>
        <v>2</v>
      </c>
      <c r="K1925" s="112">
        <f>'Sampling Data'!J1922</f>
        <v>33</v>
      </c>
      <c r="L1925" s="111">
        <f>'Sampling Data'!X1922</f>
        <v>0</v>
      </c>
      <c r="M1925" s="114"/>
      <c r="N1925" s="114"/>
      <c r="O1925" s="115"/>
      <c r="P1925" s="115"/>
      <c r="Q1925" s="116"/>
      <c r="R1925" s="116"/>
      <c r="S1925" s="111">
        <f>Audit[[#This Row],[Audit Losing Candidate]]-Audit[[#This Row],[Losing Candidate]]</f>
        <v>-5</v>
      </c>
      <c r="T1925" s="111">
        <f>Audit[[#This Row],[Audit Winning Candidate]]-Audit[[#This Row],[Winning Candidate]]</f>
        <v>-21</v>
      </c>
      <c r="U1925" s="111">
        <f>Audit[[#This Row],[Audit Candidate 3]]-Audit[[#This Row],[Candidate 3]]</f>
        <v>-2</v>
      </c>
      <c r="V1925" s="111">
        <f>Audit[[#This Row],[Audit Candidate 4]]-Audit[[#This Row],[Candidate 4]]</f>
        <v>-3</v>
      </c>
      <c r="W1925" s="111">
        <f>Audit[[#This Row],[Audit Candidate 5]]-Audit[[#This Row],[Candidate 5]]</f>
        <v>0</v>
      </c>
      <c r="X1925" s="111">
        <f>Audit[[#This Row],[Audit Candidate 6]]-Audit[[#This Row],[Candidate 6]]</f>
        <v>0</v>
      </c>
      <c r="Y1925" s="111">
        <f>SUMIF(Audit[[#This Row],[Difference Loser]:[Difference Candidate 6]], "&gt;0")</f>
        <v>0</v>
      </c>
      <c r="Z1925" s="111">
        <f>SUM(Audit[[#This Row],[Difference Loser]:[Difference Candidate 6]])</f>
        <v>-31</v>
      </c>
      <c r="AA1925" s="111">
        <f>IF(Audit[[#This Row],[Times p Drawn - With Replacement]]&gt;0, IF(Audit[[#This Row],[Canceled Differences]]&lt;0, Audit[[#This Row],[Max Differences]]+ABS(Audit[[#This Row],[Canceled Differences]]), Audit[[#This Row],[Max Differences]]), 0)</f>
        <v>0</v>
      </c>
      <c r="AB1925" s="111">
        <f>'Sampling Data'!P1922</f>
        <v>3.0009799118079373E-3</v>
      </c>
      <c r="AC1925" s="111">
        <f>IF(
      SUM(Audit[[#This Row],[Audit Losing Candidate]:[Audit Candidate 6]])
      &lt;&gt;0,
      (Audit[[#This Row],[Winning Candidate]]-Audit[[#This Row],[Losing Candidate]]-(Audit[[#This Row],[Audit Winning Candidate]]-Audit[[#This Row],[Audit Losing Candidate]]))/(Audit[[#Totals],[Winning Candidate]]-Audit[[#Totals],[Losing Candidate]]),
      0
)</f>
        <v>0</v>
      </c>
      <c r="AD19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5" s="111">
        <f>IF(Audit[[#This Row],[Max Relative Error (ep)]] = 0, 0, Audit[[#This Row],[Max Relative Error (ep)]]/Audit[[#This Row],[Error Bound (up) - Max. possible relative overstatement]])</f>
        <v>0</v>
      </c>
      <c r="AJ19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25" s="111">
        <f t="shared" ref="AK1925:AK1988" si="30">IF(ISERR(POWER(AJ1925,L1925)), 0, POWER(AJ1925,L1925))</f>
        <v>1</v>
      </c>
      <c r="AL1925" s="111">
        <f>PRODUCT($AK$5:AK1925)</f>
        <v>8.962823818226312E-2</v>
      </c>
      <c r="AM1925" s="109">
        <f>1 - [K-M P Value]</f>
        <v>0.91037176181773694</v>
      </c>
      <c r="AN1925" s="111" t="str">
        <f>IF(Audit[[#This Row],[K-M P Value]]&gt;1-'General Info'!$B$16,"Continue", "Stop")</f>
        <v>Stop</v>
      </c>
      <c r="AO1925" s="110" t="b">
        <f>IF(Audit[[#This Row],[Status - Continue or stop audit]] = "Continue", TRUE, IF(AN1924 = "Continue", TRUE, FALSE))</f>
        <v>0</v>
      </c>
      <c r="AP1925" s="110"/>
    </row>
    <row r="1926" spans="1:42" ht="15" hidden="1" customHeight="1">
      <c r="A1926" s="111" t="str">
        <f>'Sampling Data'!W1923</f>
        <v/>
      </c>
      <c r="B1926" s="112" t="str">
        <f>'Sampling Data'!A1923</f>
        <v>SOLON -01-A</v>
      </c>
      <c r="C1926" s="112">
        <f>'Sampling Data'!B1923</f>
        <v>26</v>
      </c>
      <c r="D1926" s="112">
        <f>'Sampling Data'!C1923</f>
        <v>98</v>
      </c>
      <c r="E1926" s="113">
        <f>'Sampling Data'!D1923</f>
        <v>13</v>
      </c>
      <c r="F1926" s="113">
        <f>'Sampling Data'!E1923</f>
        <v>4</v>
      </c>
      <c r="G1926" s="113">
        <f>'Sampling Data'!F1923</f>
        <v>1</v>
      </c>
      <c r="H1926" s="113">
        <f>'Sampling Data'!G1923</f>
        <v>1</v>
      </c>
      <c r="I1926" s="112">
        <f>'Sampling Data'!H1923</f>
        <v>0</v>
      </c>
      <c r="J1926" s="112">
        <f>'Sampling Data'!I1923</f>
        <v>1</v>
      </c>
      <c r="K1926" s="112">
        <f>'Sampling Data'!J1923</f>
        <v>144</v>
      </c>
      <c r="L1926" s="111">
        <f>'Sampling Data'!X1923</f>
        <v>0</v>
      </c>
      <c r="M1926" s="114"/>
      <c r="N1926" s="114"/>
      <c r="O1926" s="115"/>
      <c r="P1926" s="115"/>
      <c r="Q1926" s="116"/>
      <c r="R1926" s="116"/>
      <c r="S1926" s="111">
        <f>Audit[[#This Row],[Audit Losing Candidate]]-Audit[[#This Row],[Losing Candidate]]</f>
        <v>-26</v>
      </c>
      <c r="T1926" s="111">
        <f>Audit[[#This Row],[Audit Winning Candidate]]-Audit[[#This Row],[Winning Candidate]]</f>
        <v>-98</v>
      </c>
      <c r="U1926" s="111">
        <f>Audit[[#This Row],[Audit Candidate 3]]-Audit[[#This Row],[Candidate 3]]</f>
        <v>-13</v>
      </c>
      <c r="V1926" s="111">
        <f>Audit[[#This Row],[Audit Candidate 4]]-Audit[[#This Row],[Candidate 4]]</f>
        <v>-4</v>
      </c>
      <c r="W1926" s="111">
        <f>Audit[[#This Row],[Audit Candidate 5]]-Audit[[#This Row],[Candidate 5]]</f>
        <v>-1</v>
      </c>
      <c r="X1926" s="111">
        <f>Audit[[#This Row],[Audit Candidate 6]]-Audit[[#This Row],[Candidate 6]]</f>
        <v>-1</v>
      </c>
      <c r="Y1926" s="111">
        <f>SUMIF(Audit[[#This Row],[Difference Loser]:[Difference Candidate 6]], "&gt;0")</f>
        <v>0</v>
      </c>
      <c r="Z1926" s="111">
        <f>SUM(Audit[[#This Row],[Difference Loser]:[Difference Candidate 6]])</f>
        <v>-143</v>
      </c>
      <c r="AA1926" s="111">
        <f>IF(Audit[[#This Row],[Times p Drawn - With Replacement]]&gt;0, IF(Audit[[#This Row],[Canceled Differences]]&lt;0, Audit[[#This Row],[Max Differences]]+ABS(Audit[[#This Row],[Canceled Differences]]), Audit[[#This Row],[Max Differences]]), 0)</f>
        <v>0</v>
      </c>
      <c r="AB1926" s="111">
        <f>'Sampling Data'!P1923</f>
        <v>1.3228809407153356E-2</v>
      </c>
      <c r="AC1926" s="111">
        <f>IF(
      SUM(Audit[[#This Row],[Audit Losing Candidate]:[Audit Candidate 6]])
      &lt;&gt;0,
      (Audit[[#This Row],[Winning Candidate]]-Audit[[#This Row],[Losing Candidate]]-(Audit[[#This Row],[Audit Winning Candidate]]-Audit[[#This Row],[Audit Losing Candidate]]))/(Audit[[#Totals],[Winning Candidate]]-Audit[[#Totals],[Losing Candidate]]),
      0
)</f>
        <v>0</v>
      </c>
      <c r="AD19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6" s="111">
        <f>IF(Audit[[#This Row],[Max Relative Error (ep)]] = 0, 0, Audit[[#This Row],[Max Relative Error (ep)]]/Audit[[#This Row],[Error Bound (up) - Max. possible relative overstatement]])</f>
        <v>0</v>
      </c>
      <c r="AJ19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26" s="111">
        <f t="shared" si="30"/>
        <v>1</v>
      </c>
      <c r="AL1926" s="111">
        <f>PRODUCT($AK$5:AK1926)</f>
        <v>8.962823818226312E-2</v>
      </c>
      <c r="AM1926" s="109">
        <f>1 - [K-M P Value]</f>
        <v>0.91037176181773694</v>
      </c>
      <c r="AN1926" s="111" t="str">
        <f>IF(Audit[[#This Row],[K-M P Value]]&gt;1-'General Info'!$B$16,"Continue", "Stop")</f>
        <v>Stop</v>
      </c>
      <c r="AO1926" s="110" t="b">
        <f>IF(Audit[[#This Row],[Status - Continue or stop audit]] = "Continue", TRUE, IF(AN1925 = "Continue", TRUE, FALSE))</f>
        <v>0</v>
      </c>
      <c r="AP1926" s="110"/>
    </row>
    <row r="1927" spans="1:42" ht="15" hidden="1" customHeight="1">
      <c r="A1927" s="111" t="str">
        <f>'Sampling Data'!W1924</f>
        <v/>
      </c>
      <c r="B1927" s="112" t="str">
        <f>'Sampling Data'!A1924</f>
        <v>SOLON -01-A - ABS</v>
      </c>
      <c r="C1927" s="112">
        <f>'Sampling Data'!B1924</f>
        <v>15</v>
      </c>
      <c r="D1927" s="112">
        <f>'Sampling Data'!C1924</f>
        <v>26</v>
      </c>
      <c r="E1927" s="113">
        <f>'Sampling Data'!D1924</f>
        <v>12</v>
      </c>
      <c r="F1927" s="113">
        <f>'Sampling Data'!E1924</f>
        <v>5</v>
      </c>
      <c r="G1927" s="113">
        <f>'Sampling Data'!F1924</f>
        <v>0</v>
      </c>
      <c r="H1927" s="113">
        <f>'Sampling Data'!G1924</f>
        <v>0</v>
      </c>
      <c r="I1927" s="112">
        <f>'Sampling Data'!H1924</f>
        <v>0</v>
      </c>
      <c r="J1927" s="112">
        <f>'Sampling Data'!I1924</f>
        <v>0</v>
      </c>
      <c r="K1927" s="112">
        <f>'Sampling Data'!J1924</f>
        <v>58</v>
      </c>
      <c r="L1927" s="111">
        <f>'Sampling Data'!X1924</f>
        <v>0</v>
      </c>
      <c r="M1927" s="114"/>
      <c r="N1927" s="114"/>
      <c r="O1927" s="115"/>
      <c r="P1927" s="115"/>
      <c r="Q1927" s="116"/>
      <c r="R1927" s="116"/>
      <c r="S1927" s="111">
        <f>Audit[[#This Row],[Audit Losing Candidate]]-Audit[[#This Row],[Losing Candidate]]</f>
        <v>-15</v>
      </c>
      <c r="T1927" s="111">
        <f>Audit[[#This Row],[Audit Winning Candidate]]-Audit[[#This Row],[Winning Candidate]]</f>
        <v>-26</v>
      </c>
      <c r="U1927" s="111">
        <f>Audit[[#This Row],[Audit Candidate 3]]-Audit[[#This Row],[Candidate 3]]</f>
        <v>-12</v>
      </c>
      <c r="V1927" s="111">
        <f>Audit[[#This Row],[Audit Candidate 4]]-Audit[[#This Row],[Candidate 4]]</f>
        <v>-5</v>
      </c>
      <c r="W1927" s="111">
        <f>Audit[[#This Row],[Audit Candidate 5]]-Audit[[#This Row],[Candidate 5]]</f>
        <v>0</v>
      </c>
      <c r="X1927" s="111">
        <f>Audit[[#This Row],[Audit Candidate 6]]-Audit[[#This Row],[Candidate 6]]</f>
        <v>0</v>
      </c>
      <c r="Y1927" s="111">
        <f>SUMIF(Audit[[#This Row],[Difference Loser]:[Difference Candidate 6]], "&gt;0")</f>
        <v>0</v>
      </c>
      <c r="Z1927" s="111">
        <f>SUM(Audit[[#This Row],[Difference Loser]:[Difference Candidate 6]])</f>
        <v>-58</v>
      </c>
      <c r="AA1927" s="111">
        <f>IF(Audit[[#This Row],[Times p Drawn - With Replacement]]&gt;0, IF(Audit[[#This Row],[Canceled Differences]]&lt;0, Audit[[#This Row],[Max Differences]]+ABS(Audit[[#This Row],[Canceled Differences]]), Audit[[#This Row],[Max Differences]]), 0)</f>
        <v>0</v>
      </c>
      <c r="AB1927" s="111">
        <f>'Sampling Data'!P1924</f>
        <v>4.2258696717295445E-3</v>
      </c>
      <c r="AC1927" s="111">
        <f>IF(
      SUM(Audit[[#This Row],[Audit Losing Candidate]:[Audit Candidate 6]])
      &lt;&gt;0,
      (Audit[[#This Row],[Winning Candidate]]-Audit[[#This Row],[Losing Candidate]]-(Audit[[#This Row],[Audit Winning Candidate]]-Audit[[#This Row],[Audit Losing Candidate]]))/(Audit[[#Totals],[Winning Candidate]]-Audit[[#Totals],[Losing Candidate]]),
      0
)</f>
        <v>0</v>
      </c>
      <c r="AD19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7" s="111">
        <f>IF(Audit[[#This Row],[Max Relative Error (ep)]] = 0, 0, Audit[[#This Row],[Max Relative Error (ep)]]/Audit[[#This Row],[Error Bound (up) - Max. possible relative overstatement]])</f>
        <v>0</v>
      </c>
      <c r="AJ19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27" s="111">
        <f t="shared" si="30"/>
        <v>1</v>
      </c>
      <c r="AL1927" s="111">
        <f>PRODUCT($AK$5:AK1927)</f>
        <v>8.962823818226312E-2</v>
      </c>
      <c r="AM1927" s="109">
        <f>1 - [K-M P Value]</f>
        <v>0.91037176181773694</v>
      </c>
      <c r="AN1927" s="111" t="str">
        <f>IF(Audit[[#This Row],[K-M P Value]]&gt;1-'General Info'!$B$16,"Continue", "Stop")</f>
        <v>Stop</v>
      </c>
      <c r="AO1927" s="110" t="b">
        <f>IF(Audit[[#This Row],[Status - Continue or stop audit]] = "Continue", TRUE, IF(AN1926 = "Continue", TRUE, FALSE))</f>
        <v>0</v>
      </c>
      <c r="AP1927" s="110"/>
    </row>
    <row r="1928" spans="1:42" ht="15" hidden="1" customHeight="1">
      <c r="A1928" s="111" t="str">
        <f>'Sampling Data'!W1925</f>
        <v/>
      </c>
      <c r="B1928" s="112" t="str">
        <f>'Sampling Data'!A1925</f>
        <v>SOLON -01-B</v>
      </c>
      <c r="C1928" s="112">
        <f>'Sampling Data'!B1925</f>
        <v>22</v>
      </c>
      <c r="D1928" s="112">
        <f>'Sampling Data'!C1925</f>
        <v>79</v>
      </c>
      <c r="E1928" s="113">
        <f>'Sampling Data'!D1925</f>
        <v>11</v>
      </c>
      <c r="F1928" s="113">
        <f>'Sampling Data'!E1925</f>
        <v>11</v>
      </c>
      <c r="G1928" s="113">
        <f>'Sampling Data'!F1925</f>
        <v>0</v>
      </c>
      <c r="H1928" s="113">
        <f>'Sampling Data'!G1925</f>
        <v>0</v>
      </c>
      <c r="I1928" s="112">
        <f>'Sampling Data'!H1925</f>
        <v>0</v>
      </c>
      <c r="J1928" s="112">
        <f>'Sampling Data'!I1925</f>
        <v>1</v>
      </c>
      <c r="K1928" s="112">
        <f>'Sampling Data'!J1925</f>
        <v>124</v>
      </c>
      <c r="L1928" s="111">
        <f>'Sampling Data'!X1925</f>
        <v>0</v>
      </c>
      <c r="M1928" s="114"/>
      <c r="N1928" s="114"/>
      <c r="O1928" s="115"/>
      <c r="P1928" s="115"/>
      <c r="Q1928" s="116"/>
      <c r="R1928" s="116"/>
      <c r="S1928" s="111">
        <f>Audit[[#This Row],[Audit Losing Candidate]]-Audit[[#This Row],[Losing Candidate]]</f>
        <v>-22</v>
      </c>
      <c r="T1928" s="111">
        <f>Audit[[#This Row],[Audit Winning Candidate]]-Audit[[#This Row],[Winning Candidate]]</f>
        <v>-79</v>
      </c>
      <c r="U1928" s="111">
        <f>Audit[[#This Row],[Audit Candidate 3]]-Audit[[#This Row],[Candidate 3]]</f>
        <v>-11</v>
      </c>
      <c r="V1928" s="111">
        <f>Audit[[#This Row],[Audit Candidate 4]]-Audit[[#This Row],[Candidate 4]]</f>
        <v>-11</v>
      </c>
      <c r="W1928" s="111">
        <f>Audit[[#This Row],[Audit Candidate 5]]-Audit[[#This Row],[Candidate 5]]</f>
        <v>0</v>
      </c>
      <c r="X1928" s="111">
        <f>Audit[[#This Row],[Audit Candidate 6]]-Audit[[#This Row],[Candidate 6]]</f>
        <v>0</v>
      </c>
      <c r="Y1928" s="111">
        <f>SUMIF(Audit[[#This Row],[Difference Loser]:[Difference Candidate 6]], "&gt;0")</f>
        <v>0</v>
      </c>
      <c r="Z1928" s="111">
        <f>SUM(Audit[[#This Row],[Difference Loser]:[Difference Candidate 6]])</f>
        <v>-123</v>
      </c>
      <c r="AA1928" s="111">
        <f>IF(Audit[[#This Row],[Times p Drawn - With Replacement]]&gt;0, IF(Audit[[#This Row],[Canceled Differences]]&lt;0, Audit[[#This Row],[Max Differences]]+ABS(Audit[[#This Row],[Canceled Differences]]), Audit[[#This Row],[Max Differences]]), 0)</f>
        <v>0</v>
      </c>
      <c r="AB1928" s="111">
        <f>'Sampling Data'!P1925</f>
        <v>1.1085252327290544E-2</v>
      </c>
      <c r="AC1928" s="111">
        <f>IF(
      SUM(Audit[[#This Row],[Audit Losing Candidate]:[Audit Candidate 6]])
      &lt;&gt;0,
      (Audit[[#This Row],[Winning Candidate]]-Audit[[#This Row],[Losing Candidate]]-(Audit[[#This Row],[Audit Winning Candidate]]-Audit[[#This Row],[Audit Losing Candidate]]))/(Audit[[#Totals],[Winning Candidate]]-Audit[[#Totals],[Losing Candidate]]),
      0
)</f>
        <v>0</v>
      </c>
      <c r="AD19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8" s="111">
        <f>IF(Audit[[#This Row],[Max Relative Error (ep)]] = 0, 0, Audit[[#This Row],[Max Relative Error (ep)]]/Audit[[#This Row],[Error Bound (up) - Max. possible relative overstatement]])</f>
        <v>0</v>
      </c>
      <c r="AJ19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28" s="111">
        <f t="shared" si="30"/>
        <v>1</v>
      </c>
      <c r="AL1928" s="111">
        <f>PRODUCT($AK$5:AK1928)</f>
        <v>8.962823818226312E-2</v>
      </c>
      <c r="AM1928" s="109">
        <f>1 - [K-M P Value]</f>
        <v>0.91037176181773694</v>
      </c>
      <c r="AN1928" s="111" t="str">
        <f>IF(Audit[[#This Row],[K-M P Value]]&gt;1-'General Info'!$B$16,"Continue", "Stop")</f>
        <v>Stop</v>
      </c>
      <c r="AO1928" s="110" t="b">
        <f>IF(Audit[[#This Row],[Status - Continue or stop audit]] = "Continue", TRUE, IF(AN1927 = "Continue", TRUE, FALSE))</f>
        <v>0</v>
      </c>
      <c r="AP1928" s="110"/>
    </row>
    <row r="1929" spans="1:42" ht="15" hidden="1" customHeight="1">
      <c r="A1929" s="111" t="str">
        <f>'Sampling Data'!W1926</f>
        <v/>
      </c>
      <c r="B1929" s="112" t="str">
        <f>'Sampling Data'!A1926</f>
        <v>SOLON -01-B - ABS</v>
      </c>
      <c r="C1929" s="112">
        <f>'Sampling Data'!B1926</f>
        <v>20</v>
      </c>
      <c r="D1929" s="112">
        <f>'Sampling Data'!C1926</f>
        <v>29</v>
      </c>
      <c r="E1929" s="113">
        <f>'Sampling Data'!D1926</f>
        <v>7</v>
      </c>
      <c r="F1929" s="113">
        <f>'Sampling Data'!E1926</f>
        <v>8</v>
      </c>
      <c r="G1929" s="113">
        <f>'Sampling Data'!F1926</f>
        <v>0</v>
      </c>
      <c r="H1929" s="113">
        <f>'Sampling Data'!G1926</f>
        <v>0</v>
      </c>
      <c r="I1929" s="112">
        <f>'Sampling Data'!H1926</f>
        <v>0</v>
      </c>
      <c r="J1929" s="112">
        <f>'Sampling Data'!I1926</f>
        <v>0</v>
      </c>
      <c r="K1929" s="112">
        <f>'Sampling Data'!J1926</f>
        <v>64</v>
      </c>
      <c r="L1929" s="111">
        <f>'Sampling Data'!X1926</f>
        <v>0</v>
      </c>
      <c r="M1929" s="114"/>
      <c r="N1929" s="114"/>
      <c r="O1929" s="115"/>
      <c r="P1929" s="115"/>
      <c r="Q1929" s="116"/>
      <c r="R1929" s="116"/>
      <c r="S1929" s="111">
        <f>Audit[[#This Row],[Audit Losing Candidate]]-Audit[[#This Row],[Losing Candidate]]</f>
        <v>-20</v>
      </c>
      <c r="T1929" s="111">
        <f>Audit[[#This Row],[Audit Winning Candidate]]-Audit[[#This Row],[Winning Candidate]]</f>
        <v>-29</v>
      </c>
      <c r="U1929" s="111">
        <f>Audit[[#This Row],[Audit Candidate 3]]-Audit[[#This Row],[Candidate 3]]</f>
        <v>-7</v>
      </c>
      <c r="V1929" s="111">
        <f>Audit[[#This Row],[Audit Candidate 4]]-Audit[[#This Row],[Candidate 4]]</f>
        <v>-8</v>
      </c>
      <c r="W1929" s="111">
        <f>Audit[[#This Row],[Audit Candidate 5]]-Audit[[#This Row],[Candidate 5]]</f>
        <v>0</v>
      </c>
      <c r="X1929" s="111">
        <f>Audit[[#This Row],[Audit Candidate 6]]-Audit[[#This Row],[Candidate 6]]</f>
        <v>0</v>
      </c>
      <c r="Y1929" s="111">
        <f>SUMIF(Audit[[#This Row],[Difference Loser]:[Difference Candidate 6]], "&gt;0")</f>
        <v>0</v>
      </c>
      <c r="Z1929" s="111">
        <f>SUM(Audit[[#This Row],[Difference Loser]:[Difference Candidate 6]])</f>
        <v>-64</v>
      </c>
      <c r="AA1929" s="111">
        <f>IF(Audit[[#This Row],[Times p Drawn - With Replacement]]&gt;0, IF(Audit[[#This Row],[Canceled Differences]]&lt;0, Audit[[#This Row],[Max Differences]]+ABS(Audit[[#This Row],[Canceled Differences]]), Audit[[#This Row],[Max Differences]]), 0)</f>
        <v>0</v>
      </c>
      <c r="AB1929" s="111">
        <f>'Sampling Data'!P1926</f>
        <v>4.4708476237138662E-3</v>
      </c>
      <c r="AC1929" s="111">
        <f>IF(
      SUM(Audit[[#This Row],[Audit Losing Candidate]:[Audit Candidate 6]])
      &lt;&gt;0,
      (Audit[[#This Row],[Winning Candidate]]-Audit[[#This Row],[Losing Candidate]]-(Audit[[#This Row],[Audit Winning Candidate]]-Audit[[#This Row],[Audit Losing Candidate]]))/(Audit[[#Totals],[Winning Candidate]]-Audit[[#Totals],[Losing Candidate]]),
      0
)</f>
        <v>0</v>
      </c>
      <c r="AD19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9" s="111">
        <f>IF(Audit[[#This Row],[Max Relative Error (ep)]] = 0, 0, Audit[[#This Row],[Max Relative Error (ep)]]/Audit[[#This Row],[Error Bound (up) - Max. possible relative overstatement]])</f>
        <v>0</v>
      </c>
      <c r="AJ19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29" s="111">
        <f t="shared" si="30"/>
        <v>1</v>
      </c>
      <c r="AL1929" s="111">
        <f>PRODUCT($AK$5:AK1929)</f>
        <v>8.962823818226312E-2</v>
      </c>
      <c r="AM1929" s="109">
        <f>1 - [K-M P Value]</f>
        <v>0.91037176181773694</v>
      </c>
      <c r="AN1929" s="111" t="str">
        <f>IF(Audit[[#This Row],[K-M P Value]]&gt;1-'General Info'!$B$16,"Continue", "Stop")</f>
        <v>Stop</v>
      </c>
      <c r="AO1929" s="110" t="b">
        <f>IF(Audit[[#This Row],[Status - Continue or stop audit]] = "Continue", TRUE, IF(AN1928 = "Continue", TRUE, FALSE))</f>
        <v>0</v>
      </c>
      <c r="AP1929" s="110"/>
    </row>
    <row r="1930" spans="1:42" ht="15" hidden="1" customHeight="1">
      <c r="A1930" s="111" t="str">
        <f>'Sampling Data'!W1928</f>
        <v/>
      </c>
      <c r="B1930" s="112" t="str">
        <f>'Sampling Data'!A1928</f>
        <v>SOLON -02-A - ABS</v>
      </c>
      <c r="C1930" s="112">
        <f>'Sampling Data'!B1928</f>
        <v>6</v>
      </c>
      <c r="D1930" s="112">
        <f>'Sampling Data'!C1928</f>
        <v>17</v>
      </c>
      <c r="E1930" s="113">
        <f>'Sampling Data'!D1928</f>
        <v>3</v>
      </c>
      <c r="F1930" s="113">
        <f>'Sampling Data'!E1928</f>
        <v>3</v>
      </c>
      <c r="G1930" s="113">
        <f>'Sampling Data'!F1928</f>
        <v>1</v>
      </c>
      <c r="H1930" s="113">
        <f>'Sampling Data'!G1928</f>
        <v>0</v>
      </c>
      <c r="I1930" s="112">
        <f>'Sampling Data'!H1928</f>
        <v>0</v>
      </c>
      <c r="J1930" s="112">
        <f>'Sampling Data'!I1928</f>
        <v>0</v>
      </c>
      <c r="K1930" s="112">
        <f>'Sampling Data'!J1928</f>
        <v>30</v>
      </c>
      <c r="L1930" s="111">
        <f>'Sampling Data'!X1928</f>
        <v>0</v>
      </c>
      <c r="M1930" s="114"/>
      <c r="N1930" s="114"/>
      <c r="O1930" s="115"/>
      <c r="P1930" s="115"/>
      <c r="Q1930" s="116"/>
      <c r="R1930" s="116"/>
      <c r="S1930" s="111">
        <f>Audit[[#This Row],[Audit Losing Candidate]]-Audit[[#This Row],[Losing Candidate]]</f>
        <v>-6</v>
      </c>
      <c r="T1930" s="111">
        <f>Audit[[#This Row],[Audit Winning Candidate]]-Audit[[#This Row],[Winning Candidate]]</f>
        <v>-17</v>
      </c>
      <c r="U1930" s="111">
        <f>Audit[[#This Row],[Audit Candidate 3]]-Audit[[#This Row],[Candidate 3]]</f>
        <v>-3</v>
      </c>
      <c r="V1930" s="111">
        <f>Audit[[#This Row],[Audit Candidate 4]]-Audit[[#This Row],[Candidate 4]]</f>
        <v>-3</v>
      </c>
      <c r="W1930" s="111">
        <f>Audit[[#This Row],[Audit Candidate 5]]-Audit[[#This Row],[Candidate 5]]</f>
        <v>-1</v>
      </c>
      <c r="X1930" s="111">
        <f>Audit[[#This Row],[Audit Candidate 6]]-Audit[[#This Row],[Candidate 6]]</f>
        <v>0</v>
      </c>
      <c r="Y1930" s="111">
        <f>SUMIF(Audit[[#This Row],[Difference Loser]:[Difference Candidate 6]], "&gt;0")</f>
        <v>0</v>
      </c>
      <c r="Z1930" s="111">
        <f>SUM(Audit[[#This Row],[Difference Loser]:[Difference Candidate 6]])</f>
        <v>-30</v>
      </c>
      <c r="AA1930" s="111">
        <f>IF(Audit[[#This Row],[Times p Drawn - With Replacement]]&gt;0, IF(Audit[[#This Row],[Canceled Differences]]&lt;0, Audit[[#This Row],[Max Differences]]+ABS(Audit[[#This Row],[Canceled Differences]]), Audit[[#This Row],[Max Differences]]), 0)</f>
        <v>0</v>
      </c>
      <c r="AB1930" s="111">
        <f>'Sampling Data'!P1928</f>
        <v>2.5110240078392945E-3</v>
      </c>
      <c r="AC1930" s="111">
        <f>IF(
      SUM(Audit[[#This Row],[Audit Losing Candidate]:[Audit Candidate 6]])
      &lt;&gt;0,
      (Audit[[#This Row],[Winning Candidate]]-Audit[[#This Row],[Losing Candidate]]-(Audit[[#This Row],[Audit Winning Candidate]]-Audit[[#This Row],[Audit Losing Candidate]]))/(Audit[[#Totals],[Winning Candidate]]-Audit[[#Totals],[Losing Candidate]]),
      0
)</f>
        <v>0</v>
      </c>
      <c r="AD19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0" s="111">
        <f>IF(Audit[[#This Row],[Max Relative Error (ep)]] = 0, 0, Audit[[#This Row],[Max Relative Error (ep)]]/Audit[[#This Row],[Error Bound (up) - Max. possible relative overstatement]])</f>
        <v>0</v>
      </c>
      <c r="AJ19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30" s="111">
        <f t="shared" si="30"/>
        <v>1</v>
      </c>
      <c r="AL1930" s="111">
        <f>PRODUCT($AK$5:AK1930)</f>
        <v>8.962823818226312E-2</v>
      </c>
      <c r="AM1930" s="109">
        <f>1 - [K-M P Value]</f>
        <v>0.91037176181773694</v>
      </c>
      <c r="AN1930" s="111" t="str">
        <f>IF(Audit[[#This Row],[K-M P Value]]&gt;1-'General Info'!$B$16,"Continue", "Stop")</f>
        <v>Stop</v>
      </c>
      <c r="AO1930" s="110" t="b">
        <f>IF(Audit[[#This Row],[Status - Continue or stop audit]] = "Continue", TRUE, IF(AN1929 = "Continue", TRUE, FALSE))</f>
        <v>0</v>
      </c>
      <c r="AP1930" s="110"/>
    </row>
    <row r="1931" spans="1:42" ht="15" hidden="1" customHeight="1">
      <c r="A1931" s="111" t="str">
        <f>'Sampling Data'!W1929</f>
        <v/>
      </c>
      <c r="B1931" s="112" t="str">
        <f>'Sampling Data'!A1929</f>
        <v>SOLON -02-B</v>
      </c>
      <c r="C1931" s="112">
        <f>'Sampling Data'!B1929</f>
        <v>14</v>
      </c>
      <c r="D1931" s="112">
        <f>'Sampling Data'!C1929</f>
        <v>44</v>
      </c>
      <c r="E1931" s="113">
        <f>'Sampling Data'!D1929</f>
        <v>11</v>
      </c>
      <c r="F1931" s="113">
        <f>'Sampling Data'!E1929</f>
        <v>10</v>
      </c>
      <c r="G1931" s="113">
        <f>'Sampling Data'!F1929</f>
        <v>0</v>
      </c>
      <c r="H1931" s="113">
        <f>'Sampling Data'!G1929</f>
        <v>0</v>
      </c>
      <c r="I1931" s="112">
        <f>'Sampling Data'!H1929</f>
        <v>0</v>
      </c>
      <c r="J1931" s="112">
        <f>'Sampling Data'!I1929</f>
        <v>1</v>
      </c>
      <c r="K1931" s="112">
        <f>'Sampling Data'!J1929</f>
        <v>80</v>
      </c>
      <c r="L1931" s="111">
        <f>'Sampling Data'!X1929</f>
        <v>0</v>
      </c>
      <c r="M1931" s="114"/>
      <c r="N1931" s="114"/>
      <c r="O1931" s="115"/>
      <c r="P1931" s="115"/>
      <c r="Q1931" s="116"/>
      <c r="R1931" s="116"/>
      <c r="S1931" s="111">
        <f>Audit[[#This Row],[Audit Losing Candidate]]-Audit[[#This Row],[Losing Candidate]]</f>
        <v>-14</v>
      </c>
      <c r="T1931" s="111">
        <f>Audit[[#This Row],[Audit Winning Candidate]]-Audit[[#This Row],[Winning Candidate]]</f>
        <v>-44</v>
      </c>
      <c r="U1931" s="111">
        <f>Audit[[#This Row],[Audit Candidate 3]]-Audit[[#This Row],[Candidate 3]]</f>
        <v>-11</v>
      </c>
      <c r="V1931" s="111">
        <f>Audit[[#This Row],[Audit Candidate 4]]-Audit[[#This Row],[Candidate 4]]</f>
        <v>-10</v>
      </c>
      <c r="W1931" s="111">
        <f>Audit[[#This Row],[Audit Candidate 5]]-Audit[[#This Row],[Candidate 5]]</f>
        <v>0</v>
      </c>
      <c r="X1931" s="111">
        <f>Audit[[#This Row],[Audit Candidate 6]]-Audit[[#This Row],[Candidate 6]]</f>
        <v>0</v>
      </c>
      <c r="Y1931" s="111">
        <f>SUMIF(Audit[[#This Row],[Difference Loser]:[Difference Candidate 6]], "&gt;0")</f>
        <v>0</v>
      </c>
      <c r="Z1931" s="111">
        <f>SUM(Audit[[#This Row],[Difference Loser]:[Difference Candidate 6]])</f>
        <v>-79</v>
      </c>
      <c r="AA1931" s="111">
        <f>IF(Audit[[#This Row],[Times p Drawn - With Replacement]]&gt;0, IF(Audit[[#This Row],[Canceled Differences]]&lt;0, Audit[[#This Row],[Max Differences]]+ABS(Audit[[#This Row],[Canceled Differences]]), Audit[[#This Row],[Max Differences]]), 0)</f>
        <v>0</v>
      </c>
      <c r="AB1931" s="111">
        <f>'Sampling Data'!P1929</f>
        <v>6.7368936795688386E-3</v>
      </c>
      <c r="AC1931" s="111">
        <f>IF(
      SUM(Audit[[#This Row],[Audit Losing Candidate]:[Audit Candidate 6]])
      &lt;&gt;0,
      (Audit[[#This Row],[Winning Candidate]]-Audit[[#This Row],[Losing Candidate]]-(Audit[[#This Row],[Audit Winning Candidate]]-Audit[[#This Row],[Audit Losing Candidate]]))/(Audit[[#Totals],[Winning Candidate]]-Audit[[#Totals],[Losing Candidate]]),
      0
)</f>
        <v>0</v>
      </c>
      <c r="AD19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1" s="111">
        <f>IF(Audit[[#This Row],[Max Relative Error (ep)]] = 0, 0, Audit[[#This Row],[Max Relative Error (ep)]]/Audit[[#This Row],[Error Bound (up) - Max. possible relative overstatement]])</f>
        <v>0</v>
      </c>
      <c r="AJ19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31" s="111">
        <f t="shared" si="30"/>
        <v>1</v>
      </c>
      <c r="AL1931" s="111">
        <f>PRODUCT($AK$5:AK1931)</f>
        <v>8.962823818226312E-2</v>
      </c>
      <c r="AM1931" s="109">
        <f>1 - [K-M P Value]</f>
        <v>0.91037176181773694</v>
      </c>
      <c r="AN1931" s="111" t="str">
        <f>IF(Audit[[#This Row],[K-M P Value]]&gt;1-'General Info'!$B$16,"Continue", "Stop")</f>
        <v>Stop</v>
      </c>
      <c r="AO1931" s="110" t="b">
        <f>IF(Audit[[#This Row],[Status - Continue or stop audit]] = "Continue", TRUE, IF(AN1930 = "Continue", TRUE, FALSE))</f>
        <v>0</v>
      </c>
      <c r="AP1931" s="110"/>
    </row>
    <row r="1932" spans="1:42" ht="15" hidden="1" customHeight="1">
      <c r="A1932" s="111" t="str">
        <f>'Sampling Data'!W1930</f>
        <v/>
      </c>
      <c r="B1932" s="112" t="str">
        <f>'Sampling Data'!A1930</f>
        <v>SOLON -02-B - ABS</v>
      </c>
      <c r="C1932" s="112">
        <f>'Sampling Data'!B1930</f>
        <v>5</v>
      </c>
      <c r="D1932" s="112">
        <f>'Sampling Data'!C1930</f>
        <v>13</v>
      </c>
      <c r="E1932" s="113">
        <f>'Sampling Data'!D1930</f>
        <v>5</v>
      </c>
      <c r="F1932" s="113">
        <f>'Sampling Data'!E1930</f>
        <v>0</v>
      </c>
      <c r="G1932" s="113">
        <f>'Sampling Data'!F1930</f>
        <v>1</v>
      </c>
      <c r="H1932" s="113">
        <f>'Sampling Data'!G1930</f>
        <v>0</v>
      </c>
      <c r="I1932" s="112">
        <f>'Sampling Data'!H1930</f>
        <v>0</v>
      </c>
      <c r="J1932" s="112">
        <f>'Sampling Data'!I1930</f>
        <v>0</v>
      </c>
      <c r="K1932" s="112">
        <f>'Sampling Data'!J1930</f>
        <v>24</v>
      </c>
      <c r="L1932" s="111">
        <f>'Sampling Data'!X1930</f>
        <v>0</v>
      </c>
      <c r="M1932" s="114"/>
      <c r="N1932" s="114"/>
      <c r="O1932" s="115"/>
      <c r="P1932" s="115"/>
      <c r="Q1932" s="116"/>
      <c r="R1932" s="116"/>
      <c r="S1932" s="111">
        <f>Audit[[#This Row],[Audit Losing Candidate]]-Audit[[#This Row],[Losing Candidate]]</f>
        <v>-5</v>
      </c>
      <c r="T1932" s="111">
        <f>Audit[[#This Row],[Audit Winning Candidate]]-Audit[[#This Row],[Winning Candidate]]</f>
        <v>-13</v>
      </c>
      <c r="U1932" s="111">
        <f>Audit[[#This Row],[Audit Candidate 3]]-Audit[[#This Row],[Candidate 3]]</f>
        <v>-5</v>
      </c>
      <c r="V1932" s="111">
        <f>Audit[[#This Row],[Audit Candidate 4]]-Audit[[#This Row],[Candidate 4]]</f>
        <v>0</v>
      </c>
      <c r="W1932" s="111">
        <f>Audit[[#This Row],[Audit Candidate 5]]-Audit[[#This Row],[Candidate 5]]</f>
        <v>-1</v>
      </c>
      <c r="X1932" s="111">
        <f>Audit[[#This Row],[Audit Candidate 6]]-Audit[[#This Row],[Candidate 6]]</f>
        <v>0</v>
      </c>
      <c r="Y1932" s="111">
        <f>SUMIF(Audit[[#This Row],[Difference Loser]:[Difference Candidate 6]], "&gt;0")</f>
        <v>0</v>
      </c>
      <c r="Z1932" s="111">
        <f>SUM(Audit[[#This Row],[Difference Loser]:[Difference Candidate 6]])</f>
        <v>-24</v>
      </c>
      <c r="AA1932" s="111">
        <f>IF(Audit[[#This Row],[Times p Drawn - With Replacement]]&gt;0, IF(Audit[[#This Row],[Canceled Differences]]&lt;0, Audit[[#This Row],[Max Differences]]+ABS(Audit[[#This Row],[Canceled Differences]]), Audit[[#This Row],[Max Differences]]), 0)</f>
        <v>0</v>
      </c>
      <c r="AB1932" s="111">
        <f>'Sampling Data'!P1930</f>
        <v>1.9598236158745713E-3</v>
      </c>
      <c r="AC1932" s="111">
        <f>IF(
      SUM(Audit[[#This Row],[Audit Losing Candidate]:[Audit Candidate 6]])
      &lt;&gt;0,
      (Audit[[#This Row],[Winning Candidate]]-Audit[[#This Row],[Losing Candidate]]-(Audit[[#This Row],[Audit Winning Candidate]]-Audit[[#This Row],[Audit Losing Candidate]]))/(Audit[[#Totals],[Winning Candidate]]-Audit[[#Totals],[Losing Candidate]]),
      0
)</f>
        <v>0</v>
      </c>
      <c r="AD19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2" s="111">
        <f>IF(Audit[[#This Row],[Max Relative Error (ep)]] = 0, 0, Audit[[#This Row],[Max Relative Error (ep)]]/Audit[[#This Row],[Error Bound (up) - Max. possible relative overstatement]])</f>
        <v>0</v>
      </c>
      <c r="AJ19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32" s="111">
        <f t="shared" si="30"/>
        <v>1</v>
      </c>
      <c r="AL1932" s="111">
        <f>PRODUCT($AK$5:AK1932)</f>
        <v>8.962823818226312E-2</v>
      </c>
      <c r="AM1932" s="109">
        <f>1 - [K-M P Value]</f>
        <v>0.91037176181773694</v>
      </c>
      <c r="AN1932" s="111" t="str">
        <f>IF(Audit[[#This Row],[K-M P Value]]&gt;1-'General Info'!$B$16,"Continue", "Stop")</f>
        <v>Stop</v>
      </c>
      <c r="AO1932" s="110" t="b">
        <f>IF(Audit[[#This Row],[Status - Continue or stop audit]] = "Continue", TRUE, IF(AN1931 = "Continue", TRUE, FALSE))</f>
        <v>0</v>
      </c>
      <c r="AP1932" s="110"/>
    </row>
    <row r="1933" spans="1:42" ht="15" hidden="1" customHeight="1">
      <c r="A1933" s="111" t="str">
        <f>'Sampling Data'!W1931</f>
        <v/>
      </c>
      <c r="B1933" s="112" t="str">
        <f>'Sampling Data'!A1931</f>
        <v>SOLON -03-A</v>
      </c>
      <c r="C1933" s="112">
        <f>'Sampling Data'!B1931</f>
        <v>25</v>
      </c>
      <c r="D1933" s="112">
        <f>'Sampling Data'!C1931</f>
        <v>94</v>
      </c>
      <c r="E1933" s="113">
        <f>'Sampling Data'!D1931</f>
        <v>19</v>
      </c>
      <c r="F1933" s="113">
        <f>'Sampling Data'!E1931</f>
        <v>10</v>
      </c>
      <c r="G1933" s="113">
        <f>'Sampling Data'!F1931</f>
        <v>1</v>
      </c>
      <c r="H1933" s="113">
        <f>'Sampling Data'!G1931</f>
        <v>0</v>
      </c>
      <c r="I1933" s="112">
        <f>'Sampling Data'!H1931</f>
        <v>0</v>
      </c>
      <c r="J1933" s="112">
        <f>'Sampling Data'!I1931</f>
        <v>2</v>
      </c>
      <c r="K1933" s="112">
        <f>'Sampling Data'!J1931</f>
        <v>151</v>
      </c>
      <c r="L1933" s="111">
        <f>'Sampling Data'!X1931</f>
        <v>0</v>
      </c>
      <c r="M1933" s="114"/>
      <c r="N1933" s="114"/>
      <c r="O1933" s="115"/>
      <c r="P1933" s="115"/>
      <c r="Q1933" s="116"/>
      <c r="R1933" s="116"/>
      <c r="S1933" s="111">
        <f>Audit[[#This Row],[Audit Losing Candidate]]-Audit[[#This Row],[Losing Candidate]]</f>
        <v>-25</v>
      </c>
      <c r="T1933" s="111">
        <f>Audit[[#This Row],[Audit Winning Candidate]]-Audit[[#This Row],[Winning Candidate]]</f>
        <v>-94</v>
      </c>
      <c r="U1933" s="111">
        <f>Audit[[#This Row],[Audit Candidate 3]]-Audit[[#This Row],[Candidate 3]]</f>
        <v>-19</v>
      </c>
      <c r="V1933" s="111">
        <f>Audit[[#This Row],[Audit Candidate 4]]-Audit[[#This Row],[Candidate 4]]</f>
        <v>-10</v>
      </c>
      <c r="W1933" s="111">
        <f>Audit[[#This Row],[Audit Candidate 5]]-Audit[[#This Row],[Candidate 5]]</f>
        <v>-1</v>
      </c>
      <c r="X1933" s="111">
        <f>Audit[[#This Row],[Audit Candidate 6]]-Audit[[#This Row],[Candidate 6]]</f>
        <v>0</v>
      </c>
      <c r="Y1933" s="111">
        <f>SUMIF(Audit[[#This Row],[Difference Loser]:[Difference Candidate 6]], "&gt;0")</f>
        <v>0</v>
      </c>
      <c r="Z1933" s="111">
        <f>SUM(Audit[[#This Row],[Difference Loser]:[Difference Candidate 6]])</f>
        <v>-149</v>
      </c>
      <c r="AA1933" s="111">
        <f>IF(Audit[[#This Row],[Times p Drawn - With Replacement]]&gt;0, IF(Audit[[#This Row],[Canceled Differences]]&lt;0, Audit[[#This Row],[Max Differences]]+ABS(Audit[[#This Row],[Canceled Differences]]), Audit[[#This Row],[Max Differences]]), 0)</f>
        <v>0</v>
      </c>
      <c r="AB1933" s="111">
        <f>'Sampling Data'!P1931</f>
        <v>1.3473787359137677E-2</v>
      </c>
      <c r="AC1933" s="111">
        <f>IF(
      SUM(Audit[[#This Row],[Audit Losing Candidate]:[Audit Candidate 6]])
      &lt;&gt;0,
      (Audit[[#This Row],[Winning Candidate]]-Audit[[#This Row],[Losing Candidate]]-(Audit[[#This Row],[Audit Winning Candidate]]-Audit[[#This Row],[Audit Losing Candidate]]))/(Audit[[#Totals],[Winning Candidate]]-Audit[[#Totals],[Losing Candidate]]),
      0
)</f>
        <v>0</v>
      </c>
      <c r="AD19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3" s="111">
        <f>IF(Audit[[#This Row],[Max Relative Error (ep)]] = 0, 0, Audit[[#This Row],[Max Relative Error (ep)]]/Audit[[#This Row],[Error Bound (up) - Max. possible relative overstatement]])</f>
        <v>0</v>
      </c>
      <c r="AJ19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33" s="111">
        <f t="shared" si="30"/>
        <v>1</v>
      </c>
      <c r="AL1933" s="111">
        <f>PRODUCT($AK$5:AK1933)</f>
        <v>8.962823818226312E-2</v>
      </c>
      <c r="AM1933" s="109">
        <f>1 - [K-M P Value]</f>
        <v>0.91037176181773694</v>
      </c>
      <c r="AN1933" s="111" t="str">
        <f>IF(Audit[[#This Row],[K-M P Value]]&gt;1-'General Info'!$B$16,"Continue", "Stop")</f>
        <v>Stop</v>
      </c>
      <c r="AO1933" s="110" t="b">
        <f>IF(Audit[[#This Row],[Status - Continue or stop audit]] = "Continue", TRUE, IF(AN1932 = "Continue", TRUE, FALSE))</f>
        <v>0</v>
      </c>
      <c r="AP1933" s="110"/>
    </row>
    <row r="1934" spans="1:42" ht="15" hidden="1" customHeight="1">
      <c r="A1934" s="111" t="str">
        <f>'Sampling Data'!W1932</f>
        <v/>
      </c>
      <c r="B1934" s="112" t="str">
        <f>'Sampling Data'!A1932</f>
        <v>SOLON -03-A - ABS</v>
      </c>
      <c r="C1934" s="112">
        <f>'Sampling Data'!B1932</f>
        <v>12</v>
      </c>
      <c r="D1934" s="112">
        <f>'Sampling Data'!C1932</f>
        <v>27</v>
      </c>
      <c r="E1934" s="113">
        <f>'Sampling Data'!D1932</f>
        <v>5</v>
      </c>
      <c r="F1934" s="113">
        <f>'Sampling Data'!E1932</f>
        <v>4</v>
      </c>
      <c r="G1934" s="113">
        <f>'Sampling Data'!F1932</f>
        <v>0</v>
      </c>
      <c r="H1934" s="113">
        <f>'Sampling Data'!G1932</f>
        <v>0</v>
      </c>
      <c r="I1934" s="112">
        <f>'Sampling Data'!H1932</f>
        <v>0</v>
      </c>
      <c r="J1934" s="112">
        <f>'Sampling Data'!I1932</f>
        <v>0</v>
      </c>
      <c r="K1934" s="112">
        <f>'Sampling Data'!J1932</f>
        <v>48</v>
      </c>
      <c r="L1934" s="111">
        <f>'Sampling Data'!X1932</f>
        <v>0</v>
      </c>
      <c r="M1934" s="114"/>
      <c r="N1934" s="114"/>
      <c r="O1934" s="115"/>
      <c r="P1934" s="115"/>
      <c r="Q1934" s="116"/>
      <c r="R1934" s="116"/>
      <c r="S1934" s="111">
        <f>Audit[[#This Row],[Audit Losing Candidate]]-Audit[[#This Row],[Losing Candidate]]</f>
        <v>-12</v>
      </c>
      <c r="T1934" s="111">
        <f>Audit[[#This Row],[Audit Winning Candidate]]-Audit[[#This Row],[Winning Candidate]]</f>
        <v>-27</v>
      </c>
      <c r="U1934" s="111">
        <f>Audit[[#This Row],[Audit Candidate 3]]-Audit[[#This Row],[Candidate 3]]</f>
        <v>-5</v>
      </c>
      <c r="V1934" s="111">
        <f>Audit[[#This Row],[Audit Candidate 4]]-Audit[[#This Row],[Candidate 4]]</f>
        <v>-4</v>
      </c>
      <c r="W1934" s="111">
        <f>Audit[[#This Row],[Audit Candidate 5]]-Audit[[#This Row],[Candidate 5]]</f>
        <v>0</v>
      </c>
      <c r="X1934" s="111">
        <f>Audit[[#This Row],[Audit Candidate 6]]-Audit[[#This Row],[Candidate 6]]</f>
        <v>0</v>
      </c>
      <c r="Y1934" s="111">
        <f>SUMIF(Audit[[#This Row],[Difference Loser]:[Difference Candidate 6]], "&gt;0")</f>
        <v>0</v>
      </c>
      <c r="Z1934" s="111">
        <f>SUM(Audit[[#This Row],[Difference Loser]:[Difference Candidate 6]])</f>
        <v>-48</v>
      </c>
      <c r="AA1934" s="111">
        <f>IF(Audit[[#This Row],[Times p Drawn - With Replacement]]&gt;0, IF(Audit[[#This Row],[Canceled Differences]]&lt;0, Audit[[#This Row],[Max Differences]]+ABS(Audit[[#This Row],[Canceled Differences]]), Audit[[#This Row],[Max Differences]]), 0)</f>
        <v>0</v>
      </c>
      <c r="AB1934" s="111">
        <f>'Sampling Data'!P1932</f>
        <v>3.8584027437530621E-3</v>
      </c>
      <c r="AC1934" s="111">
        <f>IF(
      SUM(Audit[[#This Row],[Audit Losing Candidate]:[Audit Candidate 6]])
      &lt;&gt;0,
      (Audit[[#This Row],[Winning Candidate]]-Audit[[#This Row],[Losing Candidate]]-(Audit[[#This Row],[Audit Winning Candidate]]-Audit[[#This Row],[Audit Losing Candidate]]))/(Audit[[#Totals],[Winning Candidate]]-Audit[[#Totals],[Losing Candidate]]),
      0
)</f>
        <v>0</v>
      </c>
      <c r="AD19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4" s="111">
        <f>IF(Audit[[#This Row],[Max Relative Error (ep)]] = 0, 0, Audit[[#This Row],[Max Relative Error (ep)]]/Audit[[#This Row],[Error Bound (up) - Max. possible relative overstatement]])</f>
        <v>0</v>
      </c>
      <c r="AJ19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34" s="111">
        <f t="shared" si="30"/>
        <v>1</v>
      </c>
      <c r="AL1934" s="111">
        <f>PRODUCT($AK$5:AK1934)</f>
        <v>8.962823818226312E-2</v>
      </c>
      <c r="AM1934" s="109">
        <f>1 - [K-M P Value]</f>
        <v>0.91037176181773694</v>
      </c>
      <c r="AN1934" s="111" t="str">
        <f>IF(Audit[[#This Row],[K-M P Value]]&gt;1-'General Info'!$B$16,"Continue", "Stop")</f>
        <v>Stop</v>
      </c>
      <c r="AO1934" s="110" t="b">
        <f>IF(Audit[[#This Row],[Status - Continue or stop audit]] = "Continue", TRUE, IF(AN1933 = "Continue", TRUE, FALSE))</f>
        <v>0</v>
      </c>
      <c r="AP1934" s="110"/>
    </row>
    <row r="1935" spans="1:42" ht="15" hidden="1" customHeight="1">
      <c r="A1935" s="111" t="str">
        <f>'Sampling Data'!W1933</f>
        <v/>
      </c>
      <c r="B1935" s="112" t="str">
        <f>'Sampling Data'!A1933</f>
        <v>SOLON -03-B</v>
      </c>
      <c r="C1935" s="112">
        <f>'Sampling Data'!B1933</f>
        <v>28</v>
      </c>
      <c r="D1935" s="112">
        <f>'Sampling Data'!C1933</f>
        <v>89</v>
      </c>
      <c r="E1935" s="113">
        <f>'Sampling Data'!D1933</f>
        <v>22</v>
      </c>
      <c r="F1935" s="113">
        <f>'Sampling Data'!E1933</f>
        <v>7</v>
      </c>
      <c r="G1935" s="113">
        <f>'Sampling Data'!F1933</f>
        <v>0</v>
      </c>
      <c r="H1935" s="113">
        <f>'Sampling Data'!G1933</f>
        <v>0</v>
      </c>
      <c r="I1935" s="112">
        <f>'Sampling Data'!H1933</f>
        <v>0</v>
      </c>
      <c r="J1935" s="112">
        <f>'Sampling Data'!I1933</f>
        <v>3</v>
      </c>
      <c r="K1935" s="112">
        <f>'Sampling Data'!J1933</f>
        <v>149</v>
      </c>
      <c r="L1935" s="111">
        <f>'Sampling Data'!X1933</f>
        <v>0</v>
      </c>
      <c r="M1935" s="114"/>
      <c r="N1935" s="114"/>
      <c r="O1935" s="115"/>
      <c r="P1935" s="115"/>
      <c r="Q1935" s="116"/>
      <c r="R1935" s="116"/>
      <c r="S1935" s="111">
        <f>Audit[[#This Row],[Audit Losing Candidate]]-Audit[[#This Row],[Losing Candidate]]</f>
        <v>-28</v>
      </c>
      <c r="T1935" s="111">
        <f>Audit[[#This Row],[Audit Winning Candidate]]-Audit[[#This Row],[Winning Candidate]]</f>
        <v>-89</v>
      </c>
      <c r="U1935" s="111">
        <f>Audit[[#This Row],[Audit Candidate 3]]-Audit[[#This Row],[Candidate 3]]</f>
        <v>-22</v>
      </c>
      <c r="V1935" s="111">
        <f>Audit[[#This Row],[Audit Candidate 4]]-Audit[[#This Row],[Candidate 4]]</f>
        <v>-7</v>
      </c>
      <c r="W1935" s="111">
        <f>Audit[[#This Row],[Audit Candidate 5]]-Audit[[#This Row],[Candidate 5]]</f>
        <v>0</v>
      </c>
      <c r="X1935" s="111">
        <f>Audit[[#This Row],[Audit Candidate 6]]-Audit[[#This Row],[Candidate 6]]</f>
        <v>0</v>
      </c>
      <c r="Y1935" s="111">
        <f>SUMIF(Audit[[#This Row],[Difference Loser]:[Difference Candidate 6]], "&gt;0")</f>
        <v>0</v>
      </c>
      <c r="Z1935" s="111">
        <f>SUM(Audit[[#This Row],[Difference Loser]:[Difference Candidate 6]])</f>
        <v>-146</v>
      </c>
      <c r="AA1935" s="111">
        <f>IF(Audit[[#This Row],[Times p Drawn - With Replacement]]&gt;0, IF(Audit[[#This Row],[Canceled Differences]]&lt;0, Audit[[#This Row],[Max Differences]]+ABS(Audit[[#This Row],[Canceled Differences]]), Audit[[#This Row],[Max Differences]]), 0)</f>
        <v>0</v>
      </c>
      <c r="AB1935" s="111">
        <f>'Sampling Data'!P1933</f>
        <v>1.2861342479176875E-2</v>
      </c>
      <c r="AC1935" s="111">
        <f>IF(
      SUM(Audit[[#This Row],[Audit Losing Candidate]:[Audit Candidate 6]])
      &lt;&gt;0,
      (Audit[[#This Row],[Winning Candidate]]-Audit[[#This Row],[Losing Candidate]]-(Audit[[#This Row],[Audit Winning Candidate]]-Audit[[#This Row],[Audit Losing Candidate]]))/(Audit[[#Totals],[Winning Candidate]]-Audit[[#Totals],[Losing Candidate]]),
      0
)</f>
        <v>0</v>
      </c>
      <c r="AD19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5" s="111">
        <f>IF(Audit[[#This Row],[Max Relative Error (ep)]] = 0, 0, Audit[[#This Row],[Max Relative Error (ep)]]/Audit[[#This Row],[Error Bound (up) - Max. possible relative overstatement]])</f>
        <v>0</v>
      </c>
      <c r="AJ19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35" s="111">
        <f t="shared" si="30"/>
        <v>1</v>
      </c>
      <c r="AL1935" s="111">
        <f>PRODUCT($AK$5:AK1935)</f>
        <v>8.962823818226312E-2</v>
      </c>
      <c r="AM1935" s="109">
        <f>1 - [K-M P Value]</f>
        <v>0.91037176181773694</v>
      </c>
      <c r="AN1935" s="111" t="str">
        <f>IF(Audit[[#This Row],[K-M P Value]]&gt;1-'General Info'!$B$16,"Continue", "Stop")</f>
        <v>Stop</v>
      </c>
      <c r="AO1935" s="110" t="b">
        <f>IF(Audit[[#This Row],[Status - Continue or stop audit]] = "Continue", TRUE, IF(AN1934 = "Continue", TRUE, FALSE))</f>
        <v>0</v>
      </c>
      <c r="AP1935" s="110"/>
    </row>
    <row r="1936" spans="1:42" ht="15" hidden="1" customHeight="1">
      <c r="A1936" s="111" t="str">
        <f>'Sampling Data'!W1934</f>
        <v/>
      </c>
      <c r="B1936" s="112" t="str">
        <f>'Sampling Data'!A1934</f>
        <v>SOLON -03-B - ABS</v>
      </c>
      <c r="C1936" s="112">
        <f>'Sampling Data'!B1934</f>
        <v>20</v>
      </c>
      <c r="D1936" s="112">
        <f>'Sampling Data'!C1934</f>
        <v>36</v>
      </c>
      <c r="E1936" s="113">
        <f>'Sampling Data'!D1934</f>
        <v>5</v>
      </c>
      <c r="F1936" s="113">
        <f>'Sampling Data'!E1934</f>
        <v>4</v>
      </c>
      <c r="G1936" s="113">
        <f>'Sampling Data'!F1934</f>
        <v>0</v>
      </c>
      <c r="H1936" s="113">
        <f>'Sampling Data'!G1934</f>
        <v>0</v>
      </c>
      <c r="I1936" s="112">
        <f>'Sampling Data'!H1934</f>
        <v>0</v>
      </c>
      <c r="J1936" s="112">
        <f>'Sampling Data'!I1934</f>
        <v>1</v>
      </c>
      <c r="K1936" s="112">
        <f>'Sampling Data'!J1934</f>
        <v>66</v>
      </c>
      <c r="L1936" s="111">
        <f>'Sampling Data'!X1934</f>
        <v>0</v>
      </c>
      <c r="M1936" s="114"/>
      <c r="N1936" s="114"/>
      <c r="O1936" s="115"/>
      <c r="P1936" s="115"/>
      <c r="Q1936" s="116"/>
      <c r="R1936" s="116"/>
      <c r="S1936" s="111">
        <f>Audit[[#This Row],[Audit Losing Candidate]]-Audit[[#This Row],[Losing Candidate]]</f>
        <v>-20</v>
      </c>
      <c r="T1936" s="111">
        <f>Audit[[#This Row],[Audit Winning Candidate]]-Audit[[#This Row],[Winning Candidate]]</f>
        <v>-36</v>
      </c>
      <c r="U1936" s="111">
        <f>Audit[[#This Row],[Audit Candidate 3]]-Audit[[#This Row],[Candidate 3]]</f>
        <v>-5</v>
      </c>
      <c r="V1936" s="111">
        <f>Audit[[#This Row],[Audit Candidate 4]]-Audit[[#This Row],[Candidate 4]]</f>
        <v>-4</v>
      </c>
      <c r="W1936" s="111">
        <f>Audit[[#This Row],[Audit Candidate 5]]-Audit[[#This Row],[Candidate 5]]</f>
        <v>0</v>
      </c>
      <c r="X1936" s="111">
        <f>Audit[[#This Row],[Audit Candidate 6]]-Audit[[#This Row],[Candidate 6]]</f>
        <v>0</v>
      </c>
      <c r="Y1936" s="111">
        <f>SUMIF(Audit[[#This Row],[Difference Loser]:[Difference Candidate 6]], "&gt;0")</f>
        <v>0</v>
      </c>
      <c r="Z1936" s="111">
        <f>SUM(Audit[[#This Row],[Difference Loser]:[Difference Candidate 6]])</f>
        <v>-65</v>
      </c>
      <c r="AA1936" s="111">
        <f>IF(Audit[[#This Row],[Times p Drawn - With Replacement]]&gt;0, IF(Audit[[#This Row],[Canceled Differences]]&lt;0, Audit[[#This Row],[Max Differences]]+ABS(Audit[[#This Row],[Canceled Differences]]), Audit[[#This Row],[Max Differences]]), 0)</f>
        <v>0</v>
      </c>
      <c r="AB1936" s="111">
        <f>'Sampling Data'!P1934</f>
        <v>5.0220480156785889E-3</v>
      </c>
      <c r="AC1936" s="111">
        <f>IF(
      SUM(Audit[[#This Row],[Audit Losing Candidate]:[Audit Candidate 6]])
      &lt;&gt;0,
      (Audit[[#This Row],[Winning Candidate]]-Audit[[#This Row],[Losing Candidate]]-(Audit[[#This Row],[Audit Winning Candidate]]-Audit[[#This Row],[Audit Losing Candidate]]))/(Audit[[#Totals],[Winning Candidate]]-Audit[[#Totals],[Losing Candidate]]),
      0
)</f>
        <v>0</v>
      </c>
      <c r="AD19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6" s="111">
        <f>IF(Audit[[#This Row],[Max Relative Error (ep)]] = 0, 0, Audit[[#This Row],[Max Relative Error (ep)]]/Audit[[#This Row],[Error Bound (up) - Max. possible relative overstatement]])</f>
        <v>0</v>
      </c>
      <c r="AJ19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36" s="111">
        <f t="shared" si="30"/>
        <v>1</v>
      </c>
      <c r="AL1936" s="111">
        <f>PRODUCT($AK$5:AK1936)</f>
        <v>8.962823818226312E-2</v>
      </c>
      <c r="AM1936" s="109">
        <f>1 - [K-M P Value]</f>
        <v>0.91037176181773694</v>
      </c>
      <c r="AN1936" s="111" t="str">
        <f>IF(Audit[[#This Row],[K-M P Value]]&gt;1-'General Info'!$B$16,"Continue", "Stop")</f>
        <v>Stop</v>
      </c>
      <c r="AO1936" s="110" t="b">
        <f>IF(Audit[[#This Row],[Status - Continue or stop audit]] = "Continue", TRUE, IF(AN1935 = "Continue", TRUE, FALSE))</f>
        <v>0</v>
      </c>
      <c r="AP1936" s="110"/>
    </row>
    <row r="1937" spans="1:42" ht="15" hidden="1" customHeight="1">
      <c r="A1937" s="111" t="str">
        <f>'Sampling Data'!W1935</f>
        <v/>
      </c>
      <c r="B1937" s="112" t="str">
        <f>'Sampling Data'!A1935</f>
        <v>SOLON -04-A</v>
      </c>
      <c r="C1937" s="112">
        <f>'Sampling Data'!B1935</f>
        <v>10</v>
      </c>
      <c r="D1937" s="112">
        <f>'Sampling Data'!C1935</f>
        <v>66</v>
      </c>
      <c r="E1937" s="113">
        <f>'Sampling Data'!D1935</f>
        <v>6</v>
      </c>
      <c r="F1937" s="113">
        <f>'Sampling Data'!E1935</f>
        <v>7</v>
      </c>
      <c r="G1937" s="113">
        <f>'Sampling Data'!F1935</f>
        <v>0</v>
      </c>
      <c r="H1937" s="113">
        <f>'Sampling Data'!G1935</f>
        <v>0</v>
      </c>
      <c r="I1937" s="112">
        <f>'Sampling Data'!H1935</f>
        <v>0</v>
      </c>
      <c r="J1937" s="112">
        <f>'Sampling Data'!I1935</f>
        <v>2</v>
      </c>
      <c r="K1937" s="112">
        <f>'Sampling Data'!J1935</f>
        <v>91</v>
      </c>
      <c r="L1937" s="111">
        <f>'Sampling Data'!X1935</f>
        <v>0</v>
      </c>
      <c r="M1937" s="114"/>
      <c r="N1937" s="114"/>
      <c r="O1937" s="115"/>
      <c r="P1937" s="115"/>
      <c r="Q1937" s="116"/>
      <c r="R1937" s="116"/>
      <c r="S1937" s="111">
        <f>Audit[[#This Row],[Audit Losing Candidate]]-Audit[[#This Row],[Losing Candidate]]</f>
        <v>-10</v>
      </c>
      <c r="T1937" s="111">
        <f>Audit[[#This Row],[Audit Winning Candidate]]-Audit[[#This Row],[Winning Candidate]]</f>
        <v>-66</v>
      </c>
      <c r="U1937" s="111">
        <f>Audit[[#This Row],[Audit Candidate 3]]-Audit[[#This Row],[Candidate 3]]</f>
        <v>-6</v>
      </c>
      <c r="V1937" s="111">
        <f>Audit[[#This Row],[Audit Candidate 4]]-Audit[[#This Row],[Candidate 4]]</f>
        <v>-7</v>
      </c>
      <c r="W1937" s="111">
        <f>Audit[[#This Row],[Audit Candidate 5]]-Audit[[#This Row],[Candidate 5]]</f>
        <v>0</v>
      </c>
      <c r="X1937" s="111">
        <f>Audit[[#This Row],[Audit Candidate 6]]-Audit[[#This Row],[Candidate 6]]</f>
        <v>0</v>
      </c>
      <c r="Y1937" s="111">
        <f>SUMIF(Audit[[#This Row],[Difference Loser]:[Difference Candidate 6]], "&gt;0")</f>
        <v>0</v>
      </c>
      <c r="Z1937" s="111">
        <f>SUM(Audit[[#This Row],[Difference Loser]:[Difference Candidate 6]])</f>
        <v>-89</v>
      </c>
      <c r="AA1937" s="111">
        <f>IF(Audit[[#This Row],[Times p Drawn - With Replacement]]&gt;0, IF(Audit[[#This Row],[Canceled Differences]]&lt;0, Audit[[#This Row],[Max Differences]]+ABS(Audit[[#This Row],[Canceled Differences]]), Audit[[#This Row],[Max Differences]]), 0)</f>
        <v>0</v>
      </c>
      <c r="AB1937" s="111">
        <f>'Sampling Data'!P1935</f>
        <v>9.0029397354238119E-3</v>
      </c>
      <c r="AC1937" s="111">
        <f>IF(
      SUM(Audit[[#This Row],[Audit Losing Candidate]:[Audit Candidate 6]])
      &lt;&gt;0,
      (Audit[[#This Row],[Winning Candidate]]-Audit[[#This Row],[Losing Candidate]]-(Audit[[#This Row],[Audit Winning Candidate]]-Audit[[#This Row],[Audit Losing Candidate]]))/(Audit[[#Totals],[Winning Candidate]]-Audit[[#Totals],[Losing Candidate]]),
      0
)</f>
        <v>0</v>
      </c>
      <c r="AD19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7" s="111">
        <f>IF(Audit[[#This Row],[Max Relative Error (ep)]] = 0, 0, Audit[[#This Row],[Max Relative Error (ep)]]/Audit[[#This Row],[Error Bound (up) - Max. possible relative overstatement]])</f>
        <v>0</v>
      </c>
      <c r="AJ19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37" s="111">
        <f t="shared" si="30"/>
        <v>1</v>
      </c>
      <c r="AL1937" s="111">
        <f>PRODUCT($AK$5:AK1937)</f>
        <v>8.962823818226312E-2</v>
      </c>
      <c r="AM1937" s="109">
        <f>1 - [K-M P Value]</f>
        <v>0.91037176181773694</v>
      </c>
      <c r="AN1937" s="111" t="str">
        <f>IF(Audit[[#This Row],[K-M P Value]]&gt;1-'General Info'!$B$16,"Continue", "Stop")</f>
        <v>Stop</v>
      </c>
      <c r="AO1937" s="110" t="b">
        <f>IF(Audit[[#This Row],[Status - Continue or stop audit]] = "Continue", TRUE, IF(AN1936 = "Continue", TRUE, FALSE))</f>
        <v>0</v>
      </c>
      <c r="AP1937" s="110"/>
    </row>
    <row r="1938" spans="1:42" ht="15" hidden="1" customHeight="1">
      <c r="A1938" s="111" t="str">
        <f>'Sampling Data'!W1936</f>
        <v/>
      </c>
      <c r="B1938" s="112" t="str">
        <f>'Sampling Data'!A1936</f>
        <v>SOLON -04-A - ABS</v>
      </c>
      <c r="C1938" s="112">
        <f>'Sampling Data'!B1936</f>
        <v>11</v>
      </c>
      <c r="D1938" s="112">
        <f>'Sampling Data'!C1936</f>
        <v>32</v>
      </c>
      <c r="E1938" s="113">
        <f>'Sampling Data'!D1936</f>
        <v>3</v>
      </c>
      <c r="F1938" s="113">
        <f>'Sampling Data'!E1936</f>
        <v>3</v>
      </c>
      <c r="G1938" s="113">
        <f>'Sampling Data'!F1936</f>
        <v>0</v>
      </c>
      <c r="H1938" s="113">
        <f>'Sampling Data'!G1936</f>
        <v>0</v>
      </c>
      <c r="I1938" s="112">
        <f>'Sampling Data'!H1936</f>
        <v>0</v>
      </c>
      <c r="J1938" s="112">
        <f>'Sampling Data'!I1936</f>
        <v>0</v>
      </c>
      <c r="K1938" s="112">
        <f>'Sampling Data'!J1936</f>
        <v>49</v>
      </c>
      <c r="L1938" s="111">
        <f>'Sampling Data'!X1936</f>
        <v>0</v>
      </c>
      <c r="M1938" s="114"/>
      <c r="N1938" s="114"/>
      <c r="O1938" s="115"/>
      <c r="P1938" s="115"/>
      <c r="Q1938" s="116"/>
      <c r="R1938" s="116"/>
      <c r="S1938" s="111">
        <f>Audit[[#This Row],[Audit Losing Candidate]]-Audit[[#This Row],[Losing Candidate]]</f>
        <v>-11</v>
      </c>
      <c r="T1938" s="111">
        <f>Audit[[#This Row],[Audit Winning Candidate]]-Audit[[#This Row],[Winning Candidate]]</f>
        <v>-32</v>
      </c>
      <c r="U1938" s="111">
        <f>Audit[[#This Row],[Audit Candidate 3]]-Audit[[#This Row],[Candidate 3]]</f>
        <v>-3</v>
      </c>
      <c r="V1938" s="111">
        <f>Audit[[#This Row],[Audit Candidate 4]]-Audit[[#This Row],[Candidate 4]]</f>
        <v>-3</v>
      </c>
      <c r="W1938" s="111">
        <f>Audit[[#This Row],[Audit Candidate 5]]-Audit[[#This Row],[Candidate 5]]</f>
        <v>0</v>
      </c>
      <c r="X1938" s="111">
        <f>Audit[[#This Row],[Audit Candidate 6]]-Audit[[#This Row],[Candidate 6]]</f>
        <v>0</v>
      </c>
      <c r="Y1938" s="111">
        <f>SUMIF(Audit[[#This Row],[Difference Loser]:[Difference Candidate 6]], "&gt;0")</f>
        <v>0</v>
      </c>
      <c r="Z1938" s="111">
        <f>SUM(Audit[[#This Row],[Difference Loser]:[Difference Candidate 6]])</f>
        <v>-49</v>
      </c>
      <c r="AA1938" s="111">
        <f>IF(Audit[[#This Row],[Times p Drawn - With Replacement]]&gt;0, IF(Audit[[#This Row],[Canceled Differences]]&lt;0, Audit[[#This Row],[Max Differences]]+ABS(Audit[[#This Row],[Canceled Differences]]), Audit[[#This Row],[Max Differences]]), 0)</f>
        <v>0</v>
      </c>
      <c r="AB1938" s="111">
        <f>'Sampling Data'!P1936</f>
        <v>4.2871141597256249E-3</v>
      </c>
      <c r="AC1938" s="111">
        <f>IF(
      SUM(Audit[[#This Row],[Audit Losing Candidate]:[Audit Candidate 6]])
      &lt;&gt;0,
      (Audit[[#This Row],[Winning Candidate]]-Audit[[#This Row],[Losing Candidate]]-(Audit[[#This Row],[Audit Winning Candidate]]-Audit[[#This Row],[Audit Losing Candidate]]))/(Audit[[#Totals],[Winning Candidate]]-Audit[[#Totals],[Losing Candidate]]),
      0
)</f>
        <v>0</v>
      </c>
      <c r="AD19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8" s="111">
        <f>IF(Audit[[#This Row],[Max Relative Error (ep)]] = 0, 0, Audit[[#This Row],[Max Relative Error (ep)]]/Audit[[#This Row],[Error Bound (up) - Max. possible relative overstatement]])</f>
        <v>0</v>
      </c>
      <c r="AJ19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38" s="111">
        <f t="shared" si="30"/>
        <v>1</v>
      </c>
      <c r="AL1938" s="111">
        <f>PRODUCT($AK$5:AK1938)</f>
        <v>8.962823818226312E-2</v>
      </c>
      <c r="AM1938" s="109">
        <f>1 - [K-M P Value]</f>
        <v>0.91037176181773694</v>
      </c>
      <c r="AN1938" s="111" t="str">
        <f>IF(Audit[[#This Row],[K-M P Value]]&gt;1-'General Info'!$B$16,"Continue", "Stop")</f>
        <v>Stop</v>
      </c>
      <c r="AO1938" s="110" t="b">
        <f>IF(Audit[[#This Row],[Status - Continue or stop audit]] = "Continue", TRUE, IF(AN1937 = "Continue", TRUE, FALSE))</f>
        <v>0</v>
      </c>
      <c r="AP1938" s="110"/>
    </row>
    <row r="1939" spans="1:42" ht="15" hidden="1" customHeight="1">
      <c r="A1939" s="111" t="str">
        <f>'Sampling Data'!W1937</f>
        <v/>
      </c>
      <c r="B1939" s="112" t="str">
        <f>'Sampling Data'!A1937</f>
        <v>SOLON -04-B</v>
      </c>
      <c r="C1939" s="112">
        <f>'Sampling Data'!B1937</f>
        <v>17</v>
      </c>
      <c r="D1939" s="112">
        <f>'Sampling Data'!C1937</f>
        <v>72</v>
      </c>
      <c r="E1939" s="113">
        <f>'Sampling Data'!D1937</f>
        <v>22</v>
      </c>
      <c r="F1939" s="113">
        <f>'Sampling Data'!E1937</f>
        <v>5</v>
      </c>
      <c r="G1939" s="113">
        <f>'Sampling Data'!F1937</f>
        <v>1</v>
      </c>
      <c r="H1939" s="113">
        <f>'Sampling Data'!G1937</f>
        <v>0</v>
      </c>
      <c r="I1939" s="112">
        <f>'Sampling Data'!H1937</f>
        <v>1</v>
      </c>
      <c r="J1939" s="112">
        <f>'Sampling Data'!I1937</f>
        <v>2</v>
      </c>
      <c r="K1939" s="112">
        <f>'Sampling Data'!J1937</f>
        <v>120</v>
      </c>
      <c r="L1939" s="111">
        <f>'Sampling Data'!X1937</f>
        <v>0</v>
      </c>
      <c r="M1939" s="114"/>
      <c r="N1939" s="114"/>
      <c r="O1939" s="115"/>
      <c r="P1939" s="115"/>
      <c r="Q1939" s="116"/>
      <c r="R1939" s="116"/>
      <c r="S1939" s="111">
        <f>Audit[[#This Row],[Audit Losing Candidate]]-Audit[[#This Row],[Losing Candidate]]</f>
        <v>-17</v>
      </c>
      <c r="T1939" s="111">
        <f>Audit[[#This Row],[Audit Winning Candidate]]-Audit[[#This Row],[Winning Candidate]]</f>
        <v>-72</v>
      </c>
      <c r="U1939" s="111">
        <f>Audit[[#This Row],[Audit Candidate 3]]-Audit[[#This Row],[Candidate 3]]</f>
        <v>-22</v>
      </c>
      <c r="V1939" s="111">
        <f>Audit[[#This Row],[Audit Candidate 4]]-Audit[[#This Row],[Candidate 4]]</f>
        <v>-5</v>
      </c>
      <c r="W1939" s="111">
        <f>Audit[[#This Row],[Audit Candidate 5]]-Audit[[#This Row],[Candidate 5]]</f>
        <v>-1</v>
      </c>
      <c r="X1939" s="111">
        <f>Audit[[#This Row],[Audit Candidate 6]]-Audit[[#This Row],[Candidate 6]]</f>
        <v>0</v>
      </c>
      <c r="Y1939" s="111">
        <f>SUMIF(Audit[[#This Row],[Difference Loser]:[Difference Candidate 6]], "&gt;0")</f>
        <v>0</v>
      </c>
      <c r="Z1939" s="111">
        <f>SUM(Audit[[#This Row],[Difference Loser]:[Difference Candidate 6]])</f>
        <v>-117</v>
      </c>
      <c r="AA1939" s="111">
        <f>IF(Audit[[#This Row],[Times p Drawn - With Replacement]]&gt;0, IF(Audit[[#This Row],[Canceled Differences]]&lt;0, Audit[[#This Row],[Max Differences]]+ABS(Audit[[#This Row],[Canceled Differences]]), Audit[[#This Row],[Max Differences]]), 0)</f>
        <v>0</v>
      </c>
      <c r="AB1939" s="111">
        <f>'Sampling Data'!P1937</f>
        <v>1.0717785399314061E-2</v>
      </c>
      <c r="AC1939" s="111">
        <f>IF(
      SUM(Audit[[#This Row],[Audit Losing Candidate]:[Audit Candidate 6]])
      &lt;&gt;0,
      (Audit[[#This Row],[Winning Candidate]]-Audit[[#This Row],[Losing Candidate]]-(Audit[[#This Row],[Audit Winning Candidate]]-Audit[[#This Row],[Audit Losing Candidate]]))/(Audit[[#Totals],[Winning Candidate]]-Audit[[#Totals],[Losing Candidate]]),
      0
)</f>
        <v>0</v>
      </c>
      <c r="AD19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9" s="111">
        <f>IF(Audit[[#This Row],[Max Relative Error (ep)]] = 0, 0, Audit[[#This Row],[Max Relative Error (ep)]]/Audit[[#This Row],[Error Bound (up) - Max. possible relative overstatement]])</f>
        <v>0</v>
      </c>
      <c r="AJ19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39" s="111">
        <f t="shared" si="30"/>
        <v>1</v>
      </c>
      <c r="AL1939" s="111">
        <f>PRODUCT($AK$5:AK1939)</f>
        <v>8.962823818226312E-2</v>
      </c>
      <c r="AM1939" s="109">
        <f>1 - [K-M P Value]</f>
        <v>0.91037176181773694</v>
      </c>
      <c r="AN1939" s="111" t="str">
        <f>IF(Audit[[#This Row],[K-M P Value]]&gt;1-'General Info'!$B$16,"Continue", "Stop")</f>
        <v>Stop</v>
      </c>
      <c r="AO1939" s="110" t="b">
        <f>IF(Audit[[#This Row],[Status - Continue or stop audit]] = "Continue", TRUE, IF(AN1938 = "Continue", TRUE, FALSE))</f>
        <v>0</v>
      </c>
      <c r="AP1939" s="110"/>
    </row>
    <row r="1940" spans="1:42" ht="15" hidden="1" customHeight="1">
      <c r="A1940" s="111" t="str">
        <f>'Sampling Data'!W1938</f>
        <v/>
      </c>
      <c r="B1940" s="112" t="str">
        <f>'Sampling Data'!A1938</f>
        <v>SOLON -04-B - ABS</v>
      </c>
      <c r="C1940" s="112">
        <f>'Sampling Data'!B1938</f>
        <v>7</v>
      </c>
      <c r="D1940" s="112">
        <f>'Sampling Data'!C1938</f>
        <v>18</v>
      </c>
      <c r="E1940" s="113">
        <f>'Sampling Data'!D1938</f>
        <v>2</v>
      </c>
      <c r="F1940" s="113">
        <f>'Sampling Data'!E1938</f>
        <v>4</v>
      </c>
      <c r="G1940" s="113">
        <f>'Sampling Data'!F1938</f>
        <v>1</v>
      </c>
      <c r="H1940" s="113">
        <f>'Sampling Data'!G1938</f>
        <v>0</v>
      </c>
      <c r="I1940" s="112">
        <f>'Sampling Data'!H1938</f>
        <v>0</v>
      </c>
      <c r="J1940" s="112">
        <f>'Sampling Data'!I1938</f>
        <v>0</v>
      </c>
      <c r="K1940" s="112">
        <f>'Sampling Data'!J1938</f>
        <v>32</v>
      </c>
      <c r="L1940" s="111">
        <f>'Sampling Data'!X1938</f>
        <v>0</v>
      </c>
      <c r="M1940" s="114"/>
      <c r="N1940" s="114"/>
      <c r="O1940" s="115"/>
      <c r="P1940" s="115"/>
      <c r="Q1940" s="116"/>
      <c r="R1940" s="116"/>
      <c r="S1940" s="111">
        <f>Audit[[#This Row],[Audit Losing Candidate]]-Audit[[#This Row],[Losing Candidate]]</f>
        <v>-7</v>
      </c>
      <c r="T1940" s="111">
        <f>Audit[[#This Row],[Audit Winning Candidate]]-Audit[[#This Row],[Winning Candidate]]</f>
        <v>-18</v>
      </c>
      <c r="U1940" s="111">
        <f>Audit[[#This Row],[Audit Candidate 3]]-Audit[[#This Row],[Candidate 3]]</f>
        <v>-2</v>
      </c>
      <c r="V1940" s="111">
        <f>Audit[[#This Row],[Audit Candidate 4]]-Audit[[#This Row],[Candidate 4]]</f>
        <v>-4</v>
      </c>
      <c r="W1940" s="111">
        <f>Audit[[#This Row],[Audit Candidate 5]]-Audit[[#This Row],[Candidate 5]]</f>
        <v>-1</v>
      </c>
      <c r="X1940" s="111">
        <f>Audit[[#This Row],[Audit Candidate 6]]-Audit[[#This Row],[Candidate 6]]</f>
        <v>0</v>
      </c>
      <c r="Y1940" s="111">
        <f>SUMIF(Audit[[#This Row],[Difference Loser]:[Difference Candidate 6]], "&gt;0")</f>
        <v>0</v>
      </c>
      <c r="Z1940" s="111">
        <f>SUM(Audit[[#This Row],[Difference Loser]:[Difference Candidate 6]])</f>
        <v>-32</v>
      </c>
      <c r="AA1940" s="111">
        <f>IF(Audit[[#This Row],[Times p Drawn - With Replacement]]&gt;0, IF(Audit[[#This Row],[Canceled Differences]]&lt;0, Audit[[#This Row],[Max Differences]]+ABS(Audit[[#This Row],[Canceled Differences]]), Audit[[#This Row],[Max Differences]]), 0)</f>
        <v>0</v>
      </c>
      <c r="AB1940" s="111">
        <f>'Sampling Data'!P1938</f>
        <v>2.6335129838314553E-3</v>
      </c>
      <c r="AC1940" s="111">
        <f>IF(
      SUM(Audit[[#This Row],[Audit Losing Candidate]:[Audit Candidate 6]])
      &lt;&gt;0,
      (Audit[[#This Row],[Winning Candidate]]-Audit[[#This Row],[Losing Candidate]]-(Audit[[#This Row],[Audit Winning Candidate]]-Audit[[#This Row],[Audit Losing Candidate]]))/(Audit[[#Totals],[Winning Candidate]]-Audit[[#Totals],[Losing Candidate]]),
      0
)</f>
        <v>0</v>
      </c>
      <c r="AD19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0" s="111">
        <f>IF(Audit[[#This Row],[Max Relative Error (ep)]] = 0, 0, Audit[[#This Row],[Max Relative Error (ep)]]/Audit[[#This Row],[Error Bound (up) - Max. possible relative overstatement]])</f>
        <v>0</v>
      </c>
      <c r="AJ19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40" s="111">
        <f t="shared" si="30"/>
        <v>1</v>
      </c>
      <c r="AL1940" s="111">
        <f>PRODUCT($AK$5:AK1940)</f>
        <v>8.962823818226312E-2</v>
      </c>
      <c r="AM1940" s="109">
        <f>1 - [K-M P Value]</f>
        <v>0.91037176181773694</v>
      </c>
      <c r="AN1940" s="111" t="str">
        <f>IF(Audit[[#This Row],[K-M P Value]]&gt;1-'General Info'!$B$16,"Continue", "Stop")</f>
        <v>Stop</v>
      </c>
      <c r="AO1940" s="110" t="b">
        <f>IF(Audit[[#This Row],[Status - Continue or stop audit]] = "Continue", TRUE, IF(AN1939 = "Continue", TRUE, FALSE))</f>
        <v>0</v>
      </c>
      <c r="AP1940" s="110"/>
    </row>
    <row r="1941" spans="1:42" ht="15" hidden="1" customHeight="1">
      <c r="A1941" s="111" t="str">
        <f>'Sampling Data'!W1940</f>
        <v/>
      </c>
      <c r="B1941" s="112" t="str">
        <f>'Sampling Data'!A1940</f>
        <v>SOLON -04-C - ABS</v>
      </c>
      <c r="C1941" s="112">
        <f>'Sampling Data'!B1940</f>
        <v>13</v>
      </c>
      <c r="D1941" s="112">
        <f>'Sampling Data'!C1940</f>
        <v>43</v>
      </c>
      <c r="E1941" s="113">
        <f>'Sampling Data'!D1940</f>
        <v>4</v>
      </c>
      <c r="F1941" s="113">
        <f>'Sampling Data'!E1940</f>
        <v>6</v>
      </c>
      <c r="G1941" s="113">
        <f>'Sampling Data'!F1940</f>
        <v>0</v>
      </c>
      <c r="H1941" s="113">
        <f>'Sampling Data'!G1940</f>
        <v>0</v>
      </c>
      <c r="I1941" s="112">
        <f>'Sampling Data'!H1940</f>
        <v>0</v>
      </c>
      <c r="J1941" s="112">
        <f>'Sampling Data'!I1940</f>
        <v>0</v>
      </c>
      <c r="K1941" s="112">
        <f>'Sampling Data'!J1940</f>
        <v>66</v>
      </c>
      <c r="L1941" s="111">
        <f>'Sampling Data'!X1940</f>
        <v>0</v>
      </c>
      <c r="M1941" s="114"/>
      <c r="N1941" s="114"/>
      <c r="O1941" s="115"/>
      <c r="P1941" s="115"/>
      <c r="Q1941" s="116"/>
      <c r="R1941" s="116"/>
      <c r="S1941" s="111">
        <f>Audit[[#This Row],[Audit Losing Candidate]]-Audit[[#This Row],[Losing Candidate]]</f>
        <v>-13</v>
      </c>
      <c r="T1941" s="111">
        <f>Audit[[#This Row],[Audit Winning Candidate]]-Audit[[#This Row],[Winning Candidate]]</f>
        <v>-43</v>
      </c>
      <c r="U1941" s="111">
        <f>Audit[[#This Row],[Audit Candidate 3]]-Audit[[#This Row],[Candidate 3]]</f>
        <v>-4</v>
      </c>
      <c r="V1941" s="111">
        <f>Audit[[#This Row],[Audit Candidate 4]]-Audit[[#This Row],[Candidate 4]]</f>
        <v>-6</v>
      </c>
      <c r="W1941" s="111">
        <f>Audit[[#This Row],[Audit Candidate 5]]-Audit[[#This Row],[Candidate 5]]</f>
        <v>0</v>
      </c>
      <c r="X1941" s="111">
        <f>Audit[[#This Row],[Audit Candidate 6]]-Audit[[#This Row],[Candidate 6]]</f>
        <v>0</v>
      </c>
      <c r="Y1941" s="111">
        <f>SUMIF(Audit[[#This Row],[Difference Loser]:[Difference Candidate 6]], "&gt;0")</f>
        <v>0</v>
      </c>
      <c r="Z1941" s="111">
        <f>SUM(Audit[[#This Row],[Difference Loser]:[Difference Candidate 6]])</f>
        <v>-66</v>
      </c>
      <c r="AA1941" s="111">
        <f>IF(Audit[[#This Row],[Times p Drawn - With Replacement]]&gt;0, IF(Audit[[#This Row],[Canceled Differences]]&lt;0, Audit[[#This Row],[Max Differences]]+ABS(Audit[[#This Row],[Canceled Differences]]), Audit[[#This Row],[Max Differences]]), 0)</f>
        <v>0</v>
      </c>
      <c r="AB1941" s="111">
        <f>'Sampling Data'!P1940</f>
        <v>5.8794708476237138E-3</v>
      </c>
      <c r="AC1941" s="111">
        <f>IF(
      SUM(Audit[[#This Row],[Audit Losing Candidate]:[Audit Candidate 6]])
      &lt;&gt;0,
      (Audit[[#This Row],[Winning Candidate]]-Audit[[#This Row],[Losing Candidate]]-(Audit[[#This Row],[Audit Winning Candidate]]-Audit[[#This Row],[Audit Losing Candidate]]))/(Audit[[#Totals],[Winning Candidate]]-Audit[[#Totals],[Losing Candidate]]),
      0
)</f>
        <v>0</v>
      </c>
      <c r="AD19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1" s="111">
        <f>IF(Audit[[#This Row],[Max Relative Error (ep)]] = 0, 0, Audit[[#This Row],[Max Relative Error (ep)]]/Audit[[#This Row],[Error Bound (up) - Max. possible relative overstatement]])</f>
        <v>0</v>
      </c>
      <c r="AJ19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41" s="111">
        <f t="shared" si="30"/>
        <v>1</v>
      </c>
      <c r="AL1941" s="111">
        <f>PRODUCT($AK$5:AK1941)</f>
        <v>8.962823818226312E-2</v>
      </c>
      <c r="AM1941" s="109">
        <f>1 - [K-M P Value]</f>
        <v>0.91037176181773694</v>
      </c>
      <c r="AN1941" s="111" t="str">
        <f>IF(Audit[[#This Row],[K-M P Value]]&gt;1-'General Info'!$B$16,"Continue", "Stop")</f>
        <v>Stop</v>
      </c>
      <c r="AO1941" s="110" t="b">
        <f>IF(Audit[[#This Row],[Status - Continue or stop audit]] = "Continue", TRUE, IF(AN1940 = "Continue", TRUE, FALSE))</f>
        <v>0</v>
      </c>
      <c r="AP1941" s="110"/>
    </row>
    <row r="1942" spans="1:42" ht="15" hidden="1" customHeight="1">
      <c r="A1942" s="111" t="str">
        <f>'Sampling Data'!W1941</f>
        <v/>
      </c>
      <c r="B1942" s="112" t="str">
        <f>'Sampling Data'!A1941</f>
        <v>SOLON -05-A</v>
      </c>
      <c r="C1942" s="112">
        <f>'Sampling Data'!B1941</f>
        <v>31</v>
      </c>
      <c r="D1942" s="112">
        <f>'Sampling Data'!C1941</f>
        <v>76</v>
      </c>
      <c r="E1942" s="113">
        <f>'Sampling Data'!D1941</f>
        <v>8</v>
      </c>
      <c r="F1942" s="113">
        <f>'Sampling Data'!E1941</f>
        <v>8</v>
      </c>
      <c r="G1942" s="113">
        <f>'Sampling Data'!F1941</f>
        <v>0</v>
      </c>
      <c r="H1942" s="113">
        <f>'Sampling Data'!G1941</f>
        <v>0</v>
      </c>
      <c r="I1942" s="112">
        <f>'Sampling Data'!H1941</f>
        <v>0</v>
      </c>
      <c r="J1942" s="112">
        <f>'Sampling Data'!I1941</f>
        <v>3</v>
      </c>
      <c r="K1942" s="112">
        <f>'Sampling Data'!J1941</f>
        <v>126</v>
      </c>
      <c r="L1942" s="111">
        <f>'Sampling Data'!X1941</f>
        <v>0</v>
      </c>
      <c r="M1942" s="114"/>
      <c r="N1942" s="114"/>
      <c r="O1942" s="115"/>
      <c r="P1942" s="115"/>
      <c r="Q1942" s="116"/>
      <c r="R1942" s="116"/>
      <c r="S1942" s="111">
        <f>Audit[[#This Row],[Audit Losing Candidate]]-Audit[[#This Row],[Losing Candidate]]</f>
        <v>-31</v>
      </c>
      <c r="T1942" s="111">
        <f>Audit[[#This Row],[Audit Winning Candidate]]-Audit[[#This Row],[Winning Candidate]]</f>
        <v>-76</v>
      </c>
      <c r="U1942" s="111">
        <f>Audit[[#This Row],[Audit Candidate 3]]-Audit[[#This Row],[Candidate 3]]</f>
        <v>-8</v>
      </c>
      <c r="V1942" s="111">
        <f>Audit[[#This Row],[Audit Candidate 4]]-Audit[[#This Row],[Candidate 4]]</f>
        <v>-8</v>
      </c>
      <c r="W1942" s="111">
        <f>Audit[[#This Row],[Audit Candidate 5]]-Audit[[#This Row],[Candidate 5]]</f>
        <v>0</v>
      </c>
      <c r="X1942" s="111">
        <f>Audit[[#This Row],[Audit Candidate 6]]-Audit[[#This Row],[Candidate 6]]</f>
        <v>0</v>
      </c>
      <c r="Y1942" s="111">
        <f>SUMIF(Audit[[#This Row],[Difference Loser]:[Difference Candidate 6]], "&gt;0")</f>
        <v>0</v>
      </c>
      <c r="Z1942" s="111">
        <f>SUM(Audit[[#This Row],[Difference Loser]:[Difference Candidate 6]])</f>
        <v>-123</v>
      </c>
      <c r="AA1942" s="111">
        <f>IF(Audit[[#This Row],[Times p Drawn - With Replacement]]&gt;0, IF(Audit[[#This Row],[Canceled Differences]]&lt;0, Audit[[#This Row],[Max Differences]]+ABS(Audit[[#This Row],[Canceled Differences]]), Audit[[#This Row],[Max Differences]]), 0)</f>
        <v>0</v>
      </c>
      <c r="AB1942" s="111">
        <f>'Sampling Data'!P1941</f>
        <v>1.047280744732974E-2</v>
      </c>
      <c r="AC1942" s="111">
        <f>IF(
      SUM(Audit[[#This Row],[Audit Losing Candidate]:[Audit Candidate 6]])
      &lt;&gt;0,
      (Audit[[#This Row],[Winning Candidate]]-Audit[[#This Row],[Losing Candidate]]-(Audit[[#This Row],[Audit Winning Candidate]]-Audit[[#This Row],[Audit Losing Candidate]]))/(Audit[[#Totals],[Winning Candidate]]-Audit[[#Totals],[Losing Candidate]]),
      0
)</f>
        <v>0</v>
      </c>
      <c r="AD19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2" s="111">
        <f>IF(Audit[[#This Row],[Max Relative Error (ep)]] = 0, 0, Audit[[#This Row],[Max Relative Error (ep)]]/Audit[[#This Row],[Error Bound (up) - Max. possible relative overstatement]])</f>
        <v>0</v>
      </c>
      <c r="AJ19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42" s="111">
        <f t="shared" si="30"/>
        <v>1</v>
      </c>
      <c r="AL1942" s="111">
        <f>PRODUCT($AK$5:AK1942)</f>
        <v>8.962823818226312E-2</v>
      </c>
      <c r="AM1942" s="109">
        <f>1 - [K-M P Value]</f>
        <v>0.91037176181773694</v>
      </c>
      <c r="AN1942" s="111" t="str">
        <f>IF(Audit[[#This Row],[K-M P Value]]&gt;1-'General Info'!$B$16,"Continue", "Stop")</f>
        <v>Stop</v>
      </c>
      <c r="AO1942" s="110" t="b">
        <f>IF(Audit[[#This Row],[Status - Continue or stop audit]] = "Continue", TRUE, IF(AN1941 = "Continue", TRUE, FALSE))</f>
        <v>0</v>
      </c>
      <c r="AP1942" s="110"/>
    </row>
    <row r="1943" spans="1:42" ht="15" hidden="1" customHeight="1">
      <c r="A1943" s="111" t="str">
        <f>'Sampling Data'!W1942</f>
        <v/>
      </c>
      <c r="B1943" s="112" t="str">
        <f>'Sampling Data'!A1942</f>
        <v>SOLON -05-A - ABS</v>
      </c>
      <c r="C1943" s="112">
        <f>'Sampling Data'!B1942</f>
        <v>15</v>
      </c>
      <c r="D1943" s="112">
        <f>'Sampling Data'!C1942</f>
        <v>25</v>
      </c>
      <c r="E1943" s="113">
        <f>'Sampling Data'!D1942</f>
        <v>1</v>
      </c>
      <c r="F1943" s="113">
        <f>'Sampling Data'!E1942</f>
        <v>3</v>
      </c>
      <c r="G1943" s="113">
        <f>'Sampling Data'!F1942</f>
        <v>0</v>
      </c>
      <c r="H1943" s="113">
        <f>'Sampling Data'!G1942</f>
        <v>0</v>
      </c>
      <c r="I1943" s="112">
        <f>'Sampling Data'!H1942</f>
        <v>0</v>
      </c>
      <c r="J1943" s="112">
        <f>'Sampling Data'!I1942</f>
        <v>0</v>
      </c>
      <c r="K1943" s="112">
        <f>'Sampling Data'!J1942</f>
        <v>44</v>
      </c>
      <c r="L1943" s="111">
        <f>'Sampling Data'!X1942</f>
        <v>0</v>
      </c>
      <c r="M1943" s="114"/>
      <c r="N1943" s="114"/>
      <c r="O1943" s="115"/>
      <c r="P1943" s="115"/>
      <c r="Q1943" s="116"/>
      <c r="R1943" s="116"/>
      <c r="S1943" s="111">
        <f>Audit[[#This Row],[Audit Losing Candidate]]-Audit[[#This Row],[Losing Candidate]]</f>
        <v>-15</v>
      </c>
      <c r="T1943" s="111">
        <f>Audit[[#This Row],[Audit Winning Candidate]]-Audit[[#This Row],[Winning Candidate]]</f>
        <v>-25</v>
      </c>
      <c r="U1943" s="111">
        <f>Audit[[#This Row],[Audit Candidate 3]]-Audit[[#This Row],[Candidate 3]]</f>
        <v>-1</v>
      </c>
      <c r="V1943" s="111">
        <f>Audit[[#This Row],[Audit Candidate 4]]-Audit[[#This Row],[Candidate 4]]</f>
        <v>-3</v>
      </c>
      <c r="W1943" s="111">
        <f>Audit[[#This Row],[Audit Candidate 5]]-Audit[[#This Row],[Candidate 5]]</f>
        <v>0</v>
      </c>
      <c r="X1943" s="111">
        <f>Audit[[#This Row],[Audit Candidate 6]]-Audit[[#This Row],[Candidate 6]]</f>
        <v>0</v>
      </c>
      <c r="Y1943" s="111">
        <f>SUMIF(Audit[[#This Row],[Difference Loser]:[Difference Candidate 6]], "&gt;0")</f>
        <v>0</v>
      </c>
      <c r="Z1943" s="111">
        <f>SUM(Audit[[#This Row],[Difference Loser]:[Difference Candidate 6]])</f>
        <v>-44</v>
      </c>
      <c r="AA1943" s="111">
        <f>IF(Audit[[#This Row],[Times p Drawn - With Replacement]]&gt;0, IF(Audit[[#This Row],[Canceled Differences]]&lt;0, Audit[[#This Row],[Max Differences]]+ABS(Audit[[#This Row],[Canceled Differences]]), Audit[[#This Row],[Max Differences]]), 0)</f>
        <v>0</v>
      </c>
      <c r="AB1943" s="111">
        <f>'Sampling Data'!P1942</f>
        <v>3.3072023517883389E-3</v>
      </c>
      <c r="AC1943" s="111">
        <f>IF(
      SUM(Audit[[#This Row],[Audit Losing Candidate]:[Audit Candidate 6]])
      &lt;&gt;0,
      (Audit[[#This Row],[Winning Candidate]]-Audit[[#This Row],[Losing Candidate]]-(Audit[[#This Row],[Audit Winning Candidate]]-Audit[[#This Row],[Audit Losing Candidate]]))/(Audit[[#Totals],[Winning Candidate]]-Audit[[#Totals],[Losing Candidate]]),
      0
)</f>
        <v>0</v>
      </c>
      <c r="AD19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3" s="111">
        <f>IF(Audit[[#This Row],[Max Relative Error (ep)]] = 0, 0, Audit[[#This Row],[Max Relative Error (ep)]]/Audit[[#This Row],[Error Bound (up) - Max. possible relative overstatement]])</f>
        <v>0</v>
      </c>
      <c r="AJ19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43" s="111">
        <f t="shared" si="30"/>
        <v>1</v>
      </c>
      <c r="AL1943" s="111">
        <f>PRODUCT($AK$5:AK1943)</f>
        <v>8.962823818226312E-2</v>
      </c>
      <c r="AM1943" s="109">
        <f>1 - [K-M P Value]</f>
        <v>0.91037176181773694</v>
      </c>
      <c r="AN1943" s="111" t="str">
        <f>IF(Audit[[#This Row],[K-M P Value]]&gt;1-'General Info'!$B$16,"Continue", "Stop")</f>
        <v>Stop</v>
      </c>
      <c r="AO1943" s="110" t="b">
        <f>IF(Audit[[#This Row],[Status - Continue or stop audit]] = "Continue", TRUE, IF(AN1942 = "Continue", TRUE, FALSE))</f>
        <v>0</v>
      </c>
      <c r="AP1943" s="110"/>
    </row>
    <row r="1944" spans="1:42" ht="15" hidden="1" customHeight="1">
      <c r="A1944" s="111" t="str">
        <f>'Sampling Data'!W1943</f>
        <v/>
      </c>
      <c r="B1944" s="112" t="str">
        <f>'Sampling Data'!A1943</f>
        <v>SOLON -05-B</v>
      </c>
      <c r="C1944" s="112">
        <f>'Sampling Data'!B1943</f>
        <v>18</v>
      </c>
      <c r="D1944" s="112">
        <f>'Sampling Data'!C1943</f>
        <v>56</v>
      </c>
      <c r="E1944" s="113">
        <f>'Sampling Data'!D1943</f>
        <v>5</v>
      </c>
      <c r="F1944" s="113">
        <f>'Sampling Data'!E1943</f>
        <v>4</v>
      </c>
      <c r="G1944" s="113">
        <f>'Sampling Data'!F1943</f>
        <v>2</v>
      </c>
      <c r="H1944" s="113">
        <f>'Sampling Data'!G1943</f>
        <v>0</v>
      </c>
      <c r="I1944" s="112">
        <f>'Sampling Data'!H1943</f>
        <v>0</v>
      </c>
      <c r="J1944" s="112">
        <f>'Sampling Data'!I1943</f>
        <v>2</v>
      </c>
      <c r="K1944" s="112">
        <f>'Sampling Data'!J1943</f>
        <v>87</v>
      </c>
      <c r="L1944" s="111">
        <f>'Sampling Data'!X1943</f>
        <v>0</v>
      </c>
      <c r="M1944" s="114"/>
      <c r="N1944" s="114"/>
      <c r="O1944" s="115"/>
      <c r="P1944" s="115"/>
      <c r="Q1944" s="116"/>
      <c r="R1944" s="116"/>
      <c r="S1944" s="111">
        <f>Audit[[#This Row],[Audit Losing Candidate]]-Audit[[#This Row],[Losing Candidate]]</f>
        <v>-18</v>
      </c>
      <c r="T1944" s="111">
        <f>Audit[[#This Row],[Audit Winning Candidate]]-Audit[[#This Row],[Winning Candidate]]</f>
        <v>-56</v>
      </c>
      <c r="U1944" s="111">
        <f>Audit[[#This Row],[Audit Candidate 3]]-Audit[[#This Row],[Candidate 3]]</f>
        <v>-5</v>
      </c>
      <c r="V1944" s="111">
        <f>Audit[[#This Row],[Audit Candidate 4]]-Audit[[#This Row],[Candidate 4]]</f>
        <v>-4</v>
      </c>
      <c r="W1944" s="111">
        <f>Audit[[#This Row],[Audit Candidate 5]]-Audit[[#This Row],[Candidate 5]]</f>
        <v>-2</v>
      </c>
      <c r="X1944" s="111">
        <f>Audit[[#This Row],[Audit Candidate 6]]-Audit[[#This Row],[Candidate 6]]</f>
        <v>0</v>
      </c>
      <c r="Y1944" s="111">
        <f>SUMIF(Audit[[#This Row],[Difference Loser]:[Difference Candidate 6]], "&gt;0")</f>
        <v>0</v>
      </c>
      <c r="Z1944" s="111">
        <f>SUM(Audit[[#This Row],[Difference Loser]:[Difference Candidate 6]])</f>
        <v>-85</v>
      </c>
      <c r="AA1944" s="111">
        <f>IF(Audit[[#This Row],[Times p Drawn - With Replacement]]&gt;0, IF(Audit[[#This Row],[Canceled Differences]]&lt;0, Audit[[#This Row],[Max Differences]]+ABS(Audit[[#This Row],[Canceled Differences]]), Audit[[#This Row],[Max Differences]]), 0)</f>
        <v>0</v>
      </c>
      <c r="AB1944" s="111">
        <f>'Sampling Data'!P1943</f>
        <v>7.6555609995100438E-3</v>
      </c>
      <c r="AC1944" s="111">
        <f>IF(
      SUM(Audit[[#This Row],[Audit Losing Candidate]:[Audit Candidate 6]])
      &lt;&gt;0,
      (Audit[[#This Row],[Winning Candidate]]-Audit[[#This Row],[Losing Candidate]]-(Audit[[#This Row],[Audit Winning Candidate]]-Audit[[#This Row],[Audit Losing Candidate]]))/(Audit[[#Totals],[Winning Candidate]]-Audit[[#Totals],[Losing Candidate]]),
      0
)</f>
        <v>0</v>
      </c>
      <c r="AD19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4" s="111">
        <f>IF(Audit[[#This Row],[Max Relative Error (ep)]] = 0, 0, Audit[[#This Row],[Max Relative Error (ep)]]/Audit[[#This Row],[Error Bound (up) - Max. possible relative overstatement]])</f>
        <v>0</v>
      </c>
      <c r="AJ19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44" s="111">
        <f t="shared" si="30"/>
        <v>1</v>
      </c>
      <c r="AL1944" s="111">
        <f>PRODUCT($AK$5:AK1944)</f>
        <v>8.962823818226312E-2</v>
      </c>
      <c r="AM1944" s="109">
        <f>1 - [K-M P Value]</f>
        <v>0.91037176181773694</v>
      </c>
      <c r="AN1944" s="111" t="str">
        <f>IF(Audit[[#This Row],[K-M P Value]]&gt;1-'General Info'!$B$16,"Continue", "Stop")</f>
        <v>Stop</v>
      </c>
      <c r="AO1944" s="110" t="b">
        <f>IF(Audit[[#This Row],[Status - Continue or stop audit]] = "Continue", TRUE, IF(AN1943 = "Continue", TRUE, FALSE))</f>
        <v>0</v>
      </c>
      <c r="AP1944" s="110"/>
    </row>
    <row r="1945" spans="1:42" ht="15" hidden="1" customHeight="1">
      <c r="A1945" s="111" t="str">
        <f>'Sampling Data'!W1944</f>
        <v/>
      </c>
      <c r="B1945" s="112" t="str">
        <f>'Sampling Data'!A1944</f>
        <v>SOLON -05-B - ABS</v>
      </c>
      <c r="C1945" s="112">
        <f>'Sampling Data'!B1944</f>
        <v>8</v>
      </c>
      <c r="D1945" s="112">
        <f>'Sampling Data'!C1944</f>
        <v>15</v>
      </c>
      <c r="E1945" s="113">
        <f>'Sampling Data'!D1944</f>
        <v>7</v>
      </c>
      <c r="F1945" s="113">
        <f>'Sampling Data'!E1944</f>
        <v>0</v>
      </c>
      <c r="G1945" s="113">
        <f>'Sampling Data'!F1944</f>
        <v>0</v>
      </c>
      <c r="H1945" s="113">
        <f>'Sampling Data'!G1944</f>
        <v>0</v>
      </c>
      <c r="I1945" s="112">
        <f>'Sampling Data'!H1944</f>
        <v>0</v>
      </c>
      <c r="J1945" s="112">
        <f>'Sampling Data'!I1944</f>
        <v>1</v>
      </c>
      <c r="K1945" s="112">
        <f>'Sampling Data'!J1944</f>
        <v>31</v>
      </c>
      <c r="L1945" s="111">
        <f>'Sampling Data'!X1944</f>
        <v>0</v>
      </c>
      <c r="M1945" s="114"/>
      <c r="N1945" s="114"/>
      <c r="O1945" s="115"/>
      <c r="P1945" s="115"/>
      <c r="Q1945" s="116"/>
      <c r="R1945" s="116"/>
      <c r="S1945" s="111">
        <f>Audit[[#This Row],[Audit Losing Candidate]]-Audit[[#This Row],[Losing Candidate]]</f>
        <v>-8</v>
      </c>
      <c r="T1945" s="111">
        <f>Audit[[#This Row],[Audit Winning Candidate]]-Audit[[#This Row],[Winning Candidate]]</f>
        <v>-15</v>
      </c>
      <c r="U1945" s="111">
        <f>Audit[[#This Row],[Audit Candidate 3]]-Audit[[#This Row],[Candidate 3]]</f>
        <v>-7</v>
      </c>
      <c r="V1945" s="111">
        <f>Audit[[#This Row],[Audit Candidate 4]]-Audit[[#This Row],[Candidate 4]]</f>
        <v>0</v>
      </c>
      <c r="W1945" s="111">
        <f>Audit[[#This Row],[Audit Candidate 5]]-Audit[[#This Row],[Candidate 5]]</f>
        <v>0</v>
      </c>
      <c r="X1945" s="111">
        <f>Audit[[#This Row],[Audit Candidate 6]]-Audit[[#This Row],[Candidate 6]]</f>
        <v>0</v>
      </c>
      <c r="Y1945" s="111">
        <f>SUMIF(Audit[[#This Row],[Difference Loser]:[Difference Candidate 6]], "&gt;0")</f>
        <v>0</v>
      </c>
      <c r="Z1945" s="111">
        <f>SUM(Audit[[#This Row],[Difference Loser]:[Difference Candidate 6]])</f>
        <v>-30</v>
      </c>
      <c r="AA1945" s="111">
        <f>IF(Audit[[#This Row],[Times p Drawn - With Replacement]]&gt;0, IF(Audit[[#This Row],[Canceled Differences]]&lt;0, Audit[[#This Row],[Max Differences]]+ABS(Audit[[#This Row],[Canceled Differences]]), Audit[[#This Row],[Max Differences]]), 0)</f>
        <v>0</v>
      </c>
      <c r="AB1945" s="111">
        <f>'Sampling Data'!P1944</f>
        <v>2.3272905438510533E-3</v>
      </c>
      <c r="AC1945" s="111">
        <f>IF(
      SUM(Audit[[#This Row],[Audit Losing Candidate]:[Audit Candidate 6]])
      &lt;&gt;0,
      (Audit[[#This Row],[Winning Candidate]]-Audit[[#This Row],[Losing Candidate]]-(Audit[[#This Row],[Audit Winning Candidate]]-Audit[[#This Row],[Audit Losing Candidate]]))/(Audit[[#Totals],[Winning Candidate]]-Audit[[#Totals],[Losing Candidate]]),
      0
)</f>
        <v>0</v>
      </c>
      <c r="AD19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5" s="111">
        <f>IF(Audit[[#This Row],[Max Relative Error (ep)]] = 0, 0, Audit[[#This Row],[Max Relative Error (ep)]]/Audit[[#This Row],[Error Bound (up) - Max. possible relative overstatement]])</f>
        <v>0</v>
      </c>
      <c r="AJ19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45" s="111">
        <f t="shared" si="30"/>
        <v>1</v>
      </c>
      <c r="AL1945" s="111">
        <f>PRODUCT($AK$5:AK1945)</f>
        <v>8.962823818226312E-2</v>
      </c>
      <c r="AM1945" s="109">
        <f>1 - [K-M P Value]</f>
        <v>0.91037176181773694</v>
      </c>
      <c r="AN1945" s="111" t="str">
        <f>IF(Audit[[#This Row],[K-M P Value]]&gt;1-'General Info'!$B$16,"Continue", "Stop")</f>
        <v>Stop</v>
      </c>
      <c r="AO1945" s="110" t="b">
        <f>IF(Audit[[#This Row],[Status - Continue or stop audit]] = "Continue", TRUE, IF(AN1944 = "Continue", TRUE, FALSE))</f>
        <v>0</v>
      </c>
      <c r="AP1945" s="110"/>
    </row>
    <row r="1946" spans="1:42" ht="15" hidden="1" customHeight="1">
      <c r="A1946" s="111" t="str">
        <f>'Sampling Data'!W1945</f>
        <v/>
      </c>
      <c r="B1946" s="112" t="str">
        <f>'Sampling Data'!A1945</f>
        <v>SOLON -05-C</v>
      </c>
      <c r="C1946" s="112">
        <f>'Sampling Data'!B1945</f>
        <v>7</v>
      </c>
      <c r="D1946" s="112">
        <f>'Sampling Data'!C1945</f>
        <v>23</v>
      </c>
      <c r="E1946" s="113">
        <f>'Sampling Data'!D1945</f>
        <v>12</v>
      </c>
      <c r="F1946" s="113">
        <f>'Sampling Data'!E1945</f>
        <v>7</v>
      </c>
      <c r="G1946" s="113">
        <f>'Sampling Data'!F1945</f>
        <v>0</v>
      </c>
      <c r="H1946" s="113">
        <f>'Sampling Data'!G1945</f>
        <v>0</v>
      </c>
      <c r="I1946" s="112">
        <f>'Sampling Data'!H1945</f>
        <v>0</v>
      </c>
      <c r="J1946" s="112">
        <f>'Sampling Data'!I1945</f>
        <v>2</v>
      </c>
      <c r="K1946" s="112">
        <f>'Sampling Data'!J1945</f>
        <v>51</v>
      </c>
      <c r="L1946" s="111">
        <f>'Sampling Data'!X1945</f>
        <v>0</v>
      </c>
      <c r="M1946" s="114"/>
      <c r="N1946" s="114"/>
      <c r="O1946" s="115"/>
      <c r="P1946" s="115"/>
      <c r="Q1946" s="116"/>
      <c r="R1946" s="116"/>
      <c r="S1946" s="111">
        <f>Audit[[#This Row],[Audit Losing Candidate]]-Audit[[#This Row],[Losing Candidate]]</f>
        <v>-7</v>
      </c>
      <c r="T1946" s="111">
        <f>Audit[[#This Row],[Audit Winning Candidate]]-Audit[[#This Row],[Winning Candidate]]</f>
        <v>-23</v>
      </c>
      <c r="U1946" s="111">
        <f>Audit[[#This Row],[Audit Candidate 3]]-Audit[[#This Row],[Candidate 3]]</f>
        <v>-12</v>
      </c>
      <c r="V1946" s="111">
        <f>Audit[[#This Row],[Audit Candidate 4]]-Audit[[#This Row],[Candidate 4]]</f>
        <v>-7</v>
      </c>
      <c r="W1946" s="111">
        <f>Audit[[#This Row],[Audit Candidate 5]]-Audit[[#This Row],[Candidate 5]]</f>
        <v>0</v>
      </c>
      <c r="X1946" s="111">
        <f>Audit[[#This Row],[Audit Candidate 6]]-Audit[[#This Row],[Candidate 6]]</f>
        <v>0</v>
      </c>
      <c r="Y1946" s="111">
        <f>SUMIF(Audit[[#This Row],[Difference Loser]:[Difference Candidate 6]], "&gt;0")</f>
        <v>0</v>
      </c>
      <c r="Z1946" s="111">
        <f>SUM(Audit[[#This Row],[Difference Loser]:[Difference Candidate 6]])</f>
        <v>-49</v>
      </c>
      <c r="AA1946" s="111">
        <f>IF(Audit[[#This Row],[Times p Drawn - With Replacement]]&gt;0, IF(Audit[[#This Row],[Canceled Differences]]&lt;0, Audit[[#This Row],[Max Differences]]+ABS(Audit[[#This Row],[Canceled Differences]]), Audit[[#This Row],[Max Differences]]), 0)</f>
        <v>0</v>
      </c>
      <c r="AB1946" s="111">
        <f>'Sampling Data'!P1945</f>
        <v>4.1033806957373837E-3</v>
      </c>
      <c r="AC1946" s="111">
        <f>IF(
      SUM(Audit[[#This Row],[Audit Losing Candidate]:[Audit Candidate 6]])
      &lt;&gt;0,
      (Audit[[#This Row],[Winning Candidate]]-Audit[[#This Row],[Losing Candidate]]-(Audit[[#This Row],[Audit Winning Candidate]]-Audit[[#This Row],[Audit Losing Candidate]]))/(Audit[[#Totals],[Winning Candidate]]-Audit[[#Totals],[Losing Candidate]]),
      0
)</f>
        <v>0</v>
      </c>
      <c r="AD19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6" s="111">
        <f>IF(Audit[[#This Row],[Max Relative Error (ep)]] = 0, 0, Audit[[#This Row],[Max Relative Error (ep)]]/Audit[[#This Row],[Error Bound (up) - Max. possible relative overstatement]])</f>
        <v>0</v>
      </c>
      <c r="AJ19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46" s="111">
        <f t="shared" si="30"/>
        <v>1</v>
      </c>
      <c r="AL1946" s="111">
        <f>PRODUCT($AK$5:AK1946)</f>
        <v>8.962823818226312E-2</v>
      </c>
      <c r="AM1946" s="109">
        <f>1 - [K-M P Value]</f>
        <v>0.91037176181773694</v>
      </c>
      <c r="AN1946" s="111" t="str">
        <f>IF(Audit[[#This Row],[K-M P Value]]&gt;1-'General Info'!$B$16,"Continue", "Stop")</f>
        <v>Stop</v>
      </c>
      <c r="AO1946" s="110" t="b">
        <f>IF(Audit[[#This Row],[Status - Continue or stop audit]] = "Continue", TRUE, IF(AN1945 = "Continue", TRUE, FALSE))</f>
        <v>0</v>
      </c>
      <c r="AP1946" s="110"/>
    </row>
    <row r="1947" spans="1:42" ht="15" hidden="1" customHeight="1">
      <c r="A1947" s="111" t="str">
        <f>'Sampling Data'!W1946</f>
        <v/>
      </c>
      <c r="B1947" s="112" t="str">
        <f>'Sampling Data'!A1946</f>
        <v>SOLON -05-C - ABS</v>
      </c>
      <c r="C1947" s="112">
        <f>'Sampling Data'!B1946</f>
        <v>7</v>
      </c>
      <c r="D1947" s="112">
        <f>'Sampling Data'!C1946</f>
        <v>12</v>
      </c>
      <c r="E1947" s="113">
        <f>'Sampling Data'!D1946</f>
        <v>2</v>
      </c>
      <c r="F1947" s="113">
        <f>'Sampling Data'!E1946</f>
        <v>1</v>
      </c>
      <c r="G1947" s="113">
        <f>'Sampling Data'!F1946</f>
        <v>0</v>
      </c>
      <c r="H1947" s="113">
        <f>'Sampling Data'!G1946</f>
        <v>0</v>
      </c>
      <c r="I1947" s="112">
        <f>'Sampling Data'!H1946</f>
        <v>0</v>
      </c>
      <c r="J1947" s="112">
        <f>'Sampling Data'!I1946</f>
        <v>0</v>
      </c>
      <c r="K1947" s="112">
        <f>'Sampling Data'!J1946</f>
        <v>22</v>
      </c>
      <c r="L1947" s="111">
        <f>'Sampling Data'!X1946</f>
        <v>0</v>
      </c>
      <c r="M1947" s="114"/>
      <c r="N1947" s="114"/>
      <c r="O1947" s="115"/>
      <c r="P1947" s="115"/>
      <c r="Q1947" s="116"/>
      <c r="R1947" s="116"/>
      <c r="S1947" s="111">
        <f>Audit[[#This Row],[Audit Losing Candidate]]-Audit[[#This Row],[Losing Candidate]]</f>
        <v>-7</v>
      </c>
      <c r="T1947" s="111">
        <f>Audit[[#This Row],[Audit Winning Candidate]]-Audit[[#This Row],[Winning Candidate]]</f>
        <v>-12</v>
      </c>
      <c r="U1947" s="111">
        <f>Audit[[#This Row],[Audit Candidate 3]]-Audit[[#This Row],[Candidate 3]]</f>
        <v>-2</v>
      </c>
      <c r="V1947" s="111">
        <f>Audit[[#This Row],[Audit Candidate 4]]-Audit[[#This Row],[Candidate 4]]</f>
        <v>-1</v>
      </c>
      <c r="W1947" s="111">
        <f>Audit[[#This Row],[Audit Candidate 5]]-Audit[[#This Row],[Candidate 5]]</f>
        <v>0</v>
      </c>
      <c r="X1947" s="111">
        <f>Audit[[#This Row],[Audit Candidate 6]]-Audit[[#This Row],[Candidate 6]]</f>
        <v>0</v>
      </c>
      <c r="Y1947" s="111">
        <f>SUMIF(Audit[[#This Row],[Difference Loser]:[Difference Candidate 6]], "&gt;0")</f>
        <v>0</v>
      </c>
      <c r="Z1947" s="111">
        <f>SUM(Audit[[#This Row],[Difference Loser]:[Difference Candidate 6]])</f>
        <v>-22</v>
      </c>
      <c r="AA1947" s="111">
        <f>IF(Audit[[#This Row],[Times p Drawn - With Replacement]]&gt;0, IF(Audit[[#This Row],[Canceled Differences]]&lt;0, Audit[[#This Row],[Max Differences]]+ABS(Audit[[#This Row],[Canceled Differences]]), Audit[[#This Row],[Max Differences]]), 0)</f>
        <v>0</v>
      </c>
      <c r="AB1947" s="111">
        <f>'Sampling Data'!P1946</f>
        <v>1.6536011758941694E-3</v>
      </c>
      <c r="AC1947" s="111">
        <f>IF(
      SUM(Audit[[#This Row],[Audit Losing Candidate]:[Audit Candidate 6]])
      &lt;&gt;0,
      (Audit[[#This Row],[Winning Candidate]]-Audit[[#This Row],[Losing Candidate]]-(Audit[[#This Row],[Audit Winning Candidate]]-Audit[[#This Row],[Audit Losing Candidate]]))/(Audit[[#Totals],[Winning Candidate]]-Audit[[#Totals],[Losing Candidate]]),
      0
)</f>
        <v>0</v>
      </c>
      <c r="AD19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7" s="111">
        <f>IF(Audit[[#This Row],[Max Relative Error (ep)]] = 0, 0, Audit[[#This Row],[Max Relative Error (ep)]]/Audit[[#This Row],[Error Bound (up) - Max. possible relative overstatement]])</f>
        <v>0</v>
      </c>
      <c r="AJ19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47" s="111">
        <f t="shared" si="30"/>
        <v>1</v>
      </c>
      <c r="AL1947" s="111">
        <f>PRODUCT($AK$5:AK1947)</f>
        <v>8.962823818226312E-2</v>
      </c>
      <c r="AM1947" s="109">
        <f>1 - [K-M P Value]</f>
        <v>0.91037176181773694</v>
      </c>
      <c r="AN1947" s="111" t="str">
        <f>IF(Audit[[#This Row],[K-M P Value]]&gt;1-'General Info'!$B$16,"Continue", "Stop")</f>
        <v>Stop</v>
      </c>
      <c r="AO1947" s="110" t="b">
        <f>IF(Audit[[#This Row],[Status - Continue or stop audit]] = "Continue", TRUE, IF(AN1946 = "Continue", TRUE, FALSE))</f>
        <v>0</v>
      </c>
      <c r="AP1947" s="110"/>
    </row>
    <row r="1948" spans="1:42" ht="15" hidden="1" customHeight="1">
      <c r="A1948" s="111" t="str">
        <f>'Sampling Data'!W1947</f>
        <v/>
      </c>
      <c r="B1948" s="112" t="str">
        <f>'Sampling Data'!A1947</f>
        <v>SOLON -06-A</v>
      </c>
      <c r="C1948" s="112">
        <f>'Sampling Data'!B1947</f>
        <v>26</v>
      </c>
      <c r="D1948" s="112">
        <f>'Sampling Data'!C1947</f>
        <v>56</v>
      </c>
      <c r="E1948" s="113">
        <f>'Sampling Data'!D1947</f>
        <v>10</v>
      </c>
      <c r="F1948" s="113">
        <f>'Sampling Data'!E1947</f>
        <v>7</v>
      </c>
      <c r="G1948" s="113">
        <f>'Sampling Data'!F1947</f>
        <v>2</v>
      </c>
      <c r="H1948" s="113">
        <f>'Sampling Data'!G1947</f>
        <v>1</v>
      </c>
      <c r="I1948" s="112">
        <f>'Sampling Data'!H1947</f>
        <v>0</v>
      </c>
      <c r="J1948" s="112">
        <f>'Sampling Data'!I1947</f>
        <v>2</v>
      </c>
      <c r="K1948" s="112">
        <f>'Sampling Data'!J1947</f>
        <v>104</v>
      </c>
      <c r="L1948" s="111">
        <f>'Sampling Data'!X1947</f>
        <v>0</v>
      </c>
      <c r="M1948" s="114"/>
      <c r="N1948" s="114"/>
      <c r="O1948" s="115"/>
      <c r="P1948" s="115"/>
      <c r="Q1948" s="116"/>
      <c r="R1948" s="116"/>
      <c r="S1948" s="111">
        <f>Audit[[#This Row],[Audit Losing Candidate]]-Audit[[#This Row],[Losing Candidate]]</f>
        <v>-26</v>
      </c>
      <c r="T1948" s="111">
        <f>Audit[[#This Row],[Audit Winning Candidate]]-Audit[[#This Row],[Winning Candidate]]</f>
        <v>-56</v>
      </c>
      <c r="U1948" s="111">
        <f>Audit[[#This Row],[Audit Candidate 3]]-Audit[[#This Row],[Candidate 3]]</f>
        <v>-10</v>
      </c>
      <c r="V1948" s="111">
        <f>Audit[[#This Row],[Audit Candidate 4]]-Audit[[#This Row],[Candidate 4]]</f>
        <v>-7</v>
      </c>
      <c r="W1948" s="111">
        <f>Audit[[#This Row],[Audit Candidate 5]]-Audit[[#This Row],[Candidate 5]]</f>
        <v>-2</v>
      </c>
      <c r="X1948" s="111">
        <f>Audit[[#This Row],[Audit Candidate 6]]-Audit[[#This Row],[Candidate 6]]</f>
        <v>-1</v>
      </c>
      <c r="Y1948" s="111">
        <f>SUMIF(Audit[[#This Row],[Difference Loser]:[Difference Candidate 6]], "&gt;0")</f>
        <v>0</v>
      </c>
      <c r="Z1948" s="111">
        <f>SUM(Audit[[#This Row],[Difference Loser]:[Difference Candidate 6]])</f>
        <v>-102</v>
      </c>
      <c r="AA1948" s="111">
        <f>IF(Audit[[#This Row],[Times p Drawn - With Replacement]]&gt;0, IF(Audit[[#This Row],[Canceled Differences]]&lt;0, Audit[[#This Row],[Max Differences]]+ABS(Audit[[#This Row],[Canceled Differences]]), Audit[[#This Row],[Max Differences]]), 0)</f>
        <v>0</v>
      </c>
      <c r="AB1948" s="111">
        <f>'Sampling Data'!P1947</f>
        <v>8.2067613914747675E-3</v>
      </c>
      <c r="AC1948" s="111">
        <f>IF(
      SUM(Audit[[#This Row],[Audit Losing Candidate]:[Audit Candidate 6]])
      &lt;&gt;0,
      (Audit[[#This Row],[Winning Candidate]]-Audit[[#This Row],[Losing Candidate]]-(Audit[[#This Row],[Audit Winning Candidate]]-Audit[[#This Row],[Audit Losing Candidate]]))/(Audit[[#Totals],[Winning Candidate]]-Audit[[#Totals],[Losing Candidate]]),
      0
)</f>
        <v>0</v>
      </c>
      <c r="AD19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8" s="111">
        <f>IF(Audit[[#This Row],[Max Relative Error (ep)]] = 0, 0, Audit[[#This Row],[Max Relative Error (ep)]]/Audit[[#This Row],[Error Bound (up) - Max. possible relative overstatement]])</f>
        <v>0</v>
      </c>
      <c r="AJ19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48" s="111">
        <f t="shared" si="30"/>
        <v>1</v>
      </c>
      <c r="AL1948" s="111">
        <f>PRODUCT($AK$5:AK1948)</f>
        <v>8.962823818226312E-2</v>
      </c>
      <c r="AM1948" s="109">
        <f>1 - [K-M P Value]</f>
        <v>0.91037176181773694</v>
      </c>
      <c r="AN1948" s="111" t="str">
        <f>IF(Audit[[#This Row],[K-M P Value]]&gt;1-'General Info'!$B$16,"Continue", "Stop")</f>
        <v>Stop</v>
      </c>
      <c r="AO1948" s="110" t="b">
        <f>IF(Audit[[#This Row],[Status - Continue or stop audit]] = "Continue", TRUE, IF(AN1947 = "Continue", TRUE, FALSE))</f>
        <v>0</v>
      </c>
      <c r="AP1948" s="110"/>
    </row>
    <row r="1949" spans="1:42" ht="15" hidden="1" customHeight="1">
      <c r="A1949" s="111" t="str">
        <f>'Sampling Data'!W1948</f>
        <v/>
      </c>
      <c r="B1949" s="112" t="str">
        <f>'Sampling Data'!A1948</f>
        <v>SOLON -06-A - ABS</v>
      </c>
      <c r="C1949" s="112">
        <f>'Sampling Data'!B1948</f>
        <v>18</v>
      </c>
      <c r="D1949" s="112">
        <f>'Sampling Data'!C1948</f>
        <v>25</v>
      </c>
      <c r="E1949" s="113">
        <f>'Sampling Data'!D1948</f>
        <v>4</v>
      </c>
      <c r="F1949" s="113">
        <f>'Sampling Data'!E1948</f>
        <v>1</v>
      </c>
      <c r="G1949" s="113">
        <f>'Sampling Data'!F1948</f>
        <v>0</v>
      </c>
      <c r="H1949" s="113">
        <f>'Sampling Data'!G1948</f>
        <v>0</v>
      </c>
      <c r="I1949" s="112">
        <f>'Sampling Data'!H1948</f>
        <v>0</v>
      </c>
      <c r="J1949" s="112">
        <f>'Sampling Data'!I1948</f>
        <v>1</v>
      </c>
      <c r="K1949" s="112">
        <f>'Sampling Data'!J1948</f>
        <v>49</v>
      </c>
      <c r="L1949" s="111">
        <f>'Sampling Data'!X1948</f>
        <v>0</v>
      </c>
      <c r="M1949" s="114"/>
      <c r="N1949" s="114"/>
      <c r="O1949" s="115"/>
      <c r="P1949" s="115"/>
      <c r="Q1949" s="116"/>
      <c r="R1949" s="116"/>
      <c r="S1949" s="111">
        <f>Audit[[#This Row],[Audit Losing Candidate]]-Audit[[#This Row],[Losing Candidate]]</f>
        <v>-18</v>
      </c>
      <c r="T1949" s="111">
        <f>Audit[[#This Row],[Audit Winning Candidate]]-Audit[[#This Row],[Winning Candidate]]</f>
        <v>-25</v>
      </c>
      <c r="U1949" s="111">
        <f>Audit[[#This Row],[Audit Candidate 3]]-Audit[[#This Row],[Candidate 3]]</f>
        <v>-4</v>
      </c>
      <c r="V1949" s="111">
        <f>Audit[[#This Row],[Audit Candidate 4]]-Audit[[#This Row],[Candidate 4]]</f>
        <v>-1</v>
      </c>
      <c r="W1949" s="111">
        <f>Audit[[#This Row],[Audit Candidate 5]]-Audit[[#This Row],[Candidate 5]]</f>
        <v>0</v>
      </c>
      <c r="X1949" s="111">
        <f>Audit[[#This Row],[Audit Candidate 6]]-Audit[[#This Row],[Candidate 6]]</f>
        <v>0</v>
      </c>
      <c r="Y1949" s="111">
        <f>SUMIF(Audit[[#This Row],[Difference Loser]:[Difference Candidate 6]], "&gt;0")</f>
        <v>0</v>
      </c>
      <c r="Z1949" s="111">
        <f>SUM(Audit[[#This Row],[Difference Loser]:[Difference Candidate 6]])</f>
        <v>-48</v>
      </c>
      <c r="AA1949" s="111">
        <f>IF(Audit[[#This Row],[Times p Drawn - With Replacement]]&gt;0, IF(Audit[[#This Row],[Canceled Differences]]&lt;0, Audit[[#This Row],[Max Differences]]+ABS(Audit[[#This Row],[Canceled Differences]]), Audit[[#This Row],[Max Differences]]), 0)</f>
        <v>0</v>
      </c>
      <c r="AB1949" s="111">
        <f>'Sampling Data'!P1948</f>
        <v>3.4296913277804997E-3</v>
      </c>
      <c r="AC1949" s="111">
        <f>IF(
      SUM(Audit[[#This Row],[Audit Losing Candidate]:[Audit Candidate 6]])
      &lt;&gt;0,
      (Audit[[#This Row],[Winning Candidate]]-Audit[[#This Row],[Losing Candidate]]-(Audit[[#This Row],[Audit Winning Candidate]]-Audit[[#This Row],[Audit Losing Candidate]]))/(Audit[[#Totals],[Winning Candidate]]-Audit[[#Totals],[Losing Candidate]]),
      0
)</f>
        <v>0</v>
      </c>
      <c r="AD19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9" s="111">
        <f>IF(Audit[[#This Row],[Max Relative Error (ep)]] = 0, 0, Audit[[#This Row],[Max Relative Error (ep)]]/Audit[[#This Row],[Error Bound (up) - Max. possible relative overstatement]])</f>
        <v>0</v>
      </c>
      <c r="AJ19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49" s="111">
        <f t="shared" si="30"/>
        <v>1</v>
      </c>
      <c r="AL1949" s="111">
        <f>PRODUCT($AK$5:AK1949)</f>
        <v>8.962823818226312E-2</v>
      </c>
      <c r="AM1949" s="109">
        <f>1 - [K-M P Value]</f>
        <v>0.91037176181773694</v>
      </c>
      <c r="AN1949" s="111" t="str">
        <f>IF(Audit[[#This Row],[K-M P Value]]&gt;1-'General Info'!$B$16,"Continue", "Stop")</f>
        <v>Stop</v>
      </c>
      <c r="AO1949" s="110" t="b">
        <f>IF(Audit[[#This Row],[Status - Continue or stop audit]] = "Continue", TRUE, IF(AN1948 = "Continue", TRUE, FALSE))</f>
        <v>0</v>
      </c>
      <c r="AP1949" s="110"/>
    </row>
    <row r="1950" spans="1:42" ht="15" hidden="1" customHeight="1">
      <c r="A1950" s="111" t="str">
        <f>'Sampling Data'!W1949</f>
        <v/>
      </c>
      <c r="B1950" s="112" t="str">
        <f>'Sampling Data'!A1949</f>
        <v>SOLON -06-B</v>
      </c>
      <c r="C1950" s="112">
        <f>'Sampling Data'!B1949</f>
        <v>34</v>
      </c>
      <c r="D1950" s="112">
        <f>'Sampling Data'!C1949</f>
        <v>82</v>
      </c>
      <c r="E1950" s="113">
        <f>'Sampling Data'!D1949</f>
        <v>13</v>
      </c>
      <c r="F1950" s="113">
        <f>'Sampling Data'!E1949</f>
        <v>11</v>
      </c>
      <c r="G1950" s="113">
        <f>'Sampling Data'!F1949</f>
        <v>1</v>
      </c>
      <c r="H1950" s="113">
        <f>'Sampling Data'!G1949</f>
        <v>0</v>
      </c>
      <c r="I1950" s="112">
        <f>'Sampling Data'!H1949</f>
        <v>0</v>
      </c>
      <c r="J1950" s="112">
        <f>'Sampling Data'!I1949</f>
        <v>4</v>
      </c>
      <c r="K1950" s="112">
        <f>'Sampling Data'!J1949</f>
        <v>145</v>
      </c>
      <c r="L1950" s="111">
        <f>'Sampling Data'!X1949</f>
        <v>0</v>
      </c>
      <c r="M1950" s="114"/>
      <c r="N1950" s="114"/>
      <c r="O1950" s="115"/>
      <c r="P1950" s="115"/>
      <c r="Q1950" s="116"/>
      <c r="R1950" s="116"/>
      <c r="S1950" s="111">
        <f>Audit[[#This Row],[Audit Losing Candidate]]-Audit[[#This Row],[Losing Candidate]]</f>
        <v>-34</v>
      </c>
      <c r="T1950" s="111">
        <f>Audit[[#This Row],[Audit Winning Candidate]]-Audit[[#This Row],[Winning Candidate]]</f>
        <v>-82</v>
      </c>
      <c r="U1950" s="111">
        <f>Audit[[#This Row],[Audit Candidate 3]]-Audit[[#This Row],[Candidate 3]]</f>
        <v>-13</v>
      </c>
      <c r="V1950" s="111">
        <f>Audit[[#This Row],[Audit Candidate 4]]-Audit[[#This Row],[Candidate 4]]</f>
        <v>-11</v>
      </c>
      <c r="W1950" s="111">
        <f>Audit[[#This Row],[Audit Candidate 5]]-Audit[[#This Row],[Candidate 5]]</f>
        <v>-1</v>
      </c>
      <c r="X1950" s="111">
        <f>Audit[[#This Row],[Audit Candidate 6]]-Audit[[#This Row],[Candidate 6]]</f>
        <v>0</v>
      </c>
      <c r="Y1950" s="111">
        <f>SUMIF(Audit[[#This Row],[Difference Loser]:[Difference Candidate 6]], "&gt;0")</f>
        <v>0</v>
      </c>
      <c r="Z1950" s="111">
        <f>SUM(Audit[[#This Row],[Difference Loser]:[Difference Candidate 6]])</f>
        <v>-141</v>
      </c>
      <c r="AA1950" s="111">
        <f>IF(Audit[[#This Row],[Times p Drawn - With Replacement]]&gt;0, IF(Audit[[#This Row],[Canceled Differences]]&lt;0, Audit[[#This Row],[Max Differences]]+ABS(Audit[[#This Row],[Canceled Differences]]), Audit[[#This Row],[Max Differences]]), 0)</f>
        <v>0</v>
      </c>
      <c r="AB1950" s="111">
        <f>'Sampling Data'!P1949</f>
        <v>1.1820186183243509E-2</v>
      </c>
      <c r="AC1950" s="111">
        <f>IF(
      SUM(Audit[[#This Row],[Audit Losing Candidate]:[Audit Candidate 6]])
      &lt;&gt;0,
      (Audit[[#This Row],[Winning Candidate]]-Audit[[#This Row],[Losing Candidate]]-(Audit[[#This Row],[Audit Winning Candidate]]-Audit[[#This Row],[Audit Losing Candidate]]))/(Audit[[#Totals],[Winning Candidate]]-Audit[[#Totals],[Losing Candidate]]),
      0
)</f>
        <v>0</v>
      </c>
      <c r="AD19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0" s="111">
        <f>IF(Audit[[#This Row],[Max Relative Error (ep)]] = 0, 0, Audit[[#This Row],[Max Relative Error (ep)]]/Audit[[#This Row],[Error Bound (up) - Max. possible relative overstatement]])</f>
        <v>0</v>
      </c>
      <c r="AJ19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50" s="111">
        <f t="shared" si="30"/>
        <v>1</v>
      </c>
      <c r="AL1950" s="111">
        <f>PRODUCT($AK$5:AK1950)</f>
        <v>8.962823818226312E-2</v>
      </c>
      <c r="AM1950" s="109">
        <f>1 - [K-M P Value]</f>
        <v>0.91037176181773694</v>
      </c>
      <c r="AN1950" s="111" t="str">
        <f>IF(Audit[[#This Row],[K-M P Value]]&gt;1-'General Info'!$B$16,"Continue", "Stop")</f>
        <v>Stop</v>
      </c>
      <c r="AO1950" s="110" t="b">
        <f>IF(Audit[[#This Row],[Status - Continue or stop audit]] = "Continue", TRUE, IF(AN1949 = "Continue", TRUE, FALSE))</f>
        <v>0</v>
      </c>
      <c r="AP1950" s="110"/>
    </row>
    <row r="1951" spans="1:42" ht="15" hidden="1" customHeight="1">
      <c r="A1951" s="111" t="str">
        <f>'Sampling Data'!W1950</f>
        <v/>
      </c>
      <c r="B1951" s="112" t="str">
        <f>'Sampling Data'!A1950</f>
        <v>SOLON -06-B - ABS</v>
      </c>
      <c r="C1951" s="112">
        <f>'Sampling Data'!B1950</f>
        <v>10</v>
      </c>
      <c r="D1951" s="112">
        <f>'Sampling Data'!C1950</f>
        <v>38</v>
      </c>
      <c r="E1951" s="113">
        <f>'Sampling Data'!D1950</f>
        <v>4</v>
      </c>
      <c r="F1951" s="113">
        <f>'Sampling Data'!E1950</f>
        <v>0</v>
      </c>
      <c r="G1951" s="113">
        <f>'Sampling Data'!F1950</f>
        <v>1</v>
      </c>
      <c r="H1951" s="113">
        <f>'Sampling Data'!G1950</f>
        <v>0</v>
      </c>
      <c r="I1951" s="112">
        <f>'Sampling Data'!H1950</f>
        <v>0</v>
      </c>
      <c r="J1951" s="112">
        <f>'Sampling Data'!I1950</f>
        <v>0</v>
      </c>
      <c r="K1951" s="112">
        <f>'Sampling Data'!J1950</f>
        <v>53</v>
      </c>
      <c r="L1951" s="111">
        <f>'Sampling Data'!X1950</f>
        <v>0</v>
      </c>
      <c r="M1951" s="114"/>
      <c r="N1951" s="114"/>
      <c r="O1951" s="115"/>
      <c r="P1951" s="115"/>
      <c r="Q1951" s="116"/>
      <c r="R1951" s="116"/>
      <c r="S1951" s="111">
        <f>Audit[[#This Row],[Audit Losing Candidate]]-Audit[[#This Row],[Losing Candidate]]</f>
        <v>-10</v>
      </c>
      <c r="T1951" s="111">
        <f>Audit[[#This Row],[Audit Winning Candidate]]-Audit[[#This Row],[Winning Candidate]]</f>
        <v>-38</v>
      </c>
      <c r="U1951" s="111">
        <f>Audit[[#This Row],[Audit Candidate 3]]-Audit[[#This Row],[Candidate 3]]</f>
        <v>-4</v>
      </c>
      <c r="V1951" s="111">
        <f>Audit[[#This Row],[Audit Candidate 4]]-Audit[[#This Row],[Candidate 4]]</f>
        <v>0</v>
      </c>
      <c r="W1951" s="111">
        <f>Audit[[#This Row],[Audit Candidate 5]]-Audit[[#This Row],[Candidate 5]]</f>
        <v>-1</v>
      </c>
      <c r="X1951" s="111">
        <f>Audit[[#This Row],[Audit Candidate 6]]-Audit[[#This Row],[Candidate 6]]</f>
        <v>0</v>
      </c>
      <c r="Y1951" s="111">
        <f>SUMIF(Audit[[#This Row],[Difference Loser]:[Difference Candidate 6]], "&gt;0")</f>
        <v>0</v>
      </c>
      <c r="Z1951" s="111">
        <f>SUM(Audit[[#This Row],[Difference Loser]:[Difference Candidate 6]])</f>
        <v>-53</v>
      </c>
      <c r="AA1951" s="111">
        <f>IF(Audit[[#This Row],[Times p Drawn - With Replacement]]&gt;0, IF(Audit[[#This Row],[Canceled Differences]]&lt;0, Audit[[#This Row],[Max Differences]]+ABS(Audit[[#This Row],[Canceled Differences]]), Audit[[#This Row],[Max Differences]]), 0)</f>
        <v>0</v>
      </c>
      <c r="AB1951" s="111">
        <f>'Sampling Data'!P1950</f>
        <v>4.9608035276825085E-3</v>
      </c>
      <c r="AC1951" s="111">
        <f>IF(
      SUM(Audit[[#This Row],[Audit Losing Candidate]:[Audit Candidate 6]])
      &lt;&gt;0,
      (Audit[[#This Row],[Winning Candidate]]-Audit[[#This Row],[Losing Candidate]]-(Audit[[#This Row],[Audit Winning Candidate]]-Audit[[#This Row],[Audit Losing Candidate]]))/(Audit[[#Totals],[Winning Candidate]]-Audit[[#Totals],[Losing Candidate]]),
      0
)</f>
        <v>0</v>
      </c>
      <c r="AD19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1" s="111">
        <f>IF(Audit[[#This Row],[Max Relative Error (ep)]] = 0, 0, Audit[[#This Row],[Max Relative Error (ep)]]/Audit[[#This Row],[Error Bound (up) - Max. possible relative overstatement]])</f>
        <v>0</v>
      </c>
      <c r="AJ19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51" s="111">
        <f t="shared" si="30"/>
        <v>1</v>
      </c>
      <c r="AL1951" s="111">
        <f>PRODUCT($AK$5:AK1951)</f>
        <v>8.962823818226312E-2</v>
      </c>
      <c r="AM1951" s="109">
        <f>1 - [K-M P Value]</f>
        <v>0.91037176181773694</v>
      </c>
      <c r="AN1951" s="111" t="str">
        <f>IF(Audit[[#This Row],[K-M P Value]]&gt;1-'General Info'!$B$16,"Continue", "Stop")</f>
        <v>Stop</v>
      </c>
      <c r="AO1951" s="110" t="b">
        <f>IF(Audit[[#This Row],[Status - Continue or stop audit]] = "Continue", TRUE, IF(AN1950 = "Continue", TRUE, FALSE))</f>
        <v>0</v>
      </c>
      <c r="AP1951" s="110"/>
    </row>
    <row r="1952" spans="1:42" ht="15" hidden="1" customHeight="1">
      <c r="A1952" s="111" t="str">
        <f>'Sampling Data'!W1951</f>
        <v/>
      </c>
      <c r="B1952" s="112" t="str">
        <f>'Sampling Data'!A1951</f>
        <v>SOLON -07-A</v>
      </c>
      <c r="C1952" s="112">
        <f>'Sampling Data'!B1951</f>
        <v>44</v>
      </c>
      <c r="D1952" s="112">
        <f>'Sampling Data'!C1951</f>
        <v>61</v>
      </c>
      <c r="E1952" s="113">
        <f>'Sampling Data'!D1951</f>
        <v>13</v>
      </c>
      <c r="F1952" s="113">
        <f>'Sampling Data'!E1951</f>
        <v>15</v>
      </c>
      <c r="G1952" s="113">
        <f>'Sampling Data'!F1951</f>
        <v>1</v>
      </c>
      <c r="H1952" s="113">
        <f>'Sampling Data'!G1951</f>
        <v>0</v>
      </c>
      <c r="I1952" s="112">
        <f>'Sampling Data'!H1951</f>
        <v>1</v>
      </c>
      <c r="J1952" s="112">
        <f>'Sampling Data'!I1951</f>
        <v>2</v>
      </c>
      <c r="K1952" s="112">
        <f>'Sampling Data'!J1951</f>
        <v>137</v>
      </c>
      <c r="L1952" s="111">
        <f>'Sampling Data'!X1951</f>
        <v>0</v>
      </c>
      <c r="M1952" s="114"/>
      <c r="N1952" s="114"/>
      <c r="O1952" s="115"/>
      <c r="P1952" s="115"/>
      <c r="Q1952" s="116"/>
      <c r="R1952" s="116"/>
      <c r="S1952" s="111">
        <f>Audit[[#This Row],[Audit Losing Candidate]]-Audit[[#This Row],[Losing Candidate]]</f>
        <v>-44</v>
      </c>
      <c r="T1952" s="111">
        <f>Audit[[#This Row],[Audit Winning Candidate]]-Audit[[#This Row],[Winning Candidate]]</f>
        <v>-61</v>
      </c>
      <c r="U1952" s="111">
        <f>Audit[[#This Row],[Audit Candidate 3]]-Audit[[#This Row],[Candidate 3]]</f>
        <v>-13</v>
      </c>
      <c r="V1952" s="111">
        <f>Audit[[#This Row],[Audit Candidate 4]]-Audit[[#This Row],[Candidate 4]]</f>
        <v>-15</v>
      </c>
      <c r="W1952" s="111">
        <f>Audit[[#This Row],[Audit Candidate 5]]-Audit[[#This Row],[Candidate 5]]</f>
        <v>-1</v>
      </c>
      <c r="X1952" s="111">
        <f>Audit[[#This Row],[Audit Candidate 6]]-Audit[[#This Row],[Candidate 6]]</f>
        <v>0</v>
      </c>
      <c r="Y1952" s="111">
        <f>SUMIF(Audit[[#This Row],[Difference Loser]:[Difference Candidate 6]], "&gt;0")</f>
        <v>0</v>
      </c>
      <c r="Z1952" s="111">
        <f>SUM(Audit[[#This Row],[Difference Loser]:[Difference Candidate 6]])</f>
        <v>-134</v>
      </c>
      <c r="AA1952" s="111">
        <f>IF(Audit[[#This Row],[Times p Drawn - With Replacement]]&gt;0, IF(Audit[[#This Row],[Canceled Differences]]&lt;0, Audit[[#This Row],[Max Differences]]+ABS(Audit[[#This Row],[Canceled Differences]]), Audit[[#This Row],[Max Differences]]), 0)</f>
        <v>0</v>
      </c>
      <c r="AB1952" s="111">
        <f>'Sampling Data'!P1951</f>
        <v>9.4316511513963738E-3</v>
      </c>
      <c r="AC1952" s="111">
        <f>IF(
      SUM(Audit[[#This Row],[Audit Losing Candidate]:[Audit Candidate 6]])
      &lt;&gt;0,
      (Audit[[#This Row],[Winning Candidate]]-Audit[[#This Row],[Losing Candidate]]-(Audit[[#This Row],[Audit Winning Candidate]]-Audit[[#This Row],[Audit Losing Candidate]]))/(Audit[[#Totals],[Winning Candidate]]-Audit[[#Totals],[Losing Candidate]]),
      0
)</f>
        <v>0</v>
      </c>
      <c r="AD19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2" s="111">
        <f>IF(Audit[[#This Row],[Max Relative Error (ep)]] = 0, 0, Audit[[#This Row],[Max Relative Error (ep)]]/Audit[[#This Row],[Error Bound (up) - Max. possible relative overstatement]])</f>
        <v>0</v>
      </c>
      <c r="AJ19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52" s="111">
        <f t="shared" si="30"/>
        <v>1</v>
      </c>
      <c r="AL1952" s="111">
        <f>PRODUCT($AK$5:AK1952)</f>
        <v>8.962823818226312E-2</v>
      </c>
      <c r="AM1952" s="109">
        <f>1 - [K-M P Value]</f>
        <v>0.91037176181773694</v>
      </c>
      <c r="AN1952" s="111" t="str">
        <f>IF(Audit[[#This Row],[K-M P Value]]&gt;1-'General Info'!$B$16,"Continue", "Stop")</f>
        <v>Stop</v>
      </c>
      <c r="AO1952" s="110" t="b">
        <f>IF(Audit[[#This Row],[Status - Continue or stop audit]] = "Continue", TRUE, IF(AN1951 = "Continue", TRUE, FALSE))</f>
        <v>0</v>
      </c>
      <c r="AP1952" s="110"/>
    </row>
    <row r="1953" spans="1:42" ht="15" hidden="1" customHeight="1">
      <c r="A1953" s="111" t="str">
        <f>'Sampling Data'!W1952</f>
        <v/>
      </c>
      <c r="B1953" s="112" t="str">
        <f>'Sampling Data'!A1952</f>
        <v>SOLON -07-A - ABS</v>
      </c>
      <c r="C1953" s="112">
        <f>'Sampling Data'!B1952</f>
        <v>19</v>
      </c>
      <c r="D1953" s="112">
        <f>'Sampling Data'!C1952</f>
        <v>32</v>
      </c>
      <c r="E1953" s="113">
        <f>'Sampling Data'!D1952</f>
        <v>7</v>
      </c>
      <c r="F1953" s="113">
        <f>'Sampling Data'!E1952</f>
        <v>4</v>
      </c>
      <c r="G1953" s="113">
        <f>'Sampling Data'!F1952</f>
        <v>0</v>
      </c>
      <c r="H1953" s="113">
        <f>'Sampling Data'!G1952</f>
        <v>0</v>
      </c>
      <c r="I1953" s="112">
        <f>'Sampling Data'!H1952</f>
        <v>0</v>
      </c>
      <c r="J1953" s="112">
        <f>'Sampling Data'!I1952</f>
        <v>1</v>
      </c>
      <c r="K1953" s="112">
        <f>'Sampling Data'!J1952</f>
        <v>63</v>
      </c>
      <c r="L1953" s="111">
        <f>'Sampling Data'!X1952</f>
        <v>0</v>
      </c>
      <c r="M1953" s="114"/>
      <c r="N1953" s="114"/>
      <c r="O1953" s="115"/>
      <c r="P1953" s="115"/>
      <c r="Q1953" s="116"/>
      <c r="R1953" s="116"/>
      <c r="S1953" s="111">
        <f>Audit[[#This Row],[Audit Losing Candidate]]-Audit[[#This Row],[Losing Candidate]]</f>
        <v>-19</v>
      </c>
      <c r="T1953" s="111">
        <f>Audit[[#This Row],[Audit Winning Candidate]]-Audit[[#This Row],[Winning Candidate]]</f>
        <v>-32</v>
      </c>
      <c r="U1953" s="111">
        <f>Audit[[#This Row],[Audit Candidate 3]]-Audit[[#This Row],[Candidate 3]]</f>
        <v>-7</v>
      </c>
      <c r="V1953" s="111">
        <f>Audit[[#This Row],[Audit Candidate 4]]-Audit[[#This Row],[Candidate 4]]</f>
        <v>-4</v>
      </c>
      <c r="W1953" s="111">
        <f>Audit[[#This Row],[Audit Candidate 5]]-Audit[[#This Row],[Candidate 5]]</f>
        <v>0</v>
      </c>
      <c r="X1953" s="111">
        <f>Audit[[#This Row],[Audit Candidate 6]]-Audit[[#This Row],[Candidate 6]]</f>
        <v>0</v>
      </c>
      <c r="Y1953" s="111">
        <f>SUMIF(Audit[[#This Row],[Difference Loser]:[Difference Candidate 6]], "&gt;0")</f>
        <v>0</v>
      </c>
      <c r="Z1953" s="111">
        <f>SUM(Audit[[#This Row],[Difference Loser]:[Difference Candidate 6]])</f>
        <v>-62</v>
      </c>
      <c r="AA1953" s="111">
        <f>IF(Audit[[#This Row],[Times p Drawn - With Replacement]]&gt;0, IF(Audit[[#This Row],[Canceled Differences]]&lt;0, Audit[[#This Row],[Max Differences]]+ABS(Audit[[#This Row],[Canceled Differences]]), Audit[[#This Row],[Max Differences]]), 0)</f>
        <v>0</v>
      </c>
      <c r="AB1953" s="111">
        <f>'Sampling Data'!P1952</f>
        <v>4.6545810877021065E-3</v>
      </c>
      <c r="AC1953" s="111">
        <f>IF(
      SUM(Audit[[#This Row],[Audit Losing Candidate]:[Audit Candidate 6]])
      &lt;&gt;0,
      (Audit[[#This Row],[Winning Candidate]]-Audit[[#This Row],[Losing Candidate]]-(Audit[[#This Row],[Audit Winning Candidate]]-Audit[[#This Row],[Audit Losing Candidate]]))/(Audit[[#Totals],[Winning Candidate]]-Audit[[#Totals],[Losing Candidate]]),
      0
)</f>
        <v>0</v>
      </c>
      <c r="AD19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3" s="111">
        <f>IF(Audit[[#This Row],[Max Relative Error (ep)]] = 0, 0, Audit[[#This Row],[Max Relative Error (ep)]]/Audit[[#This Row],[Error Bound (up) - Max. possible relative overstatement]])</f>
        <v>0</v>
      </c>
      <c r="AJ19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53" s="111">
        <f t="shared" si="30"/>
        <v>1</v>
      </c>
      <c r="AL1953" s="111">
        <f>PRODUCT($AK$5:AK1953)</f>
        <v>8.962823818226312E-2</v>
      </c>
      <c r="AM1953" s="109">
        <f>1 - [K-M P Value]</f>
        <v>0.91037176181773694</v>
      </c>
      <c r="AN1953" s="111" t="str">
        <f>IF(Audit[[#This Row],[K-M P Value]]&gt;1-'General Info'!$B$16,"Continue", "Stop")</f>
        <v>Stop</v>
      </c>
      <c r="AO1953" s="110" t="b">
        <f>IF(Audit[[#This Row],[Status - Continue or stop audit]] = "Continue", TRUE, IF(AN1952 = "Continue", TRUE, FALSE))</f>
        <v>0</v>
      </c>
      <c r="AP1953" s="110"/>
    </row>
    <row r="1954" spans="1:42" ht="15" hidden="1" customHeight="1">
      <c r="A1954" s="111" t="str">
        <f>'Sampling Data'!W1953</f>
        <v/>
      </c>
      <c r="B1954" s="112" t="str">
        <f>'Sampling Data'!A1953</f>
        <v>SOLON -07-B</v>
      </c>
      <c r="C1954" s="112">
        <f>'Sampling Data'!B1953</f>
        <v>22</v>
      </c>
      <c r="D1954" s="112">
        <f>'Sampling Data'!C1953</f>
        <v>54</v>
      </c>
      <c r="E1954" s="113">
        <f>'Sampling Data'!D1953</f>
        <v>22</v>
      </c>
      <c r="F1954" s="113">
        <f>'Sampling Data'!E1953</f>
        <v>7</v>
      </c>
      <c r="G1954" s="113">
        <f>'Sampling Data'!F1953</f>
        <v>1</v>
      </c>
      <c r="H1954" s="113">
        <f>'Sampling Data'!G1953</f>
        <v>0</v>
      </c>
      <c r="I1954" s="112">
        <f>'Sampling Data'!H1953</f>
        <v>0</v>
      </c>
      <c r="J1954" s="112">
        <f>'Sampling Data'!I1953</f>
        <v>2</v>
      </c>
      <c r="K1954" s="112">
        <f>'Sampling Data'!J1953</f>
        <v>108</v>
      </c>
      <c r="L1954" s="111">
        <f>'Sampling Data'!X1953</f>
        <v>0</v>
      </c>
      <c r="M1954" s="114"/>
      <c r="N1954" s="114"/>
      <c r="O1954" s="115"/>
      <c r="P1954" s="115"/>
      <c r="Q1954" s="116"/>
      <c r="R1954" s="116"/>
      <c r="S1954" s="111">
        <f>Audit[[#This Row],[Audit Losing Candidate]]-Audit[[#This Row],[Losing Candidate]]</f>
        <v>-22</v>
      </c>
      <c r="T1954" s="111">
        <f>Audit[[#This Row],[Audit Winning Candidate]]-Audit[[#This Row],[Winning Candidate]]</f>
        <v>-54</v>
      </c>
      <c r="U1954" s="111">
        <f>Audit[[#This Row],[Audit Candidate 3]]-Audit[[#This Row],[Candidate 3]]</f>
        <v>-22</v>
      </c>
      <c r="V1954" s="111">
        <f>Audit[[#This Row],[Audit Candidate 4]]-Audit[[#This Row],[Candidate 4]]</f>
        <v>-7</v>
      </c>
      <c r="W1954" s="111">
        <f>Audit[[#This Row],[Audit Candidate 5]]-Audit[[#This Row],[Candidate 5]]</f>
        <v>-1</v>
      </c>
      <c r="X1954" s="111">
        <f>Audit[[#This Row],[Audit Candidate 6]]-Audit[[#This Row],[Candidate 6]]</f>
        <v>0</v>
      </c>
      <c r="Y1954" s="111">
        <f>SUMIF(Audit[[#This Row],[Difference Loser]:[Difference Candidate 6]], "&gt;0")</f>
        <v>0</v>
      </c>
      <c r="Z1954" s="111">
        <f>SUM(Audit[[#This Row],[Difference Loser]:[Difference Candidate 6]])</f>
        <v>-106</v>
      </c>
      <c r="AA1954" s="111">
        <f>IF(Audit[[#This Row],[Times p Drawn - With Replacement]]&gt;0, IF(Audit[[#This Row],[Canceled Differences]]&lt;0, Audit[[#This Row],[Max Differences]]+ABS(Audit[[#This Row],[Canceled Differences]]), Audit[[#This Row],[Max Differences]]), 0)</f>
        <v>0</v>
      </c>
      <c r="AB1954" s="111">
        <f>'Sampling Data'!P1953</f>
        <v>8.5742283194512499E-3</v>
      </c>
      <c r="AC1954" s="111">
        <f>IF(
      SUM(Audit[[#This Row],[Audit Losing Candidate]:[Audit Candidate 6]])
      &lt;&gt;0,
      (Audit[[#This Row],[Winning Candidate]]-Audit[[#This Row],[Losing Candidate]]-(Audit[[#This Row],[Audit Winning Candidate]]-Audit[[#This Row],[Audit Losing Candidate]]))/(Audit[[#Totals],[Winning Candidate]]-Audit[[#Totals],[Losing Candidate]]),
      0
)</f>
        <v>0</v>
      </c>
      <c r="AD19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4" s="111">
        <f>IF(Audit[[#This Row],[Max Relative Error (ep)]] = 0, 0, Audit[[#This Row],[Max Relative Error (ep)]]/Audit[[#This Row],[Error Bound (up) - Max. possible relative overstatement]])</f>
        <v>0</v>
      </c>
      <c r="AJ19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54" s="111">
        <f t="shared" si="30"/>
        <v>1</v>
      </c>
      <c r="AL1954" s="111">
        <f>PRODUCT($AK$5:AK1954)</f>
        <v>8.962823818226312E-2</v>
      </c>
      <c r="AM1954" s="109">
        <f>1 - [K-M P Value]</f>
        <v>0.91037176181773694</v>
      </c>
      <c r="AN1954" s="111" t="str">
        <f>IF(Audit[[#This Row],[K-M P Value]]&gt;1-'General Info'!$B$16,"Continue", "Stop")</f>
        <v>Stop</v>
      </c>
      <c r="AO1954" s="110" t="b">
        <f>IF(Audit[[#This Row],[Status - Continue or stop audit]] = "Continue", TRUE, IF(AN1953 = "Continue", TRUE, FALSE))</f>
        <v>0</v>
      </c>
      <c r="AP1954" s="110"/>
    </row>
    <row r="1955" spans="1:42" ht="15" hidden="1" customHeight="1">
      <c r="A1955" s="111" t="str">
        <f>'Sampling Data'!W1954</f>
        <v/>
      </c>
      <c r="B1955" s="112" t="str">
        <f>'Sampling Data'!A1954</f>
        <v>SOLON -07-B - ABS</v>
      </c>
      <c r="C1955" s="112">
        <f>'Sampling Data'!B1954</f>
        <v>25</v>
      </c>
      <c r="D1955" s="112">
        <f>'Sampling Data'!C1954</f>
        <v>17</v>
      </c>
      <c r="E1955" s="113">
        <f>'Sampling Data'!D1954</f>
        <v>7</v>
      </c>
      <c r="F1955" s="113">
        <f>'Sampling Data'!E1954</f>
        <v>1</v>
      </c>
      <c r="G1955" s="113">
        <f>'Sampling Data'!F1954</f>
        <v>0</v>
      </c>
      <c r="H1955" s="113">
        <f>'Sampling Data'!G1954</f>
        <v>0</v>
      </c>
      <c r="I1955" s="112">
        <f>'Sampling Data'!H1954</f>
        <v>0</v>
      </c>
      <c r="J1955" s="112">
        <f>'Sampling Data'!I1954</f>
        <v>4</v>
      </c>
      <c r="K1955" s="112">
        <f>'Sampling Data'!J1954</f>
        <v>54</v>
      </c>
      <c r="L1955" s="111">
        <f>'Sampling Data'!X1954</f>
        <v>0</v>
      </c>
      <c r="M1955" s="114"/>
      <c r="N1955" s="114"/>
      <c r="O1955" s="115"/>
      <c r="P1955" s="115"/>
      <c r="Q1955" s="116"/>
      <c r="R1955" s="116"/>
      <c r="S1955" s="111">
        <f>Audit[[#This Row],[Audit Losing Candidate]]-Audit[[#This Row],[Losing Candidate]]</f>
        <v>-25</v>
      </c>
      <c r="T1955" s="111">
        <f>Audit[[#This Row],[Audit Winning Candidate]]-Audit[[#This Row],[Winning Candidate]]</f>
        <v>-17</v>
      </c>
      <c r="U1955" s="111">
        <f>Audit[[#This Row],[Audit Candidate 3]]-Audit[[#This Row],[Candidate 3]]</f>
        <v>-7</v>
      </c>
      <c r="V1955" s="111">
        <f>Audit[[#This Row],[Audit Candidate 4]]-Audit[[#This Row],[Candidate 4]]</f>
        <v>-1</v>
      </c>
      <c r="W1955" s="111">
        <f>Audit[[#This Row],[Audit Candidate 5]]-Audit[[#This Row],[Candidate 5]]</f>
        <v>0</v>
      </c>
      <c r="X1955" s="111">
        <f>Audit[[#This Row],[Audit Candidate 6]]-Audit[[#This Row],[Candidate 6]]</f>
        <v>0</v>
      </c>
      <c r="Y1955" s="111">
        <f>SUMIF(Audit[[#This Row],[Difference Loser]:[Difference Candidate 6]], "&gt;0")</f>
        <v>0</v>
      </c>
      <c r="Z1955" s="111">
        <f>SUM(Audit[[#This Row],[Difference Loser]:[Difference Candidate 6]])</f>
        <v>-50</v>
      </c>
      <c r="AA1955" s="111">
        <f>IF(Audit[[#This Row],[Times p Drawn - With Replacement]]&gt;0, IF(Audit[[#This Row],[Canceled Differences]]&lt;0, Audit[[#This Row],[Max Differences]]+ABS(Audit[[#This Row],[Canceled Differences]]), Audit[[#This Row],[Max Differences]]), 0)</f>
        <v>0</v>
      </c>
      <c r="AB1955" s="111">
        <f>'Sampling Data'!P1954</f>
        <v>2.8172464478196961E-3</v>
      </c>
      <c r="AC1955" s="111">
        <f>IF(
      SUM(Audit[[#This Row],[Audit Losing Candidate]:[Audit Candidate 6]])
      &lt;&gt;0,
      (Audit[[#This Row],[Winning Candidate]]-Audit[[#This Row],[Losing Candidate]]-(Audit[[#This Row],[Audit Winning Candidate]]-Audit[[#This Row],[Audit Losing Candidate]]))/(Audit[[#Totals],[Winning Candidate]]-Audit[[#Totals],[Losing Candidate]]),
      0
)</f>
        <v>0</v>
      </c>
      <c r="AD19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5" s="111">
        <f>IF(Audit[[#This Row],[Max Relative Error (ep)]] = 0, 0, Audit[[#This Row],[Max Relative Error (ep)]]/Audit[[#This Row],[Error Bound (up) - Max. possible relative overstatement]])</f>
        <v>0</v>
      </c>
      <c r="AJ19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55" s="111">
        <f t="shared" si="30"/>
        <v>1</v>
      </c>
      <c r="AL1955" s="111">
        <f>PRODUCT($AK$5:AK1955)</f>
        <v>8.962823818226312E-2</v>
      </c>
      <c r="AM1955" s="109">
        <f>1 - [K-M P Value]</f>
        <v>0.91037176181773694</v>
      </c>
      <c r="AN1955" s="111" t="str">
        <f>IF(Audit[[#This Row],[K-M P Value]]&gt;1-'General Info'!$B$16,"Continue", "Stop")</f>
        <v>Stop</v>
      </c>
      <c r="AO1955" s="110" t="b">
        <f>IF(Audit[[#This Row],[Status - Continue or stop audit]] = "Continue", TRUE, IF(AN1954 = "Continue", TRUE, FALSE))</f>
        <v>0</v>
      </c>
      <c r="AP1955" s="110"/>
    </row>
    <row r="1956" spans="1:42" ht="15" hidden="1" customHeight="1">
      <c r="A1956" s="111" t="str">
        <f>'Sampling Data'!W1955</f>
        <v/>
      </c>
      <c r="B1956" s="112" t="str">
        <f>'Sampling Data'!A1955</f>
        <v>SOUTH EUCLID -01-A</v>
      </c>
      <c r="C1956" s="112">
        <f>'Sampling Data'!B1955</f>
        <v>11</v>
      </c>
      <c r="D1956" s="112">
        <f>'Sampling Data'!C1955</f>
        <v>7</v>
      </c>
      <c r="E1956" s="113">
        <f>'Sampling Data'!D1955</f>
        <v>3</v>
      </c>
      <c r="F1956" s="113">
        <f>'Sampling Data'!E1955</f>
        <v>1</v>
      </c>
      <c r="G1956" s="113">
        <f>'Sampling Data'!F1955</f>
        <v>0</v>
      </c>
      <c r="H1956" s="113">
        <f>'Sampling Data'!G1955</f>
        <v>0</v>
      </c>
      <c r="I1956" s="112">
        <f>'Sampling Data'!H1955</f>
        <v>0</v>
      </c>
      <c r="J1956" s="112">
        <f>'Sampling Data'!I1955</f>
        <v>1</v>
      </c>
      <c r="K1956" s="112">
        <f>'Sampling Data'!J1955</f>
        <v>23</v>
      </c>
      <c r="L1956" s="111">
        <f>'Sampling Data'!X1955</f>
        <v>0</v>
      </c>
      <c r="M1956" s="114"/>
      <c r="N1956" s="114"/>
      <c r="O1956" s="115"/>
      <c r="P1956" s="115"/>
      <c r="Q1956" s="116"/>
      <c r="R1956" s="116"/>
      <c r="S1956" s="111">
        <f>Audit[[#This Row],[Audit Losing Candidate]]-Audit[[#This Row],[Losing Candidate]]</f>
        <v>-11</v>
      </c>
      <c r="T1956" s="111">
        <f>Audit[[#This Row],[Audit Winning Candidate]]-Audit[[#This Row],[Winning Candidate]]</f>
        <v>-7</v>
      </c>
      <c r="U1956" s="111">
        <f>Audit[[#This Row],[Audit Candidate 3]]-Audit[[#This Row],[Candidate 3]]</f>
        <v>-3</v>
      </c>
      <c r="V1956" s="111">
        <f>Audit[[#This Row],[Audit Candidate 4]]-Audit[[#This Row],[Candidate 4]]</f>
        <v>-1</v>
      </c>
      <c r="W1956" s="111">
        <f>Audit[[#This Row],[Audit Candidate 5]]-Audit[[#This Row],[Candidate 5]]</f>
        <v>0</v>
      </c>
      <c r="X1956" s="111">
        <f>Audit[[#This Row],[Audit Candidate 6]]-Audit[[#This Row],[Candidate 6]]</f>
        <v>0</v>
      </c>
      <c r="Y1956" s="111">
        <f>SUMIF(Audit[[#This Row],[Difference Loser]:[Difference Candidate 6]], "&gt;0")</f>
        <v>0</v>
      </c>
      <c r="Z1956" s="111">
        <f>SUM(Audit[[#This Row],[Difference Loser]:[Difference Candidate 6]])</f>
        <v>-22</v>
      </c>
      <c r="AA1956" s="111">
        <f>IF(Audit[[#This Row],[Times p Drawn - With Replacement]]&gt;0, IF(Audit[[#This Row],[Canceled Differences]]&lt;0, Audit[[#This Row],[Max Differences]]+ABS(Audit[[#This Row],[Canceled Differences]]), Audit[[#This Row],[Max Differences]]), 0)</f>
        <v>0</v>
      </c>
      <c r="AB1956" s="111">
        <f>'Sampling Data'!P1955</f>
        <v>1.1636452719255266E-3</v>
      </c>
      <c r="AC1956" s="111">
        <f>IF(
      SUM(Audit[[#This Row],[Audit Losing Candidate]:[Audit Candidate 6]])
      &lt;&gt;0,
      (Audit[[#This Row],[Winning Candidate]]-Audit[[#This Row],[Losing Candidate]]-(Audit[[#This Row],[Audit Winning Candidate]]-Audit[[#This Row],[Audit Losing Candidate]]))/(Audit[[#Totals],[Winning Candidate]]-Audit[[#Totals],[Losing Candidate]]),
      0
)</f>
        <v>0</v>
      </c>
      <c r="AD19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6" s="111">
        <f>IF(Audit[[#This Row],[Max Relative Error (ep)]] = 0, 0, Audit[[#This Row],[Max Relative Error (ep)]]/Audit[[#This Row],[Error Bound (up) - Max. possible relative overstatement]])</f>
        <v>0</v>
      </c>
      <c r="AJ19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56" s="111">
        <f t="shared" si="30"/>
        <v>1</v>
      </c>
      <c r="AL1956" s="111">
        <f>PRODUCT($AK$5:AK1956)</f>
        <v>8.962823818226312E-2</v>
      </c>
      <c r="AM1956" s="109">
        <f>1 - [K-M P Value]</f>
        <v>0.91037176181773694</v>
      </c>
      <c r="AN1956" s="111" t="str">
        <f>IF(Audit[[#This Row],[K-M P Value]]&gt;1-'General Info'!$B$16,"Continue", "Stop")</f>
        <v>Stop</v>
      </c>
      <c r="AO1956" s="110" t="b">
        <f>IF(Audit[[#This Row],[Status - Continue or stop audit]] = "Continue", TRUE, IF(AN1955 = "Continue", TRUE, FALSE))</f>
        <v>0</v>
      </c>
      <c r="AP1956" s="110"/>
    </row>
    <row r="1957" spans="1:42" ht="15" hidden="1" customHeight="1">
      <c r="A1957" s="111" t="str">
        <f>'Sampling Data'!W1956</f>
        <v/>
      </c>
      <c r="B1957" s="112" t="str">
        <f>'Sampling Data'!A1956</f>
        <v>SOUTH EUCLID -01-A - ABS</v>
      </c>
      <c r="C1957" s="112">
        <f>'Sampling Data'!B1956</f>
        <v>3</v>
      </c>
      <c r="D1957" s="112">
        <f>'Sampling Data'!C1956</f>
        <v>4</v>
      </c>
      <c r="E1957" s="113">
        <f>'Sampling Data'!D1956</f>
        <v>5</v>
      </c>
      <c r="F1957" s="113">
        <f>'Sampling Data'!E1956</f>
        <v>2</v>
      </c>
      <c r="G1957" s="113">
        <f>'Sampling Data'!F1956</f>
        <v>0</v>
      </c>
      <c r="H1957" s="113">
        <f>'Sampling Data'!G1956</f>
        <v>0</v>
      </c>
      <c r="I1957" s="112">
        <f>'Sampling Data'!H1956</f>
        <v>0</v>
      </c>
      <c r="J1957" s="112">
        <f>'Sampling Data'!I1956</f>
        <v>0</v>
      </c>
      <c r="K1957" s="112">
        <f>'Sampling Data'!J1956</f>
        <v>14</v>
      </c>
      <c r="L1957" s="111">
        <f>'Sampling Data'!X1956</f>
        <v>0</v>
      </c>
      <c r="M1957" s="114"/>
      <c r="N1957" s="114"/>
      <c r="O1957" s="115"/>
      <c r="P1957" s="115"/>
      <c r="Q1957" s="116"/>
      <c r="R1957" s="116"/>
      <c r="S1957" s="111">
        <f>Audit[[#This Row],[Audit Losing Candidate]]-Audit[[#This Row],[Losing Candidate]]</f>
        <v>-3</v>
      </c>
      <c r="T1957" s="111">
        <f>Audit[[#This Row],[Audit Winning Candidate]]-Audit[[#This Row],[Winning Candidate]]</f>
        <v>-4</v>
      </c>
      <c r="U1957" s="111">
        <f>Audit[[#This Row],[Audit Candidate 3]]-Audit[[#This Row],[Candidate 3]]</f>
        <v>-5</v>
      </c>
      <c r="V1957" s="111">
        <f>Audit[[#This Row],[Audit Candidate 4]]-Audit[[#This Row],[Candidate 4]]</f>
        <v>-2</v>
      </c>
      <c r="W1957" s="111">
        <f>Audit[[#This Row],[Audit Candidate 5]]-Audit[[#This Row],[Candidate 5]]</f>
        <v>0</v>
      </c>
      <c r="X1957" s="111">
        <f>Audit[[#This Row],[Audit Candidate 6]]-Audit[[#This Row],[Candidate 6]]</f>
        <v>0</v>
      </c>
      <c r="Y1957" s="111">
        <f>SUMIF(Audit[[#This Row],[Difference Loser]:[Difference Candidate 6]], "&gt;0")</f>
        <v>0</v>
      </c>
      <c r="Z1957" s="111">
        <f>SUM(Audit[[#This Row],[Difference Loser]:[Difference Candidate 6]])</f>
        <v>-14</v>
      </c>
      <c r="AA1957" s="111">
        <f>IF(Audit[[#This Row],[Times p Drawn - With Replacement]]&gt;0, IF(Audit[[#This Row],[Canceled Differences]]&lt;0, Audit[[#This Row],[Max Differences]]+ABS(Audit[[#This Row],[Canceled Differences]]), Audit[[#This Row],[Max Differences]]), 0)</f>
        <v>0</v>
      </c>
      <c r="AB1957" s="111">
        <f>'Sampling Data'!P1956</f>
        <v>9.1866731994120533E-4</v>
      </c>
      <c r="AC1957" s="111">
        <f>IF(
      SUM(Audit[[#This Row],[Audit Losing Candidate]:[Audit Candidate 6]])
      &lt;&gt;0,
      (Audit[[#This Row],[Winning Candidate]]-Audit[[#This Row],[Losing Candidate]]-(Audit[[#This Row],[Audit Winning Candidate]]-Audit[[#This Row],[Audit Losing Candidate]]))/(Audit[[#Totals],[Winning Candidate]]-Audit[[#Totals],[Losing Candidate]]),
      0
)</f>
        <v>0</v>
      </c>
      <c r="AD19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7" s="111">
        <f>IF(Audit[[#This Row],[Max Relative Error (ep)]] = 0, 0, Audit[[#This Row],[Max Relative Error (ep)]]/Audit[[#This Row],[Error Bound (up) - Max. possible relative overstatement]])</f>
        <v>0</v>
      </c>
      <c r="AJ19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57" s="111">
        <f t="shared" si="30"/>
        <v>1</v>
      </c>
      <c r="AL1957" s="111">
        <f>PRODUCT($AK$5:AK1957)</f>
        <v>8.962823818226312E-2</v>
      </c>
      <c r="AM1957" s="109">
        <f>1 - [K-M P Value]</f>
        <v>0.91037176181773694</v>
      </c>
      <c r="AN1957" s="111" t="str">
        <f>IF(Audit[[#This Row],[K-M P Value]]&gt;1-'General Info'!$B$16,"Continue", "Stop")</f>
        <v>Stop</v>
      </c>
      <c r="AO1957" s="110" t="b">
        <f>IF(Audit[[#This Row],[Status - Continue or stop audit]] = "Continue", TRUE, IF(AN1956 = "Continue", TRUE, FALSE))</f>
        <v>0</v>
      </c>
      <c r="AP1957" s="110"/>
    </row>
    <row r="1958" spans="1:42" ht="15" hidden="1" customHeight="1">
      <c r="A1958" s="111" t="str">
        <f>'Sampling Data'!W1957</f>
        <v/>
      </c>
      <c r="B1958" s="112" t="str">
        <f>'Sampling Data'!A1957</f>
        <v>SOUTH EUCLID -01-B</v>
      </c>
      <c r="C1958" s="112">
        <f>'Sampling Data'!B1957</f>
        <v>6</v>
      </c>
      <c r="D1958" s="112">
        <f>'Sampling Data'!C1957</f>
        <v>13</v>
      </c>
      <c r="E1958" s="113">
        <f>'Sampling Data'!D1957</f>
        <v>7</v>
      </c>
      <c r="F1958" s="113">
        <f>'Sampling Data'!E1957</f>
        <v>4</v>
      </c>
      <c r="G1958" s="113">
        <f>'Sampling Data'!F1957</f>
        <v>1</v>
      </c>
      <c r="H1958" s="113">
        <f>'Sampling Data'!G1957</f>
        <v>0</v>
      </c>
      <c r="I1958" s="112">
        <f>'Sampling Data'!H1957</f>
        <v>0</v>
      </c>
      <c r="J1958" s="112">
        <f>'Sampling Data'!I1957</f>
        <v>0</v>
      </c>
      <c r="K1958" s="112">
        <f>'Sampling Data'!J1957</f>
        <v>31</v>
      </c>
      <c r="L1958" s="111">
        <f>'Sampling Data'!X1957</f>
        <v>0</v>
      </c>
      <c r="M1958" s="114"/>
      <c r="N1958" s="114"/>
      <c r="O1958" s="115"/>
      <c r="P1958" s="115"/>
      <c r="Q1958" s="116"/>
      <c r="R1958" s="116"/>
      <c r="S1958" s="111">
        <f>Audit[[#This Row],[Audit Losing Candidate]]-Audit[[#This Row],[Losing Candidate]]</f>
        <v>-6</v>
      </c>
      <c r="T1958" s="111">
        <f>Audit[[#This Row],[Audit Winning Candidate]]-Audit[[#This Row],[Winning Candidate]]</f>
        <v>-13</v>
      </c>
      <c r="U1958" s="111">
        <f>Audit[[#This Row],[Audit Candidate 3]]-Audit[[#This Row],[Candidate 3]]</f>
        <v>-7</v>
      </c>
      <c r="V1958" s="111">
        <f>Audit[[#This Row],[Audit Candidate 4]]-Audit[[#This Row],[Candidate 4]]</f>
        <v>-4</v>
      </c>
      <c r="W1958" s="111">
        <f>Audit[[#This Row],[Audit Candidate 5]]-Audit[[#This Row],[Candidate 5]]</f>
        <v>-1</v>
      </c>
      <c r="X1958" s="111">
        <f>Audit[[#This Row],[Audit Candidate 6]]-Audit[[#This Row],[Candidate 6]]</f>
        <v>0</v>
      </c>
      <c r="Y1958" s="111">
        <f>SUMIF(Audit[[#This Row],[Difference Loser]:[Difference Candidate 6]], "&gt;0")</f>
        <v>0</v>
      </c>
      <c r="Z1958" s="111">
        <f>SUM(Audit[[#This Row],[Difference Loser]:[Difference Candidate 6]])</f>
        <v>-31</v>
      </c>
      <c r="AA1958" s="111">
        <f>IF(Audit[[#This Row],[Times p Drawn - With Replacement]]&gt;0, IF(Audit[[#This Row],[Canceled Differences]]&lt;0, Audit[[#This Row],[Max Differences]]+ABS(Audit[[#This Row],[Canceled Differences]]), Audit[[#This Row],[Max Differences]]), 0)</f>
        <v>0</v>
      </c>
      <c r="AB1958" s="111">
        <f>'Sampling Data'!P1957</f>
        <v>2.3272905438510533E-3</v>
      </c>
      <c r="AC1958" s="111">
        <f>IF(
      SUM(Audit[[#This Row],[Audit Losing Candidate]:[Audit Candidate 6]])
      &lt;&gt;0,
      (Audit[[#This Row],[Winning Candidate]]-Audit[[#This Row],[Losing Candidate]]-(Audit[[#This Row],[Audit Winning Candidate]]-Audit[[#This Row],[Audit Losing Candidate]]))/(Audit[[#Totals],[Winning Candidate]]-Audit[[#Totals],[Losing Candidate]]),
      0
)</f>
        <v>0</v>
      </c>
      <c r="AD19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8" s="111">
        <f>IF(Audit[[#This Row],[Max Relative Error (ep)]] = 0, 0, Audit[[#This Row],[Max Relative Error (ep)]]/Audit[[#This Row],[Error Bound (up) - Max. possible relative overstatement]])</f>
        <v>0</v>
      </c>
      <c r="AJ19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58" s="111">
        <f t="shared" si="30"/>
        <v>1</v>
      </c>
      <c r="AL1958" s="111">
        <f>PRODUCT($AK$5:AK1958)</f>
        <v>8.962823818226312E-2</v>
      </c>
      <c r="AM1958" s="109">
        <f>1 - [K-M P Value]</f>
        <v>0.91037176181773694</v>
      </c>
      <c r="AN1958" s="111" t="str">
        <f>IF(Audit[[#This Row],[K-M P Value]]&gt;1-'General Info'!$B$16,"Continue", "Stop")</f>
        <v>Stop</v>
      </c>
      <c r="AO1958" s="110" t="b">
        <f>IF(Audit[[#This Row],[Status - Continue or stop audit]] = "Continue", TRUE, IF(AN1957 = "Continue", TRUE, FALSE))</f>
        <v>0</v>
      </c>
      <c r="AP1958" s="110"/>
    </row>
    <row r="1959" spans="1:42" ht="15" hidden="1" customHeight="1">
      <c r="A1959" s="111" t="str">
        <f>'Sampling Data'!W1958</f>
        <v/>
      </c>
      <c r="B1959" s="112" t="str">
        <f>'Sampling Data'!A1958</f>
        <v>SOUTH EUCLID -01-B - ABS</v>
      </c>
      <c r="C1959" s="112">
        <f>'Sampling Data'!B1958</f>
        <v>7</v>
      </c>
      <c r="D1959" s="112">
        <f>'Sampling Data'!C1958</f>
        <v>8</v>
      </c>
      <c r="E1959" s="113">
        <f>'Sampling Data'!D1958</f>
        <v>2</v>
      </c>
      <c r="F1959" s="113">
        <f>'Sampling Data'!E1958</f>
        <v>1</v>
      </c>
      <c r="G1959" s="113">
        <f>'Sampling Data'!F1958</f>
        <v>0</v>
      </c>
      <c r="H1959" s="113">
        <f>'Sampling Data'!G1958</f>
        <v>0</v>
      </c>
      <c r="I1959" s="112">
        <f>'Sampling Data'!H1958</f>
        <v>0</v>
      </c>
      <c r="J1959" s="112">
        <f>'Sampling Data'!I1958</f>
        <v>0</v>
      </c>
      <c r="K1959" s="112">
        <f>'Sampling Data'!J1958</f>
        <v>18</v>
      </c>
      <c r="L1959" s="111">
        <f>'Sampling Data'!X1958</f>
        <v>0</v>
      </c>
      <c r="M1959" s="114"/>
      <c r="N1959" s="114"/>
      <c r="O1959" s="115"/>
      <c r="P1959" s="115"/>
      <c r="Q1959" s="116"/>
      <c r="R1959" s="116"/>
      <c r="S1959" s="111">
        <f>Audit[[#This Row],[Audit Losing Candidate]]-Audit[[#This Row],[Losing Candidate]]</f>
        <v>-7</v>
      </c>
      <c r="T1959" s="111">
        <f>Audit[[#This Row],[Audit Winning Candidate]]-Audit[[#This Row],[Winning Candidate]]</f>
        <v>-8</v>
      </c>
      <c r="U1959" s="111">
        <f>Audit[[#This Row],[Audit Candidate 3]]-Audit[[#This Row],[Candidate 3]]</f>
        <v>-2</v>
      </c>
      <c r="V1959" s="111">
        <f>Audit[[#This Row],[Audit Candidate 4]]-Audit[[#This Row],[Candidate 4]]</f>
        <v>-1</v>
      </c>
      <c r="W1959" s="111">
        <f>Audit[[#This Row],[Audit Candidate 5]]-Audit[[#This Row],[Candidate 5]]</f>
        <v>0</v>
      </c>
      <c r="X1959" s="111">
        <f>Audit[[#This Row],[Audit Candidate 6]]-Audit[[#This Row],[Candidate 6]]</f>
        <v>0</v>
      </c>
      <c r="Y1959" s="111">
        <f>SUMIF(Audit[[#This Row],[Difference Loser]:[Difference Candidate 6]], "&gt;0")</f>
        <v>0</v>
      </c>
      <c r="Z1959" s="111">
        <f>SUM(Audit[[#This Row],[Difference Loser]:[Difference Candidate 6]])</f>
        <v>-18</v>
      </c>
      <c r="AA1959" s="111">
        <f>IF(Audit[[#This Row],[Times p Drawn - With Replacement]]&gt;0, IF(Audit[[#This Row],[Canceled Differences]]&lt;0, Audit[[#This Row],[Max Differences]]+ABS(Audit[[#This Row],[Canceled Differences]]), Audit[[#This Row],[Max Differences]]), 0)</f>
        <v>0</v>
      </c>
      <c r="AB1959" s="111">
        <f>'Sampling Data'!P1958</f>
        <v>1.1636452719255266E-3</v>
      </c>
      <c r="AC1959" s="111">
        <f>IF(
      SUM(Audit[[#This Row],[Audit Losing Candidate]:[Audit Candidate 6]])
      &lt;&gt;0,
      (Audit[[#This Row],[Winning Candidate]]-Audit[[#This Row],[Losing Candidate]]-(Audit[[#This Row],[Audit Winning Candidate]]-Audit[[#This Row],[Audit Losing Candidate]]))/(Audit[[#Totals],[Winning Candidate]]-Audit[[#Totals],[Losing Candidate]]),
      0
)</f>
        <v>0</v>
      </c>
      <c r="AD19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9" s="111">
        <f>IF(Audit[[#This Row],[Max Relative Error (ep)]] = 0, 0, Audit[[#This Row],[Max Relative Error (ep)]]/Audit[[#This Row],[Error Bound (up) - Max. possible relative overstatement]])</f>
        <v>0</v>
      </c>
      <c r="AJ19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59" s="111">
        <f t="shared" si="30"/>
        <v>1</v>
      </c>
      <c r="AL1959" s="111">
        <f>PRODUCT($AK$5:AK1959)</f>
        <v>8.962823818226312E-2</v>
      </c>
      <c r="AM1959" s="109">
        <f>1 - [K-M P Value]</f>
        <v>0.91037176181773694</v>
      </c>
      <c r="AN1959" s="111" t="str">
        <f>IF(Audit[[#This Row],[K-M P Value]]&gt;1-'General Info'!$B$16,"Continue", "Stop")</f>
        <v>Stop</v>
      </c>
      <c r="AO1959" s="110" t="b">
        <f>IF(Audit[[#This Row],[Status - Continue or stop audit]] = "Continue", TRUE, IF(AN1958 = "Continue", TRUE, FALSE))</f>
        <v>0</v>
      </c>
      <c r="AP1959" s="110"/>
    </row>
    <row r="1960" spans="1:42" ht="15" hidden="1" customHeight="1">
      <c r="A1960" s="111" t="str">
        <f>'Sampling Data'!W1959</f>
        <v/>
      </c>
      <c r="B1960" s="112" t="str">
        <f>'Sampling Data'!A1959</f>
        <v>SOUTH EUCLID -01-C</v>
      </c>
      <c r="C1960" s="112">
        <f>'Sampling Data'!B1959</f>
        <v>22</v>
      </c>
      <c r="D1960" s="112">
        <f>'Sampling Data'!C1959</f>
        <v>36</v>
      </c>
      <c r="E1960" s="113">
        <f>'Sampling Data'!D1959</f>
        <v>11</v>
      </c>
      <c r="F1960" s="113">
        <f>'Sampling Data'!E1959</f>
        <v>13</v>
      </c>
      <c r="G1960" s="113">
        <f>'Sampling Data'!F1959</f>
        <v>0</v>
      </c>
      <c r="H1960" s="113">
        <f>'Sampling Data'!G1959</f>
        <v>1</v>
      </c>
      <c r="I1960" s="112">
        <f>'Sampling Data'!H1959</f>
        <v>0</v>
      </c>
      <c r="J1960" s="112">
        <f>'Sampling Data'!I1959</f>
        <v>0</v>
      </c>
      <c r="K1960" s="112">
        <f>'Sampling Data'!J1959</f>
        <v>83</v>
      </c>
      <c r="L1960" s="111">
        <f>'Sampling Data'!X1959</f>
        <v>0</v>
      </c>
      <c r="M1960" s="114"/>
      <c r="N1960" s="114"/>
      <c r="O1960" s="115"/>
      <c r="P1960" s="115"/>
      <c r="Q1960" s="116"/>
      <c r="R1960" s="116"/>
      <c r="S1960" s="111">
        <f>Audit[[#This Row],[Audit Losing Candidate]]-Audit[[#This Row],[Losing Candidate]]</f>
        <v>-22</v>
      </c>
      <c r="T1960" s="111">
        <f>Audit[[#This Row],[Audit Winning Candidate]]-Audit[[#This Row],[Winning Candidate]]</f>
        <v>-36</v>
      </c>
      <c r="U1960" s="111">
        <f>Audit[[#This Row],[Audit Candidate 3]]-Audit[[#This Row],[Candidate 3]]</f>
        <v>-11</v>
      </c>
      <c r="V1960" s="111">
        <f>Audit[[#This Row],[Audit Candidate 4]]-Audit[[#This Row],[Candidate 4]]</f>
        <v>-13</v>
      </c>
      <c r="W1960" s="111">
        <f>Audit[[#This Row],[Audit Candidate 5]]-Audit[[#This Row],[Candidate 5]]</f>
        <v>0</v>
      </c>
      <c r="X1960" s="111">
        <f>Audit[[#This Row],[Audit Candidate 6]]-Audit[[#This Row],[Candidate 6]]</f>
        <v>-1</v>
      </c>
      <c r="Y1960" s="111">
        <f>SUMIF(Audit[[#This Row],[Difference Loser]:[Difference Candidate 6]], "&gt;0")</f>
        <v>0</v>
      </c>
      <c r="Z1960" s="111">
        <f>SUM(Audit[[#This Row],[Difference Loser]:[Difference Candidate 6]])</f>
        <v>-83</v>
      </c>
      <c r="AA1960" s="111">
        <f>IF(Audit[[#This Row],[Times p Drawn - With Replacement]]&gt;0, IF(Audit[[#This Row],[Canceled Differences]]&lt;0, Audit[[#This Row],[Max Differences]]+ABS(Audit[[#This Row],[Canceled Differences]]), Audit[[#This Row],[Max Differences]]), 0)</f>
        <v>0</v>
      </c>
      <c r="AB1960" s="111">
        <f>'Sampling Data'!P1959</f>
        <v>5.9407153356197942E-3</v>
      </c>
      <c r="AC1960" s="111">
        <f>IF(
      SUM(Audit[[#This Row],[Audit Losing Candidate]:[Audit Candidate 6]])
      &lt;&gt;0,
      (Audit[[#This Row],[Winning Candidate]]-Audit[[#This Row],[Losing Candidate]]-(Audit[[#This Row],[Audit Winning Candidate]]-Audit[[#This Row],[Audit Losing Candidate]]))/(Audit[[#Totals],[Winning Candidate]]-Audit[[#Totals],[Losing Candidate]]),
      0
)</f>
        <v>0</v>
      </c>
      <c r="AD19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0" s="111">
        <f>IF(Audit[[#This Row],[Max Relative Error (ep)]] = 0, 0, Audit[[#This Row],[Max Relative Error (ep)]]/Audit[[#This Row],[Error Bound (up) - Max. possible relative overstatement]])</f>
        <v>0</v>
      </c>
      <c r="AJ19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60" s="111">
        <f t="shared" si="30"/>
        <v>1</v>
      </c>
      <c r="AL1960" s="111">
        <f>PRODUCT($AK$5:AK1960)</f>
        <v>8.962823818226312E-2</v>
      </c>
      <c r="AM1960" s="109">
        <f>1 - [K-M P Value]</f>
        <v>0.91037176181773694</v>
      </c>
      <c r="AN1960" s="111" t="str">
        <f>IF(Audit[[#This Row],[K-M P Value]]&gt;1-'General Info'!$B$16,"Continue", "Stop")</f>
        <v>Stop</v>
      </c>
      <c r="AO1960" s="110" t="b">
        <f>IF(Audit[[#This Row],[Status - Continue or stop audit]] = "Continue", TRUE, IF(AN1959 = "Continue", TRUE, FALSE))</f>
        <v>0</v>
      </c>
      <c r="AP1960" s="110"/>
    </row>
    <row r="1961" spans="1:42" ht="15" hidden="1" customHeight="1">
      <c r="A1961" s="111" t="str">
        <f>'Sampling Data'!W1960</f>
        <v/>
      </c>
      <c r="B1961" s="112" t="str">
        <f>'Sampling Data'!A1960</f>
        <v>SOUTH EUCLID -01-C - ABS</v>
      </c>
      <c r="C1961" s="112">
        <f>'Sampling Data'!B1960</f>
        <v>12</v>
      </c>
      <c r="D1961" s="112">
        <f>'Sampling Data'!C1960</f>
        <v>14</v>
      </c>
      <c r="E1961" s="113">
        <f>'Sampling Data'!D1960</f>
        <v>2</v>
      </c>
      <c r="F1961" s="113">
        <f>'Sampling Data'!E1960</f>
        <v>0</v>
      </c>
      <c r="G1961" s="113">
        <f>'Sampling Data'!F1960</f>
        <v>0</v>
      </c>
      <c r="H1961" s="113">
        <f>'Sampling Data'!G1960</f>
        <v>0</v>
      </c>
      <c r="I1961" s="112">
        <f>'Sampling Data'!H1960</f>
        <v>0</v>
      </c>
      <c r="J1961" s="112">
        <f>'Sampling Data'!I1960</f>
        <v>0</v>
      </c>
      <c r="K1961" s="112">
        <f>'Sampling Data'!J1960</f>
        <v>28</v>
      </c>
      <c r="L1961" s="111">
        <f>'Sampling Data'!X1960</f>
        <v>0</v>
      </c>
      <c r="M1961" s="114"/>
      <c r="N1961" s="114"/>
      <c r="O1961" s="115"/>
      <c r="P1961" s="115"/>
      <c r="Q1961" s="116"/>
      <c r="R1961" s="116"/>
      <c r="S1961" s="111">
        <f>Audit[[#This Row],[Audit Losing Candidate]]-Audit[[#This Row],[Losing Candidate]]</f>
        <v>-12</v>
      </c>
      <c r="T1961" s="111">
        <f>Audit[[#This Row],[Audit Winning Candidate]]-Audit[[#This Row],[Winning Candidate]]</f>
        <v>-14</v>
      </c>
      <c r="U1961" s="111">
        <f>Audit[[#This Row],[Audit Candidate 3]]-Audit[[#This Row],[Candidate 3]]</f>
        <v>-2</v>
      </c>
      <c r="V1961" s="111">
        <f>Audit[[#This Row],[Audit Candidate 4]]-Audit[[#This Row],[Candidate 4]]</f>
        <v>0</v>
      </c>
      <c r="W1961" s="111">
        <f>Audit[[#This Row],[Audit Candidate 5]]-Audit[[#This Row],[Candidate 5]]</f>
        <v>0</v>
      </c>
      <c r="X1961" s="111">
        <f>Audit[[#This Row],[Audit Candidate 6]]-Audit[[#This Row],[Candidate 6]]</f>
        <v>0</v>
      </c>
      <c r="Y1961" s="111">
        <f>SUMIF(Audit[[#This Row],[Difference Loser]:[Difference Candidate 6]], "&gt;0")</f>
        <v>0</v>
      </c>
      <c r="Z1961" s="111">
        <f>SUM(Audit[[#This Row],[Difference Loser]:[Difference Candidate 6]])</f>
        <v>-28</v>
      </c>
      <c r="AA1961" s="111">
        <f>IF(Audit[[#This Row],[Times p Drawn - With Replacement]]&gt;0, IF(Audit[[#This Row],[Canceled Differences]]&lt;0, Audit[[#This Row],[Max Differences]]+ABS(Audit[[#This Row],[Canceled Differences]]), Audit[[#This Row],[Max Differences]]), 0)</f>
        <v>0</v>
      </c>
      <c r="AB1961" s="111">
        <f>'Sampling Data'!P1960</f>
        <v>1.8373346398824107E-3</v>
      </c>
      <c r="AC1961" s="111">
        <f>IF(
      SUM(Audit[[#This Row],[Audit Losing Candidate]:[Audit Candidate 6]])
      &lt;&gt;0,
      (Audit[[#This Row],[Winning Candidate]]-Audit[[#This Row],[Losing Candidate]]-(Audit[[#This Row],[Audit Winning Candidate]]-Audit[[#This Row],[Audit Losing Candidate]]))/(Audit[[#Totals],[Winning Candidate]]-Audit[[#Totals],[Losing Candidate]]),
      0
)</f>
        <v>0</v>
      </c>
      <c r="AD19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1" s="111">
        <f>IF(Audit[[#This Row],[Max Relative Error (ep)]] = 0, 0, Audit[[#This Row],[Max Relative Error (ep)]]/Audit[[#This Row],[Error Bound (up) - Max. possible relative overstatement]])</f>
        <v>0</v>
      </c>
      <c r="AJ19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61" s="111">
        <f t="shared" si="30"/>
        <v>1</v>
      </c>
      <c r="AL1961" s="111">
        <f>PRODUCT($AK$5:AK1961)</f>
        <v>8.962823818226312E-2</v>
      </c>
      <c r="AM1961" s="109">
        <f>1 - [K-M P Value]</f>
        <v>0.91037176181773694</v>
      </c>
      <c r="AN1961" s="111" t="str">
        <f>IF(Audit[[#This Row],[K-M P Value]]&gt;1-'General Info'!$B$16,"Continue", "Stop")</f>
        <v>Stop</v>
      </c>
      <c r="AO1961" s="110" t="b">
        <f>IF(Audit[[#This Row],[Status - Continue or stop audit]] = "Continue", TRUE, IF(AN1960 = "Continue", TRUE, FALSE))</f>
        <v>0</v>
      </c>
      <c r="AP1961" s="110"/>
    </row>
    <row r="1962" spans="1:42" ht="15" hidden="1" customHeight="1">
      <c r="A1962" s="111" t="str">
        <f>'Sampling Data'!W1961</f>
        <v/>
      </c>
      <c r="B1962" s="112" t="str">
        <f>'Sampling Data'!A1961</f>
        <v>SOUTH EUCLID -01-D</v>
      </c>
      <c r="C1962" s="112">
        <f>'Sampling Data'!B1961</f>
        <v>12</v>
      </c>
      <c r="D1962" s="112">
        <f>'Sampling Data'!C1961</f>
        <v>15</v>
      </c>
      <c r="E1962" s="113">
        <f>'Sampling Data'!D1961</f>
        <v>4</v>
      </c>
      <c r="F1962" s="113">
        <f>'Sampling Data'!E1961</f>
        <v>4</v>
      </c>
      <c r="G1962" s="113">
        <f>'Sampling Data'!F1961</f>
        <v>0</v>
      </c>
      <c r="H1962" s="113">
        <f>'Sampling Data'!G1961</f>
        <v>0</v>
      </c>
      <c r="I1962" s="112">
        <f>'Sampling Data'!H1961</f>
        <v>0</v>
      </c>
      <c r="J1962" s="112">
        <f>'Sampling Data'!I1961</f>
        <v>2</v>
      </c>
      <c r="K1962" s="112">
        <f>'Sampling Data'!J1961</f>
        <v>37</v>
      </c>
      <c r="L1962" s="111">
        <f>'Sampling Data'!X1961</f>
        <v>0</v>
      </c>
      <c r="M1962" s="114"/>
      <c r="N1962" s="114"/>
      <c r="O1962" s="115"/>
      <c r="P1962" s="115"/>
      <c r="Q1962" s="116"/>
      <c r="R1962" s="116"/>
      <c r="S1962" s="111">
        <f>Audit[[#This Row],[Audit Losing Candidate]]-Audit[[#This Row],[Losing Candidate]]</f>
        <v>-12</v>
      </c>
      <c r="T1962" s="111">
        <f>Audit[[#This Row],[Audit Winning Candidate]]-Audit[[#This Row],[Winning Candidate]]</f>
        <v>-15</v>
      </c>
      <c r="U1962" s="111">
        <f>Audit[[#This Row],[Audit Candidate 3]]-Audit[[#This Row],[Candidate 3]]</f>
        <v>-4</v>
      </c>
      <c r="V1962" s="111">
        <f>Audit[[#This Row],[Audit Candidate 4]]-Audit[[#This Row],[Candidate 4]]</f>
        <v>-4</v>
      </c>
      <c r="W1962" s="111">
        <f>Audit[[#This Row],[Audit Candidate 5]]-Audit[[#This Row],[Candidate 5]]</f>
        <v>0</v>
      </c>
      <c r="X1962" s="111">
        <f>Audit[[#This Row],[Audit Candidate 6]]-Audit[[#This Row],[Candidate 6]]</f>
        <v>0</v>
      </c>
      <c r="Y1962" s="111">
        <f>SUMIF(Audit[[#This Row],[Difference Loser]:[Difference Candidate 6]], "&gt;0")</f>
        <v>0</v>
      </c>
      <c r="Z1962" s="111">
        <f>SUM(Audit[[#This Row],[Difference Loser]:[Difference Candidate 6]])</f>
        <v>-35</v>
      </c>
      <c r="AA1962" s="111">
        <f>IF(Audit[[#This Row],[Times p Drawn - With Replacement]]&gt;0, IF(Audit[[#This Row],[Canceled Differences]]&lt;0, Audit[[#This Row],[Max Differences]]+ABS(Audit[[#This Row],[Canceled Differences]]), Audit[[#This Row],[Max Differences]]), 0)</f>
        <v>0</v>
      </c>
      <c r="AB1962" s="111">
        <f>'Sampling Data'!P1961</f>
        <v>2.4497795198432141E-3</v>
      </c>
      <c r="AC1962" s="111">
        <f>IF(
      SUM(Audit[[#This Row],[Audit Losing Candidate]:[Audit Candidate 6]])
      &lt;&gt;0,
      (Audit[[#This Row],[Winning Candidate]]-Audit[[#This Row],[Losing Candidate]]-(Audit[[#This Row],[Audit Winning Candidate]]-Audit[[#This Row],[Audit Losing Candidate]]))/(Audit[[#Totals],[Winning Candidate]]-Audit[[#Totals],[Losing Candidate]]),
      0
)</f>
        <v>0</v>
      </c>
      <c r="AD19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2" s="111">
        <f>IF(Audit[[#This Row],[Max Relative Error (ep)]] = 0, 0, Audit[[#This Row],[Max Relative Error (ep)]]/Audit[[#This Row],[Error Bound (up) - Max. possible relative overstatement]])</f>
        <v>0</v>
      </c>
      <c r="AJ19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62" s="111">
        <f t="shared" si="30"/>
        <v>1</v>
      </c>
      <c r="AL1962" s="111">
        <f>PRODUCT($AK$5:AK1962)</f>
        <v>8.962823818226312E-2</v>
      </c>
      <c r="AM1962" s="109">
        <f>1 - [K-M P Value]</f>
        <v>0.91037176181773694</v>
      </c>
      <c r="AN1962" s="111" t="str">
        <f>IF(Audit[[#This Row],[K-M P Value]]&gt;1-'General Info'!$B$16,"Continue", "Stop")</f>
        <v>Stop</v>
      </c>
      <c r="AO1962" s="110" t="b">
        <f>IF(Audit[[#This Row],[Status - Continue or stop audit]] = "Continue", TRUE, IF(AN1961 = "Continue", TRUE, FALSE))</f>
        <v>0</v>
      </c>
      <c r="AP1962" s="110"/>
    </row>
    <row r="1963" spans="1:42" ht="15" hidden="1" customHeight="1">
      <c r="A1963" s="111" t="str">
        <f>'Sampling Data'!W1962</f>
        <v/>
      </c>
      <c r="B1963" s="112" t="str">
        <f>'Sampling Data'!A1962</f>
        <v>SOUTH EUCLID -01-D - ABS</v>
      </c>
      <c r="C1963" s="112">
        <f>'Sampling Data'!B1962</f>
        <v>10</v>
      </c>
      <c r="D1963" s="112">
        <f>'Sampling Data'!C1962</f>
        <v>6</v>
      </c>
      <c r="E1963" s="113">
        <f>'Sampling Data'!D1962</f>
        <v>3</v>
      </c>
      <c r="F1963" s="113">
        <f>'Sampling Data'!E1962</f>
        <v>1</v>
      </c>
      <c r="G1963" s="113">
        <f>'Sampling Data'!F1962</f>
        <v>0</v>
      </c>
      <c r="H1963" s="113">
        <f>'Sampling Data'!G1962</f>
        <v>0</v>
      </c>
      <c r="I1963" s="112">
        <f>'Sampling Data'!H1962</f>
        <v>0</v>
      </c>
      <c r="J1963" s="112">
        <f>'Sampling Data'!I1962</f>
        <v>0</v>
      </c>
      <c r="K1963" s="112">
        <f>'Sampling Data'!J1962</f>
        <v>20</v>
      </c>
      <c r="L1963" s="111">
        <f>'Sampling Data'!X1962</f>
        <v>0</v>
      </c>
      <c r="M1963" s="114"/>
      <c r="N1963" s="114"/>
      <c r="O1963" s="115"/>
      <c r="P1963" s="115"/>
      <c r="Q1963" s="116"/>
      <c r="R1963" s="116"/>
      <c r="S1963" s="111">
        <f>Audit[[#This Row],[Audit Losing Candidate]]-Audit[[#This Row],[Losing Candidate]]</f>
        <v>-10</v>
      </c>
      <c r="T1963" s="111">
        <f>Audit[[#This Row],[Audit Winning Candidate]]-Audit[[#This Row],[Winning Candidate]]</f>
        <v>-6</v>
      </c>
      <c r="U1963" s="111">
        <f>Audit[[#This Row],[Audit Candidate 3]]-Audit[[#This Row],[Candidate 3]]</f>
        <v>-3</v>
      </c>
      <c r="V1963" s="111">
        <f>Audit[[#This Row],[Audit Candidate 4]]-Audit[[#This Row],[Candidate 4]]</f>
        <v>-1</v>
      </c>
      <c r="W1963" s="111">
        <f>Audit[[#This Row],[Audit Candidate 5]]-Audit[[#This Row],[Candidate 5]]</f>
        <v>0</v>
      </c>
      <c r="X1963" s="111">
        <f>Audit[[#This Row],[Audit Candidate 6]]-Audit[[#This Row],[Candidate 6]]</f>
        <v>0</v>
      </c>
      <c r="Y1963" s="111">
        <f>SUMIF(Audit[[#This Row],[Difference Loser]:[Difference Candidate 6]], "&gt;0")</f>
        <v>0</v>
      </c>
      <c r="Z1963" s="111">
        <f>SUM(Audit[[#This Row],[Difference Loser]:[Difference Candidate 6]])</f>
        <v>-20</v>
      </c>
      <c r="AA1963" s="111">
        <f>IF(Audit[[#This Row],[Times p Drawn - With Replacement]]&gt;0, IF(Audit[[#This Row],[Canceled Differences]]&lt;0, Audit[[#This Row],[Max Differences]]+ABS(Audit[[#This Row],[Canceled Differences]]), Audit[[#This Row],[Max Differences]]), 0)</f>
        <v>0</v>
      </c>
      <c r="AB1963" s="111">
        <f>'Sampling Data'!P1962</f>
        <v>9.7991180793728563E-4</v>
      </c>
      <c r="AC1963" s="111">
        <f>IF(
      SUM(Audit[[#This Row],[Audit Losing Candidate]:[Audit Candidate 6]])
      &lt;&gt;0,
      (Audit[[#This Row],[Winning Candidate]]-Audit[[#This Row],[Losing Candidate]]-(Audit[[#This Row],[Audit Winning Candidate]]-Audit[[#This Row],[Audit Losing Candidate]]))/(Audit[[#Totals],[Winning Candidate]]-Audit[[#Totals],[Losing Candidate]]),
      0
)</f>
        <v>0</v>
      </c>
      <c r="AD19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3" s="111">
        <f>IF(Audit[[#This Row],[Max Relative Error (ep)]] = 0, 0, Audit[[#This Row],[Max Relative Error (ep)]]/Audit[[#This Row],[Error Bound (up) - Max. possible relative overstatement]])</f>
        <v>0</v>
      </c>
      <c r="AJ19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63" s="111">
        <f t="shared" si="30"/>
        <v>1</v>
      </c>
      <c r="AL1963" s="111">
        <f>PRODUCT($AK$5:AK1963)</f>
        <v>8.962823818226312E-2</v>
      </c>
      <c r="AM1963" s="109">
        <f>1 - [K-M P Value]</f>
        <v>0.91037176181773694</v>
      </c>
      <c r="AN1963" s="111" t="str">
        <f>IF(Audit[[#This Row],[K-M P Value]]&gt;1-'General Info'!$B$16,"Continue", "Stop")</f>
        <v>Stop</v>
      </c>
      <c r="AO1963" s="110" t="b">
        <f>IF(Audit[[#This Row],[Status - Continue or stop audit]] = "Continue", TRUE, IF(AN1962 = "Continue", TRUE, FALSE))</f>
        <v>0</v>
      </c>
      <c r="AP1963" s="110"/>
    </row>
    <row r="1964" spans="1:42" ht="15" hidden="1" customHeight="1">
      <c r="A1964" s="111" t="str">
        <f>'Sampling Data'!W1963</f>
        <v/>
      </c>
      <c r="B1964" s="112" t="str">
        <f>'Sampling Data'!A1963</f>
        <v>SOUTH EUCLID -02-A</v>
      </c>
      <c r="C1964" s="112">
        <f>'Sampling Data'!B1963</f>
        <v>9</v>
      </c>
      <c r="D1964" s="112">
        <f>'Sampling Data'!C1963</f>
        <v>27</v>
      </c>
      <c r="E1964" s="113">
        <f>'Sampling Data'!D1963</f>
        <v>1</v>
      </c>
      <c r="F1964" s="113">
        <f>'Sampling Data'!E1963</f>
        <v>13</v>
      </c>
      <c r="G1964" s="113">
        <f>'Sampling Data'!F1963</f>
        <v>1</v>
      </c>
      <c r="H1964" s="113">
        <f>'Sampling Data'!G1963</f>
        <v>1</v>
      </c>
      <c r="I1964" s="112">
        <f>'Sampling Data'!H1963</f>
        <v>0</v>
      </c>
      <c r="J1964" s="112">
        <f>'Sampling Data'!I1963</f>
        <v>0</v>
      </c>
      <c r="K1964" s="112">
        <f>'Sampling Data'!J1963</f>
        <v>52</v>
      </c>
      <c r="L1964" s="111">
        <f>'Sampling Data'!X1963</f>
        <v>0</v>
      </c>
      <c r="M1964" s="114"/>
      <c r="N1964" s="114"/>
      <c r="O1964" s="115"/>
      <c r="P1964" s="115"/>
      <c r="Q1964" s="116"/>
      <c r="R1964" s="116"/>
      <c r="S1964" s="111">
        <f>Audit[[#This Row],[Audit Losing Candidate]]-Audit[[#This Row],[Losing Candidate]]</f>
        <v>-9</v>
      </c>
      <c r="T1964" s="111">
        <f>Audit[[#This Row],[Audit Winning Candidate]]-Audit[[#This Row],[Winning Candidate]]</f>
        <v>-27</v>
      </c>
      <c r="U1964" s="111">
        <f>Audit[[#This Row],[Audit Candidate 3]]-Audit[[#This Row],[Candidate 3]]</f>
        <v>-1</v>
      </c>
      <c r="V1964" s="111">
        <f>Audit[[#This Row],[Audit Candidate 4]]-Audit[[#This Row],[Candidate 4]]</f>
        <v>-13</v>
      </c>
      <c r="W1964" s="111">
        <f>Audit[[#This Row],[Audit Candidate 5]]-Audit[[#This Row],[Candidate 5]]</f>
        <v>-1</v>
      </c>
      <c r="X1964" s="111">
        <f>Audit[[#This Row],[Audit Candidate 6]]-Audit[[#This Row],[Candidate 6]]</f>
        <v>-1</v>
      </c>
      <c r="Y1964" s="111">
        <f>SUMIF(Audit[[#This Row],[Difference Loser]:[Difference Candidate 6]], "&gt;0")</f>
        <v>0</v>
      </c>
      <c r="Z1964" s="111">
        <f>SUM(Audit[[#This Row],[Difference Loser]:[Difference Candidate 6]])</f>
        <v>-52</v>
      </c>
      <c r="AA1964" s="111">
        <f>IF(Audit[[#This Row],[Times p Drawn - With Replacement]]&gt;0, IF(Audit[[#This Row],[Canceled Differences]]&lt;0, Audit[[#This Row],[Max Differences]]+ABS(Audit[[#This Row],[Canceled Differences]]), Audit[[#This Row],[Max Differences]]), 0)</f>
        <v>0</v>
      </c>
      <c r="AB1964" s="111">
        <f>'Sampling Data'!P1963</f>
        <v>4.2871141597256249E-3</v>
      </c>
      <c r="AC1964" s="111">
        <f>IF(
      SUM(Audit[[#This Row],[Audit Losing Candidate]:[Audit Candidate 6]])
      &lt;&gt;0,
      (Audit[[#This Row],[Winning Candidate]]-Audit[[#This Row],[Losing Candidate]]-(Audit[[#This Row],[Audit Winning Candidate]]-Audit[[#This Row],[Audit Losing Candidate]]))/(Audit[[#Totals],[Winning Candidate]]-Audit[[#Totals],[Losing Candidate]]),
      0
)</f>
        <v>0</v>
      </c>
      <c r="AD19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4" s="111">
        <f>IF(Audit[[#This Row],[Max Relative Error (ep)]] = 0, 0, Audit[[#This Row],[Max Relative Error (ep)]]/Audit[[#This Row],[Error Bound (up) - Max. possible relative overstatement]])</f>
        <v>0</v>
      </c>
      <c r="AJ19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64" s="111">
        <f t="shared" si="30"/>
        <v>1</v>
      </c>
      <c r="AL1964" s="111">
        <f>PRODUCT($AK$5:AK1964)</f>
        <v>8.962823818226312E-2</v>
      </c>
      <c r="AM1964" s="109">
        <f>1 - [K-M P Value]</f>
        <v>0.91037176181773694</v>
      </c>
      <c r="AN1964" s="111" t="str">
        <f>IF(Audit[[#This Row],[K-M P Value]]&gt;1-'General Info'!$B$16,"Continue", "Stop")</f>
        <v>Stop</v>
      </c>
      <c r="AO1964" s="110" t="b">
        <f>IF(Audit[[#This Row],[Status - Continue or stop audit]] = "Continue", TRUE, IF(AN1963 = "Continue", TRUE, FALSE))</f>
        <v>0</v>
      </c>
      <c r="AP1964" s="110"/>
    </row>
    <row r="1965" spans="1:42" ht="15" hidden="1" customHeight="1">
      <c r="A1965" s="111" t="str">
        <f>'Sampling Data'!W1964</f>
        <v/>
      </c>
      <c r="B1965" s="112" t="str">
        <f>'Sampling Data'!A1964</f>
        <v>SOUTH EUCLID -02-A - ABS</v>
      </c>
      <c r="C1965" s="112">
        <f>'Sampling Data'!B1964</f>
        <v>10</v>
      </c>
      <c r="D1965" s="112">
        <f>'Sampling Data'!C1964</f>
        <v>12</v>
      </c>
      <c r="E1965" s="113">
        <f>'Sampling Data'!D1964</f>
        <v>2</v>
      </c>
      <c r="F1965" s="113">
        <f>'Sampling Data'!E1964</f>
        <v>0</v>
      </c>
      <c r="G1965" s="113">
        <f>'Sampling Data'!F1964</f>
        <v>0</v>
      </c>
      <c r="H1965" s="113">
        <f>'Sampling Data'!G1964</f>
        <v>0</v>
      </c>
      <c r="I1965" s="112">
        <f>'Sampling Data'!H1964</f>
        <v>0</v>
      </c>
      <c r="J1965" s="112">
        <f>'Sampling Data'!I1964</f>
        <v>2</v>
      </c>
      <c r="K1965" s="112">
        <f>'Sampling Data'!J1964</f>
        <v>26</v>
      </c>
      <c r="L1965" s="111">
        <f>'Sampling Data'!X1964</f>
        <v>0</v>
      </c>
      <c r="M1965" s="114"/>
      <c r="N1965" s="114"/>
      <c r="O1965" s="115"/>
      <c r="P1965" s="115"/>
      <c r="Q1965" s="116"/>
      <c r="R1965" s="116"/>
      <c r="S1965" s="111">
        <f>Audit[[#This Row],[Audit Losing Candidate]]-Audit[[#This Row],[Losing Candidate]]</f>
        <v>-10</v>
      </c>
      <c r="T1965" s="111">
        <f>Audit[[#This Row],[Audit Winning Candidate]]-Audit[[#This Row],[Winning Candidate]]</f>
        <v>-12</v>
      </c>
      <c r="U1965" s="111">
        <f>Audit[[#This Row],[Audit Candidate 3]]-Audit[[#This Row],[Candidate 3]]</f>
        <v>-2</v>
      </c>
      <c r="V1965" s="111">
        <f>Audit[[#This Row],[Audit Candidate 4]]-Audit[[#This Row],[Candidate 4]]</f>
        <v>0</v>
      </c>
      <c r="W1965" s="111">
        <f>Audit[[#This Row],[Audit Candidate 5]]-Audit[[#This Row],[Candidate 5]]</f>
        <v>0</v>
      </c>
      <c r="X1965" s="111">
        <f>Audit[[#This Row],[Audit Candidate 6]]-Audit[[#This Row],[Candidate 6]]</f>
        <v>0</v>
      </c>
      <c r="Y1965" s="111">
        <f>SUMIF(Audit[[#This Row],[Difference Loser]:[Difference Candidate 6]], "&gt;0")</f>
        <v>0</v>
      </c>
      <c r="Z1965" s="111">
        <f>SUM(Audit[[#This Row],[Difference Loser]:[Difference Candidate 6]])</f>
        <v>-24</v>
      </c>
      <c r="AA1965" s="111">
        <f>IF(Audit[[#This Row],[Times p Drawn - With Replacement]]&gt;0, IF(Audit[[#This Row],[Canceled Differences]]&lt;0, Audit[[#This Row],[Max Differences]]+ABS(Audit[[#This Row],[Canceled Differences]]), Audit[[#This Row],[Max Differences]]), 0)</f>
        <v>0</v>
      </c>
      <c r="AB1965" s="111">
        <f>'Sampling Data'!P1964</f>
        <v>1.7148456638902498E-3</v>
      </c>
      <c r="AC1965" s="111">
        <f>IF(
      SUM(Audit[[#This Row],[Audit Losing Candidate]:[Audit Candidate 6]])
      &lt;&gt;0,
      (Audit[[#This Row],[Winning Candidate]]-Audit[[#This Row],[Losing Candidate]]-(Audit[[#This Row],[Audit Winning Candidate]]-Audit[[#This Row],[Audit Losing Candidate]]))/(Audit[[#Totals],[Winning Candidate]]-Audit[[#Totals],[Losing Candidate]]),
      0
)</f>
        <v>0</v>
      </c>
      <c r="AD19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5" s="111">
        <f>IF(Audit[[#This Row],[Max Relative Error (ep)]] = 0, 0, Audit[[#This Row],[Max Relative Error (ep)]]/Audit[[#This Row],[Error Bound (up) - Max. possible relative overstatement]])</f>
        <v>0</v>
      </c>
      <c r="AJ19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65" s="111">
        <f t="shared" si="30"/>
        <v>1</v>
      </c>
      <c r="AL1965" s="111">
        <f>PRODUCT($AK$5:AK1965)</f>
        <v>8.962823818226312E-2</v>
      </c>
      <c r="AM1965" s="109">
        <f>1 - [K-M P Value]</f>
        <v>0.91037176181773694</v>
      </c>
      <c r="AN1965" s="111" t="str">
        <f>IF(Audit[[#This Row],[K-M P Value]]&gt;1-'General Info'!$B$16,"Continue", "Stop")</f>
        <v>Stop</v>
      </c>
      <c r="AO1965" s="110" t="b">
        <f>IF(Audit[[#This Row],[Status - Continue or stop audit]] = "Continue", TRUE, IF(AN1964 = "Continue", TRUE, FALSE))</f>
        <v>0</v>
      </c>
      <c r="AP1965" s="110"/>
    </row>
    <row r="1966" spans="1:42" ht="15" hidden="1" customHeight="1">
      <c r="A1966" s="111" t="str">
        <f>'Sampling Data'!W1965</f>
        <v/>
      </c>
      <c r="B1966" s="112" t="str">
        <f>'Sampling Data'!A1965</f>
        <v>SOUTH EUCLID -02-B</v>
      </c>
      <c r="C1966" s="112">
        <f>'Sampling Data'!B1965</f>
        <v>18</v>
      </c>
      <c r="D1966" s="112">
        <f>'Sampling Data'!C1965</f>
        <v>29</v>
      </c>
      <c r="E1966" s="113">
        <f>'Sampling Data'!D1965</f>
        <v>12</v>
      </c>
      <c r="F1966" s="113">
        <f>'Sampling Data'!E1965</f>
        <v>9</v>
      </c>
      <c r="G1966" s="113">
        <f>'Sampling Data'!F1965</f>
        <v>0</v>
      </c>
      <c r="H1966" s="113">
        <f>'Sampling Data'!G1965</f>
        <v>0</v>
      </c>
      <c r="I1966" s="112">
        <f>'Sampling Data'!H1965</f>
        <v>0</v>
      </c>
      <c r="J1966" s="112">
        <f>'Sampling Data'!I1965</f>
        <v>3</v>
      </c>
      <c r="K1966" s="112">
        <f>'Sampling Data'!J1965</f>
        <v>71</v>
      </c>
      <c r="L1966" s="111">
        <f>'Sampling Data'!X1965</f>
        <v>0</v>
      </c>
      <c r="M1966" s="114"/>
      <c r="N1966" s="114"/>
      <c r="O1966" s="115"/>
      <c r="P1966" s="115"/>
      <c r="Q1966" s="116"/>
      <c r="R1966" s="116"/>
      <c r="S1966" s="111">
        <f>Audit[[#This Row],[Audit Losing Candidate]]-Audit[[#This Row],[Losing Candidate]]</f>
        <v>-18</v>
      </c>
      <c r="T1966" s="111">
        <f>Audit[[#This Row],[Audit Winning Candidate]]-Audit[[#This Row],[Winning Candidate]]</f>
        <v>-29</v>
      </c>
      <c r="U1966" s="111">
        <f>Audit[[#This Row],[Audit Candidate 3]]-Audit[[#This Row],[Candidate 3]]</f>
        <v>-12</v>
      </c>
      <c r="V1966" s="111">
        <f>Audit[[#This Row],[Audit Candidate 4]]-Audit[[#This Row],[Candidate 4]]</f>
        <v>-9</v>
      </c>
      <c r="W1966" s="111">
        <f>Audit[[#This Row],[Audit Candidate 5]]-Audit[[#This Row],[Candidate 5]]</f>
        <v>0</v>
      </c>
      <c r="X1966" s="111">
        <f>Audit[[#This Row],[Audit Candidate 6]]-Audit[[#This Row],[Candidate 6]]</f>
        <v>0</v>
      </c>
      <c r="Y1966" s="111">
        <f>SUMIF(Audit[[#This Row],[Difference Loser]:[Difference Candidate 6]], "&gt;0")</f>
        <v>0</v>
      </c>
      <c r="Z1966" s="111">
        <f>SUM(Audit[[#This Row],[Difference Loser]:[Difference Candidate 6]])</f>
        <v>-68</v>
      </c>
      <c r="AA1966" s="111">
        <f>IF(Audit[[#This Row],[Times p Drawn - With Replacement]]&gt;0, IF(Audit[[#This Row],[Canceled Differences]]&lt;0, Audit[[#This Row],[Max Differences]]+ABS(Audit[[#This Row],[Canceled Differences]]), Audit[[#This Row],[Max Differences]]), 0)</f>
        <v>0</v>
      </c>
      <c r="AB1966" s="111">
        <f>'Sampling Data'!P1965</f>
        <v>5.0220480156785889E-3</v>
      </c>
      <c r="AC1966" s="111">
        <f>IF(
      SUM(Audit[[#This Row],[Audit Losing Candidate]:[Audit Candidate 6]])
      &lt;&gt;0,
      (Audit[[#This Row],[Winning Candidate]]-Audit[[#This Row],[Losing Candidate]]-(Audit[[#This Row],[Audit Winning Candidate]]-Audit[[#This Row],[Audit Losing Candidate]]))/(Audit[[#Totals],[Winning Candidate]]-Audit[[#Totals],[Losing Candidate]]),
      0
)</f>
        <v>0</v>
      </c>
      <c r="AD19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6" s="111">
        <f>IF(Audit[[#This Row],[Max Relative Error (ep)]] = 0, 0, Audit[[#This Row],[Max Relative Error (ep)]]/Audit[[#This Row],[Error Bound (up) - Max. possible relative overstatement]])</f>
        <v>0</v>
      </c>
      <c r="AJ19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66" s="111">
        <f t="shared" si="30"/>
        <v>1</v>
      </c>
      <c r="AL1966" s="111">
        <f>PRODUCT($AK$5:AK1966)</f>
        <v>8.962823818226312E-2</v>
      </c>
      <c r="AM1966" s="109">
        <f>1 - [K-M P Value]</f>
        <v>0.91037176181773694</v>
      </c>
      <c r="AN1966" s="111" t="str">
        <f>IF(Audit[[#This Row],[K-M P Value]]&gt;1-'General Info'!$B$16,"Continue", "Stop")</f>
        <v>Stop</v>
      </c>
      <c r="AO1966" s="110" t="b">
        <f>IF(Audit[[#This Row],[Status - Continue or stop audit]] = "Continue", TRUE, IF(AN1965 = "Continue", TRUE, FALSE))</f>
        <v>0</v>
      </c>
      <c r="AP1966" s="110"/>
    </row>
    <row r="1967" spans="1:42" ht="15" hidden="1" customHeight="1">
      <c r="A1967" s="111" t="str">
        <f>'Sampling Data'!W1966</f>
        <v/>
      </c>
      <c r="B1967" s="112" t="str">
        <f>'Sampling Data'!A1966</f>
        <v>SOUTH EUCLID -02-B - ABS</v>
      </c>
      <c r="C1967" s="112">
        <f>'Sampling Data'!B1966</f>
        <v>8</v>
      </c>
      <c r="D1967" s="112">
        <f>'Sampling Data'!C1966</f>
        <v>12</v>
      </c>
      <c r="E1967" s="113">
        <f>'Sampling Data'!D1966</f>
        <v>4</v>
      </c>
      <c r="F1967" s="113">
        <f>'Sampling Data'!E1966</f>
        <v>3</v>
      </c>
      <c r="G1967" s="113">
        <f>'Sampling Data'!F1966</f>
        <v>1</v>
      </c>
      <c r="H1967" s="113">
        <f>'Sampling Data'!G1966</f>
        <v>0</v>
      </c>
      <c r="I1967" s="112">
        <f>'Sampling Data'!H1966</f>
        <v>0</v>
      </c>
      <c r="J1967" s="112">
        <f>'Sampling Data'!I1966</f>
        <v>1</v>
      </c>
      <c r="K1967" s="112">
        <f>'Sampling Data'!J1966</f>
        <v>29</v>
      </c>
      <c r="L1967" s="111">
        <f>'Sampling Data'!X1966</f>
        <v>0</v>
      </c>
      <c r="M1967" s="114"/>
      <c r="N1967" s="114"/>
      <c r="O1967" s="115"/>
      <c r="P1967" s="115"/>
      <c r="Q1967" s="116"/>
      <c r="R1967" s="116"/>
      <c r="S1967" s="111">
        <f>Audit[[#This Row],[Audit Losing Candidate]]-Audit[[#This Row],[Losing Candidate]]</f>
        <v>-8</v>
      </c>
      <c r="T1967" s="111">
        <f>Audit[[#This Row],[Audit Winning Candidate]]-Audit[[#This Row],[Winning Candidate]]</f>
        <v>-12</v>
      </c>
      <c r="U1967" s="111">
        <f>Audit[[#This Row],[Audit Candidate 3]]-Audit[[#This Row],[Candidate 3]]</f>
        <v>-4</v>
      </c>
      <c r="V1967" s="111">
        <f>Audit[[#This Row],[Audit Candidate 4]]-Audit[[#This Row],[Candidate 4]]</f>
        <v>-3</v>
      </c>
      <c r="W1967" s="111">
        <f>Audit[[#This Row],[Audit Candidate 5]]-Audit[[#This Row],[Candidate 5]]</f>
        <v>-1</v>
      </c>
      <c r="X1967" s="111">
        <f>Audit[[#This Row],[Audit Candidate 6]]-Audit[[#This Row],[Candidate 6]]</f>
        <v>0</v>
      </c>
      <c r="Y1967" s="111">
        <f>SUMIF(Audit[[#This Row],[Difference Loser]:[Difference Candidate 6]], "&gt;0")</f>
        <v>0</v>
      </c>
      <c r="Z1967" s="111">
        <f>SUM(Audit[[#This Row],[Difference Loser]:[Difference Candidate 6]])</f>
        <v>-28</v>
      </c>
      <c r="AA1967" s="111">
        <f>IF(Audit[[#This Row],[Times p Drawn - With Replacement]]&gt;0, IF(Audit[[#This Row],[Canceled Differences]]&lt;0, Audit[[#This Row],[Max Differences]]+ABS(Audit[[#This Row],[Canceled Differences]]), Audit[[#This Row],[Max Differences]]), 0)</f>
        <v>0</v>
      </c>
      <c r="AB1967" s="111">
        <f>'Sampling Data'!P1966</f>
        <v>2.0210681038706517E-3</v>
      </c>
      <c r="AC1967" s="111">
        <f>IF(
      SUM(Audit[[#This Row],[Audit Losing Candidate]:[Audit Candidate 6]])
      &lt;&gt;0,
      (Audit[[#This Row],[Winning Candidate]]-Audit[[#This Row],[Losing Candidate]]-(Audit[[#This Row],[Audit Winning Candidate]]-Audit[[#This Row],[Audit Losing Candidate]]))/(Audit[[#Totals],[Winning Candidate]]-Audit[[#Totals],[Losing Candidate]]),
      0
)</f>
        <v>0</v>
      </c>
      <c r="AD19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7" s="111">
        <f>IF(Audit[[#This Row],[Max Relative Error (ep)]] = 0, 0, Audit[[#This Row],[Max Relative Error (ep)]]/Audit[[#This Row],[Error Bound (up) - Max. possible relative overstatement]])</f>
        <v>0</v>
      </c>
      <c r="AJ19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67" s="111">
        <f t="shared" si="30"/>
        <v>1</v>
      </c>
      <c r="AL1967" s="111">
        <f>PRODUCT($AK$5:AK1967)</f>
        <v>8.962823818226312E-2</v>
      </c>
      <c r="AM1967" s="109">
        <f>1 - [K-M P Value]</f>
        <v>0.91037176181773694</v>
      </c>
      <c r="AN1967" s="111" t="str">
        <f>IF(Audit[[#This Row],[K-M P Value]]&gt;1-'General Info'!$B$16,"Continue", "Stop")</f>
        <v>Stop</v>
      </c>
      <c r="AO1967" s="110" t="b">
        <f>IF(Audit[[#This Row],[Status - Continue or stop audit]] = "Continue", TRUE, IF(AN1966 = "Continue", TRUE, FALSE))</f>
        <v>0</v>
      </c>
      <c r="AP1967" s="110"/>
    </row>
    <row r="1968" spans="1:42" ht="15" hidden="1" customHeight="1">
      <c r="A1968" s="111" t="str">
        <f>'Sampling Data'!W1967</f>
        <v/>
      </c>
      <c r="B1968" s="112" t="str">
        <f>'Sampling Data'!A1967</f>
        <v>SOUTH EUCLID -02-C</v>
      </c>
      <c r="C1968" s="112">
        <f>'Sampling Data'!B1967</f>
        <v>22</v>
      </c>
      <c r="D1968" s="112">
        <f>'Sampling Data'!C1967</f>
        <v>32</v>
      </c>
      <c r="E1968" s="113">
        <f>'Sampling Data'!D1967</f>
        <v>1</v>
      </c>
      <c r="F1968" s="113">
        <f>'Sampling Data'!E1967</f>
        <v>3</v>
      </c>
      <c r="G1968" s="113">
        <f>'Sampling Data'!F1967</f>
        <v>0</v>
      </c>
      <c r="H1968" s="113">
        <f>'Sampling Data'!G1967</f>
        <v>0</v>
      </c>
      <c r="I1968" s="112">
        <f>'Sampling Data'!H1967</f>
        <v>0</v>
      </c>
      <c r="J1968" s="112">
        <f>'Sampling Data'!I1967</f>
        <v>1</v>
      </c>
      <c r="K1968" s="112">
        <f>'Sampling Data'!J1967</f>
        <v>59</v>
      </c>
      <c r="L1968" s="111">
        <f>'Sampling Data'!X1967</f>
        <v>0</v>
      </c>
      <c r="M1968" s="114"/>
      <c r="N1968" s="114"/>
      <c r="O1968" s="115"/>
      <c r="P1968" s="115"/>
      <c r="Q1968" s="116"/>
      <c r="R1968" s="116"/>
      <c r="S1968" s="111">
        <f>Audit[[#This Row],[Audit Losing Candidate]]-Audit[[#This Row],[Losing Candidate]]</f>
        <v>-22</v>
      </c>
      <c r="T1968" s="111">
        <f>Audit[[#This Row],[Audit Winning Candidate]]-Audit[[#This Row],[Winning Candidate]]</f>
        <v>-32</v>
      </c>
      <c r="U1968" s="111">
        <f>Audit[[#This Row],[Audit Candidate 3]]-Audit[[#This Row],[Candidate 3]]</f>
        <v>-1</v>
      </c>
      <c r="V1968" s="111">
        <f>Audit[[#This Row],[Audit Candidate 4]]-Audit[[#This Row],[Candidate 4]]</f>
        <v>-3</v>
      </c>
      <c r="W1968" s="111">
        <f>Audit[[#This Row],[Audit Candidate 5]]-Audit[[#This Row],[Candidate 5]]</f>
        <v>0</v>
      </c>
      <c r="X1968" s="111">
        <f>Audit[[#This Row],[Audit Candidate 6]]-Audit[[#This Row],[Candidate 6]]</f>
        <v>0</v>
      </c>
      <c r="Y1968" s="111">
        <f>SUMIF(Audit[[#This Row],[Difference Loser]:[Difference Candidate 6]], "&gt;0")</f>
        <v>0</v>
      </c>
      <c r="Z1968" s="111">
        <f>SUM(Audit[[#This Row],[Difference Loser]:[Difference Candidate 6]])</f>
        <v>-58</v>
      </c>
      <c r="AA1968" s="111">
        <f>IF(Audit[[#This Row],[Times p Drawn - With Replacement]]&gt;0, IF(Audit[[#This Row],[Canceled Differences]]&lt;0, Audit[[#This Row],[Max Differences]]+ABS(Audit[[#This Row],[Canceled Differences]]), Audit[[#This Row],[Max Differences]]), 0)</f>
        <v>0</v>
      </c>
      <c r="AB1968" s="111">
        <f>'Sampling Data'!P1967</f>
        <v>4.2258696717295445E-3</v>
      </c>
      <c r="AC1968" s="111">
        <f>IF(
      SUM(Audit[[#This Row],[Audit Losing Candidate]:[Audit Candidate 6]])
      &lt;&gt;0,
      (Audit[[#This Row],[Winning Candidate]]-Audit[[#This Row],[Losing Candidate]]-(Audit[[#This Row],[Audit Winning Candidate]]-Audit[[#This Row],[Audit Losing Candidate]]))/(Audit[[#Totals],[Winning Candidate]]-Audit[[#Totals],[Losing Candidate]]),
      0
)</f>
        <v>0</v>
      </c>
      <c r="AD19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8" s="111">
        <f>IF(Audit[[#This Row],[Max Relative Error (ep)]] = 0, 0, Audit[[#This Row],[Max Relative Error (ep)]]/Audit[[#This Row],[Error Bound (up) - Max. possible relative overstatement]])</f>
        <v>0</v>
      </c>
      <c r="AJ19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68" s="111">
        <f t="shared" si="30"/>
        <v>1</v>
      </c>
      <c r="AL1968" s="111">
        <f>PRODUCT($AK$5:AK1968)</f>
        <v>8.962823818226312E-2</v>
      </c>
      <c r="AM1968" s="109">
        <f>1 - [K-M P Value]</f>
        <v>0.91037176181773694</v>
      </c>
      <c r="AN1968" s="111" t="str">
        <f>IF(Audit[[#This Row],[K-M P Value]]&gt;1-'General Info'!$B$16,"Continue", "Stop")</f>
        <v>Stop</v>
      </c>
      <c r="AO1968" s="110" t="b">
        <f>IF(Audit[[#This Row],[Status - Continue or stop audit]] = "Continue", TRUE, IF(AN1967 = "Continue", TRUE, FALSE))</f>
        <v>0</v>
      </c>
      <c r="AP1968" s="110"/>
    </row>
    <row r="1969" spans="1:42" ht="15" hidden="1" customHeight="1">
      <c r="A1969" s="111" t="str">
        <f>'Sampling Data'!W1968</f>
        <v/>
      </c>
      <c r="B1969" s="112" t="str">
        <f>'Sampling Data'!A1968</f>
        <v>SOUTH EUCLID -02-C - ABS</v>
      </c>
      <c r="C1969" s="112">
        <f>'Sampling Data'!B1968</f>
        <v>10</v>
      </c>
      <c r="D1969" s="112">
        <f>'Sampling Data'!C1968</f>
        <v>4</v>
      </c>
      <c r="E1969" s="113">
        <f>'Sampling Data'!D1968</f>
        <v>1</v>
      </c>
      <c r="F1969" s="113">
        <f>'Sampling Data'!E1968</f>
        <v>0</v>
      </c>
      <c r="G1969" s="113">
        <f>'Sampling Data'!F1968</f>
        <v>0</v>
      </c>
      <c r="H1969" s="113">
        <f>'Sampling Data'!G1968</f>
        <v>0</v>
      </c>
      <c r="I1969" s="112">
        <f>'Sampling Data'!H1968</f>
        <v>0</v>
      </c>
      <c r="J1969" s="112">
        <f>'Sampling Data'!I1968</f>
        <v>1</v>
      </c>
      <c r="K1969" s="112">
        <f>'Sampling Data'!J1968</f>
        <v>16</v>
      </c>
      <c r="L1969" s="111">
        <f>'Sampling Data'!X1968</f>
        <v>0</v>
      </c>
      <c r="M1969" s="114"/>
      <c r="N1969" s="114"/>
      <c r="O1969" s="115"/>
      <c r="P1969" s="115"/>
      <c r="Q1969" s="116"/>
      <c r="R1969" s="116"/>
      <c r="S1969" s="111">
        <f>Audit[[#This Row],[Audit Losing Candidate]]-Audit[[#This Row],[Losing Candidate]]</f>
        <v>-10</v>
      </c>
      <c r="T1969" s="111">
        <f>Audit[[#This Row],[Audit Winning Candidate]]-Audit[[#This Row],[Winning Candidate]]</f>
        <v>-4</v>
      </c>
      <c r="U1969" s="111">
        <f>Audit[[#This Row],[Audit Candidate 3]]-Audit[[#This Row],[Candidate 3]]</f>
        <v>-1</v>
      </c>
      <c r="V1969" s="111">
        <f>Audit[[#This Row],[Audit Candidate 4]]-Audit[[#This Row],[Candidate 4]]</f>
        <v>0</v>
      </c>
      <c r="W1969" s="111">
        <f>Audit[[#This Row],[Audit Candidate 5]]-Audit[[#This Row],[Candidate 5]]</f>
        <v>0</v>
      </c>
      <c r="X1969" s="111">
        <f>Audit[[#This Row],[Audit Candidate 6]]-Audit[[#This Row],[Candidate 6]]</f>
        <v>0</v>
      </c>
      <c r="Y1969" s="111">
        <f>SUMIF(Audit[[#This Row],[Difference Loser]:[Difference Candidate 6]], "&gt;0")</f>
        <v>0</v>
      </c>
      <c r="Z1969" s="111">
        <f>SUM(Audit[[#This Row],[Difference Loser]:[Difference Candidate 6]])</f>
        <v>-15</v>
      </c>
      <c r="AA1969" s="111">
        <f>IF(Audit[[#This Row],[Times p Drawn - With Replacement]]&gt;0, IF(Audit[[#This Row],[Canceled Differences]]&lt;0, Audit[[#This Row],[Max Differences]]+ABS(Audit[[#This Row],[Canceled Differences]]), Audit[[#This Row],[Max Differences]]), 0)</f>
        <v>0</v>
      </c>
      <c r="AB1969" s="111">
        <f>'Sampling Data'!P1968</f>
        <v>6.1296254476239632E-4</v>
      </c>
      <c r="AC1969" s="111">
        <f>IF(
      SUM(Audit[[#This Row],[Audit Losing Candidate]:[Audit Candidate 6]])
      &lt;&gt;0,
      (Audit[[#This Row],[Winning Candidate]]-Audit[[#This Row],[Losing Candidate]]-(Audit[[#This Row],[Audit Winning Candidate]]-Audit[[#This Row],[Audit Losing Candidate]]))/(Audit[[#Totals],[Winning Candidate]]-Audit[[#Totals],[Losing Candidate]]),
      0
)</f>
        <v>0</v>
      </c>
      <c r="AD19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9" s="111">
        <f>IF(Audit[[#This Row],[Max Relative Error (ep)]] = 0, 0, Audit[[#This Row],[Max Relative Error (ep)]]/Audit[[#This Row],[Error Bound (up) - Max. possible relative overstatement]])</f>
        <v>0</v>
      </c>
      <c r="AJ19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69" s="111">
        <f t="shared" si="30"/>
        <v>1</v>
      </c>
      <c r="AL1969" s="111">
        <f>PRODUCT($AK$5:AK1969)</f>
        <v>8.962823818226312E-2</v>
      </c>
      <c r="AM1969" s="109">
        <f>1 - [K-M P Value]</f>
        <v>0.91037176181773694</v>
      </c>
      <c r="AN1969" s="111" t="str">
        <f>IF(Audit[[#This Row],[K-M P Value]]&gt;1-'General Info'!$B$16,"Continue", "Stop")</f>
        <v>Stop</v>
      </c>
      <c r="AO1969" s="110" t="b">
        <f>IF(Audit[[#This Row],[Status - Continue or stop audit]] = "Continue", TRUE, IF(AN1968 = "Continue", TRUE, FALSE))</f>
        <v>0</v>
      </c>
      <c r="AP1969" s="110"/>
    </row>
    <row r="1970" spans="1:42" ht="15" hidden="1" customHeight="1">
      <c r="A1970" s="111" t="str">
        <f>'Sampling Data'!W1969</f>
        <v/>
      </c>
      <c r="B1970" s="112" t="str">
        <f>'Sampling Data'!A1969</f>
        <v>SOUTH EUCLID -02-D</v>
      </c>
      <c r="C1970" s="112">
        <f>'Sampling Data'!B1969</f>
        <v>11</v>
      </c>
      <c r="D1970" s="112">
        <f>'Sampling Data'!C1969</f>
        <v>31</v>
      </c>
      <c r="E1970" s="113">
        <f>'Sampling Data'!D1969</f>
        <v>13</v>
      </c>
      <c r="F1970" s="113">
        <f>'Sampling Data'!E1969</f>
        <v>4</v>
      </c>
      <c r="G1970" s="113">
        <f>'Sampling Data'!F1969</f>
        <v>0</v>
      </c>
      <c r="H1970" s="113">
        <f>'Sampling Data'!G1969</f>
        <v>1</v>
      </c>
      <c r="I1970" s="112">
        <f>'Sampling Data'!H1969</f>
        <v>0</v>
      </c>
      <c r="J1970" s="112">
        <f>'Sampling Data'!I1969</f>
        <v>1</v>
      </c>
      <c r="K1970" s="112">
        <f>'Sampling Data'!J1969</f>
        <v>61</v>
      </c>
      <c r="L1970" s="111">
        <f>'Sampling Data'!X1969</f>
        <v>0</v>
      </c>
      <c r="M1970" s="114"/>
      <c r="N1970" s="114"/>
      <c r="O1970" s="115"/>
      <c r="P1970" s="115"/>
      <c r="Q1970" s="116"/>
      <c r="R1970" s="116"/>
      <c r="S1970" s="111">
        <f>Audit[[#This Row],[Audit Losing Candidate]]-Audit[[#This Row],[Losing Candidate]]</f>
        <v>-11</v>
      </c>
      <c r="T1970" s="111">
        <f>Audit[[#This Row],[Audit Winning Candidate]]-Audit[[#This Row],[Winning Candidate]]</f>
        <v>-31</v>
      </c>
      <c r="U1970" s="111">
        <f>Audit[[#This Row],[Audit Candidate 3]]-Audit[[#This Row],[Candidate 3]]</f>
        <v>-13</v>
      </c>
      <c r="V1970" s="111">
        <f>Audit[[#This Row],[Audit Candidate 4]]-Audit[[#This Row],[Candidate 4]]</f>
        <v>-4</v>
      </c>
      <c r="W1970" s="111">
        <f>Audit[[#This Row],[Audit Candidate 5]]-Audit[[#This Row],[Candidate 5]]</f>
        <v>0</v>
      </c>
      <c r="X1970" s="111">
        <f>Audit[[#This Row],[Audit Candidate 6]]-Audit[[#This Row],[Candidate 6]]</f>
        <v>-1</v>
      </c>
      <c r="Y1970" s="111">
        <f>SUMIF(Audit[[#This Row],[Difference Loser]:[Difference Candidate 6]], "&gt;0")</f>
        <v>0</v>
      </c>
      <c r="Z1970" s="111">
        <f>SUM(Audit[[#This Row],[Difference Loser]:[Difference Candidate 6]])</f>
        <v>-60</v>
      </c>
      <c r="AA1970" s="111">
        <f>IF(Audit[[#This Row],[Times p Drawn - With Replacement]]&gt;0, IF(Audit[[#This Row],[Canceled Differences]]&lt;0, Audit[[#This Row],[Max Differences]]+ABS(Audit[[#This Row],[Canceled Differences]]), Audit[[#This Row],[Max Differences]]), 0)</f>
        <v>0</v>
      </c>
      <c r="AB1970" s="111">
        <f>'Sampling Data'!P1969</f>
        <v>4.9608035276825085E-3</v>
      </c>
      <c r="AC1970" s="111">
        <f>IF(
      SUM(Audit[[#This Row],[Audit Losing Candidate]:[Audit Candidate 6]])
      &lt;&gt;0,
      (Audit[[#This Row],[Winning Candidate]]-Audit[[#This Row],[Losing Candidate]]-(Audit[[#This Row],[Audit Winning Candidate]]-Audit[[#This Row],[Audit Losing Candidate]]))/(Audit[[#Totals],[Winning Candidate]]-Audit[[#Totals],[Losing Candidate]]),
      0
)</f>
        <v>0</v>
      </c>
      <c r="AD19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0" s="111">
        <f>IF(Audit[[#This Row],[Max Relative Error (ep)]] = 0, 0, Audit[[#This Row],[Max Relative Error (ep)]]/Audit[[#This Row],[Error Bound (up) - Max. possible relative overstatement]])</f>
        <v>0</v>
      </c>
      <c r="AJ19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70" s="111">
        <f t="shared" si="30"/>
        <v>1</v>
      </c>
      <c r="AL1970" s="111">
        <f>PRODUCT($AK$5:AK1970)</f>
        <v>8.962823818226312E-2</v>
      </c>
      <c r="AM1970" s="109">
        <f>1 - [K-M P Value]</f>
        <v>0.91037176181773694</v>
      </c>
      <c r="AN1970" s="111" t="str">
        <f>IF(Audit[[#This Row],[K-M P Value]]&gt;1-'General Info'!$B$16,"Continue", "Stop")</f>
        <v>Stop</v>
      </c>
      <c r="AO1970" s="110" t="b">
        <f>IF(Audit[[#This Row],[Status - Continue or stop audit]] = "Continue", TRUE, IF(AN1969 = "Continue", TRUE, FALSE))</f>
        <v>0</v>
      </c>
      <c r="AP1970" s="110"/>
    </row>
    <row r="1971" spans="1:42" ht="15" hidden="1" customHeight="1">
      <c r="A1971" s="111" t="str">
        <f>'Sampling Data'!W1970</f>
        <v/>
      </c>
      <c r="B1971" s="112" t="str">
        <f>'Sampling Data'!A1970</f>
        <v>SOUTH EUCLID -02-D - ABS</v>
      </c>
      <c r="C1971" s="112">
        <f>'Sampling Data'!B1970</f>
        <v>13</v>
      </c>
      <c r="D1971" s="112">
        <f>'Sampling Data'!C1970</f>
        <v>10</v>
      </c>
      <c r="E1971" s="113">
        <f>'Sampling Data'!D1970</f>
        <v>1</v>
      </c>
      <c r="F1971" s="113">
        <f>'Sampling Data'!E1970</f>
        <v>1</v>
      </c>
      <c r="G1971" s="113">
        <f>'Sampling Data'!F1970</f>
        <v>0</v>
      </c>
      <c r="H1971" s="113">
        <f>'Sampling Data'!G1970</f>
        <v>0</v>
      </c>
      <c r="I1971" s="112">
        <f>'Sampling Data'!H1970</f>
        <v>0</v>
      </c>
      <c r="J1971" s="112">
        <f>'Sampling Data'!I1970</f>
        <v>0</v>
      </c>
      <c r="K1971" s="112">
        <f>'Sampling Data'!J1970</f>
        <v>25</v>
      </c>
      <c r="L1971" s="111">
        <f>'Sampling Data'!X1970</f>
        <v>0</v>
      </c>
      <c r="M1971" s="114"/>
      <c r="N1971" s="114"/>
      <c r="O1971" s="115"/>
      <c r="P1971" s="115"/>
      <c r="Q1971" s="116"/>
      <c r="R1971" s="116"/>
      <c r="S1971" s="111">
        <f>Audit[[#This Row],[Audit Losing Candidate]]-Audit[[#This Row],[Losing Candidate]]</f>
        <v>-13</v>
      </c>
      <c r="T1971" s="111">
        <f>Audit[[#This Row],[Audit Winning Candidate]]-Audit[[#This Row],[Winning Candidate]]</f>
        <v>-10</v>
      </c>
      <c r="U1971" s="111">
        <f>Audit[[#This Row],[Audit Candidate 3]]-Audit[[#This Row],[Candidate 3]]</f>
        <v>-1</v>
      </c>
      <c r="V1971" s="111">
        <f>Audit[[#This Row],[Audit Candidate 4]]-Audit[[#This Row],[Candidate 4]]</f>
        <v>-1</v>
      </c>
      <c r="W1971" s="111">
        <f>Audit[[#This Row],[Audit Candidate 5]]-Audit[[#This Row],[Candidate 5]]</f>
        <v>0</v>
      </c>
      <c r="X1971" s="111">
        <f>Audit[[#This Row],[Audit Candidate 6]]-Audit[[#This Row],[Candidate 6]]</f>
        <v>0</v>
      </c>
      <c r="Y1971" s="111">
        <f>SUMIF(Audit[[#This Row],[Difference Loser]:[Difference Candidate 6]], "&gt;0")</f>
        <v>0</v>
      </c>
      <c r="Z1971" s="111">
        <f>SUM(Audit[[#This Row],[Difference Loser]:[Difference Candidate 6]])</f>
        <v>-25</v>
      </c>
      <c r="AA1971" s="111">
        <f>IF(Audit[[#This Row],[Times p Drawn - With Replacement]]&gt;0, IF(Audit[[#This Row],[Canceled Differences]]&lt;0, Audit[[#This Row],[Max Differences]]+ABS(Audit[[#This Row],[Canceled Differences]]), Audit[[#This Row],[Max Differences]]), 0)</f>
        <v>0</v>
      </c>
      <c r="AB1971" s="111">
        <f>'Sampling Data'!P1970</f>
        <v>1.3473787359137678E-3</v>
      </c>
      <c r="AC1971" s="111">
        <f>IF(
      SUM(Audit[[#This Row],[Audit Losing Candidate]:[Audit Candidate 6]])
      &lt;&gt;0,
      (Audit[[#This Row],[Winning Candidate]]-Audit[[#This Row],[Losing Candidate]]-(Audit[[#This Row],[Audit Winning Candidate]]-Audit[[#This Row],[Audit Losing Candidate]]))/(Audit[[#Totals],[Winning Candidate]]-Audit[[#Totals],[Losing Candidate]]),
      0
)</f>
        <v>0</v>
      </c>
      <c r="AD19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1" s="111">
        <f>IF(Audit[[#This Row],[Max Relative Error (ep)]] = 0, 0, Audit[[#This Row],[Max Relative Error (ep)]]/Audit[[#This Row],[Error Bound (up) - Max. possible relative overstatement]])</f>
        <v>0</v>
      </c>
      <c r="AJ19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71" s="111">
        <f t="shared" si="30"/>
        <v>1</v>
      </c>
      <c r="AL1971" s="111">
        <f>PRODUCT($AK$5:AK1971)</f>
        <v>8.962823818226312E-2</v>
      </c>
      <c r="AM1971" s="109">
        <f>1 - [K-M P Value]</f>
        <v>0.91037176181773694</v>
      </c>
      <c r="AN1971" s="111" t="str">
        <f>IF(Audit[[#This Row],[K-M P Value]]&gt;1-'General Info'!$B$16,"Continue", "Stop")</f>
        <v>Stop</v>
      </c>
      <c r="AO1971" s="110" t="b">
        <f>IF(Audit[[#This Row],[Status - Continue or stop audit]] = "Continue", TRUE, IF(AN1970 = "Continue", TRUE, FALSE))</f>
        <v>0</v>
      </c>
      <c r="AP1971" s="110"/>
    </row>
    <row r="1972" spans="1:42" ht="15" hidden="1" customHeight="1">
      <c r="A1972" s="111" t="str">
        <f>'Sampling Data'!W1971</f>
        <v/>
      </c>
      <c r="B1972" s="112" t="str">
        <f>'Sampling Data'!A1971</f>
        <v>SOUTH EUCLID -02-E</v>
      </c>
      <c r="C1972" s="112">
        <f>'Sampling Data'!B1971</f>
        <v>23</v>
      </c>
      <c r="D1972" s="112">
        <f>'Sampling Data'!C1971</f>
        <v>40</v>
      </c>
      <c r="E1972" s="113">
        <f>'Sampling Data'!D1971</f>
        <v>5</v>
      </c>
      <c r="F1972" s="113">
        <f>'Sampling Data'!E1971</f>
        <v>18</v>
      </c>
      <c r="G1972" s="113">
        <f>'Sampling Data'!F1971</f>
        <v>0</v>
      </c>
      <c r="H1972" s="113">
        <f>'Sampling Data'!G1971</f>
        <v>0</v>
      </c>
      <c r="I1972" s="112">
        <f>'Sampling Data'!H1971</f>
        <v>0</v>
      </c>
      <c r="J1972" s="112">
        <f>'Sampling Data'!I1971</f>
        <v>2</v>
      </c>
      <c r="K1972" s="112">
        <f>'Sampling Data'!J1971</f>
        <v>88</v>
      </c>
      <c r="L1972" s="111">
        <f>'Sampling Data'!X1971</f>
        <v>0</v>
      </c>
      <c r="M1972" s="114"/>
      <c r="N1972" s="114"/>
      <c r="O1972" s="115"/>
      <c r="P1972" s="115"/>
      <c r="Q1972" s="116"/>
      <c r="R1972" s="116"/>
      <c r="S1972" s="111">
        <f>Audit[[#This Row],[Audit Losing Candidate]]-Audit[[#This Row],[Losing Candidate]]</f>
        <v>-23</v>
      </c>
      <c r="T1972" s="111">
        <f>Audit[[#This Row],[Audit Winning Candidate]]-Audit[[#This Row],[Winning Candidate]]</f>
        <v>-40</v>
      </c>
      <c r="U1972" s="111">
        <f>Audit[[#This Row],[Audit Candidate 3]]-Audit[[#This Row],[Candidate 3]]</f>
        <v>-5</v>
      </c>
      <c r="V1972" s="111">
        <f>Audit[[#This Row],[Audit Candidate 4]]-Audit[[#This Row],[Candidate 4]]</f>
        <v>-18</v>
      </c>
      <c r="W1972" s="111">
        <f>Audit[[#This Row],[Audit Candidate 5]]-Audit[[#This Row],[Candidate 5]]</f>
        <v>0</v>
      </c>
      <c r="X1972" s="111">
        <f>Audit[[#This Row],[Audit Candidate 6]]-Audit[[#This Row],[Candidate 6]]</f>
        <v>0</v>
      </c>
      <c r="Y1972" s="111">
        <f>SUMIF(Audit[[#This Row],[Difference Loser]:[Difference Candidate 6]], "&gt;0")</f>
        <v>0</v>
      </c>
      <c r="Z1972" s="111">
        <f>SUM(Audit[[#This Row],[Difference Loser]:[Difference Candidate 6]])</f>
        <v>-86</v>
      </c>
      <c r="AA1972" s="111">
        <f>IF(Audit[[#This Row],[Times p Drawn - With Replacement]]&gt;0, IF(Audit[[#This Row],[Canceled Differences]]&lt;0, Audit[[#This Row],[Max Differences]]+ABS(Audit[[#This Row],[Canceled Differences]]), Audit[[#This Row],[Max Differences]]), 0)</f>
        <v>0</v>
      </c>
      <c r="AB1972" s="111">
        <f>'Sampling Data'!P1971</f>
        <v>6.4306712395884374E-3</v>
      </c>
      <c r="AC1972" s="111">
        <f>IF(
      SUM(Audit[[#This Row],[Audit Losing Candidate]:[Audit Candidate 6]])
      &lt;&gt;0,
      (Audit[[#This Row],[Winning Candidate]]-Audit[[#This Row],[Losing Candidate]]-(Audit[[#This Row],[Audit Winning Candidate]]-Audit[[#This Row],[Audit Losing Candidate]]))/(Audit[[#Totals],[Winning Candidate]]-Audit[[#Totals],[Losing Candidate]]),
      0
)</f>
        <v>0</v>
      </c>
      <c r="AD19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2" s="111">
        <f>IF(Audit[[#This Row],[Max Relative Error (ep)]] = 0, 0, Audit[[#This Row],[Max Relative Error (ep)]]/Audit[[#This Row],[Error Bound (up) - Max. possible relative overstatement]])</f>
        <v>0</v>
      </c>
      <c r="AJ19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72" s="111">
        <f t="shared" si="30"/>
        <v>1</v>
      </c>
      <c r="AL1972" s="111">
        <f>PRODUCT($AK$5:AK1972)</f>
        <v>8.962823818226312E-2</v>
      </c>
      <c r="AM1972" s="109">
        <f>1 - [K-M P Value]</f>
        <v>0.91037176181773694</v>
      </c>
      <c r="AN1972" s="111" t="str">
        <f>IF(Audit[[#This Row],[K-M P Value]]&gt;1-'General Info'!$B$16,"Continue", "Stop")</f>
        <v>Stop</v>
      </c>
      <c r="AO1972" s="110" t="b">
        <f>IF(Audit[[#This Row],[Status - Continue or stop audit]] = "Continue", TRUE, IF(AN1971 = "Continue", TRUE, FALSE))</f>
        <v>0</v>
      </c>
      <c r="AP1972" s="110"/>
    </row>
    <row r="1973" spans="1:42" ht="15" hidden="1" customHeight="1">
      <c r="A1973" s="111" t="str">
        <f>'Sampling Data'!W1972</f>
        <v/>
      </c>
      <c r="B1973" s="112" t="str">
        <f>'Sampling Data'!A1972</f>
        <v>SOUTH EUCLID -02-E - ABS</v>
      </c>
      <c r="C1973" s="112">
        <f>'Sampling Data'!B1972</f>
        <v>14</v>
      </c>
      <c r="D1973" s="112">
        <f>'Sampling Data'!C1972</f>
        <v>22</v>
      </c>
      <c r="E1973" s="113">
        <f>'Sampling Data'!D1972</f>
        <v>1</v>
      </c>
      <c r="F1973" s="113">
        <f>'Sampling Data'!E1972</f>
        <v>0</v>
      </c>
      <c r="G1973" s="113">
        <f>'Sampling Data'!F1972</f>
        <v>0</v>
      </c>
      <c r="H1973" s="113">
        <f>'Sampling Data'!G1972</f>
        <v>0</v>
      </c>
      <c r="I1973" s="112">
        <f>'Sampling Data'!H1972</f>
        <v>0</v>
      </c>
      <c r="J1973" s="112">
        <f>'Sampling Data'!I1972</f>
        <v>1</v>
      </c>
      <c r="K1973" s="112">
        <f>'Sampling Data'!J1972</f>
        <v>38</v>
      </c>
      <c r="L1973" s="111">
        <f>'Sampling Data'!X1972</f>
        <v>0</v>
      </c>
      <c r="M1973" s="114"/>
      <c r="N1973" s="114"/>
      <c r="O1973" s="115"/>
      <c r="P1973" s="115"/>
      <c r="Q1973" s="116"/>
      <c r="R1973" s="116"/>
      <c r="S1973" s="111">
        <f>Audit[[#This Row],[Audit Losing Candidate]]-Audit[[#This Row],[Losing Candidate]]</f>
        <v>-14</v>
      </c>
      <c r="T1973" s="111">
        <f>Audit[[#This Row],[Audit Winning Candidate]]-Audit[[#This Row],[Winning Candidate]]</f>
        <v>-22</v>
      </c>
      <c r="U1973" s="111">
        <f>Audit[[#This Row],[Audit Candidate 3]]-Audit[[#This Row],[Candidate 3]]</f>
        <v>-1</v>
      </c>
      <c r="V1973" s="111">
        <f>Audit[[#This Row],[Audit Candidate 4]]-Audit[[#This Row],[Candidate 4]]</f>
        <v>0</v>
      </c>
      <c r="W1973" s="111">
        <f>Audit[[#This Row],[Audit Candidate 5]]-Audit[[#This Row],[Candidate 5]]</f>
        <v>0</v>
      </c>
      <c r="X1973" s="111">
        <f>Audit[[#This Row],[Audit Candidate 6]]-Audit[[#This Row],[Candidate 6]]</f>
        <v>0</v>
      </c>
      <c r="Y1973" s="111">
        <f>SUMIF(Audit[[#This Row],[Difference Loser]:[Difference Candidate 6]], "&gt;0")</f>
        <v>0</v>
      </c>
      <c r="Z1973" s="111">
        <f>SUM(Audit[[#This Row],[Difference Loser]:[Difference Candidate 6]])</f>
        <v>-37</v>
      </c>
      <c r="AA1973" s="111">
        <f>IF(Audit[[#This Row],[Times p Drawn - With Replacement]]&gt;0, IF(Audit[[#This Row],[Canceled Differences]]&lt;0, Audit[[#This Row],[Max Differences]]+ABS(Audit[[#This Row],[Canceled Differences]]), Audit[[#This Row],[Max Differences]]), 0)</f>
        <v>0</v>
      </c>
      <c r="AB1973" s="111">
        <f>'Sampling Data'!P1972</f>
        <v>2.8172464478196961E-3</v>
      </c>
      <c r="AC1973" s="111">
        <f>IF(
      SUM(Audit[[#This Row],[Audit Losing Candidate]:[Audit Candidate 6]])
      &lt;&gt;0,
      (Audit[[#This Row],[Winning Candidate]]-Audit[[#This Row],[Losing Candidate]]-(Audit[[#This Row],[Audit Winning Candidate]]-Audit[[#This Row],[Audit Losing Candidate]]))/(Audit[[#Totals],[Winning Candidate]]-Audit[[#Totals],[Losing Candidate]]),
      0
)</f>
        <v>0</v>
      </c>
      <c r="AD19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3" s="111">
        <f>IF(Audit[[#This Row],[Max Relative Error (ep)]] = 0, 0, Audit[[#This Row],[Max Relative Error (ep)]]/Audit[[#This Row],[Error Bound (up) - Max. possible relative overstatement]])</f>
        <v>0</v>
      </c>
      <c r="AJ19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73" s="111">
        <f t="shared" si="30"/>
        <v>1</v>
      </c>
      <c r="AL1973" s="111">
        <f>PRODUCT($AK$5:AK1973)</f>
        <v>8.962823818226312E-2</v>
      </c>
      <c r="AM1973" s="109">
        <f>1 - [K-M P Value]</f>
        <v>0.91037176181773694</v>
      </c>
      <c r="AN1973" s="111" t="str">
        <f>IF(Audit[[#This Row],[K-M P Value]]&gt;1-'General Info'!$B$16,"Continue", "Stop")</f>
        <v>Stop</v>
      </c>
      <c r="AO1973" s="110" t="b">
        <f>IF(Audit[[#This Row],[Status - Continue or stop audit]] = "Continue", TRUE, IF(AN1972 = "Continue", TRUE, FALSE))</f>
        <v>0</v>
      </c>
      <c r="AP1973" s="110"/>
    </row>
    <row r="1974" spans="1:42" ht="15" hidden="1" customHeight="1">
      <c r="A1974" s="111" t="str">
        <f>'Sampling Data'!W1973</f>
        <v/>
      </c>
      <c r="B1974" s="112" t="str">
        <f>'Sampling Data'!A1973</f>
        <v>SOUTH EUCLID -03-A</v>
      </c>
      <c r="C1974" s="112">
        <f>'Sampling Data'!B1973</f>
        <v>17</v>
      </c>
      <c r="D1974" s="112">
        <f>'Sampling Data'!C1973</f>
        <v>14</v>
      </c>
      <c r="E1974" s="113">
        <f>'Sampling Data'!D1973</f>
        <v>3</v>
      </c>
      <c r="F1974" s="113">
        <f>'Sampling Data'!E1973</f>
        <v>5</v>
      </c>
      <c r="G1974" s="113">
        <f>'Sampling Data'!F1973</f>
        <v>0</v>
      </c>
      <c r="H1974" s="113">
        <f>'Sampling Data'!G1973</f>
        <v>0</v>
      </c>
      <c r="I1974" s="112">
        <f>'Sampling Data'!H1973</f>
        <v>0</v>
      </c>
      <c r="J1974" s="112">
        <f>'Sampling Data'!I1973</f>
        <v>2</v>
      </c>
      <c r="K1974" s="112">
        <f>'Sampling Data'!J1973</f>
        <v>41</v>
      </c>
      <c r="L1974" s="111">
        <f>'Sampling Data'!X1973</f>
        <v>0</v>
      </c>
      <c r="M1974" s="114"/>
      <c r="N1974" s="114"/>
      <c r="O1974" s="115"/>
      <c r="P1974" s="115"/>
      <c r="Q1974" s="116"/>
      <c r="R1974" s="116"/>
      <c r="S1974" s="111">
        <f>Audit[[#This Row],[Audit Losing Candidate]]-Audit[[#This Row],[Losing Candidate]]</f>
        <v>-17</v>
      </c>
      <c r="T1974" s="111">
        <f>Audit[[#This Row],[Audit Winning Candidate]]-Audit[[#This Row],[Winning Candidate]]</f>
        <v>-14</v>
      </c>
      <c r="U1974" s="111">
        <f>Audit[[#This Row],[Audit Candidate 3]]-Audit[[#This Row],[Candidate 3]]</f>
        <v>-3</v>
      </c>
      <c r="V1974" s="111">
        <f>Audit[[#This Row],[Audit Candidate 4]]-Audit[[#This Row],[Candidate 4]]</f>
        <v>-5</v>
      </c>
      <c r="W1974" s="111">
        <f>Audit[[#This Row],[Audit Candidate 5]]-Audit[[#This Row],[Candidate 5]]</f>
        <v>0</v>
      </c>
      <c r="X1974" s="111">
        <f>Audit[[#This Row],[Audit Candidate 6]]-Audit[[#This Row],[Candidate 6]]</f>
        <v>0</v>
      </c>
      <c r="Y1974" s="111">
        <f>SUMIF(Audit[[#This Row],[Difference Loser]:[Difference Candidate 6]], "&gt;0")</f>
        <v>0</v>
      </c>
      <c r="Z1974" s="111">
        <f>SUM(Audit[[#This Row],[Difference Loser]:[Difference Candidate 6]])</f>
        <v>-39</v>
      </c>
      <c r="AA1974" s="111">
        <f>IF(Audit[[#This Row],[Times p Drawn - With Replacement]]&gt;0, IF(Audit[[#This Row],[Canceled Differences]]&lt;0, Audit[[#This Row],[Max Differences]]+ABS(Audit[[#This Row],[Canceled Differences]]), Audit[[#This Row],[Max Differences]]), 0)</f>
        <v>0</v>
      </c>
      <c r="AB1974" s="111">
        <f>'Sampling Data'!P1973</f>
        <v>2.3272905438510533E-3</v>
      </c>
      <c r="AC1974" s="111">
        <f>IF(
      SUM(Audit[[#This Row],[Audit Losing Candidate]:[Audit Candidate 6]])
      &lt;&gt;0,
      (Audit[[#This Row],[Winning Candidate]]-Audit[[#This Row],[Losing Candidate]]-(Audit[[#This Row],[Audit Winning Candidate]]-Audit[[#This Row],[Audit Losing Candidate]]))/(Audit[[#Totals],[Winning Candidate]]-Audit[[#Totals],[Losing Candidate]]),
      0
)</f>
        <v>0</v>
      </c>
      <c r="AD19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4" s="111">
        <f>IF(Audit[[#This Row],[Max Relative Error (ep)]] = 0, 0, Audit[[#This Row],[Max Relative Error (ep)]]/Audit[[#This Row],[Error Bound (up) - Max. possible relative overstatement]])</f>
        <v>0</v>
      </c>
      <c r="AJ19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74" s="111">
        <f t="shared" si="30"/>
        <v>1</v>
      </c>
      <c r="AL1974" s="111">
        <f>PRODUCT($AK$5:AK1974)</f>
        <v>8.962823818226312E-2</v>
      </c>
      <c r="AM1974" s="109">
        <f>1 - [K-M P Value]</f>
        <v>0.91037176181773694</v>
      </c>
      <c r="AN1974" s="111" t="str">
        <f>IF(Audit[[#This Row],[K-M P Value]]&gt;1-'General Info'!$B$16,"Continue", "Stop")</f>
        <v>Stop</v>
      </c>
      <c r="AO1974" s="110" t="b">
        <f>IF(Audit[[#This Row],[Status - Continue or stop audit]] = "Continue", TRUE, IF(AN1973 = "Continue", TRUE, FALSE))</f>
        <v>0</v>
      </c>
      <c r="AP1974" s="110"/>
    </row>
    <row r="1975" spans="1:42" ht="15" hidden="1" customHeight="1">
      <c r="A1975" s="111" t="str">
        <f>'Sampling Data'!W1974</f>
        <v/>
      </c>
      <c r="B1975" s="112" t="str">
        <f>'Sampling Data'!A1974</f>
        <v>SOUTH EUCLID -03-A - ABS</v>
      </c>
      <c r="C1975" s="112">
        <f>'Sampling Data'!B1974</f>
        <v>6</v>
      </c>
      <c r="D1975" s="112">
        <f>'Sampling Data'!C1974</f>
        <v>2</v>
      </c>
      <c r="E1975" s="113">
        <f>'Sampling Data'!D1974</f>
        <v>2</v>
      </c>
      <c r="F1975" s="113">
        <f>'Sampling Data'!E1974</f>
        <v>3</v>
      </c>
      <c r="G1975" s="113">
        <f>'Sampling Data'!F1974</f>
        <v>0</v>
      </c>
      <c r="H1975" s="113">
        <f>'Sampling Data'!G1974</f>
        <v>0</v>
      </c>
      <c r="I1975" s="112">
        <f>'Sampling Data'!H1974</f>
        <v>0</v>
      </c>
      <c r="J1975" s="112">
        <f>'Sampling Data'!I1974</f>
        <v>0</v>
      </c>
      <c r="K1975" s="112">
        <f>'Sampling Data'!J1974</f>
        <v>13</v>
      </c>
      <c r="L1975" s="111">
        <f>'Sampling Data'!X1974</f>
        <v>0</v>
      </c>
      <c r="M1975" s="114"/>
      <c r="N1975" s="114"/>
      <c r="O1975" s="115"/>
      <c r="P1975" s="115"/>
      <c r="Q1975" s="116"/>
      <c r="R1975" s="116"/>
      <c r="S1975" s="111">
        <f>Audit[[#This Row],[Audit Losing Candidate]]-Audit[[#This Row],[Losing Candidate]]</f>
        <v>-6</v>
      </c>
      <c r="T1975" s="111">
        <f>Audit[[#This Row],[Audit Winning Candidate]]-Audit[[#This Row],[Winning Candidate]]</f>
        <v>-2</v>
      </c>
      <c r="U1975" s="111">
        <f>Audit[[#This Row],[Audit Candidate 3]]-Audit[[#This Row],[Candidate 3]]</f>
        <v>-2</v>
      </c>
      <c r="V1975" s="111">
        <f>Audit[[#This Row],[Audit Candidate 4]]-Audit[[#This Row],[Candidate 4]]</f>
        <v>-3</v>
      </c>
      <c r="W1975" s="111">
        <f>Audit[[#This Row],[Audit Candidate 5]]-Audit[[#This Row],[Candidate 5]]</f>
        <v>0</v>
      </c>
      <c r="X1975" s="111">
        <f>Audit[[#This Row],[Audit Candidate 6]]-Audit[[#This Row],[Candidate 6]]</f>
        <v>0</v>
      </c>
      <c r="Y1975" s="111">
        <f>SUMIF(Audit[[#This Row],[Difference Loser]:[Difference Candidate 6]], "&gt;0")</f>
        <v>0</v>
      </c>
      <c r="Z1975" s="111">
        <f>SUM(Audit[[#This Row],[Difference Loser]:[Difference Candidate 6]])</f>
        <v>-13</v>
      </c>
      <c r="AA1975" s="111">
        <f>IF(Audit[[#This Row],[Times p Drawn - With Replacement]]&gt;0, IF(Audit[[#This Row],[Canceled Differences]]&lt;0, Audit[[#This Row],[Max Differences]]+ABS(Audit[[#This Row],[Canceled Differences]]), Audit[[#This Row],[Max Differences]]), 0)</f>
        <v>0</v>
      </c>
      <c r="AB1975" s="111">
        <f>'Sampling Data'!P1974</f>
        <v>5.5120039196472322E-4</v>
      </c>
      <c r="AC1975" s="111">
        <f>IF(
      SUM(Audit[[#This Row],[Audit Losing Candidate]:[Audit Candidate 6]])
      &lt;&gt;0,
      (Audit[[#This Row],[Winning Candidate]]-Audit[[#This Row],[Losing Candidate]]-(Audit[[#This Row],[Audit Winning Candidate]]-Audit[[#This Row],[Audit Losing Candidate]]))/(Audit[[#Totals],[Winning Candidate]]-Audit[[#Totals],[Losing Candidate]]),
      0
)</f>
        <v>0</v>
      </c>
      <c r="AD19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5" s="111">
        <f>IF(Audit[[#This Row],[Max Relative Error (ep)]] = 0, 0, Audit[[#This Row],[Max Relative Error (ep)]]/Audit[[#This Row],[Error Bound (up) - Max. possible relative overstatement]])</f>
        <v>0</v>
      </c>
      <c r="AJ19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75" s="111">
        <f t="shared" si="30"/>
        <v>1</v>
      </c>
      <c r="AL1975" s="111">
        <f>PRODUCT($AK$5:AK1975)</f>
        <v>8.962823818226312E-2</v>
      </c>
      <c r="AM1975" s="109">
        <f>1 - [K-M P Value]</f>
        <v>0.91037176181773694</v>
      </c>
      <c r="AN1975" s="111" t="str">
        <f>IF(Audit[[#This Row],[K-M P Value]]&gt;1-'General Info'!$B$16,"Continue", "Stop")</f>
        <v>Stop</v>
      </c>
      <c r="AO1975" s="110" t="b">
        <f>IF(Audit[[#This Row],[Status - Continue or stop audit]] = "Continue", TRUE, IF(AN1974 = "Continue", TRUE, FALSE))</f>
        <v>0</v>
      </c>
      <c r="AP1975" s="110"/>
    </row>
    <row r="1976" spans="1:42" ht="15" hidden="1" customHeight="1">
      <c r="A1976" s="111" t="str">
        <f>'Sampling Data'!W1975</f>
        <v/>
      </c>
      <c r="B1976" s="112" t="str">
        <f>'Sampling Data'!A1975</f>
        <v>SOUTH EUCLID -03-B</v>
      </c>
      <c r="C1976" s="112">
        <f>'Sampling Data'!B1975</f>
        <v>15</v>
      </c>
      <c r="D1976" s="112">
        <f>'Sampling Data'!C1975</f>
        <v>18</v>
      </c>
      <c r="E1976" s="113">
        <f>'Sampling Data'!D1975</f>
        <v>1</v>
      </c>
      <c r="F1976" s="113">
        <f>'Sampling Data'!E1975</f>
        <v>3</v>
      </c>
      <c r="G1976" s="113">
        <f>'Sampling Data'!F1975</f>
        <v>0</v>
      </c>
      <c r="H1976" s="113">
        <f>'Sampling Data'!G1975</f>
        <v>0</v>
      </c>
      <c r="I1976" s="112">
        <f>'Sampling Data'!H1975</f>
        <v>0</v>
      </c>
      <c r="J1976" s="112">
        <f>'Sampling Data'!I1975</f>
        <v>1</v>
      </c>
      <c r="K1976" s="112">
        <f>'Sampling Data'!J1975</f>
        <v>38</v>
      </c>
      <c r="L1976" s="111">
        <f>'Sampling Data'!X1975</f>
        <v>0</v>
      </c>
      <c r="M1976" s="114"/>
      <c r="N1976" s="114"/>
      <c r="O1976" s="115"/>
      <c r="P1976" s="115"/>
      <c r="Q1976" s="116"/>
      <c r="R1976" s="116"/>
      <c r="S1976" s="111">
        <f>Audit[[#This Row],[Audit Losing Candidate]]-Audit[[#This Row],[Losing Candidate]]</f>
        <v>-15</v>
      </c>
      <c r="T1976" s="111">
        <f>Audit[[#This Row],[Audit Winning Candidate]]-Audit[[#This Row],[Winning Candidate]]</f>
        <v>-18</v>
      </c>
      <c r="U1976" s="111">
        <f>Audit[[#This Row],[Audit Candidate 3]]-Audit[[#This Row],[Candidate 3]]</f>
        <v>-1</v>
      </c>
      <c r="V1976" s="111">
        <f>Audit[[#This Row],[Audit Candidate 4]]-Audit[[#This Row],[Candidate 4]]</f>
        <v>-3</v>
      </c>
      <c r="W1976" s="111">
        <f>Audit[[#This Row],[Audit Candidate 5]]-Audit[[#This Row],[Candidate 5]]</f>
        <v>0</v>
      </c>
      <c r="X1976" s="111">
        <f>Audit[[#This Row],[Audit Candidate 6]]-Audit[[#This Row],[Candidate 6]]</f>
        <v>0</v>
      </c>
      <c r="Y1976" s="111">
        <f>SUMIF(Audit[[#This Row],[Difference Loser]:[Difference Candidate 6]], "&gt;0")</f>
        <v>0</v>
      </c>
      <c r="Z1976" s="111">
        <f>SUM(Audit[[#This Row],[Difference Loser]:[Difference Candidate 6]])</f>
        <v>-37</v>
      </c>
      <c r="AA1976" s="111">
        <f>IF(Audit[[#This Row],[Times p Drawn - With Replacement]]&gt;0, IF(Audit[[#This Row],[Canceled Differences]]&lt;0, Audit[[#This Row],[Max Differences]]+ABS(Audit[[#This Row],[Canceled Differences]]), Audit[[#This Row],[Max Differences]]), 0)</f>
        <v>0</v>
      </c>
      <c r="AB1976" s="111">
        <f>'Sampling Data'!P1975</f>
        <v>2.5110240078392945E-3</v>
      </c>
      <c r="AC1976" s="111">
        <f>IF(
      SUM(Audit[[#This Row],[Audit Losing Candidate]:[Audit Candidate 6]])
      &lt;&gt;0,
      (Audit[[#This Row],[Winning Candidate]]-Audit[[#This Row],[Losing Candidate]]-(Audit[[#This Row],[Audit Winning Candidate]]-Audit[[#This Row],[Audit Losing Candidate]]))/(Audit[[#Totals],[Winning Candidate]]-Audit[[#Totals],[Losing Candidate]]),
      0
)</f>
        <v>0</v>
      </c>
      <c r="AD19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6" s="111">
        <f>IF(Audit[[#This Row],[Max Relative Error (ep)]] = 0, 0, Audit[[#This Row],[Max Relative Error (ep)]]/Audit[[#This Row],[Error Bound (up) - Max. possible relative overstatement]])</f>
        <v>0</v>
      </c>
      <c r="AJ19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76" s="111">
        <f t="shared" si="30"/>
        <v>1</v>
      </c>
      <c r="AL1976" s="111">
        <f>PRODUCT($AK$5:AK1976)</f>
        <v>8.962823818226312E-2</v>
      </c>
      <c r="AM1976" s="109">
        <f>1 - [K-M P Value]</f>
        <v>0.91037176181773694</v>
      </c>
      <c r="AN1976" s="111" t="str">
        <f>IF(Audit[[#This Row],[K-M P Value]]&gt;1-'General Info'!$B$16,"Continue", "Stop")</f>
        <v>Stop</v>
      </c>
      <c r="AO1976" s="110" t="b">
        <f>IF(Audit[[#This Row],[Status - Continue or stop audit]] = "Continue", TRUE, IF(AN1975 = "Continue", TRUE, FALSE))</f>
        <v>0</v>
      </c>
      <c r="AP1976" s="110"/>
    </row>
    <row r="1977" spans="1:42" ht="15" hidden="1" customHeight="1">
      <c r="A1977" s="111" t="str">
        <f>'Sampling Data'!W1976</f>
        <v/>
      </c>
      <c r="B1977" s="112" t="str">
        <f>'Sampling Data'!A1976</f>
        <v>SOUTH EUCLID -03-B - ABS</v>
      </c>
      <c r="C1977" s="112">
        <f>'Sampling Data'!B1976</f>
        <v>3</v>
      </c>
      <c r="D1977" s="112">
        <f>'Sampling Data'!C1976</f>
        <v>8</v>
      </c>
      <c r="E1977" s="113">
        <f>'Sampling Data'!D1976</f>
        <v>1</v>
      </c>
      <c r="F1977" s="113">
        <f>'Sampling Data'!E1976</f>
        <v>0</v>
      </c>
      <c r="G1977" s="113">
        <f>'Sampling Data'!F1976</f>
        <v>0</v>
      </c>
      <c r="H1977" s="113">
        <f>'Sampling Data'!G1976</f>
        <v>0</v>
      </c>
      <c r="I1977" s="112">
        <f>'Sampling Data'!H1976</f>
        <v>0</v>
      </c>
      <c r="J1977" s="112">
        <f>'Sampling Data'!I1976</f>
        <v>0</v>
      </c>
      <c r="K1977" s="112">
        <f>'Sampling Data'!J1976</f>
        <v>12</v>
      </c>
      <c r="L1977" s="111">
        <f>'Sampling Data'!X1976</f>
        <v>0</v>
      </c>
      <c r="M1977" s="114"/>
      <c r="N1977" s="114"/>
      <c r="O1977" s="115"/>
      <c r="P1977" s="115"/>
      <c r="Q1977" s="116"/>
      <c r="R1977" s="116"/>
      <c r="S1977" s="111">
        <f>Audit[[#This Row],[Audit Losing Candidate]]-Audit[[#This Row],[Losing Candidate]]</f>
        <v>-3</v>
      </c>
      <c r="T1977" s="111">
        <f>Audit[[#This Row],[Audit Winning Candidate]]-Audit[[#This Row],[Winning Candidate]]</f>
        <v>-8</v>
      </c>
      <c r="U1977" s="111">
        <f>Audit[[#This Row],[Audit Candidate 3]]-Audit[[#This Row],[Candidate 3]]</f>
        <v>-1</v>
      </c>
      <c r="V1977" s="111">
        <f>Audit[[#This Row],[Audit Candidate 4]]-Audit[[#This Row],[Candidate 4]]</f>
        <v>0</v>
      </c>
      <c r="W1977" s="111">
        <f>Audit[[#This Row],[Audit Candidate 5]]-Audit[[#This Row],[Candidate 5]]</f>
        <v>0</v>
      </c>
      <c r="X1977" s="111">
        <f>Audit[[#This Row],[Audit Candidate 6]]-Audit[[#This Row],[Candidate 6]]</f>
        <v>0</v>
      </c>
      <c r="Y1977" s="111">
        <f>SUMIF(Audit[[#This Row],[Difference Loser]:[Difference Candidate 6]], "&gt;0")</f>
        <v>0</v>
      </c>
      <c r="Z1977" s="111">
        <f>SUM(Audit[[#This Row],[Difference Loser]:[Difference Candidate 6]])</f>
        <v>-12</v>
      </c>
      <c r="AA1977" s="111">
        <f>IF(Audit[[#This Row],[Times p Drawn - With Replacement]]&gt;0, IF(Audit[[#This Row],[Canceled Differences]]&lt;0, Audit[[#This Row],[Max Differences]]+ABS(Audit[[#This Row],[Canceled Differences]]), Audit[[#This Row],[Max Differences]]), 0)</f>
        <v>0</v>
      </c>
      <c r="AB1977" s="111">
        <f>'Sampling Data'!P1976</f>
        <v>1.041156295933366E-3</v>
      </c>
      <c r="AC1977" s="111">
        <f>IF(
      SUM(Audit[[#This Row],[Audit Losing Candidate]:[Audit Candidate 6]])
      &lt;&gt;0,
      (Audit[[#This Row],[Winning Candidate]]-Audit[[#This Row],[Losing Candidate]]-(Audit[[#This Row],[Audit Winning Candidate]]-Audit[[#This Row],[Audit Losing Candidate]]))/(Audit[[#Totals],[Winning Candidate]]-Audit[[#Totals],[Losing Candidate]]),
      0
)</f>
        <v>0</v>
      </c>
      <c r="AD19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7" s="111">
        <f>IF(Audit[[#This Row],[Max Relative Error (ep)]] = 0, 0, Audit[[#This Row],[Max Relative Error (ep)]]/Audit[[#This Row],[Error Bound (up) - Max. possible relative overstatement]])</f>
        <v>0</v>
      </c>
      <c r="AJ19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77" s="111">
        <f t="shared" si="30"/>
        <v>1</v>
      </c>
      <c r="AL1977" s="111">
        <f>PRODUCT($AK$5:AK1977)</f>
        <v>8.962823818226312E-2</v>
      </c>
      <c r="AM1977" s="109">
        <f>1 - [K-M P Value]</f>
        <v>0.91037176181773694</v>
      </c>
      <c r="AN1977" s="111" t="str">
        <f>IF(Audit[[#This Row],[K-M P Value]]&gt;1-'General Info'!$B$16,"Continue", "Stop")</f>
        <v>Stop</v>
      </c>
      <c r="AO1977" s="110" t="b">
        <f>IF(Audit[[#This Row],[Status - Continue or stop audit]] = "Continue", TRUE, IF(AN1976 = "Continue", TRUE, FALSE))</f>
        <v>0</v>
      </c>
      <c r="AP1977" s="110"/>
    </row>
    <row r="1978" spans="1:42" ht="15" hidden="1" customHeight="1">
      <c r="A1978" s="111" t="str">
        <f>'Sampling Data'!W1977</f>
        <v/>
      </c>
      <c r="B1978" s="112" t="str">
        <f>'Sampling Data'!A1977</f>
        <v>SOUTH EUCLID -03-C</v>
      </c>
      <c r="C1978" s="112">
        <f>'Sampling Data'!B1977</f>
        <v>11</v>
      </c>
      <c r="D1978" s="112">
        <f>'Sampling Data'!C1977</f>
        <v>24</v>
      </c>
      <c r="E1978" s="113">
        <f>'Sampling Data'!D1977</f>
        <v>5</v>
      </c>
      <c r="F1978" s="113">
        <f>'Sampling Data'!E1977</f>
        <v>5</v>
      </c>
      <c r="G1978" s="113">
        <f>'Sampling Data'!F1977</f>
        <v>0</v>
      </c>
      <c r="H1978" s="113">
        <f>'Sampling Data'!G1977</f>
        <v>0</v>
      </c>
      <c r="I1978" s="112">
        <f>'Sampling Data'!H1977</f>
        <v>0</v>
      </c>
      <c r="J1978" s="112">
        <f>'Sampling Data'!I1977</f>
        <v>0</v>
      </c>
      <c r="K1978" s="112">
        <f>'Sampling Data'!J1977</f>
        <v>45</v>
      </c>
      <c r="L1978" s="111">
        <f>'Sampling Data'!X1977</f>
        <v>0</v>
      </c>
      <c r="M1978" s="114"/>
      <c r="N1978" s="114"/>
      <c r="O1978" s="115"/>
      <c r="P1978" s="115"/>
      <c r="Q1978" s="116"/>
      <c r="R1978" s="116"/>
      <c r="S1978" s="111">
        <f>Audit[[#This Row],[Audit Losing Candidate]]-Audit[[#This Row],[Losing Candidate]]</f>
        <v>-11</v>
      </c>
      <c r="T1978" s="111">
        <f>Audit[[#This Row],[Audit Winning Candidate]]-Audit[[#This Row],[Winning Candidate]]</f>
        <v>-24</v>
      </c>
      <c r="U1978" s="111">
        <f>Audit[[#This Row],[Audit Candidate 3]]-Audit[[#This Row],[Candidate 3]]</f>
        <v>-5</v>
      </c>
      <c r="V1978" s="111">
        <f>Audit[[#This Row],[Audit Candidate 4]]-Audit[[#This Row],[Candidate 4]]</f>
        <v>-5</v>
      </c>
      <c r="W1978" s="111">
        <f>Audit[[#This Row],[Audit Candidate 5]]-Audit[[#This Row],[Candidate 5]]</f>
        <v>0</v>
      </c>
      <c r="X1978" s="111">
        <f>Audit[[#This Row],[Audit Candidate 6]]-Audit[[#This Row],[Candidate 6]]</f>
        <v>0</v>
      </c>
      <c r="Y1978" s="111">
        <f>SUMIF(Audit[[#This Row],[Difference Loser]:[Difference Candidate 6]], "&gt;0")</f>
        <v>0</v>
      </c>
      <c r="Z1978" s="111">
        <f>SUM(Audit[[#This Row],[Difference Loser]:[Difference Candidate 6]])</f>
        <v>-45</v>
      </c>
      <c r="AA1978" s="111">
        <f>IF(Audit[[#This Row],[Times p Drawn - With Replacement]]&gt;0, IF(Audit[[#This Row],[Canceled Differences]]&lt;0, Audit[[#This Row],[Max Differences]]+ABS(Audit[[#This Row],[Canceled Differences]]), Audit[[#This Row],[Max Differences]]), 0)</f>
        <v>0</v>
      </c>
      <c r="AB1978" s="111">
        <f>'Sampling Data'!P1977</f>
        <v>3.5521803037726605E-3</v>
      </c>
      <c r="AC1978" s="111">
        <f>IF(
      SUM(Audit[[#This Row],[Audit Losing Candidate]:[Audit Candidate 6]])
      &lt;&gt;0,
      (Audit[[#This Row],[Winning Candidate]]-Audit[[#This Row],[Losing Candidate]]-(Audit[[#This Row],[Audit Winning Candidate]]-Audit[[#This Row],[Audit Losing Candidate]]))/(Audit[[#Totals],[Winning Candidate]]-Audit[[#Totals],[Losing Candidate]]),
      0
)</f>
        <v>0</v>
      </c>
      <c r="AD19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8" s="111">
        <f>IF(Audit[[#This Row],[Max Relative Error (ep)]] = 0, 0, Audit[[#This Row],[Max Relative Error (ep)]]/Audit[[#This Row],[Error Bound (up) - Max. possible relative overstatement]])</f>
        <v>0</v>
      </c>
      <c r="AJ19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78" s="111">
        <f t="shared" si="30"/>
        <v>1</v>
      </c>
      <c r="AL1978" s="111">
        <f>PRODUCT($AK$5:AK1978)</f>
        <v>8.962823818226312E-2</v>
      </c>
      <c r="AM1978" s="109">
        <f>1 - [K-M P Value]</f>
        <v>0.91037176181773694</v>
      </c>
      <c r="AN1978" s="111" t="str">
        <f>IF(Audit[[#This Row],[K-M P Value]]&gt;1-'General Info'!$B$16,"Continue", "Stop")</f>
        <v>Stop</v>
      </c>
      <c r="AO1978" s="110" t="b">
        <f>IF(Audit[[#This Row],[Status - Continue or stop audit]] = "Continue", TRUE, IF(AN1977 = "Continue", TRUE, FALSE))</f>
        <v>0</v>
      </c>
      <c r="AP1978" s="110"/>
    </row>
    <row r="1979" spans="1:42" ht="15" hidden="1" customHeight="1">
      <c r="A1979" s="111" t="str">
        <f>'Sampling Data'!W1978</f>
        <v/>
      </c>
      <c r="B1979" s="112" t="str">
        <f>'Sampling Data'!A1978</f>
        <v>SOUTH EUCLID -03-C - ABS</v>
      </c>
      <c r="C1979" s="112">
        <f>'Sampling Data'!B1978</f>
        <v>13</v>
      </c>
      <c r="D1979" s="112">
        <f>'Sampling Data'!C1978</f>
        <v>9</v>
      </c>
      <c r="E1979" s="113">
        <f>'Sampling Data'!D1978</f>
        <v>1</v>
      </c>
      <c r="F1979" s="113">
        <f>'Sampling Data'!E1978</f>
        <v>1</v>
      </c>
      <c r="G1979" s="113">
        <f>'Sampling Data'!F1978</f>
        <v>0</v>
      </c>
      <c r="H1979" s="113">
        <f>'Sampling Data'!G1978</f>
        <v>0</v>
      </c>
      <c r="I1979" s="112">
        <f>'Sampling Data'!H1978</f>
        <v>0</v>
      </c>
      <c r="J1979" s="112">
        <f>'Sampling Data'!I1978</f>
        <v>0</v>
      </c>
      <c r="K1979" s="112">
        <f>'Sampling Data'!J1978</f>
        <v>24</v>
      </c>
      <c r="L1979" s="111">
        <f>'Sampling Data'!X1978</f>
        <v>0</v>
      </c>
      <c r="M1979" s="114"/>
      <c r="N1979" s="114"/>
      <c r="O1979" s="115"/>
      <c r="P1979" s="115"/>
      <c r="Q1979" s="116"/>
      <c r="R1979" s="116"/>
      <c r="S1979" s="111">
        <f>Audit[[#This Row],[Audit Losing Candidate]]-Audit[[#This Row],[Losing Candidate]]</f>
        <v>-13</v>
      </c>
      <c r="T1979" s="111">
        <f>Audit[[#This Row],[Audit Winning Candidate]]-Audit[[#This Row],[Winning Candidate]]</f>
        <v>-9</v>
      </c>
      <c r="U1979" s="111">
        <f>Audit[[#This Row],[Audit Candidate 3]]-Audit[[#This Row],[Candidate 3]]</f>
        <v>-1</v>
      </c>
      <c r="V1979" s="111">
        <f>Audit[[#This Row],[Audit Candidate 4]]-Audit[[#This Row],[Candidate 4]]</f>
        <v>-1</v>
      </c>
      <c r="W1979" s="111">
        <f>Audit[[#This Row],[Audit Candidate 5]]-Audit[[#This Row],[Candidate 5]]</f>
        <v>0</v>
      </c>
      <c r="X1979" s="111">
        <f>Audit[[#This Row],[Audit Candidate 6]]-Audit[[#This Row],[Candidate 6]]</f>
        <v>0</v>
      </c>
      <c r="Y1979" s="111">
        <f>SUMIF(Audit[[#This Row],[Difference Loser]:[Difference Candidate 6]], "&gt;0")</f>
        <v>0</v>
      </c>
      <c r="Z1979" s="111">
        <f>SUM(Audit[[#This Row],[Difference Loser]:[Difference Candidate 6]])</f>
        <v>-24</v>
      </c>
      <c r="AA1979" s="111">
        <f>IF(Audit[[#This Row],[Times p Drawn - With Replacement]]&gt;0, IF(Audit[[#This Row],[Canceled Differences]]&lt;0, Audit[[#This Row],[Max Differences]]+ABS(Audit[[#This Row],[Canceled Differences]]), Audit[[#This Row],[Max Differences]]), 0)</f>
        <v>0</v>
      </c>
      <c r="AB1979" s="111">
        <f>'Sampling Data'!P1978</f>
        <v>1.224889759921607E-3</v>
      </c>
      <c r="AC1979" s="111">
        <f>IF(
      SUM(Audit[[#This Row],[Audit Losing Candidate]:[Audit Candidate 6]])
      &lt;&gt;0,
      (Audit[[#This Row],[Winning Candidate]]-Audit[[#This Row],[Losing Candidate]]-(Audit[[#This Row],[Audit Winning Candidate]]-Audit[[#This Row],[Audit Losing Candidate]]))/(Audit[[#Totals],[Winning Candidate]]-Audit[[#Totals],[Losing Candidate]]),
      0
)</f>
        <v>0</v>
      </c>
      <c r="AD19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9" s="111">
        <f>IF(Audit[[#This Row],[Max Relative Error (ep)]] = 0, 0, Audit[[#This Row],[Max Relative Error (ep)]]/Audit[[#This Row],[Error Bound (up) - Max. possible relative overstatement]])</f>
        <v>0</v>
      </c>
      <c r="AJ19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79" s="111">
        <f t="shared" si="30"/>
        <v>1</v>
      </c>
      <c r="AL1979" s="111">
        <f>PRODUCT($AK$5:AK1979)</f>
        <v>8.962823818226312E-2</v>
      </c>
      <c r="AM1979" s="109">
        <f>1 - [K-M P Value]</f>
        <v>0.91037176181773694</v>
      </c>
      <c r="AN1979" s="111" t="str">
        <f>IF(Audit[[#This Row],[K-M P Value]]&gt;1-'General Info'!$B$16,"Continue", "Stop")</f>
        <v>Stop</v>
      </c>
      <c r="AO1979" s="110" t="b">
        <f>IF(Audit[[#This Row],[Status - Continue or stop audit]] = "Continue", TRUE, IF(AN1978 = "Continue", TRUE, FALSE))</f>
        <v>0</v>
      </c>
      <c r="AP1979" s="110"/>
    </row>
    <row r="1980" spans="1:42" ht="15" hidden="1" customHeight="1">
      <c r="A1980" s="111" t="str">
        <f>'Sampling Data'!W1979</f>
        <v/>
      </c>
      <c r="B1980" s="112" t="str">
        <f>'Sampling Data'!A1979</f>
        <v>SOUTH EUCLID -03-D</v>
      </c>
      <c r="C1980" s="112">
        <f>'Sampling Data'!B1979</f>
        <v>27</v>
      </c>
      <c r="D1980" s="112">
        <f>'Sampling Data'!C1979</f>
        <v>63</v>
      </c>
      <c r="E1980" s="113">
        <f>'Sampling Data'!D1979</f>
        <v>13</v>
      </c>
      <c r="F1980" s="113">
        <f>'Sampling Data'!E1979</f>
        <v>2</v>
      </c>
      <c r="G1980" s="113">
        <f>'Sampling Data'!F1979</f>
        <v>0</v>
      </c>
      <c r="H1980" s="113">
        <f>'Sampling Data'!G1979</f>
        <v>0</v>
      </c>
      <c r="I1980" s="112">
        <f>'Sampling Data'!H1979</f>
        <v>0</v>
      </c>
      <c r="J1980" s="112">
        <f>'Sampling Data'!I1979</f>
        <v>1</v>
      </c>
      <c r="K1980" s="112">
        <f>'Sampling Data'!J1979</f>
        <v>106</v>
      </c>
      <c r="L1980" s="111">
        <f>'Sampling Data'!X1979</f>
        <v>0</v>
      </c>
      <c r="M1980" s="114"/>
      <c r="N1980" s="114"/>
      <c r="O1980" s="115"/>
      <c r="P1980" s="115"/>
      <c r="Q1980" s="116"/>
      <c r="R1980" s="116"/>
      <c r="S1980" s="111">
        <f>Audit[[#This Row],[Audit Losing Candidate]]-Audit[[#This Row],[Losing Candidate]]</f>
        <v>-27</v>
      </c>
      <c r="T1980" s="111">
        <f>Audit[[#This Row],[Audit Winning Candidate]]-Audit[[#This Row],[Winning Candidate]]</f>
        <v>-63</v>
      </c>
      <c r="U1980" s="111">
        <f>Audit[[#This Row],[Audit Candidate 3]]-Audit[[#This Row],[Candidate 3]]</f>
        <v>-13</v>
      </c>
      <c r="V1980" s="111">
        <f>Audit[[#This Row],[Audit Candidate 4]]-Audit[[#This Row],[Candidate 4]]</f>
        <v>-2</v>
      </c>
      <c r="W1980" s="111">
        <f>Audit[[#This Row],[Audit Candidate 5]]-Audit[[#This Row],[Candidate 5]]</f>
        <v>0</v>
      </c>
      <c r="X1980" s="111">
        <f>Audit[[#This Row],[Audit Candidate 6]]-Audit[[#This Row],[Candidate 6]]</f>
        <v>0</v>
      </c>
      <c r="Y1980" s="111">
        <f>SUMIF(Audit[[#This Row],[Difference Loser]:[Difference Candidate 6]], "&gt;0")</f>
        <v>0</v>
      </c>
      <c r="Z1980" s="111">
        <f>SUM(Audit[[#This Row],[Difference Loser]:[Difference Candidate 6]])</f>
        <v>-105</v>
      </c>
      <c r="AA1980" s="111">
        <f>IF(Audit[[#This Row],[Times p Drawn - With Replacement]]&gt;0, IF(Audit[[#This Row],[Canceled Differences]]&lt;0, Audit[[#This Row],[Max Differences]]+ABS(Audit[[#This Row],[Canceled Differences]]), Audit[[#This Row],[Max Differences]]), 0)</f>
        <v>0</v>
      </c>
      <c r="AB1980" s="111">
        <f>'Sampling Data'!P1979</f>
        <v>8.6967172954434107E-3</v>
      </c>
      <c r="AC1980" s="111">
        <f>IF(
      SUM(Audit[[#This Row],[Audit Losing Candidate]:[Audit Candidate 6]])
      &lt;&gt;0,
      (Audit[[#This Row],[Winning Candidate]]-Audit[[#This Row],[Losing Candidate]]-(Audit[[#This Row],[Audit Winning Candidate]]-Audit[[#This Row],[Audit Losing Candidate]]))/(Audit[[#Totals],[Winning Candidate]]-Audit[[#Totals],[Losing Candidate]]),
      0
)</f>
        <v>0</v>
      </c>
      <c r="AD19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0" s="111">
        <f>IF(Audit[[#This Row],[Max Relative Error (ep)]] = 0, 0, Audit[[#This Row],[Max Relative Error (ep)]]/Audit[[#This Row],[Error Bound (up) - Max. possible relative overstatement]])</f>
        <v>0</v>
      </c>
      <c r="AJ19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80" s="111">
        <f t="shared" si="30"/>
        <v>1</v>
      </c>
      <c r="AL1980" s="111">
        <f>PRODUCT($AK$5:AK1980)</f>
        <v>8.962823818226312E-2</v>
      </c>
      <c r="AM1980" s="109">
        <f>1 - [K-M P Value]</f>
        <v>0.91037176181773694</v>
      </c>
      <c r="AN1980" s="111" t="str">
        <f>IF(Audit[[#This Row],[K-M P Value]]&gt;1-'General Info'!$B$16,"Continue", "Stop")</f>
        <v>Stop</v>
      </c>
      <c r="AO1980" s="110" t="b">
        <f>IF(Audit[[#This Row],[Status - Continue or stop audit]] = "Continue", TRUE, IF(AN1979 = "Continue", TRUE, FALSE))</f>
        <v>0</v>
      </c>
      <c r="AP1980" s="110"/>
    </row>
    <row r="1981" spans="1:42" ht="15" hidden="1" customHeight="1">
      <c r="A1981" s="111" t="str">
        <f>'Sampling Data'!W1980</f>
        <v/>
      </c>
      <c r="B1981" s="112" t="str">
        <f>'Sampling Data'!A1980</f>
        <v>SOUTH EUCLID -03-D - ABS</v>
      </c>
      <c r="C1981" s="112">
        <f>'Sampling Data'!B1980</f>
        <v>18</v>
      </c>
      <c r="D1981" s="112">
        <f>'Sampling Data'!C1980</f>
        <v>11</v>
      </c>
      <c r="E1981" s="113">
        <f>'Sampling Data'!D1980</f>
        <v>2</v>
      </c>
      <c r="F1981" s="113">
        <f>'Sampling Data'!E1980</f>
        <v>2</v>
      </c>
      <c r="G1981" s="113">
        <f>'Sampling Data'!F1980</f>
        <v>0</v>
      </c>
      <c r="H1981" s="113">
        <f>'Sampling Data'!G1980</f>
        <v>0</v>
      </c>
      <c r="I1981" s="112">
        <f>'Sampling Data'!H1980</f>
        <v>0</v>
      </c>
      <c r="J1981" s="112">
        <f>'Sampling Data'!I1980</f>
        <v>0</v>
      </c>
      <c r="K1981" s="112">
        <f>'Sampling Data'!J1980</f>
        <v>33</v>
      </c>
      <c r="L1981" s="111">
        <f>'Sampling Data'!X1980</f>
        <v>0</v>
      </c>
      <c r="M1981" s="114"/>
      <c r="N1981" s="114"/>
      <c r="O1981" s="115"/>
      <c r="P1981" s="115"/>
      <c r="Q1981" s="116"/>
      <c r="R1981" s="116"/>
      <c r="S1981" s="111">
        <f>Audit[[#This Row],[Audit Losing Candidate]]-Audit[[#This Row],[Losing Candidate]]</f>
        <v>-18</v>
      </c>
      <c r="T1981" s="111">
        <f>Audit[[#This Row],[Audit Winning Candidate]]-Audit[[#This Row],[Winning Candidate]]</f>
        <v>-11</v>
      </c>
      <c r="U1981" s="111">
        <f>Audit[[#This Row],[Audit Candidate 3]]-Audit[[#This Row],[Candidate 3]]</f>
        <v>-2</v>
      </c>
      <c r="V1981" s="111">
        <f>Audit[[#This Row],[Audit Candidate 4]]-Audit[[#This Row],[Candidate 4]]</f>
        <v>-2</v>
      </c>
      <c r="W1981" s="111">
        <f>Audit[[#This Row],[Audit Candidate 5]]-Audit[[#This Row],[Candidate 5]]</f>
        <v>0</v>
      </c>
      <c r="X1981" s="111">
        <f>Audit[[#This Row],[Audit Candidate 6]]-Audit[[#This Row],[Candidate 6]]</f>
        <v>0</v>
      </c>
      <c r="Y1981" s="111">
        <f>SUMIF(Audit[[#This Row],[Difference Loser]:[Difference Candidate 6]], "&gt;0")</f>
        <v>0</v>
      </c>
      <c r="Z1981" s="111">
        <f>SUM(Audit[[#This Row],[Difference Loser]:[Difference Candidate 6]])</f>
        <v>-33</v>
      </c>
      <c r="AA1981" s="111">
        <f>IF(Audit[[#This Row],[Times p Drawn - With Replacement]]&gt;0, IF(Audit[[#This Row],[Canceled Differences]]&lt;0, Audit[[#This Row],[Max Differences]]+ABS(Audit[[#This Row],[Canceled Differences]]), Audit[[#This Row],[Max Differences]]), 0)</f>
        <v>0</v>
      </c>
      <c r="AB1981" s="111">
        <f>'Sampling Data'!P1980</f>
        <v>1.5923566878980893E-3</v>
      </c>
      <c r="AC1981" s="111">
        <f>IF(
      SUM(Audit[[#This Row],[Audit Losing Candidate]:[Audit Candidate 6]])
      &lt;&gt;0,
      (Audit[[#This Row],[Winning Candidate]]-Audit[[#This Row],[Losing Candidate]]-(Audit[[#This Row],[Audit Winning Candidate]]-Audit[[#This Row],[Audit Losing Candidate]]))/(Audit[[#Totals],[Winning Candidate]]-Audit[[#Totals],[Losing Candidate]]),
      0
)</f>
        <v>0</v>
      </c>
      <c r="AD19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1" s="111">
        <f>IF(Audit[[#This Row],[Max Relative Error (ep)]] = 0, 0, Audit[[#This Row],[Max Relative Error (ep)]]/Audit[[#This Row],[Error Bound (up) - Max. possible relative overstatement]])</f>
        <v>0</v>
      </c>
      <c r="AJ19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81" s="111">
        <f t="shared" si="30"/>
        <v>1</v>
      </c>
      <c r="AL1981" s="111">
        <f>PRODUCT($AK$5:AK1981)</f>
        <v>8.962823818226312E-2</v>
      </c>
      <c r="AM1981" s="109">
        <f>1 - [K-M P Value]</f>
        <v>0.91037176181773694</v>
      </c>
      <c r="AN1981" s="111" t="str">
        <f>IF(Audit[[#This Row],[K-M P Value]]&gt;1-'General Info'!$B$16,"Continue", "Stop")</f>
        <v>Stop</v>
      </c>
      <c r="AO1981" s="110" t="b">
        <f>IF(Audit[[#This Row],[Status - Continue or stop audit]] = "Continue", TRUE, IF(AN1980 = "Continue", TRUE, FALSE))</f>
        <v>0</v>
      </c>
      <c r="AP1981" s="110"/>
    </row>
    <row r="1982" spans="1:42" ht="15" hidden="1" customHeight="1">
      <c r="A1982" s="111" t="str">
        <f>'Sampling Data'!W1981</f>
        <v/>
      </c>
      <c r="B1982" s="112" t="str">
        <f>'Sampling Data'!A1981</f>
        <v>SOUTH EUCLID -04-A</v>
      </c>
      <c r="C1982" s="112">
        <f>'Sampling Data'!B1981</f>
        <v>2</v>
      </c>
      <c r="D1982" s="112">
        <f>'Sampling Data'!C1981</f>
        <v>8</v>
      </c>
      <c r="E1982" s="113">
        <f>'Sampling Data'!D1981</f>
        <v>4</v>
      </c>
      <c r="F1982" s="113">
        <f>'Sampling Data'!E1981</f>
        <v>2</v>
      </c>
      <c r="G1982" s="113">
        <f>'Sampling Data'!F1981</f>
        <v>0</v>
      </c>
      <c r="H1982" s="113">
        <f>'Sampling Data'!G1981</f>
        <v>0</v>
      </c>
      <c r="I1982" s="112">
        <f>'Sampling Data'!H1981</f>
        <v>0</v>
      </c>
      <c r="J1982" s="112">
        <f>'Sampling Data'!I1981</f>
        <v>2</v>
      </c>
      <c r="K1982" s="112">
        <f>'Sampling Data'!J1981</f>
        <v>18</v>
      </c>
      <c r="L1982" s="111">
        <f>'Sampling Data'!X1981</f>
        <v>0</v>
      </c>
      <c r="M1982" s="114"/>
      <c r="N1982" s="114"/>
      <c r="O1982" s="115"/>
      <c r="P1982" s="115"/>
      <c r="Q1982" s="116"/>
      <c r="R1982" s="116"/>
      <c r="S1982" s="111">
        <f>Audit[[#This Row],[Audit Losing Candidate]]-Audit[[#This Row],[Losing Candidate]]</f>
        <v>-2</v>
      </c>
      <c r="T1982" s="111">
        <f>Audit[[#This Row],[Audit Winning Candidate]]-Audit[[#This Row],[Winning Candidate]]</f>
        <v>-8</v>
      </c>
      <c r="U1982" s="111">
        <f>Audit[[#This Row],[Audit Candidate 3]]-Audit[[#This Row],[Candidate 3]]</f>
        <v>-4</v>
      </c>
      <c r="V1982" s="111">
        <f>Audit[[#This Row],[Audit Candidate 4]]-Audit[[#This Row],[Candidate 4]]</f>
        <v>-2</v>
      </c>
      <c r="W1982" s="111">
        <f>Audit[[#This Row],[Audit Candidate 5]]-Audit[[#This Row],[Candidate 5]]</f>
        <v>0</v>
      </c>
      <c r="X1982" s="111">
        <f>Audit[[#This Row],[Audit Candidate 6]]-Audit[[#This Row],[Candidate 6]]</f>
        <v>0</v>
      </c>
      <c r="Y1982" s="111">
        <f>SUMIF(Audit[[#This Row],[Difference Loser]:[Difference Candidate 6]], "&gt;0")</f>
        <v>0</v>
      </c>
      <c r="Z1982" s="111">
        <f>SUM(Audit[[#This Row],[Difference Loser]:[Difference Candidate 6]])</f>
        <v>-16</v>
      </c>
      <c r="AA1982" s="111">
        <f>IF(Audit[[#This Row],[Times p Drawn - With Replacement]]&gt;0, IF(Audit[[#This Row],[Canceled Differences]]&lt;0, Audit[[#This Row],[Max Differences]]+ABS(Audit[[#This Row],[Canceled Differences]]), Audit[[#This Row],[Max Differences]]), 0)</f>
        <v>0</v>
      </c>
      <c r="AB1982" s="111">
        <f>'Sampling Data'!P1981</f>
        <v>1.4698677119059284E-3</v>
      </c>
      <c r="AC1982" s="111">
        <f>IF(
      SUM(Audit[[#This Row],[Audit Losing Candidate]:[Audit Candidate 6]])
      &lt;&gt;0,
      (Audit[[#This Row],[Winning Candidate]]-Audit[[#This Row],[Losing Candidate]]-(Audit[[#This Row],[Audit Winning Candidate]]-Audit[[#This Row],[Audit Losing Candidate]]))/(Audit[[#Totals],[Winning Candidate]]-Audit[[#Totals],[Losing Candidate]]),
      0
)</f>
        <v>0</v>
      </c>
      <c r="AD19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2" s="111">
        <f>IF(Audit[[#This Row],[Max Relative Error (ep)]] = 0, 0, Audit[[#This Row],[Max Relative Error (ep)]]/Audit[[#This Row],[Error Bound (up) - Max. possible relative overstatement]])</f>
        <v>0</v>
      </c>
      <c r="AJ19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82" s="111">
        <f t="shared" si="30"/>
        <v>1</v>
      </c>
      <c r="AL1982" s="111">
        <f>PRODUCT($AK$5:AK1982)</f>
        <v>8.962823818226312E-2</v>
      </c>
      <c r="AM1982" s="109">
        <f>1 - [K-M P Value]</f>
        <v>0.91037176181773694</v>
      </c>
      <c r="AN1982" s="111" t="str">
        <f>IF(Audit[[#This Row],[K-M P Value]]&gt;1-'General Info'!$B$16,"Continue", "Stop")</f>
        <v>Stop</v>
      </c>
      <c r="AO1982" s="110" t="b">
        <f>IF(Audit[[#This Row],[Status - Continue or stop audit]] = "Continue", TRUE, IF(AN1981 = "Continue", TRUE, FALSE))</f>
        <v>0</v>
      </c>
      <c r="AP1982" s="110"/>
    </row>
    <row r="1983" spans="1:42" ht="15" hidden="1" customHeight="1">
      <c r="A1983" s="111" t="str">
        <f>'Sampling Data'!W1982</f>
        <v/>
      </c>
      <c r="B1983" s="112" t="str">
        <f>'Sampling Data'!A1982</f>
        <v>SOUTH EUCLID -04-A - ABS</v>
      </c>
      <c r="C1983" s="112">
        <f>'Sampling Data'!B1982</f>
        <v>0</v>
      </c>
      <c r="D1983" s="112">
        <f>'Sampling Data'!C1982</f>
        <v>3</v>
      </c>
      <c r="E1983" s="113">
        <f>'Sampling Data'!D1982</f>
        <v>0</v>
      </c>
      <c r="F1983" s="113">
        <f>'Sampling Data'!E1982</f>
        <v>0</v>
      </c>
      <c r="G1983" s="113">
        <f>'Sampling Data'!F1982</f>
        <v>0</v>
      </c>
      <c r="H1983" s="113">
        <f>'Sampling Data'!G1982</f>
        <v>0</v>
      </c>
      <c r="I1983" s="112">
        <f>'Sampling Data'!H1982</f>
        <v>0</v>
      </c>
      <c r="J1983" s="112">
        <f>'Sampling Data'!I1982</f>
        <v>0</v>
      </c>
      <c r="K1983" s="112">
        <f>'Sampling Data'!J1982</f>
        <v>3</v>
      </c>
      <c r="L1983" s="111">
        <f>'Sampling Data'!X1982</f>
        <v>0</v>
      </c>
      <c r="M1983" s="114"/>
      <c r="N1983" s="114"/>
      <c r="O1983" s="115"/>
      <c r="P1983" s="115"/>
      <c r="Q1983" s="116"/>
      <c r="R1983" s="116"/>
      <c r="S1983" s="111">
        <f>Audit[[#This Row],[Audit Losing Candidate]]-Audit[[#This Row],[Losing Candidate]]</f>
        <v>0</v>
      </c>
      <c r="T1983" s="111">
        <f>Audit[[#This Row],[Audit Winning Candidate]]-Audit[[#This Row],[Winning Candidate]]</f>
        <v>-3</v>
      </c>
      <c r="U1983" s="111">
        <f>Audit[[#This Row],[Audit Candidate 3]]-Audit[[#This Row],[Candidate 3]]</f>
        <v>0</v>
      </c>
      <c r="V1983" s="111">
        <f>Audit[[#This Row],[Audit Candidate 4]]-Audit[[#This Row],[Candidate 4]]</f>
        <v>0</v>
      </c>
      <c r="W1983" s="111">
        <f>Audit[[#This Row],[Audit Candidate 5]]-Audit[[#This Row],[Candidate 5]]</f>
        <v>0</v>
      </c>
      <c r="X1983" s="111">
        <f>Audit[[#This Row],[Audit Candidate 6]]-Audit[[#This Row],[Candidate 6]]</f>
        <v>0</v>
      </c>
      <c r="Y1983" s="111">
        <f>SUMIF(Audit[[#This Row],[Difference Loser]:[Difference Candidate 6]], "&gt;0")</f>
        <v>0</v>
      </c>
      <c r="Z1983" s="111">
        <f>SUM(Audit[[#This Row],[Difference Loser]:[Difference Candidate 6]])</f>
        <v>-3</v>
      </c>
      <c r="AA1983" s="111">
        <f>IF(Audit[[#This Row],[Times p Drawn - With Replacement]]&gt;0, IF(Audit[[#This Row],[Canceled Differences]]&lt;0, Audit[[#This Row],[Max Differences]]+ABS(Audit[[#This Row],[Canceled Differences]]), Audit[[#This Row],[Max Differences]]), 0)</f>
        <v>0</v>
      </c>
      <c r="AB1983" s="111">
        <f>'Sampling Data'!P1982</f>
        <v>3.6746692797648211E-4</v>
      </c>
      <c r="AC1983" s="111">
        <f>IF(
      SUM(Audit[[#This Row],[Audit Losing Candidate]:[Audit Candidate 6]])
      &lt;&gt;0,
      (Audit[[#This Row],[Winning Candidate]]-Audit[[#This Row],[Losing Candidate]]-(Audit[[#This Row],[Audit Winning Candidate]]-Audit[[#This Row],[Audit Losing Candidate]]))/(Audit[[#Totals],[Winning Candidate]]-Audit[[#Totals],[Losing Candidate]]),
      0
)</f>
        <v>0</v>
      </c>
      <c r="AD19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3" s="111">
        <f>IF(Audit[[#This Row],[Max Relative Error (ep)]] = 0, 0, Audit[[#This Row],[Max Relative Error (ep)]]/Audit[[#This Row],[Error Bound (up) - Max. possible relative overstatement]])</f>
        <v>0</v>
      </c>
      <c r="AJ19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83" s="111">
        <f t="shared" si="30"/>
        <v>1</v>
      </c>
      <c r="AL1983" s="111">
        <f>PRODUCT($AK$5:AK1983)</f>
        <v>8.962823818226312E-2</v>
      </c>
      <c r="AM1983" s="109">
        <f>1 - [K-M P Value]</f>
        <v>0.91037176181773694</v>
      </c>
      <c r="AN1983" s="111" t="str">
        <f>IF(Audit[[#This Row],[K-M P Value]]&gt;1-'General Info'!$B$16,"Continue", "Stop")</f>
        <v>Stop</v>
      </c>
      <c r="AO1983" s="110" t="b">
        <f>IF(Audit[[#This Row],[Status - Continue or stop audit]] = "Continue", TRUE, IF(AN1982 = "Continue", TRUE, FALSE))</f>
        <v>0</v>
      </c>
      <c r="AP1983" s="110"/>
    </row>
    <row r="1984" spans="1:42" ht="15" hidden="1" customHeight="1">
      <c r="A1984" s="111" t="str">
        <f>'Sampling Data'!W1983</f>
        <v/>
      </c>
      <c r="B1984" s="112" t="str">
        <f>'Sampling Data'!A1983</f>
        <v>SOUTH EUCLID -04-B</v>
      </c>
      <c r="C1984" s="112">
        <f>'Sampling Data'!B1983</f>
        <v>3</v>
      </c>
      <c r="D1984" s="112">
        <f>'Sampling Data'!C1983</f>
        <v>16</v>
      </c>
      <c r="E1984" s="113">
        <f>'Sampling Data'!D1983</f>
        <v>1</v>
      </c>
      <c r="F1984" s="113">
        <f>'Sampling Data'!E1983</f>
        <v>5</v>
      </c>
      <c r="G1984" s="113">
        <f>'Sampling Data'!F1983</f>
        <v>1</v>
      </c>
      <c r="H1984" s="113">
        <f>'Sampling Data'!G1983</f>
        <v>0</v>
      </c>
      <c r="I1984" s="112">
        <f>'Sampling Data'!H1983</f>
        <v>0</v>
      </c>
      <c r="J1984" s="112">
        <f>'Sampling Data'!I1983</f>
        <v>0</v>
      </c>
      <c r="K1984" s="112">
        <f>'Sampling Data'!J1983</f>
        <v>26</v>
      </c>
      <c r="L1984" s="111">
        <f>'Sampling Data'!X1983</f>
        <v>0</v>
      </c>
      <c r="M1984" s="114"/>
      <c r="N1984" s="114"/>
      <c r="O1984" s="115"/>
      <c r="P1984" s="115"/>
      <c r="Q1984" s="116"/>
      <c r="R1984" s="116"/>
      <c r="S1984" s="111">
        <f>Audit[[#This Row],[Audit Losing Candidate]]-Audit[[#This Row],[Losing Candidate]]</f>
        <v>-3</v>
      </c>
      <c r="T1984" s="111">
        <f>Audit[[#This Row],[Audit Winning Candidate]]-Audit[[#This Row],[Winning Candidate]]</f>
        <v>-16</v>
      </c>
      <c r="U1984" s="111">
        <f>Audit[[#This Row],[Audit Candidate 3]]-Audit[[#This Row],[Candidate 3]]</f>
        <v>-1</v>
      </c>
      <c r="V1984" s="111">
        <f>Audit[[#This Row],[Audit Candidate 4]]-Audit[[#This Row],[Candidate 4]]</f>
        <v>-5</v>
      </c>
      <c r="W1984" s="111">
        <f>Audit[[#This Row],[Audit Candidate 5]]-Audit[[#This Row],[Candidate 5]]</f>
        <v>-1</v>
      </c>
      <c r="X1984" s="111">
        <f>Audit[[#This Row],[Audit Candidate 6]]-Audit[[#This Row],[Candidate 6]]</f>
        <v>0</v>
      </c>
      <c r="Y1984" s="111">
        <f>SUMIF(Audit[[#This Row],[Difference Loser]:[Difference Candidate 6]], "&gt;0")</f>
        <v>0</v>
      </c>
      <c r="Z1984" s="111">
        <f>SUM(Audit[[#This Row],[Difference Loser]:[Difference Candidate 6]])</f>
        <v>-26</v>
      </c>
      <c r="AA1984" s="111">
        <f>IF(Audit[[#This Row],[Times p Drawn - With Replacement]]&gt;0, IF(Audit[[#This Row],[Canceled Differences]]&lt;0, Audit[[#This Row],[Max Differences]]+ABS(Audit[[#This Row],[Canceled Differences]]), Audit[[#This Row],[Max Differences]]), 0)</f>
        <v>0</v>
      </c>
      <c r="AB1984" s="111">
        <f>'Sampling Data'!P1983</f>
        <v>2.3885350318471337E-3</v>
      </c>
      <c r="AC1984" s="111">
        <f>IF(
      SUM(Audit[[#This Row],[Audit Losing Candidate]:[Audit Candidate 6]])
      &lt;&gt;0,
      (Audit[[#This Row],[Winning Candidate]]-Audit[[#This Row],[Losing Candidate]]-(Audit[[#This Row],[Audit Winning Candidate]]-Audit[[#This Row],[Audit Losing Candidate]]))/(Audit[[#Totals],[Winning Candidate]]-Audit[[#Totals],[Losing Candidate]]),
      0
)</f>
        <v>0</v>
      </c>
      <c r="AD19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4" s="111">
        <f>IF(Audit[[#This Row],[Max Relative Error (ep)]] = 0, 0, Audit[[#This Row],[Max Relative Error (ep)]]/Audit[[#This Row],[Error Bound (up) - Max. possible relative overstatement]])</f>
        <v>0</v>
      </c>
      <c r="AJ19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84" s="111">
        <f t="shared" si="30"/>
        <v>1</v>
      </c>
      <c r="AL1984" s="111">
        <f>PRODUCT($AK$5:AK1984)</f>
        <v>8.962823818226312E-2</v>
      </c>
      <c r="AM1984" s="109">
        <f>1 - [K-M P Value]</f>
        <v>0.91037176181773694</v>
      </c>
      <c r="AN1984" s="111" t="str">
        <f>IF(Audit[[#This Row],[K-M P Value]]&gt;1-'General Info'!$B$16,"Continue", "Stop")</f>
        <v>Stop</v>
      </c>
      <c r="AO1984" s="110" t="b">
        <f>IF(Audit[[#This Row],[Status - Continue or stop audit]] = "Continue", TRUE, IF(AN1983 = "Continue", TRUE, FALSE))</f>
        <v>0</v>
      </c>
      <c r="AP1984" s="110"/>
    </row>
    <row r="1985" spans="1:42" ht="15" hidden="1" customHeight="1">
      <c r="A1985" s="111" t="str">
        <f>'Sampling Data'!W1984</f>
        <v/>
      </c>
      <c r="B1985" s="112" t="str">
        <f>'Sampling Data'!A1984</f>
        <v>SOUTH EUCLID -04-B - ABS</v>
      </c>
      <c r="C1985" s="112">
        <f>'Sampling Data'!B1984</f>
        <v>3</v>
      </c>
      <c r="D1985" s="112">
        <f>'Sampling Data'!C1984</f>
        <v>3</v>
      </c>
      <c r="E1985" s="113">
        <f>'Sampling Data'!D1984</f>
        <v>3</v>
      </c>
      <c r="F1985" s="113">
        <f>'Sampling Data'!E1984</f>
        <v>1</v>
      </c>
      <c r="G1985" s="113">
        <f>'Sampling Data'!F1984</f>
        <v>0</v>
      </c>
      <c r="H1985" s="113">
        <f>'Sampling Data'!G1984</f>
        <v>0</v>
      </c>
      <c r="I1985" s="112">
        <f>'Sampling Data'!H1984</f>
        <v>0</v>
      </c>
      <c r="J1985" s="112">
        <f>'Sampling Data'!I1984</f>
        <v>2</v>
      </c>
      <c r="K1985" s="112">
        <f>'Sampling Data'!J1984</f>
        <v>12</v>
      </c>
      <c r="L1985" s="111">
        <f>'Sampling Data'!X1984</f>
        <v>0</v>
      </c>
      <c r="M1985" s="114"/>
      <c r="N1985" s="114"/>
      <c r="O1985" s="115"/>
      <c r="P1985" s="115"/>
      <c r="Q1985" s="116"/>
      <c r="R1985" s="116"/>
      <c r="S1985" s="111">
        <f>Audit[[#This Row],[Audit Losing Candidate]]-Audit[[#This Row],[Losing Candidate]]</f>
        <v>-3</v>
      </c>
      <c r="T1985" s="111">
        <f>Audit[[#This Row],[Audit Winning Candidate]]-Audit[[#This Row],[Winning Candidate]]</f>
        <v>-3</v>
      </c>
      <c r="U1985" s="111">
        <f>Audit[[#This Row],[Audit Candidate 3]]-Audit[[#This Row],[Candidate 3]]</f>
        <v>-3</v>
      </c>
      <c r="V1985" s="111">
        <f>Audit[[#This Row],[Audit Candidate 4]]-Audit[[#This Row],[Candidate 4]]</f>
        <v>-1</v>
      </c>
      <c r="W1985" s="111">
        <f>Audit[[#This Row],[Audit Candidate 5]]-Audit[[#This Row],[Candidate 5]]</f>
        <v>0</v>
      </c>
      <c r="X1985" s="111">
        <f>Audit[[#This Row],[Audit Candidate 6]]-Audit[[#This Row],[Candidate 6]]</f>
        <v>0</v>
      </c>
      <c r="Y1985" s="111">
        <f>SUMIF(Audit[[#This Row],[Difference Loser]:[Difference Candidate 6]], "&gt;0")</f>
        <v>0</v>
      </c>
      <c r="Z1985" s="111">
        <f>SUM(Audit[[#This Row],[Difference Loser]:[Difference Candidate 6]])</f>
        <v>-10</v>
      </c>
      <c r="AA1985" s="111">
        <f>IF(Audit[[#This Row],[Times p Drawn - With Replacement]]&gt;0, IF(Audit[[#This Row],[Canceled Differences]]&lt;0, Audit[[#This Row],[Max Differences]]+ABS(Audit[[#This Row],[Canceled Differences]]), Audit[[#This Row],[Max Differences]]), 0)</f>
        <v>0</v>
      </c>
      <c r="AB1985" s="111">
        <f>'Sampling Data'!P1984</f>
        <v>7.3493385595296422E-4</v>
      </c>
      <c r="AC1985" s="111">
        <f>IF(
      SUM(Audit[[#This Row],[Audit Losing Candidate]:[Audit Candidate 6]])
      &lt;&gt;0,
      (Audit[[#This Row],[Winning Candidate]]-Audit[[#This Row],[Losing Candidate]]-(Audit[[#This Row],[Audit Winning Candidate]]-Audit[[#This Row],[Audit Losing Candidate]]))/(Audit[[#Totals],[Winning Candidate]]-Audit[[#Totals],[Losing Candidate]]),
      0
)</f>
        <v>0</v>
      </c>
      <c r="AD19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5" s="111">
        <f>IF(Audit[[#This Row],[Max Relative Error (ep)]] = 0, 0, Audit[[#This Row],[Max Relative Error (ep)]]/Audit[[#This Row],[Error Bound (up) - Max. possible relative overstatement]])</f>
        <v>0</v>
      </c>
      <c r="AJ19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85" s="111">
        <f t="shared" si="30"/>
        <v>1</v>
      </c>
      <c r="AL1985" s="111">
        <f>PRODUCT($AK$5:AK1985)</f>
        <v>8.962823818226312E-2</v>
      </c>
      <c r="AM1985" s="109">
        <f>1 - [K-M P Value]</f>
        <v>0.91037176181773694</v>
      </c>
      <c r="AN1985" s="111" t="str">
        <f>IF(Audit[[#This Row],[K-M P Value]]&gt;1-'General Info'!$B$16,"Continue", "Stop")</f>
        <v>Stop</v>
      </c>
      <c r="AO1985" s="110" t="b">
        <f>IF(Audit[[#This Row],[Status - Continue or stop audit]] = "Continue", TRUE, IF(AN1984 = "Continue", TRUE, FALSE))</f>
        <v>0</v>
      </c>
      <c r="AP1985" s="110"/>
    </row>
    <row r="1986" spans="1:42" ht="15" hidden="1" customHeight="1">
      <c r="A1986" s="111" t="str">
        <f>'Sampling Data'!W1985</f>
        <v/>
      </c>
      <c r="B1986" s="112" t="str">
        <f>'Sampling Data'!A1985</f>
        <v>SOUTH EUCLID -04-C</v>
      </c>
      <c r="C1986" s="112">
        <f>'Sampling Data'!B1985</f>
        <v>4</v>
      </c>
      <c r="D1986" s="112">
        <f>'Sampling Data'!C1985</f>
        <v>5</v>
      </c>
      <c r="E1986" s="113">
        <f>'Sampling Data'!D1985</f>
        <v>3</v>
      </c>
      <c r="F1986" s="113">
        <f>'Sampling Data'!E1985</f>
        <v>2</v>
      </c>
      <c r="G1986" s="113">
        <f>'Sampling Data'!F1985</f>
        <v>0</v>
      </c>
      <c r="H1986" s="113">
        <f>'Sampling Data'!G1985</f>
        <v>0</v>
      </c>
      <c r="I1986" s="112">
        <f>'Sampling Data'!H1985</f>
        <v>0</v>
      </c>
      <c r="J1986" s="112">
        <f>'Sampling Data'!I1985</f>
        <v>0</v>
      </c>
      <c r="K1986" s="112">
        <f>'Sampling Data'!J1985</f>
        <v>14</v>
      </c>
      <c r="L1986" s="111">
        <f>'Sampling Data'!X1985</f>
        <v>0</v>
      </c>
      <c r="M1986" s="114"/>
      <c r="N1986" s="114"/>
      <c r="O1986" s="115"/>
      <c r="P1986" s="115"/>
      <c r="Q1986" s="116"/>
      <c r="R1986" s="116"/>
      <c r="S1986" s="111">
        <f>Audit[[#This Row],[Audit Losing Candidate]]-Audit[[#This Row],[Losing Candidate]]</f>
        <v>-4</v>
      </c>
      <c r="T1986" s="111">
        <f>Audit[[#This Row],[Audit Winning Candidate]]-Audit[[#This Row],[Winning Candidate]]</f>
        <v>-5</v>
      </c>
      <c r="U1986" s="111">
        <f>Audit[[#This Row],[Audit Candidate 3]]-Audit[[#This Row],[Candidate 3]]</f>
        <v>-3</v>
      </c>
      <c r="V1986" s="111">
        <f>Audit[[#This Row],[Audit Candidate 4]]-Audit[[#This Row],[Candidate 4]]</f>
        <v>-2</v>
      </c>
      <c r="W1986" s="111">
        <f>Audit[[#This Row],[Audit Candidate 5]]-Audit[[#This Row],[Candidate 5]]</f>
        <v>0</v>
      </c>
      <c r="X1986" s="111">
        <f>Audit[[#This Row],[Audit Candidate 6]]-Audit[[#This Row],[Candidate 6]]</f>
        <v>0</v>
      </c>
      <c r="Y1986" s="111">
        <f>SUMIF(Audit[[#This Row],[Difference Loser]:[Difference Candidate 6]], "&gt;0")</f>
        <v>0</v>
      </c>
      <c r="Z1986" s="111">
        <f>SUM(Audit[[#This Row],[Difference Loser]:[Difference Candidate 6]])</f>
        <v>-14</v>
      </c>
      <c r="AA1986" s="111">
        <f>IF(Audit[[#This Row],[Times p Drawn - With Replacement]]&gt;0, IF(Audit[[#This Row],[Canceled Differences]]&lt;0, Audit[[#This Row],[Max Differences]]+ABS(Audit[[#This Row],[Canceled Differences]]), Audit[[#This Row],[Max Differences]]), 0)</f>
        <v>0</v>
      </c>
      <c r="AB1986" s="111">
        <f>'Sampling Data'!P1985</f>
        <v>9.1866731994120533E-4</v>
      </c>
      <c r="AC1986" s="111">
        <f>IF(
      SUM(Audit[[#This Row],[Audit Losing Candidate]:[Audit Candidate 6]])
      &lt;&gt;0,
      (Audit[[#This Row],[Winning Candidate]]-Audit[[#This Row],[Losing Candidate]]-(Audit[[#This Row],[Audit Winning Candidate]]-Audit[[#This Row],[Audit Losing Candidate]]))/(Audit[[#Totals],[Winning Candidate]]-Audit[[#Totals],[Losing Candidate]]),
      0
)</f>
        <v>0</v>
      </c>
      <c r="AD19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6" s="111">
        <f>IF(Audit[[#This Row],[Max Relative Error (ep)]] = 0, 0, Audit[[#This Row],[Max Relative Error (ep)]]/Audit[[#This Row],[Error Bound (up) - Max. possible relative overstatement]])</f>
        <v>0</v>
      </c>
      <c r="AJ19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86" s="111">
        <f t="shared" si="30"/>
        <v>1</v>
      </c>
      <c r="AL1986" s="111">
        <f>PRODUCT($AK$5:AK1986)</f>
        <v>8.962823818226312E-2</v>
      </c>
      <c r="AM1986" s="109">
        <f>1 - [K-M P Value]</f>
        <v>0.91037176181773694</v>
      </c>
      <c r="AN1986" s="111" t="str">
        <f>IF(Audit[[#This Row],[K-M P Value]]&gt;1-'General Info'!$B$16,"Continue", "Stop")</f>
        <v>Stop</v>
      </c>
      <c r="AO1986" s="110" t="b">
        <f>IF(Audit[[#This Row],[Status - Continue or stop audit]] = "Continue", TRUE, IF(AN1985 = "Continue", TRUE, FALSE))</f>
        <v>0</v>
      </c>
      <c r="AP1986" s="110"/>
    </row>
    <row r="1987" spans="1:42" ht="15" hidden="1" customHeight="1">
      <c r="A1987" s="111" t="str">
        <f>'Sampling Data'!W1986</f>
        <v/>
      </c>
      <c r="B1987" s="112" t="str">
        <f>'Sampling Data'!A1986</f>
        <v>SOUTH EUCLID -04-C - ABS</v>
      </c>
      <c r="C1987" s="112">
        <f>'Sampling Data'!B1986</f>
        <v>1</v>
      </c>
      <c r="D1987" s="112">
        <f>'Sampling Data'!C1986</f>
        <v>1</v>
      </c>
      <c r="E1987" s="113">
        <f>'Sampling Data'!D1986</f>
        <v>0</v>
      </c>
      <c r="F1987" s="113">
        <f>'Sampling Data'!E1986</f>
        <v>0</v>
      </c>
      <c r="G1987" s="113">
        <f>'Sampling Data'!F1986</f>
        <v>0</v>
      </c>
      <c r="H1987" s="113">
        <f>'Sampling Data'!G1986</f>
        <v>0</v>
      </c>
      <c r="I1987" s="112">
        <f>'Sampling Data'!H1986</f>
        <v>0</v>
      </c>
      <c r="J1987" s="112">
        <f>'Sampling Data'!I1986</f>
        <v>0</v>
      </c>
      <c r="K1987" s="112">
        <f>'Sampling Data'!J1986</f>
        <v>2</v>
      </c>
      <c r="L1987" s="111">
        <f>'Sampling Data'!X1986</f>
        <v>0</v>
      </c>
      <c r="M1987" s="114"/>
      <c r="N1987" s="114"/>
      <c r="O1987" s="115"/>
      <c r="P1987" s="115"/>
      <c r="Q1987" s="116"/>
      <c r="R1987" s="116"/>
      <c r="S1987" s="111">
        <f>Audit[[#This Row],[Audit Losing Candidate]]-Audit[[#This Row],[Losing Candidate]]</f>
        <v>-1</v>
      </c>
      <c r="T1987" s="111">
        <f>Audit[[#This Row],[Audit Winning Candidate]]-Audit[[#This Row],[Winning Candidate]]</f>
        <v>-1</v>
      </c>
      <c r="U1987" s="111">
        <f>Audit[[#This Row],[Audit Candidate 3]]-Audit[[#This Row],[Candidate 3]]</f>
        <v>0</v>
      </c>
      <c r="V1987" s="111">
        <f>Audit[[#This Row],[Audit Candidate 4]]-Audit[[#This Row],[Candidate 4]]</f>
        <v>0</v>
      </c>
      <c r="W1987" s="111">
        <f>Audit[[#This Row],[Audit Candidate 5]]-Audit[[#This Row],[Candidate 5]]</f>
        <v>0</v>
      </c>
      <c r="X1987" s="111">
        <f>Audit[[#This Row],[Audit Candidate 6]]-Audit[[#This Row],[Candidate 6]]</f>
        <v>0</v>
      </c>
      <c r="Y1987" s="111">
        <f>SUMIF(Audit[[#This Row],[Difference Loser]:[Difference Candidate 6]], "&gt;0")</f>
        <v>0</v>
      </c>
      <c r="Z1987" s="111">
        <f>SUM(Audit[[#This Row],[Difference Loser]:[Difference Candidate 6]])</f>
        <v>-2</v>
      </c>
      <c r="AA1987" s="111">
        <f>IF(Audit[[#This Row],[Times p Drawn - With Replacement]]&gt;0, IF(Audit[[#This Row],[Canceled Differences]]&lt;0, Audit[[#This Row],[Max Differences]]+ABS(Audit[[#This Row],[Canceled Differences]]), Audit[[#This Row],[Max Differences]]), 0)</f>
        <v>0</v>
      </c>
      <c r="AB1987" s="111">
        <f>'Sampling Data'!P1986</f>
        <v>1.224889759921607E-4</v>
      </c>
      <c r="AC1987" s="111">
        <f>IF(
      SUM(Audit[[#This Row],[Audit Losing Candidate]:[Audit Candidate 6]])
      &lt;&gt;0,
      (Audit[[#This Row],[Winning Candidate]]-Audit[[#This Row],[Losing Candidate]]-(Audit[[#This Row],[Audit Winning Candidate]]-Audit[[#This Row],[Audit Losing Candidate]]))/(Audit[[#Totals],[Winning Candidate]]-Audit[[#Totals],[Losing Candidate]]),
      0
)</f>
        <v>0</v>
      </c>
      <c r="AD19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7" s="111">
        <f>IF(Audit[[#This Row],[Max Relative Error (ep)]] = 0, 0, Audit[[#This Row],[Max Relative Error (ep)]]/Audit[[#This Row],[Error Bound (up) - Max. possible relative overstatement]])</f>
        <v>0</v>
      </c>
      <c r="AJ19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87" s="111">
        <f t="shared" si="30"/>
        <v>1</v>
      </c>
      <c r="AL1987" s="111">
        <f>PRODUCT($AK$5:AK1987)</f>
        <v>8.962823818226312E-2</v>
      </c>
      <c r="AM1987" s="109">
        <f>1 - [K-M P Value]</f>
        <v>0.91037176181773694</v>
      </c>
      <c r="AN1987" s="111" t="str">
        <f>IF(Audit[[#This Row],[K-M P Value]]&gt;1-'General Info'!$B$16,"Continue", "Stop")</f>
        <v>Stop</v>
      </c>
      <c r="AO1987" s="110" t="b">
        <f>IF(Audit[[#This Row],[Status - Continue or stop audit]] = "Continue", TRUE, IF(AN1986 = "Continue", TRUE, FALSE))</f>
        <v>0</v>
      </c>
      <c r="AP1987" s="110"/>
    </row>
    <row r="1988" spans="1:42" ht="15" hidden="1" customHeight="1">
      <c r="A1988" s="111" t="str">
        <f>'Sampling Data'!W1987</f>
        <v/>
      </c>
      <c r="B1988" s="112" t="str">
        <f>'Sampling Data'!A1987</f>
        <v>SOUTH EUCLID -04-D</v>
      </c>
      <c r="C1988" s="112">
        <f>'Sampling Data'!B1987</f>
        <v>19</v>
      </c>
      <c r="D1988" s="112">
        <f>'Sampling Data'!C1987</f>
        <v>49</v>
      </c>
      <c r="E1988" s="113">
        <f>'Sampling Data'!D1987</f>
        <v>16</v>
      </c>
      <c r="F1988" s="113">
        <f>'Sampling Data'!E1987</f>
        <v>3</v>
      </c>
      <c r="G1988" s="113">
        <f>'Sampling Data'!F1987</f>
        <v>0</v>
      </c>
      <c r="H1988" s="113">
        <f>'Sampling Data'!G1987</f>
        <v>0</v>
      </c>
      <c r="I1988" s="112">
        <f>'Sampling Data'!H1987</f>
        <v>0</v>
      </c>
      <c r="J1988" s="112">
        <f>'Sampling Data'!I1987</f>
        <v>2</v>
      </c>
      <c r="K1988" s="112">
        <f>'Sampling Data'!J1987</f>
        <v>89</v>
      </c>
      <c r="L1988" s="111">
        <f>'Sampling Data'!X1987</f>
        <v>0</v>
      </c>
      <c r="M1988" s="114"/>
      <c r="N1988" s="114"/>
      <c r="O1988" s="115"/>
      <c r="P1988" s="115"/>
      <c r="Q1988" s="116"/>
      <c r="R1988" s="116"/>
      <c r="S1988" s="111">
        <f>Audit[[#This Row],[Audit Losing Candidate]]-Audit[[#This Row],[Losing Candidate]]</f>
        <v>-19</v>
      </c>
      <c r="T1988" s="111">
        <f>Audit[[#This Row],[Audit Winning Candidate]]-Audit[[#This Row],[Winning Candidate]]</f>
        <v>-49</v>
      </c>
      <c r="U1988" s="111">
        <f>Audit[[#This Row],[Audit Candidate 3]]-Audit[[#This Row],[Candidate 3]]</f>
        <v>-16</v>
      </c>
      <c r="V1988" s="111">
        <f>Audit[[#This Row],[Audit Candidate 4]]-Audit[[#This Row],[Candidate 4]]</f>
        <v>-3</v>
      </c>
      <c r="W1988" s="111">
        <f>Audit[[#This Row],[Audit Candidate 5]]-Audit[[#This Row],[Candidate 5]]</f>
        <v>0</v>
      </c>
      <c r="X1988" s="111">
        <f>Audit[[#This Row],[Audit Candidate 6]]-Audit[[#This Row],[Candidate 6]]</f>
        <v>0</v>
      </c>
      <c r="Y1988" s="111">
        <f>SUMIF(Audit[[#This Row],[Difference Loser]:[Difference Candidate 6]], "&gt;0")</f>
        <v>0</v>
      </c>
      <c r="Z1988" s="111">
        <f>SUM(Audit[[#This Row],[Difference Loser]:[Difference Candidate 6]])</f>
        <v>-87</v>
      </c>
      <c r="AA1988" s="111">
        <f>IF(Audit[[#This Row],[Times p Drawn - With Replacement]]&gt;0, IF(Audit[[#This Row],[Canceled Differences]]&lt;0, Audit[[#This Row],[Max Differences]]+ABS(Audit[[#This Row],[Canceled Differences]]), Audit[[#This Row],[Max Differences]]), 0)</f>
        <v>0</v>
      </c>
      <c r="AB1988" s="111">
        <f>'Sampling Data'!P1987</f>
        <v>7.2880940715335622E-3</v>
      </c>
      <c r="AC1988" s="111">
        <f>IF(
      SUM(Audit[[#This Row],[Audit Losing Candidate]:[Audit Candidate 6]])
      &lt;&gt;0,
      (Audit[[#This Row],[Winning Candidate]]-Audit[[#This Row],[Losing Candidate]]-(Audit[[#This Row],[Audit Winning Candidate]]-Audit[[#This Row],[Audit Losing Candidate]]))/(Audit[[#Totals],[Winning Candidate]]-Audit[[#Totals],[Losing Candidate]]),
      0
)</f>
        <v>0</v>
      </c>
      <c r="AD19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8" s="111">
        <f>IF(Audit[[#This Row],[Max Relative Error (ep)]] = 0, 0, Audit[[#This Row],[Max Relative Error (ep)]]/Audit[[#This Row],[Error Bound (up) - Max. possible relative overstatement]])</f>
        <v>0</v>
      </c>
      <c r="AJ19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88" s="111">
        <f t="shared" si="30"/>
        <v>1</v>
      </c>
      <c r="AL1988" s="111">
        <f>PRODUCT($AK$5:AK1988)</f>
        <v>8.962823818226312E-2</v>
      </c>
      <c r="AM1988" s="109">
        <f>1 - [K-M P Value]</f>
        <v>0.91037176181773694</v>
      </c>
      <c r="AN1988" s="111" t="str">
        <f>IF(Audit[[#This Row],[K-M P Value]]&gt;1-'General Info'!$B$16,"Continue", "Stop")</f>
        <v>Stop</v>
      </c>
      <c r="AO1988" s="110" t="b">
        <f>IF(Audit[[#This Row],[Status - Continue or stop audit]] = "Continue", TRUE, IF(AN1987 = "Continue", TRUE, FALSE))</f>
        <v>0</v>
      </c>
      <c r="AP1988" s="110"/>
    </row>
    <row r="1989" spans="1:42" ht="15" hidden="1" customHeight="1">
      <c r="A1989" s="111" t="str">
        <f>'Sampling Data'!W1988</f>
        <v/>
      </c>
      <c r="B1989" s="112" t="str">
        <f>'Sampling Data'!A1988</f>
        <v>SOUTH EUCLID -04-D - ABS</v>
      </c>
      <c r="C1989" s="112">
        <f>'Sampling Data'!B1988</f>
        <v>5</v>
      </c>
      <c r="D1989" s="112">
        <f>'Sampling Data'!C1988</f>
        <v>13</v>
      </c>
      <c r="E1989" s="113">
        <f>'Sampling Data'!D1988</f>
        <v>2</v>
      </c>
      <c r="F1989" s="113">
        <f>'Sampling Data'!E1988</f>
        <v>5</v>
      </c>
      <c r="G1989" s="113">
        <f>'Sampling Data'!F1988</f>
        <v>0</v>
      </c>
      <c r="H1989" s="113">
        <f>'Sampling Data'!G1988</f>
        <v>0</v>
      </c>
      <c r="I1989" s="112">
        <f>'Sampling Data'!H1988</f>
        <v>0</v>
      </c>
      <c r="J1989" s="112">
        <f>'Sampling Data'!I1988</f>
        <v>1</v>
      </c>
      <c r="K1989" s="112">
        <f>'Sampling Data'!J1988</f>
        <v>26</v>
      </c>
      <c r="L1989" s="111">
        <f>'Sampling Data'!X1988</f>
        <v>0</v>
      </c>
      <c r="M1989" s="114"/>
      <c r="N1989" s="114"/>
      <c r="O1989" s="115"/>
      <c r="P1989" s="115"/>
      <c r="Q1989" s="116"/>
      <c r="R1989" s="116"/>
      <c r="S1989" s="111">
        <f>Audit[[#This Row],[Audit Losing Candidate]]-Audit[[#This Row],[Losing Candidate]]</f>
        <v>-5</v>
      </c>
      <c r="T1989" s="111">
        <f>Audit[[#This Row],[Audit Winning Candidate]]-Audit[[#This Row],[Winning Candidate]]</f>
        <v>-13</v>
      </c>
      <c r="U1989" s="111">
        <f>Audit[[#This Row],[Audit Candidate 3]]-Audit[[#This Row],[Candidate 3]]</f>
        <v>-2</v>
      </c>
      <c r="V1989" s="111">
        <f>Audit[[#This Row],[Audit Candidate 4]]-Audit[[#This Row],[Candidate 4]]</f>
        <v>-5</v>
      </c>
      <c r="W1989" s="111">
        <f>Audit[[#This Row],[Audit Candidate 5]]-Audit[[#This Row],[Candidate 5]]</f>
        <v>0</v>
      </c>
      <c r="X1989" s="111">
        <f>Audit[[#This Row],[Audit Candidate 6]]-Audit[[#This Row],[Candidate 6]]</f>
        <v>0</v>
      </c>
      <c r="Y1989" s="111">
        <f>SUMIF(Audit[[#This Row],[Difference Loser]:[Difference Candidate 6]], "&gt;0")</f>
        <v>0</v>
      </c>
      <c r="Z1989" s="111">
        <f>SUM(Audit[[#This Row],[Difference Loser]:[Difference Candidate 6]])</f>
        <v>-25</v>
      </c>
      <c r="AA1989" s="111">
        <f>IF(Audit[[#This Row],[Times p Drawn - With Replacement]]&gt;0, IF(Audit[[#This Row],[Canceled Differences]]&lt;0, Audit[[#This Row],[Max Differences]]+ABS(Audit[[#This Row],[Canceled Differences]]), Audit[[#This Row],[Max Differences]]), 0)</f>
        <v>0</v>
      </c>
      <c r="AB1989" s="111">
        <f>'Sampling Data'!P1988</f>
        <v>2.0823125918667321E-3</v>
      </c>
      <c r="AC1989" s="111">
        <f>IF(
      SUM(Audit[[#This Row],[Audit Losing Candidate]:[Audit Candidate 6]])
      &lt;&gt;0,
      (Audit[[#This Row],[Winning Candidate]]-Audit[[#This Row],[Losing Candidate]]-(Audit[[#This Row],[Audit Winning Candidate]]-Audit[[#This Row],[Audit Losing Candidate]]))/(Audit[[#Totals],[Winning Candidate]]-Audit[[#Totals],[Losing Candidate]]),
      0
)</f>
        <v>0</v>
      </c>
      <c r="AD19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9" s="111">
        <f>IF(Audit[[#This Row],[Max Relative Error (ep)]] = 0, 0, Audit[[#This Row],[Max Relative Error (ep)]]/Audit[[#This Row],[Error Bound (up) - Max. possible relative overstatement]])</f>
        <v>0</v>
      </c>
      <c r="AJ19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89" s="111">
        <f t="shared" ref="AK1989:AK2052" si="31">IF(ISERR(POWER(AJ1989,L1989)), 0, POWER(AJ1989,L1989))</f>
        <v>1</v>
      </c>
      <c r="AL1989" s="111">
        <f>PRODUCT($AK$5:AK1989)</f>
        <v>8.962823818226312E-2</v>
      </c>
      <c r="AM1989" s="109">
        <f>1 - [K-M P Value]</f>
        <v>0.91037176181773694</v>
      </c>
      <c r="AN1989" s="111" t="str">
        <f>IF(Audit[[#This Row],[K-M P Value]]&gt;1-'General Info'!$B$16,"Continue", "Stop")</f>
        <v>Stop</v>
      </c>
      <c r="AO1989" s="110" t="b">
        <f>IF(Audit[[#This Row],[Status - Continue or stop audit]] = "Continue", TRUE, IF(AN1988 = "Continue", TRUE, FALSE))</f>
        <v>0</v>
      </c>
      <c r="AP1989" s="110"/>
    </row>
    <row r="1990" spans="1:42" ht="15" hidden="1" customHeight="1">
      <c r="A1990" s="111" t="str">
        <f>'Sampling Data'!W1989</f>
        <v/>
      </c>
      <c r="B1990" s="112" t="str">
        <f>'Sampling Data'!A1989</f>
        <v>STRONGSVILLE -01-A</v>
      </c>
      <c r="C1990" s="112">
        <f>'Sampling Data'!B1989</f>
        <v>56</v>
      </c>
      <c r="D1990" s="112">
        <f>'Sampling Data'!C1989</f>
        <v>77</v>
      </c>
      <c r="E1990" s="113">
        <f>'Sampling Data'!D1989</f>
        <v>25</v>
      </c>
      <c r="F1990" s="113">
        <f>'Sampling Data'!E1989</f>
        <v>10</v>
      </c>
      <c r="G1990" s="113">
        <f>'Sampling Data'!F1989</f>
        <v>2</v>
      </c>
      <c r="H1990" s="113">
        <f>'Sampling Data'!G1989</f>
        <v>0</v>
      </c>
      <c r="I1990" s="112">
        <f>'Sampling Data'!H1989</f>
        <v>0</v>
      </c>
      <c r="J1990" s="112">
        <f>'Sampling Data'!I1989</f>
        <v>3</v>
      </c>
      <c r="K1990" s="112">
        <f>'Sampling Data'!J1989</f>
        <v>173</v>
      </c>
      <c r="L1990" s="111">
        <f>'Sampling Data'!X1989</f>
        <v>0</v>
      </c>
      <c r="M1990" s="114"/>
      <c r="N1990" s="114"/>
      <c r="O1990" s="115"/>
      <c r="P1990" s="115"/>
      <c r="Q1990" s="116"/>
      <c r="R1990" s="116"/>
      <c r="S1990" s="111">
        <f>Audit[[#This Row],[Audit Losing Candidate]]-Audit[[#This Row],[Losing Candidate]]</f>
        <v>-56</v>
      </c>
      <c r="T1990" s="111">
        <f>Audit[[#This Row],[Audit Winning Candidate]]-Audit[[#This Row],[Winning Candidate]]</f>
        <v>-77</v>
      </c>
      <c r="U1990" s="111">
        <f>Audit[[#This Row],[Audit Candidate 3]]-Audit[[#This Row],[Candidate 3]]</f>
        <v>-25</v>
      </c>
      <c r="V1990" s="111">
        <f>Audit[[#This Row],[Audit Candidate 4]]-Audit[[#This Row],[Candidate 4]]</f>
        <v>-10</v>
      </c>
      <c r="W1990" s="111">
        <f>Audit[[#This Row],[Audit Candidate 5]]-Audit[[#This Row],[Candidate 5]]</f>
        <v>-2</v>
      </c>
      <c r="X1990" s="111">
        <f>Audit[[#This Row],[Audit Candidate 6]]-Audit[[#This Row],[Candidate 6]]</f>
        <v>0</v>
      </c>
      <c r="Y1990" s="111">
        <f>SUMIF(Audit[[#This Row],[Difference Loser]:[Difference Candidate 6]], "&gt;0")</f>
        <v>0</v>
      </c>
      <c r="Z1990" s="111">
        <f>SUM(Audit[[#This Row],[Difference Loser]:[Difference Candidate 6]])</f>
        <v>-170</v>
      </c>
      <c r="AA1990" s="111">
        <f>IF(Audit[[#This Row],[Times p Drawn - With Replacement]]&gt;0, IF(Audit[[#This Row],[Canceled Differences]]&lt;0, Audit[[#This Row],[Max Differences]]+ABS(Audit[[#This Row],[Canceled Differences]]), Audit[[#This Row],[Max Differences]]), 0)</f>
        <v>0</v>
      </c>
      <c r="AB1990" s="111">
        <f>'Sampling Data'!P1989</f>
        <v>1.1881430671239588E-2</v>
      </c>
      <c r="AC1990" s="111">
        <f>IF(
      SUM(Audit[[#This Row],[Audit Losing Candidate]:[Audit Candidate 6]])
      &lt;&gt;0,
      (Audit[[#This Row],[Winning Candidate]]-Audit[[#This Row],[Losing Candidate]]-(Audit[[#This Row],[Audit Winning Candidate]]-Audit[[#This Row],[Audit Losing Candidate]]))/(Audit[[#Totals],[Winning Candidate]]-Audit[[#Totals],[Losing Candidate]]),
      0
)</f>
        <v>0</v>
      </c>
      <c r="AD19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0" s="111">
        <f>IF(Audit[[#This Row],[Max Relative Error (ep)]] = 0, 0, Audit[[#This Row],[Max Relative Error (ep)]]/Audit[[#This Row],[Error Bound (up) - Max. possible relative overstatement]])</f>
        <v>0</v>
      </c>
      <c r="AJ19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90" s="111">
        <f t="shared" si="31"/>
        <v>1</v>
      </c>
      <c r="AL1990" s="111">
        <f>PRODUCT($AK$5:AK1990)</f>
        <v>8.962823818226312E-2</v>
      </c>
      <c r="AM1990" s="109">
        <f>1 - [K-M P Value]</f>
        <v>0.91037176181773694</v>
      </c>
      <c r="AN1990" s="111" t="str">
        <f>IF(Audit[[#This Row],[K-M P Value]]&gt;1-'General Info'!$B$16,"Continue", "Stop")</f>
        <v>Stop</v>
      </c>
      <c r="AO1990" s="110" t="b">
        <f>IF(Audit[[#This Row],[Status - Continue or stop audit]] = "Continue", TRUE, IF(AN1989 = "Continue", TRUE, FALSE))</f>
        <v>0</v>
      </c>
      <c r="AP1990" s="110"/>
    </row>
    <row r="1991" spans="1:42" ht="15" hidden="1" customHeight="1">
      <c r="A1991" s="111" t="str">
        <f>'Sampling Data'!W1990</f>
        <v/>
      </c>
      <c r="B1991" s="112" t="str">
        <f>'Sampling Data'!A1990</f>
        <v>STRONGSVILLE -01-A - ABS</v>
      </c>
      <c r="C1991" s="112">
        <f>'Sampling Data'!B1990</f>
        <v>31</v>
      </c>
      <c r="D1991" s="112">
        <f>'Sampling Data'!C1990</f>
        <v>40</v>
      </c>
      <c r="E1991" s="113">
        <f>'Sampling Data'!D1990</f>
        <v>19</v>
      </c>
      <c r="F1991" s="113">
        <f>'Sampling Data'!E1990</f>
        <v>1</v>
      </c>
      <c r="G1991" s="113">
        <f>'Sampling Data'!F1990</f>
        <v>0</v>
      </c>
      <c r="H1991" s="113">
        <f>'Sampling Data'!G1990</f>
        <v>0</v>
      </c>
      <c r="I1991" s="112">
        <f>'Sampling Data'!H1990</f>
        <v>0</v>
      </c>
      <c r="J1991" s="112">
        <f>'Sampling Data'!I1990</f>
        <v>1</v>
      </c>
      <c r="K1991" s="112">
        <f>'Sampling Data'!J1990</f>
        <v>92</v>
      </c>
      <c r="L1991" s="111">
        <f>'Sampling Data'!X1990</f>
        <v>0</v>
      </c>
      <c r="M1991" s="114"/>
      <c r="N1991" s="114"/>
      <c r="O1991" s="115"/>
      <c r="P1991" s="115"/>
      <c r="Q1991" s="116"/>
      <c r="R1991" s="116"/>
      <c r="S1991" s="111">
        <f>Audit[[#This Row],[Audit Losing Candidate]]-Audit[[#This Row],[Losing Candidate]]</f>
        <v>-31</v>
      </c>
      <c r="T1991" s="111">
        <f>Audit[[#This Row],[Audit Winning Candidate]]-Audit[[#This Row],[Winning Candidate]]</f>
        <v>-40</v>
      </c>
      <c r="U1991" s="111">
        <f>Audit[[#This Row],[Audit Candidate 3]]-Audit[[#This Row],[Candidate 3]]</f>
        <v>-19</v>
      </c>
      <c r="V1991" s="111">
        <f>Audit[[#This Row],[Audit Candidate 4]]-Audit[[#This Row],[Candidate 4]]</f>
        <v>-1</v>
      </c>
      <c r="W1991" s="111">
        <f>Audit[[#This Row],[Audit Candidate 5]]-Audit[[#This Row],[Candidate 5]]</f>
        <v>0</v>
      </c>
      <c r="X1991" s="111">
        <f>Audit[[#This Row],[Audit Candidate 6]]-Audit[[#This Row],[Candidate 6]]</f>
        <v>0</v>
      </c>
      <c r="Y1991" s="111">
        <f>SUMIF(Audit[[#This Row],[Difference Loser]:[Difference Candidate 6]], "&gt;0")</f>
        <v>0</v>
      </c>
      <c r="Z1991" s="111">
        <f>SUM(Audit[[#This Row],[Difference Loser]:[Difference Candidate 6]])</f>
        <v>-91</v>
      </c>
      <c r="AA1991" s="111">
        <f>IF(Audit[[#This Row],[Times p Drawn - With Replacement]]&gt;0, IF(Audit[[#This Row],[Canceled Differences]]&lt;0, Audit[[#This Row],[Max Differences]]+ABS(Audit[[#This Row],[Canceled Differences]]), Audit[[#This Row],[Max Differences]]), 0)</f>
        <v>0</v>
      </c>
      <c r="AB1991" s="111">
        <f>'Sampling Data'!P1990</f>
        <v>6.1856932876041158E-3</v>
      </c>
      <c r="AC1991" s="111">
        <f>IF(
      SUM(Audit[[#This Row],[Audit Losing Candidate]:[Audit Candidate 6]])
      &lt;&gt;0,
      (Audit[[#This Row],[Winning Candidate]]-Audit[[#This Row],[Losing Candidate]]-(Audit[[#This Row],[Audit Winning Candidate]]-Audit[[#This Row],[Audit Losing Candidate]]))/(Audit[[#Totals],[Winning Candidate]]-Audit[[#Totals],[Losing Candidate]]),
      0
)</f>
        <v>0</v>
      </c>
      <c r="AD19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1" s="111">
        <f>IF(Audit[[#This Row],[Max Relative Error (ep)]] = 0, 0, Audit[[#This Row],[Max Relative Error (ep)]]/Audit[[#This Row],[Error Bound (up) - Max. possible relative overstatement]])</f>
        <v>0</v>
      </c>
      <c r="AJ19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91" s="111">
        <f t="shared" si="31"/>
        <v>1</v>
      </c>
      <c r="AL1991" s="111">
        <f>PRODUCT($AK$5:AK1991)</f>
        <v>8.962823818226312E-2</v>
      </c>
      <c r="AM1991" s="109">
        <f>1 - [K-M P Value]</f>
        <v>0.91037176181773694</v>
      </c>
      <c r="AN1991" s="111" t="str">
        <f>IF(Audit[[#This Row],[K-M P Value]]&gt;1-'General Info'!$B$16,"Continue", "Stop")</f>
        <v>Stop</v>
      </c>
      <c r="AO1991" s="110" t="b">
        <f>IF(Audit[[#This Row],[Status - Continue or stop audit]] = "Continue", TRUE, IF(AN1990 = "Continue", TRUE, FALSE))</f>
        <v>0</v>
      </c>
      <c r="AP1991" s="110"/>
    </row>
    <row r="1992" spans="1:42" ht="15" hidden="1" customHeight="1">
      <c r="A1992" s="111" t="str">
        <f>'Sampling Data'!W1991</f>
        <v/>
      </c>
      <c r="B1992" s="112" t="str">
        <f>'Sampling Data'!A1991</f>
        <v>STRONGSVILLE -01-B</v>
      </c>
      <c r="C1992" s="112">
        <f>'Sampling Data'!B1991</f>
        <v>10</v>
      </c>
      <c r="D1992" s="112">
        <f>'Sampling Data'!C1991</f>
        <v>9</v>
      </c>
      <c r="E1992" s="113">
        <f>'Sampling Data'!D1991</f>
        <v>3</v>
      </c>
      <c r="F1992" s="113">
        <f>'Sampling Data'!E1991</f>
        <v>6</v>
      </c>
      <c r="G1992" s="113">
        <f>'Sampling Data'!F1991</f>
        <v>0</v>
      </c>
      <c r="H1992" s="113">
        <f>'Sampling Data'!G1991</f>
        <v>1</v>
      </c>
      <c r="I1992" s="112">
        <f>'Sampling Data'!H1991</f>
        <v>0</v>
      </c>
      <c r="J1992" s="112">
        <f>'Sampling Data'!I1991</f>
        <v>0</v>
      </c>
      <c r="K1992" s="112">
        <f>'Sampling Data'!J1991</f>
        <v>29</v>
      </c>
      <c r="L1992" s="111">
        <f>'Sampling Data'!X1991</f>
        <v>0</v>
      </c>
      <c r="M1992" s="114"/>
      <c r="N1992" s="114"/>
      <c r="O1992" s="115"/>
      <c r="P1992" s="115"/>
      <c r="Q1992" s="116"/>
      <c r="R1992" s="116"/>
      <c r="S1992" s="111">
        <f>Audit[[#This Row],[Audit Losing Candidate]]-Audit[[#This Row],[Losing Candidate]]</f>
        <v>-10</v>
      </c>
      <c r="T1992" s="111">
        <f>Audit[[#This Row],[Audit Winning Candidate]]-Audit[[#This Row],[Winning Candidate]]</f>
        <v>-9</v>
      </c>
      <c r="U1992" s="111">
        <f>Audit[[#This Row],[Audit Candidate 3]]-Audit[[#This Row],[Candidate 3]]</f>
        <v>-3</v>
      </c>
      <c r="V1992" s="111">
        <f>Audit[[#This Row],[Audit Candidate 4]]-Audit[[#This Row],[Candidate 4]]</f>
        <v>-6</v>
      </c>
      <c r="W1992" s="111">
        <f>Audit[[#This Row],[Audit Candidate 5]]-Audit[[#This Row],[Candidate 5]]</f>
        <v>0</v>
      </c>
      <c r="X1992" s="111">
        <f>Audit[[#This Row],[Audit Candidate 6]]-Audit[[#This Row],[Candidate 6]]</f>
        <v>-1</v>
      </c>
      <c r="Y1992" s="111">
        <f>SUMIF(Audit[[#This Row],[Difference Loser]:[Difference Candidate 6]], "&gt;0")</f>
        <v>0</v>
      </c>
      <c r="Z1992" s="111">
        <f>SUM(Audit[[#This Row],[Difference Loser]:[Difference Candidate 6]])</f>
        <v>-29</v>
      </c>
      <c r="AA1992" s="111">
        <f>IF(Audit[[#This Row],[Times p Drawn - With Replacement]]&gt;0, IF(Audit[[#This Row],[Canceled Differences]]&lt;0, Audit[[#This Row],[Max Differences]]+ABS(Audit[[#This Row],[Canceled Differences]]), Audit[[#This Row],[Max Differences]]), 0)</f>
        <v>0</v>
      </c>
      <c r="AB1992" s="111">
        <f>'Sampling Data'!P1991</f>
        <v>1.7148456638902498E-3</v>
      </c>
      <c r="AC1992" s="111">
        <f>IF(
      SUM(Audit[[#This Row],[Audit Losing Candidate]:[Audit Candidate 6]])
      &lt;&gt;0,
      (Audit[[#This Row],[Winning Candidate]]-Audit[[#This Row],[Losing Candidate]]-(Audit[[#This Row],[Audit Winning Candidate]]-Audit[[#This Row],[Audit Losing Candidate]]))/(Audit[[#Totals],[Winning Candidate]]-Audit[[#Totals],[Losing Candidate]]),
      0
)</f>
        <v>0</v>
      </c>
      <c r="AD19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2" s="111">
        <f>IF(Audit[[#This Row],[Max Relative Error (ep)]] = 0, 0, Audit[[#This Row],[Max Relative Error (ep)]]/Audit[[#This Row],[Error Bound (up) - Max. possible relative overstatement]])</f>
        <v>0</v>
      </c>
      <c r="AJ19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92" s="111">
        <f t="shared" si="31"/>
        <v>1</v>
      </c>
      <c r="AL1992" s="111">
        <f>PRODUCT($AK$5:AK1992)</f>
        <v>8.962823818226312E-2</v>
      </c>
      <c r="AM1992" s="109">
        <f>1 - [K-M P Value]</f>
        <v>0.91037176181773694</v>
      </c>
      <c r="AN1992" s="111" t="str">
        <f>IF(Audit[[#This Row],[K-M P Value]]&gt;1-'General Info'!$B$16,"Continue", "Stop")</f>
        <v>Stop</v>
      </c>
      <c r="AO1992" s="110" t="b">
        <f>IF(Audit[[#This Row],[Status - Continue or stop audit]] = "Continue", TRUE, IF(AN1991 = "Continue", TRUE, FALSE))</f>
        <v>0</v>
      </c>
      <c r="AP1992" s="110"/>
    </row>
    <row r="1993" spans="1:42" ht="15" hidden="1" customHeight="1">
      <c r="A1993" s="111" t="str">
        <f>'Sampling Data'!W1992</f>
        <v/>
      </c>
      <c r="B1993" s="112" t="str">
        <f>'Sampling Data'!A1992</f>
        <v>STRONGSVILLE -01-B - ABS</v>
      </c>
      <c r="C1993" s="112">
        <f>'Sampling Data'!B1992</f>
        <v>3</v>
      </c>
      <c r="D1993" s="112">
        <f>'Sampling Data'!C1992</f>
        <v>5</v>
      </c>
      <c r="E1993" s="113">
        <f>'Sampling Data'!D1992</f>
        <v>0</v>
      </c>
      <c r="F1993" s="113">
        <f>'Sampling Data'!E1992</f>
        <v>1</v>
      </c>
      <c r="G1993" s="113">
        <f>'Sampling Data'!F1992</f>
        <v>0</v>
      </c>
      <c r="H1993" s="113">
        <f>'Sampling Data'!G1992</f>
        <v>0</v>
      </c>
      <c r="I1993" s="112">
        <f>'Sampling Data'!H1992</f>
        <v>0</v>
      </c>
      <c r="J1993" s="112">
        <f>'Sampling Data'!I1992</f>
        <v>0</v>
      </c>
      <c r="K1993" s="112">
        <f>'Sampling Data'!J1992</f>
        <v>9</v>
      </c>
      <c r="L1993" s="111">
        <f>'Sampling Data'!X1992</f>
        <v>0</v>
      </c>
      <c r="M1993" s="114"/>
      <c r="N1993" s="114"/>
      <c r="O1993" s="115"/>
      <c r="P1993" s="115"/>
      <c r="Q1993" s="116"/>
      <c r="R1993" s="116"/>
      <c r="S1993" s="111">
        <f>Audit[[#This Row],[Audit Losing Candidate]]-Audit[[#This Row],[Losing Candidate]]</f>
        <v>-3</v>
      </c>
      <c r="T1993" s="111">
        <f>Audit[[#This Row],[Audit Winning Candidate]]-Audit[[#This Row],[Winning Candidate]]</f>
        <v>-5</v>
      </c>
      <c r="U1993" s="111">
        <f>Audit[[#This Row],[Audit Candidate 3]]-Audit[[#This Row],[Candidate 3]]</f>
        <v>0</v>
      </c>
      <c r="V1993" s="111">
        <f>Audit[[#This Row],[Audit Candidate 4]]-Audit[[#This Row],[Candidate 4]]</f>
        <v>-1</v>
      </c>
      <c r="W1993" s="111">
        <f>Audit[[#This Row],[Audit Candidate 5]]-Audit[[#This Row],[Candidate 5]]</f>
        <v>0</v>
      </c>
      <c r="X1993" s="111">
        <f>Audit[[#This Row],[Audit Candidate 6]]-Audit[[#This Row],[Candidate 6]]</f>
        <v>0</v>
      </c>
      <c r="Y1993" s="111">
        <f>SUMIF(Audit[[#This Row],[Difference Loser]:[Difference Candidate 6]], "&gt;0")</f>
        <v>0</v>
      </c>
      <c r="Z1993" s="111">
        <f>SUM(Audit[[#This Row],[Difference Loser]:[Difference Candidate 6]])</f>
        <v>-9</v>
      </c>
      <c r="AA1993" s="111">
        <f>IF(Audit[[#This Row],[Times p Drawn - With Replacement]]&gt;0, IF(Audit[[#This Row],[Canceled Differences]]&lt;0, Audit[[#This Row],[Max Differences]]+ABS(Audit[[#This Row],[Canceled Differences]]), Audit[[#This Row],[Max Differences]]), 0)</f>
        <v>0</v>
      </c>
      <c r="AB1993" s="111">
        <f>'Sampling Data'!P1992</f>
        <v>6.7368936795688392E-4</v>
      </c>
      <c r="AC1993" s="111">
        <f>IF(
      SUM(Audit[[#This Row],[Audit Losing Candidate]:[Audit Candidate 6]])
      &lt;&gt;0,
      (Audit[[#This Row],[Winning Candidate]]-Audit[[#This Row],[Losing Candidate]]-(Audit[[#This Row],[Audit Winning Candidate]]-Audit[[#This Row],[Audit Losing Candidate]]))/(Audit[[#Totals],[Winning Candidate]]-Audit[[#Totals],[Losing Candidate]]),
      0
)</f>
        <v>0</v>
      </c>
      <c r="AD19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3" s="111">
        <f>IF(Audit[[#This Row],[Max Relative Error (ep)]] = 0, 0, Audit[[#This Row],[Max Relative Error (ep)]]/Audit[[#This Row],[Error Bound (up) - Max. possible relative overstatement]])</f>
        <v>0</v>
      </c>
      <c r="AJ19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93" s="111">
        <f t="shared" si="31"/>
        <v>1</v>
      </c>
      <c r="AL1993" s="111">
        <f>PRODUCT($AK$5:AK1993)</f>
        <v>8.962823818226312E-2</v>
      </c>
      <c r="AM1993" s="109">
        <f>1 - [K-M P Value]</f>
        <v>0.91037176181773694</v>
      </c>
      <c r="AN1993" s="111" t="str">
        <f>IF(Audit[[#This Row],[K-M P Value]]&gt;1-'General Info'!$B$16,"Continue", "Stop")</f>
        <v>Stop</v>
      </c>
      <c r="AO1993" s="110" t="b">
        <f>IF(Audit[[#This Row],[Status - Continue or stop audit]] = "Continue", TRUE, IF(AN1992 = "Continue", TRUE, FALSE))</f>
        <v>0</v>
      </c>
      <c r="AP1993" s="110"/>
    </row>
    <row r="1994" spans="1:42" ht="15" hidden="1" customHeight="1">
      <c r="A1994" s="111" t="str">
        <f>'Sampling Data'!W1993</f>
        <v/>
      </c>
      <c r="B1994" s="112" t="str">
        <f>'Sampling Data'!A1993</f>
        <v>STRONGSVILLE -01-C</v>
      </c>
      <c r="C1994" s="112">
        <f>'Sampling Data'!B1993</f>
        <v>44</v>
      </c>
      <c r="D1994" s="112">
        <f>'Sampling Data'!C1993</f>
        <v>90</v>
      </c>
      <c r="E1994" s="113">
        <f>'Sampling Data'!D1993</f>
        <v>34</v>
      </c>
      <c r="F1994" s="113">
        <f>'Sampling Data'!E1993</f>
        <v>14</v>
      </c>
      <c r="G1994" s="113">
        <f>'Sampling Data'!F1993</f>
        <v>0</v>
      </c>
      <c r="H1994" s="113">
        <f>'Sampling Data'!G1993</f>
        <v>0</v>
      </c>
      <c r="I1994" s="112">
        <f>'Sampling Data'!H1993</f>
        <v>0</v>
      </c>
      <c r="J1994" s="112">
        <f>'Sampling Data'!I1993</f>
        <v>2</v>
      </c>
      <c r="K1994" s="112">
        <f>'Sampling Data'!J1993</f>
        <v>184</v>
      </c>
      <c r="L1994" s="111">
        <f>'Sampling Data'!X1993</f>
        <v>0</v>
      </c>
      <c r="M1994" s="114"/>
      <c r="N1994" s="114"/>
      <c r="O1994" s="115"/>
      <c r="P1994" s="115"/>
      <c r="Q1994" s="116"/>
      <c r="R1994" s="116"/>
      <c r="S1994" s="111">
        <f>Audit[[#This Row],[Audit Losing Candidate]]-Audit[[#This Row],[Losing Candidate]]</f>
        <v>-44</v>
      </c>
      <c r="T1994" s="111">
        <f>Audit[[#This Row],[Audit Winning Candidate]]-Audit[[#This Row],[Winning Candidate]]</f>
        <v>-90</v>
      </c>
      <c r="U1994" s="111">
        <f>Audit[[#This Row],[Audit Candidate 3]]-Audit[[#This Row],[Candidate 3]]</f>
        <v>-34</v>
      </c>
      <c r="V1994" s="111">
        <f>Audit[[#This Row],[Audit Candidate 4]]-Audit[[#This Row],[Candidate 4]]</f>
        <v>-14</v>
      </c>
      <c r="W1994" s="111">
        <f>Audit[[#This Row],[Audit Candidate 5]]-Audit[[#This Row],[Candidate 5]]</f>
        <v>0</v>
      </c>
      <c r="X1994" s="111">
        <f>Audit[[#This Row],[Audit Candidate 6]]-Audit[[#This Row],[Candidate 6]]</f>
        <v>0</v>
      </c>
      <c r="Y1994" s="111">
        <f>SUMIF(Audit[[#This Row],[Difference Loser]:[Difference Candidate 6]], "&gt;0")</f>
        <v>0</v>
      </c>
      <c r="Z1994" s="111">
        <f>SUM(Audit[[#This Row],[Difference Loser]:[Difference Candidate 6]])</f>
        <v>-182</v>
      </c>
      <c r="AA1994" s="111">
        <f>IF(Audit[[#This Row],[Times p Drawn - With Replacement]]&gt;0, IF(Audit[[#This Row],[Canceled Differences]]&lt;0, Audit[[#This Row],[Max Differences]]+ABS(Audit[[#This Row],[Canceled Differences]]), Audit[[#This Row],[Max Differences]]), 0)</f>
        <v>0</v>
      </c>
      <c r="AB1994" s="111">
        <f>'Sampling Data'!P1993</f>
        <v>1.4086232239098481E-2</v>
      </c>
      <c r="AC1994" s="111">
        <f>IF(
      SUM(Audit[[#This Row],[Audit Losing Candidate]:[Audit Candidate 6]])
      &lt;&gt;0,
      (Audit[[#This Row],[Winning Candidate]]-Audit[[#This Row],[Losing Candidate]]-(Audit[[#This Row],[Audit Winning Candidate]]-Audit[[#This Row],[Audit Losing Candidate]]))/(Audit[[#Totals],[Winning Candidate]]-Audit[[#Totals],[Losing Candidate]]),
      0
)</f>
        <v>0</v>
      </c>
      <c r="AD19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4" s="111">
        <f>IF(Audit[[#This Row],[Max Relative Error (ep)]] = 0, 0, Audit[[#This Row],[Max Relative Error (ep)]]/Audit[[#This Row],[Error Bound (up) - Max. possible relative overstatement]])</f>
        <v>0</v>
      </c>
      <c r="AJ19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94" s="111">
        <f t="shared" si="31"/>
        <v>1</v>
      </c>
      <c r="AL1994" s="111">
        <f>PRODUCT($AK$5:AK1994)</f>
        <v>8.962823818226312E-2</v>
      </c>
      <c r="AM1994" s="109">
        <f>1 - [K-M P Value]</f>
        <v>0.91037176181773694</v>
      </c>
      <c r="AN1994" s="111" t="str">
        <f>IF(Audit[[#This Row],[K-M P Value]]&gt;1-'General Info'!$B$16,"Continue", "Stop")</f>
        <v>Stop</v>
      </c>
      <c r="AO1994" s="110" t="b">
        <f>IF(Audit[[#This Row],[Status - Continue or stop audit]] = "Continue", TRUE, IF(AN1993 = "Continue", TRUE, FALSE))</f>
        <v>0</v>
      </c>
      <c r="AP1994" s="110"/>
    </row>
    <row r="1995" spans="1:42" ht="15" hidden="1" customHeight="1">
      <c r="A1995" s="111" t="str">
        <f>'Sampling Data'!W1994</f>
        <v/>
      </c>
      <c r="B1995" s="112" t="str">
        <f>'Sampling Data'!A1994</f>
        <v>STRONGSVILLE -01-C - ABS</v>
      </c>
      <c r="C1995" s="112">
        <f>'Sampling Data'!B1994</f>
        <v>21</v>
      </c>
      <c r="D1995" s="112">
        <f>'Sampling Data'!C1994</f>
        <v>35</v>
      </c>
      <c r="E1995" s="113">
        <f>'Sampling Data'!D1994</f>
        <v>4</v>
      </c>
      <c r="F1995" s="113">
        <f>'Sampling Data'!E1994</f>
        <v>3</v>
      </c>
      <c r="G1995" s="113">
        <f>'Sampling Data'!F1994</f>
        <v>0</v>
      </c>
      <c r="H1995" s="113">
        <f>'Sampling Data'!G1994</f>
        <v>0</v>
      </c>
      <c r="I1995" s="112">
        <f>'Sampling Data'!H1994</f>
        <v>0</v>
      </c>
      <c r="J1995" s="112">
        <f>'Sampling Data'!I1994</f>
        <v>1</v>
      </c>
      <c r="K1995" s="112">
        <f>'Sampling Data'!J1994</f>
        <v>64</v>
      </c>
      <c r="L1995" s="111">
        <f>'Sampling Data'!X1994</f>
        <v>0</v>
      </c>
      <c r="M1995" s="114"/>
      <c r="N1995" s="114"/>
      <c r="O1995" s="115"/>
      <c r="P1995" s="115"/>
      <c r="Q1995" s="116"/>
      <c r="R1995" s="116"/>
      <c r="S1995" s="111">
        <f>Audit[[#This Row],[Audit Losing Candidate]]-Audit[[#This Row],[Losing Candidate]]</f>
        <v>-21</v>
      </c>
      <c r="T1995" s="111">
        <f>Audit[[#This Row],[Audit Winning Candidate]]-Audit[[#This Row],[Winning Candidate]]</f>
        <v>-35</v>
      </c>
      <c r="U1995" s="111">
        <f>Audit[[#This Row],[Audit Candidate 3]]-Audit[[#This Row],[Candidate 3]]</f>
        <v>-4</v>
      </c>
      <c r="V1995" s="111">
        <f>Audit[[#This Row],[Audit Candidate 4]]-Audit[[#This Row],[Candidate 4]]</f>
        <v>-3</v>
      </c>
      <c r="W1995" s="111">
        <f>Audit[[#This Row],[Audit Candidate 5]]-Audit[[#This Row],[Candidate 5]]</f>
        <v>0</v>
      </c>
      <c r="X1995" s="111">
        <f>Audit[[#This Row],[Audit Candidate 6]]-Audit[[#This Row],[Candidate 6]]</f>
        <v>0</v>
      </c>
      <c r="Y1995" s="111">
        <f>SUMIF(Audit[[#This Row],[Difference Loser]:[Difference Candidate 6]], "&gt;0")</f>
        <v>0</v>
      </c>
      <c r="Z1995" s="111">
        <f>SUM(Audit[[#This Row],[Difference Loser]:[Difference Candidate 6]])</f>
        <v>-63</v>
      </c>
      <c r="AA1995" s="111">
        <f>IF(Audit[[#This Row],[Times p Drawn - With Replacement]]&gt;0, IF(Audit[[#This Row],[Canceled Differences]]&lt;0, Audit[[#This Row],[Max Differences]]+ABS(Audit[[#This Row],[Canceled Differences]]), Audit[[#This Row],[Max Differences]]), 0)</f>
        <v>0</v>
      </c>
      <c r="AB1995" s="111">
        <f>'Sampling Data'!P1994</f>
        <v>4.7770700636942673E-3</v>
      </c>
      <c r="AC1995" s="111">
        <f>IF(
      SUM(Audit[[#This Row],[Audit Losing Candidate]:[Audit Candidate 6]])
      &lt;&gt;0,
      (Audit[[#This Row],[Winning Candidate]]-Audit[[#This Row],[Losing Candidate]]-(Audit[[#This Row],[Audit Winning Candidate]]-Audit[[#This Row],[Audit Losing Candidate]]))/(Audit[[#Totals],[Winning Candidate]]-Audit[[#Totals],[Losing Candidate]]),
      0
)</f>
        <v>0</v>
      </c>
      <c r="AD19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5" s="111">
        <f>IF(Audit[[#This Row],[Max Relative Error (ep)]] = 0, 0, Audit[[#This Row],[Max Relative Error (ep)]]/Audit[[#This Row],[Error Bound (up) - Max. possible relative overstatement]])</f>
        <v>0</v>
      </c>
      <c r="AJ19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95" s="111">
        <f t="shared" si="31"/>
        <v>1</v>
      </c>
      <c r="AL1995" s="111">
        <f>PRODUCT($AK$5:AK1995)</f>
        <v>8.962823818226312E-2</v>
      </c>
      <c r="AM1995" s="109">
        <f>1 - [K-M P Value]</f>
        <v>0.91037176181773694</v>
      </c>
      <c r="AN1995" s="111" t="str">
        <f>IF(Audit[[#This Row],[K-M P Value]]&gt;1-'General Info'!$B$16,"Continue", "Stop")</f>
        <v>Stop</v>
      </c>
      <c r="AO1995" s="110" t="b">
        <f>IF(Audit[[#This Row],[Status - Continue or stop audit]] = "Continue", TRUE, IF(AN1994 = "Continue", TRUE, FALSE))</f>
        <v>0</v>
      </c>
      <c r="AP1995" s="110"/>
    </row>
    <row r="1996" spans="1:42" ht="15" hidden="1" customHeight="1">
      <c r="A1996" s="111" t="str">
        <f>'Sampling Data'!W1995</f>
        <v/>
      </c>
      <c r="B1996" s="112" t="str">
        <f>'Sampling Data'!A1995</f>
        <v>STRONGSVILLE -01-D</v>
      </c>
      <c r="C1996" s="112">
        <f>'Sampling Data'!B1995</f>
        <v>58</v>
      </c>
      <c r="D1996" s="112">
        <f>'Sampling Data'!C1995</f>
        <v>98</v>
      </c>
      <c r="E1996" s="113">
        <f>'Sampling Data'!D1995</f>
        <v>23</v>
      </c>
      <c r="F1996" s="113">
        <f>'Sampling Data'!E1995</f>
        <v>11</v>
      </c>
      <c r="G1996" s="113">
        <f>'Sampling Data'!F1995</f>
        <v>0</v>
      </c>
      <c r="H1996" s="113">
        <f>'Sampling Data'!G1995</f>
        <v>1</v>
      </c>
      <c r="I1996" s="112">
        <f>'Sampling Data'!H1995</f>
        <v>0</v>
      </c>
      <c r="J1996" s="112">
        <f>'Sampling Data'!I1995</f>
        <v>4</v>
      </c>
      <c r="K1996" s="112">
        <f>'Sampling Data'!J1995</f>
        <v>195</v>
      </c>
      <c r="L1996" s="111">
        <f>'Sampling Data'!X1995</f>
        <v>0</v>
      </c>
      <c r="M1996" s="114"/>
      <c r="N1996" s="114"/>
      <c r="O1996" s="115"/>
      <c r="P1996" s="115"/>
      <c r="Q1996" s="116"/>
      <c r="R1996" s="116"/>
      <c r="S1996" s="111">
        <f>Audit[[#This Row],[Audit Losing Candidate]]-Audit[[#This Row],[Losing Candidate]]</f>
        <v>-58</v>
      </c>
      <c r="T1996" s="111">
        <f>Audit[[#This Row],[Audit Winning Candidate]]-Audit[[#This Row],[Winning Candidate]]</f>
        <v>-98</v>
      </c>
      <c r="U1996" s="111">
        <f>Audit[[#This Row],[Audit Candidate 3]]-Audit[[#This Row],[Candidate 3]]</f>
        <v>-23</v>
      </c>
      <c r="V1996" s="111">
        <f>Audit[[#This Row],[Audit Candidate 4]]-Audit[[#This Row],[Candidate 4]]</f>
        <v>-11</v>
      </c>
      <c r="W1996" s="111">
        <f>Audit[[#This Row],[Audit Candidate 5]]-Audit[[#This Row],[Candidate 5]]</f>
        <v>0</v>
      </c>
      <c r="X1996" s="111">
        <f>Audit[[#This Row],[Audit Candidate 6]]-Audit[[#This Row],[Candidate 6]]</f>
        <v>-1</v>
      </c>
      <c r="Y1996" s="111">
        <f>SUMIF(Audit[[#This Row],[Difference Loser]:[Difference Candidate 6]], "&gt;0")</f>
        <v>0</v>
      </c>
      <c r="Z1996" s="111">
        <f>SUM(Audit[[#This Row],[Difference Loser]:[Difference Candidate 6]])</f>
        <v>-191</v>
      </c>
      <c r="AA1996" s="111">
        <f>IF(Audit[[#This Row],[Times p Drawn - With Replacement]]&gt;0, IF(Audit[[#This Row],[Canceled Differences]]&lt;0, Audit[[#This Row],[Max Differences]]+ABS(Audit[[#This Row],[Canceled Differences]]), Audit[[#This Row],[Max Differences]]), 0)</f>
        <v>0</v>
      </c>
      <c r="AB1996" s="111">
        <f>'Sampling Data'!P1995</f>
        <v>1.4392454679078882E-2</v>
      </c>
      <c r="AC1996" s="111">
        <f>IF(
      SUM(Audit[[#This Row],[Audit Losing Candidate]:[Audit Candidate 6]])
      &lt;&gt;0,
      (Audit[[#This Row],[Winning Candidate]]-Audit[[#This Row],[Losing Candidate]]-(Audit[[#This Row],[Audit Winning Candidate]]-Audit[[#This Row],[Audit Losing Candidate]]))/(Audit[[#Totals],[Winning Candidate]]-Audit[[#Totals],[Losing Candidate]]),
      0
)</f>
        <v>0</v>
      </c>
      <c r="AD19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6" s="111">
        <f>IF(Audit[[#This Row],[Max Relative Error (ep)]] = 0, 0, Audit[[#This Row],[Max Relative Error (ep)]]/Audit[[#This Row],[Error Bound (up) - Max. possible relative overstatement]])</f>
        <v>0</v>
      </c>
      <c r="AJ19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96" s="111">
        <f t="shared" si="31"/>
        <v>1</v>
      </c>
      <c r="AL1996" s="111">
        <f>PRODUCT($AK$5:AK1996)</f>
        <v>8.962823818226312E-2</v>
      </c>
      <c r="AM1996" s="109">
        <f>1 - [K-M P Value]</f>
        <v>0.91037176181773694</v>
      </c>
      <c r="AN1996" s="111" t="str">
        <f>IF(Audit[[#This Row],[K-M P Value]]&gt;1-'General Info'!$B$16,"Continue", "Stop")</f>
        <v>Stop</v>
      </c>
      <c r="AO1996" s="110" t="b">
        <f>IF(Audit[[#This Row],[Status - Continue or stop audit]] = "Continue", TRUE, IF(AN1995 = "Continue", TRUE, FALSE))</f>
        <v>0</v>
      </c>
      <c r="AP1996" s="110"/>
    </row>
    <row r="1997" spans="1:42" ht="15" hidden="1" customHeight="1">
      <c r="A1997" s="111" t="str">
        <f>'Sampling Data'!W1996</f>
        <v/>
      </c>
      <c r="B1997" s="112" t="str">
        <f>'Sampling Data'!A1996</f>
        <v>STRONGSVILLE -01-D - ABS</v>
      </c>
      <c r="C1997" s="112">
        <f>'Sampling Data'!B1996</f>
        <v>34</v>
      </c>
      <c r="D1997" s="112">
        <f>'Sampling Data'!C1996</f>
        <v>35</v>
      </c>
      <c r="E1997" s="113">
        <f>'Sampling Data'!D1996</f>
        <v>8</v>
      </c>
      <c r="F1997" s="113">
        <f>'Sampling Data'!E1996</f>
        <v>6</v>
      </c>
      <c r="G1997" s="113">
        <f>'Sampling Data'!F1996</f>
        <v>0</v>
      </c>
      <c r="H1997" s="113">
        <f>'Sampling Data'!G1996</f>
        <v>1</v>
      </c>
      <c r="I1997" s="112">
        <f>'Sampling Data'!H1996</f>
        <v>1</v>
      </c>
      <c r="J1997" s="112">
        <f>'Sampling Data'!I1996</f>
        <v>3</v>
      </c>
      <c r="K1997" s="112">
        <f>'Sampling Data'!J1996</f>
        <v>88</v>
      </c>
      <c r="L1997" s="111">
        <f>'Sampling Data'!X1996</f>
        <v>0</v>
      </c>
      <c r="M1997" s="114"/>
      <c r="N1997" s="114"/>
      <c r="O1997" s="115"/>
      <c r="P1997" s="115"/>
      <c r="Q1997" s="116"/>
      <c r="R1997" s="116"/>
      <c r="S1997" s="111">
        <f>Audit[[#This Row],[Audit Losing Candidate]]-Audit[[#This Row],[Losing Candidate]]</f>
        <v>-34</v>
      </c>
      <c r="T1997" s="111">
        <f>Audit[[#This Row],[Audit Winning Candidate]]-Audit[[#This Row],[Winning Candidate]]</f>
        <v>-35</v>
      </c>
      <c r="U1997" s="111">
        <f>Audit[[#This Row],[Audit Candidate 3]]-Audit[[#This Row],[Candidate 3]]</f>
        <v>-8</v>
      </c>
      <c r="V1997" s="111">
        <f>Audit[[#This Row],[Audit Candidate 4]]-Audit[[#This Row],[Candidate 4]]</f>
        <v>-6</v>
      </c>
      <c r="W1997" s="111">
        <f>Audit[[#This Row],[Audit Candidate 5]]-Audit[[#This Row],[Candidate 5]]</f>
        <v>0</v>
      </c>
      <c r="X1997" s="111">
        <f>Audit[[#This Row],[Audit Candidate 6]]-Audit[[#This Row],[Candidate 6]]</f>
        <v>-1</v>
      </c>
      <c r="Y1997" s="111">
        <f>SUMIF(Audit[[#This Row],[Difference Loser]:[Difference Candidate 6]], "&gt;0")</f>
        <v>0</v>
      </c>
      <c r="Z1997" s="111">
        <f>SUM(Audit[[#This Row],[Difference Loser]:[Difference Candidate 6]])</f>
        <v>-84</v>
      </c>
      <c r="AA1997" s="111">
        <f>IF(Audit[[#This Row],[Times p Drawn - With Replacement]]&gt;0, IF(Audit[[#This Row],[Canceled Differences]]&lt;0, Audit[[#This Row],[Max Differences]]+ABS(Audit[[#This Row],[Canceled Differences]]), Audit[[#This Row],[Max Differences]]), 0)</f>
        <v>0</v>
      </c>
      <c r="AB1997" s="111">
        <f>'Sampling Data'!P1996</f>
        <v>5.4507594316511518E-3</v>
      </c>
      <c r="AC1997" s="111">
        <f>IF(
      SUM(Audit[[#This Row],[Audit Losing Candidate]:[Audit Candidate 6]])
      &lt;&gt;0,
      (Audit[[#This Row],[Winning Candidate]]-Audit[[#This Row],[Losing Candidate]]-(Audit[[#This Row],[Audit Winning Candidate]]-Audit[[#This Row],[Audit Losing Candidate]]))/(Audit[[#Totals],[Winning Candidate]]-Audit[[#Totals],[Losing Candidate]]),
      0
)</f>
        <v>0</v>
      </c>
      <c r="AD19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7" s="111">
        <f>IF(Audit[[#This Row],[Max Relative Error (ep)]] = 0, 0, Audit[[#This Row],[Max Relative Error (ep)]]/Audit[[#This Row],[Error Bound (up) - Max. possible relative overstatement]])</f>
        <v>0</v>
      </c>
      <c r="AJ19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97" s="111">
        <f t="shared" si="31"/>
        <v>1</v>
      </c>
      <c r="AL1997" s="111">
        <f>PRODUCT($AK$5:AK1997)</f>
        <v>8.962823818226312E-2</v>
      </c>
      <c r="AM1997" s="109">
        <f>1 - [K-M P Value]</f>
        <v>0.91037176181773694</v>
      </c>
      <c r="AN1997" s="111" t="str">
        <f>IF(Audit[[#This Row],[K-M P Value]]&gt;1-'General Info'!$B$16,"Continue", "Stop")</f>
        <v>Stop</v>
      </c>
      <c r="AO1997" s="110" t="b">
        <f>IF(Audit[[#This Row],[Status - Continue or stop audit]] = "Continue", TRUE, IF(AN1996 = "Continue", TRUE, FALSE))</f>
        <v>0</v>
      </c>
      <c r="AP1997" s="110"/>
    </row>
    <row r="1998" spans="1:42" ht="15" hidden="1" customHeight="1">
      <c r="A1998" s="111" t="str">
        <f>'Sampling Data'!W1997</f>
        <v/>
      </c>
      <c r="B1998" s="112" t="str">
        <f>'Sampling Data'!A1997</f>
        <v>STRONGSVILLE -01-E</v>
      </c>
      <c r="C1998" s="112">
        <f>'Sampling Data'!B1997</f>
        <v>27</v>
      </c>
      <c r="D1998" s="112">
        <f>'Sampling Data'!C1997</f>
        <v>47</v>
      </c>
      <c r="E1998" s="113">
        <f>'Sampling Data'!D1997</f>
        <v>16</v>
      </c>
      <c r="F1998" s="113">
        <f>'Sampling Data'!E1997</f>
        <v>5</v>
      </c>
      <c r="G1998" s="113">
        <f>'Sampling Data'!F1997</f>
        <v>0</v>
      </c>
      <c r="H1998" s="113">
        <f>'Sampling Data'!G1997</f>
        <v>0</v>
      </c>
      <c r="I1998" s="112">
        <f>'Sampling Data'!H1997</f>
        <v>0</v>
      </c>
      <c r="J1998" s="112">
        <f>'Sampling Data'!I1997</f>
        <v>3</v>
      </c>
      <c r="K1998" s="112">
        <f>'Sampling Data'!J1997</f>
        <v>98</v>
      </c>
      <c r="L1998" s="111">
        <f>'Sampling Data'!X1997</f>
        <v>0</v>
      </c>
      <c r="M1998" s="114"/>
      <c r="N1998" s="114"/>
      <c r="O1998" s="115"/>
      <c r="P1998" s="115"/>
      <c r="Q1998" s="116"/>
      <c r="R1998" s="116"/>
      <c r="S1998" s="111">
        <f>Audit[[#This Row],[Audit Losing Candidate]]-Audit[[#This Row],[Losing Candidate]]</f>
        <v>-27</v>
      </c>
      <c r="T1998" s="111">
        <f>Audit[[#This Row],[Audit Winning Candidate]]-Audit[[#This Row],[Winning Candidate]]</f>
        <v>-47</v>
      </c>
      <c r="U1998" s="111">
        <f>Audit[[#This Row],[Audit Candidate 3]]-Audit[[#This Row],[Candidate 3]]</f>
        <v>-16</v>
      </c>
      <c r="V1998" s="111">
        <f>Audit[[#This Row],[Audit Candidate 4]]-Audit[[#This Row],[Candidate 4]]</f>
        <v>-5</v>
      </c>
      <c r="W1998" s="111">
        <f>Audit[[#This Row],[Audit Candidate 5]]-Audit[[#This Row],[Candidate 5]]</f>
        <v>0</v>
      </c>
      <c r="X1998" s="111">
        <f>Audit[[#This Row],[Audit Candidate 6]]-Audit[[#This Row],[Candidate 6]]</f>
        <v>0</v>
      </c>
      <c r="Y1998" s="111">
        <f>SUMIF(Audit[[#This Row],[Difference Loser]:[Difference Candidate 6]], "&gt;0")</f>
        <v>0</v>
      </c>
      <c r="Z1998" s="111">
        <f>SUM(Audit[[#This Row],[Difference Loser]:[Difference Candidate 6]])</f>
        <v>-95</v>
      </c>
      <c r="AA1998" s="111">
        <f>IF(Audit[[#This Row],[Times p Drawn - With Replacement]]&gt;0, IF(Audit[[#This Row],[Canceled Differences]]&lt;0, Audit[[#This Row],[Max Differences]]+ABS(Audit[[#This Row],[Canceled Differences]]), Audit[[#This Row],[Max Differences]]), 0)</f>
        <v>0</v>
      </c>
      <c r="AB1998" s="111">
        <f>'Sampling Data'!P1997</f>
        <v>7.2268495835374818E-3</v>
      </c>
      <c r="AC1998" s="111">
        <f>IF(
      SUM(Audit[[#This Row],[Audit Losing Candidate]:[Audit Candidate 6]])
      &lt;&gt;0,
      (Audit[[#This Row],[Winning Candidate]]-Audit[[#This Row],[Losing Candidate]]-(Audit[[#This Row],[Audit Winning Candidate]]-Audit[[#This Row],[Audit Losing Candidate]]))/(Audit[[#Totals],[Winning Candidate]]-Audit[[#Totals],[Losing Candidate]]),
      0
)</f>
        <v>0</v>
      </c>
      <c r="AD19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8" s="111">
        <f>IF(Audit[[#This Row],[Max Relative Error (ep)]] = 0, 0, Audit[[#This Row],[Max Relative Error (ep)]]/Audit[[#This Row],[Error Bound (up) - Max. possible relative overstatement]])</f>
        <v>0</v>
      </c>
      <c r="AJ19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98" s="111">
        <f t="shared" si="31"/>
        <v>1</v>
      </c>
      <c r="AL1998" s="111">
        <f>PRODUCT($AK$5:AK1998)</f>
        <v>8.962823818226312E-2</v>
      </c>
      <c r="AM1998" s="109">
        <f>1 - [K-M P Value]</f>
        <v>0.91037176181773694</v>
      </c>
      <c r="AN1998" s="111" t="str">
        <f>IF(Audit[[#This Row],[K-M P Value]]&gt;1-'General Info'!$B$16,"Continue", "Stop")</f>
        <v>Stop</v>
      </c>
      <c r="AO1998" s="110" t="b">
        <f>IF(Audit[[#This Row],[Status - Continue or stop audit]] = "Continue", TRUE, IF(AN1997 = "Continue", TRUE, FALSE))</f>
        <v>0</v>
      </c>
      <c r="AP1998" s="110"/>
    </row>
    <row r="1999" spans="1:42" ht="15" hidden="1" customHeight="1">
      <c r="A1999" s="111" t="str">
        <f>'Sampling Data'!W1998</f>
        <v/>
      </c>
      <c r="B1999" s="112" t="str">
        <f>'Sampling Data'!A1998</f>
        <v>STRONGSVILLE -01-E - ABS</v>
      </c>
      <c r="C1999" s="112">
        <f>'Sampling Data'!B1998</f>
        <v>32</v>
      </c>
      <c r="D1999" s="112">
        <f>'Sampling Data'!C1998</f>
        <v>32</v>
      </c>
      <c r="E1999" s="113">
        <f>'Sampling Data'!D1998</f>
        <v>8</v>
      </c>
      <c r="F1999" s="113">
        <f>'Sampling Data'!E1998</f>
        <v>2</v>
      </c>
      <c r="G1999" s="113">
        <f>'Sampling Data'!F1998</f>
        <v>0</v>
      </c>
      <c r="H1999" s="113">
        <f>'Sampling Data'!G1998</f>
        <v>0</v>
      </c>
      <c r="I1999" s="112">
        <f>'Sampling Data'!H1998</f>
        <v>0</v>
      </c>
      <c r="J1999" s="112">
        <f>'Sampling Data'!I1998</f>
        <v>0</v>
      </c>
      <c r="K1999" s="112">
        <f>'Sampling Data'!J1998</f>
        <v>74</v>
      </c>
      <c r="L1999" s="111">
        <f>'Sampling Data'!X1998</f>
        <v>0</v>
      </c>
      <c r="M1999" s="114"/>
      <c r="N1999" s="114"/>
      <c r="O1999" s="115"/>
      <c r="P1999" s="115"/>
      <c r="Q1999" s="116"/>
      <c r="R1999" s="116"/>
      <c r="S1999" s="111">
        <f>Audit[[#This Row],[Audit Losing Candidate]]-Audit[[#This Row],[Losing Candidate]]</f>
        <v>-32</v>
      </c>
      <c r="T1999" s="111">
        <f>Audit[[#This Row],[Audit Winning Candidate]]-Audit[[#This Row],[Winning Candidate]]</f>
        <v>-32</v>
      </c>
      <c r="U1999" s="111">
        <f>Audit[[#This Row],[Audit Candidate 3]]-Audit[[#This Row],[Candidate 3]]</f>
        <v>-8</v>
      </c>
      <c r="V1999" s="111">
        <f>Audit[[#This Row],[Audit Candidate 4]]-Audit[[#This Row],[Candidate 4]]</f>
        <v>-2</v>
      </c>
      <c r="W1999" s="111">
        <f>Audit[[#This Row],[Audit Candidate 5]]-Audit[[#This Row],[Candidate 5]]</f>
        <v>0</v>
      </c>
      <c r="X1999" s="111">
        <f>Audit[[#This Row],[Audit Candidate 6]]-Audit[[#This Row],[Candidate 6]]</f>
        <v>0</v>
      </c>
      <c r="Y1999" s="111">
        <f>SUMIF(Audit[[#This Row],[Difference Loser]:[Difference Candidate 6]], "&gt;0")</f>
        <v>0</v>
      </c>
      <c r="Z1999" s="111">
        <f>SUM(Audit[[#This Row],[Difference Loser]:[Difference Candidate 6]])</f>
        <v>-74</v>
      </c>
      <c r="AA1999" s="111">
        <f>IF(Audit[[#This Row],[Times p Drawn - With Replacement]]&gt;0, IF(Audit[[#This Row],[Canceled Differences]]&lt;0, Audit[[#This Row],[Max Differences]]+ABS(Audit[[#This Row],[Canceled Differences]]), Audit[[#This Row],[Max Differences]]), 0)</f>
        <v>0</v>
      </c>
      <c r="AB1999" s="111">
        <f>'Sampling Data'!P1998</f>
        <v>4.5320921117099457E-3</v>
      </c>
      <c r="AC1999" s="111">
        <f>IF(
      SUM(Audit[[#This Row],[Audit Losing Candidate]:[Audit Candidate 6]])
      &lt;&gt;0,
      (Audit[[#This Row],[Winning Candidate]]-Audit[[#This Row],[Losing Candidate]]-(Audit[[#This Row],[Audit Winning Candidate]]-Audit[[#This Row],[Audit Losing Candidate]]))/(Audit[[#Totals],[Winning Candidate]]-Audit[[#Totals],[Losing Candidate]]),
      0
)</f>
        <v>0</v>
      </c>
      <c r="AD19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9" s="111">
        <f>IF(Audit[[#This Row],[Max Relative Error (ep)]] = 0, 0, Audit[[#This Row],[Max Relative Error (ep)]]/Audit[[#This Row],[Error Bound (up) - Max. possible relative overstatement]])</f>
        <v>0</v>
      </c>
      <c r="AJ19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1999" s="111">
        <f t="shared" si="31"/>
        <v>1</v>
      </c>
      <c r="AL1999" s="111">
        <f>PRODUCT($AK$5:AK1999)</f>
        <v>8.962823818226312E-2</v>
      </c>
      <c r="AM1999" s="109">
        <f>1 - [K-M P Value]</f>
        <v>0.91037176181773694</v>
      </c>
      <c r="AN1999" s="111" t="str">
        <f>IF(Audit[[#This Row],[K-M P Value]]&gt;1-'General Info'!$B$16,"Continue", "Stop")</f>
        <v>Stop</v>
      </c>
      <c r="AO1999" s="110" t="b">
        <f>IF(Audit[[#This Row],[Status - Continue or stop audit]] = "Continue", TRUE, IF(AN1998 = "Continue", TRUE, FALSE))</f>
        <v>0</v>
      </c>
      <c r="AP1999" s="110"/>
    </row>
    <row r="2000" spans="1:42" ht="15" hidden="1" customHeight="1">
      <c r="A2000" s="111" t="str">
        <f>'Sampling Data'!W1999</f>
        <v/>
      </c>
      <c r="B2000" s="112" t="str">
        <f>'Sampling Data'!A1999</f>
        <v>STRONGSVILLE -01-F</v>
      </c>
      <c r="C2000" s="112">
        <f>'Sampling Data'!B1999</f>
        <v>38</v>
      </c>
      <c r="D2000" s="112">
        <f>'Sampling Data'!C1999</f>
        <v>79</v>
      </c>
      <c r="E2000" s="113">
        <f>'Sampling Data'!D1999</f>
        <v>13</v>
      </c>
      <c r="F2000" s="113">
        <f>'Sampling Data'!E1999</f>
        <v>20</v>
      </c>
      <c r="G2000" s="113">
        <f>'Sampling Data'!F1999</f>
        <v>0</v>
      </c>
      <c r="H2000" s="113">
        <f>'Sampling Data'!G1999</f>
        <v>0</v>
      </c>
      <c r="I2000" s="112">
        <f>'Sampling Data'!H1999</f>
        <v>1</v>
      </c>
      <c r="J2000" s="112">
        <f>'Sampling Data'!I1999</f>
        <v>2</v>
      </c>
      <c r="K2000" s="112">
        <f>'Sampling Data'!J1999</f>
        <v>153</v>
      </c>
      <c r="L2000" s="111">
        <f>'Sampling Data'!X1999</f>
        <v>0</v>
      </c>
      <c r="M2000" s="114"/>
      <c r="N2000" s="114"/>
      <c r="O2000" s="115"/>
      <c r="P2000" s="115"/>
      <c r="Q2000" s="116"/>
      <c r="R2000" s="116"/>
      <c r="S2000" s="111">
        <f>Audit[[#This Row],[Audit Losing Candidate]]-Audit[[#This Row],[Losing Candidate]]</f>
        <v>-38</v>
      </c>
      <c r="T2000" s="111">
        <f>Audit[[#This Row],[Audit Winning Candidate]]-Audit[[#This Row],[Winning Candidate]]</f>
        <v>-79</v>
      </c>
      <c r="U2000" s="111">
        <f>Audit[[#This Row],[Audit Candidate 3]]-Audit[[#This Row],[Candidate 3]]</f>
        <v>-13</v>
      </c>
      <c r="V2000" s="111">
        <f>Audit[[#This Row],[Audit Candidate 4]]-Audit[[#This Row],[Candidate 4]]</f>
        <v>-20</v>
      </c>
      <c r="W2000" s="111">
        <f>Audit[[#This Row],[Audit Candidate 5]]-Audit[[#This Row],[Candidate 5]]</f>
        <v>0</v>
      </c>
      <c r="X2000" s="111">
        <f>Audit[[#This Row],[Audit Candidate 6]]-Audit[[#This Row],[Candidate 6]]</f>
        <v>0</v>
      </c>
      <c r="Y2000" s="111">
        <f>SUMIF(Audit[[#This Row],[Difference Loser]:[Difference Candidate 6]], "&gt;0")</f>
        <v>0</v>
      </c>
      <c r="Z2000" s="111">
        <f>SUM(Audit[[#This Row],[Difference Loser]:[Difference Candidate 6]])</f>
        <v>-150</v>
      </c>
      <c r="AA2000" s="111">
        <f>IF(Audit[[#This Row],[Times p Drawn - With Replacement]]&gt;0, IF(Audit[[#This Row],[Canceled Differences]]&lt;0, Audit[[#This Row],[Max Differences]]+ABS(Audit[[#This Row],[Canceled Differences]]), Audit[[#This Row],[Max Differences]]), 0)</f>
        <v>0</v>
      </c>
      <c r="AB2000" s="111">
        <f>'Sampling Data'!P1999</f>
        <v>1.1881430671239588E-2</v>
      </c>
      <c r="AC2000" s="111">
        <f>IF(
      SUM(Audit[[#This Row],[Audit Losing Candidate]:[Audit Candidate 6]])
      &lt;&gt;0,
      (Audit[[#This Row],[Winning Candidate]]-Audit[[#This Row],[Losing Candidate]]-(Audit[[#This Row],[Audit Winning Candidate]]-Audit[[#This Row],[Audit Losing Candidate]]))/(Audit[[#Totals],[Winning Candidate]]-Audit[[#Totals],[Losing Candidate]]),
      0
)</f>
        <v>0</v>
      </c>
      <c r="AD20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0" s="111">
        <f>IF(Audit[[#This Row],[Max Relative Error (ep)]] = 0, 0, Audit[[#This Row],[Max Relative Error (ep)]]/Audit[[#This Row],[Error Bound (up) - Max. possible relative overstatement]])</f>
        <v>0</v>
      </c>
      <c r="AJ20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00" s="111">
        <f t="shared" si="31"/>
        <v>1</v>
      </c>
      <c r="AL2000" s="111">
        <f>PRODUCT($AK$5:AK2000)</f>
        <v>8.962823818226312E-2</v>
      </c>
      <c r="AM2000" s="109">
        <f>1 - [K-M P Value]</f>
        <v>0.91037176181773694</v>
      </c>
      <c r="AN2000" s="111" t="str">
        <f>IF(Audit[[#This Row],[K-M P Value]]&gt;1-'General Info'!$B$16,"Continue", "Stop")</f>
        <v>Stop</v>
      </c>
      <c r="AO2000" s="110" t="b">
        <f>IF(Audit[[#This Row],[Status - Continue or stop audit]] = "Continue", TRUE, IF(AN1999 = "Continue", TRUE, FALSE))</f>
        <v>0</v>
      </c>
      <c r="AP2000" s="110"/>
    </row>
    <row r="2001" spans="1:42" ht="15" hidden="1" customHeight="1">
      <c r="A2001" s="111" t="str">
        <f>'Sampling Data'!W2000</f>
        <v/>
      </c>
      <c r="B2001" s="112" t="str">
        <f>'Sampling Data'!A2000</f>
        <v>STRONGSVILLE -01-F - ABS</v>
      </c>
      <c r="C2001" s="112">
        <f>'Sampling Data'!B2000</f>
        <v>17</v>
      </c>
      <c r="D2001" s="112">
        <f>'Sampling Data'!C2000</f>
        <v>42</v>
      </c>
      <c r="E2001" s="113">
        <f>'Sampling Data'!D2000</f>
        <v>6</v>
      </c>
      <c r="F2001" s="113">
        <f>'Sampling Data'!E2000</f>
        <v>4</v>
      </c>
      <c r="G2001" s="113">
        <f>'Sampling Data'!F2000</f>
        <v>0</v>
      </c>
      <c r="H2001" s="113">
        <f>'Sampling Data'!G2000</f>
        <v>1</v>
      </c>
      <c r="I2001" s="112">
        <f>'Sampling Data'!H2000</f>
        <v>0</v>
      </c>
      <c r="J2001" s="112">
        <f>'Sampling Data'!I2000</f>
        <v>2</v>
      </c>
      <c r="K2001" s="112">
        <f>'Sampling Data'!J2000</f>
        <v>72</v>
      </c>
      <c r="L2001" s="111">
        <f>'Sampling Data'!X2000</f>
        <v>0</v>
      </c>
      <c r="M2001" s="114"/>
      <c r="N2001" s="114"/>
      <c r="O2001" s="115"/>
      <c r="P2001" s="115"/>
      <c r="Q2001" s="116"/>
      <c r="R2001" s="116"/>
      <c r="S2001" s="111">
        <f>Audit[[#This Row],[Audit Losing Candidate]]-Audit[[#This Row],[Losing Candidate]]</f>
        <v>-17</v>
      </c>
      <c r="T2001" s="111">
        <f>Audit[[#This Row],[Audit Winning Candidate]]-Audit[[#This Row],[Winning Candidate]]</f>
        <v>-42</v>
      </c>
      <c r="U2001" s="111">
        <f>Audit[[#This Row],[Audit Candidate 3]]-Audit[[#This Row],[Candidate 3]]</f>
        <v>-6</v>
      </c>
      <c r="V2001" s="111">
        <f>Audit[[#This Row],[Audit Candidate 4]]-Audit[[#This Row],[Candidate 4]]</f>
        <v>-4</v>
      </c>
      <c r="W2001" s="111">
        <f>Audit[[#This Row],[Audit Candidate 5]]-Audit[[#This Row],[Candidate 5]]</f>
        <v>0</v>
      </c>
      <c r="X2001" s="111">
        <f>Audit[[#This Row],[Audit Candidate 6]]-Audit[[#This Row],[Candidate 6]]</f>
        <v>-1</v>
      </c>
      <c r="Y2001" s="111">
        <f>SUMIF(Audit[[#This Row],[Difference Loser]:[Difference Candidate 6]], "&gt;0")</f>
        <v>0</v>
      </c>
      <c r="Z2001" s="111">
        <f>SUM(Audit[[#This Row],[Difference Loser]:[Difference Candidate 6]])</f>
        <v>-70</v>
      </c>
      <c r="AA2001" s="111">
        <f>IF(Audit[[#This Row],[Times p Drawn - With Replacement]]&gt;0, IF(Audit[[#This Row],[Canceled Differences]]&lt;0, Audit[[#This Row],[Max Differences]]+ABS(Audit[[#This Row],[Canceled Differences]]), Audit[[#This Row],[Max Differences]]), 0)</f>
        <v>0</v>
      </c>
      <c r="AB2001" s="111">
        <f>'Sampling Data'!P2000</f>
        <v>5.9407153356197942E-3</v>
      </c>
      <c r="AC2001" s="111">
        <f>IF(
      SUM(Audit[[#This Row],[Audit Losing Candidate]:[Audit Candidate 6]])
      &lt;&gt;0,
      (Audit[[#This Row],[Winning Candidate]]-Audit[[#This Row],[Losing Candidate]]-(Audit[[#This Row],[Audit Winning Candidate]]-Audit[[#This Row],[Audit Losing Candidate]]))/(Audit[[#Totals],[Winning Candidate]]-Audit[[#Totals],[Losing Candidate]]),
      0
)</f>
        <v>0</v>
      </c>
      <c r="AD20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1" s="111">
        <f>IF(Audit[[#This Row],[Max Relative Error (ep)]] = 0, 0, Audit[[#This Row],[Max Relative Error (ep)]]/Audit[[#This Row],[Error Bound (up) - Max. possible relative overstatement]])</f>
        <v>0</v>
      </c>
      <c r="AJ20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01" s="111">
        <f t="shared" si="31"/>
        <v>1</v>
      </c>
      <c r="AL2001" s="111">
        <f>PRODUCT($AK$5:AK2001)</f>
        <v>8.962823818226312E-2</v>
      </c>
      <c r="AM2001" s="109">
        <f>1 - [K-M P Value]</f>
        <v>0.91037176181773694</v>
      </c>
      <c r="AN2001" s="111" t="str">
        <f>IF(Audit[[#This Row],[K-M P Value]]&gt;1-'General Info'!$B$16,"Continue", "Stop")</f>
        <v>Stop</v>
      </c>
      <c r="AO2001" s="110" t="b">
        <f>IF(Audit[[#This Row],[Status - Continue or stop audit]] = "Continue", TRUE, IF(AN2000 = "Continue", TRUE, FALSE))</f>
        <v>0</v>
      </c>
      <c r="AP2001" s="110"/>
    </row>
    <row r="2002" spans="1:42" ht="15" hidden="1" customHeight="1">
      <c r="A2002" s="111" t="str">
        <f>'Sampling Data'!W2001</f>
        <v/>
      </c>
      <c r="B2002" s="112" t="str">
        <f>'Sampling Data'!A2001</f>
        <v>STRONGSVILLE -01-G</v>
      </c>
      <c r="C2002" s="112">
        <f>'Sampling Data'!B2001</f>
        <v>13</v>
      </c>
      <c r="D2002" s="112">
        <f>'Sampling Data'!C2001</f>
        <v>27</v>
      </c>
      <c r="E2002" s="113">
        <f>'Sampling Data'!D2001</f>
        <v>8</v>
      </c>
      <c r="F2002" s="113">
        <f>'Sampling Data'!E2001</f>
        <v>5</v>
      </c>
      <c r="G2002" s="113">
        <f>'Sampling Data'!F2001</f>
        <v>0</v>
      </c>
      <c r="H2002" s="113">
        <f>'Sampling Data'!G2001</f>
        <v>0</v>
      </c>
      <c r="I2002" s="112">
        <f>'Sampling Data'!H2001</f>
        <v>0</v>
      </c>
      <c r="J2002" s="112">
        <f>'Sampling Data'!I2001</f>
        <v>1</v>
      </c>
      <c r="K2002" s="112">
        <f>'Sampling Data'!J2001</f>
        <v>54</v>
      </c>
      <c r="L2002" s="111">
        <f>'Sampling Data'!X2001</f>
        <v>0</v>
      </c>
      <c r="M2002" s="114"/>
      <c r="N2002" s="114"/>
      <c r="O2002" s="115"/>
      <c r="P2002" s="115"/>
      <c r="Q2002" s="116"/>
      <c r="R2002" s="116"/>
      <c r="S2002" s="111">
        <f>Audit[[#This Row],[Audit Losing Candidate]]-Audit[[#This Row],[Losing Candidate]]</f>
        <v>-13</v>
      </c>
      <c r="T2002" s="111">
        <f>Audit[[#This Row],[Audit Winning Candidate]]-Audit[[#This Row],[Winning Candidate]]</f>
        <v>-27</v>
      </c>
      <c r="U2002" s="111">
        <f>Audit[[#This Row],[Audit Candidate 3]]-Audit[[#This Row],[Candidate 3]]</f>
        <v>-8</v>
      </c>
      <c r="V2002" s="111">
        <f>Audit[[#This Row],[Audit Candidate 4]]-Audit[[#This Row],[Candidate 4]]</f>
        <v>-5</v>
      </c>
      <c r="W2002" s="111">
        <f>Audit[[#This Row],[Audit Candidate 5]]-Audit[[#This Row],[Candidate 5]]</f>
        <v>0</v>
      </c>
      <c r="X2002" s="111">
        <f>Audit[[#This Row],[Audit Candidate 6]]-Audit[[#This Row],[Candidate 6]]</f>
        <v>0</v>
      </c>
      <c r="Y2002" s="111">
        <f>SUMIF(Audit[[#This Row],[Difference Loser]:[Difference Candidate 6]], "&gt;0")</f>
        <v>0</v>
      </c>
      <c r="Z2002" s="111">
        <f>SUM(Audit[[#This Row],[Difference Loser]:[Difference Candidate 6]])</f>
        <v>-53</v>
      </c>
      <c r="AA2002" s="111">
        <f>IF(Audit[[#This Row],[Times p Drawn - With Replacement]]&gt;0, IF(Audit[[#This Row],[Canceled Differences]]&lt;0, Audit[[#This Row],[Max Differences]]+ABS(Audit[[#This Row],[Canceled Differences]]), Audit[[#This Row],[Max Differences]]), 0)</f>
        <v>0</v>
      </c>
      <c r="AB2002" s="111">
        <f>'Sampling Data'!P2001</f>
        <v>4.1646251837334641E-3</v>
      </c>
      <c r="AC2002" s="111">
        <f>IF(
      SUM(Audit[[#This Row],[Audit Losing Candidate]:[Audit Candidate 6]])
      &lt;&gt;0,
      (Audit[[#This Row],[Winning Candidate]]-Audit[[#This Row],[Losing Candidate]]-(Audit[[#This Row],[Audit Winning Candidate]]-Audit[[#This Row],[Audit Losing Candidate]]))/(Audit[[#Totals],[Winning Candidate]]-Audit[[#Totals],[Losing Candidate]]),
      0
)</f>
        <v>0</v>
      </c>
      <c r="AD20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2" s="111">
        <f>IF(Audit[[#This Row],[Max Relative Error (ep)]] = 0, 0, Audit[[#This Row],[Max Relative Error (ep)]]/Audit[[#This Row],[Error Bound (up) - Max. possible relative overstatement]])</f>
        <v>0</v>
      </c>
      <c r="AJ20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02" s="111">
        <f t="shared" si="31"/>
        <v>1</v>
      </c>
      <c r="AL2002" s="111">
        <f>PRODUCT($AK$5:AK2002)</f>
        <v>8.962823818226312E-2</v>
      </c>
      <c r="AM2002" s="109">
        <f>1 - [K-M P Value]</f>
        <v>0.91037176181773694</v>
      </c>
      <c r="AN2002" s="111" t="str">
        <f>IF(Audit[[#This Row],[K-M P Value]]&gt;1-'General Info'!$B$16,"Continue", "Stop")</f>
        <v>Stop</v>
      </c>
      <c r="AO2002" s="110" t="b">
        <f>IF(Audit[[#This Row],[Status - Continue or stop audit]] = "Continue", TRUE, IF(AN2001 = "Continue", TRUE, FALSE))</f>
        <v>0</v>
      </c>
      <c r="AP2002" s="110"/>
    </row>
    <row r="2003" spans="1:42" ht="15" hidden="1" customHeight="1">
      <c r="A2003" s="111" t="str">
        <f>'Sampling Data'!W2002</f>
        <v/>
      </c>
      <c r="B2003" s="112" t="str">
        <f>'Sampling Data'!A2002</f>
        <v>STRONGSVILLE -01-G - ABS</v>
      </c>
      <c r="C2003" s="112">
        <f>'Sampling Data'!B2002</f>
        <v>6</v>
      </c>
      <c r="D2003" s="112">
        <f>'Sampling Data'!C2002</f>
        <v>6</v>
      </c>
      <c r="E2003" s="113">
        <f>'Sampling Data'!D2002</f>
        <v>2</v>
      </c>
      <c r="F2003" s="113">
        <f>'Sampling Data'!E2002</f>
        <v>1</v>
      </c>
      <c r="G2003" s="113">
        <f>'Sampling Data'!F2002</f>
        <v>0</v>
      </c>
      <c r="H2003" s="113">
        <f>'Sampling Data'!G2002</f>
        <v>0</v>
      </c>
      <c r="I2003" s="112">
        <f>'Sampling Data'!H2002</f>
        <v>0</v>
      </c>
      <c r="J2003" s="112">
        <f>'Sampling Data'!I2002</f>
        <v>2</v>
      </c>
      <c r="K2003" s="112">
        <f>'Sampling Data'!J2002</f>
        <v>17</v>
      </c>
      <c r="L2003" s="111">
        <f>'Sampling Data'!X2002</f>
        <v>0</v>
      </c>
      <c r="M2003" s="114"/>
      <c r="N2003" s="114"/>
      <c r="O2003" s="115"/>
      <c r="P2003" s="115"/>
      <c r="Q2003" s="116"/>
      <c r="R2003" s="116"/>
      <c r="S2003" s="111">
        <f>Audit[[#This Row],[Audit Losing Candidate]]-Audit[[#This Row],[Losing Candidate]]</f>
        <v>-6</v>
      </c>
      <c r="T2003" s="111">
        <f>Audit[[#This Row],[Audit Winning Candidate]]-Audit[[#This Row],[Winning Candidate]]</f>
        <v>-6</v>
      </c>
      <c r="U2003" s="111">
        <f>Audit[[#This Row],[Audit Candidate 3]]-Audit[[#This Row],[Candidate 3]]</f>
        <v>-2</v>
      </c>
      <c r="V2003" s="111">
        <f>Audit[[#This Row],[Audit Candidate 4]]-Audit[[#This Row],[Candidate 4]]</f>
        <v>-1</v>
      </c>
      <c r="W2003" s="111">
        <f>Audit[[#This Row],[Audit Candidate 5]]-Audit[[#This Row],[Candidate 5]]</f>
        <v>0</v>
      </c>
      <c r="X2003" s="111">
        <f>Audit[[#This Row],[Audit Candidate 6]]-Audit[[#This Row],[Candidate 6]]</f>
        <v>0</v>
      </c>
      <c r="Y2003" s="111">
        <f>SUMIF(Audit[[#This Row],[Difference Loser]:[Difference Candidate 6]], "&gt;0")</f>
        <v>0</v>
      </c>
      <c r="Z2003" s="111">
        <f>SUM(Audit[[#This Row],[Difference Loser]:[Difference Candidate 6]])</f>
        <v>-15</v>
      </c>
      <c r="AA2003" s="111">
        <f>IF(Audit[[#This Row],[Times p Drawn - With Replacement]]&gt;0, IF(Audit[[#This Row],[Canceled Differences]]&lt;0, Audit[[#This Row],[Max Differences]]+ABS(Audit[[#This Row],[Canceled Differences]]), Audit[[#This Row],[Max Differences]]), 0)</f>
        <v>0</v>
      </c>
      <c r="AB2003" s="111">
        <f>'Sampling Data'!P2002</f>
        <v>1.041156295933366E-3</v>
      </c>
      <c r="AC2003" s="111">
        <f>IF(
      SUM(Audit[[#This Row],[Audit Losing Candidate]:[Audit Candidate 6]])
      &lt;&gt;0,
      (Audit[[#This Row],[Winning Candidate]]-Audit[[#This Row],[Losing Candidate]]-(Audit[[#This Row],[Audit Winning Candidate]]-Audit[[#This Row],[Audit Losing Candidate]]))/(Audit[[#Totals],[Winning Candidate]]-Audit[[#Totals],[Losing Candidate]]),
      0
)</f>
        <v>0</v>
      </c>
      <c r="AD20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3" s="111">
        <f>IF(Audit[[#This Row],[Max Relative Error (ep)]] = 0, 0, Audit[[#This Row],[Max Relative Error (ep)]]/Audit[[#This Row],[Error Bound (up) - Max. possible relative overstatement]])</f>
        <v>0</v>
      </c>
      <c r="AJ20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03" s="111">
        <f t="shared" si="31"/>
        <v>1</v>
      </c>
      <c r="AL2003" s="111">
        <f>PRODUCT($AK$5:AK2003)</f>
        <v>8.962823818226312E-2</v>
      </c>
      <c r="AM2003" s="109">
        <f>1 - [K-M P Value]</f>
        <v>0.91037176181773694</v>
      </c>
      <c r="AN2003" s="111" t="str">
        <f>IF(Audit[[#This Row],[K-M P Value]]&gt;1-'General Info'!$B$16,"Continue", "Stop")</f>
        <v>Stop</v>
      </c>
      <c r="AO2003" s="110" t="b">
        <f>IF(Audit[[#This Row],[Status - Continue or stop audit]] = "Continue", TRUE, IF(AN2002 = "Continue", TRUE, FALSE))</f>
        <v>0</v>
      </c>
      <c r="AP2003" s="110"/>
    </row>
    <row r="2004" spans="1:42" ht="15" hidden="1" customHeight="1">
      <c r="A2004" s="111" t="str">
        <f>'Sampling Data'!W2003</f>
        <v/>
      </c>
      <c r="B2004" s="112" t="str">
        <f>'Sampling Data'!A2003</f>
        <v>STRONGSVILLE -01-H</v>
      </c>
      <c r="C2004" s="112">
        <f>'Sampling Data'!B2003</f>
        <v>10</v>
      </c>
      <c r="D2004" s="112">
        <f>'Sampling Data'!C2003</f>
        <v>7</v>
      </c>
      <c r="E2004" s="113">
        <f>'Sampling Data'!D2003</f>
        <v>1</v>
      </c>
      <c r="F2004" s="113">
        <f>'Sampling Data'!E2003</f>
        <v>3</v>
      </c>
      <c r="G2004" s="113">
        <f>'Sampling Data'!F2003</f>
        <v>0</v>
      </c>
      <c r="H2004" s="113">
        <f>'Sampling Data'!G2003</f>
        <v>0</v>
      </c>
      <c r="I2004" s="112">
        <f>'Sampling Data'!H2003</f>
        <v>0</v>
      </c>
      <c r="J2004" s="112">
        <f>'Sampling Data'!I2003</f>
        <v>0</v>
      </c>
      <c r="K2004" s="112">
        <f>'Sampling Data'!J2003</f>
        <v>21</v>
      </c>
      <c r="L2004" s="111">
        <f>'Sampling Data'!X2003</f>
        <v>0</v>
      </c>
      <c r="M2004" s="114"/>
      <c r="N2004" s="114"/>
      <c r="O2004" s="115"/>
      <c r="P2004" s="115"/>
      <c r="Q2004" s="116"/>
      <c r="R2004" s="116"/>
      <c r="S2004" s="111">
        <f>Audit[[#This Row],[Audit Losing Candidate]]-Audit[[#This Row],[Losing Candidate]]</f>
        <v>-10</v>
      </c>
      <c r="T2004" s="111">
        <f>Audit[[#This Row],[Audit Winning Candidate]]-Audit[[#This Row],[Winning Candidate]]</f>
        <v>-7</v>
      </c>
      <c r="U2004" s="111">
        <f>Audit[[#This Row],[Audit Candidate 3]]-Audit[[#This Row],[Candidate 3]]</f>
        <v>-1</v>
      </c>
      <c r="V2004" s="111">
        <f>Audit[[#This Row],[Audit Candidate 4]]-Audit[[#This Row],[Candidate 4]]</f>
        <v>-3</v>
      </c>
      <c r="W2004" s="111">
        <f>Audit[[#This Row],[Audit Candidate 5]]-Audit[[#This Row],[Candidate 5]]</f>
        <v>0</v>
      </c>
      <c r="X2004" s="111">
        <f>Audit[[#This Row],[Audit Candidate 6]]-Audit[[#This Row],[Candidate 6]]</f>
        <v>0</v>
      </c>
      <c r="Y2004" s="111">
        <f>SUMIF(Audit[[#This Row],[Difference Loser]:[Difference Candidate 6]], "&gt;0")</f>
        <v>0</v>
      </c>
      <c r="Z2004" s="111">
        <f>SUM(Audit[[#This Row],[Difference Loser]:[Difference Candidate 6]])</f>
        <v>-21</v>
      </c>
      <c r="AA2004" s="111">
        <f>IF(Audit[[#This Row],[Times p Drawn - With Replacement]]&gt;0, IF(Audit[[#This Row],[Canceled Differences]]&lt;0, Audit[[#This Row],[Max Differences]]+ABS(Audit[[#This Row],[Canceled Differences]]), Audit[[#This Row],[Max Differences]]), 0)</f>
        <v>0</v>
      </c>
      <c r="AB2004" s="111">
        <f>'Sampling Data'!P2003</f>
        <v>1.1024007839294464E-3</v>
      </c>
      <c r="AC2004" s="111">
        <f>IF(
      SUM(Audit[[#This Row],[Audit Losing Candidate]:[Audit Candidate 6]])
      &lt;&gt;0,
      (Audit[[#This Row],[Winning Candidate]]-Audit[[#This Row],[Losing Candidate]]-(Audit[[#This Row],[Audit Winning Candidate]]-Audit[[#This Row],[Audit Losing Candidate]]))/(Audit[[#Totals],[Winning Candidate]]-Audit[[#Totals],[Losing Candidate]]),
      0
)</f>
        <v>0</v>
      </c>
      <c r="AD20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4" s="111">
        <f>IF(Audit[[#This Row],[Max Relative Error (ep)]] = 0, 0, Audit[[#This Row],[Max Relative Error (ep)]]/Audit[[#This Row],[Error Bound (up) - Max. possible relative overstatement]])</f>
        <v>0</v>
      </c>
      <c r="AJ20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04" s="111">
        <f t="shared" si="31"/>
        <v>1</v>
      </c>
      <c r="AL2004" s="111">
        <f>PRODUCT($AK$5:AK2004)</f>
        <v>8.962823818226312E-2</v>
      </c>
      <c r="AM2004" s="109">
        <f>1 - [K-M P Value]</f>
        <v>0.91037176181773694</v>
      </c>
      <c r="AN2004" s="111" t="str">
        <f>IF(Audit[[#This Row],[K-M P Value]]&gt;1-'General Info'!$B$16,"Continue", "Stop")</f>
        <v>Stop</v>
      </c>
      <c r="AO2004" s="110" t="b">
        <f>IF(Audit[[#This Row],[Status - Continue or stop audit]] = "Continue", TRUE, IF(AN2003 = "Continue", TRUE, FALSE))</f>
        <v>0</v>
      </c>
      <c r="AP2004" s="110"/>
    </row>
    <row r="2005" spans="1:42" ht="15" hidden="1" customHeight="1">
      <c r="A2005" s="111" t="str">
        <f>'Sampling Data'!W2004</f>
        <v/>
      </c>
      <c r="B2005" s="112" t="str">
        <f>'Sampling Data'!A2004</f>
        <v>STRONGSVILLE -01-H - ABS</v>
      </c>
      <c r="C2005" s="112">
        <f>'Sampling Data'!B2004</f>
        <v>3</v>
      </c>
      <c r="D2005" s="112">
        <f>'Sampling Data'!C2004</f>
        <v>3</v>
      </c>
      <c r="E2005" s="113">
        <f>'Sampling Data'!D2004</f>
        <v>2</v>
      </c>
      <c r="F2005" s="113">
        <f>'Sampling Data'!E2004</f>
        <v>0</v>
      </c>
      <c r="G2005" s="113">
        <f>'Sampling Data'!F2004</f>
        <v>1</v>
      </c>
      <c r="H2005" s="113">
        <f>'Sampling Data'!G2004</f>
        <v>0</v>
      </c>
      <c r="I2005" s="112">
        <f>'Sampling Data'!H2004</f>
        <v>0</v>
      </c>
      <c r="J2005" s="112">
        <f>'Sampling Data'!I2004</f>
        <v>0</v>
      </c>
      <c r="K2005" s="112">
        <f>'Sampling Data'!J2004</f>
        <v>9</v>
      </c>
      <c r="L2005" s="111">
        <f>'Sampling Data'!X2004</f>
        <v>0</v>
      </c>
      <c r="M2005" s="114"/>
      <c r="N2005" s="114"/>
      <c r="O2005" s="115"/>
      <c r="P2005" s="115"/>
      <c r="Q2005" s="116"/>
      <c r="R2005" s="116"/>
      <c r="S2005" s="111">
        <f>Audit[[#This Row],[Audit Losing Candidate]]-Audit[[#This Row],[Losing Candidate]]</f>
        <v>-3</v>
      </c>
      <c r="T2005" s="111">
        <f>Audit[[#This Row],[Audit Winning Candidate]]-Audit[[#This Row],[Winning Candidate]]</f>
        <v>-3</v>
      </c>
      <c r="U2005" s="111">
        <f>Audit[[#This Row],[Audit Candidate 3]]-Audit[[#This Row],[Candidate 3]]</f>
        <v>-2</v>
      </c>
      <c r="V2005" s="111">
        <f>Audit[[#This Row],[Audit Candidate 4]]-Audit[[#This Row],[Candidate 4]]</f>
        <v>0</v>
      </c>
      <c r="W2005" s="111">
        <f>Audit[[#This Row],[Audit Candidate 5]]-Audit[[#This Row],[Candidate 5]]</f>
        <v>-1</v>
      </c>
      <c r="X2005" s="111">
        <f>Audit[[#This Row],[Audit Candidate 6]]-Audit[[#This Row],[Candidate 6]]</f>
        <v>0</v>
      </c>
      <c r="Y2005" s="111">
        <f>SUMIF(Audit[[#This Row],[Difference Loser]:[Difference Candidate 6]], "&gt;0")</f>
        <v>0</v>
      </c>
      <c r="Z2005" s="111">
        <f>SUM(Audit[[#This Row],[Difference Loser]:[Difference Candidate 6]])</f>
        <v>-9</v>
      </c>
      <c r="AA2005" s="111">
        <f>IF(Audit[[#This Row],[Times p Drawn - With Replacement]]&gt;0, IF(Audit[[#This Row],[Canceled Differences]]&lt;0, Audit[[#This Row],[Max Differences]]+ABS(Audit[[#This Row],[Canceled Differences]]), Audit[[#This Row],[Max Differences]]), 0)</f>
        <v>0</v>
      </c>
      <c r="AB2005" s="111">
        <f>'Sampling Data'!P2004</f>
        <v>5.5120039196472322E-4</v>
      </c>
      <c r="AC2005" s="111">
        <f>IF(
      SUM(Audit[[#This Row],[Audit Losing Candidate]:[Audit Candidate 6]])
      &lt;&gt;0,
      (Audit[[#This Row],[Winning Candidate]]-Audit[[#This Row],[Losing Candidate]]-(Audit[[#This Row],[Audit Winning Candidate]]-Audit[[#This Row],[Audit Losing Candidate]]))/(Audit[[#Totals],[Winning Candidate]]-Audit[[#Totals],[Losing Candidate]]),
      0
)</f>
        <v>0</v>
      </c>
      <c r="AD20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5" s="111">
        <f>IF(Audit[[#This Row],[Max Relative Error (ep)]] = 0, 0, Audit[[#This Row],[Max Relative Error (ep)]]/Audit[[#This Row],[Error Bound (up) - Max. possible relative overstatement]])</f>
        <v>0</v>
      </c>
      <c r="AJ20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05" s="111">
        <f t="shared" si="31"/>
        <v>1</v>
      </c>
      <c r="AL2005" s="111">
        <f>PRODUCT($AK$5:AK2005)</f>
        <v>8.962823818226312E-2</v>
      </c>
      <c r="AM2005" s="109">
        <f>1 - [K-M P Value]</f>
        <v>0.91037176181773694</v>
      </c>
      <c r="AN2005" s="111" t="str">
        <f>IF(Audit[[#This Row],[K-M P Value]]&gt;1-'General Info'!$B$16,"Continue", "Stop")</f>
        <v>Stop</v>
      </c>
      <c r="AO2005" s="110" t="b">
        <f>IF(Audit[[#This Row],[Status - Continue or stop audit]] = "Continue", TRUE, IF(AN2004 = "Continue", TRUE, FALSE))</f>
        <v>0</v>
      </c>
      <c r="AP2005" s="110"/>
    </row>
    <row r="2006" spans="1:42" ht="15" hidden="1" customHeight="1">
      <c r="A2006" s="111" t="str">
        <f>'Sampling Data'!W2005</f>
        <v/>
      </c>
      <c r="B2006" s="112" t="str">
        <f>'Sampling Data'!A2005</f>
        <v>STRONGSVILLE -01-I</v>
      </c>
      <c r="C2006" s="112">
        <f>'Sampling Data'!B2005</f>
        <v>28</v>
      </c>
      <c r="D2006" s="112">
        <f>'Sampling Data'!C2005</f>
        <v>58</v>
      </c>
      <c r="E2006" s="113">
        <f>'Sampling Data'!D2005</f>
        <v>22</v>
      </c>
      <c r="F2006" s="113">
        <f>'Sampling Data'!E2005</f>
        <v>7</v>
      </c>
      <c r="G2006" s="113">
        <f>'Sampling Data'!F2005</f>
        <v>1</v>
      </c>
      <c r="H2006" s="113">
        <f>'Sampling Data'!G2005</f>
        <v>0</v>
      </c>
      <c r="I2006" s="112">
        <f>'Sampling Data'!H2005</f>
        <v>0</v>
      </c>
      <c r="J2006" s="112">
        <f>'Sampling Data'!I2005</f>
        <v>1</v>
      </c>
      <c r="K2006" s="112">
        <f>'Sampling Data'!J2005</f>
        <v>117</v>
      </c>
      <c r="L2006" s="111">
        <f>'Sampling Data'!X2005</f>
        <v>0</v>
      </c>
      <c r="M2006" s="114"/>
      <c r="N2006" s="114"/>
      <c r="O2006" s="115"/>
      <c r="P2006" s="115"/>
      <c r="Q2006" s="116"/>
      <c r="R2006" s="116"/>
      <c r="S2006" s="111">
        <f>Audit[[#This Row],[Audit Losing Candidate]]-Audit[[#This Row],[Losing Candidate]]</f>
        <v>-28</v>
      </c>
      <c r="T2006" s="111">
        <f>Audit[[#This Row],[Audit Winning Candidate]]-Audit[[#This Row],[Winning Candidate]]</f>
        <v>-58</v>
      </c>
      <c r="U2006" s="111">
        <f>Audit[[#This Row],[Audit Candidate 3]]-Audit[[#This Row],[Candidate 3]]</f>
        <v>-22</v>
      </c>
      <c r="V2006" s="111">
        <f>Audit[[#This Row],[Audit Candidate 4]]-Audit[[#This Row],[Candidate 4]]</f>
        <v>-7</v>
      </c>
      <c r="W2006" s="111">
        <f>Audit[[#This Row],[Audit Candidate 5]]-Audit[[#This Row],[Candidate 5]]</f>
        <v>-1</v>
      </c>
      <c r="X2006" s="111">
        <f>Audit[[#This Row],[Audit Candidate 6]]-Audit[[#This Row],[Candidate 6]]</f>
        <v>0</v>
      </c>
      <c r="Y2006" s="111">
        <f>SUMIF(Audit[[#This Row],[Difference Loser]:[Difference Candidate 6]], "&gt;0")</f>
        <v>0</v>
      </c>
      <c r="Z2006" s="111">
        <f>SUM(Audit[[#This Row],[Difference Loser]:[Difference Candidate 6]])</f>
        <v>-116</v>
      </c>
      <c r="AA2006" s="111">
        <f>IF(Audit[[#This Row],[Times p Drawn - With Replacement]]&gt;0, IF(Audit[[#This Row],[Canceled Differences]]&lt;0, Audit[[#This Row],[Max Differences]]+ABS(Audit[[#This Row],[Canceled Differences]]), Audit[[#This Row],[Max Differences]]), 0)</f>
        <v>0</v>
      </c>
      <c r="AB2006" s="111">
        <f>'Sampling Data'!P2005</f>
        <v>9.0029397354238119E-3</v>
      </c>
      <c r="AC2006" s="111">
        <f>IF(
      SUM(Audit[[#This Row],[Audit Losing Candidate]:[Audit Candidate 6]])
      &lt;&gt;0,
      (Audit[[#This Row],[Winning Candidate]]-Audit[[#This Row],[Losing Candidate]]-(Audit[[#This Row],[Audit Winning Candidate]]-Audit[[#This Row],[Audit Losing Candidate]]))/(Audit[[#Totals],[Winning Candidate]]-Audit[[#Totals],[Losing Candidate]]),
      0
)</f>
        <v>0</v>
      </c>
      <c r="AD20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6" s="111">
        <f>IF(Audit[[#This Row],[Max Relative Error (ep)]] = 0, 0, Audit[[#This Row],[Max Relative Error (ep)]]/Audit[[#This Row],[Error Bound (up) - Max. possible relative overstatement]])</f>
        <v>0</v>
      </c>
      <c r="AJ20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06" s="111">
        <f t="shared" si="31"/>
        <v>1</v>
      </c>
      <c r="AL2006" s="111">
        <f>PRODUCT($AK$5:AK2006)</f>
        <v>8.962823818226312E-2</v>
      </c>
      <c r="AM2006" s="109">
        <f>1 - [K-M P Value]</f>
        <v>0.91037176181773694</v>
      </c>
      <c r="AN2006" s="111" t="str">
        <f>IF(Audit[[#This Row],[K-M P Value]]&gt;1-'General Info'!$B$16,"Continue", "Stop")</f>
        <v>Stop</v>
      </c>
      <c r="AO2006" s="110" t="b">
        <f>IF(Audit[[#This Row],[Status - Continue or stop audit]] = "Continue", TRUE, IF(AN2005 = "Continue", TRUE, FALSE))</f>
        <v>0</v>
      </c>
      <c r="AP2006" s="110"/>
    </row>
    <row r="2007" spans="1:42" ht="15" hidden="1" customHeight="1">
      <c r="A2007" s="111" t="str">
        <f>'Sampling Data'!W2006</f>
        <v/>
      </c>
      <c r="B2007" s="112" t="str">
        <f>'Sampling Data'!A2006</f>
        <v>STRONGSVILLE -01-I - ABS</v>
      </c>
      <c r="C2007" s="112">
        <f>'Sampling Data'!B2006</f>
        <v>23</v>
      </c>
      <c r="D2007" s="112">
        <f>'Sampling Data'!C2006</f>
        <v>57</v>
      </c>
      <c r="E2007" s="113">
        <f>'Sampling Data'!D2006</f>
        <v>9</v>
      </c>
      <c r="F2007" s="113">
        <f>'Sampling Data'!E2006</f>
        <v>6</v>
      </c>
      <c r="G2007" s="113">
        <f>'Sampling Data'!F2006</f>
        <v>0</v>
      </c>
      <c r="H2007" s="113">
        <f>'Sampling Data'!G2006</f>
        <v>0</v>
      </c>
      <c r="I2007" s="112">
        <f>'Sampling Data'!H2006</f>
        <v>0</v>
      </c>
      <c r="J2007" s="112">
        <f>'Sampling Data'!I2006</f>
        <v>0</v>
      </c>
      <c r="K2007" s="112">
        <f>'Sampling Data'!J2006</f>
        <v>95</v>
      </c>
      <c r="L2007" s="111">
        <f>'Sampling Data'!X2006</f>
        <v>0</v>
      </c>
      <c r="M2007" s="114"/>
      <c r="N2007" s="114"/>
      <c r="O2007" s="115"/>
      <c r="P2007" s="115"/>
      <c r="Q2007" s="116"/>
      <c r="R2007" s="116"/>
      <c r="S2007" s="111">
        <f>Audit[[#This Row],[Audit Losing Candidate]]-Audit[[#This Row],[Losing Candidate]]</f>
        <v>-23</v>
      </c>
      <c r="T2007" s="111">
        <f>Audit[[#This Row],[Audit Winning Candidate]]-Audit[[#This Row],[Winning Candidate]]</f>
        <v>-57</v>
      </c>
      <c r="U2007" s="111">
        <f>Audit[[#This Row],[Audit Candidate 3]]-Audit[[#This Row],[Candidate 3]]</f>
        <v>-9</v>
      </c>
      <c r="V2007" s="111">
        <f>Audit[[#This Row],[Audit Candidate 4]]-Audit[[#This Row],[Candidate 4]]</f>
        <v>-6</v>
      </c>
      <c r="W2007" s="111">
        <f>Audit[[#This Row],[Audit Candidate 5]]-Audit[[#This Row],[Candidate 5]]</f>
        <v>0</v>
      </c>
      <c r="X2007" s="111">
        <f>Audit[[#This Row],[Audit Candidate 6]]-Audit[[#This Row],[Candidate 6]]</f>
        <v>0</v>
      </c>
      <c r="Y2007" s="111">
        <f>SUMIF(Audit[[#This Row],[Difference Loser]:[Difference Candidate 6]], "&gt;0")</f>
        <v>0</v>
      </c>
      <c r="Z2007" s="111">
        <f>SUM(Audit[[#This Row],[Difference Loser]:[Difference Candidate 6]])</f>
        <v>-95</v>
      </c>
      <c r="AA2007" s="111">
        <f>IF(Audit[[#This Row],[Times p Drawn - With Replacement]]&gt;0, IF(Audit[[#This Row],[Canceled Differences]]&lt;0, Audit[[#This Row],[Max Differences]]+ABS(Audit[[#This Row],[Canceled Differences]]), Audit[[#This Row],[Max Differences]]), 0)</f>
        <v>0</v>
      </c>
      <c r="AB2007" s="111">
        <f>'Sampling Data'!P2006</f>
        <v>7.9005389514943663E-3</v>
      </c>
      <c r="AC2007" s="111">
        <f>IF(
      SUM(Audit[[#This Row],[Audit Losing Candidate]:[Audit Candidate 6]])
      &lt;&gt;0,
      (Audit[[#This Row],[Winning Candidate]]-Audit[[#This Row],[Losing Candidate]]-(Audit[[#This Row],[Audit Winning Candidate]]-Audit[[#This Row],[Audit Losing Candidate]]))/(Audit[[#Totals],[Winning Candidate]]-Audit[[#Totals],[Losing Candidate]]),
      0
)</f>
        <v>0</v>
      </c>
      <c r="AD20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7" s="111">
        <f>IF(Audit[[#This Row],[Max Relative Error (ep)]] = 0, 0, Audit[[#This Row],[Max Relative Error (ep)]]/Audit[[#This Row],[Error Bound (up) - Max. possible relative overstatement]])</f>
        <v>0</v>
      </c>
      <c r="AJ20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07" s="111">
        <f t="shared" si="31"/>
        <v>1</v>
      </c>
      <c r="AL2007" s="111">
        <f>PRODUCT($AK$5:AK2007)</f>
        <v>8.962823818226312E-2</v>
      </c>
      <c r="AM2007" s="109">
        <f>1 - [K-M P Value]</f>
        <v>0.91037176181773694</v>
      </c>
      <c r="AN2007" s="111" t="str">
        <f>IF(Audit[[#This Row],[K-M P Value]]&gt;1-'General Info'!$B$16,"Continue", "Stop")</f>
        <v>Stop</v>
      </c>
      <c r="AO2007" s="110" t="b">
        <f>IF(Audit[[#This Row],[Status - Continue or stop audit]] = "Continue", TRUE, IF(AN2006 = "Continue", TRUE, FALSE))</f>
        <v>0</v>
      </c>
      <c r="AP2007" s="110"/>
    </row>
    <row r="2008" spans="1:42" ht="15" hidden="1" customHeight="1">
      <c r="A2008" s="111" t="str">
        <f>'Sampling Data'!W2007</f>
        <v/>
      </c>
      <c r="B2008" s="112" t="str">
        <f>'Sampling Data'!A2007</f>
        <v>STRONGSVILLE -02-A</v>
      </c>
      <c r="C2008" s="112">
        <f>'Sampling Data'!B2007</f>
        <v>44</v>
      </c>
      <c r="D2008" s="112">
        <f>'Sampling Data'!C2007</f>
        <v>99</v>
      </c>
      <c r="E2008" s="113">
        <f>'Sampling Data'!D2007</f>
        <v>27</v>
      </c>
      <c r="F2008" s="113">
        <f>'Sampling Data'!E2007</f>
        <v>26</v>
      </c>
      <c r="G2008" s="113">
        <f>'Sampling Data'!F2007</f>
        <v>2</v>
      </c>
      <c r="H2008" s="113">
        <f>'Sampling Data'!G2007</f>
        <v>1</v>
      </c>
      <c r="I2008" s="112">
        <f>'Sampling Data'!H2007</f>
        <v>0</v>
      </c>
      <c r="J2008" s="112">
        <f>'Sampling Data'!I2007</f>
        <v>3</v>
      </c>
      <c r="K2008" s="112">
        <f>'Sampling Data'!J2007</f>
        <v>202</v>
      </c>
      <c r="L2008" s="111">
        <f>'Sampling Data'!X2007</f>
        <v>0</v>
      </c>
      <c r="M2008" s="114"/>
      <c r="N2008" s="114"/>
      <c r="O2008" s="115"/>
      <c r="P2008" s="115"/>
      <c r="Q2008" s="116"/>
      <c r="R2008" s="116"/>
      <c r="S2008" s="111">
        <f>Audit[[#This Row],[Audit Losing Candidate]]-Audit[[#This Row],[Losing Candidate]]</f>
        <v>-44</v>
      </c>
      <c r="T2008" s="111">
        <f>Audit[[#This Row],[Audit Winning Candidate]]-Audit[[#This Row],[Winning Candidate]]</f>
        <v>-99</v>
      </c>
      <c r="U2008" s="111">
        <f>Audit[[#This Row],[Audit Candidate 3]]-Audit[[#This Row],[Candidate 3]]</f>
        <v>-27</v>
      </c>
      <c r="V2008" s="111">
        <f>Audit[[#This Row],[Audit Candidate 4]]-Audit[[#This Row],[Candidate 4]]</f>
        <v>-26</v>
      </c>
      <c r="W2008" s="111">
        <f>Audit[[#This Row],[Audit Candidate 5]]-Audit[[#This Row],[Candidate 5]]</f>
        <v>-2</v>
      </c>
      <c r="X2008" s="111">
        <f>Audit[[#This Row],[Audit Candidate 6]]-Audit[[#This Row],[Candidate 6]]</f>
        <v>-1</v>
      </c>
      <c r="Y2008" s="111">
        <f>SUMIF(Audit[[#This Row],[Difference Loser]:[Difference Candidate 6]], "&gt;0")</f>
        <v>0</v>
      </c>
      <c r="Z2008" s="111">
        <f>SUM(Audit[[#This Row],[Difference Loser]:[Difference Candidate 6]])</f>
        <v>-199</v>
      </c>
      <c r="AA2008" s="111">
        <f>IF(Audit[[#This Row],[Times p Drawn - With Replacement]]&gt;0, IF(Audit[[#This Row],[Canceled Differences]]&lt;0, Audit[[#This Row],[Max Differences]]+ABS(Audit[[#This Row],[Canceled Differences]]), Audit[[#This Row],[Max Differences]]), 0)</f>
        <v>0</v>
      </c>
      <c r="AB2008" s="111">
        <f>'Sampling Data'!P2007</f>
        <v>1.573983341499265E-2</v>
      </c>
      <c r="AC2008" s="111">
        <f>IF(
      SUM(Audit[[#This Row],[Audit Losing Candidate]:[Audit Candidate 6]])
      &lt;&gt;0,
      (Audit[[#This Row],[Winning Candidate]]-Audit[[#This Row],[Losing Candidate]]-(Audit[[#This Row],[Audit Winning Candidate]]-Audit[[#This Row],[Audit Losing Candidate]]))/(Audit[[#Totals],[Winning Candidate]]-Audit[[#Totals],[Losing Candidate]]),
      0
)</f>
        <v>0</v>
      </c>
      <c r="AD20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8" s="111">
        <f>IF(Audit[[#This Row],[Max Relative Error (ep)]] = 0, 0, Audit[[#This Row],[Max Relative Error (ep)]]/Audit[[#This Row],[Error Bound (up) - Max. possible relative overstatement]])</f>
        <v>0</v>
      </c>
      <c r="AJ20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08" s="111">
        <f t="shared" si="31"/>
        <v>1</v>
      </c>
      <c r="AL2008" s="111">
        <f>PRODUCT($AK$5:AK2008)</f>
        <v>8.962823818226312E-2</v>
      </c>
      <c r="AM2008" s="109">
        <f>1 - [K-M P Value]</f>
        <v>0.91037176181773694</v>
      </c>
      <c r="AN2008" s="111" t="str">
        <f>IF(Audit[[#This Row],[K-M P Value]]&gt;1-'General Info'!$B$16,"Continue", "Stop")</f>
        <v>Stop</v>
      </c>
      <c r="AO2008" s="110" t="b">
        <f>IF(Audit[[#This Row],[Status - Continue or stop audit]] = "Continue", TRUE, IF(AN2007 = "Continue", TRUE, FALSE))</f>
        <v>0</v>
      </c>
      <c r="AP2008" s="110"/>
    </row>
    <row r="2009" spans="1:42" ht="15" hidden="1" customHeight="1">
      <c r="A2009" s="111" t="str">
        <f>'Sampling Data'!W2008</f>
        <v/>
      </c>
      <c r="B2009" s="112" t="str">
        <f>'Sampling Data'!A2008</f>
        <v>STRONGSVILLE -02-A - ABS</v>
      </c>
      <c r="C2009" s="112">
        <f>'Sampling Data'!B2008</f>
        <v>34</v>
      </c>
      <c r="D2009" s="112">
        <f>'Sampling Data'!C2008</f>
        <v>32</v>
      </c>
      <c r="E2009" s="113">
        <f>'Sampling Data'!D2008</f>
        <v>12</v>
      </c>
      <c r="F2009" s="113">
        <f>'Sampling Data'!E2008</f>
        <v>6</v>
      </c>
      <c r="G2009" s="113">
        <f>'Sampling Data'!F2008</f>
        <v>0</v>
      </c>
      <c r="H2009" s="113">
        <f>'Sampling Data'!G2008</f>
        <v>1</v>
      </c>
      <c r="I2009" s="112">
        <f>'Sampling Data'!H2008</f>
        <v>0</v>
      </c>
      <c r="J2009" s="112">
        <f>'Sampling Data'!I2008</f>
        <v>1</v>
      </c>
      <c r="K2009" s="112">
        <f>'Sampling Data'!J2008</f>
        <v>86</v>
      </c>
      <c r="L2009" s="111">
        <f>'Sampling Data'!X2008</f>
        <v>0</v>
      </c>
      <c r="M2009" s="114"/>
      <c r="N2009" s="114"/>
      <c r="O2009" s="115"/>
      <c r="P2009" s="115"/>
      <c r="Q2009" s="116"/>
      <c r="R2009" s="116"/>
      <c r="S2009" s="111">
        <f>Audit[[#This Row],[Audit Losing Candidate]]-Audit[[#This Row],[Losing Candidate]]</f>
        <v>-34</v>
      </c>
      <c r="T2009" s="111">
        <f>Audit[[#This Row],[Audit Winning Candidate]]-Audit[[#This Row],[Winning Candidate]]</f>
        <v>-32</v>
      </c>
      <c r="U2009" s="111">
        <f>Audit[[#This Row],[Audit Candidate 3]]-Audit[[#This Row],[Candidate 3]]</f>
        <v>-12</v>
      </c>
      <c r="V2009" s="111">
        <f>Audit[[#This Row],[Audit Candidate 4]]-Audit[[#This Row],[Candidate 4]]</f>
        <v>-6</v>
      </c>
      <c r="W2009" s="111">
        <f>Audit[[#This Row],[Audit Candidate 5]]-Audit[[#This Row],[Candidate 5]]</f>
        <v>0</v>
      </c>
      <c r="X2009" s="111">
        <f>Audit[[#This Row],[Audit Candidate 6]]-Audit[[#This Row],[Candidate 6]]</f>
        <v>-1</v>
      </c>
      <c r="Y2009" s="111">
        <f>SUMIF(Audit[[#This Row],[Difference Loser]:[Difference Candidate 6]], "&gt;0")</f>
        <v>0</v>
      </c>
      <c r="Z2009" s="111">
        <f>SUM(Audit[[#This Row],[Difference Loser]:[Difference Candidate 6]])</f>
        <v>-85</v>
      </c>
      <c r="AA2009" s="111">
        <f>IF(Audit[[#This Row],[Times p Drawn - With Replacement]]&gt;0, IF(Audit[[#This Row],[Canceled Differences]]&lt;0, Audit[[#This Row],[Max Differences]]+ABS(Audit[[#This Row],[Canceled Differences]]), Audit[[#This Row],[Max Differences]]), 0)</f>
        <v>0</v>
      </c>
      <c r="AB2009" s="111">
        <f>'Sampling Data'!P2008</f>
        <v>5.1445369916707498E-3</v>
      </c>
      <c r="AC2009" s="111">
        <f>IF(
      SUM(Audit[[#This Row],[Audit Losing Candidate]:[Audit Candidate 6]])
      &lt;&gt;0,
      (Audit[[#This Row],[Winning Candidate]]-Audit[[#This Row],[Losing Candidate]]-(Audit[[#This Row],[Audit Winning Candidate]]-Audit[[#This Row],[Audit Losing Candidate]]))/(Audit[[#Totals],[Winning Candidate]]-Audit[[#Totals],[Losing Candidate]]),
      0
)</f>
        <v>0</v>
      </c>
      <c r="AD20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9" s="111">
        <f>IF(Audit[[#This Row],[Max Relative Error (ep)]] = 0, 0, Audit[[#This Row],[Max Relative Error (ep)]]/Audit[[#This Row],[Error Bound (up) - Max. possible relative overstatement]])</f>
        <v>0</v>
      </c>
      <c r="AJ20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09" s="111">
        <f t="shared" si="31"/>
        <v>1</v>
      </c>
      <c r="AL2009" s="111">
        <f>PRODUCT($AK$5:AK2009)</f>
        <v>8.962823818226312E-2</v>
      </c>
      <c r="AM2009" s="109">
        <f>1 - [K-M P Value]</f>
        <v>0.91037176181773694</v>
      </c>
      <c r="AN2009" s="111" t="str">
        <f>IF(Audit[[#This Row],[K-M P Value]]&gt;1-'General Info'!$B$16,"Continue", "Stop")</f>
        <v>Stop</v>
      </c>
      <c r="AO2009" s="110" t="b">
        <f>IF(Audit[[#This Row],[Status - Continue or stop audit]] = "Continue", TRUE, IF(AN2008 = "Continue", TRUE, FALSE))</f>
        <v>0</v>
      </c>
      <c r="AP2009" s="110"/>
    </row>
    <row r="2010" spans="1:42" ht="15" hidden="1" customHeight="1">
      <c r="A2010" s="111" t="str">
        <f>'Sampling Data'!W2009</f>
        <v/>
      </c>
      <c r="B2010" s="112" t="str">
        <f>'Sampling Data'!A2009</f>
        <v>STRONGSVILLE -02-B</v>
      </c>
      <c r="C2010" s="112">
        <f>'Sampling Data'!B2009</f>
        <v>44</v>
      </c>
      <c r="D2010" s="112">
        <f>'Sampling Data'!C2009</f>
        <v>58</v>
      </c>
      <c r="E2010" s="113">
        <f>'Sampling Data'!D2009</f>
        <v>16</v>
      </c>
      <c r="F2010" s="113">
        <f>'Sampling Data'!E2009</f>
        <v>19</v>
      </c>
      <c r="G2010" s="113">
        <f>'Sampling Data'!F2009</f>
        <v>1</v>
      </c>
      <c r="H2010" s="113">
        <f>'Sampling Data'!G2009</f>
        <v>1</v>
      </c>
      <c r="I2010" s="112">
        <f>'Sampling Data'!H2009</f>
        <v>1</v>
      </c>
      <c r="J2010" s="112">
        <f>'Sampling Data'!I2009</f>
        <v>4</v>
      </c>
      <c r="K2010" s="112">
        <f>'Sampling Data'!J2009</f>
        <v>144</v>
      </c>
      <c r="L2010" s="111">
        <f>'Sampling Data'!X2009</f>
        <v>0</v>
      </c>
      <c r="M2010" s="114"/>
      <c r="N2010" s="114"/>
      <c r="O2010" s="115"/>
      <c r="P2010" s="115"/>
      <c r="Q2010" s="116"/>
      <c r="R2010" s="116"/>
      <c r="S2010" s="111">
        <f>Audit[[#This Row],[Audit Losing Candidate]]-Audit[[#This Row],[Losing Candidate]]</f>
        <v>-44</v>
      </c>
      <c r="T2010" s="111">
        <f>Audit[[#This Row],[Audit Winning Candidate]]-Audit[[#This Row],[Winning Candidate]]</f>
        <v>-58</v>
      </c>
      <c r="U2010" s="111">
        <f>Audit[[#This Row],[Audit Candidate 3]]-Audit[[#This Row],[Candidate 3]]</f>
        <v>-16</v>
      </c>
      <c r="V2010" s="111">
        <f>Audit[[#This Row],[Audit Candidate 4]]-Audit[[#This Row],[Candidate 4]]</f>
        <v>-19</v>
      </c>
      <c r="W2010" s="111">
        <f>Audit[[#This Row],[Audit Candidate 5]]-Audit[[#This Row],[Candidate 5]]</f>
        <v>-1</v>
      </c>
      <c r="X2010" s="111">
        <f>Audit[[#This Row],[Audit Candidate 6]]-Audit[[#This Row],[Candidate 6]]</f>
        <v>-1</v>
      </c>
      <c r="Y2010" s="111">
        <f>SUMIF(Audit[[#This Row],[Difference Loser]:[Difference Candidate 6]], "&gt;0")</f>
        <v>0</v>
      </c>
      <c r="Z2010" s="111">
        <f>SUM(Audit[[#This Row],[Difference Loser]:[Difference Candidate 6]])</f>
        <v>-139</v>
      </c>
      <c r="AA2010" s="111">
        <f>IF(Audit[[#This Row],[Times p Drawn - With Replacement]]&gt;0, IF(Audit[[#This Row],[Canceled Differences]]&lt;0, Audit[[#This Row],[Max Differences]]+ABS(Audit[[#This Row],[Canceled Differences]]), Audit[[#This Row],[Max Differences]]), 0)</f>
        <v>0</v>
      </c>
      <c r="AB2010" s="111">
        <f>'Sampling Data'!P2009</f>
        <v>9.6766291033806955E-3</v>
      </c>
      <c r="AC2010" s="111">
        <f>IF(
      SUM(Audit[[#This Row],[Audit Losing Candidate]:[Audit Candidate 6]])
      &lt;&gt;0,
      (Audit[[#This Row],[Winning Candidate]]-Audit[[#This Row],[Losing Candidate]]-(Audit[[#This Row],[Audit Winning Candidate]]-Audit[[#This Row],[Audit Losing Candidate]]))/(Audit[[#Totals],[Winning Candidate]]-Audit[[#Totals],[Losing Candidate]]),
      0
)</f>
        <v>0</v>
      </c>
      <c r="AD20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0" s="111">
        <f>IF(Audit[[#This Row],[Max Relative Error (ep)]] = 0, 0, Audit[[#This Row],[Max Relative Error (ep)]]/Audit[[#This Row],[Error Bound (up) - Max. possible relative overstatement]])</f>
        <v>0</v>
      </c>
      <c r="AJ20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10" s="111">
        <f t="shared" si="31"/>
        <v>1</v>
      </c>
      <c r="AL2010" s="111">
        <f>PRODUCT($AK$5:AK2010)</f>
        <v>8.962823818226312E-2</v>
      </c>
      <c r="AM2010" s="109">
        <f>1 - [K-M P Value]</f>
        <v>0.91037176181773694</v>
      </c>
      <c r="AN2010" s="111" t="str">
        <f>IF(Audit[[#This Row],[K-M P Value]]&gt;1-'General Info'!$B$16,"Continue", "Stop")</f>
        <v>Stop</v>
      </c>
      <c r="AO2010" s="110" t="b">
        <f>IF(Audit[[#This Row],[Status - Continue or stop audit]] = "Continue", TRUE, IF(AN2009 = "Continue", TRUE, FALSE))</f>
        <v>0</v>
      </c>
      <c r="AP2010" s="110"/>
    </row>
    <row r="2011" spans="1:42" ht="15" hidden="1" customHeight="1">
      <c r="A2011" s="111" t="str">
        <f>'Sampling Data'!W2010</f>
        <v/>
      </c>
      <c r="B2011" s="112" t="str">
        <f>'Sampling Data'!A2010</f>
        <v>STRONGSVILLE -02-B - ABS</v>
      </c>
      <c r="C2011" s="112">
        <f>'Sampling Data'!B2010</f>
        <v>28</v>
      </c>
      <c r="D2011" s="112">
        <f>'Sampling Data'!C2010</f>
        <v>33</v>
      </c>
      <c r="E2011" s="113">
        <f>'Sampling Data'!D2010</f>
        <v>8</v>
      </c>
      <c r="F2011" s="113">
        <f>'Sampling Data'!E2010</f>
        <v>5</v>
      </c>
      <c r="G2011" s="113">
        <f>'Sampling Data'!F2010</f>
        <v>0</v>
      </c>
      <c r="H2011" s="113">
        <f>'Sampling Data'!G2010</f>
        <v>0</v>
      </c>
      <c r="I2011" s="112">
        <f>'Sampling Data'!H2010</f>
        <v>0</v>
      </c>
      <c r="J2011" s="112">
        <f>'Sampling Data'!I2010</f>
        <v>2</v>
      </c>
      <c r="K2011" s="112">
        <f>'Sampling Data'!J2010</f>
        <v>76</v>
      </c>
      <c r="L2011" s="111">
        <f>'Sampling Data'!X2010</f>
        <v>0</v>
      </c>
      <c r="M2011" s="114"/>
      <c r="N2011" s="114"/>
      <c r="O2011" s="115"/>
      <c r="P2011" s="115"/>
      <c r="Q2011" s="116"/>
      <c r="R2011" s="116"/>
      <c r="S2011" s="111">
        <f>Audit[[#This Row],[Audit Losing Candidate]]-Audit[[#This Row],[Losing Candidate]]</f>
        <v>-28</v>
      </c>
      <c r="T2011" s="111">
        <f>Audit[[#This Row],[Audit Winning Candidate]]-Audit[[#This Row],[Winning Candidate]]</f>
        <v>-33</v>
      </c>
      <c r="U2011" s="111">
        <f>Audit[[#This Row],[Audit Candidate 3]]-Audit[[#This Row],[Candidate 3]]</f>
        <v>-8</v>
      </c>
      <c r="V2011" s="111">
        <f>Audit[[#This Row],[Audit Candidate 4]]-Audit[[#This Row],[Candidate 4]]</f>
        <v>-5</v>
      </c>
      <c r="W2011" s="111">
        <f>Audit[[#This Row],[Audit Candidate 5]]-Audit[[#This Row],[Candidate 5]]</f>
        <v>0</v>
      </c>
      <c r="X2011" s="111">
        <f>Audit[[#This Row],[Audit Candidate 6]]-Audit[[#This Row],[Candidate 6]]</f>
        <v>0</v>
      </c>
      <c r="Y2011" s="111">
        <f>SUMIF(Audit[[#This Row],[Difference Loser]:[Difference Candidate 6]], "&gt;0")</f>
        <v>0</v>
      </c>
      <c r="Z2011" s="111">
        <f>SUM(Audit[[#This Row],[Difference Loser]:[Difference Candidate 6]])</f>
        <v>-74</v>
      </c>
      <c r="AA2011" s="111">
        <f>IF(Audit[[#This Row],[Times p Drawn - With Replacement]]&gt;0, IF(Audit[[#This Row],[Canceled Differences]]&lt;0, Audit[[#This Row],[Max Differences]]+ABS(Audit[[#This Row],[Canceled Differences]]), Audit[[#This Row],[Max Differences]]), 0)</f>
        <v>0</v>
      </c>
      <c r="AB2011" s="111">
        <f>'Sampling Data'!P2010</f>
        <v>4.9608035276825085E-3</v>
      </c>
      <c r="AC2011" s="111">
        <f>IF(
      SUM(Audit[[#This Row],[Audit Losing Candidate]:[Audit Candidate 6]])
      &lt;&gt;0,
      (Audit[[#This Row],[Winning Candidate]]-Audit[[#This Row],[Losing Candidate]]-(Audit[[#This Row],[Audit Winning Candidate]]-Audit[[#This Row],[Audit Losing Candidate]]))/(Audit[[#Totals],[Winning Candidate]]-Audit[[#Totals],[Losing Candidate]]),
      0
)</f>
        <v>0</v>
      </c>
      <c r="AD20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1" s="111">
        <f>IF(Audit[[#This Row],[Max Relative Error (ep)]] = 0, 0, Audit[[#This Row],[Max Relative Error (ep)]]/Audit[[#This Row],[Error Bound (up) - Max. possible relative overstatement]])</f>
        <v>0</v>
      </c>
      <c r="AJ20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11" s="111">
        <f t="shared" si="31"/>
        <v>1</v>
      </c>
      <c r="AL2011" s="111">
        <f>PRODUCT($AK$5:AK2011)</f>
        <v>8.962823818226312E-2</v>
      </c>
      <c r="AM2011" s="109">
        <f>1 - [K-M P Value]</f>
        <v>0.91037176181773694</v>
      </c>
      <c r="AN2011" s="111" t="str">
        <f>IF(Audit[[#This Row],[K-M P Value]]&gt;1-'General Info'!$B$16,"Continue", "Stop")</f>
        <v>Stop</v>
      </c>
      <c r="AO2011" s="110" t="b">
        <f>IF(Audit[[#This Row],[Status - Continue or stop audit]] = "Continue", TRUE, IF(AN2010 = "Continue", TRUE, FALSE))</f>
        <v>0</v>
      </c>
      <c r="AP2011" s="110"/>
    </row>
    <row r="2012" spans="1:42" ht="15" hidden="1" customHeight="1">
      <c r="A2012" s="111" t="str">
        <f>'Sampling Data'!W2011</f>
        <v/>
      </c>
      <c r="B2012" s="112" t="str">
        <f>'Sampling Data'!A2011</f>
        <v>STRONGSVILLE -02-C</v>
      </c>
      <c r="C2012" s="112">
        <f>'Sampling Data'!B2011</f>
        <v>45</v>
      </c>
      <c r="D2012" s="112">
        <f>'Sampling Data'!C2011</f>
        <v>83</v>
      </c>
      <c r="E2012" s="113">
        <f>'Sampling Data'!D2011</f>
        <v>20</v>
      </c>
      <c r="F2012" s="113">
        <f>'Sampling Data'!E2011</f>
        <v>13</v>
      </c>
      <c r="G2012" s="113">
        <f>'Sampling Data'!F2011</f>
        <v>1</v>
      </c>
      <c r="H2012" s="113">
        <f>'Sampling Data'!G2011</f>
        <v>0</v>
      </c>
      <c r="I2012" s="112">
        <f>'Sampling Data'!H2011</f>
        <v>0</v>
      </c>
      <c r="J2012" s="112">
        <f>'Sampling Data'!I2011</f>
        <v>1</v>
      </c>
      <c r="K2012" s="112">
        <f>'Sampling Data'!J2011</f>
        <v>163</v>
      </c>
      <c r="L2012" s="111">
        <f>'Sampling Data'!X2011</f>
        <v>0</v>
      </c>
      <c r="M2012" s="114"/>
      <c r="N2012" s="114"/>
      <c r="O2012" s="115"/>
      <c r="P2012" s="115"/>
      <c r="Q2012" s="116"/>
      <c r="R2012" s="116"/>
      <c r="S2012" s="111">
        <f>Audit[[#This Row],[Audit Losing Candidate]]-Audit[[#This Row],[Losing Candidate]]</f>
        <v>-45</v>
      </c>
      <c r="T2012" s="111">
        <f>Audit[[#This Row],[Audit Winning Candidate]]-Audit[[#This Row],[Winning Candidate]]</f>
        <v>-83</v>
      </c>
      <c r="U2012" s="111">
        <f>Audit[[#This Row],[Audit Candidate 3]]-Audit[[#This Row],[Candidate 3]]</f>
        <v>-20</v>
      </c>
      <c r="V2012" s="111">
        <f>Audit[[#This Row],[Audit Candidate 4]]-Audit[[#This Row],[Candidate 4]]</f>
        <v>-13</v>
      </c>
      <c r="W2012" s="111">
        <f>Audit[[#This Row],[Audit Candidate 5]]-Audit[[#This Row],[Candidate 5]]</f>
        <v>-1</v>
      </c>
      <c r="X2012" s="111">
        <f>Audit[[#This Row],[Audit Candidate 6]]-Audit[[#This Row],[Candidate 6]]</f>
        <v>0</v>
      </c>
      <c r="Y2012" s="111">
        <f>SUMIF(Audit[[#This Row],[Difference Loser]:[Difference Candidate 6]], "&gt;0")</f>
        <v>0</v>
      </c>
      <c r="Z2012" s="111">
        <f>SUM(Audit[[#This Row],[Difference Loser]:[Difference Candidate 6]])</f>
        <v>-162</v>
      </c>
      <c r="AA2012" s="111">
        <f>IF(Audit[[#This Row],[Times p Drawn - With Replacement]]&gt;0, IF(Audit[[#This Row],[Canceled Differences]]&lt;0, Audit[[#This Row],[Max Differences]]+ABS(Audit[[#This Row],[Canceled Differences]]), Audit[[#This Row],[Max Differences]]), 0)</f>
        <v>0</v>
      </c>
      <c r="AB2012" s="111">
        <f>'Sampling Data'!P2011</f>
        <v>1.231014208721215E-2</v>
      </c>
      <c r="AC2012" s="111">
        <f>IF(
      SUM(Audit[[#This Row],[Audit Losing Candidate]:[Audit Candidate 6]])
      &lt;&gt;0,
      (Audit[[#This Row],[Winning Candidate]]-Audit[[#This Row],[Losing Candidate]]-(Audit[[#This Row],[Audit Winning Candidate]]-Audit[[#This Row],[Audit Losing Candidate]]))/(Audit[[#Totals],[Winning Candidate]]-Audit[[#Totals],[Losing Candidate]]),
      0
)</f>
        <v>0</v>
      </c>
      <c r="AD20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2" s="111">
        <f>IF(Audit[[#This Row],[Max Relative Error (ep)]] = 0, 0, Audit[[#This Row],[Max Relative Error (ep)]]/Audit[[#This Row],[Error Bound (up) - Max. possible relative overstatement]])</f>
        <v>0</v>
      </c>
      <c r="AJ20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12" s="111">
        <f t="shared" si="31"/>
        <v>1</v>
      </c>
      <c r="AL2012" s="111">
        <f>PRODUCT($AK$5:AK2012)</f>
        <v>8.962823818226312E-2</v>
      </c>
      <c r="AM2012" s="109">
        <f>1 - [K-M P Value]</f>
        <v>0.91037176181773694</v>
      </c>
      <c r="AN2012" s="111" t="str">
        <f>IF(Audit[[#This Row],[K-M P Value]]&gt;1-'General Info'!$B$16,"Continue", "Stop")</f>
        <v>Stop</v>
      </c>
      <c r="AO2012" s="110" t="b">
        <f>IF(Audit[[#This Row],[Status - Continue or stop audit]] = "Continue", TRUE, IF(AN2011 = "Continue", TRUE, FALSE))</f>
        <v>0</v>
      </c>
      <c r="AP2012" s="110"/>
    </row>
    <row r="2013" spans="1:42" ht="15" hidden="1" customHeight="1">
      <c r="A2013" s="111" t="str">
        <f>'Sampling Data'!W2012</f>
        <v/>
      </c>
      <c r="B2013" s="112" t="str">
        <f>'Sampling Data'!A2012</f>
        <v>STRONGSVILLE -02-C - ABS</v>
      </c>
      <c r="C2013" s="112">
        <f>'Sampling Data'!B2012</f>
        <v>23</v>
      </c>
      <c r="D2013" s="112">
        <f>'Sampling Data'!C2012</f>
        <v>40</v>
      </c>
      <c r="E2013" s="113">
        <f>'Sampling Data'!D2012</f>
        <v>10</v>
      </c>
      <c r="F2013" s="113">
        <f>'Sampling Data'!E2012</f>
        <v>3</v>
      </c>
      <c r="G2013" s="113">
        <f>'Sampling Data'!F2012</f>
        <v>0</v>
      </c>
      <c r="H2013" s="113">
        <f>'Sampling Data'!G2012</f>
        <v>1</v>
      </c>
      <c r="I2013" s="112">
        <f>'Sampling Data'!H2012</f>
        <v>0</v>
      </c>
      <c r="J2013" s="112">
        <f>'Sampling Data'!I2012</f>
        <v>1</v>
      </c>
      <c r="K2013" s="112">
        <f>'Sampling Data'!J2012</f>
        <v>78</v>
      </c>
      <c r="L2013" s="111">
        <f>'Sampling Data'!X2012</f>
        <v>0</v>
      </c>
      <c r="M2013" s="114"/>
      <c r="N2013" s="114"/>
      <c r="O2013" s="115"/>
      <c r="P2013" s="115"/>
      <c r="Q2013" s="116"/>
      <c r="R2013" s="116"/>
      <c r="S2013" s="111">
        <f>Audit[[#This Row],[Audit Losing Candidate]]-Audit[[#This Row],[Losing Candidate]]</f>
        <v>-23</v>
      </c>
      <c r="T2013" s="111">
        <f>Audit[[#This Row],[Audit Winning Candidate]]-Audit[[#This Row],[Winning Candidate]]</f>
        <v>-40</v>
      </c>
      <c r="U2013" s="111">
        <f>Audit[[#This Row],[Audit Candidate 3]]-Audit[[#This Row],[Candidate 3]]</f>
        <v>-10</v>
      </c>
      <c r="V2013" s="111">
        <f>Audit[[#This Row],[Audit Candidate 4]]-Audit[[#This Row],[Candidate 4]]</f>
        <v>-3</v>
      </c>
      <c r="W2013" s="111">
        <f>Audit[[#This Row],[Audit Candidate 5]]-Audit[[#This Row],[Candidate 5]]</f>
        <v>0</v>
      </c>
      <c r="X2013" s="111">
        <f>Audit[[#This Row],[Audit Candidate 6]]-Audit[[#This Row],[Candidate 6]]</f>
        <v>-1</v>
      </c>
      <c r="Y2013" s="111">
        <f>SUMIF(Audit[[#This Row],[Difference Loser]:[Difference Candidate 6]], "&gt;0")</f>
        <v>0</v>
      </c>
      <c r="Z2013" s="111">
        <f>SUM(Audit[[#This Row],[Difference Loser]:[Difference Candidate 6]])</f>
        <v>-77</v>
      </c>
      <c r="AA2013" s="111">
        <f>IF(Audit[[#This Row],[Times p Drawn - With Replacement]]&gt;0, IF(Audit[[#This Row],[Canceled Differences]]&lt;0, Audit[[#This Row],[Max Differences]]+ABS(Audit[[#This Row],[Canceled Differences]]), Audit[[#This Row],[Max Differences]]), 0)</f>
        <v>0</v>
      </c>
      <c r="AB2013" s="111">
        <f>'Sampling Data'!P2012</f>
        <v>5.8182263596276334E-3</v>
      </c>
      <c r="AC2013" s="111">
        <f>IF(
      SUM(Audit[[#This Row],[Audit Losing Candidate]:[Audit Candidate 6]])
      &lt;&gt;0,
      (Audit[[#This Row],[Winning Candidate]]-Audit[[#This Row],[Losing Candidate]]-(Audit[[#This Row],[Audit Winning Candidate]]-Audit[[#This Row],[Audit Losing Candidate]]))/(Audit[[#Totals],[Winning Candidate]]-Audit[[#Totals],[Losing Candidate]]),
      0
)</f>
        <v>0</v>
      </c>
      <c r="AD20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3" s="111">
        <f>IF(Audit[[#This Row],[Max Relative Error (ep)]] = 0, 0, Audit[[#This Row],[Max Relative Error (ep)]]/Audit[[#This Row],[Error Bound (up) - Max. possible relative overstatement]])</f>
        <v>0</v>
      </c>
      <c r="AJ20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13" s="111">
        <f t="shared" si="31"/>
        <v>1</v>
      </c>
      <c r="AL2013" s="111">
        <f>PRODUCT($AK$5:AK2013)</f>
        <v>8.962823818226312E-2</v>
      </c>
      <c r="AM2013" s="109">
        <f>1 - [K-M P Value]</f>
        <v>0.91037176181773694</v>
      </c>
      <c r="AN2013" s="111" t="str">
        <f>IF(Audit[[#This Row],[K-M P Value]]&gt;1-'General Info'!$B$16,"Continue", "Stop")</f>
        <v>Stop</v>
      </c>
      <c r="AO2013" s="110" t="b">
        <f>IF(Audit[[#This Row],[Status - Continue or stop audit]] = "Continue", TRUE, IF(AN2012 = "Continue", TRUE, FALSE))</f>
        <v>0</v>
      </c>
      <c r="AP2013" s="110"/>
    </row>
    <row r="2014" spans="1:42" ht="15" hidden="1" customHeight="1">
      <c r="A2014" s="111" t="str">
        <f>'Sampling Data'!W2013</f>
        <v/>
      </c>
      <c r="B2014" s="112" t="str">
        <f>'Sampling Data'!A2013</f>
        <v>STRONGSVILLE -02-D</v>
      </c>
      <c r="C2014" s="112">
        <f>'Sampling Data'!B2013</f>
        <v>17</v>
      </c>
      <c r="D2014" s="112">
        <f>'Sampling Data'!C2013</f>
        <v>101</v>
      </c>
      <c r="E2014" s="113">
        <f>'Sampling Data'!D2013</f>
        <v>15</v>
      </c>
      <c r="F2014" s="113">
        <f>'Sampling Data'!E2013</f>
        <v>14</v>
      </c>
      <c r="G2014" s="113">
        <f>'Sampling Data'!F2013</f>
        <v>0</v>
      </c>
      <c r="H2014" s="113">
        <f>'Sampling Data'!G2013</f>
        <v>0</v>
      </c>
      <c r="I2014" s="112">
        <f>'Sampling Data'!H2013</f>
        <v>0</v>
      </c>
      <c r="J2014" s="112">
        <f>'Sampling Data'!I2013</f>
        <v>4</v>
      </c>
      <c r="K2014" s="112">
        <f>'Sampling Data'!J2013</f>
        <v>151</v>
      </c>
      <c r="L2014" s="111">
        <f>'Sampling Data'!X2013</f>
        <v>0</v>
      </c>
      <c r="M2014" s="114"/>
      <c r="N2014" s="114"/>
      <c r="O2014" s="115"/>
      <c r="P2014" s="115"/>
      <c r="Q2014" s="116"/>
      <c r="R2014" s="116"/>
      <c r="S2014" s="111">
        <f>Audit[[#This Row],[Audit Losing Candidate]]-Audit[[#This Row],[Losing Candidate]]</f>
        <v>-17</v>
      </c>
      <c r="T2014" s="111">
        <f>Audit[[#This Row],[Audit Winning Candidate]]-Audit[[#This Row],[Winning Candidate]]</f>
        <v>-101</v>
      </c>
      <c r="U2014" s="111">
        <f>Audit[[#This Row],[Audit Candidate 3]]-Audit[[#This Row],[Candidate 3]]</f>
        <v>-15</v>
      </c>
      <c r="V2014" s="111">
        <f>Audit[[#This Row],[Audit Candidate 4]]-Audit[[#This Row],[Candidate 4]]</f>
        <v>-14</v>
      </c>
      <c r="W2014" s="111">
        <f>Audit[[#This Row],[Audit Candidate 5]]-Audit[[#This Row],[Candidate 5]]</f>
        <v>0</v>
      </c>
      <c r="X2014" s="111">
        <f>Audit[[#This Row],[Audit Candidate 6]]-Audit[[#This Row],[Candidate 6]]</f>
        <v>0</v>
      </c>
      <c r="Y2014" s="111">
        <f>SUMIF(Audit[[#This Row],[Difference Loser]:[Difference Candidate 6]], "&gt;0")</f>
        <v>0</v>
      </c>
      <c r="Z2014" s="111">
        <f>SUM(Audit[[#This Row],[Difference Loser]:[Difference Candidate 6]])</f>
        <v>-147</v>
      </c>
      <c r="AA2014" s="111">
        <f>IF(Audit[[#This Row],[Times p Drawn - With Replacement]]&gt;0, IF(Audit[[#This Row],[Canceled Differences]]&lt;0, Audit[[#This Row],[Max Differences]]+ABS(Audit[[#This Row],[Canceled Differences]]), Audit[[#This Row],[Max Differences]]), 0)</f>
        <v>0</v>
      </c>
      <c r="AB2014" s="111">
        <f>'Sampling Data'!P2013</f>
        <v>1.4392454679078882E-2</v>
      </c>
      <c r="AC2014" s="111">
        <f>IF(
      SUM(Audit[[#This Row],[Audit Losing Candidate]:[Audit Candidate 6]])
      &lt;&gt;0,
      (Audit[[#This Row],[Winning Candidate]]-Audit[[#This Row],[Losing Candidate]]-(Audit[[#This Row],[Audit Winning Candidate]]-Audit[[#This Row],[Audit Losing Candidate]]))/(Audit[[#Totals],[Winning Candidate]]-Audit[[#Totals],[Losing Candidate]]),
      0
)</f>
        <v>0</v>
      </c>
      <c r="AD20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4" s="111">
        <f>IF(Audit[[#This Row],[Max Relative Error (ep)]] = 0, 0, Audit[[#This Row],[Max Relative Error (ep)]]/Audit[[#This Row],[Error Bound (up) - Max. possible relative overstatement]])</f>
        <v>0</v>
      </c>
      <c r="AJ20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14" s="111">
        <f t="shared" si="31"/>
        <v>1</v>
      </c>
      <c r="AL2014" s="111">
        <f>PRODUCT($AK$5:AK2014)</f>
        <v>8.962823818226312E-2</v>
      </c>
      <c r="AM2014" s="109">
        <f>1 - [K-M P Value]</f>
        <v>0.91037176181773694</v>
      </c>
      <c r="AN2014" s="111" t="str">
        <f>IF(Audit[[#This Row],[K-M P Value]]&gt;1-'General Info'!$B$16,"Continue", "Stop")</f>
        <v>Stop</v>
      </c>
      <c r="AO2014" s="110" t="b">
        <f>IF(Audit[[#This Row],[Status - Continue or stop audit]] = "Continue", TRUE, IF(AN2013 = "Continue", TRUE, FALSE))</f>
        <v>0</v>
      </c>
      <c r="AP2014" s="110"/>
    </row>
    <row r="2015" spans="1:42" ht="15" hidden="1" customHeight="1">
      <c r="A2015" s="111" t="str">
        <f>'Sampling Data'!W2014</f>
        <v/>
      </c>
      <c r="B2015" s="112" t="str">
        <f>'Sampling Data'!A2014</f>
        <v>STRONGSVILLE -02-D - ABS</v>
      </c>
      <c r="C2015" s="112">
        <f>'Sampling Data'!B2014</f>
        <v>24</v>
      </c>
      <c r="D2015" s="112">
        <f>'Sampling Data'!C2014</f>
        <v>29</v>
      </c>
      <c r="E2015" s="113">
        <f>'Sampling Data'!D2014</f>
        <v>13</v>
      </c>
      <c r="F2015" s="113">
        <f>'Sampling Data'!E2014</f>
        <v>10</v>
      </c>
      <c r="G2015" s="113">
        <f>'Sampling Data'!F2014</f>
        <v>1</v>
      </c>
      <c r="H2015" s="113">
        <f>'Sampling Data'!G2014</f>
        <v>0</v>
      </c>
      <c r="I2015" s="112">
        <f>'Sampling Data'!H2014</f>
        <v>0</v>
      </c>
      <c r="J2015" s="112">
        <f>'Sampling Data'!I2014</f>
        <v>2</v>
      </c>
      <c r="K2015" s="112">
        <f>'Sampling Data'!J2014</f>
        <v>79</v>
      </c>
      <c r="L2015" s="111">
        <f>'Sampling Data'!X2014</f>
        <v>0</v>
      </c>
      <c r="M2015" s="114"/>
      <c r="N2015" s="114"/>
      <c r="O2015" s="115"/>
      <c r="P2015" s="115"/>
      <c r="Q2015" s="116"/>
      <c r="R2015" s="116"/>
      <c r="S2015" s="111">
        <f>Audit[[#This Row],[Audit Losing Candidate]]-Audit[[#This Row],[Losing Candidate]]</f>
        <v>-24</v>
      </c>
      <c r="T2015" s="111">
        <f>Audit[[#This Row],[Audit Winning Candidate]]-Audit[[#This Row],[Winning Candidate]]</f>
        <v>-29</v>
      </c>
      <c r="U2015" s="111">
        <f>Audit[[#This Row],[Audit Candidate 3]]-Audit[[#This Row],[Candidate 3]]</f>
        <v>-13</v>
      </c>
      <c r="V2015" s="111">
        <f>Audit[[#This Row],[Audit Candidate 4]]-Audit[[#This Row],[Candidate 4]]</f>
        <v>-10</v>
      </c>
      <c r="W2015" s="111">
        <f>Audit[[#This Row],[Audit Candidate 5]]-Audit[[#This Row],[Candidate 5]]</f>
        <v>-1</v>
      </c>
      <c r="X2015" s="111">
        <f>Audit[[#This Row],[Audit Candidate 6]]-Audit[[#This Row],[Candidate 6]]</f>
        <v>0</v>
      </c>
      <c r="Y2015" s="111">
        <f>SUMIF(Audit[[#This Row],[Difference Loser]:[Difference Candidate 6]], "&gt;0")</f>
        <v>0</v>
      </c>
      <c r="Z2015" s="111">
        <f>SUM(Audit[[#This Row],[Difference Loser]:[Difference Candidate 6]])</f>
        <v>-77</v>
      </c>
      <c r="AA2015" s="111">
        <f>IF(Audit[[#This Row],[Times p Drawn - With Replacement]]&gt;0, IF(Audit[[#This Row],[Canceled Differences]]&lt;0, Audit[[#This Row],[Max Differences]]+ABS(Audit[[#This Row],[Canceled Differences]]), Audit[[#This Row],[Max Differences]]), 0)</f>
        <v>0</v>
      </c>
      <c r="AB2015" s="111">
        <f>'Sampling Data'!P2014</f>
        <v>5.1445369916707498E-3</v>
      </c>
      <c r="AC2015" s="111">
        <f>IF(
      SUM(Audit[[#This Row],[Audit Losing Candidate]:[Audit Candidate 6]])
      &lt;&gt;0,
      (Audit[[#This Row],[Winning Candidate]]-Audit[[#This Row],[Losing Candidate]]-(Audit[[#This Row],[Audit Winning Candidate]]-Audit[[#This Row],[Audit Losing Candidate]]))/(Audit[[#Totals],[Winning Candidate]]-Audit[[#Totals],[Losing Candidate]]),
      0
)</f>
        <v>0</v>
      </c>
      <c r="AD20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5" s="111">
        <f>IF(Audit[[#This Row],[Max Relative Error (ep)]] = 0, 0, Audit[[#This Row],[Max Relative Error (ep)]]/Audit[[#This Row],[Error Bound (up) - Max. possible relative overstatement]])</f>
        <v>0</v>
      </c>
      <c r="AJ20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15" s="111">
        <f t="shared" si="31"/>
        <v>1</v>
      </c>
      <c r="AL2015" s="111">
        <f>PRODUCT($AK$5:AK2015)</f>
        <v>8.962823818226312E-2</v>
      </c>
      <c r="AM2015" s="109">
        <f>1 - [K-M P Value]</f>
        <v>0.91037176181773694</v>
      </c>
      <c r="AN2015" s="111" t="str">
        <f>IF(Audit[[#This Row],[K-M P Value]]&gt;1-'General Info'!$B$16,"Continue", "Stop")</f>
        <v>Stop</v>
      </c>
      <c r="AO2015" s="110" t="b">
        <f>IF(Audit[[#This Row],[Status - Continue or stop audit]] = "Continue", TRUE, IF(AN2014 = "Continue", TRUE, FALSE))</f>
        <v>0</v>
      </c>
      <c r="AP2015" s="110"/>
    </row>
    <row r="2016" spans="1:42" ht="15" hidden="1" customHeight="1">
      <c r="A2016" s="111" t="str">
        <f>'Sampling Data'!W2015</f>
        <v/>
      </c>
      <c r="B2016" s="112" t="str">
        <f>'Sampling Data'!A2015</f>
        <v>STRONGSVILLE -02-E</v>
      </c>
      <c r="C2016" s="112">
        <f>'Sampling Data'!B2015</f>
        <v>20</v>
      </c>
      <c r="D2016" s="112">
        <f>'Sampling Data'!C2015</f>
        <v>52</v>
      </c>
      <c r="E2016" s="113">
        <f>'Sampling Data'!D2015</f>
        <v>5</v>
      </c>
      <c r="F2016" s="113">
        <f>'Sampling Data'!E2015</f>
        <v>10</v>
      </c>
      <c r="G2016" s="113">
        <f>'Sampling Data'!F2015</f>
        <v>0</v>
      </c>
      <c r="H2016" s="113">
        <f>'Sampling Data'!G2015</f>
        <v>0</v>
      </c>
      <c r="I2016" s="112">
        <f>'Sampling Data'!H2015</f>
        <v>0</v>
      </c>
      <c r="J2016" s="112">
        <f>'Sampling Data'!I2015</f>
        <v>2</v>
      </c>
      <c r="K2016" s="112">
        <f>'Sampling Data'!J2015</f>
        <v>89</v>
      </c>
      <c r="L2016" s="111">
        <f>'Sampling Data'!X2015</f>
        <v>0</v>
      </c>
      <c r="M2016" s="114"/>
      <c r="N2016" s="114"/>
      <c r="O2016" s="115"/>
      <c r="P2016" s="115"/>
      <c r="Q2016" s="116"/>
      <c r="R2016" s="116"/>
      <c r="S2016" s="111">
        <f>Audit[[#This Row],[Audit Losing Candidate]]-Audit[[#This Row],[Losing Candidate]]</f>
        <v>-20</v>
      </c>
      <c r="T2016" s="111">
        <f>Audit[[#This Row],[Audit Winning Candidate]]-Audit[[#This Row],[Winning Candidate]]</f>
        <v>-52</v>
      </c>
      <c r="U2016" s="111">
        <f>Audit[[#This Row],[Audit Candidate 3]]-Audit[[#This Row],[Candidate 3]]</f>
        <v>-5</v>
      </c>
      <c r="V2016" s="111">
        <f>Audit[[#This Row],[Audit Candidate 4]]-Audit[[#This Row],[Candidate 4]]</f>
        <v>-10</v>
      </c>
      <c r="W2016" s="111">
        <f>Audit[[#This Row],[Audit Candidate 5]]-Audit[[#This Row],[Candidate 5]]</f>
        <v>0</v>
      </c>
      <c r="X2016" s="111">
        <f>Audit[[#This Row],[Audit Candidate 6]]-Audit[[#This Row],[Candidate 6]]</f>
        <v>0</v>
      </c>
      <c r="Y2016" s="111">
        <f>SUMIF(Audit[[#This Row],[Difference Loser]:[Difference Candidate 6]], "&gt;0")</f>
        <v>0</v>
      </c>
      <c r="Z2016" s="111">
        <f>SUM(Audit[[#This Row],[Difference Loser]:[Difference Candidate 6]])</f>
        <v>-87</v>
      </c>
      <c r="AA2016" s="111">
        <f>IF(Audit[[#This Row],[Times p Drawn - With Replacement]]&gt;0, IF(Audit[[#This Row],[Canceled Differences]]&lt;0, Audit[[#This Row],[Max Differences]]+ABS(Audit[[#This Row],[Canceled Differences]]), Audit[[#This Row],[Max Differences]]), 0)</f>
        <v>0</v>
      </c>
      <c r="AB2016" s="111">
        <f>'Sampling Data'!P2015</f>
        <v>7.410583047525723E-3</v>
      </c>
      <c r="AC2016" s="111">
        <f>IF(
      SUM(Audit[[#This Row],[Audit Losing Candidate]:[Audit Candidate 6]])
      &lt;&gt;0,
      (Audit[[#This Row],[Winning Candidate]]-Audit[[#This Row],[Losing Candidate]]-(Audit[[#This Row],[Audit Winning Candidate]]-Audit[[#This Row],[Audit Losing Candidate]]))/(Audit[[#Totals],[Winning Candidate]]-Audit[[#Totals],[Losing Candidate]]),
      0
)</f>
        <v>0</v>
      </c>
      <c r="AD20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6" s="111">
        <f>IF(Audit[[#This Row],[Max Relative Error (ep)]] = 0, 0, Audit[[#This Row],[Max Relative Error (ep)]]/Audit[[#This Row],[Error Bound (up) - Max. possible relative overstatement]])</f>
        <v>0</v>
      </c>
      <c r="AJ20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16" s="111">
        <f t="shared" si="31"/>
        <v>1</v>
      </c>
      <c r="AL2016" s="111">
        <f>PRODUCT($AK$5:AK2016)</f>
        <v>8.962823818226312E-2</v>
      </c>
      <c r="AM2016" s="109">
        <f>1 - [K-M P Value]</f>
        <v>0.91037176181773694</v>
      </c>
      <c r="AN2016" s="111" t="str">
        <f>IF(Audit[[#This Row],[K-M P Value]]&gt;1-'General Info'!$B$16,"Continue", "Stop")</f>
        <v>Stop</v>
      </c>
      <c r="AO2016" s="110" t="b">
        <f>IF(Audit[[#This Row],[Status - Continue or stop audit]] = "Continue", TRUE, IF(AN2015 = "Continue", TRUE, FALSE))</f>
        <v>0</v>
      </c>
      <c r="AP2016" s="110"/>
    </row>
    <row r="2017" spans="1:42" ht="15" hidden="1" customHeight="1">
      <c r="A2017" s="111" t="str">
        <f>'Sampling Data'!W2016</f>
        <v/>
      </c>
      <c r="B2017" s="112" t="str">
        <f>'Sampling Data'!A2016</f>
        <v>STRONGSVILLE -02-E - ABS</v>
      </c>
      <c r="C2017" s="112">
        <f>'Sampling Data'!B2016</f>
        <v>21</v>
      </c>
      <c r="D2017" s="112">
        <f>'Sampling Data'!C2016</f>
        <v>26</v>
      </c>
      <c r="E2017" s="113">
        <f>'Sampling Data'!D2016</f>
        <v>7</v>
      </c>
      <c r="F2017" s="113">
        <f>'Sampling Data'!E2016</f>
        <v>1</v>
      </c>
      <c r="G2017" s="113">
        <f>'Sampling Data'!F2016</f>
        <v>0</v>
      </c>
      <c r="H2017" s="113">
        <f>'Sampling Data'!G2016</f>
        <v>1</v>
      </c>
      <c r="I2017" s="112">
        <f>'Sampling Data'!H2016</f>
        <v>0</v>
      </c>
      <c r="J2017" s="112">
        <f>'Sampling Data'!I2016</f>
        <v>3</v>
      </c>
      <c r="K2017" s="112">
        <f>'Sampling Data'!J2016</f>
        <v>59</v>
      </c>
      <c r="L2017" s="111">
        <f>'Sampling Data'!X2016</f>
        <v>0</v>
      </c>
      <c r="M2017" s="114"/>
      <c r="N2017" s="114"/>
      <c r="O2017" s="115"/>
      <c r="P2017" s="115"/>
      <c r="Q2017" s="116"/>
      <c r="R2017" s="116"/>
      <c r="S2017" s="111">
        <f>Audit[[#This Row],[Audit Losing Candidate]]-Audit[[#This Row],[Losing Candidate]]</f>
        <v>-21</v>
      </c>
      <c r="T2017" s="111">
        <f>Audit[[#This Row],[Audit Winning Candidate]]-Audit[[#This Row],[Winning Candidate]]</f>
        <v>-26</v>
      </c>
      <c r="U2017" s="111">
        <f>Audit[[#This Row],[Audit Candidate 3]]-Audit[[#This Row],[Candidate 3]]</f>
        <v>-7</v>
      </c>
      <c r="V2017" s="111">
        <f>Audit[[#This Row],[Audit Candidate 4]]-Audit[[#This Row],[Candidate 4]]</f>
        <v>-1</v>
      </c>
      <c r="W2017" s="111">
        <f>Audit[[#This Row],[Audit Candidate 5]]-Audit[[#This Row],[Candidate 5]]</f>
        <v>0</v>
      </c>
      <c r="X2017" s="111">
        <f>Audit[[#This Row],[Audit Candidate 6]]-Audit[[#This Row],[Candidate 6]]</f>
        <v>-1</v>
      </c>
      <c r="Y2017" s="111">
        <f>SUMIF(Audit[[#This Row],[Difference Loser]:[Difference Candidate 6]], "&gt;0")</f>
        <v>0</v>
      </c>
      <c r="Z2017" s="111">
        <f>SUM(Audit[[#This Row],[Difference Loser]:[Difference Candidate 6]])</f>
        <v>-56</v>
      </c>
      <c r="AA2017" s="111">
        <f>IF(Audit[[#This Row],[Times p Drawn - With Replacement]]&gt;0, IF(Audit[[#This Row],[Canceled Differences]]&lt;0, Audit[[#This Row],[Max Differences]]+ABS(Audit[[#This Row],[Canceled Differences]]), Audit[[#This Row],[Max Differences]]), 0)</f>
        <v>0</v>
      </c>
      <c r="AB2017" s="111">
        <f>'Sampling Data'!P2016</f>
        <v>3.9196472317491425E-3</v>
      </c>
      <c r="AC2017" s="111">
        <f>IF(
      SUM(Audit[[#This Row],[Audit Losing Candidate]:[Audit Candidate 6]])
      &lt;&gt;0,
      (Audit[[#This Row],[Winning Candidate]]-Audit[[#This Row],[Losing Candidate]]-(Audit[[#This Row],[Audit Winning Candidate]]-Audit[[#This Row],[Audit Losing Candidate]]))/(Audit[[#Totals],[Winning Candidate]]-Audit[[#Totals],[Losing Candidate]]),
      0
)</f>
        <v>0</v>
      </c>
      <c r="AD20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7" s="111">
        <f>IF(Audit[[#This Row],[Max Relative Error (ep)]] = 0, 0, Audit[[#This Row],[Max Relative Error (ep)]]/Audit[[#This Row],[Error Bound (up) - Max. possible relative overstatement]])</f>
        <v>0</v>
      </c>
      <c r="AJ20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17" s="111">
        <f t="shared" si="31"/>
        <v>1</v>
      </c>
      <c r="AL2017" s="111">
        <f>PRODUCT($AK$5:AK2017)</f>
        <v>8.962823818226312E-2</v>
      </c>
      <c r="AM2017" s="109">
        <f>1 - [K-M P Value]</f>
        <v>0.91037176181773694</v>
      </c>
      <c r="AN2017" s="111" t="str">
        <f>IF(Audit[[#This Row],[K-M P Value]]&gt;1-'General Info'!$B$16,"Continue", "Stop")</f>
        <v>Stop</v>
      </c>
      <c r="AO2017" s="110" t="b">
        <f>IF(Audit[[#This Row],[Status - Continue or stop audit]] = "Continue", TRUE, IF(AN2016 = "Continue", TRUE, FALSE))</f>
        <v>0</v>
      </c>
      <c r="AP2017" s="110"/>
    </row>
    <row r="2018" spans="1:42" ht="15" hidden="1" customHeight="1">
      <c r="A2018" s="111" t="str">
        <f>'Sampling Data'!W2017</f>
        <v/>
      </c>
      <c r="B2018" s="112" t="str">
        <f>'Sampling Data'!A2017</f>
        <v>STRONGSVILLE -02-F</v>
      </c>
      <c r="C2018" s="112">
        <f>'Sampling Data'!B2017</f>
        <v>53</v>
      </c>
      <c r="D2018" s="112">
        <f>'Sampling Data'!C2017</f>
        <v>90</v>
      </c>
      <c r="E2018" s="113">
        <f>'Sampling Data'!D2017</f>
        <v>17</v>
      </c>
      <c r="F2018" s="113">
        <f>'Sampling Data'!E2017</f>
        <v>13</v>
      </c>
      <c r="G2018" s="113">
        <f>'Sampling Data'!F2017</f>
        <v>0</v>
      </c>
      <c r="H2018" s="113">
        <f>'Sampling Data'!G2017</f>
        <v>0</v>
      </c>
      <c r="I2018" s="112">
        <f>'Sampling Data'!H2017</f>
        <v>0</v>
      </c>
      <c r="J2018" s="112">
        <f>'Sampling Data'!I2017</f>
        <v>3</v>
      </c>
      <c r="K2018" s="112">
        <f>'Sampling Data'!J2017</f>
        <v>176</v>
      </c>
      <c r="L2018" s="111">
        <f>'Sampling Data'!X2017</f>
        <v>0</v>
      </c>
      <c r="M2018" s="114"/>
      <c r="N2018" s="114"/>
      <c r="O2018" s="115"/>
      <c r="P2018" s="115"/>
      <c r="Q2018" s="116"/>
      <c r="R2018" s="116"/>
      <c r="S2018" s="111">
        <f>Audit[[#This Row],[Audit Losing Candidate]]-Audit[[#This Row],[Losing Candidate]]</f>
        <v>-53</v>
      </c>
      <c r="T2018" s="111">
        <f>Audit[[#This Row],[Audit Winning Candidate]]-Audit[[#This Row],[Winning Candidate]]</f>
        <v>-90</v>
      </c>
      <c r="U2018" s="111">
        <f>Audit[[#This Row],[Audit Candidate 3]]-Audit[[#This Row],[Candidate 3]]</f>
        <v>-17</v>
      </c>
      <c r="V2018" s="111">
        <f>Audit[[#This Row],[Audit Candidate 4]]-Audit[[#This Row],[Candidate 4]]</f>
        <v>-13</v>
      </c>
      <c r="W2018" s="111">
        <f>Audit[[#This Row],[Audit Candidate 5]]-Audit[[#This Row],[Candidate 5]]</f>
        <v>0</v>
      </c>
      <c r="X2018" s="111">
        <f>Audit[[#This Row],[Audit Candidate 6]]-Audit[[#This Row],[Candidate 6]]</f>
        <v>0</v>
      </c>
      <c r="Y2018" s="111">
        <f>SUMIF(Audit[[#This Row],[Difference Loser]:[Difference Candidate 6]], "&gt;0")</f>
        <v>0</v>
      </c>
      <c r="Z2018" s="111">
        <f>SUM(Audit[[#This Row],[Difference Loser]:[Difference Candidate 6]])</f>
        <v>-173</v>
      </c>
      <c r="AA2018" s="111">
        <f>IF(Audit[[#This Row],[Times p Drawn - With Replacement]]&gt;0, IF(Audit[[#This Row],[Canceled Differences]]&lt;0, Audit[[#This Row],[Max Differences]]+ABS(Audit[[#This Row],[Canceled Differences]]), Audit[[#This Row],[Max Differences]]), 0)</f>
        <v>0</v>
      </c>
      <c r="AB2018" s="111">
        <f>'Sampling Data'!P2017</f>
        <v>1.3045075943165115E-2</v>
      </c>
      <c r="AC2018" s="111">
        <f>IF(
      SUM(Audit[[#This Row],[Audit Losing Candidate]:[Audit Candidate 6]])
      &lt;&gt;0,
      (Audit[[#This Row],[Winning Candidate]]-Audit[[#This Row],[Losing Candidate]]-(Audit[[#This Row],[Audit Winning Candidate]]-Audit[[#This Row],[Audit Losing Candidate]]))/(Audit[[#Totals],[Winning Candidate]]-Audit[[#Totals],[Losing Candidate]]),
      0
)</f>
        <v>0</v>
      </c>
      <c r="AD20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8" s="111">
        <f>IF(Audit[[#This Row],[Max Relative Error (ep)]] = 0, 0, Audit[[#This Row],[Max Relative Error (ep)]]/Audit[[#This Row],[Error Bound (up) - Max. possible relative overstatement]])</f>
        <v>0</v>
      </c>
      <c r="AJ20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18" s="111">
        <f t="shared" si="31"/>
        <v>1</v>
      </c>
      <c r="AL2018" s="111">
        <f>PRODUCT($AK$5:AK2018)</f>
        <v>8.962823818226312E-2</v>
      </c>
      <c r="AM2018" s="109">
        <f>1 - [K-M P Value]</f>
        <v>0.91037176181773694</v>
      </c>
      <c r="AN2018" s="111" t="str">
        <f>IF(Audit[[#This Row],[K-M P Value]]&gt;1-'General Info'!$B$16,"Continue", "Stop")</f>
        <v>Stop</v>
      </c>
      <c r="AO2018" s="110" t="b">
        <f>IF(Audit[[#This Row],[Status - Continue or stop audit]] = "Continue", TRUE, IF(AN2017 = "Continue", TRUE, FALSE))</f>
        <v>0</v>
      </c>
      <c r="AP2018" s="110"/>
    </row>
    <row r="2019" spans="1:42" ht="15" hidden="1" customHeight="1">
      <c r="A2019" s="111" t="str">
        <f>'Sampling Data'!W2018</f>
        <v/>
      </c>
      <c r="B2019" s="112" t="str">
        <f>'Sampling Data'!A2018</f>
        <v>STRONGSVILLE -02-F - ABS</v>
      </c>
      <c r="C2019" s="112">
        <f>'Sampling Data'!B2018</f>
        <v>32</v>
      </c>
      <c r="D2019" s="112">
        <f>'Sampling Data'!C2018</f>
        <v>45</v>
      </c>
      <c r="E2019" s="113">
        <f>'Sampling Data'!D2018</f>
        <v>15</v>
      </c>
      <c r="F2019" s="113">
        <f>'Sampling Data'!E2018</f>
        <v>3</v>
      </c>
      <c r="G2019" s="113">
        <f>'Sampling Data'!F2018</f>
        <v>1</v>
      </c>
      <c r="H2019" s="113">
        <f>'Sampling Data'!G2018</f>
        <v>0</v>
      </c>
      <c r="I2019" s="112">
        <f>'Sampling Data'!H2018</f>
        <v>0</v>
      </c>
      <c r="J2019" s="112">
        <f>'Sampling Data'!I2018</f>
        <v>1</v>
      </c>
      <c r="K2019" s="112">
        <f>'Sampling Data'!J2018</f>
        <v>97</v>
      </c>
      <c r="L2019" s="111">
        <f>'Sampling Data'!X2018</f>
        <v>0</v>
      </c>
      <c r="M2019" s="114"/>
      <c r="N2019" s="114"/>
      <c r="O2019" s="115"/>
      <c r="P2019" s="115"/>
      <c r="Q2019" s="116"/>
      <c r="R2019" s="116"/>
      <c r="S2019" s="111">
        <f>Audit[[#This Row],[Audit Losing Candidate]]-Audit[[#This Row],[Losing Candidate]]</f>
        <v>-32</v>
      </c>
      <c r="T2019" s="111">
        <f>Audit[[#This Row],[Audit Winning Candidate]]-Audit[[#This Row],[Winning Candidate]]</f>
        <v>-45</v>
      </c>
      <c r="U2019" s="111">
        <f>Audit[[#This Row],[Audit Candidate 3]]-Audit[[#This Row],[Candidate 3]]</f>
        <v>-15</v>
      </c>
      <c r="V2019" s="111">
        <f>Audit[[#This Row],[Audit Candidate 4]]-Audit[[#This Row],[Candidate 4]]</f>
        <v>-3</v>
      </c>
      <c r="W2019" s="111">
        <f>Audit[[#This Row],[Audit Candidate 5]]-Audit[[#This Row],[Candidate 5]]</f>
        <v>-1</v>
      </c>
      <c r="X2019" s="111">
        <f>Audit[[#This Row],[Audit Candidate 6]]-Audit[[#This Row],[Candidate 6]]</f>
        <v>0</v>
      </c>
      <c r="Y2019" s="111">
        <f>SUMIF(Audit[[#This Row],[Difference Loser]:[Difference Candidate 6]], "&gt;0")</f>
        <v>0</v>
      </c>
      <c r="Z2019" s="111">
        <f>SUM(Audit[[#This Row],[Difference Loser]:[Difference Candidate 6]])</f>
        <v>-96</v>
      </c>
      <c r="AA2019" s="111">
        <f>IF(Audit[[#This Row],[Times p Drawn - With Replacement]]&gt;0, IF(Audit[[#This Row],[Canceled Differences]]&lt;0, Audit[[#This Row],[Max Differences]]+ABS(Audit[[#This Row],[Canceled Differences]]), Audit[[#This Row],[Max Differences]]), 0)</f>
        <v>0</v>
      </c>
      <c r="AB2019" s="111">
        <f>'Sampling Data'!P2018</f>
        <v>6.7368936795688386E-3</v>
      </c>
      <c r="AC2019" s="111">
        <f>IF(
      SUM(Audit[[#This Row],[Audit Losing Candidate]:[Audit Candidate 6]])
      &lt;&gt;0,
      (Audit[[#This Row],[Winning Candidate]]-Audit[[#This Row],[Losing Candidate]]-(Audit[[#This Row],[Audit Winning Candidate]]-Audit[[#This Row],[Audit Losing Candidate]]))/(Audit[[#Totals],[Winning Candidate]]-Audit[[#Totals],[Losing Candidate]]),
      0
)</f>
        <v>0</v>
      </c>
      <c r="AD20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9" s="111">
        <f>IF(Audit[[#This Row],[Max Relative Error (ep)]] = 0, 0, Audit[[#This Row],[Max Relative Error (ep)]]/Audit[[#This Row],[Error Bound (up) - Max. possible relative overstatement]])</f>
        <v>0</v>
      </c>
      <c r="AJ20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19" s="111">
        <f t="shared" si="31"/>
        <v>1</v>
      </c>
      <c r="AL2019" s="111">
        <f>PRODUCT($AK$5:AK2019)</f>
        <v>8.962823818226312E-2</v>
      </c>
      <c r="AM2019" s="109">
        <f>1 - [K-M P Value]</f>
        <v>0.91037176181773694</v>
      </c>
      <c r="AN2019" s="111" t="str">
        <f>IF(Audit[[#This Row],[K-M P Value]]&gt;1-'General Info'!$B$16,"Continue", "Stop")</f>
        <v>Stop</v>
      </c>
      <c r="AO2019" s="110" t="b">
        <f>IF(Audit[[#This Row],[Status - Continue or stop audit]] = "Continue", TRUE, IF(AN2018 = "Continue", TRUE, FALSE))</f>
        <v>0</v>
      </c>
      <c r="AP2019" s="110"/>
    </row>
    <row r="2020" spans="1:42" ht="15" hidden="1" customHeight="1">
      <c r="A2020" s="111" t="str">
        <f>'Sampling Data'!W2019</f>
        <v/>
      </c>
      <c r="B2020" s="112" t="str">
        <f>'Sampling Data'!A2019</f>
        <v>STRONGSVILLE -02-G</v>
      </c>
      <c r="C2020" s="112">
        <f>'Sampling Data'!B2019</f>
        <v>57</v>
      </c>
      <c r="D2020" s="112">
        <f>'Sampling Data'!C2019</f>
        <v>77</v>
      </c>
      <c r="E2020" s="113">
        <f>'Sampling Data'!D2019</f>
        <v>20</v>
      </c>
      <c r="F2020" s="113">
        <f>'Sampling Data'!E2019</f>
        <v>8</v>
      </c>
      <c r="G2020" s="113">
        <f>'Sampling Data'!F2019</f>
        <v>0</v>
      </c>
      <c r="H2020" s="113">
        <f>'Sampling Data'!G2019</f>
        <v>1</v>
      </c>
      <c r="I2020" s="112">
        <f>'Sampling Data'!H2019</f>
        <v>0</v>
      </c>
      <c r="J2020" s="112">
        <f>'Sampling Data'!I2019</f>
        <v>5</v>
      </c>
      <c r="K2020" s="112">
        <f>'Sampling Data'!J2019</f>
        <v>168</v>
      </c>
      <c r="L2020" s="111">
        <f>'Sampling Data'!X2019</f>
        <v>0</v>
      </c>
      <c r="M2020" s="114"/>
      <c r="N2020" s="114"/>
      <c r="O2020" s="115"/>
      <c r="P2020" s="115"/>
      <c r="Q2020" s="116"/>
      <c r="R2020" s="116"/>
      <c r="S2020" s="111">
        <f>Audit[[#This Row],[Audit Losing Candidate]]-Audit[[#This Row],[Losing Candidate]]</f>
        <v>-57</v>
      </c>
      <c r="T2020" s="111">
        <f>Audit[[#This Row],[Audit Winning Candidate]]-Audit[[#This Row],[Winning Candidate]]</f>
        <v>-77</v>
      </c>
      <c r="U2020" s="111">
        <f>Audit[[#This Row],[Audit Candidate 3]]-Audit[[#This Row],[Candidate 3]]</f>
        <v>-20</v>
      </c>
      <c r="V2020" s="111">
        <f>Audit[[#This Row],[Audit Candidate 4]]-Audit[[#This Row],[Candidate 4]]</f>
        <v>-8</v>
      </c>
      <c r="W2020" s="111">
        <f>Audit[[#This Row],[Audit Candidate 5]]-Audit[[#This Row],[Candidate 5]]</f>
        <v>0</v>
      </c>
      <c r="X2020" s="111">
        <f>Audit[[#This Row],[Audit Candidate 6]]-Audit[[#This Row],[Candidate 6]]</f>
        <v>-1</v>
      </c>
      <c r="Y2020" s="111">
        <f>SUMIF(Audit[[#This Row],[Difference Loser]:[Difference Candidate 6]], "&gt;0")</f>
        <v>0</v>
      </c>
      <c r="Z2020" s="111">
        <f>SUM(Audit[[#This Row],[Difference Loser]:[Difference Candidate 6]])</f>
        <v>-163</v>
      </c>
      <c r="AA2020" s="111">
        <f>IF(Audit[[#This Row],[Times p Drawn - With Replacement]]&gt;0, IF(Audit[[#This Row],[Canceled Differences]]&lt;0, Audit[[#This Row],[Max Differences]]+ABS(Audit[[#This Row],[Canceled Differences]]), Audit[[#This Row],[Max Differences]]), 0)</f>
        <v>0</v>
      </c>
      <c r="AB2020" s="111">
        <f>'Sampling Data'!P2019</f>
        <v>1.1513963743263106E-2</v>
      </c>
      <c r="AC2020" s="111">
        <f>IF(
      SUM(Audit[[#This Row],[Audit Losing Candidate]:[Audit Candidate 6]])
      &lt;&gt;0,
      (Audit[[#This Row],[Winning Candidate]]-Audit[[#This Row],[Losing Candidate]]-(Audit[[#This Row],[Audit Winning Candidate]]-Audit[[#This Row],[Audit Losing Candidate]]))/(Audit[[#Totals],[Winning Candidate]]-Audit[[#Totals],[Losing Candidate]]),
      0
)</f>
        <v>0</v>
      </c>
      <c r="AD20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0" s="111">
        <f>IF(Audit[[#This Row],[Max Relative Error (ep)]] = 0, 0, Audit[[#This Row],[Max Relative Error (ep)]]/Audit[[#This Row],[Error Bound (up) - Max. possible relative overstatement]])</f>
        <v>0</v>
      </c>
      <c r="AJ20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20" s="111">
        <f t="shared" si="31"/>
        <v>1</v>
      </c>
      <c r="AL2020" s="111">
        <f>PRODUCT($AK$5:AK2020)</f>
        <v>8.962823818226312E-2</v>
      </c>
      <c r="AM2020" s="109">
        <f>1 - [K-M P Value]</f>
        <v>0.91037176181773694</v>
      </c>
      <c r="AN2020" s="111" t="str">
        <f>IF(Audit[[#This Row],[K-M P Value]]&gt;1-'General Info'!$B$16,"Continue", "Stop")</f>
        <v>Stop</v>
      </c>
      <c r="AO2020" s="110" t="b">
        <f>IF(Audit[[#This Row],[Status - Continue or stop audit]] = "Continue", TRUE, IF(AN2019 = "Continue", TRUE, FALSE))</f>
        <v>0</v>
      </c>
      <c r="AP2020" s="110"/>
    </row>
    <row r="2021" spans="1:42" ht="15" hidden="1" customHeight="1">
      <c r="A2021" s="111" t="str">
        <f>'Sampling Data'!W2020</f>
        <v/>
      </c>
      <c r="B2021" s="112" t="str">
        <f>'Sampling Data'!A2020</f>
        <v>STRONGSVILLE -02-G - ABS</v>
      </c>
      <c r="C2021" s="112">
        <f>'Sampling Data'!B2020</f>
        <v>37</v>
      </c>
      <c r="D2021" s="112">
        <f>'Sampling Data'!C2020</f>
        <v>45</v>
      </c>
      <c r="E2021" s="113">
        <f>'Sampling Data'!D2020</f>
        <v>15</v>
      </c>
      <c r="F2021" s="113">
        <f>'Sampling Data'!E2020</f>
        <v>10</v>
      </c>
      <c r="G2021" s="113">
        <f>'Sampling Data'!F2020</f>
        <v>0</v>
      </c>
      <c r="H2021" s="113">
        <f>'Sampling Data'!G2020</f>
        <v>0</v>
      </c>
      <c r="I2021" s="112">
        <f>'Sampling Data'!H2020</f>
        <v>0</v>
      </c>
      <c r="J2021" s="112">
        <f>'Sampling Data'!I2020</f>
        <v>2</v>
      </c>
      <c r="K2021" s="112">
        <f>'Sampling Data'!J2020</f>
        <v>109</v>
      </c>
      <c r="L2021" s="111">
        <f>'Sampling Data'!X2020</f>
        <v>0</v>
      </c>
      <c r="M2021" s="114"/>
      <c r="N2021" s="114"/>
      <c r="O2021" s="115"/>
      <c r="P2021" s="115"/>
      <c r="Q2021" s="116"/>
      <c r="R2021" s="116"/>
      <c r="S2021" s="111">
        <f>Audit[[#This Row],[Audit Losing Candidate]]-Audit[[#This Row],[Losing Candidate]]</f>
        <v>-37</v>
      </c>
      <c r="T2021" s="111">
        <f>Audit[[#This Row],[Audit Winning Candidate]]-Audit[[#This Row],[Winning Candidate]]</f>
        <v>-45</v>
      </c>
      <c r="U2021" s="111">
        <f>Audit[[#This Row],[Audit Candidate 3]]-Audit[[#This Row],[Candidate 3]]</f>
        <v>-15</v>
      </c>
      <c r="V2021" s="111">
        <f>Audit[[#This Row],[Audit Candidate 4]]-Audit[[#This Row],[Candidate 4]]</f>
        <v>-10</v>
      </c>
      <c r="W2021" s="111">
        <f>Audit[[#This Row],[Audit Candidate 5]]-Audit[[#This Row],[Candidate 5]]</f>
        <v>0</v>
      </c>
      <c r="X2021" s="111">
        <f>Audit[[#This Row],[Audit Candidate 6]]-Audit[[#This Row],[Candidate 6]]</f>
        <v>0</v>
      </c>
      <c r="Y2021" s="111">
        <f>SUMIF(Audit[[#This Row],[Difference Loser]:[Difference Candidate 6]], "&gt;0")</f>
        <v>0</v>
      </c>
      <c r="Z2021" s="111">
        <f>SUM(Audit[[#This Row],[Difference Loser]:[Difference Candidate 6]])</f>
        <v>-107</v>
      </c>
      <c r="AA2021" s="111">
        <f>IF(Audit[[#This Row],[Times p Drawn - With Replacement]]&gt;0, IF(Audit[[#This Row],[Canceled Differences]]&lt;0, Audit[[#This Row],[Max Differences]]+ABS(Audit[[#This Row],[Canceled Differences]]), Audit[[#This Row],[Max Differences]]), 0)</f>
        <v>0</v>
      </c>
      <c r="AB2021" s="111">
        <f>'Sampling Data'!P2020</f>
        <v>7.1656050955414014E-3</v>
      </c>
      <c r="AC2021" s="111">
        <f>IF(
      SUM(Audit[[#This Row],[Audit Losing Candidate]:[Audit Candidate 6]])
      &lt;&gt;0,
      (Audit[[#This Row],[Winning Candidate]]-Audit[[#This Row],[Losing Candidate]]-(Audit[[#This Row],[Audit Winning Candidate]]-Audit[[#This Row],[Audit Losing Candidate]]))/(Audit[[#Totals],[Winning Candidate]]-Audit[[#Totals],[Losing Candidate]]),
      0
)</f>
        <v>0</v>
      </c>
      <c r="AD20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1" s="111">
        <f>IF(Audit[[#This Row],[Max Relative Error (ep)]] = 0, 0, Audit[[#This Row],[Max Relative Error (ep)]]/Audit[[#This Row],[Error Bound (up) - Max. possible relative overstatement]])</f>
        <v>0</v>
      </c>
      <c r="AJ20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21" s="111">
        <f t="shared" si="31"/>
        <v>1</v>
      </c>
      <c r="AL2021" s="111">
        <f>PRODUCT($AK$5:AK2021)</f>
        <v>8.962823818226312E-2</v>
      </c>
      <c r="AM2021" s="109">
        <f>1 - [K-M P Value]</f>
        <v>0.91037176181773694</v>
      </c>
      <c r="AN2021" s="111" t="str">
        <f>IF(Audit[[#This Row],[K-M P Value]]&gt;1-'General Info'!$B$16,"Continue", "Stop")</f>
        <v>Stop</v>
      </c>
      <c r="AO2021" s="110" t="b">
        <f>IF(Audit[[#This Row],[Status - Continue or stop audit]] = "Continue", TRUE, IF(AN2020 = "Continue", TRUE, FALSE))</f>
        <v>0</v>
      </c>
      <c r="AP2021" s="110"/>
    </row>
    <row r="2022" spans="1:42" ht="15" hidden="1" customHeight="1">
      <c r="A2022" s="111" t="str">
        <f>'Sampling Data'!W2021</f>
        <v/>
      </c>
      <c r="B2022" s="112" t="str">
        <f>'Sampling Data'!A2021</f>
        <v>STRONGSVILLE -02-H</v>
      </c>
      <c r="C2022" s="112">
        <f>'Sampling Data'!B2021</f>
        <v>46</v>
      </c>
      <c r="D2022" s="112">
        <f>'Sampling Data'!C2021</f>
        <v>110</v>
      </c>
      <c r="E2022" s="113">
        <f>'Sampling Data'!D2021</f>
        <v>33</v>
      </c>
      <c r="F2022" s="113">
        <f>'Sampling Data'!E2021</f>
        <v>9</v>
      </c>
      <c r="G2022" s="113">
        <f>'Sampling Data'!F2021</f>
        <v>0</v>
      </c>
      <c r="H2022" s="113">
        <f>'Sampling Data'!G2021</f>
        <v>0</v>
      </c>
      <c r="I2022" s="112">
        <f>'Sampling Data'!H2021</f>
        <v>0</v>
      </c>
      <c r="J2022" s="112">
        <f>'Sampling Data'!I2021</f>
        <v>3</v>
      </c>
      <c r="K2022" s="112">
        <f>'Sampling Data'!J2021</f>
        <v>201</v>
      </c>
      <c r="L2022" s="111">
        <f>'Sampling Data'!X2021</f>
        <v>0</v>
      </c>
      <c r="M2022" s="114"/>
      <c r="N2022" s="114"/>
      <c r="O2022" s="115"/>
      <c r="P2022" s="115"/>
      <c r="Q2022" s="116"/>
      <c r="R2022" s="116"/>
      <c r="S2022" s="111">
        <f>Audit[[#This Row],[Audit Losing Candidate]]-Audit[[#This Row],[Losing Candidate]]</f>
        <v>-46</v>
      </c>
      <c r="T2022" s="111">
        <f>Audit[[#This Row],[Audit Winning Candidate]]-Audit[[#This Row],[Winning Candidate]]</f>
        <v>-110</v>
      </c>
      <c r="U2022" s="111">
        <f>Audit[[#This Row],[Audit Candidate 3]]-Audit[[#This Row],[Candidate 3]]</f>
        <v>-33</v>
      </c>
      <c r="V2022" s="111">
        <f>Audit[[#This Row],[Audit Candidate 4]]-Audit[[#This Row],[Candidate 4]]</f>
        <v>-9</v>
      </c>
      <c r="W2022" s="111">
        <f>Audit[[#This Row],[Audit Candidate 5]]-Audit[[#This Row],[Candidate 5]]</f>
        <v>0</v>
      </c>
      <c r="X2022" s="111">
        <f>Audit[[#This Row],[Audit Candidate 6]]-Audit[[#This Row],[Candidate 6]]</f>
        <v>0</v>
      </c>
      <c r="Y2022" s="111">
        <f>SUMIF(Audit[[#This Row],[Difference Loser]:[Difference Candidate 6]], "&gt;0")</f>
        <v>0</v>
      </c>
      <c r="Z2022" s="111">
        <f>SUM(Audit[[#This Row],[Difference Loser]:[Difference Candidate 6]])</f>
        <v>-198</v>
      </c>
      <c r="AA2022" s="111">
        <f>IF(Audit[[#This Row],[Times p Drawn - With Replacement]]&gt;0, IF(Audit[[#This Row],[Canceled Differences]]&lt;0, Audit[[#This Row],[Max Differences]]+ABS(Audit[[#This Row],[Canceled Differences]]), Audit[[#This Row],[Max Differences]]), 0)</f>
        <v>0</v>
      </c>
      <c r="AB2022" s="111">
        <f>'Sampling Data'!P2021</f>
        <v>1.6229789318961293E-2</v>
      </c>
      <c r="AC2022" s="111">
        <f>IF(
      SUM(Audit[[#This Row],[Audit Losing Candidate]:[Audit Candidate 6]])
      &lt;&gt;0,
      (Audit[[#This Row],[Winning Candidate]]-Audit[[#This Row],[Losing Candidate]]-(Audit[[#This Row],[Audit Winning Candidate]]-Audit[[#This Row],[Audit Losing Candidate]]))/(Audit[[#Totals],[Winning Candidate]]-Audit[[#Totals],[Losing Candidate]]),
      0
)</f>
        <v>0</v>
      </c>
      <c r="AD20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2" s="111">
        <f>IF(Audit[[#This Row],[Max Relative Error (ep)]] = 0, 0, Audit[[#This Row],[Max Relative Error (ep)]]/Audit[[#This Row],[Error Bound (up) - Max. possible relative overstatement]])</f>
        <v>0</v>
      </c>
      <c r="AJ20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22" s="111">
        <f t="shared" si="31"/>
        <v>1</v>
      </c>
      <c r="AL2022" s="111">
        <f>PRODUCT($AK$5:AK2022)</f>
        <v>8.962823818226312E-2</v>
      </c>
      <c r="AM2022" s="109">
        <f>1 - [K-M P Value]</f>
        <v>0.91037176181773694</v>
      </c>
      <c r="AN2022" s="111" t="str">
        <f>IF(Audit[[#This Row],[K-M P Value]]&gt;1-'General Info'!$B$16,"Continue", "Stop")</f>
        <v>Stop</v>
      </c>
      <c r="AO2022" s="110" t="b">
        <f>IF(Audit[[#This Row],[Status - Continue or stop audit]] = "Continue", TRUE, IF(AN2021 = "Continue", TRUE, FALSE))</f>
        <v>0</v>
      </c>
      <c r="AP2022" s="110"/>
    </row>
    <row r="2023" spans="1:42" ht="15" hidden="1" customHeight="1">
      <c r="A2023" s="111" t="str">
        <f>'Sampling Data'!W2022</f>
        <v/>
      </c>
      <c r="B2023" s="112" t="str">
        <f>'Sampling Data'!A2022</f>
        <v>STRONGSVILLE -02-H - ABS</v>
      </c>
      <c r="C2023" s="112">
        <f>'Sampling Data'!B2022</f>
        <v>24</v>
      </c>
      <c r="D2023" s="112">
        <f>'Sampling Data'!C2022</f>
        <v>48</v>
      </c>
      <c r="E2023" s="113">
        <f>'Sampling Data'!D2022</f>
        <v>11</v>
      </c>
      <c r="F2023" s="113">
        <f>'Sampling Data'!E2022</f>
        <v>3</v>
      </c>
      <c r="G2023" s="113">
        <f>'Sampling Data'!F2022</f>
        <v>0</v>
      </c>
      <c r="H2023" s="113">
        <f>'Sampling Data'!G2022</f>
        <v>0</v>
      </c>
      <c r="I2023" s="112">
        <f>'Sampling Data'!H2022</f>
        <v>0</v>
      </c>
      <c r="J2023" s="112">
        <f>'Sampling Data'!I2022</f>
        <v>2</v>
      </c>
      <c r="K2023" s="112">
        <f>'Sampling Data'!J2022</f>
        <v>88</v>
      </c>
      <c r="L2023" s="111">
        <f>'Sampling Data'!X2022</f>
        <v>0</v>
      </c>
      <c r="M2023" s="114"/>
      <c r="N2023" s="114"/>
      <c r="O2023" s="115"/>
      <c r="P2023" s="115"/>
      <c r="Q2023" s="116"/>
      <c r="R2023" s="116"/>
      <c r="S2023" s="111">
        <f>Audit[[#This Row],[Audit Losing Candidate]]-Audit[[#This Row],[Losing Candidate]]</f>
        <v>-24</v>
      </c>
      <c r="T2023" s="111">
        <f>Audit[[#This Row],[Audit Winning Candidate]]-Audit[[#This Row],[Winning Candidate]]</f>
        <v>-48</v>
      </c>
      <c r="U2023" s="111">
        <f>Audit[[#This Row],[Audit Candidate 3]]-Audit[[#This Row],[Candidate 3]]</f>
        <v>-11</v>
      </c>
      <c r="V2023" s="111">
        <f>Audit[[#This Row],[Audit Candidate 4]]-Audit[[#This Row],[Candidate 4]]</f>
        <v>-3</v>
      </c>
      <c r="W2023" s="111">
        <f>Audit[[#This Row],[Audit Candidate 5]]-Audit[[#This Row],[Candidate 5]]</f>
        <v>0</v>
      </c>
      <c r="X2023" s="111">
        <f>Audit[[#This Row],[Audit Candidate 6]]-Audit[[#This Row],[Candidate 6]]</f>
        <v>0</v>
      </c>
      <c r="Y2023" s="111">
        <f>SUMIF(Audit[[#This Row],[Difference Loser]:[Difference Candidate 6]], "&gt;0")</f>
        <v>0</v>
      </c>
      <c r="Z2023" s="111">
        <f>SUM(Audit[[#This Row],[Difference Loser]:[Difference Candidate 6]])</f>
        <v>-86</v>
      </c>
      <c r="AA2023" s="111">
        <f>IF(Audit[[#This Row],[Times p Drawn - With Replacement]]&gt;0, IF(Audit[[#This Row],[Canceled Differences]]&lt;0, Audit[[#This Row],[Max Differences]]+ABS(Audit[[#This Row],[Canceled Differences]]), Audit[[#This Row],[Max Differences]]), 0)</f>
        <v>0</v>
      </c>
      <c r="AB2023" s="111">
        <f>'Sampling Data'!P2022</f>
        <v>6.8593826555609994E-3</v>
      </c>
      <c r="AC2023" s="111">
        <f>IF(
      SUM(Audit[[#This Row],[Audit Losing Candidate]:[Audit Candidate 6]])
      &lt;&gt;0,
      (Audit[[#This Row],[Winning Candidate]]-Audit[[#This Row],[Losing Candidate]]-(Audit[[#This Row],[Audit Winning Candidate]]-Audit[[#This Row],[Audit Losing Candidate]]))/(Audit[[#Totals],[Winning Candidate]]-Audit[[#Totals],[Losing Candidate]]),
      0
)</f>
        <v>0</v>
      </c>
      <c r="AD20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3" s="111">
        <f>IF(Audit[[#This Row],[Max Relative Error (ep)]] = 0, 0, Audit[[#This Row],[Max Relative Error (ep)]]/Audit[[#This Row],[Error Bound (up) - Max. possible relative overstatement]])</f>
        <v>0</v>
      </c>
      <c r="AJ20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23" s="111">
        <f t="shared" si="31"/>
        <v>1</v>
      </c>
      <c r="AL2023" s="111">
        <f>PRODUCT($AK$5:AK2023)</f>
        <v>8.962823818226312E-2</v>
      </c>
      <c r="AM2023" s="109">
        <f>1 - [K-M P Value]</f>
        <v>0.91037176181773694</v>
      </c>
      <c r="AN2023" s="111" t="str">
        <f>IF(Audit[[#This Row],[K-M P Value]]&gt;1-'General Info'!$B$16,"Continue", "Stop")</f>
        <v>Stop</v>
      </c>
      <c r="AO2023" s="110" t="b">
        <f>IF(Audit[[#This Row],[Status - Continue or stop audit]] = "Continue", TRUE, IF(AN2022 = "Continue", TRUE, FALSE))</f>
        <v>0</v>
      </c>
      <c r="AP2023" s="110"/>
    </row>
    <row r="2024" spans="1:42" ht="15" hidden="1" customHeight="1">
      <c r="A2024" s="111" t="str">
        <f>'Sampling Data'!W2023</f>
        <v/>
      </c>
      <c r="B2024" s="112" t="str">
        <f>'Sampling Data'!A2023</f>
        <v>STRONGSVILLE -02-I</v>
      </c>
      <c r="C2024" s="112">
        <f>'Sampling Data'!B2023</f>
        <v>64</v>
      </c>
      <c r="D2024" s="112">
        <f>'Sampling Data'!C2023</f>
        <v>122</v>
      </c>
      <c r="E2024" s="113">
        <f>'Sampling Data'!D2023</f>
        <v>32</v>
      </c>
      <c r="F2024" s="113">
        <f>'Sampling Data'!E2023</f>
        <v>20</v>
      </c>
      <c r="G2024" s="113">
        <f>'Sampling Data'!F2023</f>
        <v>2</v>
      </c>
      <c r="H2024" s="113">
        <f>'Sampling Data'!G2023</f>
        <v>0</v>
      </c>
      <c r="I2024" s="112">
        <f>'Sampling Data'!H2023</f>
        <v>1</v>
      </c>
      <c r="J2024" s="112">
        <f>'Sampling Data'!I2023</f>
        <v>7</v>
      </c>
      <c r="K2024" s="112">
        <f>'Sampling Data'!J2023</f>
        <v>248</v>
      </c>
      <c r="L2024" s="111">
        <f>'Sampling Data'!X2023</f>
        <v>0</v>
      </c>
      <c r="M2024" s="114"/>
      <c r="N2024" s="114"/>
      <c r="O2024" s="115"/>
      <c r="P2024" s="115"/>
      <c r="Q2024" s="116"/>
      <c r="R2024" s="116"/>
      <c r="S2024" s="111">
        <f>Audit[[#This Row],[Audit Losing Candidate]]-Audit[[#This Row],[Losing Candidate]]</f>
        <v>-64</v>
      </c>
      <c r="T2024" s="111">
        <f>Audit[[#This Row],[Audit Winning Candidate]]-Audit[[#This Row],[Winning Candidate]]</f>
        <v>-122</v>
      </c>
      <c r="U2024" s="111">
        <f>Audit[[#This Row],[Audit Candidate 3]]-Audit[[#This Row],[Candidate 3]]</f>
        <v>-32</v>
      </c>
      <c r="V2024" s="111">
        <f>Audit[[#This Row],[Audit Candidate 4]]-Audit[[#This Row],[Candidate 4]]</f>
        <v>-20</v>
      </c>
      <c r="W2024" s="111">
        <f>Audit[[#This Row],[Audit Candidate 5]]-Audit[[#This Row],[Candidate 5]]</f>
        <v>-2</v>
      </c>
      <c r="X2024" s="111">
        <f>Audit[[#This Row],[Audit Candidate 6]]-Audit[[#This Row],[Candidate 6]]</f>
        <v>0</v>
      </c>
      <c r="Y2024" s="111">
        <f>SUMIF(Audit[[#This Row],[Difference Loser]:[Difference Candidate 6]], "&gt;0")</f>
        <v>0</v>
      </c>
      <c r="Z2024" s="111">
        <f>SUM(Audit[[#This Row],[Difference Loser]:[Difference Candidate 6]])</f>
        <v>-240</v>
      </c>
      <c r="AA2024" s="111">
        <f>IF(Audit[[#This Row],[Times p Drawn - With Replacement]]&gt;0, IF(Audit[[#This Row],[Canceled Differences]]&lt;0, Audit[[#This Row],[Max Differences]]+ABS(Audit[[#This Row],[Canceled Differences]]), Audit[[#This Row],[Max Differences]]), 0)</f>
        <v>0</v>
      </c>
      <c r="AB2024" s="111">
        <f>'Sampling Data'!P2023</f>
        <v>1.8740813326800589E-2</v>
      </c>
      <c r="AC2024" s="111">
        <f>IF(
      SUM(Audit[[#This Row],[Audit Losing Candidate]:[Audit Candidate 6]])
      &lt;&gt;0,
      (Audit[[#This Row],[Winning Candidate]]-Audit[[#This Row],[Losing Candidate]]-(Audit[[#This Row],[Audit Winning Candidate]]-Audit[[#This Row],[Audit Losing Candidate]]))/(Audit[[#Totals],[Winning Candidate]]-Audit[[#Totals],[Losing Candidate]]),
      0
)</f>
        <v>0</v>
      </c>
      <c r="AD20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4" s="111">
        <f>IF(Audit[[#This Row],[Max Relative Error (ep)]] = 0, 0, Audit[[#This Row],[Max Relative Error (ep)]]/Audit[[#This Row],[Error Bound (up) - Max. possible relative overstatement]])</f>
        <v>0</v>
      </c>
      <c r="AJ20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24" s="111">
        <f t="shared" si="31"/>
        <v>1</v>
      </c>
      <c r="AL2024" s="111">
        <f>PRODUCT($AK$5:AK2024)</f>
        <v>8.962823818226312E-2</v>
      </c>
      <c r="AM2024" s="109">
        <f>1 - [K-M P Value]</f>
        <v>0.91037176181773694</v>
      </c>
      <c r="AN2024" s="111" t="str">
        <f>IF(Audit[[#This Row],[K-M P Value]]&gt;1-'General Info'!$B$16,"Continue", "Stop")</f>
        <v>Stop</v>
      </c>
      <c r="AO2024" s="110" t="b">
        <f>IF(Audit[[#This Row],[Status - Continue or stop audit]] = "Continue", TRUE, IF(AN2023 = "Continue", TRUE, FALSE))</f>
        <v>0</v>
      </c>
      <c r="AP2024" s="110"/>
    </row>
    <row r="2025" spans="1:42" ht="15" hidden="1" customHeight="1">
      <c r="A2025" s="111" t="str">
        <f>'Sampling Data'!W2024</f>
        <v/>
      </c>
      <c r="B2025" s="112" t="str">
        <f>'Sampling Data'!A2024</f>
        <v>STRONGSVILLE -02-I - ABS</v>
      </c>
      <c r="C2025" s="112">
        <f>'Sampling Data'!B2024</f>
        <v>29</v>
      </c>
      <c r="D2025" s="112">
        <f>'Sampling Data'!C2024</f>
        <v>28</v>
      </c>
      <c r="E2025" s="113">
        <f>'Sampling Data'!D2024</f>
        <v>6</v>
      </c>
      <c r="F2025" s="113">
        <f>'Sampling Data'!E2024</f>
        <v>5</v>
      </c>
      <c r="G2025" s="113">
        <f>'Sampling Data'!F2024</f>
        <v>0</v>
      </c>
      <c r="H2025" s="113">
        <f>'Sampling Data'!G2024</f>
        <v>0</v>
      </c>
      <c r="I2025" s="112">
        <f>'Sampling Data'!H2024</f>
        <v>0</v>
      </c>
      <c r="J2025" s="112">
        <f>'Sampling Data'!I2024</f>
        <v>0</v>
      </c>
      <c r="K2025" s="112">
        <f>'Sampling Data'!J2024</f>
        <v>68</v>
      </c>
      <c r="L2025" s="111">
        <f>'Sampling Data'!X2024</f>
        <v>0</v>
      </c>
      <c r="M2025" s="114"/>
      <c r="N2025" s="114"/>
      <c r="O2025" s="115"/>
      <c r="P2025" s="115"/>
      <c r="Q2025" s="116"/>
      <c r="R2025" s="116"/>
      <c r="S2025" s="111">
        <f>Audit[[#This Row],[Audit Losing Candidate]]-Audit[[#This Row],[Losing Candidate]]</f>
        <v>-29</v>
      </c>
      <c r="T2025" s="111">
        <f>Audit[[#This Row],[Audit Winning Candidate]]-Audit[[#This Row],[Winning Candidate]]</f>
        <v>-28</v>
      </c>
      <c r="U2025" s="111">
        <f>Audit[[#This Row],[Audit Candidate 3]]-Audit[[#This Row],[Candidate 3]]</f>
        <v>-6</v>
      </c>
      <c r="V2025" s="111">
        <f>Audit[[#This Row],[Audit Candidate 4]]-Audit[[#This Row],[Candidate 4]]</f>
        <v>-5</v>
      </c>
      <c r="W2025" s="111">
        <f>Audit[[#This Row],[Audit Candidate 5]]-Audit[[#This Row],[Candidate 5]]</f>
        <v>0</v>
      </c>
      <c r="X2025" s="111">
        <f>Audit[[#This Row],[Audit Candidate 6]]-Audit[[#This Row],[Candidate 6]]</f>
        <v>0</v>
      </c>
      <c r="Y2025" s="111">
        <f>SUMIF(Audit[[#This Row],[Difference Loser]:[Difference Candidate 6]], "&gt;0")</f>
        <v>0</v>
      </c>
      <c r="Z2025" s="111">
        <f>SUM(Audit[[#This Row],[Difference Loser]:[Difference Candidate 6]])</f>
        <v>-68</v>
      </c>
      <c r="AA2025" s="111">
        <f>IF(Audit[[#This Row],[Times p Drawn - With Replacement]]&gt;0, IF(Audit[[#This Row],[Canceled Differences]]&lt;0, Audit[[#This Row],[Max Differences]]+ABS(Audit[[#This Row],[Canceled Differences]]), Audit[[#This Row],[Max Differences]]), 0)</f>
        <v>0</v>
      </c>
      <c r="AB2025" s="111">
        <f>'Sampling Data'!P2024</f>
        <v>4.1033806957373837E-3</v>
      </c>
      <c r="AC2025" s="111">
        <f>IF(
      SUM(Audit[[#This Row],[Audit Losing Candidate]:[Audit Candidate 6]])
      &lt;&gt;0,
      (Audit[[#This Row],[Winning Candidate]]-Audit[[#This Row],[Losing Candidate]]-(Audit[[#This Row],[Audit Winning Candidate]]-Audit[[#This Row],[Audit Losing Candidate]]))/(Audit[[#Totals],[Winning Candidate]]-Audit[[#Totals],[Losing Candidate]]),
      0
)</f>
        <v>0</v>
      </c>
      <c r="AD20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5" s="111">
        <f>IF(Audit[[#This Row],[Max Relative Error (ep)]] = 0, 0, Audit[[#This Row],[Max Relative Error (ep)]]/Audit[[#This Row],[Error Bound (up) - Max. possible relative overstatement]])</f>
        <v>0</v>
      </c>
      <c r="AJ20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25" s="111">
        <f t="shared" si="31"/>
        <v>1</v>
      </c>
      <c r="AL2025" s="111">
        <f>PRODUCT($AK$5:AK2025)</f>
        <v>8.962823818226312E-2</v>
      </c>
      <c r="AM2025" s="109">
        <f>1 - [K-M P Value]</f>
        <v>0.91037176181773694</v>
      </c>
      <c r="AN2025" s="111" t="str">
        <f>IF(Audit[[#This Row],[K-M P Value]]&gt;1-'General Info'!$B$16,"Continue", "Stop")</f>
        <v>Stop</v>
      </c>
      <c r="AO2025" s="110" t="b">
        <f>IF(Audit[[#This Row],[Status - Continue or stop audit]] = "Continue", TRUE, IF(AN2024 = "Continue", TRUE, FALSE))</f>
        <v>0</v>
      </c>
      <c r="AP2025" s="110"/>
    </row>
    <row r="2026" spans="1:42" ht="15" hidden="1" customHeight="1">
      <c r="A2026" s="111" t="str">
        <f>'Sampling Data'!W2025</f>
        <v/>
      </c>
      <c r="B2026" s="112" t="str">
        <f>'Sampling Data'!A2025</f>
        <v>STRONGSVILLE -03-A</v>
      </c>
      <c r="C2026" s="112">
        <f>'Sampling Data'!B2025</f>
        <v>23</v>
      </c>
      <c r="D2026" s="112">
        <f>'Sampling Data'!C2025</f>
        <v>56</v>
      </c>
      <c r="E2026" s="113">
        <f>'Sampling Data'!D2025</f>
        <v>12</v>
      </c>
      <c r="F2026" s="113">
        <f>'Sampling Data'!E2025</f>
        <v>8</v>
      </c>
      <c r="G2026" s="113">
        <f>'Sampling Data'!F2025</f>
        <v>0</v>
      </c>
      <c r="H2026" s="113">
        <f>'Sampling Data'!G2025</f>
        <v>0</v>
      </c>
      <c r="I2026" s="112">
        <f>'Sampling Data'!H2025</f>
        <v>0</v>
      </c>
      <c r="J2026" s="112">
        <f>'Sampling Data'!I2025</f>
        <v>3</v>
      </c>
      <c r="K2026" s="112">
        <f>'Sampling Data'!J2025</f>
        <v>102</v>
      </c>
      <c r="L2026" s="111">
        <f>'Sampling Data'!X2025</f>
        <v>0</v>
      </c>
      <c r="M2026" s="114"/>
      <c r="N2026" s="114"/>
      <c r="O2026" s="115"/>
      <c r="P2026" s="115"/>
      <c r="Q2026" s="116"/>
      <c r="R2026" s="116"/>
      <c r="S2026" s="111">
        <f>Audit[[#This Row],[Audit Losing Candidate]]-Audit[[#This Row],[Losing Candidate]]</f>
        <v>-23</v>
      </c>
      <c r="T2026" s="111">
        <f>Audit[[#This Row],[Audit Winning Candidate]]-Audit[[#This Row],[Winning Candidate]]</f>
        <v>-56</v>
      </c>
      <c r="U2026" s="111">
        <f>Audit[[#This Row],[Audit Candidate 3]]-Audit[[#This Row],[Candidate 3]]</f>
        <v>-12</v>
      </c>
      <c r="V2026" s="111">
        <f>Audit[[#This Row],[Audit Candidate 4]]-Audit[[#This Row],[Candidate 4]]</f>
        <v>-8</v>
      </c>
      <c r="W2026" s="111">
        <f>Audit[[#This Row],[Audit Candidate 5]]-Audit[[#This Row],[Candidate 5]]</f>
        <v>0</v>
      </c>
      <c r="X2026" s="111">
        <f>Audit[[#This Row],[Audit Candidate 6]]-Audit[[#This Row],[Candidate 6]]</f>
        <v>0</v>
      </c>
      <c r="Y2026" s="111">
        <f>SUMIF(Audit[[#This Row],[Difference Loser]:[Difference Candidate 6]], "&gt;0")</f>
        <v>0</v>
      </c>
      <c r="Z2026" s="111">
        <f>SUM(Audit[[#This Row],[Difference Loser]:[Difference Candidate 6]])</f>
        <v>-99</v>
      </c>
      <c r="AA2026" s="111">
        <f>IF(Audit[[#This Row],[Times p Drawn - With Replacement]]&gt;0, IF(Audit[[#This Row],[Canceled Differences]]&lt;0, Audit[[#This Row],[Max Differences]]+ABS(Audit[[#This Row],[Canceled Differences]]), Audit[[#This Row],[Max Differences]]), 0)</f>
        <v>0</v>
      </c>
      <c r="AB2026" s="111">
        <f>'Sampling Data'!P2025</f>
        <v>8.268005879470847E-3</v>
      </c>
      <c r="AC2026" s="111">
        <f>IF(
      SUM(Audit[[#This Row],[Audit Losing Candidate]:[Audit Candidate 6]])
      &lt;&gt;0,
      (Audit[[#This Row],[Winning Candidate]]-Audit[[#This Row],[Losing Candidate]]-(Audit[[#This Row],[Audit Winning Candidate]]-Audit[[#This Row],[Audit Losing Candidate]]))/(Audit[[#Totals],[Winning Candidate]]-Audit[[#Totals],[Losing Candidate]]),
      0
)</f>
        <v>0</v>
      </c>
      <c r="AD20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6" s="111">
        <f>IF(Audit[[#This Row],[Max Relative Error (ep)]] = 0, 0, Audit[[#This Row],[Max Relative Error (ep)]]/Audit[[#This Row],[Error Bound (up) - Max. possible relative overstatement]])</f>
        <v>0</v>
      </c>
      <c r="AJ20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26" s="111">
        <f t="shared" si="31"/>
        <v>1</v>
      </c>
      <c r="AL2026" s="111">
        <f>PRODUCT($AK$5:AK2026)</f>
        <v>8.962823818226312E-2</v>
      </c>
      <c r="AM2026" s="109">
        <f>1 - [K-M P Value]</f>
        <v>0.91037176181773694</v>
      </c>
      <c r="AN2026" s="111" t="str">
        <f>IF(Audit[[#This Row],[K-M P Value]]&gt;1-'General Info'!$B$16,"Continue", "Stop")</f>
        <v>Stop</v>
      </c>
      <c r="AO2026" s="110" t="b">
        <f>IF(Audit[[#This Row],[Status - Continue or stop audit]] = "Continue", TRUE, IF(AN2025 = "Continue", TRUE, FALSE))</f>
        <v>0</v>
      </c>
      <c r="AP2026" s="110"/>
    </row>
    <row r="2027" spans="1:42" ht="15" hidden="1" customHeight="1">
      <c r="A2027" s="111" t="str">
        <f>'Sampling Data'!W2026</f>
        <v/>
      </c>
      <c r="B2027" s="112" t="str">
        <f>'Sampling Data'!A2026</f>
        <v>STRONGSVILLE -03-A - ABS</v>
      </c>
      <c r="C2027" s="112">
        <f>'Sampling Data'!B2026</f>
        <v>36</v>
      </c>
      <c r="D2027" s="112">
        <f>'Sampling Data'!C2026</f>
        <v>62</v>
      </c>
      <c r="E2027" s="113">
        <f>'Sampling Data'!D2026</f>
        <v>16</v>
      </c>
      <c r="F2027" s="113">
        <f>'Sampling Data'!E2026</f>
        <v>3</v>
      </c>
      <c r="G2027" s="113">
        <f>'Sampling Data'!F2026</f>
        <v>0</v>
      </c>
      <c r="H2027" s="113">
        <f>'Sampling Data'!G2026</f>
        <v>1</v>
      </c>
      <c r="I2027" s="112">
        <f>'Sampling Data'!H2026</f>
        <v>0</v>
      </c>
      <c r="J2027" s="112">
        <f>'Sampling Data'!I2026</f>
        <v>5</v>
      </c>
      <c r="K2027" s="112">
        <f>'Sampling Data'!J2026</f>
        <v>123</v>
      </c>
      <c r="L2027" s="111">
        <f>'Sampling Data'!X2026</f>
        <v>0</v>
      </c>
      <c r="M2027" s="114"/>
      <c r="N2027" s="114"/>
      <c r="O2027" s="115"/>
      <c r="P2027" s="115"/>
      <c r="Q2027" s="116"/>
      <c r="R2027" s="116"/>
      <c r="S2027" s="111">
        <f>Audit[[#This Row],[Audit Losing Candidate]]-Audit[[#This Row],[Losing Candidate]]</f>
        <v>-36</v>
      </c>
      <c r="T2027" s="111">
        <f>Audit[[#This Row],[Audit Winning Candidate]]-Audit[[#This Row],[Winning Candidate]]</f>
        <v>-62</v>
      </c>
      <c r="U2027" s="111">
        <f>Audit[[#This Row],[Audit Candidate 3]]-Audit[[#This Row],[Candidate 3]]</f>
        <v>-16</v>
      </c>
      <c r="V2027" s="111">
        <f>Audit[[#This Row],[Audit Candidate 4]]-Audit[[#This Row],[Candidate 4]]</f>
        <v>-3</v>
      </c>
      <c r="W2027" s="111">
        <f>Audit[[#This Row],[Audit Candidate 5]]-Audit[[#This Row],[Candidate 5]]</f>
        <v>0</v>
      </c>
      <c r="X2027" s="111">
        <f>Audit[[#This Row],[Audit Candidate 6]]-Audit[[#This Row],[Candidate 6]]</f>
        <v>-1</v>
      </c>
      <c r="Y2027" s="111">
        <f>SUMIF(Audit[[#This Row],[Difference Loser]:[Difference Candidate 6]], "&gt;0")</f>
        <v>0</v>
      </c>
      <c r="Z2027" s="111">
        <f>SUM(Audit[[#This Row],[Difference Loser]:[Difference Candidate 6]])</f>
        <v>-118</v>
      </c>
      <c r="AA2027" s="111">
        <f>IF(Audit[[#This Row],[Times p Drawn - With Replacement]]&gt;0, IF(Audit[[#This Row],[Canceled Differences]]&lt;0, Audit[[#This Row],[Max Differences]]+ABS(Audit[[#This Row],[Canceled Differences]]), Audit[[#This Row],[Max Differences]]), 0)</f>
        <v>0</v>
      </c>
      <c r="AB2027" s="111">
        <f>'Sampling Data'!P2026</f>
        <v>9.1254287114159727E-3</v>
      </c>
      <c r="AC2027" s="111">
        <f>IF(
      SUM(Audit[[#This Row],[Audit Losing Candidate]:[Audit Candidate 6]])
      &lt;&gt;0,
      (Audit[[#This Row],[Winning Candidate]]-Audit[[#This Row],[Losing Candidate]]-(Audit[[#This Row],[Audit Winning Candidate]]-Audit[[#This Row],[Audit Losing Candidate]]))/(Audit[[#Totals],[Winning Candidate]]-Audit[[#Totals],[Losing Candidate]]),
      0
)</f>
        <v>0</v>
      </c>
      <c r="AD20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7" s="111">
        <f>IF(Audit[[#This Row],[Max Relative Error (ep)]] = 0, 0, Audit[[#This Row],[Max Relative Error (ep)]]/Audit[[#This Row],[Error Bound (up) - Max. possible relative overstatement]])</f>
        <v>0</v>
      </c>
      <c r="AJ20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27" s="111">
        <f t="shared" si="31"/>
        <v>1</v>
      </c>
      <c r="AL2027" s="111">
        <f>PRODUCT($AK$5:AK2027)</f>
        <v>8.962823818226312E-2</v>
      </c>
      <c r="AM2027" s="109">
        <f>1 - [K-M P Value]</f>
        <v>0.91037176181773694</v>
      </c>
      <c r="AN2027" s="111" t="str">
        <f>IF(Audit[[#This Row],[K-M P Value]]&gt;1-'General Info'!$B$16,"Continue", "Stop")</f>
        <v>Stop</v>
      </c>
      <c r="AO2027" s="110" t="b">
        <f>IF(Audit[[#This Row],[Status - Continue or stop audit]] = "Continue", TRUE, IF(AN2026 = "Continue", TRUE, FALSE))</f>
        <v>0</v>
      </c>
      <c r="AP2027" s="110"/>
    </row>
    <row r="2028" spans="1:42" ht="15" hidden="1" customHeight="1">
      <c r="A2028" s="111" t="str">
        <f>'Sampling Data'!W2027</f>
        <v/>
      </c>
      <c r="B2028" s="112" t="str">
        <f>'Sampling Data'!A2027</f>
        <v>STRONGSVILLE -03-B</v>
      </c>
      <c r="C2028" s="112">
        <f>'Sampling Data'!B2027</f>
        <v>42</v>
      </c>
      <c r="D2028" s="112">
        <f>'Sampling Data'!C2027</f>
        <v>83</v>
      </c>
      <c r="E2028" s="113">
        <f>'Sampling Data'!D2027</f>
        <v>7</v>
      </c>
      <c r="F2028" s="113">
        <f>'Sampling Data'!E2027</f>
        <v>9</v>
      </c>
      <c r="G2028" s="113">
        <f>'Sampling Data'!F2027</f>
        <v>0</v>
      </c>
      <c r="H2028" s="113">
        <f>'Sampling Data'!G2027</f>
        <v>1</v>
      </c>
      <c r="I2028" s="112">
        <f>'Sampling Data'!H2027</f>
        <v>0</v>
      </c>
      <c r="J2028" s="112">
        <f>'Sampling Data'!I2027</f>
        <v>2</v>
      </c>
      <c r="K2028" s="112">
        <f>'Sampling Data'!J2027</f>
        <v>144</v>
      </c>
      <c r="L2028" s="111">
        <f>'Sampling Data'!X2027</f>
        <v>0</v>
      </c>
      <c r="M2028" s="114"/>
      <c r="N2028" s="114"/>
      <c r="O2028" s="115"/>
      <c r="P2028" s="115"/>
      <c r="Q2028" s="116"/>
      <c r="R2028" s="116"/>
      <c r="S2028" s="111">
        <f>Audit[[#This Row],[Audit Losing Candidate]]-Audit[[#This Row],[Losing Candidate]]</f>
        <v>-42</v>
      </c>
      <c r="T2028" s="111">
        <f>Audit[[#This Row],[Audit Winning Candidate]]-Audit[[#This Row],[Winning Candidate]]</f>
        <v>-83</v>
      </c>
      <c r="U2028" s="111">
        <f>Audit[[#This Row],[Audit Candidate 3]]-Audit[[#This Row],[Candidate 3]]</f>
        <v>-7</v>
      </c>
      <c r="V2028" s="111">
        <f>Audit[[#This Row],[Audit Candidate 4]]-Audit[[#This Row],[Candidate 4]]</f>
        <v>-9</v>
      </c>
      <c r="W2028" s="111">
        <f>Audit[[#This Row],[Audit Candidate 5]]-Audit[[#This Row],[Candidate 5]]</f>
        <v>0</v>
      </c>
      <c r="X2028" s="111">
        <f>Audit[[#This Row],[Audit Candidate 6]]-Audit[[#This Row],[Candidate 6]]</f>
        <v>-1</v>
      </c>
      <c r="Y2028" s="111">
        <f>SUMIF(Audit[[#This Row],[Difference Loser]:[Difference Candidate 6]], "&gt;0")</f>
        <v>0</v>
      </c>
      <c r="Z2028" s="111">
        <f>SUM(Audit[[#This Row],[Difference Loser]:[Difference Candidate 6]])</f>
        <v>-142</v>
      </c>
      <c r="AA2028" s="111">
        <f>IF(Audit[[#This Row],[Times p Drawn - With Replacement]]&gt;0, IF(Audit[[#This Row],[Canceled Differences]]&lt;0, Audit[[#This Row],[Max Differences]]+ABS(Audit[[#This Row],[Canceled Differences]]), Audit[[#This Row],[Max Differences]]), 0)</f>
        <v>0</v>
      </c>
      <c r="AB2028" s="111">
        <f>'Sampling Data'!P2027</f>
        <v>1.1330230279274866E-2</v>
      </c>
      <c r="AC2028" s="111">
        <f>IF(
      SUM(Audit[[#This Row],[Audit Losing Candidate]:[Audit Candidate 6]])
      &lt;&gt;0,
      (Audit[[#This Row],[Winning Candidate]]-Audit[[#This Row],[Losing Candidate]]-(Audit[[#This Row],[Audit Winning Candidate]]-Audit[[#This Row],[Audit Losing Candidate]]))/(Audit[[#Totals],[Winning Candidate]]-Audit[[#Totals],[Losing Candidate]]),
      0
)</f>
        <v>0</v>
      </c>
      <c r="AD20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8" s="111">
        <f>IF(Audit[[#This Row],[Max Relative Error (ep)]] = 0, 0, Audit[[#This Row],[Max Relative Error (ep)]]/Audit[[#This Row],[Error Bound (up) - Max. possible relative overstatement]])</f>
        <v>0</v>
      </c>
      <c r="AJ20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28" s="111">
        <f t="shared" si="31"/>
        <v>1</v>
      </c>
      <c r="AL2028" s="111">
        <f>PRODUCT($AK$5:AK2028)</f>
        <v>8.962823818226312E-2</v>
      </c>
      <c r="AM2028" s="109">
        <f>1 - [K-M P Value]</f>
        <v>0.91037176181773694</v>
      </c>
      <c r="AN2028" s="111" t="str">
        <f>IF(Audit[[#This Row],[K-M P Value]]&gt;1-'General Info'!$B$16,"Continue", "Stop")</f>
        <v>Stop</v>
      </c>
      <c r="AO2028" s="110" t="b">
        <f>IF(Audit[[#This Row],[Status - Continue or stop audit]] = "Continue", TRUE, IF(AN2027 = "Continue", TRUE, FALSE))</f>
        <v>0</v>
      </c>
      <c r="AP2028" s="110"/>
    </row>
    <row r="2029" spans="1:42" ht="15" hidden="1" customHeight="1">
      <c r="A2029" s="111" t="str">
        <f>'Sampling Data'!W2028</f>
        <v/>
      </c>
      <c r="B2029" s="112" t="str">
        <f>'Sampling Data'!A2028</f>
        <v>STRONGSVILLE -03-B - ABS</v>
      </c>
      <c r="C2029" s="112">
        <f>'Sampling Data'!B2028</f>
        <v>24</v>
      </c>
      <c r="D2029" s="112">
        <f>'Sampling Data'!C2028</f>
        <v>40</v>
      </c>
      <c r="E2029" s="113">
        <f>'Sampling Data'!D2028</f>
        <v>17</v>
      </c>
      <c r="F2029" s="113">
        <f>'Sampling Data'!E2028</f>
        <v>7</v>
      </c>
      <c r="G2029" s="113">
        <f>'Sampling Data'!F2028</f>
        <v>1</v>
      </c>
      <c r="H2029" s="113">
        <f>'Sampling Data'!G2028</f>
        <v>3</v>
      </c>
      <c r="I2029" s="112">
        <f>'Sampling Data'!H2028</f>
        <v>0</v>
      </c>
      <c r="J2029" s="112">
        <f>'Sampling Data'!I2028</f>
        <v>1</v>
      </c>
      <c r="K2029" s="112">
        <f>'Sampling Data'!J2028</f>
        <v>93</v>
      </c>
      <c r="L2029" s="111">
        <f>'Sampling Data'!X2028</f>
        <v>0</v>
      </c>
      <c r="M2029" s="114"/>
      <c r="N2029" s="114"/>
      <c r="O2029" s="115"/>
      <c r="P2029" s="115"/>
      <c r="Q2029" s="116"/>
      <c r="R2029" s="116"/>
      <c r="S2029" s="111">
        <f>Audit[[#This Row],[Audit Losing Candidate]]-Audit[[#This Row],[Losing Candidate]]</f>
        <v>-24</v>
      </c>
      <c r="T2029" s="111">
        <f>Audit[[#This Row],[Audit Winning Candidate]]-Audit[[#This Row],[Winning Candidate]]</f>
        <v>-40</v>
      </c>
      <c r="U2029" s="111">
        <f>Audit[[#This Row],[Audit Candidate 3]]-Audit[[#This Row],[Candidate 3]]</f>
        <v>-17</v>
      </c>
      <c r="V2029" s="111">
        <f>Audit[[#This Row],[Audit Candidate 4]]-Audit[[#This Row],[Candidate 4]]</f>
        <v>-7</v>
      </c>
      <c r="W2029" s="111">
        <f>Audit[[#This Row],[Audit Candidate 5]]-Audit[[#This Row],[Candidate 5]]</f>
        <v>-1</v>
      </c>
      <c r="X2029" s="111">
        <f>Audit[[#This Row],[Audit Candidate 6]]-Audit[[#This Row],[Candidate 6]]</f>
        <v>-3</v>
      </c>
      <c r="Y2029" s="111">
        <f>SUMIF(Audit[[#This Row],[Difference Loser]:[Difference Candidate 6]], "&gt;0")</f>
        <v>0</v>
      </c>
      <c r="Z2029" s="111">
        <f>SUM(Audit[[#This Row],[Difference Loser]:[Difference Candidate 6]])</f>
        <v>-92</v>
      </c>
      <c r="AA2029" s="111">
        <f>IF(Audit[[#This Row],[Times p Drawn - With Replacement]]&gt;0, IF(Audit[[#This Row],[Canceled Differences]]&lt;0, Audit[[#This Row],[Max Differences]]+ABS(Audit[[#This Row],[Canceled Differences]]), Audit[[#This Row],[Max Differences]]), 0)</f>
        <v>0</v>
      </c>
      <c r="AB2029" s="111">
        <f>'Sampling Data'!P2028</f>
        <v>6.6756491915727582E-3</v>
      </c>
      <c r="AC2029" s="111">
        <f>IF(
      SUM(Audit[[#This Row],[Audit Losing Candidate]:[Audit Candidate 6]])
      &lt;&gt;0,
      (Audit[[#This Row],[Winning Candidate]]-Audit[[#This Row],[Losing Candidate]]-(Audit[[#This Row],[Audit Winning Candidate]]-Audit[[#This Row],[Audit Losing Candidate]]))/(Audit[[#Totals],[Winning Candidate]]-Audit[[#Totals],[Losing Candidate]]),
      0
)</f>
        <v>0</v>
      </c>
      <c r="AD20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9" s="111">
        <f>IF(Audit[[#This Row],[Max Relative Error (ep)]] = 0, 0, Audit[[#This Row],[Max Relative Error (ep)]]/Audit[[#This Row],[Error Bound (up) - Max. possible relative overstatement]])</f>
        <v>0</v>
      </c>
      <c r="AJ20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29" s="111">
        <f t="shared" si="31"/>
        <v>1</v>
      </c>
      <c r="AL2029" s="111">
        <f>PRODUCT($AK$5:AK2029)</f>
        <v>8.962823818226312E-2</v>
      </c>
      <c r="AM2029" s="109">
        <f>1 - [K-M P Value]</f>
        <v>0.91037176181773694</v>
      </c>
      <c r="AN2029" s="111" t="str">
        <f>IF(Audit[[#This Row],[K-M P Value]]&gt;1-'General Info'!$B$16,"Continue", "Stop")</f>
        <v>Stop</v>
      </c>
      <c r="AO2029" s="110" t="b">
        <f>IF(Audit[[#This Row],[Status - Continue or stop audit]] = "Continue", TRUE, IF(AN2028 = "Continue", TRUE, FALSE))</f>
        <v>0</v>
      </c>
      <c r="AP2029" s="110"/>
    </row>
    <row r="2030" spans="1:42" ht="15" hidden="1" customHeight="1">
      <c r="A2030" s="111" t="str">
        <f>'Sampling Data'!W2029</f>
        <v/>
      </c>
      <c r="B2030" s="112" t="str">
        <f>'Sampling Data'!A2029</f>
        <v>STRONGSVILLE -03-C</v>
      </c>
      <c r="C2030" s="112">
        <f>'Sampling Data'!B2029</f>
        <v>51</v>
      </c>
      <c r="D2030" s="112">
        <f>'Sampling Data'!C2029</f>
        <v>91</v>
      </c>
      <c r="E2030" s="113">
        <f>'Sampling Data'!D2029</f>
        <v>21</v>
      </c>
      <c r="F2030" s="113">
        <f>'Sampling Data'!E2029</f>
        <v>11</v>
      </c>
      <c r="G2030" s="113">
        <f>'Sampling Data'!F2029</f>
        <v>2</v>
      </c>
      <c r="H2030" s="113">
        <f>'Sampling Data'!G2029</f>
        <v>0</v>
      </c>
      <c r="I2030" s="112">
        <f>'Sampling Data'!H2029</f>
        <v>0</v>
      </c>
      <c r="J2030" s="112">
        <f>'Sampling Data'!I2029</f>
        <v>2</v>
      </c>
      <c r="K2030" s="112">
        <f>'Sampling Data'!J2029</f>
        <v>178</v>
      </c>
      <c r="L2030" s="111">
        <f>'Sampling Data'!X2029</f>
        <v>0</v>
      </c>
      <c r="M2030" s="114"/>
      <c r="N2030" s="114"/>
      <c r="O2030" s="115"/>
      <c r="P2030" s="115"/>
      <c r="Q2030" s="116"/>
      <c r="R2030" s="116"/>
      <c r="S2030" s="111">
        <f>Audit[[#This Row],[Audit Losing Candidate]]-Audit[[#This Row],[Losing Candidate]]</f>
        <v>-51</v>
      </c>
      <c r="T2030" s="111">
        <f>Audit[[#This Row],[Audit Winning Candidate]]-Audit[[#This Row],[Winning Candidate]]</f>
        <v>-91</v>
      </c>
      <c r="U2030" s="111">
        <f>Audit[[#This Row],[Audit Candidate 3]]-Audit[[#This Row],[Candidate 3]]</f>
        <v>-21</v>
      </c>
      <c r="V2030" s="111">
        <f>Audit[[#This Row],[Audit Candidate 4]]-Audit[[#This Row],[Candidate 4]]</f>
        <v>-11</v>
      </c>
      <c r="W2030" s="111">
        <f>Audit[[#This Row],[Audit Candidate 5]]-Audit[[#This Row],[Candidate 5]]</f>
        <v>-2</v>
      </c>
      <c r="X2030" s="111">
        <f>Audit[[#This Row],[Audit Candidate 6]]-Audit[[#This Row],[Candidate 6]]</f>
        <v>0</v>
      </c>
      <c r="Y2030" s="111">
        <f>SUMIF(Audit[[#This Row],[Difference Loser]:[Difference Candidate 6]], "&gt;0")</f>
        <v>0</v>
      </c>
      <c r="Z2030" s="111">
        <f>SUM(Audit[[#This Row],[Difference Loser]:[Difference Candidate 6]])</f>
        <v>-176</v>
      </c>
      <c r="AA2030" s="111">
        <f>IF(Audit[[#This Row],[Times p Drawn - With Replacement]]&gt;0, IF(Audit[[#This Row],[Canceled Differences]]&lt;0, Audit[[#This Row],[Max Differences]]+ABS(Audit[[#This Row],[Canceled Differences]]), Audit[[#This Row],[Max Differences]]), 0)</f>
        <v>0</v>
      </c>
      <c r="AB2030" s="111">
        <f>'Sampling Data'!P2029</f>
        <v>1.3351298383145516E-2</v>
      </c>
      <c r="AC2030" s="111">
        <f>IF(
      SUM(Audit[[#This Row],[Audit Losing Candidate]:[Audit Candidate 6]])
      &lt;&gt;0,
      (Audit[[#This Row],[Winning Candidate]]-Audit[[#This Row],[Losing Candidate]]-(Audit[[#This Row],[Audit Winning Candidate]]-Audit[[#This Row],[Audit Losing Candidate]]))/(Audit[[#Totals],[Winning Candidate]]-Audit[[#Totals],[Losing Candidate]]),
      0
)</f>
        <v>0</v>
      </c>
      <c r="AD20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0" s="111">
        <f>IF(Audit[[#This Row],[Max Relative Error (ep)]] = 0, 0, Audit[[#This Row],[Max Relative Error (ep)]]/Audit[[#This Row],[Error Bound (up) - Max. possible relative overstatement]])</f>
        <v>0</v>
      </c>
      <c r="AJ20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30" s="111">
        <f t="shared" si="31"/>
        <v>1</v>
      </c>
      <c r="AL2030" s="111">
        <f>PRODUCT($AK$5:AK2030)</f>
        <v>8.962823818226312E-2</v>
      </c>
      <c r="AM2030" s="109">
        <f>1 - [K-M P Value]</f>
        <v>0.91037176181773694</v>
      </c>
      <c r="AN2030" s="111" t="str">
        <f>IF(Audit[[#This Row],[K-M P Value]]&gt;1-'General Info'!$B$16,"Continue", "Stop")</f>
        <v>Stop</v>
      </c>
      <c r="AO2030" s="110" t="b">
        <f>IF(Audit[[#This Row],[Status - Continue or stop audit]] = "Continue", TRUE, IF(AN2029 = "Continue", TRUE, FALSE))</f>
        <v>0</v>
      </c>
      <c r="AP2030" s="110"/>
    </row>
    <row r="2031" spans="1:42" ht="15" hidden="1" customHeight="1">
      <c r="A2031" s="111" t="str">
        <f>'Sampling Data'!W2030</f>
        <v/>
      </c>
      <c r="B2031" s="112" t="str">
        <f>'Sampling Data'!A2030</f>
        <v>STRONGSVILLE -03-C - ABS</v>
      </c>
      <c r="C2031" s="112">
        <f>'Sampling Data'!B2030</f>
        <v>22</v>
      </c>
      <c r="D2031" s="112">
        <f>'Sampling Data'!C2030</f>
        <v>40</v>
      </c>
      <c r="E2031" s="113">
        <f>'Sampling Data'!D2030</f>
        <v>14</v>
      </c>
      <c r="F2031" s="113">
        <f>'Sampling Data'!E2030</f>
        <v>5</v>
      </c>
      <c r="G2031" s="113">
        <f>'Sampling Data'!F2030</f>
        <v>0</v>
      </c>
      <c r="H2031" s="113">
        <f>'Sampling Data'!G2030</f>
        <v>1</v>
      </c>
      <c r="I2031" s="112">
        <f>'Sampling Data'!H2030</f>
        <v>0</v>
      </c>
      <c r="J2031" s="112">
        <f>'Sampling Data'!I2030</f>
        <v>2</v>
      </c>
      <c r="K2031" s="112">
        <f>'Sampling Data'!J2030</f>
        <v>84</v>
      </c>
      <c r="L2031" s="111">
        <f>'Sampling Data'!X2030</f>
        <v>0</v>
      </c>
      <c r="M2031" s="114"/>
      <c r="N2031" s="114"/>
      <c r="O2031" s="115"/>
      <c r="P2031" s="115"/>
      <c r="Q2031" s="116"/>
      <c r="R2031" s="116"/>
      <c r="S2031" s="111">
        <f>Audit[[#This Row],[Audit Losing Candidate]]-Audit[[#This Row],[Losing Candidate]]</f>
        <v>-22</v>
      </c>
      <c r="T2031" s="111">
        <f>Audit[[#This Row],[Audit Winning Candidate]]-Audit[[#This Row],[Winning Candidate]]</f>
        <v>-40</v>
      </c>
      <c r="U2031" s="111">
        <f>Audit[[#This Row],[Audit Candidate 3]]-Audit[[#This Row],[Candidate 3]]</f>
        <v>-14</v>
      </c>
      <c r="V2031" s="111">
        <f>Audit[[#This Row],[Audit Candidate 4]]-Audit[[#This Row],[Candidate 4]]</f>
        <v>-5</v>
      </c>
      <c r="W2031" s="111">
        <f>Audit[[#This Row],[Audit Candidate 5]]-Audit[[#This Row],[Candidate 5]]</f>
        <v>0</v>
      </c>
      <c r="X2031" s="111">
        <f>Audit[[#This Row],[Audit Candidate 6]]-Audit[[#This Row],[Candidate 6]]</f>
        <v>-1</v>
      </c>
      <c r="Y2031" s="111">
        <f>SUMIF(Audit[[#This Row],[Difference Loser]:[Difference Candidate 6]], "&gt;0")</f>
        <v>0</v>
      </c>
      <c r="Z2031" s="111">
        <f>SUM(Audit[[#This Row],[Difference Loser]:[Difference Candidate 6]])</f>
        <v>-82</v>
      </c>
      <c r="AA2031" s="111">
        <f>IF(Audit[[#This Row],[Times p Drawn - With Replacement]]&gt;0, IF(Audit[[#This Row],[Canceled Differences]]&lt;0, Audit[[#This Row],[Max Differences]]+ABS(Audit[[#This Row],[Canceled Differences]]), Audit[[#This Row],[Max Differences]]), 0)</f>
        <v>0</v>
      </c>
      <c r="AB2031" s="111">
        <f>'Sampling Data'!P2030</f>
        <v>6.2469377756001962E-3</v>
      </c>
      <c r="AC2031" s="111">
        <f>IF(
      SUM(Audit[[#This Row],[Audit Losing Candidate]:[Audit Candidate 6]])
      &lt;&gt;0,
      (Audit[[#This Row],[Winning Candidate]]-Audit[[#This Row],[Losing Candidate]]-(Audit[[#This Row],[Audit Winning Candidate]]-Audit[[#This Row],[Audit Losing Candidate]]))/(Audit[[#Totals],[Winning Candidate]]-Audit[[#Totals],[Losing Candidate]]),
      0
)</f>
        <v>0</v>
      </c>
      <c r="AD20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1" s="111">
        <f>IF(Audit[[#This Row],[Max Relative Error (ep)]] = 0, 0, Audit[[#This Row],[Max Relative Error (ep)]]/Audit[[#This Row],[Error Bound (up) - Max. possible relative overstatement]])</f>
        <v>0</v>
      </c>
      <c r="AJ20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31" s="111">
        <f t="shared" si="31"/>
        <v>1</v>
      </c>
      <c r="AL2031" s="111">
        <f>PRODUCT($AK$5:AK2031)</f>
        <v>8.962823818226312E-2</v>
      </c>
      <c r="AM2031" s="109">
        <f>1 - [K-M P Value]</f>
        <v>0.91037176181773694</v>
      </c>
      <c r="AN2031" s="111" t="str">
        <f>IF(Audit[[#This Row],[K-M P Value]]&gt;1-'General Info'!$B$16,"Continue", "Stop")</f>
        <v>Stop</v>
      </c>
      <c r="AO2031" s="110" t="b">
        <f>IF(Audit[[#This Row],[Status - Continue or stop audit]] = "Continue", TRUE, IF(AN2030 = "Continue", TRUE, FALSE))</f>
        <v>0</v>
      </c>
      <c r="AP2031" s="110"/>
    </row>
    <row r="2032" spans="1:42" ht="15" hidden="1" customHeight="1">
      <c r="A2032" s="111" t="str">
        <f>'Sampling Data'!W2031</f>
        <v/>
      </c>
      <c r="B2032" s="112" t="str">
        <f>'Sampling Data'!A2031</f>
        <v>STRONGSVILLE -03-D</v>
      </c>
      <c r="C2032" s="112">
        <f>'Sampling Data'!B2031</f>
        <v>31</v>
      </c>
      <c r="D2032" s="112">
        <f>'Sampling Data'!C2031</f>
        <v>40</v>
      </c>
      <c r="E2032" s="113">
        <f>'Sampling Data'!D2031</f>
        <v>11</v>
      </c>
      <c r="F2032" s="113">
        <f>'Sampling Data'!E2031</f>
        <v>7</v>
      </c>
      <c r="G2032" s="113">
        <f>'Sampling Data'!F2031</f>
        <v>0</v>
      </c>
      <c r="H2032" s="113">
        <f>'Sampling Data'!G2031</f>
        <v>1</v>
      </c>
      <c r="I2032" s="112">
        <f>'Sampling Data'!H2031</f>
        <v>0</v>
      </c>
      <c r="J2032" s="112">
        <f>'Sampling Data'!I2031</f>
        <v>0</v>
      </c>
      <c r="K2032" s="112">
        <f>'Sampling Data'!J2031</f>
        <v>90</v>
      </c>
      <c r="L2032" s="111">
        <f>'Sampling Data'!X2031</f>
        <v>0</v>
      </c>
      <c r="M2032" s="114"/>
      <c r="N2032" s="114"/>
      <c r="O2032" s="115"/>
      <c r="P2032" s="115"/>
      <c r="Q2032" s="116"/>
      <c r="R2032" s="116"/>
      <c r="S2032" s="111">
        <f>Audit[[#This Row],[Audit Losing Candidate]]-Audit[[#This Row],[Losing Candidate]]</f>
        <v>-31</v>
      </c>
      <c r="T2032" s="111">
        <f>Audit[[#This Row],[Audit Winning Candidate]]-Audit[[#This Row],[Winning Candidate]]</f>
        <v>-40</v>
      </c>
      <c r="U2032" s="111">
        <f>Audit[[#This Row],[Audit Candidate 3]]-Audit[[#This Row],[Candidate 3]]</f>
        <v>-11</v>
      </c>
      <c r="V2032" s="111">
        <f>Audit[[#This Row],[Audit Candidate 4]]-Audit[[#This Row],[Candidate 4]]</f>
        <v>-7</v>
      </c>
      <c r="W2032" s="111">
        <f>Audit[[#This Row],[Audit Candidate 5]]-Audit[[#This Row],[Candidate 5]]</f>
        <v>0</v>
      </c>
      <c r="X2032" s="111">
        <f>Audit[[#This Row],[Audit Candidate 6]]-Audit[[#This Row],[Candidate 6]]</f>
        <v>-1</v>
      </c>
      <c r="Y2032" s="111">
        <f>SUMIF(Audit[[#This Row],[Difference Loser]:[Difference Candidate 6]], "&gt;0")</f>
        <v>0</v>
      </c>
      <c r="Z2032" s="111">
        <f>SUM(Audit[[#This Row],[Difference Loser]:[Difference Candidate 6]])</f>
        <v>-90</v>
      </c>
      <c r="AA2032" s="111">
        <f>IF(Audit[[#This Row],[Times p Drawn - With Replacement]]&gt;0, IF(Audit[[#This Row],[Canceled Differences]]&lt;0, Audit[[#This Row],[Max Differences]]+ABS(Audit[[#This Row],[Canceled Differences]]), Audit[[#This Row],[Max Differences]]), 0)</f>
        <v>0</v>
      </c>
      <c r="AB2032" s="111">
        <f>'Sampling Data'!P2031</f>
        <v>6.063204311611955E-3</v>
      </c>
      <c r="AC2032" s="111">
        <f>IF(
      SUM(Audit[[#This Row],[Audit Losing Candidate]:[Audit Candidate 6]])
      &lt;&gt;0,
      (Audit[[#This Row],[Winning Candidate]]-Audit[[#This Row],[Losing Candidate]]-(Audit[[#This Row],[Audit Winning Candidate]]-Audit[[#This Row],[Audit Losing Candidate]]))/(Audit[[#Totals],[Winning Candidate]]-Audit[[#Totals],[Losing Candidate]]),
      0
)</f>
        <v>0</v>
      </c>
      <c r="AD20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2" s="111">
        <f>IF(Audit[[#This Row],[Max Relative Error (ep)]] = 0, 0, Audit[[#This Row],[Max Relative Error (ep)]]/Audit[[#This Row],[Error Bound (up) - Max. possible relative overstatement]])</f>
        <v>0</v>
      </c>
      <c r="AJ20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32" s="111">
        <f t="shared" si="31"/>
        <v>1</v>
      </c>
      <c r="AL2032" s="111">
        <f>PRODUCT($AK$5:AK2032)</f>
        <v>8.962823818226312E-2</v>
      </c>
      <c r="AM2032" s="109">
        <f>1 - [K-M P Value]</f>
        <v>0.91037176181773694</v>
      </c>
      <c r="AN2032" s="111" t="str">
        <f>IF(Audit[[#This Row],[K-M P Value]]&gt;1-'General Info'!$B$16,"Continue", "Stop")</f>
        <v>Stop</v>
      </c>
      <c r="AO2032" s="110" t="b">
        <f>IF(Audit[[#This Row],[Status - Continue or stop audit]] = "Continue", TRUE, IF(AN2031 = "Continue", TRUE, FALSE))</f>
        <v>0</v>
      </c>
      <c r="AP2032" s="110"/>
    </row>
    <row r="2033" spans="1:42" ht="15" hidden="1" customHeight="1">
      <c r="A2033" s="111" t="str">
        <f>'Sampling Data'!W2032</f>
        <v/>
      </c>
      <c r="B2033" s="112" t="str">
        <f>'Sampling Data'!A2032</f>
        <v>STRONGSVILLE -03-D - ABS</v>
      </c>
      <c r="C2033" s="112">
        <f>'Sampling Data'!B2032</f>
        <v>22</v>
      </c>
      <c r="D2033" s="112">
        <f>'Sampling Data'!C2032</f>
        <v>25</v>
      </c>
      <c r="E2033" s="113">
        <f>'Sampling Data'!D2032</f>
        <v>12</v>
      </c>
      <c r="F2033" s="113">
        <f>'Sampling Data'!E2032</f>
        <v>3</v>
      </c>
      <c r="G2033" s="113">
        <f>'Sampling Data'!F2032</f>
        <v>0</v>
      </c>
      <c r="H2033" s="113">
        <f>'Sampling Data'!G2032</f>
        <v>0</v>
      </c>
      <c r="I2033" s="112">
        <f>'Sampling Data'!H2032</f>
        <v>0</v>
      </c>
      <c r="J2033" s="112">
        <f>'Sampling Data'!I2032</f>
        <v>1</v>
      </c>
      <c r="K2033" s="112">
        <f>'Sampling Data'!J2032</f>
        <v>63</v>
      </c>
      <c r="L2033" s="111">
        <f>'Sampling Data'!X2032</f>
        <v>0</v>
      </c>
      <c r="M2033" s="114"/>
      <c r="N2033" s="114"/>
      <c r="O2033" s="115"/>
      <c r="P2033" s="115"/>
      <c r="Q2033" s="116"/>
      <c r="R2033" s="116"/>
      <c r="S2033" s="111">
        <f>Audit[[#This Row],[Audit Losing Candidate]]-Audit[[#This Row],[Losing Candidate]]</f>
        <v>-22</v>
      </c>
      <c r="T2033" s="111">
        <f>Audit[[#This Row],[Audit Winning Candidate]]-Audit[[#This Row],[Winning Candidate]]</f>
        <v>-25</v>
      </c>
      <c r="U2033" s="111">
        <f>Audit[[#This Row],[Audit Candidate 3]]-Audit[[#This Row],[Candidate 3]]</f>
        <v>-12</v>
      </c>
      <c r="V2033" s="111">
        <f>Audit[[#This Row],[Audit Candidate 4]]-Audit[[#This Row],[Candidate 4]]</f>
        <v>-3</v>
      </c>
      <c r="W2033" s="111">
        <f>Audit[[#This Row],[Audit Candidate 5]]-Audit[[#This Row],[Candidate 5]]</f>
        <v>0</v>
      </c>
      <c r="X2033" s="111">
        <f>Audit[[#This Row],[Audit Candidate 6]]-Audit[[#This Row],[Candidate 6]]</f>
        <v>0</v>
      </c>
      <c r="Y2033" s="111">
        <f>SUMIF(Audit[[#This Row],[Difference Loser]:[Difference Candidate 6]], "&gt;0")</f>
        <v>0</v>
      </c>
      <c r="Z2033" s="111">
        <f>SUM(Audit[[#This Row],[Difference Loser]:[Difference Candidate 6]])</f>
        <v>-62</v>
      </c>
      <c r="AA2033" s="111">
        <f>IF(Audit[[#This Row],[Times p Drawn - With Replacement]]&gt;0, IF(Audit[[#This Row],[Canceled Differences]]&lt;0, Audit[[#This Row],[Max Differences]]+ABS(Audit[[#This Row],[Canceled Differences]]), Audit[[#This Row],[Max Differences]]), 0)</f>
        <v>0</v>
      </c>
      <c r="AB2033" s="111">
        <f>'Sampling Data'!P2032</f>
        <v>4.0421362077413033E-3</v>
      </c>
      <c r="AC2033" s="111">
        <f>IF(
      SUM(Audit[[#This Row],[Audit Losing Candidate]:[Audit Candidate 6]])
      &lt;&gt;0,
      (Audit[[#This Row],[Winning Candidate]]-Audit[[#This Row],[Losing Candidate]]-(Audit[[#This Row],[Audit Winning Candidate]]-Audit[[#This Row],[Audit Losing Candidate]]))/(Audit[[#Totals],[Winning Candidate]]-Audit[[#Totals],[Losing Candidate]]),
      0
)</f>
        <v>0</v>
      </c>
      <c r="AD20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3" s="111">
        <f>IF(Audit[[#This Row],[Max Relative Error (ep)]] = 0, 0, Audit[[#This Row],[Max Relative Error (ep)]]/Audit[[#This Row],[Error Bound (up) - Max. possible relative overstatement]])</f>
        <v>0</v>
      </c>
      <c r="AJ20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33" s="111">
        <f t="shared" si="31"/>
        <v>1</v>
      </c>
      <c r="AL2033" s="111">
        <f>PRODUCT($AK$5:AK2033)</f>
        <v>8.962823818226312E-2</v>
      </c>
      <c r="AM2033" s="109">
        <f>1 - [K-M P Value]</f>
        <v>0.91037176181773694</v>
      </c>
      <c r="AN2033" s="111" t="str">
        <f>IF(Audit[[#This Row],[K-M P Value]]&gt;1-'General Info'!$B$16,"Continue", "Stop")</f>
        <v>Stop</v>
      </c>
      <c r="AO2033" s="110" t="b">
        <f>IF(Audit[[#This Row],[Status - Continue or stop audit]] = "Continue", TRUE, IF(AN2032 = "Continue", TRUE, FALSE))</f>
        <v>0</v>
      </c>
      <c r="AP2033" s="110"/>
    </row>
    <row r="2034" spans="1:42" ht="15" hidden="1" customHeight="1">
      <c r="A2034" s="111" t="str">
        <f>'Sampling Data'!W2033</f>
        <v/>
      </c>
      <c r="B2034" s="112" t="str">
        <f>'Sampling Data'!A2033</f>
        <v>STRONGSVILLE -03-E</v>
      </c>
      <c r="C2034" s="112">
        <f>'Sampling Data'!B2033</f>
        <v>41</v>
      </c>
      <c r="D2034" s="112">
        <f>'Sampling Data'!C2033</f>
        <v>67</v>
      </c>
      <c r="E2034" s="113">
        <f>'Sampling Data'!D2033</f>
        <v>14</v>
      </c>
      <c r="F2034" s="113">
        <f>'Sampling Data'!E2033</f>
        <v>6</v>
      </c>
      <c r="G2034" s="113">
        <f>'Sampling Data'!F2033</f>
        <v>0</v>
      </c>
      <c r="H2034" s="113">
        <f>'Sampling Data'!G2033</f>
        <v>1</v>
      </c>
      <c r="I2034" s="112">
        <f>'Sampling Data'!H2033</f>
        <v>0</v>
      </c>
      <c r="J2034" s="112">
        <f>'Sampling Data'!I2033</f>
        <v>1</v>
      </c>
      <c r="K2034" s="112">
        <f>'Sampling Data'!J2033</f>
        <v>130</v>
      </c>
      <c r="L2034" s="111">
        <f>'Sampling Data'!X2033</f>
        <v>0</v>
      </c>
      <c r="M2034" s="114"/>
      <c r="N2034" s="114"/>
      <c r="O2034" s="115"/>
      <c r="P2034" s="115"/>
      <c r="Q2034" s="116"/>
      <c r="R2034" s="116"/>
      <c r="S2034" s="111">
        <f>Audit[[#This Row],[Audit Losing Candidate]]-Audit[[#This Row],[Losing Candidate]]</f>
        <v>-41</v>
      </c>
      <c r="T2034" s="111">
        <f>Audit[[#This Row],[Audit Winning Candidate]]-Audit[[#This Row],[Winning Candidate]]</f>
        <v>-67</v>
      </c>
      <c r="U2034" s="111">
        <f>Audit[[#This Row],[Audit Candidate 3]]-Audit[[#This Row],[Candidate 3]]</f>
        <v>-14</v>
      </c>
      <c r="V2034" s="111">
        <f>Audit[[#This Row],[Audit Candidate 4]]-Audit[[#This Row],[Candidate 4]]</f>
        <v>-6</v>
      </c>
      <c r="W2034" s="111">
        <f>Audit[[#This Row],[Audit Candidate 5]]-Audit[[#This Row],[Candidate 5]]</f>
        <v>0</v>
      </c>
      <c r="X2034" s="111">
        <f>Audit[[#This Row],[Audit Candidate 6]]-Audit[[#This Row],[Candidate 6]]</f>
        <v>-1</v>
      </c>
      <c r="Y2034" s="111">
        <f>SUMIF(Audit[[#This Row],[Difference Loser]:[Difference Candidate 6]], "&gt;0")</f>
        <v>0</v>
      </c>
      <c r="Z2034" s="111">
        <f>SUM(Audit[[#This Row],[Difference Loser]:[Difference Candidate 6]])</f>
        <v>-129</v>
      </c>
      <c r="AA2034" s="111">
        <f>IF(Audit[[#This Row],[Times p Drawn - With Replacement]]&gt;0, IF(Audit[[#This Row],[Canceled Differences]]&lt;0, Audit[[#This Row],[Max Differences]]+ABS(Audit[[#This Row],[Canceled Differences]]), Audit[[#This Row],[Max Differences]]), 0)</f>
        <v>0</v>
      </c>
      <c r="AB2034" s="111">
        <f>'Sampling Data'!P2033</f>
        <v>9.5541401273885346E-3</v>
      </c>
      <c r="AC2034" s="111">
        <f>IF(
      SUM(Audit[[#This Row],[Audit Losing Candidate]:[Audit Candidate 6]])
      &lt;&gt;0,
      (Audit[[#This Row],[Winning Candidate]]-Audit[[#This Row],[Losing Candidate]]-(Audit[[#This Row],[Audit Winning Candidate]]-Audit[[#This Row],[Audit Losing Candidate]]))/(Audit[[#Totals],[Winning Candidate]]-Audit[[#Totals],[Losing Candidate]]),
      0
)</f>
        <v>0</v>
      </c>
      <c r="AD20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4" s="111">
        <f>IF(Audit[[#This Row],[Max Relative Error (ep)]] = 0, 0, Audit[[#This Row],[Max Relative Error (ep)]]/Audit[[#This Row],[Error Bound (up) - Max. possible relative overstatement]])</f>
        <v>0</v>
      </c>
      <c r="AJ20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34" s="111">
        <f t="shared" si="31"/>
        <v>1</v>
      </c>
      <c r="AL2034" s="111">
        <f>PRODUCT($AK$5:AK2034)</f>
        <v>8.962823818226312E-2</v>
      </c>
      <c r="AM2034" s="109">
        <f>1 - [K-M P Value]</f>
        <v>0.91037176181773694</v>
      </c>
      <c r="AN2034" s="111" t="str">
        <f>IF(Audit[[#This Row],[K-M P Value]]&gt;1-'General Info'!$B$16,"Continue", "Stop")</f>
        <v>Stop</v>
      </c>
      <c r="AO2034" s="110" t="b">
        <f>IF(Audit[[#This Row],[Status - Continue or stop audit]] = "Continue", TRUE, IF(AN2033 = "Continue", TRUE, FALSE))</f>
        <v>0</v>
      </c>
      <c r="AP2034" s="110"/>
    </row>
    <row r="2035" spans="1:42" ht="15" hidden="1" customHeight="1">
      <c r="A2035" s="111" t="str">
        <f>'Sampling Data'!W2034</f>
        <v/>
      </c>
      <c r="B2035" s="112" t="str">
        <f>'Sampling Data'!A2034</f>
        <v>STRONGSVILLE -03-E - ABS</v>
      </c>
      <c r="C2035" s="112">
        <f>'Sampling Data'!B2034</f>
        <v>37</v>
      </c>
      <c r="D2035" s="112">
        <f>'Sampling Data'!C2034</f>
        <v>46</v>
      </c>
      <c r="E2035" s="113">
        <f>'Sampling Data'!D2034</f>
        <v>9</v>
      </c>
      <c r="F2035" s="113">
        <f>'Sampling Data'!E2034</f>
        <v>5</v>
      </c>
      <c r="G2035" s="113">
        <f>'Sampling Data'!F2034</f>
        <v>0</v>
      </c>
      <c r="H2035" s="113">
        <f>'Sampling Data'!G2034</f>
        <v>1</v>
      </c>
      <c r="I2035" s="112">
        <f>'Sampling Data'!H2034</f>
        <v>0</v>
      </c>
      <c r="J2035" s="112">
        <f>'Sampling Data'!I2034</f>
        <v>2</v>
      </c>
      <c r="K2035" s="112">
        <f>'Sampling Data'!J2034</f>
        <v>100</v>
      </c>
      <c r="L2035" s="111">
        <f>'Sampling Data'!X2034</f>
        <v>0</v>
      </c>
      <c r="M2035" s="114"/>
      <c r="N2035" s="114"/>
      <c r="O2035" s="115"/>
      <c r="P2035" s="115"/>
      <c r="Q2035" s="116"/>
      <c r="R2035" s="116"/>
      <c r="S2035" s="111">
        <f>Audit[[#This Row],[Audit Losing Candidate]]-Audit[[#This Row],[Losing Candidate]]</f>
        <v>-37</v>
      </c>
      <c r="T2035" s="111">
        <f>Audit[[#This Row],[Audit Winning Candidate]]-Audit[[#This Row],[Winning Candidate]]</f>
        <v>-46</v>
      </c>
      <c r="U2035" s="111">
        <f>Audit[[#This Row],[Audit Candidate 3]]-Audit[[#This Row],[Candidate 3]]</f>
        <v>-9</v>
      </c>
      <c r="V2035" s="111">
        <f>Audit[[#This Row],[Audit Candidate 4]]-Audit[[#This Row],[Candidate 4]]</f>
        <v>-5</v>
      </c>
      <c r="W2035" s="111">
        <f>Audit[[#This Row],[Audit Candidate 5]]-Audit[[#This Row],[Candidate 5]]</f>
        <v>0</v>
      </c>
      <c r="X2035" s="111">
        <f>Audit[[#This Row],[Audit Candidate 6]]-Audit[[#This Row],[Candidate 6]]</f>
        <v>-1</v>
      </c>
      <c r="Y2035" s="111">
        <f>SUMIF(Audit[[#This Row],[Difference Loser]:[Difference Candidate 6]], "&gt;0")</f>
        <v>0</v>
      </c>
      <c r="Z2035" s="111">
        <f>SUM(Audit[[#This Row],[Difference Loser]:[Difference Candidate 6]])</f>
        <v>-98</v>
      </c>
      <c r="AA2035" s="111">
        <f>IF(Audit[[#This Row],[Times p Drawn - With Replacement]]&gt;0, IF(Audit[[#This Row],[Canceled Differences]]&lt;0, Audit[[#This Row],[Max Differences]]+ABS(Audit[[#This Row],[Canceled Differences]]), Audit[[#This Row],[Max Differences]]), 0)</f>
        <v>0</v>
      </c>
      <c r="AB2035" s="111">
        <f>'Sampling Data'!P2034</f>
        <v>6.6756491915727582E-3</v>
      </c>
      <c r="AC2035" s="111">
        <f>IF(
      SUM(Audit[[#This Row],[Audit Losing Candidate]:[Audit Candidate 6]])
      &lt;&gt;0,
      (Audit[[#This Row],[Winning Candidate]]-Audit[[#This Row],[Losing Candidate]]-(Audit[[#This Row],[Audit Winning Candidate]]-Audit[[#This Row],[Audit Losing Candidate]]))/(Audit[[#Totals],[Winning Candidate]]-Audit[[#Totals],[Losing Candidate]]),
      0
)</f>
        <v>0</v>
      </c>
      <c r="AD20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5" s="111">
        <f>IF(Audit[[#This Row],[Max Relative Error (ep)]] = 0, 0, Audit[[#This Row],[Max Relative Error (ep)]]/Audit[[#This Row],[Error Bound (up) - Max. possible relative overstatement]])</f>
        <v>0</v>
      </c>
      <c r="AJ20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35" s="111">
        <f t="shared" si="31"/>
        <v>1</v>
      </c>
      <c r="AL2035" s="111">
        <f>PRODUCT($AK$5:AK2035)</f>
        <v>8.962823818226312E-2</v>
      </c>
      <c r="AM2035" s="109">
        <f>1 - [K-M P Value]</f>
        <v>0.91037176181773694</v>
      </c>
      <c r="AN2035" s="111" t="str">
        <f>IF(Audit[[#This Row],[K-M P Value]]&gt;1-'General Info'!$B$16,"Continue", "Stop")</f>
        <v>Stop</v>
      </c>
      <c r="AO2035" s="110" t="b">
        <f>IF(Audit[[#This Row],[Status - Continue or stop audit]] = "Continue", TRUE, IF(AN2034 = "Continue", TRUE, FALSE))</f>
        <v>0</v>
      </c>
      <c r="AP2035" s="110"/>
    </row>
    <row r="2036" spans="1:42" ht="15" hidden="1" customHeight="1">
      <c r="A2036" s="111" t="str">
        <f>'Sampling Data'!W2035</f>
        <v/>
      </c>
      <c r="B2036" s="112" t="str">
        <f>'Sampling Data'!A2035</f>
        <v>STRONGSVILLE -03-F</v>
      </c>
      <c r="C2036" s="112">
        <f>'Sampling Data'!B2035</f>
        <v>32</v>
      </c>
      <c r="D2036" s="112">
        <f>'Sampling Data'!C2035</f>
        <v>65</v>
      </c>
      <c r="E2036" s="113">
        <f>'Sampling Data'!D2035</f>
        <v>21</v>
      </c>
      <c r="F2036" s="113">
        <f>'Sampling Data'!E2035</f>
        <v>5</v>
      </c>
      <c r="G2036" s="113">
        <f>'Sampling Data'!F2035</f>
        <v>0</v>
      </c>
      <c r="H2036" s="113">
        <f>'Sampling Data'!G2035</f>
        <v>0</v>
      </c>
      <c r="I2036" s="112">
        <f>'Sampling Data'!H2035</f>
        <v>0</v>
      </c>
      <c r="J2036" s="112">
        <f>'Sampling Data'!I2035</f>
        <v>2</v>
      </c>
      <c r="K2036" s="112">
        <f>'Sampling Data'!J2035</f>
        <v>125</v>
      </c>
      <c r="L2036" s="111">
        <f>'Sampling Data'!X2035</f>
        <v>0</v>
      </c>
      <c r="M2036" s="114"/>
      <c r="N2036" s="114"/>
      <c r="O2036" s="115"/>
      <c r="P2036" s="115"/>
      <c r="Q2036" s="116"/>
      <c r="R2036" s="116"/>
      <c r="S2036" s="111">
        <f>Audit[[#This Row],[Audit Losing Candidate]]-Audit[[#This Row],[Losing Candidate]]</f>
        <v>-32</v>
      </c>
      <c r="T2036" s="111">
        <f>Audit[[#This Row],[Audit Winning Candidate]]-Audit[[#This Row],[Winning Candidate]]</f>
        <v>-65</v>
      </c>
      <c r="U2036" s="111">
        <f>Audit[[#This Row],[Audit Candidate 3]]-Audit[[#This Row],[Candidate 3]]</f>
        <v>-21</v>
      </c>
      <c r="V2036" s="111">
        <f>Audit[[#This Row],[Audit Candidate 4]]-Audit[[#This Row],[Candidate 4]]</f>
        <v>-5</v>
      </c>
      <c r="W2036" s="111">
        <f>Audit[[#This Row],[Audit Candidate 5]]-Audit[[#This Row],[Candidate 5]]</f>
        <v>0</v>
      </c>
      <c r="X2036" s="111">
        <f>Audit[[#This Row],[Audit Candidate 6]]-Audit[[#This Row],[Candidate 6]]</f>
        <v>0</v>
      </c>
      <c r="Y2036" s="111">
        <f>SUMIF(Audit[[#This Row],[Difference Loser]:[Difference Candidate 6]], "&gt;0")</f>
        <v>0</v>
      </c>
      <c r="Z2036" s="111">
        <f>SUM(Audit[[#This Row],[Difference Loser]:[Difference Candidate 6]])</f>
        <v>-123</v>
      </c>
      <c r="AA2036" s="111">
        <f>IF(Audit[[#This Row],[Times p Drawn - With Replacement]]&gt;0, IF(Audit[[#This Row],[Canceled Differences]]&lt;0, Audit[[#This Row],[Max Differences]]+ABS(Audit[[#This Row],[Canceled Differences]]), Audit[[#This Row],[Max Differences]]), 0)</f>
        <v>0</v>
      </c>
      <c r="AB2036" s="111">
        <f>'Sampling Data'!P2035</f>
        <v>9.6766291033806955E-3</v>
      </c>
      <c r="AC2036" s="111">
        <f>IF(
      SUM(Audit[[#This Row],[Audit Losing Candidate]:[Audit Candidate 6]])
      &lt;&gt;0,
      (Audit[[#This Row],[Winning Candidate]]-Audit[[#This Row],[Losing Candidate]]-(Audit[[#This Row],[Audit Winning Candidate]]-Audit[[#This Row],[Audit Losing Candidate]]))/(Audit[[#Totals],[Winning Candidate]]-Audit[[#Totals],[Losing Candidate]]),
      0
)</f>
        <v>0</v>
      </c>
      <c r="AD20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6" s="111">
        <f>IF(Audit[[#This Row],[Max Relative Error (ep)]] = 0, 0, Audit[[#This Row],[Max Relative Error (ep)]]/Audit[[#This Row],[Error Bound (up) - Max. possible relative overstatement]])</f>
        <v>0</v>
      </c>
      <c r="AJ20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36" s="111">
        <f t="shared" si="31"/>
        <v>1</v>
      </c>
      <c r="AL2036" s="111">
        <f>PRODUCT($AK$5:AK2036)</f>
        <v>8.962823818226312E-2</v>
      </c>
      <c r="AM2036" s="109">
        <f>1 - [K-M P Value]</f>
        <v>0.91037176181773694</v>
      </c>
      <c r="AN2036" s="111" t="str">
        <f>IF(Audit[[#This Row],[K-M P Value]]&gt;1-'General Info'!$B$16,"Continue", "Stop")</f>
        <v>Stop</v>
      </c>
      <c r="AO2036" s="110" t="b">
        <f>IF(Audit[[#This Row],[Status - Continue or stop audit]] = "Continue", TRUE, IF(AN2035 = "Continue", TRUE, FALSE))</f>
        <v>0</v>
      </c>
      <c r="AP2036" s="110"/>
    </row>
    <row r="2037" spans="1:42" ht="15" hidden="1" customHeight="1">
      <c r="A2037" s="111" t="str">
        <f>'Sampling Data'!W2036</f>
        <v/>
      </c>
      <c r="B2037" s="112" t="str">
        <f>'Sampling Data'!A2036</f>
        <v>STRONGSVILLE -03-F - ABS</v>
      </c>
      <c r="C2037" s="112">
        <f>'Sampling Data'!B2036</f>
        <v>18</v>
      </c>
      <c r="D2037" s="112">
        <f>'Sampling Data'!C2036</f>
        <v>66</v>
      </c>
      <c r="E2037" s="113">
        <f>'Sampling Data'!D2036</f>
        <v>7</v>
      </c>
      <c r="F2037" s="113">
        <f>'Sampling Data'!E2036</f>
        <v>3</v>
      </c>
      <c r="G2037" s="113">
        <f>'Sampling Data'!F2036</f>
        <v>0</v>
      </c>
      <c r="H2037" s="113">
        <f>'Sampling Data'!G2036</f>
        <v>0</v>
      </c>
      <c r="I2037" s="112">
        <f>'Sampling Data'!H2036</f>
        <v>0</v>
      </c>
      <c r="J2037" s="112">
        <f>'Sampling Data'!I2036</f>
        <v>0</v>
      </c>
      <c r="K2037" s="112">
        <f>'Sampling Data'!J2036</f>
        <v>94</v>
      </c>
      <c r="L2037" s="111">
        <f>'Sampling Data'!X2036</f>
        <v>0</v>
      </c>
      <c r="M2037" s="114"/>
      <c r="N2037" s="114"/>
      <c r="O2037" s="115"/>
      <c r="P2037" s="115"/>
      <c r="Q2037" s="116"/>
      <c r="R2037" s="116"/>
      <c r="S2037" s="111">
        <f>Audit[[#This Row],[Audit Losing Candidate]]-Audit[[#This Row],[Losing Candidate]]</f>
        <v>-18</v>
      </c>
      <c r="T2037" s="111">
        <f>Audit[[#This Row],[Audit Winning Candidate]]-Audit[[#This Row],[Winning Candidate]]</f>
        <v>-66</v>
      </c>
      <c r="U2037" s="111">
        <f>Audit[[#This Row],[Audit Candidate 3]]-Audit[[#This Row],[Candidate 3]]</f>
        <v>-7</v>
      </c>
      <c r="V2037" s="111">
        <f>Audit[[#This Row],[Audit Candidate 4]]-Audit[[#This Row],[Candidate 4]]</f>
        <v>-3</v>
      </c>
      <c r="W2037" s="111">
        <f>Audit[[#This Row],[Audit Candidate 5]]-Audit[[#This Row],[Candidate 5]]</f>
        <v>0</v>
      </c>
      <c r="X2037" s="111">
        <f>Audit[[#This Row],[Audit Candidate 6]]-Audit[[#This Row],[Candidate 6]]</f>
        <v>0</v>
      </c>
      <c r="Y2037" s="111">
        <f>SUMIF(Audit[[#This Row],[Difference Loser]:[Difference Candidate 6]], "&gt;0")</f>
        <v>0</v>
      </c>
      <c r="Z2037" s="111">
        <f>SUM(Audit[[#This Row],[Difference Loser]:[Difference Candidate 6]])</f>
        <v>-94</v>
      </c>
      <c r="AA2037" s="111">
        <f>IF(Audit[[#This Row],[Times p Drawn - With Replacement]]&gt;0, IF(Audit[[#This Row],[Canceled Differences]]&lt;0, Audit[[#This Row],[Max Differences]]+ABS(Audit[[#This Row],[Canceled Differences]]), Audit[[#This Row],[Max Differences]]), 0)</f>
        <v>0</v>
      </c>
      <c r="AB2037" s="111">
        <f>'Sampling Data'!P2036</f>
        <v>8.6967172954434107E-3</v>
      </c>
      <c r="AC2037" s="111">
        <f>IF(
      SUM(Audit[[#This Row],[Audit Losing Candidate]:[Audit Candidate 6]])
      &lt;&gt;0,
      (Audit[[#This Row],[Winning Candidate]]-Audit[[#This Row],[Losing Candidate]]-(Audit[[#This Row],[Audit Winning Candidate]]-Audit[[#This Row],[Audit Losing Candidate]]))/(Audit[[#Totals],[Winning Candidate]]-Audit[[#Totals],[Losing Candidate]]),
      0
)</f>
        <v>0</v>
      </c>
      <c r="AD20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7" s="111">
        <f>IF(Audit[[#This Row],[Max Relative Error (ep)]] = 0, 0, Audit[[#This Row],[Max Relative Error (ep)]]/Audit[[#This Row],[Error Bound (up) - Max. possible relative overstatement]])</f>
        <v>0</v>
      </c>
      <c r="AJ20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37" s="111">
        <f t="shared" si="31"/>
        <v>1</v>
      </c>
      <c r="AL2037" s="111">
        <f>PRODUCT($AK$5:AK2037)</f>
        <v>8.962823818226312E-2</v>
      </c>
      <c r="AM2037" s="109">
        <f>1 - [K-M P Value]</f>
        <v>0.91037176181773694</v>
      </c>
      <c r="AN2037" s="111" t="str">
        <f>IF(Audit[[#This Row],[K-M P Value]]&gt;1-'General Info'!$B$16,"Continue", "Stop")</f>
        <v>Stop</v>
      </c>
      <c r="AO2037" s="110" t="b">
        <f>IF(Audit[[#This Row],[Status - Continue or stop audit]] = "Continue", TRUE, IF(AN2036 = "Continue", TRUE, FALSE))</f>
        <v>0</v>
      </c>
      <c r="AP2037" s="110"/>
    </row>
    <row r="2038" spans="1:42" ht="15" hidden="1" customHeight="1">
      <c r="A2038" s="111" t="str">
        <f>'Sampling Data'!W2037</f>
        <v/>
      </c>
      <c r="B2038" s="112" t="str">
        <f>'Sampling Data'!A2037</f>
        <v>STRONGSVILLE -03-G</v>
      </c>
      <c r="C2038" s="112">
        <f>'Sampling Data'!B2037</f>
        <v>50</v>
      </c>
      <c r="D2038" s="112">
        <f>'Sampling Data'!C2037</f>
        <v>77</v>
      </c>
      <c r="E2038" s="113">
        <f>'Sampling Data'!D2037</f>
        <v>14</v>
      </c>
      <c r="F2038" s="113">
        <f>'Sampling Data'!E2037</f>
        <v>19</v>
      </c>
      <c r="G2038" s="113">
        <f>'Sampling Data'!F2037</f>
        <v>1</v>
      </c>
      <c r="H2038" s="113">
        <f>'Sampling Data'!G2037</f>
        <v>0</v>
      </c>
      <c r="I2038" s="112">
        <f>'Sampling Data'!H2037</f>
        <v>0</v>
      </c>
      <c r="J2038" s="112">
        <f>'Sampling Data'!I2037</f>
        <v>0</v>
      </c>
      <c r="K2038" s="112">
        <f>'Sampling Data'!J2037</f>
        <v>161</v>
      </c>
      <c r="L2038" s="111">
        <f>'Sampling Data'!X2037</f>
        <v>0</v>
      </c>
      <c r="M2038" s="114"/>
      <c r="N2038" s="114"/>
      <c r="O2038" s="115"/>
      <c r="P2038" s="115"/>
      <c r="Q2038" s="116"/>
      <c r="R2038" s="116"/>
      <c r="S2038" s="111">
        <f>Audit[[#This Row],[Audit Losing Candidate]]-Audit[[#This Row],[Losing Candidate]]</f>
        <v>-50</v>
      </c>
      <c r="T2038" s="111">
        <f>Audit[[#This Row],[Audit Winning Candidate]]-Audit[[#This Row],[Winning Candidate]]</f>
        <v>-77</v>
      </c>
      <c r="U2038" s="111">
        <f>Audit[[#This Row],[Audit Candidate 3]]-Audit[[#This Row],[Candidate 3]]</f>
        <v>-14</v>
      </c>
      <c r="V2038" s="111">
        <f>Audit[[#This Row],[Audit Candidate 4]]-Audit[[#This Row],[Candidate 4]]</f>
        <v>-19</v>
      </c>
      <c r="W2038" s="111">
        <f>Audit[[#This Row],[Audit Candidate 5]]-Audit[[#This Row],[Candidate 5]]</f>
        <v>-1</v>
      </c>
      <c r="X2038" s="111">
        <f>Audit[[#This Row],[Audit Candidate 6]]-Audit[[#This Row],[Candidate 6]]</f>
        <v>0</v>
      </c>
      <c r="Y2038" s="111">
        <f>SUMIF(Audit[[#This Row],[Difference Loser]:[Difference Candidate 6]], "&gt;0")</f>
        <v>0</v>
      </c>
      <c r="Z2038" s="111">
        <f>SUM(Audit[[#This Row],[Difference Loser]:[Difference Candidate 6]])</f>
        <v>-161</v>
      </c>
      <c r="AA2038" s="111">
        <f>IF(Audit[[#This Row],[Times p Drawn - With Replacement]]&gt;0, IF(Audit[[#This Row],[Canceled Differences]]&lt;0, Audit[[#This Row],[Max Differences]]+ABS(Audit[[#This Row],[Canceled Differences]]), Audit[[#This Row],[Max Differences]]), 0)</f>
        <v>0</v>
      </c>
      <c r="AB2038" s="111">
        <f>'Sampling Data'!P2037</f>
        <v>1.1513963743263106E-2</v>
      </c>
      <c r="AC2038" s="111">
        <f>IF(
      SUM(Audit[[#This Row],[Audit Losing Candidate]:[Audit Candidate 6]])
      &lt;&gt;0,
      (Audit[[#This Row],[Winning Candidate]]-Audit[[#This Row],[Losing Candidate]]-(Audit[[#This Row],[Audit Winning Candidate]]-Audit[[#This Row],[Audit Losing Candidate]]))/(Audit[[#Totals],[Winning Candidate]]-Audit[[#Totals],[Losing Candidate]]),
      0
)</f>
        <v>0</v>
      </c>
      <c r="AD20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8" s="111">
        <f>IF(Audit[[#This Row],[Max Relative Error (ep)]] = 0, 0, Audit[[#This Row],[Max Relative Error (ep)]]/Audit[[#This Row],[Error Bound (up) - Max. possible relative overstatement]])</f>
        <v>0</v>
      </c>
      <c r="AJ20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38" s="111">
        <f t="shared" si="31"/>
        <v>1</v>
      </c>
      <c r="AL2038" s="111">
        <f>PRODUCT($AK$5:AK2038)</f>
        <v>8.962823818226312E-2</v>
      </c>
      <c r="AM2038" s="109">
        <f>1 - [K-M P Value]</f>
        <v>0.91037176181773694</v>
      </c>
      <c r="AN2038" s="111" t="str">
        <f>IF(Audit[[#This Row],[K-M P Value]]&gt;1-'General Info'!$B$16,"Continue", "Stop")</f>
        <v>Stop</v>
      </c>
      <c r="AO2038" s="110" t="b">
        <f>IF(Audit[[#This Row],[Status - Continue or stop audit]] = "Continue", TRUE, IF(AN2037 = "Continue", TRUE, FALSE))</f>
        <v>0</v>
      </c>
      <c r="AP2038" s="110"/>
    </row>
    <row r="2039" spans="1:42" ht="15" hidden="1" customHeight="1">
      <c r="A2039" s="111" t="str">
        <f>'Sampling Data'!W2038</f>
        <v/>
      </c>
      <c r="B2039" s="112" t="str">
        <f>'Sampling Data'!A2038</f>
        <v>STRONGSVILLE -03-G - ABS</v>
      </c>
      <c r="C2039" s="112">
        <f>'Sampling Data'!B2038</f>
        <v>44</v>
      </c>
      <c r="D2039" s="112">
        <f>'Sampling Data'!C2038</f>
        <v>41</v>
      </c>
      <c r="E2039" s="113">
        <f>'Sampling Data'!D2038</f>
        <v>11</v>
      </c>
      <c r="F2039" s="113">
        <f>'Sampling Data'!E2038</f>
        <v>4</v>
      </c>
      <c r="G2039" s="113">
        <f>'Sampling Data'!F2038</f>
        <v>2</v>
      </c>
      <c r="H2039" s="113">
        <f>'Sampling Data'!G2038</f>
        <v>0</v>
      </c>
      <c r="I2039" s="112">
        <f>'Sampling Data'!H2038</f>
        <v>0</v>
      </c>
      <c r="J2039" s="112">
        <f>'Sampling Data'!I2038</f>
        <v>2</v>
      </c>
      <c r="K2039" s="112">
        <f>'Sampling Data'!J2038</f>
        <v>104</v>
      </c>
      <c r="L2039" s="111">
        <f>'Sampling Data'!X2038</f>
        <v>0</v>
      </c>
      <c r="M2039" s="114"/>
      <c r="N2039" s="114"/>
      <c r="O2039" s="115"/>
      <c r="P2039" s="115"/>
      <c r="Q2039" s="116"/>
      <c r="R2039" s="116"/>
      <c r="S2039" s="111">
        <f>Audit[[#This Row],[Audit Losing Candidate]]-Audit[[#This Row],[Losing Candidate]]</f>
        <v>-44</v>
      </c>
      <c r="T2039" s="111">
        <f>Audit[[#This Row],[Audit Winning Candidate]]-Audit[[#This Row],[Winning Candidate]]</f>
        <v>-41</v>
      </c>
      <c r="U2039" s="111">
        <f>Audit[[#This Row],[Audit Candidate 3]]-Audit[[#This Row],[Candidate 3]]</f>
        <v>-11</v>
      </c>
      <c r="V2039" s="111">
        <f>Audit[[#This Row],[Audit Candidate 4]]-Audit[[#This Row],[Candidate 4]]</f>
        <v>-4</v>
      </c>
      <c r="W2039" s="111">
        <f>Audit[[#This Row],[Audit Candidate 5]]-Audit[[#This Row],[Candidate 5]]</f>
        <v>-2</v>
      </c>
      <c r="X2039" s="111">
        <f>Audit[[#This Row],[Audit Candidate 6]]-Audit[[#This Row],[Candidate 6]]</f>
        <v>0</v>
      </c>
      <c r="Y2039" s="111">
        <f>SUMIF(Audit[[#This Row],[Difference Loser]:[Difference Candidate 6]], "&gt;0")</f>
        <v>0</v>
      </c>
      <c r="Z2039" s="111">
        <f>SUM(Audit[[#This Row],[Difference Loser]:[Difference Candidate 6]])</f>
        <v>-102</v>
      </c>
      <c r="AA2039" s="111">
        <f>IF(Audit[[#This Row],[Times p Drawn - With Replacement]]&gt;0, IF(Audit[[#This Row],[Canceled Differences]]&lt;0, Audit[[#This Row],[Max Differences]]+ABS(Audit[[#This Row],[Canceled Differences]]), Audit[[#This Row],[Max Differences]]), 0)</f>
        <v>0</v>
      </c>
      <c r="AB2039" s="111">
        <f>'Sampling Data'!P2038</f>
        <v>6.1856932876041158E-3</v>
      </c>
      <c r="AC2039" s="111">
        <f>IF(
      SUM(Audit[[#This Row],[Audit Losing Candidate]:[Audit Candidate 6]])
      &lt;&gt;0,
      (Audit[[#This Row],[Winning Candidate]]-Audit[[#This Row],[Losing Candidate]]-(Audit[[#This Row],[Audit Winning Candidate]]-Audit[[#This Row],[Audit Losing Candidate]]))/(Audit[[#Totals],[Winning Candidate]]-Audit[[#Totals],[Losing Candidate]]),
      0
)</f>
        <v>0</v>
      </c>
      <c r="AD20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9" s="111">
        <f>IF(Audit[[#This Row],[Max Relative Error (ep)]] = 0, 0, Audit[[#This Row],[Max Relative Error (ep)]]/Audit[[#This Row],[Error Bound (up) - Max. possible relative overstatement]])</f>
        <v>0</v>
      </c>
      <c r="AJ20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39" s="111">
        <f t="shared" si="31"/>
        <v>1</v>
      </c>
      <c r="AL2039" s="111">
        <f>PRODUCT($AK$5:AK2039)</f>
        <v>8.962823818226312E-2</v>
      </c>
      <c r="AM2039" s="109">
        <f>1 - [K-M P Value]</f>
        <v>0.91037176181773694</v>
      </c>
      <c r="AN2039" s="111" t="str">
        <f>IF(Audit[[#This Row],[K-M P Value]]&gt;1-'General Info'!$B$16,"Continue", "Stop")</f>
        <v>Stop</v>
      </c>
      <c r="AO2039" s="110" t="b">
        <f>IF(Audit[[#This Row],[Status - Continue or stop audit]] = "Continue", TRUE, IF(AN2038 = "Continue", TRUE, FALSE))</f>
        <v>0</v>
      </c>
      <c r="AP2039" s="110"/>
    </row>
    <row r="2040" spans="1:42" ht="15" hidden="1" customHeight="1">
      <c r="A2040" s="111" t="str">
        <f>'Sampling Data'!W2039</f>
        <v/>
      </c>
      <c r="B2040" s="112" t="str">
        <f>'Sampling Data'!A2039</f>
        <v>STRONGSVILLE -03-H</v>
      </c>
      <c r="C2040" s="112">
        <f>'Sampling Data'!B2039</f>
        <v>29</v>
      </c>
      <c r="D2040" s="112">
        <f>'Sampling Data'!C2039</f>
        <v>32</v>
      </c>
      <c r="E2040" s="113">
        <f>'Sampling Data'!D2039</f>
        <v>18</v>
      </c>
      <c r="F2040" s="113">
        <f>'Sampling Data'!E2039</f>
        <v>11</v>
      </c>
      <c r="G2040" s="113">
        <f>'Sampling Data'!F2039</f>
        <v>0</v>
      </c>
      <c r="H2040" s="113">
        <f>'Sampling Data'!G2039</f>
        <v>0</v>
      </c>
      <c r="I2040" s="112">
        <f>'Sampling Data'!H2039</f>
        <v>0</v>
      </c>
      <c r="J2040" s="112">
        <f>'Sampling Data'!I2039</f>
        <v>0</v>
      </c>
      <c r="K2040" s="112">
        <f>'Sampling Data'!J2039</f>
        <v>90</v>
      </c>
      <c r="L2040" s="111">
        <f>'Sampling Data'!X2039</f>
        <v>0</v>
      </c>
      <c r="M2040" s="114"/>
      <c r="N2040" s="114"/>
      <c r="O2040" s="115"/>
      <c r="P2040" s="115"/>
      <c r="Q2040" s="116"/>
      <c r="R2040" s="116"/>
      <c r="S2040" s="111">
        <f>Audit[[#This Row],[Audit Losing Candidate]]-Audit[[#This Row],[Losing Candidate]]</f>
        <v>-29</v>
      </c>
      <c r="T2040" s="111">
        <f>Audit[[#This Row],[Audit Winning Candidate]]-Audit[[#This Row],[Winning Candidate]]</f>
        <v>-32</v>
      </c>
      <c r="U2040" s="111">
        <f>Audit[[#This Row],[Audit Candidate 3]]-Audit[[#This Row],[Candidate 3]]</f>
        <v>-18</v>
      </c>
      <c r="V2040" s="111">
        <f>Audit[[#This Row],[Audit Candidate 4]]-Audit[[#This Row],[Candidate 4]]</f>
        <v>-11</v>
      </c>
      <c r="W2040" s="111">
        <f>Audit[[#This Row],[Audit Candidate 5]]-Audit[[#This Row],[Candidate 5]]</f>
        <v>0</v>
      </c>
      <c r="X2040" s="111">
        <f>Audit[[#This Row],[Audit Candidate 6]]-Audit[[#This Row],[Candidate 6]]</f>
        <v>0</v>
      </c>
      <c r="Y2040" s="111">
        <f>SUMIF(Audit[[#This Row],[Difference Loser]:[Difference Candidate 6]], "&gt;0")</f>
        <v>0</v>
      </c>
      <c r="Z2040" s="111">
        <f>SUM(Audit[[#This Row],[Difference Loser]:[Difference Candidate 6]])</f>
        <v>-90</v>
      </c>
      <c r="AA2040" s="111">
        <f>IF(Audit[[#This Row],[Times p Drawn - With Replacement]]&gt;0, IF(Audit[[#This Row],[Canceled Differences]]&lt;0, Audit[[#This Row],[Max Differences]]+ABS(Audit[[#This Row],[Canceled Differences]]), Audit[[#This Row],[Max Differences]]), 0)</f>
        <v>0</v>
      </c>
      <c r="AB2040" s="111">
        <f>'Sampling Data'!P2039</f>
        <v>5.6957373836354725E-3</v>
      </c>
      <c r="AC2040" s="111">
        <f>IF(
      SUM(Audit[[#This Row],[Audit Losing Candidate]:[Audit Candidate 6]])
      &lt;&gt;0,
      (Audit[[#This Row],[Winning Candidate]]-Audit[[#This Row],[Losing Candidate]]-(Audit[[#This Row],[Audit Winning Candidate]]-Audit[[#This Row],[Audit Losing Candidate]]))/(Audit[[#Totals],[Winning Candidate]]-Audit[[#Totals],[Losing Candidate]]),
      0
)</f>
        <v>0</v>
      </c>
      <c r="AD20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0" s="111">
        <f>IF(Audit[[#This Row],[Max Relative Error (ep)]] = 0, 0, Audit[[#This Row],[Max Relative Error (ep)]]/Audit[[#This Row],[Error Bound (up) - Max. possible relative overstatement]])</f>
        <v>0</v>
      </c>
      <c r="AJ20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40" s="111">
        <f t="shared" si="31"/>
        <v>1</v>
      </c>
      <c r="AL2040" s="111">
        <f>PRODUCT($AK$5:AK2040)</f>
        <v>8.962823818226312E-2</v>
      </c>
      <c r="AM2040" s="109">
        <f>1 - [K-M P Value]</f>
        <v>0.91037176181773694</v>
      </c>
      <c r="AN2040" s="111" t="str">
        <f>IF(Audit[[#This Row],[K-M P Value]]&gt;1-'General Info'!$B$16,"Continue", "Stop")</f>
        <v>Stop</v>
      </c>
      <c r="AO2040" s="110" t="b">
        <f>IF(Audit[[#This Row],[Status - Continue or stop audit]] = "Continue", TRUE, IF(AN2039 = "Continue", TRUE, FALSE))</f>
        <v>0</v>
      </c>
      <c r="AP2040" s="110"/>
    </row>
    <row r="2041" spans="1:42" ht="15" hidden="1" customHeight="1">
      <c r="A2041" s="111" t="str">
        <f>'Sampling Data'!W2040</f>
        <v/>
      </c>
      <c r="B2041" s="112" t="str">
        <f>'Sampling Data'!A2040</f>
        <v>STRONGSVILLE -03-H - ABS</v>
      </c>
      <c r="C2041" s="112">
        <f>'Sampling Data'!B2040</f>
        <v>22</v>
      </c>
      <c r="D2041" s="112">
        <f>'Sampling Data'!C2040</f>
        <v>14</v>
      </c>
      <c r="E2041" s="113">
        <f>'Sampling Data'!D2040</f>
        <v>2</v>
      </c>
      <c r="F2041" s="113">
        <f>'Sampling Data'!E2040</f>
        <v>5</v>
      </c>
      <c r="G2041" s="113">
        <f>'Sampling Data'!F2040</f>
        <v>0</v>
      </c>
      <c r="H2041" s="113">
        <f>'Sampling Data'!G2040</f>
        <v>0</v>
      </c>
      <c r="I2041" s="112">
        <f>'Sampling Data'!H2040</f>
        <v>0</v>
      </c>
      <c r="J2041" s="112">
        <f>'Sampling Data'!I2040</f>
        <v>2</v>
      </c>
      <c r="K2041" s="112">
        <f>'Sampling Data'!J2040</f>
        <v>45</v>
      </c>
      <c r="L2041" s="111">
        <f>'Sampling Data'!X2040</f>
        <v>0</v>
      </c>
      <c r="M2041" s="114"/>
      <c r="N2041" s="114"/>
      <c r="O2041" s="115"/>
      <c r="P2041" s="115"/>
      <c r="Q2041" s="116"/>
      <c r="R2041" s="116"/>
      <c r="S2041" s="111">
        <f>Audit[[#This Row],[Audit Losing Candidate]]-Audit[[#This Row],[Losing Candidate]]</f>
        <v>-22</v>
      </c>
      <c r="T2041" s="111">
        <f>Audit[[#This Row],[Audit Winning Candidate]]-Audit[[#This Row],[Winning Candidate]]</f>
        <v>-14</v>
      </c>
      <c r="U2041" s="111">
        <f>Audit[[#This Row],[Audit Candidate 3]]-Audit[[#This Row],[Candidate 3]]</f>
        <v>-2</v>
      </c>
      <c r="V2041" s="111">
        <f>Audit[[#This Row],[Audit Candidate 4]]-Audit[[#This Row],[Candidate 4]]</f>
        <v>-5</v>
      </c>
      <c r="W2041" s="111">
        <f>Audit[[#This Row],[Audit Candidate 5]]-Audit[[#This Row],[Candidate 5]]</f>
        <v>0</v>
      </c>
      <c r="X2041" s="111">
        <f>Audit[[#This Row],[Audit Candidate 6]]-Audit[[#This Row],[Candidate 6]]</f>
        <v>0</v>
      </c>
      <c r="Y2041" s="111">
        <f>SUMIF(Audit[[#This Row],[Difference Loser]:[Difference Candidate 6]], "&gt;0")</f>
        <v>0</v>
      </c>
      <c r="Z2041" s="111">
        <f>SUM(Audit[[#This Row],[Difference Loser]:[Difference Candidate 6]])</f>
        <v>-43</v>
      </c>
      <c r="AA2041" s="111">
        <f>IF(Audit[[#This Row],[Times p Drawn - With Replacement]]&gt;0, IF(Audit[[#This Row],[Canceled Differences]]&lt;0, Audit[[#This Row],[Max Differences]]+ABS(Audit[[#This Row],[Canceled Differences]]), Audit[[#This Row],[Max Differences]]), 0)</f>
        <v>0</v>
      </c>
      <c r="AB2041" s="111">
        <f>'Sampling Data'!P2040</f>
        <v>2.2660460558549728E-3</v>
      </c>
      <c r="AC2041" s="111">
        <f>IF(
      SUM(Audit[[#This Row],[Audit Losing Candidate]:[Audit Candidate 6]])
      &lt;&gt;0,
      (Audit[[#This Row],[Winning Candidate]]-Audit[[#This Row],[Losing Candidate]]-(Audit[[#This Row],[Audit Winning Candidate]]-Audit[[#This Row],[Audit Losing Candidate]]))/(Audit[[#Totals],[Winning Candidate]]-Audit[[#Totals],[Losing Candidate]]),
      0
)</f>
        <v>0</v>
      </c>
      <c r="AD20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1" s="111">
        <f>IF(Audit[[#This Row],[Max Relative Error (ep)]] = 0, 0, Audit[[#This Row],[Max Relative Error (ep)]]/Audit[[#This Row],[Error Bound (up) - Max. possible relative overstatement]])</f>
        <v>0</v>
      </c>
      <c r="AJ20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41" s="111">
        <f t="shared" si="31"/>
        <v>1</v>
      </c>
      <c r="AL2041" s="111">
        <f>PRODUCT($AK$5:AK2041)</f>
        <v>8.962823818226312E-2</v>
      </c>
      <c r="AM2041" s="109">
        <f>1 - [K-M P Value]</f>
        <v>0.91037176181773694</v>
      </c>
      <c r="AN2041" s="111" t="str">
        <f>IF(Audit[[#This Row],[K-M P Value]]&gt;1-'General Info'!$B$16,"Continue", "Stop")</f>
        <v>Stop</v>
      </c>
      <c r="AO2041" s="110" t="b">
        <f>IF(Audit[[#This Row],[Status - Continue or stop audit]] = "Continue", TRUE, IF(AN2040 = "Continue", TRUE, FALSE))</f>
        <v>0</v>
      </c>
      <c r="AP2041" s="110"/>
    </row>
    <row r="2042" spans="1:42" ht="15" hidden="1" customHeight="1">
      <c r="A2042" s="111" t="str">
        <f>'Sampling Data'!W2041</f>
        <v/>
      </c>
      <c r="B2042" s="112" t="str">
        <f>'Sampling Data'!A2041</f>
        <v>STRONGSVILLE -03-I</v>
      </c>
      <c r="C2042" s="112">
        <f>'Sampling Data'!B2041</f>
        <v>50</v>
      </c>
      <c r="D2042" s="112">
        <f>'Sampling Data'!C2041</f>
        <v>52</v>
      </c>
      <c r="E2042" s="113">
        <f>'Sampling Data'!D2041</f>
        <v>28</v>
      </c>
      <c r="F2042" s="113">
        <f>'Sampling Data'!E2041</f>
        <v>12</v>
      </c>
      <c r="G2042" s="113">
        <f>'Sampling Data'!F2041</f>
        <v>0</v>
      </c>
      <c r="H2042" s="113">
        <f>'Sampling Data'!G2041</f>
        <v>0</v>
      </c>
      <c r="I2042" s="112">
        <f>'Sampling Data'!H2041</f>
        <v>0</v>
      </c>
      <c r="J2042" s="112">
        <f>'Sampling Data'!I2041</f>
        <v>3</v>
      </c>
      <c r="K2042" s="112">
        <f>'Sampling Data'!J2041</f>
        <v>145</v>
      </c>
      <c r="L2042" s="111">
        <f>'Sampling Data'!X2041</f>
        <v>0</v>
      </c>
      <c r="M2042" s="114"/>
      <c r="N2042" s="114"/>
      <c r="O2042" s="115"/>
      <c r="P2042" s="115"/>
      <c r="Q2042" s="116"/>
      <c r="R2042" s="116"/>
      <c r="S2042" s="111">
        <f>Audit[[#This Row],[Audit Losing Candidate]]-Audit[[#This Row],[Losing Candidate]]</f>
        <v>-50</v>
      </c>
      <c r="T2042" s="111">
        <f>Audit[[#This Row],[Audit Winning Candidate]]-Audit[[#This Row],[Winning Candidate]]</f>
        <v>-52</v>
      </c>
      <c r="U2042" s="111">
        <f>Audit[[#This Row],[Audit Candidate 3]]-Audit[[#This Row],[Candidate 3]]</f>
        <v>-28</v>
      </c>
      <c r="V2042" s="111">
        <f>Audit[[#This Row],[Audit Candidate 4]]-Audit[[#This Row],[Candidate 4]]</f>
        <v>-12</v>
      </c>
      <c r="W2042" s="111">
        <f>Audit[[#This Row],[Audit Candidate 5]]-Audit[[#This Row],[Candidate 5]]</f>
        <v>0</v>
      </c>
      <c r="X2042" s="111">
        <f>Audit[[#This Row],[Audit Candidate 6]]-Audit[[#This Row],[Candidate 6]]</f>
        <v>0</v>
      </c>
      <c r="Y2042" s="111">
        <f>SUMIF(Audit[[#This Row],[Difference Loser]:[Difference Candidate 6]], "&gt;0")</f>
        <v>0</v>
      </c>
      <c r="Z2042" s="111">
        <f>SUM(Audit[[#This Row],[Difference Loser]:[Difference Candidate 6]])</f>
        <v>-142</v>
      </c>
      <c r="AA2042" s="111">
        <f>IF(Audit[[#This Row],[Times p Drawn - With Replacement]]&gt;0, IF(Audit[[#This Row],[Canceled Differences]]&lt;0, Audit[[#This Row],[Max Differences]]+ABS(Audit[[#This Row],[Canceled Differences]]), Audit[[#This Row],[Max Differences]]), 0)</f>
        <v>0</v>
      </c>
      <c r="AB2042" s="111">
        <f>'Sampling Data'!P2041</f>
        <v>9.0029397354238119E-3</v>
      </c>
      <c r="AC2042" s="111">
        <f>IF(
      SUM(Audit[[#This Row],[Audit Losing Candidate]:[Audit Candidate 6]])
      &lt;&gt;0,
      (Audit[[#This Row],[Winning Candidate]]-Audit[[#This Row],[Losing Candidate]]-(Audit[[#This Row],[Audit Winning Candidate]]-Audit[[#This Row],[Audit Losing Candidate]]))/(Audit[[#Totals],[Winning Candidate]]-Audit[[#Totals],[Losing Candidate]]),
      0
)</f>
        <v>0</v>
      </c>
      <c r="AD20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2" s="111">
        <f>IF(Audit[[#This Row],[Max Relative Error (ep)]] = 0, 0, Audit[[#This Row],[Max Relative Error (ep)]]/Audit[[#This Row],[Error Bound (up) - Max. possible relative overstatement]])</f>
        <v>0</v>
      </c>
      <c r="AJ20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42" s="111">
        <f t="shared" si="31"/>
        <v>1</v>
      </c>
      <c r="AL2042" s="111">
        <f>PRODUCT($AK$5:AK2042)</f>
        <v>8.962823818226312E-2</v>
      </c>
      <c r="AM2042" s="109">
        <f>1 - [K-M P Value]</f>
        <v>0.91037176181773694</v>
      </c>
      <c r="AN2042" s="111" t="str">
        <f>IF(Audit[[#This Row],[K-M P Value]]&gt;1-'General Info'!$B$16,"Continue", "Stop")</f>
        <v>Stop</v>
      </c>
      <c r="AO2042" s="110" t="b">
        <f>IF(Audit[[#This Row],[Status - Continue or stop audit]] = "Continue", TRUE, IF(AN2041 = "Continue", TRUE, FALSE))</f>
        <v>0</v>
      </c>
      <c r="AP2042" s="110"/>
    </row>
    <row r="2043" spans="1:42" ht="15" hidden="1" customHeight="1">
      <c r="A2043" s="111" t="str">
        <f>'Sampling Data'!W2042</f>
        <v/>
      </c>
      <c r="B2043" s="112" t="str">
        <f>'Sampling Data'!A2042</f>
        <v>STRONGSVILLE -03-I - ABS</v>
      </c>
      <c r="C2043" s="112">
        <f>'Sampling Data'!B2042</f>
        <v>28</v>
      </c>
      <c r="D2043" s="112">
        <f>'Sampling Data'!C2042</f>
        <v>31</v>
      </c>
      <c r="E2043" s="113">
        <f>'Sampling Data'!D2042</f>
        <v>9</v>
      </c>
      <c r="F2043" s="113">
        <f>'Sampling Data'!E2042</f>
        <v>5</v>
      </c>
      <c r="G2043" s="113">
        <f>'Sampling Data'!F2042</f>
        <v>0</v>
      </c>
      <c r="H2043" s="113">
        <f>'Sampling Data'!G2042</f>
        <v>1</v>
      </c>
      <c r="I2043" s="112">
        <f>'Sampling Data'!H2042</f>
        <v>0</v>
      </c>
      <c r="J2043" s="112">
        <f>'Sampling Data'!I2042</f>
        <v>4</v>
      </c>
      <c r="K2043" s="112">
        <f>'Sampling Data'!J2042</f>
        <v>78</v>
      </c>
      <c r="L2043" s="111">
        <f>'Sampling Data'!X2042</f>
        <v>0</v>
      </c>
      <c r="M2043" s="114"/>
      <c r="N2043" s="114"/>
      <c r="O2043" s="115"/>
      <c r="P2043" s="115"/>
      <c r="Q2043" s="116"/>
      <c r="R2043" s="116"/>
      <c r="S2043" s="111">
        <f>Audit[[#This Row],[Audit Losing Candidate]]-Audit[[#This Row],[Losing Candidate]]</f>
        <v>-28</v>
      </c>
      <c r="T2043" s="111">
        <f>Audit[[#This Row],[Audit Winning Candidate]]-Audit[[#This Row],[Winning Candidate]]</f>
        <v>-31</v>
      </c>
      <c r="U2043" s="111">
        <f>Audit[[#This Row],[Audit Candidate 3]]-Audit[[#This Row],[Candidate 3]]</f>
        <v>-9</v>
      </c>
      <c r="V2043" s="111">
        <f>Audit[[#This Row],[Audit Candidate 4]]-Audit[[#This Row],[Candidate 4]]</f>
        <v>-5</v>
      </c>
      <c r="W2043" s="111">
        <f>Audit[[#This Row],[Audit Candidate 5]]-Audit[[#This Row],[Candidate 5]]</f>
        <v>0</v>
      </c>
      <c r="X2043" s="111">
        <f>Audit[[#This Row],[Audit Candidate 6]]-Audit[[#This Row],[Candidate 6]]</f>
        <v>-1</v>
      </c>
      <c r="Y2043" s="111">
        <f>SUMIF(Audit[[#This Row],[Difference Loser]:[Difference Candidate 6]], "&gt;0")</f>
        <v>0</v>
      </c>
      <c r="Z2043" s="111">
        <f>SUM(Audit[[#This Row],[Difference Loser]:[Difference Candidate 6]])</f>
        <v>-74</v>
      </c>
      <c r="AA2043" s="111">
        <f>IF(Audit[[#This Row],[Times p Drawn - With Replacement]]&gt;0, IF(Audit[[#This Row],[Canceled Differences]]&lt;0, Audit[[#This Row],[Max Differences]]+ABS(Audit[[#This Row],[Canceled Differences]]), Audit[[#This Row],[Max Differences]]), 0)</f>
        <v>0</v>
      </c>
      <c r="AB2043" s="111">
        <f>'Sampling Data'!P2042</f>
        <v>4.9608035276825085E-3</v>
      </c>
      <c r="AC2043" s="111">
        <f>IF(
      SUM(Audit[[#This Row],[Audit Losing Candidate]:[Audit Candidate 6]])
      &lt;&gt;0,
      (Audit[[#This Row],[Winning Candidate]]-Audit[[#This Row],[Losing Candidate]]-(Audit[[#This Row],[Audit Winning Candidate]]-Audit[[#This Row],[Audit Losing Candidate]]))/(Audit[[#Totals],[Winning Candidate]]-Audit[[#Totals],[Losing Candidate]]),
      0
)</f>
        <v>0</v>
      </c>
      <c r="AD20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3" s="111">
        <f>IF(Audit[[#This Row],[Max Relative Error (ep)]] = 0, 0, Audit[[#This Row],[Max Relative Error (ep)]]/Audit[[#This Row],[Error Bound (up) - Max. possible relative overstatement]])</f>
        <v>0</v>
      </c>
      <c r="AJ20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43" s="111">
        <f t="shared" si="31"/>
        <v>1</v>
      </c>
      <c r="AL2043" s="111">
        <f>PRODUCT($AK$5:AK2043)</f>
        <v>8.962823818226312E-2</v>
      </c>
      <c r="AM2043" s="109">
        <f>1 - [K-M P Value]</f>
        <v>0.91037176181773694</v>
      </c>
      <c r="AN2043" s="111" t="str">
        <f>IF(Audit[[#This Row],[K-M P Value]]&gt;1-'General Info'!$B$16,"Continue", "Stop")</f>
        <v>Stop</v>
      </c>
      <c r="AO2043" s="110" t="b">
        <f>IF(Audit[[#This Row],[Status - Continue or stop audit]] = "Continue", TRUE, IF(AN2042 = "Continue", TRUE, FALSE))</f>
        <v>0</v>
      </c>
      <c r="AP2043" s="110"/>
    </row>
    <row r="2044" spans="1:42" ht="15" hidden="1" customHeight="1">
      <c r="A2044" s="111" t="str">
        <f>'Sampling Data'!W2043</f>
        <v/>
      </c>
      <c r="B2044" s="112" t="str">
        <f>'Sampling Data'!A2043</f>
        <v>STRONGSVILLE -04-A</v>
      </c>
      <c r="C2044" s="112">
        <f>'Sampling Data'!B2043</f>
        <v>28</v>
      </c>
      <c r="D2044" s="112">
        <f>'Sampling Data'!C2043</f>
        <v>47</v>
      </c>
      <c r="E2044" s="113">
        <f>'Sampling Data'!D2043</f>
        <v>17</v>
      </c>
      <c r="F2044" s="113">
        <f>'Sampling Data'!E2043</f>
        <v>12</v>
      </c>
      <c r="G2044" s="113">
        <f>'Sampling Data'!F2043</f>
        <v>1</v>
      </c>
      <c r="H2044" s="113">
        <f>'Sampling Data'!G2043</f>
        <v>2</v>
      </c>
      <c r="I2044" s="112">
        <f>'Sampling Data'!H2043</f>
        <v>0</v>
      </c>
      <c r="J2044" s="112">
        <f>'Sampling Data'!I2043</f>
        <v>3</v>
      </c>
      <c r="K2044" s="112">
        <f>'Sampling Data'!J2043</f>
        <v>110</v>
      </c>
      <c r="L2044" s="111">
        <f>'Sampling Data'!X2043</f>
        <v>0</v>
      </c>
      <c r="M2044" s="114"/>
      <c r="N2044" s="114"/>
      <c r="O2044" s="115"/>
      <c r="P2044" s="115"/>
      <c r="Q2044" s="116"/>
      <c r="R2044" s="116"/>
      <c r="S2044" s="111">
        <f>Audit[[#This Row],[Audit Losing Candidate]]-Audit[[#This Row],[Losing Candidate]]</f>
        <v>-28</v>
      </c>
      <c r="T2044" s="111">
        <f>Audit[[#This Row],[Audit Winning Candidate]]-Audit[[#This Row],[Winning Candidate]]</f>
        <v>-47</v>
      </c>
      <c r="U2044" s="111">
        <f>Audit[[#This Row],[Audit Candidate 3]]-Audit[[#This Row],[Candidate 3]]</f>
        <v>-17</v>
      </c>
      <c r="V2044" s="111">
        <f>Audit[[#This Row],[Audit Candidate 4]]-Audit[[#This Row],[Candidate 4]]</f>
        <v>-12</v>
      </c>
      <c r="W2044" s="111">
        <f>Audit[[#This Row],[Audit Candidate 5]]-Audit[[#This Row],[Candidate 5]]</f>
        <v>-1</v>
      </c>
      <c r="X2044" s="111">
        <f>Audit[[#This Row],[Audit Candidate 6]]-Audit[[#This Row],[Candidate 6]]</f>
        <v>-2</v>
      </c>
      <c r="Y2044" s="111">
        <f>SUMIF(Audit[[#This Row],[Difference Loser]:[Difference Candidate 6]], "&gt;0")</f>
        <v>0</v>
      </c>
      <c r="Z2044" s="111">
        <f>SUM(Audit[[#This Row],[Difference Loser]:[Difference Candidate 6]])</f>
        <v>-107</v>
      </c>
      <c r="AA2044" s="111">
        <f>IF(Audit[[#This Row],[Times p Drawn - With Replacement]]&gt;0, IF(Audit[[#This Row],[Canceled Differences]]&lt;0, Audit[[#This Row],[Max Differences]]+ABS(Audit[[#This Row],[Canceled Differences]]), Audit[[#This Row],[Max Differences]]), 0)</f>
        <v>0</v>
      </c>
      <c r="AB2044" s="111">
        <f>'Sampling Data'!P2043</f>
        <v>7.9005389514943663E-3</v>
      </c>
      <c r="AC2044" s="111">
        <f>IF(
      SUM(Audit[[#This Row],[Audit Losing Candidate]:[Audit Candidate 6]])
      &lt;&gt;0,
      (Audit[[#This Row],[Winning Candidate]]-Audit[[#This Row],[Losing Candidate]]-(Audit[[#This Row],[Audit Winning Candidate]]-Audit[[#This Row],[Audit Losing Candidate]]))/(Audit[[#Totals],[Winning Candidate]]-Audit[[#Totals],[Losing Candidate]]),
      0
)</f>
        <v>0</v>
      </c>
      <c r="AD20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4" s="111">
        <f>IF(Audit[[#This Row],[Max Relative Error (ep)]] = 0, 0, Audit[[#This Row],[Max Relative Error (ep)]]/Audit[[#This Row],[Error Bound (up) - Max. possible relative overstatement]])</f>
        <v>0</v>
      </c>
      <c r="AJ20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44" s="111">
        <f t="shared" si="31"/>
        <v>1</v>
      </c>
      <c r="AL2044" s="111">
        <f>PRODUCT($AK$5:AK2044)</f>
        <v>8.962823818226312E-2</v>
      </c>
      <c r="AM2044" s="109">
        <f>1 - [K-M P Value]</f>
        <v>0.91037176181773694</v>
      </c>
      <c r="AN2044" s="111" t="str">
        <f>IF(Audit[[#This Row],[K-M P Value]]&gt;1-'General Info'!$B$16,"Continue", "Stop")</f>
        <v>Stop</v>
      </c>
      <c r="AO2044" s="110" t="b">
        <f>IF(Audit[[#This Row],[Status - Continue or stop audit]] = "Continue", TRUE, IF(AN2043 = "Continue", TRUE, FALSE))</f>
        <v>0</v>
      </c>
      <c r="AP2044" s="110"/>
    </row>
    <row r="2045" spans="1:42" ht="15" hidden="1" customHeight="1">
      <c r="A2045" s="111" t="str">
        <f>'Sampling Data'!W2044</f>
        <v/>
      </c>
      <c r="B2045" s="112" t="str">
        <f>'Sampling Data'!A2044</f>
        <v>STRONGSVILLE -04-A - ABS</v>
      </c>
      <c r="C2045" s="112">
        <f>'Sampling Data'!B2044</f>
        <v>13</v>
      </c>
      <c r="D2045" s="112">
        <f>'Sampling Data'!C2044</f>
        <v>16</v>
      </c>
      <c r="E2045" s="113">
        <f>'Sampling Data'!D2044</f>
        <v>5</v>
      </c>
      <c r="F2045" s="113">
        <f>'Sampling Data'!E2044</f>
        <v>1</v>
      </c>
      <c r="G2045" s="113">
        <f>'Sampling Data'!F2044</f>
        <v>0</v>
      </c>
      <c r="H2045" s="113">
        <f>'Sampling Data'!G2044</f>
        <v>1</v>
      </c>
      <c r="I2045" s="112">
        <f>'Sampling Data'!H2044</f>
        <v>0</v>
      </c>
      <c r="J2045" s="112">
        <f>'Sampling Data'!I2044</f>
        <v>0</v>
      </c>
      <c r="K2045" s="112">
        <f>'Sampling Data'!J2044</f>
        <v>36</v>
      </c>
      <c r="L2045" s="111">
        <f>'Sampling Data'!X2044</f>
        <v>0</v>
      </c>
      <c r="M2045" s="114"/>
      <c r="N2045" s="114"/>
      <c r="O2045" s="115"/>
      <c r="P2045" s="115"/>
      <c r="Q2045" s="116"/>
      <c r="R2045" s="116"/>
      <c r="S2045" s="111">
        <f>Audit[[#This Row],[Audit Losing Candidate]]-Audit[[#This Row],[Losing Candidate]]</f>
        <v>-13</v>
      </c>
      <c r="T2045" s="111">
        <f>Audit[[#This Row],[Audit Winning Candidate]]-Audit[[#This Row],[Winning Candidate]]</f>
        <v>-16</v>
      </c>
      <c r="U2045" s="111">
        <f>Audit[[#This Row],[Audit Candidate 3]]-Audit[[#This Row],[Candidate 3]]</f>
        <v>-5</v>
      </c>
      <c r="V2045" s="111">
        <f>Audit[[#This Row],[Audit Candidate 4]]-Audit[[#This Row],[Candidate 4]]</f>
        <v>-1</v>
      </c>
      <c r="W2045" s="111">
        <f>Audit[[#This Row],[Audit Candidate 5]]-Audit[[#This Row],[Candidate 5]]</f>
        <v>0</v>
      </c>
      <c r="X2045" s="111">
        <f>Audit[[#This Row],[Audit Candidate 6]]-Audit[[#This Row],[Candidate 6]]</f>
        <v>-1</v>
      </c>
      <c r="Y2045" s="111">
        <f>SUMIF(Audit[[#This Row],[Difference Loser]:[Difference Candidate 6]], "&gt;0")</f>
        <v>0</v>
      </c>
      <c r="Z2045" s="111">
        <f>SUM(Audit[[#This Row],[Difference Loser]:[Difference Candidate 6]])</f>
        <v>-36</v>
      </c>
      <c r="AA2045" s="111">
        <f>IF(Audit[[#This Row],[Times p Drawn - With Replacement]]&gt;0, IF(Audit[[#This Row],[Canceled Differences]]&lt;0, Audit[[#This Row],[Max Differences]]+ABS(Audit[[#This Row],[Canceled Differences]]), Audit[[#This Row],[Max Differences]]), 0)</f>
        <v>0</v>
      </c>
      <c r="AB2045" s="111">
        <f>'Sampling Data'!P2044</f>
        <v>2.3885350318471337E-3</v>
      </c>
      <c r="AC2045" s="111">
        <f>IF(
      SUM(Audit[[#This Row],[Audit Losing Candidate]:[Audit Candidate 6]])
      &lt;&gt;0,
      (Audit[[#This Row],[Winning Candidate]]-Audit[[#This Row],[Losing Candidate]]-(Audit[[#This Row],[Audit Winning Candidate]]-Audit[[#This Row],[Audit Losing Candidate]]))/(Audit[[#Totals],[Winning Candidate]]-Audit[[#Totals],[Losing Candidate]]),
      0
)</f>
        <v>0</v>
      </c>
      <c r="AD20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5" s="111">
        <f>IF(Audit[[#This Row],[Max Relative Error (ep)]] = 0, 0, Audit[[#This Row],[Max Relative Error (ep)]]/Audit[[#This Row],[Error Bound (up) - Max. possible relative overstatement]])</f>
        <v>0</v>
      </c>
      <c r="AJ20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45" s="111">
        <f t="shared" si="31"/>
        <v>1</v>
      </c>
      <c r="AL2045" s="111">
        <f>PRODUCT($AK$5:AK2045)</f>
        <v>8.962823818226312E-2</v>
      </c>
      <c r="AM2045" s="109">
        <f>1 - [K-M P Value]</f>
        <v>0.91037176181773694</v>
      </c>
      <c r="AN2045" s="111" t="str">
        <f>IF(Audit[[#This Row],[K-M P Value]]&gt;1-'General Info'!$B$16,"Continue", "Stop")</f>
        <v>Stop</v>
      </c>
      <c r="AO2045" s="110" t="b">
        <f>IF(Audit[[#This Row],[Status - Continue or stop audit]] = "Continue", TRUE, IF(AN2044 = "Continue", TRUE, FALSE))</f>
        <v>0</v>
      </c>
      <c r="AP2045" s="110"/>
    </row>
    <row r="2046" spans="1:42" ht="15" hidden="1" customHeight="1">
      <c r="A2046" s="111" t="str">
        <f>'Sampling Data'!W2045</f>
        <v/>
      </c>
      <c r="B2046" s="112" t="str">
        <f>'Sampling Data'!A2045</f>
        <v>STRONGSVILLE -04-B</v>
      </c>
      <c r="C2046" s="112">
        <f>'Sampling Data'!B2045</f>
        <v>34</v>
      </c>
      <c r="D2046" s="112">
        <f>'Sampling Data'!C2045</f>
        <v>65</v>
      </c>
      <c r="E2046" s="113">
        <f>'Sampling Data'!D2045</f>
        <v>19</v>
      </c>
      <c r="F2046" s="113">
        <f>'Sampling Data'!E2045</f>
        <v>13</v>
      </c>
      <c r="G2046" s="113">
        <f>'Sampling Data'!F2045</f>
        <v>0</v>
      </c>
      <c r="H2046" s="113">
        <f>'Sampling Data'!G2045</f>
        <v>0</v>
      </c>
      <c r="I2046" s="112">
        <f>'Sampling Data'!H2045</f>
        <v>0</v>
      </c>
      <c r="J2046" s="112">
        <f>'Sampling Data'!I2045</f>
        <v>0</v>
      </c>
      <c r="K2046" s="112">
        <f>'Sampling Data'!J2045</f>
        <v>131</v>
      </c>
      <c r="L2046" s="111">
        <f>'Sampling Data'!X2045</f>
        <v>0</v>
      </c>
      <c r="M2046" s="114"/>
      <c r="N2046" s="114"/>
      <c r="O2046" s="115"/>
      <c r="P2046" s="115"/>
      <c r="Q2046" s="116"/>
      <c r="R2046" s="116"/>
      <c r="S2046" s="111">
        <f>Audit[[#This Row],[Audit Losing Candidate]]-Audit[[#This Row],[Losing Candidate]]</f>
        <v>-34</v>
      </c>
      <c r="T2046" s="111">
        <f>Audit[[#This Row],[Audit Winning Candidate]]-Audit[[#This Row],[Winning Candidate]]</f>
        <v>-65</v>
      </c>
      <c r="U2046" s="111">
        <f>Audit[[#This Row],[Audit Candidate 3]]-Audit[[#This Row],[Candidate 3]]</f>
        <v>-19</v>
      </c>
      <c r="V2046" s="111">
        <f>Audit[[#This Row],[Audit Candidate 4]]-Audit[[#This Row],[Candidate 4]]</f>
        <v>-13</v>
      </c>
      <c r="W2046" s="111">
        <f>Audit[[#This Row],[Audit Candidate 5]]-Audit[[#This Row],[Candidate 5]]</f>
        <v>0</v>
      </c>
      <c r="X2046" s="111">
        <f>Audit[[#This Row],[Audit Candidate 6]]-Audit[[#This Row],[Candidate 6]]</f>
        <v>0</v>
      </c>
      <c r="Y2046" s="111">
        <f>SUMIF(Audit[[#This Row],[Difference Loser]:[Difference Candidate 6]], "&gt;0")</f>
        <v>0</v>
      </c>
      <c r="Z2046" s="111">
        <f>SUM(Audit[[#This Row],[Difference Loser]:[Difference Candidate 6]])</f>
        <v>-131</v>
      </c>
      <c r="AA2046" s="111">
        <f>IF(Audit[[#This Row],[Times p Drawn - With Replacement]]&gt;0, IF(Audit[[#This Row],[Canceled Differences]]&lt;0, Audit[[#This Row],[Max Differences]]+ABS(Audit[[#This Row],[Canceled Differences]]), Audit[[#This Row],[Max Differences]]), 0)</f>
        <v>0</v>
      </c>
      <c r="AB2046" s="111">
        <f>'Sampling Data'!P2045</f>
        <v>9.9216070553650171E-3</v>
      </c>
      <c r="AC2046" s="111">
        <f>IF(
      SUM(Audit[[#This Row],[Audit Losing Candidate]:[Audit Candidate 6]])
      &lt;&gt;0,
      (Audit[[#This Row],[Winning Candidate]]-Audit[[#This Row],[Losing Candidate]]-(Audit[[#This Row],[Audit Winning Candidate]]-Audit[[#This Row],[Audit Losing Candidate]]))/(Audit[[#Totals],[Winning Candidate]]-Audit[[#Totals],[Losing Candidate]]),
      0
)</f>
        <v>0</v>
      </c>
      <c r="AD20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6" s="111">
        <f>IF(Audit[[#This Row],[Max Relative Error (ep)]] = 0, 0, Audit[[#This Row],[Max Relative Error (ep)]]/Audit[[#This Row],[Error Bound (up) - Max. possible relative overstatement]])</f>
        <v>0</v>
      </c>
      <c r="AJ20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46" s="111">
        <f t="shared" si="31"/>
        <v>1</v>
      </c>
      <c r="AL2046" s="111">
        <f>PRODUCT($AK$5:AK2046)</f>
        <v>8.962823818226312E-2</v>
      </c>
      <c r="AM2046" s="109">
        <f>1 - [K-M P Value]</f>
        <v>0.91037176181773694</v>
      </c>
      <c r="AN2046" s="111" t="str">
        <f>IF(Audit[[#This Row],[K-M P Value]]&gt;1-'General Info'!$B$16,"Continue", "Stop")</f>
        <v>Stop</v>
      </c>
      <c r="AO2046" s="110" t="b">
        <f>IF(Audit[[#This Row],[Status - Continue or stop audit]] = "Continue", TRUE, IF(AN2045 = "Continue", TRUE, FALSE))</f>
        <v>0</v>
      </c>
      <c r="AP2046" s="110"/>
    </row>
    <row r="2047" spans="1:42" ht="15" hidden="1" customHeight="1">
      <c r="A2047" s="111" t="str">
        <f>'Sampling Data'!W2046</f>
        <v/>
      </c>
      <c r="B2047" s="112" t="str">
        <f>'Sampling Data'!A2046</f>
        <v>STRONGSVILLE -04-B - ABS</v>
      </c>
      <c r="C2047" s="112">
        <f>'Sampling Data'!B2046</f>
        <v>21</v>
      </c>
      <c r="D2047" s="112">
        <f>'Sampling Data'!C2046</f>
        <v>22</v>
      </c>
      <c r="E2047" s="113">
        <f>'Sampling Data'!D2046</f>
        <v>4</v>
      </c>
      <c r="F2047" s="113">
        <f>'Sampling Data'!E2046</f>
        <v>4</v>
      </c>
      <c r="G2047" s="113">
        <f>'Sampling Data'!F2046</f>
        <v>0</v>
      </c>
      <c r="H2047" s="113">
        <f>'Sampling Data'!G2046</f>
        <v>1</v>
      </c>
      <c r="I2047" s="112">
        <f>'Sampling Data'!H2046</f>
        <v>0</v>
      </c>
      <c r="J2047" s="112">
        <f>'Sampling Data'!I2046</f>
        <v>5</v>
      </c>
      <c r="K2047" s="112">
        <f>'Sampling Data'!J2046</f>
        <v>57</v>
      </c>
      <c r="L2047" s="111">
        <f>'Sampling Data'!X2046</f>
        <v>0</v>
      </c>
      <c r="M2047" s="114"/>
      <c r="N2047" s="114"/>
      <c r="O2047" s="115"/>
      <c r="P2047" s="115"/>
      <c r="Q2047" s="116"/>
      <c r="R2047" s="116"/>
      <c r="S2047" s="111">
        <f>Audit[[#This Row],[Audit Losing Candidate]]-Audit[[#This Row],[Losing Candidate]]</f>
        <v>-21</v>
      </c>
      <c r="T2047" s="111">
        <f>Audit[[#This Row],[Audit Winning Candidate]]-Audit[[#This Row],[Winning Candidate]]</f>
        <v>-22</v>
      </c>
      <c r="U2047" s="111">
        <f>Audit[[#This Row],[Audit Candidate 3]]-Audit[[#This Row],[Candidate 3]]</f>
        <v>-4</v>
      </c>
      <c r="V2047" s="111">
        <f>Audit[[#This Row],[Audit Candidate 4]]-Audit[[#This Row],[Candidate 4]]</f>
        <v>-4</v>
      </c>
      <c r="W2047" s="111">
        <f>Audit[[#This Row],[Audit Candidate 5]]-Audit[[#This Row],[Candidate 5]]</f>
        <v>0</v>
      </c>
      <c r="X2047" s="111">
        <f>Audit[[#This Row],[Audit Candidate 6]]-Audit[[#This Row],[Candidate 6]]</f>
        <v>-1</v>
      </c>
      <c r="Y2047" s="111">
        <f>SUMIF(Audit[[#This Row],[Difference Loser]:[Difference Candidate 6]], "&gt;0")</f>
        <v>0</v>
      </c>
      <c r="Z2047" s="111">
        <f>SUM(Audit[[#This Row],[Difference Loser]:[Difference Candidate 6]])</f>
        <v>-52</v>
      </c>
      <c r="AA2047" s="111">
        <f>IF(Audit[[#This Row],[Times p Drawn - With Replacement]]&gt;0, IF(Audit[[#This Row],[Canceled Differences]]&lt;0, Audit[[#This Row],[Max Differences]]+ABS(Audit[[#This Row],[Canceled Differences]]), Audit[[#This Row],[Max Differences]]), 0)</f>
        <v>0</v>
      </c>
      <c r="AB2047" s="111">
        <f>'Sampling Data'!P2046</f>
        <v>3.5521803037726605E-3</v>
      </c>
      <c r="AC2047" s="111">
        <f>IF(
      SUM(Audit[[#This Row],[Audit Losing Candidate]:[Audit Candidate 6]])
      &lt;&gt;0,
      (Audit[[#This Row],[Winning Candidate]]-Audit[[#This Row],[Losing Candidate]]-(Audit[[#This Row],[Audit Winning Candidate]]-Audit[[#This Row],[Audit Losing Candidate]]))/(Audit[[#Totals],[Winning Candidate]]-Audit[[#Totals],[Losing Candidate]]),
      0
)</f>
        <v>0</v>
      </c>
      <c r="AD20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7" s="111">
        <f>IF(Audit[[#This Row],[Max Relative Error (ep)]] = 0, 0, Audit[[#This Row],[Max Relative Error (ep)]]/Audit[[#This Row],[Error Bound (up) - Max. possible relative overstatement]])</f>
        <v>0</v>
      </c>
      <c r="AJ20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47" s="111">
        <f t="shared" si="31"/>
        <v>1</v>
      </c>
      <c r="AL2047" s="111">
        <f>PRODUCT($AK$5:AK2047)</f>
        <v>8.962823818226312E-2</v>
      </c>
      <c r="AM2047" s="109">
        <f>1 - [K-M P Value]</f>
        <v>0.91037176181773694</v>
      </c>
      <c r="AN2047" s="111" t="str">
        <f>IF(Audit[[#This Row],[K-M P Value]]&gt;1-'General Info'!$B$16,"Continue", "Stop")</f>
        <v>Stop</v>
      </c>
      <c r="AO2047" s="110" t="b">
        <f>IF(Audit[[#This Row],[Status - Continue or stop audit]] = "Continue", TRUE, IF(AN2046 = "Continue", TRUE, FALSE))</f>
        <v>0</v>
      </c>
      <c r="AP2047" s="110"/>
    </row>
    <row r="2048" spans="1:42" ht="15" hidden="1" customHeight="1">
      <c r="A2048" s="111" t="str">
        <f>'Sampling Data'!W2047</f>
        <v/>
      </c>
      <c r="B2048" s="112" t="str">
        <f>'Sampling Data'!A2047</f>
        <v>STRONGSVILLE -04-C</v>
      </c>
      <c r="C2048" s="112">
        <f>'Sampling Data'!B2047</f>
        <v>63</v>
      </c>
      <c r="D2048" s="112">
        <f>'Sampling Data'!C2047</f>
        <v>105</v>
      </c>
      <c r="E2048" s="113">
        <f>'Sampling Data'!D2047</f>
        <v>29</v>
      </c>
      <c r="F2048" s="113">
        <f>'Sampling Data'!E2047</f>
        <v>13</v>
      </c>
      <c r="G2048" s="113">
        <f>'Sampling Data'!F2047</f>
        <v>0</v>
      </c>
      <c r="H2048" s="113">
        <f>'Sampling Data'!G2047</f>
        <v>0</v>
      </c>
      <c r="I2048" s="112">
        <f>'Sampling Data'!H2047</f>
        <v>0</v>
      </c>
      <c r="J2048" s="112">
        <f>'Sampling Data'!I2047</f>
        <v>8</v>
      </c>
      <c r="K2048" s="112">
        <f>'Sampling Data'!J2047</f>
        <v>218</v>
      </c>
      <c r="L2048" s="111">
        <f>'Sampling Data'!X2047</f>
        <v>0</v>
      </c>
      <c r="M2048" s="114"/>
      <c r="N2048" s="114"/>
      <c r="O2048" s="115"/>
      <c r="P2048" s="115"/>
      <c r="Q2048" s="116"/>
      <c r="R2048" s="116"/>
      <c r="S2048" s="111">
        <f>Audit[[#This Row],[Audit Losing Candidate]]-Audit[[#This Row],[Losing Candidate]]</f>
        <v>-63</v>
      </c>
      <c r="T2048" s="111">
        <f>Audit[[#This Row],[Audit Winning Candidate]]-Audit[[#This Row],[Winning Candidate]]</f>
        <v>-105</v>
      </c>
      <c r="U2048" s="111">
        <f>Audit[[#This Row],[Audit Candidate 3]]-Audit[[#This Row],[Candidate 3]]</f>
        <v>-29</v>
      </c>
      <c r="V2048" s="111">
        <f>Audit[[#This Row],[Audit Candidate 4]]-Audit[[#This Row],[Candidate 4]]</f>
        <v>-13</v>
      </c>
      <c r="W2048" s="111">
        <f>Audit[[#This Row],[Audit Candidate 5]]-Audit[[#This Row],[Candidate 5]]</f>
        <v>0</v>
      </c>
      <c r="X2048" s="111">
        <f>Audit[[#This Row],[Audit Candidate 6]]-Audit[[#This Row],[Candidate 6]]</f>
        <v>0</v>
      </c>
      <c r="Y2048" s="111">
        <f>SUMIF(Audit[[#This Row],[Difference Loser]:[Difference Candidate 6]], "&gt;0")</f>
        <v>0</v>
      </c>
      <c r="Z2048" s="111">
        <f>SUM(Audit[[#This Row],[Difference Loser]:[Difference Candidate 6]])</f>
        <v>-210</v>
      </c>
      <c r="AA2048" s="111">
        <f>IF(Audit[[#This Row],[Times p Drawn - With Replacement]]&gt;0, IF(Audit[[#This Row],[Canceled Differences]]&lt;0, Audit[[#This Row],[Max Differences]]+ABS(Audit[[#This Row],[Canceled Differences]]), Audit[[#This Row],[Max Differences]]), 0)</f>
        <v>0</v>
      </c>
      <c r="AB2048" s="111">
        <f>'Sampling Data'!P2047</f>
        <v>1.5923566878980892E-2</v>
      </c>
      <c r="AC2048" s="111">
        <f>IF(
      SUM(Audit[[#This Row],[Audit Losing Candidate]:[Audit Candidate 6]])
      &lt;&gt;0,
      (Audit[[#This Row],[Winning Candidate]]-Audit[[#This Row],[Losing Candidate]]-(Audit[[#This Row],[Audit Winning Candidate]]-Audit[[#This Row],[Audit Losing Candidate]]))/(Audit[[#Totals],[Winning Candidate]]-Audit[[#Totals],[Losing Candidate]]),
      0
)</f>
        <v>0</v>
      </c>
      <c r="AD20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8" s="111">
        <f>IF(Audit[[#This Row],[Max Relative Error (ep)]] = 0, 0, Audit[[#This Row],[Max Relative Error (ep)]]/Audit[[#This Row],[Error Bound (up) - Max. possible relative overstatement]])</f>
        <v>0</v>
      </c>
      <c r="AJ20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48" s="111">
        <f t="shared" si="31"/>
        <v>1</v>
      </c>
      <c r="AL2048" s="111">
        <f>PRODUCT($AK$5:AK2048)</f>
        <v>8.962823818226312E-2</v>
      </c>
      <c r="AM2048" s="109">
        <f>1 - [K-M P Value]</f>
        <v>0.91037176181773694</v>
      </c>
      <c r="AN2048" s="111" t="str">
        <f>IF(Audit[[#This Row],[K-M P Value]]&gt;1-'General Info'!$B$16,"Continue", "Stop")</f>
        <v>Stop</v>
      </c>
      <c r="AO2048" s="110" t="b">
        <f>IF(Audit[[#This Row],[Status - Continue or stop audit]] = "Continue", TRUE, IF(AN2047 = "Continue", TRUE, FALSE))</f>
        <v>0</v>
      </c>
      <c r="AP2048" s="110"/>
    </row>
    <row r="2049" spans="1:42" ht="15" hidden="1" customHeight="1">
      <c r="A2049" s="111" t="str">
        <f>'Sampling Data'!W2048</f>
        <v/>
      </c>
      <c r="B2049" s="112" t="str">
        <f>'Sampling Data'!A2048</f>
        <v>STRONGSVILLE -04-C - ABS</v>
      </c>
      <c r="C2049" s="112">
        <f>'Sampling Data'!B2048</f>
        <v>23</v>
      </c>
      <c r="D2049" s="112">
        <f>'Sampling Data'!C2048</f>
        <v>40</v>
      </c>
      <c r="E2049" s="113">
        <f>'Sampling Data'!D2048</f>
        <v>8</v>
      </c>
      <c r="F2049" s="113">
        <f>'Sampling Data'!E2048</f>
        <v>2</v>
      </c>
      <c r="G2049" s="113">
        <f>'Sampling Data'!F2048</f>
        <v>1</v>
      </c>
      <c r="H2049" s="113">
        <f>'Sampling Data'!G2048</f>
        <v>0</v>
      </c>
      <c r="I2049" s="112">
        <f>'Sampling Data'!H2048</f>
        <v>0</v>
      </c>
      <c r="J2049" s="112">
        <f>'Sampling Data'!I2048</f>
        <v>1</v>
      </c>
      <c r="K2049" s="112">
        <f>'Sampling Data'!J2048</f>
        <v>75</v>
      </c>
      <c r="L2049" s="111">
        <f>'Sampling Data'!X2048</f>
        <v>0</v>
      </c>
      <c r="M2049" s="114"/>
      <c r="N2049" s="114"/>
      <c r="O2049" s="115"/>
      <c r="P2049" s="115"/>
      <c r="Q2049" s="116"/>
      <c r="R2049" s="116"/>
      <c r="S2049" s="111">
        <f>Audit[[#This Row],[Audit Losing Candidate]]-Audit[[#This Row],[Losing Candidate]]</f>
        <v>-23</v>
      </c>
      <c r="T2049" s="111">
        <f>Audit[[#This Row],[Audit Winning Candidate]]-Audit[[#This Row],[Winning Candidate]]</f>
        <v>-40</v>
      </c>
      <c r="U2049" s="111">
        <f>Audit[[#This Row],[Audit Candidate 3]]-Audit[[#This Row],[Candidate 3]]</f>
        <v>-8</v>
      </c>
      <c r="V2049" s="111">
        <f>Audit[[#This Row],[Audit Candidate 4]]-Audit[[#This Row],[Candidate 4]]</f>
        <v>-2</v>
      </c>
      <c r="W2049" s="111">
        <f>Audit[[#This Row],[Audit Candidate 5]]-Audit[[#This Row],[Candidate 5]]</f>
        <v>-1</v>
      </c>
      <c r="X2049" s="111">
        <f>Audit[[#This Row],[Audit Candidate 6]]-Audit[[#This Row],[Candidate 6]]</f>
        <v>0</v>
      </c>
      <c r="Y2049" s="111">
        <f>SUMIF(Audit[[#This Row],[Difference Loser]:[Difference Candidate 6]], "&gt;0")</f>
        <v>0</v>
      </c>
      <c r="Z2049" s="111">
        <f>SUM(Audit[[#This Row],[Difference Loser]:[Difference Candidate 6]])</f>
        <v>-74</v>
      </c>
      <c r="AA2049" s="111">
        <f>IF(Audit[[#This Row],[Times p Drawn - With Replacement]]&gt;0, IF(Audit[[#This Row],[Canceled Differences]]&lt;0, Audit[[#This Row],[Max Differences]]+ABS(Audit[[#This Row],[Canceled Differences]]), Audit[[#This Row],[Max Differences]]), 0)</f>
        <v>0</v>
      </c>
      <c r="AB2049" s="111">
        <f>'Sampling Data'!P2048</f>
        <v>5.6344928956393921E-3</v>
      </c>
      <c r="AC2049" s="111">
        <f>IF(
      SUM(Audit[[#This Row],[Audit Losing Candidate]:[Audit Candidate 6]])
      &lt;&gt;0,
      (Audit[[#This Row],[Winning Candidate]]-Audit[[#This Row],[Losing Candidate]]-(Audit[[#This Row],[Audit Winning Candidate]]-Audit[[#This Row],[Audit Losing Candidate]]))/(Audit[[#Totals],[Winning Candidate]]-Audit[[#Totals],[Losing Candidate]]),
      0
)</f>
        <v>0</v>
      </c>
      <c r="AD20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9" s="111">
        <f>IF(Audit[[#This Row],[Max Relative Error (ep)]] = 0, 0, Audit[[#This Row],[Max Relative Error (ep)]]/Audit[[#This Row],[Error Bound (up) - Max. possible relative overstatement]])</f>
        <v>0</v>
      </c>
      <c r="AJ20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49" s="111">
        <f t="shared" si="31"/>
        <v>1</v>
      </c>
      <c r="AL2049" s="111">
        <f>PRODUCT($AK$5:AK2049)</f>
        <v>8.962823818226312E-2</v>
      </c>
      <c r="AM2049" s="109">
        <f>1 - [K-M P Value]</f>
        <v>0.91037176181773694</v>
      </c>
      <c r="AN2049" s="111" t="str">
        <f>IF(Audit[[#This Row],[K-M P Value]]&gt;1-'General Info'!$B$16,"Continue", "Stop")</f>
        <v>Stop</v>
      </c>
      <c r="AO2049" s="110" t="b">
        <f>IF(Audit[[#This Row],[Status - Continue or stop audit]] = "Continue", TRUE, IF(AN2048 = "Continue", TRUE, FALSE))</f>
        <v>0</v>
      </c>
      <c r="AP2049" s="110"/>
    </row>
    <row r="2050" spans="1:42" ht="15" hidden="1" customHeight="1">
      <c r="A2050" s="111" t="str">
        <f>'Sampling Data'!W2049</f>
        <v/>
      </c>
      <c r="B2050" s="112" t="str">
        <f>'Sampling Data'!A2049</f>
        <v>STRONGSVILLE -04-D</v>
      </c>
      <c r="C2050" s="112">
        <f>'Sampling Data'!B2049</f>
        <v>25</v>
      </c>
      <c r="D2050" s="112">
        <f>'Sampling Data'!C2049</f>
        <v>54</v>
      </c>
      <c r="E2050" s="113">
        <f>'Sampling Data'!D2049</f>
        <v>12</v>
      </c>
      <c r="F2050" s="113">
        <f>'Sampling Data'!E2049</f>
        <v>9</v>
      </c>
      <c r="G2050" s="113">
        <f>'Sampling Data'!F2049</f>
        <v>0</v>
      </c>
      <c r="H2050" s="113">
        <f>'Sampling Data'!G2049</f>
        <v>0</v>
      </c>
      <c r="I2050" s="112">
        <f>'Sampling Data'!H2049</f>
        <v>0</v>
      </c>
      <c r="J2050" s="112">
        <f>'Sampling Data'!I2049</f>
        <v>2</v>
      </c>
      <c r="K2050" s="112">
        <f>'Sampling Data'!J2049</f>
        <v>102</v>
      </c>
      <c r="L2050" s="111">
        <f>'Sampling Data'!X2049</f>
        <v>0</v>
      </c>
      <c r="M2050" s="114"/>
      <c r="N2050" s="114"/>
      <c r="O2050" s="115"/>
      <c r="P2050" s="115"/>
      <c r="Q2050" s="116"/>
      <c r="R2050" s="116"/>
      <c r="S2050" s="111">
        <f>Audit[[#This Row],[Audit Losing Candidate]]-Audit[[#This Row],[Losing Candidate]]</f>
        <v>-25</v>
      </c>
      <c r="T2050" s="111">
        <f>Audit[[#This Row],[Audit Winning Candidate]]-Audit[[#This Row],[Winning Candidate]]</f>
        <v>-54</v>
      </c>
      <c r="U2050" s="111">
        <f>Audit[[#This Row],[Audit Candidate 3]]-Audit[[#This Row],[Candidate 3]]</f>
        <v>-12</v>
      </c>
      <c r="V2050" s="111">
        <f>Audit[[#This Row],[Audit Candidate 4]]-Audit[[#This Row],[Candidate 4]]</f>
        <v>-9</v>
      </c>
      <c r="W2050" s="111">
        <f>Audit[[#This Row],[Audit Candidate 5]]-Audit[[#This Row],[Candidate 5]]</f>
        <v>0</v>
      </c>
      <c r="X2050" s="111">
        <f>Audit[[#This Row],[Audit Candidate 6]]-Audit[[#This Row],[Candidate 6]]</f>
        <v>0</v>
      </c>
      <c r="Y2050" s="111">
        <f>SUMIF(Audit[[#This Row],[Difference Loser]:[Difference Candidate 6]], "&gt;0")</f>
        <v>0</v>
      </c>
      <c r="Z2050" s="111">
        <f>SUM(Audit[[#This Row],[Difference Loser]:[Difference Candidate 6]])</f>
        <v>-100</v>
      </c>
      <c r="AA2050" s="111">
        <f>IF(Audit[[#This Row],[Times p Drawn - With Replacement]]&gt;0, IF(Audit[[#This Row],[Canceled Differences]]&lt;0, Audit[[#This Row],[Max Differences]]+ABS(Audit[[#This Row],[Canceled Differences]]), Audit[[#This Row],[Max Differences]]), 0)</f>
        <v>0</v>
      </c>
      <c r="AB2050" s="111">
        <f>'Sampling Data'!P2049</f>
        <v>8.0230279274865254E-3</v>
      </c>
      <c r="AC2050" s="111">
        <f>IF(
      SUM(Audit[[#This Row],[Audit Losing Candidate]:[Audit Candidate 6]])
      &lt;&gt;0,
      (Audit[[#This Row],[Winning Candidate]]-Audit[[#This Row],[Losing Candidate]]-(Audit[[#This Row],[Audit Winning Candidate]]-Audit[[#This Row],[Audit Losing Candidate]]))/(Audit[[#Totals],[Winning Candidate]]-Audit[[#Totals],[Losing Candidate]]),
      0
)</f>
        <v>0</v>
      </c>
      <c r="AD20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0" s="111">
        <f>IF(Audit[[#This Row],[Max Relative Error (ep)]] = 0, 0, Audit[[#This Row],[Max Relative Error (ep)]]/Audit[[#This Row],[Error Bound (up) - Max. possible relative overstatement]])</f>
        <v>0</v>
      </c>
      <c r="AJ20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50" s="111">
        <f t="shared" si="31"/>
        <v>1</v>
      </c>
      <c r="AL2050" s="111">
        <f>PRODUCT($AK$5:AK2050)</f>
        <v>8.962823818226312E-2</v>
      </c>
      <c r="AM2050" s="109">
        <f>1 - [K-M P Value]</f>
        <v>0.91037176181773694</v>
      </c>
      <c r="AN2050" s="111" t="str">
        <f>IF(Audit[[#This Row],[K-M P Value]]&gt;1-'General Info'!$B$16,"Continue", "Stop")</f>
        <v>Stop</v>
      </c>
      <c r="AO2050" s="110" t="b">
        <f>IF(Audit[[#This Row],[Status - Continue or stop audit]] = "Continue", TRUE, IF(AN2049 = "Continue", TRUE, FALSE))</f>
        <v>0</v>
      </c>
      <c r="AP2050" s="110"/>
    </row>
    <row r="2051" spans="1:42" ht="15" hidden="1" customHeight="1">
      <c r="A2051" s="111" t="str">
        <f>'Sampling Data'!W2050</f>
        <v/>
      </c>
      <c r="B2051" s="112" t="str">
        <f>'Sampling Data'!A2050</f>
        <v>STRONGSVILLE -04-D - ABS</v>
      </c>
      <c r="C2051" s="112">
        <f>'Sampling Data'!B2050</f>
        <v>21</v>
      </c>
      <c r="D2051" s="112">
        <f>'Sampling Data'!C2050</f>
        <v>49</v>
      </c>
      <c r="E2051" s="113">
        <f>'Sampling Data'!D2050</f>
        <v>4</v>
      </c>
      <c r="F2051" s="113">
        <f>'Sampling Data'!E2050</f>
        <v>2</v>
      </c>
      <c r="G2051" s="113">
        <f>'Sampling Data'!F2050</f>
        <v>0</v>
      </c>
      <c r="H2051" s="113">
        <f>'Sampling Data'!G2050</f>
        <v>1</v>
      </c>
      <c r="I2051" s="112">
        <f>'Sampling Data'!H2050</f>
        <v>0</v>
      </c>
      <c r="J2051" s="112">
        <f>'Sampling Data'!I2050</f>
        <v>1</v>
      </c>
      <c r="K2051" s="112">
        <f>'Sampling Data'!J2050</f>
        <v>78</v>
      </c>
      <c r="L2051" s="111">
        <f>'Sampling Data'!X2050</f>
        <v>0</v>
      </c>
      <c r="M2051" s="114"/>
      <c r="N2051" s="114"/>
      <c r="O2051" s="115"/>
      <c r="P2051" s="115"/>
      <c r="Q2051" s="116"/>
      <c r="R2051" s="116"/>
      <c r="S2051" s="111">
        <f>Audit[[#This Row],[Audit Losing Candidate]]-Audit[[#This Row],[Losing Candidate]]</f>
        <v>-21</v>
      </c>
      <c r="T2051" s="111">
        <f>Audit[[#This Row],[Audit Winning Candidate]]-Audit[[#This Row],[Winning Candidate]]</f>
        <v>-49</v>
      </c>
      <c r="U2051" s="111">
        <f>Audit[[#This Row],[Audit Candidate 3]]-Audit[[#This Row],[Candidate 3]]</f>
        <v>-4</v>
      </c>
      <c r="V2051" s="111">
        <f>Audit[[#This Row],[Audit Candidate 4]]-Audit[[#This Row],[Candidate 4]]</f>
        <v>-2</v>
      </c>
      <c r="W2051" s="111">
        <f>Audit[[#This Row],[Audit Candidate 5]]-Audit[[#This Row],[Candidate 5]]</f>
        <v>0</v>
      </c>
      <c r="X2051" s="111">
        <f>Audit[[#This Row],[Audit Candidate 6]]-Audit[[#This Row],[Candidate 6]]</f>
        <v>-1</v>
      </c>
      <c r="Y2051" s="111">
        <f>SUMIF(Audit[[#This Row],[Difference Loser]:[Difference Candidate 6]], "&gt;0")</f>
        <v>0</v>
      </c>
      <c r="Z2051" s="111">
        <f>SUM(Audit[[#This Row],[Difference Loser]:[Difference Candidate 6]])</f>
        <v>-77</v>
      </c>
      <c r="AA2051" s="111">
        <f>IF(Audit[[#This Row],[Times p Drawn - With Replacement]]&gt;0, IF(Audit[[#This Row],[Canceled Differences]]&lt;0, Audit[[#This Row],[Max Differences]]+ABS(Audit[[#This Row],[Canceled Differences]]), Audit[[#This Row],[Max Differences]]), 0)</f>
        <v>0</v>
      </c>
      <c r="AB2051" s="111">
        <f>'Sampling Data'!P2050</f>
        <v>6.4919157275845178E-3</v>
      </c>
      <c r="AC2051" s="111">
        <f>IF(
      SUM(Audit[[#This Row],[Audit Losing Candidate]:[Audit Candidate 6]])
      &lt;&gt;0,
      (Audit[[#This Row],[Winning Candidate]]-Audit[[#This Row],[Losing Candidate]]-(Audit[[#This Row],[Audit Winning Candidate]]-Audit[[#This Row],[Audit Losing Candidate]]))/(Audit[[#Totals],[Winning Candidate]]-Audit[[#Totals],[Losing Candidate]]),
      0
)</f>
        <v>0</v>
      </c>
      <c r="AD20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1" s="111">
        <f>IF(Audit[[#This Row],[Max Relative Error (ep)]] = 0, 0, Audit[[#This Row],[Max Relative Error (ep)]]/Audit[[#This Row],[Error Bound (up) - Max. possible relative overstatement]])</f>
        <v>0</v>
      </c>
      <c r="AJ20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51" s="111">
        <f t="shared" si="31"/>
        <v>1</v>
      </c>
      <c r="AL2051" s="111">
        <f>PRODUCT($AK$5:AK2051)</f>
        <v>8.962823818226312E-2</v>
      </c>
      <c r="AM2051" s="109">
        <f>1 - [K-M P Value]</f>
        <v>0.91037176181773694</v>
      </c>
      <c r="AN2051" s="111" t="str">
        <f>IF(Audit[[#This Row],[K-M P Value]]&gt;1-'General Info'!$B$16,"Continue", "Stop")</f>
        <v>Stop</v>
      </c>
      <c r="AO2051" s="110" t="b">
        <f>IF(Audit[[#This Row],[Status - Continue or stop audit]] = "Continue", TRUE, IF(AN2050 = "Continue", TRUE, FALSE))</f>
        <v>0</v>
      </c>
      <c r="AP2051" s="110"/>
    </row>
    <row r="2052" spans="1:42" ht="15" hidden="1" customHeight="1">
      <c r="A2052" s="111" t="str">
        <f>'Sampling Data'!W2051</f>
        <v/>
      </c>
      <c r="B2052" s="112" t="str">
        <f>'Sampling Data'!A2051</f>
        <v>STRONGSVILLE -04-E</v>
      </c>
      <c r="C2052" s="112">
        <f>'Sampling Data'!B2051</f>
        <v>19</v>
      </c>
      <c r="D2052" s="112">
        <f>'Sampling Data'!C2051</f>
        <v>59</v>
      </c>
      <c r="E2052" s="113">
        <f>'Sampling Data'!D2051</f>
        <v>10</v>
      </c>
      <c r="F2052" s="113">
        <f>'Sampling Data'!E2051</f>
        <v>6</v>
      </c>
      <c r="G2052" s="113">
        <f>'Sampling Data'!F2051</f>
        <v>0</v>
      </c>
      <c r="H2052" s="113">
        <f>'Sampling Data'!G2051</f>
        <v>0</v>
      </c>
      <c r="I2052" s="112">
        <f>'Sampling Data'!H2051</f>
        <v>1</v>
      </c>
      <c r="J2052" s="112">
        <f>'Sampling Data'!I2051</f>
        <v>2</v>
      </c>
      <c r="K2052" s="112">
        <f>'Sampling Data'!J2051</f>
        <v>97</v>
      </c>
      <c r="L2052" s="111">
        <f>'Sampling Data'!X2051</f>
        <v>0</v>
      </c>
      <c r="M2052" s="114"/>
      <c r="N2052" s="114"/>
      <c r="O2052" s="115"/>
      <c r="P2052" s="115"/>
      <c r="Q2052" s="116"/>
      <c r="R2052" s="116"/>
      <c r="S2052" s="111">
        <f>Audit[[#This Row],[Audit Losing Candidate]]-Audit[[#This Row],[Losing Candidate]]</f>
        <v>-19</v>
      </c>
      <c r="T2052" s="111">
        <f>Audit[[#This Row],[Audit Winning Candidate]]-Audit[[#This Row],[Winning Candidate]]</f>
        <v>-59</v>
      </c>
      <c r="U2052" s="111">
        <f>Audit[[#This Row],[Audit Candidate 3]]-Audit[[#This Row],[Candidate 3]]</f>
        <v>-10</v>
      </c>
      <c r="V2052" s="111">
        <f>Audit[[#This Row],[Audit Candidate 4]]-Audit[[#This Row],[Candidate 4]]</f>
        <v>-6</v>
      </c>
      <c r="W2052" s="111">
        <f>Audit[[#This Row],[Audit Candidate 5]]-Audit[[#This Row],[Candidate 5]]</f>
        <v>0</v>
      </c>
      <c r="X2052" s="111">
        <f>Audit[[#This Row],[Audit Candidate 6]]-Audit[[#This Row],[Candidate 6]]</f>
        <v>0</v>
      </c>
      <c r="Y2052" s="111">
        <f>SUMIF(Audit[[#This Row],[Difference Loser]:[Difference Candidate 6]], "&gt;0")</f>
        <v>0</v>
      </c>
      <c r="Z2052" s="111">
        <f>SUM(Audit[[#This Row],[Difference Loser]:[Difference Candidate 6]])</f>
        <v>-94</v>
      </c>
      <c r="AA2052" s="111">
        <f>IF(Audit[[#This Row],[Times p Drawn - With Replacement]]&gt;0, IF(Audit[[#This Row],[Canceled Differences]]&lt;0, Audit[[#This Row],[Max Differences]]+ABS(Audit[[#This Row],[Canceled Differences]]), Audit[[#This Row],[Max Differences]]), 0)</f>
        <v>0</v>
      </c>
      <c r="AB2052" s="111">
        <f>'Sampling Data'!P2051</f>
        <v>8.3904948554630078E-3</v>
      </c>
      <c r="AC2052" s="111">
        <f>IF(
      SUM(Audit[[#This Row],[Audit Losing Candidate]:[Audit Candidate 6]])
      &lt;&gt;0,
      (Audit[[#This Row],[Winning Candidate]]-Audit[[#This Row],[Losing Candidate]]-(Audit[[#This Row],[Audit Winning Candidate]]-Audit[[#This Row],[Audit Losing Candidate]]))/(Audit[[#Totals],[Winning Candidate]]-Audit[[#Totals],[Losing Candidate]]),
      0
)</f>
        <v>0</v>
      </c>
      <c r="AD20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2" s="111">
        <f>IF(Audit[[#This Row],[Max Relative Error (ep)]] = 0, 0, Audit[[#This Row],[Max Relative Error (ep)]]/Audit[[#This Row],[Error Bound (up) - Max. possible relative overstatement]])</f>
        <v>0</v>
      </c>
      <c r="AJ20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52" s="111">
        <f t="shared" si="31"/>
        <v>1</v>
      </c>
      <c r="AL2052" s="111">
        <f>PRODUCT($AK$5:AK2052)</f>
        <v>8.962823818226312E-2</v>
      </c>
      <c r="AM2052" s="109">
        <f>1 - [K-M P Value]</f>
        <v>0.91037176181773694</v>
      </c>
      <c r="AN2052" s="111" t="str">
        <f>IF(Audit[[#This Row],[K-M P Value]]&gt;1-'General Info'!$B$16,"Continue", "Stop")</f>
        <v>Stop</v>
      </c>
      <c r="AO2052" s="110" t="b">
        <f>IF(Audit[[#This Row],[Status - Continue or stop audit]] = "Continue", TRUE, IF(AN2051 = "Continue", TRUE, FALSE))</f>
        <v>0</v>
      </c>
      <c r="AP2052" s="110"/>
    </row>
    <row r="2053" spans="1:42" ht="15" hidden="1" customHeight="1">
      <c r="A2053" s="111" t="str">
        <f>'Sampling Data'!W2052</f>
        <v/>
      </c>
      <c r="B2053" s="112" t="str">
        <f>'Sampling Data'!A2052</f>
        <v>STRONGSVILLE -04-E - ABS</v>
      </c>
      <c r="C2053" s="112">
        <f>'Sampling Data'!B2052</f>
        <v>17</v>
      </c>
      <c r="D2053" s="112">
        <f>'Sampling Data'!C2052</f>
        <v>28</v>
      </c>
      <c r="E2053" s="113">
        <f>'Sampling Data'!D2052</f>
        <v>3</v>
      </c>
      <c r="F2053" s="113">
        <f>'Sampling Data'!E2052</f>
        <v>2</v>
      </c>
      <c r="G2053" s="113">
        <f>'Sampling Data'!F2052</f>
        <v>1</v>
      </c>
      <c r="H2053" s="113">
        <f>'Sampling Data'!G2052</f>
        <v>0</v>
      </c>
      <c r="I2053" s="112">
        <f>'Sampling Data'!H2052</f>
        <v>1</v>
      </c>
      <c r="J2053" s="112">
        <f>'Sampling Data'!I2052</f>
        <v>4</v>
      </c>
      <c r="K2053" s="112">
        <f>'Sampling Data'!J2052</f>
        <v>56</v>
      </c>
      <c r="L2053" s="111">
        <f>'Sampling Data'!X2052</f>
        <v>0</v>
      </c>
      <c r="M2053" s="114"/>
      <c r="N2053" s="114"/>
      <c r="O2053" s="115"/>
      <c r="P2053" s="115"/>
      <c r="Q2053" s="116"/>
      <c r="R2053" s="116"/>
      <c r="S2053" s="111">
        <f>Audit[[#This Row],[Audit Losing Candidate]]-Audit[[#This Row],[Losing Candidate]]</f>
        <v>-17</v>
      </c>
      <c r="T2053" s="111">
        <f>Audit[[#This Row],[Audit Winning Candidate]]-Audit[[#This Row],[Winning Candidate]]</f>
        <v>-28</v>
      </c>
      <c r="U2053" s="111">
        <f>Audit[[#This Row],[Audit Candidate 3]]-Audit[[#This Row],[Candidate 3]]</f>
        <v>-3</v>
      </c>
      <c r="V2053" s="111">
        <f>Audit[[#This Row],[Audit Candidate 4]]-Audit[[#This Row],[Candidate 4]]</f>
        <v>-2</v>
      </c>
      <c r="W2053" s="111">
        <f>Audit[[#This Row],[Audit Candidate 5]]-Audit[[#This Row],[Candidate 5]]</f>
        <v>-1</v>
      </c>
      <c r="X2053" s="111">
        <f>Audit[[#This Row],[Audit Candidate 6]]-Audit[[#This Row],[Candidate 6]]</f>
        <v>0</v>
      </c>
      <c r="Y2053" s="111">
        <f>SUMIF(Audit[[#This Row],[Difference Loser]:[Difference Candidate 6]], "&gt;0")</f>
        <v>0</v>
      </c>
      <c r="Z2053" s="111">
        <f>SUM(Audit[[#This Row],[Difference Loser]:[Difference Candidate 6]])</f>
        <v>-51</v>
      </c>
      <c r="AA2053" s="111">
        <f>IF(Audit[[#This Row],[Times p Drawn - With Replacement]]&gt;0, IF(Audit[[#This Row],[Canceled Differences]]&lt;0, Audit[[#This Row],[Max Differences]]+ABS(Audit[[#This Row],[Canceled Differences]]), Audit[[#This Row],[Max Differences]]), 0)</f>
        <v>0</v>
      </c>
      <c r="AB2053" s="111">
        <f>'Sampling Data'!P2052</f>
        <v>4.1033806957373837E-3</v>
      </c>
      <c r="AC2053" s="111">
        <f>IF(
      SUM(Audit[[#This Row],[Audit Losing Candidate]:[Audit Candidate 6]])
      &lt;&gt;0,
      (Audit[[#This Row],[Winning Candidate]]-Audit[[#This Row],[Losing Candidate]]-(Audit[[#This Row],[Audit Winning Candidate]]-Audit[[#This Row],[Audit Losing Candidate]]))/(Audit[[#Totals],[Winning Candidate]]-Audit[[#Totals],[Losing Candidate]]),
      0
)</f>
        <v>0</v>
      </c>
      <c r="AD20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3" s="111">
        <f>IF(Audit[[#This Row],[Max Relative Error (ep)]] = 0, 0, Audit[[#This Row],[Max Relative Error (ep)]]/Audit[[#This Row],[Error Bound (up) - Max. possible relative overstatement]])</f>
        <v>0</v>
      </c>
      <c r="AJ20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53" s="111">
        <f t="shared" ref="AK2053:AK2116" si="32">IF(ISERR(POWER(AJ2053,L2053)), 0, POWER(AJ2053,L2053))</f>
        <v>1</v>
      </c>
      <c r="AL2053" s="111">
        <f>PRODUCT($AK$5:AK2053)</f>
        <v>8.962823818226312E-2</v>
      </c>
      <c r="AM2053" s="109">
        <f>1 - [K-M P Value]</f>
        <v>0.91037176181773694</v>
      </c>
      <c r="AN2053" s="111" t="str">
        <f>IF(Audit[[#This Row],[K-M P Value]]&gt;1-'General Info'!$B$16,"Continue", "Stop")</f>
        <v>Stop</v>
      </c>
      <c r="AO2053" s="110" t="b">
        <f>IF(Audit[[#This Row],[Status - Continue or stop audit]] = "Continue", TRUE, IF(AN2052 = "Continue", TRUE, FALSE))</f>
        <v>0</v>
      </c>
      <c r="AP2053" s="110"/>
    </row>
    <row r="2054" spans="1:42" ht="15" hidden="1" customHeight="1">
      <c r="A2054" s="111" t="str">
        <f>'Sampling Data'!W2053</f>
        <v/>
      </c>
      <c r="B2054" s="112" t="str">
        <f>'Sampling Data'!A2053</f>
        <v>STRONGSVILLE -04-F</v>
      </c>
      <c r="C2054" s="112">
        <f>'Sampling Data'!B2053</f>
        <v>46</v>
      </c>
      <c r="D2054" s="112">
        <f>'Sampling Data'!C2053</f>
        <v>70</v>
      </c>
      <c r="E2054" s="113">
        <f>'Sampling Data'!D2053</f>
        <v>9</v>
      </c>
      <c r="F2054" s="113">
        <f>'Sampling Data'!E2053</f>
        <v>13</v>
      </c>
      <c r="G2054" s="113">
        <f>'Sampling Data'!F2053</f>
        <v>1</v>
      </c>
      <c r="H2054" s="113">
        <f>'Sampling Data'!G2053</f>
        <v>1</v>
      </c>
      <c r="I2054" s="112">
        <f>'Sampling Data'!H2053</f>
        <v>0</v>
      </c>
      <c r="J2054" s="112">
        <f>'Sampling Data'!I2053</f>
        <v>6</v>
      </c>
      <c r="K2054" s="112">
        <f>'Sampling Data'!J2053</f>
        <v>146</v>
      </c>
      <c r="L2054" s="111">
        <f>'Sampling Data'!X2053</f>
        <v>0</v>
      </c>
      <c r="M2054" s="114"/>
      <c r="N2054" s="114"/>
      <c r="O2054" s="115"/>
      <c r="P2054" s="115"/>
      <c r="Q2054" s="116"/>
      <c r="R2054" s="116"/>
      <c r="S2054" s="111">
        <f>Audit[[#This Row],[Audit Losing Candidate]]-Audit[[#This Row],[Losing Candidate]]</f>
        <v>-46</v>
      </c>
      <c r="T2054" s="111">
        <f>Audit[[#This Row],[Audit Winning Candidate]]-Audit[[#This Row],[Winning Candidate]]</f>
        <v>-70</v>
      </c>
      <c r="U2054" s="111">
        <f>Audit[[#This Row],[Audit Candidate 3]]-Audit[[#This Row],[Candidate 3]]</f>
        <v>-9</v>
      </c>
      <c r="V2054" s="111">
        <f>Audit[[#This Row],[Audit Candidate 4]]-Audit[[#This Row],[Candidate 4]]</f>
        <v>-13</v>
      </c>
      <c r="W2054" s="111">
        <f>Audit[[#This Row],[Audit Candidate 5]]-Audit[[#This Row],[Candidate 5]]</f>
        <v>-1</v>
      </c>
      <c r="X2054" s="111">
        <f>Audit[[#This Row],[Audit Candidate 6]]-Audit[[#This Row],[Candidate 6]]</f>
        <v>-1</v>
      </c>
      <c r="Y2054" s="111">
        <f>SUMIF(Audit[[#This Row],[Difference Loser]:[Difference Candidate 6]], "&gt;0")</f>
        <v>0</v>
      </c>
      <c r="Z2054" s="111">
        <f>SUM(Audit[[#This Row],[Difference Loser]:[Difference Candidate 6]])</f>
        <v>-140</v>
      </c>
      <c r="AA2054" s="111">
        <f>IF(Audit[[#This Row],[Times p Drawn - With Replacement]]&gt;0, IF(Audit[[#This Row],[Canceled Differences]]&lt;0, Audit[[#This Row],[Max Differences]]+ABS(Audit[[#This Row],[Canceled Differences]]), Audit[[#This Row],[Max Differences]]), 0)</f>
        <v>0</v>
      </c>
      <c r="AB2054" s="111">
        <f>'Sampling Data'!P2053</f>
        <v>1.041156295933366E-2</v>
      </c>
      <c r="AC2054" s="111">
        <f>IF(
      SUM(Audit[[#This Row],[Audit Losing Candidate]:[Audit Candidate 6]])
      &lt;&gt;0,
      (Audit[[#This Row],[Winning Candidate]]-Audit[[#This Row],[Losing Candidate]]-(Audit[[#This Row],[Audit Winning Candidate]]-Audit[[#This Row],[Audit Losing Candidate]]))/(Audit[[#Totals],[Winning Candidate]]-Audit[[#Totals],[Losing Candidate]]),
      0
)</f>
        <v>0</v>
      </c>
      <c r="AD20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4" s="111">
        <f>IF(Audit[[#This Row],[Max Relative Error (ep)]] = 0, 0, Audit[[#This Row],[Max Relative Error (ep)]]/Audit[[#This Row],[Error Bound (up) - Max. possible relative overstatement]])</f>
        <v>0</v>
      </c>
      <c r="AJ20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54" s="111">
        <f t="shared" si="32"/>
        <v>1</v>
      </c>
      <c r="AL2054" s="111">
        <f>PRODUCT($AK$5:AK2054)</f>
        <v>8.962823818226312E-2</v>
      </c>
      <c r="AM2054" s="109">
        <f>1 - [K-M P Value]</f>
        <v>0.91037176181773694</v>
      </c>
      <c r="AN2054" s="111" t="str">
        <f>IF(Audit[[#This Row],[K-M P Value]]&gt;1-'General Info'!$B$16,"Continue", "Stop")</f>
        <v>Stop</v>
      </c>
      <c r="AO2054" s="110" t="b">
        <f>IF(Audit[[#This Row],[Status - Continue or stop audit]] = "Continue", TRUE, IF(AN2053 = "Continue", TRUE, FALSE))</f>
        <v>0</v>
      </c>
      <c r="AP2054" s="110"/>
    </row>
    <row r="2055" spans="1:42" ht="15" hidden="1" customHeight="1">
      <c r="A2055" s="111" t="str">
        <f>'Sampling Data'!W2054</f>
        <v/>
      </c>
      <c r="B2055" s="112" t="str">
        <f>'Sampling Data'!A2054</f>
        <v>STRONGSVILLE -04-F - ABS</v>
      </c>
      <c r="C2055" s="112">
        <f>'Sampling Data'!B2054</f>
        <v>26</v>
      </c>
      <c r="D2055" s="112">
        <f>'Sampling Data'!C2054</f>
        <v>28</v>
      </c>
      <c r="E2055" s="113">
        <f>'Sampling Data'!D2054</f>
        <v>16</v>
      </c>
      <c r="F2055" s="113">
        <f>'Sampling Data'!E2054</f>
        <v>7</v>
      </c>
      <c r="G2055" s="113">
        <f>'Sampling Data'!F2054</f>
        <v>0</v>
      </c>
      <c r="H2055" s="113">
        <f>'Sampling Data'!G2054</f>
        <v>1</v>
      </c>
      <c r="I2055" s="112">
        <f>'Sampling Data'!H2054</f>
        <v>0</v>
      </c>
      <c r="J2055" s="112">
        <f>'Sampling Data'!I2054</f>
        <v>1</v>
      </c>
      <c r="K2055" s="112">
        <f>'Sampling Data'!J2054</f>
        <v>79</v>
      </c>
      <c r="L2055" s="111">
        <f>'Sampling Data'!X2054</f>
        <v>0</v>
      </c>
      <c r="M2055" s="114"/>
      <c r="N2055" s="114"/>
      <c r="O2055" s="115"/>
      <c r="P2055" s="115"/>
      <c r="Q2055" s="116"/>
      <c r="R2055" s="116"/>
      <c r="S2055" s="111">
        <f>Audit[[#This Row],[Audit Losing Candidate]]-Audit[[#This Row],[Losing Candidate]]</f>
        <v>-26</v>
      </c>
      <c r="T2055" s="111">
        <f>Audit[[#This Row],[Audit Winning Candidate]]-Audit[[#This Row],[Winning Candidate]]</f>
        <v>-28</v>
      </c>
      <c r="U2055" s="111">
        <f>Audit[[#This Row],[Audit Candidate 3]]-Audit[[#This Row],[Candidate 3]]</f>
        <v>-16</v>
      </c>
      <c r="V2055" s="111">
        <f>Audit[[#This Row],[Audit Candidate 4]]-Audit[[#This Row],[Candidate 4]]</f>
        <v>-7</v>
      </c>
      <c r="W2055" s="111">
        <f>Audit[[#This Row],[Audit Candidate 5]]-Audit[[#This Row],[Candidate 5]]</f>
        <v>0</v>
      </c>
      <c r="X2055" s="111">
        <f>Audit[[#This Row],[Audit Candidate 6]]-Audit[[#This Row],[Candidate 6]]</f>
        <v>-1</v>
      </c>
      <c r="Y2055" s="111">
        <f>SUMIF(Audit[[#This Row],[Difference Loser]:[Difference Candidate 6]], "&gt;0")</f>
        <v>0</v>
      </c>
      <c r="Z2055" s="111">
        <f>SUM(Audit[[#This Row],[Difference Loser]:[Difference Candidate 6]])</f>
        <v>-78</v>
      </c>
      <c r="AA2055" s="111">
        <f>IF(Audit[[#This Row],[Times p Drawn - With Replacement]]&gt;0, IF(Audit[[#This Row],[Canceled Differences]]&lt;0, Audit[[#This Row],[Max Differences]]+ABS(Audit[[#This Row],[Canceled Differences]]), Audit[[#This Row],[Max Differences]]), 0)</f>
        <v>0</v>
      </c>
      <c r="AB2055" s="111">
        <f>'Sampling Data'!P2054</f>
        <v>4.9608035276825085E-3</v>
      </c>
      <c r="AC2055" s="111">
        <f>IF(
      SUM(Audit[[#This Row],[Audit Losing Candidate]:[Audit Candidate 6]])
      &lt;&gt;0,
      (Audit[[#This Row],[Winning Candidate]]-Audit[[#This Row],[Losing Candidate]]-(Audit[[#This Row],[Audit Winning Candidate]]-Audit[[#This Row],[Audit Losing Candidate]]))/(Audit[[#Totals],[Winning Candidate]]-Audit[[#Totals],[Losing Candidate]]),
      0
)</f>
        <v>0</v>
      </c>
      <c r="AD20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5" s="111">
        <f>IF(Audit[[#This Row],[Max Relative Error (ep)]] = 0, 0, Audit[[#This Row],[Max Relative Error (ep)]]/Audit[[#This Row],[Error Bound (up) - Max. possible relative overstatement]])</f>
        <v>0</v>
      </c>
      <c r="AJ20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55" s="111">
        <f t="shared" si="32"/>
        <v>1</v>
      </c>
      <c r="AL2055" s="111">
        <f>PRODUCT($AK$5:AK2055)</f>
        <v>8.962823818226312E-2</v>
      </c>
      <c r="AM2055" s="109">
        <f>1 - [K-M P Value]</f>
        <v>0.91037176181773694</v>
      </c>
      <c r="AN2055" s="111" t="str">
        <f>IF(Audit[[#This Row],[K-M P Value]]&gt;1-'General Info'!$B$16,"Continue", "Stop")</f>
        <v>Stop</v>
      </c>
      <c r="AO2055" s="110" t="b">
        <f>IF(Audit[[#This Row],[Status - Continue or stop audit]] = "Continue", TRUE, IF(AN2054 = "Continue", TRUE, FALSE))</f>
        <v>0</v>
      </c>
      <c r="AP2055" s="110"/>
    </row>
    <row r="2056" spans="1:42" ht="15" hidden="1" customHeight="1">
      <c r="A2056" s="111" t="str">
        <f>'Sampling Data'!W2055</f>
        <v/>
      </c>
      <c r="B2056" s="112" t="str">
        <f>'Sampling Data'!A2055</f>
        <v>STRONGSVILLE -04-G</v>
      </c>
      <c r="C2056" s="112">
        <f>'Sampling Data'!B2055</f>
        <v>42</v>
      </c>
      <c r="D2056" s="112">
        <f>'Sampling Data'!C2055</f>
        <v>82</v>
      </c>
      <c r="E2056" s="113">
        <f>'Sampling Data'!D2055</f>
        <v>18</v>
      </c>
      <c r="F2056" s="113">
        <f>'Sampling Data'!E2055</f>
        <v>12</v>
      </c>
      <c r="G2056" s="113">
        <f>'Sampling Data'!F2055</f>
        <v>0</v>
      </c>
      <c r="H2056" s="113">
        <f>'Sampling Data'!G2055</f>
        <v>0</v>
      </c>
      <c r="I2056" s="112">
        <f>'Sampling Data'!H2055</f>
        <v>0</v>
      </c>
      <c r="J2056" s="112">
        <f>'Sampling Data'!I2055</f>
        <v>1</v>
      </c>
      <c r="K2056" s="112">
        <f>'Sampling Data'!J2055</f>
        <v>155</v>
      </c>
      <c r="L2056" s="111">
        <f>'Sampling Data'!X2055</f>
        <v>0</v>
      </c>
      <c r="M2056" s="114"/>
      <c r="N2056" s="114"/>
      <c r="O2056" s="115"/>
      <c r="P2056" s="115"/>
      <c r="Q2056" s="116"/>
      <c r="R2056" s="116"/>
      <c r="S2056" s="111">
        <f>Audit[[#This Row],[Audit Losing Candidate]]-Audit[[#This Row],[Losing Candidate]]</f>
        <v>-42</v>
      </c>
      <c r="T2056" s="111">
        <f>Audit[[#This Row],[Audit Winning Candidate]]-Audit[[#This Row],[Winning Candidate]]</f>
        <v>-82</v>
      </c>
      <c r="U2056" s="111">
        <f>Audit[[#This Row],[Audit Candidate 3]]-Audit[[#This Row],[Candidate 3]]</f>
        <v>-18</v>
      </c>
      <c r="V2056" s="111">
        <f>Audit[[#This Row],[Audit Candidate 4]]-Audit[[#This Row],[Candidate 4]]</f>
        <v>-12</v>
      </c>
      <c r="W2056" s="111">
        <f>Audit[[#This Row],[Audit Candidate 5]]-Audit[[#This Row],[Candidate 5]]</f>
        <v>0</v>
      </c>
      <c r="X2056" s="111">
        <f>Audit[[#This Row],[Audit Candidate 6]]-Audit[[#This Row],[Candidate 6]]</f>
        <v>0</v>
      </c>
      <c r="Y2056" s="111">
        <f>SUMIF(Audit[[#This Row],[Difference Loser]:[Difference Candidate 6]], "&gt;0")</f>
        <v>0</v>
      </c>
      <c r="Z2056" s="111">
        <f>SUM(Audit[[#This Row],[Difference Loser]:[Difference Candidate 6]])</f>
        <v>-154</v>
      </c>
      <c r="AA2056" s="111">
        <f>IF(Audit[[#This Row],[Times p Drawn - With Replacement]]&gt;0, IF(Audit[[#This Row],[Canceled Differences]]&lt;0, Audit[[#This Row],[Max Differences]]+ABS(Audit[[#This Row],[Canceled Differences]]), Audit[[#This Row],[Max Differences]]), 0)</f>
        <v>0</v>
      </c>
      <c r="AB2056" s="111">
        <f>'Sampling Data'!P2055</f>
        <v>1.194267515923567E-2</v>
      </c>
      <c r="AC2056" s="111">
        <f>IF(
      SUM(Audit[[#This Row],[Audit Losing Candidate]:[Audit Candidate 6]])
      &lt;&gt;0,
      (Audit[[#This Row],[Winning Candidate]]-Audit[[#This Row],[Losing Candidate]]-(Audit[[#This Row],[Audit Winning Candidate]]-Audit[[#This Row],[Audit Losing Candidate]]))/(Audit[[#Totals],[Winning Candidate]]-Audit[[#Totals],[Losing Candidate]]),
      0
)</f>
        <v>0</v>
      </c>
      <c r="AD20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6" s="111">
        <f>IF(Audit[[#This Row],[Max Relative Error (ep)]] = 0, 0, Audit[[#This Row],[Max Relative Error (ep)]]/Audit[[#This Row],[Error Bound (up) - Max. possible relative overstatement]])</f>
        <v>0</v>
      </c>
      <c r="AJ20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56" s="111">
        <f t="shared" si="32"/>
        <v>1</v>
      </c>
      <c r="AL2056" s="111">
        <f>PRODUCT($AK$5:AK2056)</f>
        <v>8.962823818226312E-2</v>
      </c>
      <c r="AM2056" s="109">
        <f>1 - [K-M P Value]</f>
        <v>0.91037176181773694</v>
      </c>
      <c r="AN2056" s="111" t="str">
        <f>IF(Audit[[#This Row],[K-M P Value]]&gt;1-'General Info'!$B$16,"Continue", "Stop")</f>
        <v>Stop</v>
      </c>
      <c r="AO2056" s="110" t="b">
        <f>IF(Audit[[#This Row],[Status - Continue or stop audit]] = "Continue", TRUE, IF(AN2055 = "Continue", TRUE, FALSE))</f>
        <v>0</v>
      </c>
      <c r="AP2056" s="110"/>
    </row>
    <row r="2057" spans="1:42" ht="15" hidden="1" customHeight="1">
      <c r="A2057" s="111" t="str">
        <f>'Sampling Data'!W2056</f>
        <v/>
      </c>
      <c r="B2057" s="112" t="str">
        <f>'Sampling Data'!A2056</f>
        <v>STRONGSVILLE -04-G - ABS</v>
      </c>
      <c r="C2057" s="112">
        <f>'Sampling Data'!B2056</f>
        <v>31</v>
      </c>
      <c r="D2057" s="112">
        <f>'Sampling Data'!C2056</f>
        <v>40</v>
      </c>
      <c r="E2057" s="113">
        <f>'Sampling Data'!D2056</f>
        <v>6</v>
      </c>
      <c r="F2057" s="113">
        <f>'Sampling Data'!E2056</f>
        <v>1</v>
      </c>
      <c r="G2057" s="113">
        <f>'Sampling Data'!F2056</f>
        <v>3</v>
      </c>
      <c r="H2057" s="113">
        <f>'Sampling Data'!G2056</f>
        <v>0</v>
      </c>
      <c r="I2057" s="112">
        <f>'Sampling Data'!H2056</f>
        <v>0</v>
      </c>
      <c r="J2057" s="112">
        <f>'Sampling Data'!I2056</f>
        <v>1</v>
      </c>
      <c r="K2057" s="112">
        <f>'Sampling Data'!J2056</f>
        <v>82</v>
      </c>
      <c r="L2057" s="111">
        <f>'Sampling Data'!X2056</f>
        <v>0</v>
      </c>
      <c r="M2057" s="114"/>
      <c r="N2057" s="114"/>
      <c r="O2057" s="115"/>
      <c r="P2057" s="115"/>
      <c r="Q2057" s="116"/>
      <c r="R2057" s="116"/>
      <c r="S2057" s="111">
        <f>Audit[[#This Row],[Audit Losing Candidate]]-Audit[[#This Row],[Losing Candidate]]</f>
        <v>-31</v>
      </c>
      <c r="T2057" s="111">
        <f>Audit[[#This Row],[Audit Winning Candidate]]-Audit[[#This Row],[Winning Candidate]]</f>
        <v>-40</v>
      </c>
      <c r="U2057" s="111">
        <f>Audit[[#This Row],[Audit Candidate 3]]-Audit[[#This Row],[Candidate 3]]</f>
        <v>-6</v>
      </c>
      <c r="V2057" s="111">
        <f>Audit[[#This Row],[Audit Candidate 4]]-Audit[[#This Row],[Candidate 4]]</f>
        <v>-1</v>
      </c>
      <c r="W2057" s="111">
        <f>Audit[[#This Row],[Audit Candidate 5]]-Audit[[#This Row],[Candidate 5]]</f>
        <v>-3</v>
      </c>
      <c r="X2057" s="111">
        <f>Audit[[#This Row],[Audit Candidate 6]]-Audit[[#This Row],[Candidate 6]]</f>
        <v>0</v>
      </c>
      <c r="Y2057" s="111">
        <f>SUMIF(Audit[[#This Row],[Difference Loser]:[Difference Candidate 6]], "&gt;0")</f>
        <v>0</v>
      </c>
      <c r="Z2057" s="111">
        <f>SUM(Audit[[#This Row],[Difference Loser]:[Difference Candidate 6]])</f>
        <v>-81</v>
      </c>
      <c r="AA2057" s="111">
        <f>IF(Audit[[#This Row],[Times p Drawn - With Replacement]]&gt;0, IF(Audit[[#This Row],[Canceled Differences]]&lt;0, Audit[[#This Row],[Max Differences]]+ABS(Audit[[#This Row],[Canceled Differences]]), Audit[[#This Row],[Max Differences]]), 0)</f>
        <v>0</v>
      </c>
      <c r="AB2057" s="111">
        <f>'Sampling Data'!P2056</f>
        <v>5.5732484076433117E-3</v>
      </c>
      <c r="AC2057" s="111">
        <f>IF(
      SUM(Audit[[#This Row],[Audit Losing Candidate]:[Audit Candidate 6]])
      &lt;&gt;0,
      (Audit[[#This Row],[Winning Candidate]]-Audit[[#This Row],[Losing Candidate]]-(Audit[[#This Row],[Audit Winning Candidate]]-Audit[[#This Row],[Audit Losing Candidate]]))/(Audit[[#Totals],[Winning Candidate]]-Audit[[#Totals],[Losing Candidate]]),
      0
)</f>
        <v>0</v>
      </c>
      <c r="AD20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7" s="111">
        <f>IF(Audit[[#This Row],[Max Relative Error (ep)]] = 0, 0, Audit[[#This Row],[Max Relative Error (ep)]]/Audit[[#This Row],[Error Bound (up) - Max. possible relative overstatement]])</f>
        <v>0</v>
      </c>
      <c r="AJ20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57" s="111">
        <f t="shared" si="32"/>
        <v>1</v>
      </c>
      <c r="AL2057" s="111">
        <f>PRODUCT($AK$5:AK2057)</f>
        <v>8.962823818226312E-2</v>
      </c>
      <c r="AM2057" s="109">
        <f>1 - [K-M P Value]</f>
        <v>0.91037176181773694</v>
      </c>
      <c r="AN2057" s="111" t="str">
        <f>IF(Audit[[#This Row],[K-M P Value]]&gt;1-'General Info'!$B$16,"Continue", "Stop")</f>
        <v>Stop</v>
      </c>
      <c r="AO2057" s="110" t="b">
        <f>IF(Audit[[#This Row],[Status - Continue or stop audit]] = "Continue", TRUE, IF(AN2056 = "Continue", TRUE, FALSE))</f>
        <v>0</v>
      </c>
      <c r="AP2057" s="110"/>
    </row>
    <row r="2058" spans="1:42" ht="15" hidden="1" customHeight="1">
      <c r="A2058" s="111" t="str">
        <f>'Sampling Data'!W2057</f>
        <v/>
      </c>
      <c r="B2058" s="112" t="str">
        <f>'Sampling Data'!A2057</f>
        <v>STRONGSVILLE -04-H</v>
      </c>
      <c r="C2058" s="112">
        <f>'Sampling Data'!B2057</f>
        <v>23</v>
      </c>
      <c r="D2058" s="112">
        <f>'Sampling Data'!C2057</f>
        <v>55</v>
      </c>
      <c r="E2058" s="113">
        <f>'Sampling Data'!D2057</f>
        <v>14</v>
      </c>
      <c r="F2058" s="113">
        <f>'Sampling Data'!E2057</f>
        <v>10</v>
      </c>
      <c r="G2058" s="113">
        <f>'Sampling Data'!F2057</f>
        <v>1</v>
      </c>
      <c r="H2058" s="113">
        <f>'Sampling Data'!G2057</f>
        <v>1</v>
      </c>
      <c r="I2058" s="112">
        <f>'Sampling Data'!H2057</f>
        <v>1</v>
      </c>
      <c r="J2058" s="112">
        <f>'Sampling Data'!I2057</f>
        <v>2</v>
      </c>
      <c r="K2058" s="112">
        <f>'Sampling Data'!J2057</f>
        <v>107</v>
      </c>
      <c r="L2058" s="111">
        <f>'Sampling Data'!X2057</f>
        <v>0</v>
      </c>
      <c r="M2058" s="114"/>
      <c r="N2058" s="114"/>
      <c r="O2058" s="115"/>
      <c r="P2058" s="115"/>
      <c r="Q2058" s="116"/>
      <c r="R2058" s="116"/>
      <c r="S2058" s="111">
        <f>Audit[[#This Row],[Audit Losing Candidate]]-Audit[[#This Row],[Losing Candidate]]</f>
        <v>-23</v>
      </c>
      <c r="T2058" s="111">
        <f>Audit[[#This Row],[Audit Winning Candidate]]-Audit[[#This Row],[Winning Candidate]]</f>
        <v>-55</v>
      </c>
      <c r="U2058" s="111">
        <f>Audit[[#This Row],[Audit Candidate 3]]-Audit[[#This Row],[Candidate 3]]</f>
        <v>-14</v>
      </c>
      <c r="V2058" s="111">
        <f>Audit[[#This Row],[Audit Candidate 4]]-Audit[[#This Row],[Candidate 4]]</f>
        <v>-10</v>
      </c>
      <c r="W2058" s="111">
        <f>Audit[[#This Row],[Audit Candidate 5]]-Audit[[#This Row],[Candidate 5]]</f>
        <v>-1</v>
      </c>
      <c r="X2058" s="111">
        <f>Audit[[#This Row],[Audit Candidate 6]]-Audit[[#This Row],[Candidate 6]]</f>
        <v>-1</v>
      </c>
      <c r="Y2058" s="111">
        <f>SUMIF(Audit[[#This Row],[Difference Loser]:[Difference Candidate 6]], "&gt;0")</f>
        <v>0</v>
      </c>
      <c r="Z2058" s="111">
        <f>SUM(Audit[[#This Row],[Difference Loser]:[Difference Candidate 6]])</f>
        <v>-104</v>
      </c>
      <c r="AA2058" s="111">
        <f>IF(Audit[[#This Row],[Times p Drawn - With Replacement]]&gt;0, IF(Audit[[#This Row],[Canceled Differences]]&lt;0, Audit[[#This Row],[Max Differences]]+ABS(Audit[[#This Row],[Canceled Differences]]), Audit[[#This Row],[Max Differences]]), 0)</f>
        <v>0</v>
      </c>
      <c r="AB2058" s="111">
        <f>'Sampling Data'!P2057</f>
        <v>8.5129838314551686E-3</v>
      </c>
      <c r="AC2058" s="111">
        <f>IF(
      SUM(Audit[[#This Row],[Audit Losing Candidate]:[Audit Candidate 6]])
      &lt;&gt;0,
      (Audit[[#This Row],[Winning Candidate]]-Audit[[#This Row],[Losing Candidate]]-(Audit[[#This Row],[Audit Winning Candidate]]-Audit[[#This Row],[Audit Losing Candidate]]))/(Audit[[#Totals],[Winning Candidate]]-Audit[[#Totals],[Losing Candidate]]),
      0
)</f>
        <v>0</v>
      </c>
      <c r="AD20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8" s="111">
        <f>IF(Audit[[#This Row],[Max Relative Error (ep)]] = 0, 0, Audit[[#This Row],[Max Relative Error (ep)]]/Audit[[#This Row],[Error Bound (up) - Max. possible relative overstatement]])</f>
        <v>0</v>
      </c>
      <c r="AJ20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58" s="111">
        <f t="shared" si="32"/>
        <v>1</v>
      </c>
      <c r="AL2058" s="111">
        <f>PRODUCT($AK$5:AK2058)</f>
        <v>8.962823818226312E-2</v>
      </c>
      <c r="AM2058" s="109">
        <f>1 - [K-M P Value]</f>
        <v>0.91037176181773694</v>
      </c>
      <c r="AN2058" s="111" t="str">
        <f>IF(Audit[[#This Row],[K-M P Value]]&gt;1-'General Info'!$B$16,"Continue", "Stop")</f>
        <v>Stop</v>
      </c>
      <c r="AO2058" s="110" t="b">
        <f>IF(Audit[[#This Row],[Status - Continue or stop audit]] = "Continue", TRUE, IF(AN2057 = "Continue", TRUE, FALSE))</f>
        <v>0</v>
      </c>
      <c r="AP2058" s="110"/>
    </row>
    <row r="2059" spans="1:42" ht="15" hidden="1" customHeight="1">
      <c r="A2059" s="111" t="str">
        <f>'Sampling Data'!W2058</f>
        <v/>
      </c>
      <c r="B2059" s="112" t="str">
        <f>'Sampling Data'!A2058</f>
        <v>STRONGSVILLE -04-H - ABS</v>
      </c>
      <c r="C2059" s="112">
        <f>'Sampling Data'!B2058</f>
        <v>24</v>
      </c>
      <c r="D2059" s="112">
        <f>'Sampling Data'!C2058</f>
        <v>33</v>
      </c>
      <c r="E2059" s="113">
        <f>'Sampling Data'!D2058</f>
        <v>4</v>
      </c>
      <c r="F2059" s="113">
        <f>'Sampling Data'!E2058</f>
        <v>3</v>
      </c>
      <c r="G2059" s="113">
        <f>'Sampling Data'!F2058</f>
        <v>0</v>
      </c>
      <c r="H2059" s="113">
        <f>'Sampling Data'!G2058</f>
        <v>0</v>
      </c>
      <c r="I2059" s="112">
        <f>'Sampling Data'!H2058</f>
        <v>0</v>
      </c>
      <c r="J2059" s="112">
        <f>'Sampling Data'!I2058</f>
        <v>2</v>
      </c>
      <c r="K2059" s="112">
        <f>'Sampling Data'!J2058</f>
        <v>66</v>
      </c>
      <c r="L2059" s="111">
        <f>'Sampling Data'!X2058</f>
        <v>0</v>
      </c>
      <c r="M2059" s="114"/>
      <c r="N2059" s="114"/>
      <c r="O2059" s="115"/>
      <c r="P2059" s="115"/>
      <c r="Q2059" s="116"/>
      <c r="R2059" s="116"/>
      <c r="S2059" s="111">
        <f>Audit[[#This Row],[Audit Losing Candidate]]-Audit[[#This Row],[Losing Candidate]]</f>
        <v>-24</v>
      </c>
      <c r="T2059" s="111">
        <f>Audit[[#This Row],[Audit Winning Candidate]]-Audit[[#This Row],[Winning Candidate]]</f>
        <v>-33</v>
      </c>
      <c r="U2059" s="111">
        <f>Audit[[#This Row],[Audit Candidate 3]]-Audit[[#This Row],[Candidate 3]]</f>
        <v>-4</v>
      </c>
      <c r="V2059" s="111">
        <f>Audit[[#This Row],[Audit Candidate 4]]-Audit[[#This Row],[Candidate 4]]</f>
        <v>-3</v>
      </c>
      <c r="W2059" s="111">
        <f>Audit[[#This Row],[Audit Candidate 5]]-Audit[[#This Row],[Candidate 5]]</f>
        <v>0</v>
      </c>
      <c r="X2059" s="111">
        <f>Audit[[#This Row],[Audit Candidate 6]]-Audit[[#This Row],[Candidate 6]]</f>
        <v>0</v>
      </c>
      <c r="Y2059" s="111">
        <f>SUMIF(Audit[[#This Row],[Difference Loser]:[Difference Candidate 6]], "&gt;0")</f>
        <v>0</v>
      </c>
      <c r="Z2059" s="111">
        <f>SUM(Audit[[#This Row],[Difference Loser]:[Difference Candidate 6]])</f>
        <v>-64</v>
      </c>
      <c r="AA2059" s="111">
        <f>IF(Audit[[#This Row],[Times p Drawn - With Replacement]]&gt;0, IF(Audit[[#This Row],[Canceled Differences]]&lt;0, Audit[[#This Row],[Max Differences]]+ABS(Audit[[#This Row],[Canceled Differences]]), Audit[[#This Row],[Max Differences]]), 0)</f>
        <v>0</v>
      </c>
      <c r="AB2059" s="111">
        <f>'Sampling Data'!P2058</f>
        <v>4.5933365997060261E-3</v>
      </c>
      <c r="AC2059" s="111">
        <f>IF(
      SUM(Audit[[#This Row],[Audit Losing Candidate]:[Audit Candidate 6]])
      &lt;&gt;0,
      (Audit[[#This Row],[Winning Candidate]]-Audit[[#This Row],[Losing Candidate]]-(Audit[[#This Row],[Audit Winning Candidate]]-Audit[[#This Row],[Audit Losing Candidate]]))/(Audit[[#Totals],[Winning Candidate]]-Audit[[#Totals],[Losing Candidate]]),
      0
)</f>
        <v>0</v>
      </c>
      <c r="AD20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9" s="111">
        <f>IF(Audit[[#This Row],[Max Relative Error (ep)]] = 0, 0, Audit[[#This Row],[Max Relative Error (ep)]]/Audit[[#This Row],[Error Bound (up) - Max. possible relative overstatement]])</f>
        <v>0</v>
      </c>
      <c r="AJ20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59" s="111">
        <f t="shared" si="32"/>
        <v>1</v>
      </c>
      <c r="AL2059" s="111">
        <f>PRODUCT($AK$5:AK2059)</f>
        <v>8.962823818226312E-2</v>
      </c>
      <c r="AM2059" s="109">
        <f>1 - [K-M P Value]</f>
        <v>0.91037176181773694</v>
      </c>
      <c r="AN2059" s="111" t="str">
        <f>IF(Audit[[#This Row],[K-M P Value]]&gt;1-'General Info'!$B$16,"Continue", "Stop")</f>
        <v>Stop</v>
      </c>
      <c r="AO2059" s="110" t="b">
        <f>IF(Audit[[#This Row],[Status - Continue or stop audit]] = "Continue", TRUE, IF(AN2058 = "Continue", TRUE, FALSE))</f>
        <v>0</v>
      </c>
      <c r="AP2059" s="110"/>
    </row>
    <row r="2060" spans="1:42" ht="15" hidden="1" customHeight="1">
      <c r="A2060" s="111" t="str">
        <f>'Sampling Data'!W2059</f>
        <v/>
      </c>
      <c r="B2060" s="112" t="str">
        <f>'Sampling Data'!A2059</f>
        <v>STRONGSVILLE -04-I</v>
      </c>
      <c r="C2060" s="112">
        <f>'Sampling Data'!B2059</f>
        <v>47</v>
      </c>
      <c r="D2060" s="112">
        <f>'Sampling Data'!C2059</f>
        <v>99</v>
      </c>
      <c r="E2060" s="113">
        <f>'Sampling Data'!D2059</f>
        <v>13</v>
      </c>
      <c r="F2060" s="113">
        <f>'Sampling Data'!E2059</f>
        <v>13</v>
      </c>
      <c r="G2060" s="113">
        <f>'Sampling Data'!F2059</f>
        <v>0</v>
      </c>
      <c r="H2060" s="113">
        <f>'Sampling Data'!G2059</f>
        <v>0</v>
      </c>
      <c r="I2060" s="112">
        <f>'Sampling Data'!H2059</f>
        <v>0</v>
      </c>
      <c r="J2060" s="112">
        <f>'Sampling Data'!I2059</f>
        <v>4</v>
      </c>
      <c r="K2060" s="112">
        <f>'Sampling Data'!J2059</f>
        <v>176</v>
      </c>
      <c r="L2060" s="111">
        <f>'Sampling Data'!X2059</f>
        <v>0</v>
      </c>
      <c r="M2060" s="114"/>
      <c r="N2060" s="114"/>
      <c r="O2060" s="115"/>
      <c r="P2060" s="115"/>
      <c r="Q2060" s="116"/>
      <c r="R2060" s="116"/>
      <c r="S2060" s="111">
        <f>Audit[[#This Row],[Audit Losing Candidate]]-Audit[[#This Row],[Losing Candidate]]</f>
        <v>-47</v>
      </c>
      <c r="T2060" s="111">
        <f>Audit[[#This Row],[Audit Winning Candidate]]-Audit[[#This Row],[Winning Candidate]]</f>
        <v>-99</v>
      </c>
      <c r="U2060" s="111">
        <f>Audit[[#This Row],[Audit Candidate 3]]-Audit[[#This Row],[Candidate 3]]</f>
        <v>-13</v>
      </c>
      <c r="V2060" s="111">
        <f>Audit[[#This Row],[Audit Candidate 4]]-Audit[[#This Row],[Candidate 4]]</f>
        <v>-13</v>
      </c>
      <c r="W2060" s="111">
        <f>Audit[[#This Row],[Audit Candidate 5]]-Audit[[#This Row],[Candidate 5]]</f>
        <v>0</v>
      </c>
      <c r="X2060" s="111">
        <f>Audit[[#This Row],[Audit Candidate 6]]-Audit[[#This Row],[Candidate 6]]</f>
        <v>0</v>
      </c>
      <c r="Y2060" s="111">
        <f>SUMIF(Audit[[#This Row],[Difference Loser]:[Difference Candidate 6]], "&gt;0")</f>
        <v>0</v>
      </c>
      <c r="Z2060" s="111">
        <f>SUM(Audit[[#This Row],[Difference Loser]:[Difference Candidate 6]])</f>
        <v>-172</v>
      </c>
      <c r="AA2060" s="111">
        <f>IF(Audit[[#This Row],[Times p Drawn - With Replacement]]&gt;0, IF(Audit[[#This Row],[Canceled Differences]]&lt;0, Audit[[#This Row],[Max Differences]]+ABS(Audit[[#This Row],[Canceled Differences]]), Audit[[#This Row],[Max Differences]]), 0)</f>
        <v>0</v>
      </c>
      <c r="AB2060" s="111">
        <f>'Sampling Data'!P2059</f>
        <v>1.396374326310632E-2</v>
      </c>
      <c r="AC2060" s="111">
        <f>IF(
      SUM(Audit[[#This Row],[Audit Losing Candidate]:[Audit Candidate 6]])
      &lt;&gt;0,
      (Audit[[#This Row],[Winning Candidate]]-Audit[[#This Row],[Losing Candidate]]-(Audit[[#This Row],[Audit Winning Candidate]]-Audit[[#This Row],[Audit Losing Candidate]]))/(Audit[[#Totals],[Winning Candidate]]-Audit[[#Totals],[Losing Candidate]]),
      0
)</f>
        <v>0</v>
      </c>
      <c r="AD20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0" s="111">
        <f>IF(Audit[[#This Row],[Max Relative Error (ep)]] = 0, 0, Audit[[#This Row],[Max Relative Error (ep)]]/Audit[[#This Row],[Error Bound (up) - Max. possible relative overstatement]])</f>
        <v>0</v>
      </c>
      <c r="AJ20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60" s="111">
        <f t="shared" si="32"/>
        <v>1</v>
      </c>
      <c r="AL2060" s="111">
        <f>PRODUCT($AK$5:AK2060)</f>
        <v>8.962823818226312E-2</v>
      </c>
      <c r="AM2060" s="109">
        <f>1 - [K-M P Value]</f>
        <v>0.91037176181773694</v>
      </c>
      <c r="AN2060" s="111" t="str">
        <f>IF(Audit[[#This Row],[K-M P Value]]&gt;1-'General Info'!$B$16,"Continue", "Stop")</f>
        <v>Stop</v>
      </c>
      <c r="AO2060" s="110" t="b">
        <f>IF(Audit[[#This Row],[Status - Continue or stop audit]] = "Continue", TRUE, IF(AN2059 = "Continue", TRUE, FALSE))</f>
        <v>0</v>
      </c>
      <c r="AP2060" s="110"/>
    </row>
    <row r="2061" spans="1:42" ht="15" hidden="1" customHeight="1">
      <c r="A2061" s="111" t="str">
        <f>'Sampling Data'!W2060</f>
        <v/>
      </c>
      <c r="B2061" s="112" t="str">
        <f>'Sampling Data'!A2060</f>
        <v>STRONGSVILLE -04-I - ABS</v>
      </c>
      <c r="C2061" s="112">
        <f>'Sampling Data'!B2060</f>
        <v>16</v>
      </c>
      <c r="D2061" s="112">
        <f>'Sampling Data'!C2060</f>
        <v>29</v>
      </c>
      <c r="E2061" s="113">
        <f>'Sampling Data'!D2060</f>
        <v>9</v>
      </c>
      <c r="F2061" s="113">
        <f>'Sampling Data'!E2060</f>
        <v>6</v>
      </c>
      <c r="G2061" s="113">
        <f>'Sampling Data'!F2060</f>
        <v>0</v>
      </c>
      <c r="H2061" s="113">
        <f>'Sampling Data'!G2060</f>
        <v>0</v>
      </c>
      <c r="I2061" s="112">
        <f>'Sampling Data'!H2060</f>
        <v>0</v>
      </c>
      <c r="J2061" s="112">
        <f>'Sampling Data'!I2060</f>
        <v>3</v>
      </c>
      <c r="K2061" s="112">
        <f>'Sampling Data'!J2060</f>
        <v>63</v>
      </c>
      <c r="L2061" s="111">
        <f>'Sampling Data'!X2060</f>
        <v>0</v>
      </c>
      <c r="M2061" s="114"/>
      <c r="N2061" s="114"/>
      <c r="O2061" s="115"/>
      <c r="P2061" s="115"/>
      <c r="Q2061" s="116"/>
      <c r="R2061" s="116"/>
      <c r="S2061" s="111">
        <f>Audit[[#This Row],[Audit Losing Candidate]]-Audit[[#This Row],[Losing Candidate]]</f>
        <v>-16</v>
      </c>
      <c r="T2061" s="111">
        <f>Audit[[#This Row],[Audit Winning Candidate]]-Audit[[#This Row],[Winning Candidate]]</f>
        <v>-29</v>
      </c>
      <c r="U2061" s="111">
        <f>Audit[[#This Row],[Audit Candidate 3]]-Audit[[#This Row],[Candidate 3]]</f>
        <v>-9</v>
      </c>
      <c r="V2061" s="111">
        <f>Audit[[#This Row],[Audit Candidate 4]]-Audit[[#This Row],[Candidate 4]]</f>
        <v>-6</v>
      </c>
      <c r="W2061" s="111">
        <f>Audit[[#This Row],[Audit Candidate 5]]-Audit[[#This Row],[Candidate 5]]</f>
        <v>0</v>
      </c>
      <c r="X2061" s="111">
        <f>Audit[[#This Row],[Audit Candidate 6]]-Audit[[#This Row],[Candidate 6]]</f>
        <v>0</v>
      </c>
      <c r="Y2061" s="111">
        <f>SUMIF(Audit[[#This Row],[Difference Loser]:[Difference Candidate 6]], "&gt;0")</f>
        <v>0</v>
      </c>
      <c r="Z2061" s="111">
        <f>SUM(Audit[[#This Row],[Difference Loser]:[Difference Candidate 6]])</f>
        <v>-60</v>
      </c>
      <c r="AA2061" s="111">
        <f>IF(Audit[[#This Row],[Times p Drawn - With Replacement]]&gt;0, IF(Audit[[#This Row],[Canceled Differences]]&lt;0, Audit[[#This Row],[Max Differences]]+ABS(Audit[[#This Row],[Canceled Differences]]), Audit[[#This Row],[Max Differences]]), 0)</f>
        <v>0</v>
      </c>
      <c r="AB2061" s="111">
        <f>'Sampling Data'!P2060</f>
        <v>4.6545810877021065E-3</v>
      </c>
      <c r="AC2061" s="111">
        <f>IF(
      SUM(Audit[[#This Row],[Audit Losing Candidate]:[Audit Candidate 6]])
      &lt;&gt;0,
      (Audit[[#This Row],[Winning Candidate]]-Audit[[#This Row],[Losing Candidate]]-(Audit[[#This Row],[Audit Winning Candidate]]-Audit[[#This Row],[Audit Losing Candidate]]))/(Audit[[#Totals],[Winning Candidate]]-Audit[[#Totals],[Losing Candidate]]),
      0
)</f>
        <v>0</v>
      </c>
      <c r="AD20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1" s="111">
        <f>IF(Audit[[#This Row],[Max Relative Error (ep)]] = 0, 0, Audit[[#This Row],[Max Relative Error (ep)]]/Audit[[#This Row],[Error Bound (up) - Max. possible relative overstatement]])</f>
        <v>0</v>
      </c>
      <c r="AJ20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61" s="111">
        <f t="shared" si="32"/>
        <v>1</v>
      </c>
      <c r="AL2061" s="111">
        <f>PRODUCT($AK$5:AK2061)</f>
        <v>8.962823818226312E-2</v>
      </c>
      <c r="AM2061" s="109">
        <f>1 - [K-M P Value]</f>
        <v>0.91037176181773694</v>
      </c>
      <c r="AN2061" s="111" t="str">
        <f>IF(Audit[[#This Row],[K-M P Value]]&gt;1-'General Info'!$B$16,"Continue", "Stop")</f>
        <v>Stop</v>
      </c>
      <c r="AO2061" s="110" t="b">
        <f>IF(Audit[[#This Row],[Status - Continue or stop audit]] = "Continue", TRUE, IF(AN2060 = "Continue", TRUE, FALSE))</f>
        <v>0</v>
      </c>
      <c r="AP2061" s="110"/>
    </row>
    <row r="2062" spans="1:42" ht="15" hidden="1" customHeight="1">
      <c r="A2062" s="111" t="str">
        <f>'Sampling Data'!W2061</f>
        <v/>
      </c>
      <c r="B2062" s="112" t="str">
        <f>'Sampling Data'!A2061</f>
        <v>UNIVERSITY HEIGHTS -00-A</v>
      </c>
      <c r="C2062" s="112">
        <f>'Sampling Data'!B2061</f>
        <v>10</v>
      </c>
      <c r="D2062" s="112">
        <f>'Sampling Data'!C2061</f>
        <v>5</v>
      </c>
      <c r="E2062" s="113">
        <f>'Sampling Data'!D2061</f>
        <v>1</v>
      </c>
      <c r="F2062" s="113">
        <f>'Sampling Data'!E2061</f>
        <v>3</v>
      </c>
      <c r="G2062" s="113">
        <f>'Sampling Data'!F2061</f>
        <v>0</v>
      </c>
      <c r="H2062" s="113">
        <f>'Sampling Data'!G2061</f>
        <v>0</v>
      </c>
      <c r="I2062" s="112">
        <f>'Sampling Data'!H2061</f>
        <v>0</v>
      </c>
      <c r="J2062" s="112">
        <f>'Sampling Data'!I2061</f>
        <v>0</v>
      </c>
      <c r="K2062" s="112">
        <f>'Sampling Data'!J2061</f>
        <v>19</v>
      </c>
      <c r="L2062" s="111">
        <f>'Sampling Data'!X2061</f>
        <v>0</v>
      </c>
      <c r="M2062" s="114"/>
      <c r="N2062" s="114"/>
      <c r="O2062" s="115"/>
      <c r="P2062" s="115"/>
      <c r="Q2062" s="116"/>
      <c r="R2062" s="116"/>
      <c r="S2062" s="111">
        <f>Audit[[#This Row],[Audit Losing Candidate]]-Audit[[#This Row],[Losing Candidate]]</f>
        <v>-10</v>
      </c>
      <c r="T2062" s="111">
        <f>Audit[[#This Row],[Audit Winning Candidate]]-Audit[[#This Row],[Winning Candidate]]</f>
        <v>-5</v>
      </c>
      <c r="U2062" s="111">
        <f>Audit[[#This Row],[Audit Candidate 3]]-Audit[[#This Row],[Candidate 3]]</f>
        <v>-1</v>
      </c>
      <c r="V2062" s="111">
        <f>Audit[[#This Row],[Audit Candidate 4]]-Audit[[#This Row],[Candidate 4]]</f>
        <v>-3</v>
      </c>
      <c r="W2062" s="111">
        <f>Audit[[#This Row],[Audit Candidate 5]]-Audit[[#This Row],[Candidate 5]]</f>
        <v>0</v>
      </c>
      <c r="X2062" s="111">
        <f>Audit[[#This Row],[Audit Candidate 6]]-Audit[[#This Row],[Candidate 6]]</f>
        <v>0</v>
      </c>
      <c r="Y2062" s="111">
        <f>SUMIF(Audit[[#This Row],[Difference Loser]:[Difference Candidate 6]], "&gt;0")</f>
        <v>0</v>
      </c>
      <c r="Z2062" s="111">
        <f>SUM(Audit[[#This Row],[Difference Loser]:[Difference Candidate 6]])</f>
        <v>-19</v>
      </c>
      <c r="AA2062" s="111">
        <f>IF(Audit[[#This Row],[Times p Drawn - With Replacement]]&gt;0, IF(Audit[[#This Row],[Canceled Differences]]&lt;0, Audit[[#This Row],[Max Differences]]+ABS(Audit[[#This Row],[Canceled Differences]]), Audit[[#This Row],[Max Differences]]), 0)</f>
        <v>0</v>
      </c>
      <c r="AB2062" s="111">
        <f>'Sampling Data'!P2061</f>
        <v>8.5742283194512492E-4</v>
      </c>
      <c r="AC2062" s="111">
        <f>IF(
      SUM(Audit[[#This Row],[Audit Losing Candidate]:[Audit Candidate 6]])
      &lt;&gt;0,
      (Audit[[#This Row],[Winning Candidate]]-Audit[[#This Row],[Losing Candidate]]-(Audit[[#This Row],[Audit Winning Candidate]]-Audit[[#This Row],[Audit Losing Candidate]]))/(Audit[[#Totals],[Winning Candidate]]-Audit[[#Totals],[Losing Candidate]]),
      0
)</f>
        <v>0</v>
      </c>
      <c r="AD20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2" s="111">
        <f>IF(Audit[[#This Row],[Max Relative Error (ep)]] = 0, 0, Audit[[#This Row],[Max Relative Error (ep)]]/Audit[[#This Row],[Error Bound (up) - Max. possible relative overstatement]])</f>
        <v>0</v>
      </c>
      <c r="AJ20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62" s="111">
        <f t="shared" si="32"/>
        <v>1</v>
      </c>
      <c r="AL2062" s="111">
        <f>PRODUCT($AK$5:AK2062)</f>
        <v>8.962823818226312E-2</v>
      </c>
      <c r="AM2062" s="109">
        <f>1 - [K-M P Value]</f>
        <v>0.91037176181773694</v>
      </c>
      <c r="AN2062" s="111" t="str">
        <f>IF(Audit[[#This Row],[K-M P Value]]&gt;1-'General Info'!$B$16,"Continue", "Stop")</f>
        <v>Stop</v>
      </c>
      <c r="AO2062" s="110" t="b">
        <f>IF(Audit[[#This Row],[Status - Continue or stop audit]] = "Continue", TRUE, IF(AN2061 = "Continue", TRUE, FALSE))</f>
        <v>0</v>
      </c>
      <c r="AP2062" s="110"/>
    </row>
    <row r="2063" spans="1:42" ht="15" hidden="1" customHeight="1">
      <c r="A2063" s="111" t="str">
        <f>'Sampling Data'!W2062</f>
        <v/>
      </c>
      <c r="B2063" s="112" t="str">
        <f>'Sampling Data'!A2062</f>
        <v>UNIVERSITY HEIGHTS -00-A - ABS</v>
      </c>
      <c r="C2063" s="112">
        <f>'Sampling Data'!B2062</f>
        <v>1</v>
      </c>
      <c r="D2063" s="112">
        <f>'Sampling Data'!C2062</f>
        <v>4</v>
      </c>
      <c r="E2063" s="113">
        <f>'Sampling Data'!D2062</f>
        <v>1</v>
      </c>
      <c r="F2063" s="113">
        <f>'Sampling Data'!E2062</f>
        <v>0</v>
      </c>
      <c r="G2063" s="113">
        <f>'Sampling Data'!F2062</f>
        <v>0</v>
      </c>
      <c r="H2063" s="113">
        <f>'Sampling Data'!G2062</f>
        <v>1</v>
      </c>
      <c r="I2063" s="112">
        <f>'Sampling Data'!H2062</f>
        <v>0</v>
      </c>
      <c r="J2063" s="112">
        <f>'Sampling Data'!I2062</f>
        <v>0</v>
      </c>
      <c r="K2063" s="112">
        <f>'Sampling Data'!J2062</f>
        <v>7</v>
      </c>
      <c r="L2063" s="111">
        <f>'Sampling Data'!X2062</f>
        <v>0</v>
      </c>
      <c r="M2063" s="114"/>
      <c r="N2063" s="114"/>
      <c r="O2063" s="115"/>
      <c r="P2063" s="115"/>
      <c r="Q2063" s="116"/>
      <c r="R2063" s="116"/>
      <c r="S2063" s="111">
        <f>Audit[[#This Row],[Audit Losing Candidate]]-Audit[[#This Row],[Losing Candidate]]</f>
        <v>-1</v>
      </c>
      <c r="T2063" s="111">
        <f>Audit[[#This Row],[Audit Winning Candidate]]-Audit[[#This Row],[Winning Candidate]]</f>
        <v>-4</v>
      </c>
      <c r="U2063" s="111">
        <f>Audit[[#This Row],[Audit Candidate 3]]-Audit[[#This Row],[Candidate 3]]</f>
        <v>-1</v>
      </c>
      <c r="V2063" s="111">
        <f>Audit[[#This Row],[Audit Candidate 4]]-Audit[[#This Row],[Candidate 4]]</f>
        <v>0</v>
      </c>
      <c r="W2063" s="111">
        <f>Audit[[#This Row],[Audit Candidate 5]]-Audit[[#This Row],[Candidate 5]]</f>
        <v>0</v>
      </c>
      <c r="X2063" s="111">
        <f>Audit[[#This Row],[Audit Candidate 6]]-Audit[[#This Row],[Candidate 6]]</f>
        <v>-1</v>
      </c>
      <c r="Y2063" s="111">
        <f>SUMIF(Audit[[#This Row],[Difference Loser]:[Difference Candidate 6]], "&gt;0")</f>
        <v>0</v>
      </c>
      <c r="Z2063" s="111">
        <f>SUM(Audit[[#This Row],[Difference Loser]:[Difference Candidate 6]])</f>
        <v>-7</v>
      </c>
      <c r="AA2063" s="111">
        <f>IF(Audit[[#This Row],[Times p Drawn - With Replacement]]&gt;0, IF(Audit[[#This Row],[Canceled Differences]]&lt;0, Audit[[#This Row],[Max Differences]]+ABS(Audit[[#This Row],[Canceled Differences]]), Audit[[#This Row],[Max Differences]]), 0)</f>
        <v>0</v>
      </c>
      <c r="AB2063" s="111">
        <f>'Sampling Data'!P2062</f>
        <v>6.1244487996080352E-4</v>
      </c>
      <c r="AC2063" s="111">
        <f>IF(
      SUM(Audit[[#This Row],[Audit Losing Candidate]:[Audit Candidate 6]])
      &lt;&gt;0,
      (Audit[[#This Row],[Winning Candidate]]-Audit[[#This Row],[Losing Candidate]]-(Audit[[#This Row],[Audit Winning Candidate]]-Audit[[#This Row],[Audit Losing Candidate]]))/(Audit[[#Totals],[Winning Candidate]]-Audit[[#Totals],[Losing Candidate]]),
      0
)</f>
        <v>0</v>
      </c>
      <c r="AD20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3" s="111">
        <f>IF(Audit[[#This Row],[Max Relative Error (ep)]] = 0, 0, Audit[[#This Row],[Max Relative Error (ep)]]/Audit[[#This Row],[Error Bound (up) - Max. possible relative overstatement]])</f>
        <v>0</v>
      </c>
      <c r="AJ20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63" s="111">
        <f t="shared" si="32"/>
        <v>1</v>
      </c>
      <c r="AL2063" s="111">
        <f>PRODUCT($AK$5:AK2063)</f>
        <v>8.962823818226312E-2</v>
      </c>
      <c r="AM2063" s="109">
        <f>1 - [K-M P Value]</f>
        <v>0.91037176181773694</v>
      </c>
      <c r="AN2063" s="111" t="str">
        <f>IF(Audit[[#This Row],[K-M P Value]]&gt;1-'General Info'!$B$16,"Continue", "Stop")</f>
        <v>Stop</v>
      </c>
      <c r="AO2063" s="110" t="b">
        <f>IF(Audit[[#This Row],[Status - Continue or stop audit]] = "Continue", TRUE, IF(AN2062 = "Continue", TRUE, FALSE))</f>
        <v>0</v>
      </c>
      <c r="AP2063" s="110"/>
    </row>
    <row r="2064" spans="1:42" ht="15" hidden="1" customHeight="1">
      <c r="A2064" s="111" t="str">
        <f>'Sampling Data'!W2063</f>
        <v/>
      </c>
      <c r="B2064" s="112" t="str">
        <f>'Sampling Data'!A2063</f>
        <v>UNIVERSITY HEIGHTS -00-B</v>
      </c>
      <c r="C2064" s="112">
        <f>'Sampling Data'!B2063</f>
        <v>16</v>
      </c>
      <c r="D2064" s="112">
        <f>'Sampling Data'!C2063</f>
        <v>20</v>
      </c>
      <c r="E2064" s="113">
        <f>'Sampling Data'!D2063</f>
        <v>5</v>
      </c>
      <c r="F2064" s="113">
        <f>'Sampling Data'!E2063</f>
        <v>3</v>
      </c>
      <c r="G2064" s="113">
        <f>'Sampling Data'!F2063</f>
        <v>0</v>
      </c>
      <c r="H2064" s="113">
        <f>'Sampling Data'!G2063</f>
        <v>0</v>
      </c>
      <c r="I2064" s="112">
        <f>'Sampling Data'!H2063</f>
        <v>0</v>
      </c>
      <c r="J2064" s="112">
        <f>'Sampling Data'!I2063</f>
        <v>1</v>
      </c>
      <c r="K2064" s="112">
        <f>'Sampling Data'!J2063</f>
        <v>45</v>
      </c>
      <c r="L2064" s="111">
        <f>'Sampling Data'!X2063</f>
        <v>0</v>
      </c>
      <c r="M2064" s="114"/>
      <c r="N2064" s="114"/>
      <c r="O2064" s="115"/>
      <c r="P2064" s="115"/>
      <c r="Q2064" s="116"/>
      <c r="R2064" s="116"/>
      <c r="S2064" s="111">
        <f>Audit[[#This Row],[Audit Losing Candidate]]-Audit[[#This Row],[Losing Candidate]]</f>
        <v>-16</v>
      </c>
      <c r="T2064" s="111">
        <f>Audit[[#This Row],[Audit Winning Candidate]]-Audit[[#This Row],[Winning Candidate]]</f>
        <v>-20</v>
      </c>
      <c r="U2064" s="111">
        <f>Audit[[#This Row],[Audit Candidate 3]]-Audit[[#This Row],[Candidate 3]]</f>
        <v>-5</v>
      </c>
      <c r="V2064" s="111">
        <f>Audit[[#This Row],[Audit Candidate 4]]-Audit[[#This Row],[Candidate 4]]</f>
        <v>-3</v>
      </c>
      <c r="W2064" s="111">
        <f>Audit[[#This Row],[Audit Candidate 5]]-Audit[[#This Row],[Candidate 5]]</f>
        <v>0</v>
      </c>
      <c r="X2064" s="111">
        <f>Audit[[#This Row],[Audit Candidate 6]]-Audit[[#This Row],[Candidate 6]]</f>
        <v>0</v>
      </c>
      <c r="Y2064" s="111">
        <f>SUMIF(Audit[[#This Row],[Difference Loser]:[Difference Candidate 6]], "&gt;0")</f>
        <v>0</v>
      </c>
      <c r="Z2064" s="111">
        <f>SUM(Audit[[#This Row],[Difference Loser]:[Difference Candidate 6]])</f>
        <v>-44</v>
      </c>
      <c r="AA2064" s="111">
        <f>IF(Audit[[#This Row],[Times p Drawn - With Replacement]]&gt;0, IF(Audit[[#This Row],[Canceled Differences]]&lt;0, Audit[[#This Row],[Max Differences]]+ABS(Audit[[#This Row],[Canceled Differences]]), Audit[[#This Row],[Max Differences]]), 0)</f>
        <v>0</v>
      </c>
      <c r="AB2064" s="111">
        <f>'Sampling Data'!P2063</f>
        <v>3.0009799118079373E-3</v>
      </c>
      <c r="AC2064" s="111">
        <f>IF(
      SUM(Audit[[#This Row],[Audit Losing Candidate]:[Audit Candidate 6]])
      &lt;&gt;0,
      (Audit[[#This Row],[Winning Candidate]]-Audit[[#This Row],[Losing Candidate]]-(Audit[[#This Row],[Audit Winning Candidate]]-Audit[[#This Row],[Audit Losing Candidate]]))/(Audit[[#Totals],[Winning Candidate]]-Audit[[#Totals],[Losing Candidate]]),
      0
)</f>
        <v>0</v>
      </c>
      <c r="AD20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4" s="111">
        <f>IF(Audit[[#This Row],[Max Relative Error (ep)]] = 0, 0, Audit[[#This Row],[Max Relative Error (ep)]]/Audit[[#This Row],[Error Bound (up) - Max. possible relative overstatement]])</f>
        <v>0</v>
      </c>
      <c r="AJ20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64" s="111">
        <f t="shared" si="32"/>
        <v>1</v>
      </c>
      <c r="AL2064" s="111">
        <f>PRODUCT($AK$5:AK2064)</f>
        <v>8.962823818226312E-2</v>
      </c>
      <c r="AM2064" s="109">
        <f>1 - [K-M P Value]</f>
        <v>0.91037176181773694</v>
      </c>
      <c r="AN2064" s="111" t="str">
        <f>IF(Audit[[#This Row],[K-M P Value]]&gt;1-'General Info'!$B$16,"Continue", "Stop")</f>
        <v>Stop</v>
      </c>
      <c r="AO2064" s="110" t="b">
        <f>IF(Audit[[#This Row],[Status - Continue or stop audit]] = "Continue", TRUE, IF(AN2063 = "Continue", TRUE, FALSE))</f>
        <v>0</v>
      </c>
      <c r="AP2064" s="110"/>
    </row>
    <row r="2065" spans="1:42" ht="15" hidden="1" customHeight="1">
      <c r="A2065" s="111" t="str">
        <f>'Sampling Data'!W2064</f>
        <v/>
      </c>
      <c r="B2065" s="112" t="str">
        <f>'Sampling Data'!A2064</f>
        <v>UNIVERSITY HEIGHTS -00-B - ABS</v>
      </c>
      <c r="C2065" s="112">
        <f>'Sampling Data'!B2064</f>
        <v>0</v>
      </c>
      <c r="D2065" s="112">
        <f>'Sampling Data'!C2064</f>
        <v>7</v>
      </c>
      <c r="E2065" s="113">
        <f>'Sampling Data'!D2064</f>
        <v>2</v>
      </c>
      <c r="F2065" s="113">
        <f>'Sampling Data'!E2064</f>
        <v>1</v>
      </c>
      <c r="G2065" s="113">
        <f>'Sampling Data'!F2064</f>
        <v>0</v>
      </c>
      <c r="H2065" s="113">
        <f>'Sampling Data'!G2064</f>
        <v>0</v>
      </c>
      <c r="I2065" s="112">
        <f>'Sampling Data'!H2064</f>
        <v>0</v>
      </c>
      <c r="J2065" s="112">
        <f>'Sampling Data'!I2064</f>
        <v>2</v>
      </c>
      <c r="K2065" s="112">
        <f>'Sampling Data'!J2064</f>
        <v>12</v>
      </c>
      <c r="L2065" s="111">
        <f>'Sampling Data'!X2064</f>
        <v>0</v>
      </c>
      <c r="M2065" s="114"/>
      <c r="N2065" s="114"/>
      <c r="O2065" s="115"/>
      <c r="P2065" s="115"/>
      <c r="Q2065" s="116"/>
      <c r="R2065" s="116"/>
      <c r="S2065" s="111">
        <f>Audit[[#This Row],[Audit Losing Candidate]]-Audit[[#This Row],[Losing Candidate]]</f>
        <v>0</v>
      </c>
      <c r="T2065" s="111">
        <f>Audit[[#This Row],[Audit Winning Candidate]]-Audit[[#This Row],[Winning Candidate]]</f>
        <v>-7</v>
      </c>
      <c r="U2065" s="111">
        <f>Audit[[#This Row],[Audit Candidate 3]]-Audit[[#This Row],[Candidate 3]]</f>
        <v>-2</v>
      </c>
      <c r="V2065" s="111">
        <f>Audit[[#This Row],[Audit Candidate 4]]-Audit[[#This Row],[Candidate 4]]</f>
        <v>-1</v>
      </c>
      <c r="W2065" s="111">
        <f>Audit[[#This Row],[Audit Candidate 5]]-Audit[[#This Row],[Candidate 5]]</f>
        <v>0</v>
      </c>
      <c r="X2065" s="111">
        <f>Audit[[#This Row],[Audit Candidate 6]]-Audit[[#This Row],[Candidate 6]]</f>
        <v>0</v>
      </c>
      <c r="Y2065" s="111">
        <f>SUMIF(Audit[[#This Row],[Difference Loser]:[Difference Candidate 6]], "&gt;0")</f>
        <v>0</v>
      </c>
      <c r="Z2065" s="111">
        <f>SUM(Audit[[#This Row],[Difference Loser]:[Difference Candidate 6]])</f>
        <v>-10</v>
      </c>
      <c r="AA2065" s="111">
        <f>IF(Audit[[#This Row],[Times p Drawn - With Replacement]]&gt;0, IF(Audit[[#This Row],[Canceled Differences]]&lt;0, Audit[[#This Row],[Max Differences]]+ABS(Audit[[#This Row],[Canceled Differences]]), Audit[[#This Row],[Max Differences]]), 0)</f>
        <v>0</v>
      </c>
      <c r="AB2065" s="111">
        <f>'Sampling Data'!P2064</f>
        <v>1.1636452719255266E-3</v>
      </c>
      <c r="AC2065" s="111">
        <f>IF(
      SUM(Audit[[#This Row],[Audit Losing Candidate]:[Audit Candidate 6]])
      &lt;&gt;0,
      (Audit[[#This Row],[Winning Candidate]]-Audit[[#This Row],[Losing Candidate]]-(Audit[[#This Row],[Audit Winning Candidate]]-Audit[[#This Row],[Audit Losing Candidate]]))/(Audit[[#Totals],[Winning Candidate]]-Audit[[#Totals],[Losing Candidate]]),
      0
)</f>
        <v>0</v>
      </c>
      <c r="AD20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5" s="111">
        <f>IF(Audit[[#This Row],[Max Relative Error (ep)]] = 0, 0, Audit[[#This Row],[Max Relative Error (ep)]]/Audit[[#This Row],[Error Bound (up) - Max. possible relative overstatement]])</f>
        <v>0</v>
      </c>
      <c r="AJ20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65" s="111">
        <f t="shared" si="32"/>
        <v>1</v>
      </c>
      <c r="AL2065" s="111">
        <f>PRODUCT($AK$5:AK2065)</f>
        <v>8.962823818226312E-2</v>
      </c>
      <c r="AM2065" s="109">
        <f>1 - [K-M P Value]</f>
        <v>0.91037176181773694</v>
      </c>
      <c r="AN2065" s="111" t="str">
        <f>IF(Audit[[#This Row],[K-M P Value]]&gt;1-'General Info'!$B$16,"Continue", "Stop")</f>
        <v>Stop</v>
      </c>
      <c r="AO2065" s="110" t="b">
        <f>IF(Audit[[#This Row],[Status - Continue or stop audit]] = "Continue", TRUE, IF(AN2064 = "Continue", TRUE, FALSE))</f>
        <v>0</v>
      </c>
      <c r="AP2065" s="110"/>
    </row>
    <row r="2066" spans="1:42" ht="15" hidden="1" customHeight="1">
      <c r="A2066" s="111" t="str">
        <f>'Sampling Data'!W2065</f>
        <v/>
      </c>
      <c r="B2066" s="112" t="str">
        <f>'Sampling Data'!A2065</f>
        <v>UNIVERSITY HEIGHTS -00-C</v>
      </c>
      <c r="C2066" s="112">
        <f>'Sampling Data'!B2065</f>
        <v>7</v>
      </c>
      <c r="D2066" s="112">
        <f>'Sampling Data'!C2065</f>
        <v>16</v>
      </c>
      <c r="E2066" s="113">
        <f>'Sampling Data'!D2065</f>
        <v>2</v>
      </c>
      <c r="F2066" s="113">
        <f>'Sampling Data'!E2065</f>
        <v>5</v>
      </c>
      <c r="G2066" s="113">
        <f>'Sampling Data'!F2065</f>
        <v>1</v>
      </c>
      <c r="H2066" s="113">
        <f>'Sampling Data'!G2065</f>
        <v>0</v>
      </c>
      <c r="I2066" s="112">
        <f>'Sampling Data'!H2065</f>
        <v>0</v>
      </c>
      <c r="J2066" s="112">
        <f>'Sampling Data'!I2065</f>
        <v>1</v>
      </c>
      <c r="K2066" s="112">
        <f>'Sampling Data'!J2065</f>
        <v>32</v>
      </c>
      <c r="L2066" s="111">
        <f>'Sampling Data'!X2065</f>
        <v>0</v>
      </c>
      <c r="M2066" s="114"/>
      <c r="N2066" s="114"/>
      <c r="O2066" s="115"/>
      <c r="P2066" s="115"/>
      <c r="Q2066" s="116"/>
      <c r="R2066" s="116"/>
      <c r="S2066" s="111">
        <f>Audit[[#This Row],[Audit Losing Candidate]]-Audit[[#This Row],[Losing Candidate]]</f>
        <v>-7</v>
      </c>
      <c r="T2066" s="111">
        <f>Audit[[#This Row],[Audit Winning Candidate]]-Audit[[#This Row],[Winning Candidate]]</f>
        <v>-16</v>
      </c>
      <c r="U2066" s="111">
        <f>Audit[[#This Row],[Audit Candidate 3]]-Audit[[#This Row],[Candidate 3]]</f>
        <v>-2</v>
      </c>
      <c r="V2066" s="111">
        <f>Audit[[#This Row],[Audit Candidate 4]]-Audit[[#This Row],[Candidate 4]]</f>
        <v>-5</v>
      </c>
      <c r="W2066" s="111">
        <f>Audit[[#This Row],[Audit Candidate 5]]-Audit[[#This Row],[Candidate 5]]</f>
        <v>-1</v>
      </c>
      <c r="X2066" s="111">
        <f>Audit[[#This Row],[Audit Candidate 6]]-Audit[[#This Row],[Candidate 6]]</f>
        <v>0</v>
      </c>
      <c r="Y2066" s="111">
        <f>SUMIF(Audit[[#This Row],[Difference Loser]:[Difference Candidate 6]], "&gt;0")</f>
        <v>0</v>
      </c>
      <c r="Z2066" s="111">
        <f>SUM(Audit[[#This Row],[Difference Loser]:[Difference Candidate 6]])</f>
        <v>-31</v>
      </c>
      <c r="AA2066" s="111">
        <f>IF(Audit[[#This Row],[Times p Drawn - With Replacement]]&gt;0, IF(Audit[[#This Row],[Canceled Differences]]&lt;0, Audit[[#This Row],[Max Differences]]+ABS(Audit[[#This Row],[Canceled Differences]]), Audit[[#This Row],[Max Differences]]), 0)</f>
        <v>0</v>
      </c>
      <c r="AB2066" s="111">
        <f>'Sampling Data'!P2065</f>
        <v>2.5110240078392945E-3</v>
      </c>
      <c r="AC2066" s="111">
        <f>IF(
      SUM(Audit[[#This Row],[Audit Losing Candidate]:[Audit Candidate 6]])
      &lt;&gt;0,
      (Audit[[#This Row],[Winning Candidate]]-Audit[[#This Row],[Losing Candidate]]-(Audit[[#This Row],[Audit Winning Candidate]]-Audit[[#This Row],[Audit Losing Candidate]]))/(Audit[[#Totals],[Winning Candidate]]-Audit[[#Totals],[Losing Candidate]]),
      0
)</f>
        <v>0</v>
      </c>
      <c r="AD20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6" s="111">
        <f>IF(Audit[[#This Row],[Max Relative Error (ep)]] = 0, 0, Audit[[#This Row],[Max Relative Error (ep)]]/Audit[[#This Row],[Error Bound (up) - Max. possible relative overstatement]])</f>
        <v>0</v>
      </c>
      <c r="AJ20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66" s="111">
        <f t="shared" si="32"/>
        <v>1</v>
      </c>
      <c r="AL2066" s="111">
        <f>PRODUCT($AK$5:AK2066)</f>
        <v>8.962823818226312E-2</v>
      </c>
      <c r="AM2066" s="109">
        <f>1 - [K-M P Value]</f>
        <v>0.91037176181773694</v>
      </c>
      <c r="AN2066" s="111" t="str">
        <f>IF(Audit[[#This Row],[K-M P Value]]&gt;1-'General Info'!$B$16,"Continue", "Stop")</f>
        <v>Stop</v>
      </c>
      <c r="AO2066" s="110" t="b">
        <f>IF(Audit[[#This Row],[Status - Continue or stop audit]] = "Continue", TRUE, IF(AN2065 = "Continue", TRUE, FALSE))</f>
        <v>0</v>
      </c>
      <c r="AP2066" s="110"/>
    </row>
    <row r="2067" spans="1:42" ht="15" hidden="1" customHeight="1">
      <c r="A2067" s="111" t="str">
        <f>'Sampling Data'!W2066</f>
        <v/>
      </c>
      <c r="B2067" s="112" t="str">
        <f>'Sampling Data'!A2066</f>
        <v>UNIVERSITY HEIGHTS -00-C - ABS</v>
      </c>
      <c r="C2067" s="112">
        <f>'Sampling Data'!B2066</f>
        <v>16</v>
      </c>
      <c r="D2067" s="112">
        <f>'Sampling Data'!C2066</f>
        <v>19</v>
      </c>
      <c r="E2067" s="113">
        <f>'Sampling Data'!D2066</f>
        <v>4</v>
      </c>
      <c r="F2067" s="113">
        <f>'Sampling Data'!E2066</f>
        <v>1</v>
      </c>
      <c r="G2067" s="113">
        <f>'Sampling Data'!F2066</f>
        <v>0</v>
      </c>
      <c r="H2067" s="113">
        <f>'Sampling Data'!G2066</f>
        <v>0</v>
      </c>
      <c r="I2067" s="112">
        <f>'Sampling Data'!H2066</f>
        <v>0</v>
      </c>
      <c r="J2067" s="112">
        <f>'Sampling Data'!I2066</f>
        <v>2</v>
      </c>
      <c r="K2067" s="112">
        <f>'Sampling Data'!J2066</f>
        <v>42</v>
      </c>
      <c r="L2067" s="111">
        <f>'Sampling Data'!X2066</f>
        <v>0</v>
      </c>
      <c r="M2067" s="114"/>
      <c r="N2067" s="114"/>
      <c r="O2067" s="115"/>
      <c r="P2067" s="115"/>
      <c r="Q2067" s="116"/>
      <c r="R2067" s="116"/>
      <c r="S2067" s="111">
        <f>Audit[[#This Row],[Audit Losing Candidate]]-Audit[[#This Row],[Losing Candidate]]</f>
        <v>-16</v>
      </c>
      <c r="T2067" s="111">
        <f>Audit[[#This Row],[Audit Winning Candidate]]-Audit[[#This Row],[Winning Candidate]]</f>
        <v>-19</v>
      </c>
      <c r="U2067" s="111">
        <f>Audit[[#This Row],[Audit Candidate 3]]-Audit[[#This Row],[Candidate 3]]</f>
        <v>-4</v>
      </c>
      <c r="V2067" s="111">
        <f>Audit[[#This Row],[Audit Candidate 4]]-Audit[[#This Row],[Candidate 4]]</f>
        <v>-1</v>
      </c>
      <c r="W2067" s="111">
        <f>Audit[[#This Row],[Audit Candidate 5]]-Audit[[#This Row],[Candidate 5]]</f>
        <v>0</v>
      </c>
      <c r="X2067" s="111">
        <f>Audit[[#This Row],[Audit Candidate 6]]-Audit[[#This Row],[Candidate 6]]</f>
        <v>0</v>
      </c>
      <c r="Y2067" s="111">
        <f>SUMIF(Audit[[#This Row],[Difference Loser]:[Difference Candidate 6]], "&gt;0")</f>
        <v>0</v>
      </c>
      <c r="Z2067" s="111">
        <f>SUM(Audit[[#This Row],[Difference Loser]:[Difference Candidate 6]])</f>
        <v>-40</v>
      </c>
      <c r="AA2067" s="111">
        <f>IF(Audit[[#This Row],[Times p Drawn - With Replacement]]&gt;0, IF(Audit[[#This Row],[Canceled Differences]]&lt;0, Audit[[#This Row],[Max Differences]]+ABS(Audit[[#This Row],[Canceled Differences]]), Audit[[#This Row],[Max Differences]]), 0)</f>
        <v>0</v>
      </c>
      <c r="AB2067" s="111">
        <f>'Sampling Data'!P2066</f>
        <v>2.7560019598236157E-3</v>
      </c>
      <c r="AC2067" s="111">
        <f>IF(
      SUM(Audit[[#This Row],[Audit Losing Candidate]:[Audit Candidate 6]])
      &lt;&gt;0,
      (Audit[[#This Row],[Winning Candidate]]-Audit[[#This Row],[Losing Candidate]]-(Audit[[#This Row],[Audit Winning Candidate]]-Audit[[#This Row],[Audit Losing Candidate]]))/(Audit[[#Totals],[Winning Candidate]]-Audit[[#Totals],[Losing Candidate]]),
      0
)</f>
        <v>0</v>
      </c>
      <c r="AD20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7" s="111">
        <f>IF(Audit[[#This Row],[Max Relative Error (ep)]] = 0, 0, Audit[[#This Row],[Max Relative Error (ep)]]/Audit[[#This Row],[Error Bound (up) - Max. possible relative overstatement]])</f>
        <v>0</v>
      </c>
      <c r="AJ20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67" s="111">
        <f t="shared" si="32"/>
        <v>1</v>
      </c>
      <c r="AL2067" s="111">
        <f>PRODUCT($AK$5:AK2067)</f>
        <v>8.962823818226312E-2</v>
      </c>
      <c r="AM2067" s="109">
        <f>1 - [K-M P Value]</f>
        <v>0.91037176181773694</v>
      </c>
      <c r="AN2067" s="111" t="str">
        <f>IF(Audit[[#This Row],[K-M P Value]]&gt;1-'General Info'!$B$16,"Continue", "Stop")</f>
        <v>Stop</v>
      </c>
      <c r="AO2067" s="110" t="b">
        <f>IF(Audit[[#This Row],[Status - Continue or stop audit]] = "Continue", TRUE, IF(AN2066 = "Continue", TRUE, FALSE))</f>
        <v>0</v>
      </c>
      <c r="AP2067" s="110"/>
    </row>
    <row r="2068" spans="1:42" ht="15" hidden="1" customHeight="1">
      <c r="A2068" s="111" t="str">
        <f>'Sampling Data'!W2067</f>
        <v/>
      </c>
      <c r="B2068" s="112" t="str">
        <f>'Sampling Data'!A2067</f>
        <v>UNIVERSITY HEIGHTS -00-D</v>
      </c>
      <c r="C2068" s="112">
        <f>'Sampling Data'!B2067</f>
        <v>18</v>
      </c>
      <c r="D2068" s="112">
        <f>'Sampling Data'!C2067</f>
        <v>52</v>
      </c>
      <c r="E2068" s="113">
        <f>'Sampling Data'!D2067</f>
        <v>5</v>
      </c>
      <c r="F2068" s="113">
        <f>'Sampling Data'!E2067</f>
        <v>6</v>
      </c>
      <c r="G2068" s="113">
        <f>'Sampling Data'!F2067</f>
        <v>0</v>
      </c>
      <c r="H2068" s="113">
        <f>'Sampling Data'!G2067</f>
        <v>0</v>
      </c>
      <c r="I2068" s="112">
        <f>'Sampling Data'!H2067</f>
        <v>0</v>
      </c>
      <c r="J2068" s="112">
        <f>'Sampling Data'!I2067</f>
        <v>0</v>
      </c>
      <c r="K2068" s="112">
        <f>'Sampling Data'!J2067</f>
        <v>81</v>
      </c>
      <c r="L2068" s="111">
        <f>'Sampling Data'!X2067</f>
        <v>0</v>
      </c>
      <c r="M2068" s="114"/>
      <c r="N2068" s="114"/>
      <c r="O2068" s="115"/>
      <c r="P2068" s="115"/>
      <c r="Q2068" s="116"/>
      <c r="R2068" s="116"/>
      <c r="S2068" s="111">
        <f>Audit[[#This Row],[Audit Losing Candidate]]-Audit[[#This Row],[Losing Candidate]]</f>
        <v>-18</v>
      </c>
      <c r="T2068" s="111">
        <f>Audit[[#This Row],[Audit Winning Candidate]]-Audit[[#This Row],[Winning Candidate]]</f>
        <v>-52</v>
      </c>
      <c r="U2068" s="111">
        <f>Audit[[#This Row],[Audit Candidate 3]]-Audit[[#This Row],[Candidate 3]]</f>
        <v>-5</v>
      </c>
      <c r="V2068" s="111">
        <f>Audit[[#This Row],[Audit Candidate 4]]-Audit[[#This Row],[Candidate 4]]</f>
        <v>-6</v>
      </c>
      <c r="W2068" s="111">
        <f>Audit[[#This Row],[Audit Candidate 5]]-Audit[[#This Row],[Candidate 5]]</f>
        <v>0</v>
      </c>
      <c r="X2068" s="111">
        <f>Audit[[#This Row],[Audit Candidate 6]]-Audit[[#This Row],[Candidate 6]]</f>
        <v>0</v>
      </c>
      <c r="Y2068" s="111">
        <f>SUMIF(Audit[[#This Row],[Difference Loser]:[Difference Candidate 6]], "&gt;0")</f>
        <v>0</v>
      </c>
      <c r="Z2068" s="111">
        <f>SUM(Audit[[#This Row],[Difference Loser]:[Difference Candidate 6]])</f>
        <v>-81</v>
      </c>
      <c r="AA2068" s="111">
        <f>IF(Audit[[#This Row],[Times p Drawn - With Replacement]]&gt;0, IF(Audit[[#This Row],[Canceled Differences]]&lt;0, Audit[[#This Row],[Max Differences]]+ABS(Audit[[#This Row],[Canceled Differences]]), Audit[[#This Row],[Max Differences]]), 0)</f>
        <v>0</v>
      </c>
      <c r="AB2068" s="111">
        <f>'Sampling Data'!P2067</f>
        <v>7.0431161195492406E-3</v>
      </c>
      <c r="AC2068" s="111">
        <f>IF(
      SUM(Audit[[#This Row],[Audit Losing Candidate]:[Audit Candidate 6]])
      &lt;&gt;0,
      (Audit[[#This Row],[Winning Candidate]]-Audit[[#This Row],[Losing Candidate]]-(Audit[[#This Row],[Audit Winning Candidate]]-Audit[[#This Row],[Audit Losing Candidate]]))/(Audit[[#Totals],[Winning Candidate]]-Audit[[#Totals],[Losing Candidate]]),
      0
)</f>
        <v>0</v>
      </c>
      <c r="AD20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8" s="111">
        <f>IF(Audit[[#This Row],[Max Relative Error (ep)]] = 0, 0, Audit[[#This Row],[Max Relative Error (ep)]]/Audit[[#This Row],[Error Bound (up) - Max. possible relative overstatement]])</f>
        <v>0</v>
      </c>
      <c r="AJ20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68" s="111">
        <f t="shared" si="32"/>
        <v>1</v>
      </c>
      <c r="AL2068" s="111">
        <f>PRODUCT($AK$5:AK2068)</f>
        <v>8.962823818226312E-2</v>
      </c>
      <c r="AM2068" s="109">
        <f>1 - [K-M P Value]</f>
        <v>0.91037176181773694</v>
      </c>
      <c r="AN2068" s="111" t="str">
        <f>IF(Audit[[#This Row],[K-M P Value]]&gt;1-'General Info'!$B$16,"Continue", "Stop")</f>
        <v>Stop</v>
      </c>
      <c r="AO2068" s="110" t="b">
        <f>IF(Audit[[#This Row],[Status - Continue or stop audit]] = "Continue", TRUE, IF(AN2067 = "Continue", TRUE, FALSE))</f>
        <v>0</v>
      </c>
      <c r="AP2068" s="110"/>
    </row>
    <row r="2069" spans="1:42" ht="15" hidden="1" customHeight="1">
      <c r="A2069" s="111" t="str">
        <f>'Sampling Data'!W2068</f>
        <v/>
      </c>
      <c r="B2069" s="112" t="str">
        <f>'Sampling Data'!A2068</f>
        <v>UNIVERSITY HEIGHTS -00-D - ABS</v>
      </c>
      <c r="C2069" s="112">
        <f>'Sampling Data'!B2068</f>
        <v>13</v>
      </c>
      <c r="D2069" s="112">
        <f>'Sampling Data'!C2068</f>
        <v>22</v>
      </c>
      <c r="E2069" s="113">
        <f>'Sampling Data'!D2068</f>
        <v>3</v>
      </c>
      <c r="F2069" s="113">
        <f>'Sampling Data'!E2068</f>
        <v>1</v>
      </c>
      <c r="G2069" s="113">
        <f>'Sampling Data'!F2068</f>
        <v>0</v>
      </c>
      <c r="H2069" s="113">
        <f>'Sampling Data'!G2068</f>
        <v>0</v>
      </c>
      <c r="I2069" s="112">
        <f>'Sampling Data'!H2068</f>
        <v>0</v>
      </c>
      <c r="J2069" s="112">
        <f>'Sampling Data'!I2068</f>
        <v>0</v>
      </c>
      <c r="K2069" s="112">
        <f>'Sampling Data'!J2068</f>
        <v>39</v>
      </c>
      <c r="L2069" s="111">
        <f>'Sampling Data'!X2068</f>
        <v>0</v>
      </c>
      <c r="M2069" s="114"/>
      <c r="N2069" s="114"/>
      <c r="O2069" s="115"/>
      <c r="P2069" s="115"/>
      <c r="Q2069" s="116"/>
      <c r="R2069" s="116"/>
      <c r="S2069" s="111">
        <f>Audit[[#This Row],[Audit Losing Candidate]]-Audit[[#This Row],[Losing Candidate]]</f>
        <v>-13</v>
      </c>
      <c r="T2069" s="111">
        <f>Audit[[#This Row],[Audit Winning Candidate]]-Audit[[#This Row],[Winning Candidate]]</f>
        <v>-22</v>
      </c>
      <c r="U2069" s="111">
        <f>Audit[[#This Row],[Audit Candidate 3]]-Audit[[#This Row],[Candidate 3]]</f>
        <v>-3</v>
      </c>
      <c r="V2069" s="111">
        <f>Audit[[#This Row],[Audit Candidate 4]]-Audit[[#This Row],[Candidate 4]]</f>
        <v>-1</v>
      </c>
      <c r="W2069" s="111">
        <f>Audit[[#This Row],[Audit Candidate 5]]-Audit[[#This Row],[Candidate 5]]</f>
        <v>0</v>
      </c>
      <c r="X2069" s="111">
        <f>Audit[[#This Row],[Audit Candidate 6]]-Audit[[#This Row],[Candidate 6]]</f>
        <v>0</v>
      </c>
      <c r="Y2069" s="111">
        <f>SUMIF(Audit[[#This Row],[Difference Loser]:[Difference Candidate 6]], "&gt;0")</f>
        <v>0</v>
      </c>
      <c r="Z2069" s="111">
        <f>SUM(Audit[[#This Row],[Difference Loser]:[Difference Candidate 6]])</f>
        <v>-39</v>
      </c>
      <c r="AA2069" s="111">
        <f>IF(Audit[[#This Row],[Times p Drawn - With Replacement]]&gt;0, IF(Audit[[#This Row],[Canceled Differences]]&lt;0, Audit[[#This Row],[Max Differences]]+ABS(Audit[[#This Row],[Canceled Differences]]), Audit[[#This Row],[Max Differences]]), 0)</f>
        <v>0</v>
      </c>
      <c r="AB2069" s="111">
        <f>'Sampling Data'!P2068</f>
        <v>2.9397354238118569E-3</v>
      </c>
      <c r="AC2069" s="111">
        <f>IF(
      SUM(Audit[[#This Row],[Audit Losing Candidate]:[Audit Candidate 6]])
      &lt;&gt;0,
      (Audit[[#This Row],[Winning Candidate]]-Audit[[#This Row],[Losing Candidate]]-(Audit[[#This Row],[Audit Winning Candidate]]-Audit[[#This Row],[Audit Losing Candidate]]))/(Audit[[#Totals],[Winning Candidate]]-Audit[[#Totals],[Losing Candidate]]),
      0
)</f>
        <v>0</v>
      </c>
      <c r="AD206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9" s="111">
        <f>IF(Audit[[#This Row],[Max Relative Error (ep)]] = 0, 0, Audit[[#This Row],[Max Relative Error (ep)]]/Audit[[#This Row],[Error Bound (up) - Max. possible relative overstatement]])</f>
        <v>0</v>
      </c>
      <c r="AJ206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69" s="111">
        <f t="shared" si="32"/>
        <v>1</v>
      </c>
      <c r="AL2069" s="111">
        <f>PRODUCT($AK$5:AK2069)</f>
        <v>8.962823818226312E-2</v>
      </c>
      <c r="AM2069" s="109">
        <f>1 - [K-M P Value]</f>
        <v>0.91037176181773694</v>
      </c>
      <c r="AN2069" s="111" t="str">
        <f>IF(Audit[[#This Row],[K-M P Value]]&gt;1-'General Info'!$B$16,"Continue", "Stop")</f>
        <v>Stop</v>
      </c>
      <c r="AO2069" s="110" t="b">
        <f>IF(Audit[[#This Row],[Status - Continue or stop audit]] = "Continue", TRUE, IF(AN2068 = "Continue", TRUE, FALSE))</f>
        <v>0</v>
      </c>
      <c r="AP2069" s="110"/>
    </row>
    <row r="2070" spans="1:42" ht="15" hidden="1" customHeight="1">
      <c r="A2070" s="111" t="str">
        <f>'Sampling Data'!W2069</f>
        <v/>
      </c>
      <c r="B2070" s="112" t="str">
        <f>'Sampling Data'!A2069</f>
        <v>UNIVERSITY HEIGHTS -00-E</v>
      </c>
      <c r="C2070" s="112">
        <f>'Sampling Data'!B2069</f>
        <v>15</v>
      </c>
      <c r="D2070" s="112">
        <f>'Sampling Data'!C2069</f>
        <v>40</v>
      </c>
      <c r="E2070" s="113">
        <f>'Sampling Data'!D2069</f>
        <v>6</v>
      </c>
      <c r="F2070" s="113">
        <f>'Sampling Data'!E2069</f>
        <v>4</v>
      </c>
      <c r="G2070" s="113">
        <f>'Sampling Data'!F2069</f>
        <v>0</v>
      </c>
      <c r="H2070" s="113">
        <f>'Sampling Data'!G2069</f>
        <v>0</v>
      </c>
      <c r="I2070" s="112">
        <f>'Sampling Data'!H2069</f>
        <v>0</v>
      </c>
      <c r="J2070" s="112">
        <f>'Sampling Data'!I2069</f>
        <v>1</v>
      </c>
      <c r="K2070" s="112">
        <f>'Sampling Data'!J2069</f>
        <v>66</v>
      </c>
      <c r="L2070" s="111">
        <f>'Sampling Data'!X2069</f>
        <v>0</v>
      </c>
      <c r="M2070" s="114"/>
      <c r="N2070" s="114"/>
      <c r="O2070" s="115"/>
      <c r="P2070" s="115"/>
      <c r="Q2070" s="116"/>
      <c r="R2070" s="116"/>
      <c r="S2070" s="111">
        <f>Audit[[#This Row],[Audit Losing Candidate]]-Audit[[#This Row],[Losing Candidate]]</f>
        <v>-15</v>
      </c>
      <c r="T2070" s="111">
        <f>Audit[[#This Row],[Audit Winning Candidate]]-Audit[[#This Row],[Winning Candidate]]</f>
        <v>-40</v>
      </c>
      <c r="U2070" s="111">
        <f>Audit[[#This Row],[Audit Candidate 3]]-Audit[[#This Row],[Candidate 3]]</f>
        <v>-6</v>
      </c>
      <c r="V2070" s="111">
        <f>Audit[[#This Row],[Audit Candidate 4]]-Audit[[#This Row],[Candidate 4]]</f>
        <v>-4</v>
      </c>
      <c r="W2070" s="111">
        <f>Audit[[#This Row],[Audit Candidate 5]]-Audit[[#This Row],[Candidate 5]]</f>
        <v>0</v>
      </c>
      <c r="X2070" s="111">
        <f>Audit[[#This Row],[Audit Candidate 6]]-Audit[[#This Row],[Candidate 6]]</f>
        <v>0</v>
      </c>
      <c r="Y2070" s="111">
        <f>SUMIF(Audit[[#This Row],[Difference Loser]:[Difference Candidate 6]], "&gt;0")</f>
        <v>0</v>
      </c>
      <c r="Z2070" s="111">
        <f>SUM(Audit[[#This Row],[Difference Loser]:[Difference Candidate 6]])</f>
        <v>-65</v>
      </c>
      <c r="AA2070" s="111">
        <f>IF(Audit[[#This Row],[Times p Drawn - With Replacement]]&gt;0, IF(Audit[[#This Row],[Canceled Differences]]&lt;0, Audit[[#This Row],[Max Differences]]+ABS(Audit[[#This Row],[Canceled Differences]]), Audit[[#This Row],[Max Differences]]), 0)</f>
        <v>0</v>
      </c>
      <c r="AB2070" s="111">
        <f>'Sampling Data'!P2069</f>
        <v>5.5732484076433117E-3</v>
      </c>
      <c r="AC2070" s="111">
        <f>IF(
      SUM(Audit[[#This Row],[Audit Losing Candidate]:[Audit Candidate 6]])
      &lt;&gt;0,
      (Audit[[#This Row],[Winning Candidate]]-Audit[[#This Row],[Losing Candidate]]-(Audit[[#This Row],[Audit Winning Candidate]]-Audit[[#This Row],[Audit Losing Candidate]]))/(Audit[[#Totals],[Winning Candidate]]-Audit[[#Totals],[Losing Candidate]]),
      0
)</f>
        <v>0</v>
      </c>
      <c r="AD207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0" s="111">
        <f>IF(Audit[[#This Row],[Max Relative Error (ep)]] = 0, 0, Audit[[#This Row],[Max Relative Error (ep)]]/Audit[[#This Row],[Error Bound (up) - Max. possible relative overstatement]])</f>
        <v>0</v>
      </c>
      <c r="AJ207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70" s="111">
        <f t="shared" si="32"/>
        <v>1</v>
      </c>
      <c r="AL2070" s="111">
        <f>PRODUCT($AK$5:AK2070)</f>
        <v>8.962823818226312E-2</v>
      </c>
      <c r="AM2070" s="109">
        <f>1 - [K-M P Value]</f>
        <v>0.91037176181773694</v>
      </c>
      <c r="AN2070" s="111" t="str">
        <f>IF(Audit[[#This Row],[K-M P Value]]&gt;1-'General Info'!$B$16,"Continue", "Stop")</f>
        <v>Stop</v>
      </c>
      <c r="AO2070" s="110" t="b">
        <f>IF(Audit[[#This Row],[Status - Continue or stop audit]] = "Continue", TRUE, IF(AN2069 = "Continue", TRUE, FALSE))</f>
        <v>0</v>
      </c>
      <c r="AP2070" s="110"/>
    </row>
    <row r="2071" spans="1:42" ht="15" hidden="1" customHeight="1">
      <c r="A2071" s="111" t="str">
        <f>'Sampling Data'!W2070</f>
        <v/>
      </c>
      <c r="B2071" s="112" t="str">
        <f>'Sampling Data'!A2070</f>
        <v>UNIVERSITY HEIGHTS -00-E - ABS</v>
      </c>
      <c r="C2071" s="112">
        <f>'Sampling Data'!B2070</f>
        <v>3</v>
      </c>
      <c r="D2071" s="112">
        <f>'Sampling Data'!C2070</f>
        <v>12</v>
      </c>
      <c r="E2071" s="113">
        <f>'Sampling Data'!D2070</f>
        <v>1</v>
      </c>
      <c r="F2071" s="113">
        <f>'Sampling Data'!E2070</f>
        <v>2</v>
      </c>
      <c r="G2071" s="113">
        <f>'Sampling Data'!F2070</f>
        <v>0</v>
      </c>
      <c r="H2071" s="113">
        <f>'Sampling Data'!G2070</f>
        <v>0</v>
      </c>
      <c r="I2071" s="112">
        <f>'Sampling Data'!H2070</f>
        <v>0</v>
      </c>
      <c r="J2071" s="112">
        <f>'Sampling Data'!I2070</f>
        <v>1</v>
      </c>
      <c r="K2071" s="112">
        <f>'Sampling Data'!J2070</f>
        <v>19</v>
      </c>
      <c r="L2071" s="111">
        <f>'Sampling Data'!X2070</f>
        <v>0</v>
      </c>
      <c r="M2071" s="114"/>
      <c r="N2071" s="114"/>
      <c r="O2071" s="115"/>
      <c r="P2071" s="115"/>
      <c r="Q2071" s="116"/>
      <c r="R2071" s="116"/>
      <c r="S2071" s="111">
        <f>Audit[[#This Row],[Audit Losing Candidate]]-Audit[[#This Row],[Losing Candidate]]</f>
        <v>-3</v>
      </c>
      <c r="T2071" s="111">
        <f>Audit[[#This Row],[Audit Winning Candidate]]-Audit[[#This Row],[Winning Candidate]]</f>
        <v>-12</v>
      </c>
      <c r="U2071" s="111">
        <f>Audit[[#This Row],[Audit Candidate 3]]-Audit[[#This Row],[Candidate 3]]</f>
        <v>-1</v>
      </c>
      <c r="V2071" s="111">
        <f>Audit[[#This Row],[Audit Candidate 4]]-Audit[[#This Row],[Candidate 4]]</f>
        <v>-2</v>
      </c>
      <c r="W2071" s="111">
        <f>Audit[[#This Row],[Audit Candidate 5]]-Audit[[#This Row],[Candidate 5]]</f>
        <v>0</v>
      </c>
      <c r="X2071" s="111">
        <f>Audit[[#This Row],[Audit Candidate 6]]-Audit[[#This Row],[Candidate 6]]</f>
        <v>0</v>
      </c>
      <c r="Y2071" s="111">
        <f>SUMIF(Audit[[#This Row],[Difference Loser]:[Difference Candidate 6]], "&gt;0")</f>
        <v>0</v>
      </c>
      <c r="Z2071" s="111">
        <f>SUM(Audit[[#This Row],[Difference Loser]:[Difference Candidate 6]])</f>
        <v>-18</v>
      </c>
      <c r="AA2071" s="111">
        <f>IF(Audit[[#This Row],[Times p Drawn - With Replacement]]&gt;0, IF(Audit[[#This Row],[Canceled Differences]]&lt;0, Audit[[#This Row],[Max Differences]]+ABS(Audit[[#This Row],[Canceled Differences]]), Audit[[#This Row],[Max Differences]]), 0)</f>
        <v>0</v>
      </c>
      <c r="AB2071" s="111">
        <f>'Sampling Data'!P2070</f>
        <v>1.7148456638902498E-3</v>
      </c>
      <c r="AC2071" s="111">
        <f>IF(
      SUM(Audit[[#This Row],[Audit Losing Candidate]:[Audit Candidate 6]])
      &lt;&gt;0,
      (Audit[[#This Row],[Winning Candidate]]-Audit[[#This Row],[Losing Candidate]]-(Audit[[#This Row],[Audit Winning Candidate]]-Audit[[#This Row],[Audit Losing Candidate]]))/(Audit[[#Totals],[Winning Candidate]]-Audit[[#Totals],[Losing Candidate]]),
      0
)</f>
        <v>0</v>
      </c>
      <c r="AD207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1" s="111">
        <f>IF(Audit[[#This Row],[Max Relative Error (ep)]] = 0, 0, Audit[[#This Row],[Max Relative Error (ep)]]/Audit[[#This Row],[Error Bound (up) - Max. possible relative overstatement]])</f>
        <v>0</v>
      </c>
      <c r="AJ207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71" s="111">
        <f t="shared" si="32"/>
        <v>1</v>
      </c>
      <c r="AL2071" s="111">
        <f>PRODUCT($AK$5:AK2071)</f>
        <v>8.962823818226312E-2</v>
      </c>
      <c r="AM2071" s="109">
        <f>1 - [K-M P Value]</f>
        <v>0.91037176181773694</v>
      </c>
      <c r="AN2071" s="111" t="str">
        <f>IF(Audit[[#This Row],[K-M P Value]]&gt;1-'General Info'!$B$16,"Continue", "Stop")</f>
        <v>Stop</v>
      </c>
      <c r="AO2071" s="110" t="b">
        <f>IF(Audit[[#This Row],[Status - Continue or stop audit]] = "Continue", TRUE, IF(AN2070 = "Continue", TRUE, FALSE))</f>
        <v>0</v>
      </c>
      <c r="AP2071" s="110"/>
    </row>
    <row r="2072" spans="1:42" ht="15" hidden="1" customHeight="1">
      <c r="A2072" s="111" t="str">
        <f>'Sampling Data'!W2071</f>
        <v/>
      </c>
      <c r="B2072" s="112" t="str">
        <f>'Sampling Data'!A2071</f>
        <v>UNIVERSITY HEIGHTS -00-F</v>
      </c>
      <c r="C2072" s="112">
        <f>'Sampling Data'!B2071</f>
        <v>8</v>
      </c>
      <c r="D2072" s="112">
        <f>'Sampling Data'!C2071</f>
        <v>22</v>
      </c>
      <c r="E2072" s="113">
        <f>'Sampling Data'!D2071</f>
        <v>7</v>
      </c>
      <c r="F2072" s="113">
        <f>'Sampling Data'!E2071</f>
        <v>3</v>
      </c>
      <c r="G2072" s="113">
        <f>'Sampling Data'!F2071</f>
        <v>0</v>
      </c>
      <c r="H2072" s="113">
        <f>'Sampling Data'!G2071</f>
        <v>0</v>
      </c>
      <c r="I2072" s="112">
        <f>'Sampling Data'!H2071</f>
        <v>0</v>
      </c>
      <c r="J2072" s="112">
        <f>'Sampling Data'!I2071</f>
        <v>0</v>
      </c>
      <c r="K2072" s="112">
        <f>'Sampling Data'!J2071</f>
        <v>40</v>
      </c>
      <c r="L2072" s="111">
        <f>'Sampling Data'!X2071</f>
        <v>0</v>
      </c>
      <c r="M2072" s="114"/>
      <c r="N2072" s="114"/>
      <c r="O2072" s="115"/>
      <c r="P2072" s="115"/>
      <c r="Q2072" s="116"/>
      <c r="R2072" s="116"/>
      <c r="S2072" s="111">
        <f>Audit[[#This Row],[Audit Losing Candidate]]-Audit[[#This Row],[Losing Candidate]]</f>
        <v>-8</v>
      </c>
      <c r="T2072" s="111">
        <f>Audit[[#This Row],[Audit Winning Candidate]]-Audit[[#This Row],[Winning Candidate]]</f>
        <v>-22</v>
      </c>
      <c r="U2072" s="111">
        <f>Audit[[#This Row],[Audit Candidate 3]]-Audit[[#This Row],[Candidate 3]]</f>
        <v>-7</v>
      </c>
      <c r="V2072" s="111">
        <f>Audit[[#This Row],[Audit Candidate 4]]-Audit[[#This Row],[Candidate 4]]</f>
        <v>-3</v>
      </c>
      <c r="W2072" s="111">
        <f>Audit[[#This Row],[Audit Candidate 5]]-Audit[[#This Row],[Candidate 5]]</f>
        <v>0</v>
      </c>
      <c r="X2072" s="111">
        <f>Audit[[#This Row],[Audit Candidate 6]]-Audit[[#This Row],[Candidate 6]]</f>
        <v>0</v>
      </c>
      <c r="Y2072" s="111">
        <f>SUMIF(Audit[[#This Row],[Difference Loser]:[Difference Candidate 6]], "&gt;0")</f>
        <v>0</v>
      </c>
      <c r="Z2072" s="111">
        <f>SUM(Audit[[#This Row],[Difference Loser]:[Difference Candidate 6]])</f>
        <v>-40</v>
      </c>
      <c r="AA2072" s="111">
        <f>IF(Audit[[#This Row],[Times p Drawn - With Replacement]]&gt;0, IF(Audit[[#This Row],[Canceled Differences]]&lt;0, Audit[[#This Row],[Max Differences]]+ABS(Audit[[#This Row],[Canceled Differences]]), Audit[[#This Row],[Max Differences]]), 0)</f>
        <v>0</v>
      </c>
      <c r="AB2072" s="111">
        <f>'Sampling Data'!P2071</f>
        <v>3.3072023517883389E-3</v>
      </c>
      <c r="AC2072" s="111">
        <f>IF(
      SUM(Audit[[#This Row],[Audit Losing Candidate]:[Audit Candidate 6]])
      &lt;&gt;0,
      (Audit[[#This Row],[Winning Candidate]]-Audit[[#This Row],[Losing Candidate]]-(Audit[[#This Row],[Audit Winning Candidate]]-Audit[[#This Row],[Audit Losing Candidate]]))/(Audit[[#Totals],[Winning Candidate]]-Audit[[#Totals],[Losing Candidate]]),
      0
)</f>
        <v>0</v>
      </c>
      <c r="AD207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2" s="111">
        <f>IF(Audit[[#This Row],[Max Relative Error (ep)]] = 0, 0, Audit[[#This Row],[Max Relative Error (ep)]]/Audit[[#This Row],[Error Bound (up) - Max. possible relative overstatement]])</f>
        <v>0</v>
      </c>
      <c r="AJ207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72" s="111">
        <f t="shared" si="32"/>
        <v>1</v>
      </c>
      <c r="AL2072" s="111">
        <f>PRODUCT($AK$5:AK2072)</f>
        <v>8.962823818226312E-2</v>
      </c>
      <c r="AM2072" s="109">
        <f>1 - [K-M P Value]</f>
        <v>0.91037176181773694</v>
      </c>
      <c r="AN2072" s="111" t="str">
        <f>IF(Audit[[#This Row],[K-M P Value]]&gt;1-'General Info'!$B$16,"Continue", "Stop")</f>
        <v>Stop</v>
      </c>
      <c r="AO2072" s="110" t="b">
        <f>IF(Audit[[#This Row],[Status - Continue or stop audit]] = "Continue", TRUE, IF(AN2071 = "Continue", TRUE, FALSE))</f>
        <v>0</v>
      </c>
      <c r="AP2072" s="110"/>
    </row>
    <row r="2073" spans="1:42" ht="15" hidden="1" customHeight="1">
      <c r="A2073" s="111" t="str">
        <f>'Sampling Data'!W2072</f>
        <v/>
      </c>
      <c r="B2073" s="112" t="str">
        <f>'Sampling Data'!A2072</f>
        <v>UNIVERSITY HEIGHTS -00-F - ABS</v>
      </c>
      <c r="C2073" s="112">
        <f>'Sampling Data'!B2072</f>
        <v>2</v>
      </c>
      <c r="D2073" s="112">
        <f>'Sampling Data'!C2072</f>
        <v>11</v>
      </c>
      <c r="E2073" s="113">
        <f>'Sampling Data'!D2072</f>
        <v>2</v>
      </c>
      <c r="F2073" s="113">
        <f>'Sampling Data'!E2072</f>
        <v>1</v>
      </c>
      <c r="G2073" s="113">
        <f>'Sampling Data'!F2072</f>
        <v>0</v>
      </c>
      <c r="H2073" s="113">
        <f>'Sampling Data'!G2072</f>
        <v>0</v>
      </c>
      <c r="I2073" s="112">
        <f>'Sampling Data'!H2072</f>
        <v>0</v>
      </c>
      <c r="J2073" s="112">
        <f>'Sampling Data'!I2072</f>
        <v>0</v>
      </c>
      <c r="K2073" s="112">
        <f>'Sampling Data'!J2072</f>
        <v>16</v>
      </c>
      <c r="L2073" s="111">
        <f>'Sampling Data'!X2072</f>
        <v>0</v>
      </c>
      <c r="M2073" s="114"/>
      <c r="N2073" s="114"/>
      <c r="O2073" s="115"/>
      <c r="P2073" s="115"/>
      <c r="Q2073" s="116"/>
      <c r="R2073" s="116"/>
      <c r="S2073" s="111">
        <f>Audit[[#This Row],[Audit Losing Candidate]]-Audit[[#This Row],[Losing Candidate]]</f>
        <v>-2</v>
      </c>
      <c r="T2073" s="111">
        <f>Audit[[#This Row],[Audit Winning Candidate]]-Audit[[#This Row],[Winning Candidate]]</f>
        <v>-11</v>
      </c>
      <c r="U2073" s="111">
        <f>Audit[[#This Row],[Audit Candidate 3]]-Audit[[#This Row],[Candidate 3]]</f>
        <v>-2</v>
      </c>
      <c r="V2073" s="111">
        <f>Audit[[#This Row],[Audit Candidate 4]]-Audit[[#This Row],[Candidate 4]]</f>
        <v>-1</v>
      </c>
      <c r="W2073" s="111">
        <f>Audit[[#This Row],[Audit Candidate 5]]-Audit[[#This Row],[Candidate 5]]</f>
        <v>0</v>
      </c>
      <c r="X2073" s="111">
        <f>Audit[[#This Row],[Audit Candidate 6]]-Audit[[#This Row],[Candidate 6]]</f>
        <v>0</v>
      </c>
      <c r="Y2073" s="111">
        <f>SUMIF(Audit[[#This Row],[Difference Loser]:[Difference Candidate 6]], "&gt;0")</f>
        <v>0</v>
      </c>
      <c r="Z2073" s="111">
        <f>SUM(Audit[[#This Row],[Difference Loser]:[Difference Candidate 6]])</f>
        <v>-16</v>
      </c>
      <c r="AA2073" s="111">
        <f>IF(Audit[[#This Row],[Times p Drawn - With Replacement]]&gt;0, IF(Audit[[#This Row],[Canceled Differences]]&lt;0, Audit[[#This Row],[Max Differences]]+ABS(Audit[[#This Row],[Canceled Differences]]), Audit[[#This Row],[Max Differences]]), 0)</f>
        <v>0</v>
      </c>
      <c r="AB2073" s="111">
        <f>'Sampling Data'!P2072</f>
        <v>1.5311121999020088E-3</v>
      </c>
      <c r="AC2073" s="111">
        <f>IF(
      SUM(Audit[[#This Row],[Audit Losing Candidate]:[Audit Candidate 6]])
      &lt;&gt;0,
      (Audit[[#This Row],[Winning Candidate]]-Audit[[#This Row],[Losing Candidate]]-(Audit[[#This Row],[Audit Winning Candidate]]-Audit[[#This Row],[Audit Losing Candidate]]))/(Audit[[#Totals],[Winning Candidate]]-Audit[[#Totals],[Losing Candidate]]),
      0
)</f>
        <v>0</v>
      </c>
      <c r="AD207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3" s="111">
        <f>IF(Audit[[#This Row],[Max Relative Error (ep)]] = 0, 0, Audit[[#This Row],[Max Relative Error (ep)]]/Audit[[#This Row],[Error Bound (up) - Max. possible relative overstatement]])</f>
        <v>0</v>
      </c>
      <c r="AJ207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73" s="111">
        <f t="shared" si="32"/>
        <v>1</v>
      </c>
      <c r="AL2073" s="111">
        <f>PRODUCT($AK$5:AK2073)</f>
        <v>8.962823818226312E-2</v>
      </c>
      <c r="AM2073" s="109">
        <f>1 - [K-M P Value]</f>
        <v>0.91037176181773694</v>
      </c>
      <c r="AN2073" s="111" t="str">
        <f>IF(Audit[[#This Row],[K-M P Value]]&gt;1-'General Info'!$B$16,"Continue", "Stop")</f>
        <v>Stop</v>
      </c>
      <c r="AO2073" s="110" t="b">
        <f>IF(Audit[[#This Row],[Status - Continue or stop audit]] = "Continue", TRUE, IF(AN2072 = "Continue", TRUE, FALSE))</f>
        <v>0</v>
      </c>
      <c r="AP2073" s="110"/>
    </row>
    <row r="2074" spans="1:42" ht="15" hidden="1" customHeight="1">
      <c r="A2074" s="111" t="str">
        <f>'Sampling Data'!W2073</f>
        <v/>
      </c>
      <c r="B2074" s="112" t="str">
        <f>'Sampling Data'!A2073</f>
        <v>UNIVERSITY HEIGHTS -00-G</v>
      </c>
      <c r="C2074" s="112">
        <f>'Sampling Data'!B2073</f>
        <v>18</v>
      </c>
      <c r="D2074" s="112">
        <f>'Sampling Data'!C2073</f>
        <v>53</v>
      </c>
      <c r="E2074" s="113">
        <f>'Sampling Data'!D2073</f>
        <v>5</v>
      </c>
      <c r="F2074" s="113">
        <f>'Sampling Data'!E2073</f>
        <v>7</v>
      </c>
      <c r="G2074" s="113">
        <f>'Sampling Data'!F2073</f>
        <v>1</v>
      </c>
      <c r="H2074" s="113">
        <f>'Sampling Data'!G2073</f>
        <v>0</v>
      </c>
      <c r="I2074" s="112">
        <f>'Sampling Data'!H2073</f>
        <v>0</v>
      </c>
      <c r="J2074" s="112">
        <f>'Sampling Data'!I2073</f>
        <v>0</v>
      </c>
      <c r="K2074" s="112">
        <f>'Sampling Data'!J2073</f>
        <v>84</v>
      </c>
      <c r="L2074" s="111">
        <f>'Sampling Data'!X2073</f>
        <v>0</v>
      </c>
      <c r="M2074" s="114"/>
      <c r="N2074" s="114"/>
      <c r="O2074" s="115"/>
      <c r="P2074" s="115"/>
      <c r="Q2074" s="116"/>
      <c r="R2074" s="116"/>
      <c r="S2074" s="111">
        <f>Audit[[#This Row],[Audit Losing Candidate]]-Audit[[#This Row],[Losing Candidate]]</f>
        <v>-18</v>
      </c>
      <c r="T2074" s="111">
        <f>Audit[[#This Row],[Audit Winning Candidate]]-Audit[[#This Row],[Winning Candidate]]</f>
        <v>-53</v>
      </c>
      <c r="U2074" s="111">
        <f>Audit[[#This Row],[Audit Candidate 3]]-Audit[[#This Row],[Candidate 3]]</f>
        <v>-5</v>
      </c>
      <c r="V2074" s="111">
        <f>Audit[[#This Row],[Audit Candidate 4]]-Audit[[#This Row],[Candidate 4]]</f>
        <v>-7</v>
      </c>
      <c r="W2074" s="111">
        <f>Audit[[#This Row],[Audit Candidate 5]]-Audit[[#This Row],[Candidate 5]]</f>
        <v>-1</v>
      </c>
      <c r="X2074" s="111">
        <f>Audit[[#This Row],[Audit Candidate 6]]-Audit[[#This Row],[Candidate 6]]</f>
        <v>0</v>
      </c>
      <c r="Y2074" s="111">
        <f>SUMIF(Audit[[#This Row],[Difference Loser]:[Difference Candidate 6]], "&gt;0")</f>
        <v>0</v>
      </c>
      <c r="Z2074" s="111">
        <f>SUM(Audit[[#This Row],[Difference Loser]:[Difference Candidate 6]])</f>
        <v>-84</v>
      </c>
      <c r="AA2074" s="111">
        <f>IF(Audit[[#This Row],[Times p Drawn - With Replacement]]&gt;0, IF(Audit[[#This Row],[Canceled Differences]]&lt;0, Audit[[#This Row],[Max Differences]]+ABS(Audit[[#This Row],[Canceled Differences]]), Audit[[#This Row],[Max Differences]]), 0)</f>
        <v>0</v>
      </c>
      <c r="AB2074" s="111">
        <f>'Sampling Data'!P2073</f>
        <v>7.2880940715335622E-3</v>
      </c>
      <c r="AC2074" s="111">
        <f>IF(
      SUM(Audit[[#This Row],[Audit Losing Candidate]:[Audit Candidate 6]])
      &lt;&gt;0,
      (Audit[[#This Row],[Winning Candidate]]-Audit[[#This Row],[Losing Candidate]]-(Audit[[#This Row],[Audit Winning Candidate]]-Audit[[#This Row],[Audit Losing Candidate]]))/(Audit[[#Totals],[Winning Candidate]]-Audit[[#Totals],[Losing Candidate]]),
      0
)</f>
        <v>0</v>
      </c>
      <c r="AD207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4" s="111">
        <f>IF(Audit[[#This Row],[Max Relative Error (ep)]] = 0, 0, Audit[[#This Row],[Max Relative Error (ep)]]/Audit[[#This Row],[Error Bound (up) - Max. possible relative overstatement]])</f>
        <v>0</v>
      </c>
      <c r="AJ207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74" s="111">
        <f t="shared" si="32"/>
        <v>1</v>
      </c>
      <c r="AL2074" s="111">
        <f>PRODUCT($AK$5:AK2074)</f>
        <v>8.962823818226312E-2</v>
      </c>
      <c r="AM2074" s="109">
        <f>1 - [K-M P Value]</f>
        <v>0.91037176181773694</v>
      </c>
      <c r="AN2074" s="111" t="str">
        <f>IF(Audit[[#This Row],[K-M P Value]]&gt;1-'General Info'!$B$16,"Continue", "Stop")</f>
        <v>Stop</v>
      </c>
      <c r="AO2074" s="110" t="b">
        <f>IF(Audit[[#This Row],[Status - Continue or stop audit]] = "Continue", TRUE, IF(AN2073 = "Continue", TRUE, FALSE))</f>
        <v>0</v>
      </c>
      <c r="AP2074" s="110"/>
    </row>
    <row r="2075" spans="1:42" ht="15" hidden="1" customHeight="1">
      <c r="A2075" s="111" t="str">
        <f>'Sampling Data'!W2074</f>
        <v/>
      </c>
      <c r="B2075" s="112" t="str">
        <f>'Sampling Data'!A2074</f>
        <v>UNIVERSITY HEIGHTS -00-G - ABS</v>
      </c>
      <c r="C2075" s="112">
        <f>'Sampling Data'!B2074</f>
        <v>8</v>
      </c>
      <c r="D2075" s="112">
        <f>'Sampling Data'!C2074</f>
        <v>18</v>
      </c>
      <c r="E2075" s="113">
        <f>'Sampling Data'!D2074</f>
        <v>4</v>
      </c>
      <c r="F2075" s="113">
        <f>'Sampling Data'!E2074</f>
        <v>3</v>
      </c>
      <c r="G2075" s="113">
        <f>'Sampling Data'!F2074</f>
        <v>0</v>
      </c>
      <c r="H2075" s="113">
        <f>'Sampling Data'!G2074</f>
        <v>0</v>
      </c>
      <c r="I2075" s="112">
        <f>'Sampling Data'!H2074</f>
        <v>0</v>
      </c>
      <c r="J2075" s="112">
        <f>'Sampling Data'!I2074</f>
        <v>2</v>
      </c>
      <c r="K2075" s="112">
        <f>'Sampling Data'!J2074</f>
        <v>35</v>
      </c>
      <c r="L2075" s="111">
        <f>'Sampling Data'!X2074</f>
        <v>0</v>
      </c>
      <c r="M2075" s="114"/>
      <c r="N2075" s="114"/>
      <c r="O2075" s="115"/>
      <c r="P2075" s="115"/>
      <c r="Q2075" s="116"/>
      <c r="R2075" s="116"/>
      <c r="S2075" s="111">
        <f>Audit[[#This Row],[Audit Losing Candidate]]-Audit[[#This Row],[Losing Candidate]]</f>
        <v>-8</v>
      </c>
      <c r="T2075" s="111">
        <f>Audit[[#This Row],[Audit Winning Candidate]]-Audit[[#This Row],[Winning Candidate]]</f>
        <v>-18</v>
      </c>
      <c r="U2075" s="111">
        <f>Audit[[#This Row],[Audit Candidate 3]]-Audit[[#This Row],[Candidate 3]]</f>
        <v>-4</v>
      </c>
      <c r="V2075" s="111">
        <f>Audit[[#This Row],[Audit Candidate 4]]-Audit[[#This Row],[Candidate 4]]</f>
        <v>-3</v>
      </c>
      <c r="W2075" s="111">
        <f>Audit[[#This Row],[Audit Candidate 5]]-Audit[[#This Row],[Candidate 5]]</f>
        <v>0</v>
      </c>
      <c r="X2075" s="111">
        <f>Audit[[#This Row],[Audit Candidate 6]]-Audit[[#This Row],[Candidate 6]]</f>
        <v>0</v>
      </c>
      <c r="Y2075" s="111">
        <f>SUMIF(Audit[[#This Row],[Difference Loser]:[Difference Candidate 6]], "&gt;0")</f>
        <v>0</v>
      </c>
      <c r="Z2075" s="111">
        <f>SUM(Audit[[#This Row],[Difference Loser]:[Difference Candidate 6]])</f>
        <v>-33</v>
      </c>
      <c r="AA2075" s="111">
        <f>IF(Audit[[#This Row],[Times p Drawn - With Replacement]]&gt;0, IF(Audit[[#This Row],[Canceled Differences]]&lt;0, Audit[[#This Row],[Max Differences]]+ABS(Audit[[#This Row],[Canceled Differences]]), Audit[[#This Row],[Max Differences]]), 0)</f>
        <v>0</v>
      </c>
      <c r="AB2075" s="111">
        <f>'Sampling Data'!P2074</f>
        <v>2.7560019598236157E-3</v>
      </c>
      <c r="AC2075" s="111">
        <f>IF(
      SUM(Audit[[#This Row],[Audit Losing Candidate]:[Audit Candidate 6]])
      &lt;&gt;0,
      (Audit[[#This Row],[Winning Candidate]]-Audit[[#This Row],[Losing Candidate]]-(Audit[[#This Row],[Audit Winning Candidate]]-Audit[[#This Row],[Audit Losing Candidate]]))/(Audit[[#Totals],[Winning Candidate]]-Audit[[#Totals],[Losing Candidate]]),
      0
)</f>
        <v>0</v>
      </c>
      <c r="AD207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5" s="111">
        <f>IF(Audit[[#This Row],[Max Relative Error (ep)]] = 0, 0, Audit[[#This Row],[Max Relative Error (ep)]]/Audit[[#This Row],[Error Bound (up) - Max. possible relative overstatement]])</f>
        <v>0</v>
      </c>
      <c r="AJ207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75" s="111">
        <f t="shared" si="32"/>
        <v>1</v>
      </c>
      <c r="AL2075" s="111">
        <f>PRODUCT($AK$5:AK2075)</f>
        <v>8.962823818226312E-2</v>
      </c>
      <c r="AM2075" s="109">
        <f>1 - [K-M P Value]</f>
        <v>0.91037176181773694</v>
      </c>
      <c r="AN2075" s="111" t="str">
        <f>IF(Audit[[#This Row],[K-M P Value]]&gt;1-'General Info'!$B$16,"Continue", "Stop")</f>
        <v>Stop</v>
      </c>
      <c r="AO2075" s="110" t="b">
        <f>IF(Audit[[#This Row],[Status - Continue or stop audit]] = "Continue", TRUE, IF(AN2074 = "Continue", TRUE, FALSE))</f>
        <v>0</v>
      </c>
      <c r="AP2075" s="110"/>
    </row>
    <row r="2076" spans="1:42" ht="15" hidden="1" customHeight="1">
      <c r="A2076" s="111" t="str">
        <f>'Sampling Data'!W2075</f>
        <v/>
      </c>
      <c r="B2076" s="112" t="str">
        <f>'Sampling Data'!A2075</f>
        <v>UNIVERSITY HEIGHTS -00-H</v>
      </c>
      <c r="C2076" s="112">
        <f>'Sampling Data'!B2075</f>
        <v>16</v>
      </c>
      <c r="D2076" s="112">
        <f>'Sampling Data'!C2075</f>
        <v>34</v>
      </c>
      <c r="E2076" s="113">
        <f>'Sampling Data'!D2075</f>
        <v>6</v>
      </c>
      <c r="F2076" s="113">
        <f>'Sampling Data'!E2075</f>
        <v>0</v>
      </c>
      <c r="G2076" s="113">
        <f>'Sampling Data'!F2075</f>
        <v>0</v>
      </c>
      <c r="H2076" s="113">
        <f>'Sampling Data'!G2075</f>
        <v>0</v>
      </c>
      <c r="I2076" s="112">
        <f>'Sampling Data'!H2075</f>
        <v>0</v>
      </c>
      <c r="J2076" s="112">
        <f>'Sampling Data'!I2075</f>
        <v>0</v>
      </c>
      <c r="K2076" s="112">
        <f>'Sampling Data'!J2075</f>
        <v>56</v>
      </c>
      <c r="L2076" s="111">
        <f>'Sampling Data'!X2075</f>
        <v>0</v>
      </c>
      <c r="M2076" s="114"/>
      <c r="N2076" s="114"/>
      <c r="O2076" s="115"/>
      <c r="P2076" s="115"/>
      <c r="Q2076" s="116"/>
      <c r="R2076" s="116"/>
      <c r="S2076" s="111">
        <f>Audit[[#This Row],[Audit Losing Candidate]]-Audit[[#This Row],[Losing Candidate]]</f>
        <v>-16</v>
      </c>
      <c r="T2076" s="111">
        <f>Audit[[#This Row],[Audit Winning Candidate]]-Audit[[#This Row],[Winning Candidate]]</f>
        <v>-34</v>
      </c>
      <c r="U2076" s="111">
        <f>Audit[[#This Row],[Audit Candidate 3]]-Audit[[#This Row],[Candidate 3]]</f>
        <v>-6</v>
      </c>
      <c r="V2076" s="111">
        <f>Audit[[#This Row],[Audit Candidate 4]]-Audit[[#This Row],[Candidate 4]]</f>
        <v>0</v>
      </c>
      <c r="W2076" s="111">
        <f>Audit[[#This Row],[Audit Candidate 5]]-Audit[[#This Row],[Candidate 5]]</f>
        <v>0</v>
      </c>
      <c r="X2076" s="111">
        <f>Audit[[#This Row],[Audit Candidate 6]]-Audit[[#This Row],[Candidate 6]]</f>
        <v>0</v>
      </c>
      <c r="Y2076" s="111">
        <f>SUMIF(Audit[[#This Row],[Difference Loser]:[Difference Candidate 6]], "&gt;0")</f>
        <v>0</v>
      </c>
      <c r="Z2076" s="111">
        <f>SUM(Audit[[#This Row],[Difference Loser]:[Difference Candidate 6]])</f>
        <v>-56</v>
      </c>
      <c r="AA2076" s="111">
        <f>IF(Audit[[#This Row],[Times p Drawn - With Replacement]]&gt;0, IF(Audit[[#This Row],[Canceled Differences]]&lt;0, Audit[[#This Row],[Max Differences]]+ABS(Audit[[#This Row],[Canceled Differences]]), Audit[[#This Row],[Max Differences]]), 0)</f>
        <v>0</v>
      </c>
      <c r="AB2076" s="111">
        <f>'Sampling Data'!P2075</f>
        <v>4.5320921117099457E-3</v>
      </c>
      <c r="AC2076" s="111">
        <f>IF(
      SUM(Audit[[#This Row],[Audit Losing Candidate]:[Audit Candidate 6]])
      &lt;&gt;0,
      (Audit[[#This Row],[Winning Candidate]]-Audit[[#This Row],[Losing Candidate]]-(Audit[[#This Row],[Audit Winning Candidate]]-Audit[[#This Row],[Audit Losing Candidate]]))/(Audit[[#Totals],[Winning Candidate]]-Audit[[#Totals],[Losing Candidate]]),
      0
)</f>
        <v>0</v>
      </c>
      <c r="AD207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6" s="111">
        <f>IF(Audit[[#This Row],[Max Relative Error (ep)]] = 0, 0, Audit[[#This Row],[Max Relative Error (ep)]]/Audit[[#This Row],[Error Bound (up) - Max. possible relative overstatement]])</f>
        <v>0</v>
      </c>
      <c r="AJ207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76" s="111">
        <f t="shared" si="32"/>
        <v>1</v>
      </c>
      <c r="AL2076" s="111">
        <f>PRODUCT($AK$5:AK2076)</f>
        <v>8.962823818226312E-2</v>
      </c>
      <c r="AM2076" s="109">
        <f>1 - [K-M P Value]</f>
        <v>0.91037176181773694</v>
      </c>
      <c r="AN2076" s="111" t="str">
        <f>IF(Audit[[#This Row],[K-M P Value]]&gt;1-'General Info'!$B$16,"Continue", "Stop")</f>
        <v>Stop</v>
      </c>
      <c r="AO2076" s="110" t="b">
        <f>IF(Audit[[#This Row],[Status - Continue or stop audit]] = "Continue", TRUE, IF(AN2075 = "Continue", TRUE, FALSE))</f>
        <v>0</v>
      </c>
      <c r="AP2076" s="110"/>
    </row>
    <row r="2077" spans="1:42" ht="15" hidden="1" customHeight="1">
      <c r="A2077" s="111" t="str">
        <f>'Sampling Data'!W2076</f>
        <v/>
      </c>
      <c r="B2077" s="112" t="str">
        <f>'Sampling Data'!A2076</f>
        <v>UNIVERSITY HEIGHTS -00-H - ABS</v>
      </c>
      <c r="C2077" s="112">
        <f>'Sampling Data'!B2076</f>
        <v>5</v>
      </c>
      <c r="D2077" s="112">
        <f>'Sampling Data'!C2076</f>
        <v>9</v>
      </c>
      <c r="E2077" s="113">
        <f>'Sampling Data'!D2076</f>
        <v>2</v>
      </c>
      <c r="F2077" s="113">
        <f>'Sampling Data'!E2076</f>
        <v>0</v>
      </c>
      <c r="G2077" s="113">
        <f>'Sampling Data'!F2076</f>
        <v>0</v>
      </c>
      <c r="H2077" s="113">
        <f>'Sampling Data'!G2076</f>
        <v>0</v>
      </c>
      <c r="I2077" s="112">
        <f>'Sampling Data'!H2076</f>
        <v>0</v>
      </c>
      <c r="J2077" s="112">
        <f>'Sampling Data'!I2076</f>
        <v>2</v>
      </c>
      <c r="K2077" s="112">
        <f>'Sampling Data'!J2076</f>
        <v>18</v>
      </c>
      <c r="L2077" s="111">
        <f>'Sampling Data'!X2076</f>
        <v>0</v>
      </c>
      <c r="M2077" s="114"/>
      <c r="N2077" s="114"/>
      <c r="O2077" s="115"/>
      <c r="P2077" s="115"/>
      <c r="Q2077" s="116"/>
      <c r="R2077" s="116"/>
      <c r="S2077" s="111">
        <f>Audit[[#This Row],[Audit Losing Candidate]]-Audit[[#This Row],[Losing Candidate]]</f>
        <v>-5</v>
      </c>
      <c r="T2077" s="111">
        <f>Audit[[#This Row],[Audit Winning Candidate]]-Audit[[#This Row],[Winning Candidate]]</f>
        <v>-9</v>
      </c>
      <c r="U2077" s="111">
        <f>Audit[[#This Row],[Audit Candidate 3]]-Audit[[#This Row],[Candidate 3]]</f>
        <v>-2</v>
      </c>
      <c r="V2077" s="111">
        <f>Audit[[#This Row],[Audit Candidate 4]]-Audit[[#This Row],[Candidate 4]]</f>
        <v>0</v>
      </c>
      <c r="W2077" s="111">
        <f>Audit[[#This Row],[Audit Candidate 5]]-Audit[[#This Row],[Candidate 5]]</f>
        <v>0</v>
      </c>
      <c r="X2077" s="111">
        <f>Audit[[#This Row],[Audit Candidate 6]]-Audit[[#This Row],[Candidate 6]]</f>
        <v>0</v>
      </c>
      <c r="Y2077" s="111">
        <f>SUMIF(Audit[[#This Row],[Difference Loser]:[Difference Candidate 6]], "&gt;0")</f>
        <v>0</v>
      </c>
      <c r="Z2077" s="111">
        <f>SUM(Audit[[#This Row],[Difference Loser]:[Difference Candidate 6]])</f>
        <v>-16</v>
      </c>
      <c r="AA2077" s="111">
        <f>IF(Audit[[#This Row],[Times p Drawn - With Replacement]]&gt;0, IF(Audit[[#This Row],[Canceled Differences]]&lt;0, Audit[[#This Row],[Max Differences]]+ABS(Audit[[#This Row],[Canceled Differences]]), Audit[[#This Row],[Max Differences]]), 0)</f>
        <v>0</v>
      </c>
      <c r="AB2077" s="111">
        <f>'Sampling Data'!P2076</f>
        <v>1.3473787359137678E-3</v>
      </c>
      <c r="AC2077" s="111">
        <f>IF(
      SUM(Audit[[#This Row],[Audit Losing Candidate]:[Audit Candidate 6]])
      &lt;&gt;0,
      (Audit[[#This Row],[Winning Candidate]]-Audit[[#This Row],[Losing Candidate]]-(Audit[[#This Row],[Audit Winning Candidate]]-Audit[[#This Row],[Audit Losing Candidate]]))/(Audit[[#Totals],[Winning Candidate]]-Audit[[#Totals],[Losing Candidate]]),
      0
)</f>
        <v>0</v>
      </c>
      <c r="AD207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7" s="111">
        <f>IF(Audit[[#This Row],[Max Relative Error (ep)]] = 0, 0, Audit[[#This Row],[Max Relative Error (ep)]]/Audit[[#This Row],[Error Bound (up) - Max. possible relative overstatement]])</f>
        <v>0</v>
      </c>
      <c r="AJ207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77" s="111">
        <f t="shared" si="32"/>
        <v>1</v>
      </c>
      <c r="AL2077" s="111">
        <f>PRODUCT($AK$5:AK2077)</f>
        <v>8.962823818226312E-2</v>
      </c>
      <c r="AM2077" s="109">
        <f>1 - [K-M P Value]</f>
        <v>0.91037176181773694</v>
      </c>
      <c r="AN2077" s="111" t="str">
        <f>IF(Audit[[#This Row],[K-M P Value]]&gt;1-'General Info'!$B$16,"Continue", "Stop")</f>
        <v>Stop</v>
      </c>
      <c r="AO2077" s="110" t="b">
        <f>IF(Audit[[#This Row],[Status - Continue or stop audit]] = "Continue", TRUE, IF(AN2076 = "Continue", TRUE, FALSE))</f>
        <v>0</v>
      </c>
      <c r="AP2077" s="110"/>
    </row>
    <row r="2078" spans="1:42" ht="15" hidden="1" customHeight="1">
      <c r="A2078" s="111" t="str">
        <f>'Sampling Data'!W2077</f>
        <v/>
      </c>
      <c r="B2078" s="112" t="str">
        <f>'Sampling Data'!A2077</f>
        <v>UNIVERSITY HEIGHTS -00-I</v>
      </c>
      <c r="C2078" s="112">
        <f>'Sampling Data'!B2077</f>
        <v>7</v>
      </c>
      <c r="D2078" s="112">
        <f>'Sampling Data'!C2077</f>
        <v>21</v>
      </c>
      <c r="E2078" s="113">
        <f>'Sampling Data'!D2077</f>
        <v>1</v>
      </c>
      <c r="F2078" s="113">
        <f>'Sampling Data'!E2077</f>
        <v>3</v>
      </c>
      <c r="G2078" s="113">
        <f>'Sampling Data'!F2077</f>
        <v>0</v>
      </c>
      <c r="H2078" s="113">
        <f>'Sampling Data'!G2077</f>
        <v>0</v>
      </c>
      <c r="I2078" s="112">
        <f>'Sampling Data'!H2077</f>
        <v>0</v>
      </c>
      <c r="J2078" s="112">
        <f>'Sampling Data'!I2077</f>
        <v>0</v>
      </c>
      <c r="K2078" s="112">
        <f>'Sampling Data'!J2077</f>
        <v>32</v>
      </c>
      <c r="L2078" s="111">
        <f>'Sampling Data'!X2077</f>
        <v>0</v>
      </c>
      <c r="M2078" s="114"/>
      <c r="N2078" s="114"/>
      <c r="O2078" s="115"/>
      <c r="P2078" s="115"/>
      <c r="Q2078" s="116"/>
      <c r="R2078" s="116"/>
      <c r="S2078" s="111">
        <f>Audit[[#This Row],[Audit Losing Candidate]]-Audit[[#This Row],[Losing Candidate]]</f>
        <v>-7</v>
      </c>
      <c r="T2078" s="111">
        <f>Audit[[#This Row],[Audit Winning Candidate]]-Audit[[#This Row],[Winning Candidate]]</f>
        <v>-21</v>
      </c>
      <c r="U2078" s="111">
        <f>Audit[[#This Row],[Audit Candidate 3]]-Audit[[#This Row],[Candidate 3]]</f>
        <v>-1</v>
      </c>
      <c r="V2078" s="111">
        <f>Audit[[#This Row],[Audit Candidate 4]]-Audit[[#This Row],[Candidate 4]]</f>
        <v>-3</v>
      </c>
      <c r="W2078" s="111">
        <f>Audit[[#This Row],[Audit Candidate 5]]-Audit[[#This Row],[Candidate 5]]</f>
        <v>0</v>
      </c>
      <c r="X2078" s="111">
        <f>Audit[[#This Row],[Audit Candidate 6]]-Audit[[#This Row],[Candidate 6]]</f>
        <v>0</v>
      </c>
      <c r="Y2078" s="111">
        <f>SUMIF(Audit[[#This Row],[Difference Loser]:[Difference Candidate 6]], "&gt;0")</f>
        <v>0</v>
      </c>
      <c r="Z2078" s="111">
        <f>SUM(Audit[[#This Row],[Difference Loser]:[Difference Candidate 6]])</f>
        <v>-32</v>
      </c>
      <c r="AA2078" s="111">
        <f>IF(Audit[[#This Row],[Times p Drawn - With Replacement]]&gt;0, IF(Audit[[#This Row],[Canceled Differences]]&lt;0, Audit[[#This Row],[Max Differences]]+ABS(Audit[[#This Row],[Canceled Differences]]), Audit[[#This Row],[Max Differences]]), 0)</f>
        <v>0</v>
      </c>
      <c r="AB2078" s="111">
        <f>'Sampling Data'!P2077</f>
        <v>2.8172464478196961E-3</v>
      </c>
      <c r="AC2078" s="111">
        <f>IF(
      SUM(Audit[[#This Row],[Audit Losing Candidate]:[Audit Candidate 6]])
      &lt;&gt;0,
      (Audit[[#This Row],[Winning Candidate]]-Audit[[#This Row],[Losing Candidate]]-(Audit[[#This Row],[Audit Winning Candidate]]-Audit[[#This Row],[Audit Losing Candidate]]))/(Audit[[#Totals],[Winning Candidate]]-Audit[[#Totals],[Losing Candidate]]),
      0
)</f>
        <v>0</v>
      </c>
      <c r="AD207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8" s="111">
        <f>IF(Audit[[#This Row],[Max Relative Error (ep)]] = 0, 0, Audit[[#This Row],[Max Relative Error (ep)]]/Audit[[#This Row],[Error Bound (up) - Max. possible relative overstatement]])</f>
        <v>0</v>
      </c>
      <c r="AJ207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78" s="111">
        <f t="shared" si="32"/>
        <v>1</v>
      </c>
      <c r="AL2078" s="111">
        <f>PRODUCT($AK$5:AK2078)</f>
        <v>8.962823818226312E-2</v>
      </c>
      <c r="AM2078" s="109">
        <f>1 - [K-M P Value]</f>
        <v>0.91037176181773694</v>
      </c>
      <c r="AN2078" s="111" t="str">
        <f>IF(Audit[[#This Row],[K-M P Value]]&gt;1-'General Info'!$B$16,"Continue", "Stop")</f>
        <v>Stop</v>
      </c>
      <c r="AO2078" s="110" t="b">
        <f>IF(Audit[[#This Row],[Status - Continue or stop audit]] = "Continue", TRUE, IF(AN2077 = "Continue", TRUE, FALSE))</f>
        <v>0</v>
      </c>
      <c r="AP2078" s="110"/>
    </row>
    <row r="2079" spans="1:42" ht="15" hidden="1" customHeight="1">
      <c r="A2079" s="111" t="str">
        <f>'Sampling Data'!W2078</f>
        <v/>
      </c>
      <c r="B2079" s="112" t="str">
        <f>'Sampling Data'!A2078</f>
        <v>UNIVERSITY HEIGHTS -00-I - ABS</v>
      </c>
      <c r="C2079" s="112">
        <f>'Sampling Data'!B2078</f>
        <v>7</v>
      </c>
      <c r="D2079" s="112">
        <f>'Sampling Data'!C2078</f>
        <v>6</v>
      </c>
      <c r="E2079" s="113">
        <f>'Sampling Data'!D2078</f>
        <v>2</v>
      </c>
      <c r="F2079" s="113">
        <f>'Sampling Data'!E2078</f>
        <v>1</v>
      </c>
      <c r="G2079" s="113">
        <f>'Sampling Data'!F2078</f>
        <v>0</v>
      </c>
      <c r="H2079" s="113">
        <f>'Sampling Data'!G2078</f>
        <v>0</v>
      </c>
      <c r="I2079" s="112">
        <f>'Sampling Data'!H2078</f>
        <v>0</v>
      </c>
      <c r="J2079" s="112">
        <f>'Sampling Data'!I2078</f>
        <v>0</v>
      </c>
      <c r="K2079" s="112">
        <f>'Sampling Data'!J2078</f>
        <v>16</v>
      </c>
      <c r="L2079" s="111">
        <f>'Sampling Data'!X2078</f>
        <v>0</v>
      </c>
      <c r="M2079" s="114"/>
      <c r="N2079" s="114"/>
      <c r="O2079" s="115"/>
      <c r="P2079" s="115"/>
      <c r="Q2079" s="116"/>
      <c r="R2079" s="116"/>
      <c r="S2079" s="111">
        <f>Audit[[#This Row],[Audit Losing Candidate]]-Audit[[#This Row],[Losing Candidate]]</f>
        <v>-7</v>
      </c>
      <c r="T2079" s="111">
        <f>Audit[[#This Row],[Audit Winning Candidate]]-Audit[[#This Row],[Winning Candidate]]</f>
        <v>-6</v>
      </c>
      <c r="U2079" s="111">
        <f>Audit[[#This Row],[Audit Candidate 3]]-Audit[[#This Row],[Candidate 3]]</f>
        <v>-2</v>
      </c>
      <c r="V2079" s="111">
        <f>Audit[[#This Row],[Audit Candidate 4]]-Audit[[#This Row],[Candidate 4]]</f>
        <v>-1</v>
      </c>
      <c r="W2079" s="111">
        <f>Audit[[#This Row],[Audit Candidate 5]]-Audit[[#This Row],[Candidate 5]]</f>
        <v>0</v>
      </c>
      <c r="X2079" s="111">
        <f>Audit[[#This Row],[Audit Candidate 6]]-Audit[[#This Row],[Candidate 6]]</f>
        <v>0</v>
      </c>
      <c r="Y2079" s="111">
        <f>SUMIF(Audit[[#This Row],[Difference Loser]:[Difference Candidate 6]], "&gt;0")</f>
        <v>0</v>
      </c>
      <c r="Z2079" s="111">
        <f>SUM(Audit[[#This Row],[Difference Loser]:[Difference Candidate 6]])</f>
        <v>-16</v>
      </c>
      <c r="AA2079" s="111">
        <f>IF(Audit[[#This Row],[Times p Drawn - With Replacement]]&gt;0, IF(Audit[[#This Row],[Canceled Differences]]&lt;0, Audit[[#This Row],[Max Differences]]+ABS(Audit[[#This Row],[Canceled Differences]]), Audit[[#This Row],[Max Differences]]), 0)</f>
        <v>0</v>
      </c>
      <c r="AB2079" s="111">
        <f>'Sampling Data'!P2078</f>
        <v>9.1866731994120533E-4</v>
      </c>
      <c r="AC2079" s="111">
        <f>IF(
      SUM(Audit[[#This Row],[Audit Losing Candidate]:[Audit Candidate 6]])
      &lt;&gt;0,
      (Audit[[#This Row],[Winning Candidate]]-Audit[[#This Row],[Losing Candidate]]-(Audit[[#This Row],[Audit Winning Candidate]]-Audit[[#This Row],[Audit Losing Candidate]]))/(Audit[[#Totals],[Winning Candidate]]-Audit[[#Totals],[Losing Candidate]]),
      0
)</f>
        <v>0</v>
      </c>
      <c r="AD207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9" s="111">
        <f>IF(Audit[[#This Row],[Max Relative Error (ep)]] = 0, 0, Audit[[#This Row],[Max Relative Error (ep)]]/Audit[[#This Row],[Error Bound (up) - Max. possible relative overstatement]])</f>
        <v>0</v>
      </c>
      <c r="AJ207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79" s="111">
        <f t="shared" si="32"/>
        <v>1</v>
      </c>
      <c r="AL2079" s="111">
        <f>PRODUCT($AK$5:AK2079)</f>
        <v>8.962823818226312E-2</v>
      </c>
      <c r="AM2079" s="109">
        <f>1 - [K-M P Value]</f>
        <v>0.91037176181773694</v>
      </c>
      <c r="AN2079" s="111" t="str">
        <f>IF(Audit[[#This Row],[K-M P Value]]&gt;1-'General Info'!$B$16,"Continue", "Stop")</f>
        <v>Stop</v>
      </c>
      <c r="AO2079" s="110" t="b">
        <f>IF(Audit[[#This Row],[Status - Continue or stop audit]] = "Continue", TRUE, IF(AN2078 = "Continue", TRUE, FALSE))</f>
        <v>0</v>
      </c>
      <c r="AP2079" s="110"/>
    </row>
    <row r="2080" spans="1:42" ht="15" hidden="1" customHeight="1">
      <c r="A2080" s="111" t="str">
        <f>'Sampling Data'!W2079</f>
        <v/>
      </c>
      <c r="B2080" s="112" t="str">
        <f>'Sampling Data'!A2079</f>
        <v>UNIVERSITY HEIGHTS -00-J</v>
      </c>
      <c r="C2080" s="112">
        <f>'Sampling Data'!B2079</f>
        <v>30</v>
      </c>
      <c r="D2080" s="112">
        <f>'Sampling Data'!C2079</f>
        <v>55</v>
      </c>
      <c r="E2080" s="113">
        <f>'Sampling Data'!D2079</f>
        <v>2</v>
      </c>
      <c r="F2080" s="113">
        <f>'Sampling Data'!E2079</f>
        <v>2</v>
      </c>
      <c r="G2080" s="113">
        <f>'Sampling Data'!F2079</f>
        <v>1</v>
      </c>
      <c r="H2080" s="113">
        <f>'Sampling Data'!G2079</f>
        <v>0</v>
      </c>
      <c r="I2080" s="112">
        <f>'Sampling Data'!H2079</f>
        <v>0</v>
      </c>
      <c r="J2080" s="112">
        <f>'Sampling Data'!I2079</f>
        <v>1</v>
      </c>
      <c r="K2080" s="112">
        <f>'Sampling Data'!J2079</f>
        <v>91</v>
      </c>
      <c r="L2080" s="111">
        <f>'Sampling Data'!X2079</f>
        <v>0</v>
      </c>
      <c r="M2080" s="114"/>
      <c r="N2080" s="114"/>
      <c r="O2080" s="115"/>
      <c r="P2080" s="115"/>
      <c r="Q2080" s="116"/>
      <c r="R2080" s="116"/>
      <c r="S2080" s="111">
        <f>Audit[[#This Row],[Audit Losing Candidate]]-Audit[[#This Row],[Losing Candidate]]</f>
        <v>-30</v>
      </c>
      <c r="T2080" s="111">
        <f>Audit[[#This Row],[Audit Winning Candidate]]-Audit[[#This Row],[Winning Candidate]]</f>
        <v>-55</v>
      </c>
      <c r="U2080" s="111">
        <f>Audit[[#This Row],[Audit Candidate 3]]-Audit[[#This Row],[Candidate 3]]</f>
        <v>-2</v>
      </c>
      <c r="V2080" s="111">
        <f>Audit[[#This Row],[Audit Candidate 4]]-Audit[[#This Row],[Candidate 4]]</f>
        <v>-2</v>
      </c>
      <c r="W2080" s="111">
        <f>Audit[[#This Row],[Audit Candidate 5]]-Audit[[#This Row],[Candidate 5]]</f>
        <v>-1</v>
      </c>
      <c r="X2080" s="111">
        <f>Audit[[#This Row],[Audit Candidate 6]]-Audit[[#This Row],[Candidate 6]]</f>
        <v>0</v>
      </c>
      <c r="Y2080" s="111">
        <f>SUMIF(Audit[[#This Row],[Difference Loser]:[Difference Candidate 6]], "&gt;0")</f>
        <v>0</v>
      </c>
      <c r="Z2080" s="111">
        <f>SUM(Audit[[#This Row],[Difference Loser]:[Difference Candidate 6]])</f>
        <v>-90</v>
      </c>
      <c r="AA2080" s="111">
        <f>IF(Audit[[#This Row],[Times p Drawn - With Replacement]]&gt;0, IF(Audit[[#This Row],[Canceled Differences]]&lt;0, Audit[[#This Row],[Max Differences]]+ABS(Audit[[#This Row],[Canceled Differences]]), Audit[[#This Row],[Max Differences]]), 0)</f>
        <v>0</v>
      </c>
      <c r="AB2080" s="111">
        <f>'Sampling Data'!P2079</f>
        <v>7.104360607545321E-3</v>
      </c>
      <c r="AC2080" s="111">
        <f>IF(
      SUM(Audit[[#This Row],[Audit Losing Candidate]:[Audit Candidate 6]])
      &lt;&gt;0,
      (Audit[[#This Row],[Winning Candidate]]-Audit[[#This Row],[Losing Candidate]]-(Audit[[#This Row],[Audit Winning Candidate]]-Audit[[#This Row],[Audit Losing Candidate]]))/(Audit[[#Totals],[Winning Candidate]]-Audit[[#Totals],[Losing Candidate]]),
      0
)</f>
        <v>0</v>
      </c>
      <c r="AD208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0" s="111">
        <f>IF(Audit[[#This Row],[Max Relative Error (ep)]] = 0, 0, Audit[[#This Row],[Max Relative Error (ep)]]/Audit[[#This Row],[Error Bound (up) - Max. possible relative overstatement]])</f>
        <v>0</v>
      </c>
      <c r="AJ208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80" s="111">
        <f t="shared" si="32"/>
        <v>1</v>
      </c>
      <c r="AL2080" s="111">
        <f>PRODUCT($AK$5:AK2080)</f>
        <v>8.962823818226312E-2</v>
      </c>
      <c r="AM2080" s="109">
        <f>1 - [K-M P Value]</f>
        <v>0.91037176181773694</v>
      </c>
      <c r="AN2080" s="111" t="str">
        <f>IF(Audit[[#This Row],[K-M P Value]]&gt;1-'General Info'!$B$16,"Continue", "Stop")</f>
        <v>Stop</v>
      </c>
      <c r="AO2080" s="110" t="b">
        <f>IF(Audit[[#This Row],[Status - Continue or stop audit]] = "Continue", TRUE, IF(AN2079 = "Continue", TRUE, FALSE))</f>
        <v>0</v>
      </c>
      <c r="AP2080" s="110"/>
    </row>
    <row r="2081" spans="1:42" ht="15" hidden="1" customHeight="1">
      <c r="A2081" s="111" t="str">
        <f>'Sampling Data'!W2080</f>
        <v/>
      </c>
      <c r="B2081" s="112" t="str">
        <f>'Sampling Data'!A2080</f>
        <v>UNIVERSITY HEIGHTS -00-J - ABS</v>
      </c>
      <c r="C2081" s="112">
        <f>'Sampling Data'!B2080</f>
        <v>5</v>
      </c>
      <c r="D2081" s="112">
        <f>'Sampling Data'!C2080</f>
        <v>14</v>
      </c>
      <c r="E2081" s="113">
        <f>'Sampling Data'!D2080</f>
        <v>0</v>
      </c>
      <c r="F2081" s="113">
        <f>'Sampling Data'!E2080</f>
        <v>0</v>
      </c>
      <c r="G2081" s="113">
        <f>'Sampling Data'!F2080</f>
        <v>1</v>
      </c>
      <c r="H2081" s="113">
        <f>'Sampling Data'!G2080</f>
        <v>1</v>
      </c>
      <c r="I2081" s="112">
        <f>'Sampling Data'!H2080</f>
        <v>0</v>
      </c>
      <c r="J2081" s="112">
        <f>'Sampling Data'!I2080</f>
        <v>0</v>
      </c>
      <c r="K2081" s="112">
        <f>'Sampling Data'!J2080</f>
        <v>21</v>
      </c>
      <c r="L2081" s="111">
        <f>'Sampling Data'!X2080</f>
        <v>0</v>
      </c>
      <c r="M2081" s="114"/>
      <c r="N2081" s="114"/>
      <c r="O2081" s="115"/>
      <c r="P2081" s="115"/>
      <c r="Q2081" s="116"/>
      <c r="R2081" s="116"/>
      <c r="S2081" s="111">
        <f>Audit[[#This Row],[Audit Losing Candidate]]-Audit[[#This Row],[Losing Candidate]]</f>
        <v>-5</v>
      </c>
      <c r="T2081" s="111">
        <f>Audit[[#This Row],[Audit Winning Candidate]]-Audit[[#This Row],[Winning Candidate]]</f>
        <v>-14</v>
      </c>
      <c r="U2081" s="111">
        <f>Audit[[#This Row],[Audit Candidate 3]]-Audit[[#This Row],[Candidate 3]]</f>
        <v>0</v>
      </c>
      <c r="V2081" s="111">
        <f>Audit[[#This Row],[Audit Candidate 4]]-Audit[[#This Row],[Candidate 4]]</f>
        <v>0</v>
      </c>
      <c r="W2081" s="111">
        <f>Audit[[#This Row],[Audit Candidate 5]]-Audit[[#This Row],[Candidate 5]]</f>
        <v>-1</v>
      </c>
      <c r="X2081" s="111">
        <f>Audit[[#This Row],[Audit Candidate 6]]-Audit[[#This Row],[Candidate 6]]</f>
        <v>-1</v>
      </c>
      <c r="Y2081" s="111">
        <f>SUMIF(Audit[[#This Row],[Difference Loser]:[Difference Candidate 6]], "&gt;0")</f>
        <v>0</v>
      </c>
      <c r="Z2081" s="111">
        <f>SUM(Audit[[#This Row],[Difference Loser]:[Difference Candidate 6]])</f>
        <v>-21</v>
      </c>
      <c r="AA2081" s="111">
        <f>IF(Audit[[#This Row],[Times p Drawn - With Replacement]]&gt;0, IF(Audit[[#This Row],[Canceled Differences]]&lt;0, Audit[[#This Row],[Max Differences]]+ABS(Audit[[#This Row],[Canceled Differences]]), Audit[[#This Row],[Max Differences]]), 0)</f>
        <v>0</v>
      </c>
      <c r="AB2081" s="111">
        <f>'Sampling Data'!P2080</f>
        <v>1.8373346398824107E-3</v>
      </c>
      <c r="AC2081" s="111">
        <f>IF(
      SUM(Audit[[#This Row],[Audit Losing Candidate]:[Audit Candidate 6]])
      &lt;&gt;0,
      (Audit[[#This Row],[Winning Candidate]]-Audit[[#This Row],[Losing Candidate]]-(Audit[[#This Row],[Audit Winning Candidate]]-Audit[[#This Row],[Audit Losing Candidate]]))/(Audit[[#Totals],[Winning Candidate]]-Audit[[#Totals],[Losing Candidate]]),
      0
)</f>
        <v>0</v>
      </c>
      <c r="AD208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1" s="111">
        <f>IF(Audit[[#This Row],[Max Relative Error (ep)]] = 0, 0, Audit[[#This Row],[Max Relative Error (ep)]]/Audit[[#This Row],[Error Bound (up) - Max. possible relative overstatement]])</f>
        <v>0</v>
      </c>
      <c r="AJ208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81" s="111">
        <f t="shared" si="32"/>
        <v>1</v>
      </c>
      <c r="AL2081" s="111">
        <f>PRODUCT($AK$5:AK2081)</f>
        <v>8.962823818226312E-2</v>
      </c>
      <c r="AM2081" s="109">
        <f>1 - [K-M P Value]</f>
        <v>0.91037176181773694</v>
      </c>
      <c r="AN2081" s="111" t="str">
        <f>IF(Audit[[#This Row],[K-M P Value]]&gt;1-'General Info'!$B$16,"Continue", "Stop")</f>
        <v>Stop</v>
      </c>
      <c r="AO2081" s="110" t="b">
        <f>IF(Audit[[#This Row],[Status - Continue or stop audit]] = "Continue", TRUE, IF(AN2080 = "Continue", TRUE, FALSE))</f>
        <v>0</v>
      </c>
      <c r="AP2081" s="110"/>
    </row>
    <row r="2082" spans="1:42" ht="15" hidden="1" customHeight="1">
      <c r="A2082" s="111" t="str">
        <f>'Sampling Data'!W2081</f>
        <v/>
      </c>
      <c r="B2082" s="112" t="str">
        <f>'Sampling Data'!A2081</f>
        <v>VALLEY VIEW -00-A</v>
      </c>
      <c r="C2082" s="112">
        <f>'Sampling Data'!B2081</f>
        <v>47</v>
      </c>
      <c r="D2082" s="112">
        <f>'Sampling Data'!C2081</f>
        <v>57</v>
      </c>
      <c r="E2082" s="113">
        <f>'Sampling Data'!D2081</f>
        <v>17</v>
      </c>
      <c r="F2082" s="113">
        <f>'Sampling Data'!E2081</f>
        <v>30</v>
      </c>
      <c r="G2082" s="113">
        <f>'Sampling Data'!F2081</f>
        <v>0</v>
      </c>
      <c r="H2082" s="113">
        <f>'Sampling Data'!G2081</f>
        <v>3</v>
      </c>
      <c r="I2082" s="112">
        <f>'Sampling Data'!H2081</f>
        <v>0</v>
      </c>
      <c r="J2082" s="112">
        <f>'Sampling Data'!I2081</f>
        <v>6</v>
      </c>
      <c r="K2082" s="112">
        <f>'Sampling Data'!J2081</f>
        <v>160</v>
      </c>
      <c r="L2082" s="111">
        <f>'Sampling Data'!X2081</f>
        <v>0</v>
      </c>
      <c r="M2082" s="114"/>
      <c r="N2082" s="114"/>
      <c r="O2082" s="115"/>
      <c r="P2082" s="115"/>
      <c r="Q2082" s="116"/>
      <c r="R2082" s="116"/>
      <c r="S2082" s="111">
        <f>Audit[[#This Row],[Audit Losing Candidate]]-Audit[[#This Row],[Losing Candidate]]</f>
        <v>-47</v>
      </c>
      <c r="T2082" s="111">
        <f>Audit[[#This Row],[Audit Winning Candidate]]-Audit[[#This Row],[Winning Candidate]]</f>
        <v>-57</v>
      </c>
      <c r="U2082" s="111">
        <f>Audit[[#This Row],[Audit Candidate 3]]-Audit[[#This Row],[Candidate 3]]</f>
        <v>-17</v>
      </c>
      <c r="V2082" s="111">
        <f>Audit[[#This Row],[Audit Candidate 4]]-Audit[[#This Row],[Candidate 4]]</f>
        <v>-30</v>
      </c>
      <c r="W2082" s="111">
        <f>Audit[[#This Row],[Audit Candidate 5]]-Audit[[#This Row],[Candidate 5]]</f>
        <v>0</v>
      </c>
      <c r="X2082" s="111">
        <f>Audit[[#This Row],[Audit Candidate 6]]-Audit[[#This Row],[Candidate 6]]</f>
        <v>-3</v>
      </c>
      <c r="Y2082" s="111">
        <f>SUMIF(Audit[[#This Row],[Difference Loser]:[Difference Candidate 6]], "&gt;0")</f>
        <v>0</v>
      </c>
      <c r="Z2082" s="111">
        <f>SUM(Audit[[#This Row],[Difference Loser]:[Difference Candidate 6]])</f>
        <v>-154</v>
      </c>
      <c r="AA2082" s="111">
        <f>IF(Audit[[#This Row],[Times p Drawn - With Replacement]]&gt;0, IF(Audit[[#This Row],[Canceled Differences]]&lt;0, Audit[[#This Row],[Max Differences]]+ABS(Audit[[#This Row],[Canceled Differences]]), Audit[[#This Row],[Max Differences]]), 0)</f>
        <v>0</v>
      </c>
      <c r="AB2082" s="111">
        <f>'Sampling Data'!P2081</f>
        <v>1.041156295933366E-2</v>
      </c>
      <c r="AC2082" s="111">
        <f>IF(
      SUM(Audit[[#This Row],[Audit Losing Candidate]:[Audit Candidate 6]])
      &lt;&gt;0,
      (Audit[[#This Row],[Winning Candidate]]-Audit[[#This Row],[Losing Candidate]]-(Audit[[#This Row],[Audit Winning Candidate]]-Audit[[#This Row],[Audit Losing Candidate]]))/(Audit[[#Totals],[Winning Candidate]]-Audit[[#Totals],[Losing Candidate]]),
      0
)</f>
        <v>0</v>
      </c>
      <c r="AD208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2" s="111">
        <f>IF(Audit[[#This Row],[Max Relative Error (ep)]] = 0, 0, Audit[[#This Row],[Max Relative Error (ep)]]/Audit[[#This Row],[Error Bound (up) - Max. possible relative overstatement]])</f>
        <v>0</v>
      </c>
      <c r="AJ208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82" s="111">
        <f t="shared" si="32"/>
        <v>1</v>
      </c>
      <c r="AL2082" s="111">
        <f>PRODUCT($AK$5:AK2082)</f>
        <v>8.962823818226312E-2</v>
      </c>
      <c r="AM2082" s="109">
        <f>1 - [K-M P Value]</f>
        <v>0.91037176181773694</v>
      </c>
      <c r="AN2082" s="111" t="str">
        <f>IF(Audit[[#This Row],[K-M P Value]]&gt;1-'General Info'!$B$16,"Continue", "Stop")</f>
        <v>Stop</v>
      </c>
      <c r="AO2082" s="110" t="b">
        <f>IF(Audit[[#This Row],[Status - Continue or stop audit]] = "Continue", TRUE, IF(AN2081 = "Continue", TRUE, FALSE))</f>
        <v>0</v>
      </c>
      <c r="AP2082" s="110"/>
    </row>
    <row r="2083" spans="1:42" ht="15" hidden="1" customHeight="1">
      <c r="A2083" s="111" t="str">
        <f>'Sampling Data'!W2082</f>
        <v/>
      </c>
      <c r="B2083" s="112" t="str">
        <f>'Sampling Data'!A2082</f>
        <v>VALLEY VIEW -00-A - ABS</v>
      </c>
      <c r="C2083" s="112">
        <f>'Sampling Data'!B2082</f>
        <v>18</v>
      </c>
      <c r="D2083" s="112">
        <f>'Sampling Data'!C2082</f>
        <v>10</v>
      </c>
      <c r="E2083" s="113">
        <f>'Sampling Data'!D2082</f>
        <v>4</v>
      </c>
      <c r="F2083" s="113">
        <f>'Sampling Data'!E2082</f>
        <v>9</v>
      </c>
      <c r="G2083" s="113">
        <f>'Sampling Data'!F2082</f>
        <v>0</v>
      </c>
      <c r="H2083" s="113">
        <f>'Sampling Data'!G2082</f>
        <v>0</v>
      </c>
      <c r="I2083" s="112">
        <f>'Sampling Data'!H2082</f>
        <v>0</v>
      </c>
      <c r="J2083" s="112">
        <f>'Sampling Data'!I2082</f>
        <v>1</v>
      </c>
      <c r="K2083" s="112">
        <f>'Sampling Data'!J2082</f>
        <v>42</v>
      </c>
      <c r="L2083" s="111">
        <f>'Sampling Data'!X2082</f>
        <v>0</v>
      </c>
      <c r="M2083" s="114"/>
      <c r="N2083" s="114"/>
      <c r="O2083" s="115"/>
      <c r="P2083" s="115"/>
      <c r="Q2083" s="116"/>
      <c r="R2083" s="116"/>
      <c r="S2083" s="111">
        <f>Audit[[#This Row],[Audit Losing Candidate]]-Audit[[#This Row],[Losing Candidate]]</f>
        <v>-18</v>
      </c>
      <c r="T2083" s="111">
        <f>Audit[[#This Row],[Audit Winning Candidate]]-Audit[[#This Row],[Winning Candidate]]</f>
        <v>-10</v>
      </c>
      <c r="U2083" s="111">
        <f>Audit[[#This Row],[Audit Candidate 3]]-Audit[[#This Row],[Candidate 3]]</f>
        <v>-4</v>
      </c>
      <c r="V2083" s="111">
        <f>Audit[[#This Row],[Audit Candidate 4]]-Audit[[#This Row],[Candidate 4]]</f>
        <v>-9</v>
      </c>
      <c r="W2083" s="111">
        <f>Audit[[#This Row],[Audit Candidate 5]]-Audit[[#This Row],[Candidate 5]]</f>
        <v>0</v>
      </c>
      <c r="X2083" s="111">
        <f>Audit[[#This Row],[Audit Candidate 6]]-Audit[[#This Row],[Candidate 6]]</f>
        <v>0</v>
      </c>
      <c r="Y2083" s="111">
        <f>SUMIF(Audit[[#This Row],[Difference Loser]:[Difference Candidate 6]], "&gt;0")</f>
        <v>0</v>
      </c>
      <c r="Z2083" s="111">
        <f>SUM(Audit[[#This Row],[Difference Loser]:[Difference Candidate 6]])</f>
        <v>-41</v>
      </c>
      <c r="AA2083" s="111">
        <f>IF(Audit[[#This Row],[Times p Drawn - With Replacement]]&gt;0, IF(Audit[[#This Row],[Canceled Differences]]&lt;0, Audit[[#This Row],[Max Differences]]+ABS(Audit[[#This Row],[Canceled Differences]]), Audit[[#This Row],[Max Differences]]), 0)</f>
        <v>0</v>
      </c>
      <c r="AB2083" s="111">
        <f>'Sampling Data'!P2082</f>
        <v>2.0823125918667321E-3</v>
      </c>
      <c r="AC2083" s="111">
        <f>IF(
      SUM(Audit[[#This Row],[Audit Losing Candidate]:[Audit Candidate 6]])
      &lt;&gt;0,
      (Audit[[#This Row],[Winning Candidate]]-Audit[[#This Row],[Losing Candidate]]-(Audit[[#This Row],[Audit Winning Candidate]]-Audit[[#This Row],[Audit Losing Candidate]]))/(Audit[[#Totals],[Winning Candidate]]-Audit[[#Totals],[Losing Candidate]]),
      0
)</f>
        <v>0</v>
      </c>
      <c r="AD208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3" s="111">
        <f>IF(Audit[[#This Row],[Max Relative Error (ep)]] = 0, 0, Audit[[#This Row],[Max Relative Error (ep)]]/Audit[[#This Row],[Error Bound (up) - Max. possible relative overstatement]])</f>
        <v>0</v>
      </c>
      <c r="AJ208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83" s="111">
        <f t="shared" si="32"/>
        <v>1</v>
      </c>
      <c r="AL2083" s="111">
        <f>PRODUCT($AK$5:AK2083)</f>
        <v>8.962823818226312E-2</v>
      </c>
      <c r="AM2083" s="109">
        <f>1 - [K-M P Value]</f>
        <v>0.91037176181773694</v>
      </c>
      <c r="AN2083" s="111" t="str">
        <f>IF(Audit[[#This Row],[K-M P Value]]&gt;1-'General Info'!$B$16,"Continue", "Stop")</f>
        <v>Stop</v>
      </c>
      <c r="AO2083" s="110" t="b">
        <f>IF(Audit[[#This Row],[Status - Continue or stop audit]] = "Continue", TRUE, IF(AN2082 = "Continue", TRUE, FALSE))</f>
        <v>0</v>
      </c>
      <c r="AP2083" s="110"/>
    </row>
    <row r="2084" spans="1:42" ht="15" hidden="1" customHeight="1">
      <c r="A2084" s="111" t="str">
        <f>'Sampling Data'!W2083</f>
        <v/>
      </c>
      <c r="B2084" s="112" t="str">
        <f>'Sampling Data'!A2083</f>
        <v>VALLEY VIEW -00-B</v>
      </c>
      <c r="C2084" s="112">
        <f>'Sampling Data'!B2083</f>
        <v>47</v>
      </c>
      <c r="D2084" s="112">
        <f>'Sampling Data'!C2083</f>
        <v>97</v>
      </c>
      <c r="E2084" s="113">
        <f>'Sampling Data'!D2083</f>
        <v>23</v>
      </c>
      <c r="F2084" s="113">
        <f>'Sampling Data'!E2083</f>
        <v>17</v>
      </c>
      <c r="G2084" s="113">
        <f>'Sampling Data'!F2083</f>
        <v>0</v>
      </c>
      <c r="H2084" s="113">
        <f>'Sampling Data'!G2083</f>
        <v>1</v>
      </c>
      <c r="I2084" s="112">
        <f>'Sampling Data'!H2083</f>
        <v>0</v>
      </c>
      <c r="J2084" s="112">
        <f>'Sampling Data'!I2083</f>
        <v>6</v>
      </c>
      <c r="K2084" s="112">
        <f>'Sampling Data'!J2083</f>
        <v>191</v>
      </c>
      <c r="L2084" s="111">
        <f>'Sampling Data'!X2083</f>
        <v>0</v>
      </c>
      <c r="M2084" s="114"/>
      <c r="N2084" s="114"/>
      <c r="O2084" s="115"/>
      <c r="P2084" s="115"/>
      <c r="Q2084" s="116"/>
      <c r="R2084" s="116"/>
      <c r="S2084" s="111">
        <f>Audit[[#This Row],[Audit Losing Candidate]]-Audit[[#This Row],[Losing Candidate]]</f>
        <v>-47</v>
      </c>
      <c r="T2084" s="111">
        <f>Audit[[#This Row],[Audit Winning Candidate]]-Audit[[#This Row],[Winning Candidate]]</f>
        <v>-97</v>
      </c>
      <c r="U2084" s="111">
        <f>Audit[[#This Row],[Audit Candidate 3]]-Audit[[#This Row],[Candidate 3]]</f>
        <v>-23</v>
      </c>
      <c r="V2084" s="111">
        <f>Audit[[#This Row],[Audit Candidate 4]]-Audit[[#This Row],[Candidate 4]]</f>
        <v>-17</v>
      </c>
      <c r="W2084" s="111">
        <f>Audit[[#This Row],[Audit Candidate 5]]-Audit[[#This Row],[Candidate 5]]</f>
        <v>0</v>
      </c>
      <c r="X2084" s="111">
        <f>Audit[[#This Row],[Audit Candidate 6]]-Audit[[#This Row],[Candidate 6]]</f>
        <v>-1</v>
      </c>
      <c r="Y2084" s="111">
        <f>SUMIF(Audit[[#This Row],[Difference Loser]:[Difference Candidate 6]], "&gt;0")</f>
        <v>0</v>
      </c>
      <c r="Z2084" s="111">
        <f>SUM(Audit[[#This Row],[Difference Loser]:[Difference Candidate 6]])</f>
        <v>-185</v>
      </c>
      <c r="AA2084" s="111">
        <f>IF(Audit[[#This Row],[Times p Drawn - With Replacement]]&gt;0, IF(Audit[[#This Row],[Canceled Differences]]&lt;0, Audit[[#This Row],[Max Differences]]+ABS(Audit[[#This Row],[Canceled Differences]]), Audit[[#This Row],[Max Differences]]), 0)</f>
        <v>0</v>
      </c>
      <c r="AB2084" s="111">
        <f>'Sampling Data'!P2083</f>
        <v>1.4759921607055365E-2</v>
      </c>
      <c r="AC2084" s="111">
        <f>IF(
      SUM(Audit[[#This Row],[Audit Losing Candidate]:[Audit Candidate 6]])
      &lt;&gt;0,
      (Audit[[#This Row],[Winning Candidate]]-Audit[[#This Row],[Losing Candidate]]-(Audit[[#This Row],[Audit Winning Candidate]]-Audit[[#This Row],[Audit Losing Candidate]]))/(Audit[[#Totals],[Winning Candidate]]-Audit[[#Totals],[Losing Candidate]]),
      0
)</f>
        <v>0</v>
      </c>
      <c r="AD208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4" s="111">
        <f>IF(Audit[[#This Row],[Max Relative Error (ep)]] = 0, 0, Audit[[#This Row],[Max Relative Error (ep)]]/Audit[[#This Row],[Error Bound (up) - Max. possible relative overstatement]])</f>
        <v>0</v>
      </c>
      <c r="AJ208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84" s="111">
        <f t="shared" si="32"/>
        <v>1</v>
      </c>
      <c r="AL2084" s="111">
        <f>PRODUCT($AK$5:AK2084)</f>
        <v>8.962823818226312E-2</v>
      </c>
      <c r="AM2084" s="109">
        <f>1 - [K-M P Value]</f>
        <v>0.91037176181773694</v>
      </c>
      <c r="AN2084" s="111" t="str">
        <f>IF(Audit[[#This Row],[K-M P Value]]&gt;1-'General Info'!$B$16,"Continue", "Stop")</f>
        <v>Stop</v>
      </c>
      <c r="AO2084" s="110" t="b">
        <f>IF(Audit[[#This Row],[Status - Continue or stop audit]] = "Continue", TRUE, IF(AN2083 = "Continue", TRUE, FALSE))</f>
        <v>0</v>
      </c>
      <c r="AP2084" s="110"/>
    </row>
    <row r="2085" spans="1:42" ht="15" hidden="1" customHeight="1">
      <c r="A2085" s="111" t="str">
        <f>'Sampling Data'!W2084</f>
        <v/>
      </c>
      <c r="B2085" s="112" t="str">
        <f>'Sampling Data'!A2084</f>
        <v>VALLEY VIEW -00-B - ABS</v>
      </c>
      <c r="C2085" s="112">
        <f>'Sampling Data'!B2084</f>
        <v>36</v>
      </c>
      <c r="D2085" s="112">
        <f>'Sampling Data'!C2084</f>
        <v>34</v>
      </c>
      <c r="E2085" s="113">
        <f>'Sampling Data'!D2084</f>
        <v>17</v>
      </c>
      <c r="F2085" s="113">
        <f>'Sampling Data'!E2084</f>
        <v>9</v>
      </c>
      <c r="G2085" s="113">
        <f>'Sampling Data'!F2084</f>
        <v>0</v>
      </c>
      <c r="H2085" s="113">
        <f>'Sampling Data'!G2084</f>
        <v>1</v>
      </c>
      <c r="I2085" s="112">
        <f>'Sampling Data'!H2084</f>
        <v>0</v>
      </c>
      <c r="J2085" s="112">
        <f>'Sampling Data'!I2084</f>
        <v>5</v>
      </c>
      <c r="K2085" s="112">
        <f>'Sampling Data'!J2084</f>
        <v>102</v>
      </c>
      <c r="L2085" s="111">
        <f>'Sampling Data'!X2084</f>
        <v>0</v>
      </c>
      <c r="M2085" s="114"/>
      <c r="N2085" s="114"/>
      <c r="O2085" s="115"/>
      <c r="P2085" s="115"/>
      <c r="Q2085" s="116"/>
      <c r="R2085" s="116"/>
      <c r="S2085" s="111">
        <f>Audit[[#This Row],[Audit Losing Candidate]]-Audit[[#This Row],[Losing Candidate]]</f>
        <v>-36</v>
      </c>
      <c r="T2085" s="111">
        <f>Audit[[#This Row],[Audit Winning Candidate]]-Audit[[#This Row],[Winning Candidate]]</f>
        <v>-34</v>
      </c>
      <c r="U2085" s="111">
        <f>Audit[[#This Row],[Audit Candidate 3]]-Audit[[#This Row],[Candidate 3]]</f>
        <v>-17</v>
      </c>
      <c r="V2085" s="111">
        <f>Audit[[#This Row],[Audit Candidate 4]]-Audit[[#This Row],[Candidate 4]]</f>
        <v>-9</v>
      </c>
      <c r="W2085" s="111">
        <f>Audit[[#This Row],[Audit Candidate 5]]-Audit[[#This Row],[Candidate 5]]</f>
        <v>0</v>
      </c>
      <c r="X2085" s="111">
        <f>Audit[[#This Row],[Audit Candidate 6]]-Audit[[#This Row],[Candidate 6]]</f>
        <v>-1</v>
      </c>
      <c r="Y2085" s="111">
        <f>SUMIF(Audit[[#This Row],[Difference Loser]:[Difference Candidate 6]], "&gt;0")</f>
        <v>0</v>
      </c>
      <c r="Z2085" s="111">
        <f>SUM(Audit[[#This Row],[Difference Loser]:[Difference Candidate 6]])</f>
        <v>-97</v>
      </c>
      <c r="AA2085" s="111">
        <f>IF(Audit[[#This Row],[Times p Drawn - With Replacement]]&gt;0, IF(Audit[[#This Row],[Canceled Differences]]&lt;0, Audit[[#This Row],[Max Differences]]+ABS(Audit[[#This Row],[Canceled Differences]]), Audit[[#This Row],[Max Differences]]), 0)</f>
        <v>0</v>
      </c>
      <c r="AB2085" s="111">
        <f>'Sampling Data'!P2084</f>
        <v>6.1244487996080354E-3</v>
      </c>
      <c r="AC2085" s="111">
        <f>IF(
      SUM(Audit[[#This Row],[Audit Losing Candidate]:[Audit Candidate 6]])
      &lt;&gt;0,
      (Audit[[#This Row],[Winning Candidate]]-Audit[[#This Row],[Losing Candidate]]-(Audit[[#This Row],[Audit Winning Candidate]]-Audit[[#This Row],[Audit Losing Candidate]]))/(Audit[[#Totals],[Winning Candidate]]-Audit[[#Totals],[Losing Candidate]]),
      0
)</f>
        <v>0</v>
      </c>
      <c r="AD208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5" s="111">
        <f>IF(Audit[[#This Row],[Max Relative Error (ep)]] = 0, 0, Audit[[#This Row],[Max Relative Error (ep)]]/Audit[[#This Row],[Error Bound (up) - Max. possible relative overstatement]])</f>
        <v>0</v>
      </c>
      <c r="AJ208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85" s="111">
        <f t="shared" si="32"/>
        <v>1</v>
      </c>
      <c r="AL2085" s="111">
        <f>PRODUCT($AK$5:AK2085)</f>
        <v>8.962823818226312E-2</v>
      </c>
      <c r="AM2085" s="109">
        <f>1 - [K-M P Value]</f>
        <v>0.91037176181773694</v>
      </c>
      <c r="AN2085" s="111" t="str">
        <f>IF(Audit[[#This Row],[K-M P Value]]&gt;1-'General Info'!$B$16,"Continue", "Stop")</f>
        <v>Stop</v>
      </c>
      <c r="AO2085" s="110" t="b">
        <f>IF(Audit[[#This Row],[Status - Continue or stop audit]] = "Continue", TRUE, IF(AN2084 = "Continue", TRUE, FALSE))</f>
        <v>0</v>
      </c>
      <c r="AP2085" s="110"/>
    </row>
    <row r="2086" spans="1:42" ht="15" hidden="1" customHeight="1">
      <c r="A2086" s="111" t="str">
        <f>'Sampling Data'!W2086</f>
        <v/>
      </c>
      <c r="B2086" s="112" t="str">
        <f>'Sampling Data'!A2086</f>
        <v>WALTON HILLS -00-A - ABS</v>
      </c>
      <c r="C2086" s="112">
        <f>'Sampling Data'!B2086</f>
        <v>6</v>
      </c>
      <c r="D2086" s="112">
        <f>'Sampling Data'!C2086</f>
        <v>36</v>
      </c>
      <c r="E2086" s="113">
        <f>'Sampling Data'!D2086</f>
        <v>12</v>
      </c>
      <c r="F2086" s="113">
        <f>'Sampling Data'!E2086</f>
        <v>1</v>
      </c>
      <c r="G2086" s="113">
        <f>'Sampling Data'!F2086</f>
        <v>0</v>
      </c>
      <c r="H2086" s="113">
        <f>'Sampling Data'!G2086</f>
        <v>0</v>
      </c>
      <c r="I2086" s="112">
        <f>'Sampling Data'!H2086</f>
        <v>1</v>
      </c>
      <c r="J2086" s="112">
        <f>'Sampling Data'!I2086</f>
        <v>0</v>
      </c>
      <c r="K2086" s="112">
        <f>'Sampling Data'!J2086</f>
        <v>56</v>
      </c>
      <c r="L2086" s="111">
        <f>'Sampling Data'!X2086</f>
        <v>0</v>
      </c>
      <c r="M2086" s="114"/>
      <c r="N2086" s="114"/>
      <c r="O2086" s="115"/>
      <c r="P2086" s="115"/>
      <c r="Q2086" s="116"/>
      <c r="R2086" s="116"/>
      <c r="S2086" s="111">
        <f>Audit[[#This Row],[Audit Losing Candidate]]-Audit[[#This Row],[Losing Candidate]]</f>
        <v>-6</v>
      </c>
      <c r="T2086" s="111">
        <f>Audit[[#This Row],[Audit Winning Candidate]]-Audit[[#This Row],[Winning Candidate]]</f>
        <v>-36</v>
      </c>
      <c r="U2086" s="111">
        <f>Audit[[#This Row],[Audit Candidate 3]]-Audit[[#This Row],[Candidate 3]]</f>
        <v>-12</v>
      </c>
      <c r="V2086" s="111">
        <f>Audit[[#This Row],[Audit Candidate 4]]-Audit[[#This Row],[Candidate 4]]</f>
        <v>-1</v>
      </c>
      <c r="W2086" s="111">
        <f>Audit[[#This Row],[Audit Candidate 5]]-Audit[[#This Row],[Candidate 5]]</f>
        <v>0</v>
      </c>
      <c r="X2086" s="111">
        <f>Audit[[#This Row],[Audit Candidate 6]]-Audit[[#This Row],[Candidate 6]]</f>
        <v>0</v>
      </c>
      <c r="Y2086" s="111">
        <f>SUMIF(Audit[[#This Row],[Difference Loser]:[Difference Candidate 6]], "&gt;0")</f>
        <v>0</v>
      </c>
      <c r="Z2086" s="111">
        <f>SUM(Audit[[#This Row],[Difference Loser]:[Difference Candidate 6]])</f>
        <v>-55</v>
      </c>
      <c r="AA2086" s="111">
        <f>IF(Audit[[#This Row],[Times p Drawn - With Replacement]]&gt;0, IF(Audit[[#This Row],[Canceled Differences]]&lt;0, Audit[[#This Row],[Max Differences]]+ABS(Audit[[#This Row],[Canceled Differences]]), Audit[[#This Row],[Max Differences]]), 0)</f>
        <v>0</v>
      </c>
      <c r="AB2086" s="111">
        <f>'Sampling Data'!P2086</f>
        <v>5.2670259676629106E-3</v>
      </c>
      <c r="AC2086" s="111">
        <f>IF(
      SUM(Audit[[#This Row],[Audit Losing Candidate]:[Audit Candidate 6]])
      &lt;&gt;0,
      (Audit[[#This Row],[Winning Candidate]]-Audit[[#This Row],[Losing Candidate]]-(Audit[[#This Row],[Audit Winning Candidate]]-Audit[[#This Row],[Audit Losing Candidate]]))/(Audit[[#Totals],[Winning Candidate]]-Audit[[#Totals],[Losing Candidate]]),
      0
)</f>
        <v>0</v>
      </c>
      <c r="AD208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6" s="111">
        <f>IF(Audit[[#This Row],[Max Relative Error (ep)]] = 0, 0, Audit[[#This Row],[Max Relative Error (ep)]]/Audit[[#This Row],[Error Bound (up) - Max. possible relative overstatement]])</f>
        <v>0</v>
      </c>
      <c r="AJ208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86" s="111">
        <f t="shared" si="32"/>
        <v>1</v>
      </c>
      <c r="AL2086" s="111">
        <f>PRODUCT($AK$5:AK2086)</f>
        <v>8.962823818226312E-2</v>
      </c>
      <c r="AM2086" s="109">
        <f>1 - [K-M P Value]</f>
        <v>0.91037176181773694</v>
      </c>
      <c r="AN2086" s="111" t="str">
        <f>IF(Audit[[#This Row],[K-M P Value]]&gt;1-'General Info'!$B$16,"Continue", "Stop")</f>
        <v>Stop</v>
      </c>
      <c r="AO2086" s="110" t="b">
        <f>IF(Audit[[#This Row],[Status - Continue or stop audit]] = "Continue", TRUE, IF(AN2085 = "Continue", TRUE, FALSE))</f>
        <v>0</v>
      </c>
      <c r="AP2086" s="110"/>
    </row>
    <row r="2087" spans="1:42" ht="15" hidden="1" customHeight="1">
      <c r="A2087" s="111" t="str">
        <f>'Sampling Data'!W2087</f>
        <v/>
      </c>
      <c r="B2087" s="112" t="str">
        <f>'Sampling Data'!A2087</f>
        <v>WALTON HILLS -00-B</v>
      </c>
      <c r="C2087" s="112">
        <f>'Sampling Data'!B2087</f>
        <v>43</v>
      </c>
      <c r="D2087" s="112">
        <f>'Sampling Data'!C2087</f>
        <v>57</v>
      </c>
      <c r="E2087" s="113">
        <f>'Sampling Data'!D2087</f>
        <v>12</v>
      </c>
      <c r="F2087" s="113">
        <f>'Sampling Data'!E2087</f>
        <v>4</v>
      </c>
      <c r="G2087" s="113">
        <f>'Sampling Data'!F2087</f>
        <v>0</v>
      </c>
      <c r="H2087" s="113">
        <f>'Sampling Data'!G2087</f>
        <v>1</v>
      </c>
      <c r="I2087" s="112">
        <f>'Sampling Data'!H2087</f>
        <v>0</v>
      </c>
      <c r="J2087" s="112">
        <f>'Sampling Data'!I2087</f>
        <v>1</v>
      </c>
      <c r="K2087" s="112">
        <f>'Sampling Data'!J2087</f>
        <v>118</v>
      </c>
      <c r="L2087" s="111">
        <f>'Sampling Data'!X2087</f>
        <v>0</v>
      </c>
      <c r="M2087" s="114"/>
      <c r="N2087" s="114"/>
      <c r="O2087" s="115"/>
      <c r="P2087" s="115"/>
      <c r="Q2087" s="116"/>
      <c r="R2087" s="116"/>
      <c r="S2087" s="111">
        <f>Audit[[#This Row],[Audit Losing Candidate]]-Audit[[#This Row],[Losing Candidate]]</f>
        <v>-43</v>
      </c>
      <c r="T2087" s="111">
        <f>Audit[[#This Row],[Audit Winning Candidate]]-Audit[[#This Row],[Winning Candidate]]</f>
        <v>-57</v>
      </c>
      <c r="U2087" s="111">
        <f>Audit[[#This Row],[Audit Candidate 3]]-Audit[[#This Row],[Candidate 3]]</f>
        <v>-12</v>
      </c>
      <c r="V2087" s="111">
        <f>Audit[[#This Row],[Audit Candidate 4]]-Audit[[#This Row],[Candidate 4]]</f>
        <v>-4</v>
      </c>
      <c r="W2087" s="111">
        <f>Audit[[#This Row],[Audit Candidate 5]]-Audit[[#This Row],[Candidate 5]]</f>
        <v>0</v>
      </c>
      <c r="X2087" s="111">
        <f>Audit[[#This Row],[Audit Candidate 6]]-Audit[[#This Row],[Candidate 6]]</f>
        <v>-1</v>
      </c>
      <c r="Y2087" s="111">
        <f>SUMIF(Audit[[#This Row],[Difference Loser]:[Difference Candidate 6]], "&gt;0")</f>
        <v>0</v>
      </c>
      <c r="Z2087" s="111">
        <f>SUM(Audit[[#This Row],[Difference Loser]:[Difference Candidate 6]])</f>
        <v>-117</v>
      </c>
      <c r="AA2087" s="111">
        <f>IF(Audit[[#This Row],[Times p Drawn - With Replacement]]&gt;0, IF(Audit[[#This Row],[Canceled Differences]]&lt;0, Audit[[#This Row],[Max Differences]]+ABS(Audit[[#This Row],[Canceled Differences]]), Audit[[#This Row],[Max Differences]]), 0)</f>
        <v>0</v>
      </c>
      <c r="AB2087" s="111">
        <f>'Sampling Data'!P2087</f>
        <v>8.0842724154826066E-3</v>
      </c>
      <c r="AC2087" s="111">
        <f>IF(
      SUM(Audit[[#This Row],[Audit Losing Candidate]:[Audit Candidate 6]])
      &lt;&gt;0,
      (Audit[[#This Row],[Winning Candidate]]-Audit[[#This Row],[Losing Candidate]]-(Audit[[#This Row],[Audit Winning Candidate]]-Audit[[#This Row],[Audit Losing Candidate]]))/(Audit[[#Totals],[Winning Candidate]]-Audit[[#Totals],[Losing Candidate]]),
      0
)</f>
        <v>0</v>
      </c>
      <c r="AD208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7" s="111">
        <f>IF(Audit[[#This Row],[Max Relative Error (ep)]] = 0, 0, Audit[[#This Row],[Max Relative Error (ep)]]/Audit[[#This Row],[Error Bound (up) - Max. possible relative overstatement]])</f>
        <v>0</v>
      </c>
      <c r="AJ208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87" s="111">
        <f t="shared" si="32"/>
        <v>1</v>
      </c>
      <c r="AL2087" s="111">
        <f>PRODUCT($AK$5:AK2087)</f>
        <v>8.962823818226312E-2</v>
      </c>
      <c r="AM2087" s="109">
        <f>1 - [K-M P Value]</f>
        <v>0.91037176181773694</v>
      </c>
      <c r="AN2087" s="111" t="str">
        <f>IF(Audit[[#This Row],[K-M P Value]]&gt;1-'General Info'!$B$16,"Continue", "Stop")</f>
        <v>Stop</v>
      </c>
      <c r="AO2087" s="110" t="b">
        <f>IF(Audit[[#This Row],[Status - Continue or stop audit]] = "Continue", TRUE, IF(AN2086 = "Continue", TRUE, FALSE))</f>
        <v>0</v>
      </c>
      <c r="AP2087" s="110"/>
    </row>
    <row r="2088" spans="1:42" ht="15" hidden="1" customHeight="1">
      <c r="A2088" s="111" t="str">
        <f>'Sampling Data'!W2088</f>
        <v/>
      </c>
      <c r="B2088" s="112" t="str">
        <f>'Sampling Data'!A2088</f>
        <v>WALTON HILLS -00-B - ABS</v>
      </c>
      <c r="C2088" s="112">
        <f>'Sampling Data'!B2088</f>
        <v>22</v>
      </c>
      <c r="D2088" s="112">
        <f>'Sampling Data'!C2088</f>
        <v>31</v>
      </c>
      <c r="E2088" s="113">
        <f>'Sampling Data'!D2088</f>
        <v>10</v>
      </c>
      <c r="F2088" s="113">
        <f>'Sampling Data'!E2088</f>
        <v>3</v>
      </c>
      <c r="G2088" s="113">
        <f>'Sampling Data'!F2088</f>
        <v>0</v>
      </c>
      <c r="H2088" s="113">
        <f>'Sampling Data'!G2088</f>
        <v>0</v>
      </c>
      <c r="I2088" s="112">
        <f>'Sampling Data'!H2088</f>
        <v>0</v>
      </c>
      <c r="J2088" s="112">
        <f>'Sampling Data'!I2088</f>
        <v>2</v>
      </c>
      <c r="K2088" s="112">
        <f>'Sampling Data'!J2088</f>
        <v>68</v>
      </c>
      <c r="L2088" s="111">
        <f>'Sampling Data'!X2088</f>
        <v>0</v>
      </c>
      <c r="M2088" s="114"/>
      <c r="N2088" s="114"/>
      <c r="O2088" s="115"/>
      <c r="P2088" s="115"/>
      <c r="Q2088" s="116"/>
      <c r="R2088" s="116"/>
      <c r="S2088" s="111">
        <f>Audit[[#This Row],[Audit Losing Candidate]]-Audit[[#This Row],[Losing Candidate]]</f>
        <v>-22</v>
      </c>
      <c r="T2088" s="111">
        <f>Audit[[#This Row],[Audit Winning Candidate]]-Audit[[#This Row],[Winning Candidate]]</f>
        <v>-31</v>
      </c>
      <c r="U2088" s="111">
        <f>Audit[[#This Row],[Audit Candidate 3]]-Audit[[#This Row],[Candidate 3]]</f>
        <v>-10</v>
      </c>
      <c r="V2088" s="111">
        <f>Audit[[#This Row],[Audit Candidate 4]]-Audit[[#This Row],[Candidate 4]]</f>
        <v>-3</v>
      </c>
      <c r="W2088" s="111">
        <f>Audit[[#This Row],[Audit Candidate 5]]-Audit[[#This Row],[Candidate 5]]</f>
        <v>0</v>
      </c>
      <c r="X2088" s="111">
        <f>Audit[[#This Row],[Audit Candidate 6]]-Audit[[#This Row],[Candidate 6]]</f>
        <v>0</v>
      </c>
      <c r="Y2088" s="111">
        <f>SUMIF(Audit[[#This Row],[Difference Loser]:[Difference Candidate 6]], "&gt;0")</f>
        <v>0</v>
      </c>
      <c r="Z2088" s="111">
        <f>SUM(Audit[[#This Row],[Difference Loser]:[Difference Candidate 6]])</f>
        <v>-66</v>
      </c>
      <c r="AA2088" s="111">
        <f>IF(Audit[[#This Row],[Times p Drawn - With Replacement]]&gt;0, IF(Audit[[#This Row],[Canceled Differences]]&lt;0, Audit[[#This Row],[Max Differences]]+ABS(Audit[[#This Row],[Canceled Differences]]), Audit[[#This Row],[Max Differences]]), 0)</f>
        <v>0</v>
      </c>
      <c r="AB2088" s="111">
        <f>'Sampling Data'!P2088</f>
        <v>4.7158255756981869E-3</v>
      </c>
      <c r="AC2088" s="111">
        <f>IF(
      SUM(Audit[[#This Row],[Audit Losing Candidate]:[Audit Candidate 6]])
      &lt;&gt;0,
      (Audit[[#This Row],[Winning Candidate]]-Audit[[#This Row],[Losing Candidate]]-(Audit[[#This Row],[Audit Winning Candidate]]-Audit[[#This Row],[Audit Losing Candidate]]))/(Audit[[#Totals],[Winning Candidate]]-Audit[[#Totals],[Losing Candidate]]),
      0
)</f>
        <v>0</v>
      </c>
      <c r="AD208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8" s="111">
        <f>IF(Audit[[#This Row],[Max Relative Error (ep)]] = 0, 0, Audit[[#This Row],[Max Relative Error (ep)]]/Audit[[#This Row],[Error Bound (up) - Max. possible relative overstatement]])</f>
        <v>0</v>
      </c>
      <c r="AJ208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88" s="111">
        <f t="shared" si="32"/>
        <v>1</v>
      </c>
      <c r="AL2088" s="111">
        <f>PRODUCT($AK$5:AK2088)</f>
        <v>8.962823818226312E-2</v>
      </c>
      <c r="AM2088" s="109">
        <f>1 - [K-M P Value]</f>
        <v>0.91037176181773694</v>
      </c>
      <c r="AN2088" s="111" t="str">
        <f>IF(Audit[[#This Row],[K-M P Value]]&gt;1-'General Info'!$B$16,"Continue", "Stop")</f>
        <v>Stop</v>
      </c>
      <c r="AO2088" s="110" t="b">
        <f>IF(Audit[[#This Row],[Status - Continue or stop audit]] = "Continue", TRUE, IF(AN2087 = "Continue", TRUE, FALSE))</f>
        <v>0</v>
      </c>
      <c r="AP2088" s="110"/>
    </row>
    <row r="2089" spans="1:42" ht="15" hidden="1" customHeight="1">
      <c r="A2089" s="111" t="str">
        <f>'Sampling Data'!W2089</f>
        <v/>
      </c>
      <c r="B2089" s="112" t="str">
        <f>'Sampling Data'!A2089</f>
        <v>WARRENSVILLE HTS -01-A</v>
      </c>
      <c r="C2089" s="112">
        <f>'Sampling Data'!B2089</f>
        <v>4</v>
      </c>
      <c r="D2089" s="112">
        <f>'Sampling Data'!C2089</f>
        <v>0</v>
      </c>
      <c r="E2089" s="113">
        <f>'Sampling Data'!D2089</f>
        <v>0</v>
      </c>
      <c r="F2089" s="113">
        <f>'Sampling Data'!E2089</f>
        <v>0</v>
      </c>
      <c r="G2089" s="113">
        <f>'Sampling Data'!F2089</f>
        <v>0</v>
      </c>
      <c r="H2089" s="113">
        <f>'Sampling Data'!G2089</f>
        <v>0</v>
      </c>
      <c r="I2089" s="112">
        <f>'Sampling Data'!H2089</f>
        <v>0</v>
      </c>
      <c r="J2089" s="112">
        <f>'Sampling Data'!I2089</f>
        <v>0</v>
      </c>
      <c r="K2089" s="112">
        <f>'Sampling Data'!J2089</f>
        <v>4</v>
      </c>
      <c r="L2089" s="111">
        <f>'Sampling Data'!X2089</f>
        <v>0</v>
      </c>
      <c r="M2089" s="114"/>
      <c r="N2089" s="114"/>
      <c r="O2089" s="115"/>
      <c r="P2089" s="115"/>
      <c r="Q2089" s="116"/>
      <c r="R2089" s="116"/>
      <c r="S2089" s="111">
        <f>Audit[[#This Row],[Audit Losing Candidate]]-Audit[[#This Row],[Losing Candidate]]</f>
        <v>-4</v>
      </c>
      <c r="T2089" s="111">
        <f>Audit[[#This Row],[Audit Winning Candidate]]-Audit[[#This Row],[Winning Candidate]]</f>
        <v>0</v>
      </c>
      <c r="U2089" s="111">
        <f>Audit[[#This Row],[Audit Candidate 3]]-Audit[[#This Row],[Candidate 3]]</f>
        <v>0</v>
      </c>
      <c r="V2089" s="111">
        <f>Audit[[#This Row],[Audit Candidate 4]]-Audit[[#This Row],[Candidate 4]]</f>
        <v>0</v>
      </c>
      <c r="W2089" s="111">
        <f>Audit[[#This Row],[Audit Candidate 5]]-Audit[[#This Row],[Candidate 5]]</f>
        <v>0</v>
      </c>
      <c r="X2089" s="111">
        <f>Audit[[#This Row],[Audit Candidate 6]]-Audit[[#This Row],[Candidate 6]]</f>
        <v>0</v>
      </c>
      <c r="Y2089" s="111">
        <f>SUMIF(Audit[[#This Row],[Difference Loser]:[Difference Candidate 6]], "&gt;0")</f>
        <v>0</v>
      </c>
      <c r="Z2089" s="111">
        <f>SUM(Audit[[#This Row],[Difference Loser]:[Difference Candidate 6]])</f>
        <v>-4</v>
      </c>
      <c r="AA2089" s="111">
        <f>IF(Audit[[#This Row],[Times p Drawn - With Replacement]]&gt;0, IF(Audit[[#This Row],[Canceled Differences]]&lt;0, Audit[[#This Row],[Max Differences]]+ABS(Audit[[#This Row],[Canceled Differences]]), Audit[[#This Row],[Max Differences]]), 0)</f>
        <v>0</v>
      </c>
      <c r="AB2089" s="111">
        <f>'Sampling Data'!P2089</f>
        <v>1.2904474626576767E-4</v>
      </c>
      <c r="AC2089" s="111">
        <f>IF(
      SUM(Audit[[#This Row],[Audit Losing Candidate]:[Audit Candidate 6]])
      &lt;&gt;0,
      (Audit[[#This Row],[Winning Candidate]]-Audit[[#This Row],[Losing Candidate]]-(Audit[[#This Row],[Audit Winning Candidate]]-Audit[[#This Row],[Audit Losing Candidate]]))/(Audit[[#Totals],[Winning Candidate]]-Audit[[#Totals],[Losing Candidate]]),
      0
)</f>
        <v>0</v>
      </c>
      <c r="AD208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9" s="111">
        <f>IF(Audit[[#This Row],[Max Relative Error (ep)]] = 0, 0, Audit[[#This Row],[Max Relative Error (ep)]]/Audit[[#This Row],[Error Bound (up) - Max. possible relative overstatement]])</f>
        <v>0</v>
      </c>
      <c r="AJ208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89" s="111">
        <f t="shared" si="32"/>
        <v>1</v>
      </c>
      <c r="AL2089" s="111">
        <f>PRODUCT($AK$5:AK2089)</f>
        <v>8.962823818226312E-2</v>
      </c>
      <c r="AM2089" s="109">
        <f>1 - [K-M P Value]</f>
        <v>0.91037176181773694</v>
      </c>
      <c r="AN2089" s="111" t="str">
        <f>IF(Audit[[#This Row],[K-M P Value]]&gt;1-'General Info'!$B$16,"Continue", "Stop")</f>
        <v>Stop</v>
      </c>
      <c r="AO2089" s="110" t="b">
        <f>IF(Audit[[#This Row],[Status - Continue or stop audit]] = "Continue", TRUE, IF(AN2088 = "Continue", TRUE, FALSE))</f>
        <v>0</v>
      </c>
      <c r="AP2089" s="110"/>
    </row>
    <row r="2090" spans="1:42" ht="15" hidden="1" customHeight="1">
      <c r="A2090" s="111" t="str">
        <f>'Sampling Data'!W2090</f>
        <v/>
      </c>
      <c r="B2090" s="112" t="str">
        <f>'Sampling Data'!A2090</f>
        <v>WARRENSVILLE HTS -01-A - ABS</v>
      </c>
      <c r="C2090" s="112">
        <f>'Sampling Data'!B2090</f>
        <v>0</v>
      </c>
      <c r="D2090" s="112">
        <f>'Sampling Data'!C2090</f>
        <v>0</v>
      </c>
      <c r="E2090" s="113">
        <f>'Sampling Data'!D2090</f>
        <v>0</v>
      </c>
      <c r="F2090" s="113">
        <f>'Sampling Data'!E2090</f>
        <v>0</v>
      </c>
      <c r="G2090" s="113">
        <f>'Sampling Data'!F2090</f>
        <v>0</v>
      </c>
      <c r="H2090" s="113">
        <f>'Sampling Data'!G2090</f>
        <v>0</v>
      </c>
      <c r="I2090" s="112">
        <f>'Sampling Data'!H2090</f>
        <v>0</v>
      </c>
      <c r="J2090" s="112">
        <f>'Sampling Data'!I2090</f>
        <v>0</v>
      </c>
      <c r="K2090" s="112">
        <f>'Sampling Data'!J2090</f>
        <v>0</v>
      </c>
      <c r="L2090" s="111">
        <f>'Sampling Data'!X2090</f>
        <v>0</v>
      </c>
      <c r="M2090" s="114"/>
      <c r="N2090" s="114"/>
      <c r="O2090" s="115"/>
      <c r="P2090" s="115"/>
      <c r="Q2090" s="116"/>
      <c r="R2090" s="116"/>
      <c r="S2090" s="111">
        <f>Audit[[#This Row],[Audit Losing Candidate]]-Audit[[#This Row],[Losing Candidate]]</f>
        <v>0</v>
      </c>
      <c r="T2090" s="111">
        <f>Audit[[#This Row],[Audit Winning Candidate]]-Audit[[#This Row],[Winning Candidate]]</f>
        <v>0</v>
      </c>
      <c r="U2090" s="111">
        <f>Audit[[#This Row],[Audit Candidate 3]]-Audit[[#This Row],[Candidate 3]]</f>
        <v>0</v>
      </c>
      <c r="V2090" s="111">
        <f>Audit[[#This Row],[Audit Candidate 4]]-Audit[[#This Row],[Candidate 4]]</f>
        <v>0</v>
      </c>
      <c r="W2090" s="111">
        <f>Audit[[#This Row],[Audit Candidate 5]]-Audit[[#This Row],[Candidate 5]]</f>
        <v>0</v>
      </c>
      <c r="X2090" s="111">
        <f>Audit[[#This Row],[Audit Candidate 6]]-Audit[[#This Row],[Candidate 6]]</f>
        <v>0</v>
      </c>
      <c r="Y2090" s="111">
        <f>SUMIF(Audit[[#This Row],[Difference Loser]:[Difference Candidate 6]], "&gt;0")</f>
        <v>0</v>
      </c>
      <c r="Z2090" s="111">
        <f>SUM(Audit[[#This Row],[Difference Loser]:[Difference Candidate 6]])</f>
        <v>0</v>
      </c>
      <c r="AA2090" s="111">
        <f>IF(Audit[[#This Row],[Times p Drawn - With Replacement]]&gt;0, IF(Audit[[#This Row],[Canceled Differences]]&lt;0, Audit[[#This Row],[Max Differences]]+ABS(Audit[[#This Row],[Canceled Differences]]), Audit[[#This Row],[Max Differences]]), 0)</f>
        <v>0</v>
      </c>
      <c r="AB2090" s="111">
        <f>'Sampling Data'!P2090</f>
        <v>0</v>
      </c>
      <c r="AC2090" s="111">
        <f>IF(
      SUM(Audit[[#This Row],[Audit Losing Candidate]:[Audit Candidate 6]])
      &lt;&gt;0,
      (Audit[[#This Row],[Winning Candidate]]-Audit[[#This Row],[Losing Candidate]]-(Audit[[#This Row],[Audit Winning Candidate]]-Audit[[#This Row],[Audit Losing Candidate]]))/(Audit[[#Totals],[Winning Candidate]]-Audit[[#Totals],[Losing Candidate]]),
      0
)</f>
        <v>0</v>
      </c>
      <c r="AD209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0" s="111">
        <f>IF(Audit[[#This Row],[Max Relative Error (ep)]] = 0, 0, Audit[[#This Row],[Max Relative Error (ep)]]/Audit[[#This Row],[Error Bound (up) - Max. possible relative overstatement]])</f>
        <v>0</v>
      </c>
      <c r="AJ209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90" s="111">
        <f t="shared" si="32"/>
        <v>1</v>
      </c>
      <c r="AL2090" s="111">
        <f>PRODUCT($AK$5:AK2090)</f>
        <v>8.962823818226312E-2</v>
      </c>
      <c r="AM2090" s="109">
        <f>1 - [K-M P Value]</f>
        <v>0.91037176181773694</v>
      </c>
      <c r="AN2090" s="111" t="str">
        <f>IF(Audit[[#This Row],[K-M P Value]]&gt;1-'General Info'!$B$16,"Continue", "Stop")</f>
        <v>Stop</v>
      </c>
      <c r="AO2090" s="110" t="b">
        <f>IF(Audit[[#This Row],[Status - Continue or stop audit]] = "Continue", TRUE, IF(AN2089 = "Continue", TRUE, FALSE))</f>
        <v>0</v>
      </c>
      <c r="AP2090" s="110"/>
    </row>
    <row r="2091" spans="1:42" ht="15" hidden="1" customHeight="1">
      <c r="A2091" s="111" t="str">
        <f>'Sampling Data'!W2091</f>
        <v/>
      </c>
      <c r="B2091" s="112" t="str">
        <f>'Sampling Data'!A2091</f>
        <v>WARRENSVILLE HTS -01-B</v>
      </c>
      <c r="C2091" s="112">
        <f>'Sampling Data'!B2091</f>
        <v>2</v>
      </c>
      <c r="D2091" s="112">
        <f>'Sampling Data'!C2091</f>
        <v>1</v>
      </c>
      <c r="E2091" s="113">
        <f>'Sampling Data'!D2091</f>
        <v>0</v>
      </c>
      <c r="F2091" s="113">
        <f>'Sampling Data'!E2091</f>
        <v>0</v>
      </c>
      <c r="G2091" s="113">
        <f>'Sampling Data'!F2091</f>
        <v>0</v>
      </c>
      <c r="H2091" s="113">
        <f>'Sampling Data'!G2091</f>
        <v>0</v>
      </c>
      <c r="I2091" s="112">
        <f>'Sampling Data'!H2091</f>
        <v>0</v>
      </c>
      <c r="J2091" s="112">
        <f>'Sampling Data'!I2091</f>
        <v>0</v>
      </c>
      <c r="K2091" s="112">
        <f>'Sampling Data'!J2091</f>
        <v>3</v>
      </c>
      <c r="L2091" s="111">
        <f>'Sampling Data'!X2091</f>
        <v>0</v>
      </c>
      <c r="M2091" s="114"/>
      <c r="N2091" s="114"/>
      <c r="O2091" s="115"/>
      <c r="P2091" s="115"/>
      <c r="Q2091" s="116"/>
      <c r="R2091" s="116"/>
      <c r="S2091" s="111">
        <f>Audit[[#This Row],[Audit Losing Candidate]]-Audit[[#This Row],[Losing Candidate]]</f>
        <v>-2</v>
      </c>
      <c r="T2091" s="111">
        <f>Audit[[#This Row],[Audit Winning Candidate]]-Audit[[#This Row],[Winning Candidate]]</f>
        <v>-1</v>
      </c>
      <c r="U2091" s="111">
        <f>Audit[[#This Row],[Audit Candidate 3]]-Audit[[#This Row],[Candidate 3]]</f>
        <v>0</v>
      </c>
      <c r="V2091" s="111">
        <f>Audit[[#This Row],[Audit Candidate 4]]-Audit[[#This Row],[Candidate 4]]</f>
        <v>0</v>
      </c>
      <c r="W2091" s="111">
        <f>Audit[[#This Row],[Audit Candidate 5]]-Audit[[#This Row],[Candidate 5]]</f>
        <v>0</v>
      </c>
      <c r="X2091" s="111">
        <f>Audit[[#This Row],[Audit Candidate 6]]-Audit[[#This Row],[Candidate 6]]</f>
        <v>0</v>
      </c>
      <c r="Y2091" s="111">
        <f>SUMIF(Audit[[#This Row],[Difference Loser]:[Difference Candidate 6]], "&gt;0")</f>
        <v>0</v>
      </c>
      <c r="Z2091" s="111">
        <f>SUM(Audit[[#This Row],[Difference Loser]:[Difference Candidate 6]])</f>
        <v>-3</v>
      </c>
      <c r="AA2091" s="111">
        <f>IF(Audit[[#This Row],[Times p Drawn - With Replacement]]&gt;0, IF(Audit[[#This Row],[Canceled Differences]]&lt;0, Audit[[#This Row],[Max Differences]]+ABS(Audit[[#This Row],[Canceled Differences]]), Audit[[#This Row],[Max Differences]]), 0)</f>
        <v>0</v>
      </c>
      <c r="AB2091" s="111">
        <f>'Sampling Data'!P2091</f>
        <v>1.2904474626576767E-4</v>
      </c>
      <c r="AC2091" s="111">
        <f>IF(
      SUM(Audit[[#This Row],[Audit Losing Candidate]:[Audit Candidate 6]])
      &lt;&gt;0,
      (Audit[[#This Row],[Winning Candidate]]-Audit[[#This Row],[Losing Candidate]]-(Audit[[#This Row],[Audit Winning Candidate]]-Audit[[#This Row],[Audit Losing Candidate]]))/(Audit[[#Totals],[Winning Candidate]]-Audit[[#Totals],[Losing Candidate]]),
      0
)</f>
        <v>0</v>
      </c>
      <c r="AD209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1" s="111">
        <f>IF(Audit[[#This Row],[Max Relative Error (ep)]] = 0, 0, Audit[[#This Row],[Max Relative Error (ep)]]/Audit[[#This Row],[Error Bound (up) - Max. possible relative overstatement]])</f>
        <v>0</v>
      </c>
      <c r="AJ209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91" s="111">
        <f t="shared" si="32"/>
        <v>1</v>
      </c>
      <c r="AL2091" s="111">
        <f>PRODUCT($AK$5:AK2091)</f>
        <v>8.962823818226312E-2</v>
      </c>
      <c r="AM2091" s="109">
        <f>1 - [K-M P Value]</f>
        <v>0.91037176181773694</v>
      </c>
      <c r="AN2091" s="111" t="str">
        <f>IF(Audit[[#This Row],[K-M P Value]]&gt;1-'General Info'!$B$16,"Continue", "Stop")</f>
        <v>Stop</v>
      </c>
      <c r="AO2091" s="110" t="b">
        <f>IF(Audit[[#This Row],[Status - Continue or stop audit]] = "Continue", TRUE, IF(AN2090 = "Continue", TRUE, FALSE))</f>
        <v>0</v>
      </c>
      <c r="AP2091" s="110"/>
    </row>
    <row r="2092" spans="1:42" ht="15" hidden="1" customHeight="1">
      <c r="A2092" s="111" t="str">
        <f>'Sampling Data'!W2092</f>
        <v/>
      </c>
      <c r="B2092" s="112" t="str">
        <f>'Sampling Data'!A2092</f>
        <v>WARRENSVILLE HTS -01-B - ABS</v>
      </c>
      <c r="C2092" s="112">
        <f>'Sampling Data'!B2092</f>
        <v>0</v>
      </c>
      <c r="D2092" s="112">
        <f>'Sampling Data'!C2092</f>
        <v>2</v>
      </c>
      <c r="E2092" s="113">
        <f>'Sampling Data'!D2092</f>
        <v>0</v>
      </c>
      <c r="F2092" s="113">
        <f>'Sampling Data'!E2092</f>
        <v>0</v>
      </c>
      <c r="G2092" s="113">
        <f>'Sampling Data'!F2092</f>
        <v>0</v>
      </c>
      <c r="H2092" s="113">
        <f>'Sampling Data'!G2092</f>
        <v>0</v>
      </c>
      <c r="I2092" s="112">
        <f>'Sampling Data'!H2092</f>
        <v>0</v>
      </c>
      <c r="J2092" s="112">
        <f>'Sampling Data'!I2092</f>
        <v>0</v>
      </c>
      <c r="K2092" s="112">
        <f>'Sampling Data'!J2092</f>
        <v>2</v>
      </c>
      <c r="L2092" s="111">
        <f>'Sampling Data'!X2092</f>
        <v>0</v>
      </c>
      <c r="M2092" s="114"/>
      <c r="N2092" s="114"/>
      <c r="O2092" s="115"/>
      <c r="P2092" s="115"/>
      <c r="Q2092" s="116"/>
      <c r="R2092" s="116"/>
      <c r="S2092" s="111">
        <f>Audit[[#This Row],[Audit Losing Candidate]]-Audit[[#This Row],[Losing Candidate]]</f>
        <v>0</v>
      </c>
      <c r="T2092" s="111">
        <f>Audit[[#This Row],[Audit Winning Candidate]]-Audit[[#This Row],[Winning Candidate]]</f>
        <v>-2</v>
      </c>
      <c r="U2092" s="111">
        <f>Audit[[#This Row],[Audit Candidate 3]]-Audit[[#This Row],[Candidate 3]]</f>
        <v>0</v>
      </c>
      <c r="V2092" s="111">
        <f>Audit[[#This Row],[Audit Candidate 4]]-Audit[[#This Row],[Candidate 4]]</f>
        <v>0</v>
      </c>
      <c r="W2092" s="111">
        <f>Audit[[#This Row],[Audit Candidate 5]]-Audit[[#This Row],[Candidate 5]]</f>
        <v>0</v>
      </c>
      <c r="X2092" s="111">
        <f>Audit[[#This Row],[Audit Candidate 6]]-Audit[[#This Row],[Candidate 6]]</f>
        <v>0</v>
      </c>
      <c r="Y2092" s="111">
        <f>SUMIF(Audit[[#This Row],[Difference Loser]:[Difference Candidate 6]], "&gt;0")</f>
        <v>0</v>
      </c>
      <c r="Z2092" s="111">
        <f>SUM(Audit[[#This Row],[Difference Loser]:[Difference Candidate 6]])</f>
        <v>-2</v>
      </c>
      <c r="AA2092" s="111">
        <f>IF(Audit[[#This Row],[Times p Drawn - With Replacement]]&gt;0, IF(Audit[[#This Row],[Canceled Differences]]&lt;0, Audit[[#This Row],[Max Differences]]+ABS(Audit[[#This Row],[Canceled Differences]]), Audit[[#This Row],[Max Differences]]), 0)</f>
        <v>0</v>
      </c>
      <c r="AB2092" s="111">
        <f>'Sampling Data'!P2092</f>
        <v>2.4497795198432141E-4</v>
      </c>
      <c r="AC2092" s="111">
        <f>IF(
      SUM(Audit[[#This Row],[Audit Losing Candidate]:[Audit Candidate 6]])
      &lt;&gt;0,
      (Audit[[#This Row],[Winning Candidate]]-Audit[[#This Row],[Losing Candidate]]-(Audit[[#This Row],[Audit Winning Candidate]]-Audit[[#This Row],[Audit Losing Candidate]]))/(Audit[[#Totals],[Winning Candidate]]-Audit[[#Totals],[Losing Candidate]]),
      0
)</f>
        <v>0</v>
      </c>
      <c r="AD209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2" s="111">
        <f>IF(Audit[[#This Row],[Max Relative Error (ep)]] = 0, 0, Audit[[#This Row],[Max Relative Error (ep)]]/Audit[[#This Row],[Error Bound (up) - Max. possible relative overstatement]])</f>
        <v>0</v>
      </c>
      <c r="AJ209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92" s="111">
        <f t="shared" si="32"/>
        <v>1</v>
      </c>
      <c r="AL2092" s="111">
        <f>PRODUCT($AK$5:AK2092)</f>
        <v>8.962823818226312E-2</v>
      </c>
      <c r="AM2092" s="109">
        <f>1 - [K-M P Value]</f>
        <v>0.91037176181773694</v>
      </c>
      <c r="AN2092" s="111" t="str">
        <f>IF(Audit[[#This Row],[K-M P Value]]&gt;1-'General Info'!$B$16,"Continue", "Stop")</f>
        <v>Stop</v>
      </c>
      <c r="AO2092" s="110" t="b">
        <f>IF(Audit[[#This Row],[Status - Continue or stop audit]] = "Continue", TRUE, IF(AN2091 = "Continue", TRUE, FALSE))</f>
        <v>0</v>
      </c>
      <c r="AP2092" s="110"/>
    </row>
    <row r="2093" spans="1:42" ht="15" hidden="1" customHeight="1">
      <c r="A2093" s="111" t="str">
        <f>'Sampling Data'!W2093</f>
        <v/>
      </c>
      <c r="B2093" s="112" t="str">
        <f>'Sampling Data'!A2093</f>
        <v>WARRENSVILLE HTS -02-A</v>
      </c>
      <c r="C2093" s="112">
        <f>'Sampling Data'!B2093</f>
        <v>0</v>
      </c>
      <c r="D2093" s="112">
        <f>'Sampling Data'!C2093</f>
        <v>1</v>
      </c>
      <c r="E2093" s="113">
        <f>'Sampling Data'!D2093</f>
        <v>0</v>
      </c>
      <c r="F2093" s="113">
        <f>'Sampling Data'!E2093</f>
        <v>0</v>
      </c>
      <c r="G2093" s="113">
        <f>'Sampling Data'!F2093</f>
        <v>0</v>
      </c>
      <c r="H2093" s="113">
        <f>'Sampling Data'!G2093</f>
        <v>0</v>
      </c>
      <c r="I2093" s="112">
        <f>'Sampling Data'!H2093</f>
        <v>0</v>
      </c>
      <c r="J2093" s="112">
        <f>'Sampling Data'!I2093</f>
        <v>0</v>
      </c>
      <c r="K2093" s="112">
        <f>'Sampling Data'!J2093</f>
        <v>1</v>
      </c>
      <c r="L2093" s="111">
        <f>'Sampling Data'!X2093</f>
        <v>0</v>
      </c>
      <c r="M2093" s="114"/>
      <c r="N2093" s="114"/>
      <c r="O2093" s="115"/>
      <c r="P2093" s="115"/>
      <c r="Q2093" s="116"/>
      <c r="R2093" s="116"/>
      <c r="S2093" s="111">
        <f>Audit[[#This Row],[Audit Losing Candidate]]-Audit[[#This Row],[Losing Candidate]]</f>
        <v>0</v>
      </c>
      <c r="T2093" s="111">
        <f>Audit[[#This Row],[Audit Winning Candidate]]-Audit[[#This Row],[Winning Candidate]]</f>
        <v>-1</v>
      </c>
      <c r="U2093" s="111">
        <f>Audit[[#This Row],[Audit Candidate 3]]-Audit[[#This Row],[Candidate 3]]</f>
        <v>0</v>
      </c>
      <c r="V2093" s="111">
        <f>Audit[[#This Row],[Audit Candidate 4]]-Audit[[#This Row],[Candidate 4]]</f>
        <v>0</v>
      </c>
      <c r="W2093" s="111">
        <f>Audit[[#This Row],[Audit Candidate 5]]-Audit[[#This Row],[Candidate 5]]</f>
        <v>0</v>
      </c>
      <c r="X2093" s="111">
        <f>Audit[[#This Row],[Audit Candidate 6]]-Audit[[#This Row],[Candidate 6]]</f>
        <v>0</v>
      </c>
      <c r="Y2093" s="111">
        <f>SUMIF(Audit[[#This Row],[Difference Loser]:[Difference Candidate 6]], "&gt;0")</f>
        <v>0</v>
      </c>
      <c r="Z2093" s="111">
        <f>SUM(Audit[[#This Row],[Difference Loser]:[Difference Candidate 6]])</f>
        <v>-1</v>
      </c>
      <c r="AA2093" s="111">
        <f>IF(Audit[[#This Row],[Times p Drawn - With Replacement]]&gt;0, IF(Audit[[#This Row],[Canceled Differences]]&lt;0, Audit[[#This Row],[Max Differences]]+ABS(Audit[[#This Row],[Canceled Differences]]), Audit[[#This Row],[Max Differences]]), 0)</f>
        <v>0</v>
      </c>
      <c r="AB2093" s="111">
        <f>'Sampling Data'!P2093</f>
        <v>1.224889759921607E-4</v>
      </c>
      <c r="AC2093" s="111">
        <f>IF(
      SUM(Audit[[#This Row],[Audit Losing Candidate]:[Audit Candidate 6]])
      &lt;&gt;0,
      (Audit[[#This Row],[Winning Candidate]]-Audit[[#This Row],[Losing Candidate]]-(Audit[[#This Row],[Audit Winning Candidate]]-Audit[[#This Row],[Audit Losing Candidate]]))/(Audit[[#Totals],[Winning Candidate]]-Audit[[#Totals],[Losing Candidate]]),
      0
)</f>
        <v>0</v>
      </c>
      <c r="AD209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3" s="111">
        <f>IF(Audit[[#This Row],[Max Relative Error (ep)]] = 0, 0, Audit[[#This Row],[Max Relative Error (ep)]]/Audit[[#This Row],[Error Bound (up) - Max. possible relative overstatement]])</f>
        <v>0</v>
      </c>
      <c r="AJ209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93" s="111">
        <f t="shared" si="32"/>
        <v>1</v>
      </c>
      <c r="AL2093" s="111">
        <f>PRODUCT($AK$5:AK2093)</f>
        <v>8.962823818226312E-2</v>
      </c>
      <c r="AM2093" s="109">
        <f>1 - [K-M P Value]</f>
        <v>0.91037176181773694</v>
      </c>
      <c r="AN2093" s="111" t="str">
        <f>IF(Audit[[#This Row],[K-M P Value]]&gt;1-'General Info'!$B$16,"Continue", "Stop")</f>
        <v>Stop</v>
      </c>
      <c r="AO2093" s="110" t="b">
        <f>IF(Audit[[#This Row],[Status - Continue or stop audit]] = "Continue", TRUE, IF(AN2092 = "Continue", TRUE, FALSE))</f>
        <v>0</v>
      </c>
      <c r="AP2093" s="110"/>
    </row>
    <row r="2094" spans="1:42" ht="15" hidden="1" customHeight="1">
      <c r="A2094" s="111" t="str">
        <f>'Sampling Data'!W2094</f>
        <v/>
      </c>
      <c r="B2094" s="112" t="str">
        <f>'Sampling Data'!A2094</f>
        <v>WARRENSVILLE HTS -02-A - ABS</v>
      </c>
      <c r="C2094" s="112">
        <f>'Sampling Data'!B2094</f>
        <v>0</v>
      </c>
      <c r="D2094" s="112">
        <f>'Sampling Data'!C2094</f>
        <v>0</v>
      </c>
      <c r="E2094" s="113">
        <f>'Sampling Data'!D2094</f>
        <v>0</v>
      </c>
      <c r="F2094" s="113">
        <f>'Sampling Data'!E2094</f>
        <v>1</v>
      </c>
      <c r="G2094" s="113">
        <f>'Sampling Data'!F2094</f>
        <v>0</v>
      </c>
      <c r="H2094" s="113">
        <f>'Sampling Data'!G2094</f>
        <v>0</v>
      </c>
      <c r="I2094" s="112">
        <f>'Sampling Data'!H2094</f>
        <v>0</v>
      </c>
      <c r="J2094" s="112">
        <f>'Sampling Data'!I2094</f>
        <v>0</v>
      </c>
      <c r="K2094" s="112">
        <f>'Sampling Data'!J2094</f>
        <v>1</v>
      </c>
      <c r="L2094" s="111">
        <f>'Sampling Data'!X2094</f>
        <v>0</v>
      </c>
      <c r="M2094" s="114"/>
      <c r="N2094" s="114"/>
      <c r="O2094" s="115"/>
      <c r="P2094" s="115"/>
      <c r="Q2094" s="116"/>
      <c r="R2094" s="116"/>
      <c r="S2094" s="111">
        <f>Audit[[#This Row],[Audit Losing Candidate]]-Audit[[#This Row],[Losing Candidate]]</f>
        <v>0</v>
      </c>
      <c r="T2094" s="111">
        <f>Audit[[#This Row],[Audit Winning Candidate]]-Audit[[#This Row],[Winning Candidate]]</f>
        <v>0</v>
      </c>
      <c r="U2094" s="111">
        <f>Audit[[#This Row],[Audit Candidate 3]]-Audit[[#This Row],[Candidate 3]]</f>
        <v>0</v>
      </c>
      <c r="V2094" s="111">
        <f>Audit[[#This Row],[Audit Candidate 4]]-Audit[[#This Row],[Candidate 4]]</f>
        <v>-1</v>
      </c>
      <c r="W2094" s="111">
        <f>Audit[[#This Row],[Audit Candidate 5]]-Audit[[#This Row],[Candidate 5]]</f>
        <v>0</v>
      </c>
      <c r="X2094" s="111">
        <f>Audit[[#This Row],[Audit Candidate 6]]-Audit[[#This Row],[Candidate 6]]</f>
        <v>0</v>
      </c>
      <c r="Y2094" s="111">
        <f>SUMIF(Audit[[#This Row],[Difference Loser]:[Difference Candidate 6]], "&gt;0")</f>
        <v>0</v>
      </c>
      <c r="Z2094" s="111">
        <f>SUM(Audit[[#This Row],[Difference Loser]:[Difference Candidate 6]])</f>
        <v>-1</v>
      </c>
      <c r="AA2094" s="111">
        <f>IF(Audit[[#This Row],[Times p Drawn - With Replacement]]&gt;0, IF(Audit[[#This Row],[Canceled Differences]]&lt;0, Audit[[#This Row],[Max Differences]]+ABS(Audit[[#This Row],[Canceled Differences]]), Audit[[#This Row],[Max Differences]]), 0)</f>
        <v>0</v>
      </c>
      <c r="AB2094" s="111">
        <f>'Sampling Data'!P2094</f>
        <v>6.1244487996080352E-5</v>
      </c>
      <c r="AC2094" s="111">
        <f>IF(
      SUM(Audit[[#This Row],[Audit Losing Candidate]:[Audit Candidate 6]])
      &lt;&gt;0,
      (Audit[[#This Row],[Winning Candidate]]-Audit[[#This Row],[Losing Candidate]]-(Audit[[#This Row],[Audit Winning Candidate]]-Audit[[#This Row],[Audit Losing Candidate]]))/(Audit[[#Totals],[Winning Candidate]]-Audit[[#Totals],[Losing Candidate]]),
      0
)</f>
        <v>0</v>
      </c>
      <c r="AD209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4" s="111">
        <f>IF(Audit[[#This Row],[Max Relative Error (ep)]] = 0, 0, Audit[[#This Row],[Max Relative Error (ep)]]/Audit[[#This Row],[Error Bound (up) - Max. possible relative overstatement]])</f>
        <v>0</v>
      </c>
      <c r="AJ209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94" s="111">
        <f t="shared" si="32"/>
        <v>1</v>
      </c>
      <c r="AL2094" s="111">
        <f>PRODUCT($AK$5:AK2094)</f>
        <v>8.962823818226312E-2</v>
      </c>
      <c r="AM2094" s="109">
        <f>1 - [K-M P Value]</f>
        <v>0.91037176181773694</v>
      </c>
      <c r="AN2094" s="111" t="str">
        <f>IF(Audit[[#This Row],[K-M P Value]]&gt;1-'General Info'!$B$16,"Continue", "Stop")</f>
        <v>Stop</v>
      </c>
      <c r="AO2094" s="110" t="b">
        <f>IF(Audit[[#This Row],[Status - Continue or stop audit]] = "Continue", TRUE, IF(AN2093 = "Continue", TRUE, FALSE))</f>
        <v>0</v>
      </c>
      <c r="AP2094" s="110"/>
    </row>
    <row r="2095" spans="1:42" ht="15" hidden="1" customHeight="1">
      <c r="A2095" s="111" t="str">
        <f>'Sampling Data'!W2095</f>
        <v/>
      </c>
      <c r="B2095" s="112" t="str">
        <f>'Sampling Data'!A2095</f>
        <v>WARRENSVILLE HTS -02-B</v>
      </c>
      <c r="C2095" s="112">
        <f>'Sampling Data'!B2095</f>
        <v>0</v>
      </c>
      <c r="D2095" s="112">
        <f>'Sampling Data'!C2095</f>
        <v>0</v>
      </c>
      <c r="E2095" s="113">
        <f>'Sampling Data'!D2095</f>
        <v>0</v>
      </c>
      <c r="F2095" s="113">
        <f>'Sampling Data'!E2095</f>
        <v>0</v>
      </c>
      <c r="G2095" s="113">
        <f>'Sampling Data'!F2095</f>
        <v>0</v>
      </c>
      <c r="H2095" s="113">
        <f>'Sampling Data'!G2095</f>
        <v>0</v>
      </c>
      <c r="I2095" s="112">
        <f>'Sampling Data'!H2095</f>
        <v>0</v>
      </c>
      <c r="J2095" s="112">
        <f>'Sampling Data'!I2095</f>
        <v>0</v>
      </c>
      <c r="K2095" s="112">
        <f>'Sampling Data'!J2095</f>
        <v>0</v>
      </c>
      <c r="L2095" s="111">
        <f>'Sampling Data'!X2095</f>
        <v>0</v>
      </c>
      <c r="M2095" s="114"/>
      <c r="N2095" s="114"/>
      <c r="O2095" s="115"/>
      <c r="P2095" s="115"/>
      <c r="Q2095" s="116"/>
      <c r="R2095" s="116"/>
      <c r="S2095" s="111">
        <f>Audit[[#This Row],[Audit Losing Candidate]]-Audit[[#This Row],[Losing Candidate]]</f>
        <v>0</v>
      </c>
      <c r="T2095" s="111">
        <f>Audit[[#This Row],[Audit Winning Candidate]]-Audit[[#This Row],[Winning Candidate]]</f>
        <v>0</v>
      </c>
      <c r="U2095" s="111">
        <f>Audit[[#This Row],[Audit Candidate 3]]-Audit[[#This Row],[Candidate 3]]</f>
        <v>0</v>
      </c>
      <c r="V2095" s="111">
        <f>Audit[[#This Row],[Audit Candidate 4]]-Audit[[#This Row],[Candidate 4]]</f>
        <v>0</v>
      </c>
      <c r="W2095" s="111">
        <f>Audit[[#This Row],[Audit Candidate 5]]-Audit[[#This Row],[Candidate 5]]</f>
        <v>0</v>
      </c>
      <c r="X2095" s="111">
        <f>Audit[[#This Row],[Audit Candidate 6]]-Audit[[#This Row],[Candidate 6]]</f>
        <v>0</v>
      </c>
      <c r="Y2095" s="111">
        <f>SUMIF(Audit[[#This Row],[Difference Loser]:[Difference Candidate 6]], "&gt;0")</f>
        <v>0</v>
      </c>
      <c r="Z2095" s="111">
        <f>SUM(Audit[[#This Row],[Difference Loser]:[Difference Candidate 6]])</f>
        <v>0</v>
      </c>
      <c r="AA2095" s="111">
        <f>IF(Audit[[#This Row],[Times p Drawn - With Replacement]]&gt;0, IF(Audit[[#This Row],[Canceled Differences]]&lt;0, Audit[[#This Row],[Max Differences]]+ABS(Audit[[#This Row],[Canceled Differences]]), Audit[[#This Row],[Max Differences]]), 0)</f>
        <v>0</v>
      </c>
      <c r="AB2095" s="111">
        <f>'Sampling Data'!P2095</f>
        <v>0</v>
      </c>
      <c r="AC2095" s="111">
        <f>IF(
      SUM(Audit[[#This Row],[Audit Losing Candidate]:[Audit Candidate 6]])
      &lt;&gt;0,
      (Audit[[#This Row],[Winning Candidate]]-Audit[[#This Row],[Losing Candidate]]-(Audit[[#This Row],[Audit Winning Candidate]]-Audit[[#This Row],[Audit Losing Candidate]]))/(Audit[[#Totals],[Winning Candidate]]-Audit[[#Totals],[Losing Candidate]]),
      0
)</f>
        <v>0</v>
      </c>
      <c r="AD209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5" s="111">
        <f>IF(Audit[[#This Row],[Max Relative Error (ep)]] = 0, 0, Audit[[#This Row],[Max Relative Error (ep)]]/Audit[[#This Row],[Error Bound (up) - Max. possible relative overstatement]])</f>
        <v>0</v>
      </c>
      <c r="AJ209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95" s="111">
        <f t="shared" si="32"/>
        <v>1</v>
      </c>
      <c r="AL2095" s="111">
        <f>PRODUCT($AK$5:AK2095)</f>
        <v>8.962823818226312E-2</v>
      </c>
      <c r="AM2095" s="109">
        <f>1 - [K-M P Value]</f>
        <v>0.91037176181773694</v>
      </c>
      <c r="AN2095" s="111" t="str">
        <f>IF(Audit[[#This Row],[K-M P Value]]&gt;1-'General Info'!$B$16,"Continue", "Stop")</f>
        <v>Stop</v>
      </c>
      <c r="AO2095" s="110" t="b">
        <f>IF(Audit[[#This Row],[Status - Continue or stop audit]] = "Continue", TRUE, IF(AN2094 = "Continue", TRUE, FALSE))</f>
        <v>0</v>
      </c>
      <c r="AP2095" s="110"/>
    </row>
    <row r="2096" spans="1:42" ht="15" hidden="1" customHeight="1">
      <c r="A2096" s="111" t="str">
        <f>'Sampling Data'!W2096</f>
        <v/>
      </c>
      <c r="B2096" s="112" t="str">
        <f>'Sampling Data'!A2096</f>
        <v>WARRENSVILLE HTS -02-B - ABS</v>
      </c>
      <c r="C2096" s="112">
        <f>'Sampling Data'!B2096</f>
        <v>0</v>
      </c>
      <c r="D2096" s="112">
        <f>'Sampling Data'!C2096</f>
        <v>0</v>
      </c>
      <c r="E2096" s="113">
        <f>'Sampling Data'!D2096</f>
        <v>0</v>
      </c>
      <c r="F2096" s="113">
        <f>'Sampling Data'!E2096</f>
        <v>0</v>
      </c>
      <c r="G2096" s="113">
        <f>'Sampling Data'!F2096</f>
        <v>0</v>
      </c>
      <c r="H2096" s="113">
        <f>'Sampling Data'!G2096</f>
        <v>0</v>
      </c>
      <c r="I2096" s="112">
        <f>'Sampling Data'!H2096</f>
        <v>0</v>
      </c>
      <c r="J2096" s="112">
        <f>'Sampling Data'!I2096</f>
        <v>0</v>
      </c>
      <c r="K2096" s="112">
        <f>'Sampling Data'!J2096</f>
        <v>0</v>
      </c>
      <c r="L2096" s="111">
        <f>'Sampling Data'!X2096</f>
        <v>0</v>
      </c>
      <c r="M2096" s="114"/>
      <c r="N2096" s="114"/>
      <c r="O2096" s="115"/>
      <c r="P2096" s="115"/>
      <c r="Q2096" s="116"/>
      <c r="R2096" s="116"/>
      <c r="S2096" s="111">
        <f>Audit[[#This Row],[Audit Losing Candidate]]-Audit[[#This Row],[Losing Candidate]]</f>
        <v>0</v>
      </c>
      <c r="T2096" s="111">
        <f>Audit[[#This Row],[Audit Winning Candidate]]-Audit[[#This Row],[Winning Candidate]]</f>
        <v>0</v>
      </c>
      <c r="U2096" s="111">
        <f>Audit[[#This Row],[Audit Candidate 3]]-Audit[[#This Row],[Candidate 3]]</f>
        <v>0</v>
      </c>
      <c r="V2096" s="111">
        <f>Audit[[#This Row],[Audit Candidate 4]]-Audit[[#This Row],[Candidate 4]]</f>
        <v>0</v>
      </c>
      <c r="W2096" s="111">
        <f>Audit[[#This Row],[Audit Candidate 5]]-Audit[[#This Row],[Candidate 5]]</f>
        <v>0</v>
      </c>
      <c r="X2096" s="111">
        <f>Audit[[#This Row],[Audit Candidate 6]]-Audit[[#This Row],[Candidate 6]]</f>
        <v>0</v>
      </c>
      <c r="Y2096" s="111">
        <f>SUMIF(Audit[[#This Row],[Difference Loser]:[Difference Candidate 6]], "&gt;0")</f>
        <v>0</v>
      </c>
      <c r="Z2096" s="111">
        <f>SUM(Audit[[#This Row],[Difference Loser]:[Difference Candidate 6]])</f>
        <v>0</v>
      </c>
      <c r="AA2096" s="111">
        <f>IF(Audit[[#This Row],[Times p Drawn - With Replacement]]&gt;0, IF(Audit[[#This Row],[Canceled Differences]]&lt;0, Audit[[#This Row],[Max Differences]]+ABS(Audit[[#This Row],[Canceled Differences]]), Audit[[#This Row],[Max Differences]]), 0)</f>
        <v>0</v>
      </c>
      <c r="AB2096" s="111">
        <f>'Sampling Data'!P2096</f>
        <v>0</v>
      </c>
      <c r="AC2096" s="111">
        <f>IF(
      SUM(Audit[[#This Row],[Audit Losing Candidate]:[Audit Candidate 6]])
      &lt;&gt;0,
      (Audit[[#This Row],[Winning Candidate]]-Audit[[#This Row],[Losing Candidate]]-(Audit[[#This Row],[Audit Winning Candidate]]-Audit[[#This Row],[Audit Losing Candidate]]))/(Audit[[#Totals],[Winning Candidate]]-Audit[[#Totals],[Losing Candidate]]),
      0
)</f>
        <v>0</v>
      </c>
      <c r="AD209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6" s="111">
        <f>IF(Audit[[#This Row],[Max Relative Error (ep)]] = 0, 0, Audit[[#This Row],[Max Relative Error (ep)]]/Audit[[#This Row],[Error Bound (up) - Max. possible relative overstatement]])</f>
        <v>0</v>
      </c>
      <c r="AJ209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96" s="111">
        <f t="shared" si="32"/>
        <v>1</v>
      </c>
      <c r="AL2096" s="111">
        <f>PRODUCT($AK$5:AK2096)</f>
        <v>8.962823818226312E-2</v>
      </c>
      <c r="AM2096" s="109">
        <f>1 - [K-M P Value]</f>
        <v>0.91037176181773694</v>
      </c>
      <c r="AN2096" s="111" t="str">
        <f>IF(Audit[[#This Row],[K-M P Value]]&gt;1-'General Info'!$B$16,"Continue", "Stop")</f>
        <v>Stop</v>
      </c>
      <c r="AO2096" s="110" t="b">
        <f>IF(Audit[[#This Row],[Status - Continue or stop audit]] = "Continue", TRUE, IF(AN2095 = "Continue", TRUE, FALSE))</f>
        <v>0</v>
      </c>
      <c r="AP2096" s="110"/>
    </row>
    <row r="2097" spans="1:42" ht="15" hidden="1" customHeight="1">
      <c r="A2097" s="111" t="str">
        <f>'Sampling Data'!W2097</f>
        <v/>
      </c>
      <c r="B2097" s="112" t="str">
        <f>'Sampling Data'!A2097</f>
        <v>WARRENSVILLE HTS -03-A</v>
      </c>
      <c r="C2097" s="112">
        <f>'Sampling Data'!B2097</f>
        <v>3</v>
      </c>
      <c r="D2097" s="112">
        <f>'Sampling Data'!C2097</f>
        <v>0</v>
      </c>
      <c r="E2097" s="113">
        <f>'Sampling Data'!D2097</f>
        <v>0</v>
      </c>
      <c r="F2097" s="113">
        <f>'Sampling Data'!E2097</f>
        <v>0</v>
      </c>
      <c r="G2097" s="113">
        <f>'Sampling Data'!F2097</f>
        <v>0</v>
      </c>
      <c r="H2097" s="113">
        <f>'Sampling Data'!G2097</f>
        <v>0</v>
      </c>
      <c r="I2097" s="112">
        <f>'Sampling Data'!H2097</f>
        <v>0</v>
      </c>
      <c r="J2097" s="112">
        <f>'Sampling Data'!I2097</f>
        <v>0</v>
      </c>
      <c r="K2097" s="112">
        <f>'Sampling Data'!J2097</f>
        <v>3</v>
      </c>
      <c r="L2097" s="111">
        <f>'Sampling Data'!X2097</f>
        <v>0</v>
      </c>
      <c r="M2097" s="114"/>
      <c r="N2097" s="114"/>
      <c r="O2097" s="115"/>
      <c r="P2097" s="115"/>
      <c r="Q2097" s="116"/>
      <c r="R2097" s="116"/>
      <c r="S2097" s="111">
        <f>Audit[[#This Row],[Audit Losing Candidate]]-Audit[[#This Row],[Losing Candidate]]</f>
        <v>-3</v>
      </c>
      <c r="T2097" s="111">
        <f>Audit[[#This Row],[Audit Winning Candidate]]-Audit[[#This Row],[Winning Candidate]]</f>
        <v>0</v>
      </c>
      <c r="U2097" s="111">
        <f>Audit[[#This Row],[Audit Candidate 3]]-Audit[[#This Row],[Candidate 3]]</f>
        <v>0</v>
      </c>
      <c r="V2097" s="111">
        <f>Audit[[#This Row],[Audit Candidate 4]]-Audit[[#This Row],[Candidate 4]]</f>
        <v>0</v>
      </c>
      <c r="W2097" s="111">
        <f>Audit[[#This Row],[Audit Candidate 5]]-Audit[[#This Row],[Candidate 5]]</f>
        <v>0</v>
      </c>
      <c r="X2097" s="111">
        <f>Audit[[#This Row],[Audit Candidate 6]]-Audit[[#This Row],[Candidate 6]]</f>
        <v>0</v>
      </c>
      <c r="Y2097" s="111">
        <f>SUMIF(Audit[[#This Row],[Difference Loser]:[Difference Candidate 6]], "&gt;0")</f>
        <v>0</v>
      </c>
      <c r="Z2097" s="111">
        <f>SUM(Audit[[#This Row],[Difference Loser]:[Difference Candidate 6]])</f>
        <v>-3</v>
      </c>
      <c r="AA2097" s="111">
        <f>IF(Audit[[#This Row],[Times p Drawn - With Replacement]]&gt;0, IF(Audit[[#This Row],[Canceled Differences]]&lt;0, Audit[[#This Row],[Max Differences]]+ABS(Audit[[#This Row],[Canceled Differences]]), Audit[[#This Row],[Max Differences]]), 0)</f>
        <v>0</v>
      </c>
      <c r="AB2097" s="111">
        <f>'Sampling Data'!P2097</f>
        <v>9.6783559699325743E-5</v>
      </c>
      <c r="AC2097" s="111">
        <f>IF(
      SUM(Audit[[#This Row],[Audit Losing Candidate]:[Audit Candidate 6]])
      &lt;&gt;0,
      (Audit[[#This Row],[Winning Candidate]]-Audit[[#This Row],[Losing Candidate]]-(Audit[[#This Row],[Audit Winning Candidate]]-Audit[[#This Row],[Audit Losing Candidate]]))/(Audit[[#Totals],[Winning Candidate]]-Audit[[#Totals],[Losing Candidate]]),
      0
)</f>
        <v>0</v>
      </c>
      <c r="AD209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7" s="111">
        <f>IF(Audit[[#This Row],[Max Relative Error (ep)]] = 0, 0, Audit[[#This Row],[Max Relative Error (ep)]]/Audit[[#This Row],[Error Bound (up) - Max. possible relative overstatement]])</f>
        <v>0</v>
      </c>
      <c r="AJ209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97" s="111">
        <f t="shared" si="32"/>
        <v>1</v>
      </c>
      <c r="AL2097" s="111">
        <f>PRODUCT($AK$5:AK2097)</f>
        <v>8.962823818226312E-2</v>
      </c>
      <c r="AM2097" s="109">
        <f>1 - [K-M P Value]</f>
        <v>0.91037176181773694</v>
      </c>
      <c r="AN2097" s="111" t="str">
        <f>IF(Audit[[#This Row],[K-M P Value]]&gt;1-'General Info'!$B$16,"Continue", "Stop")</f>
        <v>Stop</v>
      </c>
      <c r="AO2097" s="110" t="b">
        <f>IF(Audit[[#This Row],[Status - Continue or stop audit]] = "Continue", TRUE, IF(AN2096 = "Continue", TRUE, FALSE))</f>
        <v>0</v>
      </c>
      <c r="AP2097" s="110"/>
    </row>
    <row r="2098" spans="1:42" ht="15" hidden="1" customHeight="1">
      <c r="A2098" s="111" t="str">
        <f>'Sampling Data'!W2098</f>
        <v/>
      </c>
      <c r="B2098" s="112" t="str">
        <f>'Sampling Data'!A2098</f>
        <v>WARRENSVILLE HTS -03-A - ABS</v>
      </c>
      <c r="C2098" s="112">
        <f>'Sampling Data'!B2098</f>
        <v>0</v>
      </c>
      <c r="D2098" s="112">
        <f>'Sampling Data'!C2098</f>
        <v>1</v>
      </c>
      <c r="E2098" s="113">
        <f>'Sampling Data'!D2098</f>
        <v>0</v>
      </c>
      <c r="F2098" s="113">
        <f>'Sampling Data'!E2098</f>
        <v>0</v>
      </c>
      <c r="G2098" s="113">
        <f>'Sampling Data'!F2098</f>
        <v>0</v>
      </c>
      <c r="H2098" s="113">
        <f>'Sampling Data'!G2098</f>
        <v>0</v>
      </c>
      <c r="I2098" s="112">
        <f>'Sampling Data'!H2098</f>
        <v>0</v>
      </c>
      <c r="J2098" s="112">
        <f>'Sampling Data'!I2098</f>
        <v>0</v>
      </c>
      <c r="K2098" s="112">
        <f>'Sampling Data'!J2098</f>
        <v>1</v>
      </c>
      <c r="L2098" s="111">
        <f>'Sampling Data'!X2098</f>
        <v>0</v>
      </c>
      <c r="M2098" s="114"/>
      <c r="N2098" s="114"/>
      <c r="O2098" s="115"/>
      <c r="P2098" s="115"/>
      <c r="Q2098" s="116"/>
      <c r="R2098" s="116"/>
      <c r="S2098" s="111">
        <f>Audit[[#This Row],[Audit Losing Candidate]]-Audit[[#This Row],[Losing Candidate]]</f>
        <v>0</v>
      </c>
      <c r="T2098" s="111">
        <f>Audit[[#This Row],[Audit Winning Candidate]]-Audit[[#This Row],[Winning Candidate]]</f>
        <v>-1</v>
      </c>
      <c r="U2098" s="111">
        <f>Audit[[#This Row],[Audit Candidate 3]]-Audit[[#This Row],[Candidate 3]]</f>
        <v>0</v>
      </c>
      <c r="V2098" s="111">
        <f>Audit[[#This Row],[Audit Candidate 4]]-Audit[[#This Row],[Candidate 4]]</f>
        <v>0</v>
      </c>
      <c r="W2098" s="111">
        <f>Audit[[#This Row],[Audit Candidate 5]]-Audit[[#This Row],[Candidate 5]]</f>
        <v>0</v>
      </c>
      <c r="X2098" s="111">
        <f>Audit[[#This Row],[Audit Candidate 6]]-Audit[[#This Row],[Candidate 6]]</f>
        <v>0</v>
      </c>
      <c r="Y2098" s="111">
        <f>SUMIF(Audit[[#This Row],[Difference Loser]:[Difference Candidate 6]], "&gt;0")</f>
        <v>0</v>
      </c>
      <c r="Z2098" s="111">
        <f>SUM(Audit[[#This Row],[Difference Loser]:[Difference Candidate 6]])</f>
        <v>-1</v>
      </c>
      <c r="AA2098" s="111">
        <f>IF(Audit[[#This Row],[Times p Drawn - With Replacement]]&gt;0, IF(Audit[[#This Row],[Canceled Differences]]&lt;0, Audit[[#This Row],[Max Differences]]+ABS(Audit[[#This Row],[Canceled Differences]]), Audit[[#This Row],[Max Differences]]), 0)</f>
        <v>0</v>
      </c>
      <c r="AB2098" s="111">
        <f>'Sampling Data'!P2098</f>
        <v>1.224889759921607E-4</v>
      </c>
      <c r="AC2098" s="111">
        <f>IF(
      SUM(Audit[[#This Row],[Audit Losing Candidate]:[Audit Candidate 6]])
      &lt;&gt;0,
      (Audit[[#This Row],[Winning Candidate]]-Audit[[#This Row],[Losing Candidate]]-(Audit[[#This Row],[Audit Winning Candidate]]-Audit[[#This Row],[Audit Losing Candidate]]))/(Audit[[#Totals],[Winning Candidate]]-Audit[[#Totals],[Losing Candidate]]),
      0
)</f>
        <v>0</v>
      </c>
      <c r="AD209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8" s="111">
        <f>IF(Audit[[#This Row],[Max Relative Error (ep)]] = 0, 0, Audit[[#This Row],[Max Relative Error (ep)]]/Audit[[#This Row],[Error Bound (up) - Max. possible relative overstatement]])</f>
        <v>0</v>
      </c>
      <c r="AJ209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98" s="111">
        <f t="shared" si="32"/>
        <v>1</v>
      </c>
      <c r="AL2098" s="111">
        <f>PRODUCT($AK$5:AK2098)</f>
        <v>8.962823818226312E-2</v>
      </c>
      <c r="AM2098" s="109">
        <f>1 - [K-M P Value]</f>
        <v>0.91037176181773694</v>
      </c>
      <c r="AN2098" s="111" t="str">
        <f>IF(Audit[[#This Row],[K-M P Value]]&gt;1-'General Info'!$B$16,"Continue", "Stop")</f>
        <v>Stop</v>
      </c>
      <c r="AO2098" s="110" t="b">
        <f>IF(Audit[[#This Row],[Status - Continue or stop audit]] = "Continue", TRUE, IF(AN2097 = "Continue", TRUE, FALSE))</f>
        <v>0</v>
      </c>
      <c r="AP2098" s="110"/>
    </row>
    <row r="2099" spans="1:42" ht="15" hidden="1" customHeight="1">
      <c r="A2099" s="111" t="str">
        <f>'Sampling Data'!W2099</f>
        <v/>
      </c>
      <c r="B2099" s="112" t="str">
        <f>'Sampling Data'!A2099</f>
        <v>WARRENSVILLE HTS -03-B</v>
      </c>
      <c r="C2099" s="112">
        <f>'Sampling Data'!B2099</f>
        <v>0</v>
      </c>
      <c r="D2099" s="112">
        <f>'Sampling Data'!C2099</f>
        <v>3</v>
      </c>
      <c r="E2099" s="113">
        <f>'Sampling Data'!D2099</f>
        <v>0</v>
      </c>
      <c r="F2099" s="113">
        <f>'Sampling Data'!E2099</f>
        <v>1</v>
      </c>
      <c r="G2099" s="113">
        <f>'Sampling Data'!F2099</f>
        <v>0</v>
      </c>
      <c r="H2099" s="113">
        <f>'Sampling Data'!G2099</f>
        <v>0</v>
      </c>
      <c r="I2099" s="112">
        <f>'Sampling Data'!H2099</f>
        <v>0</v>
      </c>
      <c r="J2099" s="112">
        <f>'Sampling Data'!I2099</f>
        <v>0</v>
      </c>
      <c r="K2099" s="112">
        <f>'Sampling Data'!J2099</f>
        <v>4</v>
      </c>
      <c r="L2099" s="111">
        <f>'Sampling Data'!X2099</f>
        <v>0</v>
      </c>
      <c r="M2099" s="114"/>
      <c r="N2099" s="114"/>
      <c r="O2099" s="115"/>
      <c r="P2099" s="115"/>
      <c r="Q2099" s="116"/>
      <c r="R2099" s="116"/>
      <c r="S2099" s="111">
        <f>Audit[[#This Row],[Audit Losing Candidate]]-Audit[[#This Row],[Losing Candidate]]</f>
        <v>0</v>
      </c>
      <c r="T2099" s="111">
        <f>Audit[[#This Row],[Audit Winning Candidate]]-Audit[[#This Row],[Winning Candidate]]</f>
        <v>-3</v>
      </c>
      <c r="U2099" s="111">
        <f>Audit[[#This Row],[Audit Candidate 3]]-Audit[[#This Row],[Candidate 3]]</f>
        <v>0</v>
      </c>
      <c r="V2099" s="111">
        <f>Audit[[#This Row],[Audit Candidate 4]]-Audit[[#This Row],[Candidate 4]]</f>
        <v>-1</v>
      </c>
      <c r="W2099" s="111">
        <f>Audit[[#This Row],[Audit Candidate 5]]-Audit[[#This Row],[Candidate 5]]</f>
        <v>0</v>
      </c>
      <c r="X2099" s="111">
        <f>Audit[[#This Row],[Audit Candidate 6]]-Audit[[#This Row],[Candidate 6]]</f>
        <v>0</v>
      </c>
      <c r="Y2099" s="111">
        <f>SUMIF(Audit[[#This Row],[Difference Loser]:[Difference Candidate 6]], "&gt;0")</f>
        <v>0</v>
      </c>
      <c r="Z2099" s="111">
        <f>SUM(Audit[[#This Row],[Difference Loser]:[Difference Candidate 6]])</f>
        <v>-4</v>
      </c>
      <c r="AA2099" s="111">
        <f>IF(Audit[[#This Row],[Times p Drawn - With Replacement]]&gt;0, IF(Audit[[#This Row],[Canceled Differences]]&lt;0, Audit[[#This Row],[Max Differences]]+ABS(Audit[[#This Row],[Canceled Differences]]), Audit[[#This Row],[Max Differences]]), 0)</f>
        <v>0</v>
      </c>
      <c r="AB2099" s="111">
        <f>'Sampling Data'!P2099</f>
        <v>4.2871141597256246E-4</v>
      </c>
      <c r="AC2099" s="111">
        <f>IF(
      SUM(Audit[[#This Row],[Audit Losing Candidate]:[Audit Candidate 6]])
      &lt;&gt;0,
      (Audit[[#This Row],[Winning Candidate]]-Audit[[#This Row],[Losing Candidate]]-(Audit[[#This Row],[Audit Winning Candidate]]-Audit[[#This Row],[Audit Losing Candidate]]))/(Audit[[#Totals],[Winning Candidate]]-Audit[[#Totals],[Losing Candidate]]),
      0
)</f>
        <v>0</v>
      </c>
      <c r="AD209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9" s="111">
        <f>IF(Audit[[#This Row],[Max Relative Error (ep)]] = 0, 0, Audit[[#This Row],[Max Relative Error (ep)]]/Audit[[#This Row],[Error Bound (up) - Max. possible relative overstatement]])</f>
        <v>0</v>
      </c>
      <c r="AJ209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099" s="111">
        <f t="shared" si="32"/>
        <v>1</v>
      </c>
      <c r="AL2099" s="111">
        <f>PRODUCT($AK$5:AK2099)</f>
        <v>8.962823818226312E-2</v>
      </c>
      <c r="AM2099" s="109">
        <f>1 - [K-M P Value]</f>
        <v>0.91037176181773694</v>
      </c>
      <c r="AN2099" s="111" t="str">
        <f>IF(Audit[[#This Row],[K-M P Value]]&gt;1-'General Info'!$B$16,"Continue", "Stop")</f>
        <v>Stop</v>
      </c>
      <c r="AO2099" s="110" t="b">
        <f>IF(Audit[[#This Row],[Status - Continue or stop audit]] = "Continue", TRUE, IF(AN2098 = "Continue", TRUE, FALSE))</f>
        <v>0</v>
      </c>
      <c r="AP2099" s="110"/>
    </row>
    <row r="2100" spans="1:42" ht="15" hidden="1" customHeight="1">
      <c r="A2100" s="111" t="str">
        <f>'Sampling Data'!W2100</f>
        <v/>
      </c>
      <c r="B2100" s="112" t="str">
        <f>'Sampling Data'!A2100</f>
        <v>WARRENSVILLE HTS -03-B - ABS</v>
      </c>
      <c r="C2100" s="112">
        <f>'Sampling Data'!B2100</f>
        <v>0</v>
      </c>
      <c r="D2100" s="112">
        <f>'Sampling Data'!C2100</f>
        <v>2</v>
      </c>
      <c r="E2100" s="113">
        <f>'Sampling Data'!D2100</f>
        <v>0</v>
      </c>
      <c r="F2100" s="113">
        <f>'Sampling Data'!E2100</f>
        <v>0</v>
      </c>
      <c r="G2100" s="113">
        <f>'Sampling Data'!F2100</f>
        <v>0</v>
      </c>
      <c r="H2100" s="113">
        <f>'Sampling Data'!G2100</f>
        <v>0</v>
      </c>
      <c r="I2100" s="112">
        <f>'Sampling Data'!H2100</f>
        <v>0</v>
      </c>
      <c r="J2100" s="112">
        <f>'Sampling Data'!I2100</f>
        <v>0</v>
      </c>
      <c r="K2100" s="112">
        <f>'Sampling Data'!J2100</f>
        <v>2</v>
      </c>
      <c r="L2100" s="111">
        <f>'Sampling Data'!X2100</f>
        <v>0</v>
      </c>
      <c r="M2100" s="114"/>
      <c r="N2100" s="114"/>
      <c r="O2100" s="115"/>
      <c r="P2100" s="115"/>
      <c r="Q2100" s="116"/>
      <c r="R2100" s="116"/>
      <c r="S2100" s="111">
        <f>Audit[[#This Row],[Audit Losing Candidate]]-Audit[[#This Row],[Losing Candidate]]</f>
        <v>0</v>
      </c>
      <c r="T2100" s="111">
        <f>Audit[[#This Row],[Audit Winning Candidate]]-Audit[[#This Row],[Winning Candidate]]</f>
        <v>-2</v>
      </c>
      <c r="U2100" s="111">
        <f>Audit[[#This Row],[Audit Candidate 3]]-Audit[[#This Row],[Candidate 3]]</f>
        <v>0</v>
      </c>
      <c r="V2100" s="111">
        <f>Audit[[#This Row],[Audit Candidate 4]]-Audit[[#This Row],[Candidate 4]]</f>
        <v>0</v>
      </c>
      <c r="W2100" s="111">
        <f>Audit[[#This Row],[Audit Candidate 5]]-Audit[[#This Row],[Candidate 5]]</f>
        <v>0</v>
      </c>
      <c r="X2100" s="111">
        <f>Audit[[#This Row],[Audit Candidate 6]]-Audit[[#This Row],[Candidate 6]]</f>
        <v>0</v>
      </c>
      <c r="Y2100" s="111">
        <f>SUMIF(Audit[[#This Row],[Difference Loser]:[Difference Candidate 6]], "&gt;0")</f>
        <v>0</v>
      </c>
      <c r="Z2100" s="111">
        <f>SUM(Audit[[#This Row],[Difference Loser]:[Difference Candidate 6]])</f>
        <v>-2</v>
      </c>
      <c r="AA2100" s="111">
        <f>IF(Audit[[#This Row],[Times p Drawn - With Replacement]]&gt;0, IF(Audit[[#This Row],[Canceled Differences]]&lt;0, Audit[[#This Row],[Max Differences]]+ABS(Audit[[#This Row],[Canceled Differences]]), Audit[[#This Row],[Max Differences]]), 0)</f>
        <v>0</v>
      </c>
      <c r="AB2100" s="111">
        <f>'Sampling Data'!P2100</f>
        <v>2.4497795198432141E-4</v>
      </c>
      <c r="AC2100" s="111">
        <f>IF(
      SUM(Audit[[#This Row],[Audit Losing Candidate]:[Audit Candidate 6]])
      &lt;&gt;0,
      (Audit[[#This Row],[Winning Candidate]]-Audit[[#This Row],[Losing Candidate]]-(Audit[[#This Row],[Audit Winning Candidate]]-Audit[[#This Row],[Audit Losing Candidate]]))/(Audit[[#Totals],[Winning Candidate]]-Audit[[#Totals],[Losing Candidate]]),
      0
)</f>
        <v>0</v>
      </c>
      <c r="AD210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0" s="111">
        <f>IF(Audit[[#This Row],[Max Relative Error (ep)]] = 0, 0, Audit[[#This Row],[Max Relative Error (ep)]]/Audit[[#This Row],[Error Bound (up) - Max. possible relative overstatement]])</f>
        <v>0</v>
      </c>
      <c r="AJ210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00" s="111">
        <f t="shared" si="32"/>
        <v>1</v>
      </c>
      <c r="AL2100" s="111">
        <f>PRODUCT($AK$5:AK2100)</f>
        <v>8.962823818226312E-2</v>
      </c>
      <c r="AM2100" s="109">
        <f>1 - [K-M P Value]</f>
        <v>0.91037176181773694</v>
      </c>
      <c r="AN2100" s="111" t="str">
        <f>IF(Audit[[#This Row],[K-M P Value]]&gt;1-'General Info'!$B$16,"Continue", "Stop")</f>
        <v>Stop</v>
      </c>
      <c r="AO2100" s="110" t="b">
        <f>IF(Audit[[#This Row],[Status - Continue or stop audit]] = "Continue", TRUE, IF(AN2099 = "Continue", TRUE, FALSE))</f>
        <v>0</v>
      </c>
      <c r="AP2100" s="110"/>
    </row>
    <row r="2101" spans="1:42" ht="15" hidden="1" customHeight="1">
      <c r="A2101" s="111" t="str">
        <f>'Sampling Data'!W2101</f>
        <v/>
      </c>
      <c r="B2101" s="112" t="str">
        <f>'Sampling Data'!A2101</f>
        <v>WARRENSVILLE HTS -04-A</v>
      </c>
      <c r="C2101" s="112">
        <f>'Sampling Data'!B2101</f>
        <v>1</v>
      </c>
      <c r="D2101" s="112">
        <f>'Sampling Data'!C2101</f>
        <v>2</v>
      </c>
      <c r="E2101" s="113">
        <f>'Sampling Data'!D2101</f>
        <v>1</v>
      </c>
      <c r="F2101" s="113">
        <f>'Sampling Data'!E2101</f>
        <v>0</v>
      </c>
      <c r="G2101" s="113">
        <f>'Sampling Data'!F2101</f>
        <v>0</v>
      </c>
      <c r="H2101" s="113">
        <f>'Sampling Data'!G2101</f>
        <v>0</v>
      </c>
      <c r="I2101" s="112">
        <f>'Sampling Data'!H2101</f>
        <v>0</v>
      </c>
      <c r="J2101" s="112">
        <f>'Sampling Data'!I2101</f>
        <v>0</v>
      </c>
      <c r="K2101" s="112">
        <f>'Sampling Data'!J2101</f>
        <v>4</v>
      </c>
      <c r="L2101" s="111">
        <f>'Sampling Data'!X2101</f>
        <v>0</v>
      </c>
      <c r="M2101" s="114"/>
      <c r="N2101" s="114"/>
      <c r="O2101" s="115"/>
      <c r="P2101" s="115"/>
      <c r="Q2101" s="116"/>
      <c r="R2101" s="116"/>
      <c r="S2101" s="111">
        <f>Audit[[#This Row],[Audit Losing Candidate]]-Audit[[#This Row],[Losing Candidate]]</f>
        <v>-1</v>
      </c>
      <c r="T2101" s="111">
        <f>Audit[[#This Row],[Audit Winning Candidate]]-Audit[[#This Row],[Winning Candidate]]</f>
        <v>-2</v>
      </c>
      <c r="U2101" s="111">
        <f>Audit[[#This Row],[Audit Candidate 3]]-Audit[[#This Row],[Candidate 3]]</f>
        <v>-1</v>
      </c>
      <c r="V2101" s="111">
        <f>Audit[[#This Row],[Audit Candidate 4]]-Audit[[#This Row],[Candidate 4]]</f>
        <v>0</v>
      </c>
      <c r="W2101" s="111">
        <f>Audit[[#This Row],[Audit Candidate 5]]-Audit[[#This Row],[Candidate 5]]</f>
        <v>0</v>
      </c>
      <c r="X2101" s="111">
        <f>Audit[[#This Row],[Audit Candidate 6]]-Audit[[#This Row],[Candidate 6]]</f>
        <v>0</v>
      </c>
      <c r="Y2101" s="111">
        <f>SUMIF(Audit[[#This Row],[Difference Loser]:[Difference Candidate 6]], "&gt;0")</f>
        <v>0</v>
      </c>
      <c r="Z2101" s="111">
        <f>SUM(Audit[[#This Row],[Difference Loser]:[Difference Candidate 6]])</f>
        <v>-4</v>
      </c>
      <c r="AA2101" s="111">
        <f>IF(Audit[[#This Row],[Times p Drawn - With Replacement]]&gt;0, IF(Audit[[#This Row],[Canceled Differences]]&lt;0, Audit[[#This Row],[Max Differences]]+ABS(Audit[[#This Row],[Canceled Differences]]), Audit[[#This Row],[Max Differences]]), 0)</f>
        <v>0</v>
      </c>
      <c r="AB2101" s="111">
        <f>'Sampling Data'!P2101</f>
        <v>3.0622243998040176E-4</v>
      </c>
      <c r="AC2101" s="111">
        <f>IF(
      SUM(Audit[[#This Row],[Audit Losing Candidate]:[Audit Candidate 6]])
      &lt;&gt;0,
      (Audit[[#This Row],[Winning Candidate]]-Audit[[#This Row],[Losing Candidate]]-(Audit[[#This Row],[Audit Winning Candidate]]-Audit[[#This Row],[Audit Losing Candidate]]))/(Audit[[#Totals],[Winning Candidate]]-Audit[[#Totals],[Losing Candidate]]),
      0
)</f>
        <v>0</v>
      </c>
      <c r="AD210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1" s="111">
        <f>IF(Audit[[#This Row],[Max Relative Error (ep)]] = 0, 0, Audit[[#This Row],[Max Relative Error (ep)]]/Audit[[#This Row],[Error Bound (up) - Max. possible relative overstatement]])</f>
        <v>0</v>
      </c>
      <c r="AJ210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01" s="111">
        <f t="shared" si="32"/>
        <v>1</v>
      </c>
      <c r="AL2101" s="111">
        <f>PRODUCT($AK$5:AK2101)</f>
        <v>8.962823818226312E-2</v>
      </c>
      <c r="AM2101" s="109">
        <f>1 - [K-M P Value]</f>
        <v>0.91037176181773694</v>
      </c>
      <c r="AN2101" s="111" t="str">
        <f>IF(Audit[[#This Row],[K-M P Value]]&gt;1-'General Info'!$B$16,"Continue", "Stop")</f>
        <v>Stop</v>
      </c>
      <c r="AO2101" s="110" t="b">
        <f>IF(Audit[[#This Row],[Status - Continue or stop audit]] = "Continue", TRUE, IF(AN2100 = "Continue", TRUE, FALSE))</f>
        <v>0</v>
      </c>
      <c r="AP2101" s="110"/>
    </row>
    <row r="2102" spans="1:42" ht="15" hidden="1" customHeight="1">
      <c r="A2102" s="111" t="str">
        <f>'Sampling Data'!W2102</f>
        <v/>
      </c>
      <c r="B2102" s="112" t="str">
        <f>'Sampling Data'!A2102</f>
        <v>WARRENSVILLE HTS -04-A - ABS</v>
      </c>
      <c r="C2102" s="112">
        <f>'Sampling Data'!B2102</f>
        <v>0</v>
      </c>
      <c r="D2102" s="112">
        <f>'Sampling Data'!C2102</f>
        <v>0</v>
      </c>
      <c r="E2102" s="113">
        <f>'Sampling Data'!D2102</f>
        <v>0</v>
      </c>
      <c r="F2102" s="113">
        <f>'Sampling Data'!E2102</f>
        <v>0</v>
      </c>
      <c r="G2102" s="113">
        <f>'Sampling Data'!F2102</f>
        <v>0</v>
      </c>
      <c r="H2102" s="113">
        <f>'Sampling Data'!G2102</f>
        <v>0</v>
      </c>
      <c r="I2102" s="112">
        <f>'Sampling Data'!H2102</f>
        <v>0</v>
      </c>
      <c r="J2102" s="112">
        <f>'Sampling Data'!I2102</f>
        <v>0</v>
      </c>
      <c r="K2102" s="112">
        <f>'Sampling Data'!J2102</f>
        <v>0</v>
      </c>
      <c r="L2102" s="111">
        <f>'Sampling Data'!X2102</f>
        <v>0</v>
      </c>
      <c r="M2102" s="114"/>
      <c r="N2102" s="114"/>
      <c r="O2102" s="115"/>
      <c r="P2102" s="115"/>
      <c r="Q2102" s="116"/>
      <c r="R2102" s="116"/>
      <c r="S2102" s="111">
        <f>Audit[[#This Row],[Audit Losing Candidate]]-Audit[[#This Row],[Losing Candidate]]</f>
        <v>0</v>
      </c>
      <c r="T2102" s="111">
        <f>Audit[[#This Row],[Audit Winning Candidate]]-Audit[[#This Row],[Winning Candidate]]</f>
        <v>0</v>
      </c>
      <c r="U2102" s="111">
        <f>Audit[[#This Row],[Audit Candidate 3]]-Audit[[#This Row],[Candidate 3]]</f>
        <v>0</v>
      </c>
      <c r="V2102" s="111">
        <f>Audit[[#This Row],[Audit Candidate 4]]-Audit[[#This Row],[Candidate 4]]</f>
        <v>0</v>
      </c>
      <c r="W2102" s="111">
        <f>Audit[[#This Row],[Audit Candidate 5]]-Audit[[#This Row],[Candidate 5]]</f>
        <v>0</v>
      </c>
      <c r="X2102" s="111">
        <f>Audit[[#This Row],[Audit Candidate 6]]-Audit[[#This Row],[Candidate 6]]</f>
        <v>0</v>
      </c>
      <c r="Y2102" s="111">
        <f>SUMIF(Audit[[#This Row],[Difference Loser]:[Difference Candidate 6]], "&gt;0")</f>
        <v>0</v>
      </c>
      <c r="Z2102" s="111">
        <f>SUM(Audit[[#This Row],[Difference Loser]:[Difference Candidate 6]])</f>
        <v>0</v>
      </c>
      <c r="AA2102" s="111">
        <f>IF(Audit[[#This Row],[Times p Drawn - With Replacement]]&gt;0, IF(Audit[[#This Row],[Canceled Differences]]&lt;0, Audit[[#This Row],[Max Differences]]+ABS(Audit[[#This Row],[Canceled Differences]]), Audit[[#This Row],[Max Differences]]), 0)</f>
        <v>0</v>
      </c>
      <c r="AB2102" s="111">
        <f>'Sampling Data'!P2102</f>
        <v>0</v>
      </c>
      <c r="AC2102" s="111">
        <f>IF(
      SUM(Audit[[#This Row],[Audit Losing Candidate]:[Audit Candidate 6]])
      &lt;&gt;0,
      (Audit[[#This Row],[Winning Candidate]]-Audit[[#This Row],[Losing Candidate]]-(Audit[[#This Row],[Audit Winning Candidate]]-Audit[[#This Row],[Audit Losing Candidate]]))/(Audit[[#Totals],[Winning Candidate]]-Audit[[#Totals],[Losing Candidate]]),
      0
)</f>
        <v>0</v>
      </c>
      <c r="AD210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2" s="111">
        <f>IF(Audit[[#This Row],[Max Relative Error (ep)]] = 0, 0, Audit[[#This Row],[Max Relative Error (ep)]]/Audit[[#This Row],[Error Bound (up) - Max. possible relative overstatement]])</f>
        <v>0</v>
      </c>
      <c r="AJ210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02" s="111">
        <f t="shared" si="32"/>
        <v>1</v>
      </c>
      <c r="AL2102" s="111">
        <f>PRODUCT($AK$5:AK2102)</f>
        <v>8.962823818226312E-2</v>
      </c>
      <c r="AM2102" s="109">
        <f>1 - [K-M P Value]</f>
        <v>0.91037176181773694</v>
      </c>
      <c r="AN2102" s="111" t="str">
        <f>IF(Audit[[#This Row],[K-M P Value]]&gt;1-'General Info'!$B$16,"Continue", "Stop")</f>
        <v>Stop</v>
      </c>
      <c r="AO2102" s="110" t="b">
        <f>IF(Audit[[#This Row],[Status - Continue or stop audit]] = "Continue", TRUE, IF(AN2101 = "Continue", TRUE, FALSE))</f>
        <v>0</v>
      </c>
      <c r="AP2102" s="110"/>
    </row>
    <row r="2103" spans="1:42" ht="15" hidden="1" customHeight="1">
      <c r="A2103" s="111" t="str">
        <f>'Sampling Data'!W2103</f>
        <v/>
      </c>
      <c r="B2103" s="112" t="str">
        <f>'Sampling Data'!A2103</f>
        <v>WARRENSVILLE HTS -04-B</v>
      </c>
      <c r="C2103" s="112">
        <f>'Sampling Data'!B2103</f>
        <v>0</v>
      </c>
      <c r="D2103" s="112">
        <f>'Sampling Data'!C2103</f>
        <v>0</v>
      </c>
      <c r="E2103" s="113">
        <f>'Sampling Data'!D2103</f>
        <v>0</v>
      </c>
      <c r="F2103" s="113">
        <f>'Sampling Data'!E2103</f>
        <v>0</v>
      </c>
      <c r="G2103" s="113">
        <f>'Sampling Data'!F2103</f>
        <v>0</v>
      </c>
      <c r="H2103" s="113">
        <f>'Sampling Data'!G2103</f>
        <v>0</v>
      </c>
      <c r="I2103" s="112">
        <f>'Sampling Data'!H2103</f>
        <v>0</v>
      </c>
      <c r="J2103" s="112">
        <f>'Sampling Data'!I2103</f>
        <v>0</v>
      </c>
      <c r="K2103" s="112">
        <f>'Sampling Data'!J2103</f>
        <v>0</v>
      </c>
      <c r="L2103" s="111">
        <f>'Sampling Data'!X2103</f>
        <v>0</v>
      </c>
      <c r="M2103" s="114"/>
      <c r="N2103" s="114"/>
      <c r="O2103" s="115"/>
      <c r="P2103" s="115"/>
      <c r="Q2103" s="116"/>
      <c r="R2103" s="116"/>
      <c r="S2103" s="111">
        <f>Audit[[#This Row],[Audit Losing Candidate]]-Audit[[#This Row],[Losing Candidate]]</f>
        <v>0</v>
      </c>
      <c r="T2103" s="111">
        <f>Audit[[#This Row],[Audit Winning Candidate]]-Audit[[#This Row],[Winning Candidate]]</f>
        <v>0</v>
      </c>
      <c r="U2103" s="111">
        <f>Audit[[#This Row],[Audit Candidate 3]]-Audit[[#This Row],[Candidate 3]]</f>
        <v>0</v>
      </c>
      <c r="V2103" s="111">
        <f>Audit[[#This Row],[Audit Candidate 4]]-Audit[[#This Row],[Candidate 4]]</f>
        <v>0</v>
      </c>
      <c r="W2103" s="111">
        <f>Audit[[#This Row],[Audit Candidate 5]]-Audit[[#This Row],[Candidate 5]]</f>
        <v>0</v>
      </c>
      <c r="X2103" s="111">
        <f>Audit[[#This Row],[Audit Candidate 6]]-Audit[[#This Row],[Candidate 6]]</f>
        <v>0</v>
      </c>
      <c r="Y2103" s="111">
        <f>SUMIF(Audit[[#This Row],[Difference Loser]:[Difference Candidate 6]], "&gt;0")</f>
        <v>0</v>
      </c>
      <c r="Z2103" s="111">
        <f>SUM(Audit[[#This Row],[Difference Loser]:[Difference Candidate 6]])</f>
        <v>0</v>
      </c>
      <c r="AA2103" s="111">
        <f>IF(Audit[[#This Row],[Times p Drawn - With Replacement]]&gt;0, IF(Audit[[#This Row],[Canceled Differences]]&lt;0, Audit[[#This Row],[Max Differences]]+ABS(Audit[[#This Row],[Canceled Differences]]), Audit[[#This Row],[Max Differences]]), 0)</f>
        <v>0</v>
      </c>
      <c r="AB2103" s="111">
        <f>'Sampling Data'!P2103</f>
        <v>0</v>
      </c>
      <c r="AC2103" s="111">
        <f>IF(
      SUM(Audit[[#This Row],[Audit Losing Candidate]:[Audit Candidate 6]])
      &lt;&gt;0,
      (Audit[[#This Row],[Winning Candidate]]-Audit[[#This Row],[Losing Candidate]]-(Audit[[#This Row],[Audit Winning Candidate]]-Audit[[#This Row],[Audit Losing Candidate]]))/(Audit[[#Totals],[Winning Candidate]]-Audit[[#Totals],[Losing Candidate]]),
      0
)</f>
        <v>0</v>
      </c>
      <c r="AD210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3" s="111">
        <f>IF(Audit[[#This Row],[Max Relative Error (ep)]] = 0, 0, Audit[[#This Row],[Max Relative Error (ep)]]/Audit[[#This Row],[Error Bound (up) - Max. possible relative overstatement]])</f>
        <v>0</v>
      </c>
      <c r="AJ210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03" s="111">
        <f t="shared" si="32"/>
        <v>1</v>
      </c>
      <c r="AL2103" s="111">
        <f>PRODUCT($AK$5:AK2103)</f>
        <v>8.962823818226312E-2</v>
      </c>
      <c r="AM2103" s="109">
        <f>1 - [K-M P Value]</f>
        <v>0.91037176181773694</v>
      </c>
      <c r="AN2103" s="111" t="str">
        <f>IF(Audit[[#This Row],[K-M P Value]]&gt;1-'General Info'!$B$16,"Continue", "Stop")</f>
        <v>Stop</v>
      </c>
      <c r="AO2103" s="110" t="b">
        <f>IF(Audit[[#This Row],[Status - Continue or stop audit]] = "Continue", TRUE, IF(AN2102 = "Continue", TRUE, FALSE))</f>
        <v>0</v>
      </c>
      <c r="AP2103" s="110"/>
    </row>
    <row r="2104" spans="1:42" ht="15" hidden="1" customHeight="1">
      <c r="A2104" s="111" t="str">
        <f>'Sampling Data'!W2104</f>
        <v/>
      </c>
      <c r="B2104" s="112" t="str">
        <f>'Sampling Data'!A2104</f>
        <v>WARRENSVILLE HTS -04-B - ABS</v>
      </c>
      <c r="C2104" s="112">
        <f>'Sampling Data'!B2104</f>
        <v>0</v>
      </c>
      <c r="D2104" s="112">
        <f>'Sampling Data'!C2104</f>
        <v>0</v>
      </c>
      <c r="E2104" s="113">
        <f>'Sampling Data'!D2104</f>
        <v>0</v>
      </c>
      <c r="F2104" s="113">
        <f>'Sampling Data'!E2104</f>
        <v>0</v>
      </c>
      <c r="G2104" s="113">
        <f>'Sampling Data'!F2104</f>
        <v>0</v>
      </c>
      <c r="H2104" s="113">
        <f>'Sampling Data'!G2104</f>
        <v>0</v>
      </c>
      <c r="I2104" s="112">
        <f>'Sampling Data'!H2104</f>
        <v>0</v>
      </c>
      <c r="J2104" s="112">
        <f>'Sampling Data'!I2104</f>
        <v>0</v>
      </c>
      <c r="K2104" s="112">
        <f>'Sampling Data'!J2104</f>
        <v>0</v>
      </c>
      <c r="L2104" s="111">
        <f>'Sampling Data'!X2104</f>
        <v>0</v>
      </c>
      <c r="M2104" s="114"/>
      <c r="N2104" s="114"/>
      <c r="O2104" s="115"/>
      <c r="P2104" s="115"/>
      <c r="Q2104" s="116"/>
      <c r="R2104" s="116"/>
      <c r="S2104" s="111">
        <f>Audit[[#This Row],[Audit Losing Candidate]]-Audit[[#This Row],[Losing Candidate]]</f>
        <v>0</v>
      </c>
      <c r="T2104" s="111">
        <f>Audit[[#This Row],[Audit Winning Candidate]]-Audit[[#This Row],[Winning Candidate]]</f>
        <v>0</v>
      </c>
      <c r="U2104" s="111">
        <f>Audit[[#This Row],[Audit Candidate 3]]-Audit[[#This Row],[Candidate 3]]</f>
        <v>0</v>
      </c>
      <c r="V2104" s="111">
        <f>Audit[[#This Row],[Audit Candidate 4]]-Audit[[#This Row],[Candidate 4]]</f>
        <v>0</v>
      </c>
      <c r="W2104" s="111">
        <f>Audit[[#This Row],[Audit Candidate 5]]-Audit[[#This Row],[Candidate 5]]</f>
        <v>0</v>
      </c>
      <c r="X2104" s="111">
        <f>Audit[[#This Row],[Audit Candidate 6]]-Audit[[#This Row],[Candidate 6]]</f>
        <v>0</v>
      </c>
      <c r="Y2104" s="111">
        <f>SUMIF(Audit[[#This Row],[Difference Loser]:[Difference Candidate 6]], "&gt;0")</f>
        <v>0</v>
      </c>
      <c r="Z2104" s="111">
        <f>SUM(Audit[[#This Row],[Difference Loser]:[Difference Candidate 6]])</f>
        <v>0</v>
      </c>
      <c r="AA2104" s="111">
        <f>IF(Audit[[#This Row],[Times p Drawn - With Replacement]]&gt;0, IF(Audit[[#This Row],[Canceled Differences]]&lt;0, Audit[[#This Row],[Max Differences]]+ABS(Audit[[#This Row],[Canceled Differences]]), Audit[[#This Row],[Max Differences]]), 0)</f>
        <v>0</v>
      </c>
      <c r="AB2104" s="111">
        <f>'Sampling Data'!P2104</f>
        <v>0</v>
      </c>
      <c r="AC2104" s="111">
        <f>IF(
      SUM(Audit[[#This Row],[Audit Losing Candidate]:[Audit Candidate 6]])
      &lt;&gt;0,
      (Audit[[#This Row],[Winning Candidate]]-Audit[[#This Row],[Losing Candidate]]-(Audit[[#This Row],[Audit Winning Candidate]]-Audit[[#This Row],[Audit Losing Candidate]]))/(Audit[[#Totals],[Winning Candidate]]-Audit[[#Totals],[Losing Candidate]]),
      0
)</f>
        <v>0</v>
      </c>
      <c r="AD210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4" s="111">
        <f>IF(Audit[[#This Row],[Max Relative Error (ep)]] = 0, 0, Audit[[#This Row],[Max Relative Error (ep)]]/Audit[[#This Row],[Error Bound (up) - Max. possible relative overstatement]])</f>
        <v>0</v>
      </c>
      <c r="AJ210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04" s="111">
        <f t="shared" si="32"/>
        <v>1</v>
      </c>
      <c r="AL2104" s="111">
        <f>PRODUCT($AK$5:AK2104)</f>
        <v>8.962823818226312E-2</v>
      </c>
      <c r="AM2104" s="109">
        <f>1 - [K-M P Value]</f>
        <v>0.91037176181773694</v>
      </c>
      <c r="AN2104" s="111" t="str">
        <f>IF(Audit[[#This Row],[K-M P Value]]&gt;1-'General Info'!$B$16,"Continue", "Stop")</f>
        <v>Stop</v>
      </c>
      <c r="AO2104" s="110" t="b">
        <f>IF(Audit[[#This Row],[Status - Continue or stop audit]] = "Continue", TRUE, IF(AN2103 = "Continue", TRUE, FALSE))</f>
        <v>0</v>
      </c>
      <c r="AP2104" s="110"/>
    </row>
    <row r="2105" spans="1:42" ht="15" hidden="1" customHeight="1">
      <c r="A2105" s="111" t="str">
        <f>'Sampling Data'!W2105</f>
        <v/>
      </c>
      <c r="B2105" s="112" t="str">
        <f>'Sampling Data'!A2105</f>
        <v>WARRENSVILLE HTS -05-A</v>
      </c>
      <c r="C2105" s="112">
        <f>'Sampling Data'!B2105</f>
        <v>9</v>
      </c>
      <c r="D2105" s="112">
        <f>'Sampling Data'!C2105</f>
        <v>3</v>
      </c>
      <c r="E2105" s="113">
        <f>'Sampling Data'!D2105</f>
        <v>4</v>
      </c>
      <c r="F2105" s="113">
        <f>'Sampling Data'!E2105</f>
        <v>1</v>
      </c>
      <c r="G2105" s="113">
        <f>'Sampling Data'!F2105</f>
        <v>0</v>
      </c>
      <c r="H2105" s="113">
        <f>'Sampling Data'!G2105</f>
        <v>0</v>
      </c>
      <c r="I2105" s="112">
        <f>'Sampling Data'!H2105</f>
        <v>0</v>
      </c>
      <c r="J2105" s="112">
        <f>'Sampling Data'!I2105</f>
        <v>0</v>
      </c>
      <c r="K2105" s="112">
        <f>'Sampling Data'!J2105</f>
        <v>17</v>
      </c>
      <c r="L2105" s="111">
        <f>'Sampling Data'!X2105</f>
        <v>0</v>
      </c>
      <c r="M2105" s="114"/>
      <c r="N2105" s="114"/>
      <c r="O2105" s="115"/>
      <c r="P2105" s="115"/>
      <c r="Q2105" s="116"/>
      <c r="R2105" s="116"/>
      <c r="S2105" s="111">
        <f>Audit[[#This Row],[Audit Losing Candidate]]-Audit[[#This Row],[Losing Candidate]]</f>
        <v>-9</v>
      </c>
      <c r="T2105" s="111">
        <f>Audit[[#This Row],[Audit Winning Candidate]]-Audit[[#This Row],[Winning Candidate]]</f>
        <v>-3</v>
      </c>
      <c r="U2105" s="111">
        <f>Audit[[#This Row],[Audit Candidate 3]]-Audit[[#This Row],[Candidate 3]]</f>
        <v>-4</v>
      </c>
      <c r="V2105" s="111">
        <f>Audit[[#This Row],[Audit Candidate 4]]-Audit[[#This Row],[Candidate 4]]</f>
        <v>-1</v>
      </c>
      <c r="W2105" s="111">
        <f>Audit[[#This Row],[Audit Candidate 5]]-Audit[[#This Row],[Candidate 5]]</f>
        <v>0</v>
      </c>
      <c r="X2105" s="111">
        <f>Audit[[#This Row],[Audit Candidate 6]]-Audit[[#This Row],[Candidate 6]]</f>
        <v>0</v>
      </c>
      <c r="Y2105" s="111">
        <f>SUMIF(Audit[[#This Row],[Difference Loser]:[Difference Candidate 6]], "&gt;0")</f>
        <v>0</v>
      </c>
      <c r="Z2105" s="111">
        <f>SUM(Audit[[#This Row],[Difference Loser]:[Difference Candidate 6]])</f>
        <v>-17</v>
      </c>
      <c r="AA2105" s="111">
        <f>IF(Audit[[#This Row],[Times p Drawn - With Replacement]]&gt;0, IF(Audit[[#This Row],[Canceled Differences]]&lt;0, Audit[[#This Row],[Max Differences]]+ABS(Audit[[#This Row],[Canceled Differences]]), Audit[[#This Row],[Max Differences]]), 0)</f>
        <v>0</v>
      </c>
      <c r="AB2105" s="111">
        <f>'Sampling Data'!P2105</f>
        <v>6.7368936795688392E-4</v>
      </c>
      <c r="AC2105" s="111">
        <f>IF(
      SUM(Audit[[#This Row],[Audit Losing Candidate]:[Audit Candidate 6]])
      &lt;&gt;0,
      (Audit[[#This Row],[Winning Candidate]]-Audit[[#This Row],[Losing Candidate]]-(Audit[[#This Row],[Audit Winning Candidate]]-Audit[[#This Row],[Audit Losing Candidate]]))/(Audit[[#Totals],[Winning Candidate]]-Audit[[#Totals],[Losing Candidate]]),
      0
)</f>
        <v>0</v>
      </c>
      <c r="AD210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5" s="111">
        <f>IF(Audit[[#This Row],[Max Relative Error (ep)]] = 0, 0, Audit[[#This Row],[Max Relative Error (ep)]]/Audit[[#This Row],[Error Bound (up) - Max. possible relative overstatement]])</f>
        <v>0</v>
      </c>
      <c r="AJ210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05" s="111">
        <f t="shared" si="32"/>
        <v>1</v>
      </c>
      <c r="AL2105" s="111">
        <f>PRODUCT($AK$5:AK2105)</f>
        <v>8.962823818226312E-2</v>
      </c>
      <c r="AM2105" s="109">
        <f>1 - [K-M P Value]</f>
        <v>0.91037176181773694</v>
      </c>
      <c r="AN2105" s="111" t="str">
        <f>IF(Audit[[#This Row],[K-M P Value]]&gt;1-'General Info'!$B$16,"Continue", "Stop")</f>
        <v>Stop</v>
      </c>
      <c r="AO2105" s="110" t="b">
        <f>IF(Audit[[#This Row],[Status - Continue or stop audit]] = "Continue", TRUE, IF(AN2104 = "Continue", TRUE, FALSE))</f>
        <v>0</v>
      </c>
      <c r="AP2105" s="110"/>
    </row>
    <row r="2106" spans="1:42" ht="15" hidden="1" customHeight="1">
      <c r="A2106" s="111" t="str">
        <f>'Sampling Data'!W2106</f>
        <v/>
      </c>
      <c r="B2106" s="112" t="str">
        <f>'Sampling Data'!A2106</f>
        <v>WARRENSVILLE HTS -05-A - ABS</v>
      </c>
      <c r="C2106" s="112">
        <f>'Sampling Data'!B2106</f>
        <v>2</v>
      </c>
      <c r="D2106" s="112">
        <f>'Sampling Data'!C2106</f>
        <v>4</v>
      </c>
      <c r="E2106" s="113">
        <f>'Sampling Data'!D2106</f>
        <v>1</v>
      </c>
      <c r="F2106" s="113">
        <f>'Sampling Data'!E2106</f>
        <v>0</v>
      </c>
      <c r="G2106" s="113">
        <f>'Sampling Data'!F2106</f>
        <v>0</v>
      </c>
      <c r="H2106" s="113">
        <f>'Sampling Data'!G2106</f>
        <v>0</v>
      </c>
      <c r="I2106" s="112">
        <f>'Sampling Data'!H2106</f>
        <v>0</v>
      </c>
      <c r="J2106" s="112">
        <f>'Sampling Data'!I2106</f>
        <v>0</v>
      </c>
      <c r="K2106" s="112">
        <f>'Sampling Data'!J2106</f>
        <v>7</v>
      </c>
      <c r="L2106" s="111">
        <f>'Sampling Data'!X2106</f>
        <v>0</v>
      </c>
      <c r="M2106" s="114"/>
      <c r="N2106" s="114"/>
      <c r="O2106" s="115"/>
      <c r="P2106" s="115"/>
      <c r="Q2106" s="116"/>
      <c r="R2106" s="116"/>
      <c r="S2106" s="111">
        <f>Audit[[#This Row],[Audit Losing Candidate]]-Audit[[#This Row],[Losing Candidate]]</f>
        <v>-2</v>
      </c>
      <c r="T2106" s="111">
        <f>Audit[[#This Row],[Audit Winning Candidate]]-Audit[[#This Row],[Winning Candidate]]</f>
        <v>-4</v>
      </c>
      <c r="U2106" s="111">
        <f>Audit[[#This Row],[Audit Candidate 3]]-Audit[[#This Row],[Candidate 3]]</f>
        <v>-1</v>
      </c>
      <c r="V2106" s="111">
        <f>Audit[[#This Row],[Audit Candidate 4]]-Audit[[#This Row],[Candidate 4]]</f>
        <v>0</v>
      </c>
      <c r="W2106" s="111">
        <f>Audit[[#This Row],[Audit Candidate 5]]-Audit[[#This Row],[Candidate 5]]</f>
        <v>0</v>
      </c>
      <c r="X2106" s="111">
        <f>Audit[[#This Row],[Audit Candidate 6]]-Audit[[#This Row],[Candidate 6]]</f>
        <v>0</v>
      </c>
      <c r="Y2106" s="111">
        <f>SUMIF(Audit[[#This Row],[Difference Loser]:[Difference Candidate 6]], "&gt;0")</f>
        <v>0</v>
      </c>
      <c r="Z2106" s="111">
        <f>SUM(Audit[[#This Row],[Difference Loser]:[Difference Candidate 6]])</f>
        <v>-7</v>
      </c>
      <c r="AA2106" s="111">
        <f>IF(Audit[[#This Row],[Times p Drawn - With Replacement]]&gt;0, IF(Audit[[#This Row],[Canceled Differences]]&lt;0, Audit[[#This Row],[Max Differences]]+ABS(Audit[[#This Row],[Canceled Differences]]), Audit[[#This Row],[Max Differences]]), 0)</f>
        <v>0</v>
      </c>
      <c r="AB2106" s="111">
        <f>'Sampling Data'!P2106</f>
        <v>5.5120039196472322E-4</v>
      </c>
      <c r="AC2106" s="111">
        <f>IF(
      SUM(Audit[[#This Row],[Audit Losing Candidate]:[Audit Candidate 6]])
      &lt;&gt;0,
      (Audit[[#This Row],[Winning Candidate]]-Audit[[#This Row],[Losing Candidate]]-(Audit[[#This Row],[Audit Winning Candidate]]-Audit[[#This Row],[Audit Losing Candidate]]))/(Audit[[#Totals],[Winning Candidate]]-Audit[[#Totals],[Losing Candidate]]),
      0
)</f>
        <v>0</v>
      </c>
      <c r="AD210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6" s="111">
        <f>IF(Audit[[#This Row],[Max Relative Error (ep)]] = 0, 0, Audit[[#This Row],[Max Relative Error (ep)]]/Audit[[#This Row],[Error Bound (up) - Max. possible relative overstatement]])</f>
        <v>0</v>
      </c>
      <c r="AJ210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06" s="111">
        <f t="shared" si="32"/>
        <v>1</v>
      </c>
      <c r="AL2106" s="111">
        <f>PRODUCT($AK$5:AK2106)</f>
        <v>8.962823818226312E-2</v>
      </c>
      <c r="AM2106" s="109">
        <f>1 - [K-M P Value]</f>
        <v>0.91037176181773694</v>
      </c>
      <c r="AN2106" s="111" t="str">
        <f>IF(Audit[[#This Row],[K-M P Value]]&gt;1-'General Info'!$B$16,"Continue", "Stop")</f>
        <v>Stop</v>
      </c>
      <c r="AO2106" s="110" t="b">
        <f>IF(Audit[[#This Row],[Status - Continue or stop audit]] = "Continue", TRUE, IF(AN2105 = "Continue", TRUE, FALSE))</f>
        <v>0</v>
      </c>
      <c r="AP2106" s="110"/>
    </row>
    <row r="2107" spans="1:42" ht="15" hidden="1" customHeight="1">
      <c r="A2107" s="111" t="str">
        <f>'Sampling Data'!W2107</f>
        <v/>
      </c>
      <c r="B2107" s="112" t="str">
        <f>'Sampling Data'!A2107</f>
        <v>WARRENSVILLE HTS -05-B</v>
      </c>
      <c r="C2107" s="112">
        <f>'Sampling Data'!B2107</f>
        <v>1</v>
      </c>
      <c r="D2107" s="112">
        <f>'Sampling Data'!C2107</f>
        <v>1</v>
      </c>
      <c r="E2107" s="113">
        <f>'Sampling Data'!D2107</f>
        <v>0</v>
      </c>
      <c r="F2107" s="113">
        <f>'Sampling Data'!E2107</f>
        <v>0</v>
      </c>
      <c r="G2107" s="113">
        <f>'Sampling Data'!F2107</f>
        <v>1</v>
      </c>
      <c r="H2107" s="113">
        <f>'Sampling Data'!G2107</f>
        <v>0</v>
      </c>
      <c r="I2107" s="112">
        <f>'Sampling Data'!H2107</f>
        <v>0</v>
      </c>
      <c r="J2107" s="112">
        <f>'Sampling Data'!I2107</f>
        <v>0</v>
      </c>
      <c r="K2107" s="112">
        <f>'Sampling Data'!J2107</f>
        <v>3</v>
      </c>
      <c r="L2107" s="111">
        <f>'Sampling Data'!X2107</f>
        <v>0</v>
      </c>
      <c r="M2107" s="114"/>
      <c r="N2107" s="114"/>
      <c r="O2107" s="115"/>
      <c r="P2107" s="115"/>
      <c r="Q2107" s="116"/>
      <c r="R2107" s="116"/>
      <c r="S2107" s="111">
        <f>Audit[[#This Row],[Audit Losing Candidate]]-Audit[[#This Row],[Losing Candidate]]</f>
        <v>-1</v>
      </c>
      <c r="T2107" s="111">
        <f>Audit[[#This Row],[Audit Winning Candidate]]-Audit[[#This Row],[Winning Candidate]]</f>
        <v>-1</v>
      </c>
      <c r="U2107" s="111">
        <f>Audit[[#This Row],[Audit Candidate 3]]-Audit[[#This Row],[Candidate 3]]</f>
        <v>0</v>
      </c>
      <c r="V2107" s="111">
        <f>Audit[[#This Row],[Audit Candidate 4]]-Audit[[#This Row],[Candidate 4]]</f>
        <v>0</v>
      </c>
      <c r="W2107" s="111">
        <f>Audit[[#This Row],[Audit Candidate 5]]-Audit[[#This Row],[Candidate 5]]</f>
        <v>-1</v>
      </c>
      <c r="X2107" s="111">
        <f>Audit[[#This Row],[Audit Candidate 6]]-Audit[[#This Row],[Candidate 6]]</f>
        <v>0</v>
      </c>
      <c r="Y2107" s="111">
        <f>SUMIF(Audit[[#This Row],[Difference Loser]:[Difference Candidate 6]], "&gt;0")</f>
        <v>0</v>
      </c>
      <c r="Z2107" s="111">
        <f>SUM(Audit[[#This Row],[Difference Loser]:[Difference Candidate 6]])</f>
        <v>-3</v>
      </c>
      <c r="AA2107" s="111">
        <f>IF(Audit[[#This Row],[Times p Drawn - With Replacement]]&gt;0, IF(Audit[[#This Row],[Canceled Differences]]&lt;0, Audit[[#This Row],[Max Differences]]+ABS(Audit[[#This Row],[Canceled Differences]]), Audit[[#This Row],[Max Differences]]), 0)</f>
        <v>0</v>
      </c>
      <c r="AB2107" s="111">
        <f>'Sampling Data'!P2107</f>
        <v>1.8373346398824106E-4</v>
      </c>
      <c r="AC2107" s="111">
        <f>IF(
      SUM(Audit[[#This Row],[Audit Losing Candidate]:[Audit Candidate 6]])
      &lt;&gt;0,
      (Audit[[#This Row],[Winning Candidate]]-Audit[[#This Row],[Losing Candidate]]-(Audit[[#This Row],[Audit Winning Candidate]]-Audit[[#This Row],[Audit Losing Candidate]]))/(Audit[[#Totals],[Winning Candidate]]-Audit[[#Totals],[Losing Candidate]]),
      0
)</f>
        <v>0</v>
      </c>
      <c r="AD210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7" s="111">
        <f>IF(Audit[[#This Row],[Max Relative Error (ep)]] = 0, 0, Audit[[#This Row],[Max Relative Error (ep)]]/Audit[[#This Row],[Error Bound (up) - Max. possible relative overstatement]])</f>
        <v>0</v>
      </c>
      <c r="AJ210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07" s="111">
        <f t="shared" si="32"/>
        <v>1</v>
      </c>
      <c r="AL2107" s="111">
        <f>PRODUCT($AK$5:AK2107)</f>
        <v>8.962823818226312E-2</v>
      </c>
      <c r="AM2107" s="109">
        <f>1 - [K-M P Value]</f>
        <v>0.91037176181773694</v>
      </c>
      <c r="AN2107" s="111" t="str">
        <f>IF(Audit[[#This Row],[K-M P Value]]&gt;1-'General Info'!$B$16,"Continue", "Stop")</f>
        <v>Stop</v>
      </c>
      <c r="AO2107" s="110" t="b">
        <f>IF(Audit[[#This Row],[Status - Continue or stop audit]] = "Continue", TRUE, IF(AN2106 = "Continue", TRUE, FALSE))</f>
        <v>0</v>
      </c>
      <c r="AP2107" s="110"/>
    </row>
    <row r="2108" spans="1:42" ht="15" hidden="1" customHeight="1">
      <c r="A2108" s="111" t="str">
        <f>'Sampling Data'!W2108</f>
        <v/>
      </c>
      <c r="B2108" s="112" t="str">
        <f>'Sampling Data'!A2108</f>
        <v>WARRENSVILLE HTS -05-B - ABS</v>
      </c>
      <c r="C2108" s="112">
        <f>'Sampling Data'!B2108</f>
        <v>2</v>
      </c>
      <c r="D2108" s="112">
        <f>'Sampling Data'!C2108</f>
        <v>3</v>
      </c>
      <c r="E2108" s="113">
        <f>'Sampling Data'!D2108</f>
        <v>0</v>
      </c>
      <c r="F2108" s="113">
        <f>'Sampling Data'!E2108</f>
        <v>1</v>
      </c>
      <c r="G2108" s="113">
        <f>'Sampling Data'!F2108</f>
        <v>0</v>
      </c>
      <c r="H2108" s="113">
        <f>'Sampling Data'!G2108</f>
        <v>0</v>
      </c>
      <c r="I2108" s="112">
        <f>'Sampling Data'!H2108</f>
        <v>0</v>
      </c>
      <c r="J2108" s="112">
        <f>'Sampling Data'!I2108</f>
        <v>0</v>
      </c>
      <c r="K2108" s="112">
        <f>'Sampling Data'!J2108</f>
        <v>6</v>
      </c>
      <c r="L2108" s="111">
        <f>'Sampling Data'!X2108</f>
        <v>0</v>
      </c>
      <c r="M2108" s="114"/>
      <c r="N2108" s="114"/>
      <c r="O2108" s="115"/>
      <c r="P2108" s="115"/>
      <c r="Q2108" s="116"/>
      <c r="R2108" s="116"/>
      <c r="S2108" s="111">
        <f>Audit[[#This Row],[Audit Losing Candidate]]-Audit[[#This Row],[Losing Candidate]]</f>
        <v>-2</v>
      </c>
      <c r="T2108" s="111">
        <f>Audit[[#This Row],[Audit Winning Candidate]]-Audit[[#This Row],[Winning Candidate]]</f>
        <v>-3</v>
      </c>
      <c r="U2108" s="111">
        <f>Audit[[#This Row],[Audit Candidate 3]]-Audit[[#This Row],[Candidate 3]]</f>
        <v>0</v>
      </c>
      <c r="V2108" s="111">
        <f>Audit[[#This Row],[Audit Candidate 4]]-Audit[[#This Row],[Candidate 4]]</f>
        <v>-1</v>
      </c>
      <c r="W2108" s="111">
        <f>Audit[[#This Row],[Audit Candidate 5]]-Audit[[#This Row],[Candidate 5]]</f>
        <v>0</v>
      </c>
      <c r="X2108" s="111">
        <f>Audit[[#This Row],[Audit Candidate 6]]-Audit[[#This Row],[Candidate 6]]</f>
        <v>0</v>
      </c>
      <c r="Y2108" s="111">
        <f>SUMIF(Audit[[#This Row],[Difference Loser]:[Difference Candidate 6]], "&gt;0")</f>
        <v>0</v>
      </c>
      <c r="Z2108" s="111">
        <f>SUM(Audit[[#This Row],[Difference Loser]:[Difference Candidate 6]])</f>
        <v>-6</v>
      </c>
      <c r="AA2108" s="111">
        <f>IF(Audit[[#This Row],[Times p Drawn - With Replacement]]&gt;0, IF(Audit[[#This Row],[Canceled Differences]]&lt;0, Audit[[#This Row],[Max Differences]]+ABS(Audit[[#This Row],[Canceled Differences]]), Audit[[#This Row],[Max Differences]]), 0)</f>
        <v>0</v>
      </c>
      <c r="AB2108" s="111">
        <f>'Sampling Data'!P2108</f>
        <v>4.2871141597256246E-4</v>
      </c>
      <c r="AC2108" s="111">
        <f>IF(
      SUM(Audit[[#This Row],[Audit Losing Candidate]:[Audit Candidate 6]])
      &lt;&gt;0,
      (Audit[[#This Row],[Winning Candidate]]-Audit[[#This Row],[Losing Candidate]]-(Audit[[#This Row],[Audit Winning Candidate]]-Audit[[#This Row],[Audit Losing Candidate]]))/(Audit[[#Totals],[Winning Candidate]]-Audit[[#Totals],[Losing Candidate]]),
      0
)</f>
        <v>0</v>
      </c>
      <c r="AD210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8" s="111">
        <f>IF(Audit[[#This Row],[Max Relative Error (ep)]] = 0, 0, Audit[[#This Row],[Max Relative Error (ep)]]/Audit[[#This Row],[Error Bound (up) - Max. possible relative overstatement]])</f>
        <v>0</v>
      </c>
      <c r="AJ210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08" s="111">
        <f t="shared" si="32"/>
        <v>1</v>
      </c>
      <c r="AL2108" s="111">
        <f>PRODUCT($AK$5:AK2108)</f>
        <v>8.962823818226312E-2</v>
      </c>
      <c r="AM2108" s="109">
        <f>1 - [K-M P Value]</f>
        <v>0.91037176181773694</v>
      </c>
      <c r="AN2108" s="111" t="str">
        <f>IF(Audit[[#This Row],[K-M P Value]]&gt;1-'General Info'!$B$16,"Continue", "Stop")</f>
        <v>Stop</v>
      </c>
      <c r="AO2108" s="110" t="b">
        <f>IF(Audit[[#This Row],[Status - Continue or stop audit]] = "Continue", TRUE, IF(AN2107 = "Continue", TRUE, FALSE))</f>
        <v>0</v>
      </c>
      <c r="AP2108" s="110"/>
    </row>
    <row r="2109" spans="1:42" ht="15" hidden="1" customHeight="1">
      <c r="A2109" s="111" t="str">
        <f>'Sampling Data'!W2109</f>
        <v/>
      </c>
      <c r="B2109" s="112" t="str">
        <f>'Sampling Data'!A2109</f>
        <v>WARRENSVILLE HTS -06-A</v>
      </c>
      <c r="C2109" s="112">
        <f>'Sampling Data'!B2109</f>
        <v>0</v>
      </c>
      <c r="D2109" s="112">
        <f>'Sampling Data'!C2109</f>
        <v>2</v>
      </c>
      <c r="E2109" s="113">
        <f>'Sampling Data'!D2109</f>
        <v>0</v>
      </c>
      <c r="F2109" s="113">
        <f>'Sampling Data'!E2109</f>
        <v>3</v>
      </c>
      <c r="G2109" s="113">
        <f>'Sampling Data'!F2109</f>
        <v>0</v>
      </c>
      <c r="H2109" s="113">
        <f>'Sampling Data'!G2109</f>
        <v>0</v>
      </c>
      <c r="I2109" s="112">
        <f>'Sampling Data'!H2109</f>
        <v>0</v>
      </c>
      <c r="J2109" s="112">
        <f>'Sampling Data'!I2109</f>
        <v>0</v>
      </c>
      <c r="K2109" s="112">
        <f>'Sampling Data'!J2109</f>
        <v>5</v>
      </c>
      <c r="L2109" s="111">
        <f>'Sampling Data'!X2109</f>
        <v>0</v>
      </c>
      <c r="M2109" s="114"/>
      <c r="N2109" s="114"/>
      <c r="O2109" s="115"/>
      <c r="P2109" s="115"/>
      <c r="Q2109" s="116"/>
      <c r="R2109" s="116"/>
      <c r="S2109" s="111">
        <f>Audit[[#This Row],[Audit Losing Candidate]]-Audit[[#This Row],[Losing Candidate]]</f>
        <v>0</v>
      </c>
      <c r="T2109" s="111">
        <f>Audit[[#This Row],[Audit Winning Candidate]]-Audit[[#This Row],[Winning Candidate]]</f>
        <v>-2</v>
      </c>
      <c r="U2109" s="111">
        <f>Audit[[#This Row],[Audit Candidate 3]]-Audit[[#This Row],[Candidate 3]]</f>
        <v>0</v>
      </c>
      <c r="V2109" s="111">
        <f>Audit[[#This Row],[Audit Candidate 4]]-Audit[[#This Row],[Candidate 4]]</f>
        <v>-3</v>
      </c>
      <c r="W2109" s="111">
        <f>Audit[[#This Row],[Audit Candidate 5]]-Audit[[#This Row],[Candidate 5]]</f>
        <v>0</v>
      </c>
      <c r="X2109" s="111">
        <f>Audit[[#This Row],[Audit Candidate 6]]-Audit[[#This Row],[Candidate 6]]</f>
        <v>0</v>
      </c>
      <c r="Y2109" s="111">
        <f>SUMIF(Audit[[#This Row],[Difference Loser]:[Difference Candidate 6]], "&gt;0")</f>
        <v>0</v>
      </c>
      <c r="Z2109" s="111">
        <f>SUM(Audit[[#This Row],[Difference Loser]:[Difference Candidate 6]])</f>
        <v>-5</v>
      </c>
      <c r="AA2109" s="111">
        <f>IF(Audit[[#This Row],[Times p Drawn - With Replacement]]&gt;0, IF(Audit[[#This Row],[Canceled Differences]]&lt;0, Audit[[#This Row],[Max Differences]]+ABS(Audit[[#This Row],[Canceled Differences]]), Audit[[#This Row],[Max Differences]]), 0)</f>
        <v>0</v>
      </c>
      <c r="AB2109" s="111">
        <f>'Sampling Data'!P2109</f>
        <v>4.2871141597256246E-4</v>
      </c>
      <c r="AC2109" s="111">
        <f>IF(
      SUM(Audit[[#This Row],[Audit Losing Candidate]:[Audit Candidate 6]])
      &lt;&gt;0,
      (Audit[[#This Row],[Winning Candidate]]-Audit[[#This Row],[Losing Candidate]]-(Audit[[#This Row],[Audit Winning Candidate]]-Audit[[#This Row],[Audit Losing Candidate]]))/(Audit[[#Totals],[Winning Candidate]]-Audit[[#Totals],[Losing Candidate]]),
      0
)</f>
        <v>0</v>
      </c>
      <c r="AD210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9" s="111">
        <f>IF(Audit[[#This Row],[Max Relative Error (ep)]] = 0, 0, Audit[[#This Row],[Max Relative Error (ep)]]/Audit[[#This Row],[Error Bound (up) - Max. possible relative overstatement]])</f>
        <v>0</v>
      </c>
      <c r="AJ210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09" s="111">
        <f t="shared" si="32"/>
        <v>1</v>
      </c>
      <c r="AL2109" s="111">
        <f>PRODUCT($AK$5:AK2109)</f>
        <v>8.962823818226312E-2</v>
      </c>
      <c r="AM2109" s="109">
        <f>1 - [K-M P Value]</f>
        <v>0.91037176181773694</v>
      </c>
      <c r="AN2109" s="111" t="str">
        <f>IF(Audit[[#This Row],[K-M P Value]]&gt;1-'General Info'!$B$16,"Continue", "Stop")</f>
        <v>Stop</v>
      </c>
      <c r="AO2109" s="110" t="b">
        <f>IF(Audit[[#This Row],[Status - Continue or stop audit]] = "Continue", TRUE, IF(AN2108 = "Continue", TRUE, FALSE))</f>
        <v>0</v>
      </c>
      <c r="AP2109" s="110"/>
    </row>
    <row r="2110" spans="1:42" ht="15" hidden="1" customHeight="1">
      <c r="A2110" s="111" t="str">
        <f>'Sampling Data'!W2110</f>
        <v/>
      </c>
      <c r="B2110" s="112" t="str">
        <f>'Sampling Data'!A2110</f>
        <v>WARRENSVILLE HTS -06-A - ABS</v>
      </c>
      <c r="C2110" s="112">
        <f>'Sampling Data'!B2110</f>
        <v>1</v>
      </c>
      <c r="D2110" s="112">
        <f>'Sampling Data'!C2110</f>
        <v>0</v>
      </c>
      <c r="E2110" s="113">
        <f>'Sampling Data'!D2110</f>
        <v>0</v>
      </c>
      <c r="F2110" s="113">
        <f>'Sampling Data'!E2110</f>
        <v>0</v>
      </c>
      <c r="G2110" s="113">
        <f>'Sampling Data'!F2110</f>
        <v>0</v>
      </c>
      <c r="H2110" s="113">
        <f>'Sampling Data'!G2110</f>
        <v>0</v>
      </c>
      <c r="I2110" s="112">
        <f>'Sampling Data'!H2110</f>
        <v>0</v>
      </c>
      <c r="J2110" s="112">
        <f>'Sampling Data'!I2110</f>
        <v>0</v>
      </c>
      <c r="K2110" s="112">
        <f>'Sampling Data'!J2110</f>
        <v>1</v>
      </c>
      <c r="L2110" s="111">
        <f>'Sampling Data'!X2110</f>
        <v>0</v>
      </c>
      <c r="M2110" s="114"/>
      <c r="N2110" s="114"/>
      <c r="O2110" s="115"/>
      <c r="P2110" s="115"/>
      <c r="Q2110" s="116"/>
      <c r="R2110" s="116"/>
      <c r="S2110" s="111">
        <f>Audit[[#This Row],[Audit Losing Candidate]]-Audit[[#This Row],[Losing Candidate]]</f>
        <v>-1</v>
      </c>
      <c r="T2110" s="111">
        <f>Audit[[#This Row],[Audit Winning Candidate]]-Audit[[#This Row],[Winning Candidate]]</f>
        <v>0</v>
      </c>
      <c r="U2110" s="111">
        <f>Audit[[#This Row],[Audit Candidate 3]]-Audit[[#This Row],[Candidate 3]]</f>
        <v>0</v>
      </c>
      <c r="V2110" s="111">
        <f>Audit[[#This Row],[Audit Candidate 4]]-Audit[[#This Row],[Candidate 4]]</f>
        <v>0</v>
      </c>
      <c r="W2110" s="111">
        <f>Audit[[#This Row],[Audit Candidate 5]]-Audit[[#This Row],[Candidate 5]]</f>
        <v>0</v>
      </c>
      <c r="X2110" s="111">
        <f>Audit[[#This Row],[Audit Candidate 6]]-Audit[[#This Row],[Candidate 6]]</f>
        <v>0</v>
      </c>
      <c r="Y2110" s="111">
        <f>SUMIF(Audit[[#This Row],[Difference Loser]:[Difference Candidate 6]], "&gt;0")</f>
        <v>0</v>
      </c>
      <c r="Z2110" s="111">
        <f>SUM(Audit[[#This Row],[Difference Loser]:[Difference Candidate 6]])</f>
        <v>-1</v>
      </c>
      <c r="AA2110" s="111">
        <f>IF(Audit[[#This Row],[Times p Drawn - With Replacement]]&gt;0, IF(Audit[[#This Row],[Canceled Differences]]&lt;0, Audit[[#This Row],[Max Differences]]+ABS(Audit[[#This Row],[Canceled Differences]]), Audit[[#This Row],[Max Differences]]), 0)</f>
        <v>0</v>
      </c>
      <c r="AB2110" s="111">
        <f>'Sampling Data'!P2110</f>
        <v>3.2261186566441917E-5</v>
      </c>
      <c r="AC2110" s="111">
        <f>IF(
      SUM(Audit[[#This Row],[Audit Losing Candidate]:[Audit Candidate 6]])
      &lt;&gt;0,
      (Audit[[#This Row],[Winning Candidate]]-Audit[[#This Row],[Losing Candidate]]-(Audit[[#This Row],[Audit Winning Candidate]]-Audit[[#This Row],[Audit Losing Candidate]]))/(Audit[[#Totals],[Winning Candidate]]-Audit[[#Totals],[Losing Candidate]]),
      0
)</f>
        <v>0</v>
      </c>
      <c r="AD211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0" s="111">
        <f>IF(Audit[[#This Row],[Max Relative Error (ep)]] = 0, 0, Audit[[#This Row],[Max Relative Error (ep)]]/Audit[[#This Row],[Error Bound (up) - Max. possible relative overstatement]])</f>
        <v>0</v>
      </c>
      <c r="AJ211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10" s="111">
        <f t="shared" si="32"/>
        <v>1</v>
      </c>
      <c r="AL2110" s="111">
        <f>PRODUCT($AK$5:AK2110)</f>
        <v>8.962823818226312E-2</v>
      </c>
      <c r="AM2110" s="109">
        <f>1 - [K-M P Value]</f>
        <v>0.91037176181773694</v>
      </c>
      <c r="AN2110" s="111" t="str">
        <f>IF(Audit[[#This Row],[K-M P Value]]&gt;1-'General Info'!$B$16,"Continue", "Stop")</f>
        <v>Stop</v>
      </c>
      <c r="AO2110" s="110" t="b">
        <f>IF(Audit[[#This Row],[Status - Continue or stop audit]] = "Continue", TRUE, IF(AN2109 = "Continue", TRUE, FALSE))</f>
        <v>0</v>
      </c>
      <c r="AP2110" s="110"/>
    </row>
    <row r="2111" spans="1:42" ht="15" hidden="1" customHeight="1">
      <c r="A2111" s="111" t="str">
        <f>'Sampling Data'!W2111</f>
        <v/>
      </c>
      <c r="B2111" s="112" t="str">
        <f>'Sampling Data'!A2111</f>
        <v>WARRENSVILLE HTS -06-B</v>
      </c>
      <c r="C2111" s="112">
        <f>'Sampling Data'!B2111</f>
        <v>2</v>
      </c>
      <c r="D2111" s="112">
        <f>'Sampling Data'!C2111</f>
        <v>0</v>
      </c>
      <c r="E2111" s="113">
        <f>'Sampling Data'!D2111</f>
        <v>0</v>
      </c>
      <c r="F2111" s="113">
        <f>'Sampling Data'!E2111</f>
        <v>0</v>
      </c>
      <c r="G2111" s="113">
        <f>'Sampling Data'!F2111</f>
        <v>0</v>
      </c>
      <c r="H2111" s="113">
        <f>'Sampling Data'!G2111</f>
        <v>0</v>
      </c>
      <c r="I2111" s="112">
        <f>'Sampling Data'!H2111</f>
        <v>0</v>
      </c>
      <c r="J2111" s="112">
        <f>'Sampling Data'!I2111</f>
        <v>0</v>
      </c>
      <c r="K2111" s="112">
        <f>'Sampling Data'!J2111</f>
        <v>2</v>
      </c>
      <c r="L2111" s="111">
        <f>'Sampling Data'!X2111</f>
        <v>0</v>
      </c>
      <c r="M2111" s="114"/>
      <c r="N2111" s="114"/>
      <c r="O2111" s="115"/>
      <c r="P2111" s="115"/>
      <c r="Q2111" s="116"/>
      <c r="R2111" s="116"/>
      <c r="S2111" s="111">
        <f>Audit[[#This Row],[Audit Losing Candidate]]-Audit[[#This Row],[Losing Candidate]]</f>
        <v>-2</v>
      </c>
      <c r="T2111" s="111">
        <f>Audit[[#This Row],[Audit Winning Candidate]]-Audit[[#This Row],[Winning Candidate]]</f>
        <v>0</v>
      </c>
      <c r="U2111" s="111">
        <f>Audit[[#This Row],[Audit Candidate 3]]-Audit[[#This Row],[Candidate 3]]</f>
        <v>0</v>
      </c>
      <c r="V2111" s="111">
        <f>Audit[[#This Row],[Audit Candidate 4]]-Audit[[#This Row],[Candidate 4]]</f>
        <v>0</v>
      </c>
      <c r="W2111" s="111">
        <f>Audit[[#This Row],[Audit Candidate 5]]-Audit[[#This Row],[Candidate 5]]</f>
        <v>0</v>
      </c>
      <c r="X2111" s="111">
        <f>Audit[[#This Row],[Audit Candidate 6]]-Audit[[#This Row],[Candidate 6]]</f>
        <v>0</v>
      </c>
      <c r="Y2111" s="111">
        <f>SUMIF(Audit[[#This Row],[Difference Loser]:[Difference Candidate 6]], "&gt;0")</f>
        <v>0</v>
      </c>
      <c r="Z2111" s="111">
        <f>SUM(Audit[[#This Row],[Difference Loser]:[Difference Candidate 6]])</f>
        <v>-2</v>
      </c>
      <c r="AA2111" s="111">
        <f>IF(Audit[[#This Row],[Times p Drawn - With Replacement]]&gt;0, IF(Audit[[#This Row],[Canceled Differences]]&lt;0, Audit[[#This Row],[Max Differences]]+ABS(Audit[[#This Row],[Canceled Differences]]), Audit[[#This Row],[Max Differences]]), 0)</f>
        <v>0</v>
      </c>
      <c r="AB2111" s="111">
        <f>'Sampling Data'!P2111</f>
        <v>6.4522373132883833E-5</v>
      </c>
      <c r="AC2111" s="111">
        <f>IF(
      SUM(Audit[[#This Row],[Audit Losing Candidate]:[Audit Candidate 6]])
      &lt;&gt;0,
      (Audit[[#This Row],[Winning Candidate]]-Audit[[#This Row],[Losing Candidate]]-(Audit[[#This Row],[Audit Winning Candidate]]-Audit[[#This Row],[Audit Losing Candidate]]))/(Audit[[#Totals],[Winning Candidate]]-Audit[[#Totals],[Losing Candidate]]),
      0
)</f>
        <v>0</v>
      </c>
      <c r="AD211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1" s="111">
        <f>IF(Audit[[#This Row],[Max Relative Error (ep)]] = 0, 0, Audit[[#This Row],[Max Relative Error (ep)]]/Audit[[#This Row],[Error Bound (up) - Max. possible relative overstatement]])</f>
        <v>0</v>
      </c>
      <c r="AJ211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11" s="111">
        <f t="shared" si="32"/>
        <v>1</v>
      </c>
      <c r="AL2111" s="111">
        <f>PRODUCT($AK$5:AK2111)</f>
        <v>8.962823818226312E-2</v>
      </c>
      <c r="AM2111" s="109">
        <f>1 - [K-M P Value]</f>
        <v>0.91037176181773694</v>
      </c>
      <c r="AN2111" s="111" t="str">
        <f>IF(Audit[[#This Row],[K-M P Value]]&gt;1-'General Info'!$B$16,"Continue", "Stop")</f>
        <v>Stop</v>
      </c>
      <c r="AO2111" s="110" t="b">
        <f>IF(Audit[[#This Row],[Status - Continue or stop audit]] = "Continue", TRUE, IF(AN2110 = "Continue", TRUE, FALSE))</f>
        <v>0</v>
      </c>
      <c r="AP2111" s="110"/>
    </row>
    <row r="2112" spans="1:42" ht="15" hidden="1" customHeight="1">
      <c r="A2112" s="111" t="str">
        <f>'Sampling Data'!W2112</f>
        <v/>
      </c>
      <c r="B2112" s="112" t="str">
        <f>'Sampling Data'!A2112</f>
        <v>WARRENSVILLE HTS -06-B - ABS</v>
      </c>
      <c r="C2112" s="112">
        <f>'Sampling Data'!B2112</f>
        <v>1</v>
      </c>
      <c r="D2112" s="112">
        <f>'Sampling Data'!C2112</f>
        <v>0</v>
      </c>
      <c r="E2112" s="113">
        <f>'Sampling Data'!D2112</f>
        <v>1</v>
      </c>
      <c r="F2112" s="113">
        <f>'Sampling Data'!E2112</f>
        <v>0</v>
      </c>
      <c r="G2112" s="113">
        <f>'Sampling Data'!F2112</f>
        <v>0</v>
      </c>
      <c r="H2112" s="113">
        <f>'Sampling Data'!G2112</f>
        <v>0</v>
      </c>
      <c r="I2112" s="112">
        <f>'Sampling Data'!H2112</f>
        <v>0</v>
      </c>
      <c r="J2112" s="112">
        <f>'Sampling Data'!I2112</f>
        <v>1</v>
      </c>
      <c r="K2112" s="112">
        <f>'Sampling Data'!J2112</f>
        <v>3</v>
      </c>
      <c r="L2112" s="111">
        <f>'Sampling Data'!X2112</f>
        <v>0</v>
      </c>
      <c r="M2112" s="114"/>
      <c r="N2112" s="114"/>
      <c r="O2112" s="115"/>
      <c r="P2112" s="115"/>
      <c r="Q2112" s="116"/>
      <c r="R2112" s="116"/>
      <c r="S2112" s="111">
        <f>Audit[[#This Row],[Audit Losing Candidate]]-Audit[[#This Row],[Losing Candidate]]</f>
        <v>-1</v>
      </c>
      <c r="T2112" s="111">
        <f>Audit[[#This Row],[Audit Winning Candidate]]-Audit[[#This Row],[Winning Candidate]]</f>
        <v>0</v>
      </c>
      <c r="U2112" s="111">
        <f>Audit[[#This Row],[Audit Candidate 3]]-Audit[[#This Row],[Candidate 3]]</f>
        <v>-1</v>
      </c>
      <c r="V2112" s="111">
        <f>Audit[[#This Row],[Audit Candidate 4]]-Audit[[#This Row],[Candidate 4]]</f>
        <v>0</v>
      </c>
      <c r="W2112" s="111">
        <f>Audit[[#This Row],[Audit Candidate 5]]-Audit[[#This Row],[Candidate 5]]</f>
        <v>0</v>
      </c>
      <c r="X2112" s="111">
        <f>Audit[[#This Row],[Audit Candidate 6]]-Audit[[#This Row],[Candidate 6]]</f>
        <v>0</v>
      </c>
      <c r="Y2112" s="111">
        <f>SUMIF(Audit[[#This Row],[Difference Loser]:[Difference Candidate 6]], "&gt;0")</f>
        <v>0</v>
      </c>
      <c r="Z2112" s="111">
        <f>SUM(Audit[[#This Row],[Difference Loser]:[Difference Candidate 6]])</f>
        <v>-2</v>
      </c>
      <c r="AA2112" s="111">
        <f>IF(Audit[[#This Row],[Times p Drawn - With Replacement]]&gt;0, IF(Audit[[#This Row],[Canceled Differences]]&lt;0, Audit[[#This Row],[Max Differences]]+ABS(Audit[[#This Row],[Canceled Differences]]), Audit[[#This Row],[Max Differences]]), 0)</f>
        <v>0</v>
      </c>
      <c r="AB2112" s="111">
        <f>'Sampling Data'!P2112</f>
        <v>1.224889759921607E-4</v>
      </c>
      <c r="AC2112" s="111">
        <f>IF(
      SUM(Audit[[#This Row],[Audit Losing Candidate]:[Audit Candidate 6]])
      &lt;&gt;0,
      (Audit[[#This Row],[Winning Candidate]]-Audit[[#This Row],[Losing Candidate]]-(Audit[[#This Row],[Audit Winning Candidate]]-Audit[[#This Row],[Audit Losing Candidate]]))/(Audit[[#Totals],[Winning Candidate]]-Audit[[#Totals],[Losing Candidate]]),
      0
)</f>
        <v>0</v>
      </c>
      <c r="AD211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2" s="111">
        <f>IF(Audit[[#This Row],[Max Relative Error (ep)]] = 0, 0, Audit[[#This Row],[Max Relative Error (ep)]]/Audit[[#This Row],[Error Bound (up) - Max. possible relative overstatement]])</f>
        <v>0</v>
      </c>
      <c r="AJ211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12" s="111">
        <f t="shared" si="32"/>
        <v>1</v>
      </c>
      <c r="AL2112" s="111">
        <f>PRODUCT($AK$5:AK2112)</f>
        <v>8.962823818226312E-2</v>
      </c>
      <c r="AM2112" s="109">
        <f>1 - [K-M P Value]</f>
        <v>0.91037176181773694</v>
      </c>
      <c r="AN2112" s="111" t="str">
        <f>IF(Audit[[#This Row],[K-M P Value]]&gt;1-'General Info'!$B$16,"Continue", "Stop")</f>
        <v>Stop</v>
      </c>
      <c r="AO2112" s="110" t="b">
        <f>IF(Audit[[#This Row],[Status - Continue or stop audit]] = "Continue", TRUE, IF(AN2111 = "Continue", TRUE, FALSE))</f>
        <v>0</v>
      </c>
      <c r="AP2112" s="110"/>
    </row>
    <row r="2113" spans="1:42" ht="15" hidden="1" customHeight="1">
      <c r="A2113" s="111" t="str">
        <f>'Sampling Data'!W2113</f>
        <v/>
      </c>
      <c r="B2113" s="112" t="str">
        <f>'Sampling Data'!A2113</f>
        <v>WARRENSVILLE HTS -07-A</v>
      </c>
      <c r="C2113" s="112">
        <f>'Sampling Data'!B2113</f>
        <v>3</v>
      </c>
      <c r="D2113" s="112">
        <f>'Sampling Data'!C2113</f>
        <v>1</v>
      </c>
      <c r="E2113" s="113">
        <f>'Sampling Data'!D2113</f>
        <v>2</v>
      </c>
      <c r="F2113" s="113">
        <f>'Sampling Data'!E2113</f>
        <v>0</v>
      </c>
      <c r="G2113" s="113">
        <f>'Sampling Data'!F2113</f>
        <v>0</v>
      </c>
      <c r="H2113" s="113">
        <f>'Sampling Data'!G2113</f>
        <v>1</v>
      </c>
      <c r="I2113" s="112">
        <f>'Sampling Data'!H2113</f>
        <v>0</v>
      </c>
      <c r="J2113" s="112">
        <f>'Sampling Data'!I2113</f>
        <v>0</v>
      </c>
      <c r="K2113" s="112">
        <f>'Sampling Data'!J2113</f>
        <v>7</v>
      </c>
      <c r="L2113" s="111">
        <f>'Sampling Data'!X2113</f>
        <v>0</v>
      </c>
      <c r="M2113" s="114"/>
      <c r="N2113" s="114"/>
      <c r="O2113" s="115"/>
      <c r="P2113" s="115"/>
      <c r="Q2113" s="116"/>
      <c r="R2113" s="116"/>
      <c r="S2113" s="111">
        <f>Audit[[#This Row],[Audit Losing Candidate]]-Audit[[#This Row],[Losing Candidate]]</f>
        <v>-3</v>
      </c>
      <c r="T2113" s="111">
        <f>Audit[[#This Row],[Audit Winning Candidate]]-Audit[[#This Row],[Winning Candidate]]</f>
        <v>-1</v>
      </c>
      <c r="U2113" s="111">
        <f>Audit[[#This Row],[Audit Candidate 3]]-Audit[[#This Row],[Candidate 3]]</f>
        <v>-2</v>
      </c>
      <c r="V2113" s="111">
        <f>Audit[[#This Row],[Audit Candidate 4]]-Audit[[#This Row],[Candidate 4]]</f>
        <v>0</v>
      </c>
      <c r="W2113" s="111">
        <f>Audit[[#This Row],[Audit Candidate 5]]-Audit[[#This Row],[Candidate 5]]</f>
        <v>0</v>
      </c>
      <c r="X2113" s="111">
        <f>Audit[[#This Row],[Audit Candidate 6]]-Audit[[#This Row],[Candidate 6]]</f>
        <v>-1</v>
      </c>
      <c r="Y2113" s="111">
        <f>SUMIF(Audit[[#This Row],[Difference Loser]:[Difference Candidate 6]], "&gt;0")</f>
        <v>0</v>
      </c>
      <c r="Z2113" s="111">
        <f>SUM(Audit[[#This Row],[Difference Loser]:[Difference Candidate 6]])</f>
        <v>-7</v>
      </c>
      <c r="AA2113" s="111">
        <f>IF(Audit[[#This Row],[Times p Drawn - With Replacement]]&gt;0, IF(Audit[[#This Row],[Canceled Differences]]&lt;0, Audit[[#This Row],[Max Differences]]+ABS(Audit[[#This Row],[Canceled Differences]]), Audit[[#This Row],[Max Differences]]), 0)</f>
        <v>0</v>
      </c>
      <c r="AB2113" s="111">
        <f>'Sampling Data'!P2113</f>
        <v>3.0622243998040176E-4</v>
      </c>
      <c r="AC2113" s="111">
        <f>IF(
      SUM(Audit[[#This Row],[Audit Losing Candidate]:[Audit Candidate 6]])
      &lt;&gt;0,
      (Audit[[#This Row],[Winning Candidate]]-Audit[[#This Row],[Losing Candidate]]-(Audit[[#This Row],[Audit Winning Candidate]]-Audit[[#This Row],[Audit Losing Candidate]]))/(Audit[[#Totals],[Winning Candidate]]-Audit[[#Totals],[Losing Candidate]]),
      0
)</f>
        <v>0</v>
      </c>
      <c r="AD211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3" s="111">
        <f>IF(Audit[[#This Row],[Max Relative Error (ep)]] = 0, 0, Audit[[#This Row],[Max Relative Error (ep)]]/Audit[[#This Row],[Error Bound (up) - Max. possible relative overstatement]])</f>
        <v>0</v>
      </c>
      <c r="AJ211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13" s="111">
        <f t="shared" si="32"/>
        <v>1</v>
      </c>
      <c r="AL2113" s="111">
        <f>PRODUCT($AK$5:AK2113)</f>
        <v>8.962823818226312E-2</v>
      </c>
      <c r="AM2113" s="109">
        <f>1 - [K-M P Value]</f>
        <v>0.91037176181773694</v>
      </c>
      <c r="AN2113" s="111" t="str">
        <f>IF(Audit[[#This Row],[K-M P Value]]&gt;1-'General Info'!$B$16,"Continue", "Stop")</f>
        <v>Stop</v>
      </c>
      <c r="AO2113" s="110" t="b">
        <f>IF(Audit[[#This Row],[Status - Continue or stop audit]] = "Continue", TRUE, IF(AN2112 = "Continue", TRUE, FALSE))</f>
        <v>0</v>
      </c>
      <c r="AP2113" s="110"/>
    </row>
    <row r="2114" spans="1:42" ht="15" hidden="1" customHeight="1">
      <c r="A2114" s="111" t="str">
        <f>'Sampling Data'!W2114</f>
        <v/>
      </c>
      <c r="B2114" s="112" t="str">
        <f>'Sampling Data'!A2114</f>
        <v>WARRENSVILLE HTS -07-A - ABS</v>
      </c>
      <c r="C2114" s="112">
        <f>'Sampling Data'!B2114</f>
        <v>2</v>
      </c>
      <c r="D2114" s="112">
        <f>'Sampling Data'!C2114</f>
        <v>0</v>
      </c>
      <c r="E2114" s="113">
        <f>'Sampling Data'!D2114</f>
        <v>0</v>
      </c>
      <c r="F2114" s="113">
        <f>'Sampling Data'!E2114</f>
        <v>0</v>
      </c>
      <c r="G2114" s="113">
        <f>'Sampling Data'!F2114</f>
        <v>1</v>
      </c>
      <c r="H2114" s="113">
        <f>'Sampling Data'!G2114</f>
        <v>0</v>
      </c>
      <c r="I2114" s="112">
        <f>'Sampling Data'!H2114</f>
        <v>0</v>
      </c>
      <c r="J2114" s="112">
        <f>'Sampling Data'!I2114</f>
        <v>0</v>
      </c>
      <c r="K2114" s="112">
        <f>'Sampling Data'!J2114</f>
        <v>3</v>
      </c>
      <c r="L2114" s="111">
        <f>'Sampling Data'!X2114</f>
        <v>0</v>
      </c>
      <c r="M2114" s="114"/>
      <c r="N2114" s="114"/>
      <c r="O2114" s="115"/>
      <c r="P2114" s="115"/>
      <c r="Q2114" s="116"/>
      <c r="R2114" s="116"/>
      <c r="S2114" s="111">
        <f>Audit[[#This Row],[Audit Losing Candidate]]-Audit[[#This Row],[Losing Candidate]]</f>
        <v>-2</v>
      </c>
      <c r="T2114" s="111">
        <f>Audit[[#This Row],[Audit Winning Candidate]]-Audit[[#This Row],[Winning Candidate]]</f>
        <v>0</v>
      </c>
      <c r="U2114" s="111">
        <f>Audit[[#This Row],[Audit Candidate 3]]-Audit[[#This Row],[Candidate 3]]</f>
        <v>0</v>
      </c>
      <c r="V2114" s="111">
        <f>Audit[[#This Row],[Audit Candidate 4]]-Audit[[#This Row],[Candidate 4]]</f>
        <v>0</v>
      </c>
      <c r="W2114" s="111">
        <f>Audit[[#This Row],[Audit Candidate 5]]-Audit[[#This Row],[Candidate 5]]</f>
        <v>-1</v>
      </c>
      <c r="X2114" s="111">
        <f>Audit[[#This Row],[Audit Candidate 6]]-Audit[[#This Row],[Candidate 6]]</f>
        <v>0</v>
      </c>
      <c r="Y2114" s="111">
        <f>SUMIF(Audit[[#This Row],[Difference Loser]:[Difference Candidate 6]], "&gt;0")</f>
        <v>0</v>
      </c>
      <c r="Z2114" s="111">
        <f>SUM(Audit[[#This Row],[Difference Loser]:[Difference Candidate 6]])</f>
        <v>-3</v>
      </c>
      <c r="AA2114" s="111">
        <f>IF(Audit[[#This Row],[Times p Drawn - With Replacement]]&gt;0, IF(Audit[[#This Row],[Canceled Differences]]&lt;0, Audit[[#This Row],[Max Differences]]+ABS(Audit[[#This Row],[Canceled Differences]]), Audit[[#This Row],[Max Differences]]), 0)</f>
        <v>0</v>
      </c>
      <c r="AB2114" s="111">
        <f>'Sampling Data'!P2114</f>
        <v>9.6783559699325743E-5</v>
      </c>
      <c r="AC2114" s="111">
        <f>IF(
      SUM(Audit[[#This Row],[Audit Losing Candidate]:[Audit Candidate 6]])
      &lt;&gt;0,
      (Audit[[#This Row],[Winning Candidate]]-Audit[[#This Row],[Losing Candidate]]-(Audit[[#This Row],[Audit Winning Candidate]]-Audit[[#This Row],[Audit Losing Candidate]]))/(Audit[[#Totals],[Winning Candidate]]-Audit[[#Totals],[Losing Candidate]]),
      0
)</f>
        <v>0</v>
      </c>
      <c r="AD211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4" s="111">
        <f>IF(Audit[[#This Row],[Max Relative Error (ep)]] = 0, 0, Audit[[#This Row],[Max Relative Error (ep)]]/Audit[[#This Row],[Error Bound (up) - Max. possible relative overstatement]])</f>
        <v>0</v>
      </c>
      <c r="AJ211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14" s="111">
        <f t="shared" si="32"/>
        <v>1</v>
      </c>
      <c r="AL2114" s="111">
        <f>PRODUCT($AK$5:AK2114)</f>
        <v>8.962823818226312E-2</v>
      </c>
      <c r="AM2114" s="109">
        <f>1 - [K-M P Value]</f>
        <v>0.91037176181773694</v>
      </c>
      <c r="AN2114" s="111" t="str">
        <f>IF(Audit[[#This Row],[K-M P Value]]&gt;1-'General Info'!$B$16,"Continue", "Stop")</f>
        <v>Stop</v>
      </c>
      <c r="AO2114" s="110" t="b">
        <f>IF(Audit[[#This Row],[Status - Continue or stop audit]] = "Continue", TRUE, IF(AN2113 = "Continue", TRUE, FALSE))</f>
        <v>0</v>
      </c>
      <c r="AP2114" s="110"/>
    </row>
    <row r="2115" spans="1:42" ht="15" hidden="1" customHeight="1">
      <c r="A2115" s="111" t="str">
        <f>'Sampling Data'!W2115</f>
        <v/>
      </c>
      <c r="B2115" s="112" t="str">
        <f>'Sampling Data'!A2115</f>
        <v>WARRENSVILLE HTS -07-B</v>
      </c>
      <c r="C2115" s="112">
        <f>'Sampling Data'!B2115</f>
        <v>0</v>
      </c>
      <c r="D2115" s="112">
        <f>'Sampling Data'!C2115</f>
        <v>0</v>
      </c>
      <c r="E2115" s="113">
        <f>'Sampling Data'!D2115</f>
        <v>0</v>
      </c>
      <c r="F2115" s="113">
        <f>'Sampling Data'!E2115</f>
        <v>0</v>
      </c>
      <c r="G2115" s="113">
        <f>'Sampling Data'!F2115</f>
        <v>0</v>
      </c>
      <c r="H2115" s="113">
        <f>'Sampling Data'!G2115</f>
        <v>0</v>
      </c>
      <c r="I2115" s="112">
        <f>'Sampling Data'!H2115</f>
        <v>0</v>
      </c>
      <c r="J2115" s="112">
        <f>'Sampling Data'!I2115</f>
        <v>0</v>
      </c>
      <c r="K2115" s="112">
        <f>'Sampling Data'!J2115</f>
        <v>0</v>
      </c>
      <c r="L2115" s="111">
        <f>'Sampling Data'!X2115</f>
        <v>0</v>
      </c>
      <c r="M2115" s="114"/>
      <c r="N2115" s="114"/>
      <c r="O2115" s="115"/>
      <c r="P2115" s="115"/>
      <c r="Q2115" s="116"/>
      <c r="R2115" s="116"/>
      <c r="S2115" s="111">
        <f>Audit[[#This Row],[Audit Losing Candidate]]-Audit[[#This Row],[Losing Candidate]]</f>
        <v>0</v>
      </c>
      <c r="T2115" s="111">
        <f>Audit[[#This Row],[Audit Winning Candidate]]-Audit[[#This Row],[Winning Candidate]]</f>
        <v>0</v>
      </c>
      <c r="U2115" s="111">
        <f>Audit[[#This Row],[Audit Candidate 3]]-Audit[[#This Row],[Candidate 3]]</f>
        <v>0</v>
      </c>
      <c r="V2115" s="111">
        <f>Audit[[#This Row],[Audit Candidate 4]]-Audit[[#This Row],[Candidate 4]]</f>
        <v>0</v>
      </c>
      <c r="W2115" s="111">
        <f>Audit[[#This Row],[Audit Candidate 5]]-Audit[[#This Row],[Candidate 5]]</f>
        <v>0</v>
      </c>
      <c r="X2115" s="111">
        <f>Audit[[#This Row],[Audit Candidate 6]]-Audit[[#This Row],[Candidate 6]]</f>
        <v>0</v>
      </c>
      <c r="Y2115" s="111">
        <f>SUMIF(Audit[[#This Row],[Difference Loser]:[Difference Candidate 6]], "&gt;0")</f>
        <v>0</v>
      </c>
      <c r="Z2115" s="111">
        <f>SUM(Audit[[#This Row],[Difference Loser]:[Difference Candidate 6]])</f>
        <v>0</v>
      </c>
      <c r="AA2115" s="111">
        <f>IF(Audit[[#This Row],[Times p Drawn - With Replacement]]&gt;0, IF(Audit[[#This Row],[Canceled Differences]]&lt;0, Audit[[#This Row],[Max Differences]]+ABS(Audit[[#This Row],[Canceled Differences]]), Audit[[#This Row],[Max Differences]]), 0)</f>
        <v>0</v>
      </c>
      <c r="AB2115" s="111">
        <f>'Sampling Data'!P2115</f>
        <v>0</v>
      </c>
      <c r="AC2115" s="111">
        <f>IF(
      SUM(Audit[[#This Row],[Audit Losing Candidate]:[Audit Candidate 6]])
      &lt;&gt;0,
      (Audit[[#This Row],[Winning Candidate]]-Audit[[#This Row],[Losing Candidate]]-(Audit[[#This Row],[Audit Winning Candidate]]-Audit[[#This Row],[Audit Losing Candidate]]))/(Audit[[#Totals],[Winning Candidate]]-Audit[[#Totals],[Losing Candidate]]),
      0
)</f>
        <v>0</v>
      </c>
      <c r="AD211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5" s="111">
        <f>IF(Audit[[#This Row],[Max Relative Error (ep)]] = 0, 0, Audit[[#This Row],[Max Relative Error (ep)]]/Audit[[#This Row],[Error Bound (up) - Max. possible relative overstatement]])</f>
        <v>0</v>
      </c>
      <c r="AJ211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15" s="111">
        <f t="shared" si="32"/>
        <v>1</v>
      </c>
      <c r="AL2115" s="111">
        <f>PRODUCT($AK$5:AK2115)</f>
        <v>8.962823818226312E-2</v>
      </c>
      <c r="AM2115" s="109">
        <f>1 - [K-M P Value]</f>
        <v>0.91037176181773694</v>
      </c>
      <c r="AN2115" s="111" t="str">
        <f>IF(Audit[[#This Row],[K-M P Value]]&gt;1-'General Info'!$B$16,"Continue", "Stop")</f>
        <v>Stop</v>
      </c>
      <c r="AO2115" s="110" t="b">
        <f>IF(Audit[[#This Row],[Status - Continue or stop audit]] = "Continue", TRUE, IF(AN2114 = "Continue", TRUE, FALSE))</f>
        <v>0</v>
      </c>
      <c r="AP2115" s="110"/>
    </row>
    <row r="2116" spans="1:42" ht="15" hidden="1" customHeight="1">
      <c r="A2116" s="111" t="str">
        <f>'Sampling Data'!W2116</f>
        <v/>
      </c>
      <c r="B2116" s="112" t="str">
        <f>'Sampling Data'!A2116</f>
        <v>WARRENSVILLE HTS -07-B - ABS</v>
      </c>
      <c r="C2116" s="112">
        <f>'Sampling Data'!B2116</f>
        <v>3</v>
      </c>
      <c r="D2116" s="112">
        <f>'Sampling Data'!C2116</f>
        <v>0</v>
      </c>
      <c r="E2116" s="113">
        <f>'Sampling Data'!D2116</f>
        <v>0</v>
      </c>
      <c r="F2116" s="113">
        <f>'Sampling Data'!E2116</f>
        <v>0</v>
      </c>
      <c r="G2116" s="113">
        <f>'Sampling Data'!F2116</f>
        <v>0</v>
      </c>
      <c r="H2116" s="113">
        <f>'Sampling Data'!G2116</f>
        <v>0</v>
      </c>
      <c r="I2116" s="112">
        <f>'Sampling Data'!H2116</f>
        <v>0</v>
      </c>
      <c r="J2116" s="112">
        <f>'Sampling Data'!I2116</f>
        <v>0</v>
      </c>
      <c r="K2116" s="112">
        <f>'Sampling Data'!J2116</f>
        <v>3</v>
      </c>
      <c r="L2116" s="111">
        <f>'Sampling Data'!X2116</f>
        <v>0</v>
      </c>
      <c r="M2116" s="114"/>
      <c r="N2116" s="114"/>
      <c r="O2116" s="115"/>
      <c r="P2116" s="115"/>
      <c r="Q2116" s="116"/>
      <c r="R2116" s="116"/>
      <c r="S2116" s="111">
        <f>Audit[[#This Row],[Audit Losing Candidate]]-Audit[[#This Row],[Losing Candidate]]</f>
        <v>-3</v>
      </c>
      <c r="T2116" s="111">
        <f>Audit[[#This Row],[Audit Winning Candidate]]-Audit[[#This Row],[Winning Candidate]]</f>
        <v>0</v>
      </c>
      <c r="U2116" s="111">
        <f>Audit[[#This Row],[Audit Candidate 3]]-Audit[[#This Row],[Candidate 3]]</f>
        <v>0</v>
      </c>
      <c r="V2116" s="111">
        <f>Audit[[#This Row],[Audit Candidate 4]]-Audit[[#This Row],[Candidate 4]]</f>
        <v>0</v>
      </c>
      <c r="W2116" s="111">
        <f>Audit[[#This Row],[Audit Candidate 5]]-Audit[[#This Row],[Candidate 5]]</f>
        <v>0</v>
      </c>
      <c r="X2116" s="111">
        <f>Audit[[#This Row],[Audit Candidate 6]]-Audit[[#This Row],[Candidate 6]]</f>
        <v>0</v>
      </c>
      <c r="Y2116" s="111">
        <f>SUMIF(Audit[[#This Row],[Difference Loser]:[Difference Candidate 6]], "&gt;0")</f>
        <v>0</v>
      </c>
      <c r="Z2116" s="111">
        <f>SUM(Audit[[#This Row],[Difference Loser]:[Difference Candidate 6]])</f>
        <v>-3</v>
      </c>
      <c r="AA2116" s="111">
        <f>IF(Audit[[#This Row],[Times p Drawn - With Replacement]]&gt;0, IF(Audit[[#This Row],[Canceled Differences]]&lt;0, Audit[[#This Row],[Max Differences]]+ABS(Audit[[#This Row],[Canceled Differences]]), Audit[[#This Row],[Max Differences]]), 0)</f>
        <v>0</v>
      </c>
      <c r="AB2116" s="111">
        <f>'Sampling Data'!P2116</f>
        <v>9.6783559699325743E-5</v>
      </c>
      <c r="AC2116" s="111">
        <f>IF(
      SUM(Audit[[#This Row],[Audit Losing Candidate]:[Audit Candidate 6]])
      &lt;&gt;0,
      (Audit[[#This Row],[Winning Candidate]]-Audit[[#This Row],[Losing Candidate]]-(Audit[[#This Row],[Audit Winning Candidate]]-Audit[[#This Row],[Audit Losing Candidate]]))/(Audit[[#Totals],[Winning Candidate]]-Audit[[#Totals],[Losing Candidate]]),
      0
)</f>
        <v>0</v>
      </c>
      <c r="AD211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6" s="111">
        <f>IF(Audit[[#This Row],[Max Relative Error (ep)]] = 0, 0, Audit[[#This Row],[Max Relative Error (ep)]]/Audit[[#This Row],[Error Bound (up) - Max. possible relative overstatement]])</f>
        <v>0</v>
      </c>
      <c r="AJ211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16" s="111">
        <f t="shared" si="32"/>
        <v>1</v>
      </c>
      <c r="AL2116" s="111">
        <f>PRODUCT($AK$5:AK2116)</f>
        <v>8.962823818226312E-2</v>
      </c>
      <c r="AM2116" s="109">
        <f>1 - [K-M P Value]</f>
        <v>0.91037176181773694</v>
      </c>
      <c r="AN2116" s="111" t="str">
        <f>IF(Audit[[#This Row],[K-M P Value]]&gt;1-'General Info'!$B$16,"Continue", "Stop")</f>
        <v>Stop</v>
      </c>
      <c r="AO2116" s="110" t="b">
        <f>IF(Audit[[#This Row],[Status - Continue or stop audit]] = "Continue", TRUE, IF(AN2115 = "Continue", TRUE, FALSE))</f>
        <v>0</v>
      </c>
      <c r="AP2116" s="110"/>
    </row>
    <row r="2117" spans="1:42" ht="15" hidden="1" customHeight="1">
      <c r="A2117" s="111" t="str">
        <f>'Sampling Data'!W2117</f>
        <v/>
      </c>
      <c r="B2117" s="112" t="str">
        <f>'Sampling Data'!A2117</f>
        <v>WESTLAKE -01-A</v>
      </c>
      <c r="C2117" s="112">
        <f>'Sampling Data'!B2117</f>
        <v>31</v>
      </c>
      <c r="D2117" s="112">
        <f>'Sampling Data'!C2117</f>
        <v>119</v>
      </c>
      <c r="E2117" s="113">
        <f>'Sampling Data'!D2117</f>
        <v>32</v>
      </c>
      <c r="F2117" s="113">
        <f>'Sampling Data'!E2117</f>
        <v>6</v>
      </c>
      <c r="G2117" s="113">
        <f>'Sampling Data'!F2117</f>
        <v>0</v>
      </c>
      <c r="H2117" s="113">
        <f>'Sampling Data'!G2117</f>
        <v>1</v>
      </c>
      <c r="I2117" s="112">
        <f>'Sampling Data'!H2117</f>
        <v>0</v>
      </c>
      <c r="J2117" s="112">
        <f>'Sampling Data'!I2117</f>
        <v>0</v>
      </c>
      <c r="K2117" s="112">
        <f>'Sampling Data'!J2117</f>
        <v>189</v>
      </c>
      <c r="L2117" s="111">
        <f>'Sampling Data'!X2117</f>
        <v>0</v>
      </c>
      <c r="M2117" s="114"/>
      <c r="N2117" s="114"/>
      <c r="O2117" s="115"/>
      <c r="P2117" s="115"/>
      <c r="Q2117" s="116"/>
      <c r="R2117" s="116"/>
      <c r="S2117" s="111">
        <f>Audit[[#This Row],[Audit Losing Candidate]]-Audit[[#This Row],[Losing Candidate]]</f>
        <v>-31</v>
      </c>
      <c r="T2117" s="111">
        <f>Audit[[#This Row],[Audit Winning Candidate]]-Audit[[#This Row],[Winning Candidate]]</f>
        <v>-119</v>
      </c>
      <c r="U2117" s="111">
        <f>Audit[[#This Row],[Audit Candidate 3]]-Audit[[#This Row],[Candidate 3]]</f>
        <v>-32</v>
      </c>
      <c r="V2117" s="111">
        <f>Audit[[#This Row],[Audit Candidate 4]]-Audit[[#This Row],[Candidate 4]]</f>
        <v>-6</v>
      </c>
      <c r="W2117" s="111">
        <f>Audit[[#This Row],[Audit Candidate 5]]-Audit[[#This Row],[Candidate 5]]</f>
        <v>0</v>
      </c>
      <c r="X2117" s="111">
        <f>Audit[[#This Row],[Audit Candidate 6]]-Audit[[#This Row],[Candidate 6]]</f>
        <v>-1</v>
      </c>
      <c r="Y2117" s="111">
        <f>SUMIF(Audit[[#This Row],[Difference Loser]:[Difference Candidate 6]], "&gt;0")</f>
        <v>0</v>
      </c>
      <c r="Z2117" s="111">
        <f>SUM(Audit[[#This Row],[Difference Loser]:[Difference Candidate 6]])</f>
        <v>-189</v>
      </c>
      <c r="AA2117" s="111">
        <f>IF(Audit[[#This Row],[Times p Drawn - With Replacement]]&gt;0, IF(Audit[[#This Row],[Canceled Differences]]&lt;0, Audit[[#This Row],[Max Differences]]+ABS(Audit[[#This Row],[Canceled Differences]]), Audit[[#This Row],[Max Differences]]), 0)</f>
        <v>0</v>
      </c>
      <c r="AB2117" s="111">
        <f>'Sampling Data'!P2117</f>
        <v>1.6964723174914258E-2</v>
      </c>
      <c r="AC2117" s="111">
        <f>IF(
      SUM(Audit[[#This Row],[Audit Losing Candidate]:[Audit Candidate 6]])
      &lt;&gt;0,
      (Audit[[#This Row],[Winning Candidate]]-Audit[[#This Row],[Losing Candidate]]-(Audit[[#This Row],[Audit Winning Candidate]]-Audit[[#This Row],[Audit Losing Candidate]]))/(Audit[[#Totals],[Winning Candidate]]-Audit[[#Totals],[Losing Candidate]]),
      0
)</f>
        <v>0</v>
      </c>
      <c r="AD211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7" s="111">
        <f>IF(Audit[[#This Row],[Max Relative Error (ep)]] = 0, 0, Audit[[#This Row],[Max Relative Error (ep)]]/Audit[[#This Row],[Error Bound (up) - Max. possible relative overstatement]])</f>
        <v>0</v>
      </c>
      <c r="AJ211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17" s="111">
        <f t="shared" ref="AK2117:AK2168" si="33">IF(ISERR(POWER(AJ2117,L2117)), 0, POWER(AJ2117,L2117))</f>
        <v>1</v>
      </c>
      <c r="AL2117" s="111">
        <f>PRODUCT($AK$5:AK2117)</f>
        <v>8.962823818226312E-2</v>
      </c>
      <c r="AM2117" s="109">
        <f>1 - [K-M P Value]</f>
        <v>0.91037176181773694</v>
      </c>
      <c r="AN2117" s="111" t="str">
        <f>IF(Audit[[#This Row],[K-M P Value]]&gt;1-'General Info'!$B$16,"Continue", "Stop")</f>
        <v>Stop</v>
      </c>
      <c r="AO2117" s="110" t="b">
        <f>IF(Audit[[#This Row],[Status - Continue or stop audit]] = "Continue", TRUE, IF(AN2116 = "Continue", TRUE, FALSE))</f>
        <v>0</v>
      </c>
      <c r="AP2117" s="110"/>
    </row>
    <row r="2118" spans="1:42" ht="15" hidden="1" customHeight="1">
      <c r="A2118" s="111" t="str">
        <f>'Sampling Data'!W2118</f>
        <v/>
      </c>
      <c r="B2118" s="112" t="str">
        <f>'Sampling Data'!A2118</f>
        <v>WESTLAKE -01-A - ABS</v>
      </c>
      <c r="C2118" s="112">
        <f>'Sampling Data'!B2118</f>
        <v>27</v>
      </c>
      <c r="D2118" s="112">
        <f>'Sampling Data'!C2118</f>
        <v>47</v>
      </c>
      <c r="E2118" s="113">
        <f>'Sampling Data'!D2118</f>
        <v>16</v>
      </c>
      <c r="F2118" s="113">
        <f>'Sampling Data'!E2118</f>
        <v>1</v>
      </c>
      <c r="G2118" s="113">
        <f>'Sampling Data'!F2118</f>
        <v>0</v>
      </c>
      <c r="H2118" s="113">
        <f>'Sampling Data'!G2118</f>
        <v>0</v>
      </c>
      <c r="I2118" s="112">
        <f>'Sampling Data'!H2118</f>
        <v>0</v>
      </c>
      <c r="J2118" s="112">
        <f>'Sampling Data'!I2118</f>
        <v>0</v>
      </c>
      <c r="K2118" s="112">
        <f>'Sampling Data'!J2118</f>
        <v>91</v>
      </c>
      <c r="L2118" s="111">
        <f>'Sampling Data'!X2118</f>
        <v>0</v>
      </c>
      <c r="M2118" s="114"/>
      <c r="N2118" s="114"/>
      <c r="O2118" s="115"/>
      <c r="P2118" s="115"/>
      <c r="Q2118" s="116"/>
      <c r="R2118" s="116"/>
      <c r="S2118" s="111">
        <f>Audit[[#This Row],[Audit Losing Candidate]]-Audit[[#This Row],[Losing Candidate]]</f>
        <v>-27</v>
      </c>
      <c r="T2118" s="111">
        <f>Audit[[#This Row],[Audit Winning Candidate]]-Audit[[#This Row],[Winning Candidate]]</f>
        <v>-47</v>
      </c>
      <c r="U2118" s="111">
        <f>Audit[[#This Row],[Audit Candidate 3]]-Audit[[#This Row],[Candidate 3]]</f>
        <v>-16</v>
      </c>
      <c r="V2118" s="111">
        <f>Audit[[#This Row],[Audit Candidate 4]]-Audit[[#This Row],[Candidate 4]]</f>
        <v>-1</v>
      </c>
      <c r="W2118" s="111">
        <f>Audit[[#This Row],[Audit Candidate 5]]-Audit[[#This Row],[Candidate 5]]</f>
        <v>0</v>
      </c>
      <c r="X2118" s="111">
        <f>Audit[[#This Row],[Audit Candidate 6]]-Audit[[#This Row],[Candidate 6]]</f>
        <v>0</v>
      </c>
      <c r="Y2118" s="111">
        <f>SUMIF(Audit[[#This Row],[Difference Loser]:[Difference Candidate 6]], "&gt;0")</f>
        <v>0</v>
      </c>
      <c r="Z2118" s="111">
        <f>SUM(Audit[[#This Row],[Difference Loser]:[Difference Candidate 6]])</f>
        <v>-91</v>
      </c>
      <c r="AA2118" s="111">
        <f>IF(Audit[[#This Row],[Times p Drawn - With Replacement]]&gt;0, IF(Audit[[#This Row],[Canceled Differences]]&lt;0, Audit[[#This Row],[Max Differences]]+ABS(Audit[[#This Row],[Canceled Differences]]), Audit[[#This Row],[Max Differences]]), 0)</f>
        <v>0</v>
      </c>
      <c r="AB2118" s="111">
        <f>'Sampling Data'!P2118</f>
        <v>6.798138167564919E-3</v>
      </c>
      <c r="AC2118" s="111">
        <f>IF(
      SUM(Audit[[#This Row],[Audit Losing Candidate]:[Audit Candidate 6]])
      &lt;&gt;0,
      (Audit[[#This Row],[Winning Candidate]]-Audit[[#This Row],[Losing Candidate]]-(Audit[[#This Row],[Audit Winning Candidate]]-Audit[[#This Row],[Audit Losing Candidate]]))/(Audit[[#Totals],[Winning Candidate]]-Audit[[#Totals],[Losing Candidate]]),
      0
)</f>
        <v>0</v>
      </c>
      <c r="AD211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8" s="111">
        <f>IF(Audit[[#This Row],[Max Relative Error (ep)]] = 0, 0, Audit[[#This Row],[Max Relative Error (ep)]]/Audit[[#This Row],[Error Bound (up) - Max. possible relative overstatement]])</f>
        <v>0</v>
      </c>
      <c r="AJ211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18" s="111">
        <f t="shared" si="33"/>
        <v>1</v>
      </c>
      <c r="AL2118" s="111">
        <f>PRODUCT($AK$5:AK2118)</f>
        <v>8.962823818226312E-2</v>
      </c>
      <c r="AM2118" s="109">
        <f>1 - [K-M P Value]</f>
        <v>0.91037176181773694</v>
      </c>
      <c r="AN2118" s="111" t="str">
        <f>IF(Audit[[#This Row],[K-M P Value]]&gt;1-'General Info'!$B$16,"Continue", "Stop")</f>
        <v>Stop</v>
      </c>
      <c r="AO2118" s="110" t="b">
        <f>IF(Audit[[#This Row],[Status - Continue or stop audit]] = "Continue", TRUE, IF(AN2117 = "Continue", TRUE, FALSE))</f>
        <v>0</v>
      </c>
      <c r="AP2118" s="110"/>
    </row>
    <row r="2119" spans="1:42" ht="15" hidden="1" customHeight="1">
      <c r="A2119" s="111" t="str">
        <f>'Sampling Data'!W2119</f>
        <v/>
      </c>
      <c r="B2119" s="112" t="str">
        <f>'Sampling Data'!A2119</f>
        <v>WESTLAKE -01-B</v>
      </c>
      <c r="C2119" s="112">
        <f>'Sampling Data'!B2119</f>
        <v>32</v>
      </c>
      <c r="D2119" s="112">
        <f>'Sampling Data'!C2119</f>
        <v>50</v>
      </c>
      <c r="E2119" s="113">
        <f>'Sampling Data'!D2119</f>
        <v>13</v>
      </c>
      <c r="F2119" s="113">
        <f>'Sampling Data'!E2119</f>
        <v>12</v>
      </c>
      <c r="G2119" s="113">
        <f>'Sampling Data'!F2119</f>
        <v>0</v>
      </c>
      <c r="H2119" s="113">
        <f>'Sampling Data'!G2119</f>
        <v>0</v>
      </c>
      <c r="I2119" s="112">
        <f>'Sampling Data'!H2119</f>
        <v>0</v>
      </c>
      <c r="J2119" s="112">
        <f>'Sampling Data'!I2119</f>
        <v>1</v>
      </c>
      <c r="K2119" s="112">
        <f>'Sampling Data'!J2119</f>
        <v>108</v>
      </c>
      <c r="L2119" s="111">
        <f>'Sampling Data'!X2119</f>
        <v>0</v>
      </c>
      <c r="M2119" s="114"/>
      <c r="N2119" s="114"/>
      <c r="O2119" s="115"/>
      <c r="P2119" s="115"/>
      <c r="Q2119" s="116"/>
      <c r="R2119" s="116"/>
      <c r="S2119" s="111">
        <f>Audit[[#This Row],[Audit Losing Candidate]]-Audit[[#This Row],[Losing Candidate]]</f>
        <v>-32</v>
      </c>
      <c r="T2119" s="111">
        <f>Audit[[#This Row],[Audit Winning Candidate]]-Audit[[#This Row],[Winning Candidate]]</f>
        <v>-50</v>
      </c>
      <c r="U2119" s="111">
        <f>Audit[[#This Row],[Audit Candidate 3]]-Audit[[#This Row],[Candidate 3]]</f>
        <v>-13</v>
      </c>
      <c r="V2119" s="111">
        <f>Audit[[#This Row],[Audit Candidate 4]]-Audit[[#This Row],[Candidate 4]]</f>
        <v>-12</v>
      </c>
      <c r="W2119" s="111">
        <f>Audit[[#This Row],[Audit Candidate 5]]-Audit[[#This Row],[Candidate 5]]</f>
        <v>0</v>
      </c>
      <c r="X2119" s="111">
        <f>Audit[[#This Row],[Audit Candidate 6]]-Audit[[#This Row],[Candidate 6]]</f>
        <v>0</v>
      </c>
      <c r="Y2119" s="111">
        <f>SUMIF(Audit[[#This Row],[Difference Loser]:[Difference Candidate 6]], "&gt;0")</f>
        <v>0</v>
      </c>
      <c r="Z2119" s="111">
        <f>SUM(Audit[[#This Row],[Difference Loser]:[Difference Candidate 6]])</f>
        <v>-107</v>
      </c>
      <c r="AA2119" s="111">
        <f>IF(Audit[[#This Row],[Times p Drawn - With Replacement]]&gt;0, IF(Audit[[#This Row],[Canceled Differences]]&lt;0, Audit[[#This Row],[Max Differences]]+ABS(Audit[[#This Row],[Canceled Differences]]), Audit[[#This Row],[Max Differences]]), 0)</f>
        <v>0</v>
      </c>
      <c r="AB2119" s="111">
        <f>'Sampling Data'!P2119</f>
        <v>7.7168054875061242E-3</v>
      </c>
      <c r="AC2119" s="111">
        <f>IF(
      SUM(Audit[[#This Row],[Audit Losing Candidate]:[Audit Candidate 6]])
      &lt;&gt;0,
      (Audit[[#This Row],[Winning Candidate]]-Audit[[#This Row],[Losing Candidate]]-(Audit[[#This Row],[Audit Winning Candidate]]-Audit[[#This Row],[Audit Losing Candidate]]))/(Audit[[#Totals],[Winning Candidate]]-Audit[[#Totals],[Losing Candidate]]),
      0
)</f>
        <v>0</v>
      </c>
      <c r="AD211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9" s="111">
        <f>IF(Audit[[#This Row],[Max Relative Error (ep)]] = 0, 0, Audit[[#This Row],[Max Relative Error (ep)]]/Audit[[#This Row],[Error Bound (up) - Max. possible relative overstatement]])</f>
        <v>0</v>
      </c>
      <c r="AJ211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19" s="111">
        <f t="shared" si="33"/>
        <v>1</v>
      </c>
      <c r="AL2119" s="111">
        <f>PRODUCT($AK$5:AK2119)</f>
        <v>8.962823818226312E-2</v>
      </c>
      <c r="AM2119" s="109">
        <f>1 - [K-M P Value]</f>
        <v>0.91037176181773694</v>
      </c>
      <c r="AN2119" s="111" t="str">
        <f>IF(Audit[[#This Row],[K-M P Value]]&gt;1-'General Info'!$B$16,"Continue", "Stop")</f>
        <v>Stop</v>
      </c>
      <c r="AO2119" s="110" t="b">
        <f>IF(Audit[[#This Row],[Status - Continue or stop audit]] = "Continue", TRUE, IF(AN2118 = "Continue", TRUE, FALSE))</f>
        <v>0</v>
      </c>
      <c r="AP2119" s="110"/>
    </row>
    <row r="2120" spans="1:42" ht="15" hidden="1" customHeight="1">
      <c r="A2120" s="111" t="str">
        <f>'Sampling Data'!W2120</f>
        <v/>
      </c>
      <c r="B2120" s="112" t="str">
        <f>'Sampling Data'!A2120</f>
        <v>WESTLAKE -01-B - ABS</v>
      </c>
      <c r="C2120" s="112">
        <f>'Sampling Data'!B2120</f>
        <v>7</v>
      </c>
      <c r="D2120" s="112">
        <f>'Sampling Data'!C2120</f>
        <v>19</v>
      </c>
      <c r="E2120" s="113">
        <f>'Sampling Data'!D2120</f>
        <v>6</v>
      </c>
      <c r="F2120" s="113">
        <f>'Sampling Data'!E2120</f>
        <v>2</v>
      </c>
      <c r="G2120" s="113">
        <f>'Sampling Data'!F2120</f>
        <v>0</v>
      </c>
      <c r="H2120" s="113">
        <f>'Sampling Data'!G2120</f>
        <v>0</v>
      </c>
      <c r="I2120" s="112">
        <f>'Sampling Data'!H2120</f>
        <v>0</v>
      </c>
      <c r="J2120" s="112">
        <f>'Sampling Data'!I2120</f>
        <v>0</v>
      </c>
      <c r="K2120" s="112">
        <f>'Sampling Data'!J2120</f>
        <v>34</v>
      </c>
      <c r="L2120" s="111">
        <f>'Sampling Data'!X2120</f>
        <v>0</v>
      </c>
      <c r="M2120" s="114"/>
      <c r="N2120" s="114"/>
      <c r="O2120" s="115"/>
      <c r="P2120" s="115"/>
      <c r="Q2120" s="116"/>
      <c r="R2120" s="116"/>
      <c r="S2120" s="111">
        <f>Audit[[#This Row],[Audit Losing Candidate]]-Audit[[#This Row],[Losing Candidate]]</f>
        <v>-7</v>
      </c>
      <c r="T2120" s="111">
        <f>Audit[[#This Row],[Audit Winning Candidate]]-Audit[[#This Row],[Winning Candidate]]</f>
        <v>-19</v>
      </c>
      <c r="U2120" s="111">
        <f>Audit[[#This Row],[Audit Candidate 3]]-Audit[[#This Row],[Candidate 3]]</f>
        <v>-6</v>
      </c>
      <c r="V2120" s="111">
        <f>Audit[[#This Row],[Audit Candidate 4]]-Audit[[#This Row],[Candidate 4]]</f>
        <v>-2</v>
      </c>
      <c r="W2120" s="111">
        <f>Audit[[#This Row],[Audit Candidate 5]]-Audit[[#This Row],[Candidate 5]]</f>
        <v>0</v>
      </c>
      <c r="X2120" s="111">
        <f>Audit[[#This Row],[Audit Candidate 6]]-Audit[[#This Row],[Candidate 6]]</f>
        <v>0</v>
      </c>
      <c r="Y2120" s="111">
        <f>SUMIF(Audit[[#This Row],[Difference Loser]:[Difference Candidate 6]], "&gt;0")</f>
        <v>0</v>
      </c>
      <c r="Z2120" s="111">
        <f>SUM(Audit[[#This Row],[Difference Loser]:[Difference Candidate 6]])</f>
        <v>-34</v>
      </c>
      <c r="AA2120" s="111">
        <f>IF(Audit[[#This Row],[Times p Drawn - With Replacement]]&gt;0, IF(Audit[[#This Row],[Canceled Differences]]&lt;0, Audit[[#This Row],[Max Differences]]+ABS(Audit[[#This Row],[Canceled Differences]]), Audit[[#This Row],[Max Differences]]), 0)</f>
        <v>0</v>
      </c>
      <c r="AB2120" s="111">
        <f>'Sampling Data'!P2120</f>
        <v>2.8172464478196961E-3</v>
      </c>
      <c r="AC2120" s="111">
        <f>IF(
      SUM(Audit[[#This Row],[Audit Losing Candidate]:[Audit Candidate 6]])
      &lt;&gt;0,
      (Audit[[#This Row],[Winning Candidate]]-Audit[[#This Row],[Losing Candidate]]-(Audit[[#This Row],[Audit Winning Candidate]]-Audit[[#This Row],[Audit Losing Candidate]]))/(Audit[[#Totals],[Winning Candidate]]-Audit[[#Totals],[Losing Candidate]]),
      0
)</f>
        <v>0</v>
      </c>
      <c r="AD212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0" s="111">
        <f>IF(Audit[[#This Row],[Max Relative Error (ep)]] = 0, 0, Audit[[#This Row],[Max Relative Error (ep)]]/Audit[[#This Row],[Error Bound (up) - Max. possible relative overstatement]])</f>
        <v>0</v>
      </c>
      <c r="AJ212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20" s="111">
        <f t="shared" si="33"/>
        <v>1</v>
      </c>
      <c r="AL2120" s="111">
        <f>PRODUCT($AK$5:AK2120)</f>
        <v>8.962823818226312E-2</v>
      </c>
      <c r="AM2120" s="109">
        <f>1 - [K-M P Value]</f>
        <v>0.91037176181773694</v>
      </c>
      <c r="AN2120" s="111" t="str">
        <f>IF(Audit[[#This Row],[K-M P Value]]&gt;1-'General Info'!$B$16,"Continue", "Stop")</f>
        <v>Stop</v>
      </c>
      <c r="AO2120" s="110" t="b">
        <f>IF(Audit[[#This Row],[Status - Continue or stop audit]] = "Continue", TRUE, IF(AN2119 = "Continue", TRUE, FALSE))</f>
        <v>0</v>
      </c>
      <c r="AP2120" s="110"/>
    </row>
    <row r="2121" spans="1:42" ht="15" hidden="1" customHeight="1">
      <c r="A2121" s="111" t="str">
        <f>'Sampling Data'!W2121</f>
        <v/>
      </c>
      <c r="B2121" s="112" t="str">
        <f>'Sampling Data'!A2121</f>
        <v>WESTLAKE -01-C</v>
      </c>
      <c r="C2121" s="112">
        <f>'Sampling Data'!B2121</f>
        <v>40</v>
      </c>
      <c r="D2121" s="112">
        <f>'Sampling Data'!C2121</f>
        <v>108</v>
      </c>
      <c r="E2121" s="113">
        <f>'Sampling Data'!D2121</f>
        <v>12</v>
      </c>
      <c r="F2121" s="113">
        <f>'Sampling Data'!E2121</f>
        <v>18</v>
      </c>
      <c r="G2121" s="113">
        <f>'Sampling Data'!F2121</f>
        <v>0</v>
      </c>
      <c r="H2121" s="113">
        <f>'Sampling Data'!G2121</f>
        <v>0</v>
      </c>
      <c r="I2121" s="112">
        <f>'Sampling Data'!H2121</f>
        <v>0</v>
      </c>
      <c r="J2121" s="112">
        <f>'Sampling Data'!I2121</f>
        <v>1</v>
      </c>
      <c r="K2121" s="112">
        <f>'Sampling Data'!J2121</f>
        <v>179</v>
      </c>
      <c r="L2121" s="111">
        <f>'Sampling Data'!X2121</f>
        <v>0</v>
      </c>
      <c r="M2121" s="114"/>
      <c r="N2121" s="114"/>
      <c r="O2121" s="115"/>
      <c r="P2121" s="115"/>
      <c r="Q2121" s="116"/>
      <c r="R2121" s="116"/>
      <c r="S2121" s="111">
        <f>Audit[[#This Row],[Audit Losing Candidate]]-Audit[[#This Row],[Losing Candidate]]</f>
        <v>-40</v>
      </c>
      <c r="T2121" s="111">
        <f>Audit[[#This Row],[Audit Winning Candidate]]-Audit[[#This Row],[Winning Candidate]]</f>
        <v>-108</v>
      </c>
      <c r="U2121" s="111">
        <f>Audit[[#This Row],[Audit Candidate 3]]-Audit[[#This Row],[Candidate 3]]</f>
        <v>-12</v>
      </c>
      <c r="V2121" s="111">
        <f>Audit[[#This Row],[Audit Candidate 4]]-Audit[[#This Row],[Candidate 4]]</f>
        <v>-18</v>
      </c>
      <c r="W2121" s="111">
        <f>Audit[[#This Row],[Audit Candidate 5]]-Audit[[#This Row],[Candidate 5]]</f>
        <v>0</v>
      </c>
      <c r="X2121" s="111">
        <f>Audit[[#This Row],[Audit Candidate 6]]-Audit[[#This Row],[Candidate 6]]</f>
        <v>0</v>
      </c>
      <c r="Y2121" s="111">
        <f>SUMIF(Audit[[#This Row],[Difference Loser]:[Difference Candidate 6]], "&gt;0")</f>
        <v>0</v>
      </c>
      <c r="Z2121" s="111">
        <f>SUM(Audit[[#This Row],[Difference Loser]:[Difference Candidate 6]])</f>
        <v>-178</v>
      </c>
      <c r="AA2121" s="111">
        <f>IF(Audit[[#This Row],[Times p Drawn - With Replacement]]&gt;0, IF(Audit[[#This Row],[Canceled Differences]]&lt;0, Audit[[#This Row],[Max Differences]]+ABS(Audit[[#This Row],[Canceled Differences]]), Audit[[#This Row],[Max Differences]]), 0)</f>
        <v>0</v>
      </c>
      <c r="AB2121" s="111">
        <f>'Sampling Data'!P2121</f>
        <v>1.5127388535031847E-2</v>
      </c>
      <c r="AC2121" s="111">
        <f>IF(
      SUM(Audit[[#This Row],[Audit Losing Candidate]:[Audit Candidate 6]])
      &lt;&gt;0,
      (Audit[[#This Row],[Winning Candidate]]-Audit[[#This Row],[Losing Candidate]]-(Audit[[#This Row],[Audit Winning Candidate]]-Audit[[#This Row],[Audit Losing Candidate]]))/(Audit[[#Totals],[Winning Candidate]]-Audit[[#Totals],[Losing Candidate]]),
      0
)</f>
        <v>0</v>
      </c>
      <c r="AD212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1" s="111">
        <f>IF(Audit[[#This Row],[Max Relative Error (ep)]] = 0, 0, Audit[[#This Row],[Max Relative Error (ep)]]/Audit[[#This Row],[Error Bound (up) - Max. possible relative overstatement]])</f>
        <v>0</v>
      </c>
      <c r="AJ212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21" s="111">
        <f t="shared" si="33"/>
        <v>1</v>
      </c>
      <c r="AL2121" s="111">
        <f>PRODUCT($AK$5:AK2121)</f>
        <v>8.962823818226312E-2</v>
      </c>
      <c r="AM2121" s="109">
        <f>1 - [K-M P Value]</f>
        <v>0.91037176181773694</v>
      </c>
      <c r="AN2121" s="111" t="str">
        <f>IF(Audit[[#This Row],[K-M P Value]]&gt;1-'General Info'!$B$16,"Continue", "Stop")</f>
        <v>Stop</v>
      </c>
      <c r="AO2121" s="110" t="b">
        <f>IF(Audit[[#This Row],[Status - Continue or stop audit]] = "Continue", TRUE, IF(AN2120 = "Continue", TRUE, FALSE))</f>
        <v>0</v>
      </c>
      <c r="AP2121" s="110"/>
    </row>
    <row r="2122" spans="1:42" ht="15" hidden="1" customHeight="1">
      <c r="A2122" s="111" t="str">
        <f>'Sampling Data'!W2122</f>
        <v/>
      </c>
      <c r="B2122" s="112" t="str">
        <f>'Sampling Data'!A2122</f>
        <v>WESTLAKE -01-C - ABS</v>
      </c>
      <c r="C2122" s="112">
        <f>'Sampling Data'!B2122</f>
        <v>34</v>
      </c>
      <c r="D2122" s="112">
        <f>'Sampling Data'!C2122</f>
        <v>54</v>
      </c>
      <c r="E2122" s="113">
        <f>'Sampling Data'!D2122</f>
        <v>14</v>
      </c>
      <c r="F2122" s="113">
        <f>'Sampling Data'!E2122</f>
        <v>2</v>
      </c>
      <c r="G2122" s="113">
        <f>'Sampling Data'!F2122</f>
        <v>0</v>
      </c>
      <c r="H2122" s="113">
        <f>'Sampling Data'!G2122</f>
        <v>1</v>
      </c>
      <c r="I2122" s="112">
        <f>'Sampling Data'!H2122</f>
        <v>0</v>
      </c>
      <c r="J2122" s="112">
        <f>'Sampling Data'!I2122</f>
        <v>2</v>
      </c>
      <c r="K2122" s="112">
        <f>'Sampling Data'!J2122</f>
        <v>107</v>
      </c>
      <c r="L2122" s="111">
        <f>'Sampling Data'!X2122</f>
        <v>0</v>
      </c>
      <c r="M2122" s="114"/>
      <c r="N2122" s="114"/>
      <c r="O2122" s="115"/>
      <c r="P2122" s="115"/>
      <c r="Q2122" s="116"/>
      <c r="R2122" s="116"/>
      <c r="S2122" s="111">
        <f>Audit[[#This Row],[Audit Losing Candidate]]-Audit[[#This Row],[Losing Candidate]]</f>
        <v>-34</v>
      </c>
      <c r="T2122" s="111">
        <f>Audit[[#This Row],[Audit Winning Candidate]]-Audit[[#This Row],[Winning Candidate]]</f>
        <v>-54</v>
      </c>
      <c r="U2122" s="111">
        <f>Audit[[#This Row],[Audit Candidate 3]]-Audit[[#This Row],[Candidate 3]]</f>
        <v>-14</v>
      </c>
      <c r="V2122" s="111">
        <f>Audit[[#This Row],[Audit Candidate 4]]-Audit[[#This Row],[Candidate 4]]</f>
        <v>-2</v>
      </c>
      <c r="W2122" s="111">
        <f>Audit[[#This Row],[Audit Candidate 5]]-Audit[[#This Row],[Candidate 5]]</f>
        <v>0</v>
      </c>
      <c r="X2122" s="111">
        <f>Audit[[#This Row],[Audit Candidate 6]]-Audit[[#This Row],[Candidate 6]]</f>
        <v>-1</v>
      </c>
      <c r="Y2122" s="111">
        <f>SUMIF(Audit[[#This Row],[Difference Loser]:[Difference Candidate 6]], "&gt;0")</f>
        <v>0</v>
      </c>
      <c r="Z2122" s="111">
        <f>SUM(Audit[[#This Row],[Difference Loser]:[Difference Candidate 6]])</f>
        <v>-105</v>
      </c>
      <c r="AA2122" s="111">
        <f>IF(Audit[[#This Row],[Times p Drawn - With Replacement]]&gt;0, IF(Audit[[#This Row],[Canceled Differences]]&lt;0, Audit[[#This Row],[Max Differences]]+ABS(Audit[[#This Row],[Canceled Differences]]), Audit[[#This Row],[Max Differences]]), 0)</f>
        <v>0</v>
      </c>
      <c r="AB2122" s="111">
        <f>'Sampling Data'!P2122</f>
        <v>7.7780499755022046E-3</v>
      </c>
      <c r="AC2122" s="111">
        <f>IF(
      SUM(Audit[[#This Row],[Audit Losing Candidate]:[Audit Candidate 6]])
      &lt;&gt;0,
      (Audit[[#This Row],[Winning Candidate]]-Audit[[#This Row],[Losing Candidate]]-(Audit[[#This Row],[Audit Winning Candidate]]-Audit[[#This Row],[Audit Losing Candidate]]))/(Audit[[#Totals],[Winning Candidate]]-Audit[[#Totals],[Losing Candidate]]),
      0
)</f>
        <v>0</v>
      </c>
      <c r="AD212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2" s="111">
        <f>IF(Audit[[#This Row],[Max Relative Error (ep)]] = 0, 0, Audit[[#This Row],[Max Relative Error (ep)]]/Audit[[#This Row],[Error Bound (up) - Max. possible relative overstatement]])</f>
        <v>0</v>
      </c>
      <c r="AJ212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22" s="111">
        <f t="shared" si="33"/>
        <v>1</v>
      </c>
      <c r="AL2122" s="111">
        <f>PRODUCT($AK$5:AK2122)</f>
        <v>8.962823818226312E-2</v>
      </c>
      <c r="AM2122" s="109">
        <f>1 - [K-M P Value]</f>
        <v>0.91037176181773694</v>
      </c>
      <c r="AN2122" s="111" t="str">
        <f>IF(Audit[[#This Row],[K-M P Value]]&gt;1-'General Info'!$B$16,"Continue", "Stop")</f>
        <v>Stop</v>
      </c>
      <c r="AO2122" s="110" t="b">
        <f>IF(Audit[[#This Row],[Status - Continue or stop audit]] = "Continue", TRUE, IF(AN2121 = "Continue", TRUE, FALSE))</f>
        <v>0</v>
      </c>
      <c r="AP2122" s="110"/>
    </row>
    <row r="2123" spans="1:42" ht="15" hidden="1" customHeight="1">
      <c r="A2123" s="111" t="str">
        <f>'Sampling Data'!W2123</f>
        <v/>
      </c>
      <c r="B2123" s="112" t="str">
        <f>'Sampling Data'!A2123</f>
        <v>WESTLAKE -01-D</v>
      </c>
      <c r="C2123" s="112">
        <f>'Sampling Data'!B2123</f>
        <v>36</v>
      </c>
      <c r="D2123" s="112">
        <f>'Sampling Data'!C2123</f>
        <v>49</v>
      </c>
      <c r="E2123" s="113">
        <f>'Sampling Data'!D2123</f>
        <v>14</v>
      </c>
      <c r="F2123" s="113">
        <f>'Sampling Data'!E2123</f>
        <v>9</v>
      </c>
      <c r="G2123" s="113">
        <f>'Sampling Data'!F2123</f>
        <v>0</v>
      </c>
      <c r="H2123" s="113">
        <f>'Sampling Data'!G2123</f>
        <v>0</v>
      </c>
      <c r="I2123" s="112">
        <f>'Sampling Data'!H2123</f>
        <v>0</v>
      </c>
      <c r="J2123" s="112">
        <f>'Sampling Data'!I2123</f>
        <v>2</v>
      </c>
      <c r="K2123" s="112">
        <f>'Sampling Data'!J2123</f>
        <v>110</v>
      </c>
      <c r="L2123" s="111">
        <f>'Sampling Data'!X2123</f>
        <v>0</v>
      </c>
      <c r="M2123" s="114"/>
      <c r="N2123" s="114"/>
      <c r="O2123" s="115"/>
      <c r="P2123" s="115"/>
      <c r="Q2123" s="116"/>
      <c r="R2123" s="116"/>
      <c r="S2123" s="111">
        <f>Audit[[#This Row],[Audit Losing Candidate]]-Audit[[#This Row],[Losing Candidate]]</f>
        <v>-36</v>
      </c>
      <c r="T2123" s="111">
        <f>Audit[[#This Row],[Audit Winning Candidate]]-Audit[[#This Row],[Winning Candidate]]</f>
        <v>-49</v>
      </c>
      <c r="U2123" s="111">
        <f>Audit[[#This Row],[Audit Candidate 3]]-Audit[[#This Row],[Candidate 3]]</f>
        <v>-14</v>
      </c>
      <c r="V2123" s="111">
        <f>Audit[[#This Row],[Audit Candidate 4]]-Audit[[#This Row],[Candidate 4]]</f>
        <v>-9</v>
      </c>
      <c r="W2123" s="111">
        <f>Audit[[#This Row],[Audit Candidate 5]]-Audit[[#This Row],[Candidate 5]]</f>
        <v>0</v>
      </c>
      <c r="X2123" s="111">
        <f>Audit[[#This Row],[Audit Candidate 6]]-Audit[[#This Row],[Candidate 6]]</f>
        <v>0</v>
      </c>
      <c r="Y2123" s="111">
        <f>SUMIF(Audit[[#This Row],[Difference Loser]:[Difference Candidate 6]], "&gt;0")</f>
        <v>0</v>
      </c>
      <c r="Z2123" s="111">
        <f>SUM(Audit[[#This Row],[Difference Loser]:[Difference Candidate 6]])</f>
        <v>-108</v>
      </c>
      <c r="AA2123" s="111">
        <f>IF(Audit[[#This Row],[Times p Drawn - With Replacement]]&gt;0, IF(Audit[[#This Row],[Canceled Differences]]&lt;0, Audit[[#This Row],[Max Differences]]+ABS(Audit[[#This Row],[Canceled Differences]]), Audit[[#This Row],[Max Differences]]), 0)</f>
        <v>0</v>
      </c>
      <c r="AB2123" s="111">
        <f>'Sampling Data'!P2123</f>
        <v>7.533072023517883E-3</v>
      </c>
      <c r="AC2123" s="111">
        <f>IF(
      SUM(Audit[[#This Row],[Audit Losing Candidate]:[Audit Candidate 6]])
      &lt;&gt;0,
      (Audit[[#This Row],[Winning Candidate]]-Audit[[#This Row],[Losing Candidate]]-(Audit[[#This Row],[Audit Winning Candidate]]-Audit[[#This Row],[Audit Losing Candidate]]))/(Audit[[#Totals],[Winning Candidate]]-Audit[[#Totals],[Losing Candidate]]),
      0
)</f>
        <v>0</v>
      </c>
      <c r="AD212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3" s="111">
        <f>IF(Audit[[#This Row],[Max Relative Error (ep)]] = 0, 0, Audit[[#This Row],[Max Relative Error (ep)]]/Audit[[#This Row],[Error Bound (up) - Max. possible relative overstatement]])</f>
        <v>0</v>
      </c>
      <c r="AJ212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23" s="111">
        <f t="shared" si="33"/>
        <v>1</v>
      </c>
      <c r="AL2123" s="111">
        <f>PRODUCT($AK$5:AK2123)</f>
        <v>8.962823818226312E-2</v>
      </c>
      <c r="AM2123" s="109">
        <f>1 - [K-M P Value]</f>
        <v>0.91037176181773694</v>
      </c>
      <c r="AN2123" s="111" t="str">
        <f>IF(Audit[[#This Row],[K-M P Value]]&gt;1-'General Info'!$B$16,"Continue", "Stop")</f>
        <v>Stop</v>
      </c>
      <c r="AO2123" s="110" t="b">
        <f>IF(Audit[[#This Row],[Status - Continue or stop audit]] = "Continue", TRUE, IF(AN2122 = "Continue", TRUE, FALSE))</f>
        <v>0</v>
      </c>
      <c r="AP2123" s="110"/>
    </row>
    <row r="2124" spans="1:42" ht="15" hidden="1" customHeight="1">
      <c r="A2124" s="111" t="str">
        <f>'Sampling Data'!W2124</f>
        <v/>
      </c>
      <c r="B2124" s="112" t="str">
        <f>'Sampling Data'!A2124</f>
        <v>WESTLAKE -01-D - ABS</v>
      </c>
      <c r="C2124" s="112">
        <f>'Sampling Data'!B2124</f>
        <v>18</v>
      </c>
      <c r="D2124" s="112">
        <f>'Sampling Data'!C2124</f>
        <v>43</v>
      </c>
      <c r="E2124" s="113">
        <f>'Sampling Data'!D2124</f>
        <v>6</v>
      </c>
      <c r="F2124" s="113">
        <f>'Sampling Data'!E2124</f>
        <v>1</v>
      </c>
      <c r="G2124" s="113">
        <f>'Sampling Data'!F2124</f>
        <v>0</v>
      </c>
      <c r="H2124" s="113">
        <f>'Sampling Data'!G2124</f>
        <v>0</v>
      </c>
      <c r="I2124" s="112">
        <f>'Sampling Data'!H2124</f>
        <v>0</v>
      </c>
      <c r="J2124" s="112">
        <f>'Sampling Data'!I2124</f>
        <v>0</v>
      </c>
      <c r="K2124" s="112">
        <f>'Sampling Data'!J2124</f>
        <v>68</v>
      </c>
      <c r="L2124" s="111">
        <f>'Sampling Data'!X2124</f>
        <v>0</v>
      </c>
      <c r="M2124" s="114"/>
      <c r="N2124" s="114"/>
      <c r="O2124" s="115"/>
      <c r="P2124" s="115"/>
      <c r="Q2124" s="116"/>
      <c r="R2124" s="116"/>
      <c r="S2124" s="111">
        <f>Audit[[#This Row],[Audit Losing Candidate]]-Audit[[#This Row],[Losing Candidate]]</f>
        <v>-18</v>
      </c>
      <c r="T2124" s="111">
        <f>Audit[[#This Row],[Audit Winning Candidate]]-Audit[[#This Row],[Winning Candidate]]</f>
        <v>-43</v>
      </c>
      <c r="U2124" s="111">
        <f>Audit[[#This Row],[Audit Candidate 3]]-Audit[[#This Row],[Candidate 3]]</f>
        <v>-6</v>
      </c>
      <c r="V2124" s="111">
        <f>Audit[[#This Row],[Audit Candidate 4]]-Audit[[#This Row],[Candidate 4]]</f>
        <v>-1</v>
      </c>
      <c r="W2124" s="111">
        <f>Audit[[#This Row],[Audit Candidate 5]]-Audit[[#This Row],[Candidate 5]]</f>
        <v>0</v>
      </c>
      <c r="X2124" s="111">
        <f>Audit[[#This Row],[Audit Candidate 6]]-Audit[[#This Row],[Candidate 6]]</f>
        <v>0</v>
      </c>
      <c r="Y2124" s="111">
        <f>SUMIF(Audit[[#This Row],[Difference Loser]:[Difference Candidate 6]], "&gt;0")</f>
        <v>0</v>
      </c>
      <c r="Z2124" s="111">
        <f>SUM(Audit[[#This Row],[Difference Loser]:[Difference Candidate 6]])</f>
        <v>-68</v>
      </c>
      <c r="AA2124" s="111">
        <f>IF(Audit[[#This Row],[Times p Drawn - With Replacement]]&gt;0, IF(Audit[[#This Row],[Canceled Differences]]&lt;0, Audit[[#This Row],[Max Differences]]+ABS(Audit[[#This Row],[Canceled Differences]]), Audit[[#This Row],[Max Differences]]), 0)</f>
        <v>0</v>
      </c>
      <c r="AB2124" s="111">
        <f>'Sampling Data'!P2124</f>
        <v>5.6957373836354725E-3</v>
      </c>
      <c r="AC2124" s="111">
        <f>IF(
      SUM(Audit[[#This Row],[Audit Losing Candidate]:[Audit Candidate 6]])
      &lt;&gt;0,
      (Audit[[#This Row],[Winning Candidate]]-Audit[[#This Row],[Losing Candidate]]-(Audit[[#This Row],[Audit Winning Candidate]]-Audit[[#This Row],[Audit Losing Candidate]]))/(Audit[[#Totals],[Winning Candidate]]-Audit[[#Totals],[Losing Candidate]]),
      0
)</f>
        <v>0</v>
      </c>
      <c r="AD212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4" s="111">
        <f>IF(Audit[[#This Row],[Max Relative Error (ep)]] = 0, 0, Audit[[#This Row],[Max Relative Error (ep)]]/Audit[[#This Row],[Error Bound (up) - Max. possible relative overstatement]])</f>
        <v>0</v>
      </c>
      <c r="AJ212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24" s="111">
        <f t="shared" si="33"/>
        <v>1</v>
      </c>
      <c r="AL2124" s="111">
        <f>PRODUCT($AK$5:AK2124)</f>
        <v>8.962823818226312E-2</v>
      </c>
      <c r="AM2124" s="109">
        <f>1 - [K-M P Value]</f>
        <v>0.91037176181773694</v>
      </c>
      <c r="AN2124" s="111" t="str">
        <f>IF(Audit[[#This Row],[K-M P Value]]&gt;1-'General Info'!$B$16,"Continue", "Stop")</f>
        <v>Stop</v>
      </c>
      <c r="AO2124" s="110" t="b">
        <f>IF(Audit[[#This Row],[Status - Continue or stop audit]] = "Continue", TRUE, IF(AN2123 = "Continue", TRUE, FALSE))</f>
        <v>0</v>
      </c>
      <c r="AP2124" s="110"/>
    </row>
    <row r="2125" spans="1:42" ht="15" hidden="1" customHeight="1">
      <c r="A2125" s="111" t="str">
        <f>'Sampling Data'!W2125</f>
        <v/>
      </c>
      <c r="B2125" s="112" t="str">
        <f>'Sampling Data'!A2125</f>
        <v>WESTLAKE -02-A</v>
      </c>
      <c r="C2125" s="112">
        <f>'Sampling Data'!B2125</f>
        <v>31</v>
      </c>
      <c r="D2125" s="112">
        <f>'Sampling Data'!C2125</f>
        <v>78</v>
      </c>
      <c r="E2125" s="113">
        <f>'Sampling Data'!D2125</f>
        <v>13</v>
      </c>
      <c r="F2125" s="113">
        <f>'Sampling Data'!E2125</f>
        <v>5</v>
      </c>
      <c r="G2125" s="113">
        <f>'Sampling Data'!F2125</f>
        <v>0</v>
      </c>
      <c r="H2125" s="113">
        <f>'Sampling Data'!G2125</f>
        <v>0</v>
      </c>
      <c r="I2125" s="112">
        <f>'Sampling Data'!H2125</f>
        <v>0</v>
      </c>
      <c r="J2125" s="112">
        <f>'Sampling Data'!I2125</f>
        <v>1</v>
      </c>
      <c r="K2125" s="112">
        <f>'Sampling Data'!J2125</f>
        <v>128</v>
      </c>
      <c r="L2125" s="111">
        <f>'Sampling Data'!X2125</f>
        <v>0</v>
      </c>
      <c r="M2125" s="114"/>
      <c r="N2125" s="114"/>
      <c r="O2125" s="115"/>
      <c r="P2125" s="115"/>
      <c r="Q2125" s="116"/>
      <c r="R2125" s="116"/>
      <c r="S2125" s="111">
        <f>Audit[[#This Row],[Audit Losing Candidate]]-Audit[[#This Row],[Losing Candidate]]</f>
        <v>-31</v>
      </c>
      <c r="T2125" s="111">
        <f>Audit[[#This Row],[Audit Winning Candidate]]-Audit[[#This Row],[Winning Candidate]]</f>
        <v>-78</v>
      </c>
      <c r="U2125" s="111">
        <f>Audit[[#This Row],[Audit Candidate 3]]-Audit[[#This Row],[Candidate 3]]</f>
        <v>-13</v>
      </c>
      <c r="V2125" s="111">
        <f>Audit[[#This Row],[Audit Candidate 4]]-Audit[[#This Row],[Candidate 4]]</f>
        <v>-5</v>
      </c>
      <c r="W2125" s="111">
        <f>Audit[[#This Row],[Audit Candidate 5]]-Audit[[#This Row],[Candidate 5]]</f>
        <v>0</v>
      </c>
      <c r="X2125" s="111">
        <f>Audit[[#This Row],[Audit Candidate 6]]-Audit[[#This Row],[Candidate 6]]</f>
        <v>0</v>
      </c>
      <c r="Y2125" s="111">
        <f>SUMIF(Audit[[#This Row],[Difference Loser]:[Difference Candidate 6]], "&gt;0")</f>
        <v>0</v>
      </c>
      <c r="Z2125" s="111">
        <f>SUM(Audit[[#This Row],[Difference Loser]:[Difference Candidate 6]])</f>
        <v>-127</v>
      </c>
      <c r="AA2125" s="111">
        <f>IF(Audit[[#This Row],[Times p Drawn - With Replacement]]&gt;0, IF(Audit[[#This Row],[Canceled Differences]]&lt;0, Audit[[#This Row],[Max Differences]]+ABS(Audit[[#This Row],[Canceled Differences]]), Audit[[#This Row],[Max Differences]]), 0)</f>
        <v>0</v>
      </c>
      <c r="AB2125" s="111">
        <f>'Sampling Data'!P2125</f>
        <v>1.0717785399314061E-2</v>
      </c>
      <c r="AC2125" s="111">
        <f>IF(
      SUM(Audit[[#This Row],[Audit Losing Candidate]:[Audit Candidate 6]])
      &lt;&gt;0,
      (Audit[[#This Row],[Winning Candidate]]-Audit[[#This Row],[Losing Candidate]]-(Audit[[#This Row],[Audit Winning Candidate]]-Audit[[#This Row],[Audit Losing Candidate]]))/(Audit[[#Totals],[Winning Candidate]]-Audit[[#Totals],[Losing Candidate]]),
      0
)</f>
        <v>0</v>
      </c>
      <c r="AD212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5" s="111">
        <f>IF(Audit[[#This Row],[Max Relative Error (ep)]] = 0, 0, Audit[[#This Row],[Max Relative Error (ep)]]/Audit[[#This Row],[Error Bound (up) - Max. possible relative overstatement]])</f>
        <v>0</v>
      </c>
      <c r="AJ212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25" s="111">
        <f t="shared" si="33"/>
        <v>1</v>
      </c>
      <c r="AL2125" s="111">
        <f>PRODUCT($AK$5:AK2125)</f>
        <v>8.962823818226312E-2</v>
      </c>
      <c r="AM2125" s="109">
        <f>1 - [K-M P Value]</f>
        <v>0.91037176181773694</v>
      </c>
      <c r="AN2125" s="111" t="str">
        <f>IF(Audit[[#This Row],[K-M P Value]]&gt;1-'General Info'!$B$16,"Continue", "Stop")</f>
        <v>Stop</v>
      </c>
      <c r="AO2125" s="110" t="b">
        <f>IF(Audit[[#This Row],[Status - Continue or stop audit]] = "Continue", TRUE, IF(AN2124 = "Continue", TRUE, FALSE))</f>
        <v>0</v>
      </c>
      <c r="AP2125" s="110"/>
    </row>
    <row r="2126" spans="1:42" ht="15" hidden="1" customHeight="1">
      <c r="A2126" s="111" t="str">
        <f>'Sampling Data'!W2126</f>
        <v/>
      </c>
      <c r="B2126" s="112" t="str">
        <f>'Sampling Data'!A2126</f>
        <v>WESTLAKE -02-A - ABS</v>
      </c>
      <c r="C2126" s="112">
        <f>'Sampling Data'!B2126</f>
        <v>18</v>
      </c>
      <c r="D2126" s="112">
        <f>'Sampling Data'!C2126</f>
        <v>47</v>
      </c>
      <c r="E2126" s="113">
        <f>'Sampling Data'!D2126</f>
        <v>9</v>
      </c>
      <c r="F2126" s="113">
        <f>'Sampling Data'!E2126</f>
        <v>4</v>
      </c>
      <c r="G2126" s="113">
        <f>'Sampling Data'!F2126</f>
        <v>1</v>
      </c>
      <c r="H2126" s="113">
        <f>'Sampling Data'!G2126</f>
        <v>0</v>
      </c>
      <c r="I2126" s="112">
        <f>'Sampling Data'!H2126</f>
        <v>0</v>
      </c>
      <c r="J2126" s="112">
        <f>'Sampling Data'!I2126</f>
        <v>0</v>
      </c>
      <c r="K2126" s="112">
        <f>'Sampling Data'!J2126</f>
        <v>79</v>
      </c>
      <c r="L2126" s="111">
        <f>'Sampling Data'!X2126</f>
        <v>0</v>
      </c>
      <c r="M2126" s="114"/>
      <c r="N2126" s="114"/>
      <c r="O2126" s="115"/>
      <c r="P2126" s="115"/>
      <c r="Q2126" s="116"/>
      <c r="R2126" s="116"/>
      <c r="S2126" s="111">
        <f>Audit[[#This Row],[Audit Losing Candidate]]-Audit[[#This Row],[Losing Candidate]]</f>
        <v>-18</v>
      </c>
      <c r="T2126" s="111">
        <f>Audit[[#This Row],[Audit Winning Candidate]]-Audit[[#This Row],[Winning Candidate]]</f>
        <v>-47</v>
      </c>
      <c r="U2126" s="111">
        <f>Audit[[#This Row],[Audit Candidate 3]]-Audit[[#This Row],[Candidate 3]]</f>
        <v>-9</v>
      </c>
      <c r="V2126" s="111">
        <f>Audit[[#This Row],[Audit Candidate 4]]-Audit[[#This Row],[Candidate 4]]</f>
        <v>-4</v>
      </c>
      <c r="W2126" s="111">
        <f>Audit[[#This Row],[Audit Candidate 5]]-Audit[[#This Row],[Candidate 5]]</f>
        <v>-1</v>
      </c>
      <c r="X2126" s="111">
        <f>Audit[[#This Row],[Audit Candidate 6]]-Audit[[#This Row],[Candidate 6]]</f>
        <v>0</v>
      </c>
      <c r="Y2126" s="111">
        <f>SUMIF(Audit[[#This Row],[Difference Loser]:[Difference Candidate 6]], "&gt;0")</f>
        <v>0</v>
      </c>
      <c r="Z2126" s="111">
        <f>SUM(Audit[[#This Row],[Difference Loser]:[Difference Candidate 6]])</f>
        <v>-79</v>
      </c>
      <c r="AA2126" s="111">
        <f>IF(Audit[[#This Row],[Times p Drawn - With Replacement]]&gt;0, IF(Audit[[#This Row],[Canceled Differences]]&lt;0, Audit[[#This Row],[Max Differences]]+ABS(Audit[[#This Row],[Canceled Differences]]), Audit[[#This Row],[Max Differences]]), 0)</f>
        <v>0</v>
      </c>
      <c r="AB2126" s="111">
        <f>'Sampling Data'!P2126</f>
        <v>6.6144047035766778E-3</v>
      </c>
      <c r="AC2126" s="111">
        <f>IF(
      SUM(Audit[[#This Row],[Audit Losing Candidate]:[Audit Candidate 6]])
      &lt;&gt;0,
      (Audit[[#This Row],[Winning Candidate]]-Audit[[#This Row],[Losing Candidate]]-(Audit[[#This Row],[Audit Winning Candidate]]-Audit[[#This Row],[Audit Losing Candidate]]))/(Audit[[#Totals],[Winning Candidate]]-Audit[[#Totals],[Losing Candidate]]),
      0
)</f>
        <v>0</v>
      </c>
      <c r="AD212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6" s="111">
        <f>IF(Audit[[#This Row],[Max Relative Error (ep)]] = 0, 0, Audit[[#This Row],[Max Relative Error (ep)]]/Audit[[#This Row],[Error Bound (up) - Max. possible relative overstatement]])</f>
        <v>0</v>
      </c>
      <c r="AJ212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26" s="111">
        <f t="shared" si="33"/>
        <v>1</v>
      </c>
      <c r="AL2126" s="111">
        <f>PRODUCT($AK$5:AK2126)</f>
        <v>8.962823818226312E-2</v>
      </c>
      <c r="AM2126" s="109">
        <f>1 - [K-M P Value]</f>
        <v>0.91037176181773694</v>
      </c>
      <c r="AN2126" s="111" t="str">
        <f>IF(Audit[[#This Row],[K-M P Value]]&gt;1-'General Info'!$B$16,"Continue", "Stop")</f>
        <v>Stop</v>
      </c>
      <c r="AO2126" s="110" t="b">
        <f>IF(Audit[[#This Row],[Status - Continue or stop audit]] = "Continue", TRUE, IF(AN2125 = "Continue", TRUE, FALSE))</f>
        <v>0</v>
      </c>
      <c r="AP2126" s="110"/>
    </row>
    <row r="2127" spans="1:42" ht="15" hidden="1" customHeight="1">
      <c r="A2127" s="111" t="str">
        <f>'Sampling Data'!W2127</f>
        <v/>
      </c>
      <c r="B2127" s="112" t="str">
        <f>'Sampling Data'!A2127</f>
        <v>WESTLAKE -02-B</v>
      </c>
      <c r="C2127" s="112">
        <f>'Sampling Data'!B2127</f>
        <v>33</v>
      </c>
      <c r="D2127" s="112">
        <f>'Sampling Data'!C2127</f>
        <v>73</v>
      </c>
      <c r="E2127" s="113">
        <f>'Sampling Data'!D2127</f>
        <v>22</v>
      </c>
      <c r="F2127" s="113">
        <f>'Sampling Data'!E2127</f>
        <v>11</v>
      </c>
      <c r="G2127" s="113">
        <f>'Sampling Data'!F2127</f>
        <v>1</v>
      </c>
      <c r="H2127" s="113">
        <f>'Sampling Data'!G2127</f>
        <v>0</v>
      </c>
      <c r="I2127" s="112">
        <f>'Sampling Data'!H2127</f>
        <v>0</v>
      </c>
      <c r="J2127" s="112">
        <f>'Sampling Data'!I2127</f>
        <v>0</v>
      </c>
      <c r="K2127" s="112">
        <f>'Sampling Data'!J2127</f>
        <v>140</v>
      </c>
      <c r="L2127" s="111">
        <f>'Sampling Data'!X2127</f>
        <v>0</v>
      </c>
      <c r="M2127" s="114"/>
      <c r="N2127" s="114"/>
      <c r="O2127" s="115"/>
      <c r="P2127" s="115"/>
      <c r="Q2127" s="116"/>
      <c r="R2127" s="116"/>
      <c r="S2127" s="111">
        <f>Audit[[#This Row],[Audit Losing Candidate]]-Audit[[#This Row],[Losing Candidate]]</f>
        <v>-33</v>
      </c>
      <c r="T2127" s="111">
        <f>Audit[[#This Row],[Audit Winning Candidate]]-Audit[[#This Row],[Winning Candidate]]</f>
        <v>-73</v>
      </c>
      <c r="U2127" s="111">
        <f>Audit[[#This Row],[Audit Candidate 3]]-Audit[[#This Row],[Candidate 3]]</f>
        <v>-22</v>
      </c>
      <c r="V2127" s="111">
        <f>Audit[[#This Row],[Audit Candidate 4]]-Audit[[#This Row],[Candidate 4]]</f>
        <v>-11</v>
      </c>
      <c r="W2127" s="111">
        <f>Audit[[#This Row],[Audit Candidate 5]]-Audit[[#This Row],[Candidate 5]]</f>
        <v>-1</v>
      </c>
      <c r="X2127" s="111">
        <f>Audit[[#This Row],[Audit Candidate 6]]-Audit[[#This Row],[Candidate 6]]</f>
        <v>0</v>
      </c>
      <c r="Y2127" s="111">
        <f>SUMIF(Audit[[#This Row],[Difference Loser]:[Difference Candidate 6]], "&gt;0")</f>
        <v>0</v>
      </c>
      <c r="Z2127" s="111">
        <f>SUM(Audit[[#This Row],[Difference Loser]:[Difference Candidate 6]])</f>
        <v>-140</v>
      </c>
      <c r="AA2127" s="111">
        <f>IF(Audit[[#This Row],[Times p Drawn - With Replacement]]&gt;0, IF(Audit[[#This Row],[Canceled Differences]]&lt;0, Audit[[#This Row],[Max Differences]]+ABS(Audit[[#This Row],[Canceled Differences]]), Audit[[#This Row],[Max Differences]]), 0)</f>
        <v>0</v>
      </c>
      <c r="AB2127" s="111">
        <f>'Sampling Data'!P2127</f>
        <v>1.1024007839294463E-2</v>
      </c>
      <c r="AC2127" s="111">
        <f>IF(
      SUM(Audit[[#This Row],[Audit Losing Candidate]:[Audit Candidate 6]])
      &lt;&gt;0,
      (Audit[[#This Row],[Winning Candidate]]-Audit[[#This Row],[Losing Candidate]]-(Audit[[#This Row],[Audit Winning Candidate]]-Audit[[#This Row],[Audit Losing Candidate]]))/(Audit[[#Totals],[Winning Candidate]]-Audit[[#Totals],[Losing Candidate]]),
      0
)</f>
        <v>0</v>
      </c>
      <c r="AD212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7" s="111">
        <f>IF(Audit[[#This Row],[Max Relative Error (ep)]] = 0, 0, Audit[[#This Row],[Max Relative Error (ep)]]/Audit[[#This Row],[Error Bound (up) - Max. possible relative overstatement]])</f>
        <v>0</v>
      </c>
      <c r="AJ212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27" s="111">
        <f t="shared" si="33"/>
        <v>1</v>
      </c>
      <c r="AL2127" s="111">
        <f>PRODUCT($AK$5:AK2127)</f>
        <v>8.962823818226312E-2</v>
      </c>
      <c r="AM2127" s="109">
        <f>1 - [K-M P Value]</f>
        <v>0.91037176181773694</v>
      </c>
      <c r="AN2127" s="111" t="str">
        <f>IF(Audit[[#This Row],[K-M P Value]]&gt;1-'General Info'!$B$16,"Continue", "Stop")</f>
        <v>Stop</v>
      </c>
      <c r="AO2127" s="110" t="b">
        <f>IF(Audit[[#This Row],[Status - Continue or stop audit]] = "Continue", TRUE, IF(AN2126 = "Continue", TRUE, FALSE))</f>
        <v>0</v>
      </c>
      <c r="AP2127" s="110"/>
    </row>
    <row r="2128" spans="1:42" ht="15" hidden="1" customHeight="1">
      <c r="A2128" s="111" t="str">
        <f>'Sampling Data'!W2128</f>
        <v/>
      </c>
      <c r="B2128" s="112" t="str">
        <f>'Sampling Data'!A2128</f>
        <v>WESTLAKE -02-B - ABS</v>
      </c>
      <c r="C2128" s="112">
        <f>'Sampling Data'!B2128</f>
        <v>27</v>
      </c>
      <c r="D2128" s="112">
        <f>'Sampling Data'!C2128</f>
        <v>33</v>
      </c>
      <c r="E2128" s="113">
        <f>'Sampling Data'!D2128</f>
        <v>6</v>
      </c>
      <c r="F2128" s="113">
        <f>'Sampling Data'!E2128</f>
        <v>4</v>
      </c>
      <c r="G2128" s="113">
        <f>'Sampling Data'!F2128</f>
        <v>0</v>
      </c>
      <c r="H2128" s="113">
        <f>'Sampling Data'!G2128</f>
        <v>0</v>
      </c>
      <c r="I2128" s="112">
        <f>'Sampling Data'!H2128</f>
        <v>0</v>
      </c>
      <c r="J2128" s="112">
        <f>'Sampling Data'!I2128</f>
        <v>0</v>
      </c>
      <c r="K2128" s="112">
        <f>'Sampling Data'!J2128</f>
        <v>70</v>
      </c>
      <c r="L2128" s="111">
        <f>'Sampling Data'!X2128</f>
        <v>0</v>
      </c>
      <c r="M2128" s="114"/>
      <c r="N2128" s="114"/>
      <c r="O2128" s="115"/>
      <c r="P2128" s="115"/>
      <c r="Q2128" s="116"/>
      <c r="R2128" s="116"/>
      <c r="S2128" s="111">
        <f>Audit[[#This Row],[Audit Losing Candidate]]-Audit[[#This Row],[Losing Candidate]]</f>
        <v>-27</v>
      </c>
      <c r="T2128" s="111">
        <f>Audit[[#This Row],[Audit Winning Candidate]]-Audit[[#This Row],[Winning Candidate]]</f>
        <v>-33</v>
      </c>
      <c r="U2128" s="111">
        <f>Audit[[#This Row],[Audit Candidate 3]]-Audit[[#This Row],[Candidate 3]]</f>
        <v>-6</v>
      </c>
      <c r="V2128" s="111">
        <f>Audit[[#This Row],[Audit Candidate 4]]-Audit[[#This Row],[Candidate 4]]</f>
        <v>-4</v>
      </c>
      <c r="W2128" s="111">
        <f>Audit[[#This Row],[Audit Candidate 5]]-Audit[[#This Row],[Candidate 5]]</f>
        <v>0</v>
      </c>
      <c r="X2128" s="111">
        <f>Audit[[#This Row],[Audit Candidate 6]]-Audit[[#This Row],[Candidate 6]]</f>
        <v>0</v>
      </c>
      <c r="Y2128" s="111">
        <f>SUMIF(Audit[[#This Row],[Difference Loser]:[Difference Candidate 6]], "&gt;0")</f>
        <v>0</v>
      </c>
      <c r="Z2128" s="111">
        <f>SUM(Audit[[#This Row],[Difference Loser]:[Difference Candidate 6]])</f>
        <v>-70</v>
      </c>
      <c r="AA2128" s="111">
        <f>IF(Audit[[#This Row],[Times p Drawn - With Replacement]]&gt;0, IF(Audit[[#This Row],[Canceled Differences]]&lt;0, Audit[[#This Row],[Max Differences]]+ABS(Audit[[#This Row],[Canceled Differences]]), Audit[[#This Row],[Max Differences]]), 0)</f>
        <v>0</v>
      </c>
      <c r="AB2128" s="111">
        <f>'Sampling Data'!P2128</f>
        <v>4.6545810877021065E-3</v>
      </c>
      <c r="AC2128" s="111">
        <f>IF(
      SUM(Audit[[#This Row],[Audit Losing Candidate]:[Audit Candidate 6]])
      &lt;&gt;0,
      (Audit[[#This Row],[Winning Candidate]]-Audit[[#This Row],[Losing Candidate]]-(Audit[[#This Row],[Audit Winning Candidate]]-Audit[[#This Row],[Audit Losing Candidate]]))/(Audit[[#Totals],[Winning Candidate]]-Audit[[#Totals],[Losing Candidate]]),
      0
)</f>
        <v>0</v>
      </c>
      <c r="AD212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8" s="111">
        <f>IF(Audit[[#This Row],[Max Relative Error (ep)]] = 0, 0, Audit[[#This Row],[Max Relative Error (ep)]]/Audit[[#This Row],[Error Bound (up) - Max. possible relative overstatement]])</f>
        <v>0</v>
      </c>
      <c r="AJ212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28" s="111">
        <f t="shared" si="33"/>
        <v>1</v>
      </c>
      <c r="AL2128" s="111">
        <f>PRODUCT($AK$5:AK2128)</f>
        <v>8.962823818226312E-2</v>
      </c>
      <c r="AM2128" s="109">
        <f>1 - [K-M P Value]</f>
        <v>0.91037176181773694</v>
      </c>
      <c r="AN2128" s="111" t="str">
        <f>IF(Audit[[#This Row],[K-M P Value]]&gt;1-'General Info'!$B$16,"Continue", "Stop")</f>
        <v>Stop</v>
      </c>
      <c r="AO2128" s="110" t="b">
        <f>IF(Audit[[#This Row],[Status - Continue or stop audit]] = "Continue", TRUE, IF(AN2127 = "Continue", TRUE, FALSE))</f>
        <v>0</v>
      </c>
      <c r="AP2128" s="110"/>
    </row>
    <row r="2129" spans="1:42" ht="15" hidden="1" customHeight="1">
      <c r="A2129" s="111" t="str">
        <f>'Sampling Data'!W2129</f>
        <v/>
      </c>
      <c r="B2129" s="112" t="str">
        <f>'Sampling Data'!A2129</f>
        <v>WESTLAKE -02-C</v>
      </c>
      <c r="C2129" s="112">
        <f>'Sampling Data'!B2129</f>
        <v>41</v>
      </c>
      <c r="D2129" s="112">
        <f>'Sampling Data'!C2129</f>
        <v>56</v>
      </c>
      <c r="E2129" s="113">
        <f>'Sampling Data'!D2129</f>
        <v>13</v>
      </c>
      <c r="F2129" s="113">
        <f>'Sampling Data'!E2129</f>
        <v>13</v>
      </c>
      <c r="G2129" s="113">
        <f>'Sampling Data'!F2129</f>
        <v>0</v>
      </c>
      <c r="H2129" s="113">
        <f>'Sampling Data'!G2129</f>
        <v>0</v>
      </c>
      <c r="I2129" s="112">
        <f>'Sampling Data'!H2129</f>
        <v>0</v>
      </c>
      <c r="J2129" s="112">
        <f>'Sampling Data'!I2129</f>
        <v>0</v>
      </c>
      <c r="K2129" s="112">
        <f>'Sampling Data'!J2129</f>
        <v>123</v>
      </c>
      <c r="L2129" s="111">
        <f>'Sampling Data'!X2129</f>
        <v>0</v>
      </c>
      <c r="M2129" s="114"/>
      <c r="N2129" s="114"/>
      <c r="O2129" s="115"/>
      <c r="P2129" s="115"/>
      <c r="Q2129" s="116"/>
      <c r="R2129" s="116"/>
      <c r="S2129" s="111">
        <f>Audit[[#This Row],[Audit Losing Candidate]]-Audit[[#This Row],[Losing Candidate]]</f>
        <v>-41</v>
      </c>
      <c r="T2129" s="111">
        <f>Audit[[#This Row],[Audit Winning Candidate]]-Audit[[#This Row],[Winning Candidate]]</f>
        <v>-56</v>
      </c>
      <c r="U2129" s="111">
        <f>Audit[[#This Row],[Audit Candidate 3]]-Audit[[#This Row],[Candidate 3]]</f>
        <v>-13</v>
      </c>
      <c r="V2129" s="111">
        <f>Audit[[#This Row],[Audit Candidate 4]]-Audit[[#This Row],[Candidate 4]]</f>
        <v>-13</v>
      </c>
      <c r="W2129" s="111">
        <f>Audit[[#This Row],[Audit Candidate 5]]-Audit[[#This Row],[Candidate 5]]</f>
        <v>0</v>
      </c>
      <c r="X2129" s="111">
        <f>Audit[[#This Row],[Audit Candidate 6]]-Audit[[#This Row],[Candidate 6]]</f>
        <v>0</v>
      </c>
      <c r="Y2129" s="111">
        <f>SUMIF(Audit[[#This Row],[Difference Loser]:[Difference Candidate 6]], "&gt;0")</f>
        <v>0</v>
      </c>
      <c r="Z2129" s="111">
        <f>SUM(Audit[[#This Row],[Difference Loser]:[Difference Candidate 6]])</f>
        <v>-123</v>
      </c>
      <c r="AA2129" s="111">
        <f>IF(Audit[[#This Row],[Times p Drawn - With Replacement]]&gt;0, IF(Audit[[#This Row],[Canceled Differences]]&lt;0, Audit[[#This Row],[Max Differences]]+ABS(Audit[[#This Row],[Canceled Differences]]), Audit[[#This Row],[Max Differences]]), 0)</f>
        <v>0</v>
      </c>
      <c r="AB2129" s="111">
        <f>'Sampling Data'!P2129</f>
        <v>8.4517393434590891E-3</v>
      </c>
      <c r="AC2129" s="111">
        <f>IF(
      SUM(Audit[[#This Row],[Audit Losing Candidate]:[Audit Candidate 6]])
      &lt;&gt;0,
      (Audit[[#This Row],[Winning Candidate]]-Audit[[#This Row],[Losing Candidate]]-(Audit[[#This Row],[Audit Winning Candidate]]-Audit[[#This Row],[Audit Losing Candidate]]))/(Audit[[#Totals],[Winning Candidate]]-Audit[[#Totals],[Losing Candidate]]),
      0
)</f>
        <v>0</v>
      </c>
      <c r="AD212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9" s="111">
        <f>IF(Audit[[#This Row],[Max Relative Error (ep)]] = 0, 0, Audit[[#This Row],[Max Relative Error (ep)]]/Audit[[#This Row],[Error Bound (up) - Max. possible relative overstatement]])</f>
        <v>0</v>
      </c>
      <c r="AJ212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29" s="111">
        <f t="shared" si="33"/>
        <v>1</v>
      </c>
      <c r="AL2129" s="111">
        <f>PRODUCT($AK$5:AK2129)</f>
        <v>8.962823818226312E-2</v>
      </c>
      <c r="AM2129" s="109">
        <f>1 - [K-M P Value]</f>
        <v>0.91037176181773694</v>
      </c>
      <c r="AN2129" s="111" t="str">
        <f>IF(Audit[[#This Row],[K-M P Value]]&gt;1-'General Info'!$B$16,"Continue", "Stop")</f>
        <v>Stop</v>
      </c>
      <c r="AO2129" s="110" t="b">
        <f>IF(Audit[[#This Row],[Status - Continue or stop audit]] = "Continue", TRUE, IF(AN2128 = "Continue", TRUE, FALSE))</f>
        <v>0</v>
      </c>
      <c r="AP2129" s="110"/>
    </row>
    <row r="2130" spans="1:42" ht="15" hidden="1" customHeight="1">
      <c r="A2130" s="111" t="str">
        <f>'Sampling Data'!W2130</f>
        <v/>
      </c>
      <c r="B2130" s="112" t="str">
        <f>'Sampling Data'!A2130</f>
        <v>WESTLAKE -02-C - ABS</v>
      </c>
      <c r="C2130" s="112">
        <f>'Sampling Data'!B2130</f>
        <v>22</v>
      </c>
      <c r="D2130" s="112">
        <f>'Sampling Data'!C2130</f>
        <v>20</v>
      </c>
      <c r="E2130" s="113">
        <f>'Sampling Data'!D2130</f>
        <v>11</v>
      </c>
      <c r="F2130" s="113">
        <f>'Sampling Data'!E2130</f>
        <v>3</v>
      </c>
      <c r="G2130" s="113">
        <f>'Sampling Data'!F2130</f>
        <v>1</v>
      </c>
      <c r="H2130" s="113">
        <f>'Sampling Data'!G2130</f>
        <v>0</v>
      </c>
      <c r="I2130" s="112">
        <f>'Sampling Data'!H2130</f>
        <v>0</v>
      </c>
      <c r="J2130" s="112">
        <f>'Sampling Data'!I2130</f>
        <v>1</v>
      </c>
      <c r="K2130" s="112">
        <f>'Sampling Data'!J2130</f>
        <v>58</v>
      </c>
      <c r="L2130" s="111">
        <f>'Sampling Data'!X2130</f>
        <v>0</v>
      </c>
      <c r="M2130" s="114"/>
      <c r="N2130" s="114"/>
      <c r="O2130" s="115"/>
      <c r="P2130" s="115"/>
      <c r="Q2130" s="116"/>
      <c r="R2130" s="116"/>
      <c r="S2130" s="111">
        <f>Audit[[#This Row],[Audit Losing Candidate]]-Audit[[#This Row],[Losing Candidate]]</f>
        <v>-22</v>
      </c>
      <c r="T2130" s="111">
        <f>Audit[[#This Row],[Audit Winning Candidate]]-Audit[[#This Row],[Winning Candidate]]</f>
        <v>-20</v>
      </c>
      <c r="U2130" s="111">
        <f>Audit[[#This Row],[Audit Candidate 3]]-Audit[[#This Row],[Candidate 3]]</f>
        <v>-11</v>
      </c>
      <c r="V2130" s="111">
        <f>Audit[[#This Row],[Audit Candidate 4]]-Audit[[#This Row],[Candidate 4]]</f>
        <v>-3</v>
      </c>
      <c r="W2130" s="111">
        <f>Audit[[#This Row],[Audit Candidate 5]]-Audit[[#This Row],[Candidate 5]]</f>
        <v>-1</v>
      </c>
      <c r="X2130" s="111">
        <f>Audit[[#This Row],[Audit Candidate 6]]-Audit[[#This Row],[Candidate 6]]</f>
        <v>0</v>
      </c>
      <c r="Y2130" s="111">
        <f>SUMIF(Audit[[#This Row],[Difference Loser]:[Difference Candidate 6]], "&gt;0")</f>
        <v>0</v>
      </c>
      <c r="Z2130" s="111">
        <f>SUM(Audit[[#This Row],[Difference Loser]:[Difference Candidate 6]])</f>
        <v>-57</v>
      </c>
      <c r="AA2130" s="111">
        <f>IF(Audit[[#This Row],[Times p Drawn - With Replacement]]&gt;0, IF(Audit[[#This Row],[Canceled Differences]]&lt;0, Audit[[#This Row],[Max Differences]]+ABS(Audit[[#This Row],[Canceled Differences]]), Audit[[#This Row],[Max Differences]]), 0)</f>
        <v>0</v>
      </c>
      <c r="AB2130" s="111">
        <f>'Sampling Data'!P2130</f>
        <v>3.4296913277804997E-3</v>
      </c>
      <c r="AC2130" s="111">
        <f>IF(
      SUM(Audit[[#This Row],[Audit Losing Candidate]:[Audit Candidate 6]])
      &lt;&gt;0,
      (Audit[[#This Row],[Winning Candidate]]-Audit[[#This Row],[Losing Candidate]]-(Audit[[#This Row],[Audit Winning Candidate]]-Audit[[#This Row],[Audit Losing Candidate]]))/(Audit[[#Totals],[Winning Candidate]]-Audit[[#Totals],[Losing Candidate]]),
      0
)</f>
        <v>0</v>
      </c>
      <c r="AD213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0" s="111">
        <f>IF(Audit[[#This Row],[Max Relative Error (ep)]] = 0, 0, Audit[[#This Row],[Max Relative Error (ep)]]/Audit[[#This Row],[Error Bound (up) - Max. possible relative overstatement]])</f>
        <v>0</v>
      </c>
      <c r="AJ213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30" s="111">
        <f t="shared" si="33"/>
        <v>1</v>
      </c>
      <c r="AL2130" s="111">
        <f>PRODUCT($AK$5:AK2130)</f>
        <v>8.962823818226312E-2</v>
      </c>
      <c r="AM2130" s="109">
        <f>1 - [K-M P Value]</f>
        <v>0.91037176181773694</v>
      </c>
      <c r="AN2130" s="111" t="str">
        <f>IF(Audit[[#This Row],[K-M P Value]]&gt;1-'General Info'!$B$16,"Continue", "Stop")</f>
        <v>Stop</v>
      </c>
      <c r="AO2130" s="110" t="b">
        <f>IF(Audit[[#This Row],[Status - Continue or stop audit]] = "Continue", TRUE, IF(AN2129 = "Continue", TRUE, FALSE))</f>
        <v>0</v>
      </c>
      <c r="AP2130" s="110"/>
    </row>
    <row r="2131" spans="1:42" ht="15" hidden="1" customHeight="1">
      <c r="A2131" s="111" t="str">
        <f>'Sampling Data'!W2131</f>
        <v/>
      </c>
      <c r="B2131" s="112" t="str">
        <f>'Sampling Data'!A2131</f>
        <v>WESTLAKE -02-D</v>
      </c>
      <c r="C2131" s="112">
        <f>'Sampling Data'!B2131</f>
        <v>17</v>
      </c>
      <c r="D2131" s="112">
        <f>'Sampling Data'!C2131</f>
        <v>73</v>
      </c>
      <c r="E2131" s="113">
        <f>'Sampling Data'!D2131</f>
        <v>19</v>
      </c>
      <c r="F2131" s="113">
        <f>'Sampling Data'!E2131</f>
        <v>10</v>
      </c>
      <c r="G2131" s="113">
        <f>'Sampling Data'!F2131</f>
        <v>0</v>
      </c>
      <c r="H2131" s="113">
        <f>'Sampling Data'!G2131</f>
        <v>0</v>
      </c>
      <c r="I2131" s="112">
        <f>'Sampling Data'!H2131</f>
        <v>0</v>
      </c>
      <c r="J2131" s="112">
        <f>'Sampling Data'!I2131</f>
        <v>2</v>
      </c>
      <c r="K2131" s="112">
        <f>'Sampling Data'!J2131</f>
        <v>121</v>
      </c>
      <c r="L2131" s="111">
        <f>'Sampling Data'!X2131</f>
        <v>0</v>
      </c>
      <c r="M2131" s="114"/>
      <c r="N2131" s="114"/>
      <c r="O2131" s="115"/>
      <c r="P2131" s="115"/>
      <c r="Q2131" s="116"/>
      <c r="R2131" s="116"/>
      <c r="S2131" s="111">
        <f>Audit[[#This Row],[Audit Losing Candidate]]-Audit[[#This Row],[Losing Candidate]]</f>
        <v>-17</v>
      </c>
      <c r="T2131" s="111">
        <f>Audit[[#This Row],[Audit Winning Candidate]]-Audit[[#This Row],[Winning Candidate]]</f>
        <v>-73</v>
      </c>
      <c r="U2131" s="111">
        <f>Audit[[#This Row],[Audit Candidate 3]]-Audit[[#This Row],[Candidate 3]]</f>
        <v>-19</v>
      </c>
      <c r="V2131" s="111">
        <f>Audit[[#This Row],[Audit Candidate 4]]-Audit[[#This Row],[Candidate 4]]</f>
        <v>-10</v>
      </c>
      <c r="W2131" s="111">
        <f>Audit[[#This Row],[Audit Candidate 5]]-Audit[[#This Row],[Candidate 5]]</f>
        <v>0</v>
      </c>
      <c r="X2131" s="111">
        <f>Audit[[#This Row],[Audit Candidate 6]]-Audit[[#This Row],[Candidate 6]]</f>
        <v>0</v>
      </c>
      <c r="Y2131" s="111">
        <f>SUMIF(Audit[[#This Row],[Difference Loser]:[Difference Candidate 6]], "&gt;0")</f>
        <v>0</v>
      </c>
      <c r="Z2131" s="111">
        <f>SUM(Audit[[#This Row],[Difference Loser]:[Difference Candidate 6]])</f>
        <v>-119</v>
      </c>
      <c r="AA2131" s="111">
        <f>IF(Audit[[#This Row],[Times p Drawn - With Replacement]]&gt;0, IF(Audit[[#This Row],[Canceled Differences]]&lt;0, Audit[[#This Row],[Max Differences]]+ABS(Audit[[#This Row],[Canceled Differences]]), Audit[[#This Row],[Max Differences]]), 0)</f>
        <v>0</v>
      </c>
      <c r="AB2131" s="111">
        <f>'Sampling Data'!P2131</f>
        <v>1.0840274375306222E-2</v>
      </c>
      <c r="AC2131" s="111">
        <f>IF(
      SUM(Audit[[#This Row],[Audit Losing Candidate]:[Audit Candidate 6]])
      &lt;&gt;0,
      (Audit[[#This Row],[Winning Candidate]]-Audit[[#This Row],[Losing Candidate]]-(Audit[[#This Row],[Audit Winning Candidate]]-Audit[[#This Row],[Audit Losing Candidate]]))/(Audit[[#Totals],[Winning Candidate]]-Audit[[#Totals],[Losing Candidate]]),
      0
)</f>
        <v>0</v>
      </c>
      <c r="AD213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1" s="111">
        <f>IF(Audit[[#This Row],[Max Relative Error (ep)]] = 0, 0, Audit[[#This Row],[Max Relative Error (ep)]]/Audit[[#This Row],[Error Bound (up) - Max. possible relative overstatement]])</f>
        <v>0</v>
      </c>
      <c r="AJ213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31" s="111">
        <f t="shared" si="33"/>
        <v>1</v>
      </c>
      <c r="AL2131" s="111">
        <f>PRODUCT($AK$5:AK2131)</f>
        <v>8.962823818226312E-2</v>
      </c>
      <c r="AM2131" s="109">
        <f>1 - [K-M P Value]</f>
        <v>0.91037176181773694</v>
      </c>
      <c r="AN2131" s="111" t="str">
        <f>IF(Audit[[#This Row],[K-M P Value]]&gt;1-'General Info'!$B$16,"Continue", "Stop")</f>
        <v>Stop</v>
      </c>
      <c r="AO2131" s="110" t="b">
        <f>IF(Audit[[#This Row],[Status - Continue or stop audit]] = "Continue", TRUE, IF(AN2130 = "Continue", TRUE, FALSE))</f>
        <v>0</v>
      </c>
      <c r="AP2131" s="110"/>
    </row>
    <row r="2132" spans="1:42" ht="15" hidden="1" customHeight="1">
      <c r="A2132" s="111" t="str">
        <f>'Sampling Data'!W2132</f>
        <v/>
      </c>
      <c r="B2132" s="112" t="str">
        <f>'Sampling Data'!A2132</f>
        <v>WESTLAKE -02-D - ABS</v>
      </c>
      <c r="C2132" s="112">
        <f>'Sampling Data'!B2132</f>
        <v>9</v>
      </c>
      <c r="D2132" s="112">
        <f>'Sampling Data'!C2132</f>
        <v>24</v>
      </c>
      <c r="E2132" s="113">
        <f>'Sampling Data'!D2132</f>
        <v>2</v>
      </c>
      <c r="F2132" s="113">
        <f>'Sampling Data'!E2132</f>
        <v>1</v>
      </c>
      <c r="G2132" s="113">
        <f>'Sampling Data'!F2132</f>
        <v>0</v>
      </c>
      <c r="H2132" s="113">
        <f>'Sampling Data'!G2132</f>
        <v>0</v>
      </c>
      <c r="I2132" s="112">
        <f>'Sampling Data'!H2132</f>
        <v>0</v>
      </c>
      <c r="J2132" s="112">
        <f>'Sampling Data'!I2132</f>
        <v>1</v>
      </c>
      <c r="K2132" s="112">
        <f>'Sampling Data'!J2132</f>
        <v>37</v>
      </c>
      <c r="L2132" s="111">
        <f>'Sampling Data'!X2132</f>
        <v>0</v>
      </c>
      <c r="M2132" s="114"/>
      <c r="N2132" s="114"/>
      <c r="O2132" s="115"/>
      <c r="P2132" s="115"/>
      <c r="Q2132" s="116"/>
      <c r="R2132" s="116"/>
      <c r="S2132" s="111">
        <f>Audit[[#This Row],[Audit Losing Candidate]]-Audit[[#This Row],[Losing Candidate]]</f>
        <v>-9</v>
      </c>
      <c r="T2132" s="111">
        <f>Audit[[#This Row],[Audit Winning Candidate]]-Audit[[#This Row],[Winning Candidate]]</f>
        <v>-24</v>
      </c>
      <c r="U2132" s="111">
        <f>Audit[[#This Row],[Audit Candidate 3]]-Audit[[#This Row],[Candidate 3]]</f>
        <v>-2</v>
      </c>
      <c r="V2132" s="111">
        <f>Audit[[#This Row],[Audit Candidate 4]]-Audit[[#This Row],[Candidate 4]]</f>
        <v>-1</v>
      </c>
      <c r="W2132" s="111">
        <f>Audit[[#This Row],[Audit Candidate 5]]-Audit[[#This Row],[Candidate 5]]</f>
        <v>0</v>
      </c>
      <c r="X2132" s="111">
        <f>Audit[[#This Row],[Audit Candidate 6]]-Audit[[#This Row],[Candidate 6]]</f>
        <v>0</v>
      </c>
      <c r="Y2132" s="111">
        <f>SUMIF(Audit[[#This Row],[Difference Loser]:[Difference Candidate 6]], "&gt;0")</f>
        <v>0</v>
      </c>
      <c r="Z2132" s="111">
        <f>SUM(Audit[[#This Row],[Difference Loser]:[Difference Candidate 6]])</f>
        <v>-36</v>
      </c>
      <c r="AA2132" s="111">
        <f>IF(Audit[[#This Row],[Times p Drawn - With Replacement]]&gt;0, IF(Audit[[#This Row],[Canceled Differences]]&lt;0, Audit[[#This Row],[Max Differences]]+ABS(Audit[[#This Row],[Canceled Differences]]), Audit[[#This Row],[Max Differences]]), 0)</f>
        <v>0</v>
      </c>
      <c r="AB2132" s="111">
        <f>'Sampling Data'!P2132</f>
        <v>3.1847133757961785E-3</v>
      </c>
      <c r="AC2132" s="111">
        <f>IF(
      SUM(Audit[[#This Row],[Audit Losing Candidate]:[Audit Candidate 6]])
      &lt;&gt;0,
      (Audit[[#This Row],[Winning Candidate]]-Audit[[#This Row],[Losing Candidate]]-(Audit[[#This Row],[Audit Winning Candidate]]-Audit[[#This Row],[Audit Losing Candidate]]))/(Audit[[#Totals],[Winning Candidate]]-Audit[[#Totals],[Losing Candidate]]),
      0
)</f>
        <v>0</v>
      </c>
      <c r="AD213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2" s="111">
        <f>IF(Audit[[#This Row],[Max Relative Error (ep)]] = 0, 0, Audit[[#This Row],[Max Relative Error (ep)]]/Audit[[#This Row],[Error Bound (up) - Max. possible relative overstatement]])</f>
        <v>0</v>
      </c>
      <c r="AJ213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32" s="111">
        <f t="shared" si="33"/>
        <v>1</v>
      </c>
      <c r="AL2132" s="111">
        <f>PRODUCT($AK$5:AK2132)</f>
        <v>8.962823818226312E-2</v>
      </c>
      <c r="AM2132" s="109">
        <f>1 - [K-M P Value]</f>
        <v>0.91037176181773694</v>
      </c>
      <c r="AN2132" s="111" t="str">
        <f>IF(Audit[[#This Row],[K-M P Value]]&gt;1-'General Info'!$B$16,"Continue", "Stop")</f>
        <v>Stop</v>
      </c>
      <c r="AO2132" s="110" t="b">
        <f>IF(Audit[[#This Row],[Status - Continue or stop audit]] = "Continue", TRUE, IF(AN2131 = "Continue", TRUE, FALSE))</f>
        <v>0</v>
      </c>
      <c r="AP2132" s="110"/>
    </row>
    <row r="2133" spans="1:42" ht="15" hidden="1" customHeight="1">
      <c r="A2133" s="111" t="str">
        <f>'Sampling Data'!W2133</f>
        <v/>
      </c>
      <c r="B2133" s="112" t="str">
        <f>'Sampling Data'!A2133</f>
        <v>WESTLAKE -03-A</v>
      </c>
      <c r="C2133" s="112">
        <f>'Sampling Data'!B2133</f>
        <v>36</v>
      </c>
      <c r="D2133" s="112">
        <f>'Sampling Data'!C2133</f>
        <v>60</v>
      </c>
      <c r="E2133" s="113">
        <f>'Sampling Data'!D2133</f>
        <v>11</v>
      </c>
      <c r="F2133" s="113">
        <f>'Sampling Data'!E2133</f>
        <v>3</v>
      </c>
      <c r="G2133" s="113">
        <f>'Sampling Data'!F2133</f>
        <v>0</v>
      </c>
      <c r="H2133" s="113">
        <f>'Sampling Data'!G2133</f>
        <v>0</v>
      </c>
      <c r="I2133" s="112">
        <f>'Sampling Data'!H2133</f>
        <v>1</v>
      </c>
      <c r="J2133" s="112">
        <f>'Sampling Data'!I2133</f>
        <v>1</v>
      </c>
      <c r="K2133" s="112">
        <f>'Sampling Data'!J2133</f>
        <v>112</v>
      </c>
      <c r="L2133" s="111">
        <f>'Sampling Data'!X2133</f>
        <v>0</v>
      </c>
      <c r="M2133" s="114"/>
      <c r="N2133" s="114"/>
      <c r="O2133" s="115"/>
      <c r="P2133" s="115"/>
      <c r="Q2133" s="116"/>
      <c r="R2133" s="116"/>
      <c r="S2133" s="111">
        <f>Audit[[#This Row],[Audit Losing Candidate]]-Audit[[#This Row],[Losing Candidate]]</f>
        <v>-36</v>
      </c>
      <c r="T2133" s="111">
        <f>Audit[[#This Row],[Audit Winning Candidate]]-Audit[[#This Row],[Winning Candidate]]</f>
        <v>-60</v>
      </c>
      <c r="U2133" s="111">
        <f>Audit[[#This Row],[Audit Candidate 3]]-Audit[[#This Row],[Candidate 3]]</f>
        <v>-11</v>
      </c>
      <c r="V2133" s="111">
        <f>Audit[[#This Row],[Audit Candidate 4]]-Audit[[#This Row],[Candidate 4]]</f>
        <v>-3</v>
      </c>
      <c r="W2133" s="111">
        <f>Audit[[#This Row],[Audit Candidate 5]]-Audit[[#This Row],[Candidate 5]]</f>
        <v>0</v>
      </c>
      <c r="X2133" s="111">
        <f>Audit[[#This Row],[Audit Candidate 6]]-Audit[[#This Row],[Candidate 6]]</f>
        <v>0</v>
      </c>
      <c r="Y2133" s="111">
        <f>SUMIF(Audit[[#This Row],[Difference Loser]:[Difference Candidate 6]], "&gt;0")</f>
        <v>0</v>
      </c>
      <c r="Z2133" s="111">
        <f>SUM(Audit[[#This Row],[Difference Loser]:[Difference Candidate 6]])</f>
        <v>-110</v>
      </c>
      <c r="AA2133" s="111">
        <f>IF(Audit[[#This Row],[Times p Drawn - With Replacement]]&gt;0, IF(Audit[[#This Row],[Canceled Differences]]&lt;0, Audit[[#This Row],[Max Differences]]+ABS(Audit[[#This Row],[Canceled Differences]]), Audit[[#This Row],[Max Differences]]), 0)</f>
        <v>0</v>
      </c>
      <c r="AB2133" s="111">
        <f>'Sampling Data'!P2133</f>
        <v>8.3292503674669283E-3</v>
      </c>
      <c r="AC2133" s="111">
        <f>IF(
      SUM(Audit[[#This Row],[Audit Losing Candidate]:[Audit Candidate 6]])
      &lt;&gt;0,
      (Audit[[#This Row],[Winning Candidate]]-Audit[[#This Row],[Losing Candidate]]-(Audit[[#This Row],[Audit Winning Candidate]]-Audit[[#This Row],[Audit Losing Candidate]]))/(Audit[[#Totals],[Winning Candidate]]-Audit[[#Totals],[Losing Candidate]]),
      0
)</f>
        <v>0</v>
      </c>
      <c r="AD213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3" s="111">
        <f>IF(Audit[[#This Row],[Max Relative Error (ep)]] = 0, 0, Audit[[#This Row],[Max Relative Error (ep)]]/Audit[[#This Row],[Error Bound (up) - Max. possible relative overstatement]])</f>
        <v>0</v>
      </c>
      <c r="AJ213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33" s="111">
        <f t="shared" si="33"/>
        <v>1</v>
      </c>
      <c r="AL2133" s="111">
        <f>PRODUCT($AK$5:AK2133)</f>
        <v>8.962823818226312E-2</v>
      </c>
      <c r="AM2133" s="109">
        <f>1 - [K-M P Value]</f>
        <v>0.91037176181773694</v>
      </c>
      <c r="AN2133" s="111" t="str">
        <f>IF(Audit[[#This Row],[K-M P Value]]&gt;1-'General Info'!$B$16,"Continue", "Stop")</f>
        <v>Stop</v>
      </c>
      <c r="AO2133" s="110" t="b">
        <f>IF(Audit[[#This Row],[Status - Continue or stop audit]] = "Continue", TRUE, IF(AN2132 = "Continue", TRUE, FALSE))</f>
        <v>0</v>
      </c>
      <c r="AP2133" s="110"/>
    </row>
    <row r="2134" spans="1:42" ht="15" hidden="1" customHeight="1">
      <c r="A2134" s="111" t="str">
        <f>'Sampling Data'!W2134</f>
        <v/>
      </c>
      <c r="B2134" s="112" t="str">
        <f>'Sampling Data'!A2134</f>
        <v>WESTLAKE -03-A - ABS</v>
      </c>
      <c r="C2134" s="112">
        <f>'Sampling Data'!B2134</f>
        <v>11</v>
      </c>
      <c r="D2134" s="112">
        <f>'Sampling Data'!C2134</f>
        <v>25</v>
      </c>
      <c r="E2134" s="113">
        <f>'Sampling Data'!D2134</f>
        <v>5</v>
      </c>
      <c r="F2134" s="113">
        <f>'Sampling Data'!E2134</f>
        <v>2</v>
      </c>
      <c r="G2134" s="113">
        <f>'Sampling Data'!F2134</f>
        <v>0</v>
      </c>
      <c r="H2134" s="113">
        <f>'Sampling Data'!G2134</f>
        <v>0</v>
      </c>
      <c r="I2134" s="112">
        <f>'Sampling Data'!H2134</f>
        <v>0</v>
      </c>
      <c r="J2134" s="112">
        <f>'Sampling Data'!I2134</f>
        <v>0</v>
      </c>
      <c r="K2134" s="112">
        <f>'Sampling Data'!J2134</f>
        <v>43</v>
      </c>
      <c r="L2134" s="111">
        <f>'Sampling Data'!X2134</f>
        <v>0</v>
      </c>
      <c r="M2134" s="114"/>
      <c r="N2134" s="114"/>
      <c r="O2134" s="115"/>
      <c r="P2134" s="115"/>
      <c r="Q2134" s="116"/>
      <c r="R2134" s="116"/>
      <c r="S2134" s="111">
        <f>Audit[[#This Row],[Audit Losing Candidate]]-Audit[[#This Row],[Losing Candidate]]</f>
        <v>-11</v>
      </c>
      <c r="T2134" s="111">
        <f>Audit[[#This Row],[Audit Winning Candidate]]-Audit[[#This Row],[Winning Candidate]]</f>
        <v>-25</v>
      </c>
      <c r="U2134" s="111">
        <f>Audit[[#This Row],[Audit Candidate 3]]-Audit[[#This Row],[Candidate 3]]</f>
        <v>-5</v>
      </c>
      <c r="V2134" s="111">
        <f>Audit[[#This Row],[Audit Candidate 4]]-Audit[[#This Row],[Candidate 4]]</f>
        <v>-2</v>
      </c>
      <c r="W2134" s="111">
        <f>Audit[[#This Row],[Audit Candidate 5]]-Audit[[#This Row],[Candidate 5]]</f>
        <v>0</v>
      </c>
      <c r="X2134" s="111">
        <f>Audit[[#This Row],[Audit Candidate 6]]-Audit[[#This Row],[Candidate 6]]</f>
        <v>0</v>
      </c>
      <c r="Y2134" s="111">
        <f>SUMIF(Audit[[#This Row],[Difference Loser]:[Difference Candidate 6]], "&gt;0")</f>
        <v>0</v>
      </c>
      <c r="Z2134" s="111">
        <f>SUM(Audit[[#This Row],[Difference Loser]:[Difference Candidate 6]])</f>
        <v>-43</v>
      </c>
      <c r="AA2134" s="111">
        <f>IF(Audit[[#This Row],[Times p Drawn - With Replacement]]&gt;0, IF(Audit[[#This Row],[Canceled Differences]]&lt;0, Audit[[#This Row],[Max Differences]]+ABS(Audit[[#This Row],[Canceled Differences]]), Audit[[#This Row],[Max Differences]]), 0)</f>
        <v>0</v>
      </c>
      <c r="AB2134" s="111">
        <f>'Sampling Data'!P2134</f>
        <v>3.4909358157765801E-3</v>
      </c>
      <c r="AC2134" s="111">
        <f>IF(
      SUM(Audit[[#This Row],[Audit Losing Candidate]:[Audit Candidate 6]])
      &lt;&gt;0,
      (Audit[[#This Row],[Winning Candidate]]-Audit[[#This Row],[Losing Candidate]]-(Audit[[#This Row],[Audit Winning Candidate]]-Audit[[#This Row],[Audit Losing Candidate]]))/(Audit[[#Totals],[Winning Candidate]]-Audit[[#Totals],[Losing Candidate]]),
      0
)</f>
        <v>0</v>
      </c>
      <c r="AD213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4" s="111">
        <f>IF(Audit[[#This Row],[Max Relative Error (ep)]] = 0, 0, Audit[[#This Row],[Max Relative Error (ep)]]/Audit[[#This Row],[Error Bound (up) - Max. possible relative overstatement]])</f>
        <v>0</v>
      </c>
      <c r="AJ213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34" s="111">
        <f t="shared" si="33"/>
        <v>1</v>
      </c>
      <c r="AL2134" s="111">
        <f>PRODUCT($AK$5:AK2134)</f>
        <v>8.962823818226312E-2</v>
      </c>
      <c r="AM2134" s="109">
        <f>1 - [K-M P Value]</f>
        <v>0.91037176181773694</v>
      </c>
      <c r="AN2134" s="111" t="str">
        <f>IF(Audit[[#This Row],[K-M P Value]]&gt;1-'General Info'!$B$16,"Continue", "Stop")</f>
        <v>Stop</v>
      </c>
      <c r="AO2134" s="110" t="b">
        <f>IF(Audit[[#This Row],[Status - Continue or stop audit]] = "Continue", TRUE, IF(AN2133 = "Continue", TRUE, FALSE))</f>
        <v>0</v>
      </c>
      <c r="AP2134" s="110"/>
    </row>
    <row r="2135" spans="1:42" ht="15" hidden="1" customHeight="1">
      <c r="A2135" s="111" t="str">
        <f>'Sampling Data'!W2135</f>
        <v/>
      </c>
      <c r="B2135" s="112" t="str">
        <f>'Sampling Data'!A2135</f>
        <v>WESTLAKE -03-B</v>
      </c>
      <c r="C2135" s="112">
        <f>'Sampling Data'!B2135</f>
        <v>14</v>
      </c>
      <c r="D2135" s="112">
        <f>'Sampling Data'!C2135</f>
        <v>36</v>
      </c>
      <c r="E2135" s="113">
        <f>'Sampling Data'!D2135</f>
        <v>4</v>
      </c>
      <c r="F2135" s="113">
        <f>'Sampling Data'!E2135</f>
        <v>6</v>
      </c>
      <c r="G2135" s="113">
        <f>'Sampling Data'!F2135</f>
        <v>0</v>
      </c>
      <c r="H2135" s="113">
        <f>'Sampling Data'!G2135</f>
        <v>0</v>
      </c>
      <c r="I2135" s="112">
        <f>'Sampling Data'!H2135</f>
        <v>0</v>
      </c>
      <c r="J2135" s="112">
        <f>'Sampling Data'!I2135</f>
        <v>0</v>
      </c>
      <c r="K2135" s="112">
        <f>'Sampling Data'!J2135</f>
        <v>60</v>
      </c>
      <c r="L2135" s="111">
        <f>'Sampling Data'!X2135</f>
        <v>0</v>
      </c>
      <c r="M2135" s="114"/>
      <c r="N2135" s="114"/>
      <c r="O2135" s="115"/>
      <c r="P2135" s="115"/>
      <c r="Q2135" s="116"/>
      <c r="R2135" s="116"/>
      <c r="S2135" s="111">
        <f>Audit[[#This Row],[Audit Losing Candidate]]-Audit[[#This Row],[Losing Candidate]]</f>
        <v>-14</v>
      </c>
      <c r="T2135" s="111">
        <f>Audit[[#This Row],[Audit Winning Candidate]]-Audit[[#This Row],[Winning Candidate]]</f>
        <v>-36</v>
      </c>
      <c r="U2135" s="111">
        <f>Audit[[#This Row],[Audit Candidate 3]]-Audit[[#This Row],[Candidate 3]]</f>
        <v>-4</v>
      </c>
      <c r="V2135" s="111">
        <f>Audit[[#This Row],[Audit Candidate 4]]-Audit[[#This Row],[Candidate 4]]</f>
        <v>-6</v>
      </c>
      <c r="W2135" s="111">
        <f>Audit[[#This Row],[Audit Candidate 5]]-Audit[[#This Row],[Candidate 5]]</f>
        <v>0</v>
      </c>
      <c r="X2135" s="111">
        <f>Audit[[#This Row],[Audit Candidate 6]]-Audit[[#This Row],[Candidate 6]]</f>
        <v>0</v>
      </c>
      <c r="Y2135" s="111">
        <f>SUMIF(Audit[[#This Row],[Difference Loser]:[Difference Candidate 6]], "&gt;0")</f>
        <v>0</v>
      </c>
      <c r="Z2135" s="111">
        <f>SUM(Audit[[#This Row],[Difference Loser]:[Difference Candidate 6]])</f>
        <v>-60</v>
      </c>
      <c r="AA2135" s="111">
        <f>IF(Audit[[#This Row],[Times p Drawn - With Replacement]]&gt;0, IF(Audit[[#This Row],[Canceled Differences]]&lt;0, Audit[[#This Row],[Max Differences]]+ABS(Audit[[#This Row],[Canceled Differences]]), Audit[[#This Row],[Max Differences]]), 0)</f>
        <v>0</v>
      </c>
      <c r="AB2135" s="111">
        <f>'Sampling Data'!P2135</f>
        <v>5.0220480156785889E-3</v>
      </c>
      <c r="AC2135" s="111">
        <f>IF(
      SUM(Audit[[#This Row],[Audit Losing Candidate]:[Audit Candidate 6]])
      &lt;&gt;0,
      (Audit[[#This Row],[Winning Candidate]]-Audit[[#This Row],[Losing Candidate]]-(Audit[[#This Row],[Audit Winning Candidate]]-Audit[[#This Row],[Audit Losing Candidate]]))/(Audit[[#Totals],[Winning Candidate]]-Audit[[#Totals],[Losing Candidate]]),
      0
)</f>
        <v>0</v>
      </c>
      <c r="AD213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5" s="111">
        <f>IF(Audit[[#This Row],[Max Relative Error (ep)]] = 0, 0, Audit[[#This Row],[Max Relative Error (ep)]]/Audit[[#This Row],[Error Bound (up) - Max. possible relative overstatement]])</f>
        <v>0</v>
      </c>
      <c r="AJ213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35" s="111">
        <f t="shared" si="33"/>
        <v>1</v>
      </c>
      <c r="AL2135" s="111">
        <f>PRODUCT($AK$5:AK2135)</f>
        <v>8.962823818226312E-2</v>
      </c>
      <c r="AM2135" s="109">
        <f>1 - [K-M P Value]</f>
        <v>0.91037176181773694</v>
      </c>
      <c r="AN2135" s="111" t="str">
        <f>IF(Audit[[#This Row],[K-M P Value]]&gt;1-'General Info'!$B$16,"Continue", "Stop")</f>
        <v>Stop</v>
      </c>
      <c r="AO2135" s="110" t="b">
        <f>IF(Audit[[#This Row],[Status - Continue or stop audit]] = "Continue", TRUE, IF(AN2134 = "Continue", TRUE, FALSE))</f>
        <v>0</v>
      </c>
      <c r="AP2135" s="110"/>
    </row>
    <row r="2136" spans="1:42" ht="15" hidden="1" customHeight="1">
      <c r="A2136" s="111" t="str">
        <f>'Sampling Data'!W2136</f>
        <v/>
      </c>
      <c r="B2136" s="112" t="str">
        <f>'Sampling Data'!A2136</f>
        <v>WESTLAKE -03-B - ABS</v>
      </c>
      <c r="C2136" s="112">
        <f>'Sampling Data'!B2136</f>
        <v>12</v>
      </c>
      <c r="D2136" s="112">
        <f>'Sampling Data'!C2136</f>
        <v>26</v>
      </c>
      <c r="E2136" s="113">
        <f>'Sampling Data'!D2136</f>
        <v>4</v>
      </c>
      <c r="F2136" s="113">
        <f>'Sampling Data'!E2136</f>
        <v>0</v>
      </c>
      <c r="G2136" s="113">
        <f>'Sampling Data'!F2136</f>
        <v>1</v>
      </c>
      <c r="H2136" s="113">
        <f>'Sampling Data'!G2136</f>
        <v>0</v>
      </c>
      <c r="I2136" s="112">
        <f>'Sampling Data'!H2136</f>
        <v>0</v>
      </c>
      <c r="J2136" s="112">
        <f>'Sampling Data'!I2136</f>
        <v>0</v>
      </c>
      <c r="K2136" s="112">
        <f>'Sampling Data'!J2136</f>
        <v>43</v>
      </c>
      <c r="L2136" s="111">
        <f>'Sampling Data'!X2136</f>
        <v>0</v>
      </c>
      <c r="M2136" s="114"/>
      <c r="N2136" s="114"/>
      <c r="O2136" s="115"/>
      <c r="P2136" s="115"/>
      <c r="Q2136" s="116"/>
      <c r="R2136" s="116"/>
      <c r="S2136" s="111">
        <f>Audit[[#This Row],[Audit Losing Candidate]]-Audit[[#This Row],[Losing Candidate]]</f>
        <v>-12</v>
      </c>
      <c r="T2136" s="111">
        <f>Audit[[#This Row],[Audit Winning Candidate]]-Audit[[#This Row],[Winning Candidate]]</f>
        <v>-26</v>
      </c>
      <c r="U2136" s="111">
        <f>Audit[[#This Row],[Audit Candidate 3]]-Audit[[#This Row],[Candidate 3]]</f>
        <v>-4</v>
      </c>
      <c r="V2136" s="111">
        <f>Audit[[#This Row],[Audit Candidate 4]]-Audit[[#This Row],[Candidate 4]]</f>
        <v>0</v>
      </c>
      <c r="W2136" s="111">
        <f>Audit[[#This Row],[Audit Candidate 5]]-Audit[[#This Row],[Candidate 5]]</f>
        <v>-1</v>
      </c>
      <c r="X2136" s="111">
        <f>Audit[[#This Row],[Audit Candidate 6]]-Audit[[#This Row],[Candidate 6]]</f>
        <v>0</v>
      </c>
      <c r="Y2136" s="111">
        <f>SUMIF(Audit[[#This Row],[Difference Loser]:[Difference Candidate 6]], "&gt;0")</f>
        <v>0</v>
      </c>
      <c r="Z2136" s="111">
        <f>SUM(Audit[[#This Row],[Difference Loser]:[Difference Candidate 6]])</f>
        <v>-43</v>
      </c>
      <c r="AA2136" s="111">
        <f>IF(Audit[[#This Row],[Times p Drawn - With Replacement]]&gt;0, IF(Audit[[#This Row],[Canceled Differences]]&lt;0, Audit[[#This Row],[Max Differences]]+ABS(Audit[[#This Row],[Canceled Differences]]), Audit[[#This Row],[Max Differences]]), 0)</f>
        <v>0</v>
      </c>
      <c r="AB2136" s="111">
        <f>'Sampling Data'!P2136</f>
        <v>3.4909358157765801E-3</v>
      </c>
      <c r="AC2136" s="111">
        <f>IF(
      SUM(Audit[[#This Row],[Audit Losing Candidate]:[Audit Candidate 6]])
      &lt;&gt;0,
      (Audit[[#This Row],[Winning Candidate]]-Audit[[#This Row],[Losing Candidate]]-(Audit[[#This Row],[Audit Winning Candidate]]-Audit[[#This Row],[Audit Losing Candidate]]))/(Audit[[#Totals],[Winning Candidate]]-Audit[[#Totals],[Losing Candidate]]),
      0
)</f>
        <v>0</v>
      </c>
      <c r="AD213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6" s="111">
        <f>IF(Audit[[#This Row],[Max Relative Error (ep)]] = 0, 0, Audit[[#This Row],[Max Relative Error (ep)]]/Audit[[#This Row],[Error Bound (up) - Max. possible relative overstatement]])</f>
        <v>0</v>
      </c>
      <c r="AJ213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36" s="111">
        <f t="shared" si="33"/>
        <v>1</v>
      </c>
      <c r="AL2136" s="111">
        <f>PRODUCT($AK$5:AK2136)</f>
        <v>8.962823818226312E-2</v>
      </c>
      <c r="AM2136" s="109">
        <f>1 - [K-M P Value]</f>
        <v>0.91037176181773694</v>
      </c>
      <c r="AN2136" s="111" t="str">
        <f>IF(Audit[[#This Row],[K-M P Value]]&gt;1-'General Info'!$B$16,"Continue", "Stop")</f>
        <v>Stop</v>
      </c>
      <c r="AO2136" s="110" t="b">
        <f>IF(Audit[[#This Row],[Status - Continue or stop audit]] = "Continue", TRUE, IF(AN2135 = "Continue", TRUE, FALSE))</f>
        <v>0</v>
      </c>
      <c r="AP2136" s="110"/>
    </row>
    <row r="2137" spans="1:42" ht="15" hidden="1" customHeight="1">
      <c r="A2137" s="111" t="str">
        <f>'Sampling Data'!W2137</f>
        <v/>
      </c>
      <c r="B2137" s="112" t="str">
        <f>'Sampling Data'!A2137</f>
        <v>WESTLAKE -03-C</v>
      </c>
      <c r="C2137" s="112">
        <f>'Sampling Data'!B2137</f>
        <v>13</v>
      </c>
      <c r="D2137" s="112">
        <f>'Sampling Data'!C2137</f>
        <v>38</v>
      </c>
      <c r="E2137" s="113">
        <f>'Sampling Data'!D2137</f>
        <v>8</v>
      </c>
      <c r="F2137" s="113">
        <f>'Sampling Data'!E2137</f>
        <v>8</v>
      </c>
      <c r="G2137" s="113">
        <f>'Sampling Data'!F2137</f>
        <v>0</v>
      </c>
      <c r="H2137" s="113">
        <f>'Sampling Data'!G2137</f>
        <v>0</v>
      </c>
      <c r="I2137" s="112">
        <f>'Sampling Data'!H2137</f>
        <v>0</v>
      </c>
      <c r="J2137" s="112">
        <f>'Sampling Data'!I2137</f>
        <v>0</v>
      </c>
      <c r="K2137" s="112">
        <f>'Sampling Data'!J2137</f>
        <v>67</v>
      </c>
      <c r="L2137" s="111">
        <f>'Sampling Data'!X2137</f>
        <v>0</v>
      </c>
      <c r="M2137" s="114"/>
      <c r="N2137" s="114"/>
      <c r="O2137" s="115"/>
      <c r="P2137" s="115"/>
      <c r="Q2137" s="116"/>
      <c r="R2137" s="116"/>
      <c r="S2137" s="111">
        <f>Audit[[#This Row],[Audit Losing Candidate]]-Audit[[#This Row],[Losing Candidate]]</f>
        <v>-13</v>
      </c>
      <c r="T2137" s="111">
        <f>Audit[[#This Row],[Audit Winning Candidate]]-Audit[[#This Row],[Winning Candidate]]</f>
        <v>-38</v>
      </c>
      <c r="U2137" s="111">
        <f>Audit[[#This Row],[Audit Candidate 3]]-Audit[[#This Row],[Candidate 3]]</f>
        <v>-8</v>
      </c>
      <c r="V2137" s="111">
        <f>Audit[[#This Row],[Audit Candidate 4]]-Audit[[#This Row],[Candidate 4]]</f>
        <v>-8</v>
      </c>
      <c r="W2137" s="111">
        <f>Audit[[#This Row],[Audit Candidate 5]]-Audit[[#This Row],[Candidate 5]]</f>
        <v>0</v>
      </c>
      <c r="X2137" s="111">
        <f>Audit[[#This Row],[Audit Candidate 6]]-Audit[[#This Row],[Candidate 6]]</f>
        <v>0</v>
      </c>
      <c r="Y2137" s="111">
        <f>SUMIF(Audit[[#This Row],[Difference Loser]:[Difference Candidate 6]], "&gt;0")</f>
        <v>0</v>
      </c>
      <c r="Z2137" s="111">
        <f>SUM(Audit[[#This Row],[Difference Loser]:[Difference Candidate 6]])</f>
        <v>-67</v>
      </c>
      <c r="AA2137" s="111">
        <f>IF(Audit[[#This Row],[Times p Drawn - With Replacement]]&gt;0, IF(Audit[[#This Row],[Canceled Differences]]&lt;0, Audit[[#This Row],[Max Differences]]+ABS(Audit[[#This Row],[Canceled Differences]]), Audit[[#This Row],[Max Differences]]), 0)</f>
        <v>0</v>
      </c>
      <c r="AB2137" s="111">
        <f>'Sampling Data'!P2137</f>
        <v>5.6344928956393921E-3</v>
      </c>
      <c r="AC2137" s="111">
        <f>IF(
      SUM(Audit[[#This Row],[Audit Losing Candidate]:[Audit Candidate 6]])
      &lt;&gt;0,
      (Audit[[#This Row],[Winning Candidate]]-Audit[[#This Row],[Losing Candidate]]-(Audit[[#This Row],[Audit Winning Candidate]]-Audit[[#This Row],[Audit Losing Candidate]]))/(Audit[[#Totals],[Winning Candidate]]-Audit[[#Totals],[Losing Candidate]]),
      0
)</f>
        <v>0</v>
      </c>
      <c r="AD213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7" s="111">
        <f>IF(Audit[[#This Row],[Max Relative Error (ep)]] = 0, 0, Audit[[#This Row],[Max Relative Error (ep)]]/Audit[[#This Row],[Error Bound (up) - Max. possible relative overstatement]])</f>
        <v>0</v>
      </c>
      <c r="AJ213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37" s="111">
        <f t="shared" si="33"/>
        <v>1</v>
      </c>
      <c r="AL2137" s="111">
        <f>PRODUCT($AK$5:AK2137)</f>
        <v>8.962823818226312E-2</v>
      </c>
      <c r="AM2137" s="109">
        <f>1 - [K-M P Value]</f>
        <v>0.91037176181773694</v>
      </c>
      <c r="AN2137" s="111" t="str">
        <f>IF(Audit[[#This Row],[K-M P Value]]&gt;1-'General Info'!$B$16,"Continue", "Stop")</f>
        <v>Stop</v>
      </c>
      <c r="AO2137" s="110" t="b">
        <f>IF(Audit[[#This Row],[Status - Continue or stop audit]] = "Continue", TRUE, IF(AN2136 = "Continue", TRUE, FALSE))</f>
        <v>0</v>
      </c>
      <c r="AP2137" s="110"/>
    </row>
    <row r="2138" spans="1:42" ht="15" hidden="1" customHeight="1">
      <c r="A2138" s="111" t="str">
        <f>'Sampling Data'!W2138</f>
        <v/>
      </c>
      <c r="B2138" s="112" t="str">
        <f>'Sampling Data'!A2138</f>
        <v>WESTLAKE -03-C - ABS</v>
      </c>
      <c r="C2138" s="112">
        <f>'Sampling Data'!B2138</f>
        <v>10</v>
      </c>
      <c r="D2138" s="112">
        <f>'Sampling Data'!C2138</f>
        <v>20</v>
      </c>
      <c r="E2138" s="113">
        <f>'Sampling Data'!D2138</f>
        <v>8</v>
      </c>
      <c r="F2138" s="113">
        <f>'Sampling Data'!E2138</f>
        <v>1</v>
      </c>
      <c r="G2138" s="113">
        <f>'Sampling Data'!F2138</f>
        <v>0</v>
      </c>
      <c r="H2138" s="113">
        <f>'Sampling Data'!G2138</f>
        <v>1</v>
      </c>
      <c r="I2138" s="112">
        <f>'Sampling Data'!H2138</f>
        <v>0</v>
      </c>
      <c r="J2138" s="112">
        <f>'Sampling Data'!I2138</f>
        <v>3</v>
      </c>
      <c r="K2138" s="112">
        <f>'Sampling Data'!J2138</f>
        <v>43</v>
      </c>
      <c r="L2138" s="111">
        <f>'Sampling Data'!X2138</f>
        <v>0</v>
      </c>
      <c r="M2138" s="114"/>
      <c r="N2138" s="114"/>
      <c r="O2138" s="115"/>
      <c r="P2138" s="115"/>
      <c r="Q2138" s="116"/>
      <c r="R2138" s="116"/>
      <c r="S2138" s="111">
        <f>Audit[[#This Row],[Audit Losing Candidate]]-Audit[[#This Row],[Losing Candidate]]</f>
        <v>-10</v>
      </c>
      <c r="T2138" s="111">
        <f>Audit[[#This Row],[Audit Winning Candidate]]-Audit[[#This Row],[Winning Candidate]]</f>
        <v>-20</v>
      </c>
      <c r="U2138" s="111">
        <f>Audit[[#This Row],[Audit Candidate 3]]-Audit[[#This Row],[Candidate 3]]</f>
        <v>-8</v>
      </c>
      <c r="V2138" s="111">
        <f>Audit[[#This Row],[Audit Candidate 4]]-Audit[[#This Row],[Candidate 4]]</f>
        <v>-1</v>
      </c>
      <c r="W2138" s="111">
        <f>Audit[[#This Row],[Audit Candidate 5]]-Audit[[#This Row],[Candidate 5]]</f>
        <v>0</v>
      </c>
      <c r="X2138" s="111">
        <f>Audit[[#This Row],[Audit Candidate 6]]-Audit[[#This Row],[Candidate 6]]</f>
        <v>-1</v>
      </c>
      <c r="Y2138" s="111">
        <f>SUMIF(Audit[[#This Row],[Difference Loser]:[Difference Candidate 6]], "&gt;0")</f>
        <v>0</v>
      </c>
      <c r="Z2138" s="111">
        <f>SUM(Audit[[#This Row],[Difference Loser]:[Difference Candidate 6]])</f>
        <v>-40</v>
      </c>
      <c r="AA2138" s="111">
        <f>IF(Audit[[#This Row],[Times p Drawn - With Replacement]]&gt;0, IF(Audit[[#This Row],[Canceled Differences]]&lt;0, Audit[[#This Row],[Max Differences]]+ABS(Audit[[#This Row],[Canceled Differences]]), Audit[[#This Row],[Max Differences]]), 0)</f>
        <v>0</v>
      </c>
      <c r="AB2138" s="111">
        <f>'Sampling Data'!P2138</f>
        <v>3.2459578637922589E-3</v>
      </c>
      <c r="AC2138" s="111">
        <f>IF(
      SUM(Audit[[#This Row],[Audit Losing Candidate]:[Audit Candidate 6]])
      &lt;&gt;0,
      (Audit[[#This Row],[Winning Candidate]]-Audit[[#This Row],[Losing Candidate]]-(Audit[[#This Row],[Audit Winning Candidate]]-Audit[[#This Row],[Audit Losing Candidate]]))/(Audit[[#Totals],[Winning Candidate]]-Audit[[#Totals],[Losing Candidate]]),
      0
)</f>
        <v>0</v>
      </c>
      <c r="AD213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8" s="111">
        <f>IF(Audit[[#This Row],[Max Relative Error (ep)]] = 0, 0, Audit[[#This Row],[Max Relative Error (ep)]]/Audit[[#This Row],[Error Bound (up) - Max. possible relative overstatement]])</f>
        <v>0</v>
      </c>
      <c r="AJ213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38" s="111">
        <f t="shared" si="33"/>
        <v>1</v>
      </c>
      <c r="AL2138" s="111">
        <f>PRODUCT($AK$5:AK2138)</f>
        <v>8.962823818226312E-2</v>
      </c>
      <c r="AM2138" s="109">
        <f>1 - [K-M P Value]</f>
        <v>0.91037176181773694</v>
      </c>
      <c r="AN2138" s="111" t="str">
        <f>IF(Audit[[#This Row],[K-M P Value]]&gt;1-'General Info'!$B$16,"Continue", "Stop")</f>
        <v>Stop</v>
      </c>
      <c r="AO2138" s="110" t="b">
        <f>IF(Audit[[#This Row],[Status - Continue or stop audit]] = "Continue", TRUE, IF(AN2137 = "Continue", TRUE, FALSE))</f>
        <v>0</v>
      </c>
      <c r="AP2138" s="110"/>
    </row>
    <row r="2139" spans="1:42" ht="15" hidden="1" customHeight="1">
      <c r="A2139" s="111" t="str">
        <f>'Sampling Data'!W2139</f>
        <v/>
      </c>
      <c r="B2139" s="112" t="str">
        <f>'Sampling Data'!A2139</f>
        <v>WESTLAKE -03-D</v>
      </c>
      <c r="C2139" s="112">
        <f>'Sampling Data'!B2139</f>
        <v>7</v>
      </c>
      <c r="D2139" s="112">
        <f>'Sampling Data'!C2139</f>
        <v>10</v>
      </c>
      <c r="E2139" s="113">
        <f>'Sampling Data'!D2139</f>
        <v>5</v>
      </c>
      <c r="F2139" s="113">
        <f>'Sampling Data'!E2139</f>
        <v>7</v>
      </c>
      <c r="G2139" s="113">
        <f>'Sampling Data'!F2139</f>
        <v>0</v>
      </c>
      <c r="H2139" s="113">
        <f>'Sampling Data'!G2139</f>
        <v>0</v>
      </c>
      <c r="I2139" s="112">
        <f>'Sampling Data'!H2139</f>
        <v>0</v>
      </c>
      <c r="J2139" s="112">
        <f>'Sampling Data'!I2139</f>
        <v>0</v>
      </c>
      <c r="K2139" s="112">
        <f>'Sampling Data'!J2139</f>
        <v>29</v>
      </c>
      <c r="L2139" s="111">
        <f>'Sampling Data'!X2139</f>
        <v>0</v>
      </c>
      <c r="M2139" s="114"/>
      <c r="N2139" s="114"/>
      <c r="O2139" s="115"/>
      <c r="P2139" s="115"/>
      <c r="Q2139" s="116"/>
      <c r="R2139" s="116"/>
      <c r="S2139" s="111">
        <f>Audit[[#This Row],[Audit Losing Candidate]]-Audit[[#This Row],[Losing Candidate]]</f>
        <v>-7</v>
      </c>
      <c r="T2139" s="111">
        <f>Audit[[#This Row],[Audit Winning Candidate]]-Audit[[#This Row],[Winning Candidate]]</f>
        <v>-10</v>
      </c>
      <c r="U2139" s="111">
        <f>Audit[[#This Row],[Audit Candidate 3]]-Audit[[#This Row],[Candidate 3]]</f>
        <v>-5</v>
      </c>
      <c r="V2139" s="111">
        <f>Audit[[#This Row],[Audit Candidate 4]]-Audit[[#This Row],[Candidate 4]]</f>
        <v>-7</v>
      </c>
      <c r="W2139" s="111">
        <f>Audit[[#This Row],[Audit Candidate 5]]-Audit[[#This Row],[Candidate 5]]</f>
        <v>0</v>
      </c>
      <c r="X2139" s="111">
        <f>Audit[[#This Row],[Audit Candidate 6]]-Audit[[#This Row],[Candidate 6]]</f>
        <v>0</v>
      </c>
      <c r="Y2139" s="111">
        <f>SUMIF(Audit[[#This Row],[Difference Loser]:[Difference Candidate 6]], "&gt;0")</f>
        <v>0</v>
      </c>
      <c r="Z2139" s="111">
        <f>SUM(Audit[[#This Row],[Difference Loser]:[Difference Candidate 6]])</f>
        <v>-29</v>
      </c>
      <c r="AA2139" s="111">
        <f>IF(Audit[[#This Row],[Times p Drawn - With Replacement]]&gt;0, IF(Audit[[#This Row],[Canceled Differences]]&lt;0, Audit[[#This Row],[Max Differences]]+ABS(Audit[[#This Row],[Canceled Differences]]), Audit[[#This Row],[Max Differences]]), 0)</f>
        <v>0</v>
      </c>
      <c r="AB2139" s="111">
        <f>'Sampling Data'!P2139</f>
        <v>1.9598236158745713E-3</v>
      </c>
      <c r="AC2139" s="111">
        <f>IF(
      SUM(Audit[[#This Row],[Audit Losing Candidate]:[Audit Candidate 6]])
      &lt;&gt;0,
      (Audit[[#This Row],[Winning Candidate]]-Audit[[#This Row],[Losing Candidate]]-(Audit[[#This Row],[Audit Winning Candidate]]-Audit[[#This Row],[Audit Losing Candidate]]))/(Audit[[#Totals],[Winning Candidate]]-Audit[[#Totals],[Losing Candidate]]),
      0
)</f>
        <v>0</v>
      </c>
      <c r="AD213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9" s="111">
        <f>IF(Audit[[#This Row],[Max Relative Error (ep)]] = 0, 0, Audit[[#This Row],[Max Relative Error (ep)]]/Audit[[#This Row],[Error Bound (up) - Max. possible relative overstatement]])</f>
        <v>0</v>
      </c>
      <c r="AJ213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39" s="111">
        <f t="shared" si="33"/>
        <v>1</v>
      </c>
      <c r="AL2139" s="111">
        <f>PRODUCT($AK$5:AK2139)</f>
        <v>8.962823818226312E-2</v>
      </c>
      <c r="AM2139" s="109">
        <f>1 - [K-M P Value]</f>
        <v>0.91037176181773694</v>
      </c>
      <c r="AN2139" s="111" t="str">
        <f>IF(Audit[[#This Row],[K-M P Value]]&gt;1-'General Info'!$B$16,"Continue", "Stop")</f>
        <v>Stop</v>
      </c>
      <c r="AO2139" s="110" t="b">
        <f>IF(Audit[[#This Row],[Status - Continue or stop audit]] = "Continue", TRUE, IF(AN2138 = "Continue", TRUE, FALSE))</f>
        <v>0</v>
      </c>
      <c r="AP2139" s="110"/>
    </row>
    <row r="2140" spans="1:42" ht="15" hidden="1" customHeight="1">
      <c r="A2140" s="111" t="str">
        <f>'Sampling Data'!W2140</f>
        <v/>
      </c>
      <c r="B2140" s="112" t="str">
        <f>'Sampling Data'!A2140</f>
        <v>WESTLAKE -03-D - ABS</v>
      </c>
      <c r="C2140" s="112">
        <f>'Sampling Data'!B2140</f>
        <v>2</v>
      </c>
      <c r="D2140" s="112">
        <f>'Sampling Data'!C2140</f>
        <v>3</v>
      </c>
      <c r="E2140" s="113">
        <f>'Sampling Data'!D2140</f>
        <v>1</v>
      </c>
      <c r="F2140" s="113">
        <f>'Sampling Data'!E2140</f>
        <v>0</v>
      </c>
      <c r="G2140" s="113">
        <f>'Sampling Data'!F2140</f>
        <v>0</v>
      </c>
      <c r="H2140" s="113">
        <f>'Sampling Data'!G2140</f>
        <v>0</v>
      </c>
      <c r="I2140" s="112">
        <f>'Sampling Data'!H2140</f>
        <v>0</v>
      </c>
      <c r="J2140" s="112">
        <f>'Sampling Data'!I2140</f>
        <v>0</v>
      </c>
      <c r="K2140" s="112">
        <f>'Sampling Data'!J2140</f>
        <v>6</v>
      </c>
      <c r="L2140" s="111">
        <f>'Sampling Data'!X2140</f>
        <v>0</v>
      </c>
      <c r="M2140" s="114"/>
      <c r="N2140" s="114"/>
      <c r="O2140" s="115"/>
      <c r="P2140" s="115"/>
      <c r="Q2140" s="116"/>
      <c r="R2140" s="116"/>
      <c r="S2140" s="111">
        <f>Audit[[#This Row],[Audit Losing Candidate]]-Audit[[#This Row],[Losing Candidate]]</f>
        <v>-2</v>
      </c>
      <c r="T2140" s="111">
        <f>Audit[[#This Row],[Audit Winning Candidate]]-Audit[[#This Row],[Winning Candidate]]</f>
        <v>-3</v>
      </c>
      <c r="U2140" s="111">
        <f>Audit[[#This Row],[Audit Candidate 3]]-Audit[[#This Row],[Candidate 3]]</f>
        <v>-1</v>
      </c>
      <c r="V2140" s="111">
        <f>Audit[[#This Row],[Audit Candidate 4]]-Audit[[#This Row],[Candidate 4]]</f>
        <v>0</v>
      </c>
      <c r="W2140" s="111">
        <f>Audit[[#This Row],[Audit Candidate 5]]-Audit[[#This Row],[Candidate 5]]</f>
        <v>0</v>
      </c>
      <c r="X2140" s="111">
        <f>Audit[[#This Row],[Audit Candidate 6]]-Audit[[#This Row],[Candidate 6]]</f>
        <v>0</v>
      </c>
      <c r="Y2140" s="111">
        <f>SUMIF(Audit[[#This Row],[Difference Loser]:[Difference Candidate 6]], "&gt;0")</f>
        <v>0</v>
      </c>
      <c r="Z2140" s="111">
        <f>SUM(Audit[[#This Row],[Difference Loser]:[Difference Candidate 6]])</f>
        <v>-6</v>
      </c>
      <c r="AA2140" s="111">
        <f>IF(Audit[[#This Row],[Times p Drawn - With Replacement]]&gt;0, IF(Audit[[#This Row],[Canceled Differences]]&lt;0, Audit[[#This Row],[Max Differences]]+ABS(Audit[[#This Row],[Canceled Differences]]), Audit[[#This Row],[Max Differences]]), 0)</f>
        <v>0</v>
      </c>
      <c r="AB2140" s="111">
        <f>'Sampling Data'!P2140</f>
        <v>4.2871141597256246E-4</v>
      </c>
      <c r="AC2140" s="111">
        <f>IF(
      SUM(Audit[[#This Row],[Audit Losing Candidate]:[Audit Candidate 6]])
      &lt;&gt;0,
      (Audit[[#This Row],[Winning Candidate]]-Audit[[#This Row],[Losing Candidate]]-(Audit[[#This Row],[Audit Winning Candidate]]-Audit[[#This Row],[Audit Losing Candidate]]))/(Audit[[#Totals],[Winning Candidate]]-Audit[[#Totals],[Losing Candidate]]),
      0
)</f>
        <v>0</v>
      </c>
      <c r="AD214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0" s="111">
        <f>IF(Audit[[#This Row],[Max Relative Error (ep)]] = 0, 0, Audit[[#This Row],[Max Relative Error (ep)]]/Audit[[#This Row],[Error Bound (up) - Max. possible relative overstatement]])</f>
        <v>0</v>
      </c>
      <c r="AJ214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40" s="111">
        <f t="shared" si="33"/>
        <v>1</v>
      </c>
      <c r="AL2140" s="111">
        <f>PRODUCT($AK$5:AK2140)</f>
        <v>8.962823818226312E-2</v>
      </c>
      <c r="AM2140" s="109">
        <f>1 - [K-M P Value]</f>
        <v>0.91037176181773694</v>
      </c>
      <c r="AN2140" s="111" t="str">
        <f>IF(Audit[[#This Row],[K-M P Value]]&gt;1-'General Info'!$B$16,"Continue", "Stop")</f>
        <v>Stop</v>
      </c>
      <c r="AO2140" s="110" t="b">
        <f>IF(Audit[[#This Row],[Status - Continue or stop audit]] = "Continue", TRUE, IF(AN2139 = "Continue", TRUE, FALSE))</f>
        <v>0</v>
      </c>
      <c r="AP2140" s="110"/>
    </row>
    <row r="2141" spans="1:42" ht="15" hidden="1" customHeight="1">
      <c r="A2141" s="111" t="str">
        <f>'Sampling Data'!W2141</f>
        <v/>
      </c>
      <c r="B2141" s="112" t="str">
        <f>'Sampling Data'!A2141</f>
        <v>WESTLAKE -03-E</v>
      </c>
      <c r="C2141" s="112">
        <f>'Sampling Data'!B2141</f>
        <v>10</v>
      </c>
      <c r="D2141" s="112">
        <f>'Sampling Data'!C2141</f>
        <v>28</v>
      </c>
      <c r="E2141" s="113">
        <f>'Sampling Data'!D2141</f>
        <v>4</v>
      </c>
      <c r="F2141" s="113">
        <f>'Sampling Data'!E2141</f>
        <v>5</v>
      </c>
      <c r="G2141" s="113">
        <f>'Sampling Data'!F2141</f>
        <v>0</v>
      </c>
      <c r="H2141" s="113">
        <f>'Sampling Data'!G2141</f>
        <v>0</v>
      </c>
      <c r="I2141" s="112">
        <f>'Sampling Data'!H2141</f>
        <v>0</v>
      </c>
      <c r="J2141" s="112">
        <f>'Sampling Data'!I2141</f>
        <v>0</v>
      </c>
      <c r="K2141" s="112">
        <f>'Sampling Data'!J2141</f>
        <v>47</v>
      </c>
      <c r="L2141" s="111">
        <f>'Sampling Data'!X2141</f>
        <v>0</v>
      </c>
      <c r="M2141" s="114"/>
      <c r="N2141" s="114"/>
      <c r="O2141" s="115"/>
      <c r="P2141" s="115"/>
      <c r="Q2141" s="116"/>
      <c r="R2141" s="116"/>
      <c r="S2141" s="111">
        <f>Audit[[#This Row],[Audit Losing Candidate]]-Audit[[#This Row],[Losing Candidate]]</f>
        <v>-10</v>
      </c>
      <c r="T2141" s="111">
        <f>Audit[[#This Row],[Audit Winning Candidate]]-Audit[[#This Row],[Winning Candidate]]</f>
        <v>-28</v>
      </c>
      <c r="U2141" s="111">
        <f>Audit[[#This Row],[Audit Candidate 3]]-Audit[[#This Row],[Candidate 3]]</f>
        <v>-4</v>
      </c>
      <c r="V2141" s="111">
        <f>Audit[[#This Row],[Audit Candidate 4]]-Audit[[#This Row],[Candidate 4]]</f>
        <v>-5</v>
      </c>
      <c r="W2141" s="111">
        <f>Audit[[#This Row],[Audit Candidate 5]]-Audit[[#This Row],[Candidate 5]]</f>
        <v>0</v>
      </c>
      <c r="X2141" s="111">
        <f>Audit[[#This Row],[Audit Candidate 6]]-Audit[[#This Row],[Candidate 6]]</f>
        <v>0</v>
      </c>
      <c r="Y2141" s="111">
        <f>SUMIF(Audit[[#This Row],[Difference Loser]:[Difference Candidate 6]], "&gt;0")</f>
        <v>0</v>
      </c>
      <c r="Z2141" s="111">
        <f>SUM(Audit[[#This Row],[Difference Loser]:[Difference Candidate 6]])</f>
        <v>-47</v>
      </c>
      <c r="AA2141" s="111">
        <f>IF(Audit[[#This Row],[Times p Drawn - With Replacement]]&gt;0, IF(Audit[[#This Row],[Canceled Differences]]&lt;0, Audit[[#This Row],[Max Differences]]+ABS(Audit[[#This Row],[Canceled Differences]]), Audit[[#This Row],[Max Differences]]), 0)</f>
        <v>0</v>
      </c>
      <c r="AB2141" s="111">
        <f>'Sampling Data'!P2141</f>
        <v>3.9808917197452229E-3</v>
      </c>
      <c r="AC2141" s="111">
        <f>IF(
      SUM(Audit[[#This Row],[Audit Losing Candidate]:[Audit Candidate 6]])
      &lt;&gt;0,
      (Audit[[#This Row],[Winning Candidate]]-Audit[[#This Row],[Losing Candidate]]-(Audit[[#This Row],[Audit Winning Candidate]]-Audit[[#This Row],[Audit Losing Candidate]]))/(Audit[[#Totals],[Winning Candidate]]-Audit[[#Totals],[Losing Candidate]]),
      0
)</f>
        <v>0</v>
      </c>
      <c r="AD214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1" s="111">
        <f>IF(Audit[[#This Row],[Max Relative Error (ep)]] = 0, 0, Audit[[#This Row],[Max Relative Error (ep)]]/Audit[[#This Row],[Error Bound (up) - Max. possible relative overstatement]])</f>
        <v>0</v>
      </c>
      <c r="AJ214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41" s="111">
        <f t="shared" si="33"/>
        <v>1</v>
      </c>
      <c r="AL2141" s="111">
        <f>PRODUCT($AK$5:AK2141)</f>
        <v>8.962823818226312E-2</v>
      </c>
      <c r="AM2141" s="109">
        <f>1 - [K-M P Value]</f>
        <v>0.91037176181773694</v>
      </c>
      <c r="AN2141" s="111" t="str">
        <f>IF(Audit[[#This Row],[K-M P Value]]&gt;1-'General Info'!$B$16,"Continue", "Stop")</f>
        <v>Stop</v>
      </c>
      <c r="AO2141" s="110" t="b">
        <f>IF(Audit[[#This Row],[Status - Continue or stop audit]] = "Continue", TRUE, IF(AN2140 = "Continue", TRUE, FALSE))</f>
        <v>0</v>
      </c>
      <c r="AP2141" s="110"/>
    </row>
    <row r="2142" spans="1:42" ht="15" hidden="1" customHeight="1">
      <c r="A2142" s="111" t="str">
        <f>'Sampling Data'!W2142</f>
        <v/>
      </c>
      <c r="B2142" s="112" t="str">
        <f>'Sampling Data'!A2142</f>
        <v>WESTLAKE -03-E - ABS</v>
      </c>
      <c r="C2142" s="112">
        <f>'Sampling Data'!B2142</f>
        <v>6</v>
      </c>
      <c r="D2142" s="112">
        <f>'Sampling Data'!C2142</f>
        <v>8</v>
      </c>
      <c r="E2142" s="113">
        <f>'Sampling Data'!D2142</f>
        <v>2</v>
      </c>
      <c r="F2142" s="113">
        <f>'Sampling Data'!E2142</f>
        <v>1</v>
      </c>
      <c r="G2142" s="113">
        <f>'Sampling Data'!F2142</f>
        <v>0</v>
      </c>
      <c r="H2142" s="113">
        <f>'Sampling Data'!G2142</f>
        <v>1</v>
      </c>
      <c r="I2142" s="112">
        <f>'Sampling Data'!H2142</f>
        <v>0</v>
      </c>
      <c r="J2142" s="112">
        <f>'Sampling Data'!I2142</f>
        <v>0</v>
      </c>
      <c r="K2142" s="112">
        <f>'Sampling Data'!J2142</f>
        <v>18</v>
      </c>
      <c r="L2142" s="111">
        <f>'Sampling Data'!X2142</f>
        <v>0</v>
      </c>
      <c r="M2142" s="114"/>
      <c r="N2142" s="114"/>
      <c r="O2142" s="115"/>
      <c r="P2142" s="115"/>
      <c r="Q2142" s="116"/>
      <c r="R2142" s="116"/>
      <c r="S2142" s="111">
        <f>Audit[[#This Row],[Audit Losing Candidate]]-Audit[[#This Row],[Losing Candidate]]</f>
        <v>-6</v>
      </c>
      <c r="T2142" s="111">
        <f>Audit[[#This Row],[Audit Winning Candidate]]-Audit[[#This Row],[Winning Candidate]]</f>
        <v>-8</v>
      </c>
      <c r="U2142" s="111">
        <f>Audit[[#This Row],[Audit Candidate 3]]-Audit[[#This Row],[Candidate 3]]</f>
        <v>-2</v>
      </c>
      <c r="V2142" s="111">
        <f>Audit[[#This Row],[Audit Candidate 4]]-Audit[[#This Row],[Candidate 4]]</f>
        <v>-1</v>
      </c>
      <c r="W2142" s="111">
        <f>Audit[[#This Row],[Audit Candidate 5]]-Audit[[#This Row],[Candidate 5]]</f>
        <v>0</v>
      </c>
      <c r="X2142" s="111">
        <f>Audit[[#This Row],[Audit Candidate 6]]-Audit[[#This Row],[Candidate 6]]</f>
        <v>-1</v>
      </c>
      <c r="Y2142" s="111">
        <f>SUMIF(Audit[[#This Row],[Difference Loser]:[Difference Candidate 6]], "&gt;0")</f>
        <v>0</v>
      </c>
      <c r="Z2142" s="111">
        <f>SUM(Audit[[#This Row],[Difference Loser]:[Difference Candidate 6]])</f>
        <v>-18</v>
      </c>
      <c r="AA2142" s="111">
        <f>IF(Audit[[#This Row],[Times p Drawn - With Replacement]]&gt;0, IF(Audit[[#This Row],[Canceled Differences]]&lt;0, Audit[[#This Row],[Max Differences]]+ABS(Audit[[#This Row],[Canceled Differences]]), Audit[[#This Row],[Max Differences]]), 0)</f>
        <v>0</v>
      </c>
      <c r="AB2142" s="111">
        <f>'Sampling Data'!P2142</f>
        <v>1.224889759921607E-3</v>
      </c>
      <c r="AC2142" s="111">
        <f>IF(
      SUM(Audit[[#This Row],[Audit Losing Candidate]:[Audit Candidate 6]])
      &lt;&gt;0,
      (Audit[[#This Row],[Winning Candidate]]-Audit[[#This Row],[Losing Candidate]]-(Audit[[#This Row],[Audit Winning Candidate]]-Audit[[#This Row],[Audit Losing Candidate]]))/(Audit[[#Totals],[Winning Candidate]]-Audit[[#Totals],[Losing Candidate]]),
      0
)</f>
        <v>0</v>
      </c>
      <c r="AD214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2" s="111">
        <f>IF(Audit[[#This Row],[Max Relative Error (ep)]] = 0, 0, Audit[[#This Row],[Max Relative Error (ep)]]/Audit[[#This Row],[Error Bound (up) - Max. possible relative overstatement]])</f>
        <v>0</v>
      </c>
      <c r="AJ214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42" s="111">
        <f t="shared" si="33"/>
        <v>1</v>
      </c>
      <c r="AL2142" s="111">
        <f>PRODUCT($AK$5:AK2142)</f>
        <v>8.962823818226312E-2</v>
      </c>
      <c r="AM2142" s="109">
        <f>1 - [K-M P Value]</f>
        <v>0.91037176181773694</v>
      </c>
      <c r="AN2142" s="111" t="str">
        <f>IF(Audit[[#This Row],[K-M P Value]]&gt;1-'General Info'!$B$16,"Continue", "Stop")</f>
        <v>Stop</v>
      </c>
      <c r="AO2142" s="110" t="b">
        <f>IF(Audit[[#This Row],[Status - Continue or stop audit]] = "Continue", TRUE, IF(AN2141 = "Continue", TRUE, FALSE))</f>
        <v>0</v>
      </c>
      <c r="AP2142" s="110"/>
    </row>
    <row r="2143" spans="1:42" ht="15" hidden="1" customHeight="1">
      <c r="A2143" s="111" t="str">
        <f>'Sampling Data'!W2143</f>
        <v/>
      </c>
      <c r="B2143" s="112" t="str">
        <f>'Sampling Data'!A2143</f>
        <v>WESTLAKE -04-A</v>
      </c>
      <c r="C2143" s="112">
        <f>'Sampling Data'!B2143</f>
        <v>33</v>
      </c>
      <c r="D2143" s="112">
        <f>'Sampling Data'!C2143</f>
        <v>62</v>
      </c>
      <c r="E2143" s="113">
        <f>'Sampling Data'!D2143</f>
        <v>13</v>
      </c>
      <c r="F2143" s="113">
        <f>'Sampling Data'!E2143</f>
        <v>5</v>
      </c>
      <c r="G2143" s="113">
        <f>'Sampling Data'!F2143</f>
        <v>0</v>
      </c>
      <c r="H2143" s="113">
        <f>'Sampling Data'!G2143</f>
        <v>1</v>
      </c>
      <c r="I2143" s="112">
        <f>'Sampling Data'!H2143</f>
        <v>0</v>
      </c>
      <c r="J2143" s="112">
        <f>'Sampling Data'!I2143</f>
        <v>0</v>
      </c>
      <c r="K2143" s="112">
        <f>'Sampling Data'!J2143</f>
        <v>114</v>
      </c>
      <c r="L2143" s="111">
        <f>'Sampling Data'!X2143</f>
        <v>0</v>
      </c>
      <c r="M2143" s="114"/>
      <c r="N2143" s="114"/>
      <c r="O2143" s="115"/>
      <c r="P2143" s="115"/>
      <c r="Q2143" s="116"/>
      <c r="R2143" s="116"/>
      <c r="S2143" s="111">
        <f>Audit[[#This Row],[Audit Losing Candidate]]-Audit[[#This Row],[Losing Candidate]]</f>
        <v>-33</v>
      </c>
      <c r="T2143" s="111">
        <f>Audit[[#This Row],[Audit Winning Candidate]]-Audit[[#This Row],[Winning Candidate]]</f>
        <v>-62</v>
      </c>
      <c r="U2143" s="111">
        <f>Audit[[#This Row],[Audit Candidate 3]]-Audit[[#This Row],[Candidate 3]]</f>
        <v>-13</v>
      </c>
      <c r="V2143" s="111">
        <f>Audit[[#This Row],[Audit Candidate 4]]-Audit[[#This Row],[Candidate 4]]</f>
        <v>-5</v>
      </c>
      <c r="W2143" s="111">
        <f>Audit[[#This Row],[Audit Candidate 5]]-Audit[[#This Row],[Candidate 5]]</f>
        <v>0</v>
      </c>
      <c r="X2143" s="111">
        <f>Audit[[#This Row],[Audit Candidate 6]]-Audit[[#This Row],[Candidate 6]]</f>
        <v>-1</v>
      </c>
      <c r="Y2143" s="111">
        <f>SUMIF(Audit[[#This Row],[Difference Loser]:[Difference Candidate 6]], "&gt;0")</f>
        <v>0</v>
      </c>
      <c r="Z2143" s="111">
        <f>SUM(Audit[[#This Row],[Difference Loser]:[Difference Candidate 6]])</f>
        <v>-114</v>
      </c>
      <c r="AA2143" s="111">
        <f>IF(Audit[[#This Row],[Times p Drawn - With Replacement]]&gt;0, IF(Audit[[#This Row],[Canceled Differences]]&lt;0, Audit[[#This Row],[Max Differences]]+ABS(Audit[[#This Row],[Canceled Differences]]), Audit[[#This Row],[Max Differences]]), 0)</f>
        <v>0</v>
      </c>
      <c r="AB2143" s="111">
        <f>'Sampling Data'!P2143</f>
        <v>8.7579617834394902E-3</v>
      </c>
      <c r="AC2143" s="111">
        <f>IF(
      SUM(Audit[[#This Row],[Audit Losing Candidate]:[Audit Candidate 6]])
      &lt;&gt;0,
      (Audit[[#This Row],[Winning Candidate]]-Audit[[#This Row],[Losing Candidate]]-(Audit[[#This Row],[Audit Winning Candidate]]-Audit[[#This Row],[Audit Losing Candidate]]))/(Audit[[#Totals],[Winning Candidate]]-Audit[[#Totals],[Losing Candidate]]),
      0
)</f>
        <v>0</v>
      </c>
      <c r="AD214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3" s="111">
        <f>IF(Audit[[#This Row],[Max Relative Error (ep)]] = 0, 0, Audit[[#This Row],[Max Relative Error (ep)]]/Audit[[#This Row],[Error Bound (up) - Max. possible relative overstatement]])</f>
        <v>0</v>
      </c>
      <c r="AJ214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43" s="111">
        <f t="shared" si="33"/>
        <v>1</v>
      </c>
      <c r="AL2143" s="111">
        <f>PRODUCT($AK$5:AK2143)</f>
        <v>8.962823818226312E-2</v>
      </c>
      <c r="AM2143" s="109">
        <f>1 - [K-M P Value]</f>
        <v>0.91037176181773694</v>
      </c>
      <c r="AN2143" s="111" t="str">
        <f>IF(Audit[[#This Row],[K-M P Value]]&gt;1-'General Info'!$B$16,"Continue", "Stop")</f>
        <v>Stop</v>
      </c>
      <c r="AO2143" s="110" t="b">
        <f>IF(Audit[[#This Row],[Status - Continue or stop audit]] = "Continue", TRUE, IF(AN2142 = "Continue", TRUE, FALSE))</f>
        <v>0</v>
      </c>
      <c r="AP2143" s="110"/>
    </row>
    <row r="2144" spans="1:42" ht="15" hidden="1" customHeight="1">
      <c r="A2144" s="111" t="str">
        <f>'Sampling Data'!W2144</f>
        <v/>
      </c>
      <c r="B2144" s="112" t="str">
        <f>'Sampling Data'!A2144</f>
        <v>WESTLAKE -04-A - ABS</v>
      </c>
      <c r="C2144" s="112">
        <f>'Sampling Data'!B2144</f>
        <v>12</v>
      </c>
      <c r="D2144" s="112">
        <f>'Sampling Data'!C2144</f>
        <v>30</v>
      </c>
      <c r="E2144" s="113">
        <f>'Sampling Data'!D2144</f>
        <v>7</v>
      </c>
      <c r="F2144" s="113">
        <f>'Sampling Data'!E2144</f>
        <v>2</v>
      </c>
      <c r="G2144" s="113">
        <f>'Sampling Data'!F2144</f>
        <v>0</v>
      </c>
      <c r="H2144" s="113">
        <f>'Sampling Data'!G2144</f>
        <v>0</v>
      </c>
      <c r="I2144" s="112">
        <f>'Sampling Data'!H2144</f>
        <v>0</v>
      </c>
      <c r="J2144" s="112">
        <f>'Sampling Data'!I2144</f>
        <v>0</v>
      </c>
      <c r="K2144" s="112">
        <f>'Sampling Data'!J2144</f>
        <v>51</v>
      </c>
      <c r="L2144" s="111">
        <f>'Sampling Data'!X2144</f>
        <v>0</v>
      </c>
      <c r="M2144" s="114"/>
      <c r="N2144" s="114"/>
      <c r="O2144" s="115"/>
      <c r="P2144" s="115"/>
      <c r="Q2144" s="116"/>
      <c r="R2144" s="116"/>
      <c r="S2144" s="111">
        <f>Audit[[#This Row],[Audit Losing Candidate]]-Audit[[#This Row],[Losing Candidate]]</f>
        <v>-12</v>
      </c>
      <c r="T2144" s="111">
        <f>Audit[[#This Row],[Audit Winning Candidate]]-Audit[[#This Row],[Winning Candidate]]</f>
        <v>-30</v>
      </c>
      <c r="U2144" s="111">
        <f>Audit[[#This Row],[Audit Candidate 3]]-Audit[[#This Row],[Candidate 3]]</f>
        <v>-7</v>
      </c>
      <c r="V2144" s="111">
        <f>Audit[[#This Row],[Audit Candidate 4]]-Audit[[#This Row],[Candidate 4]]</f>
        <v>-2</v>
      </c>
      <c r="W2144" s="111">
        <f>Audit[[#This Row],[Audit Candidate 5]]-Audit[[#This Row],[Candidate 5]]</f>
        <v>0</v>
      </c>
      <c r="X2144" s="111">
        <f>Audit[[#This Row],[Audit Candidate 6]]-Audit[[#This Row],[Candidate 6]]</f>
        <v>0</v>
      </c>
      <c r="Y2144" s="111">
        <f>SUMIF(Audit[[#This Row],[Difference Loser]:[Difference Candidate 6]], "&gt;0")</f>
        <v>0</v>
      </c>
      <c r="Z2144" s="111">
        <f>SUM(Audit[[#This Row],[Difference Loser]:[Difference Candidate 6]])</f>
        <v>-51</v>
      </c>
      <c r="AA2144" s="111">
        <f>IF(Audit[[#This Row],[Times p Drawn - With Replacement]]&gt;0, IF(Audit[[#This Row],[Canceled Differences]]&lt;0, Audit[[#This Row],[Max Differences]]+ABS(Audit[[#This Row],[Canceled Differences]]), Audit[[#This Row],[Max Differences]]), 0)</f>
        <v>0</v>
      </c>
      <c r="AB2144" s="111">
        <f>'Sampling Data'!P2144</f>
        <v>4.2258696717295445E-3</v>
      </c>
      <c r="AC2144" s="111">
        <f>IF(
      SUM(Audit[[#This Row],[Audit Losing Candidate]:[Audit Candidate 6]])
      &lt;&gt;0,
      (Audit[[#This Row],[Winning Candidate]]-Audit[[#This Row],[Losing Candidate]]-(Audit[[#This Row],[Audit Winning Candidate]]-Audit[[#This Row],[Audit Losing Candidate]]))/(Audit[[#Totals],[Winning Candidate]]-Audit[[#Totals],[Losing Candidate]]),
      0
)</f>
        <v>0</v>
      </c>
      <c r="AD214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4" s="111">
        <f>IF(Audit[[#This Row],[Max Relative Error (ep)]] = 0, 0, Audit[[#This Row],[Max Relative Error (ep)]]/Audit[[#This Row],[Error Bound (up) - Max. possible relative overstatement]])</f>
        <v>0</v>
      </c>
      <c r="AJ214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44" s="111">
        <f t="shared" si="33"/>
        <v>1</v>
      </c>
      <c r="AL2144" s="111">
        <f>PRODUCT($AK$5:AK2144)</f>
        <v>8.962823818226312E-2</v>
      </c>
      <c r="AM2144" s="109">
        <f>1 - [K-M P Value]</f>
        <v>0.91037176181773694</v>
      </c>
      <c r="AN2144" s="111" t="str">
        <f>IF(Audit[[#This Row],[K-M P Value]]&gt;1-'General Info'!$B$16,"Continue", "Stop")</f>
        <v>Stop</v>
      </c>
      <c r="AO2144" s="110" t="b">
        <f>IF(Audit[[#This Row],[Status - Continue or stop audit]] = "Continue", TRUE, IF(AN2143 = "Continue", TRUE, FALSE))</f>
        <v>0</v>
      </c>
      <c r="AP2144" s="110"/>
    </row>
    <row r="2145" spans="1:42" ht="15" hidden="1" customHeight="1">
      <c r="A2145" s="111" t="str">
        <f>'Sampling Data'!W2145</f>
        <v/>
      </c>
      <c r="B2145" s="112" t="str">
        <f>'Sampling Data'!A2145</f>
        <v>WESTLAKE -04-B</v>
      </c>
      <c r="C2145" s="112">
        <f>'Sampling Data'!B2145</f>
        <v>43</v>
      </c>
      <c r="D2145" s="112">
        <f>'Sampling Data'!C2145</f>
        <v>74</v>
      </c>
      <c r="E2145" s="113">
        <f>'Sampling Data'!D2145</f>
        <v>19</v>
      </c>
      <c r="F2145" s="113">
        <f>'Sampling Data'!E2145</f>
        <v>6</v>
      </c>
      <c r="G2145" s="113">
        <f>'Sampling Data'!F2145</f>
        <v>1</v>
      </c>
      <c r="H2145" s="113">
        <f>'Sampling Data'!G2145</f>
        <v>0</v>
      </c>
      <c r="I2145" s="112">
        <f>'Sampling Data'!H2145</f>
        <v>0</v>
      </c>
      <c r="J2145" s="112">
        <f>'Sampling Data'!I2145</f>
        <v>1</v>
      </c>
      <c r="K2145" s="112">
        <f>'Sampling Data'!J2145</f>
        <v>144</v>
      </c>
      <c r="L2145" s="111">
        <f>'Sampling Data'!X2145</f>
        <v>0</v>
      </c>
      <c r="M2145" s="114"/>
      <c r="N2145" s="114"/>
      <c r="O2145" s="115"/>
      <c r="P2145" s="115"/>
      <c r="Q2145" s="116"/>
      <c r="R2145" s="116"/>
      <c r="S2145" s="111">
        <f>Audit[[#This Row],[Audit Losing Candidate]]-Audit[[#This Row],[Losing Candidate]]</f>
        <v>-43</v>
      </c>
      <c r="T2145" s="111">
        <f>Audit[[#This Row],[Audit Winning Candidate]]-Audit[[#This Row],[Winning Candidate]]</f>
        <v>-74</v>
      </c>
      <c r="U2145" s="111">
        <f>Audit[[#This Row],[Audit Candidate 3]]-Audit[[#This Row],[Candidate 3]]</f>
        <v>-19</v>
      </c>
      <c r="V2145" s="111">
        <f>Audit[[#This Row],[Audit Candidate 4]]-Audit[[#This Row],[Candidate 4]]</f>
        <v>-6</v>
      </c>
      <c r="W2145" s="111">
        <f>Audit[[#This Row],[Audit Candidate 5]]-Audit[[#This Row],[Candidate 5]]</f>
        <v>-1</v>
      </c>
      <c r="X2145" s="111">
        <f>Audit[[#This Row],[Audit Candidate 6]]-Audit[[#This Row],[Candidate 6]]</f>
        <v>0</v>
      </c>
      <c r="Y2145" s="111">
        <f>SUMIF(Audit[[#This Row],[Difference Loser]:[Difference Candidate 6]], "&gt;0")</f>
        <v>0</v>
      </c>
      <c r="Z2145" s="111">
        <f>SUM(Audit[[#This Row],[Difference Loser]:[Difference Candidate 6]])</f>
        <v>-143</v>
      </c>
      <c r="AA2145" s="111">
        <f>IF(Audit[[#This Row],[Times p Drawn - With Replacement]]&gt;0, IF(Audit[[#This Row],[Canceled Differences]]&lt;0, Audit[[#This Row],[Max Differences]]+ABS(Audit[[#This Row],[Canceled Differences]]), Audit[[#This Row],[Max Differences]]), 0)</f>
        <v>0</v>
      </c>
      <c r="AB2145" s="111">
        <f>'Sampling Data'!P2145</f>
        <v>1.0717785399314061E-2</v>
      </c>
      <c r="AC2145" s="111">
        <f>IF(
      SUM(Audit[[#This Row],[Audit Losing Candidate]:[Audit Candidate 6]])
      &lt;&gt;0,
      (Audit[[#This Row],[Winning Candidate]]-Audit[[#This Row],[Losing Candidate]]-(Audit[[#This Row],[Audit Winning Candidate]]-Audit[[#This Row],[Audit Losing Candidate]]))/(Audit[[#Totals],[Winning Candidate]]-Audit[[#Totals],[Losing Candidate]]),
      0
)</f>
        <v>0</v>
      </c>
      <c r="AD214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5" s="111">
        <f>IF(Audit[[#This Row],[Max Relative Error (ep)]] = 0, 0, Audit[[#This Row],[Max Relative Error (ep)]]/Audit[[#This Row],[Error Bound (up) - Max. possible relative overstatement]])</f>
        <v>0</v>
      </c>
      <c r="AJ214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45" s="111">
        <f t="shared" si="33"/>
        <v>1</v>
      </c>
      <c r="AL2145" s="111">
        <f>PRODUCT($AK$5:AK2145)</f>
        <v>8.962823818226312E-2</v>
      </c>
      <c r="AM2145" s="109">
        <f>1 - [K-M P Value]</f>
        <v>0.91037176181773694</v>
      </c>
      <c r="AN2145" s="111" t="str">
        <f>IF(Audit[[#This Row],[K-M P Value]]&gt;1-'General Info'!$B$16,"Continue", "Stop")</f>
        <v>Stop</v>
      </c>
      <c r="AO2145" s="110" t="b">
        <f>IF(Audit[[#This Row],[Status - Continue or stop audit]] = "Continue", TRUE, IF(AN2144 = "Continue", TRUE, FALSE))</f>
        <v>0</v>
      </c>
      <c r="AP2145" s="110"/>
    </row>
    <row r="2146" spans="1:42" ht="15" hidden="1" customHeight="1">
      <c r="A2146" s="111" t="str">
        <f>'Sampling Data'!W2146</f>
        <v/>
      </c>
      <c r="B2146" s="112" t="str">
        <f>'Sampling Data'!A2146</f>
        <v>WESTLAKE -04-B - ABS</v>
      </c>
      <c r="C2146" s="112">
        <f>'Sampling Data'!B2146</f>
        <v>10</v>
      </c>
      <c r="D2146" s="112">
        <f>'Sampling Data'!C2146</f>
        <v>25</v>
      </c>
      <c r="E2146" s="113">
        <f>'Sampling Data'!D2146</f>
        <v>11</v>
      </c>
      <c r="F2146" s="113">
        <f>'Sampling Data'!E2146</f>
        <v>2</v>
      </c>
      <c r="G2146" s="113">
        <f>'Sampling Data'!F2146</f>
        <v>0</v>
      </c>
      <c r="H2146" s="113">
        <f>'Sampling Data'!G2146</f>
        <v>1</v>
      </c>
      <c r="I2146" s="112">
        <f>'Sampling Data'!H2146</f>
        <v>0</v>
      </c>
      <c r="J2146" s="112">
        <f>'Sampling Data'!I2146</f>
        <v>1</v>
      </c>
      <c r="K2146" s="112">
        <f>'Sampling Data'!J2146</f>
        <v>50</v>
      </c>
      <c r="L2146" s="111">
        <f>'Sampling Data'!X2146</f>
        <v>0</v>
      </c>
      <c r="M2146" s="114"/>
      <c r="N2146" s="114"/>
      <c r="O2146" s="115"/>
      <c r="P2146" s="115"/>
      <c r="Q2146" s="116"/>
      <c r="R2146" s="116"/>
      <c r="S2146" s="111">
        <f>Audit[[#This Row],[Audit Losing Candidate]]-Audit[[#This Row],[Losing Candidate]]</f>
        <v>-10</v>
      </c>
      <c r="T2146" s="111">
        <f>Audit[[#This Row],[Audit Winning Candidate]]-Audit[[#This Row],[Winning Candidate]]</f>
        <v>-25</v>
      </c>
      <c r="U2146" s="111">
        <f>Audit[[#This Row],[Audit Candidate 3]]-Audit[[#This Row],[Candidate 3]]</f>
        <v>-11</v>
      </c>
      <c r="V2146" s="111">
        <f>Audit[[#This Row],[Audit Candidate 4]]-Audit[[#This Row],[Candidate 4]]</f>
        <v>-2</v>
      </c>
      <c r="W2146" s="111">
        <f>Audit[[#This Row],[Audit Candidate 5]]-Audit[[#This Row],[Candidate 5]]</f>
        <v>0</v>
      </c>
      <c r="X2146" s="111">
        <f>Audit[[#This Row],[Audit Candidate 6]]-Audit[[#This Row],[Candidate 6]]</f>
        <v>-1</v>
      </c>
      <c r="Y2146" s="111">
        <f>SUMIF(Audit[[#This Row],[Difference Loser]:[Difference Candidate 6]], "&gt;0")</f>
        <v>0</v>
      </c>
      <c r="Z2146" s="111">
        <f>SUM(Audit[[#This Row],[Difference Loser]:[Difference Candidate 6]])</f>
        <v>-49</v>
      </c>
      <c r="AA2146" s="111">
        <f>IF(Audit[[#This Row],[Times p Drawn - With Replacement]]&gt;0, IF(Audit[[#This Row],[Canceled Differences]]&lt;0, Audit[[#This Row],[Max Differences]]+ABS(Audit[[#This Row],[Canceled Differences]]), Audit[[#This Row],[Max Differences]]), 0)</f>
        <v>0</v>
      </c>
      <c r="AB2146" s="111">
        <f>'Sampling Data'!P2146</f>
        <v>3.9808917197452229E-3</v>
      </c>
      <c r="AC2146" s="111">
        <f>IF(
      SUM(Audit[[#This Row],[Audit Losing Candidate]:[Audit Candidate 6]])
      &lt;&gt;0,
      (Audit[[#This Row],[Winning Candidate]]-Audit[[#This Row],[Losing Candidate]]-(Audit[[#This Row],[Audit Winning Candidate]]-Audit[[#This Row],[Audit Losing Candidate]]))/(Audit[[#Totals],[Winning Candidate]]-Audit[[#Totals],[Losing Candidate]]),
      0
)</f>
        <v>0</v>
      </c>
      <c r="AD214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6" s="111">
        <f>IF(Audit[[#This Row],[Max Relative Error (ep)]] = 0, 0, Audit[[#This Row],[Max Relative Error (ep)]]/Audit[[#This Row],[Error Bound (up) - Max. possible relative overstatement]])</f>
        <v>0</v>
      </c>
      <c r="AJ214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46" s="111">
        <f t="shared" si="33"/>
        <v>1</v>
      </c>
      <c r="AL2146" s="111">
        <f>PRODUCT($AK$5:AK2146)</f>
        <v>8.962823818226312E-2</v>
      </c>
      <c r="AM2146" s="109">
        <f>1 - [K-M P Value]</f>
        <v>0.91037176181773694</v>
      </c>
      <c r="AN2146" s="111" t="str">
        <f>IF(Audit[[#This Row],[K-M P Value]]&gt;1-'General Info'!$B$16,"Continue", "Stop")</f>
        <v>Stop</v>
      </c>
      <c r="AO2146" s="110" t="b">
        <f>IF(Audit[[#This Row],[Status - Continue or stop audit]] = "Continue", TRUE, IF(AN2145 = "Continue", TRUE, FALSE))</f>
        <v>0</v>
      </c>
      <c r="AP2146" s="110"/>
    </row>
    <row r="2147" spans="1:42" ht="15" hidden="1" customHeight="1">
      <c r="A2147" s="111" t="str">
        <f>'Sampling Data'!W2147</f>
        <v/>
      </c>
      <c r="B2147" s="112" t="str">
        <f>'Sampling Data'!A2147</f>
        <v>WESTLAKE -04-C</v>
      </c>
      <c r="C2147" s="112">
        <f>'Sampling Data'!B2147</f>
        <v>27</v>
      </c>
      <c r="D2147" s="112">
        <f>'Sampling Data'!C2147</f>
        <v>54</v>
      </c>
      <c r="E2147" s="113">
        <f>'Sampling Data'!D2147</f>
        <v>19</v>
      </c>
      <c r="F2147" s="113">
        <f>'Sampling Data'!E2147</f>
        <v>9</v>
      </c>
      <c r="G2147" s="113">
        <f>'Sampling Data'!F2147</f>
        <v>0</v>
      </c>
      <c r="H2147" s="113">
        <f>'Sampling Data'!G2147</f>
        <v>0</v>
      </c>
      <c r="I2147" s="112">
        <f>'Sampling Data'!H2147</f>
        <v>0</v>
      </c>
      <c r="J2147" s="112">
        <f>'Sampling Data'!I2147</f>
        <v>0</v>
      </c>
      <c r="K2147" s="112">
        <f>'Sampling Data'!J2147</f>
        <v>109</v>
      </c>
      <c r="L2147" s="111">
        <f>'Sampling Data'!X2147</f>
        <v>0</v>
      </c>
      <c r="M2147" s="114"/>
      <c r="N2147" s="114"/>
      <c r="O2147" s="115"/>
      <c r="P2147" s="115"/>
      <c r="Q2147" s="116"/>
      <c r="R2147" s="116"/>
      <c r="S2147" s="111">
        <f>Audit[[#This Row],[Audit Losing Candidate]]-Audit[[#This Row],[Losing Candidate]]</f>
        <v>-27</v>
      </c>
      <c r="T2147" s="111">
        <f>Audit[[#This Row],[Audit Winning Candidate]]-Audit[[#This Row],[Winning Candidate]]</f>
        <v>-54</v>
      </c>
      <c r="U2147" s="111">
        <f>Audit[[#This Row],[Audit Candidate 3]]-Audit[[#This Row],[Candidate 3]]</f>
        <v>-19</v>
      </c>
      <c r="V2147" s="111">
        <f>Audit[[#This Row],[Audit Candidate 4]]-Audit[[#This Row],[Candidate 4]]</f>
        <v>-9</v>
      </c>
      <c r="W2147" s="111">
        <f>Audit[[#This Row],[Audit Candidate 5]]-Audit[[#This Row],[Candidate 5]]</f>
        <v>0</v>
      </c>
      <c r="X2147" s="111">
        <f>Audit[[#This Row],[Audit Candidate 6]]-Audit[[#This Row],[Candidate 6]]</f>
        <v>0</v>
      </c>
      <c r="Y2147" s="111">
        <f>SUMIF(Audit[[#This Row],[Difference Loser]:[Difference Candidate 6]], "&gt;0")</f>
        <v>0</v>
      </c>
      <c r="Z2147" s="111">
        <f>SUM(Audit[[#This Row],[Difference Loser]:[Difference Candidate 6]])</f>
        <v>-109</v>
      </c>
      <c r="AA2147" s="111">
        <f>IF(Audit[[#This Row],[Times p Drawn - With Replacement]]&gt;0, IF(Audit[[#This Row],[Canceled Differences]]&lt;0, Audit[[#This Row],[Max Differences]]+ABS(Audit[[#This Row],[Canceled Differences]]), Audit[[#This Row],[Max Differences]]), 0)</f>
        <v>0</v>
      </c>
      <c r="AB2147" s="111">
        <f>'Sampling Data'!P2147</f>
        <v>8.3292503674669283E-3</v>
      </c>
      <c r="AC2147" s="111">
        <f>IF(
      SUM(Audit[[#This Row],[Audit Losing Candidate]:[Audit Candidate 6]])
      &lt;&gt;0,
      (Audit[[#This Row],[Winning Candidate]]-Audit[[#This Row],[Losing Candidate]]-(Audit[[#This Row],[Audit Winning Candidate]]-Audit[[#This Row],[Audit Losing Candidate]]))/(Audit[[#Totals],[Winning Candidate]]-Audit[[#Totals],[Losing Candidate]]),
      0
)</f>
        <v>0</v>
      </c>
      <c r="AD214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7" s="111">
        <f>IF(Audit[[#This Row],[Max Relative Error (ep)]] = 0, 0, Audit[[#This Row],[Max Relative Error (ep)]]/Audit[[#This Row],[Error Bound (up) - Max. possible relative overstatement]])</f>
        <v>0</v>
      </c>
      <c r="AJ214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47" s="111">
        <f t="shared" si="33"/>
        <v>1</v>
      </c>
      <c r="AL2147" s="111">
        <f>PRODUCT($AK$5:AK2147)</f>
        <v>8.962823818226312E-2</v>
      </c>
      <c r="AM2147" s="109">
        <f>1 - [K-M P Value]</f>
        <v>0.91037176181773694</v>
      </c>
      <c r="AN2147" s="111" t="str">
        <f>IF(Audit[[#This Row],[K-M P Value]]&gt;1-'General Info'!$B$16,"Continue", "Stop")</f>
        <v>Stop</v>
      </c>
      <c r="AO2147" s="110" t="b">
        <f>IF(Audit[[#This Row],[Status - Continue or stop audit]] = "Continue", TRUE, IF(AN2146 = "Continue", TRUE, FALSE))</f>
        <v>0</v>
      </c>
      <c r="AP2147" s="110"/>
    </row>
    <row r="2148" spans="1:42" ht="15" hidden="1" customHeight="1">
      <c r="A2148" s="111" t="str">
        <f>'Sampling Data'!W2148</f>
        <v/>
      </c>
      <c r="B2148" s="112" t="str">
        <f>'Sampling Data'!A2148</f>
        <v>WESTLAKE -04-C - ABS</v>
      </c>
      <c r="C2148" s="112">
        <f>'Sampling Data'!B2148</f>
        <v>7</v>
      </c>
      <c r="D2148" s="112">
        <f>'Sampling Data'!C2148</f>
        <v>33</v>
      </c>
      <c r="E2148" s="113">
        <f>'Sampling Data'!D2148</f>
        <v>5</v>
      </c>
      <c r="F2148" s="113">
        <f>'Sampling Data'!E2148</f>
        <v>5</v>
      </c>
      <c r="G2148" s="113">
        <f>'Sampling Data'!F2148</f>
        <v>1</v>
      </c>
      <c r="H2148" s="113">
        <f>'Sampling Data'!G2148</f>
        <v>0</v>
      </c>
      <c r="I2148" s="112">
        <f>'Sampling Data'!H2148</f>
        <v>0</v>
      </c>
      <c r="J2148" s="112">
        <f>'Sampling Data'!I2148</f>
        <v>0</v>
      </c>
      <c r="K2148" s="112">
        <f>'Sampling Data'!J2148</f>
        <v>51</v>
      </c>
      <c r="L2148" s="111">
        <f>'Sampling Data'!X2148</f>
        <v>0</v>
      </c>
      <c r="M2148" s="114"/>
      <c r="N2148" s="114"/>
      <c r="O2148" s="115"/>
      <c r="P2148" s="115"/>
      <c r="Q2148" s="116"/>
      <c r="R2148" s="116"/>
      <c r="S2148" s="111">
        <f>Audit[[#This Row],[Audit Losing Candidate]]-Audit[[#This Row],[Losing Candidate]]</f>
        <v>-7</v>
      </c>
      <c r="T2148" s="111">
        <f>Audit[[#This Row],[Audit Winning Candidate]]-Audit[[#This Row],[Winning Candidate]]</f>
        <v>-33</v>
      </c>
      <c r="U2148" s="111">
        <f>Audit[[#This Row],[Audit Candidate 3]]-Audit[[#This Row],[Candidate 3]]</f>
        <v>-5</v>
      </c>
      <c r="V2148" s="111">
        <f>Audit[[#This Row],[Audit Candidate 4]]-Audit[[#This Row],[Candidate 4]]</f>
        <v>-5</v>
      </c>
      <c r="W2148" s="111">
        <f>Audit[[#This Row],[Audit Candidate 5]]-Audit[[#This Row],[Candidate 5]]</f>
        <v>-1</v>
      </c>
      <c r="X2148" s="111">
        <f>Audit[[#This Row],[Audit Candidate 6]]-Audit[[#This Row],[Candidate 6]]</f>
        <v>0</v>
      </c>
      <c r="Y2148" s="111">
        <f>SUMIF(Audit[[#This Row],[Difference Loser]:[Difference Candidate 6]], "&gt;0")</f>
        <v>0</v>
      </c>
      <c r="Z2148" s="111">
        <f>SUM(Audit[[#This Row],[Difference Loser]:[Difference Candidate 6]])</f>
        <v>-51</v>
      </c>
      <c r="AA2148" s="111">
        <f>IF(Audit[[#This Row],[Times p Drawn - With Replacement]]&gt;0, IF(Audit[[#This Row],[Canceled Differences]]&lt;0, Audit[[#This Row],[Max Differences]]+ABS(Audit[[#This Row],[Canceled Differences]]), Audit[[#This Row],[Max Differences]]), 0)</f>
        <v>0</v>
      </c>
      <c r="AB2148" s="111">
        <f>'Sampling Data'!P2148</f>
        <v>4.7158255756981869E-3</v>
      </c>
      <c r="AC2148" s="111">
        <f>IF(
      SUM(Audit[[#This Row],[Audit Losing Candidate]:[Audit Candidate 6]])
      &lt;&gt;0,
      (Audit[[#This Row],[Winning Candidate]]-Audit[[#This Row],[Losing Candidate]]-(Audit[[#This Row],[Audit Winning Candidate]]-Audit[[#This Row],[Audit Losing Candidate]]))/(Audit[[#Totals],[Winning Candidate]]-Audit[[#Totals],[Losing Candidate]]),
      0
)</f>
        <v>0</v>
      </c>
      <c r="AD214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8" s="111">
        <f>IF(Audit[[#This Row],[Max Relative Error (ep)]] = 0, 0, Audit[[#This Row],[Max Relative Error (ep)]]/Audit[[#This Row],[Error Bound (up) - Max. possible relative overstatement]])</f>
        <v>0</v>
      </c>
      <c r="AJ214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48" s="111">
        <f t="shared" si="33"/>
        <v>1</v>
      </c>
      <c r="AL2148" s="111">
        <f>PRODUCT($AK$5:AK2148)</f>
        <v>8.962823818226312E-2</v>
      </c>
      <c r="AM2148" s="109">
        <f>1 - [K-M P Value]</f>
        <v>0.91037176181773694</v>
      </c>
      <c r="AN2148" s="111" t="str">
        <f>IF(Audit[[#This Row],[K-M P Value]]&gt;1-'General Info'!$B$16,"Continue", "Stop")</f>
        <v>Stop</v>
      </c>
      <c r="AO2148" s="110" t="b">
        <f>IF(Audit[[#This Row],[Status - Continue or stop audit]] = "Continue", TRUE, IF(AN2147 = "Continue", TRUE, FALSE))</f>
        <v>0</v>
      </c>
      <c r="AP2148" s="110"/>
    </row>
    <row r="2149" spans="1:42" ht="15" hidden="1" customHeight="1">
      <c r="A2149" s="111" t="str">
        <f>'Sampling Data'!W2149</f>
        <v/>
      </c>
      <c r="B2149" s="112" t="str">
        <f>'Sampling Data'!A2149</f>
        <v>WESTLAKE -04-D</v>
      </c>
      <c r="C2149" s="112">
        <f>'Sampling Data'!B2149</f>
        <v>32</v>
      </c>
      <c r="D2149" s="112">
        <f>'Sampling Data'!C2149</f>
        <v>76</v>
      </c>
      <c r="E2149" s="113">
        <f>'Sampling Data'!D2149</f>
        <v>27</v>
      </c>
      <c r="F2149" s="113">
        <f>'Sampling Data'!E2149</f>
        <v>9</v>
      </c>
      <c r="G2149" s="113">
        <f>'Sampling Data'!F2149</f>
        <v>0</v>
      </c>
      <c r="H2149" s="113">
        <f>'Sampling Data'!G2149</f>
        <v>0</v>
      </c>
      <c r="I2149" s="112">
        <f>'Sampling Data'!H2149</f>
        <v>0</v>
      </c>
      <c r="J2149" s="112">
        <f>'Sampling Data'!I2149</f>
        <v>2</v>
      </c>
      <c r="K2149" s="112">
        <f>'Sampling Data'!J2149</f>
        <v>146</v>
      </c>
      <c r="L2149" s="111">
        <f>'Sampling Data'!X2149</f>
        <v>0</v>
      </c>
      <c r="M2149" s="114"/>
      <c r="N2149" s="114"/>
      <c r="O2149" s="115"/>
      <c r="P2149" s="115"/>
      <c r="Q2149" s="116"/>
      <c r="R2149" s="116"/>
      <c r="S2149" s="111">
        <f>Audit[[#This Row],[Audit Losing Candidate]]-Audit[[#This Row],[Losing Candidate]]</f>
        <v>-32</v>
      </c>
      <c r="T2149" s="111">
        <f>Audit[[#This Row],[Audit Winning Candidate]]-Audit[[#This Row],[Winning Candidate]]</f>
        <v>-76</v>
      </c>
      <c r="U2149" s="111">
        <f>Audit[[#This Row],[Audit Candidate 3]]-Audit[[#This Row],[Candidate 3]]</f>
        <v>-27</v>
      </c>
      <c r="V2149" s="111">
        <f>Audit[[#This Row],[Audit Candidate 4]]-Audit[[#This Row],[Candidate 4]]</f>
        <v>-9</v>
      </c>
      <c r="W2149" s="111">
        <f>Audit[[#This Row],[Audit Candidate 5]]-Audit[[#This Row],[Candidate 5]]</f>
        <v>0</v>
      </c>
      <c r="X2149" s="111">
        <f>Audit[[#This Row],[Audit Candidate 6]]-Audit[[#This Row],[Candidate 6]]</f>
        <v>0</v>
      </c>
      <c r="Y2149" s="111">
        <f>SUMIF(Audit[[#This Row],[Difference Loser]:[Difference Candidate 6]], "&gt;0")</f>
        <v>0</v>
      </c>
      <c r="Z2149" s="111">
        <f>SUM(Audit[[#This Row],[Difference Loser]:[Difference Candidate 6]])</f>
        <v>-144</v>
      </c>
      <c r="AA2149" s="111">
        <f>IF(Audit[[#This Row],[Times p Drawn - With Replacement]]&gt;0, IF(Audit[[#This Row],[Canceled Differences]]&lt;0, Audit[[#This Row],[Max Differences]]+ABS(Audit[[#This Row],[Canceled Differences]]), Audit[[#This Row],[Max Differences]]), 0)</f>
        <v>0</v>
      </c>
      <c r="AB2149" s="111">
        <f>'Sampling Data'!P2149</f>
        <v>1.1636452719255267E-2</v>
      </c>
      <c r="AC2149" s="111">
        <f>IF(
      SUM(Audit[[#This Row],[Audit Losing Candidate]:[Audit Candidate 6]])
      &lt;&gt;0,
      (Audit[[#This Row],[Winning Candidate]]-Audit[[#This Row],[Losing Candidate]]-(Audit[[#This Row],[Audit Winning Candidate]]-Audit[[#This Row],[Audit Losing Candidate]]))/(Audit[[#Totals],[Winning Candidate]]-Audit[[#Totals],[Losing Candidate]]),
      0
)</f>
        <v>0</v>
      </c>
      <c r="AD214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9" s="111">
        <f>IF(Audit[[#This Row],[Max Relative Error (ep)]] = 0, 0, Audit[[#This Row],[Max Relative Error (ep)]]/Audit[[#This Row],[Error Bound (up) - Max. possible relative overstatement]])</f>
        <v>0</v>
      </c>
      <c r="AJ214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49" s="111">
        <f t="shared" si="33"/>
        <v>1</v>
      </c>
      <c r="AL2149" s="111">
        <f>PRODUCT($AK$5:AK2149)</f>
        <v>8.962823818226312E-2</v>
      </c>
      <c r="AM2149" s="109">
        <f>1 - [K-M P Value]</f>
        <v>0.91037176181773694</v>
      </c>
      <c r="AN2149" s="111" t="str">
        <f>IF(Audit[[#This Row],[K-M P Value]]&gt;1-'General Info'!$B$16,"Continue", "Stop")</f>
        <v>Stop</v>
      </c>
      <c r="AO2149" s="110" t="b">
        <f>IF(Audit[[#This Row],[Status - Continue or stop audit]] = "Continue", TRUE, IF(AN2148 = "Continue", TRUE, FALSE))</f>
        <v>0</v>
      </c>
      <c r="AP2149" s="110"/>
    </row>
    <row r="2150" spans="1:42" ht="15" hidden="1" customHeight="1">
      <c r="A2150" s="111" t="str">
        <f>'Sampling Data'!W2150</f>
        <v/>
      </c>
      <c r="B2150" s="112" t="str">
        <f>'Sampling Data'!A2150</f>
        <v>WESTLAKE -04-D - ABS</v>
      </c>
      <c r="C2150" s="112">
        <f>'Sampling Data'!B2150</f>
        <v>14</v>
      </c>
      <c r="D2150" s="112">
        <f>'Sampling Data'!C2150</f>
        <v>23</v>
      </c>
      <c r="E2150" s="113">
        <f>'Sampling Data'!D2150</f>
        <v>12</v>
      </c>
      <c r="F2150" s="113">
        <f>'Sampling Data'!E2150</f>
        <v>4</v>
      </c>
      <c r="G2150" s="113">
        <f>'Sampling Data'!F2150</f>
        <v>0</v>
      </c>
      <c r="H2150" s="113">
        <f>'Sampling Data'!G2150</f>
        <v>0</v>
      </c>
      <c r="I2150" s="112">
        <f>'Sampling Data'!H2150</f>
        <v>0</v>
      </c>
      <c r="J2150" s="112">
        <f>'Sampling Data'!I2150</f>
        <v>0</v>
      </c>
      <c r="K2150" s="112">
        <f>'Sampling Data'!J2150</f>
        <v>53</v>
      </c>
      <c r="L2150" s="111">
        <f>'Sampling Data'!X2150</f>
        <v>0</v>
      </c>
      <c r="M2150" s="114"/>
      <c r="N2150" s="114"/>
      <c r="O2150" s="115"/>
      <c r="P2150" s="115"/>
      <c r="Q2150" s="116"/>
      <c r="R2150" s="116"/>
      <c r="S2150" s="111">
        <f>Audit[[#This Row],[Audit Losing Candidate]]-Audit[[#This Row],[Losing Candidate]]</f>
        <v>-14</v>
      </c>
      <c r="T2150" s="111">
        <f>Audit[[#This Row],[Audit Winning Candidate]]-Audit[[#This Row],[Winning Candidate]]</f>
        <v>-23</v>
      </c>
      <c r="U2150" s="111">
        <f>Audit[[#This Row],[Audit Candidate 3]]-Audit[[#This Row],[Candidate 3]]</f>
        <v>-12</v>
      </c>
      <c r="V2150" s="111">
        <f>Audit[[#This Row],[Audit Candidate 4]]-Audit[[#This Row],[Candidate 4]]</f>
        <v>-4</v>
      </c>
      <c r="W2150" s="111">
        <f>Audit[[#This Row],[Audit Candidate 5]]-Audit[[#This Row],[Candidate 5]]</f>
        <v>0</v>
      </c>
      <c r="X2150" s="111">
        <f>Audit[[#This Row],[Audit Candidate 6]]-Audit[[#This Row],[Candidate 6]]</f>
        <v>0</v>
      </c>
      <c r="Y2150" s="111">
        <f>SUMIF(Audit[[#This Row],[Difference Loser]:[Difference Candidate 6]], "&gt;0")</f>
        <v>0</v>
      </c>
      <c r="Z2150" s="111">
        <f>SUM(Audit[[#This Row],[Difference Loser]:[Difference Candidate 6]])</f>
        <v>-53</v>
      </c>
      <c r="AA2150" s="111">
        <f>IF(Audit[[#This Row],[Times p Drawn - With Replacement]]&gt;0, IF(Audit[[#This Row],[Canceled Differences]]&lt;0, Audit[[#This Row],[Max Differences]]+ABS(Audit[[#This Row],[Canceled Differences]]), Audit[[#This Row],[Max Differences]]), 0)</f>
        <v>0</v>
      </c>
      <c r="AB2150" s="111">
        <f>'Sampling Data'!P2150</f>
        <v>3.7971582557569817E-3</v>
      </c>
      <c r="AC2150" s="111">
        <f>IF(
      SUM(Audit[[#This Row],[Audit Losing Candidate]:[Audit Candidate 6]])
      &lt;&gt;0,
      (Audit[[#This Row],[Winning Candidate]]-Audit[[#This Row],[Losing Candidate]]-(Audit[[#This Row],[Audit Winning Candidate]]-Audit[[#This Row],[Audit Losing Candidate]]))/(Audit[[#Totals],[Winning Candidate]]-Audit[[#Totals],[Losing Candidate]]),
      0
)</f>
        <v>0</v>
      </c>
      <c r="AD215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0" s="111">
        <f>IF(Audit[[#This Row],[Max Relative Error (ep)]] = 0, 0, Audit[[#This Row],[Max Relative Error (ep)]]/Audit[[#This Row],[Error Bound (up) - Max. possible relative overstatement]])</f>
        <v>0</v>
      </c>
      <c r="AJ215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50" s="111">
        <f t="shared" si="33"/>
        <v>1</v>
      </c>
      <c r="AL2150" s="111">
        <f>PRODUCT($AK$5:AK2150)</f>
        <v>8.962823818226312E-2</v>
      </c>
      <c r="AM2150" s="109">
        <f>1 - [K-M P Value]</f>
        <v>0.91037176181773694</v>
      </c>
      <c r="AN2150" s="111" t="str">
        <f>IF(Audit[[#This Row],[K-M P Value]]&gt;1-'General Info'!$B$16,"Continue", "Stop")</f>
        <v>Stop</v>
      </c>
      <c r="AO2150" s="110" t="b">
        <f>IF(Audit[[#This Row],[Status - Continue or stop audit]] = "Continue", TRUE, IF(AN2149 = "Continue", TRUE, FALSE))</f>
        <v>0</v>
      </c>
      <c r="AP2150" s="110"/>
    </row>
    <row r="2151" spans="1:42" ht="15" hidden="1" customHeight="1">
      <c r="A2151" s="111" t="str">
        <f>'Sampling Data'!W2151</f>
        <v/>
      </c>
      <c r="B2151" s="112" t="str">
        <f>'Sampling Data'!A2151</f>
        <v>WESTLAKE -05-A</v>
      </c>
      <c r="C2151" s="112">
        <f>'Sampling Data'!B2151</f>
        <v>48</v>
      </c>
      <c r="D2151" s="112">
        <f>'Sampling Data'!C2151</f>
        <v>116</v>
      </c>
      <c r="E2151" s="113">
        <f>'Sampling Data'!D2151</f>
        <v>9</v>
      </c>
      <c r="F2151" s="113">
        <f>'Sampling Data'!E2151</f>
        <v>6</v>
      </c>
      <c r="G2151" s="113">
        <f>'Sampling Data'!F2151</f>
        <v>0</v>
      </c>
      <c r="H2151" s="113">
        <f>'Sampling Data'!G2151</f>
        <v>0</v>
      </c>
      <c r="I2151" s="112">
        <f>'Sampling Data'!H2151</f>
        <v>0</v>
      </c>
      <c r="J2151" s="112">
        <f>'Sampling Data'!I2151</f>
        <v>1</v>
      </c>
      <c r="K2151" s="112">
        <f>'Sampling Data'!J2151</f>
        <v>180</v>
      </c>
      <c r="L2151" s="111">
        <f>'Sampling Data'!X2151</f>
        <v>0</v>
      </c>
      <c r="M2151" s="114"/>
      <c r="N2151" s="114"/>
      <c r="O2151" s="115"/>
      <c r="P2151" s="115"/>
      <c r="Q2151" s="116"/>
      <c r="R2151" s="116"/>
      <c r="S2151" s="111">
        <f>Audit[[#This Row],[Audit Losing Candidate]]-Audit[[#This Row],[Losing Candidate]]</f>
        <v>-48</v>
      </c>
      <c r="T2151" s="111">
        <f>Audit[[#This Row],[Audit Winning Candidate]]-Audit[[#This Row],[Winning Candidate]]</f>
        <v>-116</v>
      </c>
      <c r="U2151" s="111">
        <f>Audit[[#This Row],[Audit Candidate 3]]-Audit[[#This Row],[Candidate 3]]</f>
        <v>-9</v>
      </c>
      <c r="V2151" s="111">
        <f>Audit[[#This Row],[Audit Candidate 4]]-Audit[[#This Row],[Candidate 4]]</f>
        <v>-6</v>
      </c>
      <c r="W2151" s="111">
        <f>Audit[[#This Row],[Audit Candidate 5]]-Audit[[#This Row],[Candidate 5]]</f>
        <v>0</v>
      </c>
      <c r="X2151" s="111">
        <f>Audit[[#This Row],[Audit Candidate 6]]-Audit[[#This Row],[Candidate 6]]</f>
        <v>0</v>
      </c>
      <c r="Y2151" s="111">
        <f>SUMIF(Audit[[#This Row],[Difference Loser]:[Difference Candidate 6]], "&gt;0")</f>
        <v>0</v>
      </c>
      <c r="Z2151" s="111">
        <f>SUM(Audit[[#This Row],[Difference Loser]:[Difference Candidate 6]])</f>
        <v>-179</v>
      </c>
      <c r="AA2151" s="111">
        <f>IF(Audit[[#This Row],[Times p Drawn - With Replacement]]&gt;0, IF(Audit[[#This Row],[Canceled Differences]]&lt;0, Audit[[#This Row],[Max Differences]]+ABS(Audit[[#This Row],[Canceled Differences]]), Audit[[#This Row],[Max Differences]]), 0)</f>
        <v>0</v>
      </c>
      <c r="AB2151" s="111">
        <f>'Sampling Data'!P2151</f>
        <v>1.5188633023027927E-2</v>
      </c>
      <c r="AC2151" s="111">
        <f>IF(
      SUM(Audit[[#This Row],[Audit Losing Candidate]:[Audit Candidate 6]])
      &lt;&gt;0,
      (Audit[[#This Row],[Winning Candidate]]-Audit[[#This Row],[Losing Candidate]]-(Audit[[#This Row],[Audit Winning Candidate]]-Audit[[#This Row],[Audit Losing Candidate]]))/(Audit[[#Totals],[Winning Candidate]]-Audit[[#Totals],[Losing Candidate]]),
      0
)</f>
        <v>0</v>
      </c>
      <c r="AD215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1" s="111">
        <f>IF(Audit[[#This Row],[Max Relative Error (ep)]] = 0, 0, Audit[[#This Row],[Max Relative Error (ep)]]/Audit[[#This Row],[Error Bound (up) - Max. possible relative overstatement]])</f>
        <v>0</v>
      </c>
      <c r="AJ215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51" s="111">
        <f t="shared" si="33"/>
        <v>1</v>
      </c>
      <c r="AL2151" s="111">
        <f>PRODUCT($AK$5:AK2151)</f>
        <v>8.962823818226312E-2</v>
      </c>
      <c r="AM2151" s="109">
        <f>1 - [K-M P Value]</f>
        <v>0.91037176181773694</v>
      </c>
      <c r="AN2151" s="111" t="str">
        <f>IF(Audit[[#This Row],[K-M P Value]]&gt;1-'General Info'!$B$16,"Continue", "Stop")</f>
        <v>Stop</v>
      </c>
      <c r="AO2151" s="110" t="b">
        <f>IF(Audit[[#This Row],[Status - Continue or stop audit]] = "Continue", TRUE, IF(AN2150 = "Continue", TRUE, FALSE))</f>
        <v>0</v>
      </c>
      <c r="AP2151" s="110"/>
    </row>
    <row r="2152" spans="1:42" ht="15" hidden="1" customHeight="1">
      <c r="A2152" s="111" t="str">
        <f>'Sampling Data'!W2152</f>
        <v/>
      </c>
      <c r="B2152" s="112" t="str">
        <f>'Sampling Data'!A2152</f>
        <v>WESTLAKE -05-A - ABS</v>
      </c>
      <c r="C2152" s="112">
        <f>'Sampling Data'!B2152</f>
        <v>23</v>
      </c>
      <c r="D2152" s="112">
        <f>'Sampling Data'!C2152</f>
        <v>55</v>
      </c>
      <c r="E2152" s="113">
        <f>'Sampling Data'!D2152</f>
        <v>8</v>
      </c>
      <c r="F2152" s="113">
        <f>'Sampling Data'!E2152</f>
        <v>1</v>
      </c>
      <c r="G2152" s="113">
        <f>'Sampling Data'!F2152</f>
        <v>1</v>
      </c>
      <c r="H2152" s="113">
        <f>'Sampling Data'!G2152</f>
        <v>0</v>
      </c>
      <c r="I2152" s="112">
        <f>'Sampling Data'!H2152</f>
        <v>0</v>
      </c>
      <c r="J2152" s="112">
        <f>'Sampling Data'!I2152</f>
        <v>0</v>
      </c>
      <c r="K2152" s="112">
        <f>'Sampling Data'!J2152</f>
        <v>88</v>
      </c>
      <c r="L2152" s="111">
        <f>'Sampling Data'!X2152</f>
        <v>0</v>
      </c>
      <c r="M2152" s="114"/>
      <c r="N2152" s="114"/>
      <c r="O2152" s="115"/>
      <c r="P2152" s="115"/>
      <c r="Q2152" s="116"/>
      <c r="R2152" s="116"/>
      <c r="S2152" s="111">
        <f>Audit[[#This Row],[Audit Losing Candidate]]-Audit[[#This Row],[Losing Candidate]]</f>
        <v>-23</v>
      </c>
      <c r="T2152" s="111">
        <f>Audit[[#This Row],[Audit Winning Candidate]]-Audit[[#This Row],[Winning Candidate]]</f>
        <v>-55</v>
      </c>
      <c r="U2152" s="111">
        <f>Audit[[#This Row],[Audit Candidate 3]]-Audit[[#This Row],[Candidate 3]]</f>
        <v>-8</v>
      </c>
      <c r="V2152" s="111">
        <f>Audit[[#This Row],[Audit Candidate 4]]-Audit[[#This Row],[Candidate 4]]</f>
        <v>-1</v>
      </c>
      <c r="W2152" s="111">
        <f>Audit[[#This Row],[Audit Candidate 5]]-Audit[[#This Row],[Candidate 5]]</f>
        <v>-1</v>
      </c>
      <c r="X2152" s="111">
        <f>Audit[[#This Row],[Audit Candidate 6]]-Audit[[#This Row],[Candidate 6]]</f>
        <v>0</v>
      </c>
      <c r="Y2152" s="111">
        <f>SUMIF(Audit[[#This Row],[Difference Loser]:[Difference Candidate 6]], "&gt;0")</f>
        <v>0</v>
      </c>
      <c r="Z2152" s="111">
        <f>SUM(Audit[[#This Row],[Difference Loser]:[Difference Candidate 6]])</f>
        <v>-88</v>
      </c>
      <c r="AA2152" s="111">
        <f>IF(Audit[[#This Row],[Times p Drawn - With Replacement]]&gt;0, IF(Audit[[#This Row],[Canceled Differences]]&lt;0, Audit[[#This Row],[Max Differences]]+ABS(Audit[[#This Row],[Canceled Differences]]), Audit[[#This Row],[Max Differences]]), 0)</f>
        <v>0</v>
      </c>
      <c r="AB2152" s="111">
        <f>'Sampling Data'!P2152</f>
        <v>7.3493385595296426E-3</v>
      </c>
      <c r="AC2152" s="111">
        <f>IF(
      SUM(Audit[[#This Row],[Audit Losing Candidate]:[Audit Candidate 6]])
      &lt;&gt;0,
      (Audit[[#This Row],[Winning Candidate]]-Audit[[#This Row],[Losing Candidate]]-(Audit[[#This Row],[Audit Winning Candidate]]-Audit[[#This Row],[Audit Losing Candidate]]))/(Audit[[#Totals],[Winning Candidate]]-Audit[[#Totals],[Losing Candidate]]),
      0
)</f>
        <v>0</v>
      </c>
      <c r="AD215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2" s="111">
        <f>IF(Audit[[#This Row],[Max Relative Error (ep)]] = 0, 0, Audit[[#This Row],[Max Relative Error (ep)]]/Audit[[#This Row],[Error Bound (up) - Max. possible relative overstatement]])</f>
        <v>0</v>
      </c>
      <c r="AJ215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52" s="111">
        <f t="shared" si="33"/>
        <v>1</v>
      </c>
      <c r="AL2152" s="111">
        <f>PRODUCT($AK$5:AK2152)</f>
        <v>8.962823818226312E-2</v>
      </c>
      <c r="AM2152" s="109">
        <f>1 - [K-M P Value]</f>
        <v>0.91037176181773694</v>
      </c>
      <c r="AN2152" s="111" t="str">
        <f>IF(Audit[[#This Row],[K-M P Value]]&gt;1-'General Info'!$B$16,"Continue", "Stop")</f>
        <v>Stop</v>
      </c>
      <c r="AO2152" s="110" t="b">
        <f>IF(Audit[[#This Row],[Status - Continue or stop audit]] = "Continue", TRUE, IF(AN2151 = "Continue", TRUE, FALSE))</f>
        <v>0</v>
      </c>
      <c r="AP2152" s="110"/>
    </row>
    <row r="2153" spans="1:42" ht="15" hidden="1" customHeight="1">
      <c r="A2153" s="111" t="str">
        <f>'Sampling Data'!W2153</f>
        <v/>
      </c>
      <c r="B2153" s="112" t="str">
        <f>'Sampling Data'!A2153</f>
        <v>WESTLAKE -05-B</v>
      </c>
      <c r="C2153" s="112">
        <f>'Sampling Data'!B2153</f>
        <v>29</v>
      </c>
      <c r="D2153" s="112">
        <f>'Sampling Data'!C2153</f>
        <v>70</v>
      </c>
      <c r="E2153" s="113">
        <f>'Sampling Data'!D2153</f>
        <v>10</v>
      </c>
      <c r="F2153" s="113">
        <f>'Sampling Data'!E2153</f>
        <v>10</v>
      </c>
      <c r="G2153" s="113">
        <f>'Sampling Data'!F2153</f>
        <v>0</v>
      </c>
      <c r="H2153" s="113">
        <f>'Sampling Data'!G2153</f>
        <v>0</v>
      </c>
      <c r="I2153" s="112">
        <f>'Sampling Data'!H2153</f>
        <v>0</v>
      </c>
      <c r="J2153" s="112">
        <f>'Sampling Data'!I2153</f>
        <v>3</v>
      </c>
      <c r="K2153" s="112">
        <f>'Sampling Data'!J2153</f>
        <v>122</v>
      </c>
      <c r="L2153" s="111">
        <f>'Sampling Data'!X2153</f>
        <v>0</v>
      </c>
      <c r="M2153" s="114"/>
      <c r="N2153" s="114"/>
      <c r="O2153" s="115"/>
      <c r="P2153" s="115"/>
      <c r="Q2153" s="116"/>
      <c r="R2153" s="116"/>
      <c r="S2153" s="111">
        <f>Audit[[#This Row],[Audit Losing Candidate]]-Audit[[#This Row],[Losing Candidate]]</f>
        <v>-29</v>
      </c>
      <c r="T2153" s="111">
        <f>Audit[[#This Row],[Audit Winning Candidate]]-Audit[[#This Row],[Winning Candidate]]</f>
        <v>-70</v>
      </c>
      <c r="U2153" s="111">
        <f>Audit[[#This Row],[Audit Candidate 3]]-Audit[[#This Row],[Candidate 3]]</f>
        <v>-10</v>
      </c>
      <c r="V2153" s="111">
        <f>Audit[[#This Row],[Audit Candidate 4]]-Audit[[#This Row],[Candidate 4]]</f>
        <v>-10</v>
      </c>
      <c r="W2153" s="111">
        <f>Audit[[#This Row],[Audit Candidate 5]]-Audit[[#This Row],[Candidate 5]]</f>
        <v>0</v>
      </c>
      <c r="X2153" s="111">
        <f>Audit[[#This Row],[Audit Candidate 6]]-Audit[[#This Row],[Candidate 6]]</f>
        <v>0</v>
      </c>
      <c r="Y2153" s="111">
        <f>SUMIF(Audit[[#This Row],[Difference Loser]:[Difference Candidate 6]], "&gt;0")</f>
        <v>0</v>
      </c>
      <c r="Z2153" s="111">
        <f>SUM(Audit[[#This Row],[Difference Loser]:[Difference Candidate 6]])</f>
        <v>-119</v>
      </c>
      <c r="AA2153" s="111">
        <f>IF(Audit[[#This Row],[Times p Drawn - With Replacement]]&gt;0, IF(Audit[[#This Row],[Canceled Differences]]&lt;0, Audit[[#This Row],[Max Differences]]+ABS(Audit[[#This Row],[Canceled Differences]]), Audit[[#This Row],[Max Differences]]), 0)</f>
        <v>0</v>
      </c>
      <c r="AB2153" s="111">
        <f>'Sampling Data'!P2153</f>
        <v>9.9828515433610984E-3</v>
      </c>
      <c r="AC2153" s="111">
        <f>IF(
      SUM(Audit[[#This Row],[Audit Losing Candidate]:[Audit Candidate 6]])
      &lt;&gt;0,
      (Audit[[#This Row],[Winning Candidate]]-Audit[[#This Row],[Losing Candidate]]-(Audit[[#This Row],[Audit Winning Candidate]]-Audit[[#This Row],[Audit Losing Candidate]]))/(Audit[[#Totals],[Winning Candidate]]-Audit[[#Totals],[Losing Candidate]]),
      0
)</f>
        <v>0</v>
      </c>
      <c r="AD215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3" s="111">
        <f>IF(Audit[[#This Row],[Max Relative Error (ep)]] = 0, 0, Audit[[#This Row],[Max Relative Error (ep)]]/Audit[[#This Row],[Error Bound (up) - Max. possible relative overstatement]])</f>
        <v>0</v>
      </c>
      <c r="AJ215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53" s="111">
        <f t="shared" si="33"/>
        <v>1</v>
      </c>
      <c r="AL2153" s="111">
        <f>PRODUCT($AK$5:AK2153)</f>
        <v>8.962823818226312E-2</v>
      </c>
      <c r="AM2153" s="109">
        <f>1 - [K-M P Value]</f>
        <v>0.91037176181773694</v>
      </c>
      <c r="AN2153" s="111" t="str">
        <f>IF(Audit[[#This Row],[K-M P Value]]&gt;1-'General Info'!$B$16,"Continue", "Stop")</f>
        <v>Stop</v>
      </c>
      <c r="AO2153" s="110" t="b">
        <f>IF(Audit[[#This Row],[Status - Continue or stop audit]] = "Continue", TRUE, IF(AN2152 = "Continue", TRUE, FALSE))</f>
        <v>0</v>
      </c>
      <c r="AP2153" s="110"/>
    </row>
    <row r="2154" spans="1:42" ht="15" hidden="1" customHeight="1">
      <c r="A2154" s="111" t="str">
        <f>'Sampling Data'!W2154</f>
        <v/>
      </c>
      <c r="B2154" s="112" t="str">
        <f>'Sampling Data'!A2154</f>
        <v>WESTLAKE -05-B - ABS</v>
      </c>
      <c r="C2154" s="112">
        <f>'Sampling Data'!B2154</f>
        <v>16</v>
      </c>
      <c r="D2154" s="112">
        <f>'Sampling Data'!C2154</f>
        <v>22</v>
      </c>
      <c r="E2154" s="113">
        <f>'Sampling Data'!D2154</f>
        <v>1</v>
      </c>
      <c r="F2154" s="113">
        <f>'Sampling Data'!E2154</f>
        <v>2</v>
      </c>
      <c r="G2154" s="113">
        <f>'Sampling Data'!F2154</f>
        <v>0</v>
      </c>
      <c r="H2154" s="113">
        <f>'Sampling Data'!G2154</f>
        <v>0</v>
      </c>
      <c r="I2154" s="112">
        <f>'Sampling Data'!H2154</f>
        <v>0</v>
      </c>
      <c r="J2154" s="112">
        <f>'Sampling Data'!I2154</f>
        <v>2</v>
      </c>
      <c r="K2154" s="112">
        <f>'Sampling Data'!J2154</f>
        <v>43</v>
      </c>
      <c r="L2154" s="111">
        <f>'Sampling Data'!X2154</f>
        <v>0</v>
      </c>
      <c r="M2154" s="114"/>
      <c r="N2154" s="114"/>
      <c r="O2154" s="115"/>
      <c r="P2154" s="115"/>
      <c r="Q2154" s="116"/>
      <c r="R2154" s="116"/>
      <c r="S2154" s="111">
        <f>Audit[[#This Row],[Audit Losing Candidate]]-Audit[[#This Row],[Losing Candidate]]</f>
        <v>-16</v>
      </c>
      <c r="T2154" s="111">
        <f>Audit[[#This Row],[Audit Winning Candidate]]-Audit[[#This Row],[Winning Candidate]]</f>
        <v>-22</v>
      </c>
      <c r="U2154" s="111">
        <f>Audit[[#This Row],[Audit Candidate 3]]-Audit[[#This Row],[Candidate 3]]</f>
        <v>-1</v>
      </c>
      <c r="V2154" s="111">
        <f>Audit[[#This Row],[Audit Candidate 4]]-Audit[[#This Row],[Candidate 4]]</f>
        <v>-2</v>
      </c>
      <c r="W2154" s="111">
        <f>Audit[[#This Row],[Audit Candidate 5]]-Audit[[#This Row],[Candidate 5]]</f>
        <v>0</v>
      </c>
      <c r="X2154" s="111">
        <f>Audit[[#This Row],[Audit Candidate 6]]-Audit[[#This Row],[Candidate 6]]</f>
        <v>0</v>
      </c>
      <c r="Y2154" s="111">
        <f>SUMIF(Audit[[#This Row],[Difference Loser]:[Difference Candidate 6]], "&gt;0")</f>
        <v>0</v>
      </c>
      <c r="Z2154" s="111">
        <f>SUM(Audit[[#This Row],[Difference Loser]:[Difference Candidate 6]])</f>
        <v>-41</v>
      </c>
      <c r="AA2154" s="111">
        <f>IF(Audit[[#This Row],[Times p Drawn - With Replacement]]&gt;0, IF(Audit[[#This Row],[Canceled Differences]]&lt;0, Audit[[#This Row],[Max Differences]]+ABS(Audit[[#This Row],[Canceled Differences]]), Audit[[#This Row],[Max Differences]]), 0)</f>
        <v>0</v>
      </c>
      <c r="AB2154" s="111">
        <f>'Sampling Data'!P2154</f>
        <v>3.0009799118079373E-3</v>
      </c>
      <c r="AC2154" s="111">
        <f>IF(
      SUM(Audit[[#This Row],[Audit Losing Candidate]:[Audit Candidate 6]])
      &lt;&gt;0,
      (Audit[[#This Row],[Winning Candidate]]-Audit[[#This Row],[Losing Candidate]]-(Audit[[#This Row],[Audit Winning Candidate]]-Audit[[#This Row],[Audit Losing Candidate]]))/(Audit[[#Totals],[Winning Candidate]]-Audit[[#Totals],[Losing Candidate]]),
      0
)</f>
        <v>0</v>
      </c>
      <c r="AD215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4" s="111">
        <f>IF(Audit[[#This Row],[Max Relative Error (ep)]] = 0, 0, Audit[[#This Row],[Max Relative Error (ep)]]/Audit[[#This Row],[Error Bound (up) - Max. possible relative overstatement]])</f>
        <v>0</v>
      </c>
      <c r="AJ215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54" s="111">
        <f t="shared" si="33"/>
        <v>1</v>
      </c>
      <c r="AL2154" s="111">
        <f>PRODUCT($AK$5:AK2154)</f>
        <v>8.962823818226312E-2</v>
      </c>
      <c r="AM2154" s="109">
        <f>1 - [K-M P Value]</f>
        <v>0.91037176181773694</v>
      </c>
      <c r="AN2154" s="111" t="str">
        <f>IF(Audit[[#This Row],[K-M P Value]]&gt;1-'General Info'!$B$16,"Continue", "Stop")</f>
        <v>Stop</v>
      </c>
      <c r="AO2154" s="110" t="b">
        <f>IF(Audit[[#This Row],[Status - Continue or stop audit]] = "Continue", TRUE, IF(AN2153 = "Continue", TRUE, FALSE))</f>
        <v>0</v>
      </c>
      <c r="AP2154" s="110"/>
    </row>
    <row r="2155" spans="1:42" ht="15" hidden="1" customHeight="1">
      <c r="A2155" s="111" t="str">
        <f>'Sampling Data'!W2155</f>
        <v/>
      </c>
      <c r="B2155" s="112" t="str">
        <f>'Sampling Data'!A2155</f>
        <v>WESTLAKE -05-C</v>
      </c>
      <c r="C2155" s="112">
        <f>'Sampling Data'!B2155</f>
        <v>28</v>
      </c>
      <c r="D2155" s="112">
        <f>'Sampling Data'!C2155</f>
        <v>78</v>
      </c>
      <c r="E2155" s="113">
        <f>'Sampling Data'!D2155</f>
        <v>12</v>
      </c>
      <c r="F2155" s="113">
        <f>'Sampling Data'!E2155</f>
        <v>17</v>
      </c>
      <c r="G2155" s="113">
        <f>'Sampling Data'!F2155</f>
        <v>1</v>
      </c>
      <c r="H2155" s="113">
        <f>'Sampling Data'!G2155</f>
        <v>1</v>
      </c>
      <c r="I2155" s="112">
        <f>'Sampling Data'!H2155</f>
        <v>0</v>
      </c>
      <c r="J2155" s="112">
        <f>'Sampling Data'!I2155</f>
        <v>1</v>
      </c>
      <c r="K2155" s="112">
        <f>'Sampling Data'!J2155</f>
        <v>138</v>
      </c>
      <c r="L2155" s="111">
        <f>'Sampling Data'!X2155</f>
        <v>0</v>
      </c>
      <c r="M2155" s="114"/>
      <c r="N2155" s="114"/>
      <c r="O2155" s="115"/>
      <c r="P2155" s="115"/>
      <c r="Q2155" s="116"/>
      <c r="R2155" s="116"/>
      <c r="S2155" s="111">
        <f>Audit[[#This Row],[Audit Losing Candidate]]-Audit[[#This Row],[Losing Candidate]]</f>
        <v>-28</v>
      </c>
      <c r="T2155" s="111">
        <f>Audit[[#This Row],[Audit Winning Candidate]]-Audit[[#This Row],[Winning Candidate]]</f>
        <v>-78</v>
      </c>
      <c r="U2155" s="111">
        <f>Audit[[#This Row],[Audit Candidate 3]]-Audit[[#This Row],[Candidate 3]]</f>
        <v>-12</v>
      </c>
      <c r="V2155" s="111">
        <f>Audit[[#This Row],[Audit Candidate 4]]-Audit[[#This Row],[Candidate 4]]</f>
        <v>-17</v>
      </c>
      <c r="W2155" s="111">
        <f>Audit[[#This Row],[Audit Candidate 5]]-Audit[[#This Row],[Candidate 5]]</f>
        <v>-1</v>
      </c>
      <c r="X2155" s="111">
        <f>Audit[[#This Row],[Audit Candidate 6]]-Audit[[#This Row],[Candidate 6]]</f>
        <v>-1</v>
      </c>
      <c r="Y2155" s="111">
        <f>SUMIF(Audit[[#This Row],[Difference Loser]:[Difference Candidate 6]], "&gt;0")</f>
        <v>0</v>
      </c>
      <c r="Z2155" s="111">
        <f>SUM(Audit[[#This Row],[Difference Loser]:[Difference Candidate 6]])</f>
        <v>-137</v>
      </c>
      <c r="AA2155" s="111">
        <f>IF(Audit[[#This Row],[Times p Drawn - With Replacement]]&gt;0, IF(Audit[[#This Row],[Canceled Differences]]&lt;0, Audit[[#This Row],[Max Differences]]+ABS(Audit[[#This Row],[Canceled Differences]]), Audit[[#This Row],[Max Differences]]), 0)</f>
        <v>0</v>
      </c>
      <c r="AB2155" s="111">
        <f>'Sampling Data'!P2155</f>
        <v>1.1513963743263106E-2</v>
      </c>
      <c r="AC2155" s="111">
        <f>IF(
      SUM(Audit[[#This Row],[Audit Losing Candidate]:[Audit Candidate 6]])
      &lt;&gt;0,
      (Audit[[#This Row],[Winning Candidate]]-Audit[[#This Row],[Losing Candidate]]-(Audit[[#This Row],[Audit Winning Candidate]]-Audit[[#This Row],[Audit Losing Candidate]]))/(Audit[[#Totals],[Winning Candidate]]-Audit[[#Totals],[Losing Candidate]]),
      0
)</f>
        <v>0</v>
      </c>
      <c r="AD215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5" s="111">
        <f>IF(Audit[[#This Row],[Max Relative Error (ep)]] = 0, 0, Audit[[#This Row],[Max Relative Error (ep)]]/Audit[[#This Row],[Error Bound (up) - Max. possible relative overstatement]])</f>
        <v>0</v>
      </c>
      <c r="AJ215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55" s="111">
        <f t="shared" si="33"/>
        <v>1</v>
      </c>
      <c r="AL2155" s="111">
        <f>PRODUCT($AK$5:AK2155)</f>
        <v>8.962823818226312E-2</v>
      </c>
      <c r="AM2155" s="109">
        <f>1 - [K-M P Value]</f>
        <v>0.91037176181773694</v>
      </c>
      <c r="AN2155" s="111" t="str">
        <f>IF(Audit[[#This Row],[K-M P Value]]&gt;1-'General Info'!$B$16,"Continue", "Stop")</f>
        <v>Stop</v>
      </c>
      <c r="AO2155" s="110" t="b">
        <f>IF(Audit[[#This Row],[Status - Continue or stop audit]] = "Continue", TRUE, IF(AN2154 = "Continue", TRUE, FALSE))</f>
        <v>0</v>
      </c>
      <c r="AP2155" s="110"/>
    </row>
    <row r="2156" spans="1:42" ht="15" hidden="1" customHeight="1">
      <c r="A2156" s="111" t="str">
        <f>'Sampling Data'!W2156</f>
        <v/>
      </c>
      <c r="B2156" s="112" t="str">
        <f>'Sampling Data'!A2156</f>
        <v>WESTLAKE -05-C - ABS</v>
      </c>
      <c r="C2156" s="112">
        <f>'Sampling Data'!B2156</f>
        <v>13</v>
      </c>
      <c r="D2156" s="112">
        <f>'Sampling Data'!C2156</f>
        <v>40</v>
      </c>
      <c r="E2156" s="113">
        <f>'Sampling Data'!D2156</f>
        <v>5</v>
      </c>
      <c r="F2156" s="113">
        <f>'Sampling Data'!E2156</f>
        <v>1</v>
      </c>
      <c r="G2156" s="113">
        <f>'Sampling Data'!F2156</f>
        <v>0</v>
      </c>
      <c r="H2156" s="113">
        <f>'Sampling Data'!G2156</f>
        <v>0</v>
      </c>
      <c r="I2156" s="112">
        <f>'Sampling Data'!H2156</f>
        <v>0</v>
      </c>
      <c r="J2156" s="112">
        <f>'Sampling Data'!I2156</f>
        <v>0</v>
      </c>
      <c r="K2156" s="112">
        <f>'Sampling Data'!J2156</f>
        <v>59</v>
      </c>
      <c r="L2156" s="111">
        <f>'Sampling Data'!X2156</f>
        <v>0</v>
      </c>
      <c r="M2156" s="114"/>
      <c r="N2156" s="114"/>
      <c r="O2156" s="115"/>
      <c r="P2156" s="115"/>
      <c r="Q2156" s="116"/>
      <c r="R2156" s="116"/>
      <c r="S2156" s="111">
        <f>Audit[[#This Row],[Audit Losing Candidate]]-Audit[[#This Row],[Losing Candidate]]</f>
        <v>-13</v>
      </c>
      <c r="T2156" s="111">
        <f>Audit[[#This Row],[Audit Winning Candidate]]-Audit[[#This Row],[Winning Candidate]]</f>
        <v>-40</v>
      </c>
      <c r="U2156" s="111">
        <f>Audit[[#This Row],[Audit Candidate 3]]-Audit[[#This Row],[Candidate 3]]</f>
        <v>-5</v>
      </c>
      <c r="V2156" s="111">
        <f>Audit[[#This Row],[Audit Candidate 4]]-Audit[[#This Row],[Candidate 4]]</f>
        <v>-1</v>
      </c>
      <c r="W2156" s="111">
        <f>Audit[[#This Row],[Audit Candidate 5]]-Audit[[#This Row],[Candidate 5]]</f>
        <v>0</v>
      </c>
      <c r="X2156" s="111">
        <f>Audit[[#This Row],[Audit Candidate 6]]-Audit[[#This Row],[Candidate 6]]</f>
        <v>0</v>
      </c>
      <c r="Y2156" s="111">
        <f>SUMIF(Audit[[#This Row],[Difference Loser]:[Difference Candidate 6]], "&gt;0")</f>
        <v>0</v>
      </c>
      <c r="Z2156" s="111">
        <f>SUM(Audit[[#This Row],[Difference Loser]:[Difference Candidate 6]])</f>
        <v>-59</v>
      </c>
      <c r="AA2156" s="111">
        <f>IF(Audit[[#This Row],[Times p Drawn - With Replacement]]&gt;0, IF(Audit[[#This Row],[Canceled Differences]]&lt;0, Audit[[#This Row],[Max Differences]]+ABS(Audit[[#This Row],[Canceled Differences]]), Audit[[#This Row],[Max Differences]]), 0)</f>
        <v>0</v>
      </c>
      <c r="AB2156" s="111">
        <f>'Sampling Data'!P2156</f>
        <v>5.2670259676629106E-3</v>
      </c>
      <c r="AC2156" s="111">
        <f>IF(
      SUM(Audit[[#This Row],[Audit Losing Candidate]:[Audit Candidate 6]])
      &lt;&gt;0,
      (Audit[[#This Row],[Winning Candidate]]-Audit[[#This Row],[Losing Candidate]]-(Audit[[#This Row],[Audit Winning Candidate]]-Audit[[#This Row],[Audit Losing Candidate]]))/(Audit[[#Totals],[Winning Candidate]]-Audit[[#Totals],[Losing Candidate]]),
      0
)</f>
        <v>0</v>
      </c>
      <c r="AD215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6" s="111">
        <f>IF(Audit[[#This Row],[Max Relative Error (ep)]] = 0, 0, Audit[[#This Row],[Max Relative Error (ep)]]/Audit[[#This Row],[Error Bound (up) - Max. possible relative overstatement]])</f>
        <v>0</v>
      </c>
      <c r="AJ215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56" s="111">
        <f t="shared" si="33"/>
        <v>1</v>
      </c>
      <c r="AL2156" s="111">
        <f>PRODUCT($AK$5:AK2156)</f>
        <v>8.962823818226312E-2</v>
      </c>
      <c r="AM2156" s="109">
        <f>1 - [K-M P Value]</f>
        <v>0.91037176181773694</v>
      </c>
      <c r="AN2156" s="111" t="str">
        <f>IF(Audit[[#This Row],[K-M P Value]]&gt;1-'General Info'!$B$16,"Continue", "Stop")</f>
        <v>Stop</v>
      </c>
      <c r="AO2156" s="110" t="b">
        <f>IF(Audit[[#This Row],[Status - Continue or stop audit]] = "Continue", TRUE, IF(AN2155 = "Continue", TRUE, FALSE))</f>
        <v>0</v>
      </c>
      <c r="AP2156" s="110"/>
    </row>
    <row r="2157" spans="1:42" ht="15" hidden="1" customHeight="1">
      <c r="A2157" s="111" t="str">
        <f>'Sampling Data'!W2157</f>
        <v/>
      </c>
      <c r="B2157" s="112" t="str">
        <f>'Sampling Data'!A2157</f>
        <v>WESTLAKE -05-D</v>
      </c>
      <c r="C2157" s="112">
        <f>'Sampling Data'!B2157</f>
        <v>44</v>
      </c>
      <c r="D2157" s="112">
        <f>'Sampling Data'!C2157</f>
        <v>68</v>
      </c>
      <c r="E2157" s="113">
        <f>'Sampling Data'!D2157</f>
        <v>20</v>
      </c>
      <c r="F2157" s="113">
        <f>'Sampling Data'!E2157</f>
        <v>10</v>
      </c>
      <c r="G2157" s="113">
        <f>'Sampling Data'!F2157</f>
        <v>0</v>
      </c>
      <c r="H2157" s="113">
        <f>'Sampling Data'!G2157</f>
        <v>0</v>
      </c>
      <c r="I2157" s="112">
        <f>'Sampling Data'!H2157</f>
        <v>0</v>
      </c>
      <c r="J2157" s="112">
        <f>'Sampling Data'!I2157</f>
        <v>0</v>
      </c>
      <c r="K2157" s="112">
        <f>'Sampling Data'!J2157</f>
        <v>142</v>
      </c>
      <c r="L2157" s="111">
        <f>'Sampling Data'!X2157</f>
        <v>0</v>
      </c>
      <c r="M2157" s="114"/>
      <c r="N2157" s="114"/>
      <c r="O2157" s="115"/>
      <c r="P2157" s="115"/>
      <c r="Q2157" s="116"/>
      <c r="R2157" s="116"/>
      <c r="S2157" s="111">
        <f>Audit[[#This Row],[Audit Losing Candidate]]-Audit[[#This Row],[Losing Candidate]]</f>
        <v>-44</v>
      </c>
      <c r="T2157" s="111">
        <f>Audit[[#This Row],[Audit Winning Candidate]]-Audit[[#This Row],[Winning Candidate]]</f>
        <v>-68</v>
      </c>
      <c r="U2157" s="111">
        <f>Audit[[#This Row],[Audit Candidate 3]]-Audit[[#This Row],[Candidate 3]]</f>
        <v>-20</v>
      </c>
      <c r="V2157" s="111">
        <f>Audit[[#This Row],[Audit Candidate 4]]-Audit[[#This Row],[Candidate 4]]</f>
        <v>-10</v>
      </c>
      <c r="W2157" s="111">
        <f>Audit[[#This Row],[Audit Candidate 5]]-Audit[[#This Row],[Candidate 5]]</f>
        <v>0</v>
      </c>
      <c r="X2157" s="111">
        <f>Audit[[#This Row],[Audit Candidate 6]]-Audit[[#This Row],[Candidate 6]]</f>
        <v>0</v>
      </c>
      <c r="Y2157" s="111">
        <f>SUMIF(Audit[[#This Row],[Difference Loser]:[Difference Candidate 6]], "&gt;0")</f>
        <v>0</v>
      </c>
      <c r="Z2157" s="111">
        <f>SUM(Audit[[#This Row],[Difference Loser]:[Difference Candidate 6]])</f>
        <v>-142</v>
      </c>
      <c r="AA2157" s="111">
        <f>IF(Audit[[#This Row],[Times p Drawn - With Replacement]]&gt;0, IF(Audit[[#This Row],[Canceled Differences]]&lt;0, Audit[[#This Row],[Max Differences]]+ABS(Audit[[#This Row],[Canceled Differences]]), Audit[[#This Row],[Max Differences]]), 0)</f>
        <v>0</v>
      </c>
      <c r="AB2157" s="111">
        <f>'Sampling Data'!P2157</f>
        <v>1.0166585007349339E-2</v>
      </c>
      <c r="AC2157" s="111">
        <f>IF(
      SUM(Audit[[#This Row],[Audit Losing Candidate]:[Audit Candidate 6]])
      &lt;&gt;0,
      (Audit[[#This Row],[Winning Candidate]]-Audit[[#This Row],[Losing Candidate]]-(Audit[[#This Row],[Audit Winning Candidate]]-Audit[[#This Row],[Audit Losing Candidate]]))/(Audit[[#Totals],[Winning Candidate]]-Audit[[#Totals],[Losing Candidate]]),
      0
)</f>
        <v>0</v>
      </c>
      <c r="AD215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7" s="111">
        <f>IF(Audit[[#This Row],[Max Relative Error (ep)]] = 0, 0, Audit[[#This Row],[Max Relative Error (ep)]]/Audit[[#This Row],[Error Bound (up) - Max. possible relative overstatement]])</f>
        <v>0</v>
      </c>
      <c r="AJ215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57" s="111">
        <f t="shared" si="33"/>
        <v>1</v>
      </c>
      <c r="AL2157" s="111">
        <f>PRODUCT($AK$5:AK2157)</f>
        <v>8.962823818226312E-2</v>
      </c>
      <c r="AM2157" s="109">
        <f>1 - [K-M P Value]</f>
        <v>0.91037176181773694</v>
      </c>
      <c r="AN2157" s="111" t="str">
        <f>IF(Audit[[#This Row],[K-M P Value]]&gt;1-'General Info'!$B$16,"Continue", "Stop")</f>
        <v>Stop</v>
      </c>
      <c r="AO2157" s="110" t="b">
        <f>IF(Audit[[#This Row],[Status - Continue or stop audit]] = "Continue", TRUE, IF(AN2156 = "Continue", TRUE, FALSE))</f>
        <v>0</v>
      </c>
      <c r="AP2157" s="110"/>
    </row>
    <row r="2158" spans="1:42" ht="15" hidden="1" customHeight="1">
      <c r="A2158" s="111" t="str">
        <f>'Sampling Data'!W2158</f>
        <v/>
      </c>
      <c r="B2158" s="112" t="str">
        <f>'Sampling Data'!A2158</f>
        <v>WESTLAKE -05-D - ABS</v>
      </c>
      <c r="C2158" s="112">
        <f>'Sampling Data'!B2158</f>
        <v>17</v>
      </c>
      <c r="D2158" s="112">
        <f>'Sampling Data'!C2158</f>
        <v>40</v>
      </c>
      <c r="E2158" s="113">
        <f>'Sampling Data'!D2158</f>
        <v>5</v>
      </c>
      <c r="F2158" s="113">
        <f>'Sampling Data'!E2158</f>
        <v>2</v>
      </c>
      <c r="G2158" s="113">
        <f>'Sampling Data'!F2158</f>
        <v>1</v>
      </c>
      <c r="H2158" s="113">
        <f>'Sampling Data'!G2158</f>
        <v>0</v>
      </c>
      <c r="I2158" s="112">
        <f>'Sampling Data'!H2158</f>
        <v>0</v>
      </c>
      <c r="J2158" s="112">
        <f>'Sampling Data'!I2158</f>
        <v>0</v>
      </c>
      <c r="K2158" s="112">
        <f>'Sampling Data'!J2158</f>
        <v>65</v>
      </c>
      <c r="L2158" s="111">
        <f>'Sampling Data'!X2158</f>
        <v>0</v>
      </c>
      <c r="M2158" s="114"/>
      <c r="N2158" s="114"/>
      <c r="O2158" s="115"/>
      <c r="P2158" s="115"/>
      <c r="Q2158" s="116"/>
      <c r="R2158" s="116"/>
      <c r="S2158" s="111">
        <f>Audit[[#This Row],[Audit Losing Candidate]]-Audit[[#This Row],[Losing Candidate]]</f>
        <v>-17</v>
      </c>
      <c r="T2158" s="111">
        <f>Audit[[#This Row],[Audit Winning Candidate]]-Audit[[#This Row],[Winning Candidate]]</f>
        <v>-40</v>
      </c>
      <c r="U2158" s="111">
        <f>Audit[[#This Row],[Audit Candidate 3]]-Audit[[#This Row],[Candidate 3]]</f>
        <v>-5</v>
      </c>
      <c r="V2158" s="111">
        <f>Audit[[#This Row],[Audit Candidate 4]]-Audit[[#This Row],[Candidate 4]]</f>
        <v>-2</v>
      </c>
      <c r="W2158" s="111">
        <f>Audit[[#This Row],[Audit Candidate 5]]-Audit[[#This Row],[Candidate 5]]</f>
        <v>-1</v>
      </c>
      <c r="X2158" s="111">
        <f>Audit[[#This Row],[Audit Candidate 6]]-Audit[[#This Row],[Candidate 6]]</f>
        <v>0</v>
      </c>
      <c r="Y2158" s="111">
        <f>SUMIF(Audit[[#This Row],[Difference Loser]:[Difference Candidate 6]], "&gt;0")</f>
        <v>0</v>
      </c>
      <c r="Z2158" s="111">
        <f>SUM(Audit[[#This Row],[Difference Loser]:[Difference Candidate 6]])</f>
        <v>-65</v>
      </c>
      <c r="AA2158" s="111">
        <f>IF(Audit[[#This Row],[Times p Drawn - With Replacement]]&gt;0, IF(Audit[[#This Row],[Canceled Differences]]&lt;0, Audit[[#This Row],[Max Differences]]+ABS(Audit[[#This Row],[Canceled Differences]]), Audit[[#This Row],[Max Differences]]), 0)</f>
        <v>0</v>
      </c>
      <c r="AB2158" s="111">
        <f>'Sampling Data'!P2158</f>
        <v>5.3895149436550714E-3</v>
      </c>
      <c r="AC2158" s="111">
        <f>IF(
      SUM(Audit[[#This Row],[Audit Losing Candidate]:[Audit Candidate 6]])
      &lt;&gt;0,
      (Audit[[#This Row],[Winning Candidate]]-Audit[[#This Row],[Losing Candidate]]-(Audit[[#This Row],[Audit Winning Candidate]]-Audit[[#This Row],[Audit Losing Candidate]]))/(Audit[[#Totals],[Winning Candidate]]-Audit[[#Totals],[Losing Candidate]]),
      0
)</f>
        <v>0</v>
      </c>
      <c r="AD215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8" s="111">
        <f>IF(Audit[[#This Row],[Max Relative Error (ep)]] = 0, 0, Audit[[#This Row],[Max Relative Error (ep)]]/Audit[[#This Row],[Error Bound (up) - Max. possible relative overstatement]])</f>
        <v>0</v>
      </c>
      <c r="AJ215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58" s="111">
        <f t="shared" si="33"/>
        <v>1</v>
      </c>
      <c r="AL2158" s="111">
        <f>PRODUCT($AK$5:AK2158)</f>
        <v>8.962823818226312E-2</v>
      </c>
      <c r="AM2158" s="109">
        <f>1 - [K-M P Value]</f>
        <v>0.91037176181773694</v>
      </c>
      <c r="AN2158" s="111" t="str">
        <f>IF(Audit[[#This Row],[K-M P Value]]&gt;1-'General Info'!$B$16,"Continue", "Stop")</f>
        <v>Stop</v>
      </c>
      <c r="AO2158" s="110" t="b">
        <f>IF(Audit[[#This Row],[Status - Continue or stop audit]] = "Continue", TRUE, IF(AN2157 = "Continue", TRUE, FALSE))</f>
        <v>0</v>
      </c>
      <c r="AP2158" s="110"/>
    </row>
    <row r="2159" spans="1:42" ht="15" hidden="1" customHeight="1">
      <c r="A2159" s="111" t="str">
        <f>'Sampling Data'!W2159</f>
        <v/>
      </c>
      <c r="B2159" s="112" t="str">
        <f>'Sampling Data'!A2159</f>
        <v>WESTLAKE -06-A</v>
      </c>
      <c r="C2159" s="112">
        <f>'Sampling Data'!B2159</f>
        <v>24</v>
      </c>
      <c r="D2159" s="112">
        <f>'Sampling Data'!C2159</f>
        <v>59</v>
      </c>
      <c r="E2159" s="113">
        <f>'Sampling Data'!D2159</f>
        <v>5</v>
      </c>
      <c r="F2159" s="113">
        <f>'Sampling Data'!E2159</f>
        <v>2</v>
      </c>
      <c r="G2159" s="113">
        <f>'Sampling Data'!F2159</f>
        <v>1</v>
      </c>
      <c r="H2159" s="113">
        <f>'Sampling Data'!G2159</f>
        <v>1</v>
      </c>
      <c r="I2159" s="112">
        <f>'Sampling Data'!H2159</f>
        <v>0</v>
      </c>
      <c r="J2159" s="112">
        <f>'Sampling Data'!I2159</f>
        <v>0</v>
      </c>
      <c r="K2159" s="112">
        <f>'Sampling Data'!J2159</f>
        <v>92</v>
      </c>
      <c r="L2159" s="111">
        <f>'Sampling Data'!X2159</f>
        <v>0</v>
      </c>
      <c r="M2159" s="114"/>
      <c r="N2159" s="114"/>
      <c r="O2159" s="115"/>
      <c r="P2159" s="115"/>
      <c r="Q2159" s="116"/>
      <c r="R2159" s="116"/>
      <c r="S2159" s="111">
        <f>Audit[[#This Row],[Audit Losing Candidate]]-Audit[[#This Row],[Losing Candidate]]</f>
        <v>-24</v>
      </c>
      <c r="T2159" s="111">
        <f>Audit[[#This Row],[Audit Winning Candidate]]-Audit[[#This Row],[Winning Candidate]]</f>
        <v>-59</v>
      </c>
      <c r="U2159" s="111">
        <f>Audit[[#This Row],[Audit Candidate 3]]-Audit[[#This Row],[Candidate 3]]</f>
        <v>-5</v>
      </c>
      <c r="V2159" s="111">
        <f>Audit[[#This Row],[Audit Candidate 4]]-Audit[[#This Row],[Candidate 4]]</f>
        <v>-2</v>
      </c>
      <c r="W2159" s="111">
        <f>Audit[[#This Row],[Audit Candidate 5]]-Audit[[#This Row],[Candidate 5]]</f>
        <v>-1</v>
      </c>
      <c r="X2159" s="111">
        <f>Audit[[#This Row],[Audit Candidate 6]]-Audit[[#This Row],[Candidate 6]]</f>
        <v>-1</v>
      </c>
      <c r="Y2159" s="111">
        <f>SUMIF(Audit[[#This Row],[Difference Loser]:[Difference Candidate 6]], "&gt;0")</f>
        <v>0</v>
      </c>
      <c r="Z2159" s="111">
        <f>SUM(Audit[[#This Row],[Difference Loser]:[Difference Candidate 6]])</f>
        <v>-92</v>
      </c>
      <c r="AA2159" s="111">
        <f>IF(Audit[[#This Row],[Times p Drawn - With Replacement]]&gt;0, IF(Audit[[#This Row],[Canceled Differences]]&lt;0, Audit[[#This Row],[Max Differences]]+ABS(Audit[[#This Row],[Canceled Differences]]), Audit[[#This Row],[Max Differences]]), 0)</f>
        <v>0</v>
      </c>
      <c r="AB2159" s="111">
        <f>'Sampling Data'!P2159</f>
        <v>7.7780499755022046E-3</v>
      </c>
      <c r="AC2159" s="111">
        <f>IF(
      SUM(Audit[[#This Row],[Audit Losing Candidate]:[Audit Candidate 6]])
      &lt;&gt;0,
      (Audit[[#This Row],[Winning Candidate]]-Audit[[#This Row],[Losing Candidate]]-(Audit[[#This Row],[Audit Winning Candidate]]-Audit[[#This Row],[Audit Losing Candidate]]))/(Audit[[#Totals],[Winning Candidate]]-Audit[[#Totals],[Losing Candidate]]),
      0
)</f>
        <v>0</v>
      </c>
      <c r="AD2159"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9"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9"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9"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9"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9" s="111">
        <f>IF(Audit[[#This Row],[Max Relative Error (ep)]] = 0, 0, Audit[[#This Row],[Max Relative Error (ep)]]/Audit[[#This Row],[Error Bound (up) - Max. possible relative overstatement]])</f>
        <v>0</v>
      </c>
      <c r="AJ2159"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59" s="111">
        <f t="shared" si="33"/>
        <v>1</v>
      </c>
      <c r="AL2159" s="111">
        <f>PRODUCT($AK$5:AK2159)</f>
        <v>8.962823818226312E-2</v>
      </c>
      <c r="AM2159" s="109">
        <f>1 - [K-M P Value]</f>
        <v>0.91037176181773694</v>
      </c>
      <c r="AN2159" s="111" t="str">
        <f>IF(Audit[[#This Row],[K-M P Value]]&gt;1-'General Info'!$B$16,"Continue", "Stop")</f>
        <v>Stop</v>
      </c>
      <c r="AO2159" s="110" t="b">
        <f>IF(Audit[[#This Row],[Status - Continue or stop audit]] = "Continue", TRUE, IF(AN2158 = "Continue", TRUE, FALSE))</f>
        <v>0</v>
      </c>
      <c r="AP2159" s="110"/>
    </row>
    <row r="2160" spans="1:42" ht="15" hidden="1" customHeight="1">
      <c r="A2160" s="111" t="str">
        <f>'Sampling Data'!W2160</f>
        <v/>
      </c>
      <c r="B2160" s="112" t="str">
        <f>'Sampling Data'!A2160</f>
        <v>WESTLAKE -06-A - ABS</v>
      </c>
      <c r="C2160" s="112">
        <f>'Sampling Data'!B2160</f>
        <v>17</v>
      </c>
      <c r="D2160" s="112">
        <f>'Sampling Data'!C2160</f>
        <v>36</v>
      </c>
      <c r="E2160" s="113">
        <f>'Sampling Data'!D2160</f>
        <v>6</v>
      </c>
      <c r="F2160" s="113">
        <f>'Sampling Data'!E2160</f>
        <v>0</v>
      </c>
      <c r="G2160" s="113">
        <f>'Sampling Data'!F2160</f>
        <v>3</v>
      </c>
      <c r="H2160" s="113">
        <f>'Sampling Data'!G2160</f>
        <v>0</v>
      </c>
      <c r="I2160" s="112">
        <f>'Sampling Data'!H2160</f>
        <v>0</v>
      </c>
      <c r="J2160" s="112">
        <f>'Sampling Data'!I2160</f>
        <v>1</v>
      </c>
      <c r="K2160" s="112">
        <f>'Sampling Data'!J2160</f>
        <v>63</v>
      </c>
      <c r="L2160" s="111">
        <f>'Sampling Data'!X2160</f>
        <v>0</v>
      </c>
      <c r="M2160" s="114"/>
      <c r="N2160" s="114"/>
      <c r="O2160" s="115"/>
      <c r="P2160" s="115"/>
      <c r="Q2160" s="116"/>
      <c r="R2160" s="116"/>
      <c r="S2160" s="111">
        <f>Audit[[#This Row],[Audit Losing Candidate]]-Audit[[#This Row],[Losing Candidate]]</f>
        <v>-17</v>
      </c>
      <c r="T2160" s="111">
        <f>Audit[[#This Row],[Audit Winning Candidate]]-Audit[[#This Row],[Winning Candidate]]</f>
        <v>-36</v>
      </c>
      <c r="U2160" s="111">
        <f>Audit[[#This Row],[Audit Candidate 3]]-Audit[[#This Row],[Candidate 3]]</f>
        <v>-6</v>
      </c>
      <c r="V2160" s="111">
        <f>Audit[[#This Row],[Audit Candidate 4]]-Audit[[#This Row],[Candidate 4]]</f>
        <v>0</v>
      </c>
      <c r="W2160" s="111">
        <f>Audit[[#This Row],[Audit Candidate 5]]-Audit[[#This Row],[Candidate 5]]</f>
        <v>-3</v>
      </c>
      <c r="X2160" s="111">
        <f>Audit[[#This Row],[Audit Candidate 6]]-Audit[[#This Row],[Candidate 6]]</f>
        <v>0</v>
      </c>
      <c r="Y2160" s="111">
        <f>SUMIF(Audit[[#This Row],[Difference Loser]:[Difference Candidate 6]], "&gt;0")</f>
        <v>0</v>
      </c>
      <c r="Z2160" s="111">
        <f>SUM(Audit[[#This Row],[Difference Loser]:[Difference Candidate 6]])</f>
        <v>-62</v>
      </c>
      <c r="AA2160" s="111">
        <f>IF(Audit[[#This Row],[Times p Drawn - With Replacement]]&gt;0, IF(Audit[[#This Row],[Canceled Differences]]&lt;0, Audit[[#This Row],[Max Differences]]+ABS(Audit[[#This Row],[Canceled Differences]]), Audit[[#This Row],[Max Differences]]), 0)</f>
        <v>0</v>
      </c>
      <c r="AB2160" s="111">
        <f>'Sampling Data'!P2160</f>
        <v>5.0220480156785889E-3</v>
      </c>
      <c r="AC2160" s="111">
        <f>IF(
      SUM(Audit[[#This Row],[Audit Losing Candidate]:[Audit Candidate 6]])
      &lt;&gt;0,
      (Audit[[#This Row],[Winning Candidate]]-Audit[[#This Row],[Losing Candidate]]-(Audit[[#This Row],[Audit Winning Candidate]]-Audit[[#This Row],[Audit Losing Candidate]]))/(Audit[[#Totals],[Winning Candidate]]-Audit[[#Totals],[Losing Candidate]]),
      0
)</f>
        <v>0</v>
      </c>
      <c r="AD2160"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0"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0"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0"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0"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0" s="111">
        <f>IF(Audit[[#This Row],[Max Relative Error (ep)]] = 0, 0, Audit[[#This Row],[Max Relative Error (ep)]]/Audit[[#This Row],[Error Bound (up) - Max. possible relative overstatement]])</f>
        <v>0</v>
      </c>
      <c r="AJ2160"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60" s="111">
        <f t="shared" si="33"/>
        <v>1</v>
      </c>
      <c r="AL2160" s="111">
        <f>PRODUCT($AK$5:AK2160)</f>
        <v>8.962823818226312E-2</v>
      </c>
      <c r="AM2160" s="109">
        <f>1 - [K-M P Value]</f>
        <v>0.91037176181773694</v>
      </c>
      <c r="AN2160" s="111" t="str">
        <f>IF(Audit[[#This Row],[K-M P Value]]&gt;1-'General Info'!$B$16,"Continue", "Stop")</f>
        <v>Stop</v>
      </c>
      <c r="AO2160" s="110" t="b">
        <f>IF(Audit[[#This Row],[Status - Continue or stop audit]] = "Continue", TRUE, IF(AN2159 = "Continue", TRUE, FALSE))</f>
        <v>0</v>
      </c>
      <c r="AP2160" s="110"/>
    </row>
    <row r="2161" spans="1:42" ht="15" hidden="1" customHeight="1">
      <c r="A2161" s="111" t="str">
        <f>'Sampling Data'!W2161</f>
        <v/>
      </c>
      <c r="B2161" s="112" t="str">
        <f>'Sampling Data'!A2161</f>
        <v>WESTLAKE -06-B</v>
      </c>
      <c r="C2161" s="112">
        <f>'Sampling Data'!B2161</f>
        <v>25</v>
      </c>
      <c r="D2161" s="112">
        <f>'Sampling Data'!C2161</f>
        <v>98</v>
      </c>
      <c r="E2161" s="113">
        <f>'Sampling Data'!D2161</f>
        <v>12</v>
      </c>
      <c r="F2161" s="113">
        <f>'Sampling Data'!E2161</f>
        <v>16</v>
      </c>
      <c r="G2161" s="113">
        <f>'Sampling Data'!F2161</f>
        <v>0</v>
      </c>
      <c r="H2161" s="113">
        <f>'Sampling Data'!G2161</f>
        <v>0</v>
      </c>
      <c r="I2161" s="112">
        <f>'Sampling Data'!H2161</f>
        <v>0</v>
      </c>
      <c r="J2161" s="112">
        <f>'Sampling Data'!I2161</f>
        <v>0</v>
      </c>
      <c r="K2161" s="112">
        <f>'Sampling Data'!J2161</f>
        <v>151</v>
      </c>
      <c r="L2161" s="111">
        <f>'Sampling Data'!X2161</f>
        <v>0</v>
      </c>
      <c r="M2161" s="114"/>
      <c r="N2161" s="114"/>
      <c r="O2161" s="115"/>
      <c r="P2161" s="115"/>
      <c r="Q2161" s="116"/>
      <c r="R2161" s="116"/>
      <c r="S2161" s="111">
        <f>Audit[[#This Row],[Audit Losing Candidate]]-Audit[[#This Row],[Losing Candidate]]</f>
        <v>-25</v>
      </c>
      <c r="T2161" s="111">
        <f>Audit[[#This Row],[Audit Winning Candidate]]-Audit[[#This Row],[Winning Candidate]]</f>
        <v>-98</v>
      </c>
      <c r="U2161" s="111">
        <f>Audit[[#This Row],[Audit Candidate 3]]-Audit[[#This Row],[Candidate 3]]</f>
        <v>-12</v>
      </c>
      <c r="V2161" s="111">
        <f>Audit[[#This Row],[Audit Candidate 4]]-Audit[[#This Row],[Candidate 4]]</f>
        <v>-16</v>
      </c>
      <c r="W2161" s="111">
        <f>Audit[[#This Row],[Audit Candidate 5]]-Audit[[#This Row],[Candidate 5]]</f>
        <v>0</v>
      </c>
      <c r="X2161" s="111">
        <f>Audit[[#This Row],[Audit Candidate 6]]-Audit[[#This Row],[Candidate 6]]</f>
        <v>0</v>
      </c>
      <c r="Y2161" s="111">
        <f>SUMIF(Audit[[#This Row],[Difference Loser]:[Difference Candidate 6]], "&gt;0")</f>
        <v>0</v>
      </c>
      <c r="Z2161" s="111">
        <f>SUM(Audit[[#This Row],[Difference Loser]:[Difference Candidate 6]])</f>
        <v>-151</v>
      </c>
      <c r="AA2161" s="111">
        <f>IF(Audit[[#This Row],[Times p Drawn - With Replacement]]&gt;0, IF(Audit[[#This Row],[Canceled Differences]]&lt;0, Audit[[#This Row],[Max Differences]]+ABS(Audit[[#This Row],[Canceled Differences]]), Audit[[#This Row],[Max Differences]]), 0)</f>
        <v>0</v>
      </c>
      <c r="AB2161" s="111">
        <f>'Sampling Data'!P2161</f>
        <v>1.3718765311121999E-2</v>
      </c>
      <c r="AC2161" s="111">
        <f>IF(
      SUM(Audit[[#This Row],[Audit Losing Candidate]:[Audit Candidate 6]])
      &lt;&gt;0,
      (Audit[[#This Row],[Winning Candidate]]-Audit[[#This Row],[Losing Candidate]]-(Audit[[#This Row],[Audit Winning Candidate]]-Audit[[#This Row],[Audit Losing Candidate]]))/(Audit[[#Totals],[Winning Candidate]]-Audit[[#Totals],[Losing Candidate]]),
      0
)</f>
        <v>0</v>
      </c>
      <c r="AD2161"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1"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1"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1"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1"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1" s="111">
        <f>IF(Audit[[#This Row],[Max Relative Error (ep)]] = 0, 0, Audit[[#This Row],[Max Relative Error (ep)]]/Audit[[#This Row],[Error Bound (up) - Max. possible relative overstatement]])</f>
        <v>0</v>
      </c>
      <c r="AJ2161"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61" s="111">
        <f t="shared" si="33"/>
        <v>1</v>
      </c>
      <c r="AL2161" s="111">
        <f>PRODUCT($AK$5:AK2161)</f>
        <v>8.962823818226312E-2</v>
      </c>
      <c r="AM2161" s="109">
        <f>1 - [K-M P Value]</f>
        <v>0.91037176181773694</v>
      </c>
      <c r="AN2161" s="111" t="str">
        <f>IF(Audit[[#This Row],[K-M P Value]]&gt;1-'General Info'!$B$16,"Continue", "Stop")</f>
        <v>Stop</v>
      </c>
      <c r="AO2161" s="110" t="b">
        <f>IF(Audit[[#This Row],[Status - Continue or stop audit]] = "Continue", TRUE, IF(AN2160 = "Continue", TRUE, FALSE))</f>
        <v>0</v>
      </c>
      <c r="AP2161" s="110"/>
    </row>
    <row r="2162" spans="1:42" ht="15" hidden="1" customHeight="1">
      <c r="A2162" s="111" t="str">
        <f>'Sampling Data'!W2162</f>
        <v/>
      </c>
      <c r="B2162" s="112" t="str">
        <f>'Sampling Data'!A2162</f>
        <v>WESTLAKE -06-B - ABS</v>
      </c>
      <c r="C2162" s="112">
        <f>'Sampling Data'!B2162</f>
        <v>27</v>
      </c>
      <c r="D2162" s="112">
        <f>'Sampling Data'!C2162</f>
        <v>43</v>
      </c>
      <c r="E2162" s="113">
        <f>'Sampling Data'!D2162</f>
        <v>13</v>
      </c>
      <c r="F2162" s="113">
        <f>'Sampling Data'!E2162</f>
        <v>0</v>
      </c>
      <c r="G2162" s="113">
        <f>'Sampling Data'!F2162</f>
        <v>2</v>
      </c>
      <c r="H2162" s="113">
        <f>'Sampling Data'!G2162</f>
        <v>0</v>
      </c>
      <c r="I2162" s="112">
        <f>'Sampling Data'!H2162</f>
        <v>0</v>
      </c>
      <c r="J2162" s="112">
        <f>'Sampling Data'!I2162</f>
        <v>4</v>
      </c>
      <c r="K2162" s="112">
        <f>'Sampling Data'!J2162</f>
        <v>89</v>
      </c>
      <c r="L2162" s="111">
        <f>'Sampling Data'!X2162</f>
        <v>0</v>
      </c>
      <c r="M2162" s="114"/>
      <c r="N2162" s="114"/>
      <c r="O2162" s="115"/>
      <c r="P2162" s="115"/>
      <c r="Q2162" s="116"/>
      <c r="R2162" s="116"/>
      <c r="S2162" s="111">
        <f>Audit[[#This Row],[Audit Losing Candidate]]-Audit[[#This Row],[Losing Candidate]]</f>
        <v>-27</v>
      </c>
      <c r="T2162" s="111">
        <f>Audit[[#This Row],[Audit Winning Candidate]]-Audit[[#This Row],[Winning Candidate]]</f>
        <v>-43</v>
      </c>
      <c r="U2162" s="111">
        <f>Audit[[#This Row],[Audit Candidate 3]]-Audit[[#This Row],[Candidate 3]]</f>
        <v>-13</v>
      </c>
      <c r="V2162" s="111">
        <f>Audit[[#This Row],[Audit Candidate 4]]-Audit[[#This Row],[Candidate 4]]</f>
        <v>0</v>
      </c>
      <c r="W2162" s="111">
        <f>Audit[[#This Row],[Audit Candidate 5]]-Audit[[#This Row],[Candidate 5]]</f>
        <v>-2</v>
      </c>
      <c r="X2162" s="111">
        <f>Audit[[#This Row],[Audit Candidate 6]]-Audit[[#This Row],[Candidate 6]]</f>
        <v>0</v>
      </c>
      <c r="Y2162" s="111">
        <f>SUMIF(Audit[[#This Row],[Difference Loser]:[Difference Candidate 6]], "&gt;0")</f>
        <v>0</v>
      </c>
      <c r="Z2162" s="111">
        <f>SUM(Audit[[#This Row],[Difference Loser]:[Difference Candidate 6]])</f>
        <v>-85</v>
      </c>
      <c r="AA2162" s="111">
        <f>IF(Audit[[#This Row],[Times p Drawn - With Replacement]]&gt;0, IF(Audit[[#This Row],[Canceled Differences]]&lt;0, Audit[[#This Row],[Max Differences]]+ABS(Audit[[#This Row],[Canceled Differences]]), Audit[[#This Row],[Max Differences]]), 0)</f>
        <v>0</v>
      </c>
      <c r="AB2162" s="111">
        <f>'Sampling Data'!P2162</f>
        <v>6.4306712395884374E-3</v>
      </c>
      <c r="AC2162" s="111">
        <f>IF(
      SUM(Audit[[#This Row],[Audit Losing Candidate]:[Audit Candidate 6]])
      &lt;&gt;0,
      (Audit[[#This Row],[Winning Candidate]]-Audit[[#This Row],[Losing Candidate]]-(Audit[[#This Row],[Audit Winning Candidate]]-Audit[[#This Row],[Audit Losing Candidate]]))/(Audit[[#Totals],[Winning Candidate]]-Audit[[#Totals],[Losing Candidate]]),
      0
)</f>
        <v>0</v>
      </c>
      <c r="AD2162"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2"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2"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2"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2"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2" s="111">
        <f>IF(Audit[[#This Row],[Max Relative Error (ep)]] = 0, 0, Audit[[#This Row],[Max Relative Error (ep)]]/Audit[[#This Row],[Error Bound (up) - Max. possible relative overstatement]])</f>
        <v>0</v>
      </c>
      <c r="AJ2162"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62" s="111">
        <f t="shared" si="33"/>
        <v>1</v>
      </c>
      <c r="AL2162" s="111">
        <f>PRODUCT($AK$5:AK2162)</f>
        <v>8.962823818226312E-2</v>
      </c>
      <c r="AM2162" s="109">
        <f>1 - [K-M P Value]</f>
        <v>0.91037176181773694</v>
      </c>
      <c r="AN2162" s="111" t="str">
        <f>IF(Audit[[#This Row],[K-M P Value]]&gt;1-'General Info'!$B$16,"Continue", "Stop")</f>
        <v>Stop</v>
      </c>
      <c r="AO2162" s="110" t="b">
        <f>IF(Audit[[#This Row],[Status - Continue or stop audit]] = "Continue", TRUE, IF(AN2161 = "Continue", TRUE, FALSE))</f>
        <v>0</v>
      </c>
      <c r="AP2162" s="110"/>
    </row>
    <row r="2163" spans="1:42" ht="15" hidden="1" customHeight="1">
      <c r="A2163" s="111" t="str">
        <f>'Sampling Data'!W2163</f>
        <v/>
      </c>
      <c r="B2163" s="112" t="str">
        <f>'Sampling Data'!A2163</f>
        <v>WESTLAKE -06-C</v>
      </c>
      <c r="C2163" s="112">
        <f>'Sampling Data'!B2163</f>
        <v>16</v>
      </c>
      <c r="D2163" s="112">
        <f>'Sampling Data'!C2163</f>
        <v>96</v>
      </c>
      <c r="E2163" s="113">
        <f>'Sampling Data'!D2163</f>
        <v>12</v>
      </c>
      <c r="F2163" s="113">
        <f>'Sampling Data'!E2163</f>
        <v>9</v>
      </c>
      <c r="G2163" s="113">
        <f>'Sampling Data'!F2163</f>
        <v>0</v>
      </c>
      <c r="H2163" s="113">
        <f>'Sampling Data'!G2163</f>
        <v>0</v>
      </c>
      <c r="I2163" s="112">
        <f>'Sampling Data'!H2163</f>
        <v>0</v>
      </c>
      <c r="J2163" s="112">
        <f>'Sampling Data'!I2163</f>
        <v>0</v>
      </c>
      <c r="K2163" s="112">
        <f>'Sampling Data'!J2163</f>
        <v>133</v>
      </c>
      <c r="L2163" s="111">
        <f>'Sampling Data'!X2163</f>
        <v>0</v>
      </c>
      <c r="M2163" s="114"/>
      <c r="N2163" s="114"/>
      <c r="O2163" s="115"/>
      <c r="P2163" s="115"/>
      <c r="Q2163" s="116"/>
      <c r="R2163" s="116"/>
      <c r="S2163" s="111">
        <f>Audit[[#This Row],[Audit Losing Candidate]]-Audit[[#This Row],[Losing Candidate]]</f>
        <v>-16</v>
      </c>
      <c r="T2163" s="111">
        <f>Audit[[#This Row],[Audit Winning Candidate]]-Audit[[#This Row],[Winning Candidate]]</f>
        <v>-96</v>
      </c>
      <c r="U2163" s="111">
        <f>Audit[[#This Row],[Audit Candidate 3]]-Audit[[#This Row],[Candidate 3]]</f>
        <v>-12</v>
      </c>
      <c r="V2163" s="111">
        <f>Audit[[#This Row],[Audit Candidate 4]]-Audit[[#This Row],[Candidate 4]]</f>
        <v>-9</v>
      </c>
      <c r="W2163" s="111">
        <f>Audit[[#This Row],[Audit Candidate 5]]-Audit[[#This Row],[Candidate 5]]</f>
        <v>0</v>
      </c>
      <c r="X2163" s="111">
        <f>Audit[[#This Row],[Audit Candidate 6]]-Audit[[#This Row],[Candidate 6]]</f>
        <v>0</v>
      </c>
      <c r="Y2163" s="111">
        <f>SUMIF(Audit[[#This Row],[Difference Loser]:[Difference Candidate 6]], "&gt;0")</f>
        <v>0</v>
      </c>
      <c r="Z2163" s="111">
        <f>SUM(Audit[[#This Row],[Difference Loser]:[Difference Candidate 6]])</f>
        <v>-133</v>
      </c>
      <c r="AA2163" s="111">
        <f>IF(Audit[[#This Row],[Times p Drawn - With Replacement]]&gt;0, IF(Audit[[#This Row],[Canceled Differences]]&lt;0, Audit[[#This Row],[Max Differences]]+ABS(Audit[[#This Row],[Canceled Differences]]), Audit[[#This Row],[Max Differences]]), 0)</f>
        <v>0</v>
      </c>
      <c r="AB2163" s="111">
        <f>'Sampling Data'!P2163</f>
        <v>1.3045075943165115E-2</v>
      </c>
      <c r="AC2163" s="111">
        <f>IF(
      SUM(Audit[[#This Row],[Audit Losing Candidate]:[Audit Candidate 6]])
      &lt;&gt;0,
      (Audit[[#This Row],[Winning Candidate]]-Audit[[#This Row],[Losing Candidate]]-(Audit[[#This Row],[Audit Winning Candidate]]-Audit[[#This Row],[Audit Losing Candidate]]))/(Audit[[#Totals],[Winning Candidate]]-Audit[[#Totals],[Losing Candidate]]),
      0
)</f>
        <v>0</v>
      </c>
      <c r="AD2163"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3"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3"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3"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3"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3" s="111">
        <f>IF(Audit[[#This Row],[Max Relative Error (ep)]] = 0, 0, Audit[[#This Row],[Max Relative Error (ep)]]/Audit[[#This Row],[Error Bound (up) - Max. possible relative overstatement]])</f>
        <v>0</v>
      </c>
      <c r="AJ2163"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63" s="111">
        <f t="shared" si="33"/>
        <v>1</v>
      </c>
      <c r="AL2163" s="111">
        <f>PRODUCT($AK$5:AK2163)</f>
        <v>8.962823818226312E-2</v>
      </c>
      <c r="AM2163" s="109">
        <f>1 - [K-M P Value]</f>
        <v>0.91037176181773694</v>
      </c>
      <c r="AN2163" s="111" t="str">
        <f>IF(Audit[[#This Row],[K-M P Value]]&gt;1-'General Info'!$B$16,"Continue", "Stop")</f>
        <v>Stop</v>
      </c>
      <c r="AO2163" s="110" t="b">
        <f>IF(Audit[[#This Row],[Status - Continue or stop audit]] = "Continue", TRUE, IF(AN2162 = "Continue", TRUE, FALSE))</f>
        <v>0</v>
      </c>
      <c r="AP2163" s="110"/>
    </row>
    <row r="2164" spans="1:42" ht="15" hidden="1" customHeight="1">
      <c r="A2164" s="111" t="str">
        <f>'Sampling Data'!W2164</f>
        <v/>
      </c>
      <c r="B2164" s="112" t="str">
        <f>'Sampling Data'!A2164</f>
        <v>WESTLAKE -06-C - ABS</v>
      </c>
      <c r="C2164" s="112">
        <f>'Sampling Data'!B2164</f>
        <v>12</v>
      </c>
      <c r="D2164" s="112">
        <f>'Sampling Data'!C2164</f>
        <v>36</v>
      </c>
      <c r="E2164" s="113">
        <f>'Sampling Data'!D2164</f>
        <v>7</v>
      </c>
      <c r="F2164" s="113">
        <f>'Sampling Data'!E2164</f>
        <v>3</v>
      </c>
      <c r="G2164" s="113">
        <f>'Sampling Data'!F2164</f>
        <v>0</v>
      </c>
      <c r="H2164" s="113">
        <f>'Sampling Data'!G2164</f>
        <v>0</v>
      </c>
      <c r="I2164" s="112">
        <f>'Sampling Data'!H2164</f>
        <v>0</v>
      </c>
      <c r="J2164" s="112">
        <f>'Sampling Data'!I2164</f>
        <v>0</v>
      </c>
      <c r="K2164" s="112">
        <f>'Sampling Data'!J2164</f>
        <v>58</v>
      </c>
      <c r="L2164" s="111">
        <f>'Sampling Data'!X2164</f>
        <v>0</v>
      </c>
      <c r="M2164" s="114"/>
      <c r="N2164" s="114"/>
      <c r="O2164" s="115"/>
      <c r="P2164" s="115"/>
      <c r="Q2164" s="116"/>
      <c r="R2164" s="116"/>
      <c r="S2164" s="111">
        <f>Audit[[#This Row],[Audit Losing Candidate]]-Audit[[#This Row],[Losing Candidate]]</f>
        <v>-12</v>
      </c>
      <c r="T2164" s="111">
        <f>Audit[[#This Row],[Audit Winning Candidate]]-Audit[[#This Row],[Winning Candidate]]</f>
        <v>-36</v>
      </c>
      <c r="U2164" s="111">
        <f>Audit[[#This Row],[Audit Candidate 3]]-Audit[[#This Row],[Candidate 3]]</f>
        <v>-7</v>
      </c>
      <c r="V2164" s="111">
        <f>Audit[[#This Row],[Audit Candidate 4]]-Audit[[#This Row],[Candidate 4]]</f>
        <v>-3</v>
      </c>
      <c r="W2164" s="111">
        <f>Audit[[#This Row],[Audit Candidate 5]]-Audit[[#This Row],[Candidate 5]]</f>
        <v>0</v>
      </c>
      <c r="X2164" s="111">
        <f>Audit[[#This Row],[Audit Candidate 6]]-Audit[[#This Row],[Candidate 6]]</f>
        <v>0</v>
      </c>
      <c r="Y2164" s="111">
        <f>SUMIF(Audit[[#This Row],[Difference Loser]:[Difference Candidate 6]], "&gt;0")</f>
        <v>0</v>
      </c>
      <c r="Z2164" s="111">
        <f>SUM(Audit[[#This Row],[Difference Loser]:[Difference Candidate 6]])</f>
        <v>-58</v>
      </c>
      <c r="AA2164" s="111">
        <f>IF(Audit[[#This Row],[Times p Drawn - With Replacement]]&gt;0, IF(Audit[[#This Row],[Canceled Differences]]&lt;0, Audit[[#This Row],[Max Differences]]+ABS(Audit[[#This Row],[Canceled Differences]]), Audit[[#This Row],[Max Differences]]), 0)</f>
        <v>0</v>
      </c>
      <c r="AB2164" s="111">
        <f>'Sampling Data'!P2164</f>
        <v>5.0220480156785889E-3</v>
      </c>
      <c r="AC2164" s="111">
        <f>IF(
      SUM(Audit[[#This Row],[Audit Losing Candidate]:[Audit Candidate 6]])
      &lt;&gt;0,
      (Audit[[#This Row],[Winning Candidate]]-Audit[[#This Row],[Losing Candidate]]-(Audit[[#This Row],[Audit Winning Candidate]]-Audit[[#This Row],[Audit Losing Candidate]]))/(Audit[[#Totals],[Winning Candidate]]-Audit[[#Totals],[Losing Candidate]]),
      0
)</f>
        <v>0</v>
      </c>
      <c r="AD2164"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4"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4"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4"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4"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4" s="111">
        <f>IF(Audit[[#This Row],[Max Relative Error (ep)]] = 0, 0, Audit[[#This Row],[Max Relative Error (ep)]]/Audit[[#This Row],[Error Bound (up) - Max. possible relative overstatement]])</f>
        <v>0</v>
      </c>
      <c r="AJ2164"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64" s="111">
        <f t="shared" si="33"/>
        <v>1</v>
      </c>
      <c r="AL2164" s="111">
        <f>PRODUCT($AK$5:AK2164)</f>
        <v>8.962823818226312E-2</v>
      </c>
      <c r="AM2164" s="109">
        <f>1 - [K-M P Value]</f>
        <v>0.91037176181773694</v>
      </c>
      <c r="AN2164" s="111" t="str">
        <f>IF(Audit[[#This Row],[K-M P Value]]&gt;1-'General Info'!$B$16,"Continue", "Stop")</f>
        <v>Stop</v>
      </c>
      <c r="AO2164" s="110" t="b">
        <f>IF(Audit[[#This Row],[Status - Continue or stop audit]] = "Continue", TRUE, IF(AN2163 = "Continue", TRUE, FALSE))</f>
        <v>0</v>
      </c>
      <c r="AP2164" s="110"/>
    </row>
    <row r="2165" spans="1:42" ht="15" hidden="1" customHeight="1">
      <c r="A2165" s="111" t="str">
        <f>'Sampling Data'!W2165</f>
        <v/>
      </c>
      <c r="B2165" s="112" t="str">
        <f>'Sampling Data'!A2165</f>
        <v>WESTLAKE -06-D</v>
      </c>
      <c r="C2165" s="112">
        <f>'Sampling Data'!B2165</f>
        <v>45</v>
      </c>
      <c r="D2165" s="112">
        <f>'Sampling Data'!C2165</f>
        <v>90</v>
      </c>
      <c r="E2165" s="113">
        <f>'Sampling Data'!D2165</f>
        <v>23</v>
      </c>
      <c r="F2165" s="113">
        <f>'Sampling Data'!E2165</f>
        <v>6</v>
      </c>
      <c r="G2165" s="113">
        <f>'Sampling Data'!F2165</f>
        <v>1</v>
      </c>
      <c r="H2165" s="113">
        <f>'Sampling Data'!G2165</f>
        <v>0</v>
      </c>
      <c r="I2165" s="112">
        <f>'Sampling Data'!H2165</f>
        <v>0</v>
      </c>
      <c r="J2165" s="112">
        <f>'Sampling Data'!I2165</f>
        <v>4</v>
      </c>
      <c r="K2165" s="112">
        <f>'Sampling Data'!J2165</f>
        <v>169</v>
      </c>
      <c r="L2165" s="111">
        <f>'Sampling Data'!X2165</f>
        <v>0</v>
      </c>
      <c r="M2165" s="114"/>
      <c r="N2165" s="114"/>
      <c r="O2165" s="115"/>
      <c r="P2165" s="115"/>
      <c r="Q2165" s="116"/>
      <c r="R2165" s="116"/>
      <c r="S2165" s="111">
        <f>Audit[[#This Row],[Audit Losing Candidate]]-Audit[[#This Row],[Losing Candidate]]</f>
        <v>-45</v>
      </c>
      <c r="T2165" s="111">
        <f>Audit[[#This Row],[Audit Winning Candidate]]-Audit[[#This Row],[Winning Candidate]]</f>
        <v>-90</v>
      </c>
      <c r="U2165" s="111">
        <f>Audit[[#This Row],[Audit Candidate 3]]-Audit[[#This Row],[Candidate 3]]</f>
        <v>-23</v>
      </c>
      <c r="V2165" s="111">
        <f>Audit[[#This Row],[Audit Candidate 4]]-Audit[[#This Row],[Candidate 4]]</f>
        <v>-6</v>
      </c>
      <c r="W2165" s="111">
        <f>Audit[[#This Row],[Audit Candidate 5]]-Audit[[#This Row],[Candidate 5]]</f>
        <v>-1</v>
      </c>
      <c r="X2165" s="111">
        <f>Audit[[#This Row],[Audit Candidate 6]]-Audit[[#This Row],[Candidate 6]]</f>
        <v>0</v>
      </c>
      <c r="Y2165" s="111">
        <f>SUMIF(Audit[[#This Row],[Difference Loser]:[Difference Candidate 6]], "&gt;0")</f>
        <v>0</v>
      </c>
      <c r="Z2165" s="111">
        <f>SUM(Audit[[#This Row],[Difference Loser]:[Difference Candidate 6]])</f>
        <v>-165</v>
      </c>
      <c r="AA2165" s="111">
        <f>IF(Audit[[#This Row],[Times p Drawn - With Replacement]]&gt;0, IF(Audit[[#This Row],[Canceled Differences]]&lt;0, Audit[[#This Row],[Max Differences]]+ABS(Audit[[#This Row],[Canceled Differences]]), Audit[[#This Row],[Max Differences]]), 0)</f>
        <v>0</v>
      </c>
      <c r="AB2165" s="111">
        <f>'Sampling Data'!P2165</f>
        <v>1.3106320431161195E-2</v>
      </c>
      <c r="AC2165" s="111">
        <f>IF(
      SUM(Audit[[#This Row],[Audit Losing Candidate]:[Audit Candidate 6]])
      &lt;&gt;0,
      (Audit[[#This Row],[Winning Candidate]]-Audit[[#This Row],[Losing Candidate]]-(Audit[[#This Row],[Audit Winning Candidate]]-Audit[[#This Row],[Audit Losing Candidate]]))/(Audit[[#Totals],[Winning Candidate]]-Audit[[#Totals],[Losing Candidate]]),
      0
)</f>
        <v>0</v>
      </c>
      <c r="AD2165"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5"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5"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5"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5"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5" s="111">
        <f>IF(Audit[[#This Row],[Max Relative Error (ep)]] = 0, 0, Audit[[#This Row],[Max Relative Error (ep)]]/Audit[[#This Row],[Error Bound (up) - Max. possible relative overstatement]])</f>
        <v>0</v>
      </c>
      <c r="AJ2165"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65" s="111">
        <f t="shared" si="33"/>
        <v>1</v>
      </c>
      <c r="AL2165" s="111">
        <f>PRODUCT($AK$5:AK2165)</f>
        <v>8.962823818226312E-2</v>
      </c>
      <c r="AM2165" s="109">
        <f>1 - [K-M P Value]</f>
        <v>0.91037176181773694</v>
      </c>
      <c r="AN2165" s="111" t="str">
        <f>IF(Audit[[#This Row],[K-M P Value]]&gt;1-'General Info'!$B$16,"Continue", "Stop")</f>
        <v>Stop</v>
      </c>
      <c r="AO2165" s="110" t="b">
        <f>IF(Audit[[#This Row],[Status - Continue or stop audit]] = "Continue", TRUE, IF(AN2164 = "Continue", TRUE, FALSE))</f>
        <v>0</v>
      </c>
      <c r="AP2165" s="110"/>
    </row>
    <row r="2166" spans="1:42" ht="15" hidden="1" customHeight="1">
      <c r="A2166" s="111" t="str">
        <f>'Sampling Data'!W2166</f>
        <v/>
      </c>
      <c r="B2166" s="112" t="str">
        <f>'Sampling Data'!A2166</f>
        <v>WESTLAKE -06-D - ABS</v>
      </c>
      <c r="C2166" s="112">
        <f>'Sampling Data'!B2166</f>
        <v>12</v>
      </c>
      <c r="D2166" s="112">
        <f>'Sampling Data'!C2166</f>
        <v>41</v>
      </c>
      <c r="E2166" s="113">
        <f>'Sampling Data'!D2166</f>
        <v>5</v>
      </c>
      <c r="F2166" s="113">
        <f>'Sampling Data'!E2166</f>
        <v>6</v>
      </c>
      <c r="G2166" s="113">
        <f>'Sampling Data'!F2166</f>
        <v>0</v>
      </c>
      <c r="H2166" s="113">
        <f>'Sampling Data'!G2166</f>
        <v>0</v>
      </c>
      <c r="I2166" s="112">
        <f>'Sampling Data'!H2166</f>
        <v>0</v>
      </c>
      <c r="J2166" s="112">
        <f>'Sampling Data'!I2166</f>
        <v>1</v>
      </c>
      <c r="K2166" s="112">
        <f>'Sampling Data'!J2166</f>
        <v>65</v>
      </c>
      <c r="L2166" s="111">
        <f>'Sampling Data'!X2166</f>
        <v>0</v>
      </c>
      <c r="M2166" s="114"/>
      <c r="N2166" s="114"/>
      <c r="O2166" s="115"/>
      <c r="P2166" s="115"/>
      <c r="Q2166" s="116"/>
      <c r="R2166" s="116"/>
      <c r="S2166" s="111">
        <f>Audit[[#This Row],[Audit Losing Candidate]]-Audit[[#This Row],[Losing Candidate]]</f>
        <v>-12</v>
      </c>
      <c r="T2166" s="111">
        <f>Audit[[#This Row],[Audit Winning Candidate]]-Audit[[#This Row],[Winning Candidate]]</f>
        <v>-41</v>
      </c>
      <c r="U2166" s="111">
        <f>Audit[[#This Row],[Audit Candidate 3]]-Audit[[#This Row],[Candidate 3]]</f>
        <v>-5</v>
      </c>
      <c r="V2166" s="111">
        <f>Audit[[#This Row],[Audit Candidate 4]]-Audit[[#This Row],[Candidate 4]]</f>
        <v>-6</v>
      </c>
      <c r="W2166" s="111">
        <f>Audit[[#This Row],[Audit Candidate 5]]-Audit[[#This Row],[Candidate 5]]</f>
        <v>0</v>
      </c>
      <c r="X2166" s="111">
        <f>Audit[[#This Row],[Audit Candidate 6]]-Audit[[#This Row],[Candidate 6]]</f>
        <v>0</v>
      </c>
      <c r="Y2166" s="111">
        <f>SUMIF(Audit[[#This Row],[Difference Loser]:[Difference Candidate 6]], "&gt;0")</f>
        <v>0</v>
      </c>
      <c r="Z2166" s="111">
        <f>SUM(Audit[[#This Row],[Difference Loser]:[Difference Candidate 6]])</f>
        <v>-64</v>
      </c>
      <c r="AA2166" s="111">
        <f>IF(Audit[[#This Row],[Times p Drawn - With Replacement]]&gt;0, IF(Audit[[#This Row],[Canceled Differences]]&lt;0, Audit[[#This Row],[Max Differences]]+ABS(Audit[[#This Row],[Canceled Differences]]), Audit[[#This Row],[Max Differences]]), 0)</f>
        <v>0</v>
      </c>
      <c r="AB2166" s="111">
        <f>'Sampling Data'!P2166</f>
        <v>5.7569818716315529E-3</v>
      </c>
      <c r="AC2166" s="111">
        <f>IF(
      SUM(Audit[[#This Row],[Audit Losing Candidate]:[Audit Candidate 6]])
      &lt;&gt;0,
      (Audit[[#This Row],[Winning Candidate]]-Audit[[#This Row],[Losing Candidate]]-(Audit[[#This Row],[Audit Winning Candidate]]-Audit[[#This Row],[Audit Losing Candidate]]))/(Audit[[#Totals],[Winning Candidate]]-Audit[[#Totals],[Losing Candidate]]),
      0
)</f>
        <v>0</v>
      </c>
      <c r="AD2166"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6"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6"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6"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6"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6" s="111">
        <f>IF(Audit[[#This Row],[Max Relative Error (ep)]] = 0, 0, Audit[[#This Row],[Max Relative Error (ep)]]/Audit[[#This Row],[Error Bound (up) - Max. possible relative overstatement]])</f>
        <v>0</v>
      </c>
      <c r="AJ2166"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66" s="111">
        <f t="shared" si="33"/>
        <v>1</v>
      </c>
      <c r="AL2166" s="111">
        <f>PRODUCT($AK$5:AK2166)</f>
        <v>8.962823818226312E-2</v>
      </c>
      <c r="AM2166" s="109">
        <f>1 - [K-M P Value]</f>
        <v>0.91037176181773694</v>
      </c>
      <c r="AN2166" s="111" t="str">
        <f>IF(Audit[[#This Row],[K-M P Value]]&gt;1-'General Info'!$B$16,"Continue", "Stop")</f>
        <v>Stop</v>
      </c>
      <c r="AO2166" s="110" t="b">
        <f>IF(Audit[[#This Row],[Status - Continue or stop audit]] = "Continue", TRUE, IF(AN2165 = "Continue", TRUE, FALSE))</f>
        <v>0</v>
      </c>
      <c r="AP2166" s="110"/>
    </row>
    <row r="2167" spans="1:42" ht="15" hidden="1" customHeight="1">
      <c r="A2167" s="111" t="str">
        <f>'Sampling Data'!W2167</f>
        <v/>
      </c>
      <c r="B2167" s="112" t="str">
        <f>'Sampling Data'!A2167</f>
        <v>WOODMERE -00-A</v>
      </c>
      <c r="C2167" s="112">
        <f>'Sampling Data'!B2167</f>
        <v>1</v>
      </c>
      <c r="D2167" s="112">
        <f>'Sampling Data'!C2167</f>
        <v>6</v>
      </c>
      <c r="E2167" s="113">
        <f>'Sampling Data'!D2167</f>
        <v>1</v>
      </c>
      <c r="F2167" s="113">
        <f>'Sampling Data'!E2167</f>
        <v>2</v>
      </c>
      <c r="G2167" s="113">
        <f>'Sampling Data'!F2167</f>
        <v>0</v>
      </c>
      <c r="H2167" s="113">
        <f>'Sampling Data'!G2167</f>
        <v>0</v>
      </c>
      <c r="I2167" s="112">
        <f>'Sampling Data'!H2167</f>
        <v>0</v>
      </c>
      <c r="J2167" s="112">
        <f>'Sampling Data'!I2167</f>
        <v>0</v>
      </c>
      <c r="K2167" s="112">
        <f>'Sampling Data'!J2167</f>
        <v>10</v>
      </c>
      <c r="L2167" s="111">
        <f>'Sampling Data'!X2167</f>
        <v>0</v>
      </c>
      <c r="M2167" s="114"/>
      <c r="N2167" s="114"/>
      <c r="O2167" s="115"/>
      <c r="P2167" s="115"/>
      <c r="Q2167" s="116"/>
      <c r="R2167" s="116"/>
      <c r="S2167" s="111">
        <f>Audit[[#This Row],[Audit Losing Candidate]]-Audit[[#This Row],[Losing Candidate]]</f>
        <v>-1</v>
      </c>
      <c r="T2167" s="111">
        <f>Audit[[#This Row],[Audit Winning Candidate]]-Audit[[#This Row],[Winning Candidate]]</f>
        <v>-6</v>
      </c>
      <c r="U2167" s="111">
        <f>Audit[[#This Row],[Audit Candidate 3]]-Audit[[#This Row],[Candidate 3]]</f>
        <v>-1</v>
      </c>
      <c r="V2167" s="111">
        <f>Audit[[#This Row],[Audit Candidate 4]]-Audit[[#This Row],[Candidate 4]]</f>
        <v>-2</v>
      </c>
      <c r="W2167" s="111">
        <f>Audit[[#This Row],[Audit Candidate 5]]-Audit[[#This Row],[Candidate 5]]</f>
        <v>0</v>
      </c>
      <c r="X2167" s="111">
        <f>Audit[[#This Row],[Audit Candidate 6]]-Audit[[#This Row],[Candidate 6]]</f>
        <v>0</v>
      </c>
      <c r="Y2167" s="111">
        <f>SUMIF(Audit[[#This Row],[Difference Loser]:[Difference Candidate 6]], "&gt;0")</f>
        <v>0</v>
      </c>
      <c r="Z2167" s="111">
        <f>SUM(Audit[[#This Row],[Difference Loser]:[Difference Candidate 6]])</f>
        <v>-10</v>
      </c>
      <c r="AA2167" s="111">
        <f>IF(Audit[[#This Row],[Times p Drawn - With Replacement]]&gt;0, IF(Audit[[#This Row],[Canceled Differences]]&lt;0, Audit[[#This Row],[Max Differences]]+ABS(Audit[[#This Row],[Canceled Differences]]), Audit[[#This Row],[Max Differences]]), 0)</f>
        <v>0</v>
      </c>
      <c r="AB2167" s="111">
        <f>'Sampling Data'!P2167</f>
        <v>9.1866731994120533E-4</v>
      </c>
      <c r="AC2167" s="111">
        <f>IF(
      SUM(Audit[[#This Row],[Audit Losing Candidate]:[Audit Candidate 6]])
      &lt;&gt;0,
      (Audit[[#This Row],[Winning Candidate]]-Audit[[#This Row],[Losing Candidate]]-(Audit[[#This Row],[Audit Winning Candidate]]-Audit[[#This Row],[Audit Losing Candidate]]))/(Audit[[#Totals],[Winning Candidate]]-Audit[[#Totals],[Losing Candidate]]),
      0
)</f>
        <v>0</v>
      </c>
      <c r="AD2167"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7"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7"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7"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7"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7" s="111">
        <f>IF(Audit[[#This Row],[Max Relative Error (ep)]] = 0, 0, Audit[[#This Row],[Max Relative Error (ep)]]/Audit[[#This Row],[Error Bound (up) - Max. possible relative overstatement]])</f>
        <v>0</v>
      </c>
      <c r="AJ2167"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67" s="111">
        <f t="shared" si="33"/>
        <v>1</v>
      </c>
      <c r="AL2167" s="111">
        <f>PRODUCT($AK$5:AK2167)</f>
        <v>8.962823818226312E-2</v>
      </c>
      <c r="AM2167" s="109">
        <f>1 - [K-M P Value]</f>
        <v>0.91037176181773694</v>
      </c>
      <c r="AN2167" s="111" t="str">
        <f>IF(Audit[[#This Row],[K-M P Value]]&gt;1-'General Info'!$B$16,"Continue", "Stop")</f>
        <v>Stop</v>
      </c>
      <c r="AO2167" s="110" t="b">
        <f>IF(Audit[[#This Row],[Status - Continue or stop audit]] = "Continue", TRUE, IF(AN2166 = "Continue", TRUE, FALSE))</f>
        <v>0</v>
      </c>
      <c r="AP2167" s="110"/>
    </row>
    <row r="2168" spans="1:42" ht="15" hidden="1" customHeight="1" thickBot="1">
      <c r="A2168" s="111" t="str">
        <f>'Sampling Data'!W2168</f>
        <v/>
      </c>
      <c r="B2168" s="112" t="str">
        <f>'Sampling Data'!A2168</f>
        <v>WOODMERE -00-A - ABS</v>
      </c>
      <c r="C2168" s="112">
        <f>'Sampling Data'!B2168</f>
        <v>1</v>
      </c>
      <c r="D2168" s="112">
        <f>'Sampling Data'!C2168</f>
        <v>0</v>
      </c>
      <c r="E2168" s="113">
        <f>'Sampling Data'!D2168</f>
        <v>1</v>
      </c>
      <c r="F2168" s="113">
        <f>'Sampling Data'!E2168</f>
        <v>0</v>
      </c>
      <c r="G2168" s="113">
        <f>'Sampling Data'!F2168</f>
        <v>0</v>
      </c>
      <c r="H2168" s="113">
        <f>'Sampling Data'!G2168</f>
        <v>0</v>
      </c>
      <c r="I2168" s="112">
        <f>'Sampling Data'!H2168</f>
        <v>0</v>
      </c>
      <c r="J2168" s="112">
        <f>'Sampling Data'!I2168</f>
        <v>0</v>
      </c>
      <c r="K2168" s="112">
        <f>'Sampling Data'!J2168</f>
        <v>2</v>
      </c>
      <c r="L2168" s="111">
        <f>'Sampling Data'!X2168</f>
        <v>0</v>
      </c>
      <c r="M2168" s="114"/>
      <c r="N2168" s="114"/>
      <c r="O2168" s="115"/>
      <c r="P2168" s="115"/>
      <c r="Q2168" s="116"/>
      <c r="R2168" s="116"/>
      <c r="S2168" s="111">
        <f>Audit[[#This Row],[Audit Losing Candidate]]-Audit[[#This Row],[Losing Candidate]]</f>
        <v>-1</v>
      </c>
      <c r="T2168" s="111">
        <f>Audit[[#This Row],[Audit Winning Candidate]]-Audit[[#This Row],[Winning Candidate]]</f>
        <v>0</v>
      </c>
      <c r="U2168" s="111">
        <f>Audit[[#This Row],[Audit Candidate 3]]-Audit[[#This Row],[Candidate 3]]</f>
        <v>-1</v>
      </c>
      <c r="V2168" s="111">
        <f>Audit[[#This Row],[Audit Candidate 4]]-Audit[[#This Row],[Candidate 4]]</f>
        <v>0</v>
      </c>
      <c r="W2168" s="111">
        <f>Audit[[#This Row],[Audit Candidate 5]]-Audit[[#This Row],[Candidate 5]]</f>
        <v>0</v>
      </c>
      <c r="X2168" s="111">
        <f>Audit[[#This Row],[Audit Candidate 6]]-Audit[[#This Row],[Candidate 6]]</f>
        <v>0</v>
      </c>
      <c r="Y2168" s="111">
        <f>SUMIF(Audit[[#This Row],[Difference Loser]:[Difference Candidate 6]], "&gt;0")</f>
        <v>0</v>
      </c>
      <c r="Z2168" s="111">
        <f>SUM(Audit[[#This Row],[Difference Loser]:[Difference Candidate 6]])</f>
        <v>-2</v>
      </c>
      <c r="AA2168" s="111">
        <f>IF(Audit[[#This Row],[Times p Drawn - With Replacement]]&gt;0, IF(Audit[[#This Row],[Canceled Differences]]&lt;0, Audit[[#This Row],[Max Differences]]+ABS(Audit[[#This Row],[Canceled Differences]]), Audit[[#This Row],[Max Differences]]), 0)</f>
        <v>0</v>
      </c>
      <c r="AB2168" s="111">
        <f>'Sampling Data'!P2168</f>
        <v>6.1244487996080352E-5</v>
      </c>
      <c r="AC2168" s="111">
        <f>IF(
      SUM(Audit[[#This Row],[Audit Losing Candidate]:[Audit Candidate 6]])
      &lt;&gt;0,
      (Audit[[#This Row],[Winning Candidate]]-Audit[[#This Row],[Losing Candidate]]-(Audit[[#This Row],[Audit Winning Candidate]]-Audit[[#This Row],[Audit Losing Candidate]]))/(Audit[[#Totals],[Winning Candidate]]-Audit[[#Totals],[Losing Candidate]]),
      0
)</f>
        <v>0</v>
      </c>
      <c r="AD2168" s="111"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8" s="111"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8" s="111"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8" s="111"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8" s="111">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8" s="111">
        <f>IF(Audit[[#This Row],[Max Relative Error (ep)]] = 0, 0, Audit[[#This Row],[Max Relative Error (ep)]]/Audit[[#This Row],[Error Bound (up) - Max. possible relative overstatement]])</f>
        <v>0</v>
      </c>
      <c r="AJ2168" s="111">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0.84173354050953653</v>
      </c>
      <c r="AK2168" s="111">
        <f t="shared" si="33"/>
        <v>1</v>
      </c>
      <c r="AL2168" s="111">
        <f>PRODUCT($AK$5:AK2168)</f>
        <v>8.962823818226312E-2</v>
      </c>
      <c r="AM2168" s="117">
        <f>1 - [K-M P Value]</f>
        <v>0.91037176181773694</v>
      </c>
      <c r="AN2168" s="111" t="str">
        <f>IF(Audit[[#This Row],[K-M P Value]]&gt;1-'General Info'!$B$16,"Continue", "Stop")</f>
        <v>Stop</v>
      </c>
      <c r="AO2168" s="118" t="b">
        <f>IF(Audit[[#This Row],[Status - Continue or stop audit]] = "Continue", TRUE, IF(AN2167 = "Continue", TRUE, FALSE))</f>
        <v>0</v>
      </c>
      <c r="AP2168" s="118"/>
    </row>
    <row r="2169" spans="1:42" ht="15" customHeight="1" thickTop="1">
      <c r="A2169" s="92" t="s">
        <v>0</v>
      </c>
      <c r="B2169" s="93">
        <f>SUBTOTAL(103,[Precinct (p) - Batched by Type])</f>
        <v>14</v>
      </c>
      <c r="C2169" s="94">
        <f>SUM([Losing Candidate])</f>
        <v>25191</v>
      </c>
      <c r="D2169" s="94">
        <f>SUM([Winning Candidate])</f>
        <v>41519</v>
      </c>
      <c r="E2169" s="94">
        <f>SUM([Candidate 3])</f>
        <v>10522</v>
      </c>
      <c r="F2169" s="94">
        <f>SUM([Candidate 4])</f>
        <v>7310</v>
      </c>
      <c r="G2169" s="94">
        <f>SUM([Candidate 5])</f>
        <v>409</v>
      </c>
      <c r="H2169" s="94">
        <f>SUM([Candidate 6])</f>
        <v>397</v>
      </c>
      <c r="I2169" s="94">
        <f>SUM([Over Votes])</f>
        <v>77</v>
      </c>
      <c r="J2169" s="94">
        <f>SUM([Under Votes])</f>
        <v>1302</v>
      </c>
      <c r="K2169" s="94">
        <f>SUM([Total])</f>
        <v>86727</v>
      </c>
      <c r="L2169" s="94">
        <f>SUM([Times p Drawn - With Replacement])</f>
        <v>14</v>
      </c>
      <c r="M2169" s="94">
        <f>SUM([Audit Losing Candidate])</f>
        <v>389</v>
      </c>
      <c r="N2169" s="94">
        <f>SUM([Audit Winning Candidate])</f>
        <v>779</v>
      </c>
      <c r="O2169" s="94">
        <f>SUM([Audit Candidate 3])</f>
        <v>165</v>
      </c>
      <c r="P2169" s="94">
        <f>SUM([Audit Candidate 4])</f>
        <v>115</v>
      </c>
      <c r="Q2169" s="94">
        <f>SUM([Audit Candidate 5])</f>
        <v>8</v>
      </c>
      <c r="R2169" s="94">
        <f>SUM([Audit Candidate 6])</f>
        <v>6</v>
      </c>
      <c r="S2169" s="94">
        <f>SUM([Difference Loser])</f>
        <v>-24802</v>
      </c>
      <c r="T2169" s="94">
        <f>SUM([Difference Winner])</f>
        <v>-40740</v>
      </c>
      <c r="U2169" s="94">
        <f>SUM([Difference Candidate 3])</f>
        <v>-10357</v>
      </c>
      <c r="V2169" s="94">
        <f>SUM([Difference Candidate 4])</f>
        <v>-7195</v>
      </c>
      <c r="W2169" s="94">
        <f>SUM([Difference Candidate 5])</f>
        <v>-401</v>
      </c>
      <c r="X2169" s="94">
        <f>SUM([Difference Candidate 6])</f>
        <v>-391</v>
      </c>
      <c r="Y2169" s="94">
        <f>SUM([Max Differences])</f>
        <v>0</v>
      </c>
      <c r="Z2169" s="94">
        <f>SUM([Canceled Differences])</f>
        <v>-83886</v>
      </c>
      <c r="AA2169" s="94">
        <f>SUM([Total Differences])</f>
        <v>0</v>
      </c>
      <c r="AB2169" s="95">
        <f>SUM([Error Bound (up) - Max. possible relative overstatement])</f>
        <v>6.318458144697777</v>
      </c>
      <c r="AC2169" s="93">
        <f>SUM([Relative Error (ep) - Error Rate as a proportion of the margin of victory for Winning Candidate])</f>
        <v>0</v>
      </c>
      <c r="AD2169" s="93">
        <f>SUM([Relative Error (ep) - Error Rate as a proportion of the margin of victory for  Candidate 3])</f>
        <v>0</v>
      </c>
      <c r="AE2169" s="93">
        <f>SUM([Relative Error (ep) - Error Rate as a proportion of the margin of victory for  Candidate 4])</f>
        <v>0</v>
      </c>
      <c r="AF2169" s="93">
        <f>SUM([Relative Error (ep) - Error Rate as a proportion of the margin of victory for  Candidate 5])</f>
        <v>0</v>
      </c>
      <c r="AG2169" s="93">
        <f>SUM([Relative Error (ep) - Error Rate as a proportion of the margin of victory for  Candidate 6])</f>
        <v>0</v>
      </c>
      <c r="AH2169" s="93"/>
      <c r="AI2169" s="93">
        <f>SUM([Taint (t) - Error rate as a proportion of the max possible relative overstatement])</f>
        <v>0</v>
      </c>
      <c r="AJ2169" s="93">
        <f>SUM([KM Factor])</f>
        <v>1821.5113816625744</v>
      </c>
      <c r="AK2169" s="93">
        <f>SUM([Net KM Factor - KM Factor taking into account pcts audited multiple times])</f>
        <v>2161.7842695671334</v>
      </c>
      <c r="AL2169" s="93">
        <f>SUM([K-M P Value])</f>
        <v>197.5424862032001</v>
      </c>
      <c r="AM2169" s="96">
        <f>SUBTOTAL(104,[Confidence Level])</f>
        <v>0.91037176181773694</v>
      </c>
      <c r="AN2169" s="97"/>
      <c r="AO2169" s="95">
        <f>SUBTOTAL(103,[Process Batch])</f>
        <v>14</v>
      </c>
      <c r="AP2169" s="95"/>
    </row>
  </sheetData>
  <mergeCells count="4">
    <mergeCell ref="A1:AP1"/>
    <mergeCell ref="M2:R2"/>
    <mergeCell ref="S2:AO2"/>
    <mergeCell ref="A2:L2"/>
  </mergeCells>
  <conditionalFormatting sqref="AN5:AN2168">
    <cfRule type="expression" dxfId="92" priority="1">
      <formula>AND($AM5 &gt;= $AQ$1, $AO5)</formula>
    </cfRule>
    <cfRule type="expression" dxfId="91" priority="2">
      <formula>AND($AM5 &lt;$AQ$1, $AM5 &gt;=$AQ$1 - 0.05, $AO5)</formula>
    </cfRule>
    <cfRule type="expression" dxfId="90" priority="4">
      <formula>AND($AM5 &lt;$AQ$1 - 0.05, $AO5)</formula>
    </cfRule>
  </conditionalFormatting>
  <pageMargins left="0.25" right="0.25" top="0.75" bottom="0.75" header="0.3" footer="0.3"/>
  <pageSetup scale="42" fitToHeight="0" orientation="landscape" r:id="rId1"/>
  <headerFooter>
    <oddHeader>&amp;CPresidential Delegates-at-Large and Alternates-at-Large (REP)</oddHeader>
    <oddFooter>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sheetPr>
    <pageSetUpPr fitToPage="1"/>
  </sheetPr>
  <dimension ref="A1:E75"/>
  <sheetViews>
    <sheetView workbookViewId="0">
      <selection activeCell="D13" sqref="D13"/>
    </sheetView>
  </sheetViews>
  <sheetFormatPr defaultRowHeight="15" customHeight="1"/>
  <cols>
    <col min="1" max="1" width="4.5703125" customWidth="1"/>
    <col min="2" max="2" width="3.28515625" style="20" customWidth="1"/>
    <col min="3" max="3" width="87.140625" customWidth="1"/>
    <col min="4" max="4" width="71.42578125" style="91" bestFit="1" customWidth="1"/>
  </cols>
  <sheetData>
    <row r="1" spans="1:5" s="18" customFormat="1" ht="18" customHeight="1">
      <c r="A1" s="150" t="str">
        <f ca="1">MID(CELL("filename",$A$2), FIND("]", CELL("filename",$A$2)) + 1, 255)</f>
        <v>Instructions</v>
      </c>
      <c r="B1" s="151"/>
      <c r="C1" s="152"/>
      <c r="D1" s="91"/>
    </row>
    <row r="2" spans="1:5" ht="33.75" customHeight="1">
      <c r="A2" s="167" t="s">
        <v>130</v>
      </c>
      <c r="B2" s="168"/>
      <c r="C2" s="169"/>
      <c r="E2" s="18"/>
    </row>
    <row r="3" spans="1:5" ht="20.25" customHeight="1">
      <c r="A3" s="170" t="s">
        <v>160</v>
      </c>
      <c r="B3" s="171"/>
      <c r="C3" s="172"/>
    </row>
    <row r="4" spans="1:5" ht="20.25" customHeight="1">
      <c r="A4" s="170" t="str">
        <f>"Note: Paste data as values only (see item " &amp; $A$54 &amp; " below)."</f>
        <v>Note: Paste data as values only (see item S1 below).</v>
      </c>
      <c r="B4" s="171"/>
      <c r="C4" s="172"/>
    </row>
    <row r="5" spans="1:5" s="18" customFormat="1" ht="20.25" customHeight="1">
      <c r="A5" s="173" t="s">
        <v>131</v>
      </c>
      <c r="B5" s="174"/>
      <c r="C5" s="175"/>
      <c r="D5" s="91"/>
    </row>
    <row r="6" spans="1:5" s="18" customFormat="1" ht="35.25" customHeight="1">
      <c r="A6" s="87">
        <v>1</v>
      </c>
      <c r="B6" s="142" t="s">
        <v>121</v>
      </c>
      <c r="C6" s="143"/>
      <c r="D6" s="91"/>
    </row>
    <row r="7" spans="1:5" s="18" customFormat="1" ht="18.75" customHeight="1">
      <c r="A7" s="178">
        <v>2</v>
      </c>
      <c r="B7" s="144"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45"/>
      <c r="D7" s="91"/>
    </row>
    <row r="8" spans="1:5" s="18" customFormat="1" ht="18" customHeight="1">
      <c r="A8" s="179"/>
      <c r="B8" s="74" t="s">
        <v>146</v>
      </c>
      <c r="C8" s="67" t="s">
        <v>132</v>
      </c>
      <c r="D8" s="91"/>
    </row>
    <row r="9" spans="1:5" s="18" customFormat="1" ht="17.25" customHeight="1">
      <c r="A9" s="179"/>
      <c r="B9" s="74" t="s">
        <v>147</v>
      </c>
      <c r="C9" s="67" t="s">
        <v>133</v>
      </c>
      <c r="D9" s="91"/>
    </row>
    <row r="10" spans="1:5" s="18" customFormat="1" ht="18" customHeight="1">
      <c r="A10" s="179"/>
      <c r="B10" s="74" t="s">
        <v>148</v>
      </c>
      <c r="C10" s="67" t="s">
        <v>134</v>
      </c>
      <c r="D10" s="91"/>
    </row>
    <row r="11" spans="1:5" s="18" customFormat="1" ht="18" customHeight="1">
      <c r="A11" s="179"/>
      <c r="B11" s="74" t="s">
        <v>149</v>
      </c>
      <c r="C11" s="67" t="s">
        <v>171</v>
      </c>
      <c r="D11" s="91"/>
    </row>
    <row r="12" spans="1:5" s="18" customFormat="1" ht="18" customHeight="1">
      <c r="A12" s="179"/>
      <c r="B12" s="74" t="s">
        <v>150</v>
      </c>
      <c r="C12" s="67" t="s">
        <v>172</v>
      </c>
      <c r="D12" s="91"/>
    </row>
    <row r="13" spans="1:5" s="18" customFormat="1">
      <c r="A13" s="179"/>
      <c r="B13" s="74" t="s">
        <v>151</v>
      </c>
      <c r="C13" s="67" t="s">
        <v>173</v>
      </c>
      <c r="D13" s="91"/>
    </row>
    <row r="14" spans="1:5" s="18" customFormat="1" ht="33" customHeight="1">
      <c r="A14" s="179"/>
      <c r="B14" s="74" t="s">
        <v>152</v>
      </c>
      <c r="C14" s="67" t="s">
        <v>135</v>
      </c>
      <c r="D14" s="91"/>
    </row>
    <row r="15" spans="1:5" s="18" customFormat="1" ht="36" customHeight="1">
      <c r="A15" s="180"/>
      <c r="B15" s="75" t="s">
        <v>153</v>
      </c>
      <c r="C15" s="67" t="s">
        <v>136</v>
      </c>
      <c r="D15" s="91"/>
    </row>
    <row r="16" spans="1:5" s="18" customFormat="1" ht="31.5" customHeight="1">
      <c r="A16" s="159">
        <v>3</v>
      </c>
      <c r="B16" s="140"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41"/>
      <c r="D16" s="91"/>
    </row>
    <row r="17" spans="1:4" s="18" customFormat="1" ht="30" customHeight="1">
      <c r="A17" s="160"/>
      <c r="B17" s="77" t="s">
        <v>146</v>
      </c>
      <c r="C17" s="78" t="s">
        <v>138</v>
      </c>
      <c r="D17" s="91"/>
    </row>
    <row r="18" spans="1:4" s="18" customFormat="1" ht="16.5" customHeight="1">
      <c r="A18" s="160"/>
      <c r="B18" s="77"/>
      <c r="C18" s="79" t="s">
        <v>137</v>
      </c>
      <c r="D18" s="91"/>
    </row>
    <row r="19" spans="1:4" s="18" customFormat="1" ht="18.75" customHeight="1">
      <c r="A19" s="161"/>
      <c r="B19" s="80" t="s">
        <v>147</v>
      </c>
      <c r="C19" s="81" t="str">
        <f>"Hide any remaining unused rows if desired (see item "&amp;$A$58&amp;" below)."</f>
        <v>Hide any remaining unused rows if desired (see item S2 below).</v>
      </c>
      <c r="D19" s="91"/>
    </row>
    <row r="20" spans="1:4" s="18" customFormat="1" ht="18.75" customHeight="1">
      <c r="A20" s="153">
        <v>4</v>
      </c>
      <c r="B20" s="146" t="str">
        <f ca="1">"Enter/Import election data into the '"&amp;MID(CELL("filename",'Sampling Data'!A4), FIND("]", CELL("filename",'Sampling Data'!A4)) + 1, 255) &amp; "' spreadsheet."</f>
        <v>Enter/Import election data into the 'Sampling Data' spreadsheet.</v>
      </c>
      <c r="C20" s="147"/>
      <c r="D20" s="91"/>
    </row>
    <row r="21" spans="1:4" s="18" customFormat="1" ht="18.75" customHeight="1">
      <c r="A21" s="158"/>
      <c r="B21" s="74" t="s">
        <v>146</v>
      </c>
      <c r="C21" s="67" t="s">
        <v>140</v>
      </c>
      <c r="D21" s="91"/>
    </row>
    <row r="22" spans="1:4" s="18" customFormat="1" ht="17.25" customHeight="1">
      <c r="A22" s="158"/>
      <c r="B22" s="74" t="s">
        <v>147</v>
      </c>
      <c r="C22" s="67" t="s">
        <v>154</v>
      </c>
      <c r="D22" s="91"/>
    </row>
    <row r="23" spans="1:4" s="18" customFormat="1" ht="33.75" customHeight="1">
      <c r="A23" s="158"/>
      <c r="B23" s="74"/>
      <c r="C23" s="68" t="s">
        <v>168</v>
      </c>
      <c r="D23" s="91"/>
    </row>
    <row r="24" spans="1:4" s="18" customFormat="1" ht="19.5" customHeight="1">
      <c r="A24" s="158"/>
      <c r="B24" s="74" t="s">
        <v>148</v>
      </c>
      <c r="C24" s="67" t="s">
        <v>164</v>
      </c>
      <c r="D24" s="91"/>
    </row>
    <row r="25" spans="1:4" s="18" customFormat="1" ht="28.5" customHeight="1">
      <c r="A25" s="158"/>
      <c r="B25" s="74" t="s">
        <v>149</v>
      </c>
      <c r="C25" s="67" t="str">
        <f>"Determine the total number of rows needed and extend or shrink the table by the necessary
amount (see items "&amp;$A$67&amp;", " &amp;$A$71&amp; " below)."</f>
        <v>Determine the total number of rows needed and extend or shrink the table by the necessary
amount (see items S4, S5 below).</v>
      </c>
      <c r="D25" s="91"/>
    </row>
    <row r="26" spans="1:4" s="18" customFormat="1" ht="18.75" customHeight="1">
      <c r="A26" s="158"/>
      <c r="B26" s="74"/>
      <c r="C26" s="68" t="s">
        <v>141</v>
      </c>
      <c r="D26" s="91"/>
    </row>
    <row r="27" spans="1:4" s="18" customFormat="1" ht="33.75" customHeight="1">
      <c r="A27" s="158"/>
      <c r="B27" s="74" t="s">
        <v>150</v>
      </c>
      <c r="C27" s="67" t="s">
        <v>139</v>
      </c>
      <c r="D27" s="91"/>
    </row>
    <row r="28" spans="1:4" s="18" customFormat="1" ht="33.75" customHeight="1">
      <c r="A28" s="154"/>
      <c r="B28" s="75" t="s">
        <v>151</v>
      </c>
      <c r="C28" s="69" t="str">
        <f>"You may hide any column with the words 'UNDEFINED' in the header (see item "&amp;$A$58&amp;" 
below)."</f>
        <v>You may hide any column with the words 'UNDEFINED' in the header (see item S2 
below).</v>
      </c>
      <c r="D28" s="91"/>
    </row>
    <row r="29" spans="1:4" s="18" customFormat="1" ht="19.5" customHeight="1">
      <c r="A29" s="181">
        <v>5</v>
      </c>
      <c r="B29" s="140" t="s">
        <v>142</v>
      </c>
      <c r="C29" s="141"/>
      <c r="D29" s="91"/>
    </row>
    <row r="30" spans="1:4" s="18" customFormat="1" ht="18.75" customHeight="1">
      <c r="A30" s="182"/>
      <c r="B30" s="77" t="s">
        <v>146</v>
      </c>
      <c r="C30" s="78" t="s">
        <v>143</v>
      </c>
      <c r="D30" s="91"/>
    </row>
    <row r="31" spans="1:4" s="18" customFormat="1" ht="18.75" customHeight="1">
      <c r="A31" s="182"/>
      <c r="B31" s="77" t="s">
        <v>147</v>
      </c>
      <c r="C31" s="78" t="s">
        <v>144</v>
      </c>
      <c r="D31" s="91"/>
    </row>
    <row r="32" spans="1:4" s="18" customFormat="1" ht="19.5" customHeight="1">
      <c r="A32" s="182"/>
      <c r="B32" s="77" t="s">
        <v>148</v>
      </c>
      <c r="C32" s="78" t="s">
        <v>145</v>
      </c>
      <c r="D32" s="91"/>
    </row>
    <row r="33" spans="1:4" s="18" customFormat="1" ht="50.25" customHeight="1">
      <c r="A33" s="183"/>
      <c r="B33" s="80" t="s">
        <v>149</v>
      </c>
      <c r="C33" s="81" t="s">
        <v>122</v>
      </c>
      <c r="D33" s="91"/>
    </row>
    <row r="34" spans="1:4" s="18" customFormat="1" ht="18.75" customHeight="1">
      <c r="A34" s="153">
        <v>6</v>
      </c>
      <c r="B34" s="146" t="str">
        <f ca="1">"Select the batches to audit on the spreadsheet titled: '" &amp; MID(CELL("filename",'Selected Batches'!$A$2), FIND("]", CELL("filename",'Selected Batches'!$A$2)) + 1, 255) &amp; "'."</f>
        <v>Select the batches to audit on the spreadsheet titled: 'Selected Batches'.</v>
      </c>
      <c r="C34" s="147"/>
      <c r="D34" s="91"/>
    </row>
    <row r="35" spans="1:4" s="18" customFormat="1" ht="48" customHeight="1">
      <c r="A35" s="158"/>
      <c r="B35" s="74" t="s">
        <v>146</v>
      </c>
      <c r="C35" s="71"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c r="D35" s="91"/>
    </row>
    <row r="36" spans="1:4" s="18" customFormat="1" ht="45" customHeight="1">
      <c r="A36" s="158"/>
      <c r="B36" s="74" t="s">
        <v>147</v>
      </c>
      <c r="C36" s="67" t="str">
        <f>"Extend or reduce the table to allow for the minimum number of selections (see items " &amp; $A$67 &amp; ", " &amp; $A$71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c r="D36" s="91"/>
    </row>
    <row r="37" spans="1:4" s="18" customFormat="1" ht="19.5" customHeight="1">
      <c r="A37" s="158"/>
      <c r="B37" s="74"/>
      <c r="C37" s="68" t="s">
        <v>118</v>
      </c>
      <c r="D37" s="91"/>
    </row>
    <row r="38" spans="1:4" s="18" customFormat="1" ht="36.75" customHeight="1">
      <c r="A38" s="154"/>
      <c r="B38" s="75" t="s">
        <v>148</v>
      </c>
      <c r="C38" s="69"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c r="D38" s="91"/>
    </row>
    <row r="39" spans="1:4" s="18" customFormat="1" ht="18" customHeight="1">
      <c r="A39" s="159">
        <v>7</v>
      </c>
      <c r="B39" s="140" t="str">
        <f ca="1">"Enter the audit results in the spreadsheet titled: '" &amp; MID(CELL("filename",Audit!$A$3), FIND("]", CELL("filename",Audit!$A$3)) + 1, 255) &amp; "'."</f>
        <v>Enter the audit results in the spreadsheet titled: 'Audit'.</v>
      </c>
      <c r="C39" s="141"/>
      <c r="D39" s="91"/>
    </row>
    <row r="40" spans="1:4" s="18" customFormat="1" ht="13.5" customHeight="1">
      <c r="A40" s="160"/>
      <c r="B40" s="77" t="s">
        <v>146</v>
      </c>
      <c r="C40" s="78" t="str">
        <f>"Adjust the size of the table; see items " &amp;$A$67 &amp; ", " &amp; $A$71 &amp; " below."</f>
        <v>Adjust the size of the table; see items S4, S5 below.</v>
      </c>
      <c r="D40" s="91"/>
    </row>
    <row r="41" spans="1:4" s="18" customFormat="1" ht="18" customHeight="1">
      <c r="A41" s="160"/>
      <c r="B41" s="77"/>
      <c r="C41" s="79" t="str">
        <f ca="1">"Note: The number of rows will need to match the number of rows in '" &amp; MID(CELL("filename",'Sampling Data'!A4), FIND("]", CELL("filename",'Sampling Data'!A4)) + 1, 255) &amp; "'."</f>
        <v>Note: The number of rows will need to match the number of rows in 'Sampling Data'.</v>
      </c>
      <c r="D41" s="91"/>
    </row>
    <row r="42" spans="1:4" s="18" customFormat="1" ht="20.25" customHeight="1">
      <c r="A42" s="160"/>
      <c r="B42" s="77" t="s">
        <v>147</v>
      </c>
      <c r="C42" s="78" t="str">
        <f>"Hide any columns that have 'Undefined' in the header, see item " &amp; $A$58 &amp; "."</f>
        <v>Hide any columns that have 'Undefined' in the header, see item S2.</v>
      </c>
      <c r="D42" s="91"/>
    </row>
    <row r="43" spans="1:4" s="18" customFormat="1" ht="34.5" customHeight="1">
      <c r="A43" s="160"/>
      <c r="B43" s="77" t="s">
        <v>148</v>
      </c>
      <c r="C43" s="78" t="str">
        <f>"Using the drop down filter button for the column labeled: '" &amp; Audit!$A$4 &amp; "', 
first select 'Sort A to Z', to sort by batch, then uncheck 'Blanks'."</f>
        <v>Using the drop down filter button for the column labeled: 'Selection - Batch picked for audit', 
first select 'Sort A to Z', to sort by batch, then uncheck 'Blanks'.</v>
      </c>
      <c r="D43" s="91"/>
    </row>
    <row r="44" spans="1:4" s="18" customFormat="1" ht="19.5" customHeight="1">
      <c r="A44" s="160"/>
      <c r="B44" s="77" t="s">
        <v>149</v>
      </c>
      <c r="C44" s="78" t="s">
        <v>166</v>
      </c>
      <c r="D44" s="91"/>
    </row>
    <row r="45" spans="1:4" s="18" customFormat="1" ht="30">
      <c r="A45" s="160"/>
      <c r="B45" s="77" t="s">
        <v>150</v>
      </c>
      <c r="C45" s="78" t="str">
        <f>"If there are any differences, enter the reason for it in the column labeled: 
'" &amp; Audit[[#Headers],[Reason For Differences]] &amp; "'."</f>
        <v>If there are any differences, enter the reason for it in the column labeled: 
'Reason For Differences'.</v>
      </c>
      <c r="D45" s="91"/>
    </row>
    <row r="46" spans="1:4" s="18" customFormat="1" ht="33.75" customHeight="1">
      <c r="A46" s="160"/>
      <c r="B46" s="77" t="s">
        <v>151</v>
      </c>
      <c r="C46" s="78" t="s">
        <v>123</v>
      </c>
      <c r="D46" s="91"/>
    </row>
    <row r="47" spans="1:4" s="18" customFormat="1" ht="20.25" customHeight="1">
      <c r="A47" s="161"/>
      <c r="B47" s="80" t="s">
        <v>152</v>
      </c>
      <c r="C47" s="81" t="str">
        <f>"If more batches are needed due to errors, repeat previous steps above starting with " &amp;$A$34&amp;"."&amp;$B$36&amp;""</f>
        <v>If more batches are needed due to errors, repeat previous steps above starting with 6.b.</v>
      </c>
      <c r="D47" s="91"/>
    </row>
    <row r="48" spans="1:4" s="18" customFormat="1" ht="30" customHeight="1">
      <c r="A48" s="153">
        <v>8</v>
      </c>
      <c r="B48" s="146" t="str">
        <f ca="1">"Once the audit is completed, return to spreadsheet '"&amp; MID(CELL("filename",GeneralInfo[[#Headers],[Contest Audited]]), FIND("]", CELL("filename",GeneralInfo[[#Headers],[Contest Audited]])) + 1, 255) &amp; "' and adjust the size of 
table '"&amp;'General Info'!$A$44&amp;"' until all of the reasons are displayed (see item "&amp;$A$67 &amp;" below)."</f>
        <v>Once the audit is completed, return to spreadsheet 'General Info' and adjust the size of 
table 'Explanation of Discrepancies' until all of the reasons are displayed (see item S4 below).</v>
      </c>
      <c r="C48" s="147"/>
      <c r="D48" s="91"/>
    </row>
    <row r="49" spans="1:4" s="18" customFormat="1" ht="21" customHeight="1">
      <c r="A49" s="154"/>
      <c r="B49" s="176" t="s">
        <v>124</v>
      </c>
      <c r="C49" s="177"/>
      <c r="D49" s="91"/>
    </row>
    <row r="50" spans="1:4" s="18" customFormat="1" ht="24.75" customHeight="1">
      <c r="A50" s="82">
        <v>9</v>
      </c>
      <c r="B50" s="165" t="s">
        <v>110</v>
      </c>
      <c r="C50" s="166"/>
      <c r="D50" s="91"/>
    </row>
    <row r="51" spans="1:4" s="18" customFormat="1" ht="25.5" customHeight="1">
      <c r="A51" s="76">
        <v>10</v>
      </c>
      <c r="B51" s="148" t="s">
        <v>109</v>
      </c>
      <c r="C51" s="149"/>
      <c r="D51" s="91"/>
    </row>
    <row r="52" spans="1:4" s="18" customFormat="1" ht="18" customHeight="1">
      <c r="A52" s="150" t="s">
        <v>163</v>
      </c>
      <c r="B52" s="151"/>
      <c r="C52" s="152"/>
      <c r="D52" s="91"/>
    </row>
    <row r="53" spans="1:4" s="18" customFormat="1" ht="20.25" customHeight="1">
      <c r="A53" s="162" t="s">
        <v>162</v>
      </c>
      <c r="B53" s="163"/>
      <c r="C53" s="164"/>
      <c r="D53" s="91"/>
    </row>
    <row r="54" spans="1:4" s="18" customFormat="1" ht="19.5" customHeight="1">
      <c r="A54" s="155" t="s">
        <v>111</v>
      </c>
      <c r="B54" s="140" t="s">
        <v>161</v>
      </c>
      <c r="C54" s="141"/>
      <c r="D54" s="91"/>
    </row>
    <row r="55" spans="1:4" s="18" customFormat="1" ht="18.75" customHeight="1">
      <c r="A55" s="156"/>
      <c r="B55" s="83" t="s">
        <v>146</v>
      </c>
      <c r="C55" s="78" t="s">
        <v>117</v>
      </c>
      <c r="D55" s="91"/>
    </row>
    <row r="56" spans="1:4" s="18" customFormat="1" ht="32.25" customHeight="1">
      <c r="A56" s="156"/>
      <c r="B56" s="83" t="s">
        <v>147</v>
      </c>
      <c r="C56" s="78" t="s">
        <v>125</v>
      </c>
      <c r="D56" s="91"/>
    </row>
    <row r="57" spans="1:4" s="18" customFormat="1" ht="19.5" customHeight="1">
      <c r="A57" s="157"/>
      <c r="B57" s="84" t="s">
        <v>148</v>
      </c>
      <c r="C57" s="81" t="s">
        <v>120</v>
      </c>
      <c r="D57" s="91"/>
    </row>
    <row r="58" spans="1:4" s="18" customFormat="1" ht="18.75" customHeight="1">
      <c r="A58" s="153" t="s">
        <v>112</v>
      </c>
      <c r="B58" s="146" t="s">
        <v>155</v>
      </c>
      <c r="C58" s="147"/>
      <c r="D58" s="91"/>
    </row>
    <row r="59" spans="1:4" s="18" customFormat="1" ht="33.75" customHeight="1">
      <c r="A59" s="158"/>
      <c r="B59" s="70" t="s">
        <v>146</v>
      </c>
      <c r="C59" s="71" t="s">
        <v>156</v>
      </c>
      <c r="D59" s="91"/>
    </row>
    <row r="60" spans="1:4" s="18" customFormat="1" ht="18.75" customHeight="1">
      <c r="A60" s="158"/>
      <c r="B60" s="70" t="s">
        <v>147</v>
      </c>
      <c r="C60" s="71" t="s">
        <v>157</v>
      </c>
      <c r="D60" s="91"/>
    </row>
    <row r="61" spans="1:4" s="18" customFormat="1" ht="18.75" customHeight="1">
      <c r="A61" s="154"/>
      <c r="B61" s="73" t="s">
        <v>148</v>
      </c>
      <c r="C61" s="72" t="s">
        <v>103</v>
      </c>
      <c r="D61" s="91"/>
    </row>
    <row r="62" spans="1:4" s="18" customFormat="1" ht="18.75" customHeight="1">
      <c r="A62" s="159" t="s">
        <v>113</v>
      </c>
      <c r="B62" s="140" t="s">
        <v>158</v>
      </c>
      <c r="C62" s="141"/>
      <c r="D62" s="91"/>
    </row>
    <row r="63" spans="1:4" s="18" customFormat="1" ht="33.75" customHeight="1">
      <c r="A63" s="160"/>
      <c r="B63" s="77" t="s">
        <v>146</v>
      </c>
      <c r="C63" s="85" t="str">
        <f>"Select the first row/column before the row/column you wish to unhide using the method 
outlined in "&amp;$A$58&amp;" above."</f>
        <v>Select the first row/column before the row/column you wish to unhide using the method 
outlined in S2 above.</v>
      </c>
      <c r="D63" s="91"/>
    </row>
    <row r="64" spans="1:4" s="18" customFormat="1" ht="35.25" customHeight="1">
      <c r="A64" s="160"/>
      <c r="B64" s="77" t="s">
        <v>147</v>
      </c>
      <c r="C64" s="85" t="str">
        <f>"While holding down the 'Shift' key, select the row/column after the row/column you wish to 
unhide (refer to "&amp;$A$58&amp;" above)."</f>
        <v>While holding down the 'Shift' key, select the row/column after the row/column you wish to 
unhide (refer to S2 above).</v>
      </c>
      <c r="D64" s="91"/>
    </row>
    <row r="65" spans="1:4" s="18" customFormat="1" ht="18.75" customHeight="1">
      <c r="A65" s="160"/>
      <c r="B65" s="77" t="s">
        <v>148</v>
      </c>
      <c r="C65" s="85" t="s">
        <v>159</v>
      </c>
      <c r="D65" s="91"/>
    </row>
    <row r="66" spans="1:4" s="18" customFormat="1" ht="20.25" customHeight="1">
      <c r="A66" s="161"/>
      <c r="B66" s="80" t="s">
        <v>149</v>
      </c>
      <c r="C66" s="86" t="s">
        <v>104</v>
      </c>
      <c r="D66" s="91"/>
    </row>
    <row r="67" spans="1:4" ht="19.5" customHeight="1">
      <c r="A67" s="153" t="s">
        <v>114</v>
      </c>
      <c r="B67" s="146" t="s">
        <v>107</v>
      </c>
      <c r="C67" s="147"/>
    </row>
    <row r="68" spans="1:4" ht="19.5" customHeight="1">
      <c r="A68" s="158"/>
      <c r="B68" s="70" t="s">
        <v>146</v>
      </c>
      <c r="C68" s="71" t="s">
        <v>119</v>
      </c>
    </row>
    <row r="69" spans="1:4" ht="35.25" customHeight="1">
      <c r="A69" s="158"/>
      <c r="B69" s="70" t="s">
        <v>147</v>
      </c>
      <c r="C69" s="71" t="s">
        <v>126</v>
      </c>
    </row>
    <row r="70" spans="1:4" ht="51" customHeight="1">
      <c r="A70" s="154"/>
      <c r="B70" s="73" t="s">
        <v>148</v>
      </c>
      <c r="C70" s="72" t="s">
        <v>169</v>
      </c>
    </row>
    <row r="71" spans="1:4" ht="19.5" customHeight="1">
      <c r="A71" s="159" t="s">
        <v>116</v>
      </c>
      <c r="B71" s="140" t="s">
        <v>108</v>
      </c>
      <c r="C71" s="141"/>
    </row>
    <row r="72" spans="1:4" ht="21" customHeight="1">
      <c r="A72" s="160"/>
      <c r="B72" s="77" t="s">
        <v>146</v>
      </c>
      <c r="C72" s="85" t="s">
        <v>119</v>
      </c>
    </row>
    <row r="73" spans="1:4" ht="35.25" customHeight="1">
      <c r="A73" s="160"/>
      <c r="B73" s="77" t="s">
        <v>147</v>
      </c>
      <c r="C73" s="85" t="s">
        <v>127</v>
      </c>
    </row>
    <row r="74" spans="1:4" ht="49.5" customHeight="1">
      <c r="A74" s="160"/>
      <c r="B74" s="77" t="s">
        <v>148</v>
      </c>
      <c r="C74" s="85" t="s">
        <v>167</v>
      </c>
    </row>
    <row r="75" spans="1:4" ht="21.75" customHeight="1">
      <c r="A75" s="161"/>
      <c r="B75" s="80" t="s">
        <v>149</v>
      </c>
      <c r="C75" s="86" t="s">
        <v>165</v>
      </c>
    </row>
  </sheetData>
  <mergeCells count="35">
    <mergeCell ref="A67:A70"/>
    <mergeCell ref="A71:A75"/>
    <mergeCell ref="B67:C67"/>
    <mergeCell ref="B71:C71"/>
    <mergeCell ref="A4:C4"/>
    <mergeCell ref="B34:C34"/>
    <mergeCell ref="B39:C39"/>
    <mergeCell ref="B48:C48"/>
    <mergeCell ref="A62:A66"/>
    <mergeCell ref="B54:C54"/>
    <mergeCell ref="B49:C49"/>
    <mergeCell ref="A7:A15"/>
    <mergeCell ref="A16:A19"/>
    <mergeCell ref="A20:A28"/>
    <mergeCell ref="A29:A33"/>
    <mergeCell ref="A34:A38"/>
    <mergeCell ref="A1:C1"/>
    <mergeCell ref="B50:C50"/>
    <mergeCell ref="A2:C2"/>
    <mergeCell ref="A3:C3"/>
    <mergeCell ref="A5:C5"/>
    <mergeCell ref="B62:C62"/>
    <mergeCell ref="B6:C6"/>
    <mergeCell ref="B7:C7"/>
    <mergeCell ref="B58:C58"/>
    <mergeCell ref="B16:C16"/>
    <mergeCell ref="B20:C20"/>
    <mergeCell ref="B51:C51"/>
    <mergeCell ref="A52:C52"/>
    <mergeCell ref="A48:A49"/>
    <mergeCell ref="A54:A57"/>
    <mergeCell ref="A58:A61"/>
    <mergeCell ref="A39:A47"/>
    <mergeCell ref="B29:C29"/>
    <mergeCell ref="A53:C53"/>
  </mergeCells>
  <pageMargins left="0.7" right="0.7" top="0.75" bottom="0.75" header="0.3" footer="0.3"/>
  <pageSetup scale="95" fitToHeight="0" orientation="portrait" horizontalDpi="1200" verticalDpi="1200" r:id="rId1"/>
  <headerFooter>
    <oddFooter>&amp;CPage &amp;P of &amp;N</oddFooter>
  </headerFooter>
  <rowBreaks count="2" manualBreakCount="2">
    <brk id="28" max="16383" man="1"/>
    <brk id="5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General Info</vt:lpstr>
      <vt:lpstr>Selected Batches</vt:lpstr>
      <vt:lpstr>Sampling Data</vt:lpstr>
      <vt:lpstr>Audit</vt:lpstr>
      <vt:lpstr>Instructions</vt:lpstr>
      <vt:lpstr>Candidates</vt:lpstr>
      <vt:lpstr>Contest</vt:lpstr>
      <vt:lpstr>Audit!Print_Area</vt:lpstr>
      <vt:lpstr>'Sampling Data'!Print_Area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Jason Culek</cp:lastModifiedBy>
  <cp:lastPrinted>2012-04-17T18:54:16Z</cp:lastPrinted>
  <dcterms:created xsi:type="dcterms:W3CDTF">2011-07-25T20:10:01Z</dcterms:created>
  <dcterms:modified xsi:type="dcterms:W3CDTF">2012-04-17T18:54:20Z</dcterms:modified>
</cp:coreProperties>
</file>